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3 DeveloperSpace\MyDevelopment\"/>
    </mc:Choice>
  </mc:AlternateContent>
  <xr:revisionPtr revIDLastSave="0" documentId="13_ncr:1_{46FF2BBA-143C-49F8-BCEC-663A2C3077E8}" xr6:coauthVersionLast="43" xr6:coauthVersionMax="43" xr10:uidLastSave="{00000000-0000-0000-0000-000000000000}"/>
  <bookViews>
    <workbookView xWindow="-98" yWindow="-98" windowWidth="20715" windowHeight="13276" activeTab="3" xr2:uid="{00000000-000D-0000-FFFF-FFFF00000000}"/>
  </bookViews>
  <sheets>
    <sheet name="沪深Ａ股20191228" sheetId="1" r:id="rId1"/>
    <sheet name="Sheet1" sheetId="2" r:id="rId2"/>
    <sheet name="数据表一览表" sheetId="3" r:id="rId3"/>
    <sheet name="T_STOCK_01" sheetId="4" r:id="rId4"/>
  </sheets>
  <functionGroups builtInGroupCount="19"/>
  <definedNames>
    <definedName name="_xlnm._FilterDatabase" localSheetId="3" hidden="1">T_STOCK_01!$A$1:$E$115</definedName>
    <definedName name="_xlnm._FilterDatabase" localSheetId="0" hidden="1">沪深Ａ股20191228!$A$1:$DI$1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4" l="1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115" i="4"/>
  <c r="G114" i="4"/>
  <c r="G113" i="4"/>
  <c r="G112" i="4"/>
  <c r="G64" i="4"/>
  <c r="G63" i="4"/>
  <c r="G22" i="4"/>
  <c r="G21" i="4"/>
  <c r="G4" i="4"/>
  <c r="G3" i="4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" i="2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C2" i="2"/>
  <c r="C66" i="2"/>
  <c r="C11" i="2"/>
  <c r="C75" i="2"/>
  <c r="C20" i="2"/>
  <c r="C84" i="2"/>
  <c r="C29" i="2"/>
  <c r="C93" i="2"/>
  <c r="C78" i="2"/>
  <c r="C23" i="2"/>
  <c r="C87" i="2"/>
  <c r="C40" i="2"/>
  <c r="C104" i="2"/>
  <c r="C57" i="2"/>
  <c r="C1" i="2"/>
  <c r="C42" i="2"/>
  <c r="C5" i="2"/>
  <c r="C16" i="2"/>
  <c r="C67" i="2"/>
  <c r="C79" i="2"/>
  <c r="C113" i="2"/>
  <c r="C10" i="2"/>
  <c r="C74" i="2"/>
  <c r="C19" i="2"/>
  <c r="C83" i="2"/>
  <c r="C28" i="2"/>
  <c r="C92" i="2"/>
  <c r="C37" i="2"/>
  <c r="C101" i="2"/>
  <c r="C86" i="2"/>
  <c r="C31" i="2"/>
  <c r="C95" i="2"/>
  <c r="C48" i="2"/>
  <c r="C112" i="2"/>
  <c r="C65" i="2"/>
  <c r="C60" i="2"/>
  <c r="C6" i="2"/>
  <c r="C97" i="2"/>
  <c r="C70" i="2"/>
  <c r="C49" i="2"/>
  <c r="C18" i="2"/>
  <c r="C82" i="2"/>
  <c r="C27" i="2"/>
  <c r="C91" i="2"/>
  <c r="C36" i="2"/>
  <c r="C100" i="2"/>
  <c r="C45" i="2"/>
  <c r="C109" i="2"/>
  <c r="C94" i="2"/>
  <c r="C39" i="2"/>
  <c r="C103" i="2"/>
  <c r="C56" i="2"/>
  <c r="C9" i="2"/>
  <c r="C73" i="2"/>
  <c r="C106" i="2"/>
  <c r="C69" i="2"/>
  <c r="C63" i="2"/>
  <c r="C12" i="2"/>
  <c r="C15" i="2"/>
  <c r="C26" i="2"/>
  <c r="C90" i="2"/>
  <c r="C35" i="2"/>
  <c r="C99" i="2"/>
  <c r="C44" i="2"/>
  <c r="C108" i="2"/>
  <c r="C53" i="2"/>
  <c r="C14" i="2"/>
  <c r="C102" i="2"/>
  <c r="C47" i="2"/>
  <c r="C111" i="2"/>
  <c r="C64" i="2"/>
  <c r="C17" i="2"/>
  <c r="C81" i="2"/>
  <c r="C89" i="2"/>
  <c r="C38" i="2"/>
  <c r="C54" i="2"/>
  <c r="C33" i="2"/>
  <c r="C76" i="2"/>
  <c r="C96" i="2"/>
  <c r="C34" i="2"/>
  <c r="C98" i="2"/>
  <c r="C43" i="2"/>
  <c r="C107" i="2"/>
  <c r="C52" i="2"/>
  <c r="C30" i="2"/>
  <c r="C61" i="2"/>
  <c r="C46" i="2"/>
  <c r="C110" i="2"/>
  <c r="C55" i="2"/>
  <c r="C8" i="2"/>
  <c r="C72" i="2"/>
  <c r="C25" i="2"/>
  <c r="C51" i="2"/>
  <c r="C80" i="2"/>
  <c r="C85" i="2"/>
  <c r="C50" i="2"/>
  <c r="C22" i="2"/>
  <c r="C59" i="2"/>
  <c r="C4" i="2"/>
  <c r="C68" i="2"/>
  <c r="C13" i="2"/>
  <c r="C77" i="2"/>
  <c r="C62" i="2"/>
  <c r="C7" i="2"/>
  <c r="C71" i="2"/>
  <c r="C24" i="2"/>
  <c r="C88" i="2"/>
  <c r="C41" i="2"/>
  <c r="C105" i="2"/>
  <c r="C58" i="2"/>
  <c r="C3" i="2"/>
  <c r="C21" i="2"/>
  <c r="C32" i="2"/>
</calcChain>
</file>

<file path=xl/sharedStrings.xml><?xml version="1.0" encoding="utf-8"?>
<sst xmlns="http://schemas.openxmlformats.org/spreadsheetml/2006/main" count="67004" uniqueCount="15488">
  <si>
    <t>代码</t>
  </si>
  <si>
    <t>名称</t>
  </si>
  <si>
    <t>涨幅%</t>
  </si>
  <si>
    <t>现价</t>
  </si>
  <si>
    <t>涨跌</t>
  </si>
  <si>
    <t>买价</t>
  </si>
  <si>
    <t>卖价</t>
  </si>
  <si>
    <t>总量</t>
  </si>
  <si>
    <t>现量</t>
  </si>
  <si>
    <t>涨速%</t>
  </si>
  <si>
    <t>换手%</t>
  </si>
  <si>
    <t>今开</t>
  </si>
  <si>
    <t>最高</t>
  </si>
  <si>
    <t>最低</t>
  </si>
  <si>
    <t>昨收</t>
  </si>
  <si>
    <t>市盈(动)</t>
  </si>
  <si>
    <t>总金额</t>
  </si>
  <si>
    <t>量比</t>
  </si>
  <si>
    <t>细分行业</t>
  </si>
  <si>
    <t>地区</t>
  </si>
  <si>
    <t>振幅%</t>
  </si>
  <si>
    <t>均价</t>
  </si>
  <si>
    <t>内盘</t>
  </si>
  <si>
    <t>外盘</t>
  </si>
  <si>
    <t>内外比</t>
  </si>
  <si>
    <t>买量</t>
  </si>
  <si>
    <t>卖量</t>
  </si>
  <si>
    <t>未匹配量</t>
  </si>
  <si>
    <t>开盘金额</t>
  </si>
  <si>
    <t>开盘换手Z</t>
  </si>
  <si>
    <t>封成比</t>
  </si>
  <si>
    <t>封单额</t>
  </si>
  <si>
    <t>流通股(亿)</t>
  </si>
  <si>
    <t>流通市值</t>
  </si>
  <si>
    <t>AB股总市值</t>
  </si>
  <si>
    <t>强弱度%</t>
  </si>
  <si>
    <t>活跃度</t>
  </si>
  <si>
    <t>笔均量</t>
  </si>
  <si>
    <t>笔换手</t>
  </si>
  <si>
    <t>连涨天</t>
  </si>
  <si>
    <t>3日涨幅%</t>
  </si>
  <si>
    <t>20日涨幅%</t>
  </si>
  <si>
    <t>60日涨幅%</t>
  </si>
  <si>
    <t>年初至今%</t>
  </si>
  <si>
    <t>换手Z</t>
  </si>
  <si>
    <t>流通市值Z</t>
  </si>
  <si>
    <t>市盈(TTM)</t>
  </si>
  <si>
    <t>市盈(静)</t>
  </si>
  <si>
    <t>贝塔系数</t>
  </si>
  <si>
    <t>短期形态</t>
  </si>
  <si>
    <t>中期形态</t>
  </si>
  <si>
    <t>长期形态</t>
  </si>
  <si>
    <t>开盘%</t>
  </si>
  <si>
    <t>最高%</t>
  </si>
  <si>
    <t>最低%</t>
  </si>
  <si>
    <t>均涨幅%</t>
  </si>
  <si>
    <t>实体涨幅%</t>
  </si>
  <si>
    <t>回头波%</t>
  </si>
  <si>
    <t>攻击波%</t>
  </si>
  <si>
    <t>现均差%</t>
  </si>
  <si>
    <t>财务更新</t>
  </si>
  <si>
    <t>上市日期</t>
  </si>
  <si>
    <t>总股本(亿)</t>
  </si>
  <si>
    <t>B/A股(亿)</t>
  </si>
  <si>
    <t>H股(亿)</t>
  </si>
  <si>
    <t>总资产(亿)</t>
  </si>
  <si>
    <t>净资产(亿)</t>
  </si>
  <si>
    <t>少数股权(亿)</t>
  </si>
  <si>
    <t>资产负债率%</t>
  </si>
  <si>
    <t>流动资产(亿)</t>
  </si>
  <si>
    <t>固定资产(亿)</t>
  </si>
  <si>
    <t>无形资产(亿)</t>
  </si>
  <si>
    <t>流动负债(亿)</t>
  </si>
  <si>
    <t>存货(亿)</t>
  </si>
  <si>
    <t>应收帐款(亿)</t>
  </si>
  <si>
    <t>资本公积金(亿)</t>
  </si>
  <si>
    <t>营业收入(亿)</t>
  </si>
  <si>
    <t>营业成本(亿)</t>
  </si>
  <si>
    <t>营业利润(亿)</t>
  </si>
  <si>
    <t>投资收益(亿)</t>
  </si>
  <si>
    <t>利润总额(亿)</t>
  </si>
  <si>
    <t>税后利润(亿)</t>
  </si>
  <si>
    <t>净利润(亿)</t>
  </si>
  <si>
    <t>扣非净利润(亿)</t>
  </si>
  <si>
    <t>未分利润(亿)</t>
  </si>
  <si>
    <t>经营现金流(亿)</t>
  </si>
  <si>
    <t>总现金流(亿)</t>
  </si>
  <si>
    <t>股东人数</t>
  </si>
  <si>
    <t>人均持股</t>
  </si>
  <si>
    <t>人均市值</t>
  </si>
  <si>
    <t>利润同比%</t>
  </si>
  <si>
    <t>收入同比%</t>
  </si>
  <si>
    <t>市净率</t>
  </si>
  <si>
    <t>市现率</t>
  </si>
  <si>
    <t>市销率</t>
  </si>
  <si>
    <t>股息率%</t>
  </si>
  <si>
    <t>每股收益</t>
  </si>
  <si>
    <t>每股净资</t>
  </si>
  <si>
    <t>调整后净资</t>
  </si>
  <si>
    <t>每股公积</t>
  </si>
  <si>
    <t>每股未分配</t>
  </si>
  <si>
    <t>每股现金流</t>
  </si>
  <si>
    <t>权益比%</t>
  </si>
  <si>
    <t>净益率%</t>
  </si>
  <si>
    <t>毛利率%</t>
  </si>
  <si>
    <t>营业利润率%</t>
  </si>
  <si>
    <t>净利润率%</t>
  </si>
  <si>
    <t>研发费用(亿)</t>
  </si>
  <si>
    <t>员工人数</t>
  </si>
  <si>
    <t>交易代码</t>
  </si>
  <si>
    <t>自选日</t>
  </si>
  <si>
    <t>自选价</t>
  </si>
  <si>
    <t>自选收益%</t>
  </si>
  <si>
    <t>平安银行</t>
  </si>
  <si>
    <t>银行</t>
  </si>
  <si>
    <t>深圳</t>
  </si>
  <si>
    <t xml:space="preserve">--  </t>
  </si>
  <si>
    <t xml:space="preserve">       3227.18亿</t>
  </si>
  <si>
    <t xml:space="preserve">       3227.20亿</t>
  </si>
  <si>
    <t xml:space="preserve">       1357.11亿</t>
  </si>
  <si>
    <t>45.24万</t>
  </si>
  <si>
    <t>1.320㈢</t>
  </si>
  <si>
    <t xml:space="preserve">   8.20㈢</t>
  </si>
  <si>
    <t>万 科Ａ</t>
  </si>
  <si>
    <t>全国地产</t>
  </si>
  <si>
    <t xml:space="preserve">       3011.70亿</t>
  </si>
  <si>
    <t xml:space="preserve">       3014.50亿</t>
  </si>
  <si>
    <t xml:space="preserve">       1658.35亿</t>
  </si>
  <si>
    <t>57.08万</t>
  </si>
  <si>
    <t>1.630㈢</t>
  </si>
  <si>
    <t xml:space="preserve">  10.90㈢</t>
  </si>
  <si>
    <t>国农科技</t>
  </si>
  <si>
    <t>生物制药</t>
  </si>
  <si>
    <t xml:space="preserve">         18.63亿</t>
  </si>
  <si>
    <t xml:space="preserve">         18.94亿</t>
  </si>
  <si>
    <t xml:space="preserve">         11.08亿</t>
  </si>
  <si>
    <t>10.73万</t>
  </si>
  <si>
    <t>-0.118㈢</t>
  </si>
  <si>
    <t xml:space="preserve"> -10.01㈢</t>
  </si>
  <si>
    <t>世纪星源</t>
  </si>
  <si>
    <t>环境保护</t>
  </si>
  <si>
    <t xml:space="preserve">         32.69亿</t>
  </si>
  <si>
    <t xml:space="preserve">         32.71亿</t>
  </si>
  <si>
    <t xml:space="preserve">         25.52亿</t>
  </si>
  <si>
    <t>2.03万</t>
  </si>
  <si>
    <t>0.042㈢</t>
  </si>
  <si>
    <t xml:space="preserve">   2.90㈢</t>
  </si>
  <si>
    <t>深振业Ａ</t>
  </si>
  <si>
    <t>区域地产</t>
  </si>
  <si>
    <t xml:space="preserve">         71.06亿</t>
  </si>
  <si>
    <t xml:space="preserve">         71.14亿</t>
  </si>
  <si>
    <t xml:space="preserve">         45.44亿</t>
  </si>
  <si>
    <t>6.67万</t>
  </si>
  <si>
    <t>0.335㈢</t>
  </si>
  <si>
    <t xml:space="preserve">   7.08㈢</t>
  </si>
  <si>
    <t>全新好</t>
  </si>
  <si>
    <t>酒店餐饮</t>
  </si>
  <si>
    <t xml:space="preserve">         30.31亿</t>
  </si>
  <si>
    <t xml:space="preserve">         33.99亿</t>
  </si>
  <si>
    <t xml:space="preserve">         20.17亿</t>
  </si>
  <si>
    <t>9.88万</t>
  </si>
  <si>
    <t>-0.027㈢</t>
  </si>
  <si>
    <t xml:space="preserve">  -5.13㈢</t>
  </si>
  <si>
    <t>神州高铁</t>
  </si>
  <si>
    <t>运输设备</t>
  </si>
  <si>
    <t>北京</t>
  </si>
  <si>
    <t xml:space="preserve">         94.15亿</t>
  </si>
  <si>
    <t xml:space="preserve">        100.94亿</t>
  </si>
  <si>
    <t xml:space="preserve">         60.99亿</t>
  </si>
  <si>
    <t>5.96万</t>
  </si>
  <si>
    <t>0.053㈢</t>
  </si>
  <si>
    <t xml:space="preserve">   2.06㈢</t>
  </si>
  <si>
    <t>中国宝安</t>
  </si>
  <si>
    <t>综合类</t>
  </si>
  <si>
    <t xml:space="preserve">        161.79亿</t>
  </si>
  <si>
    <t xml:space="preserve">        164.04亿</t>
  </si>
  <si>
    <t xml:space="preserve">        133.11亿</t>
  </si>
  <si>
    <t>8.42万</t>
  </si>
  <si>
    <t>0.078㈢</t>
  </si>
  <si>
    <t xml:space="preserve">   3.72㈢</t>
  </si>
  <si>
    <t>*ST美丽</t>
  </si>
  <si>
    <t>建筑工程</t>
  </si>
  <si>
    <t xml:space="preserve">         17.91亿</t>
  </si>
  <si>
    <t xml:space="preserve">         28.12亿</t>
  </si>
  <si>
    <t xml:space="preserve">         16.83亿</t>
  </si>
  <si>
    <t>4.91万</t>
  </si>
  <si>
    <t xml:space="preserve">   9.89㈢</t>
  </si>
  <si>
    <t>深物业A</t>
  </si>
  <si>
    <t xml:space="preserve">         48.85亿</t>
  </si>
  <si>
    <t xml:space="preserve">         55.31亿</t>
  </si>
  <si>
    <t xml:space="preserve">         13.55亿</t>
  </si>
  <si>
    <t>4.80万</t>
  </si>
  <si>
    <t>0.173㈢</t>
  </si>
  <si>
    <t xml:space="preserve">   3.16㈢</t>
  </si>
  <si>
    <t>南 玻Ａ</t>
  </si>
  <si>
    <t>玻璃</t>
  </si>
  <si>
    <t xml:space="preserve">         93.38亿</t>
  </si>
  <si>
    <t xml:space="preserve">        148.26亿</t>
  </si>
  <si>
    <t xml:space="preserve">         58.26亿</t>
  </si>
  <si>
    <t>7.70万</t>
  </si>
  <si>
    <t>0.175㈢</t>
  </si>
  <si>
    <t xml:space="preserve">   5.70㈢</t>
  </si>
  <si>
    <t>沙河股份</t>
  </si>
  <si>
    <t xml:space="preserve">         18.74亿</t>
  </si>
  <si>
    <t xml:space="preserve">         12.36亿</t>
  </si>
  <si>
    <t>4.82万</t>
  </si>
  <si>
    <t>-0.056㈢</t>
  </si>
  <si>
    <t xml:space="preserve">  -1.31㈢</t>
  </si>
  <si>
    <t>深康佳Ａ</t>
  </si>
  <si>
    <t>家用电器</t>
  </si>
  <si>
    <t xml:space="preserve">         69.77亿</t>
  </si>
  <si>
    <t xml:space="preserve">        105.23亿</t>
  </si>
  <si>
    <t xml:space="preserve">         46.88亿</t>
  </si>
  <si>
    <t>8.91万</t>
  </si>
  <si>
    <t>0.187㈢</t>
  </si>
  <si>
    <t xml:space="preserve">   5.40㈢</t>
  </si>
  <si>
    <t>深中华A</t>
  </si>
  <si>
    <t>文教休闲</t>
  </si>
  <si>
    <t xml:space="preserve">         13.79亿</t>
  </si>
  <si>
    <t xml:space="preserve">         25.09亿</t>
  </si>
  <si>
    <t xml:space="preserve">         10.90亿</t>
  </si>
  <si>
    <t>4.11万</t>
  </si>
  <si>
    <t>0.000㈢</t>
  </si>
  <si>
    <t xml:space="preserve">   1.66㈢</t>
  </si>
  <si>
    <t>深粮控股</t>
  </si>
  <si>
    <t>其他商业</t>
  </si>
  <si>
    <t xml:space="preserve">         25.12亿</t>
  </si>
  <si>
    <t xml:space="preserve">         69.61亿</t>
  </si>
  <si>
    <t xml:space="preserve">         16.33亿</t>
  </si>
  <si>
    <t>3.64万</t>
  </si>
  <si>
    <t>0.286㈢</t>
  </si>
  <si>
    <t xml:space="preserve">   7.51㈢</t>
  </si>
  <si>
    <t>深华发Ａ</t>
  </si>
  <si>
    <t>元器件</t>
  </si>
  <si>
    <t xml:space="preserve">         19.40亿</t>
  </si>
  <si>
    <t xml:space="preserve">         30.33亿</t>
  </si>
  <si>
    <t xml:space="preserve">          6.63亿</t>
  </si>
  <si>
    <t>7.23万</t>
  </si>
  <si>
    <t>0.012㈢</t>
  </si>
  <si>
    <t xml:space="preserve">   1.03㈢</t>
  </si>
  <si>
    <t>深科技</t>
  </si>
  <si>
    <t>IT设备</t>
  </si>
  <si>
    <t xml:space="preserve">        184.11亿</t>
  </si>
  <si>
    <t xml:space="preserve">        184.35亿</t>
  </si>
  <si>
    <t xml:space="preserve">         90.54亿</t>
  </si>
  <si>
    <t>7.22万</t>
  </si>
  <si>
    <t>0.185㈢</t>
  </si>
  <si>
    <t xml:space="preserve">   4.22㈢</t>
  </si>
  <si>
    <t>深天地Ａ</t>
  </si>
  <si>
    <t>其他建材</t>
  </si>
  <si>
    <t xml:space="preserve">         17.66亿</t>
  </si>
  <si>
    <t xml:space="preserve">         11.26亿</t>
  </si>
  <si>
    <t>7.12万</t>
  </si>
  <si>
    <t>0.391㈢</t>
  </si>
  <si>
    <t xml:space="preserve">  11.35㈢</t>
  </si>
  <si>
    <t>特 力Ａ</t>
  </si>
  <si>
    <t>汽车服务</t>
  </si>
  <si>
    <t xml:space="preserve">         81.82亿</t>
  </si>
  <si>
    <t xml:space="preserve">         89.79亿</t>
  </si>
  <si>
    <t xml:space="preserve">         20.78亿</t>
  </si>
  <si>
    <t>5.47万</t>
  </si>
  <si>
    <t>0.149㈢</t>
  </si>
  <si>
    <t xml:space="preserve">   5.75㈢</t>
  </si>
  <si>
    <t>飞亚达Ａ</t>
  </si>
  <si>
    <t xml:space="preserve">         39.95亿</t>
  </si>
  <si>
    <t xml:space="preserve">         49.61亿</t>
  </si>
  <si>
    <t xml:space="preserve">         21.70亿</t>
  </si>
  <si>
    <t>8.95万</t>
  </si>
  <si>
    <t>0.403㈢</t>
  </si>
  <si>
    <t xml:space="preserve">   6.80㈢</t>
  </si>
  <si>
    <t>深圳能源</t>
  </si>
  <si>
    <t>火力发电</t>
  </si>
  <si>
    <t xml:space="preserve">        242.63亿</t>
  </si>
  <si>
    <t xml:space="preserve">         63.58亿</t>
  </si>
  <si>
    <t>6.02万</t>
  </si>
  <si>
    <t>0.432㈢</t>
  </si>
  <si>
    <t xml:space="preserve">   5.72㈢</t>
  </si>
  <si>
    <t>国药一致</t>
  </si>
  <si>
    <t>医药商业</t>
  </si>
  <si>
    <t xml:space="preserve">        137.47亿</t>
  </si>
  <si>
    <t xml:space="preserve">        191.24亿</t>
  </si>
  <si>
    <t xml:space="preserve">         54.86亿</t>
  </si>
  <si>
    <t>36.71万</t>
  </si>
  <si>
    <t>2.247㈢</t>
  </si>
  <si>
    <t xml:space="preserve">   7.73㈢</t>
  </si>
  <si>
    <t>深深房Ａ</t>
  </si>
  <si>
    <t xml:space="preserve">         97.82亿</t>
  </si>
  <si>
    <t xml:space="preserve">        110.98亿</t>
  </si>
  <si>
    <t xml:space="preserve">         27.29亿</t>
  </si>
  <si>
    <t>5.29万</t>
  </si>
  <si>
    <t>0.434㈢</t>
  </si>
  <si>
    <t xml:space="preserve">  12.32㈢</t>
  </si>
  <si>
    <t>富奥股份</t>
  </si>
  <si>
    <t>汽车配件</t>
  </si>
  <si>
    <t>吉林</t>
  </si>
  <si>
    <t xml:space="preserve">         82.89亿</t>
  </si>
  <si>
    <t xml:space="preserve">         85.28亿</t>
  </si>
  <si>
    <t xml:space="preserve">         26.01亿</t>
  </si>
  <si>
    <t>9.30万</t>
  </si>
  <si>
    <t>0.341㈢</t>
  </si>
  <si>
    <t xml:space="preserve">   9.65㈢</t>
  </si>
  <si>
    <t>大悦城</t>
  </si>
  <si>
    <t xml:space="preserve">        124.97亿</t>
  </si>
  <si>
    <t xml:space="preserve">        270.49亿</t>
  </si>
  <si>
    <t xml:space="preserve">         65.89亿</t>
  </si>
  <si>
    <t>4.43万</t>
  </si>
  <si>
    <t>0.620㈢</t>
  </si>
  <si>
    <t xml:space="preserve">  14.12㈢</t>
  </si>
  <si>
    <t>深桑达Ａ</t>
  </si>
  <si>
    <t xml:space="preserve">         58.16亿</t>
  </si>
  <si>
    <t xml:space="preserve">         58.43亿</t>
  </si>
  <si>
    <t xml:space="preserve">         23.49亿</t>
  </si>
  <si>
    <t>13.72万</t>
  </si>
  <si>
    <t>0.212㈢</t>
  </si>
  <si>
    <t xml:space="preserve">   6.16㈢</t>
  </si>
  <si>
    <t>神州数码</t>
  </si>
  <si>
    <t xml:space="preserve">         99.04亿</t>
  </si>
  <si>
    <t xml:space="preserve">        133.43亿</t>
  </si>
  <si>
    <t xml:space="preserve">         66.77亿</t>
  </si>
  <si>
    <t>18.96万</t>
  </si>
  <si>
    <t>0.780㈢</t>
  </si>
  <si>
    <t xml:space="preserve">  12.16㈢</t>
  </si>
  <si>
    <t>中国天楹</t>
  </si>
  <si>
    <t>江苏</t>
  </si>
  <si>
    <t xml:space="preserve">         74.18亿</t>
  </si>
  <si>
    <t xml:space="preserve">        146.13亿</t>
  </si>
  <si>
    <t xml:space="preserve">         44.78亿</t>
  </si>
  <si>
    <t>11.58万</t>
  </si>
  <si>
    <t>0.170㈢</t>
  </si>
  <si>
    <t xml:space="preserve">   3.93㈢</t>
  </si>
  <si>
    <t>华联控股</t>
  </si>
  <si>
    <t xml:space="preserve">         61.95亿</t>
  </si>
  <si>
    <t xml:space="preserve">         62.33亿</t>
  </si>
  <si>
    <t xml:space="preserve">         41.25亿</t>
  </si>
  <si>
    <t>6.53万</t>
  </si>
  <si>
    <t>0.410㈢</t>
  </si>
  <si>
    <t xml:space="preserve">  12.84㈢</t>
  </si>
  <si>
    <t>深南电A</t>
  </si>
  <si>
    <t xml:space="preserve">         42.87亿</t>
  </si>
  <si>
    <t xml:space="preserve">         76.25亿</t>
  </si>
  <si>
    <t xml:space="preserve">         25.32亿</t>
  </si>
  <si>
    <t>23.74万</t>
  </si>
  <si>
    <t>0.014㈢</t>
  </si>
  <si>
    <t xml:space="preserve">   0.43㈢</t>
  </si>
  <si>
    <t>深大通</t>
  </si>
  <si>
    <t>广告包装</t>
  </si>
  <si>
    <t xml:space="preserve">         27.79亿</t>
  </si>
  <si>
    <t xml:space="preserve">         62.73亿</t>
  </si>
  <si>
    <t xml:space="preserve">         16.76亿</t>
  </si>
  <si>
    <t>4.56万</t>
  </si>
  <si>
    <t>0.003㈢</t>
  </si>
  <si>
    <t xml:space="preserve">   0.06㈢</t>
  </si>
  <si>
    <t>中集集团</t>
  </si>
  <si>
    <t>轻工机械</t>
  </si>
  <si>
    <t xml:space="preserve">        153.22亿</t>
  </si>
  <si>
    <t xml:space="preserve">        153.28亿</t>
  </si>
  <si>
    <t xml:space="preserve">        101.05亿</t>
  </si>
  <si>
    <t>11.82万</t>
  </si>
  <si>
    <t>0.140㈢</t>
  </si>
  <si>
    <t xml:space="preserve">   1.67㈢</t>
  </si>
  <si>
    <t>东旭蓝天</t>
  </si>
  <si>
    <t>新型电力</t>
  </si>
  <si>
    <t xml:space="preserve">         45.81亿</t>
  </si>
  <si>
    <t xml:space="preserve">         64.23亿</t>
  </si>
  <si>
    <t xml:space="preserve">         39.04亿</t>
  </si>
  <si>
    <t>0.050㈢</t>
  </si>
  <si>
    <t xml:space="preserve">   0.51㈢</t>
  </si>
  <si>
    <t>中洲控股</t>
  </si>
  <si>
    <t xml:space="preserve">         73.24亿</t>
  </si>
  <si>
    <t xml:space="preserve">         73.53亿</t>
  </si>
  <si>
    <t xml:space="preserve">         24.67亿</t>
  </si>
  <si>
    <t>14.17万</t>
  </si>
  <si>
    <t>1.393㈢</t>
  </si>
  <si>
    <t xml:space="preserve">  12.17㈢</t>
  </si>
  <si>
    <t>深纺织Ａ</t>
  </si>
  <si>
    <t xml:space="preserve">         34.28亿</t>
  </si>
  <si>
    <t xml:space="preserve">         38.20亿</t>
  </si>
  <si>
    <t xml:space="preserve">         15.51亿</t>
  </si>
  <si>
    <t>5.72万</t>
  </si>
  <si>
    <t>0.033㈢</t>
  </si>
  <si>
    <t xml:space="preserve">   0.65㈢</t>
  </si>
  <si>
    <t>泛海控股</t>
  </si>
  <si>
    <t xml:space="preserve">        230.80亿</t>
  </si>
  <si>
    <t xml:space="preserve">        231.75亿</t>
  </si>
  <si>
    <t xml:space="preserve">         66.56亿</t>
  </si>
  <si>
    <t>14.76万</t>
  </si>
  <si>
    <t>0.480㈢</t>
  </si>
  <si>
    <t xml:space="preserve">  10.89㈢</t>
  </si>
  <si>
    <t>康达尔</t>
  </si>
  <si>
    <t>饲料</t>
  </si>
  <si>
    <t xml:space="preserve">         87.41亿</t>
  </si>
  <si>
    <t xml:space="preserve">         87.42亿</t>
  </si>
  <si>
    <t xml:space="preserve">         23.32亿</t>
  </si>
  <si>
    <t>27.70万</t>
  </si>
  <si>
    <t>0.745㈢</t>
  </si>
  <si>
    <t xml:space="preserve">  22.48㈢</t>
  </si>
  <si>
    <t>德赛电池</t>
  </si>
  <si>
    <t>电气设备</t>
  </si>
  <si>
    <t xml:space="preserve">         83.35亿</t>
  </si>
  <si>
    <t xml:space="preserve">         84.14亿</t>
  </si>
  <si>
    <t xml:space="preserve">         45.65亿</t>
  </si>
  <si>
    <t>12.16万</t>
  </si>
  <si>
    <t>1.650㈢</t>
  </si>
  <si>
    <t xml:space="preserve">  16.46㈢</t>
  </si>
  <si>
    <t>深天马Ａ</t>
  </si>
  <si>
    <t xml:space="preserve">        299.02亿</t>
  </si>
  <si>
    <t xml:space="preserve">        334.87亿</t>
  </si>
  <si>
    <t xml:space="preserve">        139.47亿</t>
  </si>
  <si>
    <t>14.71万</t>
  </si>
  <si>
    <t>0.505㈢</t>
  </si>
  <si>
    <t xml:space="preserve">   3.84㈢</t>
  </si>
  <si>
    <t>方大集团</t>
  </si>
  <si>
    <t xml:space="preserve">         31.88亿</t>
  </si>
  <si>
    <t xml:space="preserve">         52.80亿</t>
  </si>
  <si>
    <t xml:space="preserve">         25.30亿</t>
  </si>
  <si>
    <t>6.56万</t>
  </si>
  <si>
    <t>0.139㈢</t>
  </si>
  <si>
    <t xml:space="preserve">   3.09㈢</t>
  </si>
  <si>
    <t>皇庭国际</t>
  </si>
  <si>
    <t>房产服务</t>
  </si>
  <si>
    <t xml:space="preserve">         38.05亿</t>
  </si>
  <si>
    <t xml:space="preserve">         49.48亿</t>
  </si>
  <si>
    <t xml:space="preserve">         13.05亿</t>
  </si>
  <si>
    <t>6.38万</t>
  </si>
  <si>
    <t>0.110㈢</t>
  </si>
  <si>
    <t xml:space="preserve">   2.18㈢</t>
  </si>
  <si>
    <t>深 赛 格</t>
  </si>
  <si>
    <t xml:space="preserve">         39.98亿</t>
  </si>
  <si>
    <t xml:space="preserve">         91.81亿</t>
  </si>
  <si>
    <t xml:space="preserve">         21.42亿</t>
  </si>
  <si>
    <t>4.34万</t>
  </si>
  <si>
    <t>0.089㈢</t>
  </si>
  <si>
    <t>华锦股份</t>
  </si>
  <si>
    <t>石油加工</t>
  </si>
  <si>
    <t>辽宁</t>
  </si>
  <si>
    <t xml:space="preserve">         95.65亿</t>
  </si>
  <si>
    <t xml:space="preserve">         49.87亿</t>
  </si>
  <si>
    <t>7.20万</t>
  </si>
  <si>
    <t>0.577㈢</t>
  </si>
  <si>
    <t xml:space="preserve">   6.73㈢</t>
  </si>
  <si>
    <t>中金岭南</t>
  </si>
  <si>
    <t>铅锌</t>
  </si>
  <si>
    <t xml:space="preserve">        151.65亿</t>
  </si>
  <si>
    <t xml:space="preserve">        151.71亿</t>
  </si>
  <si>
    <t xml:space="preserve">        102.68亿</t>
  </si>
  <si>
    <t>6.26万</t>
  </si>
  <si>
    <t>0.178㈢</t>
  </si>
  <si>
    <t xml:space="preserve">   5.93㈢</t>
  </si>
  <si>
    <t>农 产 品</t>
  </si>
  <si>
    <t>农业综合</t>
  </si>
  <si>
    <t xml:space="preserve">         95.11亿</t>
  </si>
  <si>
    <t xml:space="preserve">         95.20亿</t>
  </si>
  <si>
    <t xml:space="preserve">         34.21亿</t>
  </si>
  <si>
    <t>7.05万</t>
  </si>
  <si>
    <t>0.097㈢</t>
  </si>
  <si>
    <t xml:space="preserve">   3.25㈢</t>
  </si>
  <si>
    <t>深圳华强</t>
  </si>
  <si>
    <t>批发业</t>
  </si>
  <si>
    <t xml:space="preserve">        149.18亿</t>
  </si>
  <si>
    <t xml:space="preserve">        149.36亿</t>
  </si>
  <si>
    <t xml:space="preserve">         35.34亿</t>
  </si>
  <si>
    <t>9.82万</t>
  </si>
  <si>
    <t>0.467㈢</t>
  </si>
  <si>
    <t xml:space="preserve">   9.70㈢</t>
  </si>
  <si>
    <t>中兴通讯</t>
  </si>
  <si>
    <t>通信设备</t>
  </si>
  <si>
    <t xml:space="preserve">       1166.79亿</t>
  </si>
  <si>
    <t xml:space="preserve">       1167.81亿</t>
  </si>
  <si>
    <t xml:space="preserve">        781.00亿</t>
  </si>
  <si>
    <t>21.89万</t>
  </si>
  <si>
    <t>0.977㈢</t>
  </si>
  <si>
    <t xml:space="preserve">  14.87㈢</t>
  </si>
  <si>
    <t>北方国际</t>
  </si>
  <si>
    <t xml:space="preserve">         52.20亿</t>
  </si>
  <si>
    <t xml:space="preserve">         63.87亿</t>
  </si>
  <si>
    <t xml:space="preserve">         24.25亿</t>
  </si>
  <si>
    <t>6.98万</t>
  </si>
  <si>
    <t>0.644㈢</t>
  </si>
  <si>
    <t xml:space="preserve">  10.74㈢</t>
  </si>
  <si>
    <t>中国长城</t>
  </si>
  <si>
    <t xml:space="preserve">        384.56亿</t>
  </si>
  <si>
    <t xml:space="preserve">        452.11亿</t>
  </si>
  <si>
    <t xml:space="preserve">        264.59亿</t>
  </si>
  <si>
    <t>14.75万</t>
  </si>
  <si>
    <t>0.060㈢</t>
  </si>
  <si>
    <t xml:space="preserve">   2.82㈢</t>
  </si>
  <si>
    <t>华控赛格</t>
  </si>
  <si>
    <t xml:space="preserve">         40.97亿</t>
  </si>
  <si>
    <t xml:space="preserve">         21.57亿</t>
  </si>
  <si>
    <t>3.75万</t>
  </si>
  <si>
    <t>-0.071㈢</t>
  </si>
  <si>
    <t xml:space="preserve"> -15.94㈢</t>
  </si>
  <si>
    <t>华侨城Ａ</t>
  </si>
  <si>
    <t>旅游景点</t>
  </si>
  <si>
    <t xml:space="preserve">        532.57亿</t>
  </si>
  <si>
    <t xml:space="preserve">        622.57亿</t>
  </si>
  <si>
    <t xml:space="preserve">        270.48亿</t>
  </si>
  <si>
    <t>24.94万</t>
  </si>
  <si>
    <t>0.731㈢</t>
  </si>
  <si>
    <t xml:space="preserve">   9.62㈢</t>
  </si>
  <si>
    <t>特发信息</t>
  </si>
  <si>
    <t xml:space="preserve">         85.77亿</t>
  </si>
  <si>
    <t xml:space="preserve">         88.08亿</t>
  </si>
  <si>
    <t xml:space="preserve">         52.77亿</t>
  </si>
  <si>
    <t>5.57万</t>
  </si>
  <si>
    <t>0.120㈢</t>
  </si>
  <si>
    <t xml:space="preserve">   3.55㈢</t>
  </si>
  <si>
    <t>海王生物</t>
  </si>
  <si>
    <t xml:space="preserve">         88.36亿</t>
  </si>
  <si>
    <t xml:space="preserve">         93.10亿</t>
  </si>
  <si>
    <t xml:space="preserve">         47.37亿</t>
  </si>
  <si>
    <t>3.17万</t>
  </si>
  <si>
    <t>0.132㈢</t>
  </si>
  <si>
    <t xml:space="preserve">   5.73㈢</t>
  </si>
  <si>
    <t>盐 田 港</t>
  </si>
  <si>
    <t>港口</t>
  </si>
  <si>
    <t xml:space="preserve">        107.79亿</t>
  </si>
  <si>
    <t xml:space="preserve">         35.17亿</t>
  </si>
  <si>
    <t>5.20万</t>
  </si>
  <si>
    <t>0.137㈢</t>
  </si>
  <si>
    <t xml:space="preserve">   3.82㈢</t>
  </si>
  <si>
    <t>深圳机场</t>
  </si>
  <si>
    <t>机场</t>
  </si>
  <si>
    <t xml:space="preserve">        199.95亿</t>
  </si>
  <si>
    <t xml:space="preserve">         86.04亿</t>
  </si>
  <si>
    <t>10.06万</t>
  </si>
  <si>
    <t>0.234㈢</t>
  </si>
  <si>
    <t xml:space="preserve">   4.02㈢</t>
  </si>
  <si>
    <t>天健集团</t>
  </si>
  <si>
    <t xml:space="preserve">         96.78亿</t>
  </si>
  <si>
    <t xml:space="preserve">         96.79亿</t>
  </si>
  <si>
    <t xml:space="preserve">         55.36亿</t>
  </si>
  <si>
    <t>15.66万</t>
  </si>
  <si>
    <t>0.133㈢</t>
  </si>
  <si>
    <t xml:space="preserve">   2.85㈢</t>
  </si>
  <si>
    <t>广聚能源</t>
  </si>
  <si>
    <t>石油贸易</t>
  </si>
  <si>
    <t xml:space="preserve">         58.08亿</t>
  </si>
  <si>
    <t xml:space="preserve">         60.03亿</t>
  </si>
  <si>
    <t xml:space="preserve">         26.69亿</t>
  </si>
  <si>
    <t>9.40万</t>
  </si>
  <si>
    <t>0.200㈢</t>
  </si>
  <si>
    <t xml:space="preserve">   4.11㈢</t>
  </si>
  <si>
    <t>中信海直</t>
  </si>
  <si>
    <t>空运</t>
  </si>
  <si>
    <t xml:space="preserve">         44.12亿</t>
  </si>
  <si>
    <t xml:space="preserve">         27.08亿</t>
  </si>
  <si>
    <t>4.66万</t>
  </si>
  <si>
    <t>0.259㈢</t>
  </si>
  <si>
    <t xml:space="preserve">   4.87㈢</t>
  </si>
  <si>
    <t>TCL 集团</t>
  </si>
  <si>
    <t>广东</t>
  </si>
  <si>
    <t xml:space="preserve">        577.83亿</t>
  </si>
  <si>
    <t xml:space="preserve">        611.49亿</t>
  </si>
  <si>
    <t xml:space="preserve">        510.46亿</t>
  </si>
  <si>
    <t>10.93万</t>
  </si>
  <si>
    <t>0.191㈢</t>
  </si>
  <si>
    <t xml:space="preserve">   8.48㈢</t>
  </si>
  <si>
    <t>宜华健康</t>
  </si>
  <si>
    <t>医疗保健</t>
  </si>
  <si>
    <t xml:space="preserve">         38.69亿</t>
  </si>
  <si>
    <t xml:space="preserve">         42.13亿</t>
  </si>
  <si>
    <t xml:space="preserve">         18.33亿</t>
  </si>
  <si>
    <t>4.18万</t>
  </si>
  <si>
    <t xml:space="preserve">   0.11㈢</t>
  </si>
  <si>
    <t>中成股份</t>
  </si>
  <si>
    <t>商贸代理</t>
  </si>
  <si>
    <t xml:space="preserve">         27.35亿</t>
  </si>
  <si>
    <t xml:space="preserve">         30.37亿</t>
  </si>
  <si>
    <t xml:space="preserve">         16.46亿</t>
  </si>
  <si>
    <t>4.73万</t>
  </si>
  <si>
    <t>0.008㈢</t>
  </si>
  <si>
    <t xml:space="preserve">   0.26㈢</t>
  </si>
  <si>
    <t>丰原药业</t>
  </si>
  <si>
    <t>化学制药</t>
  </si>
  <si>
    <t>安徽</t>
  </si>
  <si>
    <t xml:space="preserve">         19.84亿</t>
  </si>
  <si>
    <t xml:space="preserve">         19.85亿</t>
  </si>
  <si>
    <t xml:space="preserve">         14.18亿</t>
  </si>
  <si>
    <t>4.63万</t>
  </si>
  <si>
    <t>0.241㈢</t>
  </si>
  <si>
    <t>川能动力</t>
  </si>
  <si>
    <t>四川</t>
  </si>
  <si>
    <t xml:space="preserve">         53.72亿</t>
  </si>
  <si>
    <t xml:space="preserve">         30.39亿</t>
  </si>
  <si>
    <t>8.70万</t>
  </si>
  <si>
    <t>0.176㈢</t>
  </si>
  <si>
    <t xml:space="preserve">   6.33㈢</t>
  </si>
  <si>
    <t>华数传媒</t>
  </si>
  <si>
    <t>影视音像</t>
  </si>
  <si>
    <t>浙江</t>
  </si>
  <si>
    <t xml:space="preserve">        128.16亿</t>
  </si>
  <si>
    <t xml:space="preserve">        143.48亿</t>
  </si>
  <si>
    <t xml:space="preserve">         54.74亿</t>
  </si>
  <si>
    <t>14.05万</t>
  </si>
  <si>
    <t>0.353㈢</t>
  </si>
  <si>
    <t xml:space="preserve">   4.66㈢</t>
  </si>
  <si>
    <t>中联重科</t>
  </si>
  <si>
    <t>工程机械</t>
  </si>
  <si>
    <t>湖南</t>
  </si>
  <si>
    <t xml:space="preserve">        415.35亿</t>
  </si>
  <si>
    <t xml:space="preserve">        423.81亿</t>
  </si>
  <si>
    <t xml:space="preserve">        297.84亿</t>
  </si>
  <si>
    <t>10.40万</t>
  </si>
  <si>
    <t>0.440㈢</t>
  </si>
  <si>
    <t xml:space="preserve">   9.19㈢</t>
  </si>
  <si>
    <t>常山北明</t>
  </si>
  <si>
    <t>软件服务</t>
  </si>
  <si>
    <t>河北</t>
  </si>
  <si>
    <t xml:space="preserve">        103.93亿</t>
  </si>
  <si>
    <t xml:space="preserve">        105.83亿</t>
  </si>
  <si>
    <t xml:space="preserve">         51.39亿</t>
  </si>
  <si>
    <t>7.66万</t>
  </si>
  <si>
    <t>0.026㈢</t>
  </si>
  <si>
    <t xml:space="preserve">   0.70㈢</t>
  </si>
  <si>
    <t>国际实业</t>
  </si>
  <si>
    <t>新疆</t>
  </si>
  <si>
    <t xml:space="preserve">         27.69亿</t>
  </si>
  <si>
    <t xml:space="preserve">         20.03亿</t>
  </si>
  <si>
    <t>2.36万</t>
  </si>
  <si>
    <t>-0.023㈢</t>
  </si>
  <si>
    <t xml:space="preserve">  -0.53㈢</t>
  </si>
  <si>
    <t>申万宏源</t>
  </si>
  <si>
    <t>证券</t>
  </si>
  <si>
    <t xml:space="preserve">       1113.20亿</t>
  </si>
  <si>
    <t xml:space="preserve">       1113.28亿</t>
  </si>
  <si>
    <t xml:space="preserve">        480.22亿</t>
  </si>
  <si>
    <t>15.86万</t>
  </si>
  <si>
    <t xml:space="preserve">   5.80㈢</t>
  </si>
  <si>
    <t>东方盛虹</t>
  </si>
  <si>
    <t>化纤</t>
  </si>
  <si>
    <t xml:space="preserve">         62.37亿</t>
  </si>
  <si>
    <t xml:space="preserve">        206.29亿</t>
  </si>
  <si>
    <t xml:space="preserve">         45.84亿</t>
  </si>
  <si>
    <t>6.06万</t>
  </si>
  <si>
    <t>0.295㈢</t>
  </si>
  <si>
    <t xml:space="preserve">   8.83㈢</t>
  </si>
  <si>
    <t>美的集团</t>
  </si>
  <si>
    <t xml:space="preserve">       3890.64亿</t>
  </si>
  <si>
    <t xml:space="preserve">       3969.05亿</t>
  </si>
  <si>
    <t xml:space="preserve">       2625.35亿</t>
  </si>
  <si>
    <t>130.69万</t>
  </si>
  <si>
    <t>3.200㈢</t>
  </si>
  <si>
    <t xml:space="preserve">  21.70㈢</t>
  </si>
  <si>
    <t>潍柴动力</t>
  </si>
  <si>
    <t>山东</t>
  </si>
  <si>
    <t xml:space="preserve">        652.04亿</t>
  </si>
  <si>
    <t xml:space="preserve">        920.19亿</t>
  </si>
  <si>
    <t xml:space="preserve">        642.79亿</t>
  </si>
  <si>
    <t>35.53万</t>
  </si>
  <si>
    <t>0.890㈢</t>
  </si>
  <si>
    <t>许继电气</t>
  </si>
  <si>
    <t>河南</t>
  </si>
  <si>
    <t xml:space="preserve">        106.67亿</t>
  </si>
  <si>
    <t xml:space="preserve">        106.68亿</t>
  </si>
  <si>
    <t xml:space="preserve">         62.63亿</t>
  </si>
  <si>
    <t>9.58万</t>
  </si>
  <si>
    <t>0.264㈢</t>
  </si>
  <si>
    <t xml:space="preserve">   3.34㈢</t>
  </si>
  <si>
    <t>冀东水泥</t>
  </si>
  <si>
    <t>水泥</t>
  </si>
  <si>
    <t xml:space="preserve">        214.61亿</t>
  </si>
  <si>
    <t xml:space="preserve">        214.66亿</t>
  </si>
  <si>
    <t xml:space="preserve">        135.19亿</t>
  </si>
  <si>
    <t>13.28万</t>
  </si>
  <si>
    <t>1.720㈢</t>
  </si>
  <si>
    <t xml:space="preserve">  15.64㈢</t>
  </si>
  <si>
    <t>金 融 街</t>
  </si>
  <si>
    <t xml:space="preserve">        239.31亿</t>
  </si>
  <si>
    <t xml:space="preserve">        239.41亿</t>
  </si>
  <si>
    <t xml:space="preserve">         81.42亿</t>
  </si>
  <si>
    <t>10.77万</t>
  </si>
  <si>
    <t>0.460㈢</t>
  </si>
  <si>
    <t xml:space="preserve">   4.24㈢</t>
  </si>
  <si>
    <t>双林生物</t>
  </si>
  <si>
    <t>山西</t>
  </si>
  <si>
    <t xml:space="preserve">         83.43亿</t>
  </si>
  <si>
    <t xml:space="preserve">         83.79亿</t>
  </si>
  <si>
    <t xml:space="preserve">         38.36亿</t>
  </si>
  <si>
    <t>39.99万</t>
  </si>
  <si>
    <t xml:space="preserve">  16.64㈢</t>
  </si>
  <si>
    <t>长虹华意</t>
  </si>
  <si>
    <t>专用机械</t>
  </si>
  <si>
    <t>江西</t>
  </si>
  <si>
    <t xml:space="preserve">         27.02亿</t>
  </si>
  <si>
    <t xml:space="preserve">         27.07亿</t>
  </si>
  <si>
    <t xml:space="preserve">         17.62亿</t>
  </si>
  <si>
    <t>0.088㈢</t>
  </si>
  <si>
    <t xml:space="preserve">   1.88㈢</t>
  </si>
  <si>
    <t>胜利股份</t>
  </si>
  <si>
    <t>供气供热</t>
  </si>
  <si>
    <t xml:space="preserve">         30.74亿</t>
  </si>
  <si>
    <t xml:space="preserve">         30.89亿</t>
  </si>
  <si>
    <t xml:space="preserve">         23.06亿</t>
  </si>
  <si>
    <t>4.57万</t>
  </si>
  <si>
    <t xml:space="preserve">   4.81㈢</t>
  </si>
  <si>
    <t>藏格控股</t>
  </si>
  <si>
    <t>农药化肥</t>
  </si>
  <si>
    <t>青海</t>
  </si>
  <si>
    <t xml:space="preserve">         34.56亿</t>
  </si>
  <si>
    <t xml:space="preserve">        145.55亿</t>
  </si>
  <si>
    <t>12.79万</t>
  </si>
  <si>
    <t>0.190㈢</t>
  </si>
  <si>
    <t xml:space="preserve">   4.51㈢</t>
  </si>
  <si>
    <t>ST地矿</t>
  </si>
  <si>
    <t xml:space="preserve">         20.04亿</t>
  </si>
  <si>
    <t xml:space="preserve">         25.24亿</t>
  </si>
  <si>
    <t xml:space="preserve">         16.79亿</t>
  </si>
  <si>
    <t>5.06万</t>
  </si>
  <si>
    <t>-0.500㈢</t>
  </si>
  <si>
    <t xml:space="preserve"> -35.02㈢</t>
  </si>
  <si>
    <t>*ST沈机</t>
  </si>
  <si>
    <t>机床制造</t>
  </si>
  <si>
    <t xml:space="preserve">        115.65亿</t>
  </si>
  <si>
    <t xml:space="preserve">        115.86亿</t>
  </si>
  <si>
    <t xml:space="preserve">         65.03亿</t>
  </si>
  <si>
    <t>6.52万</t>
  </si>
  <si>
    <t>-1.517㈢</t>
  </si>
  <si>
    <t>英特集团</t>
  </si>
  <si>
    <t xml:space="preserve">         24.80亿</t>
  </si>
  <si>
    <t xml:space="preserve">         29.77亿</t>
  </si>
  <si>
    <t xml:space="preserve">         11.24亿</t>
  </si>
  <si>
    <t>9.95万</t>
  </si>
  <si>
    <t>0.570㈢</t>
  </si>
  <si>
    <t xml:space="preserve">   8.28㈢</t>
  </si>
  <si>
    <t>东旭光电</t>
  </si>
  <si>
    <t xml:space="preserve">        171.22亿</t>
  </si>
  <si>
    <t xml:space="preserve">        201.70亿</t>
  </si>
  <si>
    <t xml:space="preserve">        139.70亿</t>
  </si>
  <si>
    <t>0.198㈢</t>
  </si>
  <si>
    <t xml:space="preserve">   3.41㈢</t>
  </si>
  <si>
    <t>渤海租赁</t>
  </si>
  <si>
    <t>多元金融</t>
  </si>
  <si>
    <t xml:space="preserve">        131.61亿</t>
  </si>
  <si>
    <t xml:space="preserve">        229.45亿</t>
  </si>
  <si>
    <t xml:space="preserve">         67.87亿</t>
  </si>
  <si>
    <t>0.336㈢</t>
  </si>
  <si>
    <t xml:space="preserve">   5.41㈢</t>
  </si>
  <si>
    <t>民生控股</t>
  </si>
  <si>
    <t xml:space="preserve">         29.51亿</t>
  </si>
  <si>
    <t xml:space="preserve">         29.52亿</t>
  </si>
  <si>
    <t xml:space="preserve">         22.85亿</t>
  </si>
  <si>
    <t>5.56万</t>
  </si>
  <si>
    <t>0.056㈢</t>
  </si>
  <si>
    <t xml:space="preserve">   3.35㈢</t>
  </si>
  <si>
    <t>合肥百货</t>
  </si>
  <si>
    <t>百货</t>
  </si>
  <si>
    <t xml:space="preserve">         38.80亿</t>
  </si>
  <si>
    <t xml:space="preserve">         38.84亿</t>
  </si>
  <si>
    <t xml:space="preserve">         24.04亿</t>
  </si>
  <si>
    <t>8.28万</t>
  </si>
  <si>
    <t>0.206㈢</t>
  </si>
  <si>
    <t xml:space="preserve">   4.00㈢</t>
  </si>
  <si>
    <t>通程控股</t>
  </si>
  <si>
    <t xml:space="preserve">         24.56亿</t>
  </si>
  <si>
    <t xml:space="preserve">         24.57亿</t>
  </si>
  <si>
    <t xml:space="preserve">         13.66亿</t>
  </si>
  <si>
    <t>5.34万</t>
  </si>
  <si>
    <t>0.255㈢</t>
  </si>
  <si>
    <t xml:space="preserve">   4.90㈢</t>
  </si>
  <si>
    <t>吉林化纤</t>
  </si>
  <si>
    <t xml:space="preserve">         39.60亿</t>
  </si>
  <si>
    <t xml:space="preserve">         42.17亿</t>
  </si>
  <si>
    <t xml:space="preserve">         21.59亿</t>
  </si>
  <si>
    <t>3.51万</t>
  </si>
  <si>
    <t>0.041㈢</t>
  </si>
  <si>
    <t xml:space="preserve">   2.72㈢</t>
  </si>
  <si>
    <t>南京公用</t>
  </si>
  <si>
    <t xml:space="preserve">         25.60亿</t>
  </si>
  <si>
    <t xml:space="preserve">         11.71亿</t>
  </si>
  <si>
    <t>4.28万</t>
  </si>
  <si>
    <t>0.152㈢</t>
  </si>
  <si>
    <t xml:space="preserve">   3.37㈢</t>
  </si>
  <si>
    <t>ST宜化</t>
  </si>
  <si>
    <t>湖北</t>
  </si>
  <si>
    <t xml:space="preserve">         25.95亿</t>
  </si>
  <si>
    <t xml:space="preserve">         18.92亿</t>
  </si>
  <si>
    <t>3.52万</t>
  </si>
  <si>
    <t>0.040㈢</t>
  </si>
  <si>
    <t xml:space="preserve">  10.09㈢</t>
  </si>
  <si>
    <t>东阿阿胶</t>
  </si>
  <si>
    <t>中成药</t>
  </si>
  <si>
    <t xml:space="preserve">        228.20亿</t>
  </si>
  <si>
    <t xml:space="preserve">        228.25亿</t>
  </si>
  <si>
    <t xml:space="preserve">        155.16亿</t>
  </si>
  <si>
    <t>15.38万</t>
  </si>
  <si>
    <t>0.319㈢</t>
  </si>
  <si>
    <t xml:space="preserve">   1.97㈢</t>
  </si>
  <si>
    <t>徐工机械</t>
  </si>
  <si>
    <t xml:space="preserve">        380.53亿</t>
  </si>
  <si>
    <t xml:space="preserve">        426.15亿</t>
  </si>
  <si>
    <t xml:space="preserve">        218.30亿</t>
  </si>
  <si>
    <t>10.50万</t>
  </si>
  <si>
    <t>0.360㈢</t>
  </si>
  <si>
    <t xml:space="preserve">   9.28㈢</t>
  </si>
  <si>
    <t>兴业矿业</t>
  </si>
  <si>
    <t>内蒙</t>
  </si>
  <si>
    <t xml:space="preserve">         73.49亿</t>
  </si>
  <si>
    <t xml:space="preserve">         92.41亿</t>
  </si>
  <si>
    <t xml:space="preserve">         32.73亿</t>
  </si>
  <si>
    <t>7.45万</t>
  </si>
  <si>
    <t xml:space="preserve">  -1.99㈢</t>
  </si>
  <si>
    <t>华天酒店</t>
  </si>
  <si>
    <t xml:space="preserve">         26.59亿</t>
  </si>
  <si>
    <t xml:space="preserve">         10.86亿</t>
  </si>
  <si>
    <t>3.48万</t>
  </si>
  <si>
    <t>-0.179㈢</t>
  </si>
  <si>
    <t xml:space="preserve">  -7.75㈢</t>
  </si>
  <si>
    <t>粤高速Ａ</t>
  </si>
  <si>
    <t>路桥</t>
  </si>
  <si>
    <t xml:space="preserve">        104.35亿</t>
  </si>
  <si>
    <t xml:space="preserve">        167.47亿</t>
  </si>
  <si>
    <t xml:space="preserve">         39.83亿</t>
  </si>
  <si>
    <t>12.09万</t>
  </si>
  <si>
    <t>0.530㈢</t>
  </si>
  <si>
    <t xml:space="preserve">  11.55㈢</t>
  </si>
  <si>
    <t>张家界</t>
  </si>
  <si>
    <t xml:space="preserve">         17.15亿</t>
  </si>
  <si>
    <t xml:space="preserve">         20.93亿</t>
  </si>
  <si>
    <t xml:space="preserve">         13.54亿</t>
  </si>
  <si>
    <t>5.14万</t>
  </si>
  <si>
    <t>0.098㈢</t>
  </si>
  <si>
    <t xml:space="preserve">   2.46㈢</t>
  </si>
  <si>
    <t>晨鸣纸业</t>
  </si>
  <si>
    <t>造纸</t>
  </si>
  <si>
    <t xml:space="preserve">         81.83亿</t>
  </si>
  <si>
    <t xml:space="preserve">        117.39亿</t>
  </si>
  <si>
    <t xml:space="preserve">         59.83亿</t>
  </si>
  <si>
    <t>7.41万</t>
  </si>
  <si>
    <t>0.150㈢</t>
  </si>
  <si>
    <t xml:space="preserve">   4.36㈢</t>
  </si>
  <si>
    <t>山东路桥</t>
  </si>
  <si>
    <t xml:space="preserve">         51.64亿</t>
  </si>
  <si>
    <t xml:space="preserve">         18.90亿</t>
  </si>
  <si>
    <t>3.68万</t>
  </si>
  <si>
    <t xml:space="preserve">   7.09㈢</t>
  </si>
  <si>
    <t>鄂武商Ａ</t>
  </si>
  <si>
    <t xml:space="preserve">        102.50亿</t>
  </si>
  <si>
    <t xml:space="preserve">        102.66亿</t>
  </si>
  <si>
    <t xml:space="preserve">         58.39亿</t>
  </si>
  <si>
    <t>25.25万</t>
  </si>
  <si>
    <t>1.070㈢</t>
  </si>
  <si>
    <t xml:space="preserve">   9.04㈢</t>
  </si>
  <si>
    <t>绿景控股</t>
  </si>
  <si>
    <t xml:space="preserve">         13.35亿</t>
  </si>
  <si>
    <t xml:space="preserve">         13.45亿</t>
  </si>
  <si>
    <t xml:space="preserve">         10.30亿</t>
  </si>
  <si>
    <t>5.65万</t>
  </si>
  <si>
    <t>-0.010㈢</t>
  </si>
  <si>
    <t xml:space="preserve">  -0.88㈢</t>
  </si>
  <si>
    <t>国新健康</t>
  </si>
  <si>
    <t>海南</t>
  </si>
  <si>
    <t xml:space="preserve">        156.57亿</t>
  </si>
  <si>
    <t xml:space="preserve">        115.52亿</t>
  </si>
  <si>
    <t>20.18万</t>
  </si>
  <si>
    <t>-0.163㈢</t>
  </si>
  <si>
    <t xml:space="preserve"> -13.79㈢</t>
  </si>
  <si>
    <t>*ST生物</t>
  </si>
  <si>
    <t xml:space="preserve">         25.66亿</t>
  </si>
  <si>
    <t xml:space="preserve">         25.74亿</t>
  </si>
  <si>
    <t>10.86万</t>
  </si>
  <si>
    <t>-0.064㈢</t>
  </si>
  <si>
    <t>京粮控股</t>
  </si>
  <si>
    <t>食品</t>
  </si>
  <si>
    <t xml:space="preserve">         22.13亿</t>
  </si>
  <si>
    <t xml:space="preserve">         37.38亿</t>
  </si>
  <si>
    <t xml:space="preserve">         15.40亿</t>
  </si>
  <si>
    <t>4.90万</t>
  </si>
  <si>
    <t>0.124㈢</t>
  </si>
  <si>
    <t xml:space="preserve">   3.62㈢</t>
  </si>
  <si>
    <t>中润资源</t>
  </si>
  <si>
    <t>黄金</t>
  </si>
  <si>
    <t xml:space="preserve">         26.75亿</t>
  </si>
  <si>
    <t xml:space="preserve">         26.76亿</t>
  </si>
  <si>
    <t xml:space="preserve">         16.82亿</t>
  </si>
  <si>
    <t>2.95万</t>
  </si>
  <si>
    <t>-0.018㈢</t>
  </si>
  <si>
    <t xml:space="preserve">  -1.58㈢</t>
  </si>
  <si>
    <t>珠海港</t>
  </si>
  <si>
    <t xml:space="preserve">         47.41亿</t>
  </si>
  <si>
    <t xml:space="preserve">         57.13亿</t>
  </si>
  <si>
    <t xml:space="preserve">         34.89亿</t>
  </si>
  <si>
    <t>3.37万</t>
  </si>
  <si>
    <t xml:space="preserve">   2.77㈢</t>
  </si>
  <si>
    <t>华塑控股</t>
  </si>
  <si>
    <t xml:space="preserve">         20.06亿</t>
  </si>
  <si>
    <t xml:space="preserve">         15.22亿</t>
  </si>
  <si>
    <t>2.77万</t>
  </si>
  <si>
    <t>0.010㈢</t>
  </si>
  <si>
    <t xml:space="preserve">  19.31㈢</t>
  </si>
  <si>
    <t>新金路</t>
  </si>
  <si>
    <t>化工原料</t>
  </si>
  <si>
    <t xml:space="preserve">         23.19亿</t>
  </si>
  <si>
    <t xml:space="preserve">         25.71亿</t>
  </si>
  <si>
    <t xml:space="preserve">         20.28亿</t>
  </si>
  <si>
    <t>3.95万</t>
  </si>
  <si>
    <t>0.077㈢</t>
  </si>
  <si>
    <t xml:space="preserve">   4.76㈢</t>
  </si>
  <si>
    <t>丽珠集团</t>
  </si>
  <si>
    <t xml:space="preserve">        193.72亿</t>
  </si>
  <si>
    <t xml:space="preserve">        200.21亿</t>
  </si>
  <si>
    <t xml:space="preserve">        116.16亿</t>
  </si>
  <si>
    <t>23.03万</t>
  </si>
  <si>
    <t>1.112㈢</t>
  </si>
  <si>
    <t xml:space="preserve">   9.57㈢</t>
  </si>
  <si>
    <t>渝 开 发</t>
  </si>
  <si>
    <t>重庆</t>
  </si>
  <si>
    <t xml:space="preserve">         34.51亿</t>
  </si>
  <si>
    <t xml:space="preserve">         12.70亿</t>
  </si>
  <si>
    <t>2.24万</t>
  </si>
  <si>
    <t>0.013㈢</t>
  </si>
  <si>
    <t xml:space="preserve">   0.37㈢</t>
  </si>
  <si>
    <t>国际医学</t>
  </si>
  <si>
    <t>陕西</t>
  </si>
  <si>
    <t xml:space="preserve">         87.77亿</t>
  </si>
  <si>
    <t xml:space="preserve">         89.68亿</t>
  </si>
  <si>
    <t xml:space="preserve">         64.04亿</t>
  </si>
  <si>
    <t xml:space="preserve">  -0.38㈢</t>
  </si>
  <si>
    <t>荣安地产</t>
  </si>
  <si>
    <t xml:space="preserve">         81.66亿</t>
  </si>
  <si>
    <t xml:space="preserve">         85.65亿</t>
  </si>
  <si>
    <t xml:space="preserve">         29.86亿</t>
  </si>
  <si>
    <t>5.48万</t>
  </si>
  <si>
    <t>0.204㈢</t>
  </si>
  <si>
    <t xml:space="preserve">  11.83㈢</t>
  </si>
  <si>
    <t>四环生物</t>
  </si>
  <si>
    <t xml:space="preserve">         33.97亿</t>
  </si>
  <si>
    <t xml:space="preserve">         33.98亿</t>
  </si>
  <si>
    <t xml:space="preserve">         26.29亿</t>
  </si>
  <si>
    <t>3.06万</t>
  </si>
  <si>
    <t>0.009㈢</t>
  </si>
  <si>
    <t xml:space="preserve">   1.56㈢</t>
  </si>
  <si>
    <t>中兵红箭</t>
  </si>
  <si>
    <t>矿物制品</t>
  </si>
  <si>
    <t xml:space="preserve">         72.00亿</t>
  </si>
  <si>
    <t xml:space="preserve">        107.51亿</t>
  </si>
  <si>
    <t xml:space="preserve">         55.55亿</t>
  </si>
  <si>
    <t>5.55万</t>
  </si>
  <si>
    <t xml:space="preserve">   3.51㈢</t>
  </si>
  <si>
    <t>长航凤凰</t>
  </si>
  <si>
    <t>水运</t>
  </si>
  <si>
    <t xml:space="preserve">         42.51亿</t>
  </si>
  <si>
    <t xml:space="preserve">         30.48亿</t>
  </si>
  <si>
    <t>3.25万</t>
  </si>
  <si>
    <t>0.029㈢</t>
  </si>
  <si>
    <t xml:space="preserve">   7.27㈢</t>
  </si>
  <si>
    <t>长虹美菱</t>
  </si>
  <si>
    <t xml:space="preserve">         29.30亿</t>
  </si>
  <si>
    <t xml:space="preserve">         35.10亿</t>
  </si>
  <si>
    <t xml:space="preserve">         20.95亿</t>
  </si>
  <si>
    <t>4.10万</t>
  </si>
  <si>
    <t xml:space="preserve">   1.61㈢</t>
  </si>
  <si>
    <t>广州浪奇</t>
  </si>
  <si>
    <t>日用化工</t>
  </si>
  <si>
    <t xml:space="preserve">         45.64亿</t>
  </si>
  <si>
    <t xml:space="preserve">         45.68亿</t>
  </si>
  <si>
    <t xml:space="preserve">         24.96亿</t>
  </si>
  <si>
    <t>7.29万</t>
  </si>
  <si>
    <t>0.035㈢</t>
  </si>
  <si>
    <t xml:space="preserve">   1.13㈢</t>
  </si>
  <si>
    <t>岭南控股</t>
  </si>
  <si>
    <t xml:space="preserve">         20.15亿</t>
  </si>
  <si>
    <t xml:space="preserve">         49.60亿</t>
  </si>
  <si>
    <t xml:space="preserve">          9.58亿</t>
  </si>
  <si>
    <t>3.86万</t>
  </si>
  <si>
    <t>0.355㈢</t>
  </si>
  <si>
    <t xml:space="preserve">   9.00㈢</t>
  </si>
  <si>
    <t>红 太 阳</t>
  </si>
  <si>
    <t xml:space="preserve">         54.28亿</t>
  </si>
  <si>
    <t xml:space="preserve">         54.88亿</t>
  </si>
  <si>
    <t xml:space="preserve">         23.58亿</t>
  </si>
  <si>
    <t>9.37万</t>
  </si>
  <si>
    <t>0.501㈢</t>
  </si>
  <si>
    <t xml:space="preserve">   6.01㈢</t>
  </si>
  <si>
    <t>紫光学大</t>
  </si>
  <si>
    <t>福建</t>
  </si>
  <si>
    <t xml:space="preserve">         30.01亿</t>
  </si>
  <si>
    <t xml:space="preserve">         19.00亿</t>
  </si>
  <si>
    <t>18.67万</t>
  </si>
  <si>
    <t>0.665㈢</t>
  </si>
  <si>
    <t xml:space="preserve">  44.26㈢</t>
  </si>
  <si>
    <t>柳 工</t>
  </si>
  <si>
    <t>广西</t>
  </si>
  <si>
    <t xml:space="preserve">         98.73亿</t>
  </si>
  <si>
    <t xml:space="preserve">         99.62亿</t>
  </si>
  <si>
    <t xml:space="preserve">         64.19亿</t>
  </si>
  <si>
    <t>0.600㈢</t>
  </si>
  <si>
    <t xml:space="preserve">   8.70㈢</t>
  </si>
  <si>
    <t>广弘控股</t>
  </si>
  <si>
    <t xml:space="preserve">         37.90亿</t>
  </si>
  <si>
    <t xml:space="preserve">         38.82亿</t>
  </si>
  <si>
    <t xml:space="preserve">         17.24亿</t>
  </si>
  <si>
    <t>4.04万</t>
  </si>
  <si>
    <t>0.246㈢</t>
  </si>
  <si>
    <t xml:space="preserve">   8.99㈢</t>
  </si>
  <si>
    <t>大冷股份</t>
  </si>
  <si>
    <t>机械基件</t>
  </si>
  <si>
    <t xml:space="preserve">         23.01亿</t>
  </si>
  <si>
    <t xml:space="preserve">         32.46亿</t>
  </si>
  <si>
    <t xml:space="preserve">         16.43亿</t>
  </si>
  <si>
    <t>4.95万</t>
  </si>
  <si>
    <t xml:space="preserve">   3.06㈢</t>
  </si>
  <si>
    <t>穗恒运Ａ</t>
  </si>
  <si>
    <t xml:space="preserve">         46.52亿</t>
  </si>
  <si>
    <t xml:space="preserve">         19.57亿</t>
  </si>
  <si>
    <t>6.09万</t>
  </si>
  <si>
    <t xml:space="preserve">   8.58㈢</t>
  </si>
  <si>
    <t>华金资本</t>
  </si>
  <si>
    <t xml:space="preserve">         40.60亿</t>
  </si>
  <si>
    <t xml:space="preserve">         40.74亿</t>
  </si>
  <si>
    <t xml:space="preserve">         20.56亿</t>
  </si>
  <si>
    <t>5.87万</t>
  </si>
  <si>
    <t>0.073㈢</t>
  </si>
  <si>
    <t xml:space="preserve">   3.11㈢</t>
  </si>
  <si>
    <t>顺钠股份</t>
  </si>
  <si>
    <t xml:space="preserve">         19.07亿</t>
  </si>
  <si>
    <t xml:space="preserve">         11.52亿</t>
  </si>
  <si>
    <t>2.50万</t>
  </si>
  <si>
    <t>0.002㈢</t>
  </si>
  <si>
    <t xml:space="preserve">   0.21㈢</t>
  </si>
  <si>
    <t>万泽股份</t>
  </si>
  <si>
    <t xml:space="preserve">         44.72亿</t>
  </si>
  <si>
    <t xml:space="preserve">         44.75亿</t>
  </si>
  <si>
    <t xml:space="preserve">         21.32亿</t>
  </si>
  <si>
    <t>12.80万</t>
  </si>
  <si>
    <t>0.165㈢</t>
  </si>
  <si>
    <t xml:space="preserve">   7.84㈢</t>
  </si>
  <si>
    <t>华映科技</t>
  </si>
  <si>
    <t xml:space="preserve">         76.54亿</t>
  </si>
  <si>
    <t xml:space="preserve">         76.62亿</t>
  </si>
  <si>
    <t xml:space="preserve">         35.29亿</t>
  </si>
  <si>
    <t>3.91万</t>
  </si>
  <si>
    <t>-0.540㈢</t>
  </si>
  <si>
    <t xml:space="preserve"> -24.99㈢</t>
  </si>
  <si>
    <t>广宇发展</t>
  </si>
  <si>
    <t>天津</t>
  </si>
  <si>
    <t xml:space="preserve">         39.79亿</t>
  </si>
  <si>
    <t xml:space="preserve">        144.53亿</t>
  </si>
  <si>
    <t xml:space="preserve">         31.50亿</t>
  </si>
  <si>
    <t>9.13万</t>
  </si>
  <si>
    <t>1.321㈢</t>
  </si>
  <si>
    <t xml:space="preserve">  19.07㈢</t>
  </si>
  <si>
    <t>云南白药</t>
  </si>
  <si>
    <t>云南</t>
  </si>
  <si>
    <t xml:space="preserve">        533.82亿</t>
  </si>
  <si>
    <t xml:space="preserve">       1119.77亿</t>
  </si>
  <si>
    <t>70.63万</t>
  </si>
  <si>
    <t>2.773㈢</t>
  </si>
  <si>
    <t xml:space="preserve">   9.47㈢</t>
  </si>
  <si>
    <t>粤电力Ａ</t>
  </si>
  <si>
    <t xml:space="preserve">        102.67亿</t>
  </si>
  <si>
    <t xml:space="preserve">        211.06亿</t>
  </si>
  <si>
    <t xml:space="preserve">         32.76亿</t>
  </si>
  <si>
    <t>6.76万</t>
  </si>
  <si>
    <t xml:space="preserve">   5.29㈢</t>
  </si>
  <si>
    <t>中天金融</t>
  </si>
  <si>
    <t>贵州</t>
  </si>
  <si>
    <t xml:space="preserve">        231.67亿</t>
  </si>
  <si>
    <t xml:space="preserve">        233.27亿</t>
  </si>
  <si>
    <t xml:space="preserve">        123.98亿</t>
  </si>
  <si>
    <t>5.93万</t>
  </si>
  <si>
    <t>0.214㈢</t>
  </si>
  <si>
    <t xml:space="preserve">   8.30㈢</t>
  </si>
  <si>
    <t>佛山照明</t>
  </si>
  <si>
    <t xml:space="preserve">         52.21亿</t>
  </si>
  <si>
    <t xml:space="preserve">         68.15亿</t>
  </si>
  <si>
    <t xml:space="preserve">         29.15亿</t>
  </si>
  <si>
    <t>5.26万</t>
  </si>
  <si>
    <t xml:space="preserve">   5.28㈢</t>
  </si>
  <si>
    <t>皖能电力</t>
  </si>
  <si>
    <t xml:space="preserve">         82.18亿</t>
  </si>
  <si>
    <t xml:space="preserve">        104.05亿</t>
  </si>
  <si>
    <t xml:space="preserve">         45.01亿</t>
  </si>
  <si>
    <t>7.53万</t>
  </si>
  <si>
    <t>0.370㈢</t>
  </si>
  <si>
    <t>中原环保</t>
  </si>
  <si>
    <t xml:space="preserve">         60.24亿</t>
  </si>
  <si>
    <t xml:space="preserve">         18.84亿</t>
  </si>
  <si>
    <t>5.04万</t>
  </si>
  <si>
    <t>0.263㈢</t>
  </si>
  <si>
    <t xml:space="preserve">   4.44㈢</t>
  </si>
  <si>
    <t>金浦钛业</t>
  </si>
  <si>
    <t xml:space="preserve">         28.78亿</t>
  </si>
  <si>
    <t xml:space="preserve">         29.60亿</t>
  </si>
  <si>
    <t xml:space="preserve">         18.52亿</t>
  </si>
  <si>
    <t>2.67万</t>
  </si>
  <si>
    <t xml:space="preserve">   2.49㈢</t>
  </si>
  <si>
    <t>金圆股份</t>
  </si>
  <si>
    <t xml:space="preserve">         68.20亿</t>
  </si>
  <si>
    <t xml:space="preserve">         72.97亿</t>
  </si>
  <si>
    <t xml:space="preserve">         42.88亿</t>
  </si>
  <si>
    <t>29.97万</t>
  </si>
  <si>
    <t>0.563㈢</t>
  </si>
  <si>
    <t xml:space="preserve">   9.93㈢</t>
  </si>
  <si>
    <t>航天发展</t>
  </si>
  <si>
    <t xml:space="preserve">        113.05亿</t>
  </si>
  <si>
    <t xml:space="preserve">        164.74亿</t>
  </si>
  <si>
    <t xml:space="preserve">        103.85亿</t>
  </si>
  <si>
    <t>10.59万</t>
  </si>
  <si>
    <t>0.192㈢</t>
  </si>
  <si>
    <t xml:space="preserve">   4.13㈢</t>
  </si>
  <si>
    <t>湖南投资</t>
  </si>
  <si>
    <t xml:space="preserve">         20.67亿</t>
  </si>
  <si>
    <t xml:space="preserve">         13.99亿</t>
  </si>
  <si>
    <t>2.29万</t>
  </si>
  <si>
    <t>0.081㈢</t>
  </si>
  <si>
    <t xml:space="preserve">   2.40㈢</t>
  </si>
  <si>
    <t>江铃汽车</t>
  </si>
  <si>
    <t>汽车整车</t>
  </si>
  <si>
    <t xml:space="preserve">         71.44亿</t>
  </si>
  <si>
    <t xml:space="preserve">        118.95亿</t>
  </si>
  <si>
    <t xml:space="preserve">         22.64亿</t>
  </si>
  <si>
    <t>29.54万</t>
  </si>
  <si>
    <t>0.183㈢</t>
  </si>
  <si>
    <t xml:space="preserve">   1.50㈢</t>
  </si>
  <si>
    <t>创元科技</t>
  </si>
  <si>
    <t xml:space="preserve">         26.33亿</t>
  </si>
  <si>
    <t xml:space="preserve">         15.59亿</t>
  </si>
  <si>
    <t>6.05万</t>
  </si>
  <si>
    <t>0.210㈢</t>
  </si>
  <si>
    <t>靖远煤电</t>
  </si>
  <si>
    <t>煤炭开采</t>
  </si>
  <si>
    <t>甘肃</t>
  </si>
  <si>
    <t xml:space="preserve">         57.78亿</t>
  </si>
  <si>
    <t xml:space="preserve">         57.86亿</t>
  </si>
  <si>
    <t xml:space="preserve">         28.65亿</t>
  </si>
  <si>
    <t>6.39万</t>
  </si>
  <si>
    <t>0.168㈢</t>
  </si>
  <si>
    <t xml:space="preserve">   5.04㈢</t>
  </si>
  <si>
    <t>安道麦A</t>
  </si>
  <si>
    <t xml:space="preserve">         45.46亿</t>
  </si>
  <si>
    <t xml:space="preserve">        237.32亿</t>
  </si>
  <si>
    <t xml:space="preserve">         33.85亿</t>
  </si>
  <si>
    <t>10.25万</t>
  </si>
  <si>
    <t>0.325㈢</t>
  </si>
  <si>
    <t xml:space="preserve">   3.42㈢</t>
  </si>
  <si>
    <t>泰山石油</t>
  </si>
  <si>
    <t xml:space="preserve">         23.37亿</t>
  </si>
  <si>
    <t xml:space="preserve">   0.18㈢</t>
  </si>
  <si>
    <t>神州信息</t>
  </si>
  <si>
    <t xml:space="preserve">        131.56亿</t>
  </si>
  <si>
    <t xml:space="preserve">        135.66亿</t>
  </si>
  <si>
    <t xml:space="preserve">         53.83亿</t>
  </si>
  <si>
    <t>8.54万</t>
  </si>
  <si>
    <t xml:space="preserve">   3.78㈢</t>
  </si>
  <si>
    <t>西部创业</t>
  </si>
  <si>
    <t>铁路</t>
  </si>
  <si>
    <t>宁夏</t>
  </si>
  <si>
    <t xml:space="preserve">         49.28亿</t>
  </si>
  <si>
    <t xml:space="preserve">         49.29亿</t>
  </si>
  <si>
    <t xml:space="preserve">         27.00亿</t>
  </si>
  <si>
    <t>5.03万</t>
  </si>
  <si>
    <t xml:space="preserve">   0.22㈢</t>
  </si>
  <si>
    <t>莱茵体育</t>
  </si>
  <si>
    <t xml:space="preserve">         42.16亿</t>
  </si>
  <si>
    <t xml:space="preserve">         19.43亿</t>
  </si>
  <si>
    <t>2.53万</t>
  </si>
  <si>
    <t>-0.047㈢</t>
  </si>
  <si>
    <t xml:space="preserve">  -4.98㈢</t>
  </si>
  <si>
    <t>万向钱潮</t>
  </si>
  <si>
    <t xml:space="preserve">        147.02亿</t>
  </si>
  <si>
    <t xml:space="preserve">         63.94亿</t>
  </si>
  <si>
    <t>5.95万</t>
  </si>
  <si>
    <t>0.151㈢</t>
  </si>
  <si>
    <t xml:space="preserve">   8.18㈢</t>
  </si>
  <si>
    <t>我爱我家</t>
  </si>
  <si>
    <t xml:space="preserve">         77.48亿</t>
  </si>
  <si>
    <t xml:space="preserve">        101.52亿</t>
  </si>
  <si>
    <t xml:space="preserve">         55.00亿</t>
  </si>
  <si>
    <t>18.21万</t>
  </si>
  <si>
    <t>0.272㈢</t>
  </si>
  <si>
    <t xml:space="preserve">   6.48㈢</t>
  </si>
  <si>
    <t>烽火电子</t>
  </si>
  <si>
    <t xml:space="preserve">         43.48亿</t>
  </si>
  <si>
    <t xml:space="preserve">         44.08亿</t>
  </si>
  <si>
    <t xml:space="preserve">         19.49亿</t>
  </si>
  <si>
    <t>3.87万</t>
  </si>
  <si>
    <t>0.006㈢</t>
  </si>
  <si>
    <t xml:space="preserve">   0.28㈢</t>
  </si>
  <si>
    <t>陕国投Ａ</t>
  </si>
  <si>
    <t xml:space="preserve">        170.85亿</t>
  </si>
  <si>
    <t xml:space="preserve">         74.32亿</t>
  </si>
  <si>
    <t>0.116㈢</t>
  </si>
  <si>
    <t xml:space="preserve">   4.27㈢</t>
  </si>
  <si>
    <t>供销大集</t>
  </si>
  <si>
    <t xml:space="preserve">         48.14亿</t>
  </si>
  <si>
    <t xml:space="preserve">        144.19亿</t>
  </si>
  <si>
    <t xml:space="preserve">         36.35亿</t>
  </si>
  <si>
    <t>4.83万</t>
  </si>
  <si>
    <t>-0.015㈢</t>
  </si>
  <si>
    <t xml:space="preserve">  -0.29㈢</t>
  </si>
  <si>
    <t>渝三峡Ａ</t>
  </si>
  <si>
    <t>染料涂料</t>
  </si>
  <si>
    <t xml:space="preserve">         22.37亿</t>
  </si>
  <si>
    <t xml:space="preserve">         13.30亿</t>
  </si>
  <si>
    <t>0.148㈢</t>
  </si>
  <si>
    <t xml:space="preserve">   5.66㈢</t>
  </si>
  <si>
    <t>海南海药</t>
  </si>
  <si>
    <t xml:space="preserve">         70.65亿</t>
  </si>
  <si>
    <t xml:space="preserve">         78.42亿</t>
  </si>
  <si>
    <t xml:space="preserve">         44.93亿</t>
  </si>
  <si>
    <t>9.23万</t>
  </si>
  <si>
    <t>0.092㈢</t>
  </si>
  <si>
    <t xml:space="preserve">   2.57㈢</t>
  </si>
  <si>
    <t>海德股份</t>
  </si>
  <si>
    <t xml:space="preserve">         19.47亿</t>
  </si>
  <si>
    <t xml:space="preserve">         57.32亿</t>
  </si>
  <si>
    <t xml:space="preserve">         14.04亿</t>
  </si>
  <si>
    <t>5.43万</t>
  </si>
  <si>
    <t>0.239㈢</t>
  </si>
  <si>
    <t xml:space="preserve">   3.59㈢</t>
  </si>
  <si>
    <t>泸州老窖</t>
  </si>
  <si>
    <t>白酒</t>
  </si>
  <si>
    <t xml:space="preserve">       1193.05亿</t>
  </si>
  <si>
    <t xml:space="preserve">       1196.85亿</t>
  </si>
  <si>
    <t xml:space="preserve">        582.63亿</t>
  </si>
  <si>
    <t>56.89万</t>
  </si>
  <si>
    <t>2.591㈢</t>
  </si>
  <si>
    <t xml:space="preserve">  20.45㈢</t>
  </si>
  <si>
    <t>苏常柴Ａ</t>
  </si>
  <si>
    <t xml:space="preserve">         18.64亿</t>
  </si>
  <si>
    <t xml:space="preserve">         25.43亿</t>
  </si>
  <si>
    <t>3.47万</t>
  </si>
  <si>
    <t>0.036㈢</t>
  </si>
  <si>
    <t xml:space="preserve">   0.96㈢</t>
  </si>
  <si>
    <t>*ST大洲</t>
  </si>
  <si>
    <t xml:space="preserve">         22.17亿</t>
  </si>
  <si>
    <t xml:space="preserve">         22.39亿</t>
  </si>
  <si>
    <t xml:space="preserve">         16.66亿</t>
  </si>
  <si>
    <t>2.32万</t>
  </si>
  <si>
    <t>-0.108㈢</t>
  </si>
  <si>
    <t xml:space="preserve">  -7.27㈢</t>
  </si>
  <si>
    <t>*ST 海马</t>
  </si>
  <si>
    <t xml:space="preserve">         31.37亿</t>
  </si>
  <si>
    <t xml:space="preserve">         31.41亿</t>
  </si>
  <si>
    <t xml:space="preserve">         20.54亿</t>
  </si>
  <si>
    <t>2.55万</t>
  </si>
  <si>
    <t>-0.123㈢</t>
  </si>
  <si>
    <t xml:space="preserve">  -4.31㈢</t>
  </si>
  <si>
    <t>粤宏远Ａ</t>
  </si>
  <si>
    <t xml:space="preserve">         19.06亿</t>
  </si>
  <si>
    <t xml:space="preserve">         19.66亿</t>
  </si>
  <si>
    <t xml:space="preserve">         15.19亿</t>
  </si>
  <si>
    <t>3.08万</t>
  </si>
  <si>
    <t>0.220㈢</t>
  </si>
  <si>
    <t xml:space="preserve">   7.66㈢</t>
  </si>
  <si>
    <t>广东甘化</t>
  </si>
  <si>
    <t xml:space="preserve">         33.34亿</t>
  </si>
  <si>
    <t xml:space="preserve">         34.50亿</t>
  </si>
  <si>
    <t xml:space="preserve">         19.01亿</t>
  </si>
  <si>
    <t>7.11万</t>
  </si>
  <si>
    <t>0.193㈢</t>
  </si>
  <si>
    <t xml:space="preserve">   7.68㈢</t>
  </si>
  <si>
    <t>威孚高科</t>
  </si>
  <si>
    <t xml:space="preserve">        157.59亿</t>
  </si>
  <si>
    <t xml:space="preserve">        190.09亿</t>
  </si>
  <si>
    <t xml:space="preserve">         97.43亿</t>
  </si>
  <si>
    <t>20.38万</t>
  </si>
  <si>
    <t>1.711㈢</t>
  </si>
  <si>
    <t xml:space="preserve">  10.50㈢</t>
  </si>
  <si>
    <t>北部湾港</t>
  </si>
  <si>
    <t xml:space="preserve">         50.63亿</t>
  </si>
  <si>
    <t xml:space="preserve">        138.78亿</t>
  </si>
  <si>
    <t xml:space="preserve">         42.78亿</t>
  </si>
  <si>
    <t>14.29万</t>
  </si>
  <si>
    <t>0.441㈢</t>
  </si>
  <si>
    <t xml:space="preserve">   7.52㈢</t>
  </si>
  <si>
    <t>哈工智能</t>
  </si>
  <si>
    <t xml:space="preserve">         37.33亿</t>
  </si>
  <si>
    <t xml:space="preserve">         38.27亿</t>
  </si>
  <si>
    <t xml:space="preserve">         25.89亿</t>
  </si>
  <si>
    <t>6.16万</t>
  </si>
  <si>
    <t>0.082㈢</t>
  </si>
  <si>
    <t>ST东电</t>
  </si>
  <si>
    <t xml:space="preserve">         12.25亿</t>
  </si>
  <si>
    <t xml:space="preserve">         12.37亿</t>
  </si>
  <si>
    <t xml:space="preserve">         10.61亿</t>
  </si>
  <si>
    <t>1.74万</t>
  </si>
  <si>
    <t>-0.006㈢</t>
  </si>
  <si>
    <t xml:space="preserve"> -43.36㈢</t>
  </si>
  <si>
    <t>汇源通信</t>
  </si>
  <si>
    <t xml:space="preserve">         19.75亿</t>
  </si>
  <si>
    <t xml:space="preserve">         12.75亿</t>
  </si>
  <si>
    <t>4.51万</t>
  </si>
  <si>
    <t>0.032㈢</t>
  </si>
  <si>
    <t xml:space="preserve">   2.55㈢</t>
  </si>
  <si>
    <t>金洲慈航</t>
  </si>
  <si>
    <t>黑龙江</t>
  </si>
  <si>
    <t xml:space="preserve">         22.20亿</t>
  </si>
  <si>
    <t xml:space="preserve">         38.86亿</t>
  </si>
  <si>
    <t xml:space="preserve">         15.47亿</t>
  </si>
  <si>
    <t>2.19万</t>
  </si>
  <si>
    <t>-1.007㈢</t>
  </si>
  <si>
    <t xml:space="preserve"> -48.27㈢</t>
  </si>
  <si>
    <t>贵州轮胎</t>
  </si>
  <si>
    <t xml:space="preserve">         37.22亿</t>
  </si>
  <si>
    <t>4.74万</t>
  </si>
  <si>
    <t>0.166㈢</t>
  </si>
  <si>
    <t xml:space="preserve">   3.64㈢</t>
  </si>
  <si>
    <t>启迪古汉</t>
  </si>
  <si>
    <t xml:space="preserve">         27.61亿</t>
  </si>
  <si>
    <t xml:space="preserve">         13.86亿</t>
  </si>
  <si>
    <t>6.54万</t>
  </si>
  <si>
    <t>0.072㈢</t>
  </si>
  <si>
    <t>太阳能</t>
  </si>
  <si>
    <t xml:space="preserve">         73.13亿</t>
  </si>
  <si>
    <t xml:space="preserve">        107.95亿</t>
  </si>
  <si>
    <t>12.95万</t>
  </si>
  <si>
    <t xml:space="preserve">   6.18㈢</t>
  </si>
  <si>
    <t>平潭发展</t>
  </si>
  <si>
    <t>林业</t>
  </si>
  <si>
    <t xml:space="preserve">         53.59亿</t>
  </si>
  <si>
    <t xml:space="preserve">         54.09亿</t>
  </si>
  <si>
    <t xml:space="preserve">         39.85亿</t>
  </si>
  <si>
    <t>4.17万</t>
  </si>
  <si>
    <t>0.016㈢</t>
  </si>
  <si>
    <t xml:space="preserve">   0.94㈢</t>
  </si>
  <si>
    <t>大通燃气</t>
  </si>
  <si>
    <t xml:space="preserve">         21.44亿</t>
  </si>
  <si>
    <t xml:space="preserve">         21.45亿</t>
  </si>
  <si>
    <t xml:space="preserve">         12.15亿</t>
  </si>
  <si>
    <t>3.40万</t>
  </si>
  <si>
    <t>0.064㈢</t>
  </si>
  <si>
    <t xml:space="preserve">   2.44㈢</t>
  </si>
  <si>
    <t>宝塔实业</t>
  </si>
  <si>
    <t xml:space="preserve">         24.36亿</t>
  </si>
  <si>
    <t xml:space="preserve">         24.76亿</t>
  </si>
  <si>
    <t xml:space="preserve">         11.45亿</t>
  </si>
  <si>
    <t>1.91万</t>
  </si>
  <si>
    <t>-0.130㈢</t>
  </si>
  <si>
    <t xml:space="preserve"> -16.11㈢</t>
  </si>
  <si>
    <t>古井贡酒</t>
  </si>
  <si>
    <t xml:space="preserve">        469.33亿</t>
  </si>
  <si>
    <t xml:space="preserve">        616.15亿</t>
  </si>
  <si>
    <t xml:space="preserve">        137.27亿</t>
  </si>
  <si>
    <t>121.61万</t>
  </si>
  <si>
    <t>3.458㈢</t>
  </si>
  <si>
    <t xml:space="preserve">  20.28㈢</t>
  </si>
  <si>
    <t>东北制药</t>
  </si>
  <si>
    <t xml:space="preserve">         55.41亿</t>
  </si>
  <si>
    <t xml:space="preserve">         61.34亿</t>
  </si>
  <si>
    <t xml:space="preserve">         28.24亿</t>
  </si>
  <si>
    <t>9.64万</t>
  </si>
  <si>
    <t xml:space="preserve">   4.70㈢</t>
  </si>
  <si>
    <t>兴蓉环境</t>
  </si>
  <si>
    <t>水务</t>
  </si>
  <si>
    <t xml:space="preserve">        137.07亿</t>
  </si>
  <si>
    <t xml:space="preserve">         79.25亿</t>
  </si>
  <si>
    <t>5.97万</t>
  </si>
  <si>
    <t>0.313㈢</t>
  </si>
  <si>
    <t xml:space="preserve">   8.41㈢</t>
  </si>
  <si>
    <t>青岛双星</t>
  </si>
  <si>
    <t xml:space="preserve">         36.08亿</t>
  </si>
  <si>
    <t xml:space="preserve">         38.94亿</t>
  </si>
  <si>
    <t xml:space="preserve">         24.75亿</t>
  </si>
  <si>
    <t>3.77万</t>
  </si>
  <si>
    <t xml:space="preserve">   0.78㈢</t>
  </si>
  <si>
    <t>建投能源</t>
  </si>
  <si>
    <t xml:space="preserve">         52.54亿</t>
  </si>
  <si>
    <t xml:space="preserve">         86.36亿</t>
  </si>
  <si>
    <t xml:space="preserve">         29.67亿</t>
  </si>
  <si>
    <t xml:space="preserve">   4.12㈢</t>
  </si>
  <si>
    <t>韶能股份</t>
  </si>
  <si>
    <t>水力发电</t>
  </si>
  <si>
    <t xml:space="preserve">         60.79亿</t>
  </si>
  <si>
    <t xml:space="preserve">         60.84亿</t>
  </si>
  <si>
    <t xml:space="preserve">         35.19亿</t>
  </si>
  <si>
    <t>6.04万</t>
  </si>
  <si>
    <t>0.443㈢</t>
  </si>
  <si>
    <t>盛达资源</t>
  </si>
  <si>
    <t xml:space="preserve">         85.57亿</t>
  </si>
  <si>
    <t xml:space="preserve">        100.67亿</t>
  </si>
  <si>
    <t xml:space="preserve">         45.49亿</t>
  </si>
  <si>
    <t>11.44万</t>
  </si>
  <si>
    <t>0.493㈢</t>
  </si>
  <si>
    <t xml:space="preserve">  15.78㈢</t>
  </si>
  <si>
    <t>渤海股份</t>
  </si>
  <si>
    <t xml:space="preserve">         18.62亿</t>
  </si>
  <si>
    <t xml:space="preserve">         24.05亿</t>
  </si>
  <si>
    <t xml:space="preserve">          8.18亿</t>
  </si>
  <si>
    <t>3.69万</t>
  </si>
  <si>
    <t>0.091㈢</t>
  </si>
  <si>
    <t xml:space="preserve">   1.52㈢</t>
  </si>
  <si>
    <t>顺利办</t>
  </si>
  <si>
    <t>互联网</t>
  </si>
  <si>
    <t xml:space="preserve">         38.97亿</t>
  </si>
  <si>
    <t xml:space="preserve">         42.20亿</t>
  </si>
  <si>
    <t xml:space="preserve">         26.18亿</t>
  </si>
  <si>
    <t>0.142㈢</t>
  </si>
  <si>
    <t xml:space="preserve">   3.75㈢</t>
  </si>
  <si>
    <t>华媒控股</t>
  </si>
  <si>
    <t xml:space="preserve">         42.91亿</t>
  </si>
  <si>
    <t xml:space="preserve">         49.36亿</t>
  </si>
  <si>
    <t xml:space="preserve">         18.80亿</t>
  </si>
  <si>
    <t>4.25万</t>
  </si>
  <si>
    <t>0.069㈢</t>
  </si>
  <si>
    <t xml:space="preserve">   4.09㈢</t>
  </si>
  <si>
    <t>阳光股份</t>
  </si>
  <si>
    <t xml:space="preserve">         37.86亿</t>
  </si>
  <si>
    <t xml:space="preserve">         37.87亿</t>
  </si>
  <si>
    <t xml:space="preserve">         20.10亿</t>
  </si>
  <si>
    <t>9.15万</t>
  </si>
  <si>
    <t>-0.059㈢</t>
  </si>
  <si>
    <t xml:space="preserve">  -1.52㈢</t>
  </si>
  <si>
    <t>中迪投资</t>
  </si>
  <si>
    <t xml:space="preserve">         14.16亿</t>
  </si>
  <si>
    <t xml:space="preserve">         14.51亿</t>
  </si>
  <si>
    <t xml:space="preserve">         10.05亿</t>
  </si>
  <si>
    <t>3.76万</t>
  </si>
  <si>
    <t>-0.263㈢</t>
  </si>
  <si>
    <t xml:space="preserve">  -5.48㈢</t>
  </si>
  <si>
    <t>西安旅游</t>
  </si>
  <si>
    <t>旅游服务</t>
  </si>
  <si>
    <t xml:space="preserve">         21.48亿</t>
  </si>
  <si>
    <t xml:space="preserve">         21.62亿</t>
  </si>
  <si>
    <t xml:space="preserve">         15.58亿</t>
  </si>
  <si>
    <t>2.70万</t>
  </si>
  <si>
    <t>-0.019㈢</t>
  </si>
  <si>
    <t xml:space="preserve">  -0.52㈢</t>
  </si>
  <si>
    <t>*ST天首</t>
  </si>
  <si>
    <t>纺织</t>
  </si>
  <si>
    <t xml:space="preserve">         12.68亿</t>
  </si>
  <si>
    <t xml:space="preserve">         13.41亿</t>
  </si>
  <si>
    <t xml:space="preserve">         11.09亿</t>
  </si>
  <si>
    <t>5.50万</t>
  </si>
  <si>
    <t>-0.057㈢</t>
  </si>
  <si>
    <t xml:space="preserve">  -5.02㈢</t>
  </si>
  <si>
    <t>焦作万方</t>
  </si>
  <si>
    <t>铝</t>
  </si>
  <si>
    <t xml:space="preserve">         51.14亿</t>
  </si>
  <si>
    <t xml:space="preserve">         51.26亿</t>
  </si>
  <si>
    <t xml:space="preserve">         25.84亿</t>
  </si>
  <si>
    <t>0.023㈢</t>
  </si>
  <si>
    <t xml:space="preserve">   0.64㈢</t>
  </si>
  <si>
    <t>大东海A</t>
  </si>
  <si>
    <t xml:space="preserve">         15.39亿</t>
  </si>
  <si>
    <t xml:space="preserve">         21.08亿</t>
  </si>
  <si>
    <t xml:space="preserve">         11.22亿</t>
  </si>
  <si>
    <t>4.61万</t>
  </si>
  <si>
    <t>-0.001㈢</t>
  </si>
  <si>
    <t>京汉股份</t>
  </si>
  <si>
    <t xml:space="preserve">         33.20亿</t>
  </si>
  <si>
    <t xml:space="preserve">         34.66亿</t>
  </si>
  <si>
    <t xml:space="preserve">         18.43亿</t>
  </si>
  <si>
    <t>3.39万</t>
  </si>
  <si>
    <t>-0.055㈢</t>
  </si>
  <si>
    <t xml:space="preserve">  -2.40㈢</t>
  </si>
  <si>
    <t>海航投资</t>
  </si>
  <si>
    <t xml:space="preserve">         34.61亿</t>
  </si>
  <si>
    <t xml:space="preserve">         27.70亿</t>
  </si>
  <si>
    <t>2.99万</t>
  </si>
  <si>
    <t>-0.004㈢</t>
  </si>
  <si>
    <t xml:space="preserve">  -0.12㈢</t>
  </si>
  <si>
    <t>中油资本</t>
  </si>
  <si>
    <t xml:space="preserve">         34.04亿</t>
  </si>
  <si>
    <t xml:space="preserve">       1069.16亿</t>
  </si>
  <si>
    <t xml:space="preserve">         13.62亿</t>
  </si>
  <si>
    <t>8.20万</t>
  </si>
  <si>
    <t>0.668㈢</t>
  </si>
  <si>
    <t xml:space="preserve">   7.34㈢</t>
  </si>
  <si>
    <t>海螺型材</t>
  </si>
  <si>
    <t xml:space="preserve">         20.45亿</t>
  </si>
  <si>
    <t xml:space="preserve">         13.61亿</t>
  </si>
  <si>
    <t>4.96万</t>
  </si>
  <si>
    <t xml:space="preserve">   0.87㈢</t>
  </si>
  <si>
    <t>新华联</t>
  </si>
  <si>
    <t xml:space="preserve">         76.63亿</t>
  </si>
  <si>
    <t xml:space="preserve">         29.75亿</t>
  </si>
  <si>
    <t>8.10万</t>
  </si>
  <si>
    <t>0.086㈢</t>
  </si>
  <si>
    <t xml:space="preserve">   2.24㈢</t>
  </si>
  <si>
    <t>恒立实业</t>
  </si>
  <si>
    <t xml:space="preserve">         20.84亿</t>
  </si>
  <si>
    <t xml:space="preserve">         11.67亿</t>
  </si>
  <si>
    <t>2.73万</t>
  </si>
  <si>
    <t xml:space="preserve">   7.42㈢</t>
  </si>
  <si>
    <t>吉林敖东</t>
  </si>
  <si>
    <t xml:space="preserve">        183.41亿</t>
  </si>
  <si>
    <t xml:space="preserve">        186.78亿</t>
  </si>
  <si>
    <t xml:space="preserve">        127.23亿</t>
  </si>
  <si>
    <t>14.85万</t>
  </si>
  <si>
    <t>0.997㈢</t>
  </si>
  <si>
    <t xml:space="preserve">   5.25㈢</t>
  </si>
  <si>
    <t>长安汽车</t>
  </si>
  <si>
    <t xml:space="preserve">        372.12亿</t>
  </si>
  <si>
    <t xml:space="preserve">        458.17亿</t>
  </si>
  <si>
    <t xml:space="preserve">        184.82亿</t>
  </si>
  <si>
    <t>17.08万</t>
  </si>
  <si>
    <t>-0.554㈢</t>
  </si>
  <si>
    <t xml:space="preserve">  -6.11㈢</t>
  </si>
  <si>
    <t>远大控股</t>
  </si>
  <si>
    <t xml:space="preserve">         34.19亿</t>
  </si>
  <si>
    <t xml:space="preserve">         40.01亿</t>
  </si>
  <si>
    <t xml:space="preserve">         12.33亿</t>
  </si>
  <si>
    <t>0.125㈢</t>
  </si>
  <si>
    <t>天茂集团</t>
  </si>
  <si>
    <t>保险</t>
  </si>
  <si>
    <t xml:space="preserve">        296.06亿</t>
  </si>
  <si>
    <t xml:space="preserve">        339.92亿</t>
  </si>
  <si>
    <t xml:space="preserve">        114.61亿</t>
  </si>
  <si>
    <t>14.36万</t>
  </si>
  <si>
    <t xml:space="preserve">   5.00㈢</t>
  </si>
  <si>
    <t>高新发展</t>
  </si>
  <si>
    <t>园区开发</t>
  </si>
  <si>
    <t xml:space="preserve">         17.95亿</t>
  </si>
  <si>
    <t xml:space="preserve">         15.38亿</t>
  </si>
  <si>
    <t>6.01万</t>
  </si>
  <si>
    <t xml:space="preserve">   4.77㈢</t>
  </si>
  <si>
    <t>攀钢钒钛</t>
  </si>
  <si>
    <t>小金属</t>
  </si>
  <si>
    <t xml:space="preserve">        139.20亿</t>
  </si>
  <si>
    <t xml:space="preserve">        250.82亿</t>
  </si>
  <si>
    <t xml:space="preserve">        103.62亿</t>
  </si>
  <si>
    <t>4.05万</t>
  </si>
  <si>
    <t>0.164㈢</t>
  </si>
  <si>
    <t xml:space="preserve">  14.92㈢</t>
  </si>
  <si>
    <t>铜陵有色</t>
  </si>
  <si>
    <t>铜</t>
  </si>
  <si>
    <t xml:space="preserve">        222.76亿</t>
  </si>
  <si>
    <t xml:space="preserve">        245.27亿</t>
  </si>
  <si>
    <t xml:space="preserve">        134.67亿</t>
  </si>
  <si>
    <t>3.43万</t>
  </si>
  <si>
    <t>0.066㈢</t>
  </si>
  <si>
    <t xml:space="preserve">   3.83㈢</t>
  </si>
  <si>
    <t>顺发恒业</t>
  </si>
  <si>
    <t xml:space="preserve">         67.38亿</t>
  </si>
  <si>
    <t xml:space="preserve">         18.68亿</t>
  </si>
  <si>
    <t>5.81万</t>
  </si>
  <si>
    <t>0.221㈢</t>
  </si>
  <si>
    <t xml:space="preserve">   8.33㈢</t>
  </si>
  <si>
    <t>三木集团</t>
  </si>
  <si>
    <t xml:space="preserve">         28.63亿</t>
  </si>
  <si>
    <t>8.01万</t>
  </si>
  <si>
    <t>0.043㈢</t>
  </si>
  <si>
    <t xml:space="preserve">   1.53㈢</t>
  </si>
  <si>
    <t>合金投资</t>
  </si>
  <si>
    <t xml:space="preserve">         16.14亿</t>
  </si>
  <si>
    <t xml:space="preserve">         10.62亿</t>
  </si>
  <si>
    <t>-0.022㈢</t>
  </si>
  <si>
    <t xml:space="preserve">  -5.38㈢</t>
  </si>
  <si>
    <t>英 力 特</t>
  </si>
  <si>
    <t xml:space="preserve">         23.97亿</t>
  </si>
  <si>
    <t xml:space="preserve">         11.69亿</t>
  </si>
  <si>
    <t xml:space="preserve">   2.39㈢</t>
  </si>
  <si>
    <t>风华高科</t>
  </si>
  <si>
    <t xml:space="preserve">        131.33亿</t>
  </si>
  <si>
    <t xml:space="preserve">        105.02亿</t>
  </si>
  <si>
    <t>10.22万</t>
  </si>
  <si>
    <t>0.395㈢</t>
  </si>
  <si>
    <t xml:space="preserve">   6.38㈢</t>
  </si>
  <si>
    <t>茂化实华</t>
  </si>
  <si>
    <t xml:space="preserve">         16.27亿</t>
  </si>
  <si>
    <t xml:space="preserve">         23.08亿</t>
  </si>
  <si>
    <t xml:space="preserve">         12.87亿</t>
  </si>
  <si>
    <t>万方发展</t>
  </si>
  <si>
    <t xml:space="preserve">         15.44亿</t>
  </si>
  <si>
    <t xml:space="preserve">          8.82亿</t>
  </si>
  <si>
    <t>2.18万</t>
  </si>
  <si>
    <t>-0.034㈢</t>
  </si>
  <si>
    <t xml:space="preserve">  -7.62㈢</t>
  </si>
  <si>
    <t>西王食品</t>
  </si>
  <si>
    <t xml:space="preserve">         47.79亿</t>
  </si>
  <si>
    <t xml:space="preserve">         47.93亿</t>
  </si>
  <si>
    <t xml:space="preserve">         22.72亿</t>
  </si>
  <si>
    <t>8.48万</t>
  </si>
  <si>
    <t>0.308㈢</t>
  </si>
  <si>
    <t xml:space="preserve">   7.03㈢</t>
  </si>
  <si>
    <t>仁和药业</t>
  </si>
  <si>
    <t xml:space="preserve">         72.59亿</t>
  </si>
  <si>
    <t xml:space="preserve">         76.16亿</t>
  </si>
  <si>
    <t xml:space="preserve">         51.41亿</t>
  </si>
  <si>
    <t>4.62万</t>
  </si>
  <si>
    <t xml:space="preserve">  11.86㈢</t>
  </si>
  <si>
    <t>格力电器</t>
  </si>
  <si>
    <t xml:space="preserve">       3852.39亿</t>
  </si>
  <si>
    <t xml:space="preserve">       3881.95亿</t>
  </si>
  <si>
    <t xml:space="preserve">       2799.08亿</t>
  </si>
  <si>
    <t>83.94万</t>
  </si>
  <si>
    <t>3.677㈢</t>
  </si>
  <si>
    <t xml:space="preserve">  21.94㈢</t>
  </si>
  <si>
    <t>泰达股份</t>
  </si>
  <si>
    <t xml:space="preserve">         52.83亿</t>
  </si>
  <si>
    <t xml:space="preserve">         35.35亿</t>
  </si>
  <si>
    <t>3.59万</t>
  </si>
  <si>
    <t>0.067㈢</t>
  </si>
  <si>
    <t xml:space="preserve">   2.21㈢</t>
  </si>
  <si>
    <t>金岭矿业</t>
  </si>
  <si>
    <t>普钢</t>
  </si>
  <si>
    <t xml:space="preserve">         32.27亿</t>
  </si>
  <si>
    <t xml:space="preserve">         13.42亿</t>
  </si>
  <si>
    <t>3.20万</t>
  </si>
  <si>
    <t>0.292㈢</t>
  </si>
  <si>
    <t xml:space="preserve">   6.77㈢</t>
  </si>
  <si>
    <t>金科股份</t>
  </si>
  <si>
    <t xml:space="preserve">        389.35亿</t>
  </si>
  <si>
    <t xml:space="preserve">        396.21亿</t>
  </si>
  <si>
    <t xml:space="preserve">        154.22亿</t>
  </si>
  <si>
    <t>13.24万</t>
  </si>
  <si>
    <t>0.740㈢</t>
  </si>
  <si>
    <t xml:space="preserve">  16.19㈢</t>
  </si>
  <si>
    <t>中钨高新</t>
  </si>
  <si>
    <t xml:space="preserve">         52.29亿</t>
  </si>
  <si>
    <t xml:space="preserve">         59.50亿</t>
  </si>
  <si>
    <t xml:space="preserve">         23.24亿</t>
  </si>
  <si>
    <t>7.04万</t>
  </si>
  <si>
    <t>0.123㈢</t>
  </si>
  <si>
    <t xml:space="preserve">   3.30㈢</t>
  </si>
  <si>
    <t>珠海中富</t>
  </si>
  <si>
    <t xml:space="preserve">         25.59亿</t>
  </si>
  <si>
    <t>4.75万</t>
  </si>
  <si>
    <t>-0.007㈢</t>
  </si>
  <si>
    <t xml:space="preserve">  -1.39㈢</t>
  </si>
  <si>
    <t>长春高新</t>
  </si>
  <si>
    <t xml:space="preserve">        739.55亿</t>
  </si>
  <si>
    <t xml:space="preserve">        880.27亿</t>
  </si>
  <si>
    <t xml:space="preserve">        574.08亿</t>
  </si>
  <si>
    <t>203.17万</t>
  </si>
  <si>
    <t>7.290㈢</t>
  </si>
  <si>
    <t xml:space="preserve">  19.34㈢</t>
  </si>
  <si>
    <t>天夏智慧</t>
  </si>
  <si>
    <t xml:space="preserve">         60.11亿</t>
  </si>
  <si>
    <t xml:space="preserve">         60.12亿</t>
  </si>
  <si>
    <t xml:space="preserve">         29.19亿</t>
  </si>
  <si>
    <t>7.28万</t>
  </si>
  <si>
    <t xml:space="preserve">   1.22㈢</t>
  </si>
  <si>
    <t>永安林业</t>
  </si>
  <si>
    <t xml:space="preserve">         12.17亿</t>
  </si>
  <si>
    <t xml:space="preserve">         16.06亿</t>
  </si>
  <si>
    <t xml:space="preserve">          9.68亿</t>
  </si>
  <si>
    <t>5.24万</t>
  </si>
  <si>
    <t>-0.114㈢</t>
  </si>
  <si>
    <t xml:space="preserve">  -4.95㈢</t>
  </si>
  <si>
    <t>湖北广电</t>
  </si>
  <si>
    <t xml:space="preserve">         51.65亿</t>
  </si>
  <si>
    <t xml:space="preserve">         22.83亿</t>
  </si>
  <si>
    <t>8.47万</t>
  </si>
  <si>
    <t>0.156㈢</t>
  </si>
  <si>
    <t xml:space="preserve">   2.20㈢</t>
  </si>
  <si>
    <t>经纬纺机</t>
  </si>
  <si>
    <t xml:space="preserve">         32.93亿</t>
  </si>
  <si>
    <t xml:space="preserve">         79.00亿</t>
  </si>
  <si>
    <t xml:space="preserve">         31.97亿</t>
  </si>
  <si>
    <t>8.55万</t>
  </si>
  <si>
    <t>0.529㈢</t>
  </si>
  <si>
    <t xml:space="preserve">   4.30㈢</t>
  </si>
  <si>
    <t>美好置业</t>
  </si>
  <si>
    <t xml:space="preserve">         66.32亿</t>
  </si>
  <si>
    <t xml:space="preserve">         66.86亿</t>
  </si>
  <si>
    <t xml:space="preserve">         55.20亿</t>
  </si>
  <si>
    <t>3.34万</t>
  </si>
  <si>
    <t>0.031㈢</t>
  </si>
  <si>
    <t xml:space="preserve">   1.07㈢</t>
  </si>
  <si>
    <t>荣丰控股</t>
  </si>
  <si>
    <t>上海</t>
  </si>
  <si>
    <t xml:space="preserve">         20.24亿</t>
  </si>
  <si>
    <t xml:space="preserve">         20.26亿</t>
  </si>
  <si>
    <t xml:space="preserve">         12.08亿</t>
  </si>
  <si>
    <t>15.48万</t>
  </si>
  <si>
    <t>0.446㈢</t>
  </si>
  <si>
    <t xml:space="preserve">   6.79㈢</t>
  </si>
  <si>
    <t>金鸿控股</t>
  </si>
  <si>
    <t xml:space="preserve">         25.86亿</t>
  </si>
  <si>
    <t xml:space="preserve">         14.11亿</t>
  </si>
  <si>
    <t>3.72万</t>
  </si>
  <si>
    <t>-0.362㈢</t>
  </si>
  <si>
    <t xml:space="preserve"> -10.78㈢</t>
  </si>
  <si>
    <t>*ST盈方</t>
  </si>
  <si>
    <t xml:space="preserve">         13.20亿</t>
  </si>
  <si>
    <t xml:space="preserve">         17.97亿</t>
  </si>
  <si>
    <t>1.68万</t>
  </si>
  <si>
    <t>-0.060㈢</t>
  </si>
  <si>
    <t xml:space="preserve"> -32.97㈢</t>
  </si>
  <si>
    <t>阳 光 城</t>
  </si>
  <si>
    <t xml:space="preserve">        332.16亿</t>
  </si>
  <si>
    <t xml:space="preserve">        338.70亿</t>
  </si>
  <si>
    <t xml:space="preserve">        124.84亿</t>
  </si>
  <si>
    <t>24.80万</t>
  </si>
  <si>
    <t>0.490㈢</t>
  </si>
  <si>
    <t xml:space="preserve">   9.09㈢</t>
  </si>
  <si>
    <t>上峰水泥</t>
  </si>
  <si>
    <t xml:space="preserve">        137.50亿</t>
  </si>
  <si>
    <t xml:space="preserve">         51.20亿</t>
  </si>
  <si>
    <t>12.81万</t>
  </si>
  <si>
    <t>1.920㈢</t>
  </si>
  <si>
    <t xml:space="preserve">  33.50㈢</t>
  </si>
  <si>
    <t>当代东方</t>
  </si>
  <si>
    <t xml:space="preserve">         41.05亿</t>
  </si>
  <si>
    <t xml:space="preserve">         41.16亿</t>
  </si>
  <si>
    <t>4.65万</t>
  </si>
  <si>
    <t>-0.024㈢</t>
  </si>
  <si>
    <t xml:space="preserve">  -3.56㈢</t>
  </si>
  <si>
    <t>智度股份</t>
  </si>
  <si>
    <t xml:space="preserve">         61.85亿</t>
  </si>
  <si>
    <t xml:space="preserve">        125.44亿</t>
  </si>
  <si>
    <t xml:space="preserve">         43.60亿</t>
  </si>
  <si>
    <t>11.17万</t>
  </si>
  <si>
    <t>0.340㈢</t>
  </si>
  <si>
    <t xml:space="preserve">   6.59㈢</t>
  </si>
  <si>
    <t>恒天海龙</t>
  </si>
  <si>
    <t xml:space="preserve">         21.31亿</t>
  </si>
  <si>
    <t>3.41万</t>
  </si>
  <si>
    <t>0.005㈢</t>
  </si>
  <si>
    <t xml:space="preserve">   1.69㈢</t>
  </si>
  <si>
    <t>襄阳轴承</t>
  </si>
  <si>
    <t xml:space="preserve">         32.13亿</t>
  </si>
  <si>
    <t xml:space="preserve">         17.34亿</t>
  </si>
  <si>
    <t>6.70万</t>
  </si>
  <si>
    <t>-0.052㈢</t>
  </si>
  <si>
    <t xml:space="preserve">  -2.08㈢</t>
  </si>
  <si>
    <t>大连友谊</t>
  </si>
  <si>
    <t xml:space="preserve">         13.11亿</t>
  </si>
  <si>
    <t xml:space="preserve">         13.12亿</t>
  </si>
  <si>
    <t xml:space="preserve">          9.38亿</t>
  </si>
  <si>
    <t>3.98万</t>
  </si>
  <si>
    <t>-0.398㈢</t>
  </si>
  <si>
    <t xml:space="preserve"> -17.88㈢</t>
  </si>
  <si>
    <t>山推股份</t>
  </si>
  <si>
    <t xml:space="preserve">         37.52亿</t>
  </si>
  <si>
    <t xml:space="preserve">         44.05亿</t>
  </si>
  <si>
    <t xml:space="preserve">         31.11亿</t>
  </si>
  <si>
    <t xml:space="preserve">   2.63㈢</t>
  </si>
  <si>
    <t>视觉中国</t>
  </si>
  <si>
    <t xml:space="preserve">        108.96亿</t>
  </si>
  <si>
    <t xml:space="preserve">        115.46亿</t>
  </si>
  <si>
    <t xml:space="preserve">         56.94亿</t>
  </si>
  <si>
    <t>16.75万</t>
  </si>
  <si>
    <t>0.307㈢</t>
  </si>
  <si>
    <t xml:space="preserve">   6.97㈢</t>
  </si>
  <si>
    <t>东方电子</t>
  </si>
  <si>
    <t xml:space="preserve">         49.39亿</t>
  </si>
  <si>
    <t xml:space="preserve">         67.71亿</t>
  </si>
  <si>
    <t xml:space="preserve">         39.64亿</t>
  </si>
  <si>
    <t>3.14万</t>
  </si>
  <si>
    <t xml:space="preserve">   5.56㈢</t>
  </si>
  <si>
    <t>远兴能源</t>
  </si>
  <si>
    <t xml:space="preserve">         80.16亿</t>
  </si>
  <si>
    <t xml:space="preserve">         88.30亿</t>
  </si>
  <si>
    <t xml:space="preserve">         52.53亿</t>
  </si>
  <si>
    <t xml:space="preserve">   6.37㈢</t>
  </si>
  <si>
    <t>中山公用</t>
  </si>
  <si>
    <t xml:space="preserve">        101.51亿</t>
  </si>
  <si>
    <t xml:space="preserve">        119.48亿</t>
  </si>
  <si>
    <t xml:space="preserve">         46.98亿</t>
  </si>
  <si>
    <t>11.47万</t>
  </si>
  <si>
    <t>0.500㈢</t>
  </si>
  <si>
    <t>东北证券</t>
  </si>
  <si>
    <t xml:space="preserve">        205.02亿</t>
  </si>
  <si>
    <t xml:space="preserve">        117.67亿</t>
  </si>
  <si>
    <t>9.83万</t>
  </si>
  <si>
    <t>0.371㈢</t>
  </si>
  <si>
    <t xml:space="preserve">   5.60㈢</t>
  </si>
  <si>
    <t>华讯方舟</t>
  </si>
  <si>
    <t xml:space="preserve">         50.29亿</t>
  </si>
  <si>
    <t xml:space="preserve">         51.18亿</t>
  </si>
  <si>
    <t xml:space="preserve">         27.23亿</t>
  </si>
  <si>
    <t>-0.178㈢</t>
  </si>
  <si>
    <t xml:space="preserve"> -15.86㈢</t>
  </si>
  <si>
    <t>国城矿业</t>
  </si>
  <si>
    <t xml:space="preserve">        157.52亿</t>
  </si>
  <si>
    <t xml:space="preserve">         41.00亿</t>
  </si>
  <si>
    <t>23.63万</t>
  </si>
  <si>
    <t xml:space="preserve">   8.77㈢</t>
  </si>
  <si>
    <t>宝新能源</t>
  </si>
  <si>
    <t xml:space="preserve">        118.17亿</t>
  </si>
  <si>
    <t xml:space="preserve">        123.37亿</t>
  </si>
  <si>
    <t xml:space="preserve">         90.03亿</t>
  </si>
  <si>
    <t>10.66万</t>
  </si>
  <si>
    <t>0.218㈢</t>
  </si>
  <si>
    <t xml:space="preserve">   5.21㈢</t>
  </si>
  <si>
    <t>亚太实业</t>
  </si>
  <si>
    <t xml:space="preserve">         11.59亿</t>
  </si>
  <si>
    <t xml:space="preserve">         12.90亿</t>
  </si>
  <si>
    <t xml:space="preserve">          9.43亿</t>
  </si>
  <si>
    <t>-0.020㈢</t>
  </si>
  <si>
    <t xml:space="preserve">  -8.29㈢</t>
  </si>
  <si>
    <t>惠天热电</t>
  </si>
  <si>
    <t xml:space="preserve">         15.82亿</t>
  </si>
  <si>
    <t xml:space="preserve">         15.83亿</t>
  </si>
  <si>
    <t xml:space="preserve">         10.27亿</t>
  </si>
  <si>
    <t>2.66万</t>
  </si>
  <si>
    <t>-0.562㈢</t>
  </si>
  <si>
    <t xml:space="preserve"> -27.04㈢</t>
  </si>
  <si>
    <t>滨海能源</t>
  </si>
  <si>
    <t xml:space="preserve">         16.54亿</t>
  </si>
  <si>
    <t xml:space="preserve">         16.57亿</t>
  </si>
  <si>
    <t xml:space="preserve">         10.69亿</t>
  </si>
  <si>
    <t>8.00万</t>
  </si>
  <si>
    <t xml:space="preserve">   1.75㈢</t>
  </si>
  <si>
    <t>炼石航空</t>
  </si>
  <si>
    <t>航空</t>
  </si>
  <si>
    <t xml:space="preserve">         59.96亿</t>
  </si>
  <si>
    <t xml:space="preserve">         71.19亿</t>
  </si>
  <si>
    <t xml:space="preserve">         44.36亿</t>
  </si>
  <si>
    <t>15.40万</t>
  </si>
  <si>
    <t>-0.104㈢</t>
  </si>
  <si>
    <t xml:space="preserve">  -2.33㈢</t>
  </si>
  <si>
    <t>沈阳化工</t>
  </si>
  <si>
    <t xml:space="preserve">         25.93亿</t>
  </si>
  <si>
    <t xml:space="preserve">         27.04亿</t>
  </si>
  <si>
    <t xml:space="preserve">         20.37亿</t>
  </si>
  <si>
    <t>3.80万</t>
  </si>
  <si>
    <t>-0.157㈢</t>
  </si>
  <si>
    <t xml:space="preserve">  -2.96㈢</t>
  </si>
  <si>
    <t>模塑科技</t>
  </si>
  <si>
    <t xml:space="preserve">         28.26亿</t>
  </si>
  <si>
    <t xml:space="preserve">         32.59亿</t>
  </si>
  <si>
    <t xml:space="preserve">         18.76亿</t>
  </si>
  <si>
    <t>4.38万</t>
  </si>
  <si>
    <t>0.108㈢</t>
  </si>
  <si>
    <t xml:space="preserve">   3.81㈢</t>
  </si>
  <si>
    <t>厦门信达</t>
  </si>
  <si>
    <t xml:space="preserve">         22.00亿</t>
  </si>
  <si>
    <t>-0.570㈢</t>
  </si>
  <si>
    <t xml:space="preserve">  -3.53㈢</t>
  </si>
  <si>
    <t>正虹科技</t>
  </si>
  <si>
    <t xml:space="preserve">         15.33亿</t>
  </si>
  <si>
    <t xml:space="preserve">         11.48亿</t>
  </si>
  <si>
    <t>3.29万</t>
  </si>
  <si>
    <t xml:space="preserve">   0.62㈢</t>
  </si>
  <si>
    <t>恒逸石化</t>
  </si>
  <si>
    <t xml:space="preserve">        308.16亿</t>
  </si>
  <si>
    <t xml:space="preserve">        383.63亿</t>
  </si>
  <si>
    <t xml:space="preserve">        147.04亿</t>
  </si>
  <si>
    <t>62.80万</t>
  </si>
  <si>
    <t>0.779㈢</t>
  </si>
  <si>
    <t xml:space="preserve">   9.94㈢</t>
  </si>
  <si>
    <t>浙江震元</t>
  </si>
  <si>
    <t xml:space="preserve">         18.55亿</t>
  </si>
  <si>
    <t xml:space="preserve">         21.99亿</t>
  </si>
  <si>
    <t xml:space="preserve">         17.60亿</t>
  </si>
  <si>
    <t>6.48万</t>
  </si>
  <si>
    <t>0.199㈢</t>
  </si>
  <si>
    <t xml:space="preserve">   4.46㈢</t>
  </si>
  <si>
    <t>ST双环</t>
  </si>
  <si>
    <t xml:space="preserve">         14.81亿</t>
  </si>
  <si>
    <t>2.94万</t>
  </si>
  <si>
    <t>-0.031㈢</t>
  </si>
  <si>
    <t xml:space="preserve">  -8.75㈢</t>
  </si>
  <si>
    <t>中信特钢</t>
  </si>
  <si>
    <t>特种钢</t>
  </si>
  <si>
    <t xml:space="preserve">        101.25亿</t>
  </si>
  <si>
    <t xml:space="preserve">        668.89亿</t>
  </si>
  <si>
    <t xml:space="preserve">         42.39亿</t>
  </si>
  <si>
    <t>25.08万</t>
  </si>
  <si>
    <t>1.235㈢</t>
  </si>
  <si>
    <t xml:space="preserve">  14.91㈢</t>
  </si>
  <si>
    <t>河钢股份</t>
  </si>
  <si>
    <t xml:space="preserve">        269.67亿</t>
  </si>
  <si>
    <t xml:space="preserve">        269.71亿</t>
  </si>
  <si>
    <t xml:space="preserve">        102.13亿</t>
  </si>
  <si>
    <t>2.87万</t>
  </si>
  <si>
    <t xml:space="preserve">   3.19㈢</t>
  </si>
  <si>
    <t>贝瑞基因</t>
  </si>
  <si>
    <t xml:space="preserve">         81.19亿</t>
  </si>
  <si>
    <t xml:space="preserve">        124.89亿</t>
  </si>
  <si>
    <t xml:space="preserve">         70.94亿</t>
  </si>
  <si>
    <t>31.76万</t>
  </si>
  <si>
    <t>0.884㈢</t>
  </si>
  <si>
    <t xml:space="preserve">  14.31㈢</t>
  </si>
  <si>
    <t>京蓝科技</t>
  </si>
  <si>
    <t xml:space="preserve">         43.14亿</t>
  </si>
  <si>
    <t xml:space="preserve">         56.40亿</t>
  </si>
  <si>
    <t xml:space="preserve">         19.73亿</t>
  </si>
  <si>
    <t>5.05万</t>
  </si>
  <si>
    <t>锦龙股份</t>
  </si>
  <si>
    <t xml:space="preserve">        115.82亿</t>
  </si>
  <si>
    <t xml:space="preserve">        130.37亿</t>
  </si>
  <si>
    <t xml:space="preserve">         64.99亿</t>
  </si>
  <si>
    <t>11.25万</t>
  </si>
  <si>
    <t xml:space="preserve">   3.66㈢</t>
  </si>
  <si>
    <t>丰乐种业</t>
  </si>
  <si>
    <t>种植业</t>
  </si>
  <si>
    <t xml:space="preserve">         31.70亿</t>
  </si>
  <si>
    <t xml:space="preserve">         35.79亿</t>
  </si>
  <si>
    <t xml:space="preserve">         21.24亿</t>
  </si>
  <si>
    <t xml:space="preserve">   0.38㈢</t>
  </si>
  <si>
    <t>中兴商业</t>
  </si>
  <si>
    <t xml:space="preserve">         24.99亿</t>
  </si>
  <si>
    <t xml:space="preserve">         25.03亿</t>
  </si>
  <si>
    <t xml:space="preserve">          7.27亿</t>
  </si>
  <si>
    <t>6.25万</t>
  </si>
  <si>
    <t>0.284㈢</t>
  </si>
  <si>
    <t>黑芝麻</t>
  </si>
  <si>
    <t xml:space="preserve">         22.88亿</t>
  </si>
  <si>
    <t xml:space="preserve">         25.68亿</t>
  </si>
  <si>
    <t xml:space="preserve">         15.11亿</t>
  </si>
  <si>
    <t>2.93万</t>
  </si>
  <si>
    <t>0.039㈢</t>
  </si>
  <si>
    <t xml:space="preserve">   1.06㈢</t>
  </si>
  <si>
    <t>韶钢松山</t>
  </si>
  <si>
    <t xml:space="preserve">        112.27亿</t>
  </si>
  <si>
    <t xml:space="preserve">         52.71亿</t>
  </si>
  <si>
    <t>0.533㈢</t>
  </si>
  <si>
    <t xml:space="preserve">  17.27㈢</t>
  </si>
  <si>
    <t>苏宁环球</t>
  </si>
  <si>
    <t xml:space="preserve">         85.39亿</t>
  </si>
  <si>
    <t xml:space="preserve">        113.19亿</t>
  </si>
  <si>
    <t xml:space="preserve">         49.72亿</t>
  </si>
  <si>
    <t>7.25万</t>
  </si>
  <si>
    <t>0.266㈢</t>
  </si>
  <si>
    <t xml:space="preserve">  10.35㈢</t>
  </si>
  <si>
    <t>中原传媒</t>
  </si>
  <si>
    <t>出版业</t>
  </si>
  <si>
    <t xml:space="preserve">         47.17亿</t>
  </si>
  <si>
    <t xml:space="preserve">         72.34亿</t>
  </si>
  <si>
    <t>9.69万</t>
  </si>
  <si>
    <t>0.519㈢</t>
  </si>
  <si>
    <t xml:space="preserve">   6.65㈢</t>
  </si>
  <si>
    <t>新能泰山</t>
  </si>
  <si>
    <t xml:space="preserve">         47.75亿</t>
  </si>
  <si>
    <t xml:space="preserve">         71.32亿</t>
  </si>
  <si>
    <t xml:space="preserve">         37.47亿</t>
  </si>
  <si>
    <t>0.287㈢</t>
  </si>
  <si>
    <t xml:space="preserve">  15.40㈢</t>
  </si>
  <si>
    <t>西安饮食</t>
  </si>
  <si>
    <t xml:space="preserve">         17.83亿</t>
  </si>
  <si>
    <t xml:space="preserve">         20.41亿</t>
  </si>
  <si>
    <t xml:space="preserve">         13.36亿</t>
  </si>
  <si>
    <t>2.20万</t>
  </si>
  <si>
    <t xml:space="preserve">  -3.69㈢</t>
  </si>
  <si>
    <t>湖南发展</t>
  </si>
  <si>
    <t xml:space="preserve">         31.10亿</t>
  </si>
  <si>
    <t xml:space="preserve">         14.24亿</t>
  </si>
  <si>
    <t>3.71万</t>
  </si>
  <si>
    <t>0.302㈢</t>
  </si>
  <si>
    <t xml:space="preserve">   4.72㈢</t>
  </si>
  <si>
    <t>美锦能源</t>
  </si>
  <si>
    <t>焦炭加工</t>
  </si>
  <si>
    <t xml:space="preserve">        360.60亿</t>
  </si>
  <si>
    <t xml:space="preserve">        391.48亿</t>
  </si>
  <si>
    <t xml:space="preserve">         98.46亿</t>
  </si>
  <si>
    <t>5.69万</t>
  </si>
  <si>
    <t>0.201㈢</t>
  </si>
  <si>
    <t xml:space="preserve">  10.30㈢</t>
  </si>
  <si>
    <t>京东方Ａ</t>
  </si>
  <si>
    <t xml:space="preserve">       1571.09亿</t>
  </si>
  <si>
    <t xml:space="preserve">       1614.65亿</t>
  </si>
  <si>
    <t xml:space="preserve">       1092.56亿</t>
  </si>
  <si>
    <t>8.77万</t>
  </si>
  <si>
    <t xml:space="preserve">   2.13㈢</t>
  </si>
  <si>
    <t>鲁 泰Ａ</t>
  </si>
  <si>
    <t xml:space="preserve">         50.61亿</t>
  </si>
  <si>
    <t xml:space="preserve">         77.40亿</t>
  </si>
  <si>
    <t xml:space="preserve">         37.95亿</t>
  </si>
  <si>
    <t>11.51万</t>
  </si>
  <si>
    <t>0.680㈢</t>
  </si>
  <si>
    <t xml:space="preserve">   8.00㈢</t>
  </si>
  <si>
    <t>华东科技</t>
  </si>
  <si>
    <t xml:space="preserve">         63.01亿</t>
  </si>
  <si>
    <t xml:space="preserve">         97.39亿</t>
  </si>
  <si>
    <t xml:space="preserve">         48.99亿</t>
  </si>
  <si>
    <t>2.60万</t>
  </si>
  <si>
    <t>-0.397㈢</t>
  </si>
  <si>
    <t xml:space="preserve"> -22.48㈢</t>
  </si>
  <si>
    <t>国元证券</t>
  </si>
  <si>
    <t xml:space="preserve">        264.56亿</t>
  </si>
  <si>
    <t xml:space="preserve">        302.22亿</t>
  </si>
  <si>
    <t xml:space="preserve">        165.39亿</t>
  </si>
  <si>
    <t>16.65万</t>
  </si>
  <si>
    <t>0.208㈢</t>
  </si>
  <si>
    <t xml:space="preserve">   2.81㈢</t>
  </si>
  <si>
    <t>燕京啤酒</t>
  </si>
  <si>
    <t>啤酒</t>
  </si>
  <si>
    <t xml:space="preserve">        160.35亿</t>
  </si>
  <si>
    <t xml:space="preserve">        180.10亿</t>
  </si>
  <si>
    <t xml:space="preserve">         73.35亿</t>
  </si>
  <si>
    <t>9.18万</t>
  </si>
  <si>
    <t>0.227㈢</t>
  </si>
  <si>
    <t>四川美丰</t>
  </si>
  <si>
    <t xml:space="preserve">         30.28亿</t>
  </si>
  <si>
    <t>5.64万</t>
  </si>
  <si>
    <t>0.180㈢</t>
  </si>
  <si>
    <t xml:space="preserve">   3.76㈢</t>
  </si>
  <si>
    <t>泰禾集团</t>
  </si>
  <si>
    <t xml:space="preserve">        150.41亿</t>
  </si>
  <si>
    <t xml:space="preserve">        150.58亿</t>
  </si>
  <si>
    <t xml:space="preserve">         56.23亿</t>
  </si>
  <si>
    <t>11.34万</t>
  </si>
  <si>
    <t>0.852㈢</t>
  </si>
  <si>
    <t xml:space="preserve">   9.64㈢</t>
  </si>
  <si>
    <t>振华科技</t>
  </si>
  <si>
    <t xml:space="preserve">         80.73亿</t>
  </si>
  <si>
    <t xml:space="preserve">         88.55亿</t>
  </si>
  <si>
    <t xml:space="preserve">         51.56亿</t>
  </si>
  <si>
    <t>12.24万</t>
  </si>
  <si>
    <t>0.579㈢</t>
  </si>
  <si>
    <t xml:space="preserve">   5.55㈢</t>
  </si>
  <si>
    <t>罗 牛 山</t>
  </si>
  <si>
    <t xml:space="preserve">        118.31亿</t>
  </si>
  <si>
    <t xml:space="preserve">        118.38亿</t>
  </si>
  <si>
    <t xml:space="preserve">         92.95亿</t>
  </si>
  <si>
    <t>6.78万</t>
  </si>
  <si>
    <t>-0.036㈢</t>
  </si>
  <si>
    <t xml:space="preserve">  -1.06㈢</t>
  </si>
  <si>
    <t>中交地产</t>
  </si>
  <si>
    <t xml:space="preserve">         36.86亿</t>
  </si>
  <si>
    <t>0.305㈢</t>
  </si>
  <si>
    <t xml:space="preserve">   6.93㈢</t>
  </si>
  <si>
    <t>ST南风</t>
  </si>
  <si>
    <t xml:space="preserve">         11.23亿</t>
  </si>
  <si>
    <t>2.85万</t>
  </si>
  <si>
    <t>0.004㈢</t>
  </si>
  <si>
    <t xml:space="preserve">   0.55㈢</t>
  </si>
  <si>
    <t>航发控制</t>
  </si>
  <si>
    <t xml:space="preserve">        149.28亿</t>
  </si>
  <si>
    <t xml:space="preserve">         70.84亿</t>
  </si>
  <si>
    <t>9.05万</t>
  </si>
  <si>
    <t xml:space="preserve">   4.53㈢</t>
  </si>
  <si>
    <t>普洛药业</t>
  </si>
  <si>
    <t xml:space="preserve">        149.78亿</t>
  </si>
  <si>
    <t xml:space="preserve">        153.92亿</t>
  </si>
  <si>
    <t>21.54万</t>
  </si>
  <si>
    <t>0.366㈢</t>
  </si>
  <si>
    <t xml:space="preserve">  11.84㈢</t>
  </si>
  <si>
    <t>国海证券</t>
  </si>
  <si>
    <t xml:space="preserve">        218.36亿</t>
  </si>
  <si>
    <t xml:space="preserve">        218.37亿</t>
  </si>
  <si>
    <t xml:space="preserve">        138.76亿</t>
  </si>
  <si>
    <t>7.39万</t>
  </si>
  <si>
    <t>0.138㈢</t>
  </si>
  <si>
    <t xml:space="preserve">   4.14㈢</t>
  </si>
  <si>
    <t>锌业股份</t>
  </si>
  <si>
    <t xml:space="preserve">         44.97亿</t>
  </si>
  <si>
    <t xml:space="preserve">         34.36亿</t>
  </si>
  <si>
    <t>2.17万</t>
  </si>
  <si>
    <t>0.096㈢</t>
  </si>
  <si>
    <t xml:space="preserve">   5.27㈢</t>
  </si>
  <si>
    <t>*ST西发</t>
  </si>
  <si>
    <t>西藏</t>
  </si>
  <si>
    <t xml:space="preserve">         12.45亿</t>
  </si>
  <si>
    <t xml:space="preserve">          8.63亿</t>
  </si>
  <si>
    <t>2.91万</t>
  </si>
  <si>
    <t>-0.206㈢</t>
  </si>
  <si>
    <t xml:space="preserve"> -17.01㈢</t>
  </si>
  <si>
    <t>漳州发展</t>
  </si>
  <si>
    <t xml:space="preserve">         25.73亿</t>
  </si>
  <si>
    <t xml:space="preserve">         28.85亿</t>
  </si>
  <si>
    <t xml:space="preserve">         17.04亿</t>
  </si>
  <si>
    <t>2.43万</t>
  </si>
  <si>
    <t>0.057㈢</t>
  </si>
  <si>
    <t>山西路桥</t>
  </si>
  <si>
    <t>公路</t>
  </si>
  <si>
    <t xml:space="preserve">         18.11亿</t>
  </si>
  <si>
    <t xml:space="preserve">         11.90亿</t>
  </si>
  <si>
    <t>2.96万</t>
  </si>
  <si>
    <t>0.237㈢</t>
  </si>
  <si>
    <t>新华制药</t>
  </si>
  <si>
    <t xml:space="preserve">         28.36亿</t>
  </si>
  <si>
    <t xml:space="preserve">         13.52亿</t>
  </si>
  <si>
    <t>4.32万</t>
  </si>
  <si>
    <t>0.384㈢</t>
  </si>
  <si>
    <t xml:space="preserve">   8.25㈢</t>
  </si>
  <si>
    <t>浩物股份</t>
  </si>
  <si>
    <t xml:space="preserve">         20.86亿</t>
  </si>
  <si>
    <t xml:space="preserve">         27.96亿</t>
  </si>
  <si>
    <t>4.39万</t>
  </si>
  <si>
    <t xml:space="preserve">   7.31㈢</t>
  </si>
  <si>
    <t>中色股份</t>
  </si>
  <si>
    <t xml:space="preserve">         84.48亿</t>
  </si>
  <si>
    <t xml:space="preserve">         84.49亿</t>
  </si>
  <si>
    <t xml:space="preserve">         55.97亿</t>
  </si>
  <si>
    <t>4.40万</t>
  </si>
  <si>
    <t xml:space="preserve">  -2.15㈢</t>
  </si>
  <si>
    <t>中百集团</t>
  </si>
  <si>
    <t>超市连锁</t>
  </si>
  <si>
    <t xml:space="preserve">         49.41亿</t>
  </si>
  <si>
    <t xml:space="preserve">         49.44亿</t>
  </si>
  <si>
    <t xml:space="preserve">         14.90亿</t>
  </si>
  <si>
    <t>6.84万</t>
  </si>
  <si>
    <t>0.055㈢</t>
  </si>
  <si>
    <t xml:space="preserve">   1.10㈢</t>
  </si>
  <si>
    <t>*ST斯太</t>
  </si>
  <si>
    <t xml:space="preserve">         12.12亿</t>
  </si>
  <si>
    <t xml:space="preserve">          7.39亿</t>
  </si>
  <si>
    <t>1.32万</t>
  </si>
  <si>
    <t>-0.065㈢</t>
  </si>
  <si>
    <t xml:space="preserve"> -10.30㈢</t>
  </si>
  <si>
    <t>本钢板材</t>
  </si>
  <si>
    <t xml:space="preserve">        137.62亿</t>
  </si>
  <si>
    <t xml:space="preserve">        153.46亿</t>
  </si>
  <si>
    <t xml:space="preserve">         43.33亿</t>
  </si>
  <si>
    <t>11.05万</t>
  </si>
  <si>
    <t>0.126㈢</t>
  </si>
  <si>
    <t xml:space="preserve">   2.51㈢</t>
  </si>
  <si>
    <t>西藏矿业</t>
  </si>
  <si>
    <t xml:space="preserve">         38.70亿</t>
  </si>
  <si>
    <t xml:space="preserve">         30.08亿</t>
  </si>
  <si>
    <t>-0.041㈢</t>
  </si>
  <si>
    <t xml:space="preserve">  -1.08㈢</t>
  </si>
  <si>
    <t>通化金马</t>
  </si>
  <si>
    <t xml:space="preserve">         61.18亿</t>
  </si>
  <si>
    <t xml:space="preserve">         30.87亿</t>
  </si>
  <si>
    <t>6.62万</t>
  </si>
  <si>
    <t>漳泽电力</t>
  </si>
  <si>
    <t xml:space="preserve">         70.48亿</t>
  </si>
  <si>
    <t xml:space="preserve">         74.46亿</t>
  </si>
  <si>
    <t xml:space="preserve">         38.54亿</t>
  </si>
  <si>
    <t>3.00万</t>
  </si>
  <si>
    <t>0.019㈢</t>
  </si>
  <si>
    <t xml:space="preserve">   0.76㈢</t>
  </si>
  <si>
    <t>中航飞机</t>
  </si>
  <si>
    <t xml:space="preserve">        446.30亿</t>
  </si>
  <si>
    <t xml:space="preserve">        446.31亿</t>
  </si>
  <si>
    <t xml:space="preserve">        201.21亿</t>
  </si>
  <si>
    <t>13.01万</t>
  </si>
  <si>
    <t xml:space="preserve">   2.10㈢</t>
  </si>
  <si>
    <t>广发证券</t>
  </si>
  <si>
    <t xml:space="preserve">        858.30亿</t>
  </si>
  <si>
    <t xml:space="preserve">        395.86亿</t>
  </si>
  <si>
    <t>23.52万</t>
  </si>
  <si>
    <t>0.737㈢</t>
  </si>
  <si>
    <t xml:space="preserve">   6.14㈢</t>
  </si>
  <si>
    <t>中核科技</t>
  </si>
  <si>
    <t xml:space="preserve">         45.89亿</t>
  </si>
  <si>
    <t xml:space="preserve">         45.90亿</t>
  </si>
  <si>
    <t xml:space="preserve">         33.39亿</t>
  </si>
  <si>
    <t>0.236㈢</t>
  </si>
  <si>
    <t>新兴铸管</t>
  </si>
  <si>
    <t>钢加工</t>
  </si>
  <si>
    <t xml:space="preserve">        160.37亿</t>
  </si>
  <si>
    <t xml:space="preserve">        163.23亿</t>
  </si>
  <si>
    <t xml:space="preserve">         97.99亿</t>
  </si>
  <si>
    <t>0.327㈢</t>
  </si>
  <si>
    <t xml:space="preserve">   6.20㈢</t>
  </si>
  <si>
    <t>甘咨询</t>
  </si>
  <si>
    <t xml:space="preserve">         18.20亿</t>
  </si>
  <si>
    <t xml:space="preserve">         39.40亿</t>
  </si>
  <si>
    <t xml:space="preserve">         12.14亿</t>
  </si>
  <si>
    <t>8.72万</t>
  </si>
  <si>
    <t>0.634㈢</t>
  </si>
  <si>
    <t xml:space="preserve">  13.76㈢</t>
  </si>
  <si>
    <t>平庄能源</t>
  </si>
  <si>
    <t xml:space="preserve">         30.02亿</t>
  </si>
  <si>
    <t xml:space="preserve">         11.58亿</t>
  </si>
  <si>
    <t>2.64万</t>
  </si>
  <si>
    <t>-0.170㈢</t>
  </si>
  <si>
    <t xml:space="preserve">  -4.51㈢</t>
  </si>
  <si>
    <t>美达股份</t>
  </si>
  <si>
    <t xml:space="preserve">         18.22亿</t>
  </si>
  <si>
    <t xml:space="preserve">         12.88亿</t>
  </si>
  <si>
    <t>-0.070㈢</t>
  </si>
  <si>
    <t xml:space="preserve">  -2.64㈢</t>
  </si>
  <si>
    <t>长江证券</t>
  </si>
  <si>
    <t xml:space="preserve">        377.66亿</t>
  </si>
  <si>
    <t xml:space="preserve">        377.67亿</t>
  </si>
  <si>
    <t xml:space="preserve">        241.45亿</t>
  </si>
  <si>
    <t>12.52万</t>
  </si>
  <si>
    <t>0.265㈢</t>
  </si>
  <si>
    <t xml:space="preserve">   5.26㈢</t>
  </si>
  <si>
    <t>居然之家</t>
  </si>
  <si>
    <t xml:space="preserve">         15.20亿</t>
  </si>
  <si>
    <t xml:space="preserve">        620.64亿</t>
  </si>
  <si>
    <t xml:space="preserve">          4.52亿</t>
  </si>
  <si>
    <t>1.96万</t>
  </si>
  <si>
    <t>0.540㈢</t>
  </si>
  <si>
    <t xml:space="preserve">  10.20㈢</t>
  </si>
  <si>
    <t>北新建材</t>
  </si>
  <si>
    <t xml:space="preserve">        425.92亿</t>
  </si>
  <si>
    <t xml:space="preserve">        210.51亿</t>
  </si>
  <si>
    <t>68.17万</t>
  </si>
  <si>
    <t xml:space="preserve">  -0.08㈢</t>
  </si>
  <si>
    <t>北大医药</t>
  </si>
  <si>
    <t xml:space="preserve">         38.38亿</t>
  </si>
  <si>
    <t xml:space="preserve">         22.67亿</t>
  </si>
  <si>
    <t>4.64万</t>
  </si>
  <si>
    <t xml:space="preserve">   3.48㈢</t>
  </si>
  <si>
    <t>万年青</t>
  </si>
  <si>
    <t xml:space="preserve">         87.87亿</t>
  </si>
  <si>
    <t xml:space="preserve">         46.15亿</t>
  </si>
  <si>
    <t>9.08万</t>
  </si>
  <si>
    <t>1.140㈢</t>
  </si>
  <si>
    <t xml:space="preserve">  20.55㈢</t>
  </si>
  <si>
    <t>泰合健康</t>
  </si>
  <si>
    <t xml:space="preserve">         27.16亿</t>
  </si>
  <si>
    <t xml:space="preserve">         27.18亿</t>
  </si>
  <si>
    <t xml:space="preserve">         20.88亿</t>
  </si>
  <si>
    <t>4.79万</t>
  </si>
  <si>
    <t xml:space="preserve">   6.08㈢</t>
  </si>
  <si>
    <t>甘肃电投</t>
  </si>
  <si>
    <t xml:space="preserve">         49.49亿</t>
  </si>
  <si>
    <t xml:space="preserve">         18.53亿</t>
  </si>
  <si>
    <t>3.44万</t>
  </si>
  <si>
    <t>0.359㈢</t>
  </si>
  <si>
    <t xml:space="preserve">   7.55㈢</t>
  </si>
  <si>
    <t>*ST盐湖</t>
  </si>
  <si>
    <t xml:space="preserve">        219.44亿</t>
  </si>
  <si>
    <t xml:space="preserve">        222.33亿</t>
  </si>
  <si>
    <t xml:space="preserve">         99.89亿</t>
  </si>
  <si>
    <t>14.63万</t>
  </si>
  <si>
    <t>-0.181㈢</t>
  </si>
  <si>
    <t xml:space="preserve">  -3.13㈢</t>
  </si>
  <si>
    <t>华闻集团</t>
  </si>
  <si>
    <t xml:space="preserve">         64.69亿</t>
  </si>
  <si>
    <t xml:space="preserve">         66.51亿</t>
  </si>
  <si>
    <t xml:space="preserve">         48.10亿</t>
  </si>
  <si>
    <t>5.44万</t>
  </si>
  <si>
    <t xml:space="preserve">   1.08㈢</t>
  </si>
  <si>
    <t>英洛华</t>
  </si>
  <si>
    <t xml:space="preserve">         68.88亿</t>
  </si>
  <si>
    <t xml:space="preserve">         69.04亿</t>
  </si>
  <si>
    <t xml:space="preserve">         34.59亿</t>
  </si>
  <si>
    <t>0.087㈢</t>
  </si>
  <si>
    <t>凯撒旅业</t>
  </si>
  <si>
    <t xml:space="preserve">         72.95亿</t>
  </si>
  <si>
    <t xml:space="preserve">         72.99亿</t>
  </si>
  <si>
    <t xml:space="preserve">         24.24亿</t>
  </si>
  <si>
    <t>6.41万</t>
  </si>
  <si>
    <t>0.269㈢</t>
  </si>
  <si>
    <t xml:space="preserve">   8.89㈢</t>
  </si>
  <si>
    <t>中国武夷</t>
  </si>
  <si>
    <t xml:space="preserve">         53.90亿</t>
  </si>
  <si>
    <t xml:space="preserve">         54.22亿</t>
  </si>
  <si>
    <t xml:space="preserve">         25.06亿</t>
  </si>
  <si>
    <t>8.75万</t>
  </si>
  <si>
    <t xml:space="preserve">   3.17㈢</t>
  </si>
  <si>
    <t>中水渔业</t>
  </si>
  <si>
    <t>渔业</t>
  </si>
  <si>
    <t xml:space="preserve">         19.45亿</t>
  </si>
  <si>
    <t xml:space="preserve">          7.94亿</t>
  </si>
  <si>
    <t>4.37万</t>
  </si>
  <si>
    <t xml:space="preserve">   1.65㈢</t>
  </si>
  <si>
    <t>酒鬼酒</t>
  </si>
  <si>
    <t xml:space="preserve">        118.53亿</t>
  </si>
  <si>
    <t xml:space="preserve">         81.79亿</t>
  </si>
  <si>
    <t>12.12万</t>
  </si>
  <si>
    <t>0.566㈢</t>
  </si>
  <si>
    <t xml:space="preserve">   7.95㈢</t>
  </si>
  <si>
    <t>一汽轿车</t>
  </si>
  <si>
    <t xml:space="preserve">        143.43亿</t>
  </si>
  <si>
    <t xml:space="preserve">        165.35亿</t>
  </si>
  <si>
    <t xml:space="preserve">         77.67亿</t>
  </si>
  <si>
    <t>10.12万</t>
  </si>
  <si>
    <t>-0.164㈢</t>
  </si>
  <si>
    <t xml:space="preserve">  -3.45㈢</t>
  </si>
  <si>
    <t>四川九洲</t>
  </si>
  <si>
    <t xml:space="preserve">         55.03亿</t>
  </si>
  <si>
    <t xml:space="preserve">         28.46亿</t>
  </si>
  <si>
    <t>5.92万</t>
  </si>
  <si>
    <t xml:space="preserve">  -0.25㈢</t>
  </si>
  <si>
    <t>北京文化</t>
  </si>
  <si>
    <t xml:space="preserve">         69.42亿</t>
  </si>
  <si>
    <t xml:space="preserve">         69.87亿</t>
  </si>
  <si>
    <t xml:space="preserve">         34.84亿</t>
  </si>
  <si>
    <t>0.163㈢</t>
  </si>
  <si>
    <t xml:space="preserve">   2.26㈢</t>
  </si>
  <si>
    <t>金宇车城</t>
  </si>
  <si>
    <t xml:space="preserve">         18.15亿</t>
  </si>
  <si>
    <t xml:space="preserve">          6.07亿</t>
  </si>
  <si>
    <t>12.26万</t>
  </si>
  <si>
    <t>-0.492㈢</t>
  </si>
  <si>
    <t>-271.04㈢</t>
  </si>
  <si>
    <t>ST银河</t>
  </si>
  <si>
    <t xml:space="preserve">         13.39亿</t>
  </si>
  <si>
    <t>1.62万</t>
  </si>
  <si>
    <t>-0.099㈢</t>
  </si>
  <si>
    <t xml:space="preserve">  -8.48㈢</t>
  </si>
  <si>
    <t>云铝股份</t>
  </si>
  <si>
    <t xml:space="preserve">        136.85亿</t>
  </si>
  <si>
    <t xml:space="preserve">        136.86亿</t>
  </si>
  <si>
    <t xml:space="preserve">         78.59亿</t>
  </si>
  <si>
    <t>5.52万</t>
  </si>
  <si>
    <t>0.112㈢</t>
  </si>
  <si>
    <t xml:space="preserve">   3.40㈢</t>
  </si>
  <si>
    <t>铁岭新城</t>
  </si>
  <si>
    <t xml:space="preserve">         19.38亿</t>
  </si>
  <si>
    <t xml:space="preserve">         12.74亿</t>
  </si>
  <si>
    <t>4.54万</t>
  </si>
  <si>
    <t>-0.062㈢</t>
  </si>
  <si>
    <t xml:space="preserve">  -1.61㈢</t>
  </si>
  <si>
    <t>创维数字</t>
  </si>
  <si>
    <t xml:space="preserve">        114.48亿</t>
  </si>
  <si>
    <t xml:space="preserve">        123.40亿</t>
  </si>
  <si>
    <t xml:space="preserve">         46.32亿</t>
  </si>
  <si>
    <t>9.51万</t>
  </si>
  <si>
    <t xml:space="preserve">  13.94㈢</t>
  </si>
  <si>
    <t>冰轮环境</t>
  </si>
  <si>
    <t xml:space="preserve">         51.61亿</t>
  </si>
  <si>
    <t xml:space="preserve">         29.18亿</t>
  </si>
  <si>
    <t>8.61万</t>
  </si>
  <si>
    <t>0.450㈢</t>
  </si>
  <si>
    <t xml:space="preserve">   8.40㈢</t>
  </si>
  <si>
    <t>陕西金叶</t>
  </si>
  <si>
    <t xml:space="preserve">         21.92亿</t>
  </si>
  <si>
    <t xml:space="preserve">         25.14亿</t>
  </si>
  <si>
    <t xml:space="preserve">         18.27亿</t>
  </si>
  <si>
    <t xml:space="preserve">   1.84㈢</t>
  </si>
  <si>
    <t>德展健康</t>
  </si>
  <si>
    <t xml:space="preserve">        126.28亿</t>
  </si>
  <si>
    <t xml:space="preserve">        140.54亿</t>
  </si>
  <si>
    <t xml:space="preserve">         39.00亿</t>
  </si>
  <si>
    <t>11.60万</t>
  </si>
  <si>
    <t xml:space="preserve">   6.02㈢</t>
  </si>
  <si>
    <t>美利云</t>
  </si>
  <si>
    <t xml:space="preserve">         47.21亿</t>
  </si>
  <si>
    <t xml:space="preserve">         19.21亿</t>
  </si>
  <si>
    <t>0.028㈢</t>
  </si>
  <si>
    <t xml:space="preserve">   0.93㈢</t>
  </si>
  <si>
    <t>ST慧业</t>
  </si>
  <si>
    <t>农用机械</t>
  </si>
  <si>
    <t xml:space="preserve">         21.28亿</t>
  </si>
  <si>
    <t xml:space="preserve">         15.74亿</t>
  </si>
  <si>
    <t>1.49万</t>
  </si>
  <si>
    <t>-0.080㈢</t>
  </si>
  <si>
    <t xml:space="preserve">  -3.80㈢</t>
  </si>
  <si>
    <t>航锦科技</t>
  </si>
  <si>
    <t xml:space="preserve">        134.86亿</t>
  </si>
  <si>
    <t xml:space="preserve">        137.24亿</t>
  </si>
  <si>
    <t xml:space="preserve">         95.41亿</t>
  </si>
  <si>
    <t>22.45万</t>
  </si>
  <si>
    <t>0.349㈢</t>
  </si>
  <si>
    <t xml:space="preserve">   9.36㈢</t>
  </si>
  <si>
    <t>岳阳兴长</t>
  </si>
  <si>
    <t xml:space="preserve">         23.10亿</t>
  </si>
  <si>
    <t xml:space="preserve">         23.11亿</t>
  </si>
  <si>
    <t xml:space="preserve">         14.21亿</t>
  </si>
  <si>
    <t>4.76万</t>
  </si>
  <si>
    <t>0.169㈢</t>
  </si>
  <si>
    <t>*ST节能</t>
  </si>
  <si>
    <t xml:space="preserve">          5.01亿</t>
  </si>
  <si>
    <t xml:space="preserve">          4.80亿</t>
  </si>
  <si>
    <t>-0.226㈢</t>
  </si>
  <si>
    <t>-308.66㈢</t>
  </si>
  <si>
    <t>京山轻机</t>
  </si>
  <si>
    <t xml:space="preserve">         29.10亿</t>
  </si>
  <si>
    <t xml:space="preserve">         18.88亿</t>
  </si>
  <si>
    <t>5.21万</t>
  </si>
  <si>
    <t>0.270㈢</t>
  </si>
  <si>
    <t xml:space="preserve">   4.89㈢</t>
  </si>
  <si>
    <t>山东海化</t>
  </si>
  <si>
    <t xml:space="preserve">         42.61亿</t>
  </si>
  <si>
    <t xml:space="preserve">         25.42亿</t>
  </si>
  <si>
    <t>0.273㈢</t>
  </si>
  <si>
    <t xml:space="preserve">   7.11㈢</t>
  </si>
  <si>
    <t>超声电子</t>
  </si>
  <si>
    <t xml:space="preserve">         75.06亿</t>
  </si>
  <si>
    <t xml:space="preserve">         75.07亿</t>
  </si>
  <si>
    <t xml:space="preserve">         52.31亿</t>
  </si>
  <si>
    <t>0.382㈢</t>
  </si>
  <si>
    <t>太钢不锈</t>
  </si>
  <si>
    <t xml:space="preserve">        229.55亿</t>
  </si>
  <si>
    <t xml:space="preserve">        229.56亿</t>
  </si>
  <si>
    <t xml:space="preserve">         83.81亿</t>
  </si>
  <si>
    <t>4.48万</t>
  </si>
  <si>
    <t>0.324㈢</t>
  </si>
  <si>
    <t xml:space="preserve">   5.83㈢</t>
  </si>
  <si>
    <t>启迪环境</t>
  </si>
  <si>
    <t xml:space="preserve">        107.54亿</t>
  </si>
  <si>
    <t xml:space="preserve">        129.18亿</t>
  </si>
  <si>
    <t xml:space="preserve">         60.39亿</t>
  </si>
  <si>
    <t>10.45万</t>
  </si>
  <si>
    <t xml:space="preserve">   2.88㈢</t>
  </si>
  <si>
    <t>东莞控股</t>
  </si>
  <si>
    <t xml:space="preserve">         84.10亿</t>
  </si>
  <si>
    <t xml:space="preserve">         25.38亿</t>
  </si>
  <si>
    <t>8.16万</t>
  </si>
  <si>
    <t>0.802㈢</t>
  </si>
  <si>
    <t xml:space="preserve">  11.95㈢</t>
  </si>
  <si>
    <t>天音控股</t>
  </si>
  <si>
    <t xml:space="preserve">         60.98亿</t>
  </si>
  <si>
    <t xml:space="preserve">         68.05亿</t>
  </si>
  <si>
    <t xml:space="preserve">         36.69亿</t>
  </si>
  <si>
    <t xml:space="preserve">   1.21㈢</t>
  </si>
  <si>
    <t>鲁西化工</t>
  </si>
  <si>
    <t xml:space="preserve">        149.63亿</t>
  </si>
  <si>
    <t xml:space="preserve">        149.71亿</t>
  </si>
  <si>
    <t xml:space="preserve">         99.32亿</t>
  </si>
  <si>
    <t>7.15万</t>
  </si>
  <si>
    <t>0.580㈢</t>
  </si>
  <si>
    <t xml:space="preserve">   8.34㈢</t>
  </si>
  <si>
    <t>五矿稀土</t>
  </si>
  <si>
    <t xml:space="preserve">        127.71亿</t>
  </si>
  <si>
    <t xml:space="preserve">         76.52亿</t>
  </si>
  <si>
    <t>6.34万</t>
  </si>
  <si>
    <t>0.063㈢</t>
  </si>
  <si>
    <t>粤桂股份</t>
  </si>
  <si>
    <t xml:space="preserve">         18.72亿</t>
  </si>
  <si>
    <t xml:space="preserve">         33.09亿</t>
  </si>
  <si>
    <t xml:space="preserve">         14.96亿</t>
  </si>
  <si>
    <t>3.04万</t>
  </si>
  <si>
    <t xml:space="preserve">   1.87㈢</t>
  </si>
  <si>
    <t>长城动漫</t>
  </si>
  <si>
    <t xml:space="preserve">         15.75亿</t>
  </si>
  <si>
    <t xml:space="preserve">         16.99亿</t>
  </si>
  <si>
    <t xml:space="preserve">         11.28亿</t>
  </si>
  <si>
    <t>-0.120㈢</t>
  </si>
  <si>
    <t>富通鑫茂</t>
  </si>
  <si>
    <t xml:space="preserve">         44.59亿</t>
  </si>
  <si>
    <t xml:space="preserve">         35.81亿</t>
  </si>
  <si>
    <t>0.034㈢</t>
  </si>
  <si>
    <t xml:space="preserve">   3.32㈢</t>
  </si>
  <si>
    <t>秦川机床</t>
  </si>
  <si>
    <t xml:space="preserve">         29.47亿</t>
  </si>
  <si>
    <t xml:space="preserve">         20.46亿</t>
  </si>
  <si>
    <t>-0.008㈢</t>
  </si>
  <si>
    <t xml:space="preserve">  -0.22㈢</t>
  </si>
  <si>
    <t>财信发展</t>
  </si>
  <si>
    <t xml:space="preserve">         26.57亿</t>
  </si>
  <si>
    <t xml:space="preserve">         34.55亿</t>
  </si>
  <si>
    <t xml:space="preserve">         13.22亿</t>
  </si>
  <si>
    <t>2.01万</t>
  </si>
  <si>
    <t>中信国安</t>
  </si>
  <si>
    <t xml:space="preserve">        135.99亿</t>
  </si>
  <si>
    <t xml:space="preserve">        136.02亿</t>
  </si>
  <si>
    <t xml:space="preserve">         86.42亿</t>
  </si>
  <si>
    <t>0.021㈢</t>
  </si>
  <si>
    <t xml:space="preserve">   0.89㈢</t>
  </si>
  <si>
    <t>承德露露</t>
  </si>
  <si>
    <t>软饮料</t>
  </si>
  <si>
    <t xml:space="preserve">         75.53亿</t>
  </si>
  <si>
    <t xml:space="preserve">         75.55亿</t>
  </si>
  <si>
    <t xml:space="preserve">         40.94亿</t>
  </si>
  <si>
    <t>7.73万</t>
  </si>
  <si>
    <t xml:space="preserve">  19.16㈢</t>
  </si>
  <si>
    <t>华茂股份</t>
  </si>
  <si>
    <t xml:space="preserve">         37.17亿</t>
  </si>
  <si>
    <t xml:space="preserve">         37.18亿</t>
  </si>
  <si>
    <t xml:space="preserve">         19.92亿</t>
  </si>
  <si>
    <t>3.99万</t>
  </si>
  <si>
    <t>0.293㈢</t>
  </si>
  <si>
    <t>高鸿股份</t>
  </si>
  <si>
    <t xml:space="preserve">         50.67亿</t>
  </si>
  <si>
    <t xml:space="preserve">         52.82亿</t>
  </si>
  <si>
    <t xml:space="preserve">         43.91亿</t>
  </si>
  <si>
    <t>6.36万</t>
  </si>
  <si>
    <t xml:space="preserve">   0.79㈢</t>
  </si>
  <si>
    <t>石化机械</t>
  </si>
  <si>
    <t>化工机械</t>
  </si>
  <si>
    <t xml:space="preserve">         48.83亿</t>
  </si>
  <si>
    <t>0.045㈢</t>
  </si>
  <si>
    <t xml:space="preserve">   1.91㈢</t>
  </si>
  <si>
    <t>冀东装备</t>
  </si>
  <si>
    <t xml:space="preserve">         24.33亿</t>
  </si>
  <si>
    <t xml:space="preserve">         17.03亿</t>
  </si>
  <si>
    <t>3.81万</t>
  </si>
  <si>
    <t>0.027㈢</t>
  </si>
  <si>
    <t xml:space="preserve">   1.90㈢</t>
  </si>
  <si>
    <t>五 粮 液</t>
  </si>
  <si>
    <t xml:space="preserve">       4896.54亿</t>
  </si>
  <si>
    <t xml:space="preserve">       5007.27亿</t>
  </si>
  <si>
    <t xml:space="preserve">       2150.95亿</t>
  </si>
  <si>
    <t>70.27万</t>
  </si>
  <si>
    <t>3.232㈢</t>
  </si>
  <si>
    <t xml:space="preserve">  18.07㈢</t>
  </si>
  <si>
    <t>国风塑业</t>
  </si>
  <si>
    <t>塑料</t>
  </si>
  <si>
    <t xml:space="preserve">         45.17亿</t>
  </si>
  <si>
    <t xml:space="preserve">         45.18亿</t>
  </si>
  <si>
    <t xml:space="preserve">         32.64亿</t>
  </si>
  <si>
    <t>0.100㈢</t>
  </si>
  <si>
    <t xml:space="preserve">   4.52㈢</t>
  </si>
  <si>
    <t>顺鑫农业</t>
  </si>
  <si>
    <t xml:space="preserve">        369.10亿</t>
  </si>
  <si>
    <t xml:space="preserve">        227.18亿</t>
  </si>
  <si>
    <t>70.96万</t>
  </si>
  <si>
    <t>0.896㈢</t>
  </si>
  <si>
    <t xml:space="preserve">   9.12㈢</t>
  </si>
  <si>
    <t>海印股份</t>
  </si>
  <si>
    <t xml:space="preserve">         51.32亿</t>
  </si>
  <si>
    <t xml:space="preserve">         56.13亿</t>
  </si>
  <si>
    <t xml:space="preserve">         23.28亿</t>
  </si>
  <si>
    <t xml:space="preserve">   3.23㈢</t>
  </si>
  <si>
    <t>银星能源</t>
  </si>
  <si>
    <t xml:space="preserve">         35.66亿</t>
  </si>
  <si>
    <t>三湘印象</t>
  </si>
  <si>
    <t xml:space="preserve">         53.68亿</t>
  </si>
  <si>
    <t xml:space="preserve">         62.39亿</t>
  </si>
  <si>
    <t>10.71万</t>
  </si>
  <si>
    <t>0.252㈢</t>
  </si>
  <si>
    <t xml:space="preserve">   5.84㈢</t>
  </si>
  <si>
    <t>*ST安凯</t>
  </si>
  <si>
    <t xml:space="preserve">         35.13亿</t>
  </si>
  <si>
    <t xml:space="preserve">         37.03亿</t>
  </si>
  <si>
    <t xml:space="preserve">         21.56亿</t>
  </si>
  <si>
    <t>3.63万</t>
  </si>
  <si>
    <t>0.184㈢</t>
  </si>
  <si>
    <t xml:space="preserve">  25.62㈢</t>
  </si>
  <si>
    <t>张 裕Ａ</t>
  </si>
  <si>
    <t>红黄酒</t>
  </si>
  <si>
    <t xml:space="preserve">        127.60亿</t>
  </si>
  <si>
    <t xml:space="preserve">        192.89亿</t>
  </si>
  <si>
    <t>22.44万</t>
  </si>
  <si>
    <t>1.063㈢</t>
  </si>
  <si>
    <t xml:space="preserve">   7.36㈢</t>
  </si>
  <si>
    <t>吉电股份</t>
  </si>
  <si>
    <t xml:space="preserve">         60.58亿</t>
  </si>
  <si>
    <t xml:space="preserve">         66.54亿</t>
  </si>
  <si>
    <t xml:space="preserve">         47.80亿</t>
  </si>
  <si>
    <t>2.71万</t>
  </si>
  <si>
    <t xml:space="preserve">   3.91㈢</t>
  </si>
  <si>
    <t>新 希 望</t>
  </si>
  <si>
    <t xml:space="preserve">        809.67亿</t>
  </si>
  <si>
    <t xml:space="preserve">        812.85亿</t>
  </si>
  <si>
    <t xml:space="preserve">        370.15亿</t>
  </si>
  <si>
    <t>40.23万</t>
  </si>
  <si>
    <t xml:space="preserve">  12.76㈢</t>
  </si>
  <si>
    <t>天山股份</t>
  </si>
  <si>
    <t xml:space="preserve">         98.13亿</t>
  </si>
  <si>
    <t xml:space="preserve">        116.93亿</t>
  </si>
  <si>
    <t xml:space="preserve">         63.30亿</t>
  </si>
  <si>
    <t>1.126㈢</t>
  </si>
  <si>
    <t xml:space="preserve">  12.85㈢</t>
  </si>
  <si>
    <t>云南铜业</t>
  </si>
  <si>
    <t xml:space="preserve">        186.54亿</t>
  </si>
  <si>
    <t xml:space="preserve">        223.85亿</t>
  </si>
  <si>
    <t xml:space="preserve">        102.58亿</t>
  </si>
  <si>
    <t>0.363㈢</t>
  </si>
  <si>
    <t xml:space="preserve">   7.39㈢</t>
  </si>
  <si>
    <t>潍柴重机</t>
  </si>
  <si>
    <t xml:space="preserve">         10.43亿</t>
  </si>
  <si>
    <t>0.228㈢</t>
  </si>
  <si>
    <t xml:space="preserve">   4.40㈢</t>
  </si>
  <si>
    <t>中广核技</t>
  </si>
  <si>
    <t xml:space="preserve">         21.19亿</t>
  </si>
  <si>
    <t xml:space="preserve">         65.05亿</t>
  </si>
  <si>
    <t xml:space="preserve">         16.75亿</t>
  </si>
  <si>
    <t>5.58万</t>
  </si>
  <si>
    <t>0.080㈢</t>
  </si>
  <si>
    <t xml:space="preserve">   1.32㈢</t>
  </si>
  <si>
    <t>华联股份</t>
  </si>
  <si>
    <t xml:space="preserve">         55.85亿</t>
  </si>
  <si>
    <t xml:space="preserve">         61.59亿</t>
  </si>
  <si>
    <t xml:space="preserve">         34.98亿</t>
  </si>
  <si>
    <t xml:space="preserve">   2.69㈢</t>
  </si>
  <si>
    <t>湖北能源</t>
  </si>
  <si>
    <t xml:space="preserve">        269.29亿</t>
  </si>
  <si>
    <t xml:space="preserve">        269.41亿</t>
  </si>
  <si>
    <t xml:space="preserve">         74.71亿</t>
  </si>
  <si>
    <t>7.51万</t>
  </si>
  <si>
    <t>0.233㈢</t>
  </si>
  <si>
    <t>城发环境</t>
  </si>
  <si>
    <t xml:space="preserve">         52.42亿</t>
  </si>
  <si>
    <t xml:space="preserve">         17.90亿</t>
  </si>
  <si>
    <t>4.81万</t>
  </si>
  <si>
    <t>1.121㈢</t>
  </si>
  <si>
    <t xml:space="preserve">  19.01㈢</t>
  </si>
  <si>
    <t>海南高速</t>
  </si>
  <si>
    <t xml:space="preserve">         39.80亿</t>
  </si>
  <si>
    <t xml:space="preserve">         40.64亿</t>
  </si>
  <si>
    <t>3.61万</t>
  </si>
  <si>
    <t xml:space="preserve">   1.96㈢</t>
  </si>
  <si>
    <t>中鼎股份</t>
  </si>
  <si>
    <t>橡胶</t>
  </si>
  <si>
    <t xml:space="preserve">        104.03亿</t>
  </si>
  <si>
    <t xml:space="preserve">        104.26亿</t>
  </si>
  <si>
    <t xml:space="preserve">         55.35亿</t>
  </si>
  <si>
    <t>13.32万</t>
  </si>
  <si>
    <t>0.492㈢</t>
  </si>
  <si>
    <t xml:space="preserve">   6.83㈢</t>
  </si>
  <si>
    <t>峨眉山Ａ</t>
  </si>
  <si>
    <t xml:space="preserve">         34.30亿</t>
  </si>
  <si>
    <t xml:space="preserve">         20.72亿</t>
  </si>
  <si>
    <t>5.62万</t>
  </si>
  <si>
    <t>0.354㈢</t>
  </si>
  <si>
    <t xml:space="preserve">   7.47㈢</t>
  </si>
  <si>
    <t>中嘉博创</t>
  </si>
  <si>
    <t xml:space="preserve">         62.90亿</t>
  </si>
  <si>
    <t xml:space="preserve">         19.74亿</t>
  </si>
  <si>
    <t>7.57万</t>
  </si>
  <si>
    <t xml:space="preserve">   3.02㈢</t>
  </si>
  <si>
    <t>法 尔 胜</t>
  </si>
  <si>
    <t xml:space="preserve">         20.96亿</t>
  </si>
  <si>
    <t xml:space="preserve">         13.34亿</t>
  </si>
  <si>
    <t>-0.409㈢</t>
  </si>
  <si>
    <t xml:space="preserve"> -29.21㈢</t>
  </si>
  <si>
    <t>欢瑞世纪</t>
  </si>
  <si>
    <t xml:space="preserve">         27.82亿</t>
  </si>
  <si>
    <t xml:space="preserve">         50.72亿</t>
  </si>
  <si>
    <t xml:space="preserve">         25.29亿</t>
  </si>
  <si>
    <t>12.30万</t>
  </si>
  <si>
    <t xml:space="preserve">   0.16㈢</t>
  </si>
  <si>
    <t>东凌国际</t>
  </si>
  <si>
    <t xml:space="preserve">         24.16亿</t>
  </si>
  <si>
    <t xml:space="preserve">         14.08亿</t>
  </si>
  <si>
    <t>10.54万</t>
  </si>
  <si>
    <t>双汇发展</t>
  </si>
  <si>
    <t xml:space="preserve">        253.29亿</t>
  </si>
  <si>
    <t xml:space="preserve">        952.63亿</t>
  </si>
  <si>
    <t xml:space="preserve">        120.86亿</t>
  </si>
  <si>
    <t>20.12万</t>
  </si>
  <si>
    <t>1.188㈢</t>
  </si>
  <si>
    <t xml:space="preserve">  25.96㈢</t>
  </si>
  <si>
    <t>*ST津滨</t>
  </si>
  <si>
    <t xml:space="preserve">         34.12亿</t>
  </si>
  <si>
    <t xml:space="preserve">         26.30亿</t>
  </si>
  <si>
    <t>-0.021㈢</t>
  </si>
  <si>
    <t xml:space="preserve">  -3.29㈢</t>
  </si>
  <si>
    <t>鞍钢股份</t>
  </si>
  <si>
    <t xml:space="preserve">        257.40亿</t>
  </si>
  <si>
    <t xml:space="preserve">         68.67亿</t>
  </si>
  <si>
    <t>6.49万</t>
  </si>
  <si>
    <t xml:space="preserve">   3.31㈢</t>
  </si>
  <si>
    <t>赣能股份</t>
  </si>
  <si>
    <t xml:space="preserve">         47.22亿</t>
  </si>
  <si>
    <t xml:space="preserve">         12.54亿</t>
  </si>
  <si>
    <t>0.289㈢</t>
  </si>
  <si>
    <t>现代投资</t>
  </si>
  <si>
    <t xml:space="preserve">         64.48亿</t>
  </si>
  <si>
    <t xml:space="preserve">         64.51亿</t>
  </si>
  <si>
    <t xml:space="preserve">         42.40亿</t>
  </si>
  <si>
    <t>0.542㈢</t>
  </si>
  <si>
    <t xml:space="preserve">   8.29㈢</t>
  </si>
  <si>
    <t>航天科技</t>
  </si>
  <si>
    <t xml:space="preserve">         63.79亿</t>
  </si>
  <si>
    <t xml:space="preserve">         69.10亿</t>
  </si>
  <si>
    <t xml:space="preserve">         44.42亿</t>
  </si>
  <si>
    <t>6.10万</t>
  </si>
  <si>
    <t>新洋丰</t>
  </si>
  <si>
    <t xml:space="preserve">         92.42亿</t>
  </si>
  <si>
    <t xml:space="preserve">        102.80亿</t>
  </si>
  <si>
    <t xml:space="preserve">         46.97亿</t>
  </si>
  <si>
    <t>20.04万</t>
  </si>
  <si>
    <t xml:space="preserve">   9.80㈢</t>
  </si>
  <si>
    <t>云内动力</t>
  </si>
  <si>
    <t xml:space="preserve">         44.89亿</t>
  </si>
  <si>
    <t xml:space="preserve">         50.06亿</t>
  </si>
  <si>
    <t xml:space="preserve">         30.13亿</t>
  </si>
  <si>
    <t>厦门港务</t>
  </si>
  <si>
    <t xml:space="preserve">         38.50亿</t>
  </si>
  <si>
    <t xml:space="preserve">         17.28亿</t>
  </si>
  <si>
    <t>3.36万</t>
  </si>
  <si>
    <t>0.134㈢</t>
  </si>
  <si>
    <t xml:space="preserve">   2.58㈢</t>
  </si>
  <si>
    <t>浙商中拓</t>
  </si>
  <si>
    <t xml:space="preserve">         37.98亿</t>
  </si>
  <si>
    <t xml:space="preserve">         39.13亿</t>
  </si>
  <si>
    <t xml:space="preserve">  12.74㈢</t>
  </si>
  <si>
    <t>景峰医药</t>
  </si>
  <si>
    <t xml:space="preserve">         25.85亿</t>
  </si>
  <si>
    <t xml:space="preserve">         32.11亿</t>
  </si>
  <si>
    <t xml:space="preserve">         18.87亿</t>
  </si>
  <si>
    <t>5.38万</t>
  </si>
  <si>
    <t>-0.162㈢</t>
  </si>
  <si>
    <t xml:space="preserve">  -6.14㈢</t>
  </si>
  <si>
    <t>数源科技</t>
  </si>
  <si>
    <t xml:space="preserve">         24.20亿</t>
  </si>
  <si>
    <t xml:space="preserve">         24.30亿</t>
  </si>
  <si>
    <t xml:space="preserve">         13.28亿</t>
  </si>
  <si>
    <t>3.42万</t>
  </si>
  <si>
    <t>0.065㈢</t>
  </si>
  <si>
    <t>大亚圣象</t>
  </si>
  <si>
    <t>家居用品</t>
  </si>
  <si>
    <t xml:space="preserve">         72.53亿</t>
  </si>
  <si>
    <t xml:space="preserve">         74.25亿</t>
  </si>
  <si>
    <t xml:space="preserve">         38.44亿</t>
  </si>
  <si>
    <t>22.64万</t>
  </si>
  <si>
    <t>0.845㈢</t>
  </si>
  <si>
    <t xml:space="preserve">   9.88㈢</t>
  </si>
  <si>
    <t>*ST 南糖</t>
  </si>
  <si>
    <t xml:space="preserve">         19.44亿</t>
  </si>
  <si>
    <t>2.81万</t>
  </si>
  <si>
    <t>-1.662㈢</t>
  </si>
  <si>
    <t>泸天化</t>
  </si>
  <si>
    <t xml:space="preserve">         74.95亿</t>
  </si>
  <si>
    <t xml:space="preserve">         30.85亿</t>
  </si>
  <si>
    <t>5.74万</t>
  </si>
  <si>
    <t>0.130㈢</t>
  </si>
  <si>
    <t>钱江摩托</t>
  </si>
  <si>
    <t>摩托车</t>
  </si>
  <si>
    <t xml:space="preserve">         48.57亿</t>
  </si>
  <si>
    <t xml:space="preserve">         28.44亿</t>
  </si>
  <si>
    <t>17.74万</t>
  </si>
  <si>
    <t>0.660㈢</t>
  </si>
  <si>
    <t xml:space="preserve">  10.71㈢</t>
  </si>
  <si>
    <t>山大华特</t>
  </si>
  <si>
    <t xml:space="preserve">         63.07亿</t>
  </si>
  <si>
    <t xml:space="preserve">         63.32亿</t>
  </si>
  <si>
    <t xml:space="preserve">         49.96亿</t>
  </si>
  <si>
    <t>28.79万</t>
  </si>
  <si>
    <t>0.659㈢</t>
  </si>
  <si>
    <t>电广传媒</t>
  </si>
  <si>
    <t xml:space="preserve">         83.63亿</t>
  </si>
  <si>
    <t xml:space="preserve">         91.57亿</t>
  </si>
  <si>
    <t xml:space="preserve">         68.38亿</t>
  </si>
  <si>
    <t>5.89万</t>
  </si>
  <si>
    <t>0.048㈢</t>
  </si>
  <si>
    <t>嘉凯城</t>
  </si>
  <si>
    <t xml:space="preserve">        110.78亿</t>
  </si>
  <si>
    <t>8.59万</t>
  </si>
  <si>
    <t>-0.244㈢</t>
  </si>
  <si>
    <t xml:space="preserve"> -14.59㈢</t>
  </si>
  <si>
    <t>金陵药业</t>
  </si>
  <si>
    <t xml:space="preserve">         35.95亿</t>
  </si>
  <si>
    <t xml:space="preserve">         36.04亿</t>
  </si>
  <si>
    <t xml:space="preserve">         19.65亿</t>
  </si>
  <si>
    <t>0.469㈢</t>
  </si>
  <si>
    <t xml:space="preserve">   7.97㈢</t>
  </si>
  <si>
    <t>南方汇通</t>
  </si>
  <si>
    <t xml:space="preserve">         28.01亿</t>
  </si>
  <si>
    <t xml:space="preserve">         28.02亿</t>
  </si>
  <si>
    <t xml:space="preserve">         15.27亿</t>
  </si>
  <si>
    <t>5.76万</t>
  </si>
  <si>
    <t xml:space="preserve">   6.31㈢</t>
  </si>
  <si>
    <t>海信家电</t>
  </si>
  <si>
    <t xml:space="preserve">        104.74亿</t>
  </si>
  <si>
    <t xml:space="preserve">        104.85亿</t>
  </si>
  <si>
    <t xml:space="preserve">         44.74亿</t>
  </si>
  <si>
    <t>14.50万</t>
  </si>
  <si>
    <t>0.990㈢</t>
  </si>
  <si>
    <t xml:space="preserve">  16.29㈢</t>
  </si>
  <si>
    <t>佳电股份</t>
  </si>
  <si>
    <t xml:space="preserve">         37.82亿</t>
  </si>
  <si>
    <t xml:space="preserve">         21.64亿</t>
  </si>
  <si>
    <t>7.08万</t>
  </si>
  <si>
    <t>0.558㈢</t>
  </si>
  <si>
    <t xml:space="preserve">  12.97㈢</t>
  </si>
  <si>
    <t>河北宣工</t>
  </si>
  <si>
    <t xml:space="preserve">         29.38亿</t>
  </si>
  <si>
    <t xml:space="preserve">         96.86亿</t>
  </si>
  <si>
    <t xml:space="preserve">         18.35亿</t>
  </si>
  <si>
    <t>6.95万</t>
  </si>
  <si>
    <t>0.624㈢</t>
  </si>
  <si>
    <t>众合科技</t>
  </si>
  <si>
    <t xml:space="preserve">         30.59亿</t>
  </si>
  <si>
    <t xml:space="preserve">         37.10亿</t>
  </si>
  <si>
    <t xml:space="preserve">         23.54亿</t>
  </si>
  <si>
    <t>7.42万</t>
  </si>
  <si>
    <t>0.153㈢</t>
  </si>
  <si>
    <t xml:space="preserve">   3.53㈢</t>
  </si>
  <si>
    <t>福星股份</t>
  </si>
  <si>
    <t xml:space="preserve">         60.77亿</t>
  </si>
  <si>
    <t xml:space="preserve">         61.79亿</t>
  </si>
  <si>
    <t>10.21万</t>
  </si>
  <si>
    <t>0.422㈢</t>
  </si>
  <si>
    <t xml:space="preserve">   3.63㈢</t>
  </si>
  <si>
    <t>一汽夏利</t>
  </si>
  <si>
    <t xml:space="preserve">         93.00亿</t>
  </si>
  <si>
    <t xml:space="preserve">         30.34亿</t>
  </si>
  <si>
    <t>5.08万</t>
  </si>
  <si>
    <t>-0.439㈢</t>
  </si>
  <si>
    <t>中钢国际</t>
  </si>
  <si>
    <t xml:space="preserve">         37.66亿</t>
  </si>
  <si>
    <t xml:space="preserve">         58.69亿</t>
  </si>
  <si>
    <t xml:space="preserve">         25.75亿</t>
  </si>
  <si>
    <t>5.51万</t>
  </si>
  <si>
    <t xml:space="preserve">   6.45㈢</t>
  </si>
  <si>
    <t>兰州黄河</t>
  </si>
  <si>
    <t xml:space="preserve">         12.91亿</t>
  </si>
  <si>
    <t xml:space="preserve">          8.91亿</t>
  </si>
  <si>
    <t>5.40万</t>
  </si>
  <si>
    <t>0.090㈢</t>
  </si>
  <si>
    <t>中粮科技</t>
  </si>
  <si>
    <t xml:space="preserve">         52.64亿</t>
  </si>
  <si>
    <t xml:space="preserve">        119.73亿</t>
  </si>
  <si>
    <t>3.92万</t>
  </si>
  <si>
    <t>0.211㈢</t>
  </si>
  <si>
    <t xml:space="preserve">   4.03㈢</t>
  </si>
  <si>
    <t>中 关 村</t>
  </si>
  <si>
    <t xml:space="preserve">         68.31亿</t>
  </si>
  <si>
    <t xml:space="preserve">         73.28亿</t>
  </si>
  <si>
    <t xml:space="preserve">         46.60亿</t>
  </si>
  <si>
    <t>0.135㈢</t>
  </si>
  <si>
    <t xml:space="preserve">   6.07㈢</t>
  </si>
  <si>
    <t>华菱钢铁</t>
  </si>
  <si>
    <t xml:space="preserve">        197.99亿</t>
  </si>
  <si>
    <t xml:space="preserve">        198.01亿</t>
  </si>
  <si>
    <t xml:space="preserve">         77.23亿</t>
  </si>
  <si>
    <t>8.05万</t>
  </si>
  <si>
    <t>0.804㈢</t>
  </si>
  <si>
    <t xml:space="preserve">  16.32㈢</t>
  </si>
  <si>
    <t>神火股份</t>
  </si>
  <si>
    <t xml:space="preserve">        100.15亿</t>
  </si>
  <si>
    <t xml:space="preserve">        100.16亿</t>
  </si>
  <si>
    <t xml:space="preserve">         56.92亿</t>
  </si>
  <si>
    <t>4.98万</t>
  </si>
  <si>
    <t>1.328㈢</t>
  </si>
  <si>
    <t xml:space="preserve">  29.58㈢</t>
  </si>
  <si>
    <t>四川双马</t>
  </si>
  <si>
    <t xml:space="preserve">        117.26亿</t>
  </si>
  <si>
    <t xml:space="preserve">         36.27亿</t>
  </si>
  <si>
    <t>0.734㈢</t>
  </si>
  <si>
    <t xml:space="preserve">  13.87㈢</t>
  </si>
  <si>
    <t>华西股份</t>
  </si>
  <si>
    <t xml:space="preserve">         67.20亿</t>
  </si>
  <si>
    <t xml:space="preserve">         67.25亿</t>
  </si>
  <si>
    <t xml:space="preserve">         39.90亿</t>
  </si>
  <si>
    <t>5.32万</t>
  </si>
  <si>
    <t>0.537㈢</t>
  </si>
  <si>
    <t xml:space="preserve">   9.43㈢</t>
  </si>
  <si>
    <t>冀中能源</t>
  </si>
  <si>
    <t xml:space="preserve">        103.18亿</t>
  </si>
  <si>
    <t xml:space="preserve">         35.64亿</t>
  </si>
  <si>
    <t>3.88万</t>
  </si>
  <si>
    <t>0.207㈢</t>
  </si>
  <si>
    <t xml:space="preserve">   3.50㈢</t>
  </si>
  <si>
    <t>紫光股份</t>
  </si>
  <si>
    <t xml:space="preserve">        631.46亿</t>
  </si>
  <si>
    <t xml:space="preserve">        189.99亿</t>
  </si>
  <si>
    <t>29.58万</t>
  </si>
  <si>
    <t>0.608㈢</t>
  </si>
  <si>
    <t xml:space="preserve">   4.50㈢</t>
  </si>
  <si>
    <t>南天信息</t>
  </si>
  <si>
    <t xml:space="preserve">         33.36亿</t>
  </si>
  <si>
    <t xml:space="preserve">         33.37亿</t>
  </si>
  <si>
    <t xml:space="preserve">         21.29亿</t>
  </si>
  <si>
    <t>-0.061㈢</t>
  </si>
  <si>
    <t xml:space="preserve">  -1.32㈢</t>
  </si>
  <si>
    <t>新乡化纤</t>
  </si>
  <si>
    <t xml:space="preserve">         49.53亿</t>
  </si>
  <si>
    <t xml:space="preserve">         49.55亿</t>
  </si>
  <si>
    <t xml:space="preserve">         21.72亿</t>
  </si>
  <si>
    <t>4.68万</t>
  </si>
  <si>
    <t xml:space="preserve">   2.68㈢</t>
  </si>
  <si>
    <t>重药控股</t>
  </si>
  <si>
    <t xml:space="preserve">         48.88亿</t>
  </si>
  <si>
    <t xml:space="preserve">         97.30亿</t>
  </si>
  <si>
    <t xml:space="preserve">         25.63亿</t>
  </si>
  <si>
    <t>7.89万</t>
  </si>
  <si>
    <t>0.373㈢</t>
  </si>
  <si>
    <t xml:space="preserve">   8.03㈢</t>
  </si>
  <si>
    <t>中国重汽</t>
  </si>
  <si>
    <t xml:space="preserve">        148.87亿</t>
  </si>
  <si>
    <t xml:space="preserve">        148.91亿</t>
  </si>
  <si>
    <t xml:space="preserve">         52.76亿</t>
  </si>
  <si>
    <t>18.73万</t>
  </si>
  <si>
    <t>1.222㈢</t>
  </si>
  <si>
    <t xml:space="preserve">  12.46㈢</t>
  </si>
  <si>
    <t>广济药业</t>
  </si>
  <si>
    <t xml:space="preserve">         23.48亿</t>
  </si>
  <si>
    <t xml:space="preserve">         19.59亿</t>
  </si>
  <si>
    <t>5.33万</t>
  </si>
  <si>
    <t>0.420㈢</t>
  </si>
  <si>
    <t xml:space="preserve">  10.66㈢</t>
  </si>
  <si>
    <t>*ST河化</t>
  </si>
  <si>
    <t xml:space="preserve">         12.94亿</t>
  </si>
  <si>
    <t xml:space="preserve">          7.46亿</t>
  </si>
  <si>
    <t>3.67万</t>
  </si>
  <si>
    <t>-0.171㈢</t>
  </si>
  <si>
    <t>欣龙控股</t>
  </si>
  <si>
    <t xml:space="preserve">         36.40亿</t>
  </si>
  <si>
    <t xml:space="preserve">         36.45亿</t>
  </si>
  <si>
    <t>7.01万</t>
  </si>
  <si>
    <t xml:space="preserve">  -1.87㈢</t>
  </si>
  <si>
    <t>中通客车</t>
  </si>
  <si>
    <t xml:space="preserve">         38.83亿</t>
  </si>
  <si>
    <t xml:space="preserve">         23.29亿</t>
  </si>
  <si>
    <t>3.83万</t>
  </si>
  <si>
    <t>0.093㈢</t>
  </si>
  <si>
    <t xml:space="preserve">   2.01㈢</t>
  </si>
  <si>
    <t>东方能源</t>
  </si>
  <si>
    <t xml:space="preserve">         61.45亿</t>
  </si>
  <si>
    <t xml:space="preserve">         61.62亿</t>
  </si>
  <si>
    <t xml:space="preserve">   6.88㈢</t>
  </si>
  <si>
    <t>首钢股份</t>
  </si>
  <si>
    <t xml:space="preserve">        175.48亿</t>
  </si>
  <si>
    <t xml:space="preserve">        183.54亿</t>
  </si>
  <si>
    <t xml:space="preserve">         24.22亿</t>
  </si>
  <si>
    <t>2.38万</t>
  </si>
  <si>
    <t xml:space="preserve">   4.57㈢</t>
  </si>
  <si>
    <t>锡业股份</t>
  </si>
  <si>
    <t xml:space="preserve">        175.39亿</t>
  </si>
  <si>
    <t xml:space="preserve">         96.45亿</t>
  </si>
  <si>
    <t>11.29万</t>
  </si>
  <si>
    <t>0.348㈢</t>
  </si>
  <si>
    <t xml:space="preserve">   4.68㈢</t>
  </si>
  <si>
    <t>中南建设</t>
  </si>
  <si>
    <t xml:space="preserve">        390.25亿</t>
  </si>
  <si>
    <t xml:space="preserve">        389.91亿</t>
  </si>
  <si>
    <t xml:space="preserve">        179.04亿</t>
  </si>
  <si>
    <t>51.84万</t>
  </si>
  <si>
    <t>0.607㈢</t>
  </si>
  <si>
    <t xml:space="preserve">  11.48㈢</t>
  </si>
  <si>
    <t>东方钽业</t>
  </si>
  <si>
    <t xml:space="preserve">         30.86亿</t>
  </si>
  <si>
    <t xml:space="preserve">         16.72亿</t>
  </si>
  <si>
    <t>4.21万</t>
  </si>
  <si>
    <t>0.038㈢</t>
  </si>
  <si>
    <t xml:space="preserve">   1.45㈢</t>
  </si>
  <si>
    <t>华东医药</t>
  </si>
  <si>
    <t xml:space="preserve">        417.85亿</t>
  </si>
  <si>
    <t xml:space="preserve">        174.53亿</t>
  </si>
  <si>
    <t>17.17万</t>
  </si>
  <si>
    <t>1.265㈢</t>
  </si>
  <si>
    <t xml:space="preserve">  18.98㈢</t>
  </si>
  <si>
    <t>天保基建</t>
  </si>
  <si>
    <t xml:space="preserve">         35.18亿</t>
  </si>
  <si>
    <t xml:space="preserve">         17.08亿</t>
  </si>
  <si>
    <t xml:space="preserve">  -0.59㈢</t>
  </si>
  <si>
    <t>长源电力</t>
  </si>
  <si>
    <t xml:space="preserve">         51.42亿</t>
  </si>
  <si>
    <t xml:space="preserve">         26.64亿</t>
  </si>
  <si>
    <t>5.67万</t>
  </si>
  <si>
    <t xml:space="preserve">  12.45㈢</t>
  </si>
  <si>
    <t>盈峰环境</t>
  </si>
  <si>
    <t xml:space="preserve">         70.70亿</t>
  </si>
  <si>
    <t xml:space="preserve">        195.16亿</t>
  </si>
  <si>
    <t xml:space="preserve">         45.32亿</t>
  </si>
  <si>
    <t>15.79万</t>
  </si>
  <si>
    <t>蓝焰控股</t>
  </si>
  <si>
    <t xml:space="preserve">         51.92亿</t>
  </si>
  <si>
    <t xml:space="preserve">         97.81亿</t>
  </si>
  <si>
    <t xml:space="preserve">         26.23亿</t>
  </si>
  <si>
    <t>10.16万</t>
  </si>
  <si>
    <t>0.523㈢</t>
  </si>
  <si>
    <t xml:space="preserve">  11.64㈢</t>
  </si>
  <si>
    <t>安泰科技</t>
  </si>
  <si>
    <t xml:space="preserve">         66.95亿</t>
  </si>
  <si>
    <t xml:space="preserve">         68.64亿</t>
  </si>
  <si>
    <t xml:space="preserve">         42.25亿</t>
  </si>
  <si>
    <t>6.66万</t>
  </si>
  <si>
    <t>中科三环</t>
  </si>
  <si>
    <t xml:space="preserve">        116.11亿</t>
  </si>
  <si>
    <t xml:space="preserve">         89.20亿</t>
  </si>
  <si>
    <t>0.147㈢</t>
  </si>
  <si>
    <t xml:space="preserve">   3.44㈢</t>
  </si>
  <si>
    <t>*ST高升</t>
  </si>
  <si>
    <t xml:space="preserve">         16.68亿</t>
  </si>
  <si>
    <t xml:space="preserve">         29.87亿</t>
  </si>
  <si>
    <t xml:space="preserve">         12.58亿</t>
  </si>
  <si>
    <t>3.33万</t>
  </si>
  <si>
    <t xml:space="preserve">  -0.57㈢</t>
  </si>
  <si>
    <t>ST中基</t>
  </si>
  <si>
    <t xml:space="preserve">         26.46亿</t>
  </si>
  <si>
    <t>4.35万</t>
  </si>
  <si>
    <t>0.030㈢</t>
  </si>
  <si>
    <t xml:space="preserve">   4.96㈢</t>
  </si>
  <si>
    <t>佛塑科技</t>
  </si>
  <si>
    <t xml:space="preserve">         44.40亿</t>
  </si>
  <si>
    <t xml:space="preserve">         32.86亿</t>
  </si>
  <si>
    <t>0.103㈢</t>
  </si>
  <si>
    <t xml:space="preserve">   4.17㈢</t>
  </si>
  <si>
    <t>银泰黄金</t>
  </si>
  <si>
    <t xml:space="preserve">        162.97亿</t>
  </si>
  <si>
    <t xml:space="preserve">        261.21亿</t>
  </si>
  <si>
    <t xml:space="preserve">        107.09亿</t>
  </si>
  <si>
    <t>25.70万</t>
  </si>
  <si>
    <t>0.332㈢</t>
  </si>
  <si>
    <t xml:space="preserve">   7.48㈢</t>
  </si>
  <si>
    <t>华铁股份</t>
  </si>
  <si>
    <t xml:space="preserve">         80.52亿</t>
  </si>
  <si>
    <t xml:space="preserve">         80.58亿</t>
  </si>
  <si>
    <t xml:space="preserve">         41.84亿</t>
  </si>
  <si>
    <t>13.16万</t>
  </si>
  <si>
    <t xml:space="preserve">   4.93㈢</t>
  </si>
  <si>
    <t>浪潮信息</t>
  </si>
  <si>
    <t xml:space="preserve">        379.30亿</t>
  </si>
  <si>
    <t xml:space="preserve">        238.49亿</t>
  </si>
  <si>
    <t>21.68万</t>
  </si>
  <si>
    <t>0.402㈢</t>
  </si>
  <si>
    <t>桂林旅游</t>
  </si>
  <si>
    <t xml:space="preserve">         18.97亿</t>
  </si>
  <si>
    <t xml:space="preserve">         18.98亿</t>
  </si>
  <si>
    <t xml:space="preserve">         12.55亿</t>
  </si>
  <si>
    <t xml:space="preserve">   3.45㈢</t>
  </si>
  <si>
    <t>众泰汽车</t>
  </si>
  <si>
    <t xml:space="preserve">         38.13亿</t>
  </si>
  <si>
    <t xml:space="preserve">         62.05亿</t>
  </si>
  <si>
    <t xml:space="preserve">         26.91亿</t>
  </si>
  <si>
    <t>-0.375㈢</t>
  </si>
  <si>
    <t xml:space="preserve">  -4.52㈢</t>
  </si>
  <si>
    <t>ST银亿</t>
  </si>
  <si>
    <t xml:space="preserve">         52.52亿</t>
  </si>
  <si>
    <t xml:space="preserve">         82.17亿</t>
  </si>
  <si>
    <t xml:space="preserve">  -5.01㈢</t>
  </si>
  <si>
    <t>*ST 中绒</t>
  </si>
  <si>
    <t xml:space="preserve">         83.11亿</t>
  </si>
  <si>
    <t xml:space="preserve">         66.03亿</t>
  </si>
  <si>
    <t>22.56万</t>
  </si>
  <si>
    <t>-0.161㈢</t>
  </si>
  <si>
    <t>西山煤电</t>
  </si>
  <si>
    <t xml:space="preserve">        186.24亿</t>
  </si>
  <si>
    <t xml:space="preserve">         84.93亿</t>
  </si>
  <si>
    <t>6.22万</t>
  </si>
  <si>
    <t>0.573㈢</t>
  </si>
  <si>
    <t xml:space="preserve">   8.54㈢</t>
  </si>
  <si>
    <t>大庆华科</t>
  </si>
  <si>
    <t xml:space="preserve">         20.74亿</t>
  </si>
  <si>
    <t xml:space="preserve">          7.57亿</t>
  </si>
  <si>
    <t>7.48万</t>
  </si>
  <si>
    <t>0.418㈢</t>
  </si>
  <si>
    <t>越秀金控</t>
  </si>
  <si>
    <t xml:space="preserve">        250.46亿</t>
  </si>
  <si>
    <t xml:space="preserve">        258.50亿</t>
  </si>
  <si>
    <t xml:space="preserve">         53.00亿</t>
  </si>
  <si>
    <t>13.66万</t>
  </si>
  <si>
    <t>0.487㈢</t>
  </si>
  <si>
    <t xml:space="preserve">   7.78㈢</t>
  </si>
  <si>
    <t>华工科技</t>
  </si>
  <si>
    <t>电器仪表</t>
  </si>
  <si>
    <t xml:space="preserve">        200.53亿</t>
  </si>
  <si>
    <t xml:space="preserve">        200.60亿</t>
  </si>
  <si>
    <t>15.43万</t>
  </si>
  <si>
    <t xml:space="preserve">   7.60㈢</t>
  </si>
  <si>
    <t>九 芝 堂</t>
  </si>
  <si>
    <t xml:space="preserve">         47.70亿</t>
  </si>
  <si>
    <t xml:space="preserve">         70.42亿</t>
  </si>
  <si>
    <t xml:space="preserve">         26.53亿</t>
  </si>
  <si>
    <t>7.00万</t>
  </si>
  <si>
    <t xml:space="preserve">   4.74㈢</t>
  </si>
  <si>
    <t>诚志股份</t>
  </si>
  <si>
    <t xml:space="preserve">        123.52亿</t>
  </si>
  <si>
    <t xml:space="preserve">        185.57亿</t>
  </si>
  <si>
    <t xml:space="preserve">         49.99亿</t>
  </si>
  <si>
    <t>14.72万</t>
  </si>
  <si>
    <t>0.280㈢</t>
  </si>
  <si>
    <t xml:space="preserve">   2.09㈢</t>
  </si>
  <si>
    <t>闽东电力</t>
  </si>
  <si>
    <t xml:space="preserve">         12.65亿</t>
  </si>
  <si>
    <t>0.464㈢</t>
  </si>
  <si>
    <t xml:space="preserve">  10.06㈢</t>
  </si>
  <si>
    <t>中国中期</t>
  </si>
  <si>
    <t xml:space="preserve">         28.71亿</t>
  </si>
  <si>
    <t>5.84万</t>
  </si>
  <si>
    <t xml:space="preserve">   0.80㈢</t>
  </si>
  <si>
    <t>新 大 陆</t>
  </si>
  <si>
    <t xml:space="preserve">        157.92亿</t>
  </si>
  <si>
    <t xml:space="preserve">        163.79亿</t>
  </si>
  <si>
    <t xml:space="preserve">        109.46亿</t>
  </si>
  <si>
    <t>13.00万</t>
  </si>
  <si>
    <t xml:space="preserve">  11.05㈢</t>
  </si>
  <si>
    <t>隆平高科</t>
  </si>
  <si>
    <t xml:space="preserve">        120.92亿</t>
  </si>
  <si>
    <t xml:space="preserve">        165.02亿</t>
  </si>
  <si>
    <t xml:space="preserve">        101.29亿</t>
  </si>
  <si>
    <t>11.54万</t>
  </si>
  <si>
    <t>-0.204㈢</t>
  </si>
  <si>
    <t xml:space="preserve">  -4.33㈢</t>
  </si>
  <si>
    <t>华润三九</t>
  </si>
  <si>
    <t xml:space="preserve">        292.34亿</t>
  </si>
  <si>
    <t xml:space="preserve">        292.50亿</t>
  </si>
  <si>
    <t xml:space="preserve">        106.32亿</t>
  </si>
  <si>
    <t>40.28万</t>
  </si>
  <si>
    <t>2.012㈢</t>
  </si>
  <si>
    <t xml:space="preserve">  15.86㈢</t>
  </si>
  <si>
    <t>宗申动力</t>
  </si>
  <si>
    <t xml:space="preserve">         51.51亿</t>
  </si>
  <si>
    <t xml:space="preserve">         66.18亿</t>
  </si>
  <si>
    <t xml:space="preserve">         39.09亿</t>
  </si>
  <si>
    <t>4.41万</t>
  </si>
  <si>
    <t>0.296㈢</t>
  </si>
  <si>
    <t xml:space="preserve">   8.11㈢</t>
  </si>
  <si>
    <t>招商港口</t>
  </si>
  <si>
    <t xml:space="preserve">         77.49亿</t>
  </si>
  <si>
    <t xml:space="preserve">        320.46亿</t>
  </si>
  <si>
    <t xml:space="preserve">         15.67亿</t>
  </si>
  <si>
    <t>13.33万</t>
  </si>
  <si>
    <t>1.380㈢</t>
  </si>
  <si>
    <t>豫能控股</t>
  </si>
  <si>
    <t xml:space="preserve">         32.72亿</t>
  </si>
  <si>
    <t xml:space="preserve">         40.50亿</t>
  </si>
  <si>
    <t xml:space="preserve">         14.50亿</t>
  </si>
  <si>
    <t>招商积余</t>
  </si>
  <si>
    <t xml:space="preserve">        128.42亿</t>
  </si>
  <si>
    <t xml:space="preserve">        204.22亿</t>
  </si>
  <si>
    <t xml:space="preserve">         62.55亿</t>
  </si>
  <si>
    <t>42.20万</t>
  </si>
  <si>
    <t>招商公路</t>
  </si>
  <si>
    <t xml:space="preserve">         48.16亿</t>
  </si>
  <si>
    <t xml:space="preserve">        536.27亿</t>
  </si>
  <si>
    <t>9.87万</t>
  </si>
  <si>
    <t>0.538㈢</t>
  </si>
  <si>
    <t>招商蛇口</t>
  </si>
  <si>
    <t xml:space="preserve">       1563.74亿</t>
  </si>
  <si>
    <t xml:space="preserve">       1563.82亿</t>
  </si>
  <si>
    <t xml:space="preserve">        557.55亿</t>
  </si>
  <si>
    <t>85.38万</t>
  </si>
  <si>
    <t xml:space="preserve">   6.68㈢</t>
  </si>
  <si>
    <t>新 和 成</t>
  </si>
  <si>
    <t xml:space="preserve">        470.76亿</t>
  </si>
  <si>
    <t xml:space="preserve">        476.79亿</t>
  </si>
  <si>
    <t xml:space="preserve">        239.26亿</t>
  </si>
  <si>
    <t>43.42万</t>
  </si>
  <si>
    <t>0.794㈢</t>
  </si>
  <si>
    <t xml:space="preserve">  10.41㈢</t>
  </si>
  <si>
    <t>鸿达兴业</t>
  </si>
  <si>
    <t xml:space="preserve">        106.58亿</t>
  </si>
  <si>
    <t xml:space="preserve">        108.21亿</t>
  </si>
  <si>
    <t xml:space="preserve">         54.14亿</t>
  </si>
  <si>
    <t>0.188㈢</t>
  </si>
  <si>
    <t xml:space="preserve">   7.43㈢</t>
  </si>
  <si>
    <t>伟星股份</t>
  </si>
  <si>
    <t>服饰</t>
  </si>
  <si>
    <t xml:space="preserve">         39.76亿</t>
  </si>
  <si>
    <t xml:space="preserve">         46.39亿</t>
  </si>
  <si>
    <t xml:space="preserve">         24.23亿</t>
  </si>
  <si>
    <t>0.369㈢</t>
  </si>
  <si>
    <t xml:space="preserve">  11.63㈢</t>
  </si>
  <si>
    <t>华邦健康</t>
  </si>
  <si>
    <t xml:space="preserve">         87.00亿</t>
  </si>
  <si>
    <t xml:space="preserve">         95.23亿</t>
  </si>
  <si>
    <t xml:space="preserve">         68.02亿</t>
  </si>
  <si>
    <t>7.02万</t>
  </si>
  <si>
    <t>0.256㈢</t>
  </si>
  <si>
    <t>*ST德豪</t>
  </si>
  <si>
    <t xml:space="preserve">         32.82亿</t>
  </si>
  <si>
    <t xml:space="preserve">         34.24亿</t>
  </si>
  <si>
    <t xml:space="preserve">         27.34亿</t>
  </si>
  <si>
    <t>4.03万</t>
  </si>
  <si>
    <t>-0.102㈢</t>
  </si>
  <si>
    <t xml:space="preserve">  -8.54㈢</t>
  </si>
  <si>
    <t>精功科技</t>
  </si>
  <si>
    <t xml:space="preserve">         21.30亿</t>
  </si>
  <si>
    <t>-0.140㈢</t>
  </si>
  <si>
    <t xml:space="preserve">  -6.65㈢</t>
  </si>
  <si>
    <t>华兰生物</t>
  </si>
  <si>
    <t xml:space="preserve">        406.94亿</t>
  </si>
  <si>
    <t xml:space="preserve">        474.37亿</t>
  </si>
  <si>
    <t xml:space="preserve">        225.44亿</t>
  </si>
  <si>
    <t>40.99万</t>
  </si>
  <si>
    <t>0.687㈢</t>
  </si>
  <si>
    <t xml:space="preserve">  15.49㈢</t>
  </si>
  <si>
    <t>大族激光</t>
  </si>
  <si>
    <t xml:space="preserve">        382.66亿</t>
  </si>
  <si>
    <t xml:space="preserve">        411.04亿</t>
  </si>
  <si>
    <t xml:space="preserve">        310.96亿</t>
  </si>
  <si>
    <t>36.17万</t>
  </si>
  <si>
    <t>天奇股份</t>
  </si>
  <si>
    <t xml:space="preserve">         23.59亿</t>
  </si>
  <si>
    <t xml:space="preserve">         28.05亿</t>
  </si>
  <si>
    <t xml:space="preserve">         15.81亿</t>
  </si>
  <si>
    <t>4.67万</t>
  </si>
  <si>
    <t>0.195㈢</t>
  </si>
  <si>
    <t xml:space="preserve">   3.58㈢</t>
  </si>
  <si>
    <t>传化智联</t>
  </si>
  <si>
    <t>仓储物流</t>
  </si>
  <si>
    <t xml:space="preserve">        212.60亿</t>
  </si>
  <si>
    <t xml:space="preserve">        217.62亿</t>
  </si>
  <si>
    <t xml:space="preserve">         73.37亿</t>
  </si>
  <si>
    <t>31.03万</t>
  </si>
  <si>
    <t>0.254㈢</t>
  </si>
  <si>
    <t xml:space="preserve">   6.32㈢</t>
  </si>
  <si>
    <t>盾安环境</t>
  </si>
  <si>
    <t xml:space="preserve">         44.58亿</t>
  </si>
  <si>
    <t xml:space="preserve">         44.76亿</t>
  </si>
  <si>
    <t xml:space="preserve">         25.77亿</t>
  </si>
  <si>
    <t>3.66万</t>
  </si>
  <si>
    <t>0.554㈢</t>
  </si>
  <si>
    <t xml:space="preserve">  18.52㈢</t>
  </si>
  <si>
    <t>凯恩股份</t>
  </si>
  <si>
    <t xml:space="preserve">         25.15亿</t>
  </si>
  <si>
    <t xml:space="preserve">         25.25亿</t>
  </si>
  <si>
    <t xml:space="preserve">         20.71亿</t>
  </si>
  <si>
    <t>4.47万</t>
  </si>
  <si>
    <t>中航机电</t>
  </si>
  <si>
    <t xml:space="preserve">        247.18亿</t>
  </si>
  <si>
    <t xml:space="preserve">        247.19亿</t>
  </si>
  <si>
    <t xml:space="preserve">        114.37亿</t>
  </si>
  <si>
    <t>12.21万</t>
  </si>
  <si>
    <t>0.157㈢</t>
  </si>
  <si>
    <t xml:space="preserve">   5.90㈢</t>
  </si>
  <si>
    <t>永新股份</t>
  </si>
  <si>
    <t xml:space="preserve">         47.44亿</t>
  </si>
  <si>
    <t xml:space="preserve">         17.19亿</t>
  </si>
  <si>
    <t>8.80万</t>
  </si>
  <si>
    <t>0.367㈢</t>
  </si>
  <si>
    <t xml:space="preserve">  10.42㈢</t>
  </si>
  <si>
    <t>协鑫能科</t>
  </si>
  <si>
    <t xml:space="preserve">         21.16亿</t>
  </si>
  <si>
    <t xml:space="preserve">         71.41亿</t>
  </si>
  <si>
    <t xml:space="preserve">         16.61亿</t>
  </si>
  <si>
    <t>8.26万</t>
  </si>
  <si>
    <t>0.318㈢</t>
  </si>
  <si>
    <t xml:space="preserve">   9.15㈢</t>
  </si>
  <si>
    <t>世荣兆业</t>
  </si>
  <si>
    <t xml:space="preserve">         58.73亿</t>
  </si>
  <si>
    <t xml:space="preserve">         69.18亿</t>
  </si>
  <si>
    <t xml:space="preserve">         17.93亿</t>
  </si>
  <si>
    <t>0.926㈢</t>
  </si>
  <si>
    <t xml:space="preserve">  24.67㈢</t>
  </si>
  <si>
    <t>东信和平</t>
  </si>
  <si>
    <t xml:space="preserve">         69.12亿</t>
  </si>
  <si>
    <t xml:space="preserve">         37.63亿</t>
  </si>
  <si>
    <t xml:space="preserve">   2.14㈢</t>
  </si>
  <si>
    <t>亿帆医药</t>
  </si>
  <si>
    <t xml:space="preserve">        129.05亿</t>
  </si>
  <si>
    <t xml:space="preserve">        196.03亿</t>
  </si>
  <si>
    <t xml:space="preserve">        109.24亿</t>
  </si>
  <si>
    <t>22.20万</t>
  </si>
  <si>
    <t>0.610㈢</t>
  </si>
  <si>
    <t xml:space="preserve">  10.19㈢</t>
  </si>
  <si>
    <t>京新药业</t>
  </si>
  <si>
    <t xml:space="preserve">         59.91亿</t>
  </si>
  <si>
    <t xml:space="preserve">         73.79亿</t>
  </si>
  <si>
    <t xml:space="preserve">         52.40亿</t>
  </si>
  <si>
    <t>0.710㈢</t>
  </si>
  <si>
    <t xml:space="preserve">  13.14㈢</t>
  </si>
  <si>
    <t>*ST中捷</t>
  </si>
  <si>
    <t>纺织机械</t>
  </si>
  <si>
    <t xml:space="preserve">         17.94亿</t>
  </si>
  <si>
    <t>-0.069㈢</t>
  </si>
  <si>
    <t>科华生物</t>
  </si>
  <si>
    <t xml:space="preserve">         56.43亿</t>
  </si>
  <si>
    <t xml:space="preserve">         56.60亿</t>
  </si>
  <si>
    <t xml:space="preserve">         41.86亿</t>
  </si>
  <si>
    <t>9.35万</t>
  </si>
  <si>
    <t>0.405㈢</t>
  </si>
  <si>
    <t xml:space="preserve">   8.91㈢</t>
  </si>
  <si>
    <t>海特高新</t>
  </si>
  <si>
    <t xml:space="preserve">         77.66亿</t>
  </si>
  <si>
    <t xml:space="preserve">         89.15亿</t>
  </si>
  <si>
    <t xml:space="preserve">         68.59亿</t>
  </si>
  <si>
    <t>8.35万</t>
  </si>
  <si>
    <t xml:space="preserve">   1.41㈢</t>
  </si>
  <si>
    <t>苏宁易购</t>
  </si>
  <si>
    <t>电器连锁</t>
  </si>
  <si>
    <t xml:space="preserve">        779.85亿</t>
  </si>
  <si>
    <t xml:space="preserve">        933.80亿</t>
  </si>
  <si>
    <t xml:space="preserve">        326.51亿</t>
  </si>
  <si>
    <t>10.76万</t>
  </si>
  <si>
    <t>1.300㈢</t>
  </si>
  <si>
    <t xml:space="preserve">  13.09㈢</t>
  </si>
  <si>
    <t>航天电器</t>
  </si>
  <si>
    <t xml:space="preserve">        114.09亿</t>
  </si>
  <si>
    <t xml:space="preserve">        114.11亿</t>
  </si>
  <si>
    <t xml:space="preserve">         62.17亿</t>
  </si>
  <si>
    <t>22.30万</t>
  </si>
  <si>
    <t>0.691㈢</t>
  </si>
  <si>
    <t xml:space="preserve">  10.12㈢</t>
  </si>
  <si>
    <t>山东威达</t>
  </si>
  <si>
    <t xml:space="preserve">         20.73亿</t>
  </si>
  <si>
    <t xml:space="preserve">         21.51亿</t>
  </si>
  <si>
    <t xml:space="preserve">         12.46亿</t>
  </si>
  <si>
    <t>5.39万</t>
  </si>
  <si>
    <t>0.244㈢</t>
  </si>
  <si>
    <t>分众传媒</t>
  </si>
  <si>
    <t xml:space="preserve">        915.90亿</t>
  </si>
  <si>
    <t xml:space="preserve">        638.38亿</t>
  </si>
  <si>
    <t>32.18万</t>
  </si>
  <si>
    <t xml:space="preserve">  10.10㈢</t>
  </si>
  <si>
    <t>思源电气</t>
  </si>
  <si>
    <t xml:space="preserve">         78.92亿</t>
  </si>
  <si>
    <t xml:space="preserve">        102.17亿</t>
  </si>
  <si>
    <t xml:space="preserve">         61.99亿</t>
  </si>
  <si>
    <t>24.08万</t>
  </si>
  <si>
    <t xml:space="preserve">   8.35㈢</t>
  </si>
  <si>
    <t>七 匹 狼</t>
  </si>
  <si>
    <t xml:space="preserve">         42.94亿</t>
  </si>
  <si>
    <t xml:space="preserve">         25.10亿</t>
  </si>
  <si>
    <t>6.85万</t>
  </si>
  <si>
    <t>0.262㈢</t>
  </si>
  <si>
    <t xml:space="preserve">   3.38㈢</t>
  </si>
  <si>
    <t>达安基因</t>
  </si>
  <si>
    <t xml:space="preserve">         81.33亿</t>
  </si>
  <si>
    <t xml:space="preserve">         85.32亿</t>
  </si>
  <si>
    <t xml:space="preserve">         54.34亿</t>
  </si>
  <si>
    <t>6.68万</t>
  </si>
  <si>
    <t>0.101㈢</t>
  </si>
  <si>
    <t>巨轮智能</t>
  </si>
  <si>
    <t xml:space="preserve">         43.11亿</t>
  </si>
  <si>
    <t xml:space="preserve">         31.69亿</t>
  </si>
  <si>
    <t>2.78万</t>
  </si>
  <si>
    <t xml:space="preserve">   2.83㈢</t>
  </si>
  <si>
    <t>苏 泊 尔</t>
  </si>
  <si>
    <t xml:space="preserve">        464.88亿</t>
  </si>
  <si>
    <t xml:space="preserve">        624.95亿</t>
  </si>
  <si>
    <t>442.62万</t>
  </si>
  <si>
    <t>1.530㈢</t>
  </si>
  <si>
    <t xml:space="preserve">  19.60㈢</t>
  </si>
  <si>
    <t>丽江旅游</t>
  </si>
  <si>
    <t xml:space="preserve">         33.63亿</t>
  </si>
  <si>
    <t xml:space="preserve">         18.49亿</t>
  </si>
  <si>
    <t>4.12万</t>
  </si>
  <si>
    <t xml:space="preserve">   7.28㈢</t>
  </si>
  <si>
    <t>旺能环境</t>
  </si>
  <si>
    <t xml:space="preserve">         38.81亿</t>
  </si>
  <si>
    <t xml:space="preserve">         60.15亿</t>
  </si>
  <si>
    <t xml:space="preserve">         25.19亿</t>
  </si>
  <si>
    <t>21.55万</t>
  </si>
  <si>
    <t>0.748㈢</t>
  </si>
  <si>
    <t xml:space="preserve">   7.81㈢</t>
  </si>
  <si>
    <t>华帝股份</t>
  </si>
  <si>
    <t xml:space="preserve">        104.51亿</t>
  </si>
  <si>
    <t xml:space="preserve">        116.32亿</t>
  </si>
  <si>
    <t xml:space="preserve">         83.82亿</t>
  </si>
  <si>
    <t>21.24万</t>
  </si>
  <si>
    <t>0.590㈢</t>
  </si>
  <si>
    <t xml:space="preserve">  18.62㈢</t>
  </si>
  <si>
    <t>联创电子</t>
  </si>
  <si>
    <t xml:space="preserve">        116.54亿</t>
  </si>
  <si>
    <t xml:space="preserve">        117.31亿</t>
  </si>
  <si>
    <t>14.44万</t>
  </si>
  <si>
    <t>0.314㈢</t>
  </si>
  <si>
    <t xml:space="preserve">   9.97㈢</t>
  </si>
  <si>
    <t>久联发展</t>
  </si>
  <si>
    <t xml:space="preserve">         22.36亿</t>
  </si>
  <si>
    <t xml:space="preserve">         33.30亿</t>
  </si>
  <si>
    <t xml:space="preserve">         15.65亿</t>
  </si>
  <si>
    <t>7.85万</t>
  </si>
  <si>
    <t>0.167㈢</t>
  </si>
  <si>
    <t xml:space="preserve">   2.45㈢</t>
  </si>
  <si>
    <t>双鹭药业</t>
  </si>
  <si>
    <t xml:space="preserve">        128.73亿</t>
  </si>
  <si>
    <t xml:space="preserve">         94.90亿</t>
  </si>
  <si>
    <t>18.53万</t>
  </si>
  <si>
    <t xml:space="preserve">  10.51㈢</t>
  </si>
  <si>
    <t>黔源电力</t>
  </si>
  <si>
    <t xml:space="preserve">         45.41亿</t>
  </si>
  <si>
    <t xml:space="preserve">         33.61亿</t>
  </si>
  <si>
    <t>19.21万</t>
  </si>
  <si>
    <t>0.936㈢</t>
  </si>
  <si>
    <t>南 京 港</t>
  </si>
  <si>
    <t xml:space="preserve">         27.71亿</t>
  </si>
  <si>
    <t xml:space="preserve">         33.64亿</t>
  </si>
  <si>
    <t xml:space="preserve">         10.87亿</t>
  </si>
  <si>
    <t>3.38万</t>
  </si>
  <si>
    <t>0.213㈢</t>
  </si>
  <si>
    <t xml:space="preserve">   3.89㈢</t>
  </si>
  <si>
    <t>登海种业</t>
  </si>
  <si>
    <t xml:space="preserve">         72.10亿</t>
  </si>
  <si>
    <t xml:space="preserve">         72.78亿</t>
  </si>
  <si>
    <t xml:space="preserve">         28.04亿</t>
  </si>
  <si>
    <t>华孚时尚</t>
  </si>
  <si>
    <t xml:space="preserve">        109.31亿</t>
  </si>
  <si>
    <t xml:space="preserve">        109.40亿</t>
  </si>
  <si>
    <t xml:space="preserve">         57.99亿</t>
  </si>
  <si>
    <t>40.70万</t>
  </si>
  <si>
    <t>0.268㈢</t>
  </si>
  <si>
    <t xml:space="preserve">   6.43㈢</t>
  </si>
  <si>
    <t>兔 宝 宝</t>
  </si>
  <si>
    <t xml:space="preserve">         53.24亿</t>
  </si>
  <si>
    <t xml:space="preserve">         32.79亿</t>
  </si>
  <si>
    <t>4.99万</t>
  </si>
  <si>
    <t>0.320㈢</t>
  </si>
  <si>
    <t xml:space="preserve">  15.12㈢</t>
  </si>
  <si>
    <t>美年健康</t>
  </si>
  <si>
    <t xml:space="preserve">        498.52亿</t>
  </si>
  <si>
    <t xml:space="preserve">        576.23亿</t>
  </si>
  <si>
    <t xml:space="preserve">        348.05亿</t>
  </si>
  <si>
    <t>77.34万</t>
  </si>
  <si>
    <t xml:space="preserve">   6.04㈢</t>
  </si>
  <si>
    <t>国光电器</t>
  </si>
  <si>
    <t xml:space="preserve">         61.04亿</t>
  </si>
  <si>
    <t xml:space="preserve">         61.22亿</t>
  </si>
  <si>
    <t xml:space="preserve">         40.59亿</t>
  </si>
  <si>
    <t>10.32万</t>
  </si>
  <si>
    <t>0.664㈢</t>
  </si>
  <si>
    <t xml:space="preserve">  16.08㈢</t>
  </si>
  <si>
    <t>轴研科技</t>
  </si>
  <si>
    <t xml:space="preserve">         27.51亿</t>
  </si>
  <si>
    <t xml:space="preserve">         13.51亿</t>
  </si>
  <si>
    <t xml:space="preserve">   1.35㈢</t>
  </si>
  <si>
    <t>宝鹰股份</t>
  </si>
  <si>
    <t>装修装饰</t>
  </si>
  <si>
    <t xml:space="preserve">         73.64亿</t>
  </si>
  <si>
    <t xml:space="preserve">         78.20亿</t>
  </si>
  <si>
    <t xml:space="preserve">         41.13亿</t>
  </si>
  <si>
    <t>9.33万</t>
  </si>
  <si>
    <t>宁波华翔</t>
  </si>
  <si>
    <t xml:space="preserve">         89.05亿</t>
  </si>
  <si>
    <t xml:space="preserve">        102.33亿</t>
  </si>
  <si>
    <t xml:space="preserve">         72.64亿</t>
  </si>
  <si>
    <t>18.51万</t>
  </si>
  <si>
    <t>1.069㈢</t>
  </si>
  <si>
    <t>紫光国微</t>
  </si>
  <si>
    <t xml:space="preserve">        313.36亿</t>
  </si>
  <si>
    <t xml:space="preserve">        313.66亿</t>
  </si>
  <si>
    <t xml:space="preserve">        192.97亿</t>
  </si>
  <si>
    <t>0.602㈢</t>
  </si>
  <si>
    <t xml:space="preserve">   8.80㈢</t>
  </si>
  <si>
    <t>三花智控</t>
  </si>
  <si>
    <t xml:space="preserve">        410.45亿</t>
  </si>
  <si>
    <t xml:space="preserve">        188.34亿</t>
  </si>
  <si>
    <t>60.77万</t>
  </si>
  <si>
    <t xml:space="preserve">  11.77㈢</t>
  </si>
  <si>
    <t>中工国际</t>
  </si>
  <si>
    <t xml:space="preserve">        105.78亿</t>
  </si>
  <si>
    <t xml:space="preserve">        117.80亿</t>
  </si>
  <si>
    <t xml:space="preserve">         42.96亿</t>
  </si>
  <si>
    <t>8.50万</t>
  </si>
  <si>
    <t>0.611㈢</t>
  </si>
  <si>
    <t xml:space="preserve">   7.30㈢</t>
  </si>
  <si>
    <t>同洲电子</t>
  </si>
  <si>
    <t xml:space="preserve">         24.02亿</t>
  </si>
  <si>
    <t xml:space="preserve">         17.65亿</t>
  </si>
  <si>
    <t>2.40万</t>
  </si>
  <si>
    <t>-0.039㈢</t>
  </si>
  <si>
    <t xml:space="preserve">  -5.08㈢</t>
  </si>
  <si>
    <t>云南能投</t>
  </si>
  <si>
    <t xml:space="preserve">         26.50亿</t>
  </si>
  <si>
    <t xml:space="preserve">         54.26亿</t>
  </si>
  <si>
    <t xml:space="preserve">         11.97亿</t>
  </si>
  <si>
    <t>0.276㈢</t>
  </si>
  <si>
    <t xml:space="preserve">   5.39㈢</t>
  </si>
  <si>
    <t>德美化工</t>
  </si>
  <si>
    <t xml:space="preserve">         31.23亿</t>
  </si>
  <si>
    <t xml:space="preserve">         16.67亿</t>
  </si>
  <si>
    <t>0.226㈢</t>
  </si>
  <si>
    <t>得润电子</t>
  </si>
  <si>
    <t xml:space="preserve">         45.36亿</t>
  </si>
  <si>
    <t xml:space="preserve">         50.66亿</t>
  </si>
  <si>
    <t xml:space="preserve">         27.93亿</t>
  </si>
  <si>
    <t>6.20万</t>
  </si>
  <si>
    <t>横店东磁</t>
  </si>
  <si>
    <t xml:space="preserve">        138.07亿</t>
  </si>
  <si>
    <t xml:space="preserve">        139.71亿</t>
  </si>
  <si>
    <t xml:space="preserve">         65.34亿</t>
  </si>
  <si>
    <t>8.58万</t>
  </si>
  <si>
    <t>0.303㈢</t>
  </si>
  <si>
    <t xml:space="preserve">   9.73㈢</t>
  </si>
  <si>
    <t>中钢天源</t>
  </si>
  <si>
    <t xml:space="preserve">         43.20亿</t>
  </si>
  <si>
    <t xml:space="preserve">         51.83亿</t>
  </si>
  <si>
    <t xml:space="preserve">         29.37亿</t>
  </si>
  <si>
    <t>3.78万</t>
  </si>
  <si>
    <t>0.182㈢</t>
  </si>
  <si>
    <t>威 尔 泰</t>
  </si>
  <si>
    <t xml:space="preserve">         31.13亿</t>
  </si>
  <si>
    <t xml:space="preserve">         31.19亿</t>
  </si>
  <si>
    <t xml:space="preserve">         20.40亿</t>
  </si>
  <si>
    <t>25.31万</t>
  </si>
  <si>
    <t>-0.043㈢</t>
  </si>
  <si>
    <t xml:space="preserve">  -3.34㈢</t>
  </si>
  <si>
    <t>云南旅游</t>
  </si>
  <si>
    <t xml:space="preserve">         35.88亿</t>
  </si>
  <si>
    <t xml:space="preserve">         49.71亿</t>
  </si>
  <si>
    <t>5.22万</t>
  </si>
  <si>
    <t xml:space="preserve">   2.71㈢</t>
  </si>
  <si>
    <t>粤 水 电</t>
  </si>
  <si>
    <t xml:space="preserve">         36.05亿</t>
  </si>
  <si>
    <t xml:space="preserve">         36.07亿</t>
  </si>
  <si>
    <t xml:space="preserve">         22.59亿</t>
  </si>
  <si>
    <t xml:space="preserve">   3.77㈢</t>
  </si>
  <si>
    <t>浙江交科</t>
  </si>
  <si>
    <t xml:space="preserve">         44.62亿</t>
  </si>
  <si>
    <t xml:space="preserve">         79.65亿</t>
  </si>
  <si>
    <t xml:space="preserve">         30.77亿</t>
  </si>
  <si>
    <t>9.36万</t>
  </si>
  <si>
    <t>0.339㈢</t>
  </si>
  <si>
    <t xml:space="preserve">   6.28㈢</t>
  </si>
  <si>
    <t>宏润建设</t>
  </si>
  <si>
    <t xml:space="preserve">         38.15亿</t>
  </si>
  <si>
    <t xml:space="preserve">         16.87亿</t>
  </si>
  <si>
    <t>5.31万</t>
  </si>
  <si>
    <t>远光软件</t>
  </si>
  <si>
    <t xml:space="preserve">         93.36亿</t>
  </si>
  <si>
    <t xml:space="preserve">        103.26亿</t>
  </si>
  <si>
    <t xml:space="preserve">         74.94亿</t>
  </si>
  <si>
    <t>14.38万</t>
  </si>
  <si>
    <t>0.158㈢</t>
  </si>
  <si>
    <t>华峰氨纶</t>
  </si>
  <si>
    <t xml:space="preserve">         97.10亿</t>
  </si>
  <si>
    <t xml:space="preserve">        268.21亿</t>
  </si>
  <si>
    <t xml:space="preserve">         62.53亿</t>
  </si>
  <si>
    <t>10.17万</t>
  </si>
  <si>
    <t xml:space="preserve">   8.69㈢</t>
  </si>
  <si>
    <t>东华软件</t>
  </si>
  <si>
    <t xml:space="preserve">        282.16亿</t>
  </si>
  <si>
    <t xml:space="preserve">        313.11亿</t>
  </si>
  <si>
    <t xml:space="preserve">        180.43亿</t>
  </si>
  <si>
    <t>17.76万</t>
  </si>
  <si>
    <t>0.242㈢</t>
  </si>
  <si>
    <t>瑞泰科技</t>
  </si>
  <si>
    <t xml:space="preserve">         17.86亿</t>
  </si>
  <si>
    <t xml:space="preserve">   2.36㈢</t>
  </si>
  <si>
    <t>景兴纸业</t>
  </si>
  <si>
    <t xml:space="preserve">         31.64亿</t>
  </si>
  <si>
    <t xml:space="preserve">         36.11亿</t>
  </si>
  <si>
    <t xml:space="preserve">         30.19亿</t>
  </si>
  <si>
    <t>黑猫股份</t>
  </si>
  <si>
    <t xml:space="preserve">         29.01亿</t>
  </si>
  <si>
    <t xml:space="preserve">         34.75亿</t>
  </si>
  <si>
    <t xml:space="preserve">         16.36亿</t>
  </si>
  <si>
    <t>3.32万</t>
  </si>
  <si>
    <t>-0.174㈢</t>
  </si>
  <si>
    <t xml:space="preserve">  -4.18㈢</t>
  </si>
  <si>
    <t>獐子岛</t>
  </si>
  <si>
    <t xml:space="preserve">         18.46亿</t>
  </si>
  <si>
    <t xml:space="preserve">          8.38亿</t>
  </si>
  <si>
    <t>-0.048㈢</t>
  </si>
  <si>
    <t xml:space="preserve">  -9.57㈢</t>
  </si>
  <si>
    <t>长城影视</t>
  </si>
  <si>
    <t xml:space="preserve">         19.35亿</t>
  </si>
  <si>
    <t xml:space="preserve">         10.77亿</t>
  </si>
  <si>
    <t>2.84万</t>
  </si>
  <si>
    <t>-0.079㈢</t>
  </si>
  <si>
    <t xml:space="preserve"> -21.04㈢</t>
  </si>
  <si>
    <t>*ST凯瑞</t>
  </si>
  <si>
    <t xml:space="preserve">         10.72亿</t>
  </si>
  <si>
    <t xml:space="preserve">         11.35亿</t>
  </si>
  <si>
    <t xml:space="preserve">          9.21亿</t>
  </si>
  <si>
    <t>5.49万</t>
  </si>
  <si>
    <t>-0.107㈢</t>
  </si>
  <si>
    <t>软控股份</t>
  </si>
  <si>
    <t xml:space="preserve">         43.52亿</t>
  </si>
  <si>
    <t xml:space="preserve">         36.75亿</t>
  </si>
  <si>
    <t>7.35万</t>
  </si>
  <si>
    <t>0.076㈢</t>
  </si>
  <si>
    <t xml:space="preserve">   1.64㈢</t>
  </si>
  <si>
    <t>国轩高科</t>
  </si>
  <si>
    <t xml:space="preserve">        144.57亿</t>
  </si>
  <si>
    <t xml:space="preserve">        162.43亿</t>
  </si>
  <si>
    <t xml:space="preserve">         95.34亿</t>
  </si>
  <si>
    <t>14.61万</t>
  </si>
  <si>
    <t>0.509㈢</t>
  </si>
  <si>
    <t xml:space="preserve">   6.44㈢</t>
  </si>
  <si>
    <t>沙钢股份</t>
  </si>
  <si>
    <t xml:space="preserve">        135.94亿</t>
  </si>
  <si>
    <t xml:space="preserve">         82.96亿</t>
  </si>
  <si>
    <t>15.20万</t>
  </si>
  <si>
    <t xml:space="preserve">   7.71㈢</t>
  </si>
  <si>
    <t>雪 莱 特</t>
  </si>
  <si>
    <t xml:space="preserve">         11.74亿</t>
  </si>
  <si>
    <t xml:space="preserve">         19.53亿</t>
  </si>
  <si>
    <t>2.06万</t>
  </si>
  <si>
    <t>-0.350㈢</t>
  </si>
  <si>
    <t>-123.99㈢</t>
  </si>
  <si>
    <t>大港股份</t>
  </si>
  <si>
    <t xml:space="preserve">         35.14亿</t>
  </si>
  <si>
    <t xml:space="preserve">         37.72亿</t>
  </si>
  <si>
    <t>-0.494㈢</t>
  </si>
  <si>
    <t xml:space="preserve">  -9.56㈢</t>
  </si>
  <si>
    <t>太阳纸业</t>
  </si>
  <si>
    <t xml:space="preserve">        243.68亿</t>
  </si>
  <si>
    <t xml:space="preserve">        245.44亿</t>
  </si>
  <si>
    <t xml:space="preserve">        112.17亿</t>
  </si>
  <si>
    <t>23.25万</t>
  </si>
  <si>
    <t xml:space="preserve">  10.64㈢</t>
  </si>
  <si>
    <t>苏州固锝</t>
  </si>
  <si>
    <t>半导体</t>
  </si>
  <si>
    <t xml:space="preserve">         93.62亿</t>
  </si>
  <si>
    <t xml:space="preserve">         56.54亿</t>
  </si>
  <si>
    <t xml:space="preserve">   5.03㈢</t>
  </si>
  <si>
    <t>中材科技</t>
  </si>
  <si>
    <t xml:space="preserve">        182.58亿</t>
  </si>
  <si>
    <t xml:space="preserve">         72.60亿</t>
  </si>
  <si>
    <t>23.07万</t>
  </si>
  <si>
    <t xml:space="preserve">   8.95㈢</t>
  </si>
  <si>
    <t>金 螳 螂</t>
  </si>
  <si>
    <t xml:space="preserve">        219.24亿</t>
  </si>
  <si>
    <t xml:space="preserve">        227.23亿</t>
  </si>
  <si>
    <t xml:space="preserve">        109.90亿</t>
  </si>
  <si>
    <t>16.40万</t>
  </si>
  <si>
    <t>0.654㈢</t>
  </si>
  <si>
    <t xml:space="preserve">  12.05㈢</t>
  </si>
  <si>
    <t>万邦德</t>
  </si>
  <si>
    <t xml:space="preserve">         19.60亿</t>
  </si>
  <si>
    <t>8.34万</t>
  </si>
  <si>
    <t>0.316㈢</t>
  </si>
  <si>
    <t>孚日股份</t>
  </si>
  <si>
    <t xml:space="preserve">         52.07亿</t>
  </si>
  <si>
    <t xml:space="preserve">         53.94亿</t>
  </si>
  <si>
    <t>7.36万</t>
  </si>
  <si>
    <t xml:space="preserve">  10.34㈢</t>
  </si>
  <si>
    <t>海鸥住工</t>
  </si>
  <si>
    <t xml:space="preserve">         31.01亿</t>
  </si>
  <si>
    <t xml:space="preserve">         32.00亿</t>
  </si>
  <si>
    <t xml:space="preserve">         16.51亿</t>
  </si>
  <si>
    <t>5.09万</t>
  </si>
  <si>
    <t xml:space="preserve">   6.89㈢</t>
  </si>
  <si>
    <t>万丰奥威</t>
  </si>
  <si>
    <t xml:space="preserve">        149.02亿</t>
  </si>
  <si>
    <t xml:space="preserve">        154.18亿</t>
  </si>
  <si>
    <t xml:space="preserve">         68.77亿</t>
  </si>
  <si>
    <t>22.27万</t>
  </si>
  <si>
    <t>0.275㈢</t>
  </si>
  <si>
    <t xml:space="preserve">   9.92㈢</t>
  </si>
  <si>
    <t>ST东海洋</t>
  </si>
  <si>
    <t xml:space="preserve">         20.52亿</t>
  </si>
  <si>
    <t xml:space="preserve">         28.51亿</t>
  </si>
  <si>
    <t xml:space="preserve">   1.05㈢</t>
  </si>
  <si>
    <t>新野纺织</t>
  </si>
  <si>
    <t xml:space="preserve">         28.47亿</t>
  </si>
  <si>
    <t xml:space="preserve">         20.68亿</t>
  </si>
  <si>
    <t>5.01万</t>
  </si>
  <si>
    <t>0.250㈢</t>
  </si>
  <si>
    <t>鲁阳节能</t>
  </si>
  <si>
    <t xml:space="preserve">         32.96亿</t>
  </si>
  <si>
    <t xml:space="preserve">         38.01亿</t>
  </si>
  <si>
    <t xml:space="preserve">         20.59亿</t>
  </si>
  <si>
    <t>14.66万</t>
  </si>
  <si>
    <t xml:space="preserve">  11.60㈢</t>
  </si>
  <si>
    <t>*ST新海</t>
  </si>
  <si>
    <t xml:space="preserve">         16.64亿</t>
  </si>
  <si>
    <t xml:space="preserve">         24.74亿</t>
  </si>
  <si>
    <t xml:space="preserve">         15.52亿</t>
  </si>
  <si>
    <t>2.46万</t>
  </si>
  <si>
    <t>-0.401㈢</t>
  </si>
  <si>
    <t xml:space="preserve"> -72.56㈢</t>
  </si>
  <si>
    <t>金智科技</t>
  </si>
  <si>
    <t xml:space="preserve">         41.87亿</t>
  </si>
  <si>
    <t xml:space="preserve">         43.54亿</t>
  </si>
  <si>
    <t xml:space="preserve">         25.88亿</t>
  </si>
  <si>
    <t>9.99万</t>
  </si>
  <si>
    <t>江苏国泰</t>
  </si>
  <si>
    <t xml:space="preserve">         65.64亿</t>
  </si>
  <si>
    <t xml:space="preserve">        105.54亿</t>
  </si>
  <si>
    <t xml:space="preserve">         48.79亿</t>
  </si>
  <si>
    <t>11.81万</t>
  </si>
  <si>
    <t>0.491㈢</t>
  </si>
  <si>
    <t xml:space="preserve">   9.27㈢</t>
  </si>
  <si>
    <t>中泰化学</t>
  </si>
  <si>
    <t xml:space="preserve">        145.95亿</t>
  </si>
  <si>
    <t xml:space="preserve">        145.96亿</t>
  </si>
  <si>
    <t xml:space="preserve">         97.37亿</t>
  </si>
  <si>
    <t>11.22万</t>
  </si>
  <si>
    <t>0.189㈢</t>
  </si>
  <si>
    <t>国脉科技</t>
  </si>
  <si>
    <t>电信运营</t>
  </si>
  <si>
    <t xml:space="preserve">         78.44亿</t>
  </si>
  <si>
    <t xml:space="preserve">         80.20亿</t>
  </si>
  <si>
    <t>5.16万</t>
  </si>
  <si>
    <t>0.094㈢</t>
  </si>
  <si>
    <t xml:space="preserve">   2.84㈢</t>
  </si>
  <si>
    <t>青岛金王</t>
  </si>
  <si>
    <t xml:space="preserve">         30.96亿</t>
  </si>
  <si>
    <t xml:space="preserve">         33.44亿</t>
  </si>
  <si>
    <t xml:space="preserve">         22.24亿</t>
  </si>
  <si>
    <t>6.40万</t>
  </si>
  <si>
    <t>0.433㈢</t>
  </si>
  <si>
    <t xml:space="preserve">   9.40㈢</t>
  </si>
  <si>
    <t>生 意 宝</t>
  </si>
  <si>
    <t xml:space="preserve">         55.74亿</t>
  </si>
  <si>
    <t xml:space="preserve">         55.98亿</t>
  </si>
  <si>
    <t xml:space="preserve">         25.48亿</t>
  </si>
  <si>
    <t>5.61万</t>
  </si>
  <si>
    <t>0.122㈢</t>
  </si>
  <si>
    <t>南岭民爆</t>
  </si>
  <si>
    <t xml:space="preserve">         23.61亿</t>
  </si>
  <si>
    <t xml:space="preserve">          8.26亿</t>
  </si>
  <si>
    <t xml:space="preserve">   1.40㈢</t>
  </si>
  <si>
    <t>山河智能</t>
  </si>
  <si>
    <t xml:space="preserve">         49.45亿</t>
  </si>
  <si>
    <t xml:space="preserve">         62.65亿</t>
  </si>
  <si>
    <t>0.393㈢</t>
  </si>
  <si>
    <t>浔兴股份</t>
  </si>
  <si>
    <t xml:space="preserve">         10.45亿</t>
  </si>
  <si>
    <t>0.186㈢</t>
  </si>
  <si>
    <t xml:space="preserve">  10.55㈢</t>
  </si>
  <si>
    <t>海翔药业</t>
  </si>
  <si>
    <t xml:space="preserve">        111.19亿</t>
  </si>
  <si>
    <t xml:space="preserve">        112.18亿</t>
  </si>
  <si>
    <t xml:space="preserve">         63.36亿</t>
  </si>
  <si>
    <t>8.62万</t>
  </si>
  <si>
    <t xml:space="preserve">  12.22㈢</t>
  </si>
  <si>
    <t>天康生物</t>
  </si>
  <si>
    <t xml:space="preserve">         69.08亿</t>
  </si>
  <si>
    <t>10.70万</t>
  </si>
  <si>
    <t>0.310㈢</t>
  </si>
  <si>
    <t xml:space="preserve">   7.91㈢</t>
  </si>
  <si>
    <t>广东鸿图</t>
  </si>
  <si>
    <t xml:space="preserve">         37.69亿</t>
  </si>
  <si>
    <t xml:space="preserve">         14.93亿</t>
  </si>
  <si>
    <t>0.429㈢</t>
  </si>
  <si>
    <t xml:space="preserve">   4.92㈢</t>
  </si>
  <si>
    <t>ST冠福</t>
  </si>
  <si>
    <t xml:space="preserve">         42.00亿</t>
  </si>
  <si>
    <t xml:space="preserve">         57.68亿</t>
  </si>
  <si>
    <t xml:space="preserve">         32.54亿</t>
  </si>
  <si>
    <t>5.11万</t>
  </si>
  <si>
    <t>0.243㈢</t>
  </si>
  <si>
    <t xml:space="preserve">  20.66㈢</t>
  </si>
  <si>
    <t>广博股份</t>
  </si>
  <si>
    <t xml:space="preserve">         28.37亿</t>
  </si>
  <si>
    <t xml:space="preserve">         13.56亿</t>
  </si>
  <si>
    <t>4.31万</t>
  </si>
  <si>
    <t>0.025㈢</t>
  </si>
  <si>
    <t xml:space="preserve">   1.34㈢</t>
  </si>
  <si>
    <t>恒宝股份</t>
  </si>
  <si>
    <t xml:space="preserve">         44.34亿</t>
  </si>
  <si>
    <t xml:space="preserve">         52.55亿</t>
  </si>
  <si>
    <t xml:space="preserve">         41.62亿</t>
  </si>
  <si>
    <t>5.78万</t>
  </si>
  <si>
    <t>信隆健康</t>
  </si>
  <si>
    <t xml:space="preserve">         19.79亿</t>
  </si>
  <si>
    <t xml:space="preserve">         10.17亿</t>
  </si>
  <si>
    <t>3.73万</t>
  </si>
  <si>
    <t xml:space="preserve">   8.86㈢</t>
  </si>
  <si>
    <t>莱宝高科</t>
  </si>
  <si>
    <t xml:space="preserve">         67.50亿</t>
  </si>
  <si>
    <t xml:space="preserve">         67.69亿</t>
  </si>
  <si>
    <t xml:space="preserve">         48.41亿</t>
  </si>
  <si>
    <t>8.63万</t>
  </si>
  <si>
    <t xml:space="preserve">   5.71㈢</t>
  </si>
  <si>
    <t>沃华医药</t>
  </si>
  <si>
    <t xml:space="preserve">         28.43亿</t>
  </si>
  <si>
    <t>0.144㈢</t>
  </si>
  <si>
    <t xml:space="preserve">   8.27㈢</t>
  </si>
  <si>
    <t>沧州明珠</t>
  </si>
  <si>
    <t xml:space="preserve">         53.60亿</t>
  </si>
  <si>
    <t xml:space="preserve">         34.62亿</t>
  </si>
  <si>
    <t xml:space="preserve">   5.20㈢</t>
  </si>
  <si>
    <t>兴化股份</t>
  </si>
  <si>
    <t>3.54万</t>
  </si>
  <si>
    <t>0.104㈢</t>
  </si>
  <si>
    <t xml:space="preserve">   2.95㈢</t>
  </si>
  <si>
    <t>三钢闽光</t>
  </si>
  <si>
    <t xml:space="preserve">        196.34亿</t>
  </si>
  <si>
    <t xml:space="preserve">        218.44亿</t>
  </si>
  <si>
    <t xml:space="preserve">         86.83亿</t>
  </si>
  <si>
    <t>13.75万</t>
  </si>
  <si>
    <t>1.152㈢</t>
  </si>
  <si>
    <t xml:space="preserve">  15.81㈢</t>
  </si>
  <si>
    <t>威海广泰</t>
  </si>
  <si>
    <t xml:space="preserve">         52.44亿</t>
  </si>
  <si>
    <t xml:space="preserve">         58.84亿</t>
  </si>
  <si>
    <t>0.720㈢</t>
  </si>
  <si>
    <t xml:space="preserve">   9.49㈢</t>
  </si>
  <si>
    <t>三变科技</t>
  </si>
  <si>
    <t xml:space="preserve">         13.81亿</t>
  </si>
  <si>
    <t xml:space="preserve">          9.47亿</t>
  </si>
  <si>
    <t>4.88万</t>
  </si>
  <si>
    <t xml:space="preserve">   1.33㈢</t>
  </si>
  <si>
    <t>ST天润</t>
  </si>
  <si>
    <t xml:space="preserve">         18.75亿</t>
  </si>
  <si>
    <t xml:space="preserve">         15.25亿</t>
  </si>
  <si>
    <t>2.26万</t>
  </si>
  <si>
    <t>0.075㈢</t>
  </si>
  <si>
    <t xml:space="preserve">   4.78㈢</t>
  </si>
  <si>
    <t>罗平锌电</t>
  </si>
  <si>
    <t xml:space="preserve">         24.51亿</t>
  </si>
  <si>
    <t xml:space="preserve">         13.19亿</t>
  </si>
  <si>
    <t>0.011㈢</t>
  </si>
  <si>
    <t xml:space="preserve">   0.23㈢</t>
  </si>
  <si>
    <t>三维通信</t>
  </si>
  <si>
    <t xml:space="preserve">         47.28亿</t>
  </si>
  <si>
    <t>5.15万</t>
  </si>
  <si>
    <t xml:space="preserve">   6.17㈢</t>
  </si>
  <si>
    <t>中国海诚</t>
  </si>
  <si>
    <t xml:space="preserve">         32.33亿</t>
  </si>
  <si>
    <t xml:space="preserve">         32.49亿</t>
  </si>
  <si>
    <t xml:space="preserve">         13.69亿</t>
  </si>
  <si>
    <t>0.389㈢</t>
  </si>
  <si>
    <t xml:space="preserve">  10.88㈢</t>
  </si>
  <si>
    <t>东港股份</t>
  </si>
  <si>
    <t xml:space="preserve">         68.19亿</t>
  </si>
  <si>
    <t xml:space="preserve">         68.21亿</t>
  </si>
  <si>
    <t>13.31万</t>
  </si>
  <si>
    <t>0.377㈢</t>
  </si>
  <si>
    <t xml:space="preserve">  13.05㈢</t>
  </si>
  <si>
    <t>紫鑫药业</t>
  </si>
  <si>
    <t xml:space="preserve">         77.34亿</t>
  </si>
  <si>
    <t xml:space="preserve">         77.36亿</t>
  </si>
  <si>
    <t xml:space="preserve">         41.06亿</t>
  </si>
  <si>
    <t>4.23万</t>
  </si>
  <si>
    <t>康强电子</t>
  </si>
  <si>
    <t xml:space="preserve">         48.33亿</t>
  </si>
  <si>
    <t xml:space="preserve">         49.35亿</t>
  </si>
  <si>
    <t xml:space="preserve">         28.48亿</t>
  </si>
  <si>
    <t>3.93万</t>
  </si>
  <si>
    <t>韵达股份</t>
  </si>
  <si>
    <t xml:space="preserve">        721.97亿</t>
  </si>
  <si>
    <t xml:space="preserve">        722.43亿</t>
  </si>
  <si>
    <t xml:space="preserve">        241.23亿</t>
  </si>
  <si>
    <t>154.06万</t>
  </si>
  <si>
    <t>0.878㈢</t>
  </si>
  <si>
    <t xml:space="preserve">  15.32㈢</t>
  </si>
  <si>
    <t>科陆电子</t>
  </si>
  <si>
    <t xml:space="preserve">         40.67亿</t>
  </si>
  <si>
    <t xml:space="preserve">         61.69亿</t>
  </si>
  <si>
    <t xml:space="preserve">         25.70亿</t>
  </si>
  <si>
    <t>3.49万</t>
  </si>
  <si>
    <t>-0.138㈢</t>
  </si>
  <si>
    <t xml:space="preserve">  -5.89㈢</t>
  </si>
  <si>
    <t>*ST天马</t>
  </si>
  <si>
    <t xml:space="preserve">         23.52亿</t>
  </si>
  <si>
    <t xml:space="preserve">         12.92亿</t>
  </si>
  <si>
    <t>2.37万</t>
  </si>
  <si>
    <t>-0.473㈢</t>
  </si>
  <si>
    <t xml:space="preserve"> -20.90㈢</t>
  </si>
  <si>
    <t>梦网集团</t>
  </si>
  <si>
    <t xml:space="preserve">        117.50亿</t>
  </si>
  <si>
    <t xml:space="preserve">        142.65亿</t>
  </si>
  <si>
    <t xml:space="preserve">         99.51亿</t>
  </si>
  <si>
    <t>24.09万</t>
  </si>
  <si>
    <t>0.230㈢</t>
  </si>
  <si>
    <t xml:space="preserve">   3.90㈢</t>
  </si>
  <si>
    <t>天邦股份</t>
  </si>
  <si>
    <t xml:space="preserve">        117.16亿</t>
  </si>
  <si>
    <t xml:space="preserve">        144.37亿</t>
  </si>
  <si>
    <t xml:space="preserve">         96.10亿</t>
  </si>
  <si>
    <t>13.92万</t>
  </si>
  <si>
    <t xml:space="preserve">   0.50㈢</t>
  </si>
  <si>
    <t>湘潭电化</t>
  </si>
  <si>
    <t>银轮股份</t>
  </si>
  <si>
    <t xml:space="preserve">         58.72亿</t>
  </si>
  <si>
    <t xml:space="preserve">         61.39亿</t>
  </si>
  <si>
    <t xml:space="preserve">         50.00亿</t>
  </si>
  <si>
    <t>15.11万</t>
  </si>
  <si>
    <t>0.323㈢</t>
  </si>
  <si>
    <t xml:space="preserve">   6.86㈢</t>
  </si>
  <si>
    <t>南极电商</t>
  </si>
  <si>
    <t xml:space="preserve">        205.17亿</t>
  </si>
  <si>
    <t xml:space="preserve">        265.62亿</t>
  </si>
  <si>
    <t xml:space="preserve">        177.35亿</t>
  </si>
  <si>
    <t>100.12万</t>
  </si>
  <si>
    <t>0.245㈢</t>
  </si>
  <si>
    <t xml:space="preserve">  14.16㈢</t>
  </si>
  <si>
    <t>露天煤业</t>
  </si>
  <si>
    <t xml:space="preserve">        137.45亿</t>
  </si>
  <si>
    <t xml:space="preserve">        161.60亿</t>
  </si>
  <si>
    <t xml:space="preserve">         48.17亿</t>
  </si>
  <si>
    <t>1.130㈢</t>
  </si>
  <si>
    <t xml:space="preserve">  12.41㈢</t>
  </si>
  <si>
    <t>中环股份</t>
  </si>
  <si>
    <t xml:space="preserve">        315.82亿</t>
  </si>
  <si>
    <t xml:space="preserve">        327.81亿</t>
  </si>
  <si>
    <t xml:space="preserve">        196.02亿</t>
  </si>
  <si>
    <t>17.82万</t>
  </si>
  <si>
    <t xml:space="preserve">   5.05㈢</t>
  </si>
  <si>
    <t>沃尔核材</t>
  </si>
  <si>
    <t xml:space="preserve">         47.91亿</t>
  </si>
  <si>
    <t xml:space="preserve">         60.68亿</t>
  </si>
  <si>
    <t xml:space="preserve">         44.19亿</t>
  </si>
  <si>
    <t xml:space="preserve">   6.94㈢</t>
  </si>
  <si>
    <t>利欧股份</t>
  </si>
  <si>
    <t xml:space="preserve">        155.40亿</t>
  </si>
  <si>
    <t xml:space="preserve">        192.22亿</t>
  </si>
  <si>
    <t xml:space="preserve">        129.97亿</t>
  </si>
  <si>
    <t>6.11万</t>
  </si>
  <si>
    <t>0.046㈢</t>
  </si>
  <si>
    <t>恒星科技</t>
  </si>
  <si>
    <t xml:space="preserve">         39.19亿</t>
  </si>
  <si>
    <t xml:space="preserve">         39.33亿</t>
  </si>
  <si>
    <t>广宇集团</t>
  </si>
  <si>
    <t xml:space="preserve">         20.77亿</t>
  </si>
  <si>
    <t xml:space="preserve">         25.31亿</t>
  </si>
  <si>
    <t>4.00万</t>
  </si>
  <si>
    <t xml:space="preserve">   6.24㈢</t>
  </si>
  <si>
    <t>天津普林</t>
  </si>
  <si>
    <t xml:space="preserve">         23.38亿</t>
  </si>
  <si>
    <t>东南网架</t>
  </si>
  <si>
    <t xml:space="preserve">         52.05亿</t>
  </si>
  <si>
    <t xml:space="preserve">         56.17亿</t>
  </si>
  <si>
    <t xml:space="preserve">         29.93亿</t>
  </si>
  <si>
    <t>7.77万</t>
  </si>
  <si>
    <t xml:space="preserve">   5.52㈢</t>
  </si>
  <si>
    <t>安 纳 达</t>
  </si>
  <si>
    <t xml:space="preserve">         16.16亿</t>
  </si>
  <si>
    <t xml:space="preserve">         16.23亿</t>
  </si>
  <si>
    <t>麦达数字</t>
  </si>
  <si>
    <t xml:space="preserve">         26.41亿</t>
  </si>
  <si>
    <t xml:space="preserve">         41.81亿</t>
  </si>
  <si>
    <t xml:space="preserve">         22.69亿</t>
  </si>
  <si>
    <t xml:space="preserve">   9.21㈢</t>
  </si>
  <si>
    <t>顺络电子</t>
  </si>
  <si>
    <t xml:space="preserve">        166.94亿</t>
  </si>
  <si>
    <t xml:space="preserve">        192.55亿</t>
  </si>
  <si>
    <t xml:space="preserve">        147.37亿</t>
  </si>
  <si>
    <t>33.54万</t>
  </si>
  <si>
    <t>0.368㈢</t>
  </si>
  <si>
    <t>拓邦股份</t>
  </si>
  <si>
    <t xml:space="preserve">         44.47亿</t>
  </si>
  <si>
    <t xml:space="preserve">         56.75亿</t>
  </si>
  <si>
    <t xml:space="preserve">         39.63亿</t>
  </si>
  <si>
    <t>6.94万</t>
  </si>
  <si>
    <t xml:space="preserve">  11.16㈢</t>
  </si>
  <si>
    <t>东华科技</t>
  </si>
  <si>
    <t xml:space="preserve">         36.85亿</t>
  </si>
  <si>
    <t xml:space="preserve">         37.41亿</t>
  </si>
  <si>
    <t xml:space="preserve">         14.69亿</t>
  </si>
  <si>
    <t xml:space="preserve">   5.85㈢</t>
  </si>
  <si>
    <t>贤丰控股</t>
  </si>
  <si>
    <t xml:space="preserve">         23.30亿</t>
  </si>
  <si>
    <t xml:space="preserve">         41.53亿</t>
  </si>
  <si>
    <t xml:space="preserve">         17.47亿</t>
  </si>
  <si>
    <t>3.26万</t>
  </si>
  <si>
    <t xml:space="preserve">  -0.62㈢</t>
  </si>
  <si>
    <t>宁波银行</t>
  </si>
  <si>
    <t xml:space="preserve">       1575.16亿</t>
  </si>
  <si>
    <t xml:space="preserve">       1577.06亿</t>
  </si>
  <si>
    <t xml:space="preserve">        699.60亿</t>
  </si>
  <si>
    <t>114.08万</t>
  </si>
  <si>
    <t>2.020㈢</t>
  </si>
  <si>
    <t xml:space="preserve">  11.00㈢</t>
  </si>
  <si>
    <t>宏达高科</t>
  </si>
  <si>
    <t xml:space="preserve">         17.29亿</t>
  </si>
  <si>
    <t xml:space="preserve">         12.71亿</t>
  </si>
  <si>
    <t>0.417㈢</t>
  </si>
  <si>
    <t xml:space="preserve">   4.31㈢</t>
  </si>
  <si>
    <t>中核钛白</t>
  </si>
  <si>
    <t xml:space="preserve">         68.90亿</t>
  </si>
  <si>
    <t xml:space="preserve">         43.37亿</t>
  </si>
  <si>
    <t>5.28万</t>
  </si>
  <si>
    <t xml:space="preserve">   9.71㈢</t>
  </si>
  <si>
    <t>荣盛发展</t>
  </si>
  <si>
    <t xml:space="preserve">        374.17亿</t>
  </si>
  <si>
    <t xml:space="preserve">        417.86亿</t>
  </si>
  <si>
    <t xml:space="preserve">        154.10亿</t>
  </si>
  <si>
    <t>20.31万</t>
  </si>
  <si>
    <t>1.124㈢</t>
  </si>
  <si>
    <t xml:space="preserve">  13.32㈢</t>
  </si>
  <si>
    <t>ST新光</t>
  </si>
  <si>
    <t xml:space="preserve">         11.65亿</t>
  </si>
  <si>
    <t xml:space="preserve">         39.67亿</t>
  </si>
  <si>
    <t>4.59万</t>
  </si>
  <si>
    <t>-0.146㈢</t>
  </si>
  <si>
    <t>北纬科技</t>
  </si>
  <si>
    <t xml:space="preserve">         23.78亿</t>
  </si>
  <si>
    <t>4.22万</t>
  </si>
  <si>
    <t xml:space="preserve">   0.71㈢</t>
  </si>
  <si>
    <t>西部材料</t>
  </si>
  <si>
    <t xml:space="preserve">         32.92亿</t>
  </si>
  <si>
    <t xml:space="preserve">         19.36亿</t>
  </si>
  <si>
    <t xml:space="preserve">   2.29㈢</t>
  </si>
  <si>
    <t>通润装备</t>
  </si>
  <si>
    <t xml:space="preserve">         24.14亿</t>
  </si>
  <si>
    <t xml:space="preserve">         10.44亿</t>
  </si>
  <si>
    <t>6.33万</t>
  </si>
  <si>
    <t xml:space="preserve">   8.98㈢</t>
  </si>
  <si>
    <t>北斗星通</t>
  </si>
  <si>
    <t xml:space="preserve">         89.46亿</t>
  </si>
  <si>
    <t xml:space="preserve">        121.26亿</t>
  </si>
  <si>
    <t xml:space="preserve">         65.87亿</t>
  </si>
  <si>
    <t>8.31万</t>
  </si>
  <si>
    <t xml:space="preserve">   0.07㈢</t>
  </si>
  <si>
    <t>广电运通</t>
  </si>
  <si>
    <t xml:space="preserve">        225.45亿</t>
  </si>
  <si>
    <t xml:space="preserve">        226.93亿</t>
  </si>
  <si>
    <t xml:space="preserve">        105.28亿</t>
  </si>
  <si>
    <t>14.06万</t>
  </si>
  <si>
    <t>0.209㈢</t>
  </si>
  <si>
    <t xml:space="preserve">   5.65㈢</t>
  </si>
  <si>
    <t>石基信息</t>
  </si>
  <si>
    <t xml:space="preserve">        188.85亿</t>
  </si>
  <si>
    <t xml:space="preserve">        415.31亿</t>
  </si>
  <si>
    <t xml:space="preserve">        116.99亿</t>
  </si>
  <si>
    <t>82.28万</t>
  </si>
  <si>
    <t>0.301㈢</t>
  </si>
  <si>
    <t>报 喜 鸟</t>
  </si>
  <si>
    <t xml:space="preserve">         34.77亿</t>
  </si>
  <si>
    <t xml:space="preserve">         38.23亿</t>
  </si>
  <si>
    <t>3.07万</t>
  </si>
  <si>
    <t xml:space="preserve">   5.89㈢</t>
  </si>
  <si>
    <t>湖南黄金</t>
  </si>
  <si>
    <t xml:space="preserve">         93.51亿</t>
  </si>
  <si>
    <t xml:space="preserve">         93.52亿</t>
  </si>
  <si>
    <t xml:space="preserve">         56.19亿</t>
  </si>
  <si>
    <t>5.46万</t>
  </si>
  <si>
    <t>0.084㈢</t>
  </si>
  <si>
    <t>通富微电</t>
  </si>
  <si>
    <t xml:space="preserve">        189.98亿</t>
  </si>
  <si>
    <t xml:space="preserve">        190.02亿</t>
  </si>
  <si>
    <t xml:space="preserve">         85.34亿</t>
  </si>
  <si>
    <t>13.09万</t>
  </si>
  <si>
    <t xml:space="preserve">  -0.45㈢</t>
  </si>
  <si>
    <t>正邦科技</t>
  </si>
  <si>
    <t xml:space="preserve">        351.55亿</t>
  </si>
  <si>
    <t xml:space="preserve">        389.25亿</t>
  </si>
  <si>
    <t xml:space="preserve">        196.22亿</t>
  </si>
  <si>
    <t>13.74万</t>
  </si>
  <si>
    <t>0.020㈢</t>
  </si>
  <si>
    <t xml:space="preserve">   0.67㈢</t>
  </si>
  <si>
    <t>汉钟精机</t>
  </si>
  <si>
    <t xml:space="preserve">         46.16亿</t>
  </si>
  <si>
    <t xml:space="preserve">         17.59亿</t>
  </si>
  <si>
    <t xml:space="preserve">   8.72㈢</t>
  </si>
  <si>
    <t>三特索道</t>
  </si>
  <si>
    <t xml:space="preserve">         16.93亿</t>
  </si>
  <si>
    <t xml:space="preserve">         16.95亿</t>
  </si>
  <si>
    <t xml:space="preserve">         11.37亿</t>
  </si>
  <si>
    <t>11.62万</t>
  </si>
  <si>
    <t>常铝股份</t>
  </si>
  <si>
    <t xml:space="preserve">         23.95亿</t>
  </si>
  <si>
    <t xml:space="preserve">         11.92亿</t>
  </si>
  <si>
    <t>0.015㈢</t>
  </si>
  <si>
    <t xml:space="preserve">   0.39㈢</t>
  </si>
  <si>
    <t>远 望 谷</t>
  </si>
  <si>
    <t xml:space="preserve">         67.13亿</t>
  </si>
  <si>
    <t xml:space="preserve">         71.09亿</t>
  </si>
  <si>
    <t xml:space="preserve">         50.30亿</t>
  </si>
  <si>
    <t>5.19万</t>
  </si>
  <si>
    <t>1.053㈢</t>
  </si>
  <si>
    <t xml:space="preserve">  37.66㈢</t>
  </si>
  <si>
    <t>悦心健康</t>
  </si>
  <si>
    <t xml:space="preserve">         30.05亿</t>
  </si>
  <si>
    <t xml:space="preserve">         13.78亿</t>
  </si>
  <si>
    <t>2.52万</t>
  </si>
  <si>
    <t>中航三鑫</t>
  </si>
  <si>
    <t xml:space="preserve">         41.46亿</t>
  </si>
  <si>
    <t xml:space="preserve">         29.22亿</t>
  </si>
  <si>
    <t xml:space="preserve">   0.60㈢</t>
  </si>
  <si>
    <t>宁波东力</t>
  </si>
  <si>
    <t xml:space="preserve">         16.44亿</t>
  </si>
  <si>
    <t xml:space="preserve">         26.37亿</t>
  </si>
  <si>
    <t xml:space="preserve">          9.81亿</t>
  </si>
  <si>
    <t>红 宝 丽</t>
  </si>
  <si>
    <t xml:space="preserve">         17.71亿</t>
  </si>
  <si>
    <t>0.109㈢</t>
  </si>
  <si>
    <t>莱茵生物</t>
  </si>
  <si>
    <t xml:space="preserve">         32.29亿</t>
  </si>
  <si>
    <t xml:space="preserve">         41.15亿</t>
  </si>
  <si>
    <t>东方锆业</t>
  </si>
  <si>
    <t xml:space="preserve">         43.12亿</t>
  </si>
  <si>
    <t xml:space="preserve">         43.28亿</t>
  </si>
  <si>
    <t>5.99万</t>
  </si>
  <si>
    <t xml:space="preserve">   0.75㈢</t>
  </si>
  <si>
    <t>惠程科技</t>
  </si>
  <si>
    <t xml:space="preserve">         64.12亿</t>
  </si>
  <si>
    <t xml:space="preserve">         64.72亿</t>
  </si>
  <si>
    <t xml:space="preserve">         44.87亿</t>
  </si>
  <si>
    <t>8.88万</t>
  </si>
  <si>
    <t xml:space="preserve">   5.15㈢</t>
  </si>
  <si>
    <t>智光电气</t>
  </si>
  <si>
    <t xml:space="preserve">         54.35亿</t>
  </si>
  <si>
    <t xml:space="preserve">         56.33亿</t>
  </si>
  <si>
    <t xml:space="preserve">         41.30亿</t>
  </si>
  <si>
    <t>芭田股份</t>
  </si>
  <si>
    <t xml:space="preserve">         16.88亿</t>
  </si>
  <si>
    <t>2.57万</t>
  </si>
  <si>
    <t>0.022㈢</t>
  </si>
  <si>
    <t xml:space="preserve">   1.01㈢</t>
  </si>
  <si>
    <t>楚江新材</t>
  </si>
  <si>
    <t xml:space="preserve">         76.28亿</t>
  </si>
  <si>
    <t xml:space="preserve">         96.42亿</t>
  </si>
  <si>
    <t xml:space="preserve">         45.06亿</t>
  </si>
  <si>
    <t>11.27万</t>
  </si>
  <si>
    <t>0.290㈢</t>
  </si>
  <si>
    <t>澳洋健康</t>
  </si>
  <si>
    <t xml:space="preserve">         28.91亿</t>
  </si>
  <si>
    <t xml:space="preserve">         29.04亿</t>
  </si>
  <si>
    <t xml:space="preserve">         16.86亿</t>
  </si>
  <si>
    <t>-0.377㈢</t>
  </si>
  <si>
    <t xml:space="preserve"> -18.95㈢</t>
  </si>
  <si>
    <t>创新医疗</t>
  </si>
  <si>
    <t xml:space="preserve">         22.74亿</t>
  </si>
  <si>
    <t xml:space="preserve">         27.88亿</t>
  </si>
  <si>
    <t>7.74万</t>
  </si>
  <si>
    <t>-0.134㈢</t>
  </si>
  <si>
    <t xml:space="preserve">  -1.71㈢</t>
  </si>
  <si>
    <t>游族网络</t>
  </si>
  <si>
    <t xml:space="preserve">        149.55亿</t>
  </si>
  <si>
    <t xml:space="preserve">        206.04亿</t>
  </si>
  <si>
    <t xml:space="preserve">        107.63亿</t>
  </si>
  <si>
    <t>27.20万</t>
  </si>
  <si>
    <t>0.810㈢</t>
  </si>
  <si>
    <t xml:space="preserve">  12.90㈢</t>
  </si>
  <si>
    <t>*ST东网</t>
  </si>
  <si>
    <t xml:space="preserve">         13.94亿</t>
  </si>
  <si>
    <t xml:space="preserve">         11.25亿</t>
  </si>
  <si>
    <t>1.58万</t>
  </si>
  <si>
    <t>-0.090㈢</t>
  </si>
  <si>
    <t xml:space="preserve"> -13.71㈢</t>
  </si>
  <si>
    <t>江特电机</t>
  </si>
  <si>
    <t xml:space="preserve">         64.47亿</t>
  </si>
  <si>
    <t xml:space="preserve">         64.50亿</t>
  </si>
  <si>
    <t>御银股份</t>
  </si>
  <si>
    <t xml:space="preserve">         41.64亿</t>
  </si>
  <si>
    <t xml:space="preserve">         33.28亿</t>
  </si>
  <si>
    <t>0.079㈢</t>
  </si>
  <si>
    <t xml:space="preserve">   3.68㈢</t>
  </si>
  <si>
    <t>延华智能</t>
  </si>
  <si>
    <t xml:space="preserve">         29.09亿</t>
  </si>
  <si>
    <t xml:space="preserve">         29.13亿</t>
  </si>
  <si>
    <t xml:space="preserve">         18.51亿</t>
  </si>
  <si>
    <t xml:space="preserve">  -1.88㈢</t>
  </si>
  <si>
    <t>中航光电</t>
  </si>
  <si>
    <t xml:space="preserve">        416.03亿</t>
  </si>
  <si>
    <t xml:space="preserve">        419.08亿</t>
  </si>
  <si>
    <t xml:space="preserve">        202.87亿</t>
  </si>
  <si>
    <t>61.20万</t>
  </si>
  <si>
    <t>0.800㈢</t>
  </si>
  <si>
    <t xml:space="preserve">  11.29㈢</t>
  </si>
  <si>
    <t>纳思达</t>
  </si>
  <si>
    <t xml:space="preserve">        318.73亿</t>
  </si>
  <si>
    <t xml:space="preserve">        338.17亿</t>
  </si>
  <si>
    <t xml:space="preserve">        131.90亿</t>
  </si>
  <si>
    <t>97.35万</t>
  </si>
  <si>
    <t>0.662㈢</t>
  </si>
  <si>
    <t xml:space="preserve">  12.60㈢</t>
  </si>
  <si>
    <t>粤 传 媒</t>
  </si>
  <si>
    <t xml:space="preserve">         66.93亿</t>
  </si>
  <si>
    <t xml:space="preserve">         68.50亿</t>
  </si>
  <si>
    <t xml:space="preserve">         21.83亿</t>
  </si>
  <si>
    <t>4.27万</t>
  </si>
  <si>
    <t>云海金属</t>
  </si>
  <si>
    <t xml:space="preserve">         60.31亿</t>
  </si>
  <si>
    <t xml:space="preserve">         37.81亿</t>
  </si>
  <si>
    <t>0.801㈢</t>
  </si>
  <si>
    <t xml:space="preserve">  22.70㈢</t>
  </si>
  <si>
    <t>怡 亚 通</t>
  </si>
  <si>
    <t xml:space="preserve">         88.63亿</t>
  </si>
  <si>
    <t xml:space="preserve">         88.73亿</t>
  </si>
  <si>
    <t xml:space="preserve">         56.55亿</t>
  </si>
  <si>
    <t xml:space="preserve">   1.18㈢</t>
  </si>
  <si>
    <t>海得控制</t>
  </si>
  <si>
    <t xml:space="preserve">         16.65亿</t>
  </si>
  <si>
    <t xml:space="preserve">         25.49亿</t>
  </si>
  <si>
    <t xml:space="preserve">         12.66亿</t>
  </si>
  <si>
    <t>0.068㈢</t>
  </si>
  <si>
    <t>华天科技</t>
  </si>
  <si>
    <t xml:space="preserve">        187.14亿</t>
  </si>
  <si>
    <t xml:space="preserve">        138.26亿</t>
  </si>
  <si>
    <t>0.070㈢</t>
  </si>
  <si>
    <t>全 聚 德</t>
  </si>
  <si>
    <t>7.59万</t>
  </si>
  <si>
    <t>0.171㈢</t>
  </si>
  <si>
    <t>广百股份</t>
  </si>
  <si>
    <t xml:space="preserve">         29.14亿</t>
  </si>
  <si>
    <t>6.72万</t>
  </si>
  <si>
    <t>0.456㈢</t>
  </si>
  <si>
    <t xml:space="preserve">   5.58㈢</t>
  </si>
  <si>
    <t>*ST巴士</t>
  </si>
  <si>
    <t xml:space="preserve">          9.27亿</t>
  </si>
  <si>
    <t xml:space="preserve">          6.96亿</t>
  </si>
  <si>
    <t>中光学</t>
  </si>
  <si>
    <t xml:space="preserve">         40.11亿</t>
  </si>
  <si>
    <t xml:space="preserve">         52.85亿</t>
  </si>
  <si>
    <t xml:space="preserve">         23.09亿</t>
  </si>
  <si>
    <t>7.72万</t>
  </si>
  <si>
    <t>0.300㈢</t>
  </si>
  <si>
    <t xml:space="preserve">   5.95㈢</t>
  </si>
  <si>
    <t>*ST集成</t>
  </si>
  <si>
    <t xml:space="preserve">         73.70亿</t>
  </si>
  <si>
    <t xml:space="preserve">         76.59亿</t>
  </si>
  <si>
    <t>9.42万</t>
  </si>
  <si>
    <t>1.667㈢</t>
  </si>
  <si>
    <t xml:space="preserve">  24.74㈢</t>
  </si>
  <si>
    <t>劲嘉股份</t>
  </si>
  <si>
    <t xml:space="preserve">        147.59亿</t>
  </si>
  <si>
    <t xml:space="preserve">        169.92亿</t>
  </si>
  <si>
    <t xml:space="preserve">         91.94亿</t>
  </si>
  <si>
    <t>13.52万</t>
  </si>
  <si>
    <t xml:space="preserve">  10.03㈢</t>
  </si>
  <si>
    <t>融捷股份</t>
  </si>
  <si>
    <t xml:space="preserve">         55.21亿</t>
  </si>
  <si>
    <t xml:space="preserve">         60.63亿</t>
  </si>
  <si>
    <t>15.82万</t>
  </si>
  <si>
    <t xml:space="preserve">  -6.29㈢</t>
  </si>
  <si>
    <t>如意集团</t>
  </si>
  <si>
    <t xml:space="preserve">         20.35亿</t>
  </si>
  <si>
    <t>5.83万</t>
  </si>
  <si>
    <t>0.271㈢</t>
  </si>
  <si>
    <t xml:space="preserve">   2.66㈢</t>
  </si>
  <si>
    <t>武汉凡谷</t>
  </si>
  <si>
    <t xml:space="preserve">         69.25亿</t>
  </si>
  <si>
    <t xml:space="preserve">        105.20亿</t>
  </si>
  <si>
    <t xml:space="preserve">         27.57亿</t>
  </si>
  <si>
    <t>二三四五</t>
  </si>
  <si>
    <t xml:space="preserve">        180.62亿</t>
  </si>
  <si>
    <t xml:space="preserve">        184.08亿</t>
  </si>
  <si>
    <t xml:space="preserve">        134.80亿</t>
  </si>
  <si>
    <t>5.02万</t>
  </si>
  <si>
    <t>0.127㈢</t>
  </si>
  <si>
    <t xml:space="preserve">   7.32㈢</t>
  </si>
  <si>
    <t>方正电机</t>
  </si>
  <si>
    <t xml:space="preserve">         19.99亿</t>
  </si>
  <si>
    <t xml:space="preserve">         16.21亿</t>
  </si>
  <si>
    <t>5.90万</t>
  </si>
  <si>
    <t>证通电子</t>
  </si>
  <si>
    <t xml:space="preserve">         35.46亿</t>
  </si>
  <si>
    <t xml:space="preserve">         42.04亿</t>
  </si>
  <si>
    <t xml:space="preserve">         28.42亿</t>
  </si>
  <si>
    <t xml:space="preserve">   0.82㈢</t>
  </si>
  <si>
    <t>嘉应制药</t>
  </si>
  <si>
    <t xml:space="preserve">         19.67亿</t>
  </si>
  <si>
    <t>东晶电子</t>
  </si>
  <si>
    <t xml:space="preserve">         23.42亿</t>
  </si>
  <si>
    <t xml:space="preserve">         14.10亿</t>
  </si>
  <si>
    <t xml:space="preserve">   4.60㈢</t>
  </si>
  <si>
    <t>*ST云投</t>
  </si>
  <si>
    <t xml:space="preserve">          9.07亿</t>
  </si>
  <si>
    <t xml:space="preserve">         12.69亿</t>
  </si>
  <si>
    <t xml:space="preserve">          7.14亿</t>
  </si>
  <si>
    <t xml:space="preserve">  15.01㈢</t>
  </si>
  <si>
    <t>九鼎新材</t>
  </si>
  <si>
    <t xml:space="preserve">         72.03亿</t>
  </si>
  <si>
    <t xml:space="preserve">         72.21亿</t>
  </si>
  <si>
    <t xml:space="preserve">         36.77亿</t>
  </si>
  <si>
    <t xml:space="preserve">   0.57㈢</t>
  </si>
  <si>
    <t>金风科技</t>
  </si>
  <si>
    <t xml:space="preserve">        390.51亿</t>
  </si>
  <si>
    <t xml:space="preserve">        397.96亿</t>
  </si>
  <si>
    <t xml:space="preserve">        206.36亿</t>
  </si>
  <si>
    <t>17.94万</t>
  </si>
  <si>
    <t xml:space="preserve">   5.33㈢</t>
  </si>
  <si>
    <t>海亮股份</t>
  </si>
  <si>
    <t xml:space="preserve">        183.83亿</t>
  </si>
  <si>
    <t xml:space="preserve">        196.58亿</t>
  </si>
  <si>
    <t xml:space="preserve">         72.06亿</t>
  </si>
  <si>
    <t>37.97万</t>
  </si>
  <si>
    <t xml:space="preserve">   9.68㈢</t>
  </si>
  <si>
    <t>大连重工</t>
  </si>
  <si>
    <t xml:space="preserve">         62.00亿</t>
  </si>
  <si>
    <t xml:space="preserve">         23.45亿</t>
  </si>
  <si>
    <t>国统股份</t>
  </si>
  <si>
    <t xml:space="preserve">         17.11亿</t>
  </si>
  <si>
    <t xml:space="preserve">         11.94亿</t>
  </si>
  <si>
    <t>海 利 得</t>
  </si>
  <si>
    <t xml:space="preserve">         35.75亿</t>
  </si>
  <si>
    <t xml:space="preserve">         25.41亿</t>
  </si>
  <si>
    <t>9.07万</t>
  </si>
  <si>
    <t>ST准油</t>
  </si>
  <si>
    <t>石油开采</t>
  </si>
  <si>
    <t xml:space="preserve">         13.72亿</t>
  </si>
  <si>
    <t xml:space="preserve">         13.82亿</t>
  </si>
  <si>
    <t xml:space="preserve">         10.50亿</t>
  </si>
  <si>
    <t xml:space="preserve">  -8.13㈢</t>
  </si>
  <si>
    <t>合肥城建</t>
  </si>
  <si>
    <t xml:space="preserve">         33.70亿</t>
  </si>
  <si>
    <t>达 意 隆</t>
  </si>
  <si>
    <t xml:space="preserve">         10.80亿</t>
  </si>
  <si>
    <t xml:space="preserve">         13.65亿</t>
  </si>
  <si>
    <t xml:space="preserve">          7.95亿</t>
  </si>
  <si>
    <t>-0.149㈢</t>
  </si>
  <si>
    <t xml:space="preserve">  -4.76㈢</t>
  </si>
  <si>
    <t>*ST飞马</t>
  </si>
  <si>
    <t xml:space="preserve">         21.98亿</t>
  </si>
  <si>
    <t xml:space="preserve">          4.02亿</t>
  </si>
  <si>
    <t>0.74万</t>
  </si>
  <si>
    <t>-0.341㈢</t>
  </si>
  <si>
    <t xml:space="preserve"> -38.89㈢</t>
  </si>
  <si>
    <t>宏达新材</t>
  </si>
  <si>
    <t xml:space="preserve">         27.94亿</t>
  </si>
  <si>
    <t xml:space="preserve">         16.49亿</t>
  </si>
  <si>
    <t xml:space="preserve">   0.03㈢</t>
  </si>
  <si>
    <t>南洋股份</t>
  </si>
  <si>
    <t xml:space="preserve">        173.91亿</t>
  </si>
  <si>
    <t xml:space="preserve">        224.75亿</t>
  </si>
  <si>
    <t xml:space="preserve">        105.89亿</t>
  </si>
  <si>
    <t>92.99万</t>
  </si>
  <si>
    <t>-0.097㈢</t>
  </si>
  <si>
    <t xml:space="preserve">  -1.33㈢</t>
  </si>
  <si>
    <t>特 尔 佳</t>
  </si>
  <si>
    <t xml:space="preserve">         24.00亿</t>
  </si>
  <si>
    <t xml:space="preserve">         17.20亿</t>
  </si>
  <si>
    <t>12.36万</t>
  </si>
  <si>
    <t xml:space="preserve">  -1.13㈢</t>
  </si>
  <si>
    <t>大立科技</t>
  </si>
  <si>
    <t xml:space="preserve">         38.02亿</t>
  </si>
  <si>
    <t xml:space="preserve">         48.80亿</t>
  </si>
  <si>
    <t xml:space="preserve">         34.47亿</t>
  </si>
  <si>
    <t>诺 普 信</t>
  </si>
  <si>
    <t xml:space="preserve">         46.54亿</t>
  </si>
  <si>
    <t xml:space="preserve">         59.23亿</t>
  </si>
  <si>
    <t xml:space="preserve">         32.57亿</t>
  </si>
  <si>
    <t>6.29万</t>
  </si>
  <si>
    <t>0.288㈢</t>
  </si>
  <si>
    <t xml:space="preserve">  11.47㈢</t>
  </si>
  <si>
    <t>三全食品</t>
  </si>
  <si>
    <t xml:space="preserve">         78.64亿</t>
  </si>
  <si>
    <t xml:space="preserve">        111.26亿</t>
  </si>
  <si>
    <t xml:space="preserve">         37.65亿</t>
  </si>
  <si>
    <t>15.76万</t>
  </si>
  <si>
    <t>0.146㈢</t>
  </si>
  <si>
    <t xml:space="preserve">   5.46㈢</t>
  </si>
  <si>
    <t>合力泰</t>
  </si>
  <si>
    <t xml:space="preserve">        146.88亿</t>
  </si>
  <si>
    <t xml:space="preserve">        169.53亿</t>
  </si>
  <si>
    <t xml:space="preserve">         97.91亿</t>
  </si>
  <si>
    <t>0.215㈢</t>
  </si>
  <si>
    <t xml:space="preserve">   5.61㈢</t>
  </si>
  <si>
    <t>拓日新能</t>
  </si>
  <si>
    <t xml:space="preserve">         36.59亿</t>
  </si>
  <si>
    <t xml:space="preserve">         37.21亿</t>
  </si>
  <si>
    <t xml:space="preserve">         20.53亿</t>
  </si>
  <si>
    <t>0.059㈢</t>
  </si>
  <si>
    <t xml:space="preserve">   2.48㈢</t>
  </si>
  <si>
    <t>恒康医疗</t>
  </si>
  <si>
    <t xml:space="preserve">         44.02亿</t>
  </si>
  <si>
    <t xml:space="preserve">         22.16亿</t>
  </si>
  <si>
    <t>-0.091㈢</t>
  </si>
  <si>
    <t>ST天宝</t>
  </si>
  <si>
    <t xml:space="preserve">         10.12亿</t>
  </si>
  <si>
    <t xml:space="preserve">         11.73亿</t>
  </si>
  <si>
    <t xml:space="preserve">          5.77亿</t>
  </si>
  <si>
    <t>-0.574㈢</t>
  </si>
  <si>
    <t xml:space="preserve"> -20.52㈢</t>
  </si>
  <si>
    <t>东华能源</t>
  </si>
  <si>
    <t xml:space="preserve">        117.15亿</t>
  </si>
  <si>
    <t xml:space="preserve">        126.21亿</t>
  </si>
  <si>
    <t xml:space="preserve">         79.29亿</t>
  </si>
  <si>
    <t>0.640㈢</t>
  </si>
  <si>
    <t xml:space="preserve">  10.97㈢</t>
  </si>
  <si>
    <t>福晶科技</t>
  </si>
  <si>
    <t xml:space="preserve">         51.55亿</t>
  </si>
  <si>
    <t xml:space="preserve">         52.11亿</t>
  </si>
  <si>
    <t xml:space="preserve">         38.48亿</t>
  </si>
  <si>
    <t>7.78万</t>
  </si>
  <si>
    <t xml:space="preserve">  11.69㈢</t>
  </si>
  <si>
    <t>鱼跃医疗</t>
  </si>
  <si>
    <t xml:space="preserve">        170.42亿</t>
  </si>
  <si>
    <t xml:space="preserve">        197.09亿</t>
  </si>
  <si>
    <t>20.23万</t>
  </si>
  <si>
    <t>0.711㈢</t>
  </si>
  <si>
    <t xml:space="preserve">  11.76㈢</t>
  </si>
  <si>
    <t>三 力 士</t>
  </si>
  <si>
    <t xml:space="preserve">         32.34亿</t>
  </si>
  <si>
    <t xml:space="preserve">         43.76亿</t>
  </si>
  <si>
    <t xml:space="preserve">         28.54亿</t>
  </si>
  <si>
    <t>4.13万</t>
  </si>
  <si>
    <t>濮耐股份</t>
  </si>
  <si>
    <t xml:space="preserve">         28.87亿</t>
  </si>
  <si>
    <t xml:space="preserve">         22.04亿</t>
  </si>
  <si>
    <t>江南化工</t>
  </si>
  <si>
    <t xml:space="preserve">         51.17亿</t>
  </si>
  <si>
    <t xml:space="preserve">         66.70亿</t>
  </si>
  <si>
    <t xml:space="preserve">   6.09㈢</t>
  </si>
  <si>
    <t>奥 特 迅</t>
  </si>
  <si>
    <t xml:space="preserve">         24.26亿</t>
  </si>
  <si>
    <t xml:space="preserve">         24.29亿</t>
  </si>
  <si>
    <t xml:space="preserve">          8.43亿</t>
  </si>
  <si>
    <t>3.15万</t>
  </si>
  <si>
    <t>-0.033㈢</t>
  </si>
  <si>
    <t xml:space="preserve">  -0.90㈢</t>
  </si>
  <si>
    <t>合兴包装</t>
  </si>
  <si>
    <t xml:space="preserve">         46.50亿</t>
  </si>
  <si>
    <t xml:space="preserve">         46.66亿</t>
  </si>
  <si>
    <t xml:space="preserve">   6.58㈢</t>
  </si>
  <si>
    <t>鸿博股份</t>
  </si>
  <si>
    <t xml:space="preserve">         32.84亿</t>
  </si>
  <si>
    <t xml:space="preserve">         21.86亿</t>
  </si>
  <si>
    <t xml:space="preserve">  -0.24㈢</t>
  </si>
  <si>
    <t>科大讯飞</t>
  </si>
  <si>
    <t xml:space="preserve">        634.79亿</t>
  </si>
  <si>
    <t xml:space="preserve">        754.11亿</t>
  </si>
  <si>
    <t xml:space="preserve">        500.39亿</t>
  </si>
  <si>
    <t>19.60万</t>
  </si>
  <si>
    <t xml:space="preserve">   3.33㈢</t>
  </si>
  <si>
    <t>奥维通信</t>
  </si>
  <si>
    <t xml:space="preserve">         20.11亿</t>
  </si>
  <si>
    <t xml:space="preserve">         24.83亿</t>
  </si>
  <si>
    <t xml:space="preserve">          8.44亿</t>
  </si>
  <si>
    <t>1.82万</t>
  </si>
  <si>
    <t>0.001㈢</t>
  </si>
  <si>
    <t>启明信息</t>
  </si>
  <si>
    <t xml:space="preserve">         36.46亿</t>
  </si>
  <si>
    <t xml:space="preserve">         36.89亿</t>
  </si>
  <si>
    <t xml:space="preserve">         15.90亿</t>
  </si>
  <si>
    <t>3.62万</t>
  </si>
  <si>
    <t xml:space="preserve">   3.70㈢</t>
  </si>
  <si>
    <t>塔牌集团</t>
  </si>
  <si>
    <t xml:space="preserve">        141.31亿</t>
  </si>
  <si>
    <t xml:space="preserve">        144.98亿</t>
  </si>
  <si>
    <t xml:space="preserve">         81.88亿</t>
  </si>
  <si>
    <t>13.99万</t>
  </si>
  <si>
    <t>0.883㈢</t>
  </si>
  <si>
    <t xml:space="preserve">  11.53㈢</t>
  </si>
  <si>
    <t>民和股份</t>
  </si>
  <si>
    <t xml:space="preserve">         64.07亿</t>
  </si>
  <si>
    <t xml:space="preserve">         93.88亿</t>
  </si>
  <si>
    <t>11.98万</t>
  </si>
  <si>
    <t>4.146㈢</t>
  </si>
  <si>
    <t xml:space="preserve">  52.64㈢</t>
  </si>
  <si>
    <t>安妮股份</t>
  </si>
  <si>
    <t xml:space="preserve">         50.32亿</t>
  </si>
  <si>
    <t xml:space="preserve">         36.32亿</t>
  </si>
  <si>
    <t>6.15万</t>
  </si>
  <si>
    <t xml:space="preserve">   4.15㈢</t>
  </si>
  <si>
    <t>大华股份</t>
  </si>
  <si>
    <t xml:space="preserve">        350.58亿</t>
  </si>
  <si>
    <t xml:space="preserve">        581.44亿</t>
  </si>
  <si>
    <t xml:space="preserve">        293.75亿</t>
  </si>
  <si>
    <t>27.50万</t>
  </si>
  <si>
    <t xml:space="preserve">  13.29㈢</t>
  </si>
  <si>
    <t>恒邦股份</t>
  </si>
  <si>
    <t xml:space="preserve">        118.04亿</t>
  </si>
  <si>
    <t xml:space="preserve">        126.18亿</t>
  </si>
  <si>
    <t xml:space="preserve">         66.92亿</t>
  </si>
  <si>
    <t>8.73万</t>
  </si>
  <si>
    <t xml:space="preserve">   5.53㈢</t>
  </si>
  <si>
    <t>天威视讯</t>
  </si>
  <si>
    <t xml:space="preserve">         49.08亿</t>
  </si>
  <si>
    <t xml:space="preserve">         14.35亿</t>
  </si>
  <si>
    <t>0.260㈢</t>
  </si>
  <si>
    <t xml:space="preserve">   6.11㈢</t>
  </si>
  <si>
    <t>奥特佳</t>
  </si>
  <si>
    <t xml:space="preserve">         53.19亿</t>
  </si>
  <si>
    <t xml:space="preserve">         53.86亿</t>
  </si>
  <si>
    <t xml:space="preserve">         23.27亿</t>
  </si>
  <si>
    <t>3.09万</t>
  </si>
  <si>
    <t xml:space="preserve">   0.47㈢</t>
  </si>
  <si>
    <t>威华股份</t>
  </si>
  <si>
    <t xml:space="preserve">         37.58亿</t>
  </si>
  <si>
    <t xml:space="preserve">         50.34亿</t>
  </si>
  <si>
    <t xml:space="preserve">         24.91亿</t>
  </si>
  <si>
    <t>6.64万</t>
  </si>
  <si>
    <t>歌尔股份</t>
  </si>
  <si>
    <t xml:space="preserve">        557.02亿</t>
  </si>
  <si>
    <t xml:space="preserve">        653.56亿</t>
  </si>
  <si>
    <t xml:space="preserve">        409.84亿</t>
  </si>
  <si>
    <t>35.81万</t>
  </si>
  <si>
    <t xml:space="preserve">   6.19㈢</t>
  </si>
  <si>
    <t>九阳股份</t>
  </si>
  <si>
    <t xml:space="preserve">        174.74亿</t>
  </si>
  <si>
    <t xml:space="preserve">        175.71亿</t>
  </si>
  <si>
    <t xml:space="preserve">         56.93亿</t>
  </si>
  <si>
    <t>21.05万</t>
  </si>
  <si>
    <t>0.805㈢</t>
  </si>
  <si>
    <t xml:space="preserve">  17.50㈢</t>
  </si>
  <si>
    <t>通产丽星</t>
  </si>
  <si>
    <t xml:space="preserve">         54.63亿</t>
  </si>
  <si>
    <t xml:space="preserve">        174.34亿</t>
  </si>
  <si>
    <t xml:space="preserve">         26.49亿</t>
  </si>
  <si>
    <t>7.71万</t>
  </si>
  <si>
    <t xml:space="preserve">   5.64㈢</t>
  </si>
  <si>
    <t>滨江集团</t>
  </si>
  <si>
    <t xml:space="preserve">        132.71亿</t>
  </si>
  <si>
    <t xml:space="preserve">        152.77亿</t>
  </si>
  <si>
    <t xml:space="preserve">         61.17亿</t>
  </si>
  <si>
    <t>14.14万</t>
  </si>
  <si>
    <t>0.277㈢</t>
  </si>
  <si>
    <t>澳洋顺昌</t>
  </si>
  <si>
    <t xml:space="preserve">         36.48亿</t>
  </si>
  <si>
    <t xml:space="preserve">         39.15亿</t>
  </si>
  <si>
    <t xml:space="preserve">         23.56亿</t>
  </si>
  <si>
    <t xml:space="preserve">   4.61㈢</t>
  </si>
  <si>
    <t>北化股份</t>
  </si>
  <si>
    <t xml:space="preserve">         33.65亿</t>
  </si>
  <si>
    <t xml:space="preserve">         41.07亿</t>
  </si>
  <si>
    <t xml:space="preserve">         16.73亿</t>
  </si>
  <si>
    <t>4.30万</t>
  </si>
  <si>
    <t>0.197㈢</t>
  </si>
  <si>
    <t xml:space="preserve">   4.35㈢</t>
  </si>
  <si>
    <t>聚力文化</t>
  </si>
  <si>
    <t xml:space="preserve">         24.59亿</t>
  </si>
  <si>
    <t xml:space="preserve">         11.99亿</t>
  </si>
  <si>
    <t>-0.009㈢</t>
  </si>
  <si>
    <t xml:space="preserve">  -0.36㈢</t>
  </si>
  <si>
    <t>华东数控</t>
  </si>
  <si>
    <t xml:space="preserve">         23.98亿</t>
  </si>
  <si>
    <t xml:space="preserve">         18.66亿</t>
  </si>
  <si>
    <t xml:space="preserve">   7.99㈢</t>
  </si>
  <si>
    <t>大洋电机</t>
  </si>
  <si>
    <t xml:space="preserve">         63.97亿</t>
  </si>
  <si>
    <t xml:space="preserve">         92.49亿</t>
  </si>
  <si>
    <t xml:space="preserve">         50.27亿</t>
  </si>
  <si>
    <t xml:space="preserve">   3.80㈢</t>
  </si>
  <si>
    <t>联化科技</t>
  </si>
  <si>
    <t xml:space="preserve">        144.18亿</t>
  </si>
  <si>
    <t xml:space="preserve">        148.56亿</t>
  </si>
  <si>
    <t xml:space="preserve">        103.25亿</t>
  </si>
  <si>
    <t>49.53万</t>
  </si>
  <si>
    <t>0.317㈢</t>
  </si>
  <si>
    <t>步 步 高</t>
  </si>
  <si>
    <t xml:space="preserve">         75.51亿</t>
  </si>
  <si>
    <t xml:space="preserve">         32.03亿</t>
  </si>
  <si>
    <t>11.97万</t>
  </si>
  <si>
    <t>上海莱士</t>
  </si>
  <si>
    <t xml:space="preserve">        362.98亿</t>
  </si>
  <si>
    <t xml:space="preserve">        363.15亿</t>
  </si>
  <si>
    <t xml:space="preserve">        115.84亿</t>
  </si>
  <si>
    <t>10.49万</t>
  </si>
  <si>
    <t>川大智胜</t>
  </si>
  <si>
    <t xml:space="preserve">         30.23亿</t>
  </si>
  <si>
    <t xml:space="preserve">         32.90亿</t>
  </si>
  <si>
    <t>0.111㈢</t>
  </si>
  <si>
    <t>泰和新材</t>
  </si>
  <si>
    <t xml:space="preserve">         63.77亿</t>
  </si>
  <si>
    <t>14.18万</t>
  </si>
  <si>
    <t>0.247㈢</t>
  </si>
  <si>
    <t xml:space="preserve">   6.63㈢</t>
  </si>
  <si>
    <t>海陆重工</t>
  </si>
  <si>
    <t xml:space="preserve">         20.62亿</t>
  </si>
  <si>
    <t xml:space="preserve">         26.95亿</t>
  </si>
  <si>
    <t>4.20万</t>
  </si>
  <si>
    <t xml:space="preserve">   1.71㈢</t>
  </si>
  <si>
    <t>兆新股份</t>
  </si>
  <si>
    <t xml:space="preserve">         35.56亿</t>
  </si>
  <si>
    <t xml:space="preserve">         48.19亿</t>
  </si>
  <si>
    <t xml:space="preserve">         23.18亿</t>
  </si>
  <si>
    <t>-0.016㈢</t>
  </si>
  <si>
    <t xml:space="preserve">  -1.56㈢</t>
  </si>
  <si>
    <t>利尔化学</t>
  </si>
  <si>
    <t xml:space="preserve">         71.28亿</t>
  </si>
  <si>
    <t xml:space="preserve">         71.58亿</t>
  </si>
  <si>
    <t xml:space="preserve">         34.29亿</t>
  </si>
  <si>
    <t>12.94万</t>
  </si>
  <si>
    <t>0.447㈢</t>
  </si>
  <si>
    <t xml:space="preserve">   7.15㈢</t>
  </si>
  <si>
    <t>*ST升达</t>
  </si>
  <si>
    <t xml:space="preserve">         15.60亿</t>
  </si>
  <si>
    <t xml:space="preserve">         16.40亿</t>
  </si>
  <si>
    <t>3.96万</t>
  </si>
  <si>
    <t>-0.109㈢</t>
  </si>
  <si>
    <t xml:space="preserve">  -5.81㈢</t>
  </si>
  <si>
    <t>拓维信息</t>
  </si>
  <si>
    <t xml:space="preserve">         82.29亿</t>
  </si>
  <si>
    <t xml:space="preserve">        103.03亿</t>
  </si>
  <si>
    <t xml:space="preserve">         62.52亿</t>
  </si>
  <si>
    <t xml:space="preserve">   2.47㈢</t>
  </si>
  <si>
    <t>恩华药业</t>
  </si>
  <si>
    <t xml:space="preserve">         99.99亿</t>
  </si>
  <si>
    <t xml:space="preserve">        114.89亿</t>
  </si>
  <si>
    <t xml:space="preserve">         55.39亿</t>
  </si>
  <si>
    <t>11.04万</t>
  </si>
  <si>
    <t>0.511㈢</t>
  </si>
  <si>
    <t xml:space="preserve">  15.00㈢</t>
  </si>
  <si>
    <t>*ST东南</t>
  </si>
  <si>
    <t xml:space="preserve">         38.88亿</t>
  </si>
  <si>
    <t xml:space="preserve">         28.03亿</t>
  </si>
  <si>
    <t xml:space="preserve">   1.39㈢</t>
  </si>
  <si>
    <t>新 华 都</t>
  </si>
  <si>
    <t xml:space="preserve">         32.41亿</t>
  </si>
  <si>
    <t xml:space="preserve">         32.65亿</t>
  </si>
  <si>
    <t xml:space="preserve">         14.19亿</t>
  </si>
  <si>
    <t>-0.295㈢</t>
  </si>
  <si>
    <t xml:space="preserve"> -13.98㈢</t>
  </si>
  <si>
    <t>西仪股份</t>
  </si>
  <si>
    <t xml:space="preserve">         11.34亿</t>
  </si>
  <si>
    <t>3.05万</t>
  </si>
  <si>
    <t xml:space="preserve">  -2.55㈢</t>
  </si>
  <si>
    <t>浙富控股</t>
  </si>
  <si>
    <t xml:space="preserve">         67.96亿</t>
  </si>
  <si>
    <t xml:space="preserve">         82.12亿</t>
  </si>
  <si>
    <t xml:space="preserve">         62.72亿</t>
  </si>
  <si>
    <t>陕天然气</t>
  </si>
  <si>
    <t xml:space="preserve">         79.18亿</t>
  </si>
  <si>
    <t xml:space="preserve">         28.16亿</t>
  </si>
  <si>
    <t>7.40万</t>
  </si>
  <si>
    <t xml:space="preserve">   4.10㈢</t>
  </si>
  <si>
    <t>卫 士 通</t>
  </si>
  <si>
    <t xml:space="preserve">        209.92亿</t>
  </si>
  <si>
    <t xml:space="preserve">        217.30亿</t>
  </si>
  <si>
    <t xml:space="preserve">        135.75亿</t>
  </si>
  <si>
    <t>42.09万</t>
  </si>
  <si>
    <t xml:space="preserve">  -1.47㈢</t>
  </si>
  <si>
    <t>美邦服饰</t>
  </si>
  <si>
    <t xml:space="preserve">         61.05亿</t>
  </si>
  <si>
    <t xml:space="preserve">         24.66亿</t>
  </si>
  <si>
    <t>-0.095㈢</t>
  </si>
  <si>
    <t xml:space="preserve">  -9.02㈢</t>
  </si>
  <si>
    <t>华明装备</t>
  </si>
  <si>
    <t xml:space="preserve">         36.43亿</t>
  </si>
  <si>
    <t xml:space="preserve">         37.43亿</t>
  </si>
  <si>
    <t xml:space="preserve">         19.76亿</t>
  </si>
  <si>
    <t>东方雨虹</t>
  </si>
  <si>
    <t xml:space="preserve">        252.41亿</t>
  </si>
  <si>
    <t xml:space="preserve">        379.07亿</t>
  </si>
  <si>
    <t xml:space="preserve">        218.57亿</t>
  </si>
  <si>
    <t>44.67万</t>
  </si>
  <si>
    <t>1.050㈢</t>
  </si>
  <si>
    <t xml:space="preserve">  17.01㈢</t>
  </si>
  <si>
    <t>川润股份</t>
  </si>
  <si>
    <t xml:space="preserve">         19.23亿</t>
  </si>
  <si>
    <t xml:space="preserve">         12.53亿</t>
  </si>
  <si>
    <t>0.102㈢</t>
  </si>
  <si>
    <t>水晶光电</t>
  </si>
  <si>
    <t xml:space="preserve">        177.77亿</t>
  </si>
  <si>
    <t xml:space="preserve">        184.00亿</t>
  </si>
  <si>
    <t xml:space="preserve">        142.87亿</t>
  </si>
  <si>
    <t>24.54万</t>
  </si>
  <si>
    <t>0.312㈢</t>
  </si>
  <si>
    <t>华昌化工</t>
  </si>
  <si>
    <t xml:space="preserve">         61.35亿</t>
  </si>
  <si>
    <t xml:space="preserve">         62.28亿</t>
  </si>
  <si>
    <t xml:space="preserve">         34.99亿</t>
  </si>
  <si>
    <t>5.35万</t>
  </si>
  <si>
    <t xml:space="preserve">   8.96㈢</t>
  </si>
  <si>
    <t>桂林三金</t>
  </si>
  <si>
    <t xml:space="preserve">         68.91亿</t>
  </si>
  <si>
    <t>11.65万</t>
  </si>
  <si>
    <t xml:space="preserve">  12.01㈢</t>
  </si>
  <si>
    <t>万马股份</t>
  </si>
  <si>
    <t xml:space="preserve">         84.05亿</t>
  </si>
  <si>
    <t xml:space="preserve">         84.19亿</t>
  </si>
  <si>
    <t>友阿股份</t>
  </si>
  <si>
    <t xml:space="preserve">         45.03亿</t>
  </si>
  <si>
    <t xml:space="preserve">         30.61亿</t>
  </si>
  <si>
    <t>6.32万</t>
  </si>
  <si>
    <t>0.231㈢</t>
  </si>
  <si>
    <t>神开股份</t>
  </si>
  <si>
    <t xml:space="preserve">         21.74亿</t>
  </si>
  <si>
    <t xml:space="preserve">         23.00亿</t>
  </si>
  <si>
    <t xml:space="preserve">         15.29亿</t>
  </si>
  <si>
    <t>8.04万</t>
  </si>
  <si>
    <t xml:space="preserve">   2.86㈢</t>
  </si>
  <si>
    <t>久其软件</t>
  </si>
  <si>
    <t xml:space="preserve">         36.52亿</t>
  </si>
  <si>
    <t xml:space="preserve">         42.67亿</t>
  </si>
  <si>
    <t xml:space="preserve">         20.91亿</t>
  </si>
  <si>
    <t>4.24万</t>
  </si>
  <si>
    <t>联络互动</t>
  </si>
  <si>
    <t xml:space="preserve">         70.17亿</t>
  </si>
  <si>
    <t xml:space="preserve">         86.65亿</t>
  </si>
  <si>
    <t>4.26万</t>
  </si>
  <si>
    <t xml:space="preserve">   0.40㈢</t>
  </si>
  <si>
    <t>光迅科技</t>
  </si>
  <si>
    <t xml:space="preserve">        185.74亿</t>
  </si>
  <si>
    <t xml:space="preserve">        200.06亿</t>
  </si>
  <si>
    <t xml:space="preserve">        101.30亿</t>
  </si>
  <si>
    <t>16.62万</t>
  </si>
  <si>
    <t>0.400㈢</t>
  </si>
  <si>
    <t xml:space="preserve">   6.03㈢</t>
  </si>
  <si>
    <t>博深股份</t>
  </si>
  <si>
    <t xml:space="preserve">         36.03亿</t>
  </si>
  <si>
    <t>6.13万</t>
  </si>
  <si>
    <t xml:space="preserve">   2.94㈢</t>
  </si>
  <si>
    <t>天润曲轴</t>
  </si>
  <si>
    <t xml:space="preserve">         35.15亿</t>
  </si>
  <si>
    <t xml:space="preserve">         26.22亿</t>
  </si>
  <si>
    <t xml:space="preserve">   5.68㈢</t>
  </si>
  <si>
    <t>亚太股份</t>
  </si>
  <si>
    <t>-0.101㈢</t>
  </si>
  <si>
    <t xml:space="preserve">  -2.76㈢</t>
  </si>
  <si>
    <t>世联行</t>
  </si>
  <si>
    <t xml:space="preserve">         74.76亿</t>
  </si>
  <si>
    <t xml:space="preserve">         76.00亿</t>
  </si>
  <si>
    <t xml:space="preserve">         37.24亿</t>
  </si>
  <si>
    <t>5.82万</t>
  </si>
  <si>
    <t xml:space="preserve">   1.23㈢</t>
  </si>
  <si>
    <t>保龄宝</t>
  </si>
  <si>
    <t xml:space="preserve">         22.12亿</t>
  </si>
  <si>
    <t>奇正藏药</t>
  </si>
  <si>
    <t xml:space="preserve">        113.65亿</t>
  </si>
  <si>
    <t xml:space="preserve">        114.31亿</t>
  </si>
  <si>
    <t xml:space="preserve">         11.55亿</t>
  </si>
  <si>
    <t>7.17万</t>
  </si>
  <si>
    <t>0.520㈢</t>
  </si>
  <si>
    <t xml:space="preserve">  12.79㈢</t>
  </si>
  <si>
    <t>超华科技</t>
  </si>
  <si>
    <t xml:space="preserve">         38.10亿</t>
  </si>
  <si>
    <t xml:space="preserve">         46.86亿</t>
  </si>
  <si>
    <t xml:space="preserve">   1.62㈢</t>
  </si>
  <si>
    <t>*ST宇顺</t>
  </si>
  <si>
    <t xml:space="preserve">         22.62亿</t>
  </si>
  <si>
    <t xml:space="preserve">         12.86亿</t>
  </si>
  <si>
    <t>9.89万</t>
  </si>
  <si>
    <t>-0.182㈢</t>
  </si>
  <si>
    <t xml:space="preserve"> -19.22㈢</t>
  </si>
  <si>
    <t>*ST中科</t>
  </si>
  <si>
    <t xml:space="preserve">         11.32亿</t>
  </si>
  <si>
    <t xml:space="preserve">         12.72亿</t>
  </si>
  <si>
    <t xml:space="preserve">          5.46亿</t>
  </si>
  <si>
    <t>-1.461㈢</t>
  </si>
  <si>
    <t xml:space="preserve"> -39.98㈢</t>
  </si>
  <si>
    <t>星期六</t>
  </si>
  <si>
    <t xml:space="preserve">         74.04亿</t>
  </si>
  <si>
    <t xml:space="preserve">        122.28亿</t>
  </si>
  <si>
    <t>17.23万</t>
  </si>
  <si>
    <t>奥飞娱乐</t>
  </si>
  <si>
    <t xml:space="preserve">         81.35亿</t>
  </si>
  <si>
    <t xml:space="preserve">        135.72亿</t>
  </si>
  <si>
    <t xml:space="preserve">         59.63亿</t>
  </si>
  <si>
    <t>罗莱生活</t>
  </si>
  <si>
    <t xml:space="preserve">         70.33亿</t>
  </si>
  <si>
    <t xml:space="preserve">         75.14亿</t>
  </si>
  <si>
    <t xml:space="preserve">         27.90亿</t>
  </si>
  <si>
    <t>9.56万</t>
  </si>
  <si>
    <t>0.431㈢</t>
  </si>
  <si>
    <t xml:space="preserve">   9.25㈢</t>
  </si>
  <si>
    <t>信立泰</t>
  </si>
  <si>
    <t xml:space="preserve">        206.66亿</t>
  </si>
  <si>
    <t xml:space="preserve">        206.69亿</t>
  </si>
  <si>
    <t xml:space="preserve">         66.36亿</t>
  </si>
  <si>
    <t>9.68万</t>
  </si>
  <si>
    <t>0.685㈢</t>
  </si>
  <si>
    <t xml:space="preserve">  10.96㈢</t>
  </si>
  <si>
    <t>精艺股份</t>
  </si>
  <si>
    <t xml:space="preserve">         19.10亿</t>
  </si>
  <si>
    <t xml:space="preserve">         10.53亿</t>
  </si>
  <si>
    <t xml:space="preserve">   4.19㈢</t>
  </si>
  <si>
    <t>辉煌科技</t>
  </si>
  <si>
    <t xml:space="preserve">         26.19亿</t>
  </si>
  <si>
    <t xml:space="preserve">         29.98亿</t>
  </si>
  <si>
    <t xml:space="preserve">         24.94亿</t>
  </si>
  <si>
    <t>5.53万</t>
  </si>
  <si>
    <t>0.154㈢</t>
  </si>
  <si>
    <t>博云新材</t>
  </si>
  <si>
    <t xml:space="preserve">         29.99亿</t>
  </si>
  <si>
    <t xml:space="preserve">         30.07亿</t>
  </si>
  <si>
    <t xml:space="preserve">         19.14亿</t>
  </si>
  <si>
    <t>3.94万</t>
  </si>
  <si>
    <t>-0.029㈢</t>
  </si>
  <si>
    <t xml:space="preserve">  -0.91㈢</t>
  </si>
  <si>
    <t>中电兴发</t>
  </si>
  <si>
    <t xml:space="preserve">         39.32亿</t>
  </si>
  <si>
    <t xml:space="preserve">         51.52亿</t>
  </si>
  <si>
    <t>圣农发展</t>
  </si>
  <si>
    <t xml:space="preserve">        270.39亿</t>
  </si>
  <si>
    <t xml:space="preserve">        301.69亿</t>
  </si>
  <si>
    <t xml:space="preserve">        114.12亿</t>
  </si>
  <si>
    <t>26.76万</t>
  </si>
  <si>
    <t>2.183㈢</t>
  </si>
  <si>
    <t xml:space="preserve">  29.50㈢</t>
  </si>
  <si>
    <t>太阳电缆</t>
  </si>
  <si>
    <t xml:space="preserve">         39.22亿</t>
  </si>
  <si>
    <t xml:space="preserve">         16.09亿</t>
  </si>
  <si>
    <t xml:space="preserve">   9.06㈢</t>
  </si>
  <si>
    <t>齐心集团</t>
  </si>
  <si>
    <t xml:space="preserve">         75.45亿</t>
  </si>
  <si>
    <t xml:space="preserve">         86.47亿</t>
  </si>
  <si>
    <t>34.06万</t>
  </si>
  <si>
    <t xml:space="preserve">   5.34㈢</t>
  </si>
  <si>
    <t>西部建设</t>
  </si>
  <si>
    <t xml:space="preserve">        134.19亿</t>
  </si>
  <si>
    <t xml:space="preserve">        136.71亿</t>
  </si>
  <si>
    <t xml:space="preserve">         53.62亿</t>
  </si>
  <si>
    <t>6.91万</t>
  </si>
  <si>
    <t>0.485㈢</t>
  </si>
  <si>
    <t xml:space="preserve">   8.60㈢</t>
  </si>
  <si>
    <t>美盈森</t>
  </si>
  <si>
    <t xml:space="preserve">         79.91亿</t>
  </si>
  <si>
    <t xml:space="preserve">         79.94亿</t>
  </si>
  <si>
    <t>洋河股份</t>
  </si>
  <si>
    <t xml:space="preserve">       1352.60亿</t>
  </si>
  <si>
    <t xml:space="preserve">       1632.07亿</t>
  </si>
  <si>
    <t xml:space="preserve">        557.44亿</t>
  </si>
  <si>
    <t>58.65万</t>
  </si>
  <si>
    <t>4.742㈢</t>
  </si>
  <si>
    <t xml:space="preserve">  19.70㈢</t>
  </si>
  <si>
    <t>南国置业</t>
  </si>
  <si>
    <t xml:space="preserve">         17.31亿</t>
  </si>
  <si>
    <t>3.24万</t>
  </si>
  <si>
    <t>0.017㈢</t>
  </si>
  <si>
    <t>ST云网</t>
  </si>
  <si>
    <t xml:space="preserve">         20.64亿</t>
  </si>
  <si>
    <t xml:space="preserve">         15.54亿</t>
  </si>
  <si>
    <t>-252.49㈢</t>
  </si>
  <si>
    <t>北新路桥</t>
  </si>
  <si>
    <t xml:space="preserve">         51.10亿</t>
  </si>
  <si>
    <t xml:space="preserve">         51.47亿</t>
  </si>
  <si>
    <t xml:space="preserve">         27.21亿</t>
  </si>
  <si>
    <t>3.10万</t>
  </si>
  <si>
    <t xml:space="preserve">   2.02㈢</t>
  </si>
  <si>
    <t>威创股份</t>
  </si>
  <si>
    <t xml:space="preserve">         41.78亿</t>
  </si>
  <si>
    <t xml:space="preserve">         27.41亿</t>
  </si>
  <si>
    <t>中利集团</t>
  </si>
  <si>
    <t xml:space="preserve">         53.96亿</t>
  </si>
  <si>
    <t xml:space="preserve">         31.76亿</t>
  </si>
  <si>
    <t>10.38万</t>
  </si>
  <si>
    <t>0.024㈢</t>
  </si>
  <si>
    <t xml:space="preserve">   0.24㈢</t>
  </si>
  <si>
    <t>东方园林</t>
  </si>
  <si>
    <t xml:space="preserve">         81.55亿</t>
  </si>
  <si>
    <t xml:space="preserve">        132.93亿</t>
  </si>
  <si>
    <t xml:space="preserve">         57.40亿</t>
  </si>
  <si>
    <t>4.87万</t>
  </si>
  <si>
    <t>-0.330㈢</t>
  </si>
  <si>
    <t xml:space="preserve">  -7.61㈢</t>
  </si>
  <si>
    <t>海大集团</t>
  </si>
  <si>
    <t xml:space="preserve">        540.15亿</t>
  </si>
  <si>
    <t xml:space="preserve">        549.67亿</t>
  </si>
  <si>
    <t xml:space="preserve">        223.54亿</t>
  </si>
  <si>
    <t>180.49万</t>
  </si>
  <si>
    <t>0.900㈢</t>
  </si>
  <si>
    <t xml:space="preserve">  15.93㈢</t>
  </si>
  <si>
    <t>三泰控股</t>
  </si>
  <si>
    <t xml:space="preserve">         56.10亿</t>
  </si>
  <si>
    <t xml:space="preserve">         57.33亿</t>
  </si>
  <si>
    <t>-0.067㈢</t>
  </si>
  <si>
    <t xml:space="preserve">  -2.98㈢</t>
  </si>
  <si>
    <t>日海智能</t>
  </si>
  <si>
    <t xml:space="preserve">         61.77亿</t>
  </si>
  <si>
    <t xml:space="preserve">         61.90亿</t>
  </si>
  <si>
    <t xml:space="preserve">         38.46亿</t>
  </si>
  <si>
    <t>19.23万</t>
  </si>
  <si>
    <t>0.258㈢</t>
  </si>
  <si>
    <t>南山控股</t>
  </si>
  <si>
    <t xml:space="preserve">         34.81亿</t>
  </si>
  <si>
    <t xml:space="preserve">         82.86亿</t>
  </si>
  <si>
    <t xml:space="preserve">         21.10亿</t>
  </si>
  <si>
    <t xml:space="preserve">   0.98㈢</t>
  </si>
  <si>
    <t>焦点科技</t>
  </si>
  <si>
    <t xml:space="preserve">         44.37亿</t>
  </si>
  <si>
    <t xml:space="preserve">         17.63亿</t>
  </si>
  <si>
    <t>7.94万</t>
  </si>
  <si>
    <t>0.674㈢</t>
  </si>
  <si>
    <t xml:space="preserve">   7.85㈢</t>
  </si>
  <si>
    <t>亚联发展</t>
  </si>
  <si>
    <t xml:space="preserve">         22.50亿</t>
  </si>
  <si>
    <t xml:space="preserve">         30.15亿</t>
  </si>
  <si>
    <t>5.25万</t>
  </si>
  <si>
    <t>众生药业</t>
  </si>
  <si>
    <t xml:space="preserve">         93.73亿</t>
  </si>
  <si>
    <t xml:space="preserve">         97.65亿</t>
  </si>
  <si>
    <t xml:space="preserve">         79.85亿</t>
  </si>
  <si>
    <t>26.54万</t>
  </si>
  <si>
    <t>0.453㈢</t>
  </si>
  <si>
    <t>久立特材</t>
  </si>
  <si>
    <t xml:space="preserve">         74.33亿</t>
  </si>
  <si>
    <t xml:space="preserve">         76.50亿</t>
  </si>
  <si>
    <t xml:space="preserve">         43.66亿</t>
  </si>
  <si>
    <t>0.461㈢</t>
  </si>
  <si>
    <t xml:space="preserve">  11.73㈢</t>
  </si>
  <si>
    <t>乐通股份</t>
  </si>
  <si>
    <t xml:space="preserve">         17.92亿</t>
  </si>
  <si>
    <t xml:space="preserve">         13.26亿</t>
  </si>
  <si>
    <t>8.49万</t>
  </si>
  <si>
    <t xml:space="preserve">  -3.41㈢</t>
  </si>
  <si>
    <t>海峡股份</t>
  </si>
  <si>
    <t xml:space="preserve">        102.77亿</t>
  </si>
  <si>
    <t xml:space="preserve">        121.55亿</t>
  </si>
  <si>
    <t xml:space="preserve">         32.77亿</t>
  </si>
  <si>
    <t>10.92万</t>
  </si>
  <si>
    <t xml:space="preserve">   4.71㈢</t>
  </si>
  <si>
    <t>华英农业</t>
  </si>
  <si>
    <t xml:space="preserve">         29.21亿</t>
  </si>
  <si>
    <t xml:space="preserve">         29.39亿</t>
  </si>
  <si>
    <t>理工环科</t>
  </si>
  <si>
    <t xml:space="preserve">         41.03亿</t>
  </si>
  <si>
    <t xml:space="preserve">         46.37亿</t>
  </si>
  <si>
    <t>13.49万</t>
  </si>
  <si>
    <t>ST百特</t>
  </si>
  <si>
    <t xml:space="preserve">         10.04亿</t>
  </si>
  <si>
    <t xml:space="preserve">         23.57亿</t>
  </si>
  <si>
    <t xml:space="preserve">          5.82亿</t>
  </si>
  <si>
    <t>1.65万</t>
  </si>
  <si>
    <t>-0.038㈢</t>
  </si>
  <si>
    <t xml:space="preserve">  -7.81㈢</t>
  </si>
  <si>
    <t>普利特</t>
  </si>
  <si>
    <t xml:space="preserve">         69.88亿</t>
  </si>
  <si>
    <t xml:space="preserve">         26.71亿</t>
  </si>
  <si>
    <t>26.20万</t>
  </si>
  <si>
    <t>洪涛股份</t>
  </si>
  <si>
    <t xml:space="preserve">         23.79亿</t>
  </si>
  <si>
    <t xml:space="preserve">   3.27㈢</t>
  </si>
  <si>
    <t>永太科技</t>
  </si>
  <si>
    <t xml:space="preserve">         66.84亿</t>
  </si>
  <si>
    <t xml:space="preserve">         88.25亿</t>
  </si>
  <si>
    <t xml:space="preserve">         51.19亿</t>
  </si>
  <si>
    <t>7.87万</t>
  </si>
  <si>
    <t>0.361㈢</t>
  </si>
  <si>
    <t xml:space="preserve">   9.90㈢</t>
  </si>
  <si>
    <t>富安娜</t>
  </si>
  <si>
    <t xml:space="preserve">         33.66亿</t>
  </si>
  <si>
    <t xml:space="preserve">         26.31亿</t>
  </si>
  <si>
    <t xml:space="preserve">   7.56㈢</t>
  </si>
  <si>
    <t>新朋股份</t>
  </si>
  <si>
    <t xml:space="preserve">         21.97亿</t>
  </si>
  <si>
    <t xml:space="preserve">         19.17亿</t>
  </si>
  <si>
    <t>0.105㈢</t>
  </si>
  <si>
    <t xml:space="preserve">   3.15㈢</t>
  </si>
  <si>
    <t>皇氏集团</t>
  </si>
  <si>
    <t>乳制品</t>
  </si>
  <si>
    <t xml:space="preserve">         20.18亿</t>
  </si>
  <si>
    <t xml:space="preserve">         34.01亿</t>
  </si>
  <si>
    <t>得利斯</t>
  </si>
  <si>
    <t xml:space="preserve">         40.51亿</t>
  </si>
  <si>
    <t xml:space="preserve">         11.07亿</t>
  </si>
  <si>
    <t>2.86万</t>
  </si>
  <si>
    <t>皖通科技</t>
  </si>
  <si>
    <t xml:space="preserve">         33.22亿</t>
  </si>
  <si>
    <t xml:space="preserve">         24.69亿</t>
  </si>
  <si>
    <t>7.86万</t>
  </si>
  <si>
    <t xml:space="preserve">   3.85㈢</t>
  </si>
  <si>
    <t>仙琚制药</t>
  </si>
  <si>
    <t xml:space="preserve">         88.50亿</t>
  </si>
  <si>
    <t xml:space="preserve">         89.70亿</t>
  </si>
  <si>
    <t xml:space="preserve">         69.17亿</t>
  </si>
  <si>
    <t>22.31万</t>
  </si>
  <si>
    <t xml:space="preserve">  10.29㈢</t>
  </si>
  <si>
    <t>*ST罗普</t>
  </si>
  <si>
    <t xml:space="preserve">         22.21亿</t>
  </si>
  <si>
    <t xml:space="preserve">         23.02亿</t>
  </si>
  <si>
    <t xml:space="preserve">   3.04㈢</t>
  </si>
  <si>
    <t>英威腾</t>
  </si>
  <si>
    <t xml:space="preserve">         26.26亿</t>
  </si>
  <si>
    <t xml:space="preserve">         32.55亿</t>
  </si>
  <si>
    <t xml:space="preserve">  -2.14㈢</t>
  </si>
  <si>
    <t>科华恒盛</t>
  </si>
  <si>
    <t xml:space="preserve">         44.39亿</t>
  </si>
  <si>
    <t xml:space="preserve">         18.24亿</t>
  </si>
  <si>
    <t xml:space="preserve">   4.23㈢</t>
  </si>
  <si>
    <t>*ST人乐</t>
  </si>
  <si>
    <t xml:space="preserve">         19.29亿</t>
  </si>
  <si>
    <t xml:space="preserve">         22.75亿</t>
  </si>
  <si>
    <t xml:space="preserve">          5.81亿</t>
  </si>
  <si>
    <t>4.15万</t>
  </si>
  <si>
    <t>-0.248㈢</t>
  </si>
  <si>
    <t xml:space="preserve">  -8.34㈢</t>
  </si>
  <si>
    <t>赛象科技</t>
  </si>
  <si>
    <t>1.87万</t>
  </si>
  <si>
    <t xml:space="preserve">  -0.48㈢</t>
  </si>
  <si>
    <t>奥普光电</t>
  </si>
  <si>
    <t xml:space="preserve">         33.00亿</t>
  </si>
  <si>
    <t>11.84万</t>
  </si>
  <si>
    <t xml:space="preserve">   3.47㈢</t>
  </si>
  <si>
    <t>积成电子</t>
  </si>
  <si>
    <t xml:space="preserve">         27.78亿</t>
  </si>
  <si>
    <t xml:space="preserve">         33.16亿</t>
  </si>
  <si>
    <t xml:space="preserve">         24.46亿</t>
  </si>
  <si>
    <t xml:space="preserve">  -1.64㈢</t>
  </si>
  <si>
    <t>格林美</t>
  </si>
  <si>
    <t xml:space="preserve">        199.23亿</t>
  </si>
  <si>
    <t xml:space="preserve">        200.43亿</t>
  </si>
  <si>
    <t xml:space="preserve">        174.70亿</t>
  </si>
  <si>
    <t>7.92万</t>
  </si>
  <si>
    <t>0.145㈢</t>
  </si>
  <si>
    <t>新纶科技</t>
  </si>
  <si>
    <t xml:space="preserve">         42.11亿</t>
  </si>
  <si>
    <t xml:space="preserve">         65.79亿</t>
  </si>
  <si>
    <t xml:space="preserve">         36.12亿</t>
  </si>
  <si>
    <t>巨力索具</t>
  </si>
  <si>
    <t xml:space="preserve">         27.40亿</t>
  </si>
  <si>
    <t>0.018㈢</t>
  </si>
  <si>
    <t>慈文传媒</t>
  </si>
  <si>
    <t xml:space="preserve">         55.33亿</t>
  </si>
  <si>
    <t xml:space="preserve">         38.61亿</t>
  </si>
  <si>
    <t>9.43万</t>
  </si>
  <si>
    <t xml:space="preserve">   5.74㈢</t>
  </si>
  <si>
    <t>海宁皮城</t>
  </si>
  <si>
    <t>商品城</t>
  </si>
  <si>
    <t xml:space="preserve">         54.33亿</t>
  </si>
  <si>
    <t xml:space="preserve">         54.64亿</t>
  </si>
  <si>
    <t xml:space="preserve">         25.37亿</t>
  </si>
  <si>
    <t>6.81万</t>
  </si>
  <si>
    <t>潮宏基</t>
  </si>
  <si>
    <t xml:space="preserve">         36.22亿</t>
  </si>
  <si>
    <t xml:space="preserve">         16.71亿</t>
  </si>
  <si>
    <t>4.78万</t>
  </si>
  <si>
    <t>0.219㈢</t>
  </si>
  <si>
    <t xml:space="preserve">   5.67㈢</t>
  </si>
  <si>
    <t>柘中股份</t>
  </si>
  <si>
    <t xml:space="preserve">         44.48亿</t>
  </si>
  <si>
    <t xml:space="preserve">         49.77亿</t>
  </si>
  <si>
    <t xml:space="preserve">   3.57㈢</t>
  </si>
  <si>
    <t>泰尔股份</t>
  </si>
  <si>
    <t xml:space="preserve">         14.06亿</t>
  </si>
  <si>
    <t xml:space="preserve">         11.20亿</t>
  </si>
  <si>
    <t xml:space="preserve">   1.57㈢</t>
  </si>
  <si>
    <t>高乐股份</t>
  </si>
  <si>
    <t xml:space="preserve">         30.88亿</t>
  </si>
  <si>
    <t xml:space="preserve">         15.73亿</t>
  </si>
  <si>
    <t xml:space="preserve">   1.78㈢</t>
  </si>
  <si>
    <t>精华制药</t>
  </si>
  <si>
    <t xml:space="preserve">         14.73亿</t>
  </si>
  <si>
    <t>-0.260㈢</t>
  </si>
  <si>
    <t xml:space="preserve"> -10.48㈢</t>
  </si>
  <si>
    <t>北京科锐</t>
  </si>
  <si>
    <t xml:space="preserve">         27.06亿</t>
  </si>
  <si>
    <t xml:space="preserve">         27.32亿</t>
  </si>
  <si>
    <t xml:space="preserve">         13.89亿</t>
  </si>
  <si>
    <t>0.099㈢</t>
  </si>
  <si>
    <t>漫步者</t>
  </si>
  <si>
    <t xml:space="preserve">         72.66亿</t>
  </si>
  <si>
    <t xml:space="preserve">        147.84亿</t>
  </si>
  <si>
    <t xml:space="preserve">         50.90亿</t>
  </si>
  <si>
    <t xml:space="preserve">   4.39㈢</t>
  </si>
  <si>
    <t>顺丰控股</t>
  </si>
  <si>
    <t xml:space="preserve">        611.77亿</t>
  </si>
  <si>
    <t xml:space="preserve">       1655.91亿</t>
  </si>
  <si>
    <t xml:space="preserve">        319.61亿</t>
  </si>
  <si>
    <t>53.27万</t>
  </si>
  <si>
    <t xml:space="preserve">  10.85㈢</t>
  </si>
  <si>
    <t>杰瑞股份</t>
  </si>
  <si>
    <t xml:space="preserve">        248.36亿</t>
  </si>
  <si>
    <t xml:space="preserve">        357.18亿</t>
  </si>
  <si>
    <t xml:space="preserve">        167.69亿</t>
  </si>
  <si>
    <t>49.92万</t>
  </si>
  <si>
    <t>0.945㈢</t>
  </si>
  <si>
    <t xml:space="preserve">   9.75㈢</t>
  </si>
  <si>
    <t>天神娱乐</t>
  </si>
  <si>
    <t xml:space="preserve">         27.59亿</t>
  </si>
  <si>
    <t>-0.436㈢</t>
  </si>
  <si>
    <t xml:space="preserve"> -25.53㈢</t>
  </si>
  <si>
    <t>兴民智通</t>
  </si>
  <si>
    <t xml:space="preserve">         42.70亿</t>
  </si>
  <si>
    <t xml:space="preserve">         27.80亿</t>
  </si>
  <si>
    <t>9.22万</t>
  </si>
  <si>
    <t>*ST赫美</t>
  </si>
  <si>
    <t xml:space="preserve">         12.19亿</t>
  </si>
  <si>
    <t xml:space="preserve">          5.07亿</t>
  </si>
  <si>
    <t>1.55万</t>
  </si>
  <si>
    <t>-0.789㈢</t>
  </si>
  <si>
    <t>富临运业</t>
  </si>
  <si>
    <t xml:space="preserve">         19.03亿</t>
  </si>
  <si>
    <t>0.329㈢</t>
  </si>
  <si>
    <t xml:space="preserve">   8.78㈢</t>
  </si>
  <si>
    <t>森源电气</t>
  </si>
  <si>
    <t>4.60万</t>
  </si>
  <si>
    <t xml:space="preserve">   1.28㈢</t>
  </si>
  <si>
    <t>*ST北讯</t>
  </si>
  <si>
    <t xml:space="preserve">         15.23亿</t>
  </si>
  <si>
    <t xml:space="preserve">         10.38亿</t>
  </si>
  <si>
    <t>2.34万</t>
  </si>
  <si>
    <t>-0.662㈢</t>
  </si>
  <si>
    <t xml:space="preserve"> -16.89㈢</t>
  </si>
  <si>
    <t>同德化工</t>
  </si>
  <si>
    <t xml:space="preserve">         15.63亿</t>
  </si>
  <si>
    <t xml:space="preserve">         20.63亿</t>
  </si>
  <si>
    <t xml:space="preserve">         14.54亿</t>
  </si>
  <si>
    <t>7.38万</t>
  </si>
  <si>
    <t>0.330㈢</t>
  </si>
  <si>
    <t xml:space="preserve">  12.04㈢</t>
  </si>
  <si>
    <t>神剑股份</t>
  </si>
  <si>
    <t xml:space="preserve">         26.99亿</t>
  </si>
  <si>
    <t xml:space="preserve">         36.18亿</t>
  </si>
  <si>
    <t>0.107㈢</t>
  </si>
  <si>
    <t xml:space="preserve">   5.02㈢</t>
  </si>
  <si>
    <t>汉王科技</t>
  </si>
  <si>
    <t xml:space="preserve">         35.09亿</t>
  </si>
  <si>
    <t xml:space="preserve">         22.10亿</t>
  </si>
  <si>
    <t>4.55万</t>
  </si>
  <si>
    <t xml:space="preserve">   3.08㈢</t>
  </si>
  <si>
    <t>隆基机械</t>
  </si>
  <si>
    <t xml:space="preserve">         24.86亿</t>
  </si>
  <si>
    <t xml:space="preserve">         24.88亿</t>
  </si>
  <si>
    <t>4.85万</t>
  </si>
  <si>
    <t xml:space="preserve">   2.91㈢</t>
  </si>
  <si>
    <t>中恒电气</t>
  </si>
  <si>
    <t xml:space="preserve">         59.41亿</t>
  </si>
  <si>
    <t xml:space="preserve">         64.98亿</t>
  </si>
  <si>
    <t xml:space="preserve">         35.22亿</t>
  </si>
  <si>
    <t>10.91万</t>
  </si>
  <si>
    <t>永安药业</t>
  </si>
  <si>
    <t xml:space="preserve">         23.34亿</t>
  </si>
  <si>
    <t xml:space="preserve">         28.53亿</t>
  </si>
  <si>
    <t>7.30万</t>
  </si>
  <si>
    <t xml:space="preserve">   4.34㈢</t>
  </si>
  <si>
    <t>台海核电</t>
  </si>
  <si>
    <t xml:space="preserve">         34.79亿</t>
  </si>
  <si>
    <t xml:space="preserve">         60.35亿</t>
  </si>
  <si>
    <t xml:space="preserve">         33.51亿</t>
  </si>
  <si>
    <t>7.21万</t>
  </si>
  <si>
    <t>0.143㈢</t>
  </si>
  <si>
    <t>康力电梯</t>
  </si>
  <si>
    <t xml:space="preserve">         60.54亿</t>
  </si>
  <si>
    <t xml:space="preserve">         31.68亿</t>
  </si>
  <si>
    <t>0.253㈢</t>
  </si>
  <si>
    <t>太极股份</t>
  </si>
  <si>
    <t xml:space="preserve">        156.44亿</t>
  </si>
  <si>
    <t xml:space="preserve">        159.50亿</t>
  </si>
  <si>
    <t xml:space="preserve">         94.29亿</t>
  </si>
  <si>
    <t>42.16万</t>
  </si>
  <si>
    <t>卓翼科技</t>
  </si>
  <si>
    <t xml:space="preserve">         38.31亿</t>
  </si>
  <si>
    <t xml:space="preserve">         37.40亿</t>
  </si>
  <si>
    <t>6.93万</t>
  </si>
  <si>
    <t xml:space="preserve">   2.03㈢</t>
  </si>
  <si>
    <t>亚太药业</t>
  </si>
  <si>
    <t xml:space="preserve">         29.42亿</t>
  </si>
  <si>
    <t>北方华创</t>
  </si>
  <si>
    <t xml:space="preserve">        406.66亿</t>
  </si>
  <si>
    <t xml:space="preserve">        435.74亿</t>
  </si>
  <si>
    <t xml:space="preserve">        180.35亿</t>
  </si>
  <si>
    <t>59.31万</t>
  </si>
  <si>
    <t xml:space="preserve">   5.86㈢</t>
  </si>
  <si>
    <t>伟星新材</t>
  </si>
  <si>
    <t xml:space="preserve">        179.24亿</t>
  </si>
  <si>
    <t xml:space="preserve">        199.31亿</t>
  </si>
  <si>
    <t xml:space="preserve">         59.31亿</t>
  </si>
  <si>
    <t>25.32万</t>
  </si>
  <si>
    <t xml:space="preserve">  19.25㈢</t>
  </si>
  <si>
    <t>千方科技</t>
  </si>
  <si>
    <t xml:space="preserve">        172.57亿</t>
  </si>
  <si>
    <t xml:space="preserve">        269.87亿</t>
  </si>
  <si>
    <t xml:space="preserve">        132.20亿</t>
  </si>
  <si>
    <t>22.09万</t>
  </si>
  <si>
    <t>丽鹏股份</t>
  </si>
  <si>
    <t xml:space="preserve">         25.36亿</t>
  </si>
  <si>
    <t>4.84万</t>
  </si>
  <si>
    <t xml:space="preserve">   1.37㈢</t>
  </si>
  <si>
    <t>亚厦股份</t>
  </si>
  <si>
    <t xml:space="preserve">         68.79亿</t>
  </si>
  <si>
    <t xml:space="preserve">         75.98亿</t>
  </si>
  <si>
    <t xml:space="preserve">         34.31亿</t>
  </si>
  <si>
    <t>9.97万</t>
  </si>
  <si>
    <t>新北洋</t>
  </si>
  <si>
    <t xml:space="preserve">         77.65亿</t>
  </si>
  <si>
    <t xml:space="preserve">         80.09亿</t>
  </si>
  <si>
    <t xml:space="preserve">         52.49亿</t>
  </si>
  <si>
    <t>14.39万</t>
  </si>
  <si>
    <t>国创高新</t>
  </si>
  <si>
    <t xml:space="preserve">         19.54亿</t>
  </si>
  <si>
    <t xml:space="preserve">         36.84亿</t>
  </si>
  <si>
    <t xml:space="preserve">         10.74亿</t>
  </si>
  <si>
    <t>0.257㈢</t>
  </si>
  <si>
    <t xml:space="preserve">   4.43㈢</t>
  </si>
  <si>
    <t>章源钨业</t>
  </si>
  <si>
    <t xml:space="preserve">         49.54亿</t>
  </si>
  <si>
    <t xml:space="preserve">         17.67亿</t>
  </si>
  <si>
    <t>3.45万</t>
  </si>
  <si>
    <t>宏创控股</t>
  </si>
  <si>
    <t xml:space="preserve">         33.35亿</t>
  </si>
  <si>
    <t xml:space="preserve">         21.50亿</t>
  </si>
  <si>
    <t>0.345㈢</t>
  </si>
  <si>
    <t xml:space="preserve">  20.22㈢</t>
  </si>
  <si>
    <t>科远智慧</t>
  </si>
  <si>
    <t xml:space="preserve">         19.83亿</t>
  </si>
  <si>
    <t xml:space="preserve">         33.19亿</t>
  </si>
  <si>
    <t xml:space="preserve">         15.31亿</t>
  </si>
  <si>
    <t>8.17万</t>
  </si>
  <si>
    <t>0.356㈢</t>
  </si>
  <si>
    <t xml:space="preserve">   3.94㈢</t>
  </si>
  <si>
    <t>双箭股份</t>
  </si>
  <si>
    <t xml:space="preserve">         26.07亿</t>
  </si>
  <si>
    <t xml:space="preserve">         17.13亿</t>
  </si>
  <si>
    <t>0.454㈢</t>
  </si>
  <si>
    <t>蓝帆医疗</t>
  </si>
  <si>
    <t xml:space="preserve">         77.80亿</t>
  </si>
  <si>
    <t xml:space="preserve">        117.13亿</t>
  </si>
  <si>
    <t xml:space="preserve">         39.51亿</t>
  </si>
  <si>
    <t>21.20万</t>
  </si>
  <si>
    <t xml:space="preserve">   4.49㈢</t>
  </si>
  <si>
    <t>合众思壮</t>
  </si>
  <si>
    <t xml:space="preserve">         71.39亿</t>
  </si>
  <si>
    <t xml:space="preserve">         43.75亿</t>
  </si>
  <si>
    <t>9.48万</t>
  </si>
  <si>
    <t xml:space="preserve">  -1.29㈢</t>
  </si>
  <si>
    <t>东山精密</t>
  </si>
  <si>
    <t xml:space="preserve">        274.24亿</t>
  </si>
  <si>
    <t xml:space="preserve">        360.35亿</t>
  </si>
  <si>
    <t xml:space="preserve">        223.65亿</t>
  </si>
  <si>
    <t>34.65万</t>
  </si>
  <si>
    <t>0.553㈢</t>
  </si>
  <si>
    <t>大北农</t>
  </si>
  <si>
    <t xml:space="preserve">        114.60亿</t>
  </si>
  <si>
    <t xml:space="preserve">        172.85亿</t>
  </si>
  <si>
    <t xml:space="preserve">        101.14亿</t>
  </si>
  <si>
    <t xml:space="preserve">   2.99㈢</t>
  </si>
  <si>
    <t>天原集团</t>
  </si>
  <si>
    <t xml:space="preserve">         45.75亿</t>
  </si>
  <si>
    <t xml:space="preserve">         45.76亿</t>
  </si>
  <si>
    <t xml:space="preserve">         30.93亿</t>
  </si>
  <si>
    <t xml:space="preserve">   1.58㈢</t>
  </si>
  <si>
    <t>维信诺</t>
  </si>
  <si>
    <t xml:space="preserve">        168.71亿</t>
  </si>
  <si>
    <t xml:space="preserve">        216.09亿</t>
  </si>
  <si>
    <t xml:space="preserve">        125.78亿</t>
  </si>
  <si>
    <t>39.18万</t>
  </si>
  <si>
    <t>-0.044㈢</t>
  </si>
  <si>
    <t xml:space="preserve">  -0.41㈢</t>
  </si>
  <si>
    <t>新亚制程</t>
  </si>
  <si>
    <t xml:space="preserve">         36.67亿</t>
  </si>
  <si>
    <t>3.28万</t>
  </si>
  <si>
    <t xml:space="preserve">   2.96㈢</t>
  </si>
  <si>
    <t>航天彩虹</t>
  </si>
  <si>
    <t xml:space="preserve">         66.11亿</t>
  </si>
  <si>
    <t xml:space="preserve">        104.82亿</t>
  </si>
  <si>
    <t xml:space="preserve">         47.24亿</t>
  </si>
  <si>
    <t>12.49万</t>
  </si>
  <si>
    <t>信邦制药</t>
  </si>
  <si>
    <t xml:space="preserve">         83.46亿</t>
  </si>
  <si>
    <t xml:space="preserve">         87.20亿</t>
  </si>
  <si>
    <t xml:space="preserve">         56.24亿</t>
  </si>
  <si>
    <t>9.21万</t>
  </si>
  <si>
    <t>长青股份</t>
  </si>
  <si>
    <t xml:space="preserve">         26.90亿</t>
  </si>
  <si>
    <t xml:space="preserve">         43.36亿</t>
  </si>
  <si>
    <t xml:space="preserve">         22.84亿</t>
  </si>
  <si>
    <t>10.04万</t>
  </si>
  <si>
    <t xml:space="preserve">   8.59㈢</t>
  </si>
  <si>
    <t>北京利尔</t>
  </si>
  <si>
    <t xml:space="preserve">         29.85亿</t>
  </si>
  <si>
    <t xml:space="preserve">         43.93亿</t>
  </si>
  <si>
    <t xml:space="preserve">         27.20亿</t>
  </si>
  <si>
    <t>力生制药</t>
  </si>
  <si>
    <t xml:space="preserve">         47.89亿</t>
  </si>
  <si>
    <t>11.07万</t>
  </si>
  <si>
    <t>0.739㈢</t>
  </si>
  <si>
    <t>联发股份</t>
  </si>
  <si>
    <t xml:space="preserve">         30.11亿</t>
  </si>
  <si>
    <t xml:space="preserve">         31.48亿</t>
  </si>
  <si>
    <t xml:space="preserve">         16.15亿</t>
  </si>
  <si>
    <t>7.64万</t>
  </si>
  <si>
    <t>0.750㈢</t>
  </si>
  <si>
    <t xml:space="preserve">   7.44㈢</t>
  </si>
  <si>
    <t>双象股份</t>
  </si>
  <si>
    <t xml:space="preserve">         47.29亿</t>
  </si>
  <si>
    <t>25.33万</t>
  </si>
  <si>
    <t>星网锐捷</t>
  </si>
  <si>
    <t xml:space="preserve">        188.46亿</t>
  </si>
  <si>
    <t xml:space="preserve">        196.04亿</t>
  </si>
  <si>
    <t xml:space="preserve">        135.77亿</t>
  </si>
  <si>
    <t>44.15万</t>
  </si>
  <si>
    <t>0.823㈢</t>
  </si>
  <si>
    <t>梦洁股份</t>
  </si>
  <si>
    <t xml:space="preserve">         23.65亿</t>
  </si>
  <si>
    <t xml:space="preserve">         37.29亿</t>
  </si>
  <si>
    <t xml:space="preserve">         14.25亿</t>
  </si>
  <si>
    <t>0.128㈢</t>
  </si>
  <si>
    <t xml:space="preserve">   5.08㈢</t>
  </si>
  <si>
    <t>垒知集团</t>
  </si>
  <si>
    <t xml:space="preserve">         31.26亿</t>
  </si>
  <si>
    <t xml:space="preserve">         40.86亿</t>
  </si>
  <si>
    <t>12.02万</t>
  </si>
  <si>
    <t>0.449㈢</t>
  </si>
  <si>
    <t xml:space="preserve">  11.32㈢</t>
  </si>
  <si>
    <t>海普瑞</t>
  </si>
  <si>
    <t xml:space="preserve">        237.72亿</t>
  </si>
  <si>
    <t xml:space="preserve">         50.18亿</t>
  </si>
  <si>
    <t>19.14万</t>
  </si>
  <si>
    <t xml:space="preserve">   9.82㈢</t>
  </si>
  <si>
    <t>省广集团</t>
  </si>
  <si>
    <t xml:space="preserve">         56.31亿</t>
  </si>
  <si>
    <t xml:space="preserve">         42.18亿</t>
  </si>
  <si>
    <t xml:space="preserve">   2.08㈢</t>
  </si>
  <si>
    <t>中远海科</t>
  </si>
  <si>
    <t xml:space="preserve">         33.93亿</t>
  </si>
  <si>
    <t xml:space="preserve">         34.05亿</t>
  </si>
  <si>
    <t xml:space="preserve">         16.90亿</t>
  </si>
  <si>
    <t>8.22万</t>
  </si>
  <si>
    <t xml:space="preserve">   7.88㈢</t>
  </si>
  <si>
    <t>和而泰</t>
  </si>
  <si>
    <t xml:space="preserve">         92.18亿</t>
  </si>
  <si>
    <t xml:space="preserve">        109.75亿</t>
  </si>
  <si>
    <t xml:space="preserve">         77.15亿</t>
  </si>
  <si>
    <t>11.45万</t>
  </si>
  <si>
    <t>0.281㈢</t>
  </si>
  <si>
    <t>爱仕达</t>
  </si>
  <si>
    <t xml:space="preserve">         27.05亿</t>
  </si>
  <si>
    <t>嘉欣丝绸</t>
  </si>
  <si>
    <t xml:space="preserve">         30.30亿</t>
  </si>
  <si>
    <t>5.17万</t>
  </si>
  <si>
    <t>0.205㈢</t>
  </si>
  <si>
    <t>四维图新</t>
  </si>
  <si>
    <t xml:space="preserve">        251.62亿</t>
  </si>
  <si>
    <t xml:space="preserve">        313.26亿</t>
  </si>
  <si>
    <t xml:space="preserve">        192.39亿</t>
  </si>
  <si>
    <t>11.73万</t>
  </si>
  <si>
    <t xml:space="preserve">   0.33㈢</t>
  </si>
  <si>
    <t>远东传动</t>
  </si>
  <si>
    <t xml:space="preserve">         33.32亿</t>
  </si>
  <si>
    <t xml:space="preserve">         22.09亿</t>
  </si>
  <si>
    <t>0.343㈢</t>
  </si>
  <si>
    <t xml:space="preserve">   6.84㈢</t>
  </si>
  <si>
    <t>多氟多</t>
  </si>
  <si>
    <t xml:space="preserve">         75.50亿</t>
  </si>
  <si>
    <t xml:space="preserve">         89.11亿</t>
  </si>
  <si>
    <t xml:space="preserve">         72.65亿</t>
  </si>
  <si>
    <t>齐翔腾达</t>
  </si>
  <si>
    <t xml:space="preserve">        122.96亿</t>
  </si>
  <si>
    <t xml:space="preserve">        125.51亿</t>
  </si>
  <si>
    <t xml:space="preserve">         51.67亿</t>
  </si>
  <si>
    <t>12.62万</t>
  </si>
  <si>
    <t>雅克科技</t>
  </si>
  <si>
    <t xml:space="preserve">         55.64亿</t>
  </si>
  <si>
    <t xml:space="preserve">        108.31亿</t>
  </si>
  <si>
    <t xml:space="preserve">         37.88亿</t>
  </si>
  <si>
    <t>18.64万</t>
  </si>
  <si>
    <t>0.401㈢</t>
  </si>
  <si>
    <t xml:space="preserve">   4.29㈢</t>
  </si>
  <si>
    <t>广联达</t>
  </si>
  <si>
    <t xml:space="preserve">        291.82亿</t>
  </si>
  <si>
    <t xml:space="preserve">        369.39亿</t>
  </si>
  <si>
    <t xml:space="preserve">        237.83亿</t>
  </si>
  <si>
    <t>94.54万</t>
  </si>
  <si>
    <t>0.141㈢</t>
  </si>
  <si>
    <t xml:space="preserve">   5.10㈢</t>
  </si>
  <si>
    <t>延安必康</t>
  </si>
  <si>
    <t xml:space="preserve">        223.24亿</t>
  </si>
  <si>
    <t xml:space="preserve">        239.80亿</t>
  </si>
  <si>
    <t xml:space="preserve">         79.83亿</t>
  </si>
  <si>
    <t>30.79万</t>
  </si>
  <si>
    <t xml:space="preserve">   4.88㈢</t>
  </si>
  <si>
    <t>汉森制药</t>
  </si>
  <si>
    <t xml:space="preserve">         41.39亿</t>
  </si>
  <si>
    <t xml:space="preserve">         42.57亿</t>
  </si>
  <si>
    <t xml:space="preserve">         23.46亿</t>
  </si>
  <si>
    <t>18.43万</t>
  </si>
  <si>
    <t xml:space="preserve">   7.02㈢</t>
  </si>
  <si>
    <t>雷科防务</t>
  </si>
  <si>
    <t xml:space="preserve">         58.71亿</t>
  </si>
  <si>
    <t xml:space="preserve">         40.90亿</t>
  </si>
  <si>
    <t>6.35万</t>
  </si>
  <si>
    <t xml:space="preserve">   2.53㈢</t>
  </si>
  <si>
    <t>高德红外</t>
  </si>
  <si>
    <t xml:space="preserve">        147.19亿</t>
  </si>
  <si>
    <t xml:space="preserve">        187.84亿</t>
  </si>
  <si>
    <t xml:space="preserve">         61.82亿</t>
  </si>
  <si>
    <t>35.69万</t>
  </si>
  <si>
    <t>0.251㈢</t>
  </si>
  <si>
    <t xml:space="preserve">   6.54㈢</t>
  </si>
  <si>
    <t>海康威视</t>
  </si>
  <si>
    <t xml:space="preserve">       2583.68亿</t>
  </si>
  <si>
    <t xml:space="preserve">       2990.40亿</t>
  </si>
  <si>
    <t xml:space="preserve">       1039.02亿</t>
  </si>
  <si>
    <t>47.83万</t>
  </si>
  <si>
    <t>0.859㈢</t>
  </si>
  <si>
    <t xml:space="preserve">  19.85㈢</t>
  </si>
  <si>
    <t>爱施德</t>
  </si>
  <si>
    <t xml:space="preserve">         95.30亿</t>
  </si>
  <si>
    <t xml:space="preserve">         96.54亿</t>
  </si>
  <si>
    <t xml:space="preserve">         32.53亿</t>
  </si>
  <si>
    <t>7.80万</t>
  </si>
  <si>
    <t xml:space="preserve">   6.23㈢</t>
  </si>
  <si>
    <t>深南股份</t>
  </si>
  <si>
    <t xml:space="preserve">         16.08亿</t>
  </si>
  <si>
    <t xml:space="preserve">         18.93亿</t>
  </si>
  <si>
    <t xml:space="preserve">         13.91亿</t>
  </si>
  <si>
    <t xml:space="preserve">   0.20㈢</t>
  </si>
  <si>
    <t>康盛股份</t>
  </si>
  <si>
    <t xml:space="preserve">         17.40亿</t>
  </si>
  <si>
    <t>3.79万</t>
  </si>
  <si>
    <t xml:space="preserve"> -15.77㈢</t>
  </si>
  <si>
    <t>天虹股份</t>
  </si>
  <si>
    <t xml:space="preserve">        123.34亿</t>
  </si>
  <si>
    <t xml:space="preserve">        123.39亿</t>
  </si>
  <si>
    <t xml:space="preserve">         40.00亿</t>
  </si>
  <si>
    <t>22.69万</t>
  </si>
  <si>
    <t>0.543㈢</t>
  </si>
  <si>
    <t xml:space="preserve">   9.67㈢</t>
  </si>
  <si>
    <t>*ST毅昌</t>
  </si>
  <si>
    <t xml:space="preserve">         16.28亿</t>
  </si>
  <si>
    <t xml:space="preserve">         11.13亿</t>
  </si>
  <si>
    <t>达实智能</t>
  </si>
  <si>
    <t xml:space="preserve">         69.85亿</t>
  </si>
  <si>
    <t xml:space="preserve">         48.30亿</t>
  </si>
  <si>
    <t xml:space="preserve">   3.88㈢</t>
  </si>
  <si>
    <t>科伦药业</t>
  </si>
  <si>
    <t xml:space="preserve">        242.65亿</t>
  </si>
  <si>
    <t xml:space="preserve">        338.06亿</t>
  </si>
  <si>
    <t xml:space="preserve">        206.15亿</t>
  </si>
  <si>
    <t>52.29万</t>
  </si>
  <si>
    <t>0.635㈢</t>
  </si>
  <si>
    <t xml:space="preserve">   6.82㈢</t>
  </si>
  <si>
    <t>中粮资本</t>
  </si>
  <si>
    <t xml:space="preserve">         47.88亿</t>
  </si>
  <si>
    <t xml:space="preserve">        219.35亿</t>
  </si>
  <si>
    <t>7.67万</t>
  </si>
  <si>
    <t xml:space="preserve">   4.25㈢</t>
  </si>
  <si>
    <t>贵州百灵</t>
  </si>
  <si>
    <t xml:space="preserve">         61.43亿</t>
  </si>
  <si>
    <t xml:space="preserve">        119.11亿</t>
  </si>
  <si>
    <t xml:space="preserve">         28.88亿</t>
  </si>
  <si>
    <t>凯撒文化</t>
  </si>
  <si>
    <t xml:space="preserve">         45.40亿</t>
  </si>
  <si>
    <t xml:space="preserve">   4.99㈢</t>
  </si>
  <si>
    <t>胜利精密</t>
  </si>
  <si>
    <t xml:space="preserve">         68.68亿</t>
  </si>
  <si>
    <t xml:space="preserve">         54.21亿</t>
  </si>
  <si>
    <t>-0.106㈢</t>
  </si>
  <si>
    <t xml:space="preserve">  -4.85㈢</t>
  </si>
  <si>
    <t>*ST尤夫</t>
  </si>
  <si>
    <t xml:space="preserve">         34.54亿</t>
  </si>
  <si>
    <t xml:space="preserve">         13.03亿</t>
  </si>
  <si>
    <t>12.91万</t>
  </si>
  <si>
    <t>-0.096㈢</t>
  </si>
  <si>
    <t xml:space="preserve">  -5.39㈢</t>
  </si>
  <si>
    <t>云南锗业</t>
  </si>
  <si>
    <t xml:space="preserve">         58.63亿</t>
  </si>
  <si>
    <t xml:space="preserve">         59.43亿</t>
  </si>
  <si>
    <t xml:space="preserve">         43.73亿</t>
  </si>
  <si>
    <t xml:space="preserve">  -0.73㈢</t>
  </si>
  <si>
    <t>兆驰股份</t>
  </si>
  <si>
    <t xml:space="preserve">        153.32亿</t>
  </si>
  <si>
    <t xml:space="preserve">        154.37亿</t>
  </si>
  <si>
    <t xml:space="preserve">         53.92亿</t>
  </si>
  <si>
    <t xml:space="preserve">   7.19㈢</t>
  </si>
  <si>
    <t>杭氧股份</t>
  </si>
  <si>
    <t xml:space="preserve">        123.24亿</t>
  </si>
  <si>
    <t xml:space="preserve">        125.11亿</t>
  </si>
  <si>
    <t>19.24万</t>
  </si>
  <si>
    <t>0.551㈢</t>
  </si>
  <si>
    <t>棕榈股份</t>
  </si>
  <si>
    <t xml:space="preserve">         40.27亿</t>
  </si>
  <si>
    <t xml:space="preserve">         45.20亿</t>
  </si>
  <si>
    <t xml:space="preserve">         28.98亿</t>
  </si>
  <si>
    <t>-0.124㈢</t>
  </si>
  <si>
    <t>九安医疗</t>
  </si>
  <si>
    <t xml:space="preserve">         21.73亿</t>
  </si>
  <si>
    <t xml:space="preserve">         14.46亿</t>
  </si>
  <si>
    <t>2.30万</t>
  </si>
  <si>
    <t>-0.184㈢</t>
  </si>
  <si>
    <t xml:space="preserve">  -5.30㈢</t>
  </si>
  <si>
    <t>太安堂</t>
  </si>
  <si>
    <t xml:space="preserve">         33.24亿</t>
  </si>
  <si>
    <t xml:space="preserve">         34.58亿</t>
  </si>
  <si>
    <t xml:space="preserve">         22.40亿</t>
  </si>
  <si>
    <t>万里扬</t>
  </si>
  <si>
    <t xml:space="preserve">        108.11亿</t>
  </si>
  <si>
    <t xml:space="preserve">        123.41亿</t>
  </si>
  <si>
    <t xml:space="preserve">         49.80亿</t>
  </si>
  <si>
    <t>23.43万</t>
  </si>
  <si>
    <t xml:space="preserve">   5.69㈢</t>
  </si>
  <si>
    <t>长江健康</t>
  </si>
  <si>
    <t xml:space="preserve">         47.38亿</t>
  </si>
  <si>
    <t xml:space="preserve">         48.82亿</t>
  </si>
  <si>
    <t xml:space="preserve">         15.41亿</t>
  </si>
  <si>
    <t>9.81万</t>
  </si>
  <si>
    <t xml:space="preserve">   4.65㈢</t>
  </si>
  <si>
    <t>兴森科技</t>
  </si>
  <si>
    <t xml:space="preserve">        107.32亿</t>
  </si>
  <si>
    <t xml:space="preserve">        126.47亿</t>
  </si>
  <si>
    <t xml:space="preserve">         94.25亿</t>
  </si>
  <si>
    <t>0.155㈢</t>
  </si>
  <si>
    <t>誉衡药业</t>
  </si>
  <si>
    <t xml:space="preserve">         64.16亿</t>
  </si>
  <si>
    <t xml:space="preserve">         64.84亿</t>
  </si>
  <si>
    <t>3.46万</t>
  </si>
  <si>
    <t xml:space="preserve">   6.72㈢</t>
  </si>
  <si>
    <t>江苏神通</t>
  </si>
  <si>
    <t xml:space="preserve">         32.20亿</t>
  </si>
  <si>
    <t xml:space="preserve">         38.96亿</t>
  </si>
  <si>
    <t>9.75万</t>
  </si>
  <si>
    <t>启明星辰</t>
  </si>
  <si>
    <t xml:space="preserve">        214.06亿</t>
  </si>
  <si>
    <t xml:space="preserve">        302.63亿</t>
  </si>
  <si>
    <t xml:space="preserve">        194.01亿</t>
  </si>
  <si>
    <t>50.62万</t>
  </si>
  <si>
    <t>闰土股份</t>
  </si>
  <si>
    <t xml:space="preserve">        101.89亿</t>
  </si>
  <si>
    <t xml:space="preserve">        125.06亿</t>
  </si>
  <si>
    <t xml:space="preserve">         67.09亿</t>
  </si>
  <si>
    <t>0.937㈢</t>
  </si>
  <si>
    <t xml:space="preserve">  12.70㈢</t>
  </si>
  <si>
    <t>众业达</t>
  </si>
  <si>
    <t xml:space="preserve">         29.08亿</t>
  </si>
  <si>
    <t xml:space="preserve">         40.21亿</t>
  </si>
  <si>
    <t xml:space="preserve">         16.97亿</t>
  </si>
  <si>
    <t>0.396㈢</t>
  </si>
  <si>
    <t>龙星化工</t>
  </si>
  <si>
    <t xml:space="preserve">         29.33亿</t>
  </si>
  <si>
    <t xml:space="preserve">         14.88亿</t>
  </si>
  <si>
    <t xml:space="preserve">   1.93㈢</t>
  </si>
  <si>
    <t>金洲管道</t>
  </si>
  <si>
    <t xml:space="preserve">         34.67亿</t>
  </si>
  <si>
    <t xml:space="preserve">         26.65亿</t>
  </si>
  <si>
    <t>0.309㈢</t>
  </si>
  <si>
    <t xml:space="preserve">   6.92㈢</t>
  </si>
  <si>
    <t>巨星科技</t>
  </si>
  <si>
    <t xml:space="preserve">        106.02亿</t>
  </si>
  <si>
    <t xml:space="preserve">        112.69亿</t>
  </si>
  <si>
    <t xml:space="preserve">         53.73亿</t>
  </si>
  <si>
    <t>11.20万</t>
  </si>
  <si>
    <t>0.677㈢</t>
  </si>
  <si>
    <t xml:space="preserve">   9.83㈢</t>
  </si>
  <si>
    <t>ST中南</t>
  </si>
  <si>
    <t>-0.200㈢</t>
  </si>
  <si>
    <t xml:space="preserve"> -16.02㈢</t>
  </si>
  <si>
    <t>盛路通信</t>
  </si>
  <si>
    <t xml:space="preserve">         56.29亿</t>
  </si>
  <si>
    <t xml:space="preserve">         81.44亿</t>
  </si>
  <si>
    <t xml:space="preserve">         55.17亿</t>
  </si>
  <si>
    <t>8.15万</t>
  </si>
  <si>
    <t xml:space="preserve">   3.54㈢</t>
  </si>
  <si>
    <t>晨鑫科技</t>
  </si>
  <si>
    <t xml:space="preserve">         48.24亿</t>
  </si>
  <si>
    <t xml:space="preserve">         32.62亿</t>
  </si>
  <si>
    <t>3.30万</t>
  </si>
  <si>
    <t xml:space="preserve">   0.04㈢</t>
  </si>
  <si>
    <t>中原内配</t>
  </si>
  <si>
    <t xml:space="preserve">         32.37亿</t>
  </si>
  <si>
    <t xml:space="preserve">         23.21亿</t>
  </si>
  <si>
    <t xml:space="preserve">   4.62㈢</t>
  </si>
  <si>
    <t>国星光电</t>
  </si>
  <si>
    <t xml:space="preserve">         78.76亿</t>
  </si>
  <si>
    <t xml:space="preserve">         80.15亿</t>
  </si>
  <si>
    <t xml:space="preserve">         62.43亿</t>
  </si>
  <si>
    <t>15.73万</t>
  </si>
  <si>
    <t>0.506㈢</t>
  </si>
  <si>
    <t xml:space="preserve">   8.74㈢</t>
  </si>
  <si>
    <t>*ST康得</t>
  </si>
  <si>
    <t xml:space="preserve">        113.72亿</t>
  </si>
  <si>
    <t xml:space="preserve">        124.64亿</t>
  </si>
  <si>
    <t xml:space="preserve">         84.44亿</t>
  </si>
  <si>
    <t>-0.273㈢</t>
  </si>
  <si>
    <t xml:space="preserve">  -5.64㈢</t>
  </si>
  <si>
    <t>摩恩电气</t>
  </si>
  <si>
    <t xml:space="preserve">         41.94亿</t>
  </si>
  <si>
    <t xml:space="preserve">         15.45亿</t>
  </si>
  <si>
    <t xml:space="preserve">   6.21㈢</t>
  </si>
  <si>
    <t>长高集团</t>
  </si>
  <si>
    <t xml:space="preserve">         21.35亿</t>
  </si>
  <si>
    <t xml:space="preserve">         25.62亿</t>
  </si>
  <si>
    <t xml:space="preserve">         17.89亿</t>
  </si>
  <si>
    <t>0.179㈢</t>
  </si>
  <si>
    <t xml:space="preserve">   7.87㈢</t>
  </si>
  <si>
    <t>华软科技</t>
  </si>
  <si>
    <t xml:space="preserve">         30.68亿</t>
  </si>
  <si>
    <t xml:space="preserve">         31.59亿</t>
  </si>
  <si>
    <t>5.37万</t>
  </si>
  <si>
    <t>松芝股份</t>
  </si>
  <si>
    <t xml:space="preserve">         30.03亿</t>
  </si>
  <si>
    <t>0.279㈢</t>
  </si>
  <si>
    <t xml:space="preserve">   5.12㈢</t>
  </si>
  <si>
    <t>百川股份</t>
  </si>
  <si>
    <t xml:space="preserve">         23.16亿</t>
  </si>
  <si>
    <t xml:space="preserve">         30.40亿</t>
  </si>
  <si>
    <t xml:space="preserve">         18.69亿</t>
  </si>
  <si>
    <t>7.50万</t>
  </si>
  <si>
    <t>欧菲光</t>
  </si>
  <si>
    <t xml:space="preserve">        416.21亿</t>
  </si>
  <si>
    <t xml:space="preserve">        423.21亿</t>
  </si>
  <si>
    <t xml:space="preserve">        285.99亿</t>
  </si>
  <si>
    <t>13.91万</t>
  </si>
  <si>
    <t xml:space="preserve">   2.07㈢</t>
  </si>
  <si>
    <t>青龙管业</t>
  </si>
  <si>
    <t xml:space="preserve">         26.72亿</t>
  </si>
  <si>
    <t xml:space="preserve">         26.77亿</t>
  </si>
  <si>
    <t xml:space="preserve">   5.59㈢</t>
  </si>
  <si>
    <t>益生股份</t>
  </si>
  <si>
    <t xml:space="preserve">         99.24亿</t>
  </si>
  <si>
    <t xml:space="preserve">        159.91亿</t>
  </si>
  <si>
    <t xml:space="preserve">         84.90亿</t>
  </si>
  <si>
    <t>2.560㈢</t>
  </si>
  <si>
    <t xml:space="preserve">  51.03㈢</t>
  </si>
  <si>
    <t>晶澳科技</t>
  </si>
  <si>
    <t xml:space="preserve">         43.22亿</t>
  </si>
  <si>
    <t xml:space="preserve">        149.19亿</t>
  </si>
  <si>
    <t xml:space="preserve">         27.50亿</t>
  </si>
  <si>
    <t>-0.100㈢</t>
  </si>
  <si>
    <t xml:space="preserve">  -3.21㈢</t>
  </si>
  <si>
    <t>赣锋锂业</t>
  </si>
  <si>
    <t xml:space="preserve">        273.63亿</t>
  </si>
  <si>
    <t xml:space="preserve">        373.39亿</t>
  </si>
  <si>
    <t xml:space="preserve">        241.96亿</t>
  </si>
  <si>
    <t>17.09万</t>
  </si>
  <si>
    <t xml:space="preserve">   4.05㈢</t>
  </si>
  <si>
    <t>珠江啤酒</t>
  </si>
  <si>
    <t xml:space="preserve">         96.17亿</t>
  </si>
  <si>
    <t xml:space="preserve">        156.48亿</t>
  </si>
  <si>
    <t xml:space="preserve">         20.65亿</t>
  </si>
  <si>
    <t xml:space="preserve">   5.38㈢</t>
  </si>
  <si>
    <t>嘉事堂</t>
  </si>
  <si>
    <t xml:space="preserve">         39.10亿</t>
  </si>
  <si>
    <t xml:space="preserve">         45.77亿</t>
  </si>
  <si>
    <t xml:space="preserve">         30.52亿</t>
  </si>
  <si>
    <t>13.73万</t>
  </si>
  <si>
    <t>1.014㈢</t>
  </si>
  <si>
    <t xml:space="preserve">   8.85㈢</t>
  </si>
  <si>
    <t>沪电股份</t>
  </si>
  <si>
    <t xml:space="preserve">        372.10亿</t>
  </si>
  <si>
    <t xml:space="preserve">        380.13亿</t>
  </si>
  <si>
    <t xml:space="preserve">        244.80亿</t>
  </si>
  <si>
    <t>12.23万</t>
  </si>
  <si>
    <t xml:space="preserve">  17.84㈢</t>
  </si>
  <si>
    <t>众应互联</t>
  </si>
  <si>
    <t xml:space="preserve">         33.60亿</t>
  </si>
  <si>
    <t xml:space="preserve">         18.40亿</t>
  </si>
  <si>
    <t xml:space="preserve">   5.06㈢</t>
  </si>
  <si>
    <t>海格通信</t>
  </si>
  <si>
    <t xml:space="preserve">        227.64亿</t>
  </si>
  <si>
    <t xml:space="preserve">        244.13亿</t>
  </si>
  <si>
    <t xml:space="preserve">        167.19亿</t>
  </si>
  <si>
    <t>15.12万</t>
  </si>
  <si>
    <t>天齐锂业</t>
  </si>
  <si>
    <t xml:space="preserve">        324.37亿</t>
  </si>
  <si>
    <t xml:space="preserve">        325.12亿</t>
  </si>
  <si>
    <t xml:space="preserve">        190.98亿</t>
  </si>
  <si>
    <t>13.76万</t>
  </si>
  <si>
    <t>二六三</t>
  </si>
  <si>
    <t xml:space="preserve">         64.03亿</t>
  </si>
  <si>
    <t xml:space="preserve">         75.13亿</t>
  </si>
  <si>
    <t xml:space="preserve">         61.00亿</t>
  </si>
  <si>
    <t xml:space="preserve">   4.58㈢</t>
  </si>
  <si>
    <t>申通快递</t>
  </si>
  <si>
    <t xml:space="preserve">        301.87亿</t>
  </si>
  <si>
    <t xml:space="preserve">         88.51亿</t>
  </si>
  <si>
    <t>23.06万</t>
  </si>
  <si>
    <t>0.722㈢</t>
  </si>
  <si>
    <t xml:space="preserve">  12.52㈢</t>
  </si>
  <si>
    <t>三维工程</t>
  </si>
  <si>
    <t xml:space="preserve">         13.64亿</t>
  </si>
  <si>
    <t>金正大</t>
  </si>
  <si>
    <t xml:space="preserve">         74.03亿</t>
  </si>
  <si>
    <t xml:space="preserve">         39.12亿</t>
  </si>
  <si>
    <t>中超控股</t>
  </si>
  <si>
    <t xml:space="preserve">         29.73亿</t>
  </si>
  <si>
    <t xml:space="preserve">         29.80亿</t>
  </si>
  <si>
    <t xml:space="preserve">         18.48亿</t>
  </si>
  <si>
    <t>1.95万</t>
  </si>
  <si>
    <t xml:space="preserve">  -1.53㈢</t>
  </si>
  <si>
    <t>双环传动</t>
  </si>
  <si>
    <t xml:space="preserve">         37.42亿</t>
  </si>
  <si>
    <t xml:space="preserve">   2.73㈢</t>
  </si>
  <si>
    <t>圣莱达</t>
  </si>
  <si>
    <t xml:space="preserve">         14.29亿</t>
  </si>
  <si>
    <t xml:space="preserve">          7.34亿</t>
  </si>
  <si>
    <t>8.46万</t>
  </si>
  <si>
    <t>-0.275㈢</t>
  </si>
  <si>
    <t xml:space="preserve"> -17.35㈢</t>
  </si>
  <si>
    <t>榕基软件</t>
  </si>
  <si>
    <t xml:space="preserve">         52.39亿</t>
  </si>
  <si>
    <t xml:space="preserve">         35.40亿</t>
  </si>
  <si>
    <t>立讯精密</t>
  </si>
  <si>
    <t xml:space="preserve">       1890.58亿</t>
  </si>
  <si>
    <t xml:space="preserve">       1892.48亿</t>
  </si>
  <si>
    <t xml:space="preserve">       1036.89亿</t>
  </si>
  <si>
    <t>91.26万</t>
  </si>
  <si>
    <t xml:space="preserve">  15.77㈢</t>
  </si>
  <si>
    <t>宝莫股份</t>
  </si>
  <si>
    <t xml:space="preserve">         30.12亿</t>
  </si>
  <si>
    <t>5.60万</t>
  </si>
  <si>
    <t xml:space="preserve">   0.09㈢</t>
  </si>
  <si>
    <t>常宝股份</t>
  </si>
  <si>
    <t xml:space="preserve">         34.63亿</t>
  </si>
  <si>
    <t xml:space="preserve">         55.68亿</t>
  </si>
  <si>
    <t xml:space="preserve">         26.56亿</t>
  </si>
  <si>
    <t>11.42万</t>
  </si>
  <si>
    <t xml:space="preserve">  11.71㈢</t>
  </si>
  <si>
    <t>富春环保</t>
  </si>
  <si>
    <t xml:space="preserve">         59.54亿</t>
  </si>
  <si>
    <t xml:space="preserve">         60.00亿</t>
  </si>
  <si>
    <t>8.45万</t>
  </si>
  <si>
    <t xml:space="preserve">   5.97㈢</t>
  </si>
  <si>
    <t>新筑股份</t>
  </si>
  <si>
    <t xml:space="preserve">         25.28亿</t>
  </si>
  <si>
    <t xml:space="preserve">         25.72亿</t>
  </si>
  <si>
    <t xml:space="preserve">         18.36亿</t>
  </si>
  <si>
    <t>-0.185㈢</t>
  </si>
  <si>
    <t xml:space="preserve">  -5.43㈢</t>
  </si>
  <si>
    <t>双塔食品</t>
  </si>
  <si>
    <t xml:space="preserve">         86.13亿</t>
  </si>
  <si>
    <t xml:space="preserve">         96.74亿</t>
  </si>
  <si>
    <t xml:space="preserve">         48.47亿</t>
  </si>
  <si>
    <t>4.52万</t>
  </si>
  <si>
    <t>0.119㈢</t>
  </si>
  <si>
    <t>广田集团</t>
  </si>
  <si>
    <t xml:space="preserve">         66.52亿</t>
  </si>
  <si>
    <t xml:space="preserve">         66.87亿</t>
  </si>
  <si>
    <t xml:space="preserve">         21.69亿</t>
  </si>
  <si>
    <t>8.68万</t>
  </si>
  <si>
    <t>润邦股份</t>
  </si>
  <si>
    <t xml:space="preserve">         28.06亿</t>
  </si>
  <si>
    <t xml:space="preserve">         28.11亿</t>
  </si>
  <si>
    <t xml:space="preserve">         13.63亿</t>
  </si>
  <si>
    <t xml:space="preserve">   2.28㈢</t>
  </si>
  <si>
    <t>江海股份</t>
  </si>
  <si>
    <t xml:space="preserve">         59.87亿</t>
  </si>
  <si>
    <t xml:space="preserve">         63.91亿</t>
  </si>
  <si>
    <t>希努尔</t>
  </si>
  <si>
    <t xml:space="preserve">         36.88亿</t>
  </si>
  <si>
    <t xml:space="preserve">         11.62亿</t>
  </si>
  <si>
    <t>嘉麟杰</t>
  </si>
  <si>
    <t xml:space="preserve">         20.42亿</t>
  </si>
  <si>
    <t>大金重工</t>
  </si>
  <si>
    <t xml:space="preserve">         27.19亿</t>
  </si>
  <si>
    <t xml:space="preserve">         28.09亿</t>
  </si>
  <si>
    <t xml:space="preserve">         14.53亿</t>
  </si>
  <si>
    <t>金固股份</t>
  </si>
  <si>
    <t xml:space="preserve">         54.98亿</t>
  </si>
  <si>
    <t xml:space="preserve">         72.31亿</t>
  </si>
  <si>
    <t xml:space="preserve">         43.44亿</t>
  </si>
  <si>
    <t xml:space="preserve">   1.82㈢</t>
  </si>
  <si>
    <t>浙江永强</t>
  </si>
  <si>
    <t xml:space="preserve">         77.59亿</t>
  </si>
  <si>
    <t xml:space="preserve">         89.86亿</t>
  </si>
  <si>
    <t xml:space="preserve">  10.67㈢</t>
  </si>
  <si>
    <t>山东墨龙</t>
  </si>
  <si>
    <t xml:space="preserve">         13.00亿</t>
  </si>
  <si>
    <t xml:space="preserve">         10.58亿</t>
  </si>
  <si>
    <t>-0.042㈢</t>
  </si>
  <si>
    <t xml:space="preserve">  -1.74㈢</t>
  </si>
  <si>
    <t>通鼎互联</t>
  </si>
  <si>
    <t xml:space="preserve">         78.00亿</t>
  </si>
  <si>
    <t xml:space="preserve">         83.64亿</t>
  </si>
  <si>
    <t xml:space="preserve">         45.62亿</t>
  </si>
  <si>
    <t>恒基达鑫</t>
  </si>
  <si>
    <t xml:space="preserve">         13.49亿</t>
  </si>
  <si>
    <t>5.63万</t>
  </si>
  <si>
    <t>荣盛石化</t>
  </si>
  <si>
    <t xml:space="preserve">        713.65亿</t>
  </si>
  <si>
    <t xml:space="preserve">        771.92亿</t>
  </si>
  <si>
    <t xml:space="preserve">        193.64亿</t>
  </si>
  <si>
    <t>118.14万</t>
  </si>
  <si>
    <t xml:space="preserve">   8.31㈢</t>
  </si>
  <si>
    <t>华斯股份</t>
  </si>
  <si>
    <t xml:space="preserve">         17.82亿</t>
  </si>
  <si>
    <t>佳隆股份</t>
  </si>
  <si>
    <t xml:space="preserve">         15.08亿</t>
  </si>
  <si>
    <t>辉丰股份</t>
  </si>
  <si>
    <t xml:space="preserve">         42.81亿</t>
  </si>
  <si>
    <t xml:space="preserve">         22.48亿</t>
  </si>
  <si>
    <t>-0.126㈢</t>
  </si>
  <si>
    <t xml:space="preserve">  -6.39㈢</t>
  </si>
  <si>
    <t>雅化集团</t>
  </si>
  <si>
    <t xml:space="preserve">         60.14亿</t>
  </si>
  <si>
    <t xml:space="preserve">         68.16亿</t>
  </si>
  <si>
    <t xml:space="preserve">         55.43亿</t>
  </si>
  <si>
    <t xml:space="preserve">   3.60㈢</t>
  </si>
  <si>
    <t>汉缆股份</t>
  </si>
  <si>
    <t xml:space="preserve">         98.47亿</t>
  </si>
  <si>
    <t xml:space="preserve">   7.37㈢</t>
  </si>
  <si>
    <t>*ST科林</t>
  </si>
  <si>
    <t xml:space="preserve">          9.32亿</t>
  </si>
  <si>
    <t xml:space="preserve">          6.21亿</t>
  </si>
  <si>
    <t>4.53万</t>
  </si>
  <si>
    <t>-0.203㈢</t>
  </si>
  <si>
    <t xml:space="preserve"> -23.78㈢</t>
  </si>
  <si>
    <t>山西证券</t>
  </si>
  <si>
    <t xml:space="preserve">        226.86亿</t>
  </si>
  <si>
    <t xml:space="preserve">        117.46亿</t>
  </si>
  <si>
    <t>8.19万</t>
  </si>
  <si>
    <t xml:space="preserve">   4.01㈢</t>
  </si>
  <si>
    <t>*ST利源</t>
  </si>
  <si>
    <t xml:space="preserve">         19.18亿</t>
  </si>
  <si>
    <t>2.79万</t>
  </si>
  <si>
    <t>-0.995㈢</t>
  </si>
  <si>
    <t xml:space="preserve"> -43.65㈢</t>
  </si>
  <si>
    <t>鼎龙文化</t>
  </si>
  <si>
    <t xml:space="preserve">         22.61亿</t>
  </si>
  <si>
    <t xml:space="preserve">         27.77亿</t>
  </si>
  <si>
    <t>-0.542㈢</t>
  </si>
  <si>
    <t xml:space="preserve"> -27.92㈢</t>
  </si>
  <si>
    <t>搜于特</t>
  </si>
  <si>
    <t xml:space="preserve">         50.10亿</t>
  </si>
  <si>
    <t xml:space="preserve">         72.98亿</t>
  </si>
  <si>
    <t xml:space="preserve">         33.15亿</t>
  </si>
  <si>
    <t xml:space="preserve">   5.47㈢</t>
  </si>
  <si>
    <t>弘高创意</t>
  </si>
  <si>
    <t xml:space="preserve">         13.43亿</t>
  </si>
  <si>
    <t xml:space="preserve"> -11.50㈢</t>
  </si>
  <si>
    <t>大康农业</t>
  </si>
  <si>
    <t xml:space="preserve">         93.80亿</t>
  </si>
  <si>
    <t xml:space="preserve">         40.57亿</t>
  </si>
  <si>
    <t>2.33万</t>
  </si>
  <si>
    <t xml:space="preserve">   1.17㈢</t>
  </si>
  <si>
    <t>协鑫集成</t>
  </si>
  <si>
    <t xml:space="preserve">        305.20亿</t>
  </si>
  <si>
    <t xml:space="preserve">        305.91亿</t>
  </si>
  <si>
    <t xml:space="preserve">        154.98亿</t>
  </si>
  <si>
    <t>14.20万</t>
  </si>
  <si>
    <t xml:space="preserve">  -0.84㈢</t>
  </si>
  <si>
    <t>涪陵榨菜</t>
  </si>
  <si>
    <t xml:space="preserve">        203.40亿</t>
  </si>
  <si>
    <t xml:space="preserve">        206.50亿</t>
  </si>
  <si>
    <t xml:space="preserve">        121.52亿</t>
  </si>
  <si>
    <t>17.13万</t>
  </si>
  <si>
    <t>0.656㈢</t>
  </si>
  <si>
    <t xml:space="preserve">  18.61㈢</t>
  </si>
  <si>
    <t>老板电器</t>
  </si>
  <si>
    <t xml:space="preserve">        310.20亿</t>
  </si>
  <si>
    <t xml:space="preserve">        314.89亿</t>
  </si>
  <si>
    <t xml:space="preserve">        144.59亿</t>
  </si>
  <si>
    <t>1.144㈢</t>
  </si>
  <si>
    <t xml:space="preserve">  17.03㈢</t>
  </si>
  <si>
    <t>天广中茂</t>
  </si>
  <si>
    <t xml:space="preserve">         35.89亿</t>
  </si>
  <si>
    <t>4.07万</t>
  </si>
  <si>
    <t>-0.066㈢</t>
  </si>
  <si>
    <t xml:space="preserve">  -3.78㈢</t>
  </si>
  <si>
    <t>天汽模</t>
  </si>
  <si>
    <t xml:space="preserve">         35.49亿</t>
  </si>
  <si>
    <t xml:space="preserve">         30.90亿</t>
  </si>
  <si>
    <t>4.33万</t>
  </si>
  <si>
    <t>中顺洁柔</t>
  </si>
  <si>
    <t xml:space="preserve">        157.76亿</t>
  </si>
  <si>
    <t xml:space="preserve">        163.22亿</t>
  </si>
  <si>
    <t xml:space="preserve">         77.68亿</t>
  </si>
  <si>
    <t>22.71万</t>
  </si>
  <si>
    <t xml:space="preserve">  11.46㈢</t>
  </si>
  <si>
    <t>达华智能</t>
  </si>
  <si>
    <t xml:space="preserve">         56.41亿</t>
  </si>
  <si>
    <t xml:space="preserve">         72.30亿</t>
  </si>
  <si>
    <t xml:space="preserve">         37.73亿</t>
  </si>
  <si>
    <t>0.283㈢</t>
  </si>
  <si>
    <t xml:space="preserve">  21.35㈢</t>
  </si>
  <si>
    <t>蓝丰生化</t>
  </si>
  <si>
    <t xml:space="preserve">         22.89亿</t>
  </si>
  <si>
    <t>5.07万</t>
  </si>
  <si>
    <t>宝馨科技</t>
  </si>
  <si>
    <t xml:space="preserve">         23.44亿</t>
  </si>
  <si>
    <t xml:space="preserve">         32.02亿</t>
  </si>
  <si>
    <t xml:space="preserve">         15.86亿</t>
  </si>
  <si>
    <t>6.71万</t>
  </si>
  <si>
    <t xml:space="preserve">   7.65㈢</t>
  </si>
  <si>
    <t>金字火腿</t>
  </si>
  <si>
    <t xml:space="preserve">         52.73亿</t>
  </si>
  <si>
    <t>0.049㈢</t>
  </si>
  <si>
    <t>旷达科技</t>
  </si>
  <si>
    <t xml:space="preserve">         39.27亿</t>
  </si>
  <si>
    <t xml:space="preserve">         18.28亿</t>
  </si>
  <si>
    <t xml:space="preserve">   4.07㈢</t>
  </si>
  <si>
    <t>恺英网络</t>
  </si>
  <si>
    <t xml:space="preserve">         41.28亿</t>
  </si>
  <si>
    <t xml:space="preserve">         55.53亿</t>
  </si>
  <si>
    <t xml:space="preserve">         29.91亿</t>
  </si>
  <si>
    <t>科士达</t>
  </si>
  <si>
    <t xml:space="preserve">         58.74亿</t>
  </si>
  <si>
    <t xml:space="preserve">         61.16亿</t>
  </si>
  <si>
    <t xml:space="preserve">         21.41亿</t>
  </si>
  <si>
    <t>8.92万</t>
  </si>
  <si>
    <t xml:space="preserve">   9.08㈢</t>
  </si>
  <si>
    <t>银河电子</t>
  </si>
  <si>
    <t xml:space="preserve">         38.68亿</t>
  </si>
  <si>
    <t xml:space="preserve">         43.82亿</t>
  </si>
  <si>
    <t xml:space="preserve">         28.57亿</t>
  </si>
  <si>
    <t>7.13万</t>
  </si>
  <si>
    <t xml:space="preserve">   6.40㈢</t>
  </si>
  <si>
    <t>日发精机</t>
  </si>
  <si>
    <t xml:space="preserve">         33.38亿</t>
  </si>
  <si>
    <t xml:space="preserve">         50.04亿</t>
  </si>
  <si>
    <t xml:space="preserve">         15.18亿</t>
  </si>
  <si>
    <t>齐峰新材</t>
  </si>
  <si>
    <t xml:space="preserve">         24.65亿</t>
  </si>
  <si>
    <t xml:space="preserve">         28.69亿</t>
  </si>
  <si>
    <t>7.19万</t>
  </si>
  <si>
    <t>浙江众成</t>
  </si>
  <si>
    <t xml:space="preserve">         53.28亿</t>
  </si>
  <si>
    <t xml:space="preserve">         29.24亿</t>
  </si>
  <si>
    <t>8.06万</t>
  </si>
  <si>
    <t>0.074㈢</t>
  </si>
  <si>
    <t xml:space="preserve">   3.65㈢</t>
  </si>
  <si>
    <t>天桥起重</t>
  </si>
  <si>
    <t xml:space="preserve">         43.21亿</t>
  </si>
  <si>
    <t xml:space="preserve">         28.58亿</t>
  </si>
  <si>
    <t>8.37万</t>
  </si>
  <si>
    <t xml:space="preserve">   2.67㈢</t>
  </si>
  <si>
    <t>光正集团</t>
  </si>
  <si>
    <t xml:space="preserve">         49.05亿</t>
  </si>
  <si>
    <t xml:space="preserve">         52.24亿</t>
  </si>
  <si>
    <t xml:space="preserve">         35.97亿</t>
  </si>
  <si>
    <t>10.94万</t>
  </si>
  <si>
    <t>0.240㈢</t>
  </si>
  <si>
    <t xml:space="preserve">  12.89㈢</t>
  </si>
  <si>
    <t>山东矿机</t>
  </si>
  <si>
    <t xml:space="preserve">         36.61亿</t>
  </si>
  <si>
    <t xml:space="preserve">         28.27亿</t>
  </si>
  <si>
    <t xml:space="preserve">   6.42㈢</t>
  </si>
  <si>
    <t>新时达</t>
  </si>
  <si>
    <t xml:space="preserve">         23.23亿</t>
  </si>
  <si>
    <t xml:space="preserve">         32.19亿</t>
  </si>
  <si>
    <t>英飞拓</t>
  </si>
  <si>
    <t xml:space="preserve">         63.65亿</t>
  </si>
  <si>
    <t>4.44万</t>
  </si>
  <si>
    <t xml:space="preserve">   0.56㈢</t>
  </si>
  <si>
    <t>海源复材</t>
  </si>
  <si>
    <t xml:space="preserve">         14.95亿</t>
  </si>
  <si>
    <t xml:space="preserve">          7.51亿</t>
  </si>
  <si>
    <t xml:space="preserve">  -3.44㈢</t>
  </si>
  <si>
    <t>金财互联</t>
  </si>
  <si>
    <t xml:space="preserve">         73.75亿</t>
  </si>
  <si>
    <t xml:space="preserve">         90.23亿</t>
  </si>
  <si>
    <t xml:space="preserve">         30.66亿</t>
  </si>
  <si>
    <t>9.39万</t>
  </si>
  <si>
    <t>0.232㈢</t>
  </si>
  <si>
    <t xml:space="preserve">   4.16㈢</t>
  </si>
  <si>
    <t>天顺风能</t>
  </si>
  <si>
    <t xml:space="preserve">        105.79亿</t>
  </si>
  <si>
    <t xml:space="preserve">        106.39亿</t>
  </si>
  <si>
    <t xml:space="preserve">         50.33亿</t>
  </si>
  <si>
    <t>13.06万</t>
  </si>
  <si>
    <t xml:space="preserve">   9.66㈢</t>
  </si>
  <si>
    <t>新界泵业</t>
  </si>
  <si>
    <t xml:space="preserve">         25.64亿</t>
  </si>
  <si>
    <t xml:space="preserve">         12.38亿</t>
  </si>
  <si>
    <t xml:space="preserve">   7.72㈢</t>
  </si>
  <si>
    <t>金杯电工</t>
  </si>
  <si>
    <t>4.29万</t>
  </si>
  <si>
    <t>杭锅股份</t>
  </si>
  <si>
    <t xml:space="preserve">         56.05亿</t>
  </si>
  <si>
    <t xml:space="preserve">         56.78亿</t>
  </si>
  <si>
    <t xml:space="preserve">         13.76亿</t>
  </si>
  <si>
    <t xml:space="preserve">   8.47㈢</t>
  </si>
  <si>
    <t>林州重机</t>
  </si>
  <si>
    <t xml:space="preserve">         15.77亿</t>
  </si>
  <si>
    <t xml:space="preserve">         13.33亿</t>
  </si>
  <si>
    <t>2.39万</t>
  </si>
  <si>
    <t>0.007㈢</t>
  </si>
  <si>
    <t xml:space="preserve">   0.19㈢</t>
  </si>
  <si>
    <t>飞龙股份</t>
  </si>
  <si>
    <t xml:space="preserve">         22.47亿</t>
  </si>
  <si>
    <t xml:space="preserve">         23.88亿</t>
  </si>
  <si>
    <t xml:space="preserve">         13.27亿</t>
  </si>
  <si>
    <t>0.131㈢</t>
  </si>
  <si>
    <t xml:space="preserve">   3.13㈢</t>
  </si>
  <si>
    <t>海联金汇</t>
  </si>
  <si>
    <t xml:space="preserve">         85.91亿</t>
  </si>
  <si>
    <t xml:space="preserve">         86.30亿</t>
  </si>
  <si>
    <t xml:space="preserve">         38.07亿</t>
  </si>
  <si>
    <t>11.24万</t>
  </si>
  <si>
    <t xml:space="preserve">  -0.40㈢</t>
  </si>
  <si>
    <t>司尔特</t>
  </si>
  <si>
    <t xml:space="preserve">         20.33亿</t>
  </si>
  <si>
    <t>云图控股</t>
  </si>
  <si>
    <t>0.181㈢</t>
  </si>
  <si>
    <t>亚太科技</t>
  </si>
  <si>
    <t xml:space="preserve">         53.74亿</t>
  </si>
  <si>
    <t xml:space="preserve">         26.93亿</t>
  </si>
  <si>
    <t xml:space="preserve">   5.13㈢</t>
  </si>
  <si>
    <t>鸿路钢构</t>
  </si>
  <si>
    <t xml:space="preserve">         38.65亿</t>
  </si>
  <si>
    <t xml:space="preserve">         54.78亿</t>
  </si>
  <si>
    <t xml:space="preserve">         26.39亿</t>
  </si>
  <si>
    <t>0.646㈢</t>
  </si>
  <si>
    <t xml:space="preserve">   7.17㈢</t>
  </si>
  <si>
    <t>中化岩土</t>
  </si>
  <si>
    <t xml:space="preserve">         67.17亿</t>
  </si>
  <si>
    <t xml:space="preserve">   4.18㈢</t>
  </si>
  <si>
    <t>万和电气</t>
  </si>
  <si>
    <t xml:space="preserve">         59.74亿</t>
  </si>
  <si>
    <t xml:space="preserve">         17.49亿</t>
  </si>
  <si>
    <t>11.52万</t>
  </si>
  <si>
    <t>0.599㈢</t>
  </si>
  <si>
    <t xml:space="preserve">  12.81㈢</t>
  </si>
  <si>
    <t>杰赛科技</t>
  </si>
  <si>
    <t xml:space="preserve">         70.49亿</t>
  </si>
  <si>
    <t xml:space="preserve">         78.53亿</t>
  </si>
  <si>
    <t xml:space="preserve">         41.32亿</t>
  </si>
  <si>
    <t>0.095㈢</t>
  </si>
  <si>
    <t>东方铁塔</t>
  </si>
  <si>
    <t xml:space="preserve">         77.10亿</t>
  </si>
  <si>
    <t xml:space="preserve">         92.93亿</t>
  </si>
  <si>
    <t xml:space="preserve">   3.36㈢</t>
  </si>
  <si>
    <t>新联电子</t>
  </si>
  <si>
    <t xml:space="preserve">         31.90亿</t>
  </si>
  <si>
    <t xml:space="preserve">         34.03亿</t>
  </si>
  <si>
    <t xml:space="preserve">         16.45亿</t>
  </si>
  <si>
    <t>3.74万</t>
  </si>
  <si>
    <t>春兴精工</t>
  </si>
  <si>
    <t xml:space="preserve">         91.60亿</t>
  </si>
  <si>
    <t xml:space="preserve">         53.02亿</t>
  </si>
  <si>
    <t>金新农</t>
  </si>
  <si>
    <t xml:space="preserve">         34.86亿</t>
  </si>
  <si>
    <t xml:space="preserve">         37.91亿</t>
  </si>
  <si>
    <t xml:space="preserve">         21.87亿</t>
  </si>
  <si>
    <t>5.75万</t>
  </si>
  <si>
    <t xml:space="preserve">   2.04㈢</t>
  </si>
  <si>
    <t>凯美特气</t>
  </si>
  <si>
    <t xml:space="preserve">         37.77亿</t>
  </si>
  <si>
    <t xml:space="preserve">         11.06亿</t>
  </si>
  <si>
    <t>千红制药</t>
  </si>
  <si>
    <t xml:space="preserve">         40.72亿</t>
  </si>
  <si>
    <t xml:space="preserve">         57.60亿</t>
  </si>
  <si>
    <t>6.17万</t>
  </si>
  <si>
    <t>尚荣医疗</t>
  </si>
  <si>
    <t xml:space="preserve">         20.32亿</t>
  </si>
  <si>
    <t xml:space="preserve">         32.12亿</t>
  </si>
  <si>
    <t xml:space="preserve">         16.02亿</t>
  </si>
  <si>
    <t>宝鼎科技</t>
  </si>
  <si>
    <t xml:space="preserve">         53.48亿</t>
  </si>
  <si>
    <t xml:space="preserve">         22.34亿</t>
  </si>
  <si>
    <t xml:space="preserve">   8.45㈢</t>
  </si>
  <si>
    <t>南方轴承</t>
  </si>
  <si>
    <t xml:space="preserve">         12.51亿</t>
  </si>
  <si>
    <t xml:space="preserve">         18.58亿</t>
  </si>
  <si>
    <t xml:space="preserve">          9.12亿</t>
  </si>
  <si>
    <t>3.89万</t>
  </si>
  <si>
    <t>惠博普</t>
  </si>
  <si>
    <t xml:space="preserve">         22.86亿</t>
  </si>
  <si>
    <t xml:space="preserve">         31.80亿</t>
  </si>
  <si>
    <t xml:space="preserve">   2.65㈢</t>
  </si>
  <si>
    <t>三七互娱</t>
  </si>
  <si>
    <t xml:space="preserve">        356.49亿</t>
  </si>
  <si>
    <t xml:space="preserve">        558.69亿</t>
  </si>
  <si>
    <t xml:space="preserve">        272.31亿</t>
  </si>
  <si>
    <t>69.72万</t>
  </si>
  <si>
    <t xml:space="preserve">  23.85㈢</t>
  </si>
  <si>
    <t>辉隆股份</t>
  </si>
  <si>
    <t xml:space="preserve">         39.11亿</t>
  </si>
  <si>
    <t xml:space="preserve">         22.11亿</t>
  </si>
  <si>
    <t>洽洽食品</t>
  </si>
  <si>
    <t xml:space="preserve">        169.95亿</t>
  </si>
  <si>
    <t xml:space="preserve">         82.97亿</t>
  </si>
  <si>
    <t>58.36万</t>
  </si>
  <si>
    <t>0.790㈢</t>
  </si>
  <si>
    <t>巨人网络</t>
  </si>
  <si>
    <t xml:space="preserve">        365.81亿</t>
  </si>
  <si>
    <t xml:space="preserve">         75.77亿</t>
  </si>
  <si>
    <t>18.54万</t>
  </si>
  <si>
    <t>亚威股份</t>
  </si>
  <si>
    <t xml:space="preserve">         26.45亿</t>
  </si>
  <si>
    <t xml:space="preserve">         30.95亿</t>
  </si>
  <si>
    <t xml:space="preserve">         22.15亿</t>
  </si>
  <si>
    <t xml:space="preserve">   5.94㈢</t>
  </si>
  <si>
    <t>通达股份</t>
  </si>
  <si>
    <t xml:space="preserve">         25.34亿</t>
  </si>
  <si>
    <t xml:space="preserve">         12.07亿</t>
  </si>
  <si>
    <t xml:space="preserve">   4.85㈢</t>
  </si>
  <si>
    <t>徐家汇</t>
  </si>
  <si>
    <t xml:space="preserve">         32.21亿</t>
  </si>
  <si>
    <t xml:space="preserve">         33.72亿</t>
  </si>
  <si>
    <t xml:space="preserve">         19.27亿</t>
  </si>
  <si>
    <t>6.88万</t>
  </si>
  <si>
    <t>兄弟科技</t>
  </si>
  <si>
    <t xml:space="preserve">         25.61亿</t>
  </si>
  <si>
    <t xml:space="preserve">         42.85亿</t>
  </si>
  <si>
    <t xml:space="preserve">         20.01亿</t>
  </si>
  <si>
    <t>5.12万</t>
  </si>
  <si>
    <t xml:space="preserve">   0.84㈢</t>
  </si>
  <si>
    <t>森马服饰</t>
  </si>
  <si>
    <t xml:space="preserve">        183.00亿</t>
  </si>
  <si>
    <t xml:space="preserve">        267.16亿</t>
  </si>
  <si>
    <t xml:space="preserve">         54.91亿</t>
  </si>
  <si>
    <t>28.32万</t>
  </si>
  <si>
    <t>0.484㈢</t>
  </si>
  <si>
    <t xml:space="preserve">  11.31㈢</t>
  </si>
  <si>
    <t>天沃科技</t>
  </si>
  <si>
    <t>5.13万</t>
  </si>
  <si>
    <t>顺灏股份</t>
  </si>
  <si>
    <t xml:space="preserve">         66.64亿</t>
  </si>
  <si>
    <t xml:space="preserve">         66.90亿</t>
  </si>
  <si>
    <t xml:space="preserve">         40.82亿</t>
  </si>
  <si>
    <t>3.97万</t>
  </si>
  <si>
    <t xml:space="preserve">   3.39㈢</t>
  </si>
  <si>
    <t>益盛药业</t>
  </si>
  <si>
    <t xml:space="preserve">         14.85亿</t>
  </si>
  <si>
    <t xml:space="preserve">         11.68亿</t>
  </si>
  <si>
    <t xml:space="preserve">   2.89㈢</t>
  </si>
  <si>
    <t>唐人神</t>
  </si>
  <si>
    <t xml:space="preserve">         70.14亿</t>
  </si>
  <si>
    <t xml:space="preserve">         75.63亿</t>
  </si>
  <si>
    <t xml:space="preserve">         41.12亿</t>
  </si>
  <si>
    <t>百润股份</t>
  </si>
  <si>
    <t xml:space="preserve">         89.03亿</t>
  </si>
  <si>
    <t xml:space="preserve">        132.65亿</t>
  </si>
  <si>
    <t xml:space="preserve">         58.42亿</t>
  </si>
  <si>
    <t>31.99万</t>
  </si>
  <si>
    <t xml:space="preserve">  11.85㈢</t>
  </si>
  <si>
    <t>*ST步森</t>
  </si>
  <si>
    <t xml:space="preserve">         13.98亿</t>
  </si>
  <si>
    <t xml:space="preserve">         14.00亿</t>
  </si>
  <si>
    <t xml:space="preserve">          9.80亿</t>
  </si>
  <si>
    <t>15.31万</t>
  </si>
  <si>
    <t>-0.286㈢</t>
  </si>
  <si>
    <t xml:space="preserve"> -15.48㈢</t>
  </si>
  <si>
    <t>贝因美</t>
  </si>
  <si>
    <t xml:space="preserve">         54.70亿</t>
  </si>
  <si>
    <t xml:space="preserve">         26.08亿</t>
  </si>
  <si>
    <t>-0.110㈢</t>
  </si>
  <si>
    <t>德力股份</t>
  </si>
  <si>
    <t xml:space="preserve">         13.90亿</t>
  </si>
  <si>
    <t xml:space="preserve">         10.03亿</t>
  </si>
  <si>
    <t>4.70万</t>
  </si>
  <si>
    <t>索菲亚</t>
  </si>
  <si>
    <t xml:space="preserve">        131.13亿</t>
  </si>
  <si>
    <t xml:space="preserve">        187.77亿</t>
  </si>
  <si>
    <t xml:space="preserve">        112.39亿</t>
  </si>
  <si>
    <t>33.02万</t>
  </si>
  <si>
    <t>0.789㈢</t>
  </si>
  <si>
    <t>清新环境</t>
  </si>
  <si>
    <t xml:space="preserve">         69.13亿</t>
  </si>
  <si>
    <t xml:space="preserve">         69.31亿</t>
  </si>
  <si>
    <t>5.00万</t>
  </si>
  <si>
    <t>0.298㈢</t>
  </si>
  <si>
    <t xml:space="preserve">   6.62㈢</t>
  </si>
  <si>
    <t>明牌珠宝</t>
  </si>
  <si>
    <t xml:space="preserve">         26.82亿</t>
  </si>
  <si>
    <t xml:space="preserve">         12.64亿</t>
  </si>
  <si>
    <t>0.172㈢</t>
  </si>
  <si>
    <t xml:space="preserve">   2.78㈢</t>
  </si>
  <si>
    <t>群兴玩具</t>
  </si>
  <si>
    <t xml:space="preserve">         42.63亿</t>
  </si>
  <si>
    <t xml:space="preserve">         26.55亿</t>
  </si>
  <si>
    <t>-0.040㈢</t>
  </si>
  <si>
    <t xml:space="preserve">  -2.36㈢</t>
  </si>
  <si>
    <t>通达动力</t>
  </si>
  <si>
    <t>5.98万</t>
  </si>
  <si>
    <t>雷柏科技</t>
  </si>
  <si>
    <t xml:space="preserve">         37.71亿</t>
  </si>
  <si>
    <t xml:space="preserve">         14.28亿</t>
  </si>
  <si>
    <t>闽发铝业</t>
  </si>
  <si>
    <t xml:space="preserve">         35.37亿</t>
  </si>
  <si>
    <t>0.037㈢</t>
  </si>
  <si>
    <t xml:space="preserve">   2.59㈢</t>
  </si>
  <si>
    <t>中京电子</t>
  </si>
  <si>
    <t xml:space="preserve">         52.70亿</t>
  </si>
  <si>
    <t xml:space="preserve">         22.65亿</t>
  </si>
  <si>
    <t>8.13万</t>
  </si>
  <si>
    <t xml:space="preserve">   9.79㈢</t>
  </si>
  <si>
    <t>圣阳股份</t>
  </si>
  <si>
    <t xml:space="preserve">         16.50亿</t>
  </si>
  <si>
    <t xml:space="preserve">         14.64亿</t>
  </si>
  <si>
    <t>未名医药</t>
  </si>
  <si>
    <t>好想你</t>
  </si>
  <si>
    <t xml:space="preserve">         42.65亿</t>
  </si>
  <si>
    <t xml:space="preserve">         20.76亿</t>
  </si>
  <si>
    <t>海能达</t>
  </si>
  <si>
    <t xml:space="preserve">         90.93亿</t>
  </si>
  <si>
    <t xml:space="preserve">        159.68亿</t>
  </si>
  <si>
    <t xml:space="preserve">         68.82亿</t>
  </si>
  <si>
    <t>15.25万</t>
  </si>
  <si>
    <t xml:space="preserve">   1.76㈢</t>
  </si>
  <si>
    <t>西陇科学</t>
  </si>
  <si>
    <t xml:space="preserve">         29.79亿</t>
  </si>
  <si>
    <t xml:space="preserve">         16.38亿</t>
  </si>
  <si>
    <t>双星新材</t>
  </si>
  <si>
    <t xml:space="preserve">         39.20亿</t>
  </si>
  <si>
    <t xml:space="preserve">         30.64亿</t>
  </si>
  <si>
    <t>0.115㈢</t>
  </si>
  <si>
    <t>ST围海</t>
  </si>
  <si>
    <t xml:space="preserve">         36.50亿</t>
  </si>
  <si>
    <t xml:space="preserve">         12.95亿</t>
  </si>
  <si>
    <t>6.83万</t>
  </si>
  <si>
    <t xml:space="preserve">   1.70㈢</t>
  </si>
  <si>
    <t>奥拓电子</t>
  </si>
  <si>
    <t xml:space="preserve">         47.49亿</t>
  </si>
  <si>
    <t xml:space="preserve">         27.84亿</t>
  </si>
  <si>
    <t>8.21万</t>
  </si>
  <si>
    <t xml:space="preserve">  11.06㈢</t>
  </si>
  <si>
    <t>史丹利</t>
  </si>
  <si>
    <t xml:space="preserve">         28.96亿</t>
  </si>
  <si>
    <t xml:space="preserve">         44.54亿</t>
  </si>
  <si>
    <t>瑞康医药</t>
  </si>
  <si>
    <t xml:space="preserve">         89.29亿</t>
  </si>
  <si>
    <t xml:space="preserve">        115.56亿</t>
  </si>
  <si>
    <t xml:space="preserve">         67.82亿</t>
  </si>
  <si>
    <t>0.385㈢</t>
  </si>
  <si>
    <t xml:space="preserve">   6.52㈢</t>
  </si>
  <si>
    <t>万安科技</t>
  </si>
  <si>
    <t xml:space="preserve">         30.50亿</t>
  </si>
  <si>
    <t xml:space="preserve">         33.67亿</t>
  </si>
  <si>
    <t xml:space="preserve">   1.47㈢</t>
  </si>
  <si>
    <t>恒大高新</t>
  </si>
  <si>
    <t xml:space="preserve">         17.72亿</t>
  </si>
  <si>
    <t xml:space="preserve">         28.80亿</t>
  </si>
  <si>
    <t xml:space="preserve">         12.13亿</t>
  </si>
  <si>
    <t xml:space="preserve">   6.55㈢</t>
  </si>
  <si>
    <t>八菱科技</t>
  </si>
  <si>
    <t xml:space="preserve">         38.39亿</t>
  </si>
  <si>
    <t xml:space="preserve">         19.28亿</t>
  </si>
  <si>
    <t>9.01万</t>
  </si>
  <si>
    <t>日上集团</t>
  </si>
  <si>
    <t xml:space="preserve">         17.98亿</t>
  </si>
  <si>
    <t>比亚迪</t>
  </si>
  <si>
    <t xml:space="preserve">        524.70亿</t>
  </si>
  <si>
    <t xml:space="preserve">        834.05亿</t>
  </si>
  <si>
    <t xml:space="preserve">        363.29亿</t>
  </si>
  <si>
    <t>27.71万</t>
  </si>
  <si>
    <t>0.510㈢</t>
  </si>
  <si>
    <t>豪迈科技</t>
  </si>
  <si>
    <t xml:space="preserve">         98.30亿</t>
  </si>
  <si>
    <t xml:space="preserve">        149.20亿</t>
  </si>
  <si>
    <t xml:space="preserve">         72.02亿</t>
  </si>
  <si>
    <t>40.48万</t>
  </si>
  <si>
    <t>0.813㈢</t>
  </si>
  <si>
    <t>海南瑞泽</t>
  </si>
  <si>
    <t xml:space="preserve">         58.94亿</t>
  </si>
  <si>
    <t xml:space="preserve">         75.48亿</t>
  </si>
  <si>
    <t>5.68万</t>
  </si>
  <si>
    <t>金禾实业</t>
  </si>
  <si>
    <t xml:space="preserve">        120.80亿</t>
  </si>
  <si>
    <t xml:space="preserve">        122.09亿</t>
  </si>
  <si>
    <t xml:space="preserve">         66.07亿</t>
  </si>
  <si>
    <t>22.94万</t>
  </si>
  <si>
    <t>1.100㈢</t>
  </si>
  <si>
    <t xml:space="preserve">  14.59㈢</t>
  </si>
  <si>
    <t>山东章鼓</t>
  </si>
  <si>
    <t>0.223㈢</t>
  </si>
  <si>
    <t xml:space="preserve">   8.21㈢</t>
  </si>
  <si>
    <t>盛通股份</t>
  </si>
  <si>
    <t xml:space="preserve">         16.22亿</t>
  </si>
  <si>
    <t xml:space="preserve">         26.04亿</t>
  </si>
  <si>
    <t xml:space="preserve">         10.97亿</t>
  </si>
  <si>
    <t>领益智造</t>
  </si>
  <si>
    <t xml:space="preserve">        189.31亿</t>
  </si>
  <si>
    <t xml:space="preserve">        749.61亿</t>
  </si>
  <si>
    <t xml:space="preserve">        181.83亿</t>
  </si>
  <si>
    <t>10.80万</t>
  </si>
  <si>
    <t xml:space="preserve">  17.43㈢</t>
  </si>
  <si>
    <t>龙蟒佰利</t>
  </si>
  <si>
    <t xml:space="preserve">        300.43亿</t>
  </si>
  <si>
    <t xml:space="preserve">        301.15亿</t>
  </si>
  <si>
    <t xml:space="preserve">        205.95亿</t>
  </si>
  <si>
    <t>40.76万</t>
  </si>
  <si>
    <t>1.040㈢</t>
  </si>
  <si>
    <t xml:space="preserve">  15.18㈢</t>
  </si>
  <si>
    <t>世纪华通</t>
  </si>
  <si>
    <t xml:space="preserve">        306.68亿</t>
  </si>
  <si>
    <t xml:space="preserve">        704.65亿</t>
  </si>
  <si>
    <t xml:space="preserve">        167.35亿</t>
  </si>
  <si>
    <t>58.43万</t>
  </si>
  <si>
    <t>0.337㈢</t>
  </si>
  <si>
    <t>以岭药业</t>
  </si>
  <si>
    <t xml:space="preserve">        111.43亿</t>
  </si>
  <si>
    <t xml:space="preserve">        135.90亿</t>
  </si>
  <si>
    <t xml:space="preserve">         52.46亿</t>
  </si>
  <si>
    <t>12.11万</t>
  </si>
  <si>
    <t>0.478㈢</t>
  </si>
  <si>
    <t xml:space="preserve">   7.26㈢</t>
  </si>
  <si>
    <t>姚记科技</t>
  </si>
  <si>
    <t xml:space="preserve">         76.49亿</t>
  </si>
  <si>
    <t xml:space="preserve">         31.07亿</t>
  </si>
  <si>
    <t>14.74万</t>
  </si>
  <si>
    <t xml:space="preserve">  18.38㈢</t>
  </si>
  <si>
    <t>大连电瓷</t>
  </si>
  <si>
    <t xml:space="preserve">         23.22亿</t>
  </si>
  <si>
    <t xml:space="preserve">         16.00亿</t>
  </si>
  <si>
    <t>5.10万</t>
  </si>
  <si>
    <t>中公教育</t>
  </si>
  <si>
    <t xml:space="preserve">        115.17亿</t>
  </si>
  <si>
    <t xml:space="preserve">       1064.49亿</t>
  </si>
  <si>
    <t xml:space="preserve">         88.81亿</t>
  </si>
  <si>
    <t>40.45万</t>
  </si>
  <si>
    <t xml:space="preserve">  37.83㈢</t>
  </si>
  <si>
    <t>江苏国信</t>
  </si>
  <si>
    <t xml:space="preserve">        107.33亿</t>
  </si>
  <si>
    <t xml:space="preserve">        285.62亿</t>
  </si>
  <si>
    <t xml:space="preserve">         46.01亿</t>
  </si>
  <si>
    <t>0.521㈢</t>
  </si>
  <si>
    <t>捷顺科技</t>
  </si>
  <si>
    <t xml:space="preserve">         54.60亿</t>
  </si>
  <si>
    <t xml:space="preserve">         20.80亿</t>
  </si>
  <si>
    <t xml:space="preserve">   3.56㈢</t>
  </si>
  <si>
    <t>爱康科技</t>
  </si>
  <si>
    <t xml:space="preserve">         70.19亿</t>
  </si>
  <si>
    <t xml:space="preserve">         71.83亿</t>
  </si>
  <si>
    <t xml:space="preserve">         53.93亿</t>
  </si>
  <si>
    <t>2.27万</t>
  </si>
  <si>
    <t>东方精工</t>
  </si>
  <si>
    <t xml:space="preserve">         80.35亿</t>
  </si>
  <si>
    <t xml:space="preserve">         39.43亿</t>
  </si>
  <si>
    <t>7.93万</t>
  </si>
  <si>
    <t xml:space="preserve">   9.03㈢</t>
  </si>
  <si>
    <t>朗姿股份</t>
  </si>
  <si>
    <t xml:space="preserve">         21.36亿</t>
  </si>
  <si>
    <t xml:space="preserve">         41.51亿</t>
  </si>
  <si>
    <t>0.390㈢</t>
  </si>
  <si>
    <t>北玻股份</t>
  </si>
  <si>
    <t xml:space="preserve">         10.16亿</t>
  </si>
  <si>
    <t xml:space="preserve">   0.63㈢</t>
  </si>
  <si>
    <t>奥佳华</t>
  </si>
  <si>
    <t xml:space="preserve">         35.57亿</t>
  </si>
  <si>
    <t xml:space="preserve">         59.33亿</t>
  </si>
  <si>
    <t xml:space="preserve">         27.75亿</t>
  </si>
  <si>
    <t>哈尔斯</t>
  </si>
  <si>
    <t xml:space="preserve">          8.17亿</t>
  </si>
  <si>
    <t>长青集团</t>
  </si>
  <si>
    <t xml:space="preserve">         35.93亿</t>
  </si>
  <si>
    <t xml:space="preserve">         58.02亿</t>
  </si>
  <si>
    <t>7.98万</t>
  </si>
  <si>
    <t>0.261㈢</t>
  </si>
  <si>
    <t xml:space="preserve">   8.39㈢</t>
  </si>
  <si>
    <t>露笑科技</t>
  </si>
  <si>
    <t xml:space="preserve">         58.36亿</t>
  </si>
  <si>
    <t xml:space="preserve">         82.78亿</t>
  </si>
  <si>
    <t xml:space="preserve">         40.04亿</t>
  </si>
  <si>
    <t>11.03万</t>
  </si>
  <si>
    <t xml:space="preserve">   7.23㈢</t>
  </si>
  <si>
    <t>丹邦科技</t>
  </si>
  <si>
    <t xml:space="preserve">         46.19亿</t>
  </si>
  <si>
    <t>艾格拉斯</t>
  </si>
  <si>
    <t xml:space="preserve">         45.04亿</t>
  </si>
  <si>
    <t xml:space="preserve">         58.48亿</t>
  </si>
  <si>
    <t xml:space="preserve">         29.56亿</t>
  </si>
  <si>
    <t>瑞和股份</t>
  </si>
  <si>
    <t xml:space="preserve">         18.34亿</t>
  </si>
  <si>
    <t xml:space="preserve">         22.87亿</t>
  </si>
  <si>
    <t xml:space="preserve">   6.13㈢</t>
  </si>
  <si>
    <t>美吉姆</t>
  </si>
  <si>
    <t xml:space="preserve">         60.47亿</t>
  </si>
  <si>
    <t xml:space="preserve">         65.65亿</t>
  </si>
  <si>
    <t xml:space="preserve">         24.71亿</t>
  </si>
  <si>
    <t xml:space="preserve">   6.47㈢</t>
  </si>
  <si>
    <t>融钰集团</t>
  </si>
  <si>
    <t xml:space="preserve">         29.40亿</t>
  </si>
  <si>
    <t>-0.017㈢</t>
  </si>
  <si>
    <t xml:space="preserve">  -1.12㈢</t>
  </si>
  <si>
    <t>亚玛顿</t>
  </si>
  <si>
    <t xml:space="preserve">         36.14亿</t>
  </si>
  <si>
    <t xml:space="preserve">         17.42亿</t>
  </si>
  <si>
    <t>8.97万</t>
  </si>
  <si>
    <t xml:space="preserve">   0.08㈢</t>
  </si>
  <si>
    <t>完美世界</t>
  </si>
  <si>
    <t xml:space="preserve">        514.55亿</t>
  </si>
  <si>
    <t xml:space="preserve">        573.44亿</t>
  </si>
  <si>
    <t xml:space="preserve">        220.34亿</t>
  </si>
  <si>
    <t>112.51万</t>
  </si>
  <si>
    <t>1.141㈢</t>
  </si>
  <si>
    <t xml:space="preserve">  15.47㈢</t>
  </si>
  <si>
    <t>光启技术</t>
  </si>
  <si>
    <t xml:space="preserve">         47.10亿</t>
  </si>
  <si>
    <t xml:space="preserve">        198.65亿</t>
  </si>
  <si>
    <t xml:space="preserve">         31.71亿</t>
  </si>
  <si>
    <t>8.44万</t>
  </si>
  <si>
    <t xml:space="preserve">   1.00㈢</t>
  </si>
  <si>
    <t>金达威</t>
  </si>
  <si>
    <t xml:space="preserve">        119.76亿</t>
  </si>
  <si>
    <t xml:space="preserve">        119.78亿</t>
  </si>
  <si>
    <t xml:space="preserve">         43.30亿</t>
  </si>
  <si>
    <t>25.52万</t>
  </si>
  <si>
    <t>0.857㈢</t>
  </si>
  <si>
    <t xml:space="preserve">  17.47㈢</t>
  </si>
  <si>
    <t>宜昌交运</t>
  </si>
  <si>
    <t>公共交通</t>
  </si>
  <si>
    <t xml:space="preserve">         34.90亿</t>
  </si>
  <si>
    <t>19.02万</t>
  </si>
  <si>
    <t xml:space="preserve">   4.98㈢</t>
  </si>
  <si>
    <t>成都路桥</t>
  </si>
  <si>
    <t xml:space="preserve">         32.68亿</t>
  </si>
  <si>
    <t>*ST仁智</t>
  </si>
  <si>
    <t xml:space="preserve">          9.92亿</t>
  </si>
  <si>
    <t xml:space="preserve">         11.86亿</t>
  </si>
  <si>
    <t xml:space="preserve">          9.52亿</t>
  </si>
  <si>
    <t xml:space="preserve"> -80.05㈢</t>
  </si>
  <si>
    <t>华西能源</t>
  </si>
  <si>
    <t xml:space="preserve">         23.41亿</t>
  </si>
  <si>
    <t>3.27万</t>
  </si>
  <si>
    <t xml:space="preserve">   1.20㈢</t>
  </si>
  <si>
    <t>德尔未来</t>
  </si>
  <si>
    <t xml:space="preserve">         53.84亿</t>
  </si>
  <si>
    <t xml:space="preserve">         55.26亿</t>
  </si>
  <si>
    <t>道明光学</t>
  </si>
  <si>
    <t xml:space="preserve">         42.26亿</t>
  </si>
  <si>
    <t xml:space="preserve">         45.72亿</t>
  </si>
  <si>
    <t xml:space="preserve">         18.83亿</t>
  </si>
  <si>
    <t>6.77万</t>
  </si>
  <si>
    <t>申科股份</t>
  </si>
  <si>
    <t xml:space="preserve">         12.67亿</t>
  </si>
  <si>
    <t xml:space="preserve">          5.67亿</t>
  </si>
  <si>
    <t>6.12万</t>
  </si>
  <si>
    <t xml:space="preserve">  -2.02㈢</t>
  </si>
  <si>
    <t>棒杰股份</t>
  </si>
  <si>
    <t xml:space="preserve">         32.15亿</t>
  </si>
  <si>
    <t xml:space="preserve">         14.37亿</t>
  </si>
  <si>
    <t>7.33万</t>
  </si>
  <si>
    <t xml:space="preserve">   4.79㈢</t>
  </si>
  <si>
    <t>安洁科技</t>
  </si>
  <si>
    <t xml:space="preserve">        117.58亿</t>
  </si>
  <si>
    <t>8.08万</t>
  </si>
  <si>
    <t>金安国纪</t>
  </si>
  <si>
    <t xml:space="preserve">         62.97亿</t>
  </si>
  <si>
    <t>赞宇科技</t>
  </si>
  <si>
    <t xml:space="preserve">         37.96亿</t>
  </si>
  <si>
    <t xml:space="preserve">         43.03亿</t>
  </si>
  <si>
    <t>13.60万</t>
  </si>
  <si>
    <t>0.557㈢</t>
  </si>
  <si>
    <t xml:space="preserve">   9.18㈢</t>
  </si>
  <si>
    <t>勤上股份</t>
  </si>
  <si>
    <t xml:space="preserve">         53.76亿</t>
  </si>
  <si>
    <t>雪人股份</t>
  </si>
  <si>
    <t xml:space="preserve">         44.80亿</t>
  </si>
  <si>
    <t xml:space="preserve">         56.76亿</t>
  </si>
  <si>
    <t xml:space="preserve">         40.03亿</t>
  </si>
  <si>
    <t>0.083㈢</t>
  </si>
  <si>
    <t xml:space="preserve">   2.43㈢</t>
  </si>
  <si>
    <t>跨境通</t>
  </si>
  <si>
    <t xml:space="preserve">         82.38亿</t>
  </si>
  <si>
    <t xml:space="preserve">        114.36亿</t>
  </si>
  <si>
    <t xml:space="preserve">         67.42亿</t>
  </si>
  <si>
    <t>0.451㈢</t>
  </si>
  <si>
    <t>永高股份</t>
  </si>
  <si>
    <t xml:space="preserve">         42.15亿</t>
  </si>
  <si>
    <t xml:space="preserve">         52.00亿</t>
  </si>
  <si>
    <t xml:space="preserve">         14.32亿</t>
  </si>
  <si>
    <t xml:space="preserve">  10.22㈢</t>
  </si>
  <si>
    <t>*ST荣联</t>
  </si>
  <si>
    <t xml:space="preserve">         32.23亿</t>
  </si>
  <si>
    <t xml:space="preserve">         40.95亿</t>
  </si>
  <si>
    <t xml:space="preserve">         23.63亿</t>
  </si>
  <si>
    <t>万润股份</t>
  </si>
  <si>
    <t xml:space="preserve">        135.55亿</t>
  </si>
  <si>
    <t xml:space="preserve">         73.07亿</t>
  </si>
  <si>
    <t>30.03万</t>
  </si>
  <si>
    <t xml:space="preserve">   7.80㈢</t>
  </si>
  <si>
    <t>佛慈制药</t>
  </si>
  <si>
    <t xml:space="preserve">         36.21亿</t>
  </si>
  <si>
    <t xml:space="preserve">   4.84㈢</t>
  </si>
  <si>
    <t>华宏科技</t>
  </si>
  <si>
    <t xml:space="preserve">         32.60亿</t>
  </si>
  <si>
    <t xml:space="preserve">         38.14亿</t>
  </si>
  <si>
    <t xml:space="preserve">         10.51亿</t>
  </si>
  <si>
    <t xml:space="preserve">   7.77㈢</t>
  </si>
  <si>
    <t>青青稞酒</t>
  </si>
  <si>
    <t xml:space="preserve">         47.73亿</t>
  </si>
  <si>
    <t xml:space="preserve">         47.74亿</t>
  </si>
  <si>
    <t>0.061㈢</t>
  </si>
  <si>
    <t xml:space="preserve">   1.16㈢</t>
  </si>
  <si>
    <t>仁东控股</t>
  </si>
  <si>
    <t xml:space="preserve">        115.74亿</t>
  </si>
  <si>
    <t xml:space="preserve">         38.28亿</t>
  </si>
  <si>
    <t>66.85万</t>
  </si>
  <si>
    <t>卫星石化</t>
  </si>
  <si>
    <t xml:space="preserve">        164.97亿</t>
  </si>
  <si>
    <t xml:space="preserve">        169.34亿</t>
  </si>
  <si>
    <t xml:space="preserve">         70.74亿</t>
  </si>
  <si>
    <t>19.52万</t>
  </si>
  <si>
    <t>0.865㈢</t>
  </si>
  <si>
    <t xml:space="preserve">  10.36㈢</t>
  </si>
  <si>
    <t>博彦科技</t>
  </si>
  <si>
    <t xml:space="preserve">         40.55亿</t>
  </si>
  <si>
    <t xml:space="preserve">         50.21亿</t>
  </si>
  <si>
    <t xml:space="preserve">         37.35亿</t>
  </si>
  <si>
    <t>9.38万</t>
  </si>
  <si>
    <t>0.386㈢</t>
  </si>
  <si>
    <t xml:space="preserve">   7.46㈢</t>
  </si>
  <si>
    <t>加加食品</t>
  </si>
  <si>
    <t xml:space="preserve">         33.50亿</t>
  </si>
  <si>
    <t xml:space="preserve">         40.78亿</t>
  </si>
  <si>
    <t>5.42万</t>
  </si>
  <si>
    <t>利君股份</t>
  </si>
  <si>
    <t xml:space="preserve">         25.57亿</t>
  </si>
  <si>
    <t>2.90万</t>
  </si>
  <si>
    <t xml:space="preserve">   5.01㈢</t>
  </si>
  <si>
    <t>扬子新材</t>
  </si>
  <si>
    <t xml:space="preserve">         17.44亿</t>
  </si>
  <si>
    <t xml:space="preserve">         19.97亿</t>
  </si>
  <si>
    <t xml:space="preserve">          9.13亿</t>
  </si>
  <si>
    <t xml:space="preserve">   1.63㈢</t>
  </si>
  <si>
    <t>海思科</t>
  </si>
  <si>
    <t xml:space="preserve">         98.04亿</t>
  </si>
  <si>
    <t xml:space="preserve">        219.25亿</t>
  </si>
  <si>
    <t>16.20万</t>
  </si>
  <si>
    <t xml:space="preserve">  17.15㈢</t>
  </si>
  <si>
    <t>万润科技</t>
  </si>
  <si>
    <t>共达电声</t>
  </si>
  <si>
    <t xml:space="preserve">         52.09亿</t>
  </si>
  <si>
    <t xml:space="preserve">         44.14亿</t>
  </si>
  <si>
    <t>13.84万</t>
  </si>
  <si>
    <t xml:space="preserve">   3.26㈢</t>
  </si>
  <si>
    <t>摩登大道</t>
  </si>
  <si>
    <t>-0.035㈢</t>
  </si>
  <si>
    <t>中科金财</t>
  </si>
  <si>
    <t xml:space="preserve">         51.11亿</t>
  </si>
  <si>
    <t xml:space="preserve">         61.14亿</t>
  </si>
  <si>
    <t xml:space="preserve">         47.34亿</t>
  </si>
  <si>
    <t>0.297㈢</t>
  </si>
  <si>
    <t>雪迪龙</t>
  </si>
  <si>
    <t xml:space="preserve">         46.46亿</t>
  </si>
  <si>
    <t xml:space="preserve">         15.42亿</t>
  </si>
  <si>
    <t>0.161㈢</t>
  </si>
  <si>
    <t>凯文教育</t>
  </si>
  <si>
    <t xml:space="preserve">         30.46亿</t>
  </si>
  <si>
    <t>15.15万</t>
  </si>
  <si>
    <t>-0.156㈢</t>
  </si>
  <si>
    <t xml:space="preserve">  -3.82㈢</t>
  </si>
  <si>
    <t>茂硕电源</t>
  </si>
  <si>
    <t xml:space="preserve">         23.81亿</t>
  </si>
  <si>
    <t xml:space="preserve">         15.00亿</t>
  </si>
  <si>
    <t>克明面业</t>
  </si>
  <si>
    <t xml:space="preserve">         36.76亿</t>
  </si>
  <si>
    <t>12.28万</t>
  </si>
  <si>
    <t xml:space="preserve">   5.96㈢</t>
  </si>
  <si>
    <t>京威股份</t>
  </si>
  <si>
    <t xml:space="preserve">         38.95亿</t>
  </si>
  <si>
    <t xml:space="preserve">         40.05亿</t>
  </si>
  <si>
    <t xml:space="preserve">  -3.83㈢</t>
  </si>
  <si>
    <t>普邦股份</t>
  </si>
  <si>
    <t xml:space="preserve">         36.16亿</t>
  </si>
  <si>
    <t xml:space="preserve">         50.64亿</t>
  </si>
  <si>
    <t xml:space="preserve">         31.77亿</t>
  </si>
  <si>
    <t>0.058㈢</t>
  </si>
  <si>
    <t xml:space="preserve">   1.99㈢</t>
  </si>
  <si>
    <t>长鹰信质</t>
  </si>
  <si>
    <t xml:space="preserve">         54.45亿</t>
  </si>
  <si>
    <t xml:space="preserve">         62.24亿</t>
  </si>
  <si>
    <t xml:space="preserve">         26.28亿</t>
  </si>
  <si>
    <t>13.18万</t>
  </si>
  <si>
    <t>0.546㈢</t>
  </si>
  <si>
    <t>首航节能</t>
  </si>
  <si>
    <t xml:space="preserve">         77.17亿</t>
  </si>
  <si>
    <t xml:space="preserve">         86.82亿</t>
  </si>
  <si>
    <t xml:space="preserve">         58.76亿</t>
  </si>
  <si>
    <t>9.32万</t>
  </si>
  <si>
    <t>德联集团</t>
  </si>
  <si>
    <t xml:space="preserve">         20.57亿</t>
  </si>
  <si>
    <t xml:space="preserve">         34.93亿</t>
  </si>
  <si>
    <t xml:space="preserve">         16.12亿</t>
  </si>
  <si>
    <t>鞍重股份</t>
  </si>
  <si>
    <t xml:space="preserve">         11.36亿</t>
  </si>
  <si>
    <t xml:space="preserve">          7.71亿</t>
  </si>
  <si>
    <t>6.27万</t>
  </si>
  <si>
    <t>奥马电器</t>
  </si>
  <si>
    <t xml:space="preserve">         62.66亿</t>
  </si>
  <si>
    <t xml:space="preserve">  11.30㈢</t>
  </si>
  <si>
    <t>康达新材</t>
  </si>
  <si>
    <t xml:space="preserve">         31.36亿</t>
  </si>
  <si>
    <t xml:space="preserve">         21.34亿</t>
  </si>
  <si>
    <t>10.89万</t>
  </si>
  <si>
    <t xml:space="preserve">   4.33㈢</t>
  </si>
  <si>
    <t>国盛金控</t>
  </si>
  <si>
    <t xml:space="preserve">        190.20亿</t>
  </si>
  <si>
    <t xml:space="preserve">        226.79亿</t>
  </si>
  <si>
    <t xml:space="preserve">         71.79亿</t>
  </si>
  <si>
    <t>15.02万</t>
  </si>
  <si>
    <t>龙泉股份</t>
  </si>
  <si>
    <t xml:space="preserve">         21.17亿</t>
  </si>
  <si>
    <t xml:space="preserve">         13.75亿</t>
  </si>
  <si>
    <t>-0.005㈢</t>
  </si>
  <si>
    <t>东江环保</t>
  </si>
  <si>
    <t xml:space="preserve">         60.51亿</t>
  </si>
  <si>
    <t xml:space="preserve">         35.33亿</t>
  </si>
  <si>
    <t>0.378㈢</t>
  </si>
  <si>
    <t>西部证券</t>
  </si>
  <si>
    <t xml:space="preserve">        331.27亿</t>
  </si>
  <si>
    <t xml:space="preserve">        157.91亿</t>
  </si>
  <si>
    <t>兴业科技</t>
  </si>
  <si>
    <t xml:space="preserve">         33.53亿</t>
  </si>
  <si>
    <t xml:space="preserve">         33.86亿</t>
  </si>
  <si>
    <t xml:space="preserve">         12.50亿</t>
  </si>
  <si>
    <t>14.58万</t>
  </si>
  <si>
    <t>东诚药业</t>
  </si>
  <si>
    <t xml:space="preserve">        101.95亿</t>
  </si>
  <si>
    <t xml:space="preserve">        123.54亿</t>
  </si>
  <si>
    <t xml:space="preserve">         74.60亿</t>
  </si>
  <si>
    <t>29.81万</t>
  </si>
  <si>
    <t xml:space="preserve">   6.27㈢</t>
  </si>
  <si>
    <t>顺威股份</t>
  </si>
  <si>
    <t xml:space="preserve">          7.63亿</t>
  </si>
  <si>
    <t>浙江美大</t>
  </si>
  <si>
    <t xml:space="preserve">         41.27亿</t>
  </si>
  <si>
    <t xml:space="preserve">         85.08亿</t>
  </si>
  <si>
    <t xml:space="preserve">         28.38亿</t>
  </si>
  <si>
    <t>11.56万</t>
  </si>
  <si>
    <t>0.471㈢</t>
  </si>
  <si>
    <t xml:space="preserve">  22.49㈢</t>
  </si>
  <si>
    <t>珠江钢琴</t>
  </si>
  <si>
    <t xml:space="preserve">        106.93亿</t>
  </si>
  <si>
    <t xml:space="preserve">        107.04亿</t>
  </si>
  <si>
    <t>11.01万</t>
  </si>
  <si>
    <t>福建金森</t>
  </si>
  <si>
    <t xml:space="preserve">         11.30亿</t>
  </si>
  <si>
    <t>13.70万</t>
  </si>
  <si>
    <t xml:space="preserve">   1.11㈢</t>
  </si>
  <si>
    <t>奋达科技</t>
  </si>
  <si>
    <t xml:space="preserve">         65.42亿</t>
  </si>
  <si>
    <t xml:space="preserve">        123.22亿</t>
  </si>
  <si>
    <t>6.03万</t>
  </si>
  <si>
    <t>龙洲股份</t>
  </si>
  <si>
    <t xml:space="preserve">         19.50亿</t>
  </si>
  <si>
    <t xml:space="preserve">         13.31亿</t>
  </si>
  <si>
    <t>5.41万</t>
  </si>
  <si>
    <t xml:space="preserve">   2.05㈢</t>
  </si>
  <si>
    <t>宏大爆破</t>
  </si>
  <si>
    <t xml:space="preserve">        108.49亿</t>
  </si>
  <si>
    <t xml:space="preserve">        126.29亿</t>
  </si>
  <si>
    <t xml:space="preserve">         69.98亿</t>
  </si>
  <si>
    <t>38.91万</t>
  </si>
  <si>
    <t xml:space="preserve">   6.85㈢</t>
  </si>
  <si>
    <t>*ST猛狮</t>
  </si>
  <si>
    <t xml:space="preserve">         25.54亿</t>
  </si>
  <si>
    <t xml:space="preserve">         35.91亿</t>
  </si>
  <si>
    <t>-1.277㈢</t>
  </si>
  <si>
    <t>华东重机</t>
  </si>
  <si>
    <t xml:space="preserve">         52.56亿</t>
  </si>
  <si>
    <t xml:space="preserve">         68.72亿</t>
  </si>
  <si>
    <t>亿利达</t>
  </si>
  <si>
    <t xml:space="preserve">         21.37亿</t>
  </si>
  <si>
    <t xml:space="preserve">         27.31亿</t>
  </si>
  <si>
    <t xml:space="preserve">         13.13亿</t>
  </si>
  <si>
    <t xml:space="preserve">   1.51㈢</t>
  </si>
  <si>
    <t>乔治白</t>
  </si>
  <si>
    <t xml:space="preserve">         16.92亿</t>
  </si>
  <si>
    <t xml:space="preserve">         20.16亿</t>
  </si>
  <si>
    <t xml:space="preserve">         12.29亿</t>
  </si>
  <si>
    <t>0.224㈢</t>
  </si>
  <si>
    <t>金河生物</t>
  </si>
  <si>
    <t xml:space="preserve">         18.44亿</t>
  </si>
  <si>
    <t>5.23万</t>
  </si>
  <si>
    <t>远大智能</t>
  </si>
  <si>
    <t xml:space="preserve">         37.68亿</t>
  </si>
  <si>
    <t xml:space="preserve">         15.72亿</t>
  </si>
  <si>
    <t xml:space="preserve">  -3.74㈢</t>
  </si>
  <si>
    <t>美亚光电</t>
  </si>
  <si>
    <t xml:space="preserve">        124.79亿</t>
  </si>
  <si>
    <t xml:space="preserve">        257.29亿</t>
  </si>
  <si>
    <t xml:space="preserve">         85.27亿</t>
  </si>
  <si>
    <t>49.61万</t>
  </si>
  <si>
    <t>0.594㈢</t>
  </si>
  <si>
    <t xml:space="preserve">  17.92㈢</t>
  </si>
  <si>
    <t>冀凯股份</t>
  </si>
  <si>
    <t xml:space="preserve">          5.72亿</t>
  </si>
  <si>
    <t>ST远程</t>
  </si>
  <si>
    <t xml:space="preserve">         12.83亿</t>
  </si>
  <si>
    <t>5.91万</t>
  </si>
  <si>
    <t xml:space="preserve">  -6.84㈢</t>
  </si>
  <si>
    <t>双成药业</t>
  </si>
  <si>
    <t xml:space="preserve">         18.23亿</t>
  </si>
  <si>
    <t xml:space="preserve">          8.95亿</t>
  </si>
  <si>
    <t>2.83万</t>
  </si>
  <si>
    <t>-0.053㈢</t>
  </si>
  <si>
    <t xml:space="preserve">  -4.32㈢</t>
  </si>
  <si>
    <t>顾地科技</t>
  </si>
  <si>
    <t xml:space="preserve">          9.64亿</t>
  </si>
  <si>
    <t>煌上煌</t>
  </si>
  <si>
    <t xml:space="preserve">         73.17亿</t>
  </si>
  <si>
    <t xml:space="preserve">         82.23亿</t>
  </si>
  <si>
    <t xml:space="preserve">         28.60亿</t>
  </si>
  <si>
    <t>0.411㈢</t>
  </si>
  <si>
    <t xml:space="preserve">  10.15㈢</t>
  </si>
  <si>
    <t>百洋股份</t>
  </si>
  <si>
    <t xml:space="preserve">         11.14亿</t>
  </si>
  <si>
    <t xml:space="preserve">         24.07亿</t>
  </si>
  <si>
    <t>红旗连锁</t>
  </si>
  <si>
    <t xml:space="preserve">         81.08亿</t>
  </si>
  <si>
    <t xml:space="preserve">        102.27亿</t>
  </si>
  <si>
    <t xml:space="preserve">         45.27亿</t>
  </si>
  <si>
    <t>10.62万</t>
  </si>
  <si>
    <t>0.299㈢</t>
  </si>
  <si>
    <t xml:space="preserve">  13.78㈢</t>
  </si>
  <si>
    <t>博实股份</t>
  </si>
  <si>
    <t xml:space="preserve">        107.88亿</t>
  </si>
  <si>
    <t xml:space="preserve">         41.01亿</t>
  </si>
  <si>
    <t>15.05万</t>
  </si>
  <si>
    <t xml:space="preserve">  11.25㈢</t>
  </si>
  <si>
    <t>美盛文化</t>
  </si>
  <si>
    <t xml:space="preserve">         62.21亿</t>
  </si>
  <si>
    <t xml:space="preserve">         21.81亿</t>
  </si>
  <si>
    <t>7.55万</t>
  </si>
  <si>
    <t>新疆浩源</t>
  </si>
  <si>
    <t xml:space="preserve">         23.36亿</t>
  </si>
  <si>
    <t xml:space="preserve">         31.51亿</t>
  </si>
  <si>
    <t>0.136㈢</t>
  </si>
  <si>
    <t xml:space="preserve">   5.42㈢</t>
  </si>
  <si>
    <t>奥瑞金</t>
  </si>
  <si>
    <t xml:space="preserve">        101.18亿</t>
  </si>
  <si>
    <t xml:space="preserve">        102.22亿</t>
  </si>
  <si>
    <t xml:space="preserve">         51.90亿</t>
  </si>
  <si>
    <t>9.25万</t>
  </si>
  <si>
    <t xml:space="preserve">  11.80㈢</t>
  </si>
  <si>
    <t>海欣食品</t>
  </si>
  <si>
    <t xml:space="preserve">         11.15亿</t>
  </si>
  <si>
    <t>2.42万</t>
  </si>
  <si>
    <t>浙江世宝</t>
  </si>
  <si>
    <t xml:space="preserve">         27.15亿</t>
  </si>
  <si>
    <t xml:space="preserve">          9.70亿</t>
  </si>
  <si>
    <t xml:space="preserve">  -2.41㈢</t>
  </si>
  <si>
    <t>新宝股份</t>
  </si>
  <si>
    <t xml:space="preserve">        126.40亿</t>
  </si>
  <si>
    <t xml:space="preserve">        127.27亿</t>
  </si>
  <si>
    <t xml:space="preserve">         39.23亿</t>
  </si>
  <si>
    <t>35.20万</t>
  </si>
  <si>
    <t>0.647㈢</t>
  </si>
  <si>
    <t xml:space="preserve">  12.56㈢</t>
  </si>
  <si>
    <t>良信电器</t>
  </si>
  <si>
    <t xml:space="preserve">         49.65亿</t>
  </si>
  <si>
    <t xml:space="preserve">         66.26亿</t>
  </si>
  <si>
    <t xml:space="preserve">         41.80亿</t>
  </si>
  <si>
    <t>28.68万</t>
  </si>
  <si>
    <t>0.322㈢</t>
  </si>
  <si>
    <t xml:space="preserve">  14.18㈢</t>
  </si>
  <si>
    <t>众信旅游</t>
  </si>
  <si>
    <t xml:space="preserve">         33.92亿</t>
  </si>
  <si>
    <t xml:space="preserve">         56.18亿</t>
  </si>
  <si>
    <t xml:space="preserve">         28.77亿</t>
  </si>
  <si>
    <t xml:space="preserve">   4.69㈢</t>
  </si>
  <si>
    <t>光洋股份</t>
  </si>
  <si>
    <t xml:space="preserve">   0.30㈢</t>
  </si>
  <si>
    <t>天赐材料</t>
  </si>
  <si>
    <t xml:space="preserve">        113.50亿</t>
  </si>
  <si>
    <t xml:space="preserve">         54.01亿</t>
  </si>
  <si>
    <t>*ST欧浦</t>
  </si>
  <si>
    <t xml:space="preserve">         14.74亿</t>
  </si>
  <si>
    <t xml:space="preserve">         14.78亿</t>
  </si>
  <si>
    <t>1.86万</t>
  </si>
  <si>
    <t>-0.085㈢</t>
  </si>
  <si>
    <t>思美传媒</t>
  </si>
  <si>
    <t xml:space="preserve">         30.53亿</t>
  </si>
  <si>
    <t xml:space="preserve">         47.25亿</t>
  </si>
  <si>
    <t xml:space="preserve">         21.52亿</t>
  </si>
  <si>
    <t>10.29万</t>
  </si>
  <si>
    <t>东易日盛</t>
  </si>
  <si>
    <t xml:space="preserve">         28.21亿</t>
  </si>
  <si>
    <t xml:space="preserve">         29.49亿</t>
  </si>
  <si>
    <t xml:space="preserve">          9.76亿</t>
  </si>
  <si>
    <t>6.37万</t>
  </si>
  <si>
    <t>-0.317㈢</t>
  </si>
  <si>
    <t xml:space="preserve"> -15.78㈢</t>
  </si>
  <si>
    <t>牧原股份</t>
  </si>
  <si>
    <t xml:space="preserve">        968.25亿</t>
  </si>
  <si>
    <t xml:space="preserve">       1793.73亿</t>
  </si>
  <si>
    <t xml:space="preserve">        589.18亿</t>
  </si>
  <si>
    <t>134.89万</t>
  </si>
  <si>
    <t>登云股份</t>
  </si>
  <si>
    <t xml:space="preserve">         15.69亿</t>
  </si>
  <si>
    <t xml:space="preserve">          8.24亿</t>
  </si>
  <si>
    <t>10.85万</t>
  </si>
  <si>
    <t xml:space="preserve">   0.77㈢</t>
  </si>
  <si>
    <t>ST金贵</t>
  </si>
  <si>
    <t xml:space="preserve">         19.11亿</t>
  </si>
  <si>
    <t xml:space="preserve">         18.91亿</t>
  </si>
  <si>
    <t>2.15万</t>
  </si>
  <si>
    <t>-1.650㈢</t>
  </si>
  <si>
    <t xml:space="preserve"> -74.41㈢</t>
  </si>
  <si>
    <t>岭南股份</t>
  </si>
  <si>
    <t xml:space="preserve">         49.40亿</t>
  </si>
  <si>
    <t xml:space="preserve">         71.63亿</t>
  </si>
  <si>
    <t xml:space="preserve">         43.07亿</t>
  </si>
  <si>
    <t>10.42万</t>
  </si>
  <si>
    <t>友邦吊顶</t>
  </si>
  <si>
    <t xml:space="preserve">         11.00亿</t>
  </si>
  <si>
    <t xml:space="preserve">         21.78亿</t>
  </si>
  <si>
    <t xml:space="preserve">          5.97亿</t>
  </si>
  <si>
    <t>7.97万</t>
  </si>
  <si>
    <t xml:space="preserve">   4.04㈢</t>
  </si>
  <si>
    <t>麦趣尔</t>
  </si>
  <si>
    <t xml:space="preserve">         17.48亿</t>
  </si>
  <si>
    <t xml:space="preserve">         18.81亿</t>
  </si>
  <si>
    <t xml:space="preserve">          7.55亿</t>
  </si>
  <si>
    <t>0.106㈢</t>
  </si>
  <si>
    <t>金一文化</t>
  </si>
  <si>
    <t xml:space="preserve">         36.51亿</t>
  </si>
  <si>
    <t xml:space="preserve">         24.12亿</t>
  </si>
  <si>
    <t xml:space="preserve">   1.46㈢</t>
  </si>
  <si>
    <t>金轮股份</t>
  </si>
  <si>
    <t xml:space="preserve">         27.13亿</t>
  </si>
  <si>
    <t xml:space="preserve">         27.64亿</t>
  </si>
  <si>
    <t xml:space="preserve">         13.44亿</t>
  </si>
  <si>
    <t>金莱特</t>
  </si>
  <si>
    <t xml:space="preserve">          6.19亿</t>
  </si>
  <si>
    <t>海洋王</t>
  </si>
  <si>
    <t xml:space="preserve">         23.25亿</t>
  </si>
  <si>
    <t xml:space="preserve">         50.40亿</t>
  </si>
  <si>
    <t>跃岭股份</t>
  </si>
  <si>
    <t xml:space="preserve">         24.70亿</t>
  </si>
  <si>
    <t xml:space="preserve">         10.79亿</t>
  </si>
  <si>
    <t>4.36万</t>
  </si>
  <si>
    <t>龙大肉食</t>
  </si>
  <si>
    <t xml:space="preserve">         67.43亿</t>
  </si>
  <si>
    <t xml:space="preserve">         67.67亿</t>
  </si>
  <si>
    <t xml:space="preserve">         22.42亿</t>
  </si>
  <si>
    <t>6.21万</t>
  </si>
  <si>
    <t xml:space="preserve">   6.90㈢</t>
  </si>
  <si>
    <t>一心堂</t>
  </si>
  <si>
    <t xml:space="preserve">         68.44亿</t>
  </si>
  <si>
    <t xml:space="preserve">        129.45亿</t>
  </si>
  <si>
    <t xml:space="preserve">         53.06亿</t>
  </si>
  <si>
    <t>23.51万</t>
  </si>
  <si>
    <t>0.853㈢</t>
  </si>
  <si>
    <t>特一药业</t>
  </si>
  <si>
    <t xml:space="preserve">         20.20亿</t>
  </si>
  <si>
    <t xml:space="preserve">         33.87亿</t>
  </si>
  <si>
    <t xml:space="preserve">         12.77亿</t>
  </si>
  <si>
    <t>8.23万</t>
  </si>
  <si>
    <t xml:space="preserve">  12.03㈢</t>
  </si>
  <si>
    <t>好利来</t>
  </si>
  <si>
    <t xml:space="preserve">          9.86亿</t>
  </si>
  <si>
    <t>19.54万</t>
  </si>
  <si>
    <t>电光科技</t>
  </si>
  <si>
    <t xml:space="preserve">         23.53亿</t>
  </si>
  <si>
    <t xml:space="preserve">         26.14亿</t>
  </si>
  <si>
    <t xml:space="preserve">   6.05㈢</t>
  </si>
  <si>
    <t>萃华珠宝</t>
  </si>
  <si>
    <t xml:space="preserve">         16.78亿</t>
  </si>
  <si>
    <t xml:space="preserve">          9.37亿</t>
  </si>
  <si>
    <t xml:space="preserve">   1.89㈢</t>
  </si>
  <si>
    <t>燕塘乳业</t>
  </si>
  <si>
    <t xml:space="preserve">         34.08亿</t>
  </si>
  <si>
    <t xml:space="preserve">         14.03亿</t>
  </si>
  <si>
    <t>0.703㈢</t>
  </si>
  <si>
    <t xml:space="preserve">  11.15㈢</t>
  </si>
  <si>
    <t>雄韬股份</t>
  </si>
  <si>
    <t xml:space="preserve">         90.22亿</t>
  </si>
  <si>
    <t xml:space="preserve">         96.53亿</t>
  </si>
  <si>
    <t xml:space="preserve">         46.03亿</t>
  </si>
  <si>
    <t>11.31万</t>
  </si>
  <si>
    <t xml:space="preserve">   6.22㈢</t>
  </si>
  <si>
    <t>利民股份</t>
  </si>
  <si>
    <t xml:space="preserve">         38.34亿</t>
  </si>
  <si>
    <t xml:space="preserve">         24.10亿</t>
  </si>
  <si>
    <t>1.000㈢</t>
  </si>
  <si>
    <t xml:space="preserve">  14.17㈢</t>
  </si>
  <si>
    <t>王子新材</t>
  </si>
  <si>
    <t xml:space="preserve">         13.73亿</t>
  </si>
  <si>
    <t xml:space="preserve">         25.81亿</t>
  </si>
  <si>
    <t xml:space="preserve">          8.54亿</t>
  </si>
  <si>
    <t>0.238㈢</t>
  </si>
  <si>
    <t>国信证券</t>
  </si>
  <si>
    <t xml:space="preserve">        988.92亿</t>
  </si>
  <si>
    <t xml:space="preserve">        242.84亿</t>
  </si>
  <si>
    <t>21.91万</t>
  </si>
  <si>
    <t>葵花药业</t>
  </si>
  <si>
    <t xml:space="preserve">         76.86亿</t>
  </si>
  <si>
    <t xml:space="preserve">         84.15亿</t>
  </si>
  <si>
    <t xml:space="preserve">         31.98亿</t>
  </si>
  <si>
    <t>8.25万</t>
  </si>
  <si>
    <t>0.639㈢</t>
  </si>
  <si>
    <t xml:space="preserve">  12.19㈢</t>
  </si>
  <si>
    <t>中矿资源</t>
  </si>
  <si>
    <t>14.01万</t>
  </si>
  <si>
    <t xml:space="preserve">   4.73㈢</t>
  </si>
  <si>
    <t>万达电影</t>
  </si>
  <si>
    <t xml:space="preserve">        315.08亿</t>
  </si>
  <si>
    <t xml:space="preserve">        371.83亿</t>
  </si>
  <si>
    <t xml:space="preserve">        123.27亿</t>
  </si>
  <si>
    <t>爱迪尔</t>
  </si>
  <si>
    <t xml:space="preserve">         11.64亿</t>
  </si>
  <si>
    <t xml:space="preserve">   1.85㈢</t>
  </si>
  <si>
    <t>光华科技</t>
  </si>
  <si>
    <t xml:space="preserve">         27.72亿</t>
  </si>
  <si>
    <t xml:space="preserve">         46.70亿</t>
  </si>
  <si>
    <t xml:space="preserve">         21.40亿</t>
  </si>
  <si>
    <t>三圣股份</t>
  </si>
  <si>
    <t xml:space="preserve">         15.97亿</t>
  </si>
  <si>
    <t xml:space="preserve">          8.76亿</t>
  </si>
  <si>
    <t xml:space="preserve">   5.24㈢</t>
  </si>
  <si>
    <t>富煌钢构</t>
  </si>
  <si>
    <t>4.94万</t>
  </si>
  <si>
    <t>木林森</t>
  </si>
  <si>
    <t xml:space="preserve">        101.39亿</t>
  </si>
  <si>
    <t xml:space="preserve">        176.89亿</t>
  </si>
  <si>
    <t xml:space="preserve">         49.57亿</t>
  </si>
  <si>
    <t>11.99万</t>
  </si>
  <si>
    <t>仙坛股份</t>
  </si>
  <si>
    <t xml:space="preserve">         56.65亿</t>
  </si>
  <si>
    <t xml:space="preserve">         32.32亿</t>
  </si>
  <si>
    <t>8.38万</t>
  </si>
  <si>
    <t>1.394㈢</t>
  </si>
  <si>
    <t xml:space="preserve">  21.99㈢</t>
  </si>
  <si>
    <t>埃斯顿</t>
  </si>
  <si>
    <t xml:space="preserve">         80.36亿</t>
  </si>
  <si>
    <t xml:space="preserve">         33.77亿</t>
  </si>
  <si>
    <t>世龙实业</t>
  </si>
  <si>
    <t xml:space="preserve">          6.39亿</t>
  </si>
  <si>
    <t>-0.050㈢</t>
  </si>
  <si>
    <t>国光股份</t>
  </si>
  <si>
    <t xml:space="preserve">         30.42亿</t>
  </si>
  <si>
    <t xml:space="preserve">         47.67亿</t>
  </si>
  <si>
    <t>16.78万</t>
  </si>
  <si>
    <t>0.486㈢</t>
  </si>
  <si>
    <t xml:space="preserve">  16.56㈢</t>
  </si>
  <si>
    <t>龙津药业</t>
  </si>
  <si>
    <t xml:space="preserve">         49.46亿</t>
  </si>
  <si>
    <t xml:space="preserve">         49.86亿</t>
  </si>
  <si>
    <t>易尚展示</t>
  </si>
  <si>
    <t xml:space="preserve">         40.77亿</t>
  </si>
  <si>
    <t xml:space="preserve">   3.49㈢</t>
  </si>
  <si>
    <t>昇兴股份</t>
  </si>
  <si>
    <t xml:space="preserve">         50.22亿</t>
  </si>
  <si>
    <t xml:space="preserve">         50.41亿</t>
  </si>
  <si>
    <t xml:space="preserve">         10.57亿</t>
  </si>
  <si>
    <t>永东股份</t>
  </si>
  <si>
    <t xml:space="preserve">         16.10亿</t>
  </si>
  <si>
    <t xml:space="preserve">          7.25亿</t>
  </si>
  <si>
    <t xml:space="preserve">   4.67㈢</t>
  </si>
  <si>
    <t>奥赛康</t>
  </si>
  <si>
    <t xml:space="preserve">         22.43亿</t>
  </si>
  <si>
    <t xml:space="preserve">        145.54亿</t>
  </si>
  <si>
    <t>0.632㈢</t>
  </si>
  <si>
    <t xml:space="preserve">  25.28㈢</t>
  </si>
  <si>
    <t>永兴材料</t>
  </si>
  <si>
    <t xml:space="preserve">         61.81亿</t>
  </si>
  <si>
    <t xml:space="preserve">         23.15亿</t>
  </si>
  <si>
    <t>1.003㈢</t>
  </si>
  <si>
    <t xml:space="preserve">  10.59㈢</t>
  </si>
  <si>
    <t>南兴股份</t>
  </si>
  <si>
    <t xml:space="preserve">         26.27亿</t>
  </si>
  <si>
    <t xml:space="preserve">         32.81亿</t>
  </si>
  <si>
    <t>0.753㈢</t>
  </si>
  <si>
    <t xml:space="preserve">   8.50㈢</t>
  </si>
  <si>
    <t>华通医药</t>
  </si>
  <si>
    <t xml:space="preserve">         22.23亿</t>
  </si>
  <si>
    <t>天际股份</t>
  </si>
  <si>
    <t xml:space="preserve">         36.19亿</t>
  </si>
  <si>
    <t xml:space="preserve">         10.94亿</t>
  </si>
  <si>
    <t>0.860㈢</t>
  </si>
  <si>
    <t>凤形股份</t>
  </si>
  <si>
    <t xml:space="preserve">         12.81亿</t>
  </si>
  <si>
    <t xml:space="preserve">         15.53亿</t>
  </si>
  <si>
    <t xml:space="preserve">          7.26亿</t>
  </si>
  <si>
    <t>7.96万</t>
  </si>
  <si>
    <t>0.459㈢</t>
  </si>
  <si>
    <t>多喜爱</t>
  </si>
  <si>
    <t xml:space="preserve">         40.34亿</t>
  </si>
  <si>
    <t xml:space="preserve">  -0.37㈢</t>
  </si>
  <si>
    <t>金发拉比</t>
  </si>
  <si>
    <t xml:space="preserve">         10.36亿</t>
  </si>
  <si>
    <t xml:space="preserve">          7.03亿</t>
  </si>
  <si>
    <t>汇洁股份</t>
  </si>
  <si>
    <t xml:space="preserve">         14.92亿</t>
  </si>
  <si>
    <t>0.560㈢</t>
  </si>
  <si>
    <t>蓝黛传动</t>
  </si>
  <si>
    <t xml:space="preserve">         13.10亿</t>
  </si>
  <si>
    <t>-0.150㈢</t>
  </si>
  <si>
    <t xml:space="preserve">  -4.29㈢</t>
  </si>
  <si>
    <t>*ST索菱</t>
  </si>
  <si>
    <t xml:space="preserve">         14.68亿</t>
  </si>
  <si>
    <t>-0.356㈢</t>
  </si>
  <si>
    <t xml:space="preserve"> -12.92㈢</t>
  </si>
  <si>
    <t>先锋电子</t>
  </si>
  <si>
    <t xml:space="preserve">         18.42亿</t>
  </si>
  <si>
    <t xml:space="preserve">         22.35亿</t>
  </si>
  <si>
    <t xml:space="preserve">          6.68亿</t>
  </si>
  <si>
    <t>5.70万</t>
  </si>
  <si>
    <t xml:space="preserve">   2.38㈢</t>
  </si>
  <si>
    <t>国恩股份</t>
  </si>
  <si>
    <t xml:space="preserve">         40.76亿</t>
  </si>
  <si>
    <t xml:space="preserve">         62.58亿</t>
  </si>
  <si>
    <t xml:space="preserve">         27.27亿</t>
  </si>
  <si>
    <t>0.925㈢</t>
  </si>
  <si>
    <t xml:space="preserve">  11.20㈢</t>
  </si>
  <si>
    <t>普路通</t>
  </si>
  <si>
    <t xml:space="preserve">         20.14亿</t>
  </si>
  <si>
    <t xml:space="preserve">         31.81亿</t>
  </si>
  <si>
    <t xml:space="preserve">         13.92亿</t>
  </si>
  <si>
    <t>科迪乳业</t>
  </si>
  <si>
    <t xml:space="preserve">         14.65亿</t>
  </si>
  <si>
    <t xml:space="preserve">         26.61亿</t>
  </si>
  <si>
    <t>2.62万</t>
  </si>
  <si>
    <t>真视通</t>
  </si>
  <si>
    <t>5.18万</t>
  </si>
  <si>
    <t xml:space="preserve">   2.37㈢</t>
  </si>
  <si>
    <t>众兴菌业</t>
  </si>
  <si>
    <t xml:space="preserve">         17.57亿</t>
  </si>
  <si>
    <t xml:space="preserve">         25.26亿</t>
  </si>
  <si>
    <t>康弘药业</t>
  </si>
  <si>
    <t xml:space="preserve">        221.79亿</t>
  </si>
  <si>
    <t xml:space="preserve">        312.59亿</t>
  </si>
  <si>
    <t xml:space="preserve">         91.03亿</t>
  </si>
  <si>
    <t>73.05万</t>
  </si>
  <si>
    <t>0.631㈢</t>
  </si>
  <si>
    <t xml:space="preserve">  12.40㈢</t>
  </si>
  <si>
    <t>快意电梯</t>
  </si>
  <si>
    <t xml:space="preserve">          6.78亿</t>
  </si>
  <si>
    <t>2.56万</t>
  </si>
  <si>
    <t>文科园林</t>
  </si>
  <si>
    <t xml:space="preserve">         23.86亿</t>
  </si>
  <si>
    <t xml:space="preserve">         16.55亿</t>
  </si>
  <si>
    <t>7.68万</t>
  </si>
  <si>
    <t>0.383㈢</t>
  </si>
  <si>
    <t>柏堡龙</t>
  </si>
  <si>
    <t xml:space="preserve">         26.10亿</t>
  </si>
  <si>
    <t xml:space="preserve">         41.37亿</t>
  </si>
  <si>
    <t xml:space="preserve">         19.94亿</t>
  </si>
  <si>
    <t>0.202㈢</t>
  </si>
  <si>
    <t xml:space="preserve">   4.55㈢</t>
  </si>
  <si>
    <t>久远银海</t>
  </si>
  <si>
    <t xml:space="preserve">         65.32亿</t>
  </si>
  <si>
    <t xml:space="preserve">         77.12亿</t>
  </si>
  <si>
    <t xml:space="preserve">         34.34亿</t>
  </si>
  <si>
    <t>33.05万</t>
  </si>
  <si>
    <t>0.376㈢</t>
  </si>
  <si>
    <t xml:space="preserve">   7.94㈢</t>
  </si>
  <si>
    <t>高科石化</t>
  </si>
  <si>
    <t xml:space="preserve">         12.00亿</t>
  </si>
  <si>
    <t xml:space="preserve">         18.47亿</t>
  </si>
  <si>
    <t xml:space="preserve">          8.28亿</t>
  </si>
  <si>
    <t>8.30万</t>
  </si>
  <si>
    <t>中坚科技</t>
  </si>
  <si>
    <t>三夫户外</t>
  </si>
  <si>
    <t xml:space="preserve">         17.36亿</t>
  </si>
  <si>
    <t>11.85万</t>
  </si>
  <si>
    <t xml:space="preserve">   0.17㈢</t>
  </si>
  <si>
    <t>奇信股份</t>
  </si>
  <si>
    <t xml:space="preserve">         33.55亿</t>
  </si>
  <si>
    <t xml:space="preserve">         37.19亿</t>
  </si>
  <si>
    <t>11.88万</t>
  </si>
  <si>
    <t>可立克</t>
  </si>
  <si>
    <t xml:space="preserve">         45.24亿</t>
  </si>
  <si>
    <t>2.97万</t>
  </si>
  <si>
    <t xml:space="preserve">   9.01㈢</t>
  </si>
  <si>
    <t>凯龙股份</t>
  </si>
  <si>
    <t xml:space="preserve">         29.26亿</t>
  </si>
  <si>
    <t>0.248㈢</t>
  </si>
  <si>
    <t>万里石</t>
  </si>
  <si>
    <t xml:space="preserve">         24.03亿</t>
  </si>
  <si>
    <t xml:space="preserve">         31.06亿</t>
  </si>
  <si>
    <t xml:space="preserve">         15.93亿</t>
  </si>
  <si>
    <t xml:space="preserve">   0.90㈢</t>
  </si>
  <si>
    <t>银宝山新</t>
  </si>
  <si>
    <t xml:space="preserve">         31.72亿</t>
  </si>
  <si>
    <t>2.61万</t>
  </si>
  <si>
    <t>-0.392㈢</t>
  </si>
  <si>
    <t xml:space="preserve"> -15.19㈢</t>
  </si>
  <si>
    <t>华源控股</t>
  </si>
  <si>
    <t xml:space="preserve">         11.83亿</t>
  </si>
  <si>
    <t xml:space="preserve">         22.02亿</t>
  </si>
  <si>
    <t xml:space="preserve">          9.01亿</t>
  </si>
  <si>
    <t xml:space="preserve">   2.87㈢</t>
  </si>
  <si>
    <t>鹭燕医药</t>
  </si>
  <si>
    <t xml:space="preserve">         25.20亿</t>
  </si>
  <si>
    <t xml:space="preserve">         25.92亿</t>
  </si>
  <si>
    <t>5.79万</t>
  </si>
  <si>
    <t>建艺集团</t>
  </si>
  <si>
    <t xml:space="preserve">         22.56亿</t>
  </si>
  <si>
    <t xml:space="preserve">         11.19亿</t>
  </si>
  <si>
    <t>9.27万</t>
  </si>
  <si>
    <t>0.593㈢</t>
  </si>
  <si>
    <t>瑞尔特</t>
  </si>
  <si>
    <t xml:space="preserve">         16.24亿</t>
  </si>
  <si>
    <t xml:space="preserve">         12.89亿</t>
  </si>
  <si>
    <t xml:space="preserve">   8.01㈢</t>
  </si>
  <si>
    <t>坚朗五金</t>
  </si>
  <si>
    <t xml:space="preserve">         46.87亿</t>
  </si>
  <si>
    <t xml:space="preserve">         93.54亿</t>
  </si>
  <si>
    <t>0.850㈢</t>
  </si>
  <si>
    <t xml:space="preserve">   9.30㈢</t>
  </si>
  <si>
    <t>通宇通讯</t>
  </si>
  <si>
    <t xml:space="preserve">         87.80亿</t>
  </si>
  <si>
    <t>8.02万</t>
  </si>
  <si>
    <t>东音股份</t>
  </si>
  <si>
    <t xml:space="preserve">         32.42亿</t>
  </si>
  <si>
    <t xml:space="preserve">         49.14亿</t>
  </si>
  <si>
    <t xml:space="preserve">         16.91亿</t>
  </si>
  <si>
    <t>8.57万</t>
  </si>
  <si>
    <t>永和智控</t>
  </si>
  <si>
    <t xml:space="preserve">          9.10亿</t>
  </si>
  <si>
    <t>4.19万</t>
  </si>
  <si>
    <t>0.285㈢</t>
  </si>
  <si>
    <t xml:space="preserve">   9.41㈢</t>
  </si>
  <si>
    <t>世嘉科技</t>
  </si>
  <si>
    <t xml:space="preserve">         59.81亿</t>
  </si>
  <si>
    <t>14.96万</t>
  </si>
  <si>
    <t>第一创业</t>
  </si>
  <si>
    <t xml:space="preserve">        282.64亿</t>
  </si>
  <si>
    <t xml:space="preserve">        166.78亿</t>
  </si>
  <si>
    <t>帝欧家居</t>
  </si>
  <si>
    <t xml:space="preserve">         92.74亿</t>
  </si>
  <si>
    <t>35.55万</t>
  </si>
  <si>
    <t xml:space="preserve">  12.25㈢</t>
  </si>
  <si>
    <t>环球印务</t>
  </si>
  <si>
    <t xml:space="preserve">          7.28亿</t>
  </si>
  <si>
    <t xml:space="preserve">   7.67㈢</t>
  </si>
  <si>
    <t>天顺股份</t>
  </si>
  <si>
    <t xml:space="preserve">         21.03亿</t>
  </si>
  <si>
    <t xml:space="preserve">         10.42亿</t>
  </si>
  <si>
    <t>4.92万</t>
  </si>
  <si>
    <t>0.357㈢</t>
  </si>
  <si>
    <t>微光股份</t>
  </si>
  <si>
    <t xml:space="preserve">         20.85亿</t>
  </si>
  <si>
    <t xml:space="preserve">         42.23亿</t>
  </si>
  <si>
    <t>12.45万</t>
  </si>
  <si>
    <t>1.054㈢</t>
  </si>
  <si>
    <t xml:space="preserve">  12.75㈢</t>
  </si>
  <si>
    <t>洪汇新材</t>
  </si>
  <si>
    <t xml:space="preserve">         12.16亿</t>
  </si>
  <si>
    <t xml:space="preserve">  11.33㈢</t>
  </si>
  <si>
    <t>吉宏股份</t>
  </si>
  <si>
    <t xml:space="preserve">         30.20亿</t>
  </si>
  <si>
    <t xml:space="preserve">         56.96亿</t>
  </si>
  <si>
    <t xml:space="preserve">         21.75亿</t>
  </si>
  <si>
    <t>19.73万</t>
  </si>
  <si>
    <t xml:space="preserve">  17.41㈢</t>
  </si>
  <si>
    <t>丰元股份</t>
  </si>
  <si>
    <t>0.121㈢</t>
  </si>
  <si>
    <t>华锋股份</t>
  </si>
  <si>
    <t xml:space="preserve">          7.92亿</t>
  </si>
  <si>
    <t>4.09万</t>
  </si>
  <si>
    <t xml:space="preserve">   0.27㈢</t>
  </si>
  <si>
    <t>江阴银行</t>
  </si>
  <si>
    <t xml:space="preserve">         98.82亿</t>
  </si>
  <si>
    <t xml:space="preserve">         99.48亿</t>
  </si>
  <si>
    <t>14.33万</t>
  </si>
  <si>
    <t xml:space="preserve">   5.62㈢</t>
  </si>
  <si>
    <t>恒久科技</t>
  </si>
  <si>
    <t xml:space="preserve">         26.05亿</t>
  </si>
  <si>
    <t xml:space="preserve">         12.10亿</t>
  </si>
  <si>
    <t>红墙股份</t>
  </si>
  <si>
    <t xml:space="preserve">         13.60亿</t>
  </si>
  <si>
    <t>山东赫达</t>
  </si>
  <si>
    <t xml:space="preserve">         37.05亿</t>
  </si>
  <si>
    <t>14.67万</t>
  </si>
  <si>
    <t>0.670㈢</t>
  </si>
  <si>
    <t xml:space="preserve">  14.08㈢</t>
  </si>
  <si>
    <t>亚泰国际</t>
  </si>
  <si>
    <t xml:space="preserve">         25.65亿</t>
  </si>
  <si>
    <t xml:space="preserve">          7.11亿</t>
  </si>
  <si>
    <t xml:space="preserve">   6.10㈢</t>
  </si>
  <si>
    <t>恩捷股份</t>
  </si>
  <si>
    <t xml:space="preserve">        260.56亿</t>
  </si>
  <si>
    <t xml:space="preserve">        402.69亿</t>
  </si>
  <si>
    <t xml:space="preserve">        158.51亿</t>
  </si>
  <si>
    <t>99.14万</t>
  </si>
  <si>
    <t>0.784㈢</t>
  </si>
  <si>
    <t xml:space="preserve">  14.67㈢</t>
  </si>
  <si>
    <t>路畅科技</t>
  </si>
  <si>
    <t xml:space="preserve">         13.06亿</t>
  </si>
  <si>
    <t xml:space="preserve">         29.02亿</t>
  </si>
  <si>
    <t xml:space="preserve">          9.29亿</t>
  </si>
  <si>
    <t>-0.573㈢</t>
  </si>
  <si>
    <t xml:space="preserve"> -11.68㈢</t>
  </si>
  <si>
    <t>崇达技术</t>
  </si>
  <si>
    <t xml:space="preserve">        153.11亿</t>
  </si>
  <si>
    <t xml:space="preserve">         47.11亿</t>
  </si>
  <si>
    <t>0.470㈢</t>
  </si>
  <si>
    <t>和科达</t>
  </si>
  <si>
    <t xml:space="preserve">         20.50亿</t>
  </si>
  <si>
    <t>16.53万</t>
  </si>
  <si>
    <t>-0.210㈢</t>
  </si>
  <si>
    <t xml:space="preserve">  -4.17㈢</t>
  </si>
  <si>
    <t>黄山胶囊</t>
  </si>
  <si>
    <t xml:space="preserve">         12.48亿</t>
  </si>
  <si>
    <t xml:space="preserve">         19.22亿</t>
  </si>
  <si>
    <t xml:space="preserve">          9.74亿</t>
  </si>
  <si>
    <t>0.362㈢</t>
  </si>
  <si>
    <t xml:space="preserve">   4.38㈢</t>
  </si>
  <si>
    <t>富森美</t>
  </si>
  <si>
    <t xml:space="preserve">         37.26亿</t>
  </si>
  <si>
    <t xml:space="preserve">         17.80亿</t>
  </si>
  <si>
    <t xml:space="preserve">  12.61㈢</t>
  </si>
  <si>
    <t>东方中科</t>
  </si>
  <si>
    <t xml:space="preserve">         35.47亿</t>
  </si>
  <si>
    <t xml:space="preserve">         40.16亿</t>
  </si>
  <si>
    <t xml:space="preserve">         15.96亿</t>
  </si>
  <si>
    <t>6.24万</t>
  </si>
  <si>
    <t xml:space="preserve">   7.76㈢</t>
  </si>
  <si>
    <t>桂发祥</t>
  </si>
  <si>
    <t xml:space="preserve">          8.37亿</t>
  </si>
  <si>
    <t>凯莱英</t>
  </si>
  <si>
    <t xml:space="preserve">        292.54亿</t>
  </si>
  <si>
    <t xml:space="preserve">        295.80亿</t>
  </si>
  <si>
    <t xml:space="preserve">        156.47亿</t>
  </si>
  <si>
    <t>123.13万</t>
  </si>
  <si>
    <t>1.600㈢</t>
  </si>
  <si>
    <t>中装建设</t>
  </si>
  <si>
    <t xml:space="preserve">         64.89亿</t>
  </si>
  <si>
    <t xml:space="preserve">         65.47亿</t>
  </si>
  <si>
    <t>0.304㈢</t>
  </si>
  <si>
    <t>凯中精密</t>
  </si>
  <si>
    <t xml:space="preserve">         14.02亿</t>
  </si>
  <si>
    <t>0.162㈢</t>
  </si>
  <si>
    <t>和胜股份</t>
  </si>
  <si>
    <t xml:space="preserve">          5.31亿</t>
  </si>
  <si>
    <t>3.23万</t>
  </si>
  <si>
    <t>纳尔股份</t>
  </si>
  <si>
    <t xml:space="preserve">          8.21亿</t>
  </si>
  <si>
    <t xml:space="preserve">         19.08亿</t>
  </si>
  <si>
    <t xml:space="preserve">          5.60亿</t>
  </si>
  <si>
    <t>易明医药</t>
  </si>
  <si>
    <t xml:space="preserve">         13.16亿</t>
  </si>
  <si>
    <t xml:space="preserve">          9.49亿</t>
  </si>
  <si>
    <t xml:space="preserve">   2.50㈢</t>
  </si>
  <si>
    <t>高争民爆</t>
  </si>
  <si>
    <t xml:space="preserve">         26.74亿</t>
  </si>
  <si>
    <t xml:space="preserve">          9.78亿</t>
  </si>
  <si>
    <t>6.30万</t>
  </si>
  <si>
    <t>贝肯能源</t>
  </si>
  <si>
    <t xml:space="preserve">         21.84亿</t>
  </si>
  <si>
    <t>星网宇达</t>
  </si>
  <si>
    <t xml:space="preserve">         34.91亿</t>
  </si>
  <si>
    <t>名雕股份</t>
  </si>
  <si>
    <t xml:space="preserve">         19.19亿</t>
  </si>
  <si>
    <t>裕同科技</t>
  </si>
  <si>
    <t xml:space="preserve">        110.40亿</t>
  </si>
  <si>
    <t xml:space="preserve">        225.41亿</t>
  </si>
  <si>
    <t xml:space="preserve">         67.35亿</t>
  </si>
  <si>
    <t>47.40万</t>
  </si>
  <si>
    <t>0.694㈢</t>
  </si>
  <si>
    <t>比音勒芬</t>
  </si>
  <si>
    <t xml:space="preserve">         77.56亿</t>
  </si>
  <si>
    <t xml:space="preserve">         33.79亿</t>
  </si>
  <si>
    <t>32.83万</t>
  </si>
  <si>
    <t>1.010㈢</t>
  </si>
  <si>
    <t xml:space="preserve">  16.72㈢</t>
  </si>
  <si>
    <t>弘亚数控</t>
  </si>
  <si>
    <t xml:space="preserve">         22.25亿</t>
  </si>
  <si>
    <t>23.41万</t>
  </si>
  <si>
    <t>1.869㈢</t>
  </si>
  <si>
    <t>同为股份</t>
  </si>
  <si>
    <t xml:space="preserve">         26.38亿</t>
  </si>
  <si>
    <t xml:space="preserve">          7.89亿</t>
  </si>
  <si>
    <t>4.14万</t>
  </si>
  <si>
    <t>0.118㈢</t>
  </si>
  <si>
    <t>新宏泽</t>
  </si>
  <si>
    <t xml:space="preserve">         19.42亿</t>
  </si>
  <si>
    <t xml:space="preserve">          5.44亿</t>
  </si>
  <si>
    <t>3.50万</t>
  </si>
  <si>
    <t>英维克</t>
  </si>
  <si>
    <t xml:space="preserve">         25.99亿</t>
  </si>
  <si>
    <t xml:space="preserve">         14.43亿</t>
  </si>
  <si>
    <t>道恩股份</t>
  </si>
  <si>
    <t xml:space="preserve">         42.58亿</t>
  </si>
  <si>
    <t>17.85万</t>
  </si>
  <si>
    <t xml:space="preserve">  12.13㈢</t>
  </si>
  <si>
    <t>张家港行</t>
  </si>
  <si>
    <t xml:space="preserve">         50.38亿</t>
  </si>
  <si>
    <t xml:space="preserve">   7.10㈢</t>
  </si>
  <si>
    <t>华统股份</t>
  </si>
  <si>
    <t xml:space="preserve">         23.90亿</t>
  </si>
  <si>
    <t xml:space="preserve">         45.19亿</t>
  </si>
  <si>
    <t xml:space="preserve">         19.80亿</t>
  </si>
  <si>
    <t>14.80万</t>
  </si>
  <si>
    <t xml:space="preserve">   6.29㈢</t>
  </si>
  <si>
    <t>视源股份</t>
  </si>
  <si>
    <t xml:space="preserve">         60.05亿</t>
  </si>
  <si>
    <t xml:space="preserve">        562.56亿</t>
  </si>
  <si>
    <t>45.91万</t>
  </si>
  <si>
    <t>2.190㈢</t>
  </si>
  <si>
    <t xml:space="preserve">  30.21㈢</t>
  </si>
  <si>
    <t>翔鹭钨业</t>
  </si>
  <si>
    <t xml:space="preserve">         14.91亿</t>
  </si>
  <si>
    <t xml:space="preserve">         35.62亿</t>
  </si>
  <si>
    <t xml:space="preserve">   0.69㈢</t>
  </si>
  <si>
    <t>泰嘉股份</t>
  </si>
  <si>
    <t xml:space="preserve">         10.31亿</t>
  </si>
  <si>
    <t xml:space="preserve">         17.18亿</t>
  </si>
  <si>
    <t xml:space="preserve">          6.38亿</t>
  </si>
  <si>
    <t>同兴达</t>
  </si>
  <si>
    <t xml:space="preserve">         37.92亿</t>
  </si>
  <si>
    <t xml:space="preserve">   6.00㈢</t>
  </si>
  <si>
    <t>英联股份</t>
  </si>
  <si>
    <t>0.334㈢</t>
  </si>
  <si>
    <t>盐津铺子</t>
  </si>
  <si>
    <t xml:space="preserve">         45.66亿</t>
  </si>
  <si>
    <t>11.06万</t>
  </si>
  <si>
    <t xml:space="preserve">  11.45㈢</t>
  </si>
  <si>
    <t>高斯贝尔</t>
  </si>
  <si>
    <t xml:space="preserve">         11.10亿</t>
  </si>
  <si>
    <t>-0.169㈢</t>
  </si>
  <si>
    <t xml:space="preserve">  -4.42㈢</t>
  </si>
  <si>
    <t>威星智能</t>
  </si>
  <si>
    <t xml:space="preserve">          9.36亿</t>
  </si>
  <si>
    <t>7.83万</t>
  </si>
  <si>
    <t>科达利</t>
  </si>
  <si>
    <t xml:space="preserve">         41.49亿</t>
  </si>
  <si>
    <t xml:space="preserve">         93.79亿</t>
  </si>
  <si>
    <t xml:space="preserve">         35.86亿</t>
  </si>
  <si>
    <t>19.26万</t>
  </si>
  <si>
    <t>0.698㈢</t>
  </si>
  <si>
    <t>麦格米特</t>
  </si>
  <si>
    <t xml:space="preserve">         53.50亿</t>
  </si>
  <si>
    <t xml:space="preserve">         97.18亿</t>
  </si>
  <si>
    <t>25.48万</t>
  </si>
  <si>
    <t xml:space="preserve">  14.61㈢</t>
  </si>
  <si>
    <t>道道全</t>
  </si>
  <si>
    <t xml:space="preserve">         13.83亿</t>
  </si>
  <si>
    <t>6.87万</t>
  </si>
  <si>
    <t>皮阿诺</t>
  </si>
  <si>
    <t xml:space="preserve">          8.97亿</t>
  </si>
  <si>
    <t xml:space="preserve">         27.95亿</t>
  </si>
  <si>
    <t>0.796㈢</t>
  </si>
  <si>
    <t xml:space="preserve">  11.01㈢</t>
  </si>
  <si>
    <t>捷荣技术</t>
  </si>
  <si>
    <t xml:space="preserve">         11.40亿</t>
  </si>
  <si>
    <t xml:space="preserve">         34.38亿</t>
  </si>
  <si>
    <t>美芝股份</t>
  </si>
  <si>
    <t xml:space="preserve">          5.63亿</t>
  </si>
  <si>
    <t xml:space="preserve">   2.97㈢</t>
  </si>
  <si>
    <t>三晖电气</t>
  </si>
  <si>
    <t xml:space="preserve">          5.99亿</t>
  </si>
  <si>
    <t xml:space="preserve">         15.49亿</t>
  </si>
  <si>
    <t xml:space="preserve">          4.88亿</t>
  </si>
  <si>
    <t>力盛赛车</t>
  </si>
  <si>
    <t xml:space="preserve">         18.85亿</t>
  </si>
  <si>
    <t xml:space="preserve">          7.73亿</t>
  </si>
  <si>
    <t xml:space="preserve">   3.61㈢</t>
  </si>
  <si>
    <t>洁美科技</t>
  </si>
  <si>
    <t xml:space="preserve">         37.28亿</t>
  </si>
  <si>
    <t xml:space="preserve">         88.84亿</t>
  </si>
  <si>
    <t>32.11万</t>
  </si>
  <si>
    <t>星帅尔</t>
  </si>
  <si>
    <t xml:space="preserve">  13.88㈢</t>
  </si>
  <si>
    <t>瀛通通讯</t>
  </si>
  <si>
    <t>14.19万</t>
  </si>
  <si>
    <t>0.387㈢</t>
  </si>
  <si>
    <t>实丰文化</t>
  </si>
  <si>
    <t xml:space="preserve">          6.93亿</t>
  </si>
  <si>
    <t xml:space="preserve">         17.78亿</t>
  </si>
  <si>
    <t>7.26万</t>
  </si>
  <si>
    <t xml:space="preserve">   3.46㈢</t>
  </si>
  <si>
    <t>今飞凯达</t>
  </si>
  <si>
    <t xml:space="preserve">         10.29亿</t>
  </si>
  <si>
    <t xml:space="preserve">          6.80亿</t>
  </si>
  <si>
    <t xml:space="preserve">   4.28㈢</t>
  </si>
  <si>
    <t>盘龙药业</t>
  </si>
  <si>
    <t xml:space="preserve">         11.93亿</t>
  </si>
  <si>
    <t xml:space="preserve">          7.22亿</t>
  </si>
  <si>
    <t>钧达股份</t>
  </si>
  <si>
    <t xml:space="preserve">          6.10亿</t>
  </si>
  <si>
    <t xml:space="preserve">         19.34亿</t>
  </si>
  <si>
    <t>-0.235㈢</t>
  </si>
  <si>
    <t xml:space="preserve">  -3.25㈢</t>
  </si>
  <si>
    <t>传艺科技</t>
  </si>
  <si>
    <t xml:space="preserve">         10.48亿</t>
  </si>
  <si>
    <t xml:space="preserve">   7.01㈢</t>
  </si>
  <si>
    <t>周大生</t>
  </si>
  <si>
    <t xml:space="preserve">         46.96亿</t>
  </si>
  <si>
    <t xml:space="preserve">        138.73亿</t>
  </si>
  <si>
    <t xml:space="preserve">         33.89亿</t>
  </si>
  <si>
    <t>13.98万</t>
  </si>
  <si>
    <t xml:space="preserve">  16.41㈢</t>
  </si>
  <si>
    <t>绿康生化</t>
  </si>
  <si>
    <t xml:space="preserve">          6.85亿</t>
  </si>
  <si>
    <t xml:space="preserve">         21.38亿</t>
  </si>
  <si>
    <t xml:space="preserve">          5.35亿</t>
  </si>
  <si>
    <t>0.294㈢</t>
  </si>
  <si>
    <t>金溢科技</t>
  </si>
  <si>
    <t xml:space="preserve">         77.77亿</t>
  </si>
  <si>
    <t>3.290㈢</t>
  </si>
  <si>
    <t xml:space="preserve">  27.84㈢</t>
  </si>
  <si>
    <t>香山股份</t>
  </si>
  <si>
    <t xml:space="preserve">          9.39亿</t>
  </si>
  <si>
    <t xml:space="preserve">         25.91亿</t>
  </si>
  <si>
    <t xml:space="preserve">          6.48亿</t>
  </si>
  <si>
    <t>伟隆股份</t>
  </si>
  <si>
    <t xml:space="preserve">          5.61亿</t>
  </si>
  <si>
    <t xml:space="preserve">         22.41亿</t>
  </si>
  <si>
    <t xml:space="preserve">   6.71㈢</t>
  </si>
  <si>
    <t>*ST天圣</t>
  </si>
  <si>
    <t xml:space="preserve">         11.50亿</t>
  </si>
  <si>
    <t xml:space="preserve">         17.01亿</t>
  </si>
  <si>
    <t>4.06万</t>
  </si>
  <si>
    <t>-0.201㈢</t>
  </si>
  <si>
    <t xml:space="preserve">  -2.04㈢</t>
  </si>
  <si>
    <t>新天药业</t>
  </si>
  <si>
    <t xml:space="preserve">         10.34亿</t>
  </si>
  <si>
    <t xml:space="preserve">         19.68亿</t>
  </si>
  <si>
    <t xml:space="preserve">          7.33亿</t>
  </si>
  <si>
    <t>6.50万</t>
  </si>
  <si>
    <t xml:space="preserve">   9.76㈢</t>
  </si>
  <si>
    <t>安奈儿</t>
  </si>
  <si>
    <t xml:space="preserve">         20.02亿</t>
  </si>
  <si>
    <t>三利谱</t>
  </si>
  <si>
    <t xml:space="preserve">         35.76亿</t>
  </si>
  <si>
    <t xml:space="preserve">         29.03亿</t>
  </si>
  <si>
    <t>46.26万</t>
  </si>
  <si>
    <t xml:space="preserve">   2.62㈢</t>
  </si>
  <si>
    <t>智能自控</t>
  </si>
  <si>
    <t xml:space="preserve">         14.99亿</t>
  </si>
  <si>
    <t xml:space="preserve">         29.92亿</t>
  </si>
  <si>
    <t xml:space="preserve">          8.23亿</t>
  </si>
  <si>
    <t>元隆雅图</t>
  </si>
  <si>
    <t xml:space="preserve">         38.67亿</t>
  </si>
  <si>
    <t>0.629㈢</t>
  </si>
  <si>
    <t xml:space="preserve">  12.54㈢</t>
  </si>
  <si>
    <t>长缆科技</t>
  </si>
  <si>
    <t xml:space="preserve">         17.73亿</t>
  </si>
  <si>
    <t xml:space="preserve">         30.65亿</t>
  </si>
  <si>
    <t>10.84万</t>
  </si>
  <si>
    <t xml:space="preserve">   7.06㈢</t>
  </si>
  <si>
    <t>卫光生物</t>
  </si>
  <si>
    <t>12.42万</t>
  </si>
  <si>
    <t>1.013㈢</t>
  </si>
  <si>
    <t>美格智能</t>
  </si>
  <si>
    <t xml:space="preserve">         51.46亿</t>
  </si>
  <si>
    <t>0.085㈢</t>
  </si>
  <si>
    <t>金龙羽</t>
  </si>
  <si>
    <t>0.524㈢</t>
  </si>
  <si>
    <t xml:space="preserve">  12.63㈢</t>
  </si>
  <si>
    <t>中设股份</t>
  </si>
  <si>
    <t xml:space="preserve">          8.93亿</t>
  </si>
  <si>
    <t>7.14万</t>
  </si>
  <si>
    <t>0.526㈢</t>
  </si>
  <si>
    <t>凌霄泵业</t>
  </si>
  <si>
    <t xml:space="preserve">         28.75亿</t>
  </si>
  <si>
    <t xml:space="preserve">         15.04亿</t>
  </si>
  <si>
    <t>11.36万</t>
  </si>
  <si>
    <t>1.031㈢</t>
  </si>
  <si>
    <t xml:space="preserve">  15.13㈢</t>
  </si>
  <si>
    <t>京泉华</t>
  </si>
  <si>
    <t>4.71万</t>
  </si>
  <si>
    <t>沃特股份</t>
  </si>
  <si>
    <t xml:space="preserve">         29.90亿</t>
  </si>
  <si>
    <t>9.09万</t>
  </si>
  <si>
    <t>绿茵生态</t>
  </si>
  <si>
    <t xml:space="preserve">         10.18亿</t>
  </si>
  <si>
    <t xml:space="preserve">          8.47亿</t>
  </si>
  <si>
    <t>0.702㈢</t>
  </si>
  <si>
    <t>惠威科技</t>
  </si>
  <si>
    <t xml:space="preserve">          8.04亿</t>
  </si>
  <si>
    <t xml:space="preserve">   3.96㈢</t>
  </si>
  <si>
    <t>东方嘉盛</t>
  </si>
  <si>
    <t xml:space="preserve">          9.71亿</t>
  </si>
  <si>
    <t xml:space="preserve">         36.06亿</t>
  </si>
  <si>
    <t>0.833㈢</t>
  </si>
  <si>
    <t>弘宇股份</t>
  </si>
  <si>
    <t xml:space="preserve">         10.01亿</t>
  </si>
  <si>
    <t xml:space="preserve">         17.09亿</t>
  </si>
  <si>
    <t>9.57万</t>
  </si>
  <si>
    <t xml:space="preserve">   0.86㈢</t>
  </si>
  <si>
    <t>中宠股份</t>
  </si>
  <si>
    <t xml:space="preserve">         24.79亿</t>
  </si>
  <si>
    <t xml:space="preserve">         46.04亿</t>
  </si>
  <si>
    <t>科力尔</t>
  </si>
  <si>
    <t>18.45万</t>
  </si>
  <si>
    <t>0.482㈢</t>
  </si>
  <si>
    <t>华通热力</t>
  </si>
  <si>
    <t xml:space="preserve">          9.42亿</t>
  </si>
  <si>
    <t xml:space="preserve">   5.07㈢</t>
  </si>
  <si>
    <t>川恒股份</t>
  </si>
  <si>
    <t>中大力德</t>
  </si>
  <si>
    <t xml:space="preserve">          7.84亿</t>
  </si>
  <si>
    <t xml:space="preserve">         18.31亿</t>
  </si>
  <si>
    <t xml:space="preserve">          6.47亿</t>
  </si>
  <si>
    <t xml:space="preserve">   5.63㈢</t>
  </si>
  <si>
    <t>意华股份</t>
  </si>
  <si>
    <t xml:space="preserve">         18.29亿</t>
  </si>
  <si>
    <t xml:space="preserve">         46.13亿</t>
  </si>
  <si>
    <t>10.87万</t>
  </si>
  <si>
    <t xml:space="preserve">   4.20㈢</t>
  </si>
  <si>
    <t>赛隆药业</t>
  </si>
  <si>
    <t xml:space="preserve">          8.11亿</t>
  </si>
  <si>
    <t xml:space="preserve">         21.68亿</t>
  </si>
  <si>
    <t>英派斯</t>
  </si>
  <si>
    <t xml:space="preserve">         11.04亿</t>
  </si>
  <si>
    <t xml:space="preserve">         16.70亿</t>
  </si>
  <si>
    <t xml:space="preserve">          7.38亿</t>
  </si>
  <si>
    <t>哈三联</t>
  </si>
  <si>
    <t xml:space="preserve">         13.57亿</t>
  </si>
  <si>
    <t xml:space="preserve">         12.80亿</t>
  </si>
  <si>
    <t>0.476㈢</t>
  </si>
  <si>
    <t xml:space="preserve">   8.32㈢</t>
  </si>
  <si>
    <t>大博医疗</t>
  </si>
  <si>
    <t xml:space="preserve">         22.78亿</t>
  </si>
  <si>
    <t xml:space="preserve">        228.49亿</t>
  </si>
  <si>
    <t xml:space="preserve">  21.51㈢</t>
  </si>
  <si>
    <t>铭普光磁</t>
  </si>
  <si>
    <t xml:space="preserve">         25.50亿</t>
  </si>
  <si>
    <t xml:space="preserve">         22.76亿</t>
  </si>
  <si>
    <t xml:space="preserve">   0.97㈢</t>
  </si>
  <si>
    <t>宇环数控</t>
  </si>
  <si>
    <t xml:space="preserve">         10.10亿</t>
  </si>
  <si>
    <t xml:space="preserve">         22.95亿</t>
  </si>
  <si>
    <t xml:space="preserve">  -1.50㈢</t>
  </si>
  <si>
    <t>金逸影视</t>
  </si>
  <si>
    <t xml:space="preserve">         11.05亿</t>
  </si>
  <si>
    <t xml:space="preserve">         44.22亿</t>
  </si>
  <si>
    <t xml:space="preserve">   5.32㈢</t>
  </si>
  <si>
    <t>华阳集团</t>
  </si>
  <si>
    <t xml:space="preserve">         56.82亿</t>
  </si>
  <si>
    <t xml:space="preserve">          8.87亿</t>
  </si>
  <si>
    <t>2.72万</t>
  </si>
  <si>
    <t>华森制药</t>
  </si>
  <si>
    <t xml:space="preserve">          9.96亿</t>
  </si>
  <si>
    <t xml:space="preserve">         64.53亿</t>
  </si>
  <si>
    <t xml:space="preserve">          8.25亿</t>
  </si>
  <si>
    <t xml:space="preserve">  13.30㈢</t>
  </si>
  <si>
    <t>德生科技</t>
  </si>
  <si>
    <t xml:space="preserve">         15.26亿</t>
  </si>
  <si>
    <t xml:space="preserve">         26.03亿</t>
  </si>
  <si>
    <t xml:space="preserve">         12.85亿</t>
  </si>
  <si>
    <t>0.194㈢</t>
  </si>
  <si>
    <t>集泰股份</t>
  </si>
  <si>
    <t xml:space="preserve">          8.49亿</t>
  </si>
  <si>
    <t xml:space="preserve">         18.78亿</t>
  </si>
  <si>
    <t>庄园牧场</t>
  </si>
  <si>
    <t xml:space="preserve">          8.35亿</t>
  </si>
  <si>
    <t xml:space="preserve">         17.53亿</t>
  </si>
  <si>
    <t>佛燃股份</t>
  </si>
  <si>
    <t xml:space="preserve">         84.73亿</t>
  </si>
  <si>
    <t xml:space="preserve">          8.50亿</t>
  </si>
  <si>
    <t>0.641㈢</t>
  </si>
  <si>
    <t xml:space="preserve">  13.17㈢</t>
  </si>
  <si>
    <t>中新赛克</t>
  </si>
  <si>
    <t xml:space="preserve">         65.18亿</t>
  </si>
  <si>
    <t xml:space="preserve">        134.23亿</t>
  </si>
  <si>
    <t xml:space="preserve">         57.91亿</t>
  </si>
  <si>
    <t>59.45万</t>
  </si>
  <si>
    <t>1.651㈢</t>
  </si>
  <si>
    <t xml:space="preserve">  12.58㈢</t>
  </si>
  <si>
    <t>奥士康</t>
  </si>
  <si>
    <t xml:space="preserve">         83.52亿</t>
  </si>
  <si>
    <t>1.430㈢</t>
  </si>
  <si>
    <t>中欣氟材</t>
  </si>
  <si>
    <t xml:space="preserve">          9.48亿</t>
  </si>
  <si>
    <t>0.350㈢</t>
  </si>
  <si>
    <t>深南电路</t>
  </si>
  <si>
    <t xml:space="preserve">        138.34亿</t>
  </si>
  <si>
    <t xml:space="preserve">        475.55亿</t>
  </si>
  <si>
    <t>40.81万</t>
  </si>
  <si>
    <t>2.580㈢</t>
  </si>
  <si>
    <t xml:space="preserve">  19.66㈢</t>
  </si>
  <si>
    <t>金奥博</t>
  </si>
  <si>
    <t xml:space="preserve">          8.79亿</t>
  </si>
  <si>
    <t xml:space="preserve">         29.34亿</t>
  </si>
  <si>
    <t>0.282㈢</t>
  </si>
  <si>
    <t>蒙娜丽莎</t>
  </si>
  <si>
    <t xml:space="preserve">         77.02亿</t>
  </si>
  <si>
    <t>13.42万</t>
  </si>
  <si>
    <t>0.755㈢</t>
  </si>
  <si>
    <t xml:space="preserve">  10.94㈢</t>
  </si>
  <si>
    <t>名臣健康</t>
  </si>
  <si>
    <t xml:space="preserve">          6.33亿</t>
  </si>
  <si>
    <t xml:space="preserve">         18.30亿</t>
  </si>
  <si>
    <t>德赛西威</t>
  </si>
  <si>
    <t xml:space="preserve">         37.32亿</t>
  </si>
  <si>
    <t xml:space="preserve">        167.75亿</t>
  </si>
  <si>
    <t>15.55万</t>
  </si>
  <si>
    <t>联诚精密</t>
  </si>
  <si>
    <t xml:space="preserve">          8.78亿</t>
  </si>
  <si>
    <t xml:space="preserve">         14.55亿</t>
  </si>
  <si>
    <t>伊戈尔</t>
  </si>
  <si>
    <t xml:space="preserve">          8.71亿</t>
  </si>
  <si>
    <t xml:space="preserve">         20.29亿</t>
  </si>
  <si>
    <t xml:space="preserve">          5.12亿</t>
  </si>
  <si>
    <t>3.12万</t>
  </si>
  <si>
    <t>润都股份</t>
  </si>
  <si>
    <t xml:space="preserve">         10.13亿</t>
  </si>
  <si>
    <t xml:space="preserve">         31.28亿</t>
  </si>
  <si>
    <t>0.532㈢</t>
  </si>
  <si>
    <t xml:space="preserve">  10.81㈢</t>
  </si>
  <si>
    <t>盈趣科技</t>
  </si>
  <si>
    <t xml:space="preserve">         70.50亿</t>
  </si>
  <si>
    <t xml:space="preserve">        194.66亿</t>
  </si>
  <si>
    <t xml:space="preserve">         50.94亿</t>
  </si>
  <si>
    <t>18.44万</t>
  </si>
  <si>
    <t>1.419㈢</t>
  </si>
  <si>
    <t xml:space="preserve">  16.98㈢</t>
  </si>
  <si>
    <t>华西证券</t>
  </si>
  <si>
    <t xml:space="preserve">        185.46亿</t>
  </si>
  <si>
    <t xml:space="preserve">        273.79亿</t>
  </si>
  <si>
    <t xml:space="preserve">        135.80亿</t>
  </si>
  <si>
    <t>0.426㈢</t>
  </si>
  <si>
    <t xml:space="preserve">   5.78㈢</t>
  </si>
  <si>
    <t>泰永长征</t>
  </si>
  <si>
    <t xml:space="preserve">         14.31亿</t>
  </si>
  <si>
    <t xml:space="preserve">   6.67㈢</t>
  </si>
  <si>
    <t>华夏航空</t>
  </si>
  <si>
    <t xml:space="preserve">         24.18亿</t>
  </si>
  <si>
    <t xml:space="preserve">         71.13亿</t>
  </si>
  <si>
    <t>9.06万</t>
  </si>
  <si>
    <t>0.609㈢</t>
  </si>
  <si>
    <t xml:space="preserve">  15.02㈢</t>
  </si>
  <si>
    <t>润建股份</t>
  </si>
  <si>
    <t xml:space="preserve">         60.07亿</t>
  </si>
  <si>
    <t>宏川智慧</t>
  </si>
  <si>
    <t xml:space="preserve">         51.88亿</t>
  </si>
  <si>
    <t>锋龙股份</t>
  </si>
  <si>
    <t xml:space="preserve">          8.62亿</t>
  </si>
  <si>
    <t xml:space="preserve">         28.97亿</t>
  </si>
  <si>
    <t>0.512㈢</t>
  </si>
  <si>
    <t xml:space="preserve">   8.68㈢</t>
  </si>
  <si>
    <t>明德生物</t>
  </si>
  <si>
    <t xml:space="preserve">         10.55亿</t>
  </si>
  <si>
    <t xml:space="preserve">         23.39亿</t>
  </si>
  <si>
    <t xml:space="preserve">          8.73亿</t>
  </si>
  <si>
    <t>0.673㈢</t>
  </si>
  <si>
    <t>新兴装备</t>
  </si>
  <si>
    <t xml:space="preserve">         18.77亿</t>
  </si>
  <si>
    <t xml:space="preserve">         46.02亿</t>
  </si>
  <si>
    <t xml:space="preserve">         14.60亿</t>
  </si>
  <si>
    <t>0.765㈢</t>
  </si>
  <si>
    <t xml:space="preserve">   6.06㈢</t>
  </si>
  <si>
    <t>天奥电子</t>
  </si>
  <si>
    <t xml:space="preserve">         45.91亿</t>
  </si>
  <si>
    <t>14.09万</t>
  </si>
  <si>
    <t>郑州银行</t>
  </si>
  <si>
    <t xml:space="preserve">         68.81亿</t>
  </si>
  <si>
    <t xml:space="preserve">        202.14亿</t>
  </si>
  <si>
    <t>0.606㈢</t>
  </si>
  <si>
    <t xml:space="preserve">   9.11㈢</t>
  </si>
  <si>
    <t>兴瑞科技</t>
  </si>
  <si>
    <t xml:space="preserve">         45.07亿</t>
  </si>
  <si>
    <t>5.73万</t>
  </si>
  <si>
    <t>鹏鼎控股</t>
  </si>
  <si>
    <t xml:space="preserve">        101.73亿</t>
  </si>
  <si>
    <t xml:space="preserve">       1017.26亿</t>
  </si>
  <si>
    <t>25.43万</t>
  </si>
  <si>
    <t>0.736㈢</t>
  </si>
  <si>
    <t xml:space="preserve">   9.17㈢</t>
  </si>
  <si>
    <t>长城证券</t>
  </si>
  <si>
    <t xml:space="preserve">        221.50亿</t>
  </si>
  <si>
    <t xml:space="preserve">        413.06亿</t>
  </si>
  <si>
    <t xml:space="preserve">        118.03亿</t>
  </si>
  <si>
    <t>昂利康</t>
  </si>
  <si>
    <t>10.36万</t>
  </si>
  <si>
    <t>1.004㈢</t>
  </si>
  <si>
    <t xml:space="preserve">   9.58㈢</t>
  </si>
  <si>
    <t>新疆交建</t>
  </si>
  <si>
    <t xml:space="preserve">         30.32亿</t>
  </si>
  <si>
    <t xml:space="preserve">        113.20亿</t>
  </si>
  <si>
    <t>7.32万</t>
  </si>
  <si>
    <t>新农股份</t>
  </si>
  <si>
    <t>1.168㈢</t>
  </si>
  <si>
    <t xml:space="preserve">  15.46㈢</t>
  </si>
  <si>
    <t>宇晶股份</t>
  </si>
  <si>
    <t xml:space="preserve">          8.72亿</t>
  </si>
  <si>
    <t>华林证券</t>
  </si>
  <si>
    <t xml:space="preserve">         39.56亿</t>
  </si>
  <si>
    <t xml:space="preserve">        395.55亿</t>
  </si>
  <si>
    <t xml:space="preserve">         39.55亿</t>
  </si>
  <si>
    <t>0.113㈢</t>
  </si>
  <si>
    <t xml:space="preserve">   5.88㈢</t>
  </si>
  <si>
    <t>新乳业</t>
  </si>
  <si>
    <t xml:space="preserve">         10.59亿</t>
  </si>
  <si>
    <t xml:space="preserve">        105.86亿</t>
  </si>
  <si>
    <t>恒铭达</t>
  </si>
  <si>
    <t>18.42万</t>
  </si>
  <si>
    <t>0.970㈢</t>
  </si>
  <si>
    <t xml:space="preserve">   9.81㈢</t>
  </si>
  <si>
    <t>青岛银行</t>
  </si>
  <si>
    <t xml:space="preserve">         26.70亿</t>
  </si>
  <si>
    <t xml:space="preserve">        162.60亿</t>
  </si>
  <si>
    <t>华阳国际</t>
  </si>
  <si>
    <t xml:space="preserve">         42.46亿</t>
  </si>
  <si>
    <t>3.85万</t>
  </si>
  <si>
    <t xml:space="preserve">   8.13㈢</t>
  </si>
  <si>
    <t>奥美医疗</t>
  </si>
  <si>
    <t xml:space="preserve">          9.75亿</t>
  </si>
  <si>
    <t xml:space="preserve">         85.79亿</t>
  </si>
  <si>
    <t>金时科技</t>
  </si>
  <si>
    <t xml:space="preserve">          8.06亿</t>
  </si>
  <si>
    <t xml:space="preserve">         72.49亿</t>
  </si>
  <si>
    <t xml:space="preserve">          8.05亿</t>
  </si>
  <si>
    <t>亚世光电</t>
  </si>
  <si>
    <t xml:space="preserve">          7.48亿</t>
  </si>
  <si>
    <t xml:space="preserve">         35.85亿</t>
  </si>
  <si>
    <t xml:space="preserve">   8.02㈢</t>
  </si>
  <si>
    <t>日丰股份</t>
  </si>
  <si>
    <t xml:space="preserve">          8.51亿</t>
  </si>
  <si>
    <t xml:space="preserve">         34.02亿</t>
  </si>
  <si>
    <t xml:space="preserve">   9.31㈢</t>
  </si>
  <si>
    <t>鸿合科技</t>
  </si>
  <si>
    <t xml:space="preserve">         81.12亿</t>
  </si>
  <si>
    <t>2.070㈢</t>
  </si>
  <si>
    <t>西麦食品</t>
  </si>
  <si>
    <t xml:space="preserve">         10.83亿</t>
  </si>
  <si>
    <t>1.830㈢</t>
  </si>
  <si>
    <t xml:space="preserve">   9.34㈢</t>
  </si>
  <si>
    <t>科瑞技术</t>
  </si>
  <si>
    <t xml:space="preserve">         14.13亿</t>
  </si>
  <si>
    <t xml:space="preserve">        141.33亿</t>
  </si>
  <si>
    <t xml:space="preserve">   9.26㈢</t>
  </si>
  <si>
    <t>青农商行</t>
  </si>
  <si>
    <t xml:space="preserve">         34.78亿</t>
  </si>
  <si>
    <t xml:space="preserve">        347.78亿</t>
  </si>
  <si>
    <t>小熊电器</t>
  </si>
  <si>
    <t xml:space="preserve">         19.82亿</t>
  </si>
  <si>
    <t xml:space="preserve">         79.30亿</t>
  </si>
  <si>
    <t>1.800㈢</t>
  </si>
  <si>
    <t xml:space="preserve">  10.72㈢</t>
  </si>
  <si>
    <t>青鸟消防</t>
  </si>
  <si>
    <t xml:space="preserve">         64.34亿</t>
  </si>
  <si>
    <t>1.390㈢</t>
  </si>
  <si>
    <t xml:space="preserve">  10.02㈢</t>
  </si>
  <si>
    <t>瑞达期货</t>
  </si>
  <si>
    <t xml:space="preserve">        164.96亿</t>
  </si>
  <si>
    <t xml:space="preserve">   5.49㈢</t>
  </si>
  <si>
    <t>五方光电</t>
  </si>
  <si>
    <t xml:space="preserve">         76.10亿</t>
  </si>
  <si>
    <t xml:space="preserve">   7.63㈢</t>
  </si>
  <si>
    <t>豪尔赛</t>
  </si>
  <si>
    <t xml:space="preserve">         12.49亿</t>
  </si>
  <si>
    <t>1.69万</t>
  </si>
  <si>
    <t>1.358㈢</t>
  </si>
  <si>
    <t xml:space="preserve">  24.66㈢</t>
  </si>
  <si>
    <t>祥鑫科技</t>
  </si>
  <si>
    <t>0.777㈢</t>
  </si>
  <si>
    <t xml:space="preserve">  13.06㈢</t>
  </si>
  <si>
    <t>苏州银行</t>
  </si>
  <si>
    <t xml:space="preserve">         33.83亿</t>
  </si>
  <si>
    <t xml:space="preserve">        338.33亿</t>
  </si>
  <si>
    <t>广电计量</t>
  </si>
  <si>
    <t xml:space="preserve">         26.79亿</t>
  </si>
  <si>
    <t xml:space="preserve">        107.17亿</t>
  </si>
  <si>
    <t>1.75万</t>
  </si>
  <si>
    <t xml:space="preserve">   8.17㈢</t>
  </si>
  <si>
    <t>新大正</t>
  </si>
  <si>
    <t xml:space="preserve">         51.09亿</t>
  </si>
  <si>
    <t>3.56万</t>
  </si>
  <si>
    <t>1.084㈢</t>
  </si>
  <si>
    <t xml:space="preserve">  26.59㈢</t>
  </si>
  <si>
    <t>嘉美包装</t>
  </si>
  <si>
    <t xml:space="preserve">        126.70亿</t>
  </si>
  <si>
    <t>0.71万</t>
  </si>
  <si>
    <t>锐明技术</t>
  </si>
  <si>
    <t xml:space="preserve">         25.33亿</t>
  </si>
  <si>
    <t xml:space="preserve">        101.33亿</t>
  </si>
  <si>
    <t>1.275㈢</t>
  </si>
  <si>
    <t xml:space="preserve">  20.36㈢</t>
  </si>
  <si>
    <t>N科安达</t>
  </si>
  <si>
    <t xml:space="preserve">          7.30亿</t>
  </si>
  <si>
    <t>0.85万</t>
  </si>
  <si>
    <t>中国广核</t>
  </si>
  <si>
    <t xml:space="preserve">         73.50亿</t>
  </si>
  <si>
    <t xml:space="preserve">       1412.13亿</t>
  </si>
  <si>
    <t>1.09万</t>
  </si>
  <si>
    <t xml:space="preserve">   9.35㈢</t>
  </si>
  <si>
    <t>特锐德</t>
  </si>
  <si>
    <t xml:space="preserve">        161.39亿</t>
  </si>
  <si>
    <t xml:space="preserve">        174.67亿</t>
  </si>
  <si>
    <t xml:space="preserve">         80.42亿</t>
  </si>
  <si>
    <t>21.86万</t>
  </si>
  <si>
    <t xml:space="preserve">   4.80㈢</t>
  </si>
  <si>
    <t>神州泰岳</t>
  </si>
  <si>
    <t xml:space="preserve">         46.41亿</t>
  </si>
  <si>
    <t xml:space="preserve">         64.32亿</t>
  </si>
  <si>
    <t xml:space="preserve">         44.64亿</t>
  </si>
  <si>
    <t>-0.151㈢</t>
  </si>
  <si>
    <t xml:space="preserve">  -6.02㈢</t>
  </si>
  <si>
    <t>乐普医疗</t>
  </si>
  <si>
    <t xml:space="preserve">        484.88亿</t>
  </si>
  <si>
    <t xml:space="preserve">        570.13亿</t>
  </si>
  <si>
    <t xml:space="preserve">        339.89亿</t>
  </si>
  <si>
    <t>69.87万</t>
  </si>
  <si>
    <t>0.910㈢</t>
  </si>
  <si>
    <t xml:space="preserve">  21.61㈢</t>
  </si>
  <si>
    <t>南风股份</t>
  </si>
  <si>
    <t xml:space="preserve">         30.91亿</t>
  </si>
  <si>
    <t xml:space="preserve">         17.43亿</t>
  </si>
  <si>
    <t xml:space="preserve">   1.74㈢</t>
  </si>
  <si>
    <t>探路者</t>
  </si>
  <si>
    <t>莱美药业</t>
  </si>
  <si>
    <t xml:space="preserve">         39.34亿</t>
  </si>
  <si>
    <t xml:space="preserve">         47.60亿</t>
  </si>
  <si>
    <t xml:space="preserve">         30.70亿</t>
  </si>
  <si>
    <t>汉威科技</t>
  </si>
  <si>
    <t xml:space="preserve">         39.74亿</t>
  </si>
  <si>
    <t xml:space="preserve">         49.23亿</t>
  </si>
  <si>
    <t>0.413㈢</t>
  </si>
  <si>
    <t xml:space="preserve">   7.70㈢</t>
  </si>
  <si>
    <t>天海防务</t>
  </si>
  <si>
    <t>船舶</t>
  </si>
  <si>
    <t xml:space="preserve">         28.13亿</t>
  </si>
  <si>
    <t>-0.078㈢</t>
  </si>
  <si>
    <t xml:space="preserve"> -11.00㈢</t>
  </si>
  <si>
    <t>安科生物</t>
  </si>
  <si>
    <t xml:space="preserve">        101.71亿</t>
  </si>
  <si>
    <t xml:space="preserve">        155.55亿</t>
  </si>
  <si>
    <t xml:space="preserve">         88.67亿</t>
  </si>
  <si>
    <t>22.00万</t>
  </si>
  <si>
    <t xml:space="preserve">   9.29㈢</t>
  </si>
  <si>
    <t>立思辰</t>
  </si>
  <si>
    <t xml:space="preserve">         87.99亿</t>
  </si>
  <si>
    <t xml:space="preserve">        108.02亿</t>
  </si>
  <si>
    <t xml:space="preserve">         80.06亿</t>
  </si>
  <si>
    <t>19.20万</t>
  </si>
  <si>
    <t xml:space="preserve">   1.77㈢</t>
  </si>
  <si>
    <t>鼎汉技术</t>
  </si>
  <si>
    <t>华测检测</t>
  </si>
  <si>
    <t xml:space="preserve">        222.07亿</t>
  </si>
  <si>
    <t xml:space="preserve">        244.49亿</t>
  </si>
  <si>
    <t>63.46万</t>
  </si>
  <si>
    <t>0.217㈢</t>
  </si>
  <si>
    <t xml:space="preserve">  11.90㈢</t>
  </si>
  <si>
    <t>新宁物流</t>
  </si>
  <si>
    <t xml:space="preserve">         35.05亿</t>
  </si>
  <si>
    <t>20.80万</t>
  </si>
  <si>
    <t xml:space="preserve">   1.44㈢</t>
  </si>
  <si>
    <t>亿纬锂能</t>
  </si>
  <si>
    <t xml:space="preserve">        397.68亿</t>
  </si>
  <si>
    <t xml:space="preserve">        470.52亿</t>
  </si>
  <si>
    <t xml:space="preserve">        228.91亿</t>
  </si>
  <si>
    <t>38.61万</t>
  </si>
  <si>
    <t>1.260㈢</t>
  </si>
  <si>
    <t xml:space="preserve">  16.12㈢</t>
  </si>
  <si>
    <t>爱尔眼科</t>
  </si>
  <si>
    <t xml:space="preserve">        968.91亿</t>
  </si>
  <si>
    <t xml:space="preserve">       1194.52亿</t>
  </si>
  <si>
    <t xml:space="preserve">        464.02亿</t>
  </si>
  <si>
    <t>83.42万</t>
  </si>
  <si>
    <t>0.397㈢</t>
  </si>
  <si>
    <t xml:space="preserve">  19.10㈢</t>
  </si>
  <si>
    <t>北陆药业</t>
  </si>
  <si>
    <t xml:space="preserve">         32.50亿</t>
  </si>
  <si>
    <t xml:space="preserve">         43.19亿</t>
  </si>
  <si>
    <t xml:space="preserve">         28.28亿</t>
  </si>
  <si>
    <t>9.10万</t>
  </si>
  <si>
    <t xml:space="preserve">  13.13㈢</t>
  </si>
  <si>
    <t>网宿科技</t>
  </si>
  <si>
    <t xml:space="preserve">        206.24亿</t>
  </si>
  <si>
    <t xml:space="preserve">        230.89亿</t>
  </si>
  <si>
    <t xml:space="preserve">        165.50亿</t>
  </si>
  <si>
    <t>11.02万</t>
  </si>
  <si>
    <t xml:space="preserve">   8.22㈢</t>
  </si>
  <si>
    <t>中元股份</t>
  </si>
  <si>
    <t xml:space="preserve">         16.17亿</t>
  </si>
  <si>
    <t>硅宝科技</t>
  </si>
  <si>
    <t xml:space="preserve">         32.26亿</t>
  </si>
  <si>
    <t xml:space="preserve">         12.96亿</t>
  </si>
  <si>
    <t xml:space="preserve">   9.87㈢</t>
  </si>
  <si>
    <t>银江股份</t>
  </si>
  <si>
    <t xml:space="preserve">         52.17亿</t>
  </si>
  <si>
    <t xml:space="preserve">         37.20亿</t>
  </si>
  <si>
    <t>7.52万</t>
  </si>
  <si>
    <t>大禹节水</t>
  </si>
  <si>
    <t>7.47万</t>
  </si>
  <si>
    <t xml:space="preserve">   5.79㈢</t>
  </si>
  <si>
    <t>吉峰科技</t>
  </si>
  <si>
    <t xml:space="preserve">         14.56亿</t>
  </si>
  <si>
    <t xml:space="preserve">         10.88亿</t>
  </si>
  <si>
    <t>-0.152㈢</t>
  </si>
  <si>
    <t xml:space="preserve"> -35.21㈢</t>
  </si>
  <si>
    <t>宝德股份</t>
  </si>
  <si>
    <t xml:space="preserve">         23.17亿</t>
  </si>
  <si>
    <t xml:space="preserve">          7.85亿</t>
  </si>
  <si>
    <t>-0.604㈢</t>
  </si>
  <si>
    <t xml:space="preserve"> -61.54㈢</t>
  </si>
  <si>
    <t>机器人</t>
  </si>
  <si>
    <t xml:space="preserve">        211.30亿</t>
  </si>
  <si>
    <t xml:space="preserve">        217.81亿</t>
  </si>
  <si>
    <t xml:space="preserve">        156.26亿</t>
  </si>
  <si>
    <t>11.13万</t>
  </si>
  <si>
    <t xml:space="preserve">   4.47㈢</t>
  </si>
  <si>
    <t>华星创业</t>
  </si>
  <si>
    <t xml:space="preserve">         20.79亿</t>
  </si>
  <si>
    <t xml:space="preserve">         22.33亿</t>
  </si>
  <si>
    <t xml:space="preserve">         17.30亿</t>
  </si>
  <si>
    <t>红日药业</t>
  </si>
  <si>
    <t xml:space="preserve">         82.74亿</t>
  </si>
  <si>
    <t xml:space="preserve">        102.19亿</t>
  </si>
  <si>
    <t xml:space="preserve">         51.66亿</t>
  </si>
  <si>
    <t>华谊兄弟</t>
  </si>
  <si>
    <t xml:space="preserve">        104.60亿</t>
  </si>
  <si>
    <t xml:space="preserve">        131.87亿</t>
  </si>
  <si>
    <t xml:space="preserve">         73.94亿</t>
  </si>
  <si>
    <t>-0.234㈢</t>
  </si>
  <si>
    <t xml:space="preserve">  -8.18㈢</t>
  </si>
  <si>
    <t>天龙光电</t>
  </si>
  <si>
    <t xml:space="preserve">         10.33亿</t>
  </si>
  <si>
    <t xml:space="preserve"> -43.64㈢</t>
  </si>
  <si>
    <t>阳普医疗</t>
  </si>
  <si>
    <t xml:space="preserve">         22.60亿</t>
  </si>
  <si>
    <t>6.59万</t>
  </si>
  <si>
    <t xml:space="preserve">   2.75㈢</t>
  </si>
  <si>
    <t>宝通科技</t>
  </si>
  <si>
    <t xml:space="preserve">         54.79亿</t>
  </si>
  <si>
    <t>21.93万</t>
  </si>
  <si>
    <t xml:space="preserve">   9.16㈢</t>
  </si>
  <si>
    <t>金龙机电</t>
  </si>
  <si>
    <t xml:space="preserve">         29.64亿</t>
  </si>
  <si>
    <t>6.45万</t>
  </si>
  <si>
    <t xml:space="preserve">  -2.91㈢</t>
  </si>
  <si>
    <t>同花顺</t>
  </si>
  <si>
    <t xml:space="preserve">        276.86亿</t>
  </si>
  <si>
    <t xml:space="preserve">        563.14亿</t>
  </si>
  <si>
    <t xml:space="preserve">        197.26亿</t>
  </si>
  <si>
    <t>35.94万</t>
  </si>
  <si>
    <t>钢研高纳</t>
  </si>
  <si>
    <t xml:space="preserve">         66.68亿</t>
  </si>
  <si>
    <t xml:space="preserve">         74.20亿</t>
  </si>
  <si>
    <t xml:space="preserve">         35.24亿</t>
  </si>
  <si>
    <t>17.16万</t>
  </si>
  <si>
    <t>中科电气</t>
  </si>
  <si>
    <t xml:space="preserve">         49.26亿</t>
  </si>
  <si>
    <t>8.41万</t>
  </si>
  <si>
    <t>超图软件</t>
  </si>
  <si>
    <t xml:space="preserve">         87.66亿</t>
  </si>
  <si>
    <t>21.99万</t>
  </si>
  <si>
    <t>新宙邦</t>
  </si>
  <si>
    <t xml:space="preserve">         91.21亿</t>
  </si>
  <si>
    <t xml:space="preserve">        138.30亿</t>
  </si>
  <si>
    <t xml:space="preserve">         77.42亿</t>
  </si>
  <si>
    <t>42.07万</t>
  </si>
  <si>
    <t>数知科技</t>
  </si>
  <si>
    <t xml:space="preserve">         71.23亿</t>
  </si>
  <si>
    <t xml:space="preserve">        103.59亿</t>
  </si>
  <si>
    <t xml:space="preserve">         62.29亿</t>
  </si>
  <si>
    <t>0.428㈢</t>
  </si>
  <si>
    <t xml:space="preserve">   4.56㈢</t>
  </si>
  <si>
    <t>上海凯宝</t>
  </si>
  <si>
    <t xml:space="preserve">         48.63亿</t>
  </si>
  <si>
    <t xml:space="preserve">         49.06亿</t>
  </si>
  <si>
    <t xml:space="preserve">         28.32亿</t>
  </si>
  <si>
    <t xml:space="preserve">   8.23㈢</t>
  </si>
  <si>
    <t>九洲电气</t>
  </si>
  <si>
    <t xml:space="preserve">         11.91亿</t>
  </si>
  <si>
    <t>回天新材</t>
  </si>
  <si>
    <t xml:space="preserve">         30.81亿</t>
  </si>
  <si>
    <t>18.16万</t>
  </si>
  <si>
    <t>0.346㈢</t>
  </si>
  <si>
    <t xml:space="preserve">   8.84㈢</t>
  </si>
  <si>
    <t>朗科科技</t>
  </si>
  <si>
    <t xml:space="preserve">         25.46亿</t>
  </si>
  <si>
    <t>星辉娱乐</t>
  </si>
  <si>
    <t xml:space="preserve">         64.20亿</t>
  </si>
  <si>
    <t xml:space="preserve">         32.18亿</t>
  </si>
  <si>
    <t>赛为智能</t>
  </si>
  <si>
    <t xml:space="preserve">         51.23亿</t>
  </si>
  <si>
    <t>华力创通</t>
  </si>
  <si>
    <t xml:space="preserve">         37.97亿</t>
  </si>
  <si>
    <t xml:space="preserve">         56.52亿</t>
  </si>
  <si>
    <t>台基股份</t>
  </si>
  <si>
    <t xml:space="preserve">         34.76亿</t>
  </si>
  <si>
    <t>0.342㈢</t>
  </si>
  <si>
    <t xml:space="preserve">   8.05㈢</t>
  </si>
  <si>
    <t>天源迪科</t>
  </si>
  <si>
    <t xml:space="preserve">         37.13亿</t>
  </si>
  <si>
    <t>合康新能</t>
  </si>
  <si>
    <t xml:space="preserve">         26.52亿</t>
  </si>
  <si>
    <t>福瑞股份</t>
  </si>
  <si>
    <t xml:space="preserve">         17.12亿</t>
  </si>
  <si>
    <t xml:space="preserve">         14.07亿</t>
  </si>
  <si>
    <t>世纪鼎利</t>
  </si>
  <si>
    <t xml:space="preserve">         31.22亿</t>
  </si>
  <si>
    <t xml:space="preserve">         20.39亿</t>
  </si>
  <si>
    <t>三五互联</t>
  </si>
  <si>
    <t>中青宝</t>
  </si>
  <si>
    <t xml:space="preserve">         44.09亿</t>
  </si>
  <si>
    <t xml:space="preserve">   8.08㈢</t>
  </si>
  <si>
    <t>欧比特</t>
  </si>
  <si>
    <t xml:space="preserve">         75.36亿</t>
  </si>
  <si>
    <t xml:space="preserve">         89.88亿</t>
  </si>
  <si>
    <t xml:space="preserve">         68.23亿</t>
  </si>
  <si>
    <t>17.06万</t>
  </si>
  <si>
    <t xml:space="preserve">   2.33㈢</t>
  </si>
  <si>
    <t>鼎龙股份</t>
  </si>
  <si>
    <t xml:space="preserve">         64.49亿</t>
  </si>
  <si>
    <t xml:space="preserve">         89.22亿</t>
  </si>
  <si>
    <t xml:space="preserve">         57.76亿</t>
  </si>
  <si>
    <t>31.81万</t>
  </si>
  <si>
    <t>万邦达</t>
  </si>
  <si>
    <t xml:space="preserve">         57.48亿</t>
  </si>
  <si>
    <t xml:space="preserve">         57.62亿</t>
  </si>
  <si>
    <t>8.32万</t>
  </si>
  <si>
    <t>三维丝</t>
  </si>
  <si>
    <t xml:space="preserve">          9.40亿</t>
  </si>
  <si>
    <t>-0.197㈢</t>
  </si>
  <si>
    <t xml:space="preserve">  -8.69㈢</t>
  </si>
  <si>
    <t>万顺新材</t>
  </si>
  <si>
    <t xml:space="preserve">         30.22亿</t>
  </si>
  <si>
    <t xml:space="preserve">         41.08亿</t>
  </si>
  <si>
    <t>蓝色光标</t>
  </si>
  <si>
    <t xml:space="preserve">        124.78亿</t>
  </si>
  <si>
    <t xml:space="preserve">        142.74亿</t>
  </si>
  <si>
    <t xml:space="preserve">        110.31亿</t>
  </si>
  <si>
    <t>15.45万</t>
  </si>
  <si>
    <t xml:space="preserve">   7.21㈢</t>
  </si>
  <si>
    <t>东方财富</t>
  </si>
  <si>
    <t xml:space="preserve">        818.57亿</t>
  </si>
  <si>
    <t xml:space="preserve">       1011.37亿</t>
  </si>
  <si>
    <t xml:space="preserve">        709.13亿</t>
  </si>
  <si>
    <t>19.81万</t>
  </si>
  <si>
    <t>康旗股份</t>
  </si>
  <si>
    <t xml:space="preserve">         30.18亿</t>
  </si>
  <si>
    <t xml:space="preserve">         44.07亿</t>
  </si>
  <si>
    <t xml:space="preserve">         11.61亿</t>
  </si>
  <si>
    <t>中能电气</t>
  </si>
  <si>
    <t xml:space="preserve">         10.11亿</t>
  </si>
  <si>
    <t xml:space="preserve">          7.29亿</t>
  </si>
  <si>
    <t>天龙集团</t>
  </si>
  <si>
    <t xml:space="preserve">         17.81亿</t>
  </si>
  <si>
    <t xml:space="preserve">         22.92亿</t>
  </si>
  <si>
    <t xml:space="preserve">         11.54亿</t>
  </si>
  <si>
    <t>豫金刚石</t>
  </si>
  <si>
    <t xml:space="preserve">         39.78亿</t>
  </si>
  <si>
    <t>海兰信</t>
  </si>
  <si>
    <t xml:space="preserve">         39.81亿</t>
  </si>
  <si>
    <t xml:space="preserve">         47.54亿</t>
  </si>
  <si>
    <t xml:space="preserve">         34.80亿</t>
  </si>
  <si>
    <t xml:space="preserve">   5.16㈢</t>
  </si>
  <si>
    <t>三川智慧</t>
  </si>
  <si>
    <t xml:space="preserve">         26.68亿</t>
  </si>
  <si>
    <t>0.114㈢</t>
  </si>
  <si>
    <t xml:space="preserve">   7.00㈢</t>
  </si>
  <si>
    <t>安诺其</t>
  </si>
  <si>
    <t xml:space="preserve">         27.28亿</t>
  </si>
  <si>
    <t xml:space="preserve">         39.18亿</t>
  </si>
  <si>
    <t>0.160㈢</t>
  </si>
  <si>
    <t>南都电源</t>
  </si>
  <si>
    <t xml:space="preserve">         87.40亿</t>
  </si>
  <si>
    <t xml:space="preserve">         94.39亿</t>
  </si>
  <si>
    <t xml:space="preserve">         60.10亿</t>
  </si>
  <si>
    <t>12.17万</t>
  </si>
  <si>
    <t>金利华电</t>
  </si>
  <si>
    <t xml:space="preserve">         13.23亿</t>
  </si>
  <si>
    <t xml:space="preserve">         18.38亿</t>
  </si>
  <si>
    <t xml:space="preserve">          9.03亿</t>
  </si>
  <si>
    <t>16.98万</t>
  </si>
  <si>
    <t xml:space="preserve">   0.35㈢</t>
  </si>
  <si>
    <t>碧水源</t>
  </si>
  <si>
    <t xml:space="preserve">        162.50亿</t>
  </si>
  <si>
    <t xml:space="preserve">        235.76亿</t>
  </si>
  <si>
    <t xml:space="preserve">        121.25亿</t>
  </si>
  <si>
    <t>14.42万</t>
  </si>
  <si>
    <t>华谊嘉信</t>
  </si>
  <si>
    <t xml:space="preserve">         11.47亿</t>
  </si>
  <si>
    <t>4.93万</t>
  </si>
  <si>
    <t>-0.072㈢</t>
  </si>
  <si>
    <t xml:space="preserve"> -66.42㈢</t>
  </si>
  <si>
    <t>三聚环保</t>
  </si>
  <si>
    <t xml:space="preserve">        132.56亿</t>
  </si>
  <si>
    <t xml:space="preserve">        145.45亿</t>
  </si>
  <si>
    <t xml:space="preserve">         69.75亿</t>
  </si>
  <si>
    <t>11.26万</t>
  </si>
  <si>
    <t>当升科技</t>
  </si>
  <si>
    <t xml:space="preserve">        116.26亿</t>
  </si>
  <si>
    <t xml:space="preserve">        118.05亿</t>
  </si>
  <si>
    <t>0.503㈢</t>
  </si>
  <si>
    <t xml:space="preserve">   6.35㈢</t>
  </si>
  <si>
    <t>华平股份</t>
  </si>
  <si>
    <t xml:space="preserve">         24.08亿</t>
  </si>
  <si>
    <t xml:space="preserve">         17.05亿</t>
  </si>
  <si>
    <t xml:space="preserve">   0.42㈢</t>
  </si>
  <si>
    <t>数字政通</t>
  </si>
  <si>
    <t xml:space="preserve">         36.42亿</t>
  </si>
  <si>
    <t xml:space="preserve">         48.29亿</t>
  </si>
  <si>
    <t xml:space="preserve">         33.01亿</t>
  </si>
  <si>
    <t>GQY视讯</t>
  </si>
  <si>
    <t xml:space="preserve">         23.13亿</t>
  </si>
  <si>
    <t xml:space="preserve">         26.54亿</t>
  </si>
  <si>
    <t xml:space="preserve">         14.83亿</t>
  </si>
  <si>
    <t>国民技术</t>
  </si>
  <si>
    <t xml:space="preserve">         33.68亿</t>
  </si>
  <si>
    <t xml:space="preserve">         34.46亿</t>
  </si>
  <si>
    <t>-0.139㈢</t>
  </si>
  <si>
    <t xml:space="preserve">  -7.69㈢</t>
  </si>
  <si>
    <t>思创医惠</t>
  </si>
  <si>
    <t xml:space="preserve">         87.15亿</t>
  </si>
  <si>
    <t xml:space="preserve">         60.52亿</t>
  </si>
  <si>
    <t>17.21万</t>
  </si>
  <si>
    <t xml:space="preserve">   5.31㈢</t>
  </si>
  <si>
    <t>数码科技</t>
  </si>
  <si>
    <t xml:space="preserve">         74.26亿</t>
  </si>
  <si>
    <t xml:space="preserve">         71.04亿</t>
  </si>
  <si>
    <t xml:space="preserve">   1.55㈢</t>
  </si>
  <si>
    <t>易成新能</t>
  </si>
  <si>
    <t>7.75万</t>
  </si>
  <si>
    <t>0.472㈢</t>
  </si>
  <si>
    <t xml:space="preserve">  19.15㈢</t>
  </si>
  <si>
    <t>恒信东方</t>
  </si>
  <si>
    <t xml:space="preserve">         38.43亿</t>
  </si>
  <si>
    <t xml:space="preserve">         56.20亿</t>
  </si>
  <si>
    <t>11.30万</t>
  </si>
  <si>
    <t>0.203㈢</t>
  </si>
  <si>
    <t>奥克股份</t>
  </si>
  <si>
    <t xml:space="preserve">         40.35亿</t>
  </si>
  <si>
    <t>8.36万</t>
  </si>
  <si>
    <t>劲胜智能</t>
  </si>
  <si>
    <t xml:space="preserve">         49.90亿</t>
  </si>
  <si>
    <t xml:space="preserve">         57.09亿</t>
  </si>
  <si>
    <t xml:space="preserve">         36.65亿</t>
  </si>
  <si>
    <t>-0.058㈢</t>
  </si>
  <si>
    <t xml:space="preserve">  -3.10㈢</t>
  </si>
  <si>
    <t>海默科技</t>
  </si>
  <si>
    <t>-0.122㈢</t>
  </si>
  <si>
    <t xml:space="preserve">  -2.54㈢</t>
  </si>
  <si>
    <t>银之杰</t>
  </si>
  <si>
    <t xml:space="preserve">         65.16亿</t>
  </si>
  <si>
    <t xml:space="preserve">        110.94亿</t>
  </si>
  <si>
    <t xml:space="preserve">         50.86亿</t>
  </si>
  <si>
    <t>8.66万</t>
  </si>
  <si>
    <t>康芝药业</t>
  </si>
  <si>
    <t xml:space="preserve">         20.61亿</t>
  </si>
  <si>
    <t>荃银高科</t>
  </si>
  <si>
    <t>17.25万</t>
  </si>
  <si>
    <t xml:space="preserve">  -4.11㈢</t>
  </si>
  <si>
    <t>长信科技</t>
  </si>
  <si>
    <t xml:space="preserve">        223.57亿</t>
  </si>
  <si>
    <t xml:space="preserve">        227.73亿</t>
  </si>
  <si>
    <t xml:space="preserve">        176.52亿</t>
  </si>
  <si>
    <t>20.61万</t>
  </si>
  <si>
    <t xml:space="preserve">  12.87㈢</t>
  </si>
  <si>
    <t>文化长城</t>
  </si>
  <si>
    <t xml:space="preserve">          9.98亿</t>
  </si>
  <si>
    <t xml:space="preserve">         17.27亿</t>
  </si>
  <si>
    <t xml:space="preserve">          8.02亿</t>
  </si>
  <si>
    <t xml:space="preserve">  -0.58㈢</t>
  </si>
  <si>
    <t>盛运环保</t>
  </si>
  <si>
    <t xml:space="preserve">         15.30亿</t>
  </si>
  <si>
    <t xml:space="preserve">         17.69亿</t>
  </si>
  <si>
    <t>-0.419㈢</t>
  </si>
  <si>
    <t>金通灵</t>
  </si>
  <si>
    <t xml:space="preserve">         50.19亿</t>
  </si>
  <si>
    <t>科新机电</t>
  </si>
  <si>
    <t xml:space="preserve">         11.95亿</t>
  </si>
  <si>
    <t xml:space="preserve">         16.56亿</t>
  </si>
  <si>
    <t>金刚玻璃</t>
  </si>
  <si>
    <t xml:space="preserve">         22.79亿</t>
  </si>
  <si>
    <t xml:space="preserve">   1.42㈢</t>
  </si>
  <si>
    <t>国联水产</t>
  </si>
  <si>
    <t xml:space="preserve">         31.62亿</t>
  </si>
  <si>
    <t xml:space="preserve">         38.41亿</t>
  </si>
  <si>
    <t xml:space="preserve">         15.21亿</t>
  </si>
  <si>
    <t>6.86万</t>
  </si>
  <si>
    <t>华伍股份</t>
  </si>
  <si>
    <t xml:space="preserve">         22.53亿</t>
  </si>
  <si>
    <t xml:space="preserve">   4.64㈢</t>
  </si>
  <si>
    <t>易联众</t>
  </si>
  <si>
    <t xml:space="preserve">         39.91亿</t>
  </si>
  <si>
    <t xml:space="preserve">         45.58亿</t>
  </si>
  <si>
    <t xml:space="preserve">         27.42亿</t>
  </si>
  <si>
    <t>智云股份</t>
  </si>
  <si>
    <t xml:space="preserve">         30.73亿</t>
  </si>
  <si>
    <t>-0.312㈢</t>
  </si>
  <si>
    <t xml:space="preserve">  -4.86㈢</t>
  </si>
  <si>
    <t>高新兴</t>
  </si>
  <si>
    <t xml:space="preserve">         77.87亿</t>
  </si>
  <si>
    <t xml:space="preserve">        104.07亿</t>
  </si>
  <si>
    <t xml:space="preserve">         67.59亿</t>
  </si>
  <si>
    <t>精准信息</t>
  </si>
  <si>
    <t xml:space="preserve">         27.89亿</t>
  </si>
  <si>
    <t>4.02万</t>
  </si>
  <si>
    <t>双林股份</t>
  </si>
  <si>
    <t xml:space="preserve">         22.71亿</t>
  </si>
  <si>
    <t>振芯科技</t>
  </si>
  <si>
    <t xml:space="preserve">         51.44亿</t>
  </si>
  <si>
    <t xml:space="preserve">         52.15亿</t>
  </si>
  <si>
    <t xml:space="preserve">         35.50亿</t>
  </si>
  <si>
    <t>5.30万</t>
  </si>
  <si>
    <t xml:space="preserve">   0.88㈢</t>
  </si>
  <si>
    <t>乾照光电</t>
  </si>
  <si>
    <t xml:space="preserve">  -1.76㈢</t>
  </si>
  <si>
    <t>达刚控股</t>
  </si>
  <si>
    <t xml:space="preserve">         22.46亿</t>
  </si>
  <si>
    <t xml:space="preserve">         11.39亿</t>
  </si>
  <si>
    <t>龙源技术</t>
  </si>
  <si>
    <t xml:space="preserve">         13.01亿</t>
  </si>
  <si>
    <t xml:space="preserve">  -0.81㈢</t>
  </si>
  <si>
    <t>西部牧业</t>
  </si>
  <si>
    <t xml:space="preserve">         13.67亿</t>
  </si>
  <si>
    <t xml:space="preserve">          7.96亿</t>
  </si>
  <si>
    <t>4.97万</t>
  </si>
  <si>
    <t>建新股份</t>
  </si>
  <si>
    <t xml:space="preserve">         38.58亿</t>
  </si>
  <si>
    <t xml:space="preserve">         18.71亿</t>
  </si>
  <si>
    <t>4.77万</t>
  </si>
  <si>
    <t>0.513㈢</t>
  </si>
  <si>
    <t xml:space="preserve">  16.49㈢</t>
  </si>
  <si>
    <t>吉药控股</t>
  </si>
  <si>
    <t xml:space="preserve">         16.47亿</t>
  </si>
  <si>
    <t xml:space="preserve">         25.51亿</t>
  </si>
  <si>
    <t>新开源</t>
  </si>
  <si>
    <t xml:space="preserve">         19.09亿</t>
  </si>
  <si>
    <t>9.77万</t>
  </si>
  <si>
    <t>华仁药业</t>
  </si>
  <si>
    <t xml:space="preserve">         48.65亿</t>
  </si>
  <si>
    <t>向日葵</t>
  </si>
  <si>
    <t xml:space="preserve">         26.32亿</t>
  </si>
  <si>
    <t xml:space="preserve">         21.06亿</t>
  </si>
  <si>
    <t>2.07万</t>
  </si>
  <si>
    <t>-0.049㈢</t>
  </si>
  <si>
    <t>万讯自控</t>
  </si>
  <si>
    <t xml:space="preserve">         20.23亿</t>
  </si>
  <si>
    <t xml:space="preserve">         29.48亿</t>
  </si>
  <si>
    <t xml:space="preserve">         17.64亿</t>
  </si>
  <si>
    <t>顺网科技</t>
  </si>
  <si>
    <t xml:space="preserve">        124.17亿</t>
  </si>
  <si>
    <t xml:space="preserve">        180.45亿</t>
  </si>
  <si>
    <t xml:space="preserve">        106.15亿</t>
  </si>
  <si>
    <t>29.01万</t>
  </si>
  <si>
    <t xml:space="preserve">  12.68㈢</t>
  </si>
  <si>
    <t>中航电测</t>
  </si>
  <si>
    <t>0.315㈢</t>
  </si>
  <si>
    <t xml:space="preserve">  11.75㈢</t>
  </si>
  <si>
    <t>长盈精密</t>
  </si>
  <si>
    <t xml:space="preserve">        162.70亿</t>
  </si>
  <si>
    <t xml:space="preserve">        163.50亿</t>
  </si>
  <si>
    <t xml:space="preserve">         96.19亿</t>
  </si>
  <si>
    <t>22.24万</t>
  </si>
  <si>
    <t>坚瑞沃能</t>
  </si>
  <si>
    <t xml:space="preserve">         31.91亿</t>
  </si>
  <si>
    <t xml:space="preserve">         39.41亿</t>
  </si>
  <si>
    <t xml:space="preserve">         25.87亿</t>
  </si>
  <si>
    <t>-1.072㈢</t>
  </si>
  <si>
    <t>嘉寓股份</t>
  </si>
  <si>
    <t xml:space="preserve">         26.66亿</t>
  </si>
  <si>
    <t xml:space="preserve">         11.33亿</t>
  </si>
  <si>
    <t xml:space="preserve">  20.98㈢</t>
  </si>
  <si>
    <t>东方日升</t>
  </si>
  <si>
    <t xml:space="preserve">         93.44亿</t>
  </si>
  <si>
    <t xml:space="preserve">        121.05亿</t>
  </si>
  <si>
    <t xml:space="preserve">         78.40亿</t>
  </si>
  <si>
    <t>24.17万</t>
  </si>
  <si>
    <t>瑞普生物</t>
  </si>
  <si>
    <t xml:space="preserve">         33.90亿</t>
  </si>
  <si>
    <t xml:space="preserve">         56.22亿</t>
  </si>
  <si>
    <t>经纬辉开</t>
  </si>
  <si>
    <t xml:space="preserve">         14.41亿</t>
  </si>
  <si>
    <t>阳谷华泰</t>
  </si>
  <si>
    <t xml:space="preserve">         27.36亿</t>
  </si>
  <si>
    <t xml:space="preserve">         11.60亿</t>
  </si>
  <si>
    <t xml:space="preserve">   8.37㈢</t>
  </si>
  <si>
    <t>智飞生物</t>
  </si>
  <si>
    <t xml:space="preserve">        427.46亿</t>
  </si>
  <si>
    <t xml:space="preserve">        780.96亿</t>
  </si>
  <si>
    <t xml:space="preserve">        232.57亿</t>
  </si>
  <si>
    <t>65.72万</t>
  </si>
  <si>
    <t>1.102㈢</t>
  </si>
  <si>
    <t xml:space="preserve">  34.27㈢</t>
  </si>
  <si>
    <t>亚光科技</t>
  </si>
  <si>
    <t xml:space="preserve">         43.65亿</t>
  </si>
  <si>
    <t xml:space="preserve">         76.08亿</t>
  </si>
  <si>
    <t xml:space="preserve">         27.65亿</t>
  </si>
  <si>
    <t>6.14万</t>
  </si>
  <si>
    <t>汇川技术</t>
  </si>
  <si>
    <t xml:space="preserve">        399.71亿</t>
  </si>
  <si>
    <t xml:space="preserve">        511.19亿</t>
  </si>
  <si>
    <t xml:space="preserve">        301.39亿</t>
  </si>
  <si>
    <t>133.71万</t>
  </si>
  <si>
    <t>易世达</t>
  </si>
  <si>
    <t xml:space="preserve">         44.63亿</t>
  </si>
  <si>
    <t xml:space="preserve">         44.92亿</t>
  </si>
  <si>
    <t xml:space="preserve">         34.74亿</t>
  </si>
  <si>
    <t>51.43万</t>
  </si>
  <si>
    <t>锐奇股份</t>
  </si>
  <si>
    <t xml:space="preserve">         11.82亿</t>
  </si>
  <si>
    <t>银河磁体</t>
  </si>
  <si>
    <t xml:space="preserve">         43.49亿</t>
  </si>
  <si>
    <t xml:space="preserve">         61.88亿</t>
  </si>
  <si>
    <t xml:space="preserve">         18.21亿</t>
  </si>
  <si>
    <t>锦富技术</t>
  </si>
  <si>
    <t xml:space="preserve">         43.00亿</t>
  </si>
  <si>
    <t xml:space="preserve">         43.87亿</t>
  </si>
  <si>
    <t>泰胜风能</t>
  </si>
  <si>
    <t xml:space="preserve">         26.51亿</t>
  </si>
  <si>
    <t xml:space="preserve">         34.23亿</t>
  </si>
  <si>
    <t xml:space="preserve">   5.87㈢</t>
  </si>
  <si>
    <t>新国都</t>
  </si>
  <si>
    <t xml:space="preserve">         58.66亿</t>
  </si>
  <si>
    <t xml:space="preserve">         83.29亿</t>
  </si>
  <si>
    <t xml:space="preserve">         45.53亿</t>
  </si>
  <si>
    <t>22.89万</t>
  </si>
  <si>
    <t>英唐智控</t>
  </si>
  <si>
    <t xml:space="preserve">         55.83亿</t>
  </si>
  <si>
    <t xml:space="preserve">         38.62亿</t>
  </si>
  <si>
    <t>青松股份</t>
  </si>
  <si>
    <t xml:space="preserve">         55.95亿</t>
  </si>
  <si>
    <t xml:space="preserve">         26.44亿</t>
  </si>
  <si>
    <t>15.46万</t>
  </si>
  <si>
    <t>0.730㈢</t>
  </si>
  <si>
    <t xml:space="preserve">  11.52㈢</t>
  </si>
  <si>
    <t>华策影视</t>
  </si>
  <si>
    <t xml:space="preserve">        102.90亿</t>
  </si>
  <si>
    <t xml:space="preserve">        130.80亿</t>
  </si>
  <si>
    <t xml:space="preserve">         70.51亿</t>
  </si>
  <si>
    <t>23.13万</t>
  </si>
  <si>
    <t>大富科技</t>
  </si>
  <si>
    <t xml:space="preserve">        111.35亿</t>
  </si>
  <si>
    <t xml:space="preserve">        119.96亿</t>
  </si>
  <si>
    <t xml:space="preserve">         54.46亿</t>
  </si>
  <si>
    <t>9.54万</t>
  </si>
  <si>
    <t>宝利国际</t>
  </si>
  <si>
    <t xml:space="preserve">         21.07亿</t>
  </si>
  <si>
    <t xml:space="preserve">   3.07㈢</t>
  </si>
  <si>
    <t>信维通信</t>
  </si>
  <si>
    <t xml:space="preserve">        364.28亿</t>
  </si>
  <si>
    <t xml:space="preserve">        435.60亿</t>
  </si>
  <si>
    <t xml:space="preserve">        342.03亿</t>
  </si>
  <si>
    <t>49.96万</t>
  </si>
  <si>
    <t>0.855㈢</t>
  </si>
  <si>
    <t>先河环保</t>
  </si>
  <si>
    <t xml:space="preserve">         35.99亿</t>
  </si>
  <si>
    <t xml:space="preserve">         42.10亿</t>
  </si>
  <si>
    <t xml:space="preserve">         34.52亿</t>
  </si>
  <si>
    <t xml:space="preserve">   8.93㈢</t>
  </si>
  <si>
    <t>晨光生物</t>
  </si>
  <si>
    <t>20.17万</t>
  </si>
  <si>
    <t xml:space="preserve">   7.98㈢</t>
  </si>
  <si>
    <t>晓程科技</t>
  </si>
  <si>
    <t xml:space="preserve">         19.48亿</t>
  </si>
  <si>
    <t xml:space="preserve">         24.50亿</t>
  </si>
  <si>
    <t>4.08万</t>
  </si>
  <si>
    <t xml:space="preserve">  -3.75㈢</t>
  </si>
  <si>
    <t>中环装备</t>
  </si>
  <si>
    <t xml:space="preserve">         20.43亿</t>
  </si>
  <si>
    <t>10.79万</t>
  </si>
  <si>
    <t>和顺电气</t>
  </si>
  <si>
    <t xml:space="preserve">         10.93亿</t>
  </si>
  <si>
    <t xml:space="preserve">          6.97亿</t>
  </si>
  <si>
    <t>沃森生物</t>
  </si>
  <si>
    <t xml:space="preserve">        461.81亿</t>
  </si>
  <si>
    <t xml:space="preserve">        488.14亿</t>
  </si>
  <si>
    <t xml:space="preserve">        374.34亿</t>
  </si>
  <si>
    <t>119.72万</t>
  </si>
  <si>
    <t>盈康生命</t>
  </si>
  <si>
    <t xml:space="preserve">         50.87亿</t>
  </si>
  <si>
    <t xml:space="preserve">         22.66亿</t>
  </si>
  <si>
    <t>24.69万</t>
  </si>
  <si>
    <t>宋城演艺</t>
  </si>
  <si>
    <t xml:space="preserve">        364.61亿</t>
  </si>
  <si>
    <t xml:space="preserve">        450.45亿</t>
  </si>
  <si>
    <t xml:space="preserve">        210.61亿</t>
  </si>
  <si>
    <t>87.73万</t>
  </si>
  <si>
    <t>0.874㈢</t>
  </si>
  <si>
    <t xml:space="preserve">  12.80㈢</t>
  </si>
  <si>
    <t>中金环境</t>
  </si>
  <si>
    <t xml:space="preserve">         67.90亿</t>
  </si>
  <si>
    <t xml:space="preserve">         41.41亿</t>
  </si>
  <si>
    <t>12.14万</t>
  </si>
  <si>
    <t>0.174㈢</t>
  </si>
  <si>
    <t xml:space="preserve">   6.50㈢</t>
  </si>
  <si>
    <t>汤臣倍健</t>
  </si>
  <si>
    <t xml:space="preserve">        143.92亿</t>
  </si>
  <si>
    <t xml:space="preserve">        258.26亿</t>
  </si>
  <si>
    <t xml:space="preserve">        114.93亿</t>
  </si>
  <si>
    <t>27.96万</t>
  </si>
  <si>
    <t xml:space="preserve">  16.13㈢</t>
  </si>
  <si>
    <t>香雪制药</t>
  </si>
  <si>
    <t xml:space="preserve">         53.25亿</t>
  </si>
  <si>
    <t>10.56万</t>
  </si>
  <si>
    <t>天舟文化</t>
  </si>
  <si>
    <t>7.34万</t>
  </si>
  <si>
    <t>量子生物</t>
  </si>
  <si>
    <t xml:space="preserve">         53.16亿</t>
  </si>
  <si>
    <t xml:space="preserve">         65.57亿</t>
  </si>
  <si>
    <t xml:space="preserve">         34.14亿</t>
  </si>
  <si>
    <t>19.71万</t>
  </si>
  <si>
    <t>世纪瑞尔</t>
  </si>
  <si>
    <t xml:space="preserve">         24.40亿</t>
  </si>
  <si>
    <t>-0.002㈢</t>
  </si>
  <si>
    <t xml:space="preserve">  -0.05㈢</t>
  </si>
  <si>
    <t>昌红科技</t>
  </si>
  <si>
    <t xml:space="preserve">         25.23亿</t>
  </si>
  <si>
    <t xml:space="preserve">         44.17亿</t>
  </si>
  <si>
    <t xml:space="preserve">         21.79亿</t>
  </si>
  <si>
    <t>科融环境</t>
  </si>
  <si>
    <t xml:space="preserve">         24.81亿</t>
  </si>
  <si>
    <t>0.129㈢</t>
  </si>
  <si>
    <t>科泰电源</t>
  </si>
  <si>
    <t xml:space="preserve">         20.66亿</t>
  </si>
  <si>
    <t xml:space="preserve">         20.83亿</t>
  </si>
  <si>
    <t>瑞凌股份</t>
  </si>
  <si>
    <t xml:space="preserve">          8.29亿</t>
  </si>
  <si>
    <t>4.42万</t>
  </si>
  <si>
    <t>安居宝</t>
  </si>
  <si>
    <t xml:space="preserve">         14.59亿</t>
  </si>
  <si>
    <t>神雾环保</t>
  </si>
  <si>
    <t xml:space="preserve">         12.05亿</t>
  </si>
  <si>
    <t xml:space="preserve">          9.05亿</t>
  </si>
  <si>
    <t>1.70万</t>
  </si>
  <si>
    <t>-0.970㈢</t>
  </si>
  <si>
    <t>-319.81㈢</t>
  </si>
  <si>
    <t>恒泰艾普</t>
  </si>
  <si>
    <t>-0.076㈢</t>
  </si>
  <si>
    <t xml:space="preserve">  -1.51㈢</t>
  </si>
  <si>
    <t>振东制药</t>
  </si>
  <si>
    <t xml:space="preserve">         46.76亿</t>
  </si>
  <si>
    <t xml:space="preserve">         26.58亿</t>
  </si>
  <si>
    <t>新研股份</t>
  </si>
  <si>
    <t xml:space="preserve">         59.02亿</t>
  </si>
  <si>
    <t>9.26万</t>
  </si>
  <si>
    <t>秀强股份</t>
  </si>
  <si>
    <t xml:space="preserve">         11.81亿</t>
  </si>
  <si>
    <t>华中数控</t>
  </si>
  <si>
    <t xml:space="preserve">         23.43亿</t>
  </si>
  <si>
    <t xml:space="preserve">         14.01亿</t>
  </si>
  <si>
    <t>-0.245㈢</t>
  </si>
  <si>
    <t xml:space="preserve">  -3.84㈢</t>
  </si>
  <si>
    <t>雷曼光电</t>
  </si>
  <si>
    <t xml:space="preserve">         29.71亿</t>
  </si>
  <si>
    <t>0.117㈢</t>
  </si>
  <si>
    <t xml:space="preserve">   4.37㈢</t>
  </si>
  <si>
    <t>先锋新材</t>
  </si>
  <si>
    <t xml:space="preserve">         12.30亿</t>
  </si>
  <si>
    <t xml:space="preserve">         17.06亿</t>
  </si>
  <si>
    <t>通源石油</t>
  </si>
  <si>
    <t xml:space="preserve">         23.33亿</t>
  </si>
  <si>
    <t xml:space="preserve">         13.74亿</t>
  </si>
  <si>
    <t>天瑞仪器</t>
  </si>
  <si>
    <t>0.044㈢</t>
  </si>
  <si>
    <t xml:space="preserve">   1.25㈢</t>
  </si>
  <si>
    <t>东方国信</t>
  </si>
  <si>
    <t xml:space="preserve">        104.95亿</t>
  </si>
  <si>
    <t xml:space="preserve">        135.57亿</t>
  </si>
  <si>
    <t xml:space="preserve">         95.07亿</t>
  </si>
  <si>
    <t>26.21万</t>
  </si>
  <si>
    <t>迪威迅</t>
  </si>
  <si>
    <t xml:space="preserve">         16.39亿</t>
  </si>
  <si>
    <t xml:space="preserve">         10.52亿</t>
  </si>
  <si>
    <t xml:space="preserve">   0.41㈢</t>
  </si>
  <si>
    <t>万达信息</t>
  </si>
  <si>
    <t xml:space="preserve">        176.88亿</t>
  </si>
  <si>
    <t xml:space="preserve">        178.05亿</t>
  </si>
  <si>
    <t xml:space="preserve">        108.86亿</t>
  </si>
  <si>
    <t>19.28万</t>
  </si>
  <si>
    <t>天晟新材</t>
  </si>
  <si>
    <t xml:space="preserve">         14.89亿</t>
  </si>
  <si>
    <t xml:space="preserve">         12.62亿</t>
  </si>
  <si>
    <t>汉得信息</t>
  </si>
  <si>
    <t xml:space="preserve">         71.90亿</t>
  </si>
  <si>
    <t xml:space="preserve">         87.08亿</t>
  </si>
  <si>
    <t xml:space="preserve">         65.58亿</t>
  </si>
  <si>
    <t>东富龙</t>
  </si>
  <si>
    <t xml:space="preserve">   1.98㈢</t>
  </si>
  <si>
    <t>中电环保</t>
  </si>
  <si>
    <t xml:space="preserve">         17.85亿</t>
  </si>
  <si>
    <t xml:space="preserve">         15.66亿</t>
  </si>
  <si>
    <t>智慧松德</t>
  </si>
  <si>
    <t xml:space="preserve">         38.04亿</t>
  </si>
  <si>
    <t xml:space="preserve">         15.07亿</t>
  </si>
  <si>
    <t>元力股份</t>
  </si>
  <si>
    <t xml:space="preserve">         39.29亿</t>
  </si>
  <si>
    <t xml:space="preserve">         16.52亿</t>
  </si>
  <si>
    <t>21.72万</t>
  </si>
  <si>
    <t xml:space="preserve">   9.59㈢</t>
  </si>
  <si>
    <t>朗源股份</t>
  </si>
  <si>
    <t xml:space="preserve">         28.67亿</t>
  </si>
  <si>
    <t xml:space="preserve">         16.26亿</t>
  </si>
  <si>
    <t>派生科技</t>
  </si>
  <si>
    <t xml:space="preserve">         32.70亿</t>
  </si>
  <si>
    <t xml:space="preserve">         34.43亿</t>
  </si>
  <si>
    <t>-0.656㈢</t>
  </si>
  <si>
    <t xml:space="preserve"> -23.22㈢</t>
  </si>
  <si>
    <t>中海达</t>
  </si>
  <si>
    <t xml:space="preserve">         44.25亿</t>
  </si>
  <si>
    <t xml:space="preserve">         39.28亿</t>
  </si>
  <si>
    <t>腾邦国际</t>
  </si>
  <si>
    <t xml:space="preserve">         30.58亿</t>
  </si>
  <si>
    <t>-0.218㈢</t>
  </si>
  <si>
    <t>四方达</t>
  </si>
  <si>
    <t>华峰超纤</t>
  </si>
  <si>
    <t xml:space="preserve">         89.45亿</t>
  </si>
  <si>
    <t xml:space="preserve">        148.57亿</t>
  </si>
  <si>
    <t xml:space="preserve">         71.69亿</t>
  </si>
  <si>
    <t>91.69万</t>
  </si>
  <si>
    <t xml:space="preserve">   2.00㈢</t>
  </si>
  <si>
    <t>佐力药业</t>
  </si>
  <si>
    <t xml:space="preserve">   2.92㈢</t>
  </si>
  <si>
    <t>捷成股份</t>
  </si>
  <si>
    <t xml:space="preserve">         63.04亿</t>
  </si>
  <si>
    <t xml:space="preserve">         90.64亿</t>
  </si>
  <si>
    <t xml:space="preserve">         57.27亿</t>
  </si>
  <si>
    <t xml:space="preserve">   3.03㈢</t>
  </si>
  <si>
    <t>东软载波</t>
  </si>
  <si>
    <t xml:space="preserve">         68.85亿</t>
  </si>
  <si>
    <t>9.45万</t>
  </si>
  <si>
    <t>力源信息</t>
  </si>
  <si>
    <t xml:space="preserve">         45.96亿</t>
  </si>
  <si>
    <t xml:space="preserve">         88.01亿</t>
  </si>
  <si>
    <t xml:space="preserve">         43.84亿</t>
  </si>
  <si>
    <t>通裕重工</t>
  </si>
  <si>
    <t xml:space="preserve">         57.84亿</t>
  </si>
  <si>
    <t xml:space="preserve">         41.98亿</t>
  </si>
  <si>
    <t xml:space="preserve">   3.28㈢</t>
  </si>
  <si>
    <t>永清环保</t>
  </si>
  <si>
    <t xml:space="preserve">         29.61亿</t>
  </si>
  <si>
    <t xml:space="preserve">         30.10亿</t>
  </si>
  <si>
    <t>美亚柏科</t>
  </si>
  <si>
    <t xml:space="preserve">         88.03亿</t>
  </si>
  <si>
    <t xml:space="preserve">        134.03亿</t>
  </si>
  <si>
    <t xml:space="preserve">         58.31亿</t>
  </si>
  <si>
    <t>19.85万</t>
  </si>
  <si>
    <t xml:space="preserve">  -1.34㈢</t>
  </si>
  <si>
    <t>神农科技</t>
  </si>
  <si>
    <t xml:space="preserve">         36.25亿</t>
  </si>
  <si>
    <t xml:space="preserve">         21.27亿</t>
  </si>
  <si>
    <t xml:space="preserve">  -6.67㈢</t>
  </si>
  <si>
    <t>维尔利</t>
  </si>
  <si>
    <t xml:space="preserve">         49.00亿</t>
  </si>
  <si>
    <t xml:space="preserve">         52.67亿</t>
  </si>
  <si>
    <t>12.03万</t>
  </si>
  <si>
    <t>0.291㈢</t>
  </si>
  <si>
    <t xml:space="preserve">   5.98㈢</t>
  </si>
  <si>
    <t>潜能恒信</t>
  </si>
  <si>
    <t xml:space="preserve">         45.57亿</t>
  </si>
  <si>
    <t xml:space="preserve">         70.43亿</t>
  </si>
  <si>
    <t>13.50万</t>
  </si>
  <si>
    <t xml:space="preserve">   0.72㈢</t>
  </si>
  <si>
    <t>科斯伍德</t>
  </si>
  <si>
    <t xml:space="preserve">         24.61亿</t>
  </si>
  <si>
    <t xml:space="preserve">         34.64亿</t>
  </si>
  <si>
    <t>12.78万</t>
  </si>
  <si>
    <t xml:space="preserve">   8.42㈢</t>
  </si>
  <si>
    <t>佳士科技</t>
  </si>
  <si>
    <t xml:space="preserve">         45.37亿</t>
  </si>
  <si>
    <t>10.02万</t>
  </si>
  <si>
    <t xml:space="preserve">   7.53㈢</t>
  </si>
  <si>
    <t>福安药业</t>
  </si>
  <si>
    <t xml:space="preserve">         47.76亿</t>
  </si>
  <si>
    <t>长荣股份</t>
  </si>
  <si>
    <t xml:space="preserve">         21.43亿</t>
  </si>
  <si>
    <t xml:space="preserve">         30.69亿</t>
  </si>
  <si>
    <t>8.12万</t>
  </si>
  <si>
    <t>长海股份</t>
  </si>
  <si>
    <t xml:space="preserve">         45.59亿</t>
  </si>
  <si>
    <t>23.61万</t>
  </si>
  <si>
    <t>0.565㈢</t>
  </si>
  <si>
    <t xml:space="preserve">   8.94㈢</t>
  </si>
  <si>
    <t>铁汉生态</t>
  </si>
  <si>
    <t xml:space="preserve">         70.86亿</t>
  </si>
  <si>
    <t xml:space="preserve">         38.85亿</t>
  </si>
  <si>
    <t xml:space="preserve">   0.32㈢</t>
  </si>
  <si>
    <t>纳川股份</t>
  </si>
  <si>
    <t>9.02万</t>
  </si>
  <si>
    <t>0.352㈢</t>
  </si>
  <si>
    <t xml:space="preserve">  23.81㈢</t>
  </si>
  <si>
    <t>翰宇药业</t>
  </si>
  <si>
    <t>-0.087㈢</t>
  </si>
  <si>
    <t xml:space="preserve">  -2.62㈢</t>
  </si>
  <si>
    <t>高盟新材</t>
  </si>
  <si>
    <t xml:space="preserve">         25.22亿</t>
  </si>
  <si>
    <t xml:space="preserve">         14.44亿</t>
  </si>
  <si>
    <t>10.68万</t>
  </si>
  <si>
    <t>海伦哲</t>
  </si>
  <si>
    <t xml:space="preserve">         44.86亿</t>
  </si>
  <si>
    <t>7.60万</t>
  </si>
  <si>
    <t>聚龙股份</t>
  </si>
  <si>
    <t xml:space="preserve">         47.14亿</t>
  </si>
  <si>
    <t>聚光科技</t>
  </si>
  <si>
    <t xml:space="preserve">         74.66亿</t>
  </si>
  <si>
    <t xml:space="preserve">         47.20亿</t>
  </si>
  <si>
    <t>舒泰神</t>
  </si>
  <si>
    <t xml:space="preserve">         52.65亿</t>
  </si>
  <si>
    <t xml:space="preserve">   2.52㈢</t>
  </si>
  <si>
    <t>天喻信息</t>
  </si>
  <si>
    <t xml:space="preserve">         46.73亿</t>
  </si>
  <si>
    <t xml:space="preserve">         47.18亿</t>
  </si>
  <si>
    <t xml:space="preserve">         24.38亿</t>
  </si>
  <si>
    <t>理邦仪器</t>
  </si>
  <si>
    <t xml:space="preserve">         24.41亿</t>
  </si>
  <si>
    <t xml:space="preserve">         41.71亿</t>
  </si>
  <si>
    <t>9.73万</t>
  </si>
  <si>
    <t xml:space="preserve">   8.79㈢</t>
  </si>
  <si>
    <t>欣旺达</t>
  </si>
  <si>
    <t xml:space="preserve">        268.78亿</t>
  </si>
  <si>
    <t xml:space="preserve">        300.88亿</t>
  </si>
  <si>
    <t xml:space="preserve">        180.25亿</t>
  </si>
  <si>
    <t>57.07万</t>
  </si>
  <si>
    <t xml:space="preserve">   9.10㈢</t>
  </si>
  <si>
    <t>青岛中程</t>
  </si>
  <si>
    <t xml:space="preserve">         44.98亿</t>
  </si>
  <si>
    <t xml:space="preserve">         52.69亿</t>
  </si>
  <si>
    <t xml:space="preserve">         21.80亿</t>
  </si>
  <si>
    <t>-0.082㈢</t>
  </si>
  <si>
    <t xml:space="preserve">  -2.99㈢</t>
  </si>
  <si>
    <t>天泽信息</t>
  </si>
  <si>
    <t>森远股份</t>
  </si>
  <si>
    <t xml:space="preserve">         13.84亿</t>
  </si>
  <si>
    <t xml:space="preserve">          6.76亿</t>
  </si>
  <si>
    <t xml:space="preserve">  -5.22㈢</t>
  </si>
  <si>
    <t>亿通科技</t>
  </si>
  <si>
    <t xml:space="preserve">         12.24亿</t>
  </si>
  <si>
    <t xml:space="preserve">         24.82亿</t>
  </si>
  <si>
    <t>9.31万</t>
  </si>
  <si>
    <t xml:space="preserve">   0.73㈢</t>
  </si>
  <si>
    <t>易华录</t>
  </si>
  <si>
    <t xml:space="preserve">        171.20亿</t>
  </si>
  <si>
    <t xml:space="preserve">        182.34亿</t>
  </si>
  <si>
    <t xml:space="preserve">        103.16亿</t>
  </si>
  <si>
    <t>45.92万</t>
  </si>
  <si>
    <t>佳讯飞鸿</t>
  </si>
  <si>
    <t xml:space="preserve">         28.40亿</t>
  </si>
  <si>
    <t xml:space="preserve">         22.03亿</t>
  </si>
  <si>
    <t>日科化学</t>
  </si>
  <si>
    <t>12.58万</t>
  </si>
  <si>
    <t xml:space="preserve">   6.91㈢</t>
  </si>
  <si>
    <t>电科院</t>
  </si>
  <si>
    <t xml:space="preserve">         49.75亿</t>
  </si>
  <si>
    <t xml:space="preserve">         19.93亿</t>
  </si>
  <si>
    <t>东方电热</t>
  </si>
  <si>
    <t xml:space="preserve">         30.56亿</t>
  </si>
  <si>
    <t xml:space="preserve">         17.99亿</t>
  </si>
  <si>
    <t>安利股份</t>
  </si>
  <si>
    <t xml:space="preserve">         16.85亿</t>
  </si>
  <si>
    <t xml:space="preserve">          6.71亿</t>
  </si>
  <si>
    <t>5.66万</t>
  </si>
  <si>
    <t xml:space="preserve">   4.94㈢</t>
  </si>
  <si>
    <t>鸿利智汇</t>
  </si>
  <si>
    <t xml:space="preserve">         40.93亿</t>
  </si>
  <si>
    <t xml:space="preserve">         48.00亿</t>
  </si>
  <si>
    <t>10.09万</t>
  </si>
  <si>
    <t>-1.017㈢</t>
  </si>
  <si>
    <t xml:space="preserve"> -38.21㈢</t>
  </si>
  <si>
    <t>金运激光</t>
  </si>
  <si>
    <t xml:space="preserve">         47.71亿</t>
  </si>
  <si>
    <t xml:space="preserve">         48.03亿</t>
  </si>
  <si>
    <t xml:space="preserve">         23.91亿</t>
  </si>
  <si>
    <t>34.33万</t>
  </si>
  <si>
    <t>银禧科技</t>
  </si>
  <si>
    <t>科大智能</t>
  </si>
  <si>
    <t xml:space="preserve">         43.55亿</t>
  </si>
  <si>
    <t xml:space="preserve">         67.76亿</t>
  </si>
  <si>
    <t xml:space="preserve">         35.67亿</t>
  </si>
  <si>
    <t xml:space="preserve">   0.10㈢</t>
  </si>
  <si>
    <t>北京君正</t>
  </si>
  <si>
    <t xml:space="preserve">        109.34亿</t>
  </si>
  <si>
    <t xml:space="preserve">        172.74亿</t>
  </si>
  <si>
    <t xml:space="preserve">         90.46亿</t>
  </si>
  <si>
    <t>22.85万</t>
  </si>
  <si>
    <t xml:space="preserve">   5.23㈢</t>
  </si>
  <si>
    <t>正海磁材</t>
  </si>
  <si>
    <t xml:space="preserve">         70.81亿</t>
  </si>
  <si>
    <t xml:space="preserve">         78.90亿</t>
  </si>
  <si>
    <t xml:space="preserve">         30.44亿</t>
  </si>
  <si>
    <t>金力泰</t>
  </si>
  <si>
    <t>上海钢联</t>
  </si>
  <si>
    <t xml:space="preserve">        115.91亿</t>
  </si>
  <si>
    <t xml:space="preserve">        120.70亿</t>
  </si>
  <si>
    <t xml:space="preserve">         85.49亿</t>
  </si>
  <si>
    <t>72.30万</t>
  </si>
  <si>
    <t>0.901㈢</t>
  </si>
  <si>
    <t xml:space="preserve">  13.02㈢</t>
  </si>
  <si>
    <t>光韵达</t>
  </si>
  <si>
    <t xml:space="preserve">         20.75亿</t>
  </si>
  <si>
    <t xml:space="preserve">         19.25亿</t>
  </si>
  <si>
    <t>13.88万</t>
  </si>
  <si>
    <t xml:space="preserve">   5.50㈢</t>
  </si>
  <si>
    <t>富瑞特装</t>
  </si>
  <si>
    <t xml:space="preserve">         20.98亿</t>
  </si>
  <si>
    <t>拓尔思</t>
  </si>
  <si>
    <t xml:space="preserve">         61.31亿</t>
  </si>
  <si>
    <t xml:space="preserve">         63.05亿</t>
  </si>
  <si>
    <t>8.40万</t>
  </si>
  <si>
    <t xml:space="preserve">   3.24㈢</t>
  </si>
  <si>
    <t>永利股份</t>
  </si>
  <si>
    <t>银信科技</t>
  </si>
  <si>
    <t xml:space="preserve">         35.06亿</t>
  </si>
  <si>
    <t xml:space="preserve">         26.36亿</t>
  </si>
  <si>
    <t>7.46万</t>
  </si>
  <si>
    <t xml:space="preserve">   9.44㈢</t>
  </si>
  <si>
    <t>洲明科技</t>
  </si>
  <si>
    <t xml:space="preserve">         62.54亿</t>
  </si>
  <si>
    <t xml:space="preserve">         93.46亿</t>
  </si>
  <si>
    <t xml:space="preserve">         50.20亿</t>
  </si>
  <si>
    <t>21.85万</t>
  </si>
  <si>
    <t xml:space="preserve">  14.32㈢</t>
  </si>
  <si>
    <t>金城医药</t>
  </si>
  <si>
    <t xml:space="preserve">         76.19亿</t>
  </si>
  <si>
    <t xml:space="preserve">         33.56亿</t>
  </si>
  <si>
    <t>33.64万</t>
  </si>
  <si>
    <t>1.106㈢</t>
  </si>
  <si>
    <t>开尔新材</t>
  </si>
  <si>
    <t>陶瓷</t>
  </si>
  <si>
    <t xml:space="preserve">         32.40亿</t>
  </si>
  <si>
    <t xml:space="preserve">         15.78亿</t>
  </si>
  <si>
    <t>11.39万</t>
  </si>
  <si>
    <t>方直科技</t>
  </si>
  <si>
    <t xml:space="preserve">         14.84亿</t>
  </si>
  <si>
    <t xml:space="preserve">         22.44亿</t>
  </si>
  <si>
    <t xml:space="preserve">         12.39亿</t>
  </si>
  <si>
    <t>8.03万</t>
  </si>
  <si>
    <t>0.235㈢</t>
  </si>
  <si>
    <t>上海新阳</t>
  </si>
  <si>
    <t xml:space="preserve">         80.19亿</t>
  </si>
  <si>
    <t xml:space="preserve">         81.67亿</t>
  </si>
  <si>
    <t>12.92万</t>
  </si>
  <si>
    <t>0.996㈢</t>
  </si>
  <si>
    <t xml:space="preserve">  18.39㈢</t>
  </si>
  <si>
    <t>美晨生态</t>
  </si>
  <si>
    <t xml:space="preserve">         37.93亿</t>
  </si>
  <si>
    <t xml:space="preserve">         21.61亿</t>
  </si>
  <si>
    <t>冠昊生物</t>
  </si>
  <si>
    <t xml:space="preserve">         49.03亿</t>
  </si>
  <si>
    <t xml:space="preserve">         49.69亿</t>
  </si>
  <si>
    <t xml:space="preserve">         35.04亿</t>
  </si>
  <si>
    <t>13.58万</t>
  </si>
  <si>
    <t>东宝生物</t>
  </si>
  <si>
    <t xml:space="preserve">         14.26亿</t>
  </si>
  <si>
    <t>飞力达</t>
  </si>
  <si>
    <t xml:space="preserve">         23.69亿</t>
  </si>
  <si>
    <t>6.80万</t>
  </si>
  <si>
    <t>瑞丰光电</t>
  </si>
  <si>
    <t xml:space="preserve">         35.61亿</t>
  </si>
  <si>
    <t>9.52万</t>
  </si>
  <si>
    <t>佳云科技</t>
  </si>
  <si>
    <t xml:space="preserve">         23.96亿</t>
  </si>
  <si>
    <t xml:space="preserve">         26.21亿</t>
  </si>
  <si>
    <t xml:space="preserve">         15.98亿</t>
  </si>
  <si>
    <t>6.31万</t>
  </si>
  <si>
    <t>瑞丰高材</t>
  </si>
  <si>
    <t xml:space="preserve">         14.20亿</t>
  </si>
  <si>
    <t>10.51万</t>
  </si>
  <si>
    <t>0.249㈢</t>
  </si>
  <si>
    <t>迪安诊断</t>
  </si>
  <si>
    <t xml:space="preserve">         79.93亿</t>
  </si>
  <si>
    <t xml:space="preserve">        129.68亿</t>
  </si>
  <si>
    <t>24.20万</t>
  </si>
  <si>
    <t>0.567㈢</t>
  </si>
  <si>
    <t>天玑科技</t>
  </si>
  <si>
    <t xml:space="preserve">         30.09亿</t>
  </si>
  <si>
    <t xml:space="preserve">         25.67亿</t>
  </si>
  <si>
    <t>宝莱特</t>
  </si>
  <si>
    <t xml:space="preserve">         22.29亿</t>
  </si>
  <si>
    <t>8.93万</t>
  </si>
  <si>
    <t>0.380㈢</t>
  </si>
  <si>
    <t>融捷健康</t>
  </si>
  <si>
    <t xml:space="preserve">  -0.96㈢</t>
  </si>
  <si>
    <t>新开普</t>
  </si>
  <si>
    <t xml:space="preserve">         25.78亿</t>
  </si>
  <si>
    <t xml:space="preserve">         38.73亿</t>
  </si>
  <si>
    <t>7.79万</t>
  </si>
  <si>
    <t>依米康</t>
  </si>
  <si>
    <t xml:space="preserve">   3.01㈢</t>
  </si>
  <si>
    <t>初灵信息</t>
  </si>
  <si>
    <t xml:space="preserve">         27.87亿</t>
  </si>
  <si>
    <t>光线传媒</t>
  </si>
  <si>
    <t xml:space="preserve">        322.09亿</t>
  </si>
  <si>
    <t xml:space="preserve">        339.42亿</t>
  </si>
  <si>
    <t xml:space="preserve">        101.65亿</t>
  </si>
  <si>
    <t>15.30万</t>
  </si>
  <si>
    <t>金信诺</t>
  </si>
  <si>
    <t xml:space="preserve">         34.69亿</t>
  </si>
  <si>
    <t xml:space="preserve">         52.93亿</t>
  </si>
  <si>
    <t>卫宁健康</t>
  </si>
  <si>
    <t xml:space="preserve">        240.91亿</t>
  </si>
  <si>
    <t xml:space="preserve">        160.46亿</t>
  </si>
  <si>
    <t>27.27万</t>
  </si>
  <si>
    <t xml:space="preserve">   7.75㈢</t>
  </si>
  <si>
    <t>仟源医药</t>
  </si>
  <si>
    <t xml:space="preserve">         12.60亿</t>
  </si>
  <si>
    <t>9.14万</t>
  </si>
  <si>
    <t>常山药业</t>
  </si>
  <si>
    <t xml:space="preserve">         49.37亿</t>
  </si>
  <si>
    <t xml:space="preserve">   7.24㈢</t>
  </si>
  <si>
    <t>星星科技</t>
  </si>
  <si>
    <t xml:space="preserve">         59.58亿</t>
  </si>
  <si>
    <t>开山股份</t>
  </si>
  <si>
    <t xml:space="preserve">         89.87亿</t>
  </si>
  <si>
    <t xml:space="preserve">         34.07亿</t>
  </si>
  <si>
    <t>32.05万</t>
  </si>
  <si>
    <t>精锻科技</t>
  </si>
  <si>
    <t xml:space="preserve">         41.40亿</t>
  </si>
  <si>
    <t xml:space="preserve">         44.51亿</t>
  </si>
  <si>
    <t>18.94万</t>
  </si>
  <si>
    <t>新天科技</t>
  </si>
  <si>
    <t xml:space="preserve">         32.78亿</t>
  </si>
  <si>
    <t xml:space="preserve">         53.14亿</t>
  </si>
  <si>
    <t xml:space="preserve">         26.16亿</t>
  </si>
  <si>
    <t>新莱应材</t>
  </si>
  <si>
    <t xml:space="preserve">          6.26亿</t>
  </si>
  <si>
    <t>雅本化学</t>
  </si>
  <si>
    <t>0.052㈢</t>
  </si>
  <si>
    <t>巴安水务</t>
  </si>
  <si>
    <t xml:space="preserve">         21.76亿</t>
  </si>
  <si>
    <t xml:space="preserve">         31.95亿</t>
  </si>
  <si>
    <t>6.55万</t>
  </si>
  <si>
    <t>隆华科技</t>
  </si>
  <si>
    <t xml:space="preserve">         49.31亿</t>
  </si>
  <si>
    <t xml:space="preserve">         29.41亿</t>
  </si>
  <si>
    <t>佳创视讯</t>
  </si>
  <si>
    <t xml:space="preserve">         15.80亿</t>
  </si>
  <si>
    <t xml:space="preserve">         14.82亿</t>
  </si>
  <si>
    <t>-0.073㈢</t>
  </si>
  <si>
    <t xml:space="preserve">  -5.78㈢</t>
  </si>
  <si>
    <t>通光线缆</t>
  </si>
  <si>
    <t>兴源环境</t>
  </si>
  <si>
    <t xml:space="preserve">         32.51亿</t>
  </si>
  <si>
    <t>尔康制药</t>
  </si>
  <si>
    <t xml:space="preserve">         72.57亿</t>
  </si>
  <si>
    <t xml:space="preserve">        105.81亿</t>
  </si>
  <si>
    <t xml:space="preserve">         46.78亿</t>
  </si>
  <si>
    <t>15.33万</t>
  </si>
  <si>
    <t>佳沃股份</t>
  </si>
  <si>
    <t xml:space="preserve">         19.12亿</t>
  </si>
  <si>
    <t xml:space="preserve">         13.38亿</t>
  </si>
  <si>
    <t>18.05万</t>
  </si>
  <si>
    <t>-0.553㈢</t>
  </si>
  <si>
    <t xml:space="preserve"> -47.86㈢</t>
  </si>
  <si>
    <t>联建光电</t>
  </si>
  <si>
    <t>6.44万</t>
  </si>
  <si>
    <t>中威电子</t>
  </si>
  <si>
    <t xml:space="preserve">         25.16亿</t>
  </si>
  <si>
    <t xml:space="preserve">         12.97亿</t>
  </si>
  <si>
    <t>华宇软件</t>
  </si>
  <si>
    <t xml:space="preserve">        148.49亿</t>
  </si>
  <si>
    <t xml:space="preserve">        140.07亿</t>
  </si>
  <si>
    <t>87.49万</t>
  </si>
  <si>
    <t>0.430㈢</t>
  </si>
  <si>
    <t xml:space="preserve">   5.92㈢</t>
  </si>
  <si>
    <t>开能健康</t>
  </si>
  <si>
    <t>和佳股份</t>
  </si>
  <si>
    <t xml:space="preserve">         39.25亿</t>
  </si>
  <si>
    <t xml:space="preserve">   3.10㈢</t>
  </si>
  <si>
    <t>阳光电源</t>
  </si>
  <si>
    <t xml:space="preserve">        112.61亿</t>
  </si>
  <si>
    <t xml:space="preserve">        152.70亿</t>
  </si>
  <si>
    <t xml:space="preserve">         92.83亿</t>
  </si>
  <si>
    <t xml:space="preserve">   6.69㈢</t>
  </si>
  <si>
    <t>梅安森</t>
  </si>
  <si>
    <t xml:space="preserve">         12.11亿</t>
  </si>
  <si>
    <t>三丰智能</t>
  </si>
  <si>
    <t xml:space="preserve">         63.45亿</t>
  </si>
  <si>
    <t>6.19万</t>
  </si>
  <si>
    <t>海联讯</t>
  </si>
  <si>
    <t xml:space="preserve">         31.83亿</t>
  </si>
  <si>
    <t xml:space="preserve">         31.89亿</t>
  </si>
  <si>
    <t xml:space="preserve">         13.59亿</t>
  </si>
  <si>
    <t>10.18万</t>
  </si>
  <si>
    <t xml:space="preserve">   2.27㈢</t>
  </si>
  <si>
    <t>华昌达</t>
  </si>
  <si>
    <t xml:space="preserve">         12.28亿</t>
  </si>
  <si>
    <t xml:space="preserve">         10.85亿</t>
  </si>
  <si>
    <t>-1.124㈢</t>
  </si>
  <si>
    <t xml:space="preserve"> -64.89㈢</t>
  </si>
  <si>
    <t>和晶科技</t>
  </si>
  <si>
    <t xml:space="preserve">         17.45亿</t>
  </si>
  <si>
    <t>紫天科技</t>
  </si>
  <si>
    <t xml:space="preserve">         26.63亿</t>
  </si>
  <si>
    <t>6.57万</t>
  </si>
  <si>
    <t>0.439㈢</t>
  </si>
  <si>
    <t>金明精机</t>
  </si>
  <si>
    <t xml:space="preserve">         18.10亿</t>
  </si>
  <si>
    <t xml:space="preserve">         12.41亿</t>
  </si>
  <si>
    <t>10.78万</t>
  </si>
  <si>
    <t>三盛教育</t>
  </si>
  <si>
    <t xml:space="preserve">         29.45亿</t>
  </si>
  <si>
    <t xml:space="preserve">   2.70㈢</t>
  </si>
  <si>
    <t>温州宏丰</t>
  </si>
  <si>
    <t xml:space="preserve">         18.56亿</t>
  </si>
  <si>
    <t xml:space="preserve">          7.65亿</t>
  </si>
  <si>
    <t>6.58万</t>
  </si>
  <si>
    <t>苏交科</t>
  </si>
  <si>
    <t xml:space="preserve">         53.87亿</t>
  </si>
  <si>
    <t xml:space="preserve">         78.88亿</t>
  </si>
  <si>
    <t>19.47万</t>
  </si>
  <si>
    <t>0.436㈢</t>
  </si>
  <si>
    <t>国瓷材料</t>
  </si>
  <si>
    <t xml:space="preserve">        159.85亿</t>
  </si>
  <si>
    <t xml:space="preserve">        217.72亿</t>
  </si>
  <si>
    <t xml:space="preserve">        142.90亿</t>
  </si>
  <si>
    <t>122.42万</t>
  </si>
  <si>
    <t>0.372㈢</t>
  </si>
  <si>
    <t>安科瑞</t>
  </si>
  <si>
    <t xml:space="preserve">         19.71亿</t>
  </si>
  <si>
    <t xml:space="preserve">         10.68亿</t>
  </si>
  <si>
    <t>11.12万</t>
  </si>
  <si>
    <t xml:space="preserve">  11.82㈢</t>
  </si>
  <si>
    <t>飞利信</t>
  </si>
  <si>
    <t xml:space="preserve">         43.68亿</t>
  </si>
  <si>
    <t xml:space="preserve">         55.40亿</t>
  </si>
  <si>
    <t xml:space="preserve">         40.69亿</t>
  </si>
  <si>
    <t>朗玛信息</t>
  </si>
  <si>
    <t xml:space="preserve">         25.44亿</t>
  </si>
  <si>
    <t xml:space="preserve">         41.26亿</t>
  </si>
  <si>
    <t xml:space="preserve">         20.49亿</t>
  </si>
  <si>
    <t xml:space="preserve">   4.86㈢</t>
  </si>
  <si>
    <t>利德曼</t>
  </si>
  <si>
    <t xml:space="preserve">         13.02亿</t>
  </si>
  <si>
    <t xml:space="preserve">   0.81㈢</t>
  </si>
  <si>
    <t>荣科科技</t>
  </si>
  <si>
    <t xml:space="preserve">         31.58亿</t>
  </si>
  <si>
    <t>8.94万</t>
  </si>
  <si>
    <t>华录百纳</t>
  </si>
  <si>
    <t xml:space="preserve">         42.43亿</t>
  </si>
  <si>
    <t xml:space="preserve">         48.97亿</t>
  </si>
  <si>
    <t>10.15万</t>
  </si>
  <si>
    <t>吴通控股</t>
  </si>
  <si>
    <t xml:space="preserve">         51.79亿</t>
  </si>
  <si>
    <t xml:space="preserve">         45.47亿</t>
  </si>
  <si>
    <t>4.46万</t>
  </si>
  <si>
    <t xml:space="preserve">   6.60㈢</t>
  </si>
  <si>
    <t>蓝英装备</t>
  </si>
  <si>
    <t>博雅生物</t>
  </si>
  <si>
    <t xml:space="preserve">        136.32亿</t>
  </si>
  <si>
    <t xml:space="preserve">         75.38亿</t>
  </si>
  <si>
    <t>46.25万</t>
  </si>
  <si>
    <t>三六五网</t>
  </si>
  <si>
    <t xml:space="preserve">         19.86亿</t>
  </si>
  <si>
    <t xml:space="preserve">         25.56亿</t>
  </si>
  <si>
    <t>利亚德</t>
  </si>
  <si>
    <t xml:space="preserve">        142.12亿</t>
  </si>
  <si>
    <t xml:space="preserve">        194.28亿</t>
  </si>
  <si>
    <t xml:space="preserve">        127.45亿</t>
  </si>
  <si>
    <t>24.79万</t>
  </si>
  <si>
    <t xml:space="preserve">   9.61㈢</t>
  </si>
  <si>
    <t>蓝盾股份</t>
  </si>
  <si>
    <t xml:space="preserve">         55.32亿</t>
  </si>
  <si>
    <t xml:space="preserve">         71.11亿</t>
  </si>
  <si>
    <t>三诺生物</t>
  </si>
  <si>
    <t xml:space="preserve">         63.99亿</t>
  </si>
  <si>
    <t xml:space="preserve">         82.25亿</t>
  </si>
  <si>
    <t xml:space="preserve">         40.47亿</t>
  </si>
  <si>
    <t>33.94万</t>
  </si>
  <si>
    <t>富春股份</t>
  </si>
  <si>
    <t xml:space="preserve">         31.02亿</t>
  </si>
  <si>
    <t xml:space="preserve">         35.54亿</t>
  </si>
  <si>
    <t>汉鼎宇佑</t>
  </si>
  <si>
    <t xml:space="preserve">         63.85亿</t>
  </si>
  <si>
    <t xml:space="preserve">         64.66亿</t>
  </si>
  <si>
    <t>0.196㈢</t>
  </si>
  <si>
    <t>长方集团</t>
  </si>
  <si>
    <t>同有科技</t>
  </si>
  <si>
    <t xml:space="preserve">         55.65亿</t>
  </si>
  <si>
    <t xml:space="preserve">         24.90亿</t>
  </si>
  <si>
    <t>聚飞光电</t>
  </si>
  <si>
    <t xml:space="preserve">         68.12亿</t>
  </si>
  <si>
    <t xml:space="preserve">         76.33亿</t>
  </si>
  <si>
    <t>云意电气</t>
  </si>
  <si>
    <t xml:space="preserve">         38.71亿</t>
  </si>
  <si>
    <t>4.01万</t>
  </si>
  <si>
    <t xml:space="preserve">   5.17㈢</t>
  </si>
  <si>
    <t>裕兴股份</t>
  </si>
  <si>
    <t>17.66万</t>
  </si>
  <si>
    <t>远方信息</t>
  </si>
  <si>
    <t xml:space="preserve">         18.01亿</t>
  </si>
  <si>
    <t>慈星股份</t>
  </si>
  <si>
    <t xml:space="preserve">   1.12㈢</t>
  </si>
  <si>
    <t>中际旭创</t>
  </si>
  <si>
    <t xml:space="preserve">        173.78亿</t>
  </si>
  <si>
    <t xml:space="preserve">        353.89亿</t>
  </si>
  <si>
    <t xml:space="preserve">        104.80亿</t>
  </si>
  <si>
    <t>48.94万</t>
  </si>
  <si>
    <t>吉艾科技</t>
  </si>
  <si>
    <t xml:space="preserve">         36.79亿</t>
  </si>
  <si>
    <t xml:space="preserve">         41.56亿</t>
  </si>
  <si>
    <t xml:space="preserve">         19.62亿</t>
  </si>
  <si>
    <t xml:space="preserve">   9.96㈢</t>
  </si>
  <si>
    <t>宜通世纪</t>
  </si>
  <si>
    <t xml:space="preserve">         35.23亿</t>
  </si>
  <si>
    <t xml:space="preserve">         45.67亿</t>
  </si>
  <si>
    <t>任子行</t>
  </si>
  <si>
    <t xml:space="preserve">         65.82亿</t>
  </si>
  <si>
    <t xml:space="preserve">         38.47亿</t>
  </si>
  <si>
    <t>邦讯技术</t>
  </si>
  <si>
    <t xml:space="preserve">         10.26亿</t>
  </si>
  <si>
    <t xml:space="preserve">          8.58亿</t>
  </si>
  <si>
    <t>2.92万</t>
  </si>
  <si>
    <t xml:space="preserve">  -2.84㈢</t>
  </si>
  <si>
    <t>天山生物</t>
  </si>
  <si>
    <t xml:space="preserve">          9.91亿</t>
  </si>
  <si>
    <t xml:space="preserve">         16.84亿</t>
  </si>
  <si>
    <t xml:space="preserve">          5.11亿</t>
  </si>
  <si>
    <t>-0.088㈢</t>
  </si>
  <si>
    <t xml:space="preserve"> -15.35㈢</t>
  </si>
  <si>
    <t>戴维医疗</t>
  </si>
  <si>
    <t xml:space="preserve">         17.55亿</t>
  </si>
  <si>
    <t xml:space="preserve">         26.73亿</t>
  </si>
  <si>
    <t xml:space="preserve">          8.90亿</t>
  </si>
  <si>
    <t>掌趣科技</t>
  </si>
  <si>
    <t xml:space="preserve">        167.20亿</t>
  </si>
  <si>
    <t xml:space="preserve">        177.31亿</t>
  </si>
  <si>
    <t xml:space="preserve">        152.14亿</t>
  </si>
  <si>
    <t xml:space="preserve">   6.12㈢</t>
  </si>
  <si>
    <t>晶盛机电</t>
  </si>
  <si>
    <t xml:space="preserve">        189.56亿</t>
  </si>
  <si>
    <t xml:space="preserve">        202.18亿</t>
  </si>
  <si>
    <t xml:space="preserve">         88.97亿</t>
  </si>
  <si>
    <t>24.64万</t>
  </si>
  <si>
    <t xml:space="preserve">  10.77㈢</t>
  </si>
  <si>
    <t>珈伟新能</t>
  </si>
  <si>
    <t xml:space="preserve">         41.99亿</t>
  </si>
  <si>
    <t xml:space="preserve">         12.79亿</t>
  </si>
  <si>
    <t>-0.074㈢</t>
  </si>
  <si>
    <t xml:space="preserve">  -2.12㈢</t>
  </si>
  <si>
    <t>博晖创新</t>
  </si>
  <si>
    <t xml:space="preserve">         33.33亿</t>
  </si>
  <si>
    <t xml:space="preserve">         11.42亿</t>
  </si>
  <si>
    <t>麦捷科技</t>
  </si>
  <si>
    <t xml:space="preserve">         80.92亿</t>
  </si>
  <si>
    <t xml:space="preserve">         88.29亿</t>
  </si>
  <si>
    <t xml:space="preserve">         53.27亿</t>
  </si>
  <si>
    <t>17.11万</t>
  </si>
  <si>
    <t>海达股份</t>
  </si>
  <si>
    <t>同大股份</t>
  </si>
  <si>
    <t xml:space="preserve">         14.36亿</t>
  </si>
  <si>
    <t xml:space="preserve">          6.02亿</t>
  </si>
  <si>
    <t>硕贝德</t>
  </si>
  <si>
    <t xml:space="preserve">         78.52亿</t>
  </si>
  <si>
    <t xml:space="preserve">         86.11亿</t>
  </si>
  <si>
    <t xml:space="preserve">         60.83亿</t>
  </si>
  <si>
    <t>12.61万</t>
  </si>
  <si>
    <t>华灿光电</t>
  </si>
  <si>
    <t xml:space="preserve">         56.66亿</t>
  </si>
  <si>
    <t xml:space="preserve">         74.38亿</t>
  </si>
  <si>
    <t>-0.654㈢</t>
  </si>
  <si>
    <t xml:space="preserve"> -13.82㈢</t>
  </si>
  <si>
    <t>旋极信息</t>
  </si>
  <si>
    <t xml:space="preserve">         63.09亿</t>
  </si>
  <si>
    <t xml:space="preserve">         95.92亿</t>
  </si>
  <si>
    <t>德威新材</t>
  </si>
  <si>
    <t xml:space="preserve">         33.58亿</t>
  </si>
  <si>
    <t xml:space="preserve">  -0.61㈢</t>
  </si>
  <si>
    <t>凯利泰</t>
  </si>
  <si>
    <t xml:space="preserve">         94.13亿</t>
  </si>
  <si>
    <t xml:space="preserve">         96.50亿</t>
  </si>
  <si>
    <t xml:space="preserve">         76.03亿</t>
  </si>
  <si>
    <t>33.29万</t>
  </si>
  <si>
    <t xml:space="preserve">   8.43㈢</t>
  </si>
  <si>
    <t>中颖电子</t>
  </si>
  <si>
    <t xml:space="preserve">         65.53亿</t>
  </si>
  <si>
    <t xml:space="preserve">         65.75亿</t>
  </si>
  <si>
    <t xml:space="preserve">         44.06亿</t>
  </si>
  <si>
    <t>16.95万</t>
  </si>
  <si>
    <t xml:space="preserve">  14.65㈢</t>
  </si>
  <si>
    <t>宜安科技</t>
  </si>
  <si>
    <t xml:space="preserve">         68.26亿</t>
  </si>
  <si>
    <t xml:space="preserve">         33.21亿</t>
  </si>
  <si>
    <t>11.18万</t>
  </si>
  <si>
    <t>海伦钢琴</t>
  </si>
  <si>
    <t xml:space="preserve">         19.96亿</t>
  </si>
  <si>
    <t xml:space="preserve">         10.98亿</t>
  </si>
  <si>
    <t>华虹计通</t>
  </si>
  <si>
    <t xml:space="preserve">   0.29㈢</t>
  </si>
  <si>
    <t>苏大维格</t>
  </si>
  <si>
    <t xml:space="preserve">         49.62亿</t>
  </si>
  <si>
    <t>17.57万</t>
  </si>
  <si>
    <t>0.267㈢</t>
  </si>
  <si>
    <t xml:space="preserve">   4.08㈢</t>
  </si>
  <si>
    <t>天壕环境</t>
  </si>
  <si>
    <t xml:space="preserve">         36.26亿</t>
  </si>
  <si>
    <t>0.054㈢</t>
  </si>
  <si>
    <t xml:space="preserve">   1.36㈢</t>
  </si>
  <si>
    <t>兆日科技</t>
  </si>
  <si>
    <t xml:space="preserve">         35.68亿</t>
  </si>
  <si>
    <t>津膜科技</t>
  </si>
  <si>
    <t>-0.344㈢</t>
  </si>
  <si>
    <t xml:space="preserve">  -6.66㈢</t>
  </si>
  <si>
    <t>迪森股份</t>
  </si>
  <si>
    <t xml:space="preserve">         21.01亿</t>
  </si>
  <si>
    <t>新文化</t>
  </si>
  <si>
    <t xml:space="preserve">         33.62亿</t>
  </si>
  <si>
    <t xml:space="preserve">         22.51亿</t>
  </si>
  <si>
    <t>银邦股份</t>
  </si>
  <si>
    <t xml:space="preserve">  -4.87㈢</t>
  </si>
  <si>
    <t>开元股份</t>
  </si>
  <si>
    <t xml:space="preserve">         20.81亿</t>
  </si>
  <si>
    <t xml:space="preserve">         35.94亿</t>
  </si>
  <si>
    <t>22.81万</t>
  </si>
  <si>
    <t>润和软件</t>
  </si>
  <si>
    <t xml:space="preserve">         99.20亿</t>
  </si>
  <si>
    <t xml:space="preserve">         70.96亿</t>
  </si>
  <si>
    <t>科恒股份</t>
  </si>
  <si>
    <t xml:space="preserve">         27.30亿</t>
  </si>
  <si>
    <t>麦克奥迪</t>
  </si>
  <si>
    <t xml:space="preserve">         77.52亿</t>
  </si>
  <si>
    <t xml:space="preserve">         77.60亿</t>
  </si>
  <si>
    <t>19.01万</t>
  </si>
  <si>
    <t>天银机电</t>
  </si>
  <si>
    <t xml:space="preserve">         39.35亿</t>
  </si>
  <si>
    <t>12.66万</t>
  </si>
  <si>
    <t>联创股份</t>
  </si>
  <si>
    <t xml:space="preserve">         34.33亿</t>
  </si>
  <si>
    <t>5.54万</t>
  </si>
  <si>
    <t xml:space="preserve">   5.19㈢</t>
  </si>
  <si>
    <t>太空智造</t>
  </si>
  <si>
    <t xml:space="preserve">         17.96亿</t>
  </si>
  <si>
    <t>红宇新材</t>
  </si>
  <si>
    <t xml:space="preserve">         25.47亿</t>
  </si>
  <si>
    <t xml:space="preserve">         23.40亿</t>
  </si>
  <si>
    <t xml:space="preserve">   9.13㈢</t>
  </si>
  <si>
    <t>南大光电</t>
  </si>
  <si>
    <t xml:space="preserve">         67.72亿</t>
  </si>
  <si>
    <t xml:space="preserve">         74.83亿</t>
  </si>
  <si>
    <t>19.34万</t>
  </si>
  <si>
    <t>泰格医药</t>
  </si>
  <si>
    <t xml:space="preserve">        323.08亿</t>
  </si>
  <si>
    <t xml:space="preserve">        457.98亿</t>
  </si>
  <si>
    <t xml:space="preserve">        290.03亿</t>
  </si>
  <si>
    <t>128.77万</t>
  </si>
  <si>
    <t>0.705㈢</t>
  </si>
  <si>
    <t xml:space="preserve">  13.67㈢</t>
  </si>
  <si>
    <t>长亮科技</t>
  </si>
  <si>
    <t xml:space="preserve">         71.82亿</t>
  </si>
  <si>
    <t xml:space="preserve">        100.22亿</t>
  </si>
  <si>
    <t xml:space="preserve">         61.89亿</t>
  </si>
  <si>
    <t>17.14万</t>
  </si>
  <si>
    <t>金卡智能</t>
  </si>
  <si>
    <t xml:space="preserve">         56.21亿</t>
  </si>
  <si>
    <t>21.77万</t>
  </si>
  <si>
    <t>0.690㈢</t>
  </si>
  <si>
    <t>华鹏飞</t>
  </si>
  <si>
    <t>永贵电器</t>
  </si>
  <si>
    <t>0.225㈢</t>
  </si>
  <si>
    <t>北信源</t>
  </si>
  <si>
    <t xml:space="preserve">         82.42亿</t>
  </si>
  <si>
    <t xml:space="preserve">        108.88亿</t>
  </si>
  <si>
    <t xml:space="preserve">         79.73亿</t>
  </si>
  <si>
    <t>10.88万</t>
  </si>
  <si>
    <t>东土科技</t>
  </si>
  <si>
    <t xml:space="preserve">         47.03亿</t>
  </si>
  <si>
    <t xml:space="preserve">         65.46亿</t>
  </si>
  <si>
    <t xml:space="preserve">         43.25亿</t>
  </si>
  <si>
    <t>6.46万</t>
  </si>
  <si>
    <t>东华测试</t>
  </si>
  <si>
    <t xml:space="preserve">          9.63亿</t>
  </si>
  <si>
    <t xml:space="preserve">         17.32亿</t>
  </si>
  <si>
    <t xml:space="preserve">   1.48㈢</t>
  </si>
  <si>
    <t>蒙草生态</t>
  </si>
  <si>
    <t xml:space="preserve">         41.54亿</t>
  </si>
  <si>
    <t>光一科技</t>
  </si>
  <si>
    <t xml:space="preserve">         18.99亿</t>
  </si>
  <si>
    <t>我武生物</t>
  </si>
  <si>
    <t xml:space="preserve">        198.37亿</t>
  </si>
  <si>
    <t xml:space="preserve">        227.08亿</t>
  </si>
  <si>
    <t>73.13万</t>
  </si>
  <si>
    <t xml:space="preserve">  20.23㈢</t>
  </si>
  <si>
    <t>楚天科技</t>
  </si>
  <si>
    <t xml:space="preserve">         31.18亿</t>
  </si>
  <si>
    <t xml:space="preserve">         33.03亿</t>
  </si>
  <si>
    <t xml:space="preserve">   0.95㈢</t>
  </si>
  <si>
    <t>全通教育</t>
  </si>
  <si>
    <t xml:space="preserve">         36.02亿</t>
  </si>
  <si>
    <t>-0.030㈢</t>
  </si>
  <si>
    <t xml:space="preserve">  -1.30㈢</t>
  </si>
  <si>
    <t>炬华科技</t>
  </si>
  <si>
    <t xml:space="preserve">         41.29亿</t>
  </si>
  <si>
    <t xml:space="preserve">         50.92亿</t>
  </si>
  <si>
    <t xml:space="preserve">         28.22亿</t>
  </si>
  <si>
    <t>天翔环境</t>
  </si>
  <si>
    <t xml:space="preserve">          8.55亿</t>
  </si>
  <si>
    <t xml:space="preserve">         11.84亿</t>
  </si>
  <si>
    <t xml:space="preserve">          5.64亿</t>
  </si>
  <si>
    <t>-2.200㈢</t>
  </si>
  <si>
    <t>博腾股份</t>
  </si>
  <si>
    <t xml:space="preserve">         71.59亿</t>
  </si>
  <si>
    <t xml:space="preserve">         31.33亿</t>
  </si>
  <si>
    <t>18.29万</t>
  </si>
  <si>
    <t>中文在线</t>
  </si>
  <si>
    <t xml:space="preserve">         22.05亿</t>
  </si>
  <si>
    <t xml:space="preserve">         29.89亿</t>
  </si>
  <si>
    <t>-0.265㈢</t>
  </si>
  <si>
    <t xml:space="preserve">  -9.58㈢</t>
  </si>
  <si>
    <t>恒华科技</t>
  </si>
  <si>
    <t xml:space="preserve">         77.37亿</t>
  </si>
  <si>
    <t xml:space="preserve">         33.42亿</t>
  </si>
  <si>
    <t>22.17万</t>
  </si>
  <si>
    <t>创意信息</t>
  </si>
  <si>
    <t xml:space="preserve">         55.29亿</t>
  </si>
  <si>
    <t xml:space="preserve">         26.24亿</t>
  </si>
  <si>
    <t>东方网力</t>
  </si>
  <si>
    <t xml:space="preserve">         37.16亿</t>
  </si>
  <si>
    <t xml:space="preserve">         53.21亿</t>
  </si>
  <si>
    <t>-0.223㈢</t>
  </si>
  <si>
    <t xml:space="preserve">  -7.19㈢</t>
  </si>
  <si>
    <t>汇金股份</t>
  </si>
  <si>
    <t xml:space="preserve">         43.09亿</t>
  </si>
  <si>
    <t xml:space="preserve">         19.20亿</t>
  </si>
  <si>
    <t>绿盟科技</t>
  </si>
  <si>
    <t xml:space="preserve">        135.07亿</t>
  </si>
  <si>
    <t xml:space="preserve">        148.45亿</t>
  </si>
  <si>
    <t xml:space="preserve">         79.89亿</t>
  </si>
  <si>
    <t xml:space="preserve">  -0.03㈢</t>
  </si>
  <si>
    <t>安控科技</t>
  </si>
  <si>
    <t xml:space="preserve">   0.59㈢</t>
  </si>
  <si>
    <t>汇中股份</t>
  </si>
  <si>
    <t xml:space="preserve">         14.22亿</t>
  </si>
  <si>
    <t xml:space="preserve">          9.16亿</t>
  </si>
  <si>
    <t>9.16万</t>
  </si>
  <si>
    <t xml:space="preserve">   9.54㈢</t>
  </si>
  <si>
    <t>扬杰科技</t>
  </si>
  <si>
    <t xml:space="preserve">         50.82亿</t>
  </si>
  <si>
    <t xml:space="preserve">         81.87亿</t>
  </si>
  <si>
    <t>恒通科技</t>
  </si>
  <si>
    <t xml:space="preserve">         24.52亿</t>
  </si>
  <si>
    <t>鹏翎股份</t>
  </si>
  <si>
    <t xml:space="preserve">         15.50亿</t>
  </si>
  <si>
    <t xml:space="preserve">   3.14㈢</t>
  </si>
  <si>
    <t>易事特</t>
  </si>
  <si>
    <t xml:space="preserve">        105.95亿</t>
  </si>
  <si>
    <t xml:space="preserve">        106.48亿</t>
  </si>
  <si>
    <t xml:space="preserve">         38.35亿</t>
  </si>
  <si>
    <t>赢时胜</t>
  </si>
  <si>
    <t xml:space="preserve">         63.96亿</t>
  </si>
  <si>
    <t xml:space="preserve">         83.78亿</t>
  </si>
  <si>
    <t xml:space="preserve">         53.99亿</t>
  </si>
  <si>
    <t>鼎捷软件</t>
  </si>
  <si>
    <t xml:space="preserve">         38.93亿</t>
  </si>
  <si>
    <t xml:space="preserve">         24.19亿</t>
  </si>
  <si>
    <t>东方通</t>
  </si>
  <si>
    <t xml:space="preserve">        110.24亿</t>
  </si>
  <si>
    <t xml:space="preserve">        132.12亿</t>
  </si>
  <si>
    <t xml:space="preserve">        101.87亿</t>
  </si>
  <si>
    <t>34.26万</t>
  </si>
  <si>
    <t>安硕信息</t>
  </si>
  <si>
    <t xml:space="preserve">         27.12亿</t>
  </si>
  <si>
    <t>溢多利</t>
  </si>
  <si>
    <t xml:space="preserve">         22.94亿</t>
  </si>
  <si>
    <t>15.00万</t>
  </si>
  <si>
    <t>斯莱克</t>
  </si>
  <si>
    <t xml:space="preserve">         31.27亿</t>
  </si>
  <si>
    <t>17.46万</t>
  </si>
  <si>
    <t xml:space="preserve">   8.92㈢</t>
  </si>
  <si>
    <t>光环新网</t>
  </si>
  <si>
    <t xml:space="preserve">        289.15亿</t>
  </si>
  <si>
    <t xml:space="preserve">        299.84亿</t>
  </si>
  <si>
    <t xml:space="preserve">        192.57亿</t>
  </si>
  <si>
    <t>26.96万</t>
  </si>
  <si>
    <t>三联虹普</t>
  </si>
  <si>
    <t xml:space="preserve">         54.90亿</t>
  </si>
  <si>
    <t xml:space="preserve">         24.21亿</t>
  </si>
  <si>
    <t>15.27万</t>
  </si>
  <si>
    <t>雪浪环境</t>
  </si>
  <si>
    <t xml:space="preserve">         13.96亿</t>
  </si>
  <si>
    <t xml:space="preserve">          8.85亿</t>
  </si>
  <si>
    <t xml:space="preserve">   6.81㈢</t>
  </si>
  <si>
    <t>飞天诚信</t>
  </si>
  <si>
    <t xml:space="preserve">         23.99亿</t>
  </si>
  <si>
    <t>6.89万</t>
  </si>
  <si>
    <t>0.071㈢</t>
  </si>
  <si>
    <t>富邦股份</t>
  </si>
  <si>
    <t xml:space="preserve">         28.18亿</t>
  </si>
  <si>
    <t xml:space="preserve">         28.45亿</t>
  </si>
  <si>
    <t xml:space="preserve">         12.34亿</t>
  </si>
  <si>
    <t>19.72万</t>
  </si>
  <si>
    <t>国祯环保</t>
  </si>
  <si>
    <t xml:space="preserve">         57.85亿</t>
  </si>
  <si>
    <t xml:space="preserve">         70.58亿</t>
  </si>
  <si>
    <t>10.53万</t>
  </si>
  <si>
    <t>艾比森</t>
  </si>
  <si>
    <t xml:space="preserve">         18.16亿</t>
  </si>
  <si>
    <t xml:space="preserve">         12.42亿</t>
  </si>
  <si>
    <t>0.392㈢</t>
  </si>
  <si>
    <t>天华超净</t>
  </si>
  <si>
    <t xml:space="preserve">   5.76㈢</t>
  </si>
  <si>
    <t>康跃科技</t>
  </si>
  <si>
    <t xml:space="preserve">         23.74亿</t>
  </si>
  <si>
    <t xml:space="preserve">         10.84亿</t>
  </si>
  <si>
    <t>腾信股份</t>
  </si>
  <si>
    <t xml:space="preserve">         20.36亿</t>
  </si>
  <si>
    <t xml:space="preserve">   1.68㈢</t>
  </si>
  <si>
    <t>中来股份</t>
  </si>
  <si>
    <t xml:space="preserve">         52.58亿</t>
  </si>
  <si>
    <t>天孚通信</t>
  </si>
  <si>
    <t xml:space="preserve">         64.18亿</t>
  </si>
  <si>
    <t>21.31万</t>
  </si>
  <si>
    <t xml:space="preserve">  11.17㈢</t>
  </si>
  <si>
    <t>菲利华</t>
  </si>
  <si>
    <t xml:space="preserve">         58.92亿</t>
  </si>
  <si>
    <t xml:space="preserve">         44.66亿</t>
  </si>
  <si>
    <t>49.74万</t>
  </si>
  <si>
    <t>迪瑞医疗</t>
  </si>
  <si>
    <t xml:space="preserve">         43.63亿</t>
  </si>
  <si>
    <t xml:space="preserve">  12.78㈢</t>
  </si>
  <si>
    <t>天和防务</t>
  </si>
  <si>
    <t xml:space="preserve">         45.09亿</t>
  </si>
  <si>
    <t xml:space="preserve">         70.08亿</t>
  </si>
  <si>
    <t xml:space="preserve">         39.77亿</t>
  </si>
  <si>
    <t>18.40万</t>
  </si>
  <si>
    <t>飞凯材料</t>
  </si>
  <si>
    <t xml:space="preserve">         64.94亿</t>
  </si>
  <si>
    <t xml:space="preserve">         78.27亿</t>
  </si>
  <si>
    <t>13.96万</t>
  </si>
  <si>
    <t xml:space="preserve">   7.93㈢</t>
  </si>
  <si>
    <t>京天利</t>
  </si>
  <si>
    <t xml:space="preserve">          9.31亿</t>
  </si>
  <si>
    <t>-0.014㈢</t>
  </si>
  <si>
    <t xml:space="preserve">  -0.63㈢</t>
  </si>
  <si>
    <t>劲拓股份</t>
  </si>
  <si>
    <t xml:space="preserve">         20.94亿</t>
  </si>
  <si>
    <t>花园生物</t>
  </si>
  <si>
    <t xml:space="preserve">         56.09亿</t>
  </si>
  <si>
    <t xml:space="preserve">         58.57亿</t>
  </si>
  <si>
    <t xml:space="preserve">         34.41亿</t>
  </si>
  <si>
    <t>0.645㈢</t>
  </si>
  <si>
    <t xml:space="preserve">  18.09㈢</t>
  </si>
  <si>
    <t>宝色股份</t>
  </si>
  <si>
    <t xml:space="preserve">   2.41㈢</t>
  </si>
  <si>
    <t>汉宇集团</t>
  </si>
  <si>
    <t xml:space="preserve">         30.63亿</t>
  </si>
  <si>
    <t xml:space="preserve">   8.38㈢</t>
  </si>
  <si>
    <t>博济医药</t>
  </si>
  <si>
    <t>科隆股份</t>
  </si>
  <si>
    <t xml:space="preserve">         15.17亿</t>
  </si>
  <si>
    <t xml:space="preserve">          7.08亿</t>
  </si>
  <si>
    <t>九强生物</t>
  </si>
  <si>
    <t xml:space="preserve">         52.14亿</t>
  </si>
  <si>
    <t xml:space="preserve">         79.23亿</t>
  </si>
  <si>
    <t>22.96万</t>
  </si>
  <si>
    <t>凯发电气</t>
  </si>
  <si>
    <t xml:space="preserve">         23.64亿</t>
  </si>
  <si>
    <t>三环集团</t>
  </si>
  <si>
    <t xml:space="preserve">        359.47亿</t>
  </si>
  <si>
    <t xml:space="preserve">        379.49亿</t>
  </si>
  <si>
    <t xml:space="preserve">        216.06亿</t>
  </si>
  <si>
    <t>92.41万</t>
  </si>
  <si>
    <t xml:space="preserve">   9.14㈢</t>
  </si>
  <si>
    <t>道氏技术</t>
  </si>
  <si>
    <t xml:space="preserve">         59.48亿</t>
  </si>
  <si>
    <t>11.89万</t>
  </si>
  <si>
    <t>-0.028㈢</t>
  </si>
  <si>
    <t>正业科技</t>
  </si>
  <si>
    <t xml:space="preserve">         15.94亿</t>
  </si>
  <si>
    <t xml:space="preserve">   2.80㈢</t>
  </si>
  <si>
    <t>金盾股份</t>
  </si>
  <si>
    <t xml:space="preserve">          9.08亿</t>
  </si>
  <si>
    <t xml:space="preserve">   8.67㈢</t>
  </si>
  <si>
    <t>迦南科技</t>
  </si>
  <si>
    <t xml:space="preserve">          8.68亿</t>
  </si>
  <si>
    <t xml:space="preserve">   4.21㈢</t>
  </si>
  <si>
    <t>芒果超媒</t>
  </si>
  <si>
    <t xml:space="preserve">        282.23亿</t>
  </si>
  <si>
    <t xml:space="preserve">        602.48亿</t>
  </si>
  <si>
    <t xml:space="preserve">        175.18亿</t>
  </si>
  <si>
    <t>113.39万</t>
  </si>
  <si>
    <t>0.547㈢</t>
  </si>
  <si>
    <t>中光防雷</t>
  </si>
  <si>
    <t xml:space="preserve">         39.26亿</t>
  </si>
  <si>
    <t>伊之密</t>
  </si>
  <si>
    <t xml:space="preserve">         43.72亿</t>
  </si>
  <si>
    <t xml:space="preserve">         24.64亿</t>
  </si>
  <si>
    <t>15.63万</t>
  </si>
  <si>
    <t xml:space="preserve">  14.10㈢</t>
  </si>
  <si>
    <t>苏试试验</t>
  </si>
  <si>
    <t xml:space="preserve">         43.86亿</t>
  </si>
  <si>
    <t xml:space="preserve">         24.97亿</t>
  </si>
  <si>
    <t>33.63万</t>
  </si>
  <si>
    <t>南华仪器</t>
  </si>
  <si>
    <t xml:space="preserve">         17.84亿</t>
  </si>
  <si>
    <t>19.04万</t>
  </si>
  <si>
    <t>1.910㈢</t>
  </si>
  <si>
    <t xml:space="preserve">  34.03㈢</t>
  </si>
  <si>
    <t>昆仑万维</t>
  </si>
  <si>
    <t xml:space="preserve">        106.97亿</t>
  </si>
  <si>
    <t xml:space="preserve">        195.22亿</t>
  </si>
  <si>
    <t xml:space="preserve">         91.33亿</t>
  </si>
  <si>
    <t>11.68万</t>
  </si>
  <si>
    <t>0.830㈢</t>
  </si>
  <si>
    <t xml:space="preserve">  21.30㈢</t>
  </si>
  <si>
    <t>浩丰科技</t>
  </si>
  <si>
    <t xml:space="preserve">         13.87亿</t>
  </si>
  <si>
    <t>五洋停车</t>
  </si>
  <si>
    <t xml:space="preserve">         38.72亿</t>
  </si>
  <si>
    <t xml:space="preserve">         21.47亿</t>
  </si>
  <si>
    <t>力星股份</t>
  </si>
  <si>
    <t xml:space="preserve">         12.35亿</t>
  </si>
  <si>
    <t>博世科</t>
  </si>
  <si>
    <t xml:space="preserve">         36.58亿</t>
  </si>
  <si>
    <t xml:space="preserve">  13.93㈢</t>
  </si>
  <si>
    <t>鲁亿通</t>
  </si>
  <si>
    <t xml:space="preserve">         33.04亿</t>
  </si>
  <si>
    <t xml:space="preserve">         65.56亿</t>
  </si>
  <si>
    <t>20.63万</t>
  </si>
  <si>
    <t xml:space="preserve">  13.19㈢</t>
  </si>
  <si>
    <t>航新科技</t>
  </si>
  <si>
    <t xml:space="preserve">         21.18亿</t>
  </si>
  <si>
    <t>中建环能</t>
  </si>
  <si>
    <t xml:space="preserve">         27.85亿</t>
  </si>
  <si>
    <t>唐德影视</t>
  </si>
  <si>
    <t xml:space="preserve">         26.89亿</t>
  </si>
  <si>
    <t xml:space="preserve"> -19.54㈢</t>
  </si>
  <si>
    <t>红相股份</t>
  </si>
  <si>
    <t>10.52万</t>
  </si>
  <si>
    <t>四通新材</t>
  </si>
  <si>
    <t xml:space="preserve">         19.78亿</t>
  </si>
  <si>
    <t xml:space="preserve">         82.88亿</t>
  </si>
  <si>
    <t>强力新材</t>
  </si>
  <si>
    <t xml:space="preserve">         52.25亿</t>
  </si>
  <si>
    <t xml:space="preserve">         89.65亿</t>
  </si>
  <si>
    <t>12.72万</t>
  </si>
  <si>
    <t>诚益通</t>
  </si>
  <si>
    <t xml:space="preserve">         17.61亿</t>
  </si>
  <si>
    <t xml:space="preserve">         10.49亿</t>
  </si>
  <si>
    <t xml:space="preserve">   3.22㈢</t>
  </si>
  <si>
    <t>暴风集团</t>
  </si>
  <si>
    <t xml:space="preserve">         11.70亿</t>
  </si>
  <si>
    <t xml:space="preserve">          8.57亿</t>
  </si>
  <si>
    <t>1.35万</t>
  </si>
  <si>
    <t>-2.000㈢</t>
  </si>
  <si>
    <t>富临精工</t>
  </si>
  <si>
    <t xml:space="preserve">         43.53亿</t>
  </si>
  <si>
    <t xml:space="preserve">         22.31亿</t>
  </si>
  <si>
    <t>10.05万</t>
  </si>
  <si>
    <t xml:space="preserve">  14.69㈢</t>
  </si>
  <si>
    <t>蓝思科技</t>
  </si>
  <si>
    <t xml:space="preserve">        564.56亿</t>
  </si>
  <si>
    <t xml:space="preserve">        566.71亿</t>
  </si>
  <si>
    <t xml:space="preserve">        122.64亿</t>
  </si>
  <si>
    <t>金石亚药</t>
  </si>
  <si>
    <t xml:space="preserve">         16.42亿</t>
  </si>
  <si>
    <t xml:space="preserve">         29.17亿</t>
  </si>
  <si>
    <t>中泰股份</t>
  </si>
  <si>
    <t xml:space="preserve">         12.93亿</t>
  </si>
  <si>
    <t xml:space="preserve">         41.19亿</t>
  </si>
  <si>
    <t>广生堂</t>
  </si>
  <si>
    <t xml:space="preserve">         36.54亿</t>
  </si>
  <si>
    <t xml:space="preserve">         45.51亿</t>
  </si>
  <si>
    <t>10.96万</t>
  </si>
  <si>
    <t>清水源</t>
  </si>
  <si>
    <t>0.475㈢</t>
  </si>
  <si>
    <t>鹏辉能源</t>
  </si>
  <si>
    <t xml:space="preserve">         56.71亿</t>
  </si>
  <si>
    <t xml:space="preserve">         75.12亿</t>
  </si>
  <si>
    <t>18.80万</t>
  </si>
  <si>
    <t>0.961㈢</t>
  </si>
  <si>
    <t>美康生物</t>
  </si>
  <si>
    <t xml:space="preserve">         26.96亿</t>
  </si>
  <si>
    <t xml:space="preserve">         46.27亿</t>
  </si>
  <si>
    <t>8.78万</t>
  </si>
  <si>
    <t xml:space="preserve">   9.95㈢</t>
  </si>
  <si>
    <t>运达科技</t>
  </si>
  <si>
    <t xml:space="preserve">         35.16亿</t>
  </si>
  <si>
    <t xml:space="preserve">         15.91亿</t>
  </si>
  <si>
    <t>8.52万</t>
  </si>
  <si>
    <t>鲍斯股份</t>
  </si>
  <si>
    <t xml:space="preserve">         26.15亿</t>
  </si>
  <si>
    <t>22.02万</t>
  </si>
  <si>
    <t xml:space="preserve">   6.34㈢</t>
  </si>
  <si>
    <t>普丽盛</t>
  </si>
  <si>
    <t xml:space="preserve">          6.89亿</t>
  </si>
  <si>
    <t xml:space="preserve">   2.54㈢</t>
  </si>
  <si>
    <t>金雷股份</t>
  </si>
  <si>
    <t>11.55万</t>
  </si>
  <si>
    <t>0.587㈢</t>
  </si>
  <si>
    <t>双杰电气</t>
  </si>
  <si>
    <t xml:space="preserve">         16.05亿</t>
  </si>
  <si>
    <t xml:space="preserve">         29.46亿</t>
  </si>
  <si>
    <t>康斯特</t>
  </si>
  <si>
    <t xml:space="preserve">         16.29亿</t>
  </si>
  <si>
    <t xml:space="preserve">          9.82亿</t>
  </si>
  <si>
    <t>乐凯新材</t>
  </si>
  <si>
    <t xml:space="preserve">         32.36亿</t>
  </si>
  <si>
    <t xml:space="preserve">         33.52亿</t>
  </si>
  <si>
    <t>17.18万</t>
  </si>
  <si>
    <t xml:space="preserve">  11.66㈢</t>
  </si>
  <si>
    <t>全信股份</t>
  </si>
  <si>
    <t xml:space="preserve">         17.26亿</t>
  </si>
  <si>
    <t xml:space="preserve">         28.79亿</t>
  </si>
  <si>
    <t>浩云科技</t>
  </si>
  <si>
    <t xml:space="preserve">         31.87亿</t>
  </si>
  <si>
    <t xml:space="preserve">         52.41亿</t>
  </si>
  <si>
    <t>汉邦高科</t>
  </si>
  <si>
    <t xml:space="preserve">         26.06亿</t>
  </si>
  <si>
    <t xml:space="preserve">         31.82亿</t>
  </si>
  <si>
    <t xml:space="preserve">         22.68亿</t>
  </si>
  <si>
    <t>12.15万</t>
  </si>
  <si>
    <t>先导智能</t>
  </si>
  <si>
    <t xml:space="preserve">        388.34亿</t>
  </si>
  <si>
    <t xml:space="preserve">        403.70亿</t>
  </si>
  <si>
    <t xml:space="preserve">        202.40亿</t>
  </si>
  <si>
    <t>70.33万</t>
  </si>
  <si>
    <t>0.721㈢</t>
  </si>
  <si>
    <t xml:space="preserve">  16.51㈢</t>
  </si>
  <si>
    <t>创业慧康</t>
  </si>
  <si>
    <t xml:space="preserve">         95.12亿</t>
  </si>
  <si>
    <t xml:space="preserve">        128.86亿</t>
  </si>
  <si>
    <t xml:space="preserve">         72.39亿</t>
  </si>
  <si>
    <t>27.00万</t>
  </si>
  <si>
    <t>山河药辅</t>
  </si>
  <si>
    <t xml:space="preserve">         20.99亿</t>
  </si>
  <si>
    <t>10.31万</t>
  </si>
  <si>
    <t xml:space="preserve">  12.26㈢</t>
  </si>
  <si>
    <t>三鑫医疗</t>
  </si>
  <si>
    <t xml:space="preserve">          9.00亿</t>
  </si>
  <si>
    <t xml:space="preserve">   6.25㈢</t>
  </si>
  <si>
    <t>深信服</t>
  </si>
  <si>
    <t xml:space="preserve">        239.11亿</t>
  </si>
  <si>
    <t xml:space="preserve">        464.97亿</t>
  </si>
  <si>
    <t xml:space="preserve">        163.21亿</t>
  </si>
  <si>
    <t>210.49万</t>
  </si>
  <si>
    <t>康拓红外</t>
  </si>
  <si>
    <t xml:space="preserve">         51.84亿</t>
  </si>
  <si>
    <t xml:space="preserve">         65.86亿</t>
  </si>
  <si>
    <t xml:space="preserve">         25.11亿</t>
  </si>
  <si>
    <t>11.23万</t>
  </si>
  <si>
    <t>耐威科技</t>
  </si>
  <si>
    <t xml:space="preserve">         87.81亿</t>
  </si>
  <si>
    <t xml:space="preserve">        173.95亿</t>
  </si>
  <si>
    <t xml:space="preserve">         55.96亿</t>
  </si>
  <si>
    <t>24.07万</t>
  </si>
  <si>
    <t>赢合科技</t>
  </si>
  <si>
    <t xml:space="preserve">         78.94亿</t>
  </si>
  <si>
    <t xml:space="preserve">        119.42亿</t>
  </si>
  <si>
    <t xml:space="preserve">         68.42亿</t>
  </si>
  <si>
    <t>43.01万</t>
  </si>
  <si>
    <t>全志科技</t>
  </si>
  <si>
    <t xml:space="preserve">         68.63亿</t>
  </si>
  <si>
    <t xml:space="preserve">        106.46亿</t>
  </si>
  <si>
    <t>19.92万</t>
  </si>
  <si>
    <t>金科文化</t>
  </si>
  <si>
    <t xml:space="preserve">         72.15亿</t>
  </si>
  <si>
    <t xml:space="preserve">        112.68亿</t>
  </si>
  <si>
    <t xml:space="preserve">         49.04亿</t>
  </si>
  <si>
    <t>惠伦晶体</t>
  </si>
  <si>
    <t xml:space="preserve">         13.70亿</t>
  </si>
  <si>
    <t>田中精机</t>
  </si>
  <si>
    <t xml:space="preserve">          8.94亿</t>
  </si>
  <si>
    <t>14.83万</t>
  </si>
  <si>
    <t>-0.680㈢</t>
  </si>
  <si>
    <t xml:space="preserve"> -52.96㈢</t>
  </si>
  <si>
    <t>华铭智能</t>
  </si>
  <si>
    <t xml:space="preserve">         46.80亿</t>
  </si>
  <si>
    <t>迈克生物</t>
  </si>
  <si>
    <t xml:space="preserve">        101.09亿</t>
  </si>
  <si>
    <t xml:space="preserve">         81.68亿</t>
  </si>
  <si>
    <t>55.19万</t>
  </si>
  <si>
    <t>星徽精密</t>
  </si>
  <si>
    <t xml:space="preserve">         31.57亿</t>
  </si>
  <si>
    <t>高伟达</t>
  </si>
  <si>
    <t xml:space="preserve">         42.89亿</t>
  </si>
  <si>
    <t xml:space="preserve">         29.12亿</t>
  </si>
  <si>
    <t>赛摩电气</t>
  </si>
  <si>
    <t xml:space="preserve">         31.47亿</t>
  </si>
  <si>
    <t>0.051㈢</t>
  </si>
  <si>
    <t>迅游科技</t>
  </si>
  <si>
    <t xml:space="preserve">         28.66亿</t>
  </si>
  <si>
    <t xml:space="preserve">         24.84亿</t>
  </si>
  <si>
    <t>四方精创</t>
  </si>
  <si>
    <t xml:space="preserve">         63.95亿</t>
  </si>
  <si>
    <t xml:space="preserve">         37.56亿</t>
  </si>
  <si>
    <t>20.45万</t>
  </si>
  <si>
    <t>信息发展</t>
  </si>
  <si>
    <t xml:space="preserve">         32.31亿</t>
  </si>
  <si>
    <t>9.78万</t>
  </si>
  <si>
    <t xml:space="preserve">   0.13㈢</t>
  </si>
  <si>
    <t>中密控股</t>
  </si>
  <si>
    <t xml:space="preserve">         48.71亿</t>
  </si>
  <si>
    <t xml:space="preserve">         53.32亿</t>
  </si>
  <si>
    <t xml:space="preserve">         35.45亿</t>
  </si>
  <si>
    <t>39.34万</t>
  </si>
  <si>
    <t>0.820㈢</t>
  </si>
  <si>
    <t>厚普股份</t>
  </si>
  <si>
    <t xml:space="preserve">         33.59亿</t>
  </si>
  <si>
    <t>新元科技</t>
  </si>
  <si>
    <t xml:space="preserve">         27.48亿</t>
  </si>
  <si>
    <t>24.25万</t>
  </si>
  <si>
    <t>德尔股份</t>
  </si>
  <si>
    <t xml:space="preserve">         47.50亿</t>
  </si>
  <si>
    <t>0.550㈢</t>
  </si>
  <si>
    <t>景嘉微</t>
  </si>
  <si>
    <t xml:space="preserve">        175.70亿</t>
  </si>
  <si>
    <t xml:space="preserve">         64.83亿</t>
  </si>
  <si>
    <t>35.56万</t>
  </si>
  <si>
    <t>0.408㈢</t>
  </si>
  <si>
    <t>聚隆科技</t>
  </si>
  <si>
    <t xml:space="preserve">          9.33亿</t>
  </si>
  <si>
    <t>胜宏科技</t>
  </si>
  <si>
    <t xml:space="preserve">        123.44亿</t>
  </si>
  <si>
    <t xml:space="preserve">        126.61亿</t>
  </si>
  <si>
    <t>31.79万</t>
  </si>
  <si>
    <t>合纵科技</t>
  </si>
  <si>
    <t>18.09万</t>
  </si>
  <si>
    <t>杭州高新</t>
  </si>
  <si>
    <t xml:space="preserve">         14.75亿</t>
  </si>
  <si>
    <t xml:space="preserve">          5.93亿</t>
  </si>
  <si>
    <t>7.37万</t>
  </si>
  <si>
    <t xml:space="preserve">  -2.53㈢</t>
  </si>
  <si>
    <t>神思电子</t>
  </si>
  <si>
    <t>光力科技</t>
  </si>
  <si>
    <t xml:space="preserve">         16.60亿</t>
  </si>
  <si>
    <t xml:space="preserve">         33.78亿</t>
  </si>
  <si>
    <t>濮阳惠成</t>
  </si>
  <si>
    <t xml:space="preserve">         43.16亿</t>
  </si>
  <si>
    <t xml:space="preserve">         43.57亿</t>
  </si>
  <si>
    <t xml:space="preserve">  13.85㈢</t>
  </si>
  <si>
    <t>万孚生物</t>
  </si>
  <si>
    <t xml:space="preserve">        120.37亿</t>
  </si>
  <si>
    <t xml:space="preserve">        172.37亿</t>
  </si>
  <si>
    <t>81.51万</t>
  </si>
  <si>
    <t xml:space="preserve">  13.71㈢</t>
  </si>
  <si>
    <t>沃施股份</t>
  </si>
  <si>
    <t xml:space="preserve">         38.29亿</t>
  </si>
  <si>
    <t>23.09万</t>
  </si>
  <si>
    <t>0.589㈢</t>
  </si>
  <si>
    <t>蓝海华腾</t>
  </si>
  <si>
    <t xml:space="preserve">          8.59亿</t>
  </si>
  <si>
    <t>-0.386㈢</t>
  </si>
  <si>
    <t xml:space="preserve"> -12.94㈢</t>
  </si>
  <si>
    <t>赛升药业</t>
  </si>
  <si>
    <t xml:space="preserve">         41.69亿</t>
  </si>
  <si>
    <t>东杰智能</t>
  </si>
  <si>
    <t xml:space="preserve">         36.73亿</t>
  </si>
  <si>
    <t>14.34万</t>
  </si>
  <si>
    <t>蓝晓科技</t>
  </si>
  <si>
    <t xml:space="preserve">         38.98亿</t>
  </si>
  <si>
    <t xml:space="preserve">         73.18亿</t>
  </si>
  <si>
    <t>22.91万</t>
  </si>
  <si>
    <t>1.120㈢</t>
  </si>
  <si>
    <t xml:space="preserve">  18.78㈢</t>
  </si>
  <si>
    <t>恒锋工具</t>
  </si>
  <si>
    <t xml:space="preserve">          7.91亿</t>
  </si>
  <si>
    <t xml:space="preserve">          5.21亿</t>
  </si>
  <si>
    <t>中飞股份</t>
  </si>
  <si>
    <t xml:space="preserve">         14.14亿</t>
  </si>
  <si>
    <t>12.56万</t>
  </si>
  <si>
    <t>-0.280㈢</t>
  </si>
  <si>
    <t xml:space="preserve">  -5.75㈢</t>
  </si>
  <si>
    <t>华自科技</t>
  </si>
  <si>
    <t xml:space="preserve">         25.40亿</t>
  </si>
  <si>
    <t xml:space="preserve">         28.35亿</t>
  </si>
  <si>
    <t>6.75万</t>
  </si>
  <si>
    <t>通合科技</t>
  </si>
  <si>
    <t xml:space="preserve">         15.64亿</t>
  </si>
  <si>
    <t>山鼎设计</t>
  </si>
  <si>
    <t xml:space="preserve">         30.76亿</t>
  </si>
  <si>
    <t xml:space="preserve">         42.53亿</t>
  </si>
  <si>
    <t>17.78万</t>
  </si>
  <si>
    <t>润欣科技</t>
  </si>
  <si>
    <t xml:space="preserve">         41.70亿</t>
  </si>
  <si>
    <t>盛天网络</t>
  </si>
  <si>
    <t xml:space="preserve">         23.70亿</t>
  </si>
  <si>
    <t xml:space="preserve">         38.45亿</t>
  </si>
  <si>
    <t xml:space="preserve">         17.46亿</t>
  </si>
  <si>
    <t>7.62万</t>
  </si>
  <si>
    <t>美尚生态</t>
  </si>
  <si>
    <t xml:space="preserve">         40.83亿</t>
  </si>
  <si>
    <t xml:space="preserve">         33.76亿</t>
  </si>
  <si>
    <t>9.41万</t>
  </si>
  <si>
    <t>中科创达</t>
  </si>
  <si>
    <t xml:space="preserve">        127.44亿</t>
  </si>
  <si>
    <t xml:space="preserve">        181.13亿</t>
  </si>
  <si>
    <t xml:space="preserve">        104.70亿</t>
  </si>
  <si>
    <t>24.30万</t>
  </si>
  <si>
    <t>富祥股份</t>
  </si>
  <si>
    <t>19.74万</t>
  </si>
  <si>
    <t xml:space="preserve">  15.76㈢</t>
  </si>
  <si>
    <t>温氏股份</t>
  </si>
  <si>
    <t xml:space="preserve">       1326.35亿</t>
  </si>
  <si>
    <t xml:space="preserve">       1757.25亿</t>
  </si>
  <si>
    <t xml:space="preserve">       1308.43亿</t>
  </si>
  <si>
    <t>222.95万</t>
  </si>
  <si>
    <t>1.160㈢</t>
  </si>
  <si>
    <t xml:space="preserve">  16.36㈢</t>
  </si>
  <si>
    <t>高澜股份</t>
  </si>
  <si>
    <t xml:space="preserve">         10.39亿</t>
  </si>
  <si>
    <t xml:space="preserve">   4.97㈢</t>
  </si>
  <si>
    <t>启迪设计</t>
  </si>
  <si>
    <t xml:space="preserve">         26.00亿</t>
  </si>
  <si>
    <t xml:space="preserve">         11.57亿</t>
  </si>
  <si>
    <t>0.626㈢</t>
  </si>
  <si>
    <t xml:space="preserve">   7.92㈢</t>
  </si>
  <si>
    <t>海顺新材</t>
  </si>
  <si>
    <t xml:space="preserve">          9.93亿</t>
  </si>
  <si>
    <t xml:space="preserve">          7.16亿</t>
  </si>
  <si>
    <t>新易盛</t>
  </si>
  <si>
    <t xml:space="preserve">         63.61亿</t>
  </si>
  <si>
    <t xml:space="preserve">         57.02亿</t>
  </si>
  <si>
    <t>27.52万</t>
  </si>
  <si>
    <t>0.562㈢</t>
  </si>
  <si>
    <t xml:space="preserve">  10.68㈢</t>
  </si>
  <si>
    <t>昊志机电</t>
  </si>
  <si>
    <t xml:space="preserve">         31.52亿</t>
  </si>
  <si>
    <t>7.49万</t>
  </si>
  <si>
    <t>0.047㈢</t>
  </si>
  <si>
    <t xml:space="preserve">   1.27㈢</t>
  </si>
  <si>
    <t>天邑股份</t>
  </si>
  <si>
    <t xml:space="preserve">         59.90亿</t>
  </si>
  <si>
    <t>0.445㈢</t>
  </si>
  <si>
    <t>川金诺</t>
  </si>
  <si>
    <t xml:space="preserve">         23.31亿</t>
  </si>
  <si>
    <t xml:space="preserve">         10.00亿</t>
  </si>
  <si>
    <t>名家汇</t>
  </si>
  <si>
    <t xml:space="preserve">         34.11亿</t>
  </si>
  <si>
    <t xml:space="preserve">         55.81亿</t>
  </si>
  <si>
    <t xml:space="preserve">         27.76亿</t>
  </si>
  <si>
    <t>9.29万</t>
  </si>
  <si>
    <t xml:space="preserve">  12.30㈢</t>
  </si>
  <si>
    <t>苏奥传感</t>
  </si>
  <si>
    <t xml:space="preserve">         33.40亿</t>
  </si>
  <si>
    <t xml:space="preserve">         10.32亿</t>
  </si>
  <si>
    <t xml:space="preserve">   3.92㈢</t>
  </si>
  <si>
    <t>维宏股份</t>
  </si>
  <si>
    <t xml:space="preserve">          6.95亿</t>
  </si>
  <si>
    <t>新美星</t>
  </si>
  <si>
    <t xml:space="preserve">         11.77亿</t>
  </si>
  <si>
    <t xml:space="preserve">         21.23亿</t>
  </si>
  <si>
    <t xml:space="preserve">          7.43亿</t>
  </si>
  <si>
    <t>金冠股份</t>
  </si>
  <si>
    <t xml:space="preserve">         32.44亿</t>
  </si>
  <si>
    <t xml:space="preserve">         56.68亿</t>
  </si>
  <si>
    <t xml:space="preserve">         11.88亿</t>
  </si>
  <si>
    <t xml:space="preserve">   0.61㈢</t>
  </si>
  <si>
    <t>雪榕生物</t>
  </si>
  <si>
    <t xml:space="preserve">         12.43亿</t>
  </si>
  <si>
    <t xml:space="preserve">   6.74㈢</t>
  </si>
  <si>
    <t>中亚股份</t>
  </si>
  <si>
    <t xml:space="preserve">         24.55亿</t>
  </si>
  <si>
    <t xml:space="preserve">         30.62亿</t>
  </si>
  <si>
    <t>0.375㈢</t>
  </si>
  <si>
    <t>恒实科技</t>
  </si>
  <si>
    <t xml:space="preserve">         31.05亿</t>
  </si>
  <si>
    <t>友讯达</t>
  </si>
  <si>
    <t xml:space="preserve">         10.02亿</t>
  </si>
  <si>
    <t xml:space="preserve">   3.86㈢</t>
  </si>
  <si>
    <t>三德科技</t>
  </si>
  <si>
    <t xml:space="preserve">         19.61亿</t>
  </si>
  <si>
    <t xml:space="preserve">          8.89亿</t>
  </si>
  <si>
    <t>久之洋</t>
  </si>
  <si>
    <t>海波重科</t>
  </si>
  <si>
    <t xml:space="preserve">          9.17亿</t>
  </si>
  <si>
    <t>盛讯达</t>
  </si>
  <si>
    <t xml:space="preserve">          9.88亿</t>
  </si>
  <si>
    <t>6.60万</t>
  </si>
  <si>
    <t>新光药业</t>
  </si>
  <si>
    <t xml:space="preserve">         15.16亿</t>
  </si>
  <si>
    <t xml:space="preserve">         21.26亿</t>
  </si>
  <si>
    <t>科大国创</t>
  </si>
  <si>
    <t xml:space="preserve">         45.02亿</t>
  </si>
  <si>
    <t>爱司凯</t>
  </si>
  <si>
    <t xml:space="preserve">          8.33亿</t>
  </si>
  <si>
    <t>7.84万</t>
  </si>
  <si>
    <t>世名科技</t>
  </si>
  <si>
    <t xml:space="preserve">  10.33㈢</t>
  </si>
  <si>
    <t>辰安科技</t>
  </si>
  <si>
    <t xml:space="preserve">         71.53亿</t>
  </si>
  <si>
    <t>37.20万</t>
  </si>
  <si>
    <t>博思软件</t>
  </si>
  <si>
    <t xml:space="preserve">         51.43亿</t>
  </si>
  <si>
    <t xml:space="preserve">         38.52亿</t>
  </si>
  <si>
    <t>35.04万</t>
  </si>
  <si>
    <t>中潜股份</t>
  </si>
  <si>
    <t xml:space="preserve">         88.79亿</t>
  </si>
  <si>
    <t xml:space="preserve">         30.21亿</t>
  </si>
  <si>
    <t>55.25万</t>
  </si>
  <si>
    <t>中国应急</t>
  </si>
  <si>
    <t xml:space="preserve">         99.61亿</t>
  </si>
  <si>
    <t xml:space="preserve">         37.99亿</t>
  </si>
  <si>
    <t>幸福蓝海</t>
  </si>
  <si>
    <t xml:space="preserve">         14.62亿</t>
  </si>
  <si>
    <t xml:space="preserve">  -2.69㈢</t>
  </si>
  <si>
    <t>健帆生物</t>
  </si>
  <si>
    <t xml:space="preserve">        159.11亿</t>
  </si>
  <si>
    <t xml:space="preserve">        290.22亿</t>
  </si>
  <si>
    <t xml:space="preserve">        118.79亿</t>
  </si>
  <si>
    <t>104.79万</t>
  </si>
  <si>
    <t xml:space="preserve">  21.17㈢</t>
  </si>
  <si>
    <t>达志科技</t>
  </si>
  <si>
    <t xml:space="preserve">         17.76亿</t>
  </si>
  <si>
    <t>18.87万</t>
  </si>
  <si>
    <t>优博讯</t>
  </si>
  <si>
    <t xml:space="preserve">         45.14亿</t>
  </si>
  <si>
    <t>9.34万</t>
  </si>
  <si>
    <t>今天国际</t>
  </si>
  <si>
    <t>冰川网络</t>
  </si>
  <si>
    <t xml:space="preserve">         43.88亿</t>
  </si>
  <si>
    <t xml:space="preserve">         17.68亿</t>
  </si>
  <si>
    <t>10.90万</t>
  </si>
  <si>
    <t>陇神戎发</t>
  </si>
  <si>
    <t>达威股份</t>
  </si>
  <si>
    <t xml:space="preserve">          8.75亿</t>
  </si>
  <si>
    <t xml:space="preserve">          4.76亿</t>
  </si>
  <si>
    <t>农尚环境</t>
  </si>
  <si>
    <t xml:space="preserve">         15.99亿</t>
  </si>
  <si>
    <t>广信材料</t>
  </si>
  <si>
    <t xml:space="preserve">         37.25亿</t>
  </si>
  <si>
    <t>11.77万</t>
  </si>
  <si>
    <t>同益股份</t>
  </si>
  <si>
    <t xml:space="preserve">          8.12亿</t>
  </si>
  <si>
    <t>横河模具</t>
  </si>
  <si>
    <t xml:space="preserve">          8.09亿</t>
  </si>
  <si>
    <t xml:space="preserve">          7.86亿</t>
  </si>
  <si>
    <t>深冷股份</t>
  </si>
  <si>
    <t>先进数通</t>
  </si>
  <si>
    <t xml:space="preserve">         32.80亿</t>
  </si>
  <si>
    <t xml:space="preserve">         41.63亿</t>
  </si>
  <si>
    <t>15.64万</t>
  </si>
  <si>
    <t xml:space="preserve">   4.83㈢</t>
  </si>
  <si>
    <t>新晨科技</t>
  </si>
  <si>
    <t xml:space="preserve">         24.48亿</t>
  </si>
  <si>
    <t xml:space="preserve">         35.01亿</t>
  </si>
  <si>
    <t xml:space="preserve">   1.60㈢</t>
  </si>
  <si>
    <t>朗科智能</t>
  </si>
  <si>
    <t xml:space="preserve">         27.46亿</t>
  </si>
  <si>
    <t>0.630㈢</t>
  </si>
  <si>
    <t xml:space="preserve">  10.39㈢</t>
  </si>
  <si>
    <t>联得装备</t>
  </si>
  <si>
    <t xml:space="preserve">         18.59亿</t>
  </si>
  <si>
    <t xml:space="preserve">         37.36亿</t>
  </si>
  <si>
    <t xml:space="preserve">         12.61亿</t>
  </si>
  <si>
    <t>雄帝科技</t>
  </si>
  <si>
    <t xml:space="preserve">         39.24亿</t>
  </si>
  <si>
    <t xml:space="preserve">         17.10亿</t>
  </si>
  <si>
    <t>15.78万</t>
  </si>
  <si>
    <t>0.568㈢</t>
  </si>
  <si>
    <t>川环科技</t>
  </si>
  <si>
    <t>0.374㈢</t>
  </si>
  <si>
    <t>博创科技</t>
  </si>
  <si>
    <t xml:space="preserve">         59.01亿</t>
  </si>
  <si>
    <t>13.54万</t>
  </si>
  <si>
    <t>优德精密</t>
  </si>
  <si>
    <t xml:space="preserve">          1.44亿</t>
  </si>
  <si>
    <t>1.44万</t>
  </si>
  <si>
    <t xml:space="preserve">   3.29㈢</t>
  </si>
  <si>
    <t>和仁科技</t>
  </si>
  <si>
    <t xml:space="preserve">         31.93亿</t>
  </si>
  <si>
    <t xml:space="preserve">         33.13亿</t>
  </si>
  <si>
    <t xml:space="preserve">         11.87亿</t>
  </si>
  <si>
    <t>10.82万</t>
  </si>
  <si>
    <t>古鳌科技</t>
  </si>
  <si>
    <t xml:space="preserve">         16.74亿</t>
  </si>
  <si>
    <t xml:space="preserve">         27.33亿</t>
  </si>
  <si>
    <t>万集科技</t>
  </si>
  <si>
    <t xml:space="preserve">         37.15亿</t>
  </si>
  <si>
    <t xml:space="preserve">         86.41亿</t>
  </si>
  <si>
    <t>27.60万</t>
  </si>
  <si>
    <t>1.172㈢</t>
  </si>
  <si>
    <t xml:space="preserve">  14.43㈢</t>
  </si>
  <si>
    <t>集智股份</t>
  </si>
  <si>
    <t xml:space="preserve">          9.20亿</t>
  </si>
  <si>
    <t xml:space="preserve">          6.60亿</t>
  </si>
  <si>
    <t>三超新材</t>
  </si>
  <si>
    <t xml:space="preserve">          7.76亿</t>
  </si>
  <si>
    <t xml:space="preserve">          7.21亿</t>
  </si>
  <si>
    <t>路通视信</t>
  </si>
  <si>
    <t xml:space="preserve">         16.35亿</t>
  </si>
  <si>
    <t xml:space="preserve">         18.96亿</t>
  </si>
  <si>
    <t>丝路视觉</t>
  </si>
  <si>
    <t xml:space="preserve">         12.84亿</t>
  </si>
  <si>
    <t>7.91万</t>
  </si>
  <si>
    <t>理工光科</t>
  </si>
  <si>
    <t>-0.523㈢</t>
  </si>
  <si>
    <t xml:space="preserve">  -6.47㈢</t>
  </si>
  <si>
    <t>贝达药业</t>
  </si>
  <si>
    <t xml:space="preserve">        251.91亿</t>
  </si>
  <si>
    <t xml:space="preserve">        266.26亿</t>
  </si>
  <si>
    <t xml:space="preserve">        112.48亿</t>
  </si>
  <si>
    <t>56.74万</t>
  </si>
  <si>
    <t>0.495㈢</t>
  </si>
  <si>
    <t>佳发教育</t>
  </si>
  <si>
    <t xml:space="preserve">         46.74亿</t>
  </si>
  <si>
    <t xml:space="preserve">         77.51亿</t>
  </si>
  <si>
    <t>29.50万</t>
  </si>
  <si>
    <t>0.583㈢</t>
  </si>
  <si>
    <t xml:space="preserve">  17.09㈢</t>
  </si>
  <si>
    <t>中富通</t>
  </si>
  <si>
    <t xml:space="preserve">         29.20亿</t>
  </si>
  <si>
    <t xml:space="preserve">         29.50亿</t>
  </si>
  <si>
    <t>6.74万</t>
  </si>
  <si>
    <t>汇金科技</t>
  </si>
  <si>
    <t xml:space="preserve">         39.30亿</t>
  </si>
  <si>
    <t xml:space="preserve">   2.61㈢</t>
  </si>
  <si>
    <t>乐心医疗</t>
  </si>
  <si>
    <t xml:space="preserve">         10.95亿</t>
  </si>
  <si>
    <t>神宇股份</t>
  </si>
  <si>
    <t xml:space="preserve">         22.19亿</t>
  </si>
  <si>
    <t>0.466㈢</t>
  </si>
  <si>
    <t>筑博设计</t>
  </si>
  <si>
    <t xml:space="preserve">          9.14亿</t>
  </si>
  <si>
    <t xml:space="preserve">         36.57亿</t>
  </si>
  <si>
    <t>0.952㈢</t>
  </si>
  <si>
    <t xml:space="preserve">  19.75㈢</t>
  </si>
  <si>
    <t>科信技术</t>
  </si>
  <si>
    <t xml:space="preserve">         13.40亿</t>
  </si>
  <si>
    <t xml:space="preserve">          9.99亿</t>
  </si>
  <si>
    <t>-0.233㈢</t>
  </si>
  <si>
    <t xml:space="preserve">  -6.92㈢</t>
  </si>
  <si>
    <t>激智科技</t>
  </si>
  <si>
    <t>精测电子</t>
  </si>
  <si>
    <t xml:space="preserve">         91.46亿</t>
  </si>
  <si>
    <t xml:space="preserve">        137.18亿</t>
  </si>
  <si>
    <t>31.16万</t>
  </si>
  <si>
    <t xml:space="preserve">  15.80㈢</t>
  </si>
  <si>
    <t>星源材质</t>
  </si>
  <si>
    <t xml:space="preserve">         43.79亿</t>
  </si>
  <si>
    <t xml:space="preserve">         69.49亿</t>
  </si>
  <si>
    <t xml:space="preserve">         39.39亿</t>
  </si>
  <si>
    <t>0.849㈢</t>
  </si>
  <si>
    <t>天能重工</t>
  </si>
  <si>
    <t>10.26万</t>
  </si>
  <si>
    <t>0.649㈢</t>
  </si>
  <si>
    <t>太辰光</t>
  </si>
  <si>
    <t xml:space="preserve">         61.48亿</t>
  </si>
  <si>
    <t>平治信息</t>
  </si>
  <si>
    <t xml:space="preserve">         42.21亿</t>
  </si>
  <si>
    <t xml:space="preserve">         72.14亿</t>
  </si>
  <si>
    <t xml:space="preserve">         34.35亿</t>
  </si>
  <si>
    <t>45.84万</t>
  </si>
  <si>
    <t xml:space="preserve">  36.26㈢</t>
  </si>
  <si>
    <t>安车检测</t>
  </si>
  <si>
    <t xml:space="preserve">         90.84亿</t>
  </si>
  <si>
    <t xml:space="preserve">         45.74亿</t>
  </si>
  <si>
    <t>66.26万</t>
  </si>
  <si>
    <t>0.827㈢</t>
  </si>
  <si>
    <t>兴齐眼药</t>
  </si>
  <si>
    <t xml:space="preserve">         41.17亿</t>
  </si>
  <si>
    <t xml:space="preserve">         28.82亿</t>
  </si>
  <si>
    <t>38.59万</t>
  </si>
  <si>
    <t xml:space="preserve">   5.11㈢</t>
  </si>
  <si>
    <t>中旗股份</t>
  </si>
  <si>
    <t xml:space="preserve">         37.14亿</t>
  </si>
  <si>
    <t>0.920㈢</t>
  </si>
  <si>
    <t>容大感光</t>
  </si>
  <si>
    <t xml:space="preserve">         18.00亿</t>
  </si>
  <si>
    <t xml:space="preserve">         12.23亿</t>
  </si>
  <si>
    <t xml:space="preserve">   5.82㈢</t>
  </si>
  <si>
    <t>开润股份</t>
  </si>
  <si>
    <t>51.97万</t>
  </si>
  <si>
    <t>0.807㈢</t>
  </si>
  <si>
    <t xml:space="preserve">  22.55㈢</t>
  </si>
  <si>
    <t>会畅通讯</t>
  </si>
  <si>
    <t xml:space="preserve">         44.52亿</t>
  </si>
  <si>
    <t>11.63万</t>
  </si>
  <si>
    <t xml:space="preserve">   6.41㈢</t>
  </si>
  <si>
    <t>数字认证</t>
  </si>
  <si>
    <t xml:space="preserve">         68.71亿</t>
  </si>
  <si>
    <t>贝斯特</t>
  </si>
  <si>
    <t xml:space="preserve">         30.24亿</t>
  </si>
  <si>
    <t xml:space="preserve">          9.04亿</t>
  </si>
  <si>
    <t>0.585㈢</t>
  </si>
  <si>
    <t xml:space="preserve">   7.96㈢</t>
  </si>
  <si>
    <t>晨曦航空</t>
  </si>
  <si>
    <t xml:space="preserve">   4.42㈢</t>
  </si>
  <si>
    <t>英飞特</t>
  </si>
  <si>
    <t>赛托生物</t>
  </si>
  <si>
    <t xml:space="preserve">         12.03亿</t>
  </si>
  <si>
    <t>海辰药业</t>
  </si>
  <si>
    <t xml:space="preserve">         13.15亿</t>
  </si>
  <si>
    <t xml:space="preserve">         32.87亿</t>
  </si>
  <si>
    <t xml:space="preserve">  12.21㈢</t>
  </si>
  <si>
    <t>奥联电子</t>
  </si>
  <si>
    <t xml:space="preserve">         14.57亿</t>
  </si>
  <si>
    <t xml:space="preserve">         26.34亿</t>
  </si>
  <si>
    <t xml:space="preserve">         12.02亿</t>
  </si>
  <si>
    <t>美联新材</t>
  </si>
  <si>
    <t xml:space="preserve">         62.04亿</t>
  </si>
  <si>
    <t>0.351㈢</t>
  </si>
  <si>
    <t>天铁股份</t>
  </si>
  <si>
    <t xml:space="preserve">   5.18㈢</t>
  </si>
  <si>
    <t>熙菱信息</t>
  </si>
  <si>
    <t>-0.175㈢</t>
  </si>
  <si>
    <t xml:space="preserve">  -7.64㈢</t>
  </si>
  <si>
    <t>江龙船艇</t>
  </si>
  <si>
    <t xml:space="preserve">          7.35亿</t>
  </si>
  <si>
    <t>移为通信</t>
  </si>
  <si>
    <t xml:space="preserve">         35.52亿</t>
  </si>
  <si>
    <t xml:space="preserve">         58.52亿</t>
  </si>
  <si>
    <t>0.615㈢</t>
  </si>
  <si>
    <t>万里马</t>
  </si>
  <si>
    <t xml:space="preserve">          6.43亿</t>
  </si>
  <si>
    <t>3.19万</t>
  </si>
  <si>
    <t xml:space="preserve">   2.25㈢</t>
  </si>
  <si>
    <t>华凯创意</t>
  </si>
  <si>
    <t xml:space="preserve">         10.09亿</t>
  </si>
  <si>
    <t>新雷能</t>
  </si>
  <si>
    <t xml:space="preserve">         16.98亿</t>
  </si>
  <si>
    <t>16.06万</t>
  </si>
  <si>
    <t xml:space="preserve">   7.83㈢</t>
  </si>
  <si>
    <t>朗进科技</t>
  </si>
  <si>
    <t xml:space="preserve">          7.78亿</t>
  </si>
  <si>
    <t xml:space="preserve">   7.62㈢</t>
  </si>
  <si>
    <t>欧普康视</t>
  </si>
  <si>
    <t xml:space="preserve">        117.33亿</t>
  </si>
  <si>
    <t xml:space="preserve">        189.69亿</t>
  </si>
  <si>
    <t>49.83万</t>
  </si>
  <si>
    <t>利安隆</t>
  </si>
  <si>
    <t xml:space="preserve">         43.97亿</t>
  </si>
  <si>
    <t xml:space="preserve">         73.60亿</t>
  </si>
  <si>
    <t xml:space="preserve">         32.43亿</t>
  </si>
  <si>
    <t>48.68万</t>
  </si>
  <si>
    <t>1.180㈢</t>
  </si>
  <si>
    <t>吉大通信</t>
  </si>
  <si>
    <t xml:space="preserve">         28.25亿</t>
  </si>
  <si>
    <t>诚迈科技</t>
  </si>
  <si>
    <t xml:space="preserve">         61.32亿</t>
  </si>
  <si>
    <t xml:space="preserve">        101.43亿</t>
  </si>
  <si>
    <t>28.51万</t>
  </si>
  <si>
    <t>雄塑科技</t>
  </si>
  <si>
    <t>瑞特股份</t>
  </si>
  <si>
    <t xml:space="preserve">         29.96亿</t>
  </si>
  <si>
    <t xml:space="preserve">   6.49㈢</t>
  </si>
  <si>
    <t>康泰生物</t>
  </si>
  <si>
    <t xml:space="preserve">        229.81亿</t>
  </si>
  <si>
    <t xml:space="preserve">        565.34亿</t>
  </si>
  <si>
    <t>149.39万</t>
  </si>
  <si>
    <t xml:space="preserve">  17.60㈢</t>
  </si>
  <si>
    <t>飞荣达</t>
  </si>
  <si>
    <t xml:space="preserve">         40.14亿</t>
  </si>
  <si>
    <t>18.36万</t>
  </si>
  <si>
    <t xml:space="preserve">  18.20㈢</t>
  </si>
  <si>
    <t>立昂技术</t>
  </si>
  <si>
    <t xml:space="preserve">         48.23亿</t>
  </si>
  <si>
    <t xml:space="preserve">         12.99亿</t>
  </si>
  <si>
    <t xml:space="preserve">   3.97㈢</t>
  </si>
  <si>
    <t>长川科技</t>
  </si>
  <si>
    <t xml:space="preserve">         75.46亿</t>
  </si>
  <si>
    <t xml:space="preserve">   0.14㈢</t>
  </si>
  <si>
    <t>恒锋信息</t>
  </si>
  <si>
    <t xml:space="preserve">          9.50亿</t>
  </si>
  <si>
    <t>金太阳</t>
  </si>
  <si>
    <t xml:space="preserve">          8.16亿</t>
  </si>
  <si>
    <t>10.46万</t>
  </si>
  <si>
    <t>拓斯达</t>
  </si>
  <si>
    <t xml:space="preserve">         73.63亿</t>
  </si>
  <si>
    <t xml:space="preserve">         33.74亿</t>
  </si>
  <si>
    <t>31.47万</t>
  </si>
  <si>
    <t>1.090㈢</t>
  </si>
  <si>
    <t xml:space="preserve">  14.06㈢</t>
  </si>
  <si>
    <t>思特奇</t>
  </si>
  <si>
    <t xml:space="preserve">         17.14亿</t>
  </si>
  <si>
    <t>10.37万</t>
  </si>
  <si>
    <t xml:space="preserve">   0.52㈢</t>
  </si>
  <si>
    <t>汇纳科技</t>
  </si>
  <si>
    <t xml:space="preserve">         36.70亿</t>
  </si>
  <si>
    <t>14.94万</t>
  </si>
  <si>
    <t>0.499㈢</t>
  </si>
  <si>
    <t xml:space="preserve">   9.38㈢</t>
  </si>
  <si>
    <t>晨化股份</t>
  </si>
  <si>
    <t xml:space="preserve">          6.08亿</t>
  </si>
  <si>
    <t>美力科技</t>
  </si>
  <si>
    <t xml:space="preserve">          7.49亿</t>
  </si>
  <si>
    <t xml:space="preserve">          6.35亿</t>
  </si>
  <si>
    <t>宣亚国际</t>
  </si>
  <si>
    <t xml:space="preserve">          7.79亿</t>
  </si>
  <si>
    <t>富瀚微</t>
  </si>
  <si>
    <t xml:space="preserve">         70.93亿</t>
  </si>
  <si>
    <t>1.732㈢</t>
  </si>
  <si>
    <t>欣天科技</t>
  </si>
  <si>
    <t>尚品宅配</t>
  </si>
  <si>
    <t xml:space="preserve">         50.31亿</t>
  </si>
  <si>
    <t xml:space="preserve">        144.64亿</t>
  </si>
  <si>
    <t xml:space="preserve">         47.16亿</t>
  </si>
  <si>
    <t>82.97万</t>
  </si>
  <si>
    <t>1.687㈢</t>
  </si>
  <si>
    <t>安靠智电</t>
  </si>
  <si>
    <t>8.65万</t>
  </si>
  <si>
    <t>寒锐钴业</t>
  </si>
  <si>
    <t xml:space="preserve">        126.30亿</t>
  </si>
  <si>
    <t xml:space="preserve">        212.74亿</t>
  </si>
  <si>
    <t>33.18万</t>
  </si>
  <si>
    <t>金银河</t>
  </si>
  <si>
    <t xml:space="preserve">          7.04亿</t>
  </si>
  <si>
    <t>0.508㈢</t>
  </si>
  <si>
    <t>光库科技</t>
  </si>
  <si>
    <t xml:space="preserve">   7.79㈢</t>
  </si>
  <si>
    <t>维业股份</t>
  </si>
  <si>
    <t xml:space="preserve">          6.98亿</t>
  </si>
  <si>
    <t>博士眼镜</t>
  </si>
  <si>
    <t>16.52万</t>
  </si>
  <si>
    <t xml:space="preserve">   8.04㈢</t>
  </si>
  <si>
    <t>捷捷微电</t>
  </si>
  <si>
    <t xml:space="preserve">         70.25亿</t>
  </si>
  <si>
    <t>8.07万</t>
  </si>
  <si>
    <t xml:space="preserve">   9.33㈢</t>
  </si>
  <si>
    <t>万兴科技</t>
  </si>
  <si>
    <t xml:space="preserve">         30.98亿</t>
  </si>
  <si>
    <t>16.28万</t>
  </si>
  <si>
    <t>三雄极光</t>
  </si>
  <si>
    <t xml:space="preserve">         15.05亿</t>
  </si>
  <si>
    <t xml:space="preserve">   7.18㈢</t>
  </si>
  <si>
    <t>华瑞股份</t>
  </si>
  <si>
    <t xml:space="preserve">          7.99亿</t>
  </si>
  <si>
    <t xml:space="preserve">         14.94亿</t>
  </si>
  <si>
    <t>7.09万</t>
  </si>
  <si>
    <t>华测导航</t>
  </si>
  <si>
    <t xml:space="preserve">         51.58亿</t>
  </si>
  <si>
    <t>亿联网络</t>
  </si>
  <si>
    <t xml:space="preserve">         72.71亿</t>
  </si>
  <si>
    <t xml:space="preserve">        438.69亿</t>
  </si>
  <si>
    <t>39.74万</t>
  </si>
  <si>
    <t>1.640㈢</t>
  </si>
  <si>
    <t xml:space="preserve">  23.84㈢</t>
  </si>
  <si>
    <t>新劲刚</t>
  </si>
  <si>
    <t xml:space="preserve">          6.58亿</t>
  </si>
  <si>
    <t>普利制药</t>
  </si>
  <si>
    <t xml:space="preserve">         82.95亿</t>
  </si>
  <si>
    <t xml:space="preserve">        153.51亿</t>
  </si>
  <si>
    <t xml:space="preserve">         68.03亿</t>
  </si>
  <si>
    <t>77.68万</t>
  </si>
  <si>
    <t xml:space="preserve">  19.61㈢</t>
  </si>
  <si>
    <t>久吾高科</t>
  </si>
  <si>
    <t>0.306㈢</t>
  </si>
  <si>
    <t>光莆股份</t>
  </si>
  <si>
    <t>7.56万</t>
  </si>
  <si>
    <t>0.770㈢</t>
  </si>
  <si>
    <t xml:space="preserve">  18.41㈢</t>
  </si>
  <si>
    <t>开立医疗</t>
  </si>
  <si>
    <t xml:space="preserve">         95.80亿</t>
  </si>
  <si>
    <t>34.01万</t>
  </si>
  <si>
    <t>彩讯股份</t>
  </si>
  <si>
    <t>中达安</t>
  </si>
  <si>
    <t xml:space="preserve">   6.61㈢</t>
  </si>
  <si>
    <t>同和药业</t>
  </si>
  <si>
    <t xml:space="preserve">         13.14亿</t>
  </si>
  <si>
    <t xml:space="preserve">         22.55亿</t>
  </si>
  <si>
    <t xml:space="preserve">          8.86亿</t>
  </si>
  <si>
    <t>9.84万</t>
  </si>
  <si>
    <t>0.517㈢</t>
  </si>
  <si>
    <t xml:space="preserve">   5.99㈢</t>
  </si>
  <si>
    <t>扬帆新材</t>
  </si>
  <si>
    <t xml:space="preserve">         15.62亿</t>
  </si>
  <si>
    <t>0.398㈢</t>
  </si>
  <si>
    <t xml:space="preserve">  12.28㈢</t>
  </si>
  <si>
    <t>广和通</t>
  </si>
  <si>
    <t xml:space="preserve">         84.12亿</t>
  </si>
  <si>
    <t>16.80万</t>
  </si>
  <si>
    <t xml:space="preserve">  21.80㈢</t>
  </si>
  <si>
    <t>凯普生物</t>
  </si>
  <si>
    <t>德艺文创</t>
  </si>
  <si>
    <t>正丹股份</t>
  </si>
  <si>
    <t xml:space="preserve">          6.75亿</t>
  </si>
  <si>
    <t>2.88万</t>
  </si>
  <si>
    <t>透景生命</t>
  </si>
  <si>
    <t xml:space="preserve">         36.64亿</t>
  </si>
  <si>
    <t xml:space="preserve">         12.20亿</t>
  </si>
  <si>
    <t>13.19万</t>
  </si>
  <si>
    <t>万通智控</t>
  </si>
  <si>
    <t xml:space="preserve">         20.60亿</t>
  </si>
  <si>
    <t xml:space="preserve">         49.20亿</t>
  </si>
  <si>
    <t>13.35万</t>
  </si>
  <si>
    <t>南京聚隆</t>
  </si>
  <si>
    <t>正元智慧</t>
  </si>
  <si>
    <t>超频三</t>
  </si>
  <si>
    <t xml:space="preserve">         11.38亿</t>
  </si>
  <si>
    <t xml:space="preserve">         31.56亿</t>
  </si>
  <si>
    <t xml:space="preserve">          9.55亿</t>
  </si>
  <si>
    <t>星云股份</t>
  </si>
  <si>
    <t xml:space="preserve">          9.65亿</t>
  </si>
  <si>
    <t>6.92万</t>
  </si>
  <si>
    <t xml:space="preserve">   1.19㈢</t>
  </si>
  <si>
    <t>杭州园林</t>
  </si>
  <si>
    <t>太龙照明</t>
  </si>
  <si>
    <t xml:space="preserve">          7.74亿</t>
  </si>
  <si>
    <t xml:space="preserve">         18.14亿</t>
  </si>
  <si>
    <t xml:space="preserve">          6.59亿</t>
  </si>
  <si>
    <t>金陵体育</t>
  </si>
  <si>
    <t xml:space="preserve">         12.31亿</t>
  </si>
  <si>
    <t xml:space="preserve">         35.42亿</t>
  </si>
  <si>
    <t>22.13万</t>
  </si>
  <si>
    <t>雷迪克</t>
  </si>
  <si>
    <t xml:space="preserve">          5.92亿</t>
  </si>
  <si>
    <t>7.69万</t>
  </si>
  <si>
    <t>正海生物</t>
  </si>
  <si>
    <t xml:space="preserve">         55.90亿</t>
  </si>
  <si>
    <t>23.42万</t>
  </si>
  <si>
    <t>0.995㈢</t>
  </si>
  <si>
    <t xml:space="preserve">  14.20㈢</t>
  </si>
  <si>
    <t>世纪天鸿</t>
  </si>
  <si>
    <t xml:space="preserve">         15.68亿</t>
  </si>
  <si>
    <t xml:space="preserve">          6.54亿</t>
  </si>
  <si>
    <t>晶瑞股份</t>
  </si>
  <si>
    <t xml:space="preserve">         49.52亿</t>
  </si>
  <si>
    <t>23.18万</t>
  </si>
  <si>
    <t>民德电子</t>
  </si>
  <si>
    <t xml:space="preserve">         11.17亿</t>
  </si>
  <si>
    <t xml:space="preserve">          6.65亿</t>
  </si>
  <si>
    <t xml:space="preserve">   4.95㈢</t>
  </si>
  <si>
    <t>弘信电子</t>
  </si>
  <si>
    <t xml:space="preserve">         73.90亿</t>
  </si>
  <si>
    <t xml:space="preserve">         35.00亿</t>
  </si>
  <si>
    <t>35.86万</t>
  </si>
  <si>
    <t xml:space="preserve">   9.99㈢</t>
  </si>
  <si>
    <t>延江股份</t>
  </si>
  <si>
    <t xml:space="preserve">          6.31亿</t>
  </si>
  <si>
    <t xml:space="preserve">         22.80亿</t>
  </si>
  <si>
    <t>8.86万</t>
  </si>
  <si>
    <t>中孚信息</t>
  </si>
  <si>
    <t xml:space="preserve">         79.70亿</t>
  </si>
  <si>
    <t xml:space="preserve">         35.41亿</t>
  </si>
  <si>
    <t>65.89万</t>
  </si>
  <si>
    <t>江苏雷利</t>
  </si>
  <si>
    <t xml:space="preserve">         41.11亿</t>
  </si>
  <si>
    <t>0.760㈢</t>
  </si>
  <si>
    <t>圣邦股份</t>
  </si>
  <si>
    <t xml:space="preserve">        144.43亿</t>
  </si>
  <si>
    <t xml:space="preserve">        267.45亿</t>
  </si>
  <si>
    <t>168.76万</t>
  </si>
  <si>
    <t xml:space="preserve">  11.96㈢</t>
  </si>
  <si>
    <t>科锐国际</t>
  </si>
  <si>
    <t xml:space="preserve">         28.14亿</t>
  </si>
  <si>
    <t xml:space="preserve">         55.91亿</t>
  </si>
  <si>
    <t>31.68万</t>
  </si>
  <si>
    <t>0.638㈢</t>
  </si>
  <si>
    <t xml:space="preserve">  14.00㈢</t>
  </si>
  <si>
    <t>科蓝软件</t>
  </si>
  <si>
    <t xml:space="preserve">         46.77亿</t>
  </si>
  <si>
    <t>10.33万</t>
  </si>
  <si>
    <t xml:space="preserve">  -9.25㈢</t>
  </si>
  <si>
    <t>鹏鹞环保</t>
  </si>
  <si>
    <t xml:space="preserve">         44.29亿</t>
  </si>
  <si>
    <t xml:space="preserve">   5.91㈢</t>
  </si>
  <si>
    <t>飞鹿股份</t>
  </si>
  <si>
    <t>江丰电子</t>
  </si>
  <si>
    <t xml:space="preserve">         95.49亿</t>
  </si>
  <si>
    <t>12.53万</t>
  </si>
  <si>
    <t>必创科技</t>
  </si>
  <si>
    <t xml:space="preserve">         37.70亿</t>
  </si>
  <si>
    <t>杰恩设计</t>
  </si>
  <si>
    <t xml:space="preserve">          7.52亿</t>
  </si>
  <si>
    <t xml:space="preserve">          5.49亿</t>
  </si>
  <si>
    <t>0.618㈢</t>
  </si>
  <si>
    <t xml:space="preserve">  13.50㈢</t>
  </si>
  <si>
    <t>沪宁股份</t>
  </si>
  <si>
    <t xml:space="preserve">          7.24亿</t>
  </si>
  <si>
    <t>大烨智能</t>
  </si>
  <si>
    <t>富满电子</t>
  </si>
  <si>
    <t xml:space="preserve">         17.74亿</t>
  </si>
  <si>
    <t xml:space="preserve">         15.85亿</t>
  </si>
  <si>
    <t>国科微</t>
  </si>
  <si>
    <t xml:space="preserve">         44.67亿</t>
  </si>
  <si>
    <t xml:space="preserve">         73.40亿</t>
  </si>
  <si>
    <t xml:space="preserve">         28.50亿</t>
  </si>
  <si>
    <t>18.38万</t>
  </si>
  <si>
    <t>佩蒂股份</t>
  </si>
  <si>
    <t xml:space="preserve">         13.07亿</t>
  </si>
  <si>
    <t xml:space="preserve">         41.02亿</t>
  </si>
  <si>
    <t>宇信科技</t>
  </si>
  <si>
    <t xml:space="preserve">         70.16亿</t>
  </si>
  <si>
    <t xml:space="preserve">        101.64亿</t>
  </si>
  <si>
    <t xml:space="preserve">   5.37㈢</t>
  </si>
  <si>
    <t>建科院</t>
  </si>
  <si>
    <t xml:space="preserve">          6.92亿</t>
  </si>
  <si>
    <t>-0.165㈢</t>
  </si>
  <si>
    <t xml:space="preserve">  -5.94㈢</t>
  </si>
  <si>
    <t>华大基因</t>
  </si>
  <si>
    <t xml:space="preserve">        160.30亿</t>
  </si>
  <si>
    <t xml:space="preserve">        262.31亿</t>
  </si>
  <si>
    <t xml:space="preserve">        103.41亿</t>
  </si>
  <si>
    <t>23.36万</t>
  </si>
  <si>
    <t>0.675㈢</t>
  </si>
  <si>
    <t>英科医疗</t>
  </si>
  <si>
    <t xml:space="preserve">         18.41亿</t>
  </si>
  <si>
    <t xml:space="preserve">   8.87㈢</t>
  </si>
  <si>
    <t>中科信息</t>
  </si>
  <si>
    <t xml:space="preserve">         39.37亿</t>
  </si>
  <si>
    <t xml:space="preserve">         13.24亿</t>
  </si>
  <si>
    <t xml:space="preserve">   2.15㈢</t>
  </si>
  <si>
    <t>电连技术</t>
  </si>
  <si>
    <t xml:space="preserve">         50.88亿</t>
  </si>
  <si>
    <t xml:space="preserve">        107.10亿</t>
  </si>
  <si>
    <t xml:space="preserve">         48.60亿</t>
  </si>
  <si>
    <t>23.95万</t>
  </si>
  <si>
    <t>0.497㈢</t>
  </si>
  <si>
    <t>隆盛科技</t>
  </si>
  <si>
    <t xml:space="preserve">          9.11亿</t>
  </si>
  <si>
    <t>英搏尔</t>
  </si>
  <si>
    <t xml:space="preserve">          6.49亿</t>
  </si>
  <si>
    <t>10.65万</t>
  </si>
  <si>
    <t>-0.674㈢</t>
  </si>
  <si>
    <t xml:space="preserve">  -8.62㈢</t>
  </si>
  <si>
    <t>朗新科技</t>
  </si>
  <si>
    <t xml:space="preserve">        154.01亿</t>
  </si>
  <si>
    <t>1.460㈢</t>
  </si>
  <si>
    <t xml:space="preserve">  14.71㈢</t>
  </si>
  <si>
    <t>海特生物</t>
  </si>
  <si>
    <t xml:space="preserve">         30.45亿</t>
  </si>
  <si>
    <t>9.67万</t>
  </si>
  <si>
    <t xml:space="preserve">   3.87㈢</t>
  </si>
  <si>
    <t>中石科技</t>
  </si>
  <si>
    <t xml:space="preserve">         64.95亿</t>
  </si>
  <si>
    <t xml:space="preserve">  10.43㈢</t>
  </si>
  <si>
    <t>艾德生物</t>
  </si>
  <si>
    <t xml:space="preserve">         58.46亿</t>
  </si>
  <si>
    <t xml:space="preserve">         94.46亿</t>
  </si>
  <si>
    <t>54.83万</t>
  </si>
  <si>
    <t>智动力</t>
  </si>
  <si>
    <t xml:space="preserve">         18.17亿</t>
  </si>
  <si>
    <t>7.06万</t>
  </si>
  <si>
    <t xml:space="preserve">  13.21㈢</t>
  </si>
  <si>
    <t>赛意信息</t>
  </si>
  <si>
    <t xml:space="preserve">         34.06亿</t>
  </si>
  <si>
    <t xml:space="preserve">         12.04亿</t>
  </si>
  <si>
    <t>8.81万</t>
  </si>
  <si>
    <t>创业黑马</t>
  </si>
  <si>
    <t xml:space="preserve">         21.14亿</t>
  </si>
  <si>
    <t>6.63万</t>
  </si>
  <si>
    <t>澄天伟业</t>
  </si>
  <si>
    <t>双一科技</t>
  </si>
  <si>
    <t>1.110㈢</t>
  </si>
  <si>
    <t xml:space="preserve">  12.31㈢</t>
  </si>
  <si>
    <t>联合光电</t>
  </si>
  <si>
    <t xml:space="preserve">         18.03亿</t>
  </si>
  <si>
    <t>13.45万</t>
  </si>
  <si>
    <t>中环环保</t>
  </si>
  <si>
    <t xml:space="preserve">          8.74亿</t>
  </si>
  <si>
    <t>0.379㈢</t>
  </si>
  <si>
    <t>盛弘股份</t>
  </si>
  <si>
    <t xml:space="preserve">          9.15亿</t>
  </si>
  <si>
    <t xml:space="preserve">         17.79亿</t>
  </si>
  <si>
    <t xml:space="preserve">          8.27亿</t>
  </si>
  <si>
    <t>6.43万</t>
  </si>
  <si>
    <t>蠡湖股份</t>
  </si>
  <si>
    <t xml:space="preserve">         15.15亿</t>
  </si>
  <si>
    <t>兆丰股份</t>
  </si>
  <si>
    <t xml:space="preserve">          9.84亿</t>
  </si>
  <si>
    <t>2.085㈢</t>
  </si>
  <si>
    <t>爱乐达</t>
  </si>
  <si>
    <t>10.24万</t>
  </si>
  <si>
    <t>电工合金</t>
  </si>
  <si>
    <t xml:space="preserve">  13.82㈢</t>
  </si>
  <si>
    <t>万马科技</t>
  </si>
  <si>
    <t xml:space="preserve">          5.66亿</t>
  </si>
  <si>
    <t>光威复材</t>
  </si>
  <si>
    <t xml:space="preserve">        147.27亿</t>
  </si>
  <si>
    <t xml:space="preserve">        236.63亿</t>
  </si>
  <si>
    <t xml:space="preserve">        108.91亿</t>
  </si>
  <si>
    <t>34.54万</t>
  </si>
  <si>
    <t>岱勒新材</t>
  </si>
  <si>
    <t>-0.188㈢</t>
  </si>
  <si>
    <t xml:space="preserve">  -2.75㈢</t>
  </si>
  <si>
    <t>森霸传感</t>
  </si>
  <si>
    <t xml:space="preserve">         41.04亿</t>
  </si>
  <si>
    <t>9.74万</t>
  </si>
  <si>
    <t xml:space="preserve">  11.10㈢</t>
  </si>
  <si>
    <t>天宇股份</t>
  </si>
  <si>
    <t xml:space="preserve">         28.74亿</t>
  </si>
  <si>
    <t xml:space="preserve">         98.70亿</t>
  </si>
  <si>
    <t>17.35万</t>
  </si>
  <si>
    <t>2.480㈢</t>
  </si>
  <si>
    <t xml:space="preserve">  23.53㈢</t>
  </si>
  <si>
    <t>创源文化</t>
  </si>
  <si>
    <t>8.56万</t>
  </si>
  <si>
    <t xml:space="preserve">  13.65㈢</t>
  </si>
  <si>
    <t>九典制药</t>
  </si>
  <si>
    <t>阿石创</t>
  </si>
  <si>
    <t xml:space="preserve">         39.44亿</t>
  </si>
  <si>
    <t>威唐工业</t>
  </si>
  <si>
    <t xml:space="preserve">         33.47亿</t>
  </si>
  <si>
    <t>12.46万</t>
  </si>
  <si>
    <t>聚灿光电</t>
  </si>
  <si>
    <t xml:space="preserve">         34.85亿</t>
  </si>
  <si>
    <t xml:space="preserve">         11.12亿</t>
  </si>
  <si>
    <t>精研科技</t>
  </si>
  <si>
    <t xml:space="preserve">         56.57亿</t>
  </si>
  <si>
    <t xml:space="preserve">         88.74亿</t>
  </si>
  <si>
    <t xml:space="preserve">         50.97亿</t>
  </si>
  <si>
    <t>60.68万</t>
  </si>
  <si>
    <t>万隆光电</t>
  </si>
  <si>
    <t xml:space="preserve">          9.59亿</t>
  </si>
  <si>
    <t>广哈通信</t>
  </si>
  <si>
    <t>-0.132㈢</t>
  </si>
  <si>
    <t xml:space="preserve">  -4.28㈢</t>
  </si>
  <si>
    <t>永福股份</t>
  </si>
  <si>
    <t>6.96万</t>
  </si>
  <si>
    <t>英可瑞</t>
  </si>
  <si>
    <t xml:space="preserve">          8.70亿</t>
  </si>
  <si>
    <t xml:space="preserve">          5.51亿</t>
  </si>
  <si>
    <t>凯伦股份</t>
  </si>
  <si>
    <t xml:space="preserve">         30.72亿</t>
  </si>
  <si>
    <t>13.03万</t>
  </si>
  <si>
    <t xml:space="preserve">  14.21㈢</t>
  </si>
  <si>
    <t>国立科技</t>
  </si>
  <si>
    <t xml:space="preserve">          5.74亿</t>
  </si>
  <si>
    <t>华信新材</t>
  </si>
  <si>
    <t xml:space="preserve">          7.07亿</t>
  </si>
  <si>
    <t>长盛轴承</t>
  </si>
  <si>
    <t xml:space="preserve">         40.02亿</t>
  </si>
  <si>
    <t>13.17万</t>
  </si>
  <si>
    <t>安达维尔</t>
  </si>
  <si>
    <t>海川智能</t>
  </si>
  <si>
    <t xml:space="preserve">          6.36亿</t>
  </si>
  <si>
    <t>怡达股份</t>
  </si>
  <si>
    <t xml:space="preserve">         15.55亿</t>
  </si>
  <si>
    <t>7.63万</t>
  </si>
  <si>
    <t>新余国科</t>
  </si>
  <si>
    <t xml:space="preserve">          5.87亿</t>
  </si>
  <si>
    <t>一品红</t>
  </si>
  <si>
    <t xml:space="preserve">         60.80亿</t>
  </si>
  <si>
    <t>18.17万</t>
  </si>
  <si>
    <t>1.041㈢</t>
  </si>
  <si>
    <t xml:space="preserve">  12.12㈢</t>
  </si>
  <si>
    <t>捷佳伟创</t>
  </si>
  <si>
    <t xml:space="preserve">         64.74亿</t>
  </si>
  <si>
    <t xml:space="preserve">        121.86亿</t>
  </si>
  <si>
    <t>42.45万</t>
  </si>
  <si>
    <t>1.065㈢</t>
  </si>
  <si>
    <t xml:space="preserve">  13.58㈢</t>
  </si>
  <si>
    <t>药石科技</t>
  </si>
  <si>
    <t xml:space="preserve">         63.51亿</t>
  </si>
  <si>
    <t xml:space="preserve">         94.52亿</t>
  </si>
  <si>
    <t>46.99万</t>
  </si>
  <si>
    <t xml:space="preserve">  16.91㈢</t>
  </si>
  <si>
    <t>宏达电子</t>
  </si>
  <si>
    <t xml:space="preserve">        106.63亿</t>
  </si>
  <si>
    <t>0.601㈢</t>
  </si>
  <si>
    <t xml:space="preserve">  14.15㈢</t>
  </si>
  <si>
    <t>润禾材料</t>
  </si>
  <si>
    <t xml:space="preserve">          5.68亿</t>
  </si>
  <si>
    <t xml:space="preserve">   8.14㈢</t>
  </si>
  <si>
    <t>乐歌股份</t>
  </si>
  <si>
    <t xml:space="preserve">          6.03亿</t>
  </si>
  <si>
    <t xml:space="preserve">         20.90亿</t>
  </si>
  <si>
    <t>6.61万</t>
  </si>
  <si>
    <t>科创信息</t>
  </si>
  <si>
    <t>科创新源</t>
  </si>
  <si>
    <t xml:space="preserve">         23.94亿</t>
  </si>
  <si>
    <t>12.13万</t>
  </si>
  <si>
    <t xml:space="preserve">   9.48㈢</t>
  </si>
  <si>
    <t>设研院</t>
  </si>
  <si>
    <t xml:space="preserve">         15.32亿</t>
  </si>
  <si>
    <t>0.795㈢</t>
  </si>
  <si>
    <t>西菱动力</t>
  </si>
  <si>
    <t xml:space="preserve">          7.88亿</t>
  </si>
  <si>
    <t xml:space="preserve">   1.31㈢</t>
  </si>
  <si>
    <t>光弘科技</t>
  </si>
  <si>
    <t xml:space="preserve">         42.64亿</t>
  </si>
  <si>
    <t xml:space="preserve">        118.59亿</t>
  </si>
  <si>
    <t>12.06万</t>
  </si>
  <si>
    <t xml:space="preserve">  15.20㈢</t>
  </si>
  <si>
    <t>百邦科技</t>
  </si>
  <si>
    <t xml:space="preserve">          8.77亿</t>
  </si>
  <si>
    <t xml:space="preserve">          5.13亿</t>
  </si>
  <si>
    <t>-0.177㈢</t>
  </si>
  <si>
    <t xml:space="preserve">  -6.79㈢</t>
  </si>
  <si>
    <t>科顺股份</t>
  </si>
  <si>
    <t xml:space="preserve">         67.64亿</t>
  </si>
  <si>
    <t>6.69万</t>
  </si>
  <si>
    <t xml:space="preserve">   8.65㈢</t>
  </si>
  <si>
    <t>奥飞数据</t>
  </si>
  <si>
    <t>明阳电路</t>
  </si>
  <si>
    <t>御家汇</t>
  </si>
  <si>
    <t xml:space="preserve">         40.08亿</t>
  </si>
  <si>
    <t xml:space="preserve">         16.32亿</t>
  </si>
  <si>
    <t>华宝股份</t>
  </si>
  <si>
    <t xml:space="preserve">        185.26亿</t>
  </si>
  <si>
    <t>11.37万</t>
  </si>
  <si>
    <t>1.353㈢</t>
  </si>
  <si>
    <t>越博动力</t>
  </si>
  <si>
    <t xml:space="preserve">          7.40亿</t>
  </si>
  <si>
    <t xml:space="preserve">  -7.22㈢</t>
  </si>
  <si>
    <t>天地数码</t>
  </si>
  <si>
    <t xml:space="preserve">         19.91亿</t>
  </si>
  <si>
    <t xml:space="preserve">          7.69亿</t>
  </si>
  <si>
    <t>欣锐科技</t>
  </si>
  <si>
    <t xml:space="preserve">         14.23亿</t>
  </si>
  <si>
    <t xml:space="preserve">   1.94㈢</t>
  </si>
  <si>
    <t>汉嘉设计</t>
  </si>
  <si>
    <t xml:space="preserve">          8.56亿</t>
  </si>
  <si>
    <t>锐科激光</t>
  </si>
  <si>
    <t xml:space="preserve">        103.42亿</t>
  </si>
  <si>
    <t xml:space="preserve">        201.77亿</t>
  </si>
  <si>
    <t xml:space="preserve">         75.47亿</t>
  </si>
  <si>
    <t>53.48万</t>
  </si>
  <si>
    <t>1.459㈢</t>
  </si>
  <si>
    <t>金力永磁</t>
  </si>
  <si>
    <t xml:space="preserve">        104.81亿</t>
  </si>
  <si>
    <t xml:space="preserve">        165.25亿</t>
  </si>
  <si>
    <t>9.90万</t>
  </si>
  <si>
    <t>顶固集创</t>
  </si>
  <si>
    <t xml:space="preserve">         11.18亿</t>
  </si>
  <si>
    <t>宁德时代</t>
  </si>
  <si>
    <t xml:space="preserve">       1253.10亿</t>
  </si>
  <si>
    <t xml:space="preserve">       2301.15亿</t>
  </si>
  <si>
    <t xml:space="preserve">        934.94亿</t>
  </si>
  <si>
    <t>99.10万</t>
  </si>
  <si>
    <t>迈为股份</t>
  </si>
  <si>
    <t xml:space="preserve">         40.20亿</t>
  </si>
  <si>
    <t xml:space="preserve">         72.29亿</t>
  </si>
  <si>
    <t>25.46万</t>
  </si>
  <si>
    <t>3.530㈢</t>
  </si>
  <si>
    <t xml:space="preserve">  14.25㈢</t>
  </si>
  <si>
    <t>隆利科技</t>
  </si>
  <si>
    <t>爱朋医疗</t>
  </si>
  <si>
    <t xml:space="preserve">         32.39亿</t>
  </si>
  <si>
    <t>14.99万</t>
  </si>
  <si>
    <t>0.933㈢</t>
  </si>
  <si>
    <t>华致酒行</t>
  </si>
  <si>
    <t xml:space="preserve">         23.04亿</t>
  </si>
  <si>
    <t xml:space="preserve">         92.40亿</t>
  </si>
  <si>
    <t>12.85万</t>
  </si>
  <si>
    <t xml:space="preserve">  11.74㈢</t>
  </si>
  <si>
    <t>中山金马</t>
  </si>
  <si>
    <t xml:space="preserve">          6.20亿</t>
  </si>
  <si>
    <t>1.080㈢</t>
  </si>
  <si>
    <t xml:space="preserve">   7.59㈢</t>
  </si>
  <si>
    <t>罗博特科</t>
  </si>
  <si>
    <t xml:space="preserve">         35.28亿</t>
  </si>
  <si>
    <t>7.44万</t>
  </si>
  <si>
    <t xml:space="preserve">   8.24㈢</t>
  </si>
  <si>
    <t>七彩化学</t>
  </si>
  <si>
    <t xml:space="preserve">         10.40亿</t>
  </si>
  <si>
    <t xml:space="preserve">         41.58亿</t>
  </si>
  <si>
    <t>康龙化成</t>
  </si>
  <si>
    <t xml:space="preserve">         34.97亿</t>
  </si>
  <si>
    <t xml:space="preserve">        351.85亿</t>
  </si>
  <si>
    <t>21.04万</t>
  </si>
  <si>
    <t>迈瑞医疗</t>
  </si>
  <si>
    <t xml:space="preserve">        875.88亿</t>
  </si>
  <si>
    <t xml:space="preserve">       2133.30亿</t>
  </si>
  <si>
    <t xml:space="preserve">        639.79亿</t>
  </si>
  <si>
    <t>203.35万</t>
  </si>
  <si>
    <t>3.020㈢</t>
  </si>
  <si>
    <t xml:space="preserve">  20.85㈢</t>
  </si>
  <si>
    <t>立华股份</t>
  </si>
  <si>
    <t xml:space="preserve">        231.79亿</t>
  </si>
  <si>
    <t>16.90万</t>
  </si>
  <si>
    <t>3.220㈢</t>
  </si>
  <si>
    <t xml:space="preserve">  20.89㈢</t>
  </si>
  <si>
    <t>上海瀚讯</t>
  </si>
  <si>
    <t xml:space="preserve">         68.43亿</t>
  </si>
  <si>
    <t>锦浪科技</t>
  </si>
  <si>
    <t>新诺威</t>
  </si>
  <si>
    <t xml:space="preserve">         17.52亿</t>
  </si>
  <si>
    <t xml:space="preserve">         70.10亿</t>
  </si>
  <si>
    <t>每日互动</t>
  </si>
  <si>
    <t xml:space="preserve">        135.11亿</t>
  </si>
  <si>
    <t>震安科技</t>
  </si>
  <si>
    <t xml:space="preserve">   7.16㈢</t>
  </si>
  <si>
    <t>迪普科技</t>
  </si>
  <si>
    <t xml:space="preserve">         14.67亿</t>
  </si>
  <si>
    <t xml:space="preserve">        146.68亿</t>
  </si>
  <si>
    <t>德方纳米</t>
  </si>
  <si>
    <t xml:space="preserve">         46.93亿</t>
  </si>
  <si>
    <t>1.680㈢</t>
  </si>
  <si>
    <t xml:space="preserve">   6.70㈢</t>
  </si>
  <si>
    <t>新媒股份</t>
  </si>
  <si>
    <t xml:space="preserve">        157.53亿</t>
  </si>
  <si>
    <t>35.08万</t>
  </si>
  <si>
    <t>2.430㈢</t>
  </si>
  <si>
    <t xml:space="preserve">  13.42㈢</t>
  </si>
  <si>
    <t>智莱科技</t>
  </si>
  <si>
    <t>2.510㈢</t>
  </si>
  <si>
    <t xml:space="preserve">  14.64㈢</t>
  </si>
  <si>
    <t>运达股份</t>
  </si>
  <si>
    <t xml:space="preserve">         12.44亿</t>
  </si>
  <si>
    <t>拉卡拉</t>
  </si>
  <si>
    <t xml:space="preserve">        267.01亿</t>
  </si>
  <si>
    <t>11.21万</t>
  </si>
  <si>
    <t>1.610㈢</t>
  </si>
  <si>
    <t xml:space="preserve">  12.93㈢</t>
  </si>
  <si>
    <t>三角防务</t>
  </si>
  <si>
    <t xml:space="preserve">        171.24亿</t>
  </si>
  <si>
    <t>帝尔激光</t>
  </si>
  <si>
    <t xml:space="preserve">         94.28亿</t>
  </si>
  <si>
    <t>3.960㈢</t>
  </si>
  <si>
    <t xml:space="preserve">  16.34㈢</t>
  </si>
  <si>
    <t>中简科技</t>
  </si>
  <si>
    <t xml:space="preserve">         12.57亿</t>
  </si>
  <si>
    <t xml:space="preserve">        125.68亿</t>
  </si>
  <si>
    <t xml:space="preserve">   8.10㈢</t>
  </si>
  <si>
    <t>新城市</t>
  </si>
  <si>
    <t xml:space="preserve">          8.52亿</t>
  </si>
  <si>
    <t>1.210㈢</t>
  </si>
  <si>
    <t>惠城环保</t>
  </si>
  <si>
    <t xml:space="preserve">          7.66亿</t>
  </si>
  <si>
    <t xml:space="preserve">   6.15㈢</t>
  </si>
  <si>
    <t>德恩精工</t>
  </si>
  <si>
    <t>因赛集团</t>
  </si>
  <si>
    <t xml:space="preserve">   5.77㈢</t>
  </si>
  <si>
    <t>卓胜微</t>
  </si>
  <si>
    <t xml:space="preserve">        103.95亿</t>
  </si>
  <si>
    <t xml:space="preserve">        415.80亿</t>
  </si>
  <si>
    <t>67.54万</t>
  </si>
  <si>
    <t>3.870㈢</t>
  </si>
  <si>
    <t xml:space="preserve">  21.10㈢</t>
  </si>
  <si>
    <t>三只松鼠</t>
  </si>
  <si>
    <t xml:space="preserve">        250.99亿</t>
  </si>
  <si>
    <t xml:space="preserve">  15.15㈢</t>
  </si>
  <si>
    <t>值得买</t>
  </si>
  <si>
    <t xml:space="preserve">         75.73亿</t>
  </si>
  <si>
    <t>15.08万</t>
  </si>
  <si>
    <t>1.440㈢</t>
  </si>
  <si>
    <t xml:space="preserve">   8.90㈢</t>
  </si>
  <si>
    <t>国林科技</t>
  </si>
  <si>
    <t xml:space="preserve">          7.15亿</t>
  </si>
  <si>
    <t>1.200㈢</t>
  </si>
  <si>
    <t>海能实业</t>
  </si>
  <si>
    <t xml:space="preserve">         76.71亿</t>
  </si>
  <si>
    <t xml:space="preserve">   8.55㈢</t>
  </si>
  <si>
    <t>中信出版</t>
  </si>
  <si>
    <t xml:space="preserve">         93.84亿</t>
  </si>
  <si>
    <t>18.12万</t>
  </si>
  <si>
    <t xml:space="preserve">  10.76㈢</t>
  </si>
  <si>
    <t>唐源电气</t>
  </si>
  <si>
    <t xml:space="preserve">         43.18亿</t>
  </si>
  <si>
    <t>宇瞳光学</t>
  </si>
  <si>
    <t xml:space="preserve">         12.63亿</t>
  </si>
  <si>
    <t xml:space="preserve">         50.49亿</t>
  </si>
  <si>
    <t>2.23万</t>
  </si>
  <si>
    <t>仙乐健康</t>
  </si>
  <si>
    <t xml:space="preserve">         48.08亿</t>
  </si>
  <si>
    <t>1.990㈢</t>
  </si>
  <si>
    <t>壹网壹创</t>
  </si>
  <si>
    <t xml:space="preserve">        134.57亿</t>
  </si>
  <si>
    <t>佳禾智能</t>
  </si>
  <si>
    <t xml:space="preserve">         87.92亿</t>
  </si>
  <si>
    <t xml:space="preserve">  14.72㈢</t>
  </si>
  <si>
    <t>米奥兰特</t>
  </si>
  <si>
    <t xml:space="preserve">         29.31亿</t>
  </si>
  <si>
    <t>1.42万</t>
  </si>
  <si>
    <t xml:space="preserve">  10.11㈢</t>
  </si>
  <si>
    <t>贝斯美</t>
  </si>
  <si>
    <t xml:space="preserve">          7.60亿</t>
  </si>
  <si>
    <t xml:space="preserve">         30.38亿</t>
  </si>
  <si>
    <t>1.25万</t>
  </si>
  <si>
    <t>0.425㈢</t>
  </si>
  <si>
    <t>钢研纳克</t>
  </si>
  <si>
    <t xml:space="preserve">         14.58亿</t>
  </si>
  <si>
    <t xml:space="preserve">         58.30亿</t>
  </si>
  <si>
    <t xml:space="preserve">  11.43㈢</t>
  </si>
  <si>
    <t>锦鸡股份</t>
  </si>
  <si>
    <t>0.94万</t>
  </si>
  <si>
    <t xml:space="preserve">   8.63㈢</t>
  </si>
  <si>
    <t>左江科技</t>
  </si>
  <si>
    <t xml:space="preserve">         72.90亿</t>
  </si>
  <si>
    <t>5.36万</t>
  </si>
  <si>
    <t>力合科技</t>
  </si>
  <si>
    <t xml:space="preserve">         57.22亿</t>
  </si>
  <si>
    <t>3.58万</t>
  </si>
  <si>
    <t>2.207㈢</t>
  </si>
  <si>
    <t xml:space="preserve">  25.45㈢</t>
  </si>
  <si>
    <t>泰和科技</t>
  </si>
  <si>
    <t>1.133㈢</t>
  </si>
  <si>
    <t xml:space="preserve">  15.91㈢</t>
  </si>
  <si>
    <t>矩子科技</t>
  </si>
  <si>
    <t xml:space="preserve">         54.07亿</t>
  </si>
  <si>
    <t>指南针</t>
  </si>
  <si>
    <t xml:space="preserve">         22.91亿</t>
  </si>
  <si>
    <t xml:space="preserve">        163.05亿</t>
  </si>
  <si>
    <t>2.09万</t>
  </si>
  <si>
    <t xml:space="preserve">  15.79㈢</t>
  </si>
  <si>
    <t>电声股份</t>
  </si>
  <si>
    <t xml:space="preserve">        113.98亿</t>
  </si>
  <si>
    <t>1.37万</t>
  </si>
  <si>
    <t xml:space="preserve">  13.12㈢</t>
  </si>
  <si>
    <t>斯迪克</t>
  </si>
  <si>
    <t>2.14万</t>
  </si>
  <si>
    <t>0.603㈢</t>
  </si>
  <si>
    <t>天迈科技</t>
  </si>
  <si>
    <t xml:space="preserve">          7.67亿</t>
  </si>
  <si>
    <t>2.22万</t>
  </si>
  <si>
    <t>久量股份</t>
  </si>
  <si>
    <t xml:space="preserve">         10.66亿</t>
  </si>
  <si>
    <t xml:space="preserve">         42.62亿</t>
  </si>
  <si>
    <t>华辰装备</t>
  </si>
  <si>
    <t xml:space="preserve">         43.61亿</t>
  </si>
  <si>
    <t>1.43万</t>
  </si>
  <si>
    <t>0.747㈢</t>
  </si>
  <si>
    <t xml:space="preserve">  17.16㈢</t>
  </si>
  <si>
    <t>中科海讯</t>
  </si>
  <si>
    <t xml:space="preserve">         16.25亿</t>
  </si>
  <si>
    <t xml:space="preserve">         64.91亿</t>
  </si>
  <si>
    <t xml:space="preserve">  10.01㈢</t>
  </si>
  <si>
    <t>*ST凯迪</t>
  </si>
  <si>
    <t xml:space="preserve">          0.00亿</t>
  </si>
  <si>
    <t>0.00万</t>
  </si>
  <si>
    <t>-190.76㈢</t>
  </si>
  <si>
    <t>*ST皇台</t>
  </si>
  <si>
    <t>*ST德奥</t>
  </si>
  <si>
    <t>*ST龙力</t>
  </si>
  <si>
    <t>-0.536㈢</t>
  </si>
  <si>
    <t>和远气体</t>
  </si>
  <si>
    <t xml:space="preserve">  10.82㈢</t>
  </si>
  <si>
    <t>侨银环保</t>
  </si>
  <si>
    <t xml:space="preserve">  11.92㈢</t>
  </si>
  <si>
    <t>金亚科技</t>
  </si>
  <si>
    <t>乐视网</t>
  </si>
  <si>
    <t>-2.555㈢</t>
  </si>
  <si>
    <t>千山药机</t>
  </si>
  <si>
    <t>-1.309㈢</t>
  </si>
  <si>
    <t>铂科新材</t>
  </si>
  <si>
    <t>1.117㈢</t>
  </si>
  <si>
    <t xml:space="preserve">  15.21㈢</t>
  </si>
  <si>
    <t>易天股份</t>
  </si>
  <si>
    <t xml:space="preserve">  21.20㈢</t>
  </si>
  <si>
    <t>浦发银行</t>
  </si>
  <si>
    <t xml:space="preserve">       3462.38亿</t>
  </si>
  <si>
    <t xml:space="preserve">       3616.18亿</t>
  </si>
  <si>
    <t xml:space="preserve">       1174.30亿</t>
  </si>
  <si>
    <t>70.93万</t>
  </si>
  <si>
    <t>1.620㈢</t>
  </si>
  <si>
    <t>白云机场</t>
  </si>
  <si>
    <t xml:space="preserve">        364.82亿</t>
  </si>
  <si>
    <t xml:space="preserve">        178.59亿</t>
  </si>
  <si>
    <t>46.10万</t>
  </si>
  <si>
    <t>东风汽车</t>
  </si>
  <si>
    <t xml:space="preserve">         91.20亿</t>
  </si>
  <si>
    <t xml:space="preserve">         36.39亿</t>
  </si>
  <si>
    <t>2.74万</t>
  </si>
  <si>
    <t xml:space="preserve">   4.54㈢</t>
  </si>
  <si>
    <t>中国国贸</t>
  </si>
  <si>
    <t xml:space="preserve">        176.68亿</t>
  </si>
  <si>
    <t>28.45万</t>
  </si>
  <si>
    <t xml:space="preserve">  10.07㈢</t>
  </si>
  <si>
    <t>首创股份</t>
  </si>
  <si>
    <t xml:space="preserve">        184.78亿</t>
  </si>
  <si>
    <t xml:space="preserve">         99.67亿</t>
  </si>
  <si>
    <t>上海机场</t>
  </si>
  <si>
    <t xml:space="preserve">        844.82亿</t>
  </si>
  <si>
    <t xml:space="preserve">       1488.77亿</t>
  </si>
  <si>
    <t xml:space="preserve">        695.94亿</t>
  </si>
  <si>
    <t>107.51万</t>
  </si>
  <si>
    <t>2.073㈢</t>
  </si>
  <si>
    <t>包钢股份</t>
  </si>
  <si>
    <t xml:space="preserve">        418.14亿</t>
  </si>
  <si>
    <t xml:space="preserve">        601.72亿</t>
  </si>
  <si>
    <t xml:space="preserve">        272.85亿</t>
  </si>
  <si>
    <t>华能国际</t>
  </si>
  <si>
    <t xml:space="preserve">        614.77亿</t>
  </si>
  <si>
    <t xml:space="preserve">        244.61亿</t>
  </si>
  <si>
    <t>皖通高速</t>
  </si>
  <si>
    <t>华夏银行</t>
  </si>
  <si>
    <t xml:space="preserve">        978.37亿</t>
  </si>
  <si>
    <t xml:space="preserve">       1174.05亿</t>
  </si>
  <si>
    <t xml:space="preserve">        405.99亿</t>
  </si>
  <si>
    <t>34.57万</t>
  </si>
  <si>
    <t>0.940㈢</t>
  </si>
  <si>
    <t>民生银行</t>
  </si>
  <si>
    <t xml:space="preserve">       2223.48亿</t>
  </si>
  <si>
    <t xml:space="preserve">       1595.96亿</t>
  </si>
  <si>
    <t>41.20万</t>
  </si>
  <si>
    <t>日照港</t>
  </si>
  <si>
    <t xml:space="preserve">         88.89亿</t>
  </si>
  <si>
    <t xml:space="preserve">         44.53亿</t>
  </si>
  <si>
    <t>上港集团</t>
  </si>
  <si>
    <t xml:space="preserve">       1320.90亿</t>
  </si>
  <si>
    <t xml:space="preserve">        201.59亿</t>
  </si>
  <si>
    <t>宝钢股份</t>
  </si>
  <si>
    <t xml:space="preserve">       1255.34亿</t>
  </si>
  <si>
    <t xml:space="preserve">       1265.19亿</t>
  </si>
  <si>
    <t xml:space="preserve">        444.11亿</t>
  </si>
  <si>
    <t>中原高速</t>
  </si>
  <si>
    <t xml:space="preserve">         96.64亿</t>
  </si>
  <si>
    <t xml:space="preserve">         38.16亿</t>
  </si>
  <si>
    <t xml:space="preserve">  11.79㈢</t>
  </si>
  <si>
    <t>上海电力</t>
  </si>
  <si>
    <t xml:space="preserve">        187.31亿</t>
  </si>
  <si>
    <t xml:space="preserve">        208.85亿</t>
  </si>
  <si>
    <t xml:space="preserve">         87.25亿</t>
  </si>
  <si>
    <t>8.14万</t>
  </si>
  <si>
    <t>山东钢铁</t>
  </si>
  <si>
    <t xml:space="preserve">        154.35亿</t>
  </si>
  <si>
    <t xml:space="preserve">         77.85亿</t>
  </si>
  <si>
    <t>浙能电力</t>
  </si>
  <si>
    <t xml:space="preserve">        535.87亿</t>
  </si>
  <si>
    <t xml:space="preserve">        168.95亿</t>
  </si>
  <si>
    <t>9.20万</t>
  </si>
  <si>
    <t>华能水电</t>
  </si>
  <si>
    <t xml:space="preserve">        377.65亿</t>
  </si>
  <si>
    <t xml:space="preserve">        761.40亿</t>
  </si>
  <si>
    <t xml:space="preserve">         76.14亿</t>
  </si>
  <si>
    <t>4.86万</t>
  </si>
  <si>
    <t>中远海能</t>
  </si>
  <si>
    <t xml:space="preserve">        167.72亿</t>
  </si>
  <si>
    <t xml:space="preserve">         73.51亿</t>
  </si>
  <si>
    <t>华电国际</t>
  </si>
  <si>
    <t xml:space="preserve">        253.25亿</t>
  </si>
  <si>
    <t xml:space="preserve">        294.88亿</t>
  </si>
  <si>
    <t xml:space="preserve">        101.75亿</t>
  </si>
  <si>
    <t>中国石化</t>
  </si>
  <si>
    <t xml:space="preserve">       4825.67亿</t>
  </si>
  <si>
    <t xml:space="preserve">        648.85亿</t>
  </si>
  <si>
    <t>12.90万</t>
  </si>
  <si>
    <t>南方航空</t>
  </si>
  <si>
    <t xml:space="preserve">        567.81亿</t>
  </si>
  <si>
    <t xml:space="preserve">        602.05亿</t>
  </si>
  <si>
    <t xml:space="preserve">        285.06亿</t>
  </si>
  <si>
    <t>中信证券</t>
  </si>
  <si>
    <t xml:space="preserve">       2289.76亿</t>
  </si>
  <si>
    <t xml:space="preserve">       2295.34亿</t>
  </si>
  <si>
    <t xml:space="preserve">       1823.23亿</t>
  </si>
  <si>
    <t>31.48万</t>
  </si>
  <si>
    <t>0.868㈢</t>
  </si>
  <si>
    <t xml:space="preserve">   6.57㈢</t>
  </si>
  <si>
    <t>三一重工</t>
  </si>
  <si>
    <t xml:space="preserve">       1401.54亿</t>
  </si>
  <si>
    <t xml:space="preserve">       1402.39亿</t>
  </si>
  <si>
    <t xml:space="preserve">        933.10亿</t>
  </si>
  <si>
    <t xml:space="preserve">  21.64㈢</t>
  </si>
  <si>
    <t>福建高速</t>
  </si>
  <si>
    <t>楚天高速</t>
  </si>
  <si>
    <t xml:space="preserve">         51.40亿</t>
  </si>
  <si>
    <t xml:space="preserve">         57.05亿</t>
  </si>
  <si>
    <t>招商银行</t>
  </si>
  <si>
    <t xml:space="preserve">       7810.12亿</t>
  </si>
  <si>
    <t xml:space="preserve">       3746.97亿</t>
  </si>
  <si>
    <t>127.00万</t>
  </si>
  <si>
    <t>3.050㈢</t>
  </si>
  <si>
    <t xml:space="preserve">  12.95㈢</t>
  </si>
  <si>
    <t>歌华有线</t>
  </si>
  <si>
    <t xml:space="preserve">        124.70亿</t>
  </si>
  <si>
    <t xml:space="preserve">         78.03亿</t>
  </si>
  <si>
    <t>中直股份</t>
  </si>
  <si>
    <t xml:space="preserve">        280.77亿</t>
  </si>
  <si>
    <t xml:space="preserve">        121.29亿</t>
  </si>
  <si>
    <t>34.73万</t>
  </si>
  <si>
    <t>0.686㈢</t>
  </si>
  <si>
    <t>四川路桥</t>
  </si>
  <si>
    <t xml:space="preserve">        112.01亿</t>
  </si>
  <si>
    <t xml:space="preserve">        116.98亿</t>
  </si>
  <si>
    <t xml:space="preserve">         67.98亿</t>
  </si>
  <si>
    <t>保利地产</t>
  </si>
  <si>
    <t xml:space="preserve">       1893.72亿</t>
  </si>
  <si>
    <t xml:space="preserve">       1006.42亿</t>
  </si>
  <si>
    <t>72.48万</t>
  </si>
  <si>
    <t>中国联通</t>
  </si>
  <si>
    <t xml:space="preserve">       1225.16亿</t>
  </si>
  <si>
    <t xml:space="preserve">       1793.75亿</t>
  </si>
  <si>
    <t xml:space="preserve">        456.45亿</t>
  </si>
  <si>
    <t>宁波联合</t>
  </si>
  <si>
    <t xml:space="preserve">         13.18亿</t>
  </si>
  <si>
    <t>浙江广厦</t>
  </si>
  <si>
    <t xml:space="preserve">         39.14亿</t>
  </si>
  <si>
    <t>1.379㈢</t>
  </si>
  <si>
    <t xml:space="preserve">  33.56㈢</t>
  </si>
  <si>
    <t>九鼎投资</t>
  </si>
  <si>
    <t xml:space="preserve">         91.13亿</t>
  </si>
  <si>
    <t>黄山旅游</t>
  </si>
  <si>
    <t xml:space="preserve">         66.30亿</t>
  </si>
  <si>
    <t xml:space="preserve">         19.70亿</t>
  </si>
  <si>
    <t>万东医疗</t>
  </si>
  <si>
    <t>12.77万</t>
  </si>
  <si>
    <t>中国医药</t>
  </si>
  <si>
    <t xml:space="preserve">        135.76亿</t>
  </si>
  <si>
    <t xml:space="preserve">         64.13亿</t>
  </si>
  <si>
    <t>9.46万</t>
  </si>
  <si>
    <t>0.907㈢</t>
  </si>
  <si>
    <t>厦门象屿</t>
  </si>
  <si>
    <t xml:space="preserve">         88.46亿</t>
  </si>
  <si>
    <t>五矿发展</t>
  </si>
  <si>
    <t xml:space="preserve">         83.07亿</t>
  </si>
  <si>
    <t xml:space="preserve">   2.12㈢</t>
  </si>
  <si>
    <t>古越龙山</t>
  </si>
  <si>
    <t xml:space="preserve">         67.27亿</t>
  </si>
  <si>
    <t>海信视像</t>
  </si>
  <si>
    <t xml:space="preserve">        141.71亿</t>
  </si>
  <si>
    <t xml:space="preserve">         78.61亿</t>
  </si>
  <si>
    <t xml:space="preserve">   1.86㈢</t>
  </si>
  <si>
    <t>国投资本</t>
  </si>
  <si>
    <t xml:space="preserve">        522.15亿</t>
  </si>
  <si>
    <t xml:space="preserve">        528.81亿</t>
  </si>
  <si>
    <t xml:space="preserve">        194.30亿</t>
  </si>
  <si>
    <t>41.51万</t>
  </si>
  <si>
    <t>0.581㈢</t>
  </si>
  <si>
    <t>华润双鹤</t>
  </si>
  <si>
    <t xml:space="preserve">        132.07亿</t>
  </si>
  <si>
    <t>13.21万</t>
  </si>
  <si>
    <t>0.881㈢</t>
  </si>
  <si>
    <t>皖维高新</t>
  </si>
  <si>
    <t xml:space="preserve">         73.57亿</t>
  </si>
  <si>
    <t xml:space="preserve">         50.96亿</t>
  </si>
  <si>
    <t>南京高科</t>
  </si>
  <si>
    <t xml:space="preserve">        117.05亿</t>
  </si>
  <si>
    <t xml:space="preserve">         76.39亿</t>
  </si>
  <si>
    <t>12.10万</t>
  </si>
  <si>
    <t>1.203㈢</t>
  </si>
  <si>
    <t xml:space="preserve">  12.92㈢</t>
  </si>
  <si>
    <t>宇通客车</t>
  </si>
  <si>
    <t xml:space="preserve">        313.49亿</t>
  </si>
  <si>
    <t xml:space="preserve">        184.53亿</t>
  </si>
  <si>
    <t>30.76万</t>
  </si>
  <si>
    <t>0.598㈢</t>
  </si>
  <si>
    <t>冠城大通</t>
  </si>
  <si>
    <t xml:space="preserve">         58.64亿</t>
  </si>
  <si>
    <t>葛洲坝</t>
  </si>
  <si>
    <t xml:space="preserve">        286.42亿</t>
  </si>
  <si>
    <t xml:space="preserve">        165.16亿</t>
  </si>
  <si>
    <t>银鸽投资</t>
  </si>
  <si>
    <t>3.82万</t>
  </si>
  <si>
    <t>-0.113㈢</t>
  </si>
  <si>
    <t xml:space="preserve">  -9.99㈢</t>
  </si>
  <si>
    <t>浙江富润</t>
  </si>
  <si>
    <t xml:space="preserve">         40.96亿</t>
  </si>
  <si>
    <t xml:space="preserve">         48.44亿</t>
  </si>
  <si>
    <t>13.69万</t>
  </si>
  <si>
    <t>凤凰光学</t>
  </si>
  <si>
    <t xml:space="preserve">         27.38亿</t>
  </si>
  <si>
    <t xml:space="preserve">         32.47亿</t>
  </si>
  <si>
    <t xml:space="preserve">         16.58亿</t>
  </si>
  <si>
    <t xml:space="preserve">  -3.36㈢</t>
  </si>
  <si>
    <t>中船科技</t>
  </si>
  <si>
    <t xml:space="preserve">         98.80亿</t>
  </si>
  <si>
    <t xml:space="preserve">   1.59㈢</t>
  </si>
  <si>
    <t>上海梅林</t>
  </si>
  <si>
    <t xml:space="preserve">         73.71亿</t>
  </si>
  <si>
    <t xml:space="preserve">         45.85亿</t>
  </si>
  <si>
    <t>新疆天业</t>
  </si>
  <si>
    <t xml:space="preserve">         48.43亿</t>
  </si>
  <si>
    <t xml:space="preserve">         28.07亿</t>
  </si>
  <si>
    <t xml:space="preserve">   1.15㈢</t>
  </si>
  <si>
    <t>康欣新材</t>
  </si>
  <si>
    <t xml:space="preserve">         44.68亿</t>
  </si>
  <si>
    <t xml:space="preserve">   8.52㈢</t>
  </si>
  <si>
    <t>宋都股份</t>
  </si>
  <si>
    <t xml:space="preserve">         38.19亿</t>
  </si>
  <si>
    <t xml:space="preserve">         19.04亿</t>
  </si>
  <si>
    <t>-0.051㈢</t>
  </si>
  <si>
    <t xml:space="preserve">  -1.72㈢</t>
  </si>
  <si>
    <t>澄星股份</t>
  </si>
  <si>
    <t>人福医药</t>
  </si>
  <si>
    <t xml:space="preserve">        170.97亿</t>
  </si>
  <si>
    <t xml:space="preserve">        120.95亿</t>
  </si>
  <si>
    <t>23.04万</t>
  </si>
  <si>
    <t>金花股份</t>
  </si>
  <si>
    <t xml:space="preserve">         18.13亿</t>
  </si>
  <si>
    <t xml:space="preserve">         13.32亿</t>
  </si>
  <si>
    <t xml:space="preserve">   2.31㈢</t>
  </si>
  <si>
    <t>东风科技</t>
  </si>
  <si>
    <t>海泰发展</t>
  </si>
  <si>
    <t xml:space="preserve">         25.07亿</t>
  </si>
  <si>
    <t>博信股份</t>
  </si>
  <si>
    <t xml:space="preserve">         47.04亿</t>
  </si>
  <si>
    <t xml:space="preserve">         47.45亿</t>
  </si>
  <si>
    <t xml:space="preserve">  70.59㈢</t>
  </si>
  <si>
    <t>*ST中葡</t>
  </si>
  <si>
    <t xml:space="preserve">         16.77亿</t>
  </si>
  <si>
    <t>同仁堂</t>
  </si>
  <si>
    <t xml:space="preserve">        383.19亿</t>
  </si>
  <si>
    <t>17.20万</t>
  </si>
  <si>
    <t>东方金钰</t>
  </si>
  <si>
    <t xml:space="preserve"> -30.62㈢</t>
  </si>
  <si>
    <t>中视传媒</t>
  </si>
  <si>
    <t xml:space="preserve">         52.89亿</t>
  </si>
  <si>
    <t xml:space="preserve">         22.81亿</t>
  </si>
  <si>
    <t>特变电工</t>
  </si>
  <si>
    <t xml:space="preserve">        243.66亿</t>
  </si>
  <si>
    <t xml:space="preserve">        197.66亿</t>
  </si>
  <si>
    <t>同济堂</t>
  </si>
  <si>
    <t xml:space="preserve">         59.17亿</t>
  </si>
  <si>
    <t>ST明科</t>
  </si>
  <si>
    <t xml:space="preserve">   0.46㈢</t>
  </si>
  <si>
    <t>易见股份</t>
  </si>
  <si>
    <t xml:space="preserve">        153.89亿</t>
  </si>
  <si>
    <t>9.70万</t>
  </si>
  <si>
    <t>0.692㈢</t>
  </si>
  <si>
    <t>大名城</t>
  </si>
  <si>
    <t xml:space="preserve">        129.77亿</t>
  </si>
  <si>
    <t xml:space="preserve">        141.09亿</t>
  </si>
  <si>
    <t xml:space="preserve">         89.36亿</t>
  </si>
  <si>
    <t>17.60万</t>
  </si>
  <si>
    <t>哈高科</t>
  </si>
  <si>
    <t>云天化</t>
  </si>
  <si>
    <t xml:space="preserve">         69.24亿</t>
  </si>
  <si>
    <t xml:space="preserve">         74.81亿</t>
  </si>
  <si>
    <t xml:space="preserve">         26.47亿</t>
  </si>
  <si>
    <t>5.45万</t>
  </si>
  <si>
    <t>开创国际</t>
  </si>
  <si>
    <t xml:space="preserve">         22.08亿</t>
  </si>
  <si>
    <t>0.421㈢</t>
  </si>
  <si>
    <t>广州发展</t>
  </si>
  <si>
    <t xml:space="preserve">        175.29亿</t>
  </si>
  <si>
    <t xml:space="preserve">         30.41亿</t>
  </si>
  <si>
    <t>4.89万</t>
  </si>
  <si>
    <t>林海股份</t>
  </si>
  <si>
    <t xml:space="preserve">          8.45亿</t>
  </si>
  <si>
    <t>同方股份</t>
  </si>
  <si>
    <t xml:space="preserve">        254.60亿</t>
  </si>
  <si>
    <t xml:space="preserve">        183.05亿</t>
  </si>
  <si>
    <t>明星电力</t>
  </si>
  <si>
    <t xml:space="preserve">         18.67亿</t>
  </si>
  <si>
    <t>青山纸业</t>
  </si>
  <si>
    <t xml:space="preserve">   3.18㈢</t>
  </si>
  <si>
    <t>上汽集团</t>
  </si>
  <si>
    <t xml:space="preserve">       2747.02亿</t>
  </si>
  <si>
    <t xml:space="preserve">       2790.01亿</t>
  </si>
  <si>
    <t xml:space="preserve">        790.90亿</t>
  </si>
  <si>
    <t>54.49万</t>
  </si>
  <si>
    <t>1.780㈢</t>
  </si>
  <si>
    <t>永鼎股份</t>
  </si>
  <si>
    <t xml:space="preserve">         57.29亿</t>
  </si>
  <si>
    <t xml:space="preserve">         32.09亿</t>
  </si>
  <si>
    <t>重庆路桥</t>
  </si>
  <si>
    <t xml:space="preserve">         36.13亿</t>
  </si>
  <si>
    <t>美尔雅</t>
  </si>
  <si>
    <t xml:space="preserve">         19.98亿</t>
  </si>
  <si>
    <t>亚盛集团</t>
  </si>
  <si>
    <t xml:space="preserve">         55.10亿</t>
  </si>
  <si>
    <t>2.58万</t>
  </si>
  <si>
    <t>国金证券</t>
  </si>
  <si>
    <t xml:space="preserve">        271.89亿</t>
  </si>
  <si>
    <t xml:space="preserve">        197.31亿</t>
  </si>
  <si>
    <t xml:space="preserve">   4.32㈢</t>
  </si>
  <si>
    <t>诺德股份</t>
  </si>
  <si>
    <t xml:space="preserve">         48.96亿</t>
  </si>
  <si>
    <t>北方稀土</t>
  </si>
  <si>
    <t xml:space="preserve">        393.82亿</t>
  </si>
  <si>
    <t xml:space="preserve">        206.63亿</t>
  </si>
  <si>
    <t>ST天成</t>
  </si>
  <si>
    <t>-0.144㈢</t>
  </si>
  <si>
    <t xml:space="preserve">  -6.60㈢</t>
  </si>
  <si>
    <t>浙江东日</t>
  </si>
  <si>
    <t xml:space="preserve">         29.05亿</t>
  </si>
  <si>
    <t>东睦股份</t>
  </si>
  <si>
    <t xml:space="preserve">         52.60亿</t>
  </si>
  <si>
    <t>16.02万</t>
  </si>
  <si>
    <t>东方航空</t>
  </si>
  <si>
    <t xml:space="preserve">        548.29亿</t>
  </si>
  <si>
    <t xml:space="preserve">        626.23亿</t>
  </si>
  <si>
    <t xml:space="preserve">        239.15亿</t>
  </si>
  <si>
    <t>三峡水利</t>
  </si>
  <si>
    <t>西宁特钢</t>
  </si>
  <si>
    <t>2.08万</t>
  </si>
  <si>
    <t>中国卫星</t>
  </si>
  <si>
    <t xml:space="preserve">        251.16亿</t>
  </si>
  <si>
    <t xml:space="preserve">        121.91亿</t>
  </si>
  <si>
    <t>*ST长投</t>
  </si>
  <si>
    <t>3.35万</t>
  </si>
  <si>
    <t xml:space="preserve"> -64.09㈢</t>
  </si>
  <si>
    <t>浙江东方</t>
  </si>
  <si>
    <t xml:space="preserve">         58.14亿</t>
  </si>
  <si>
    <t>14.84万</t>
  </si>
  <si>
    <t>郑州煤电</t>
  </si>
  <si>
    <t xml:space="preserve">         10.23亿</t>
  </si>
  <si>
    <t>宏图高科</t>
  </si>
  <si>
    <t>-0.558㈢</t>
  </si>
  <si>
    <t xml:space="preserve"> -11.13㈢</t>
  </si>
  <si>
    <t>兰花科创</t>
  </si>
  <si>
    <t xml:space="preserve">         72.09亿</t>
  </si>
  <si>
    <t xml:space="preserve">         39.57亿</t>
  </si>
  <si>
    <t>0.648㈢</t>
  </si>
  <si>
    <t>铁龙物流</t>
  </si>
  <si>
    <t xml:space="preserve">         76.76亿</t>
  </si>
  <si>
    <t>杭钢股份</t>
  </si>
  <si>
    <t xml:space="preserve">        162.11亿</t>
  </si>
  <si>
    <t>12.20万</t>
  </si>
  <si>
    <t>金健米业</t>
  </si>
  <si>
    <t>弘业股份</t>
  </si>
  <si>
    <t xml:space="preserve">         13.47亿</t>
  </si>
  <si>
    <t xml:space="preserve">  -0.56㈢</t>
  </si>
  <si>
    <t>太极集团</t>
  </si>
  <si>
    <t xml:space="preserve">         60.64亿</t>
  </si>
  <si>
    <t xml:space="preserve">         62.09亿</t>
  </si>
  <si>
    <t xml:space="preserve">         40.15亿</t>
  </si>
  <si>
    <t>12.55万</t>
  </si>
  <si>
    <t>0.222㈢</t>
  </si>
  <si>
    <t>波导股份</t>
  </si>
  <si>
    <t xml:space="preserve">         28.34亿</t>
  </si>
  <si>
    <t>岷江水电</t>
  </si>
  <si>
    <t xml:space="preserve">         81.98亿</t>
  </si>
  <si>
    <t xml:space="preserve">        101.38亿</t>
  </si>
  <si>
    <t>16.47万</t>
  </si>
  <si>
    <t>重庆啤酒</t>
  </si>
  <si>
    <t xml:space="preserve">        252.34亿</t>
  </si>
  <si>
    <t>57.12万</t>
  </si>
  <si>
    <t>1.227㈢</t>
  </si>
  <si>
    <t xml:space="preserve">  43.94㈢</t>
  </si>
  <si>
    <t>东湖高新</t>
  </si>
  <si>
    <t xml:space="preserve">         39.50亿</t>
  </si>
  <si>
    <t xml:space="preserve">         28.49亿</t>
  </si>
  <si>
    <t>乐凯胶片</t>
  </si>
  <si>
    <t>当代明诚</t>
  </si>
  <si>
    <t xml:space="preserve">         59.16亿</t>
  </si>
  <si>
    <t xml:space="preserve">         71.03亿</t>
  </si>
  <si>
    <t>1.340㈢</t>
  </si>
  <si>
    <t>浪莎股份</t>
  </si>
  <si>
    <t xml:space="preserve">          5.94亿</t>
  </si>
  <si>
    <t>中青旅</t>
  </si>
  <si>
    <t xml:space="preserve">         89.10亿</t>
  </si>
  <si>
    <t xml:space="preserve">         64.10亿</t>
  </si>
  <si>
    <t>10.60万</t>
  </si>
  <si>
    <t>西部资源</t>
  </si>
  <si>
    <t xml:space="preserve">         14.39亿</t>
  </si>
  <si>
    <t>兴发集团</t>
  </si>
  <si>
    <t xml:space="preserve">         72.72亿</t>
  </si>
  <si>
    <t xml:space="preserve">        104.78亿</t>
  </si>
  <si>
    <t xml:space="preserve">         49.95亿</t>
  </si>
  <si>
    <t>12.99万</t>
  </si>
  <si>
    <t>金发科技</t>
  </si>
  <si>
    <t xml:space="preserve">        185.04亿</t>
  </si>
  <si>
    <t xml:space="preserve">        122.51亿</t>
  </si>
  <si>
    <t>15.19万</t>
  </si>
  <si>
    <t xml:space="preserve">   9.23㈢</t>
  </si>
  <si>
    <t>*ST新亿</t>
  </si>
  <si>
    <t xml:space="preserve">         16.53亿</t>
  </si>
  <si>
    <t>商赢环球</t>
  </si>
  <si>
    <t xml:space="preserve">         56.87亿</t>
  </si>
  <si>
    <t xml:space="preserve">         37.06亿</t>
  </si>
  <si>
    <t>-0.606㈢</t>
  </si>
  <si>
    <t xml:space="preserve"> -31.35㈢</t>
  </si>
  <si>
    <t>长春一东</t>
  </si>
  <si>
    <t>3.55万</t>
  </si>
  <si>
    <t>ST坊展</t>
  </si>
  <si>
    <t>3.57万</t>
  </si>
  <si>
    <t>-0.011㈢</t>
  </si>
  <si>
    <t>中国船舶</t>
  </si>
  <si>
    <t xml:space="preserve">        295.19亿</t>
  </si>
  <si>
    <t>9.49万</t>
  </si>
  <si>
    <t>航天机电</t>
  </si>
  <si>
    <t xml:space="preserve">         68.27亿</t>
  </si>
  <si>
    <t xml:space="preserve">         42.52亿</t>
  </si>
  <si>
    <t>-0.083㈢</t>
  </si>
  <si>
    <t xml:space="preserve">  -2.03㈢</t>
  </si>
  <si>
    <t>维科技术</t>
  </si>
  <si>
    <t xml:space="preserve">         29.63亿</t>
  </si>
  <si>
    <t xml:space="preserve">         13.48亿</t>
  </si>
  <si>
    <t>-0.111㈢</t>
  </si>
  <si>
    <t xml:space="preserve">  -3.39㈢</t>
  </si>
  <si>
    <t>建发股份</t>
  </si>
  <si>
    <t xml:space="preserve">        247.23亿</t>
  </si>
  <si>
    <t xml:space="preserve">        119.53亿</t>
  </si>
  <si>
    <t>华创阳安</t>
  </si>
  <si>
    <t xml:space="preserve">        223.98亿</t>
  </si>
  <si>
    <t xml:space="preserve">        230.49亿</t>
  </si>
  <si>
    <t>华升股份</t>
  </si>
  <si>
    <t xml:space="preserve">         18.18亿</t>
  </si>
  <si>
    <t xml:space="preserve">  -3.68㈢</t>
  </si>
  <si>
    <t>永泰能源</t>
  </si>
  <si>
    <t xml:space="preserve">        177.69亿</t>
  </si>
  <si>
    <t xml:space="preserve">         96.51亿</t>
  </si>
  <si>
    <t>2.76万</t>
  </si>
  <si>
    <t>中体产业</t>
  </si>
  <si>
    <t xml:space="preserve">         63.71亿</t>
  </si>
  <si>
    <t xml:space="preserve">         81.76亿</t>
  </si>
  <si>
    <t xml:space="preserve">         61.07亿</t>
  </si>
  <si>
    <t xml:space="preserve">   1.92㈢</t>
  </si>
  <si>
    <t>大龙地产</t>
  </si>
  <si>
    <t>巨化股份</t>
  </si>
  <si>
    <t xml:space="preserve">        197.10亿</t>
  </si>
  <si>
    <t xml:space="preserve">         80.41亿</t>
  </si>
  <si>
    <t>天坛生物</t>
  </si>
  <si>
    <t xml:space="preserve">        278.49亿</t>
  </si>
  <si>
    <t xml:space="preserve">        125.69亿</t>
  </si>
  <si>
    <t>43.41万</t>
  </si>
  <si>
    <t>香江控股</t>
  </si>
  <si>
    <t xml:space="preserve">         67.06亿</t>
  </si>
  <si>
    <t xml:space="preserve">         76.41亿</t>
  </si>
  <si>
    <t xml:space="preserve">         31.79亿</t>
  </si>
  <si>
    <t>中闽能源</t>
  </si>
  <si>
    <t xml:space="preserve">         33.48亿</t>
  </si>
  <si>
    <t>新日恒力</t>
  </si>
  <si>
    <t>-0.046㈢</t>
  </si>
  <si>
    <t>福田汽车</t>
  </si>
  <si>
    <t xml:space="preserve">        136.11亿</t>
  </si>
  <si>
    <t xml:space="preserve">         92.60亿</t>
  </si>
  <si>
    <t>联美控股</t>
  </si>
  <si>
    <t xml:space="preserve">        291.51亿</t>
  </si>
  <si>
    <t xml:space="preserve">         83.91亿</t>
  </si>
  <si>
    <t>72.82万</t>
  </si>
  <si>
    <t xml:space="preserve">  13.63㈢</t>
  </si>
  <si>
    <t>武汉控股</t>
  </si>
  <si>
    <t>太原重工</t>
  </si>
  <si>
    <t xml:space="preserve">         58.97亿</t>
  </si>
  <si>
    <t xml:space="preserve">         39.17亿</t>
  </si>
  <si>
    <t xml:space="preserve">   0.44㈢</t>
  </si>
  <si>
    <t>上海建工</t>
  </si>
  <si>
    <t xml:space="preserve">        296.19亿</t>
  </si>
  <si>
    <t xml:space="preserve">        310.76亿</t>
  </si>
  <si>
    <t xml:space="preserve">        131.24亿</t>
  </si>
  <si>
    <t>上海贝岭</t>
  </si>
  <si>
    <t xml:space="preserve">        108.15亿</t>
  </si>
  <si>
    <t xml:space="preserve">        112.97亿</t>
  </si>
  <si>
    <t xml:space="preserve">         79.55亿</t>
  </si>
  <si>
    <t>8.89万</t>
  </si>
  <si>
    <t>黄河旋风</t>
  </si>
  <si>
    <t xml:space="preserve">         24.62亿</t>
  </si>
  <si>
    <t xml:space="preserve">   1.30㈢</t>
  </si>
  <si>
    <t>卧龙地产</t>
  </si>
  <si>
    <t xml:space="preserve">         16.89亿</t>
  </si>
  <si>
    <t>6.47万</t>
  </si>
  <si>
    <t xml:space="preserve">  12.67㈢</t>
  </si>
  <si>
    <t>美都能源</t>
  </si>
  <si>
    <t xml:space="preserve">         66.17亿</t>
  </si>
  <si>
    <t xml:space="preserve">  -2.18㈢</t>
  </si>
  <si>
    <t>中国巨石</t>
  </si>
  <si>
    <t xml:space="preserve">        373.35亿</t>
  </si>
  <si>
    <t xml:space="preserve">        214.43亿</t>
  </si>
  <si>
    <t>24.03万</t>
  </si>
  <si>
    <t>0.442㈢</t>
  </si>
  <si>
    <t xml:space="preserve">  10.25㈢</t>
  </si>
  <si>
    <t>雅戈尔</t>
  </si>
  <si>
    <t xml:space="preserve">        343.96亿</t>
  </si>
  <si>
    <t xml:space="preserve">        168.50亿</t>
  </si>
  <si>
    <t>14.70万</t>
  </si>
  <si>
    <t xml:space="preserve">  11.41㈢</t>
  </si>
  <si>
    <t>东安动力</t>
  </si>
  <si>
    <t xml:space="preserve">         10.60亿</t>
  </si>
  <si>
    <t>ST安通</t>
  </si>
  <si>
    <t xml:space="preserve">         32.67亿</t>
  </si>
  <si>
    <t xml:space="preserve">         72.12亿</t>
  </si>
  <si>
    <t>9.71万</t>
  </si>
  <si>
    <t>-0.629㈢</t>
  </si>
  <si>
    <t xml:space="preserve"> -38.12㈢</t>
  </si>
  <si>
    <t>瑞茂通</t>
  </si>
  <si>
    <t xml:space="preserve">         17.70亿</t>
  </si>
  <si>
    <t>8.99万</t>
  </si>
  <si>
    <t>S佳通</t>
  </si>
  <si>
    <t xml:space="preserve">         55.42亿</t>
  </si>
  <si>
    <t>生益科技</t>
  </si>
  <si>
    <t xml:space="preserve">        472.76亿</t>
  </si>
  <si>
    <t xml:space="preserve">        223.59亿</t>
  </si>
  <si>
    <t xml:space="preserve">  12.53㈢</t>
  </si>
  <si>
    <t>光电股份</t>
  </si>
  <si>
    <t xml:space="preserve">         57.44亿</t>
  </si>
  <si>
    <t>格力地产</t>
  </si>
  <si>
    <t xml:space="preserve">        101.20亿</t>
  </si>
  <si>
    <t xml:space="preserve">         51.21亿</t>
  </si>
  <si>
    <t>13.13万</t>
  </si>
  <si>
    <t>*ST莲花</t>
  </si>
  <si>
    <t>国中水务</t>
  </si>
  <si>
    <t xml:space="preserve">         36.97亿</t>
  </si>
  <si>
    <t xml:space="preserve">         42.01亿</t>
  </si>
  <si>
    <t xml:space="preserve">         31.20亿</t>
  </si>
  <si>
    <t>2.49万</t>
  </si>
  <si>
    <t>兖州煤业</t>
  </si>
  <si>
    <t xml:space="preserve">        295.69亿</t>
  </si>
  <si>
    <t xml:space="preserve">        295.70亿</t>
  </si>
  <si>
    <t xml:space="preserve">         69.20亿</t>
  </si>
  <si>
    <t>1.422㈢</t>
  </si>
  <si>
    <t>吉林森工</t>
  </si>
  <si>
    <t>锦州港</t>
  </si>
  <si>
    <t xml:space="preserve">         60.67亿</t>
  </si>
  <si>
    <t xml:space="preserve">   2.34㈢</t>
  </si>
  <si>
    <t>华资实业</t>
  </si>
  <si>
    <t xml:space="preserve">         24.73亿</t>
  </si>
  <si>
    <t>长城电工</t>
  </si>
  <si>
    <t xml:space="preserve">         13.88亿</t>
  </si>
  <si>
    <t>ST创兴</t>
  </si>
  <si>
    <t xml:space="preserve">         17.23亿</t>
  </si>
  <si>
    <t>中牧股份</t>
  </si>
  <si>
    <t>15.70万</t>
  </si>
  <si>
    <t>复星医药</t>
  </si>
  <si>
    <t xml:space="preserve">        527.68亿</t>
  </si>
  <si>
    <t xml:space="preserve">        281.52亿</t>
  </si>
  <si>
    <t>22.12万</t>
  </si>
  <si>
    <t>伊力特</t>
  </si>
  <si>
    <t xml:space="preserve">         68.18亿</t>
  </si>
  <si>
    <t xml:space="preserve">  11.19㈢</t>
  </si>
  <si>
    <t>大唐电信</t>
  </si>
  <si>
    <t xml:space="preserve">         93.59亿</t>
  </si>
  <si>
    <t xml:space="preserve">         93.77亿</t>
  </si>
  <si>
    <t>-0.628㈢</t>
  </si>
  <si>
    <t>金种子酒</t>
  </si>
  <si>
    <t xml:space="preserve">         40.32亿</t>
  </si>
  <si>
    <t xml:space="preserve">         23.14亿</t>
  </si>
  <si>
    <t xml:space="preserve">  -2.44㈢</t>
  </si>
  <si>
    <t>江苏吴中</t>
  </si>
  <si>
    <t xml:space="preserve">         36.55亿</t>
  </si>
  <si>
    <t xml:space="preserve">         30.16亿</t>
  </si>
  <si>
    <t>生物股份</t>
  </si>
  <si>
    <t xml:space="preserve">        211.85亿</t>
  </si>
  <si>
    <t xml:space="preserve">        185.35亿</t>
  </si>
  <si>
    <t>48.35万</t>
  </si>
  <si>
    <t>哈空调</t>
  </si>
  <si>
    <t>福日电子</t>
  </si>
  <si>
    <t>有研新材</t>
  </si>
  <si>
    <t xml:space="preserve">        103.30亿</t>
  </si>
  <si>
    <t>安彩高科</t>
  </si>
  <si>
    <t xml:space="preserve">         14.30亿</t>
  </si>
  <si>
    <t>新湖中宝</t>
  </si>
  <si>
    <t xml:space="preserve">        318.99亿</t>
  </si>
  <si>
    <t xml:space="preserve">        319.04亿</t>
  </si>
  <si>
    <t>12.93万</t>
  </si>
  <si>
    <t xml:space="preserve">   6.95㈢</t>
  </si>
  <si>
    <t>ST罗顿</t>
  </si>
  <si>
    <t xml:space="preserve">         10.91亿</t>
  </si>
  <si>
    <t xml:space="preserve">  -3.60㈢</t>
  </si>
  <si>
    <t>紫江企业</t>
  </si>
  <si>
    <t xml:space="preserve">         55.82亿</t>
  </si>
  <si>
    <t>西藏药业</t>
  </si>
  <si>
    <t xml:space="preserve">         55.79亿</t>
  </si>
  <si>
    <t>19.96万</t>
  </si>
  <si>
    <t>1.350㈢</t>
  </si>
  <si>
    <t>江泉实业</t>
  </si>
  <si>
    <t>-0.447㈢</t>
  </si>
  <si>
    <t xml:space="preserve"> -64.43㈢</t>
  </si>
  <si>
    <t>亚星客车</t>
  </si>
  <si>
    <t>长春经开</t>
  </si>
  <si>
    <t xml:space="preserve">         29.81亿</t>
  </si>
  <si>
    <t xml:space="preserve">         20.47亿</t>
  </si>
  <si>
    <t>浙江医药</t>
  </si>
  <si>
    <t xml:space="preserve">        124.50亿</t>
  </si>
  <si>
    <t xml:space="preserve">         78.15亿</t>
  </si>
  <si>
    <t>15.03万</t>
  </si>
  <si>
    <t>中再资环</t>
  </si>
  <si>
    <t xml:space="preserve">         67.00亿</t>
  </si>
  <si>
    <t xml:space="preserve">         70.54亿</t>
  </si>
  <si>
    <t xml:space="preserve">         33.88亿</t>
  </si>
  <si>
    <t xml:space="preserve">  18.58㈢</t>
  </si>
  <si>
    <t>全柴动力</t>
  </si>
  <si>
    <t xml:space="preserve">         41.67亿</t>
  </si>
  <si>
    <t xml:space="preserve">         27.37亿</t>
  </si>
  <si>
    <t>南山铝业</t>
  </si>
  <si>
    <t xml:space="preserve">        217.28亿</t>
  </si>
  <si>
    <t xml:space="preserve">        265.30亿</t>
  </si>
  <si>
    <t xml:space="preserve">        139.94亿</t>
  </si>
  <si>
    <t>5.85万</t>
  </si>
  <si>
    <t>江苏阳光</t>
  </si>
  <si>
    <t>海航控股</t>
  </si>
  <si>
    <t xml:space="preserve">        281.06亿</t>
  </si>
  <si>
    <t xml:space="preserve">        287.38亿</t>
  </si>
  <si>
    <t xml:space="preserve">        181.21亿</t>
  </si>
  <si>
    <t xml:space="preserve">   1.14㈢</t>
  </si>
  <si>
    <t>太龙药业</t>
  </si>
  <si>
    <t xml:space="preserve">         24.53亿</t>
  </si>
  <si>
    <t xml:space="preserve">         24.68亿</t>
  </si>
  <si>
    <t xml:space="preserve">         17.50亿</t>
  </si>
  <si>
    <t>鲁商发展</t>
  </si>
  <si>
    <t xml:space="preserve">         69.67亿</t>
  </si>
  <si>
    <t>天津松江</t>
  </si>
  <si>
    <t xml:space="preserve">         27.43亿</t>
  </si>
  <si>
    <t xml:space="preserve"> -27.78㈢</t>
  </si>
  <si>
    <t>瀚叶股份</t>
  </si>
  <si>
    <t xml:space="preserve">         61.58亿</t>
  </si>
  <si>
    <t xml:space="preserve">         96.98亿</t>
  </si>
  <si>
    <t xml:space="preserve">         52.79亿</t>
  </si>
  <si>
    <t>圣济堂</t>
  </si>
  <si>
    <t>-0.988㈢</t>
  </si>
  <si>
    <t xml:space="preserve"> -52.55㈢</t>
  </si>
  <si>
    <t>ST昌九</t>
  </si>
  <si>
    <t xml:space="preserve">         11.49亿</t>
  </si>
  <si>
    <t xml:space="preserve">  -6.38㈢</t>
  </si>
  <si>
    <t>城市传媒</t>
  </si>
  <si>
    <t xml:space="preserve">   9.74㈢</t>
  </si>
  <si>
    <t>沧州大化</t>
  </si>
  <si>
    <t xml:space="preserve">         23.05亿</t>
  </si>
  <si>
    <t>5.27万</t>
  </si>
  <si>
    <t>凌钢股份</t>
  </si>
  <si>
    <t xml:space="preserve">         75.10亿</t>
  </si>
  <si>
    <t>2.98万</t>
  </si>
  <si>
    <t>金鹰股份</t>
  </si>
  <si>
    <t xml:space="preserve">         22.90亿</t>
  </si>
  <si>
    <t xml:space="preserve">         11.78亿</t>
  </si>
  <si>
    <t>圆通速递</t>
  </si>
  <si>
    <t xml:space="preserve">        354.43亿</t>
  </si>
  <si>
    <t xml:space="preserve">        355.33亿</t>
  </si>
  <si>
    <t xml:space="preserve">         64.31亿</t>
  </si>
  <si>
    <t>13.57万</t>
  </si>
  <si>
    <t xml:space="preserve">  10.92㈢</t>
  </si>
  <si>
    <t>*ST山水</t>
  </si>
  <si>
    <t xml:space="preserve">         10.67亿</t>
  </si>
  <si>
    <t>12.31万</t>
  </si>
  <si>
    <t xml:space="preserve">  14.19㈢</t>
  </si>
  <si>
    <t>民丰特纸</t>
  </si>
  <si>
    <t xml:space="preserve">         10.96亿</t>
  </si>
  <si>
    <t>桂冠电力</t>
  </si>
  <si>
    <t xml:space="preserve">        381.51亿</t>
  </si>
  <si>
    <t xml:space="preserve">         93.49亿</t>
  </si>
  <si>
    <t xml:space="preserve">  13.54㈢</t>
  </si>
  <si>
    <t>铜峰电子</t>
  </si>
  <si>
    <t>-0.037㈢</t>
  </si>
  <si>
    <t xml:space="preserve">  -1.70㈢</t>
  </si>
  <si>
    <t>ST椰岛</t>
  </si>
  <si>
    <t>-0.290㈢</t>
  </si>
  <si>
    <t xml:space="preserve"> -19.45㈢</t>
  </si>
  <si>
    <t>云南城投</t>
  </si>
  <si>
    <t xml:space="preserve">         46.40亿</t>
  </si>
  <si>
    <t xml:space="preserve"> -24.06㈢</t>
  </si>
  <si>
    <t>时代万恒</t>
  </si>
  <si>
    <t xml:space="preserve">          7.20亿</t>
  </si>
  <si>
    <t>中昌数据</t>
  </si>
  <si>
    <t xml:space="preserve">         36.44亿</t>
  </si>
  <si>
    <t xml:space="preserve">         18.54亿</t>
  </si>
  <si>
    <t>0.062㈢</t>
  </si>
  <si>
    <t>青海华鼎</t>
  </si>
  <si>
    <t>-0.192㈢</t>
  </si>
  <si>
    <t xml:space="preserve">  -5.79㈢</t>
  </si>
  <si>
    <t>万通地产</t>
  </si>
  <si>
    <t xml:space="preserve">        104.75亿</t>
  </si>
  <si>
    <t>ST成城</t>
  </si>
  <si>
    <t xml:space="preserve">         10.75亿</t>
  </si>
  <si>
    <t>延长化建</t>
  </si>
  <si>
    <t xml:space="preserve">   7.57㈢</t>
  </si>
  <si>
    <t>两面针</t>
  </si>
  <si>
    <t xml:space="preserve">         15.06亿</t>
  </si>
  <si>
    <t>南纺股份</t>
  </si>
  <si>
    <t>冠农股份</t>
  </si>
  <si>
    <t xml:space="preserve">         41.91亿</t>
  </si>
  <si>
    <t xml:space="preserve">         24.77亿</t>
  </si>
  <si>
    <t>中恒集团</t>
  </si>
  <si>
    <t xml:space="preserve">        109.81亿</t>
  </si>
  <si>
    <t xml:space="preserve">   9.24㈢</t>
  </si>
  <si>
    <t>梦舟股份</t>
  </si>
  <si>
    <t>1.60万</t>
  </si>
  <si>
    <t xml:space="preserve">  -2.71㈢</t>
  </si>
  <si>
    <t>广汇能源</t>
  </si>
  <si>
    <t xml:space="preserve">        220.98亿</t>
  </si>
  <si>
    <t xml:space="preserve">        222.84亿</t>
  </si>
  <si>
    <t xml:space="preserve">        123.18亿</t>
  </si>
  <si>
    <t>大湖股份</t>
  </si>
  <si>
    <t xml:space="preserve">         16.01亿</t>
  </si>
  <si>
    <t>首旅酒店</t>
  </si>
  <si>
    <t xml:space="preserve">        204.69亿</t>
  </si>
  <si>
    <t xml:space="preserve">        206.53亿</t>
  </si>
  <si>
    <t xml:space="preserve">        103.54亿</t>
  </si>
  <si>
    <t>39.14万</t>
  </si>
  <si>
    <t>广晟有色</t>
  </si>
  <si>
    <t xml:space="preserve">        106.26亿</t>
  </si>
  <si>
    <t xml:space="preserve">         52.87亿</t>
  </si>
  <si>
    <t>凯乐科技</t>
  </si>
  <si>
    <t xml:space="preserve">        125.65亿</t>
  </si>
  <si>
    <t xml:space="preserve">        132.49亿</t>
  </si>
  <si>
    <t>14.65万</t>
  </si>
  <si>
    <t>0.967㈢</t>
  </si>
  <si>
    <t>阳光照明</t>
  </si>
  <si>
    <t xml:space="preserve">  13.69㈢</t>
  </si>
  <si>
    <t>北方股份</t>
  </si>
  <si>
    <t>14.64万</t>
  </si>
  <si>
    <t>ST景谷</t>
  </si>
  <si>
    <t xml:space="preserve">          9.18亿</t>
  </si>
  <si>
    <t>26.12万</t>
  </si>
  <si>
    <t xml:space="preserve"> -22.16㈢</t>
  </si>
  <si>
    <t>城建发展</t>
  </si>
  <si>
    <t xml:space="preserve">        150.44亿</t>
  </si>
  <si>
    <t xml:space="preserve">         87.46亿</t>
  </si>
  <si>
    <t>12.69万</t>
  </si>
  <si>
    <t xml:space="preserve">   7.25㈢</t>
  </si>
  <si>
    <t>海正药业</t>
  </si>
  <si>
    <t xml:space="preserve">         53.42亿</t>
  </si>
  <si>
    <t>14.30万</t>
  </si>
  <si>
    <t xml:space="preserve">  16.87㈢</t>
  </si>
  <si>
    <t>国电南自</t>
  </si>
  <si>
    <t xml:space="preserve">         32.91亿</t>
  </si>
  <si>
    <t xml:space="preserve">         36.01亿</t>
  </si>
  <si>
    <t xml:space="preserve">         16.37亿</t>
  </si>
  <si>
    <t>3.03万</t>
  </si>
  <si>
    <t>-0.143㈢</t>
  </si>
  <si>
    <t xml:space="preserve">  -4.44㈢</t>
  </si>
  <si>
    <t>赣粤高速</t>
  </si>
  <si>
    <t xml:space="preserve">         95.05亿</t>
  </si>
  <si>
    <t xml:space="preserve">         44.84亿</t>
  </si>
  <si>
    <t>航天信息</t>
  </si>
  <si>
    <t xml:space="preserve">        410.58亿</t>
  </si>
  <si>
    <t xml:space="preserve">        412.73亿</t>
  </si>
  <si>
    <t xml:space="preserve">        231.20亿</t>
  </si>
  <si>
    <t>25.75万</t>
  </si>
  <si>
    <t>开开实业</t>
  </si>
  <si>
    <t>嘉化能源</t>
  </si>
  <si>
    <t xml:space="preserve">        155.65亿</t>
  </si>
  <si>
    <t xml:space="preserve">        157.74亿</t>
  </si>
  <si>
    <t>24.93万</t>
  </si>
  <si>
    <t xml:space="preserve">  13.64㈢</t>
  </si>
  <si>
    <t>ST昌鱼</t>
  </si>
  <si>
    <t xml:space="preserve">          8.07亿</t>
  </si>
  <si>
    <t>-0.032㈢</t>
  </si>
  <si>
    <t xml:space="preserve"> -12.18㈢</t>
  </si>
  <si>
    <t>恒瑞医药</t>
  </si>
  <si>
    <t xml:space="preserve">       3716.02亿</t>
  </si>
  <si>
    <t xml:space="preserve">       3731.97亿</t>
  </si>
  <si>
    <t xml:space="preserve">       2256.40亿</t>
  </si>
  <si>
    <t>202.73万</t>
  </si>
  <si>
    <t>0.844㈢</t>
  </si>
  <si>
    <t>亿利洁能</t>
  </si>
  <si>
    <t xml:space="preserve">        120.60亿</t>
  </si>
  <si>
    <t xml:space="preserve">        123.53亿</t>
  </si>
  <si>
    <t xml:space="preserve">         60.43亿</t>
  </si>
  <si>
    <t>0.278㈢</t>
  </si>
  <si>
    <t>东方创业</t>
  </si>
  <si>
    <t xml:space="preserve">         54.84亿</t>
  </si>
  <si>
    <t xml:space="preserve">         20.09亿</t>
  </si>
  <si>
    <t>重庆港九</t>
  </si>
  <si>
    <t xml:space="preserve">         50.56亿</t>
  </si>
  <si>
    <t>中央商场</t>
  </si>
  <si>
    <t xml:space="preserve">  -4.14㈢</t>
  </si>
  <si>
    <t>太化股份</t>
  </si>
  <si>
    <t>-0.063㈢</t>
  </si>
  <si>
    <t xml:space="preserve">  -8.01㈢</t>
  </si>
  <si>
    <t>南钢股份</t>
  </si>
  <si>
    <t xml:space="preserve">        149.24亿</t>
  </si>
  <si>
    <t xml:space="preserve">         83.20亿</t>
  </si>
  <si>
    <t>0.536㈢</t>
  </si>
  <si>
    <t xml:space="preserve">  14.38㈢</t>
  </si>
  <si>
    <t>钱江水利</t>
  </si>
  <si>
    <t xml:space="preserve">         34.88亿</t>
  </si>
  <si>
    <t xml:space="preserve">         12.06亿</t>
  </si>
  <si>
    <t>浦东建设</t>
  </si>
  <si>
    <t xml:space="preserve">         60.45亿</t>
  </si>
  <si>
    <t xml:space="preserve">         42.31亿</t>
  </si>
  <si>
    <t>4.72万</t>
  </si>
  <si>
    <t>羚锐制药</t>
  </si>
  <si>
    <t xml:space="preserve">         53.54亿</t>
  </si>
  <si>
    <t>9.92万</t>
  </si>
  <si>
    <t xml:space="preserve">  11.81㈢</t>
  </si>
  <si>
    <t>江苏舜天</t>
  </si>
  <si>
    <t>大恒科技</t>
  </si>
  <si>
    <t>*ST信通</t>
  </si>
  <si>
    <t xml:space="preserve">         14.97亿</t>
  </si>
  <si>
    <t>-0.270㈢</t>
  </si>
  <si>
    <t>ST华仪</t>
  </si>
  <si>
    <t>西水股份</t>
  </si>
  <si>
    <t xml:space="preserve">         95.64亿</t>
  </si>
  <si>
    <t xml:space="preserve">         47.08亿</t>
  </si>
  <si>
    <t>-1.431㈢</t>
  </si>
  <si>
    <t xml:space="preserve"> -14.38㈢</t>
  </si>
  <si>
    <t>远达环保</t>
  </si>
  <si>
    <t xml:space="preserve">         43.80亿</t>
  </si>
  <si>
    <t xml:space="preserve">         20.89亿</t>
  </si>
  <si>
    <t>三峡新材</t>
  </si>
  <si>
    <t>鄂尔多斯</t>
  </si>
  <si>
    <t xml:space="preserve">         53.79亿</t>
  </si>
  <si>
    <t xml:space="preserve">        125.52亿</t>
  </si>
  <si>
    <t>广汇汽车</t>
  </si>
  <si>
    <t xml:space="preserve">        266.83亿</t>
  </si>
  <si>
    <t xml:space="preserve">        268.46亿</t>
  </si>
  <si>
    <t xml:space="preserve">         98.58亿</t>
  </si>
  <si>
    <t>25.99万</t>
  </si>
  <si>
    <t>安琪酵母</t>
  </si>
  <si>
    <t xml:space="preserve">        244.26亿</t>
  </si>
  <si>
    <t xml:space="preserve">        132.79亿</t>
  </si>
  <si>
    <t>32.49万</t>
  </si>
  <si>
    <t>0.808㈢</t>
  </si>
  <si>
    <t>安迪苏</t>
  </si>
  <si>
    <t xml:space="preserve">        291.25亿</t>
  </si>
  <si>
    <t>维维股份</t>
  </si>
  <si>
    <t xml:space="preserve">         48.49亿</t>
  </si>
  <si>
    <t>ST南化</t>
  </si>
  <si>
    <t>标准股份</t>
  </si>
  <si>
    <t xml:space="preserve">         17.16亿</t>
  </si>
  <si>
    <t xml:space="preserve">  -6.22㈢</t>
  </si>
  <si>
    <t>曙光股份</t>
  </si>
  <si>
    <t xml:space="preserve">  -3.14㈢</t>
  </si>
  <si>
    <t>恒顺醋业</t>
  </si>
  <si>
    <t xml:space="preserve">        114.79亿</t>
  </si>
  <si>
    <t xml:space="preserve">         63.56亿</t>
  </si>
  <si>
    <t xml:space="preserve">  11.44㈢</t>
  </si>
  <si>
    <t>商业城</t>
  </si>
  <si>
    <t xml:space="preserve">         10.24亿</t>
  </si>
  <si>
    <t xml:space="preserve">         10.28亿</t>
  </si>
  <si>
    <t xml:space="preserve">          7.17亿</t>
  </si>
  <si>
    <t>-0.437㈢</t>
  </si>
  <si>
    <t>酒钢宏兴</t>
  </si>
  <si>
    <t xml:space="preserve">        126.52亿</t>
  </si>
  <si>
    <t xml:space="preserve">         57.20亿</t>
  </si>
  <si>
    <t>华泰股份</t>
  </si>
  <si>
    <t>0.414㈢</t>
  </si>
  <si>
    <t>万华化学</t>
  </si>
  <si>
    <t xml:space="preserve">        774.52亿</t>
  </si>
  <si>
    <t xml:space="preserve">       1708.02亿</t>
  </si>
  <si>
    <t>72.55万</t>
  </si>
  <si>
    <t>2.516㈢</t>
  </si>
  <si>
    <t xml:space="preserve">  19.58㈢</t>
  </si>
  <si>
    <t>桂东电力</t>
  </si>
  <si>
    <t>荣华实业</t>
  </si>
  <si>
    <t xml:space="preserve">         18.73亿</t>
  </si>
  <si>
    <t>2.16万</t>
  </si>
  <si>
    <t xml:space="preserve">  -6.59㈢</t>
  </si>
  <si>
    <t>平高电气</t>
  </si>
  <si>
    <t xml:space="preserve">         86.57亿</t>
  </si>
  <si>
    <t>农发种业</t>
  </si>
  <si>
    <t xml:space="preserve">         27.83亿</t>
  </si>
  <si>
    <t xml:space="preserve">         29.54亿</t>
  </si>
  <si>
    <t xml:space="preserve">         16.69亿</t>
  </si>
  <si>
    <t xml:space="preserve">  -0.78㈢</t>
  </si>
  <si>
    <t>上海家化</t>
  </si>
  <si>
    <t xml:space="preserve">        203.93亿</t>
  </si>
  <si>
    <t xml:space="preserve">         87.79亿</t>
  </si>
  <si>
    <t>36.45万</t>
  </si>
  <si>
    <t>洪都航空</t>
  </si>
  <si>
    <t xml:space="preserve">         91.72亿</t>
  </si>
  <si>
    <t xml:space="preserve">         47.55亿</t>
  </si>
  <si>
    <t xml:space="preserve">  -1.66㈢</t>
  </si>
  <si>
    <t>营口港</t>
  </si>
  <si>
    <t xml:space="preserve">        163.12亿</t>
  </si>
  <si>
    <t xml:space="preserve">   6.87㈢</t>
  </si>
  <si>
    <t>新力金融</t>
  </si>
  <si>
    <t>7.16万</t>
  </si>
  <si>
    <t>ST亚星</t>
  </si>
  <si>
    <t xml:space="preserve">         14.61亿</t>
  </si>
  <si>
    <t xml:space="preserve">          9.73亿</t>
  </si>
  <si>
    <t xml:space="preserve">  34.79㈢</t>
  </si>
  <si>
    <t>振华重工</t>
  </si>
  <si>
    <t xml:space="preserve">        119.92亿</t>
  </si>
  <si>
    <t xml:space="preserve">        190.19亿</t>
  </si>
  <si>
    <t xml:space="preserve">         65.10亿</t>
  </si>
  <si>
    <t>ST正源</t>
  </si>
  <si>
    <t>天房发展</t>
  </si>
  <si>
    <t>瀚蓝环境</t>
  </si>
  <si>
    <t>30.94万</t>
  </si>
  <si>
    <t>华发股份</t>
  </si>
  <si>
    <t xml:space="preserve">        162.92亿</t>
  </si>
  <si>
    <t xml:space="preserve">        163.66亿</t>
  </si>
  <si>
    <t xml:space="preserve">        116.29亿</t>
  </si>
  <si>
    <t>20.98万</t>
  </si>
  <si>
    <t>0.817㈢</t>
  </si>
  <si>
    <t>西藏天路</t>
  </si>
  <si>
    <t>大东方</t>
  </si>
  <si>
    <t xml:space="preserve">   8.64㈢</t>
  </si>
  <si>
    <t>兰太实业</t>
  </si>
  <si>
    <t xml:space="preserve">         23.80亿</t>
  </si>
  <si>
    <t>中新药业</t>
  </si>
  <si>
    <t xml:space="preserve">         76.34亿</t>
  </si>
  <si>
    <t xml:space="preserve">        103.72亿</t>
  </si>
  <si>
    <t xml:space="preserve">         32.38亿</t>
  </si>
  <si>
    <t>天通股份</t>
  </si>
  <si>
    <t xml:space="preserve">         76.93亿</t>
  </si>
  <si>
    <t xml:space="preserve">         57.45亿</t>
  </si>
  <si>
    <t>宏达股份</t>
  </si>
  <si>
    <t xml:space="preserve">         53.04亿</t>
  </si>
  <si>
    <t xml:space="preserve">         33.41亿</t>
  </si>
  <si>
    <t>白云山</t>
  </si>
  <si>
    <t xml:space="preserve">        474.21亿</t>
  </si>
  <si>
    <t xml:space="preserve">        198.56亿</t>
  </si>
  <si>
    <t>26.16万</t>
  </si>
  <si>
    <t>1.943㈢</t>
  </si>
  <si>
    <t xml:space="preserve">  13.08㈢</t>
  </si>
  <si>
    <t>长春燃气</t>
  </si>
  <si>
    <t xml:space="preserve">         31.55亿</t>
  </si>
  <si>
    <t xml:space="preserve">  -4.24㈢</t>
  </si>
  <si>
    <t>国机汽车</t>
  </si>
  <si>
    <t xml:space="preserve">         59.11亿</t>
  </si>
  <si>
    <t xml:space="preserve">         83.62亿</t>
  </si>
  <si>
    <t>澳柯玛</t>
  </si>
  <si>
    <t xml:space="preserve">         34.60亿</t>
  </si>
  <si>
    <t>美克家居</t>
  </si>
  <si>
    <t xml:space="preserve">         73.11亿</t>
  </si>
  <si>
    <t xml:space="preserve">         74.91亿</t>
  </si>
  <si>
    <t>西藏珠峰</t>
  </si>
  <si>
    <t xml:space="preserve">         28.95亿</t>
  </si>
  <si>
    <t>8.51万</t>
  </si>
  <si>
    <t>0.569㈢</t>
  </si>
  <si>
    <t xml:space="preserve">  19.42㈢</t>
  </si>
  <si>
    <t>中油工程</t>
  </si>
  <si>
    <t xml:space="preserve">         51.69亿</t>
  </si>
  <si>
    <t xml:space="preserve">        185.92亿</t>
  </si>
  <si>
    <t>8.71万</t>
  </si>
  <si>
    <t>华夏幸福</t>
  </si>
  <si>
    <t xml:space="preserve">        835.08亿</t>
  </si>
  <si>
    <t xml:space="preserve">        844.74亿</t>
  </si>
  <si>
    <t xml:space="preserve">        323.96亿</t>
  </si>
  <si>
    <t>40.36万</t>
  </si>
  <si>
    <t>3.180㈢</t>
  </si>
  <si>
    <t>航天动力</t>
  </si>
  <si>
    <t xml:space="preserve">         58.65亿</t>
  </si>
  <si>
    <t xml:space="preserve">         32.97亿</t>
  </si>
  <si>
    <t xml:space="preserve">   1.02㈢</t>
  </si>
  <si>
    <t>长江通信</t>
  </si>
  <si>
    <t>恒力石化</t>
  </si>
  <si>
    <t xml:space="preserve">        713.32亿</t>
  </si>
  <si>
    <t xml:space="preserve">       1084.02亿</t>
  </si>
  <si>
    <t xml:space="preserve">        274.04亿</t>
  </si>
  <si>
    <t>114.18万</t>
  </si>
  <si>
    <t>0.980㈢</t>
  </si>
  <si>
    <t xml:space="preserve">  21.12㈢</t>
  </si>
  <si>
    <t>阳泉煤业</t>
  </si>
  <si>
    <t xml:space="preserve">        130.35亿</t>
  </si>
  <si>
    <t xml:space="preserve">         54.31亿</t>
  </si>
  <si>
    <t>山东高速</t>
  </si>
  <si>
    <t xml:space="preserve">        232.38亿</t>
  </si>
  <si>
    <t>亚宝药业</t>
  </si>
  <si>
    <t xml:space="preserve">         43.58亿</t>
  </si>
  <si>
    <t>浙江龙盛</t>
  </si>
  <si>
    <t xml:space="preserve">        450.59亿</t>
  </si>
  <si>
    <t xml:space="preserve">        333.78亿</t>
  </si>
  <si>
    <t>13.94万</t>
  </si>
  <si>
    <t>1.220㈢</t>
  </si>
  <si>
    <t xml:space="preserve">  16.44㈢</t>
  </si>
  <si>
    <t>旭光股份</t>
  </si>
  <si>
    <t xml:space="preserve">         29.74亿</t>
  </si>
  <si>
    <t>敦煌种业</t>
  </si>
  <si>
    <t xml:space="preserve">         25.76亿</t>
  </si>
  <si>
    <t>2.51万</t>
  </si>
  <si>
    <t>-0.208㈢</t>
  </si>
  <si>
    <t xml:space="preserve"> -18.61㈢</t>
  </si>
  <si>
    <t>精伦电子</t>
  </si>
  <si>
    <t>恒丰纸业</t>
  </si>
  <si>
    <t xml:space="preserve">         15.28亿</t>
  </si>
  <si>
    <t>8.27万</t>
  </si>
  <si>
    <t>国旅联合</t>
  </si>
  <si>
    <t xml:space="preserve">  -0.49㈢</t>
  </si>
  <si>
    <t>新农开发</t>
  </si>
  <si>
    <t xml:space="preserve">  -4.20㈢</t>
  </si>
  <si>
    <t>华微电子</t>
  </si>
  <si>
    <t xml:space="preserve">         60.26亿</t>
  </si>
  <si>
    <t xml:space="preserve">   1.81㈢</t>
  </si>
  <si>
    <t>华联综超</t>
  </si>
  <si>
    <t>江西铜业</t>
  </si>
  <si>
    <t xml:space="preserve">        348.43亿</t>
  </si>
  <si>
    <t xml:space="preserve">        146.03亿</t>
  </si>
  <si>
    <t>0.596㈢</t>
  </si>
  <si>
    <t>联创光电</t>
  </si>
  <si>
    <t xml:space="preserve">         53.65亿</t>
  </si>
  <si>
    <t>通葡股份</t>
  </si>
  <si>
    <t xml:space="preserve">   0.45㈢</t>
  </si>
  <si>
    <t>宁波韵升</t>
  </si>
  <si>
    <t xml:space="preserve">         65.97亿</t>
  </si>
  <si>
    <t xml:space="preserve">         44.24亿</t>
  </si>
  <si>
    <t>红星发展</t>
  </si>
  <si>
    <t xml:space="preserve">         14.09亿</t>
  </si>
  <si>
    <t>4.45万</t>
  </si>
  <si>
    <t>五洲交通</t>
  </si>
  <si>
    <t xml:space="preserve">         49.64亿</t>
  </si>
  <si>
    <t xml:space="preserve">         24.58亿</t>
  </si>
  <si>
    <t xml:space="preserve">  19.90㈢</t>
  </si>
  <si>
    <t>西南证券</t>
  </si>
  <si>
    <t xml:space="preserve">        286.21亿</t>
  </si>
  <si>
    <t xml:space="preserve">        131.00亿</t>
  </si>
  <si>
    <t>8.53万</t>
  </si>
  <si>
    <t>三房巷</t>
  </si>
  <si>
    <t>万向德农</t>
  </si>
  <si>
    <t xml:space="preserve">         26.85亿</t>
  </si>
  <si>
    <t>中航电子</t>
  </si>
  <si>
    <t xml:space="preserve">        248.62亿</t>
  </si>
  <si>
    <t xml:space="preserve">         67.93亿</t>
  </si>
  <si>
    <t>中文传媒</t>
  </si>
  <si>
    <t xml:space="preserve">        178.87亿</t>
  </si>
  <si>
    <t xml:space="preserve">         79.14亿</t>
  </si>
  <si>
    <t>24.53万</t>
  </si>
  <si>
    <t>华菱星马</t>
  </si>
  <si>
    <t xml:space="preserve">   0.36㈢</t>
  </si>
  <si>
    <t>首开股份</t>
  </si>
  <si>
    <t xml:space="preserve">        205.85亿</t>
  </si>
  <si>
    <t xml:space="preserve">         99.55亿</t>
  </si>
  <si>
    <t xml:space="preserve">   8.19㈢</t>
  </si>
  <si>
    <t>宁沪高速</t>
  </si>
  <si>
    <t xml:space="preserve">        414.55亿</t>
  </si>
  <si>
    <t xml:space="preserve">        416.30亿</t>
  </si>
  <si>
    <t xml:space="preserve">         51.07亿</t>
  </si>
  <si>
    <t>21.19万</t>
  </si>
  <si>
    <t>0.706㈢</t>
  </si>
  <si>
    <t xml:space="preserve">  12.86㈢</t>
  </si>
  <si>
    <t>昊华科技</t>
  </si>
  <si>
    <t xml:space="preserve">        167.58亿</t>
  </si>
  <si>
    <t>28.54万</t>
  </si>
  <si>
    <t>宝光股份</t>
  </si>
  <si>
    <t xml:space="preserve">         18.26亿</t>
  </si>
  <si>
    <t>健康元</t>
  </si>
  <si>
    <t xml:space="preserve">        194.77亿</t>
  </si>
  <si>
    <t xml:space="preserve">         96.24亿</t>
  </si>
  <si>
    <t>青海春天</t>
  </si>
  <si>
    <t xml:space="preserve">         31.17亿</t>
  </si>
  <si>
    <t xml:space="preserve">         13.25亿</t>
  </si>
  <si>
    <t xml:space="preserve">  -1.21㈢</t>
  </si>
  <si>
    <t>广东明珠</t>
  </si>
  <si>
    <t xml:space="preserve">         42.12亿</t>
  </si>
  <si>
    <t xml:space="preserve">         22.96亿</t>
  </si>
  <si>
    <t>0.535㈢</t>
  </si>
  <si>
    <t>金地集团</t>
  </si>
  <si>
    <t xml:space="preserve">        630.24亿</t>
  </si>
  <si>
    <t xml:space="preserve">        264.33亿</t>
  </si>
  <si>
    <t>47.84万</t>
  </si>
  <si>
    <t>1.202㈢</t>
  </si>
  <si>
    <t>*ST金泰</t>
  </si>
  <si>
    <t xml:space="preserve">         11.80亿</t>
  </si>
  <si>
    <t xml:space="preserve">          7.02亿</t>
  </si>
  <si>
    <t xml:space="preserve"> -15.56㈢</t>
  </si>
  <si>
    <t>北巴传媒</t>
  </si>
  <si>
    <t xml:space="preserve">         30.00亿</t>
  </si>
  <si>
    <t xml:space="preserve">         13.50亿</t>
  </si>
  <si>
    <t>4.69万</t>
  </si>
  <si>
    <t>海越能源</t>
  </si>
  <si>
    <t xml:space="preserve">         38.92亿</t>
  </si>
  <si>
    <t>0.981㈢</t>
  </si>
  <si>
    <t xml:space="preserve">  15.26㈢</t>
  </si>
  <si>
    <t>龙净环保</t>
  </si>
  <si>
    <t xml:space="preserve">        102.52亿</t>
  </si>
  <si>
    <t xml:space="preserve">         68.55亿</t>
  </si>
  <si>
    <t>0.522㈢</t>
  </si>
  <si>
    <t>江山股份</t>
  </si>
  <si>
    <t xml:space="preserve">         57.50亿</t>
  </si>
  <si>
    <t>19.19万</t>
  </si>
  <si>
    <t>五矿资本</t>
  </si>
  <si>
    <t xml:space="preserve">        358.05亿</t>
  </si>
  <si>
    <t xml:space="preserve">         36.37亿</t>
  </si>
  <si>
    <t>航发科技</t>
  </si>
  <si>
    <t xml:space="preserve">         45.43亿</t>
  </si>
  <si>
    <t xml:space="preserve">         29.06亿</t>
  </si>
  <si>
    <t xml:space="preserve">  -1.43㈢</t>
  </si>
  <si>
    <t>盛和资源</t>
  </si>
  <si>
    <t xml:space="preserve">        129.66亿</t>
  </si>
  <si>
    <t xml:space="preserve">        158.67亿</t>
  </si>
  <si>
    <t xml:space="preserve">         83.34亿</t>
  </si>
  <si>
    <t>粤泰股份</t>
  </si>
  <si>
    <t xml:space="preserve">         28.76亿</t>
  </si>
  <si>
    <t xml:space="preserve">         73.80亿</t>
  </si>
  <si>
    <t xml:space="preserve">         26.43亿</t>
  </si>
  <si>
    <t>盘江股份</t>
  </si>
  <si>
    <t xml:space="preserve">         98.31亿</t>
  </si>
  <si>
    <t xml:space="preserve">         29.82亿</t>
  </si>
  <si>
    <t>6.73万</t>
  </si>
  <si>
    <t>0.541㈢</t>
  </si>
  <si>
    <t xml:space="preserve">  12.65㈢</t>
  </si>
  <si>
    <t>*ST金山</t>
  </si>
  <si>
    <t xml:space="preserve">         27.98亿</t>
  </si>
  <si>
    <t>安源煤业</t>
  </si>
  <si>
    <t xml:space="preserve">         16.03亿</t>
  </si>
  <si>
    <t>3.01万</t>
  </si>
  <si>
    <t xml:space="preserve"> -11.27㈢</t>
  </si>
  <si>
    <t>海澜之家</t>
  </si>
  <si>
    <t xml:space="preserve">        335.48亿</t>
  </si>
  <si>
    <t xml:space="preserve">         99.27亿</t>
  </si>
  <si>
    <t>20.46万</t>
  </si>
  <si>
    <t>0.592㈢</t>
  </si>
  <si>
    <t xml:space="preserve">  19.83㈢</t>
  </si>
  <si>
    <t>ST抚钢</t>
  </si>
  <si>
    <t xml:space="preserve">         63.50亿</t>
  </si>
  <si>
    <t>红豆股份</t>
  </si>
  <si>
    <t xml:space="preserve">         83.85亿</t>
  </si>
  <si>
    <t>大有能源</t>
  </si>
  <si>
    <t xml:space="preserve">        101.61亿</t>
  </si>
  <si>
    <t xml:space="preserve">   1.79㈢</t>
  </si>
  <si>
    <t>动力源</t>
  </si>
  <si>
    <t xml:space="preserve">         26.09亿</t>
  </si>
  <si>
    <t>2.59万</t>
  </si>
  <si>
    <t>国电南瑞</t>
  </si>
  <si>
    <t xml:space="preserve">        628.66亿</t>
  </si>
  <si>
    <t xml:space="preserve">        990.06亿</t>
  </si>
  <si>
    <t xml:space="preserve">        415.26亿</t>
  </si>
  <si>
    <t>79.78万</t>
  </si>
  <si>
    <t xml:space="preserve">   7.58㈢</t>
  </si>
  <si>
    <t>ST安泰</t>
  </si>
  <si>
    <t xml:space="preserve">         24.47亿</t>
  </si>
  <si>
    <t>三友化工</t>
  </si>
  <si>
    <t xml:space="preserve">        125.09亿</t>
  </si>
  <si>
    <t xml:space="preserve">        126.75亿</t>
  </si>
  <si>
    <t xml:space="preserve">         69.37亿</t>
  </si>
  <si>
    <t xml:space="preserve">   4.75㈢</t>
  </si>
  <si>
    <t>华胜天成</t>
  </si>
  <si>
    <t xml:space="preserve">        112.62亿</t>
  </si>
  <si>
    <t xml:space="preserve">         98.96亿</t>
  </si>
  <si>
    <t xml:space="preserve">   5.44㈢</t>
  </si>
  <si>
    <t>小商品城</t>
  </si>
  <si>
    <t xml:space="preserve">        209.02亿</t>
  </si>
  <si>
    <t xml:space="preserve">         86.69亿</t>
  </si>
  <si>
    <t xml:space="preserve">   8.12㈢</t>
  </si>
  <si>
    <t>湘电股份</t>
  </si>
  <si>
    <t xml:space="preserve">         65.74亿</t>
  </si>
  <si>
    <t xml:space="preserve">         43.69亿</t>
  </si>
  <si>
    <t>-0.948㈢</t>
  </si>
  <si>
    <t xml:space="preserve"> -26.46㈢</t>
  </si>
  <si>
    <t>江淮汽车</t>
  </si>
  <si>
    <t xml:space="preserve">         92.77亿</t>
  </si>
  <si>
    <t xml:space="preserve">         61.08亿</t>
  </si>
  <si>
    <t>天润乳业</t>
  </si>
  <si>
    <t>现代制药</t>
  </si>
  <si>
    <t xml:space="preserve">         88.42亿</t>
  </si>
  <si>
    <t xml:space="preserve">         28.93亿</t>
  </si>
  <si>
    <t>*ST仰帆</t>
  </si>
  <si>
    <t>昆药集团</t>
  </si>
  <si>
    <t xml:space="preserve">         78.81亿</t>
  </si>
  <si>
    <t xml:space="preserve">         78.91亿</t>
  </si>
  <si>
    <t>7.82万</t>
  </si>
  <si>
    <t>0.473㈢</t>
  </si>
  <si>
    <t>ST柳化</t>
  </si>
  <si>
    <t>7.31万</t>
  </si>
  <si>
    <t>-0.605㈢</t>
  </si>
  <si>
    <t xml:space="preserve"> -28.37㈢</t>
  </si>
  <si>
    <t>青松建化</t>
  </si>
  <si>
    <t xml:space="preserve">         50.60亿</t>
  </si>
  <si>
    <t xml:space="preserve">         37.34亿</t>
  </si>
  <si>
    <t>华鲁恒升</t>
  </si>
  <si>
    <t xml:space="preserve">        316.77亿</t>
  </si>
  <si>
    <t xml:space="preserve">        318.01亿</t>
  </si>
  <si>
    <t xml:space="preserve">        214.40亿</t>
  </si>
  <si>
    <t>49.05万</t>
  </si>
  <si>
    <t>1.176㈢</t>
  </si>
  <si>
    <t xml:space="preserve">  13.98㈢</t>
  </si>
  <si>
    <t>中远海特</t>
  </si>
  <si>
    <t>三元股份</t>
  </si>
  <si>
    <t xml:space="preserve">         81.02亿</t>
  </si>
  <si>
    <t xml:space="preserve">   3.99㈢</t>
  </si>
  <si>
    <t>冠豪高新</t>
  </si>
  <si>
    <t xml:space="preserve">         40.68亿</t>
  </si>
  <si>
    <t xml:space="preserve">   3.52㈢</t>
  </si>
  <si>
    <t>北方导航</t>
  </si>
  <si>
    <t xml:space="preserve">        123.46亿</t>
  </si>
  <si>
    <t>片仔癀</t>
  </si>
  <si>
    <t xml:space="preserve">        652.43亿</t>
  </si>
  <si>
    <t xml:space="preserve">        271.26亿</t>
  </si>
  <si>
    <t>39.27万</t>
  </si>
  <si>
    <t>1.838㈢</t>
  </si>
  <si>
    <t xml:space="preserve">  17.66㈢</t>
  </si>
  <si>
    <t>通威股份</t>
  </si>
  <si>
    <t xml:space="preserve">        504.74亿</t>
  </si>
  <si>
    <t xml:space="preserve">        219.71亿</t>
  </si>
  <si>
    <t>42.59万</t>
  </si>
  <si>
    <t>0.578㈢</t>
  </si>
  <si>
    <t xml:space="preserve">  13.04㈢</t>
  </si>
  <si>
    <t>瑞贝卡</t>
  </si>
  <si>
    <t xml:space="preserve">         40.30亿</t>
  </si>
  <si>
    <t xml:space="preserve">   6.53㈢</t>
  </si>
  <si>
    <t>国机通用</t>
  </si>
  <si>
    <t xml:space="preserve">         15.43亿</t>
  </si>
  <si>
    <t>金证股份</t>
  </si>
  <si>
    <t xml:space="preserve">        171.50亿</t>
  </si>
  <si>
    <t xml:space="preserve">        172.95亿</t>
  </si>
  <si>
    <t>华纺股份</t>
  </si>
  <si>
    <t xml:space="preserve">         27.66亿</t>
  </si>
  <si>
    <t>宁夏建材</t>
  </si>
  <si>
    <t xml:space="preserve">         50.26亿</t>
  </si>
  <si>
    <t>8.79万</t>
  </si>
  <si>
    <t>1.273㈢</t>
  </si>
  <si>
    <t xml:space="preserve">  11.21㈢</t>
  </si>
  <si>
    <t>涪陵电力</t>
  </si>
  <si>
    <t xml:space="preserve">         56.39亿</t>
  </si>
  <si>
    <t>23.28万</t>
  </si>
  <si>
    <t>1.001㈢</t>
  </si>
  <si>
    <t xml:space="preserve">  18.12㈢</t>
  </si>
  <si>
    <t>博通股份</t>
  </si>
  <si>
    <t>36.29万</t>
  </si>
  <si>
    <t xml:space="preserve">  12.14㈢</t>
  </si>
  <si>
    <t>宝钛股份</t>
  </si>
  <si>
    <t xml:space="preserve">        104.86亿</t>
  </si>
  <si>
    <t xml:space="preserve">         49.24亿</t>
  </si>
  <si>
    <t>16.22万</t>
  </si>
  <si>
    <t xml:space="preserve">   4.63㈢</t>
  </si>
  <si>
    <t>时代新材</t>
  </si>
  <si>
    <t xml:space="preserve">         28.10亿</t>
  </si>
  <si>
    <t>贵研铂业</t>
  </si>
  <si>
    <t xml:space="preserve">         67.28亿</t>
  </si>
  <si>
    <t xml:space="preserve">         40.61亿</t>
  </si>
  <si>
    <t>士兰微</t>
  </si>
  <si>
    <t xml:space="preserve">        207.96亿</t>
  </si>
  <si>
    <t xml:space="preserve">        120.30亿</t>
  </si>
  <si>
    <t>洪城水业</t>
  </si>
  <si>
    <t xml:space="preserve">         24.95亿</t>
  </si>
  <si>
    <t>12.41万</t>
  </si>
  <si>
    <t>*ST九有</t>
  </si>
  <si>
    <t xml:space="preserve">          9.34亿</t>
  </si>
  <si>
    <t xml:space="preserve">          7.56亿</t>
  </si>
  <si>
    <t>空港股份</t>
  </si>
  <si>
    <t xml:space="preserve">         21.66亿</t>
  </si>
  <si>
    <t xml:space="preserve">  -2.22㈢</t>
  </si>
  <si>
    <t>蓝光发展</t>
  </si>
  <si>
    <t xml:space="preserve">        212.80亿</t>
  </si>
  <si>
    <t xml:space="preserve">         87.68亿</t>
  </si>
  <si>
    <t>15.94万</t>
  </si>
  <si>
    <t>好当家</t>
  </si>
  <si>
    <t xml:space="preserve">         35.36亿</t>
  </si>
  <si>
    <t>百利电气</t>
  </si>
  <si>
    <t>风神股份</t>
  </si>
  <si>
    <t xml:space="preserve">         15.24亿</t>
  </si>
  <si>
    <t>六国化工</t>
  </si>
  <si>
    <t>华光股份</t>
  </si>
  <si>
    <t xml:space="preserve">         13.77亿</t>
  </si>
  <si>
    <t xml:space="preserve">         54.82亿</t>
  </si>
  <si>
    <t>7.10万</t>
  </si>
  <si>
    <t xml:space="preserve">   6.76㈢</t>
  </si>
  <si>
    <t>湘邮科技</t>
  </si>
  <si>
    <t xml:space="preserve">         23.68亿</t>
  </si>
  <si>
    <t>-0.148㈢</t>
  </si>
  <si>
    <t xml:space="preserve"> -11.46㈢</t>
  </si>
  <si>
    <t>杭萧钢构</t>
  </si>
  <si>
    <t xml:space="preserve">         60.09亿</t>
  </si>
  <si>
    <t>4.58万</t>
  </si>
  <si>
    <t xml:space="preserve">   9.02㈢</t>
  </si>
  <si>
    <t>科力远</t>
  </si>
  <si>
    <t xml:space="preserve">         63.49亿</t>
  </si>
  <si>
    <t xml:space="preserve">         71.42亿</t>
  </si>
  <si>
    <t>-0.119㈢</t>
  </si>
  <si>
    <t xml:space="preserve">  -7.35㈢</t>
  </si>
  <si>
    <t>千金药业</t>
  </si>
  <si>
    <t xml:space="preserve">         36.24亿</t>
  </si>
  <si>
    <t xml:space="preserve">         25.90亿</t>
  </si>
  <si>
    <t xml:space="preserve">   7.86㈢</t>
  </si>
  <si>
    <t>凌云股份</t>
  </si>
  <si>
    <t xml:space="preserve">         44.23亿</t>
  </si>
  <si>
    <t xml:space="preserve">         23.73亿</t>
  </si>
  <si>
    <t>-0.190㈢</t>
  </si>
  <si>
    <t xml:space="preserve">  -1.95㈢</t>
  </si>
  <si>
    <t>双良节能</t>
  </si>
  <si>
    <t>中国动力</t>
  </si>
  <si>
    <t xml:space="preserve">        174.84亿</t>
  </si>
  <si>
    <t xml:space="preserve">        340.69亿</t>
  </si>
  <si>
    <t xml:space="preserve">         86.94亿</t>
  </si>
  <si>
    <t>23.39万</t>
  </si>
  <si>
    <t>0.416㈢</t>
  </si>
  <si>
    <t>福能股份</t>
  </si>
  <si>
    <t xml:space="preserve">         41.76亿</t>
  </si>
  <si>
    <t>19.08万</t>
  </si>
  <si>
    <t>0.633㈢</t>
  </si>
  <si>
    <t>*ST信威</t>
  </si>
  <si>
    <t xml:space="preserve">         80.99亿</t>
  </si>
  <si>
    <t>-5.424㈢</t>
  </si>
  <si>
    <t>扬农化工</t>
  </si>
  <si>
    <t xml:space="preserve">        198.96亿</t>
  </si>
  <si>
    <t xml:space="preserve">        115.39亿</t>
  </si>
  <si>
    <t>67.77万</t>
  </si>
  <si>
    <t>3.451㈢</t>
  </si>
  <si>
    <t xml:space="preserve">  21.31㈢</t>
  </si>
  <si>
    <t>亨通光电</t>
  </si>
  <si>
    <t xml:space="preserve">        296.35亿</t>
  </si>
  <si>
    <t xml:space="preserve">        303.26亿</t>
  </si>
  <si>
    <t xml:space="preserve">        210.45亿</t>
  </si>
  <si>
    <t>11.92万</t>
  </si>
  <si>
    <t>天药股份</t>
  </si>
  <si>
    <t xml:space="preserve">         39.65亿</t>
  </si>
  <si>
    <t xml:space="preserve">         44.33亿</t>
  </si>
  <si>
    <t>中金黄金</t>
  </si>
  <si>
    <t xml:space="preserve">        285.75亿</t>
  </si>
  <si>
    <t xml:space="preserve">        141.92亿</t>
  </si>
  <si>
    <t>6.28万</t>
  </si>
  <si>
    <t>鹏欣资源</t>
  </si>
  <si>
    <t xml:space="preserve">         68.60亿</t>
  </si>
  <si>
    <t xml:space="preserve">        101.93亿</t>
  </si>
  <si>
    <t xml:space="preserve">         56.27亿</t>
  </si>
  <si>
    <t>龙元建设</t>
  </si>
  <si>
    <t xml:space="preserve">        111.37亿</t>
  </si>
  <si>
    <t xml:space="preserve">         64.93亿</t>
  </si>
  <si>
    <t>凤竹纺织</t>
  </si>
  <si>
    <t xml:space="preserve">          9.24亿</t>
  </si>
  <si>
    <t xml:space="preserve">   4.26㈢</t>
  </si>
  <si>
    <t>晋西车轴</t>
  </si>
  <si>
    <t xml:space="preserve">         49.78亿</t>
  </si>
  <si>
    <t>精工钢构</t>
  </si>
  <si>
    <t xml:space="preserve">         42.75亿</t>
  </si>
  <si>
    <t xml:space="preserve">         51.24亿</t>
  </si>
  <si>
    <t xml:space="preserve">         33.27亿</t>
  </si>
  <si>
    <t>驰宏锌锗</t>
  </si>
  <si>
    <t xml:space="preserve">        222.49亿</t>
  </si>
  <si>
    <t xml:space="preserve">         98.56亿</t>
  </si>
  <si>
    <t>5.88万</t>
  </si>
  <si>
    <t>烽火通信</t>
  </si>
  <si>
    <t xml:space="preserve">        299.98亿</t>
  </si>
  <si>
    <t xml:space="preserve">        317.34亿</t>
  </si>
  <si>
    <t xml:space="preserve">        167.92亿</t>
  </si>
  <si>
    <t>19.09万</t>
  </si>
  <si>
    <t>科达洁能</t>
  </si>
  <si>
    <t xml:space="preserve">         58.29亿</t>
  </si>
  <si>
    <t xml:space="preserve">         65.14亿</t>
  </si>
  <si>
    <t xml:space="preserve">         41.34亿</t>
  </si>
  <si>
    <t>中化国际</t>
  </si>
  <si>
    <t xml:space="preserve">        141.89亿</t>
  </si>
  <si>
    <t xml:space="preserve">         63.35亿</t>
  </si>
  <si>
    <t>航天晨光</t>
  </si>
  <si>
    <t>-0.213㈢</t>
  </si>
  <si>
    <t xml:space="preserve">  -4.59㈢</t>
  </si>
  <si>
    <t>安徽建工</t>
  </si>
  <si>
    <t xml:space="preserve">         36.34亿</t>
  </si>
  <si>
    <t>5.71万</t>
  </si>
  <si>
    <t>华丽家族</t>
  </si>
  <si>
    <t xml:space="preserve">         44.88亿</t>
  </si>
  <si>
    <t>2.48万</t>
  </si>
  <si>
    <t>西昌电力</t>
  </si>
  <si>
    <t xml:space="preserve">         36.71亿</t>
  </si>
  <si>
    <t>香梨股份</t>
  </si>
  <si>
    <t>8.43万</t>
  </si>
  <si>
    <t>-0.025㈢</t>
  </si>
  <si>
    <t xml:space="preserve">  -1.35㈢</t>
  </si>
  <si>
    <t>方大特钢</t>
  </si>
  <si>
    <t xml:space="preserve">        147.53亿</t>
  </si>
  <si>
    <t xml:space="preserve">         66.34亿</t>
  </si>
  <si>
    <t>0.882㈢</t>
  </si>
  <si>
    <t xml:space="preserve">  20.78㈢</t>
  </si>
  <si>
    <t>上海能源</t>
  </si>
  <si>
    <t xml:space="preserve">         25.17亿</t>
  </si>
  <si>
    <t>0.924㈢</t>
  </si>
  <si>
    <t>天富能源</t>
  </si>
  <si>
    <t xml:space="preserve">         42.49亿</t>
  </si>
  <si>
    <t xml:space="preserve">  -3.48㈢</t>
  </si>
  <si>
    <t>黑牡丹</t>
  </si>
  <si>
    <t xml:space="preserve">         69.32亿</t>
  </si>
  <si>
    <t xml:space="preserve">         21.67亿</t>
  </si>
  <si>
    <t>0.612㈢</t>
  </si>
  <si>
    <t>国药股份</t>
  </si>
  <si>
    <t xml:space="preserve">        199.04亿</t>
  </si>
  <si>
    <t xml:space="preserve">         70.72亿</t>
  </si>
  <si>
    <t>28.59万</t>
  </si>
  <si>
    <t>1.400㈢</t>
  </si>
  <si>
    <t>腾达建设</t>
  </si>
  <si>
    <t xml:space="preserve">         43.81亿</t>
  </si>
  <si>
    <t xml:space="preserve">  11.13㈢</t>
  </si>
  <si>
    <t>联环药业</t>
  </si>
  <si>
    <t xml:space="preserve">   6.30㈢</t>
  </si>
  <si>
    <t>海航基础</t>
  </si>
  <si>
    <t xml:space="preserve">         72.63亿</t>
  </si>
  <si>
    <t xml:space="preserve">        171.15亿</t>
  </si>
  <si>
    <t>20.58万</t>
  </si>
  <si>
    <t>方大炭素</t>
  </si>
  <si>
    <t xml:space="preserve">        334.38亿</t>
  </si>
  <si>
    <t xml:space="preserve">        200.01亿</t>
  </si>
  <si>
    <t>置信电气</t>
  </si>
  <si>
    <t xml:space="preserve">        109.71亿</t>
  </si>
  <si>
    <t>ST康美</t>
  </si>
  <si>
    <t xml:space="preserve">        166.21亿</t>
  </si>
  <si>
    <t xml:space="preserve">        187.51亿</t>
  </si>
  <si>
    <t xml:space="preserve">        102.00亿</t>
  </si>
  <si>
    <t xml:space="preserve">   0.12㈢</t>
  </si>
  <si>
    <t>贵州茅台</t>
  </si>
  <si>
    <t xml:space="preserve">      14609.58亿</t>
  </si>
  <si>
    <t xml:space="preserve">       5229.01亿</t>
  </si>
  <si>
    <t>587.12万</t>
  </si>
  <si>
    <t>24.244㈢</t>
  </si>
  <si>
    <t xml:space="preserve">  24.31㈢</t>
  </si>
  <si>
    <t>文一科技</t>
  </si>
  <si>
    <t>-0.212㈢</t>
  </si>
  <si>
    <t xml:space="preserve">  -8.22㈢</t>
  </si>
  <si>
    <t>华海药业</t>
  </si>
  <si>
    <t xml:space="preserve">        215.89亿</t>
  </si>
  <si>
    <t xml:space="preserve">        228.24亿</t>
  </si>
  <si>
    <t xml:space="preserve">        114.01亿</t>
  </si>
  <si>
    <t>中天科技</t>
  </si>
  <si>
    <t xml:space="preserve">        251.42亿</t>
  </si>
  <si>
    <t xml:space="preserve">        188.44亿</t>
  </si>
  <si>
    <t xml:space="preserve">   6.96㈢</t>
  </si>
  <si>
    <t>贵航股份</t>
  </si>
  <si>
    <t xml:space="preserve">         54.30亿</t>
  </si>
  <si>
    <t>长园集团</t>
  </si>
  <si>
    <t xml:space="preserve">         55.34亿</t>
  </si>
  <si>
    <t>-0.400㈢</t>
  </si>
  <si>
    <t xml:space="preserve"> -11.08㈢</t>
  </si>
  <si>
    <t>*ST菲达</t>
  </si>
  <si>
    <t xml:space="preserve">         27.92亿</t>
  </si>
  <si>
    <t>江南高纤</t>
  </si>
  <si>
    <t xml:space="preserve">         24.78亿</t>
  </si>
  <si>
    <t>中铁工业</t>
  </si>
  <si>
    <t xml:space="preserve">        197.19亿</t>
  </si>
  <si>
    <t xml:space="preserve">        238.37亿</t>
  </si>
  <si>
    <t xml:space="preserve">        102.57亿</t>
  </si>
  <si>
    <t>9.04万</t>
  </si>
  <si>
    <t>山东药玻</t>
  </si>
  <si>
    <t xml:space="preserve">        164.27亿</t>
  </si>
  <si>
    <t xml:space="preserve">        118.55亿</t>
  </si>
  <si>
    <t>97.53万</t>
  </si>
  <si>
    <t>交大昂立</t>
  </si>
  <si>
    <t xml:space="preserve">         37.60亿</t>
  </si>
  <si>
    <t>豫光金铅</t>
  </si>
  <si>
    <t xml:space="preserve">         50.37亿</t>
  </si>
  <si>
    <t>宏达矿业</t>
  </si>
  <si>
    <t>-0.301㈢</t>
  </si>
  <si>
    <t>栖霞建设</t>
  </si>
  <si>
    <t xml:space="preserve">  12.23㈢</t>
  </si>
  <si>
    <t>天士力</t>
  </si>
  <si>
    <t xml:space="preserve">        228.72亿</t>
  </si>
  <si>
    <t xml:space="preserve">        125.37亿</t>
  </si>
  <si>
    <t xml:space="preserve">  10.18㈢</t>
  </si>
  <si>
    <t>中国软件</t>
  </si>
  <si>
    <t xml:space="preserve">        351.63亿</t>
  </si>
  <si>
    <t xml:space="preserve">        203.49亿</t>
  </si>
  <si>
    <t>-0.496㈢</t>
  </si>
  <si>
    <t xml:space="preserve"> -12.75㈢</t>
  </si>
  <si>
    <t>亿晶光电</t>
  </si>
  <si>
    <t xml:space="preserve">         36.82亿</t>
  </si>
  <si>
    <t xml:space="preserve">         24.85亿</t>
  </si>
  <si>
    <t xml:space="preserve">  -1.11㈢</t>
  </si>
  <si>
    <t>国发股份</t>
  </si>
  <si>
    <t xml:space="preserve">         23.50亿</t>
  </si>
  <si>
    <t>-0.013㈢</t>
  </si>
  <si>
    <t xml:space="preserve">  -0.97㈢</t>
  </si>
  <si>
    <t>ST狮头</t>
  </si>
  <si>
    <t>新赛股份</t>
  </si>
  <si>
    <t xml:space="preserve">         18.37亿</t>
  </si>
  <si>
    <t xml:space="preserve">  -2.97㈢</t>
  </si>
  <si>
    <t>莫高股份</t>
  </si>
  <si>
    <t xml:space="preserve">   1.26㈢</t>
  </si>
  <si>
    <t>卓郎智能</t>
  </si>
  <si>
    <t xml:space="preserve">         68.13亿</t>
  </si>
  <si>
    <t xml:space="preserve">        114.86亿</t>
  </si>
  <si>
    <t>山煤国际</t>
  </si>
  <si>
    <t xml:space="preserve">        125.49亿</t>
  </si>
  <si>
    <t xml:space="preserve">         49.66亿</t>
  </si>
  <si>
    <t>山东黄金</t>
  </si>
  <si>
    <t xml:space="preserve">        709.69亿</t>
  </si>
  <si>
    <t xml:space="preserve">        840.05亿</t>
  </si>
  <si>
    <t xml:space="preserve">        378.96亿</t>
  </si>
  <si>
    <t>20.70万</t>
  </si>
  <si>
    <t>深高速</t>
  </si>
  <si>
    <t xml:space="preserve">        162.25亿</t>
  </si>
  <si>
    <t xml:space="preserve">         41.55亿</t>
  </si>
  <si>
    <t>23.71万</t>
  </si>
  <si>
    <t>0.986㈢</t>
  </si>
  <si>
    <t>厦门钨业</t>
  </si>
  <si>
    <t xml:space="preserve">        183.35亿</t>
  </si>
  <si>
    <t xml:space="preserve">         94.61亿</t>
  </si>
  <si>
    <t>保变电气</t>
  </si>
  <si>
    <t xml:space="preserve">         56.53亿</t>
  </si>
  <si>
    <t xml:space="preserve">         19.41亿</t>
  </si>
  <si>
    <t xml:space="preserve"> -10.09㈢</t>
  </si>
  <si>
    <t>时代出版</t>
  </si>
  <si>
    <t xml:space="preserve">         14.49亿</t>
  </si>
  <si>
    <t>凯盛科技</t>
  </si>
  <si>
    <t xml:space="preserve">         32.58亿</t>
  </si>
  <si>
    <t>海航创新</t>
  </si>
  <si>
    <t xml:space="preserve">  -3.72㈢</t>
  </si>
  <si>
    <t>ST慧球</t>
  </si>
  <si>
    <t xml:space="preserve">         46.23亿</t>
  </si>
  <si>
    <t xml:space="preserve">         40.84亿</t>
  </si>
  <si>
    <t>-0.215㈢</t>
  </si>
  <si>
    <t>康缘药业</t>
  </si>
  <si>
    <t xml:space="preserve">         81.99亿</t>
  </si>
  <si>
    <t xml:space="preserve">         84.54亿</t>
  </si>
  <si>
    <t xml:space="preserve">         50.75亿</t>
  </si>
  <si>
    <t>24.85万</t>
  </si>
  <si>
    <t>大西洋</t>
  </si>
  <si>
    <t>老白干酒</t>
  </si>
  <si>
    <t xml:space="preserve">         91.71亿</t>
  </si>
  <si>
    <t xml:space="preserve">         99.78亿</t>
  </si>
  <si>
    <t xml:space="preserve">         63.69亿</t>
  </si>
  <si>
    <t>金自天正</t>
  </si>
  <si>
    <t>江西长运</t>
  </si>
  <si>
    <t>国睿科技</t>
  </si>
  <si>
    <t xml:space="preserve">         89.31亿</t>
  </si>
  <si>
    <t>15.81万</t>
  </si>
  <si>
    <t xml:space="preserve">   1.43㈢</t>
  </si>
  <si>
    <t>法拉电子</t>
  </si>
  <si>
    <t xml:space="preserve">        113.58亿</t>
  </si>
  <si>
    <t xml:space="preserve">         58.78亿</t>
  </si>
  <si>
    <t>54.07万</t>
  </si>
  <si>
    <t xml:space="preserve">  12.33㈢</t>
  </si>
  <si>
    <t>迪马股份</t>
  </si>
  <si>
    <t xml:space="preserve">         80.54亿</t>
  </si>
  <si>
    <t xml:space="preserve">         82.82亿</t>
  </si>
  <si>
    <t xml:space="preserve">         44.01亿</t>
  </si>
  <si>
    <t>济川药业</t>
  </si>
  <si>
    <t xml:space="preserve">        189.80亿</t>
  </si>
  <si>
    <t xml:space="preserve">         58.53亿</t>
  </si>
  <si>
    <t>18.04万</t>
  </si>
  <si>
    <t>1.602㈢</t>
  </si>
  <si>
    <t xml:space="preserve">  22.50㈢</t>
  </si>
  <si>
    <t>山鹰纸业</t>
  </si>
  <si>
    <t xml:space="preserve">        163.67亿</t>
  </si>
  <si>
    <t xml:space="preserve">        109.11亿</t>
  </si>
  <si>
    <t>中珠医疗</t>
  </si>
  <si>
    <t xml:space="preserve">         34.48亿</t>
  </si>
  <si>
    <t>3.02万</t>
  </si>
  <si>
    <t xml:space="preserve">  -0.71㈢</t>
  </si>
  <si>
    <t>安阳钢铁</t>
  </si>
  <si>
    <t xml:space="preserve">         58.88亿</t>
  </si>
  <si>
    <t xml:space="preserve">         70.66亿</t>
  </si>
  <si>
    <t xml:space="preserve">         23.47亿</t>
  </si>
  <si>
    <t>恒生电子</t>
  </si>
  <si>
    <t xml:space="preserve">        607.10亿</t>
  </si>
  <si>
    <t xml:space="preserve">        481.30亿</t>
  </si>
  <si>
    <t>49.70万</t>
  </si>
  <si>
    <t xml:space="preserve">  21.09㈢</t>
  </si>
  <si>
    <t>信雅达</t>
  </si>
  <si>
    <t xml:space="preserve">         40.48亿</t>
  </si>
  <si>
    <t>康恩贝</t>
  </si>
  <si>
    <t xml:space="preserve">        161.76亿</t>
  </si>
  <si>
    <t xml:space="preserve">        162.17亿</t>
  </si>
  <si>
    <t xml:space="preserve">        104.49亿</t>
  </si>
  <si>
    <t>惠泉啤酒</t>
  </si>
  <si>
    <t xml:space="preserve">          8.10亿</t>
  </si>
  <si>
    <t>淮河能源</t>
  </si>
  <si>
    <t xml:space="preserve">         99.88亿</t>
  </si>
  <si>
    <t>9.65万</t>
  </si>
  <si>
    <t>祥源文化</t>
  </si>
  <si>
    <t xml:space="preserve">         30.04亿</t>
  </si>
  <si>
    <t xml:space="preserve">         15.48亿</t>
  </si>
  <si>
    <t xml:space="preserve">   2.93㈢</t>
  </si>
  <si>
    <t>精达股份</t>
  </si>
  <si>
    <t xml:space="preserve">         51.49亿</t>
  </si>
  <si>
    <t xml:space="preserve">         34.16亿</t>
  </si>
  <si>
    <t>京能电力</t>
  </si>
  <si>
    <t xml:space="preserve">        165.92亿</t>
  </si>
  <si>
    <t xml:space="preserve">        209.82亿</t>
  </si>
  <si>
    <t xml:space="preserve">         44.26亿</t>
  </si>
  <si>
    <t>克劳斯</t>
  </si>
  <si>
    <t>10.03万</t>
  </si>
  <si>
    <t>-0.103㈢</t>
  </si>
  <si>
    <t xml:space="preserve">  -1.65㈢</t>
  </si>
  <si>
    <t>卧龙电驱</t>
  </si>
  <si>
    <t xml:space="preserve">        156.03亿</t>
  </si>
  <si>
    <t xml:space="preserve">        156.34亿</t>
  </si>
  <si>
    <t xml:space="preserve">         74.28亿</t>
  </si>
  <si>
    <t>17.72万</t>
  </si>
  <si>
    <t>0.627㈢</t>
  </si>
  <si>
    <t>八一钢铁</t>
  </si>
  <si>
    <t xml:space="preserve">         51.81亿</t>
  </si>
  <si>
    <t>天地科技</t>
  </si>
  <si>
    <t xml:space="preserve">        130.78亿</t>
  </si>
  <si>
    <t xml:space="preserve">         46.71亿</t>
  </si>
  <si>
    <t>海油工程</t>
  </si>
  <si>
    <t xml:space="preserve">        301.09亿</t>
  </si>
  <si>
    <t xml:space="preserve">        135.44亿</t>
  </si>
  <si>
    <t xml:space="preserve">  -2.88㈢</t>
  </si>
  <si>
    <t>长电科技</t>
  </si>
  <si>
    <t xml:space="preserve">        216.31亿</t>
  </si>
  <si>
    <t xml:space="preserve">        352.15亿</t>
  </si>
  <si>
    <t xml:space="preserve">        198.70亿</t>
  </si>
  <si>
    <t>18.98万</t>
  </si>
  <si>
    <t xml:space="preserve">  -1.48㈢</t>
  </si>
  <si>
    <t>海螺水泥</t>
  </si>
  <si>
    <t xml:space="preserve">       2080.25亿</t>
  </si>
  <si>
    <t xml:space="preserve">       1077.04亿</t>
  </si>
  <si>
    <t>126.05万</t>
  </si>
  <si>
    <t>4.494㈢</t>
  </si>
  <si>
    <t xml:space="preserve">  18.66㈢</t>
  </si>
  <si>
    <t>金晶科技</t>
  </si>
  <si>
    <t xml:space="preserve">         28.81亿</t>
  </si>
  <si>
    <t>新华医疗</t>
  </si>
  <si>
    <t xml:space="preserve">         55.76亿</t>
  </si>
  <si>
    <t>10.67万</t>
  </si>
  <si>
    <t>1.974㈢</t>
  </si>
  <si>
    <t>用友网络</t>
  </si>
  <si>
    <t xml:space="preserve">        701.57亿</t>
  </si>
  <si>
    <t xml:space="preserve">        704.73亿</t>
  </si>
  <si>
    <t xml:space="preserve">        342.70亿</t>
  </si>
  <si>
    <t>43.39万</t>
  </si>
  <si>
    <t>广东榕泰</t>
  </si>
  <si>
    <t xml:space="preserve">         36.68亿</t>
  </si>
  <si>
    <t>泰豪科技</t>
  </si>
  <si>
    <t xml:space="preserve">         50.16亿</t>
  </si>
  <si>
    <t>龙溪股份</t>
  </si>
  <si>
    <t>23.49万</t>
  </si>
  <si>
    <t>大连圣亚</t>
  </si>
  <si>
    <t xml:space="preserve">         55.51亿</t>
  </si>
  <si>
    <t>83.66万</t>
  </si>
  <si>
    <t>益佰制药</t>
  </si>
  <si>
    <t xml:space="preserve">         38.09亿</t>
  </si>
  <si>
    <t>*ST中孚</t>
  </si>
  <si>
    <t xml:space="preserve">         37.27亿</t>
  </si>
  <si>
    <t xml:space="preserve">         41.97亿</t>
  </si>
  <si>
    <t xml:space="preserve">         17.41亿</t>
  </si>
  <si>
    <t>1.71万</t>
  </si>
  <si>
    <t xml:space="preserve">  -6.55㈢</t>
  </si>
  <si>
    <t>新安股份</t>
  </si>
  <si>
    <t xml:space="preserve">         65.45亿</t>
  </si>
  <si>
    <t xml:space="preserve">         66.44亿</t>
  </si>
  <si>
    <t xml:space="preserve">         51.28亿</t>
  </si>
  <si>
    <t xml:space="preserve">   7.12㈢</t>
  </si>
  <si>
    <t>光明乳业</t>
  </si>
  <si>
    <t xml:space="preserve">        145.81亿</t>
  </si>
  <si>
    <t xml:space="preserve">        145.84亿</t>
  </si>
  <si>
    <t xml:space="preserve">         70.53亿</t>
  </si>
  <si>
    <t xml:space="preserve">   8.09㈢</t>
  </si>
  <si>
    <t>北大荒</t>
  </si>
  <si>
    <t xml:space="preserve">        170.12亿</t>
  </si>
  <si>
    <t xml:space="preserve">  14.36㈢</t>
  </si>
  <si>
    <t>熊猫金控</t>
  </si>
  <si>
    <t>-0.112㈢</t>
  </si>
  <si>
    <t xml:space="preserve">  -2.85㈢</t>
  </si>
  <si>
    <t>青岛啤酒</t>
  </si>
  <si>
    <t xml:space="preserve">        351.09亿</t>
  </si>
  <si>
    <t xml:space="preserve">        146.70亿</t>
  </si>
  <si>
    <t>43.90万</t>
  </si>
  <si>
    <t>1.914㈢</t>
  </si>
  <si>
    <t xml:space="preserve">  12.99㈢</t>
  </si>
  <si>
    <t>方正科技</t>
  </si>
  <si>
    <t xml:space="preserve">         80.77亿</t>
  </si>
  <si>
    <t xml:space="preserve">         66.25亿</t>
  </si>
  <si>
    <t>3.11万</t>
  </si>
  <si>
    <t xml:space="preserve"> -13.23㈢</t>
  </si>
  <si>
    <t>云赛智联</t>
  </si>
  <si>
    <t xml:space="preserve">         86.71亿</t>
  </si>
  <si>
    <t xml:space="preserve">        114.75亿</t>
  </si>
  <si>
    <t>广汇物流</t>
  </si>
  <si>
    <t xml:space="preserve">         61.36亿</t>
  </si>
  <si>
    <t>市北高新</t>
  </si>
  <si>
    <t xml:space="preserve">        119.21亿</t>
  </si>
  <si>
    <t xml:space="preserve">         47.69亿</t>
  </si>
  <si>
    <t>汇通能源</t>
  </si>
  <si>
    <t xml:space="preserve">          8.00亿</t>
  </si>
  <si>
    <t>绿地控股</t>
  </si>
  <si>
    <t xml:space="preserve">        828.65亿</t>
  </si>
  <si>
    <t xml:space="preserve">        202.98亿</t>
  </si>
  <si>
    <t>18.37万</t>
  </si>
  <si>
    <t>0.971㈢</t>
  </si>
  <si>
    <t xml:space="preserve">  15.29㈢</t>
  </si>
  <si>
    <t>ST沪科</t>
  </si>
  <si>
    <t>金杯汽车</t>
  </si>
  <si>
    <t xml:space="preserve">         43.05亿</t>
  </si>
  <si>
    <t>大众交通</t>
  </si>
  <si>
    <t xml:space="preserve">         62.69亿</t>
  </si>
  <si>
    <t xml:space="preserve">         94.80亿</t>
  </si>
  <si>
    <t xml:space="preserve">         43.71亿</t>
  </si>
  <si>
    <t>老凤祥</t>
  </si>
  <si>
    <t xml:space="preserve">        150.21亿</t>
  </si>
  <si>
    <t xml:space="preserve">        247.80亿</t>
  </si>
  <si>
    <t xml:space="preserve">         45.92亿</t>
  </si>
  <si>
    <t>35.49万</t>
  </si>
  <si>
    <t>2.228㈢</t>
  </si>
  <si>
    <t xml:space="preserve">  17.20㈢</t>
  </si>
  <si>
    <t>神奇制药</t>
  </si>
  <si>
    <t xml:space="preserve">         32.45亿</t>
  </si>
  <si>
    <t>3.16万</t>
  </si>
  <si>
    <t>*ST鹏起</t>
  </si>
  <si>
    <t xml:space="preserve">         31.73亿</t>
  </si>
  <si>
    <t xml:space="preserve">         15.34亿</t>
  </si>
  <si>
    <t>3.21万</t>
  </si>
  <si>
    <t xml:space="preserve"> -10.72㈢</t>
  </si>
  <si>
    <t>丰华股份</t>
  </si>
  <si>
    <t>金枫酒业</t>
  </si>
  <si>
    <t xml:space="preserve">         25.53亿</t>
  </si>
  <si>
    <t xml:space="preserve">         16.34亿</t>
  </si>
  <si>
    <t>国新能源</t>
  </si>
  <si>
    <t xml:space="preserve">         51.63亿</t>
  </si>
  <si>
    <t>氯碱化工</t>
  </si>
  <si>
    <t xml:space="preserve">         53.61亿</t>
  </si>
  <si>
    <t xml:space="preserve">         82.68亿</t>
  </si>
  <si>
    <t xml:space="preserve">         15.09亿</t>
  </si>
  <si>
    <t>0.544㈢</t>
  </si>
  <si>
    <t xml:space="preserve">  14.05㈢</t>
  </si>
  <si>
    <t>海立股份</t>
  </si>
  <si>
    <t>天宸股份</t>
  </si>
  <si>
    <t>华鑫股份</t>
  </si>
  <si>
    <t xml:space="preserve">        153.30亿</t>
  </si>
  <si>
    <t xml:space="preserve">         57.18亿</t>
  </si>
  <si>
    <t>光大嘉宝</t>
  </si>
  <si>
    <t xml:space="preserve">         57.59亿</t>
  </si>
  <si>
    <t>华谊集团</t>
  </si>
  <si>
    <t xml:space="preserve">        124.39亿</t>
  </si>
  <si>
    <t xml:space="preserve">        140.63亿</t>
  </si>
  <si>
    <t xml:space="preserve">         31.04亿</t>
  </si>
  <si>
    <t>复旦复华</t>
  </si>
  <si>
    <t xml:space="preserve">         62.86亿</t>
  </si>
  <si>
    <t xml:space="preserve">         43.10亿</t>
  </si>
  <si>
    <t>申达股份</t>
  </si>
  <si>
    <t xml:space="preserve">         33.96亿</t>
  </si>
  <si>
    <t>新世界</t>
  </si>
  <si>
    <t xml:space="preserve">         32.24亿</t>
  </si>
  <si>
    <t>华建集团</t>
  </si>
  <si>
    <t xml:space="preserve">         40.18亿</t>
  </si>
  <si>
    <t xml:space="preserve">         47.97亿</t>
  </si>
  <si>
    <t>龙头股份</t>
  </si>
  <si>
    <t xml:space="preserve">   1.38㈢</t>
  </si>
  <si>
    <t>浙数文化</t>
  </si>
  <si>
    <t xml:space="preserve">        126.16亿</t>
  </si>
  <si>
    <t xml:space="preserve">         58.91亿</t>
  </si>
  <si>
    <t>11.95万</t>
  </si>
  <si>
    <t xml:space="preserve">   5.22㈢</t>
  </si>
  <si>
    <t>*ST富控</t>
  </si>
  <si>
    <t xml:space="preserve">          9.61亿</t>
  </si>
  <si>
    <t xml:space="preserve">          6.45亿</t>
  </si>
  <si>
    <t>1.63万</t>
  </si>
  <si>
    <t>-1.150㈢</t>
  </si>
  <si>
    <t>大众公用</t>
  </si>
  <si>
    <t xml:space="preserve">        111.99亿</t>
  </si>
  <si>
    <t xml:space="preserve">         81.94亿</t>
  </si>
  <si>
    <t>三爱富</t>
  </si>
  <si>
    <t>东方明珠</t>
  </si>
  <si>
    <t xml:space="preserve">        312.09亿</t>
  </si>
  <si>
    <t xml:space="preserve">   4.59㈢</t>
  </si>
  <si>
    <t>新黄浦</t>
  </si>
  <si>
    <t xml:space="preserve">         18.25亿</t>
  </si>
  <si>
    <t xml:space="preserve">   0.83㈢</t>
  </si>
  <si>
    <t>浦东金桥</t>
  </si>
  <si>
    <t xml:space="preserve">        112.57亿</t>
  </si>
  <si>
    <t xml:space="preserve">        148.61亿</t>
  </si>
  <si>
    <t xml:space="preserve">         39.21亿</t>
  </si>
  <si>
    <t>10.44万</t>
  </si>
  <si>
    <t>0.528㈢</t>
  </si>
  <si>
    <t>号百控股</t>
  </si>
  <si>
    <t xml:space="preserve">        156.25亿</t>
  </si>
  <si>
    <t xml:space="preserve">        210.94亿</t>
  </si>
  <si>
    <t xml:space="preserve">         64.59亿</t>
  </si>
  <si>
    <t>25.30万</t>
  </si>
  <si>
    <t>万业企业</t>
  </si>
  <si>
    <t xml:space="preserve">        156.07亿</t>
  </si>
  <si>
    <t>19.84万</t>
  </si>
  <si>
    <t>申能股份</t>
  </si>
  <si>
    <t xml:space="preserve">        262.20亿</t>
  </si>
  <si>
    <t xml:space="preserve">        282.93亿</t>
  </si>
  <si>
    <t xml:space="preserve">        131.64亿</t>
  </si>
  <si>
    <t>9.44万</t>
  </si>
  <si>
    <t>爱建集团</t>
  </si>
  <si>
    <t xml:space="preserve">        133.80亿</t>
  </si>
  <si>
    <t xml:space="preserve">        151.33亿</t>
  </si>
  <si>
    <t xml:space="preserve">         75.67亿</t>
  </si>
  <si>
    <t>11.41万</t>
  </si>
  <si>
    <t>乐山电力</t>
  </si>
  <si>
    <t xml:space="preserve">         29.83亿</t>
  </si>
  <si>
    <t xml:space="preserve">  10.80㈢</t>
  </si>
  <si>
    <t>中源协和</t>
  </si>
  <si>
    <t xml:space="preserve">         63.90亿</t>
  </si>
  <si>
    <t xml:space="preserve">         77.92亿</t>
  </si>
  <si>
    <t xml:space="preserve">   2.79㈢</t>
  </si>
  <si>
    <t>同达创业</t>
  </si>
  <si>
    <t xml:space="preserve">         11.51亿</t>
  </si>
  <si>
    <t>9.03万</t>
  </si>
  <si>
    <t>外高桥</t>
  </si>
  <si>
    <t xml:space="preserve">        161.44亿</t>
  </si>
  <si>
    <t xml:space="preserve">        196.07亿</t>
  </si>
  <si>
    <t>12.96万</t>
  </si>
  <si>
    <t>0.652㈢</t>
  </si>
  <si>
    <t>城投控股</t>
  </si>
  <si>
    <t xml:space="preserve">        137.99亿</t>
  </si>
  <si>
    <t xml:space="preserve">         67.07亿</t>
  </si>
  <si>
    <t xml:space="preserve">   2.56㈢</t>
  </si>
  <si>
    <t>锦江投资</t>
  </si>
  <si>
    <t xml:space="preserve">         55.38亿</t>
  </si>
  <si>
    <t xml:space="preserve">         17.33亿</t>
  </si>
  <si>
    <t>飞乐音响</t>
  </si>
  <si>
    <t xml:space="preserve">         44.04亿</t>
  </si>
  <si>
    <t xml:space="preserve">         29.95亿</t>
  </si>
  <si>
    <t>-0.667㈢</t>
  </si>
  <si>
    <t>*ST游久</t>
  </si>
  <si>
    <t xml:space="preserve">         11.46亿</t>
  </si>
  <si>
    <t>1.47万</t>
  </si>
  <si>
    <t xml:space="preserve">  -0.67㈢</t>
  </si>
  <si>
    <t>申华控股</t>
  </si>
  <si>
    <t xml:space="preserve">         39.71亿</t>
  </si>
  <si>
    <t xml:space="preserve">         30.60亿</t>
  </si>
  <si>
    <t>-0.012㈢</t>
  </si>
  <si>
    <t>*ST中安</t>
  </si>
  <si>
    <t>-0.225㈢</t>
  </si>
  <si>
    <t>豫园股份</t>
  </si>
  <si>
    <t xml:space="preserve">        124.23亿</t>
  </si>
  <si>
    <t xml:space="preserve">        300.99亿</t>
  </si>
  <si>
    <t xml:space="preserve">         94.26亿</t>
  </si>
  <si>
    <t>信达地产</t>
  </si>
  <si>
    <t xml:space="preserve">        112.08亿</t>
  </si>
  <si>
    <t>电子城</t>
  </si>
  <si>
    <t>11.00万</t>
  </si>
  <si>
    <t xml:space="preserve">   2.23㈢</t>
  </si>
  <si>
    <t>福耀玻璃</t>
  </si>
  <si>
    <t xml:space="preserve">        455.48亿</t>
  </si>
  <si>
    <t xml:space="preserve">        292.92亿</t>
  </si>
  <si>
    <t>27.21万</t>
  </si>
  <si>
    <t>0.935㈢</t>
  </si>
  <si>
    <t xml:space="preserve">  11.23㈢</t>
  </si>
  <si>
    <t>昂立教育</t>
  </si>
  <si>
    <t xml:space="preserve">         44.95亿</t>
  </si>
  <si>
    <t>13.04万</t>
  </si>
  <si>
    <t>强生控股</t>
  </si>
  <si>
    <t>陆家嘴</t>
  </si>
  <si>
    <t xml:space="preserve">        391.03亿</t>
  </si>
  <si>
    <t xml:space="preserve">        537.76亿</t>
  </si>
  <si>
    <t xml:space="preserve">         87.64亿</t>
  </si>
  <si>
    <t>21.40万</t>
  </si>
  <si>
    <t xml:space="preserve">  14.73㈢</t>
  </si>
  <si>
    <t>哈药股份</t>
  </si>
  <si>
    <t xml:space="preserve">         92.01亿</t>
  </si>
  <si>
    <t xml:space="preserve">         48.95亿</t>
  </si>
  <si>
    <t>天地源</t>
  </si>
  <si>
    <t>*ST瑞德</t>
  </si>
  <si>
    <t xml:space="preserve">         16.31亿</t>
  </si>
  <si>
    <t xml:space="preserve">  -4.02㈢</t>
  </si>
  <si>
    <t>太极实业</t>
  </si>
  <si>
    <t xml:space="preserve">        141.06亿</t>
  </si>
  <si>
    <t xml:space="preserve">        175.66亿</t>
  </si>
  <si>
    <t>10.64万</t>
  </si>
  <si>
    <t>尖峰集团</t>
  </si>
  <si>
    <t xml:space="preserve">         51.34亿</t>
  </si>
  <si>
    <t>14.25万</t>
  </si>
  <si>
    <t>1.786㈢</t>
  </si>
  <si>
    <t xml:space="preserve">  16.88㈢</t>
  </si>
  <si>
    <t>天目药业</t>
  </si>
  <si>
    <t xml:space="preserve">         14.98亿</t>
  </si>
  <si>
    <t xml:space="preserve">          7.59亿</t>
  </si>
  <si>
    <t>东阳光</t>
  </si>
  <si>
    <t xml:space="preserve">        230.65亿</t>
  </si>
  <si>
    <t xml:space="preserve">        282.70亿</t>
  </si>
  <si>
    <t xml:space="preserve">        131.03亿</t>
  </si>
  <si>
    <t xml:space="preserve">  11.67㈢</t>
  </si>
  <si>
    <t>川投能源</t>
  </si>
  <si>
    <t xml:space="preserve">        427.01亿</t>
  </si>
  <si>
    <t xml:space="preserve">        133.54亿</t>
  </si>
  <si>
    <t>25.87万</t>
  </si>
  <si>
    <t>中华企业</t>
  </si>
  <si>
    <t xml:space="preserve">        103.06亿</t>
  </si>
  <si>
    <t xml:space="preserve">        280.42亿</t>
  </si>
  <si>
    <t>8.90万</t>
  </si>
  <si>
    <t>交运股份</t>
  </si>
  <si>
    <t>4.50万</t>
  </si>
  <si>
    <t>航天通信</t>
  </si>
  <si>
    <t xml:space="preserve">         31.54亿</t>
  </si>
  <si>
    <t>-0.484㈢</t>
  </si>
  <si>
    <t xml:space="preserve">  -8.08㈢</t>
  </si>
  <si>
    <t>四川金顶</t>
  </si>
  <si>
    <t xml:space="preserve">  27.88㈢</t>
  </si>
  <si>
    <t>上海凤凰</t>
  </si>
  <si>
    <t xml:space="preserve">         49.07亿</t>
  </si>
  <si>
    <t xml:space="preserve">   1.73㈢</t>
  </si>
  <si>
    <t>百川能源</t>
  </si>
  <si>
    <t xml:space="preserve">         97.53亿</t>
  </si>
  <si>
    <t>南京新百</t>
  </si>
  <si>
    <t xml:space="preserve">         98.71亿</t>
  </si>
  <si>
    <t xml:space="preserve">        132.59亿</t>
  </si>
  <si>
    <t>14.13万</t>
  </si>
  <si>
    <t>京投发展</t>
  </si>
  <si>
    <t xml:space="preserve">  -0.94㈢</t>
  </si>
  <si>
    <t>珠江实业</t>
  </si>
  <si>
    <t xml:space="preserve">   1.49㈢</t>
  </si>
  <si>
    <t>中船防务</t>
  </si>
  <si>
    <t xml:space="preserve">        120.42亿</t>
  </si>
  <si>
    <t>-0.054㈢</t>
  </si>
  <si>
    <t xml:space="preserve">  -0.79㈢</t>
  </si>
  <si>
    <t>金龙汽车</t>
  </si>
  <si>
    <t xml:space="preserve">         42.84亿</t>
  </si>
  <si>
    <t xml:space="preserve">         19.55亿</t>
  </si>
  <si>
    <t xml:space="preserve">   1.80㈢</t>
  </si>
  <si>
    <t>*ST刚泰</t>
  </si>
  <si>
    <t xml:space="preserve">         26.80亿</t>
  </si>
  <si>
    <t xml:space="preserve">         12.27亿</t>
  </si>
  <si>
    <t>-0.224㈢</t>
  </si>
  <si>
    <t>上海石化</t>
  </si>
  <si>
    <t xml:space="preserve">         71.01亿</t>
  </si>
  <si>
    <t>上海三毛</t>
  </si>
  <si>
    <t xml:space="preserve">          9.57亿</t>
  </si>
  <si>
    <t>海尔智家</t>
  </si>
  <si>
    <t xml:space="preserve">       1227.01亿</t>
  </si>
  <si>
    <t xml:space="preserve">       1279.73亿</t>
  </si>
  <si>
    <t xml:space="preserve">        725.87亿</t>
  </si>
  <si>
    <t>43.10万</t>
  </si>
  <si>
    <t xml:space="preserve">  17.32㈢</t>
  </si>
  <si>
    <t>阳煤化工</t>
  </si>
  <si>
    <t>亚通股份</t>
  </si>
  <si>
    <t xml:space="preserve">         16.04亿</t>
  </si>
  <si>
    <t>东百集团</t>
  </si>
  <si>
    <t xml:space="preserve">         46.57亿</t>
  </si>
  <si>
    <t xml:space="preserve">         46.62亿</t>
  </si>
  <si>
    <t xml:space="preserve">         19.69亿</t>
  </si>
  <si>
    <t>12.37万</t>
  </si>
  <si>
    <t xml:space="preserve">  10.00㈢</t>
  </si>
  <si>
    <t>大商股份</t>
  </si>
  <si>
    <t xml:space="preserve">         79.07亿</t>
  </si>
  <si>
    <t>16.00万</t>
  </si>
  <si>
    <t>2.848㈢</t>
  </si>
  <si>
    <t>绿庭投资</t>
  </si>
  <si>
    <t>ST岩石</t>
  </si>
  <si>
    <t xml:space="preserve">         43.92亿</t>
  </si>
  <si>
    <t xml:space="preserve">         21.05亿</t>
  </si>
  <si>
    <t>9.55万</t>
  </si>
  <si>
    <t>欧亚集团</t>
  </si>
  <si>
    <t>1.253㈢</t>
  </si>
  <si>
    <t>*ST天雁</t>
  </si>
  <si>
    <t xml:space="preserve">         22.57亿</t>
  </si>
  <si>
    <t>均胜电子</t>
  </si>
  <si>
    <t xml:space="preserve">        221.35亿</t>
  </si>
  <si>
    <t xml:space="preserve">        118.89亿</t>
  </si>
  <si>
    <t xml:space="preserve">   5.36㈢</t>
  </si>
  <si>
    <t>*ST工新</t>
  </si>
  <si>
    <t xml:space="preserve">         20.07亿</t>
  </si>
  <si>
    <t>-0.483㈢</t>
  </si>
  <si>
    <t>舍得酒业</t>
  </si>
  <si>
    <t xml:space="preserve">         96.55亿</t>
  </si>
  <si>
    <t xml:space="preserve">         98.75亿</t>
  </si>
  <si>
    <t xml:space="preserve">         67.05亿</t>
  </si>
  <si>
    <t>三安光电</t>
  </si>
  <si>
    <t xml:space="preserve">        765.11亿</t>
  </si>
  <si>
    <t xml:space="preserve">        405.23亿</t>
  </si>
  <si>
    <t>24.57万</t>
  </si>
  <si>
    <t>物产中大</t>
  </si>
  <si>
    <t xml:space="preserve">        223.09亿</t>
  </si>
  <si>
    <t xml:space="preserve">        262.22亿</t>
  </si>
  <si>
    <t xml:space="preserve">         92.59亿</t>
  </si>
  <si>
    <t>13.47万</t>
  </si>
  <si>
    <t>中航资本</t>
  </si>
  <si>
    <t xml:space="preserve">        422.78亿</t>
  </si>
  <si>
    <t xml:space="preserve">        225.13亿</t>
  </si>
  <si>
    <t>12.70万</t>
  </si>
  <si>
    <t>曲江文旅</t>
  </si>
  <si>
    <t xml:space="preserve">         18.60亿</t>
  </si>
  <si>
    <t>彩虹股份</t>
  </si>
  <si>
    <t xml:space="preserve">         54.61亿</t>
  </si>
  <si>
    <t xml:space="preserve">        152.15亿</t>
  </si>
  <si>
    <t>-0.195㈢</t>
  </si>
  <si>
    <t xml:space="preserve">  -3.55㈢</t>
  </si>
  <si>
    <t>光明地产</t>
  </si>
  <si>
    <t xml:space="preserve">         77.44亿</t>
  </si>
  <si>
    <t>苏美达</t>
  </si>
  <si>
    <t xml:space="preserve">         54.68亿</t>
  </si>
  <si>
    <t xml:space="preserve">         71.22亿</t>
  </si>
  <si>
    <t xml:space="preserve">         29.76亿</t>
  </si>
  <si>
    <t>盛屯矿业</t>
  </si>
  <si>
    <t xml:space="preserve">         80.10亿</t>
  </si>
  <si>
    <t xml:space="preserve">        121.63亿</t>
  </si>
  <si>
    <t xml:space="preserve">         62.41亿</t>
  </si>
  <si>
    <t>南宁百货</t>
  </si>
  <si>
    <t xml:space="preserve">         59.65亿</t>
  </si>
  <si>
    <t>16.34万</t>
  </si>
  <si>
    <t>南京医药</t>
  </si>
  <si>
    <t xml:space="preserve">         40.92亿</t>
  </si>
  <si>
    <t>金瑞矿业</t>
  </si>
  <si>
    <t>文投控股</t>
  </si>
  <si>
    <t xml:space="preserve">         44.56亿</t>
  </si>
  <si>
    <t xml:space="preserve">         64.36亿</t>
  </si>
  <si>
    <t>凤凰股份</t>
  </si>
  <si>
    <t xml:space="preserve">         39.03亿</t>
  </si>
  <si>
    <t>天津港</t>
  </si>
  <si>
    <t xml:space="preserve">        124.80亿</t>
  </si>
  <si>
    <t>东软集团</t>
  </si>
  <si>
    <t xml:space="preserve">        138.40亿</t>
  </si>
  <si>
    <t xml:space="preserve">         96.44亿</t>
  </si>
  <si>
    <t>大连热电</t>
  </si>
  <si>
    <t xml:space="preserve">         13.68亿</t>
  </si>
  <si>
    <t xml:space="preserve">  -3.27㈢</t>
  </si>
  <si>
    <t>祁连山</t>
  </si>
  <si>
    <t xml:space="preserve">         89.57亿</t>
  </si>
  <si>
    <t xml:space="preserve">         89.58亿</t>
  </si>
  <si>
    <t xml:space="preserve">         67.14亿</t>
  </si>
  <si>
    <t>1.342㈢</t>
  </si>
  <si>
    <t>*ST百花</t>
  </si>
  <si>
    <t>8.98万</t>
  </si>
  <si>
    <t>金牛化工</t>
  </si>
  <si>
    <t xml:space="preserve">         32.66亿</t>
  </si>
  <si>
    <t>首商股份</t>
  </si>
  <si>
    <t xml:space="preserve">         40.10亿</t>
  </si>
  <si>
    <t>0.452㈢</t>
  </si>
  <si>
    <t xml:space="preserve">   7.14㈢</t>
  </si>
  <si>
    <t>宁波富达</t>
  </si>
  <si>
    <t xml:space="preserve">         52.61亿</t>
  </si>
  <si>
    <t xml:space="preserve">  13.79㈢</t>
  </si>
  <si>
    <t>ST云维</t>
  </si>
  <si>
    <t xml:space="preserve">         31.92亿</t>
  </si>
  <si>
    <t xml:space="preserve">         21.60亿</t>
  </si>
  <si>
    <t>*ST华源</t>
  </si>
  <si>
    <t xml:space="preserve">         11.63亿</t>
  </si>
  <si>
    <t>1.14万</t>
  </si>
  <si>
    <t xml:space="preserve"> -15.41㈢</t>
  </si>
  <si>
    <t>鲁北化工</t>
  </si>
  <si>
    <t xml:space="preserve">         16.81亿</t>
  </si>
  <si>
    <t>0.407㈢</t>
  </si>
  <si>
    <t>佳都科技</t>
  </si>
  <si>
    <t xml:space="preserve">        151.11亿</t>
  </si>
  <si>
    <t xml:space="preserve">        119.93亿</t>
  </si>
  <si>
    <t>重庆百货</t>
  </si>
  <si>
    <t xml:space="preserve">        120.67亿</t>
  </si>
  <si>
    <t>44.78万</t>
  </si>
  <si>
    <t>2.225㈢</t>
  </si>
  <si>
    <t xml:space="preserve">  14.58㈢</t>
  </si>
  <si>
    <t>中国高科</t>
  </si>
  <si>
    <t xml:space="preserve">         22.99亿</t>
  </si>
  <si>
    <t>-0.003㈢</t>
  </si>
  <si>
    <t xml:space="preserve">  -0.09㈢</t>
  </si>
  <si>
    <t>湖南海利</t>
  </si>
  <si>
    <t xml:space="preserve">         22.93亿</t>
  </si>
  <si>
    <t>7.07万</t>
  </si>
  <si>
    <t xml:space="preserve">   6.78㈢</t>
  </si>
  <si>
    <t>ST爱旭</t>
  </si>
  <si>
    <t xml:space="preserve">         34.42亿</t>
  </si>
  <si>
    <t xml:space="preserve">        141.08亿</t>
  </si>
  <si>
    <t xml:space="preserve">         26.83亿</t>
  </si>
  <si>
    <t>17.44万</t>
  </si>
  <si>
    <t xml:space="preserve">  25.04㈢</t>
  </si>
  <si>
    <t>北汽蓝谷</t>
  </si>
  <si>
    <t xml:space="preserve">         96.96亿</t>
  </si>
  <si>
    <t xml:space="preserve">        200.89亿</t>
  </si>
  <si>
    <t>13.97万</t>
  </si>
  <si>
    <t>-0.077㈢</t>
  </si>
  <si>
    <t>实达集团</t>
  </si>
  <si>
    <t xml:space="preserve">         35.31亿</t>
  </si>
  <si>
    <t xml:space="preserve">         42.32亿</t>
  </si>
  <si>
    <t xml:space="preserve">         19.77亿</t>
  </si>
  <si>
    <t>3.13万</t>
  </si>
  <si>
    <t>-0.448㈢</t>
  </si>
  <si>
    <t xml:space="preserve"> -12.03㈢</t>
  </si>
  <si>
    <t>新华锦</t>
  </si>
  <si>
    <t xml:space="preserve">         24.63亿</t>
  </si>
  <si>
    <t xml:space="preserve">   7.29㈢</t>
  </si>
  <si>
    <t>苏州高新</t>
  </si>
  <si>
    <t xml:space="preserve">         36.30亿</t>
  </si>
  <si>
    <t>中粮糖业</t>
  </si>
  <si>
    <t xml:space="preserve">        169.90亿</t>
  </si>
  <si>
    <t xml:space="preserve">        177.10亿</t>
  </si>
  <si>
    <t xml:space="preserve">         82.35亿</t>
  </si>
  <si>
    <t>兰州民百</t>
  </si>
  <si>
    <t>3.90万</t>
  </si>
  <si>
    <t>辽宁成大</t>
  </si>
  <si>
    <t xml:space="preserve">        226.70亿</t>
  </si>
  <si>
    <t xml:space="preserve">        171.51亿</t>
  </si>
  <si>
    <t>24.18万</t>
  </si>
  <si>
    <t>山西焦化</t>
  </si>
  <si>
    <t xml:space="preserve">         47.09亿</t>
  </si>
  <si>
    <t xml:space="preserve">        108.70亿</t>
  </si>
  <si>
    <t xml:space="preserve">   8.51㈢</t>
  </si>
  <si>
    <t>华域汽车</t>
  </si>
  <si>
    <t xml:space="preserve">        797.64亿</t>
  </si>
  <si>
    <t xml:space="preserve">        332.46亿</t>
  </si>
  <si>
    <t>70.62万</t>
  </si>
  <si>
    <t>1.563㈢</t>
  </si>
  <si>
    <t xml:space="preserve">  10.24㈢</t>
  </si>
  <si>
    <t>一汽富维</t>
  </si>
  <si>
    <t xml:space="preserve">         61.12亿</t>
  </si>
  <si>
    <t xml:space="preserve">         38.60亿</t>
  </si>
  <si>
    <t>华远地产</t>
  </si>
  <si>
    <t xml:space="preserve">         59.36亿</t>
  </si>
  <si>
    <t>华银电力</t>
  </si>
  <si>
    <t xml:space="preserve">         45.95亿</t>
  </si>
  <si>
    <t xml:space="preserve">  -3.07㈢</t>
  </si>
  <si>
    <t>闻泰科技</t>
  </si>
  <si>
    <t xml:space="preserve">        581.06亿</t>
  </si>
  <si>
    <t xml:space="preserve">       1024.89亿</t>
  </si>
  <si>
    <t xml:space="preserve">        300.31亿</t>
  </si>
  <si>
    <t>68.77万</t>
  </si>
  <si>
    <t>江苏索普</t>
  </si>
  <si>
    <t xml:space="preserve">         21.11亿</t>
  </si>
  <si>
    <t xml:space="preserve">  -1.40㈢</t>
  </si>
  <si>
    <t>上实发展</t>
  </si>
  <si>
    <t>西藏旅游</t>
  </si>
  <si>
    <t xml:space="preserve">         21.54亿</t>
  </si>
  <si>
    <t>江中药业</t>
  </si>
  <si>
    <t xml:space="preserve">         64.05亿</t>
  </si>
  <si>
    <t xml:space="preserve">         36.49亿</t>
  </si>
  <si>
    <t>0.727㈢</t>
  </si>
  <si>
    <t>海航科技</t>
  </si>
  <si>
    <t xml:space="preserve">         84.66亿</t>
  </si>
  <si>
    <t>东方银星</t>
  </si>
  <si>
    <t xml:space="preserve">         19.88亿</t>
  </si>
  <si>
    <t>18.03万</t>
  </si>
  <si>
    <t>锦江酒店</t>
  </si>
  <si>
    <t xml:space="preserve">        233.92亿</t>
  </si>
  <si>
    <t xml:space="preserve">        279.43亿</t>
  </si>
  <si>
    <t xml:space="preserve">         71.05亿</t>
  </si>
  <si>
    <t>22.98万</t>
  </si>
  <si>
    <t>0.912㈢</t>
  </si>
  <si>
    <t>厦门国贸</t>
  </si>
  <si>
    <t xml:space="preserve">        133.21亿</t>
  </si>
  <si>
    <t xml:space="preserve">         87.76亿</t>
  </si>
  <si>
    <t>浪潮软件</t>
  </si>
  <si>
    <t xml:space="preserve">         66.67亿</t>
  </si>
  <si>
    <t>长江传媒</t>
  </si>
  <si>
    <t xml:space="preserve">         73.54亿</t>
  </si>
  <si>
    <t xml:space="preserve">         73.55亿</t>
  </si>
  <si>
    <t>红阳能源</t>
  </si>
  <si>
    <t xml:space="preserve">         33.71亿</t>
  </si>
  <si>
    <t>2.31万</t>
  </si>
  <si>
    <t>洲际油气</t>
  </si>
  <si>
    <t xml:space="preserve">         62.47亿</t>
  </si>
  <si>
    <t xml:space="preserve">         36.17亿</t>
  </si>
  <si>
    <t>中航沈飞</t>
  </si>
  <si>
    <t xml:space="preserve">        124.26亿</t>
  </si>
  <si>
    <t xml:space="preserve">        436.64亿</t>
  </si>
  <si>
    <t xml:space="preserve">        116.46亿</t>
  </si>
  <si>
    <t>22.72万</t>
  </si>
  <si>
    <t>安徽合力</t>
  </si>
  <si>
    <t xml:space="preserve">         69.65亿</t>
  </si>
  <si>
    <t xml:space="preserve">         39.72亿</t>
  </si>
  <si>
    <t>11.75万</t>
  </si>
  <si>
    <t>通策医疗</t>
  </si>
  <si>
    <t xml:space="preserve">        318.72亿</t>
  </si>
  <si>
    <t xml:space="preserve">        187.11亿</t>
  </si>
  <si>
    <t>91.54万</t>
  </si>
  <si>
    <t>1.246㈢</t>
  </si>
  <si>
    <t xml:space="preserve">  23.09㈢</t>
  </si>
  <si>
    <t>中国海防</t>
  </si>
  <si>
    <t xml:space="preserve">         95.77亿</t>
  </si>
  <si>
    <t xml:space="preserve">         29.68亿</t>
  </si>
  <si>
    <t>22.75万</t>
  </si>
  <si>
    <t>中航重机</t>
  </si>
  <si>
    <t xml:space="preserve">         76.87亿</t>
  </si>
  <si>
    <t xml:space="preserve">         92.24亿</t>
  </si>
  <si>
    <t xml:space="preserve">         46.49亿</t>
  </si>
  <si>
    <t>园城黄金</t>
  </si>
  <si>
    <t>ST运盛</t>
  </si>
  <si>
    <t xml:space="preserve"> -10.89㈢</t>
  </si>
  <si>
    <t>宁波富邦</t>
  </si>
  <si>
    <t xml:space="preserve">         18.19亿</t>
  </si>
  <si>
    <t xml:space="preserve">         11.41亿</t>
  </si>
  <si>
    <t>0.846㈢</t>
  </si>
  <si>
    <t xml:space="preserve">  49.37㈢</t>
  </si>
  <si>
    <t>祥龙电业</t>
  </si>
  <si>
    <t xml:space="preserve">         21.49亿</t>
  </si>
  <si>
    <t>8.69万</t>
  </si>
  <si>
    <t>综艺股份</t>
  </si>
  <si>
    <t xml:space="preserve">         70.46亿</t>
  </si>
  <si>
    <t xml:space="preserve">         39.36亿</t>
  </si>
  <si>
    <t>广誉远</t>
  </si>
  <si>
    <t xml:space="preserve">         79.02亿</t>
  </si>
  <si>
    <t xml:space="preserve">         53.07亿</t>
  </si>
  <si>
    <t>西藏城投</t>
  </si>
  <si>
    <t>汉商集团</t>
  </si>
  <si>
    <t xml:space="preserve">          6.27亿</t>
  </si>
  <si>
    <t>南京熊猫</t>
  </si>
  <si>
    <t xml:space="preserve">         68.53亿</t>
  </si>
  <si>
    <t>东方通信</t>
  </si>
  <si>
    <t xml:space="preserve">        199.13亿</t>
  </si>
  <si>
    <t xml:space="preserve">        261.62亿</t>
  </si>
  <si>
    <t xml:space="preserve">         84.96亿</t>
  </si>
  <si>
    <t>8.24万</t>
  </si>
  <si>
    <t>新潮能源</t>
  </si>
  <si>
    <t xml:space="preserve">         83.86亿</t>
  </si>
  <si>
    <t xml:space="preserve">        140.77亿</t>
  </si>
  <si>
    <t xml:space="preserve">         72.85亿</t>
  </si>
  <si>
    <t>友好集团</t>
  </si>
  <si>
    <t xml:space="preserve">         16.62亿</t>
  </si>
  <si>
    <t xml:space="preserve">         16.63亿</t>
  </si>
  <si>
    <t xml:space="preserve">         10.65亿</t>
  </si>
  <si>
    <t xml:space="preserve">  14.62㈢</t>
  </si>
  <si>
    <t>水井坊</t>
  </si>
  <si>
    <t xml:space="preserve">        251.43亿</t>
  </si>
  <si>
    <t xml:space="preserve">        251.55亿</t>
  </si>
  <si>
    <t>26.15万</t>
  </si>
  <si>
    <t>1.308㈢</t>
  </si>
  <si>
    <t xml:space="preserve">  33.11㈢</t>
  </si>
  <si>
    <t>通宝能源</t>
  </si>
  <si>
    <t>ST辅仁</t>
  </si>
  <si>
    <t xml:space="preserve">         36.81亿</t>
  </si>
  <si>
    <t>0.861㈢</t>
  </si>
  <si>
    <t>新钢股份</t>
  </si>
  <si>
    <t xml:space="preserve">        158.48亿</t>
  </si>
  <si>
    <t xml:space="preserve">         70.41亿</t>
  </si>
  <si>
    <t>鲁信创投</t>
  </si>
  <si>
    <t xml:space="preserve">        105.25亿</t>
  </si>
  <si>
    <t>鲁银投资</t>
  </si>
  <si>
    <t xml:space="preserve">         29.55亿</t>
  </si>
  <si>
    <t>新华百货</t>
  </si>
  <si>
    <t xml:space="preserve">         10.46亿</t>
  </si>
  <si>
    <t>0.756㈢</t>
  </si>
  <si>
    <t>中储股份</t>
  </si>
  <si>
    <t xml:space="preserve">        113.95亿</t>
  </si>
  <si>
    <t>鲁抗医药</t>
  </si>
  <si>
    <t xml:space="preserve">         55.73亿</t>
  </si>
  <si>
    <t xml:space="preserve">         57.57亿</t>
  </si>
  <si>
    <t>轻纺城</t>
  </si>
  <si>
    <t xml:space="preserve">         30.75亿</t>
  </si>
  <si>
    <t>京能置业</t>
  </si>
  <si>
    <t xml:space="preserve">         18.09亿</t>
  </si>
  <si>
    <t xml:space="preserve">         18.12亿</t>
  </si>
  <si>
    <t xml:space="preserve">          9.89亿</t>
  </si>
  <si>
    <t>云煤能源</t>
  </si>
  <si>
    <t xml:space="preserve">   6.36㈢</t>
  </si>
  <si>
    <t>宜宾纸业</t>
  </si>
  <si>
    <t xml:space="preserve">         16.96亿</t>
  </si>
  <si>
    <t xml:space="preserve">          7.83亿</t>
  </si>
  <si>
    <t>保税科技</t>
  </si>
  <si>
    <t xml:space="preserve">         45.70亿</t>
  </si>
  <si>
    <t>国电电力</t>
  </si>
  <si>
    <t xml:space="preserve">        453.92亿</t>
  </si>
  <si>
    <t xml:space="preserve">        245.13亿</t>
  </si>
  <si>
    <t xml:space="preserve">   5.51㈢</t>
  </si>
  <si>
    <t>钱江生化</t>
  </si>
  <si>
    <t xml:space="preserve">         10.99亿</t>
  </si>
  <si>
    <t>浙大网新</t>
  </si>
  <si>
    <t xml:space="preserve">        101.97亿</t>
  </si>
  <si>
    <t xml:space="preserve">        104.24亿</t>
  </si>
  <si>
    <t xml:space="preserve">         86.06亿</t>
  </si>
  <si>
    <t>宁波海运</t>
  </si>
  <si>
    <t>天津磁卡</t>
  </si>
  <si>
    <t xml:space="preserve"> -42.28㈢</t>
  </si>
  <si>
    <t>华新水泥</t>
  </si>
  <si>
    <t xml:space="preserve">        325.08亿</t>
  </si>
  <si>
    <t xml:space="preserve">        500.46亿</t>
  </si>
  <si>
    <t xml:space="preserve">        137.25亿</t>
  </si>
  <si>
    <t>45.54万</t>
  </si>
  <si>
    <t>2.310㈢</t>
  </si>
  <si>
    <t xml:space="preserve">  24.41㈢</t>
  </si>
  <si>
    <t>福建水泥</t>
  </si>
  <si>
    <t xml:space="preserve">  22.14㈢</t>
  </si>
  <si>
    <t>新奥股份</t>
  </si>
  <si>
    <t xml:space="preserve">        128.10亿</t>
  </si>
  <si>
    <t xml:space="preserve">         51.27亿</t>
  </si>
  <si>
    <t>11.80万</t>
  </si>
  <si>
    <t>0.875㈢</t>
  </si>
  <si>
    <t xml:space="preserve">  11.56㈢</t>
  </si>
  <si>
    <t>鹏博士</t>
  </si>
  <si>
    <t xml:space="preserve">         89.24亿</t>
  </si>
  <si>
    <t xml:space="preserve">         73.72亿</t>
  </si>
  <si>
    <t>悦达投资</t>
  </si>
  <si>
    <t xml:space="preserve">         42.29亿</t>
  </si>
  <si>
    <t xml:space="preserve">         28.73亿</t>
  </si>
  <si>
    <t>ST天业</t>
  </si>
  <si>
    <t>4.49万</t>
  </si>
  <si>
    <t>马钢股份</t>
  </si>
  <si>
    <t xml:space="preserve">        179.03亿</t>
  </si>
  <si>
    <t xml:space="preserve">         73.84亿</t>
  </si>
  <si>
    <t>山西汾酒</t>
  </si>
  <si>
    <t xml:space="preserve">        762.64亿</t>
  </si>
  <si>
    <t xml:space="preserve">        767.64亿</t>
  </si>
  <si>
    <t xml:space="preserve">        223.80亿</t>
  </si>
  <si>
    <t>73.31万</t>
  </si>
  <si>
    <t>1.950㈢</t>
  </si>
  <si>
    <t xml:space="preserve">  23.38㈢</t>
  </si>
  <si>
    <t>神马股份</t>
  </si>
  <si>
    <t xml:space="preserve">         22.52亿</t>
  </si>
  <si>
    <t>0.667㈢</t>
  </si>
  <si>
    <t>东方集团</t>
  </si>
  <si>
    <t xml:space="preserve">        123.32亿</t>
  </si>
  <si>
    <t xml:space="preserve">         86.75亿</t>
  </si>
  <si>
    <t>华北制药</t>
  </si>
  <si>
    <t xml:space="preserve">        150.36亿</t>
  </si>
  <si>
    <t xml:space="preserve">         71.18亿</t>
  </si>
  <si>
    <t>杭州解百</t>
  </si>
  <si>
    <t>*ST厦工</t>
  </si>
  <si>
    <t xml:space="preserve">         51.80亿</t>
  </si>
  <si>
    <t>-0.306㈢</t>
  </si>
  <si>
    <t>安信信托</t>
  </si>
  <si>
    <t xml:space="preserve">        238.47亿</t>
  </si>
  <si>
    <t xml:space="preserve">        247.75亿</t>
  </si>
  <si>
    <t xml:space="preserve">        117.83亿</t>
  </si>
  <si>
    <t>ST宏盛</t>
  </si>
  <si>
    <t>中路股份</t>
  </si>
  <si>
    <t xml:space="preserve">         38.25亿</t>
  </si>
  <si>
    <t>-0.075㈢</t>
  </si>
  <si>
    <t xml:space="preserve">  -4.05㈢</t>
  </si>
  <si>
    <t>耀皮玻璃</t>
  </si>
  <si>
    <t xml:space="preserve">         44.13亿</t>
  </si>
  <si>
    <t xml:space="preserve">         11.43亿</t>
  </si>
  <si>
    <t>隧道股份</t>
  </si>
  <si>
    <t xml:space="preserve">        186.76亿</t>
  </si>
  <si>
    <t>津劝业</t>
  </si>
  <si>
    <t xml:space="preserve">         19.31亿</t>
  </si>
  <si>
    <t>-0.327㈢</t>
  </si>
  <si>
    <t>-132.69㈢</t>
  </si>
  <si>
    <t>上海物贸</t>
  </si>
  <si>
    <t xml:space="preserve">         50.14亿</t>
  </si>
  <si>
    <t xml:space="preserve">   7.40㈢</t>
  </si>
  <si>
    <t>世茂股份</t>
  </si>
  <si>
    <t xml:space="preserve">        168.43亿</t>
  </si>
  <si>
    <t xml:space="preserve">         53.64亿</t>
  </si>
  <si>
    <t>10.43万</t>
  </si>
  <si>
    <t>0.412㈢</t>
  </si>
  <si>
    <t>益民集团</t>
  </si>
  <si>
    <t xml:space="preserve">         35.63亿</t>
  </si>
  <si>
    <t>新华传媒</t>
  </si>
  <si>
    <t xml:space="preserve">         61.44亿</t>
  </si>
  <si>
    <t xml:space="preserve">   0.91㈢</t>
  </si>
  <si>
    <t>兰生股份</t>
  </si>
  <si>
    <t>百联股份</t>
  </si>
  <si>
    <t xml:space="preserve">        141.67亿</t>
  </si>
  <si>
    <t xml:space="preserve">        157.54亿</t>
  </si>
  <si>
    <t xml:space="preserve">         59.49亿</t>
  </si>
  <si>
    <t>茂业商业</t>
  </si>
  <si>
    <t xml:space="preserve">         80.71亿</t>
  </si>
  <si>
    <t>人民同泰</t>
  </si>
  <si>
    <t xml:space="preserve">         38.79亿</t>
  </si>
  <si>
    <t xml:space="preserve">          9.77亿</t>
  </si>
  <si>
    <t xml:space="preserve">  11.70㈢</t>
  </si>
  <si>
    <t>香溢融通</t>
  </si>
  <si>
    <t xml:space="preserve">         24.72亿</t>
  </si>
  <si>
    <t>广电网络</t>
  </si>
  <si>
    <t xml:space="preserve">         65.21亿</t>
  </si>
  <si>
    <t xml:space="preserve">         46.12亿</t>
  </si>
  <si>
    <t>第一医药</t>
  </si>
  <si>
    <t xml:space="preserve">         21.04亿</t>
  </si>
  <si>
    <t>申通地铁</t>
  </si>
  <si>
    <t xml:space="preserve">         32.75亿</t>
  </si>
  <si>
    <t>上海机电</t>
  </si>
  <si>
    <t xml:space="preserve">        131.86亿</t>
  </si>
  <si>
    <t xml:space="preserve">        167.22亿</t>
  </si>
  <si>
    <t xml:space="preserve">         51.57亿</t>
  </si>
  <si>
    <t>13.90万</t>
  </si>
  <si>
    <t>0.842㈢</t>
  </si>
  <si>
    <t>界龙实业</t>
  </si>
  <si>
    <t xml:space="preserve">  -6.44㈢</t>
  </si>
  <si>
    <t>海通证券</t>
  </si>
  <si>
    <t xml:space="preserve">       1191.97亿</t>
  </si>
  <si>
    <t>41.35万</t>
  </si>
  <si>
    <t>0.642㈢</t>
  </si>
  <si>
    <t>上海九百</t>
  </si>
  <si>
    <t xml:space="preserve">         18.65亿</t>
  </si>
  <si>
    <t>3.84万</t>
  </si>
  <si>
    <t>四川长虹</t>
  </si>
  <si>
    <t xml:space="preserve">        131.97亿</t>
  </si>
  <si>
    <t xml:space="preserve">        132.02亿</t>
  </si>
  <si>
    <t xml:space="preserve">        100.13亿</t>
  </si>
  <si>
    <t>上柴股份</t>
  </si>
  <si>
    <t xml:space="preserve">         36.53亿</t>
  </si>
  <si>
    <t>上工申贝</t>
  </si>
  <si>
    <t>丹化科技</t>
  </si>
  <si>
    <t xml:space="preserve">         51.54亿</t>
  </si>
  <si>
    <t>9.00万</t>
  </si>
  <si>
    <t>-0.221㈢</t>
  </si>
  <si>
    <t xml:space="preserve"> -11.83㈢</t>
  </si>
  <si>
    <t>宝信软件</t>
  </si>
  <si>
    <t xml:space="preserve">        274.50亿</t>
  </si>
  <si>
    <t xml:space="preserve">        375.75亿</t>
  </si>
  <si>
    <t xml:space="preserve">         83.57亿</t>
  </si>
  <si>
    <t>43.36万</t>
  </si>
  <si>
    <t>同济科技</t>
  </si>
  <si>
    <t xml:space="preserve">         56.85亿</t>
  </si>
  <si>
    <t xml:space="preserve">         43.56亿</t>
  </si>
  <si>
    <t>0.516㈢</t>
  </si>
  <si>
    <t>万里股份</t>
  </si>
  <si>
    <t xml:space="preserve">         14.27亿</t>
  </si>
  <si>
    <t>21.70万</t>
  </si>
  <si>
    <t>上海临港</t>
  </si>
  <si>
    <t xml:space="preserve">        187.16亿</t>
  </si>
  <si>
    <t xml:space="preserve">        499.24亿</t>
  </si>
  <si>
    <t xml:space="preserve">  13.74㈢</t>
  </si>
  <si>
    <t>华东电脑</t>
  </si>
  <si>
    <t xml:space="preserve">        106.49亿</t>
  </si>
  <si>
    <t xml:space="preserve">         61.57亿</t>
  </si>
  <si>
    <t>23.98万</t>
  </si>
  <si>
    <t xml:space="preserve">  10.46㈢</t>
  </si>
  <si>
    <t>海欣股份</t>
  </si>
  <si>
    <t xml:space="preserve">         56.03亿</t>
  </si>
  <si>
    <t xml:space="preserve">         91.62亿</t>
  </si>
  <si>
    <t xml:space="preserve">         39.31亿</t>
  </si>
  <si>
    <t>龙建股份</t>
  </si>
  <si>
    <t>2.68万</t>
  </si>
  <si>
    <t>春兰股份</t>
  </si>
  <si>
    <t>航天长峰</t>
  </si>
  <si>
    <t xml:space="preserve">         53.01亿</t>
  </si>
  <si>
    <t>ST中天</t>
  </si>
  <si>
    <t>6.23万</t>
  </si>
  <si>
    <t>-0.510㈢</t>
  </si>
  <si>
    <t xml:space="preserve">  -8.20㈢</t>
  </si>
  <si>
    <t>宁波中百</t>
  </si>
  <si>
    <t xml:space="preserve">         20.55亿</t>
  </si>
  <si>
    <t>银座股份</t>
  </si>
  <si>
    <t>王府井</t>
  </si>
  <si>
    <t xml:space="preserve">        106.27亿</t>
  </si>
  <si>
    <t xml:space="preserve">         45.80亿</t>
  </si>
  <si>
    <t>16.13万</t>
  </si>
  <si>
    <t>1.091㈢</t>
  </si>
  <si>
    <t>京城股份</t>
  </si>
  <si>
    <t xml:space="preserve">          8.31亿</t>
  </si>
  <si>
    <t xml:space="preserve"> -15.85㈢</t>
  </si>
  <si>
    <t>北京城乡</t>
  </si>
  <si>
    <t>中航高科</t>
  </si>
  <si>
    <t xml:space="preserve">        154.07亿</t>
  </si>
  <si>
    <t>内蒙华电</t>
  </si>
  <si>
    <t xml:space="preserve">        156.83亿</t>
  </si>
  <si>
    <t xml:space="preserve">         64.67亿</t>
  </si>
  <si>
    <t>哈投股份</t>
  </si>
  <si>
    <t xml:space="preserve">        161.66亿</t>
  </si>
  <si>
    <t xml:space="preserve">         65.85亿</t>
  </si>
  <si>
    <t>百大集团</t>
  </si>
  <si>
    <t>星湖科技</t>
  </si>
  <si>
    <t xml:space="preserve">         32.52亿</t>
  </si>
  <si>
    <t>通化东宝</t>
  </si>
  <si>
    <t xml:space="preserve">        254.45亿</t>
  </si>
  <si>
    <t xml:space="preserve">        155.34亿</t>
  </si>
  <si>
    <t>28.88万</t>
  </si>
  <si>
    <t>0.338㈢</t>
  </si>
  <si>
    <t xml:space="preserve">  13.75㈢</t>
  </si>
  <si>
    <t>梅雁吉祥</t>
  </si>
  <si>
    <t xml:space="preserve">         65.30亿</t>
  </si>
  <si>
    <t xml:space="preserve">         58.01亿</t>
  </si>
  <si>
    <t>1.78万</t>
  </si>
  <si>
    <t>智慧能源</t>
  </si>
  <si>
    <t xml:space="preserve">        106.75亿</t>
  </si>
  <si>
    <t>6.90万</t>
  </si>
  <si>
    <t>ST厦华</t>
  </si>
  <si>
    <t xml:space="preserve">          9.72亿</t>
  </si>
  <si>
    <t xml:space="preserve">  -8.76㈢</t>
  </si>
  <si>
    <t>石化油服</t>
  </si>
  <si>
    <t xml:space="preserve">        268.55亿</t>
  </si>
  <si>
    <t xml:space="preserve">        302.60亿</t>
  </si>
  <si>
    <t xml:space="preserve">  10.45㈢</t>
  </si>
  <si>
    <t>中炬高新</t>
  </si>
  <si>
    <t xml:space="preserve">        304.47亿</t>
  </si>
  <si>
    <t xml:space="preserve">        195.95亿</t>
  </si>
  <si>
    <t>76.56万</t>
  </si>
  <si>
    <t xml:space="preserve">  14.45㈢</t>
  </si>
  <si>
    <t>梅花生物</t>
  </si>
  <si>
    <t xml:space="preserve">        134.63亿</t>
  </si>
  <si>
    <t xml:space="preserve">         85.01亿</t>
  </si>
  <si>
    <t>创业环保</t>
  </si>
  <si>
    <t>东方电气</t>
  </si>
  <si>
    <t xml:space="preserve">        182.52亿</t>
  </si>
  <si>
    <t>洛阳玻璃</t>
  </si>
  <si>
    <t xml:space="preserve">         41.75亿</t>
  </si>
  <si>
    <t xml:space="preserve">         15.71亿</t>
  </si>
  <si>
    <t>*ST电能</t>
  </si>
  <si>
    <t xml:space="preserve">         45.63亿</t>
  </si>
  <si>
    <t xml:space="preserve">         29.62亿</t>
  </si>
  <si>
    <t xml:space="preserve">  -5.87㈢</t>
  </si>
  <si>
    <t>航天电子</t>
  </si>
  <si>
    <t xml:space="preserve">        143.61亿</t>
  </si>
  <si>
    <t xml:space="preserve">        161.52亿</t>
  </si>
  <si>
    <t xml:space="preserve">        114.90亿</t>
  </si>
  <si>
    <t>博瑞传播</t>
  </si>
  <si>
    <t xml:space="preserve">         43.39亿</t>
  </si>
  <si>
    <t xml:space="preserve">         43.41亿</t>
  </si>
  <si>
    <t>亚泰集团</t>
  </si>
  <si>
    <t xml:space="preserve">         99.74亿</t>
  </si>
  <si>
    <t xml:space="preserve">         86.53亿</t>
  </si>
  <si>
    <t>妙可蓝多</t>
  </si>
  <si>
    <t xml:space="preserve">         58.33亿</t>
  </si>
  <si>
    <t>博闻科技</t>
  </si>
  <si>
    <t xml:space="preserve">   1.09㈢</t>
  </si>
  <si>
    <t>杉杉股份</t>
  </si>
  <si>
    <t xml:space="preserve">        152.36亿</t>
  </si>
  <si>
    <t xml:space="preserve">         83.44亿</t>
  </si>
  <si>
    <t>11.10万</t>
  </si>
  <si>
    <t>宏发股份</t>
  </si>
  <si>
    <t xml:space="preserve">        250.17亿</t>
  </si>
  <si>
    <t xml:space="preserve">        132.67亿</t>
  </si>
  <si>
    <t>119.07万</t>
  </si>
  <si>
    <t>0.746㈢</t>
  </si>
  <si>
    <t>国投电力</t>
  </si>
  <si>
    <t xml:space="preserve">        603.28亿</t>
  </si>
  <si>
    <t xml:space="preserve">        242.60亿</t>
  </si>
  <si>
    <t>19.91万</t>
  </si>
  <si>
    <t>伊利股份</t>
  </si>
  <si>
    <t xml:space="preserve">       1809.78亿</t>
  </si>
  <si>
    <t xml:space="preserve">       1867.93亿</t>
  </si>
  <si>
    <t xml:space="preserve">       1644.77亿</t>
  </si>
  <si>
    <t>60.48万</t>
  </si>
  <si>
    <t>0.930㈢</t>
  </si>
  <si>
    <t xml:space="preserve">  23.12㈢</t>
  </si>
  <si>
    <t>新疆众和</t>
  </si>
  <si>
    <t xml:space="preserve">         47.53亿</t>
  </si>
  <si>
    <t>南京化纤</t>
  </si>
  <si>
    <t xml:space="preserve">  -1.62㈢</t>
  </si>
  <si>
    <t>中房股份</t>
  </si>
  <si>
    <t xml:space="preserve">         37.07亿</t>
  </si>
  <si>
    <t xml:space="preserve">  -9.44㈢</t>
  </si>
  <si>
    <t>*ST秋林</t>
  </si>
  <si>
    <t xml:space="preserve">          5.69亿</t>
  </si>
  <si>
    <t xml:space="preserve">          4.55亿</t>
  </si>
  <si>
    <t>-0.228㈢</t>
  </si>
  <si>
    <t>大晟文化</t>
  </si>
  <si>
    <t xml:space="preserve">         32.04亿</t>
  </si>
  <si>
    <t xml:space="preserve">         33.18亿</t>
  </si>
  <si>
    <t>10.74万</t>
  </si>
  <si>
    <t>航发动力</t>
  </si>
  <si>
    <t xml:space="preserve">        402.21亿</t>
  </si>
  <si>
    <t xml:space="preserve">        464.59亿</t>
  </si>
  <si>
    <t xml:space="preserve">        175.49亿</t>
  </si>
  <si>
    <t>21.10万</t>
  </si>
  <si>
    <t>广日股份</t>
  </si>
  <si>
    <t xml:space="preserve">         63.81亿</t>
  </si>
  <si>
    <t>张江高科</t>
  </si>
  <si>
    <t xml:space="preserve">        232.46亿</t>
  </si>
  <si>
    <t xml:space="preserve">        114.47亿</t>
  </si>
  <si>
    <t>览海投资</t>
  </si>
  <si>
    <t xml:space="preserve">  -8.85㈢</t>
  </si>
  <si>
    <t>厦门空港</t>
  </si>
  <si>
    <t xml:space="preserve">         65.31亿</t>
  </si>
  <si>
    <t>11.08万</t>
  </si>
  <si>
    <t>1.335㈢</t>
  </si>
  <si>
    <t xml:space="preserve">  10.99㈢</t>
  </si>
  <si>
    <t>国美通讯</t>
  </si>
  <si>
    <t>-0.824㈢</t>
  </si>
  <si>
    <t>长江电力</t>
  </si>
  <si>
    <t xml:space="preserve">       4001.80亿</t>
  </si>
  <si>
    <t xml:space="preserve">       1523.92亿</t>
  </si>
  <si>
    <t>145.13万</t>
  </si>
  <si>
    <t>0.811㈢</t>
  </si>
  <si>
    <t>江苏租赁</t>
  </si>
  <si>
    <t xml:space="preserve">        114.69亿</t>
  </si>
  <si>
    <t xml:space="preserve">        188.16亿</t>
  </si>
  <si>
    <t>0.404㈢</t>
  </si>
  <si>
    <t>贵州燃气</t>
  </si>
  <si>
    <t xml:space="preserve">         95.45亿</t>
  </si>
  <si>
    <t xml:space="preserve">        171.98亿</t>
  </si>
  <si>
    <t>无锡银行</t>
  </si>
  <si>
    <t xml:space="preserve">         91.97亿</t>
  </si>
  <si>
    <t xml:space="preserve">        100.18亿</t>
  </si>
  <si>
    <t xml:space="preserve">         68.48亿</t>
  </si>
  <si>
    <t>12.01万</t>
  </si>
  <si>
    <t>华安证券</t>
  </si>
  <si>
    <t xml:space="preserve">        253.47亿</t>
  </si>
  <si>
    <t xml:space="preserve">        134.24亿</t>
  </si>
  <si>
    <t>重庆燃气</t>
  </si>
  <si>
    <t xml:space="preserve">        113.43亿</t>
  </si>
  <si>
    <t xml:space="preserve">   7.54㈢</t>
  </si>
  <si>
    <t>江苏银行</t>
  </si>
  <si>
    <t xml:space="preserve">        820.07亿</t>
  </si>
  <si>
    <t xml:space="preserve">        830.05亿</t>
  </si>
  <si>
    <t xml:space="preserve">        642.52亿</t>
  </si>
  <si>
    <t>40.78万</t>
  </si>
  <si>
    <t>1.029㈢</t>
  </si>
  <si>
    <t xml:space="preserve">   9.07㈢</t>
  </si>
  <si>
    <t>杭州银行</t>
  </si>
  <si>
    <t xml:space="preserve">        399.69亿</t>
  </si>
  <si>
    <t xml:space="preserve">        466.85亿</t>
  </si>
  <si>
    <t xml:space="preserve">        205.74亿</t>
  </si>
  <si>
    <t>27.99万</t>
  </si>
  <si>
    <t>1.034㈢</t>
  </si>
  <si>
    <t>西安银行</t>
  </si>
  <si>
    <t xml:space="preserve">         34.13亿</t>
  </si>
  <si>
    <t xml:space="preserve">        341.33亿</t>
  </si>
  <si>
    <t>湖南盐业</t>
  </si>
  <si>
    <t xml:space="preserve">         59.38亿</t>
  </si>
  <si>
    <t>爱柯迪</t>
  </si>
  <si>
    <t xml:space="preserve">        115.42亿</t>
  </si>
  <si>
    <t>广西广电</t>
  </si>
  <si>
    <t xml:space="preserve">         63.67亿</t>
  </si>
  <si>
    <t>重庆建工</t>
  </si>
  <si>
    <t xml:space="preserve">         83.83亿</t>
  </si>
  <si>
    <t xml:space="preserve">         15.95亿</t>
  </si>
  <si>
    <t>东方证券</t>
  </si>
  <si>
    <t xml:space="preserve">        591.58亿</t>
  </si>
  <si>
    <t xml:space="preserve">        621.72亿</t>
  </si>
  <si>
    <t xml:space="preserve">        431.37亿</t>
  </si>
  <si>
    <t>30.47万</t>
  </si>
  <si>
    <t>江苏有线</t>
  </si>
  <si>
    <t xml:space="preserve">        175.16亿</t>
  </si>
  <si>
    <t xml:space="preserve">        196.53亿</t>
  </si>
  <si>
    <t xml:space="preserve">        104.40亿</t>
  </si>
  <si>
    <t>7.81万</t>
  </si>
  <si>
    <t>渤海汽车</t>
  </si>
  <si>
    <t xml:space="preserve">         17.25亿</t>
  </si>
  <si>
    <t xml:space="preserve">   0.15㈢</t>
  </si>
  <si>
    <t>株冶集团</t>
  </si>
  <si>
    <t>国投中鲁</t>
  </si>
  <si>
    <t xml:space="preserve">         21.21亿</t>
  </si>
  <si>
    <t>岳阳林纸</t>
  </si>
  <si>
    <t xml:space="preserve">         45.38亿</t>
  </si>
  <si>
    <t>福成股份</t>
  </si>
  <si>
    <t xml:space="preserve">         56.90亿</t>
  </si>
  <si>
    <t>博汇纸业</t>
  </si>
  <si>
    <t xml:space="preserve">         64.57亿</t>
  </si>
  <si>
    <t xml:space="preserve">         36.83亿</t>
  </si>
  <si>
    <t xml:space="preserve">   2.60㈢</t>
  </si>
  <si>
    <t>内蒙一机</t>
  </si>
  <si>
    <t xml:space="preserve">        100.85亿</t>
  </si>
  <si>
    <t xml:space="preserve">        177.41亿</t>
  </si>
  <si>
    <t xml:space="preserve">         75.18亿</t>
  </si>
  <si>
    <t>13.61万</t>
  </si>
  <si>
    <t>海油发展</t>
  </si>
  <si>
    <t xml:space="preserve">         54.27亿</t>
  </si>
  <si>
    <t>郴电国际</t>
  </si>
  <si>
    <t xml:space="preserve">         24.13亿</t>
  </si>
  <si>
    <t>中材国际</t>
  </si>
  <si>
    <t xml:space="preserve">        115.69亿</t>
  </si>
  <si>
    <t>8.60万</t>
  </si>
  <si>
    <t>0.663㈢</t>
  </si>
  <si>
    <t>恒源煤电</t>
  </si>
  <si>
    <t xml:space="preserve">         69.36亿</t>
  </si>
  <si>
    <t xml:space="preserve">         31.24亿</t>
  </si>
  <si>
    <t>宝胜股份</t>
  </si>
  <si>
    <t>新五丰</t>
  </si>
  <si>
    <t xml:space="preserve">         51.95亿</t>
  </si>
  <si>
    <t xml:space="preserve">  -3.94㈢</t>
  </si>
  <si>
    <t>健民集团</t>
  </si>
  <si>
    <t xml:space="preserve">         26.40亿</t>
  </si>
  <si>
    <t>19.89万</t>
  </si>
  <si>
    <t>0.479㈢</t>
  </si>
  <si>
    <t>中国电影</t>
  </si>
  <si>
    <t xml:space="preserve">        281.36亿</t>
  </si>
  <si>
    <t xml:space="preserve">         91.82亿</t>
  </si>
  <si>
    <t>0.468㈢</t>
  </si>
  <si>
    <t>宜华生活</t>
  </si>
  <si>
    <t>广安爱众</t>
  </si>
  <si>
    <t xml:space="preserve">         39.53亿</t>
  </si>
  <si>
    <t>北矿科技</t>
  </si>
  <si>
    <t xml:space="preserve">         21.71亿</t>
  </si>
  <si>
    <t xml:space="preserve">         12.78亿</t>
  </si>
  <si>
    <t>汇鸿集团</t>
  </si>
  <si>
    <t xml:space="preserve">         82.52亿</t>
  </si>
  <si>
    <t xml:space="preserve">   3.73㈢</t>
  </si>
  <si>
    <t>宁波热电</t>
  </si>
  <si>
    <t>惠而浦</t>
  </si>
  <si>
    <t xml:space="preserve">         37.79亿</t>
  </si>
  <si>
    <t xml:space="preserve">  -1.73㈢</t>
  </si>
  <si>
    <t>建设机械</t>
  </si>
  <si>
    <t xml:space="preserve">         76.65亿</t>
  </si>
  <si>
    <t xml:space="preserve">         49.01亿</t>
  </si>
  <si>
    <t>33.39万</t>
  </si>
  <si>
    <t>淮北矿业</t>
  </si>
  <si>
    <t xml:space="preserve">         54.50亿</t>
  </si>
  <si>
    <t xml:space="preserve">        214.20亿</t>
  </si>
  <si>
    <t>25.00万</t>
  </si>
  <si>
    <t>1.310㈢</t>
  </si>
  <si>
    <t>科达股份</t>
  </si>
  <si>
    <t xml:space="preserve">         64.80亿</t>
  </si>
  <si>
    <t>航民股份</t>
  </si>
  <si>
    <t xml:space="preserve">         57.11亿</t>
  </si>
  <si>
    <t xml:space="preserve">         67.01亿</t>
  </si>
  <si>
    <t>13.30万</t>
  </si>
  <si>
    <t xml:space="preserve">  10.86㈢</t>
  </si>
  <si>
    <t>赤峰黄金</t>
  </si>
  <si>
    <t xml:space="preserve">         68.61亿</t>
  </si>
  <si>
    <t xml:space="preserve">         74.80亿</t>
  </si>
  <si>
    <t>宝丰能源</t>
  </si>
  <si>
    <t xml:space="preserve">        690.80亿</t>
  </si>
  <si>
    <t>四创电子</t>
  </si>
  <si>
    <t xml:space="preserve">         60.74亿</t>
  </si>
  <si>
    <t xml:space="preserve">         35.71亿</t>
  </si>
  <si>
    <t>21.26万</t>
  </si>
  <si>
    <t>-0.455㈢</t>
  </si>
  <si>
    <t xml:space="preserve">  -3.16㈢</t>
  </si>
  <si>
    <t>贵绳股份</t>
  </si>
  <si>
    <t>马应龙</t>
  </si>
  <si>
    <t xml:space="preserve">         73.88亿</t>
  </si>
  <si>
    <t xml:space="preserve">         74.01亿</t>
  </si>
  <si>
    <t>文山电力</t>
  </si>
  <si>
    <t>0.799㈢</t>
  </si>
  <si>
    <t>贵广网络</t>
  </si>
  <si>
    <t xml:space="preserve">         28.59亿</t>
  </si>
  <si>
    <t>开滦股份</t>
  </si>
  <si>
    <t xml:space="preserve">         65.68亿</t>
  </si>
  <si>
    <t xml:space="preserve">         84.47亿</t>
  </si>
  <si>
    <t>0.637㈢</t>
  </si>
  <si>
    <t>九州通</t>
  </si>
  <si>
    <t xml:space="preserve">        227.09亿</t>
  </si>
  <si>
    <t xml:space="preserve">        254.80亿</t>
  </si>
  <si>
    <t xml:space="preserve">         81.95亿</t>
  </si>
  <si>
    <t>30.11万</t>
  </si>
  <si>
    <t>招商证券</t>
  </si>
  <si>
    <t xml:space="preserve">       1002.54亿</t>
  </si>
  <si>
    <t xml:space="preserve">        408.45亿</t>
  </si>
  <si>
    <t>38.87万</t>
  </si>
  <si>
    <t>唐山港</t>
  </si>
  <si>
    <t xml:space="preserve">        150.52亿</t>
  </si>
  <si>
    <t xml:space="preserve">         70.76亿</t>
  </si>
  <si>
    <t>大同煤业</t>
  </si>
  <si>
    <t xml:space="preserve">         71.80亿</t>
  </si>
  <si>
    <t xml:space="preserve">         30.55亿</t>
  </si>
  <si>
    <t xml:space="preserve">  10.53㈢</t>
  </si>
  <si>
    <t>晋亿实业</t>
  </si>
  <si>
    <t>0.159㈢</t>
  </si>
  <si>
    <t>柳钢股份</t>
  </si>
  <si>
    <t xml:space="preserve">        140.70亿</t>
  </si>
  <si>
    <t>重庆钢铁</t>
  </si>
  <si>
    <t xml:space="preserve">        150.01亿</t>
  </si>
  <si>
    <t xml:space="preserve">        112.47亿</t>
  </si>
  <si>
    <t>大秦铁路</t>
  </si>
  <si>
    <t xml:space="preserve">       1204.21亿</t>
  </si>
  <si>
    <t xml:space="preserve">        454.81亿</t>
  </si>
  <si>
    <t>31.97万</t>
  </si>
  <si>
    <t>金陵饭店</t>
  </si>
  <si>
    <t xml:space="preserve">         16.18亿</t>
  </si>
  <si>
    <t>10.23万</t>
  </si>
  <si>
    <t>连云港</t>
  </si>
  <si>
    <t xml:space="preserve">         41.89亿</t>
  </si>
  <si>
    <t xml:space="preserve">         19.95亿</t>
  </si>
  <si>
    <t>1.94万</t>
  </si>
  <si>
    <t>南京银行</t>
  </si>
  <si>
    <t xml:space="preserve">        744.74亿</t>
  </si>
  <si>
    <t xml:space="preserve">        468.23亿</t>
  </si>
  <si>
    <t>39.52万</t>
  </si>
  <si>
    <t>1.166㈢</t>
  </si>
  <si>
    <t>文峰股份</t>
  </si>
  <si>
    <t xml:space="preserve">         56.36亿</t>
  </si>
  <si>
    <t>2.05万</t>
  </si>
  <si>
    <t>宝泰隆</t>
  </si>
  <si>
    <t xml:space="preserve">         72.33亿</t>
  </si>
  <si>
    <t>隆基股份</t>
  </si>
  <si>
    <t xml:space="preserve">        919.66亿</t>
  </si>
  <si>
    <t xml:space="preserve">        920.75亿</t>
  </si>
  <si>
    <t xml:space="preserve">        562.65亿</t>
  </si>
  <si>
    <t>71.89万</t>
  </si>
  <si>
    <t xml:space="preserve">  13.51㈢</t>
  </si>
  <si>
    <t>陕西黑猫</t>
  </si>
  <si>
    <t xml:space="preserve">         45.22亿</t>
  </si>
  <si>
    <t xml:space="preserve">         50.52亿</t>
  </si>
  <si>
    <t>节能风电</t>
  </si>
  <si>
    <t xml:space="preserve">         98.07亿</t>
  </si>
  <si>
    <t>宁波港</t>
  </si>
  <si>
    <t xml:space="preserve">        481.28亿</t>
  </si>
  <si>
    <t xml:space="preserve">        495.30亿</t>
  </si>
  <si>
    <t xml:space="preserve">        117.32亿</t>
  </si>
  <si>
    <t xml:space="preserve">   7.33㈢</t>
  </si>
  <si>
    <t>山东出版</t>
  </si>
  <si>
    <t xml:space="preserve">        142.95亿</t>
  </si>
  <si>
    <t xml:space="preserve">  10.75㈢</t>
  </si>
  <si>
    <t>华钰矿业</t>
  </si>
  <si>
    <t>春秋航空</t>
  </si>
  <si>
    <t xml:space="preserve">        390.05亿</t>
  </si>
  <si>
    <t xml:space="preserve">        390.16亿</t>
  </si>
  <si>
    <t xml:space="preserve">        144.71亿</t>
  </si>
  <si>
    <t>71.87万</t>
  </si>
  <si>
    <t>1.875㈢</t>
  </si>
  <si>
    <t xml:space="preserve">  11.57㈢</t>
  </si>
  <si>
    <t>玉龙股份</t>
  </si>
  <si>
    <t xml:space="preserve">         40.56亿</t>
  </si>
  <si>
    <t>一拖股份</t>
  </si>
  <si>
    <t xml:space="preserve">   1.72㈢</t>
  </si>
  <si>
    <t>赛轮轮胎</t>
  </si>
  <si>
    <t xml:space="preserve">        119.08亿</t>
  </si>
  <si>
    <t xml:space="preserve">         67.18亿</t>
  </si>
  <si>
    <t>13.83万</t>
  </si>
  <si>
    <t>中信建投</t>
  </si>
  <si>
    <t xml:space="preserve">        249.03亿</t>
  </si>
  <si>
    <t xml:space="preserve">       1839.62亿</t>
  </si>
  <si>
    <t xml:space="preserve">        138.53亿</t>
  </si>
  <si>
    <t>中铝国际</t>
  </si>
  <si>
    <t xml:space="preserve">         16.48亿</t>
  </si>
  <si>
    <t xml:space="preserve">        142.57亿</t>
  </si>
  <si>
    <t>西部黄金</t>
  </si>
  <si>
    <t>渝农商行</t>
  </si>
  <si>
    <t xml:space="preserve">        594.29亿</t>
  </si>
  <si>
    <t>1.76万</t>
  </si>
  <si>
    <t>国芳集团</t>
  </si>
  <si>
    <t xml:space="preserve">   5.45㈢</t>
  </si>
  <si>
    <t>中国神华</t>
  </si>
  <si>
    <t xml:space="preserve">       2938.70亿</t>
  </si>
  <si>
    <t xml:space="preserve">        477.28亿</t>
  </si>
  <si>
    <t>29.00万</t>
  </si>
  <si>
    <t>1.865㈢</t>
  </si>
  <si>
    <t xml:space="preserve">  10.69㈢</t>
  </si>
  <si>
    <t>中南传媒</t>
  </si>
  <si>
    <t xml:space="preserve">        214.44亿</t>
  </si>
  <si>
    <t xml:space="preserve">         75.71亿</t>
  </si>
  <si>
    <t>28.84万</t>
  </si>
  <si>
    <t>太平洋</t>
  </si>
  <si>
    <t xml:space="preserve">        248.80亿</t>
  </si>
  <si>
    <t xml:space="preserve">        221.64亿</t>
  </si>
  <si>
    <t>恒立液压</t>
  </si>
  <si>
    <t xml:space="preserve">        439.24亿</t>
  </si>
  <si>
    <t xml:space="preserve">        128.56亿</t>
  </si>
  <si>
    <t>105.11万</t>
  </si>
  <si>
    <t>昊华能源</t>
  </si>
  <si>
    <t>中国一重</t>
  </si>
  <si>
    <t xml:space="preserve">        187.64亿</t>
  </si>
  <si>
    <t xml:space="preserve">        196.82亿</t>
  </si>
  <si>
    <t xml:space="preserve">         71.10亿</t>
  </si>
  <si>
    <t>四川成渝</t>
  </si>
  <si>
    <t xml:space="preserve">         83.05亿</t>
  </si>
  <si>
    <t>0.365㈢</t>
  </si>
  <si>
    <t>财通证券</t>
  </si>
  <si>
    <t xml:space="preserve">        259.44亿</t>
  </si>
  <si>
    <t xml:space="preserve">        386.89亿</t>
  </si>
  <si>
    <t>17.56万</t>
  </si>
  <si>
    <t>中国国航</t>
  </si>
  <si>
    <t xml:space="preserve">        887.23亿</t>
  </si>
  <si>
    <t xml:space="preserve">        935.44亿</t>
  </si>
  <si>
    <t xml:space="preserve">        251.41亿</t>
  </si>
  <si>
    <t>ST华鼎</t>
  </si>
  <si>
    <t>三江购物</t>
  </si>
  <si>
    <t xml:space="preserve">         53.97亿</t>
  </si>
  <si>
    <t xml:space="preserve">         71.96亿</t>
  </si>
  <si>
    <t>中国化学</t>
  </si>
  <si>
    <t xml:space="preserve">        314.23亿</t>
  </si>
  <si>
    <t xml:space="preserve">        127.92亿</t>
  </si>
  <si>
    <t>13.95万</t>
  </si>
  <si>
    <t>0.496㈢</t>
  </si>
  <si>
    <t>海南橡胶</t>
  </si>
  <si>
    <t xml:space="preserve">        208.84亿</t>
  </si>
  <si>
    <t xml:space="preserve">         74.44亿</t>
  </si>
  <si>
    <t>四方股份</t>
  </si>
  <si>
    <t xml:space="preserve">         44.15亿</t>
  </si>
  <si>
    <t xml:space="preserve">         45.13亿</t>
  </si>
  <si>
    <t>9.94万</t>
  </si>
  <si>
    <t>小康股份</t>
  </si>
  <si>
    <t xml:space="preserve">        107.71亿</t>
  </si>
  <si>
    <t xml:space="preserve">        108.47亿</t>
  </si>
  <si>
    <t xml:space="preserve">         23.72亿</t>
  </si>
  <si>
    <t xml:space="preserve">  -8.12㈢</t>
  </si>
  <si>
    <t>常熟银行</t>
  </si>
  <si>
    <t xml:space="preserve">        225.58亿</t>
  </si>
  <si>
    <t xml:space="preserve">        240.10亿</t>
  </si>
  <si>
    <t xml:space="preserve">        203.95亿</t>
  </si>
  <si>
    <t>43.76万</t>
  </si>
  <si>
    <t xml:space="preserve">   8.46㈢</t>
  </si>
  <si>
    <t>博威合金</t>
  </si>
  <si>
    <t xml:space="preserve">         68.58亿</t>
  </si>
  <si>
    <t>12.35万</t>
  </si>
  <si>
    <t>0.481㈢</t>
  </si>
  <si>
    <t>工业富联</t>
  </si>
  <si>
    <t xml:space="preserve">        321.98亿</t>
  </si>
  <si>
    <t xml:space="preserve">       3476.58亿</t>
  </si>
  <si>
    <t>深圳燃气</t>
  </si>
  <si>
    <t xml:space="preserve">        221.81亿</t>
  </si>
  <si>
    <t xml:space="preserve">        222.66亿</t>
  </si>
  <si>
    <t xml:space="preserve">         39.94亿</t>
  </si>
  <si>
    <t>14.21万</t>
  </si>
  <si>
    <t>新城控股</t>
  </si>
  <si>
    <t xml:space="preserve">        840.14亿</t>
  </si>
  <si>
    <t xml:space="preserve">        844.01亿</t>
  </si>
  <si>
    <t xml:space="preserve">        273.23亿</t>
  </si>
  <si>
    <t>32.04万</t>
  </si>
  <si>
    <t>1.670㈢</t>
  </si>
  <si>
    <t>重庆水务</t>
  </si>
  <si>
    <t xml:space="preserve">        265.44亿</t>
  </si>
  <si>
    <t xml:space="preserve">         30.36亿</t>
  </si>
  <si>
    <t>7.03万</t>
  </si>
  <si>
    <t xml:space="preserve">   9.78㈢</t>
  </si>
  <si>
    <t>天风证券</t>
  </si>
  <si>
    <t xml:space="preserve">        159.74亿</t>
  </si>
  <si>
    <t xml:space="preserve">        351.72亿</t>
  </si>
  <si>
    <t xml:space="preserve">        150.66亿</t>
  </si>
  <si>
    <t>14.79万</t>
  </si>
  <si>
    <t>三角轮胎</t>
  </si>
  <si>
    <t xml:space="preserve">        118.00亿</t>
  </si>
  <si>
    <t>0.772㈢</t>
  </si>
  <si>
    <t>兴业银行</t>
  </si>
  <si>
    <t xml:space="preserve">       3802.85亿</t>
  </si>
  <si>
    <t xml:space="preserve">       4146.53亿</t>
  </si>
  <si>
    <t xml:space="preserve">       2543.60亿</t>
  </si>
  <si>
    <t>106.33万</t>
  </si>
  <si>
    <t>2.570㈢</t>
  </si>
  <si>
    <t>西部矿业</t>
  </si>
  <si>
    <t xml:space="preserve">        157.04亿</t>
  </si>
  <si>
    <t xml:space="preserve">        109.94亿</t>
  </si>
  <si>
    <t>北京银行</t>
  </si>
  <si>
    <t xml:space="preserve">       1027.36亿</t>
  </si>
  <si>
    <t xml:space="preserve">       1190.35亿</t>
  </si>
  <si>
    <t xml:space="preserve">        744.26亿</t>
  </si>
  <si>
    <t>37.98万</t>
  </si>
  <si>
    <t>杭齿前进</t>
  </si>
  <si>
    <t>12.07万</t>
  </si>
  <si>
    <t xml:space="preserve">   0.85㈢</t>
  </si>
  <si>
    <t>中国西电</t>
  </si>
  <si>
    <t xml:space="preserve">        185.56亿</t>
  </si>
  <si>
    <t xml:space="preserve">         61.38亿</t>
  </si>
  <si>
    <t>中国铁建</t>
  </si>
  <si>
    <t xml:space="preserve">       1146.87亿</t>
  </si>
  <si>
    <t xml:space="preserve">        454.68亿</t>
  </si>
  <si>
    <t>14.78万</t>
  </si>
  <si>
    <t>龙江交通</t>
  </si>
  <si>
    <t xml:space="preserve">         39.61亿</t>
  </si>
  <si>
    <t xml:space="preserve">         11.96亿</t>
  </si>
  <si>
    <t>0.216㈢</t>
  </si>
  <si>
    <t>东兴证券</t>
  </si>
  <si>
    <t xml:space="preserve">        340.06亿</t>
  </si>
  <si>
    <t xml:space="preserve">        160.70亿</t>
  </si>
  <si>
    <t>15.62万</t>
  </si>
  <si>
    <t xml:space="preserve">   5.48㈢</t>
  </si>
  <si>
    <t>江南水务</t>
  </si>
  <si>
    <t>上海环境</t>
  </si>
  <si>
    <t xml:space="preserve">         96.58亿</t>
  </si>
  <si>
    <t xml:space="preserve">        100.92亿</t>
  </si>
  <si>
    <t>0.483㈢</t>
  </si>
  <si>
    <t xml:space="preserve">   6.64㈢</t>
  </si>
  <si>
    <t>东材科技</t>
  </si>
  <si>
    <t xml:space="preserve">         22.73亿</t>
  </si>
  <si>
    <t>国泰君安</t>
  </si>
  <si>
    <t xml:space="preserve">       1334.86亿</t>
  </si>
  <si>
    <t xml:space="preserve">        767.86亿</t>
  </si>
  <si>
    <t>45.05万</t>
  </si>
  <si>
    <t>白银有色</t>
  </si>
  <si>
    <t xml:space="preserve">        268.79亿</t>
  </si>
  <si>
    <t>君正集团</t>
  </si>
  <si>
    <t xml:space="preserve">        258.20亿</t>
  </si>
  <si>
    <t xml:space="preserve">         92.94亿</t>
  </si>
  <si>
    <t>7.54万</t>
  </si>
  <si>
    <t xml:space="preserve">  10.49㈢</t>
  </si>
  <si>
    <t>吉鑫科技</t>
  </si>
  <si>
    <t xml:space="preserve">         27.56亿</t>
  </si>
  <si>
    <t xml:space="preserve">         27.97亿</t>
  </si>
  <si>
    <t>3.31万</t>
  </si>
  <si>
    <t>林洋能源</t>
  </si>
  <si>
    <t xml:space="preserve">         82.37亿</t>
  </si>
  <si>
    <t xml:space="preserve">         82.79亿</t>
  </si>
  <si>
    <t xml:space="preserve">         48.68亿</t>
  </si>
  <si>
    <t>陕西煤业</t>
  </si>
  <si>
    <t xml:space="preserve">        890.00亿</t>
  </si>
  <si>
    <t xml:space="preserve">        328.07亿</t>
  </si>
  <si>
    <t>71.02万</t>
  </si>
  <si>
    <t xml:space="preserve">  16.11㈢</t>
  </si>
  <si>
    <t>华电重工</t>
  </si>
  <si>
    <t xml:space="preserve">         48.51亿</t>
  </si>
  <si>
    <t>广州港</t>
  </si>
  <si>
    <t xml:space="preserve">         54.99亿</t>
  </si>
  <si>
    <t xml:space="preserve">        235.96亿</t>
  </si>
  <si>
    <t>上海银行</t>
  </si>
  <si>
    <t xml:space="preserve">       1254.56亿</t>
  </si>
  <si>
    <t xml:space="preserve">       1343.94亿</t>
  </si>
  <si>
    <t xml:space="preserve">        850.81亿</t>
  </si>
  <si>
    <t>64.07万</t>
  </si>
  <si>
    <t>环旭电子</t>
  </si>
  <si>
    <t xml:space="preserve">        424.31亿</t>
  </si>
  <si>
    <t xml:space="preserve">         92.44亿</t>
  </si>
  <si>
    <t>31.00万</t>
  </si>
  <si>
    <t>桐昆股份</t>
  </si>
  <si>
    <t xml:space="preserve">        259.63亿</t>
  </si>
  <si>
    <t xml:space="preserve">        147.69亿</t>
  </si>
  <si>
    <t>29.40万</t>
  </si>
  <si>
    <t xml:space="preserve">  13.20㈢</t>
  </si>
  <si>
    <t>红塔证券</t>
  </si>
  <si>
    <t xml:space="preserve">        602.06亿</t>
  </si>
  <si>
    <t>广汽集团</t>
  </si>
  <si>
    <t xml:space="preserve">        703.35亿</t>
  </si>
  <si>
    <t xml:space="preserve">        825.28亿</t>
  </si>
  <si>
    <t xml:space="preserve">         67.65亿</t>
  </si>
  <si>
    <t>19.94万</t>
  </si>
  <si>
    <t>0.619㈢</t>
  </si>
  <si>
    <t>*ST庞大</t>
  </si>
  <si>
    <t xml:space="preserve">         95.46亿</t>
  </si>
  <si>
    <t xml:space="preserve">        149.32亿</t>
  </si>
  <si>
    <t xml:space="preserve">         70.22亿</t>
  </si>
  <si>
    <t>-0.202㈢</t>
  </si>
  <si>
    <t xml:space="preserve"> -46.78㈢</t>
  </si>
  <si>
    <t>农业银行</t>
  </si>
  <si>
    <t xml:space="preserve">      10968.26亿</t>
  </si>
  <si>
    <t xml:space="preserve">      11907.81亿</t>
  </si>
  <si>
    <t xml:space="preserve">       1321.65亿</t>
  </si>
  <si>
    <t>30.08万</t>
  </si>
  <si>
    <t xml:space="preserve">   9.42㈢</t>
  </si>
  <si>
    <t>青岛港</t>
  </si>
  <si>
    <t xml:space="preserve">        363.43亿</t>
  </si>
  <si>
    <t>骆驼股份</t>
  </si>
  <si>
    <t xml:space="preserve">         82.24亿</t>
  </si>
  <si>
    <t xml:space="preserve">         41.93亿</t>
  </si>
  <si>
    <t>中国平安</t>
  </si>
  <si>
    <t xml:space="preserve">       9177.43亿</t>
  </si>
  <si>
    <t xml:space="preserve">       8361.82亿</t>
  </si>
  <si>
    <t>152.66万</t>
  </si>
  <si>
    <t xml:space="preserve">  20.21㈢</t>
  </si>
  <si>
    <t>中国人保</t>
  </si>
  <si>
    <t xml:space="preserve">        416.20亿</t>
  </si>
  <si>
    <t xml:space="preserve">       2637.48亿</t>
  </si>
  <si>
    <t xml:space="preserve">        133.74亿</t>
  </si>
  <si>
    <t>秦港股份</t>
  </si>
  <si>
    <t xml:space="preserve">         51.75亿</t>
  </si>
  <si>
    <t xml:space="preserve">         32.30亿</t>
  </si>
  <si>
    <t>交通银行</t>
  </si>
  <si>
    <t xml:space="preserve">       2205.90亿</t>
  </si>
  <si>
    <t xml:space="preserve">       1354.54亿</t>
  </si>
  <si>
    <t>37.77万</t>
  </si>
  <si>
    <t>绿色动力</t>
  </si>
  <si>
    <t xml:space="preserve">         80.30亿</t>
  </si>
  <si>
    <t>广深铁路</t>
  </si>
  <si>
    <t xml:space="preserve">        171.83亿</t>
  </si>
  <si>
    <t xml:space="preserve">         91.89亿</t>
  </si>
  <si>
    <t>新华保险</t>
  </si>
  <si>
    <t xml:space="preserve">        992.88亿</t>
  </si>
  <si>
    <t xml:space="preserve">        334.46亿</t>
  </si>
  <si>
    <t>39.22万</t>
  </si>
  <si>
    <t>4.168㈢</t>
  </si>
  <si>
    <t>百隆东方</t>
  </si>
  <si>
    <t xml:space="preserve">         59.10亿</t>
  </si>
  <si>
    <t>三六零</t>
  </si>
  <si>
    <t xml:space="preserve">         94.49亿</t>
  </si>
  <si>
    <t xml:space="preserve">       1609.17亿</t>
  </si>
  <si>
    <t>16.51万</t>
  </si>
  <si>
    <t>利群股份</t>
  </si>
  <si>
    <t xml:space="preserve">         48.02亿</t>
  </si>
  <si>
    <t>绿城水务</t>
  </si>
  <si>
    <t xml:space="preserve">         51.30亿</t>
  </si>
  <si>
    <t xml:space="preserve">   4.91㈢</t>
  </si>
  <si>
    <t>陕鼓动力</t>
  </si>
  <si>
    <t xml:space="preserve">        106.19亿</t>
  </si>
  <si>
    <t xml:space="preserve">        108.76亿</t>
  </si>
  <si>
    <t>中原证券</t>
  </si>
  <si>
    <t xml:space="preserve">         93.56亿</t>
  </si>
  <si>
    <t xml:space="preserve">        138.77亿</t>
  </si>
  <si>
    <t>兴业证券</t>
  </si>
  <si>
    <t xml:space="preserve">        460.06亿</t>
  </si>
  <si>
    <t xml:space="preserve">        321.80亿</t>
  </si>
  <si>
    <t>怡球资源</t>
  </si>
  <si>
    <t xml:space="preserve">         23.03亿</t>
  </si>
  <si>
    <t>中国中铁</t>
  </si>
  <si>
    <t xml:space="preserve">       1092.12亿</t>
  </si>
  <si>
    <t xml:space="preserve">       1193.30亿</t>
  </si>
  <si>
    <t xml:space="preserve">        422.07亿</t>
  </si>
  <si>
    <t xml:space="preserve">   7.35㈢</t>
  </si>
  <si>
    <t>工商银行</t>
  </si>
  <si>
    <t xml:space="preserve">      15907.12亿</t>
  </si>
  <si>
    <t xml:space="preserve">       1272.28亿</t>
  </si>
  <si>
    <t>22.50万</t>
  </si>
  <si>
    <t>通用股份</t>
  </si>
  <si>
    <t xml:space="preserve">         11.11亿</t>
  </si>
  <si>
    <t>中新集团</t>
  </si>
  <si>
    <t xml:space="preserve">        216.14亿</t>
  </si>
  <si>
    <t>1.53万</t>
  </si>
  <si>
    <t xml:space="preserve">  12.09㈢</t>
  </si>
  <si>
    <t>东风股份</t>
  </si>
  <si>
    <t xml:space="preserve">         24.93亿</t>
  </si>
  <si>
    <t xml:space="preserve">  12.07㈢</t>
  </si>
  <si>
    <t>吉林高速</t>
  </si>
  <si>
    <t xml:space="preserve">         35.38亿</t>
  </si>
  <si>
    <t>大智慧</t>
  </si>
  <si>
    <t xml:space="preserve">        156.43亿</t>
  </si>
  <si>
    <t xml:space="preserve">         61.27亿</t>
  </si>
  <si>
    <t xml:space="preserve">  -6.23㈢</t>
  </si>
  <si>
    <t>东吴证券</t>
  </si>
  <si>
    <t xml:space="preserve">        286.80亿</t>
  </si>
  <si>
    <t xml:space="preserve">        208.10亿</t>
  </si>
  <si>
    <t>ST锐电</t>
  </si>
  <si>
    <t xml:space="preserve">         66.94亿</t>
  </si>
  <si>
    <t>九牧王</t>
  </si>
  <si>
    <t xml:space="preserve">         64.76亿</t>
  </si>
  <si>
    <t>三星医疗</t>
  </si>
  <si>
    <t xml:space="preserve">        100.39亿</t>
  </si>
  <si>
    <t xml:space="preserve">  10.28㈢</t>
  </si>
  <si>
    <t>长沙银行</t>
  </si>
  <si>
    <t xml:space="preserve">         89.18亿</t>
  </si>
  <si>
    <t xml:space="preserve">        306.57亿</t>
  </si>
  <si>
    <t>1.212㈢</t>
  </si>
  <si>
    <t>会稽山</t>
  </si>
  <si>
    <t>9.66万</t>
  </si>
  <si>
    <t>北辰实业</t>
  </si>
  <si>
    <t xml:space="preserve">         84.32亿</t>
  </si>
  <si>
    <t>上海电影</t>
  </si>
  <si>
    <t>中国外运</t>
  </si>
  <si>
    <t xml:space="preserve">         56.77亿</t>
  </si>
  <si>
    <t xml:space="preserve">        220.75亿</t>
  </si>
  <si>
    <t>鹿港文化</t>
  </si>
  <si>
    <t>中国铝业</t>
  </si>
  <si>
    <t xml:space="preserve">        383.59亿</t>
  </si>
  <si>
    <t xml:space="preserve">        457.75亿</t>
  </si>
  <si>
    <t xml:space="preserve">        198.49亿</t>
  </si>
  <si>
    <t>中国太保</t>
  </si>
  <si>
    <t xml:space="preserve">       2312.25亿</t>
  </si>
  <si>
    <t xml:space="preserve">        993.49亿</t>
  </si>
  <si>
    <t>90.61万</t>
  </si>
  <si>
    <t>2.529㈢</t>
  </si>
  <si>
    <t xml:space="preserve">  13.46㈢</t>
  </si>
  <si>
    <t>长城军工</t>
  </si>
  <si>
    <t xml:space="preserve">         77.78亿</t>
  </si>
  <si>
    <t>上海医药</t>
  </si>
  <si>
    <t xml:space="preserve">        344.01亿</t>
  </si>
  <si>
    <t xml:space="preserve">        344.03亿</t>
  </si>
  <si>
    <t xml:space="preserve">        176.06亿</t>
  </si>
  <si>
    <t>21.07万</t>
  </si>
  <si>
    <t>1.196㈢</t>
  </si>
  <si>
    <t>中信重工</t>
  </si>
  <si>
    <t xml:space="preserve">        159.69亿</t>
  </si>
  <si>
    <t xml:space="preserve">         52.26亿</t>
  </si>
  <si>
    <t>中国核建</t>
  </si>
  <si>
    <t xml:space="preserve">        184.54亿</t>
  </si>
  <si>
    <t>明阳智能</t>
  </si>
  <si>
    <t xml:space="preserve">        168.88亿</t>
  </si>
  <si>
    <t>广电电气</t>
  </si>
  <si>
    <t xml:space="preserve">         21.12亿</t>
  </si>
  <si>
    <t>中国中冶</t>
  </si>
  <si>
    <t xml:space="preserve">        492.73亿</t>
  </si>
  <si>
    <t xml:space="preserve">        175.14亿</t>
  </si>
  <si>
    <t>嘉泽新能</t>
  </si>
  <si>
    <t>1.93万</t>
  </si>
  <si>
    <t>中国人寿</t>
  </si>
  <si>
    <t xml:space="preserve">       7038.35亿</t>
  </si>
  <si>
    <t xml:space="preserve">        507.00亿</t>
  </si>
  <si>
    <t>34.62万</t>
  </si>
  <si>
    <t>2.030㈢</t>
  </si>
  <si>
    <t xml:space="preserve">  14.84㈢</t>
  </si>
  <si>
    <t>长城汽车</t>
  </si>
  <si>
    <t xml:space="preserve">        528.03亿</t>
  </si>
  <si>
    <t xml:space="preserve">         79.96亿</t>
  </si>
  <si>
    <t>旗滨集团</t>
  </si>
  <si>
    <t xml:space="preserve">        132.57亿</t>
  </si>
  <si>
    <t xml:space="preserve">        134.12亿</t>
  </si>
  <si>
    <t xml:space="preserve">         73.06亿</t>
  </si>
  <si>
    <t xml:space="preserve">  11.91㈢</t>
  </si>
  <si>
    <t>邮储银行</t>
  </si>
  <si>
    <t xml:space="preserve">        170.71亿</t>
  </si>
  <si>
    <t xml:space="preserve">       3852.83亿</t>
  </si>
  <si>
    <t>1.07万</t>
  </si>
  <si>
    <t xml:space="preserve">  10.63㈢</t>
  </si>
  <si>
    <t>平煤股份</t>
  </si>
  <si>
    <t xml:space="preserve">         91.61亿</t>
  </si>
  <si>
    <t>中国建筑</t>
  </si>
  <si>
    <t xml:space="preserve">       2258.65亿</t>
  </si>
  <si>
    <t xml:space="preserve">       2304.46亿</t>
  </si>
  <si>
    <t xml:space="preserve">        763.34亿</t>
  </si>
  <si>
    <t>15.10万</t>
  </si>
  <si>
    <t>中国电建</t>
  </si>
  <si>
    <t xml:space="preserve">        460.26亿</t>
  </si>
  <si>
    <t xml:space="preserve">        631.85亿</t>
  </si>
  <si>
    <t xml:space="preserve">        263.21亿</t>
  </si>
  <si>
    <t>明泰铝业</t>
  </si>
  <si>
    <t xml:space="preserve">         68.78亿</t>
  </si>
  <si>
    <t>1.170㈢</t>
  </si>
  <si>
    <t>滨化股份</t>
  </si>
  <si>
    <t xml:space="preserve">         55.92亿</t>
  </si>
  <si>
    <t>华泰证券</t>
  </si>
  <si>
    <t xml:space="preserve">       1430.32亿</t>
  </si>
  <si>
    <t xml:space="preserve">        868.46亿</t>
  </si>
  <si>
    <t>36.98万</t>
  </si>
  <si>
    <t>拓普集团</t>
  </si>
  <si>
    <t xml:space="preserve">        178.02亿</t>
  </si>
  <si>
    <t xml:space="preserve">        179.14亿</t>
  </si>
  <si>
    <t xml:space="preserve">         59.32亿</t>
  </si>
  <si>
    <t>21.17万</t>
  </si>
  <si>
    <t>中国卫通</t>
  </si>
  <si>
    <t xml:space="preserve">         45.52亿</t>
  </si>
  <si>
    <t xml:space="preserve">        455.20亿</t>
  </si>
  <si>
    <t>潞安环能</t>
  </si>
  <si>
    <t xml:space="preserve">        212.09亿</t>
  </si>
  <si>
    <t xml:space="preserve">         78.37亿</t>
  </si>
  <si>
    <t xml:space="preserve">   8.07㈢</t>
  </si>
  <si>
    <t>风范股份</t>
  </si>
  <si>
    <t xml:space="preserve">         73.89亿</t>
  </si>
  <si>
    <t xml:space="preserve">         32.61亿</t>
  </si>
  <si>
    <t>郑煤机</t>
  </si>
  <si>
    <t xml:space="preserve">         93.82亿</t>
  </si>
  <si>
    <t xml:space="preserve">         60.61亿</t>
  </si>
  <si>
    <t>9.19万</t>
  </si>
  <si>
    <t>际华集团</t>
  </si>
  <si>
    <t xml:space="preserve">        139.65亿</t>
  </si>
  <si>
    <t>上海电气</t>
  </si>
  <si>
    <t xml:space="preserve">        502.88亿</t>
  </si>
  <si>
    <t xml:space="preserve">        595.58亿</t>
  </si>
  <si>
    <t xml:space="preserve">        162.04亿</t>
  </si>
  <si>
    <t>中国中车</t>
  </si>
  <si>
    <t xml:space="preserve">       1608.82亿</t>
  </si>
  <si>
    <t xml:space="preserve">       1707.81亿</t>
  </si>
  <si>
    <t xml:space="preserve">        645.36亿</t>
  </si>
  <si>
    <t>力帆股份</t>
  </si>
  <si>
    <t xml:space="preserve">         42.30亿</t>
  </si>
  <si>
    <t>-2.020㈢</t>
  </si>
  <si>
    <t xml:space="preserve"> -54.54㈢</t>
  </si>
  <si>
    <t>光大证券</t>
  </si>
  <si>
    <t xml:space="preserve">        485.60亿</t>
  </si>
  <si>
    <t xml:space="preserve">        214.72亿</t>
  </si>
  <si>
    <t>宁波建工</t>
  </si>
  <si>
    <t xml:space="preserve">         20.34亿</t>
  </si>
  <si>
    <t xml:space="preserve">   5.57㈢</t>
  </si>
  <si>
    <t>ST蓝科</t>
  </si>
  <si>
    <t xml:space="preserve">          7.44亿</t>
  </si>
  <si>
    <t>星宇股份</t>
  </si>
  <si>
    <t xml:space="preserve">        252.96亿</t>
  </si>
  <si>
    <t xml:space="preserve">        108.48亿</t>
  </si>
  <si>
    <t>204.83万</t>
  </si>
  <si>
    <t>1.924㈢</t>
  </si>
  <si>
    <t>中国交建</t>
  </si>
  <si>
    <t xml:space="preserve">       1016.14亿</t>
  </si>
  <si>
    <t xml:space="preserve">        198.93亿</t>
  </si>
  <si>
    <t>13.67万</t>
  </si>
  <si>
    <t>皖新传媒</t>
  </si>
  <si>
    <t xml:space="preserve">        107.62亿</t>
  </si>
  <si>
    <t>中海油服</t>
  </si>
  <si>
    <t xml:space="preserve">        562.49亿</t>
  </si>
  <si>
    <t xml:space="preserve">        104.43亿</t>
  </si>
  <si>
    <t>17.99万</t>
  </si>
  <si>
    <t>0.444㈢</t>
  </si>
  <si>
    <t>新华文轩</t>
  </si>
  <si>
    <t>0.605㈢</t>
  </si>
  <si>
    <t>光大银行</t>
  </si>
  <si>
    <t xml:space="preserve">       1767.59亿</t>
  </si>
  <si>
    <t xml:space="preserve">        682.79亿</t>
  </si>
  <si>
    <t>35.78万</t>
  </si>
  <si>
    <t>美凯龙</t>
  </si>
  <si>
    <t xml:space="preserve">        319.25亿</t>
  </si>
  <si>
    <t>1.066㈢</t>
  </si>
  <si>
    <t xml:space="preserve">   8.49㈢</t>
  </si>
  <si>
    <t>成都银行</t>
  </si>
  <si>
    <t xml:space="preserve">        170.05亿</t>
  </si>
  <si>
    <t xml:space="preserve">        324.38亿</t>
  </si>
  <si>
    <t xml:space="preserve">        147.44亿</t>
  </si>
  <si>
    <t>1.109㈢</t>
  </si>
  <si>
    <t>中国石油</t>
  </si>
  <si>
    <t xml:space="preserve">       9359.10亿</t>
  </si>
  <si>
    <t xml:space="preserve">        836.93亿</t>
  </si>
  <si>
    <t>13.71万</t>
  </si>
  <si>
    <t>中国科传</t>
  </si>
  <si>
    <t xml:space="preserve">         86.09亿</t>
  </si>
  <si>
    <t>紫金银行</t>
  </si>
  <si>
    <t xml:space="preserve">        207.94亿</t>
  </si>
  <si>
    <t>2.54万</t>
  </si>
  <si>
    <t>0.311㈢</t>
  </si>
  <si>
    <t>福莱特</t>
  </si>
  <si>
    <t xml:space="preserve">         18.05亿</t>
  </si>
  <si>
    <t xml:space="preserve">         18.04亿</t>
  </si>
  <si>
    <t>中远海发</t>
  </si>
  <si>
    <t xml:space="preserve">        201.48亿</t>
  </si>
  <si>
    <t>2.65万</t>
  </si>
  <si>
    <t>长飞光纤</t>
  </si>
  <si>
    <t xml:space="preserve">         34.83亿</t>
  </si>
  <si>
    <t>0.862㈢</t>
  </si>
  <si>
    <t>招商轮船</t>
  </si>
  <si>
    <t xml:space="preserve">        404.88亿</t>
  </si>
  <si>
    <t xml:space="preserve">        463.49亿</t>
  </si>
  <si>
    <t>正泰电器</t>
  </si>
  <si>
    <t xml:space="preserve">        558.17亿</t>
  </si>
  <si>
    <t xml:space="preserve">        558.25亿</t>
  </si>
  <si>
    <t xml:space="preserve">        248.96亿</t>
  </si>
  <si>
    <t>68.44万</t>
  </si>
  <si>
    <t>1.331㈢</t>
  </si>
  <si>
    <t>浙商证券</t>
  </si>
  <si>
    <t xml:space="preserve">        134.02亿</t>
  </si>
  <si>
    <t xml:space="preserve">        369.67亿</t>
  </si>
  <si>
    <t>大连港</t>
  </si>
  <si>
    <t xml:space="preserve">        155.49亿</t>
  </si>
  <si>
    <t>中国银河</t>
  </si>
  <si>
    <t xml:space="preserve">        135.26亿</t>
  </si>
  <si>
    <t xml:space="preserve">        709.73亿</t>
  </si>
  <si>
    <t>0.381㈢</t>
  </si>
  <si>
    <t>海天精工</t>
  </si>
  <si>
    <t>江河集团</t>
  </si>
  <si>
    <t xml:space="preserve">         83.09亿</t>
  </si>
  <si>
    <t xml:space="preserve">         28.29亿</t>
  </si>
  <si>
    <t>中国国旅</t>
  </si>
  <si>
    <t xml:space="preserve">       1720.52亿</t>
  </si>
  <si>
    <t xml:space="preserve">        803.51亿</t>
  </si>
  <si>
    <t>211.93万</t>
  </si>
  <si>
    <t>2.149㈢</t>
  </si>
  <si>
    <t xml:space="preserve">  21.54㈢</t>
  </si>
  <si>
    <t>亚星锚链</t>
  </si>
  <si>
    <t>2.35万</t>
  </si>
  <si>
    <t xml:space="preserve">   2.35㈢</t>
  </si>
  <si>
    <t>中煤能源</t>
  </si>
  <si>
    <t xml:space="preserve">        448.45亿</t>
  </si>
  <si>
    <t xml:space="preserve">         75.79亿</t>
  </si>
  <si>
    <t>0.435㈢</t>
  </si>
  <si>
    <t>紫金矿业</t>
  </si>
  <si>
    <t xml:space="preserve">        857.29亿</t>
  </si>
  <si>
    <t xml:space="preserve">        875.96亿</t>
  </si>
  <si>
    <t xml:space="preserve">        604.35亿</t>
  </si>
  <si>
    <t xml:space="preserve">   7.22㈢</t>
  </si>
  <si>
    <t>南方传媒</t>
  </si>
  <si>
    <t xml:space="preserve">         81.38亿</t>
  </si>
  <si>
    <t xml:space="preserve">         81.97亿</t>
  </si>
  <si>
    <t>0.678㈢</t>
  </si>
  <si>
    <t>方正证券</t>
  </si>
  <si>
    <t xml:space="preserve">        641.28亿</t>
  </si>
  <si>
    <t xml:space="preserve">        313.22亿</t>
  </si>
  <si>
    <t>京运通</t>
  </si>
  <si>
    <t>浙商银行</t>
  </si>
  <si>
    <t xml:space="preserve">        800.63亿</t>
  </si>
  <si>
    <t>新集能源</t>
  </si>
  <si>
    <t xml:space="preserve">         87.56亿</t>
  </si>
  <si>
    <t xml:space="preserve">         48.09亿</t>
  </si>
  <si>
    <t xml:space="preserve">  26.37㈢</t>
  </si>
  <si>
    <t>中远海控</t>
  </si>
  <si>
    <t xml:space="preserve">        399.35亿</t>
  </si>
  <si>
    <t xml:space="preserve">        506.21亿</t>
  </si>
  <si>
    <t xml:space="preserve">        160.98亿</t>
  </si>
  <si>
    <t>6.08万</t>
  </si>
  <si>
    <t>凤凰传媒</t>
  </si>
  <si>
    <t xml:space="preserve">        190.61亿</t>
  </si>
  <si>
    <t>10.01万</t>
  </si>
  <si>
    <t>吉视传媒</t>
  </si>
  <si>
    <t xml:space="preserve">         65.95亿</t>
  </si>
  <si>
    <t xml:space="preserve">         43.01亿</t>
  </si>
  <si>
    <t>永辉超市</t>
  </si>
  <si>
    <t xml:space="preserve">        721.48亿</t>
  </si>
  <si>
    <t xml:space="preserve">        729.27亿</t>
  </si>
  <si>
    <t xml:space="preserve">        291.96亿</t>
  </si>
  <si>
    <t>23.84万</t>
  </si>
  <si>
    <t xml:space="preserve">   7.50㈢</t>
  </si>
  <si>
    <t>建设银行</t>
  </si>
  <si>
    <t xml:space="preserve">        695.54亿</t>
  </si>
  <si>
    <t xml:space="preserve">        645.33亿</t>
  </si>
  <si>
    <t>中国出版</t>
  </si>
  <si>
    <t xml:space="preserve">         24.98亿</t>
  </si>
  <si>
    <t xml:space="preserve">        113.54亿</t>
  </si>
  <si>
    <t>苏垦农发</t>
  </si>
  <si>
    <t xml:space="preserve">         94.12亿</t>
  </si>
  <si>
    <t>金钼股份</t>
  </si>
  <si>
    <t xml:space="preserve">        257.16亿</t>
  </si>
  <si>
    <t xml:space="preserve">         64.33亿</t>
  </si>
  <si>
    <t>中国汽研</t>
  </si>
  <si>
    <t xml:space="preserve">         79.11亿</t>
  </si>
  <si>
    <t xml:space="preserve">         26.87亿</t>
  </si>
  <si>
    <t>10.11万</t>
  </si>
  <si>
    <t>玲珑轮胎</t>
  </si>
  <si>
    <t xml:space="preserve">        267.12亿</t>
  </si>
  <si>
    <t>18.95万</t>
  </si>
  <si>
    <t>1.020㈢</t>
  </si>
  <si>
    <t>宝钢包装</t>
  </si>
  <si>
    <t>海南矿业</t>
  </si>
  <si>
    <t xml:space="preserve">        113.37亿</t>
  </si>
  <si>
    <t xml:space="preserve">         17.02亿</t>
  </si>
  <si>
    <t>招商南油</t>
  </si>
  <si>
    <t xml:space="preserve">        141.66亿</t>
  </si>
  <si>
    <t>中国核电</t>
  </si>
  <si>
    <t xml:space="preserve">        779.83亿</t>
  </si>
  <si>
    <t xml:space="preserve">   7.49㈢</t>
  </si>
  <si>
    <t>中国银行</t>
  </si>
  <si>
    <t xml:space="preserve">       7777.25亿</t>
  </si>
  <si>
    <t xml:space="preserve">        823.02亿</t>
  </si>
  <si>
    <t>中国重工</t>
  </si>
  <si>
    <t xml:space="preserve">        954.42亿</t>
  </si>
  <si>
    <t xml:space="preserve">       1190.27亿</t>
  </si>
  <si>
    <t xml:space="preserve">        442.83亿</t>
  </si>
  <si>
    <t>南京证券</t>
  </si>
  <si>
    <t xml:space="preserve">        259.68亿</t>
  </si>
  <si>
    <t xml:space="preserve">        415.65亿</t>
  </si>
  <si>
    <t>16.79万</t>
  </si>
  <si>
    <t>大唐发电</t>
  </si>
  <si>
    <t xml:space="preserve">        242.86亿</t>
  </si>
  <si>
    <t xml:space="preserve">        301.22亿</t>
  </si>
  <si>
    <t>金隅集团</t>
  </si>
  <si>
    <t xml:space="preserve">        292.53亿</t>
  </si>
  <si>
    <t xml:space="preserve">        292.70亿</t>
  </si>
  <si>
    <t xml:space="preserve">        122.63亿</t>
  </si>
  <si>
    <t>丰林集团</t>
  </si>
  <si>
    <t xml:space="preserve">         17.21亿</t>
  </si>
  <si>
    <t>贵阳银行</t>
  </si>
  <si>
    <t xml:space="preserve">        293.17亿</t>
  </si>
  <si>
    <t xml:space="preserve">        307.32亿</t>
  </si>
  <si>
    <t xml:space="preserve">        229.91亿</t>
  </si>
  <si>
    <t>29.86万</t>
  </si>
  <si>
    <t>1.338㈢</t>
  </si>
  <si>
    <t>中信银行</t>
  </si>
  <si>
    <t xml:space="preserve">       1965.36亿</t>
  </si>
  <si>
    <t xml:space="preserve">       2097.64亿</t>
  </si>
  <si>
    <t xml:space="preserve">        182.72亿</t>
  </si>
  <si>
    <t xml:space="preserve">   8.66㈢</t>
  </si>
  <si>
    <t>出版传媒</t>
  </si>
  <si>
    <t>人民网</t>
  </si>
  <si>
    <t xml:space="preserve">        218.15亿</t>
  </si>
  <si>
    <t xml:space="preserve">         94.78亿</t>
  </si>
  <si>
    <t>奥康国际</t>
  </si>
  <si>
    <t xml:space="preserve">   2.74㈢</t>
  </si>
  <si>
    <t>宏昌电子</t>
  </si>
  <si>
    <t xml:space="preserve">         15.76亿</t>
  </si>
  <si>
    <t xml:space="preserve">   3.98㈢</t>
  </si>
  <si>
    <t>龙宇燃油</t>
  </si>
  <si>
    <t xml:space="preserve">  -0.77㈢</t>
  </si>
  <si>
    <t>晶方科技</t>
  </si>
  <si>
    <t xml:space="preserve">         96.92亿</t>
  </si>
  <si>
    <t xml:space="preserve">         52.22亿</t>
  </si>
  <si>
    <t>23.26万</t>
  </si>
  <si>
    <t>联明股份</t>
  </si>
  <si>
    <t xml:space="preserve">         21.25亿</t>
  </si>
  <si>
    <t>花王股份</t>
  </si>
  <si>
    <t xml:space="preserve">          8.34亿</t>
  </si>
  <si>
    <t>喜临门</t>
  </si>
  <si>
    <t xml:space="preserve">         57.38亿</t>
  </si>
  <si>
    <t xml:space="preserve">         57.93亿</t>
  </si>
  <si>
    <t>27.33万</t>
  </si>
  <si>
    <t>0.735㈢</t>
  </si>
  <si>
    <t>北特科技</t>
  </si>
  <si>
    <t xml:space="preserve">         21.90亿</t>
  </si>
  <si>
    <t>万盛股份</t>
  </si>
  <si>
    <t>20.66万</t>
  </si>
  <si>
    <t xml:space="preserve">  11.27㈢</t>
  </si>
  <si>
    <t>合锻智能</t>
  </si>
  <si>
    <t xml:space="preserve">         22.58亿</t>
  </si>
  <si>
    <t xml:space="preserve">          9.79亿</t>
  </si>
  <si>
    <t>创力集团</t>
  </si>
  <si>
    <t xml:space="preserve">         59.39亿</t>
  </si>
  <si>
    <t>20.87万</t>
  </si>
  <si>
    <t>0.344㈢</t>
  </si>
  <si>
    <t>亚普股份</t>
  </si>
  <si>
    <t xml:space="preserve">   9.22㈢</t>
  </si>
  <si>
    <t>弘讯科技</t>
  </si>
  <si>
    <t>新宏泰</t>
  </si>
  <si>
    <t xml:space="preserve">         22.14亿</t>
  </si>
  <si>
    <t xml:space="preserve">          7.72亿</t>
  </si>
  <si>
    <t>中衡设计</t>
  </si>
  <si>
    <t xml:space="preserve">         28.61亿</t>
  </si>
  <si>
    <t>中设集团</t>
  </si>
  <si>
    <t xml:space="preserve">         46.64亿</t>
  </si>
  <si>
    <t>29.61万</t>
  </si>
  <si>
    <t xml:space="preserve">  11.04㈢</t>
  </si>
  <si>
    <t>中科曙光</t>
  </si>
  <si>
    <t xml:space="preserve">        309.62亿</t>
  </si>
  <si>
    <t xml:space="preserve">        229.97亿</t>
  </si>
  <si>
    <t>16.33万</t>
  </si>
  <si>
    <t xml:space="preserve">   6.26㈢</t>
  </si>
  <si>
    <t>爱普股份</t>
  </si>
  <si>
    <t xml:space="preserve">         26.02亿</t>
  </si>
  <si>
    <t>山东华鹏</t>
  </si>
  <si>
    <t>12.33万</t>
  </si>
  <si>
    <t xml:space="preserve">  -1.90㈢</t>
  </si>
  <si>
    <t>新通联</t>
  </si>
  <si>
    <t xml:space="preserve">          8.99亿</t>
  </si>
  <si>
    <t>威帝股份</t>
  </si>
  <si>
    <t>大豪科技</t>
  </si>
  <si>
    <t xml:space="preserve">         83.25亿</t>
  </si>
  <si>
    <t>石大胜华</t>
  </si>
  <si>
    <t>18.01万</t>
  </si>
  <si>
    <t>1.494㈢</t>
  </si>
  <si>
    <t xml:space="preserve">  16.78㈢</t>
  </si>
  <si>
    <t>千禾味业</t>
  </si>
  <si>
    <t xml:space="preserve">         98.81亿</t>
  </si>
  <si>
    <t>13.51万</t>
  </si>
  <si>
    <t>赛福天</t>
  </si>
  <si>
    <t>天鹅股份</t>
  </si>
  <si>
    <t xml:space="preserve">         13.58亿</t>
  </si>
  <si>
    <t xml:space="preserve">          4.34亿</t>
  </si>
  <si>
    <t xml:space="preserve">  -0.21㈢</t>
  </si>
  <si>
    <t>全筑股份</t>
  </si>
  <si>
    <t xml:space="preserve">         31.32亿</t>
  </si>
  <si>
    <t>13.81万</t>
  </si>
  <si>
    <t>安德利</t>
  </si>
  <si>
    <t xml:space="preserve">         26.25亿</t>
  </si>
  <si>
    <t>12.40万</t>
  </si>
  <si>
    <t>德新交运</t>
  </si>
  <si>
    <t xml:space="preserve">         35.78亿</t>
  </si>
  <si>
    <t>三维股份</t>
  </si>
  <si>
    <t xml:space="preserve">         54.00亿</t>
  </si>
  <si>
    <t>21.47万</t>
  </si>
  <si>
    <t>常熟汽饰</t>
  </si>
  <si>
    <t>9.28万</t>
  </si>
  <si>
    <t>如通股份</t>
  </si>
  <si>
    <t xml:space="preserve">         21.39亿</t>
  </si>
  <si>
    <t>凯众股份</t>
  </si>
  <si>
    <t xml:space="preserve">         10.47亿</t>
  </si>
  <si>
    <t>0.700㈢</t>
  </si>
  <si>
    <t xml:space="preserve">   8.88㈢</t>
  </si>
  <si>
    <t>华立股份</t>
  </si>
  <si>
    <t xml:space="preserve">         18.89亿</t>
  </si>
  <si>
    <t>0.489㈢</t>
  </si>
  <si>
    <t>泛微网络</t>
  </si>
  <si>
    <t xml:space="preserve">         84.78亿</t>
  </si>
  <si>
    <t>57.62万</t>
  </si>
  <si>
    <t xml:space="preserve">   8.97㈢</t>
  </si>
  <si>
    <t>新坐标</t>
  </si>
  <si>
    <t>17.69万</t>
  </si>
  <si>
    <t>美思德</t>
  </si>
  <si>
    <t xml:space="preserve">          8.13亿</t>
  </si>
  <si>
    <t xml:space="preserve">         17.58亿</t>
  </si>
  <si>
    <t>华脉科技</t>
  </si>
  <si>
    <t xml:space="preserve">         20.70亿</t>
  </si>
  <si>
    <t xml:space="preserve">  -0.32㈢</t>
  </si>
  <si>
    <t>广州酒家</t>
  </si>
  <si>
    <t xml:space="preserve">         37.85亿</t>
  </si>
  <si>
    <t xml:space="preserve">        121.85亿</t>
  </si>
  <si>
    <t>福达合金</t>
  </si>
  <si>
    <t>科林电气</t>
  </si>
  <si>
    <t xml:space="preserve">         17.88亿</t>
  </si>
  <si>
    <t xml:space="preserve">          8.84亿</t>
  </si>
  <si>
    <t>成都燃气</t>
  </si>
  <si>
    <t>2.13万</t>
  </si>
  <si>
    <t xml:space="preserve">  16.57㈢</t>
  </si>
  <si>
    <t>台华新材</t>
  </si>
  <si>
    <t xml:space="preserve">         52.74亿</t>
  </si>
  <si>
    <t>德邦股份</t>
  </si>
  <si>
    <t xml:space="preserve">         24.09亿</t>
  </si>
  <si>
    <t>永吉股份</t>
  </si>
  <si>
    <t xml:space="preserve">         16.94亿</t>
  </si>
  <si>
    <t>倍加洁</t>
  </si>
  <si>
    <t xml:space="preserve">          6.56亿</t>
  </si>
  <si>
    <t xml:space="preserve">   9.20㈢</t>
  </si>
  <si>
    <t>国检集团</t>
  </si>
  <si>
    <t xml:space="preserve">         22.22亿</t>
  </si>
  <si>
    <t xml:space="preserve">  10.16㈢</t>
  </si>
  <si>
    <t>禾望电气</t>
  </si>
  <si>
    <t>音飞储存</t>
  </si>
  <si>
    <t xml:space="preserve">         10.73亿</t>
  </si>
  <si>
    <t>振华股份</t>
  </si>
  <si>
    <t>0.274㈢</t>
  </si>
  <si>
    <t>博通集成</t>
  </si>
  <si>
    <t>12.63万</t>
  </si>
  <si>
    <t>1.330㈢</t>
  </si>
  <si>
    <t>海汽集团</t>
  </si>
  <si>
    <t xml:space="preserve">   2.98㈢</t>
  </si>
  <si>
    <t>乐惠国际</t>
  </si>
  <si>
    <t xml:space="preserve">          6.42亿</t>
  </si>
  <si>
    <t>0.676㈢</t>
  </si>
  <si>
    <t>和邦生物</t>
  </si>
  <si>
    <t xml:space="preserve">        128.94亿</t>
  </si>
  <si>
    <t xml:space="preserve">         63.83亿</t>
  </si>
  <si>
    <t>江化微</t>
  </si>
  <si>
    <t>圣达生物</t>
  </si>
  <si>
    <t>24.66万</t>
  </si>
  <si>
    <t>0.399㈢</t>
  </si>
  <si>
    <t>新疆火炬</t>
  </si>
  <si>
    <t>大丰实业</t>
  </si>
  <si>
    <t xml:space="preserve">         66.78亿</t>
  </si>
  <si>
    <t>0.458㈢</t>
  </si>
  <si>
    <t>剑桥科技</t>
  </si>
  <si>
    <t xml:space="preserve">         24.01亿</t>
  </si>
  <si>
    <t xml:space="preserve">  -0.83㈢</t>
  </si>
  <si>
    <t>天成自控</t>
  </si>
  <si>
    <t xml:space="preserve">         24.06亿</t>
  </si>
  <si>
    <t>先达股份</t>
  </si>
  <si>
    <t>1.344㈢</t>
  </si>
  <si>
    <t>宁波精达</t>
  </si>
  <si>
    <t xml:space="preserve">          5.24亿</t>
  </si>
  <si>
    <t>正裕工业</t>
  </si>
  <si>
    <t xml:space="preserve">          6.66亿</t>
  </si>
  <si>
    <t>宏盛股份</t>
  </si>
  <si>
    <t>南华期货</t>
  </si>
  <si>
    <t xml:space="preserve">        155.50亿</t>
  </si>
  <si>
    <t>新经典</t>
  </si>
  <si>
    <t xml:space="preserve">         75.87亿</t>
  </si>
  <si>
    <t>57.61万</t>
  </si>
  <si>
    <t>1.480㈢</t>
  </si>
  <si>
    <t>森特股份</t>
  </si>
  <si>
    <t>长白山</t>
  </si>
  <si>
    <t>川仪股份</t>
  </si>
  <si>
    <t xml:space="preserve">         15.57亿</t>
  </si>
  <si>
    <t xml:space="preserve">   6.46㈢</t>
  </si>
  <si>
    <t>汇嘉时代</t>
  </si>
  <si>
    <t>横店影视</t>
  </si>
  <si>
    <t xml:space="preserve">        116.69亿</t>
  </si>
  <si>
    <t>6.79万</t>
  </si>
  <si>
    <t xml:space="preserve">  11.14㈢</t>
  </si>
  <si>
    <t>芯能科技</t>
  </si>
  <si>
    <t xml:space="preserve">         22.32亿</t>
  </si>
  <si>
    <t xml:space="preserve">         36.20亿</t>
  </si>
  <si>
    <t>恒银金融</t>
  </si>
  <si>
    <t>3.60万</t>
  </si>
  <si>
    <t>-0.068㈢</t>
  </si>
  <si>
    <t xml:space="preserve">  -1.69㈢</t>
  </si>
  <si>
    <t>润达医疗</t>
  </si>
  <si>
    <t xml:space="preserve">         56.97亿</t>
  </si>
  <si>
    <t>0.504㈢</t>
  </si>
  <si>
    <t xml:space="preserve">  10.65㈢</t>
  </si>
  <si>
    <t>东方材料</t>
  </si>
  <si>
    <t xml:space="preserve">         23.85亿</t>
  </si>
  <si>
    <t>6.07万</t>
  </si>
  <si>
    <t>康尼机电</t>
  </si>
  <si>
    <t xml:space="preserve">         35.72亿</t>
  </si>
  <si>
    <t>11.91万</t>
  </si>
  <si>
    <t>金能科技</t>
  </si>
  <si>
    <t xml:space="preserve">         35.51亿</t>
  </si>
  <si>
    <t>0.877㈢</t>
  </si>
  <si>
    <t>海星股份</t>
  </si>
  <si>
    <t>红蜻蜓</t>
  </si>
  <si>
    <t xml:space="preserve">         39.70亿</t>
  </si>
  <si>
    <t xml:space="preserve">         15.88亿</t>
  </si>
  <si>
    <t>万林物流</t>
  </si>
  <si>
    <t>共进股份</t>
  </si>
  <si>
    <t xml:space="preserve">         86.03亿</t>
  </si>
  <si>
    <t>华培动力</t>
  </si>
  <si>
    <t xml:space="preserve">         47.30亿</t>
  </si>
  <si>
    <t xml:space="preserve">   6.99㈢</t>
  </si>
  <si>
    <t>翠微股份</t>
  </si>
  <si>
    <t>中材节能</t>
  </si>
  <si>
    <t>昭衍新药</t>
  </si>
  <si>
    <t xml:space="preserve">         90.56亿</t>
  </si>
  <si>
    <t xml:space="preserve">         31.09亿</t>
  </si>
  <si>
    <t>32.39万</t>
  </si>
  <si>
    <t>华贸物流</t>
  </si>
  <si>
    <t>春风动力</t>
  </si>
  <si>
    <t xml:space="preserve">         27.26亿</t>
  </si>
  <si>
    <t>27.83万</t>
  </si>
  <si>
    <t>1.051㈢</t>
  </si>
  <si>
    <t xml:space="preserve">  14.24㈢</t>
  </si>
  <si>
    <t>上海沪工</t>
  </si>
  <si>
    <t xml:space="preserve">          9.53亿</t>
  </si>
  <si>
    <t>碳元科技</t>
  </si>
  <si>
    <t>10.48万</t>
  </si>
  <si>
    <t>天目湖</t>
  </si>
  <si>
    <t xml:space="preserve">          7.58亿</t>
  </si>
  <si>
    <t>0.991㈢</t>
  </si>
  <si>
    <t>海量数据</t>
  </si>
  <si>
    <t>康惠制药</t>
  </si>
  <si>
    <t>养元饮品</t>
  </si>
  <si>
    <t xml:space="preserve">        182.18亿</t>
  </si>
  <si>
    <t xml:space="preserve">        300.45亿</t>
  </si>
  <si>
    <t xml:space="preserve">        122.71亿</t>
  </si>
  <si>
    <t>45.39万</t>
  </si>
  <si>
    <t>1.641㈢</t>
  </si>
  <si>
    <t xml:space="preserve">  15.10㈢</t>
  </si>
  <si>
    <t>拉夏贝尔</t>
  </si>
  <si>
    <t>-1.506㈢</t>
  </si>
  <si>
    <t xml:space="preserve"> -31.00㈢</t>
  </si>
  <si>
    <t>腾龙股份</t>
  </si>
  <si>
    <t xml:space="preserve">         11.53亿</t>
  </si>
  <si>
    <t>上海亚虹</t>
  </si>
  <si>
    <t xml:space="preserve">          5.91亿</t>
  </si>
  <si>
    <t>汇顶科技</t>
  </si>
  <si>
    <t xml:space="preserve">        888.72亿</t>
  </si>
  <si>
    <t xml:space="preserve">        902.35亿</t>
  </si>
  <si>
    <t xml:space="preserve">        289.31亿</t>
  </si>
  <si>
    <t>107.21万</t>
  </si>
  <si>
    <t>3.820㈢</t>
  </si>
  <si>
    <t xml:space="preserve">  29.93㈢</t>
  </si>
  <si>
    <t>科华控股</t>
  </si>
  <si>
    <t xml:space="preserve">          7.50亿</t>
  </si>
  <si>
    <t>荣晟环保</t>
  </si>
  <si>
    <t xml:space="preserve">         29.97亿</t>
  </si>
  <si>
    <t>1.046㈢</t>
  </si>
  <si>
    <t>福达股份</t>
  </si>
  <si>
    <t>3.22万</t>
  </si>
  <si>
    <t>渤海轮渡</t>
  </si>
  <si>
    <t xml:space="preserve">  10.38㈢</t>
  </si>
  <si>
    <t>莎普爱思</t>
  </si>
  <si>
    <t xml:space="preserve">         27.03亿</t>
  </si>
  <si>
    <t xml:space="preserve">         27.45亿</t>
  </si>
  <si>
    <t>兰石重装</t>
  </si>
  <si>
    <t xml:space="preserve">         60.53亿</t>
  </si>
  <si>
    <t>德创环保</t>
  </si>
  <si>
    <t xml:space="preserve">  -1.86㈢</t>
  </si>
  <si>
    <t>圣龙股份</t>
  </si>
  <si>
    <t>-0.470㈢</t>
  </si>
  <si>
    <t xml:space="preserve"> -13.04㈢</t>
  </si>
  <si>
    <t>新泉股份</t>
  </si>
  <si>
    <t>17.71万</t>
  </si>
  <si>
    <t>0.574㈢</t>
  </si>
  <si>
    <t>金牌厨柜</t>
  </si>
  <si>
    <t>10.97万</t>
  </si>
  <si>
    <t>皇马科技</t>
  </si>
  <si>
    <t xml:space="preserve">         48.36亿</t>
  </si>
  <si>
    <t>建研院</t>
  </si>
  <si>
    <t xml:space="preserve">         11.03亿</t>
  </si>
  <si>
    <t xml:space="preserve">         20.25亿</t>
  </si>
  <si>
    <t>上机数控</t>
  </si>
  <si>
    <t xml:space="preserve">         42.05亿</t>
  </si>
  <si>
    <t>华正新材</t>
  </si>
  <si>
    <t xml:space="preserve">         49.22亿</t>
  </si>
  <si>
    <t>海容冷链</t>
  </si>
  <si>
    <t xml:space="preserve">         34.94亿</t>
  </si>
  <si>
    <t>19.66万</t>
  </si>
  <si>
    <t xml:space="preserve">  12.48㈢</t>
  </si>
  <si>
    <t>ST亚邦</t>
  </si>
  <si>
    <t xml:space="preserve">         37.67亿</t>
  </si>
  <si>
    <t>8.84万</t>
  </si>
  <si>
    <t xml:space="preserve">   0.53㈢</t>
  </si>
  <si>
    <t>网达软件</t>
  </si>
  <si>
    <t xml:space="preserve">         16.07亿</t>
  </si>
  <si>
    <t>汇得科技</t>
  </si>
  <si>
    <t>0.953㈢</t>
  </si>
  <si>
    <t>日播时尚</t>
  </si>
  <si>
    <t xml:space="preserve">          5.52亿</t>
  </si>
  <si>
    <t xml:space="preserve">          5.29亿</t>
  </si>
  <si>
    <t>保隆科技</t>
  </si>
  <si>
    <t xml:space="preserve">         30.80亿</t>
  </si>
  <si>
    <t xml:space="preserve">         51.98亿</t>
  </si>
  <si>
    <t>26.74万</t>
  </si>
  <si>
    <t xml:space="preserve">  11.61㈢</t>
  </si>
  <si>
    <t>迎驾贡酒</t>
  </si>
  <si>
    <t xml:space="preserve">        154.48亿</t>
  </si>
  <si>
    <t xml:space="preserve">         31.42亿</t>
  </si>
  <si>
    <t>0.751㈢</t>
  </si>
  <si>
    <t xml:space="preserve">  13.60㈢</t>
  </si>
  <si>
    <t>九华旅游</t>
  </si>
  <si>
    <t>0.969㈢</t>
  </si>
  <si>
    <t>上海洗霸</t>
  </si>
  <si>
    <t>0.514㈢</t>
  </si>
  <si>
    <t>快克股份</t>
  </si>
  <si>
    <t xml:space="preserve">         42.83亿</t>
  </si>
  <si>
    <t xml:space="preserve">         43.06亿</t>
  </si>
  <si>
    <t xml:space="preserve">  13.43㈢</t>
  </si>
  <si>
    <t>江山欧派</t>
  </si>
  <si>
    <t xml:space="preserve">         42.35亿</t>
  </si>
  <si>
    <t>28.99万</t>
  </si>
  <si>
    <t>2.224㈢</t>
  </si>
  <si>
    <t>爱婴室</t>
  </si>
  <si>
    <t xml:space="preserve">         22.77亿</t>
  </si>
  <si>
    <t>16.72万</t>
  </si>
  <si>
    <t>0.870㈢</t>
  </si>
  <si>
    <t>元利科技</t>
  </si>
  <si>
    <t xml:space="preserve">         44.11亿</t>
  </si>
  <si>
    <t>日月股份</t>
  </si>
  <si>
    <t xml:space="preserve">        105.37亿</t>
  </si>
  <si>
    <t>中贝通信</t>
  </si>
  <si>
    <t xml:space="preserve">         39.54亿</t>
  </si>
  <si>
    <t xml:space="preserve">         71.94亿</t>
  </si>
  <si>
    <t>0.229㈢</t>
  </si>
  <si>
    <t>济民制药</t>
  </si>
  <si>
    <t xml:space="preserve">         77.96亿</t>
  </si>
  <si>
    <t>130.63万</t>
  </si>
  <si>
    <t>恒通股份</t>
  </si>
  <si>
    <t>新凤鸣</t>
  </si>
  <si>
    <t xml:space="preserve">         20.21亿</t>
  </si>
  <si>
    <t xml:space="preserve">        169.77亿</t>
  </si>
  <si>
    <t xml:space="preserve">  11.98㈢</t>
  </si>
  <si>
    <t>菲林格尔</t>
  </si>
  <si>
    <t>雪峰科技</t>
  </si>
  <si>
    <t>景旺电子</t>
  </si>
  <si>
    <t xml:space="preserve">         63.76亿</t>
  </si>
  <si>
    <t xml:space="preserve">        271.73亿</t>
  </si>
  <si>
    <t xml:space="preserve">         63.38亿</t>
  </si>
  <si>
    <t>31.80万</t>
  </si>
  <si>
    <t>奥翔药业</t>
  </si>
  <si>
    <t>9.61万</t>
  </si>
  <si>
    <t>格尔软件</t>
  </si>
  <si>
    <t xml:space="preserve">         23.35亿</t>
  </si>
  <si>
    <t>22.63万</t>
  </si>
  <si>
    <t>-0.045㈢</t>
  </si>
  <si>
    <t xml:space="preserve">  -0.93㈢</t>
  </si>
  <si>
    <t>大参林</t>
  </si>
  <si>
    <t xml:space="preserve">        263.18亿</t>
  </si>
  <si>
    <t>53.73万</t>
  </si>
  <si>
    <t xml:space="preserve">  15.83㈢</t>
  </si>
  <si>
    <t>移远通信</t>
  </si>
  <si>
    <t xml:space="preserve">        126.83亿</t>
  </si>
  <si>
    <t>19.33万</t>
  </si>
  <si>
    <t>诺邦股份</t>
  </si>
  <si>
    <t xml:space="preserve">          5.14亿</t>
  </si>
  <si>
    <t xml:space="preserve">   7.74㈢</t>
  </si>
  <si>
    <t>浙江仙通</t>
  </si>
  <si>
    <t xml:space="preserve">          9.46亿</t>
  </si>
  <si>
    <t>宏和科技</t>
  </si>
  <si>
    <t xml:space="preserve">        131.49亿</t>
  </si>
  <si>
    <t>电魂网络</t>
  </si>
  <si>
    <t xml:space="preserve">         58.75亿</t>
  </si>
  <si>
    <t xml:space="preserve">         59.66亿</t>
  </si>
  <si>
    <t>药明康德</t>
  </si>
  <si>
    <t xml:space="preserve">        917.74亿</t>
  </si>
  <si>
    <t xml:space="preserve">       1338.81亿</t>
  </si>
  <si>
    <t xml:space="preserve">        633.31亿</t>
  </si>
  <si>
    <t>163.98万</t>
  </si>
  <si>
    <t>合盛硅业</t>
  </si>
  <si>
    <t xml:space="preserve">        107.22亿</t>
  </si>
  <si>
    <t xml:space="preserve">        275.40亿</t>
  </si>
  <si>
    <t>12.67万</t>
  </si>
  <si>
    <t>0.918㈢</t>
  </si>
  <si>
    <t xml:space="preserve">  10.44㈢</t>
  </si>
  <si>
    <t>天龙股份</t>
  </si>
  <si>
    <t>鸿远电子</t>
  </si>
  <si>
    <t xml:space="preserve">         82.62亿</t>
  </si>
  <si>
    <t xml:space="preserve">  11.68㈢</t>
  </si>
  <si>
    <t>松发股份</t>
  </si>
  <si>
    <t xml:space="preserve">         19.58亿</t>
  </si>
  <si>
    <t>海鸥股份</t>
  </si>
  <si>
    <t xml:space="preserve">          8.14亿</t>
  </si>
  <si>
    <t xml:space="preserve">          7.36亿</t>
  </si>
  <si>
    <t>银都股份</t>
  </si>
  <si>
    <t xml:space="preserve">         42.24亿</t>
  </si>
  <si>
    <t xml:space="preserve">          7.19亿</t>
  </si>
  <si>
    <t xml:space="preserve">  11.87㈢</t>
  </si>
  <si>
    <t>大业股份</t>
  </si>
  <si>
    <t>景津环保</t>
  </si>
  <si>
    <t xml:space="preserve">  11.37㈢</t>
  </si>
  <si>
    <t>赛腾股份</t>
  </si>
  <si>
    <t xml:space="preserve">         12.82亿</t>
  </si>
  <si>
    <t xml:space="preserve">         53.41亿</t>
  </si>
  <si>
    <t>日盈电子</t>
  </si>
  <si>
    <t xml:space="preserve">          7.09亿</t>
  </si>
  <si>
    <t xml:space="preserve">          5.90亿</t>
  </si>
  <si>
    <t xml:space="preserve">   3.43㈢</t>
  </si>
  <si>
    <t>海天味业</t>
  </si>
  <si>
    <t xml:space="preserve">       2869.95亿</t>
  </si>
  <si>
    <t xml:space="preserve">        723.91亿</t>
  </si>
  <si>
    <t>277.85万</t>
  </si>
  <si>
    <t>1.420㈢</t>
  </si>
  <si>
    <t xml:space="preserve">  25.46㈢</t>
  </si>
  <si>
    <t>泰瑞机器</t>
  </si>
  <si>
    <t>永新光学</t>
  </si>
  <si>
    <t xml:space="preserve">         38.33亿</t>
  </si>
  <si>
    <t xml:space="preserve">         10.89亿</t>
  </si>
  <si>
    <t>0.922㈢</t>
  </si>
  <si>
    <t>杭叉集团</t>
  </si>
  <si>
    <t xml:space="preserve">         78.16亿</t>
  </si>
  <si>
    <t>11.64万</t>
  </si>
  <si>
    <t>0.773㈢</t>
  </si>
  <si>
    <t>苏盐井神</t>
  </si>
  <si>
    <t xml:space="preserve">         52.90亿</t>
  </si>
  <si>
    <t>华铁应急</t>
  </si>
  <si>
    <t xml:space="preserve">         49.51亿</t>
  </si>
  <si>
    <t xml:space="preserve">         52.91亿</t>
  </si>
  <si>
    <t xml:space="preserve">  14.01㈢</t>
  </si>
  <si>
    <t>振德医疗</t>
  </si>
  <si>
    <t>0.679㈢</t>
  </si>
  <si>
    <t>得邦照明</t>
  </si>
  <si>
    <t>旭升股份</t>
  </si>
  <si>
    <t xml:space="preserve">        131.20亿</t>
  </si>
  <si>
    <t>华懋科技</t>
  </si>
  <si>
    <t xml:space="preserve">         43.17亿</t>
  </si>
  <si>
    <t xml:space="preserve">         43.67亿</t>
  </si>
  <si>
    <t>应流股份</t>
  </si>
  <si>
    <t xml:space="preserve">         59.86亿</t>
  </si>
  <si>
    <t xml:space="preserve">         67.34亿</t>
  </si>
  <si>
    <t>维力医疗</t>
  </si>
  <si>
    <t xml:space="preserve">  10.31㈢</t>
  </si>
  <si>
    <t>金海环境</t>
  </si>
  <si>
    <t>梦百合</t>
  </si>
  <si>
    <t xml:space="preserve">         65.67亿</t>
  </si>
  <si>
    <t xml:space="preserve">         66.13亿</t>
  </si>
  <si>
    <t>9.72万</t>
  </si>
  <si>
    <t xml:space="preserve">  12.34㈢</t>
  </si>
  <si>
    <t>福鞍股份</t>
  </si>
  <si>
    <t xml:space="preserve">         25.82亿</t>
  </si>
  <si>
    <t>诚邦股份</t>
  </si>
  <si>
    <t xml:space="preserve">          9.60亿</t>
  </si>
  <si>
    <t>10.72万</t>
  </si>
  <si>
    <t>天味食品</t>
  </si>
  <si>
    <t xml:space="preserve">        188.23亿</t>
  </si>
  <si>
    <t>派思股份</t>
  </si>
  <si>
    <t xml:space="preserve">         46.89亿</t>
  </si>
  <si>
    <t xml:space="preserve">         18.32亿</t>
  </si>
  <si>
    <t>26.08万</t>
  </si>
  <si>
    <t xml:space="preserve">  -6.91㈢</t>
  </si>
  <si>
    <t>湘油泵</t>
  </si>
  <si>
    <t>16.73万</t>
  </si>
  <si>
    <t>迪贝电气</t>
  </si>
  <si>
    <t xml:space="preserve">          5.41亿</t>
  </si>
  <si>
    <t>梅轮电梯</t>
  </si>
  <si>
    <t>超讯通信</t>
  </si>
  <si>
    <t>6.51万</t>
  </si>
  <si>
    <t>-0.360㈢</t>
  </si>
  <si>
    <t xml:space="preserve"> -11.11㈢</t>
  </si>
  <si>
    <t>苏农银行</t>
  </si>
  <si>
    <t xml:space="preserve">         71.24亿</t>
  </si>
  <si>
    <t xml:space="preserve">         94.30亿</t>
  </si>
  <si>
    <t xml:space="preserve">         62.56亿</t>
  </si>
  <si>
    <t>我乐家居</t>
  </si>
  <si>
    <t xml:space="preserve">         35.02亿</t>
  </si>
  <si>
    <t>福蓉科技</t>
  </si>
  <si>
    <t xml:space="preserve">        119.86亿</t>
  </si>
  <si>
    <t>依顿电子</t>
  </si>
  <si>
    <t>上海雅仕</t>
  </si>
  <si>
    <t>-0.133㈢</t>
  </si>
  <si>
    <t xml:space="preserve">  -2.58㈢</t>
  </si>
  <si>
    <t>上海天洋</t>
  </si>
  <si>
    <t xml:space="preserve">          6.81亿</t>
  </si>
  <si>
    <t xml:space="preserve">          5.89亿</t>
  </si>
  <si>
    <t>百达精工</t>
  </si>
  <si>
    <t>苏州龙杰</t>
  </si>
  <si>
    <t>尚纬股份</t>
  </si>
  <si>
    <t xml:space="preserve">         49.82亿</t>
  </si>
  <si>
    <t xml:space="preserve">         50.43亿</t>
  </si>
  <si>
    <t xml:space="preserve">         20.58亿</t>
  </si>
  <si>
    <t>12.34万</t>
  </si>
  <si>
    <t>迪生力</t>
  </si>
  <si>
    <t xml:space="preserve">         20.51亿</t>
  </si>
  <si>
    <t>宏辉果蔬</t>
  </si>
  <si>
    <t xml:space="preserve">         31.03亿</t>
  </si>
  <si>
    <t xml:space="preserve">   7.41㈢</t>
  </si>
  <si>
    <t>杰克股份</t>
  </si>
  <si>
    <t xml:space="preserve">         91.78亿</t>
  </si>
  <si>
    <t>27.65万</t>
  </si>
  <si>
    <t>浙江鼎力</t>
  </si>
  <si>
    <t xml:space="preserve">        250.13亿</t>
  </si>
  <si>
    <t xml:space="preserve">         90.11亿</t>
  </si>
  <si>
    <t>84.80万</t>
  </si>
  <si>
    <t>1.279㈢</t>
  </si>
  <si>
    <t>四方科技</t>
  </si>
  <si>
    <t xml:space="preserve">         28.31亿</t>
  </si>
  <si>
    <t>安井食品</t>
  </si>
  <si>
    <t xml:space="preserve">        142.00亿</t>
  </si>
  <si>
    <t xml:space="preserve">         71.25亿</t>
  </si>
  <si>
    <t>87.06万</t>
  </si>
  <si>
    <t>文灿股份</t>
  </si>
  <si>
    <t>威尔药业</t>
  </si>
  <si>
    <t xml:space="preserve">         31.15亿</t>
  </si>
  <si>
    <t>莱克电气</t>
  </si>
  <si>
    <t xml:space="preserve">         93.87亿</t>
  </si>
  <si>
    <t>10.28万</t>
  </si>
  <si>
    <t>0.954㈢</t>
  </si>
  <si>
    <t>华菱精工</t>
  </si>
  <si>
    <t xml:space="preserve">         11.21亿</t>
  </si>
  <si>
    <t xml:space="preserve">          7.75亿</t>
  </si>
  <si>
    <t>设计总院</t>
  </si>
  <si>
    <t xml:space="preserve">         47.32亿</t>
  </si>
  <si>
    <t>0.621㈢</t>
  </si>
  <si>
    <t>华达科技</t>
  </si>
  <si>
    <t>东珠生态</t>
  </si>
  <si>
    <t>11.93万</t>
  </si>
  <si>
    <t>0.776㈢</t>
  </si>
  <si>
    <t>百傲化学</t>
  </si>
  <si>
    <t xml:space="preserve">         63.25亿</t>
  </si>
  <si>
    <t>39.06万</t>
  </si>
  <si>
    <t>1.254㈢</t>
  </si>
  <si>
    <t xml:space="preserve">  24.37㈢</t>
  </si>
  <si>
    <t>傲农生物</t>
  </si>
  <si>
    <t>水星家纺</t>
  </si>
  <si>
    <t>日出东方</t>
  </si>
  <si>
    <t xml:space="preserve">         37.84亿</t>
  </si>
  <si>
    <t>辰欣药业</t>
  </si>
  <si>
    <t xml:space="preserve">         46.55亿</t>
  </si>
  <si>
    <t>0.908㈢</t>
  </si>
  <si>
    <t>柳药股份</t>
  </si>
  <si>
    <t xml:space="preserve">         84.76亿</t>
  </si>
  <si>
    <t xml:space="preserve">         85.68亿</t>
  </si>
  <si>
    <t xml:space="preserve">         60.89亿</t>
  </si>
  <si>
    <t>39.51万</t>
  </si>
  <si>
    <t>2.120㈢</t>
  </si>
  <si>
    <t>今世缘</t>
  </si>
  <si>
    <t>72.51万</t>
  </si>
  <si>
    <t xml:space="preserve">  18.55㈢</t>
  </si>
  <si>
    <t>东方时尚</t>
  </si>
  <si>
    <t xml:space="preserve">        106.55亿</t>
  </si>
  <si>
    <t xml:space="preserve">         35.96亿</t>
  </si>
  <si>
    <t>55.66万</t>
  </si>
  <si>
    <t xml:space="preserve">  11.18㈢</t>
  </si>
  <si>
    <t>亚士创能</t>
  </si>
  <si>
    <t xml:space="preserve">         14.77亿</t>
  </si>
  <si>
    <t>0.409㈢</t>
  </si>
  <si>
    <t>三美股份</t>
  </si>
  <si>
    <t xml:space="preserve">        163.70亿</t>
  </si>
  <si>
    <t>1.470㈢</t>
  </si>
  <si>
    <t>易德龙</t>
  </si>
  <si>
    <t xml:space="preserve">          7.70亿</t>
  </si>
  <si>
    <t>顶点软件</t>
  </si>
  <si>
    <t xml:space="preserve">         42.41亿</t>
  </si>
  <si>
    <t>20.03万</t>
  </si>
  <si>
    <t>惠达卫浴</t>
  </si>
  <si>
    <t>0.614㈢</t>
  </si>
  <si>
    <t>广东骏亚</t>
  </si>
  <si>
    <t>基蛋生物</t>
  </si>
  <si>
    <t xml:space="preserve">         59.37亿</t>
  </si>
  <si>
    <t>10.14万</t>
  </si>
  <si>
    <t xml:space="preserve">  13.40㈢</t>
  </si>
  <si>
    <t>元成股份</t>
  </si>
  <si>
    <t xml:space="preserve">         22.97亿</t>
  </si>
  <si>
    <t>0.326㈢</t>
  </si>
  <si>
    <t>亚振家居</t>
  </si>
  <si>
    <t xml:space="preserve">          4.40亿</t>
  </si>
  <si>
    <t>2.63万</t>
  </si>
  <si>
    <t>-0.159㈢</t>
  </si>
  <si>
    <t xml:space="preserve">  -5.66㈢</t>
  </si>
  <si>
    <t>通达电气</t>
  </si>
  <si>
    <t>1.97万</t>
  </si>
  <si>
    <t xml:space="preserve">  12.02㈢</t>
  </si>
  <si>
    <t>新天然气</t>
  </si>
  <si>
    <t xml:space="preserve">         60.86亿</t>
  </si>
  <si>
    <t xml:space="preserve">         35.25亿</t>
  </si>
  <si>
    <t>1.204㈢</t>
  </si>
  <si>
    <t>金辰股份</t>
  </si>
  <si>
    <t>邦宝益智</t>
  </si>
  <si>
    <t>吉翔股份</t>
  </si>
  <si>
    <t xml:space="preserve">         60.96亿</t>
  </si>
  <si>
    <t>16.84万</t>
  </si>
  <si>
    <t xml:space="preserve">  -1.42㈢</t>
  </si>
  <si>
    <t>信捷电气</t>
  </si>
  <si>
    <t xml:space="preserve">         39.05亿</t>
  </si>
  <si>
    <t>0.825㈢</t>
  </si>
  <si>
    <t xml:space="preserve">  10.04㈢</t>
  </si>
  <si>
    <t>鼎信通讯</t>
  </si>
  <si>
    <t xml:space="preserve">         78.65亿</t>
  </si>
  <si>
    <t xml:space="preserve">         79.49亿</t>
  </si>
  <si>
    <t>11.67万</t>
  </si>
  <si>
    <t>集友股份</t>
  </si>
  <si>
    <t xml:space="preserve">         43.74亿</t>
  </si>
  <si>
    <t xml:space="preserve">         91.76亿</t>
  </si>
  <si>
    <t>110.70万</t>
  </si>
  <si>
    <t>吉比特</t>
  </si>
  <si>
    <t xml:space="preserve">        213.48亿</t>
  </si>
  <si>
    <t>92.46万</t>
  </si>
  <si>
    <t>9.340㈢</t>
  </si>
  <si>
    <t xml:space="preserve">  22.87㈢</t>
  </si>
  <si>
    <t>九洲药业</t>
  </si>
  <si>
    <t xml:space="preserve">        110.29亿</t>
  </si>
  <si>
    <t xml:space="preserve">        110.62亿</t>
  </si>
  <si>
    <t>45.19万</t>
  </si>
  <si>
    <t>勘设股份</t>
  </si>
  <si>
    <t>12.00万</t>
  </si>
  <si>
    <t>风语筑</t>
  </si>
  <si>
    <t>振静股份</t>
  </si>
  <si>
    <t>7.58万</t>
  </si>
  <si>
    <t>科沃斯</t>
  </si>
  <si>
    <t xml:space="preserve">         36.38亿</t>
  </si>
  <si>
    <t>18.85万</t>
  </si>
  <si>
    <t>展鹏科技</t>
  </si>
  <si>
    <t xml:space="preserve">          6.40亿</t>
  </si>
  <si>
    <t>八方股份</t>
  </si>
  <si>
    <t xml:space="preserve">         30.84亿</t>
  </si>
  <si>
    <t xml:space="preserve">        123.36亿</t>
  </si>
  <si>
    <t>1.993㈢</t>
  </si>
  <si>
    <t xml:space="preserve">  36.22㈢</t>
  </si>
  <si>
    <t>恒为科技</t>
  </si>
  <si>
    <t xml:space="preserve">         45.28亿</t>
  </si>
  <si>
    <t>17.59万</t>
  </si>
  <si>
    <t>翔港科技</t>
  </si>
  <si>
    <t xml:space="preserve">          5.58亿</t>
  </si>
  <si>
    <t xml:space="preserve">         22.28亿</t>
  </si>
  <si>
    <t>祥和实业</t>
  </si>
  <si>
    <t xml:space="preserve">          6.23亿</t>
  </si>
  <si>
    <t>韦尔股份</t>
  </si>
  <si>
    <t xml:space="preserve">        207.43亿</t>
  </si>
  <si>
    <t xml:space="preserve">       1274.77亿</t>
  </si>
  <si>
    <t>120.90万</t>
  </si>
  <si>
    <t>金石资源</t>
  </si>
  <si>
    <t>13.62万</t>
  </si>
  <si>
    <t>南都物业</t>
  </si>
  <si>
    <t xml:space="preserve">         28.33亿</t>
  </si>
  <si>
    <t>振江股份</t>
  </si>
  <si>
    <t>思维列控</t>
  </si>
  <si>
    <t xml:space="preserve">        108.27亿</t>
  </si>
  <si>
    <t>10.08万</t>
  </si>
  <si>
    <t>3.890㈢</t>
  </si>
  <si>
    <t xml:space="preserve">  17.25㈢</t>
  </si>
  <si>
    <t>欧普照明</t>
  </si>
  <si>
    <t xml:space="preserve">        205.55亿</t>
  </si>
  <si>
    <t xml:space="preserve">        206.18亿</t>
  </si>
  <si>
    <t>22.39万</t>
  </si>
  <si>
    <t xml:space="preserve">  12.64㈢</t>
  </si>
  <si>
    <t>淳中科技</t>
  </si>
  <si>
    <t xml:space="preserve">  11.89㈢</t>
  </si>
  <si>
    <t>绝味食品</t>
  </si>
  <si>
    <t xml:space="preserve">        118.72亿</t>
  </si>
  <si>
    <t xml:space="preserve">        273.88亿</t>
  </si>
  <si>
    <t>99.77万</t>
  </si>
  <si>
    <t>1.060㈢</t>
  </si>
  <si>
    <t xml:space="preserve">  16.61㈢</t>
  </si>
  <si>
    <t>锦泓集团</t>
  </si>
  <si>
    <t xml:space="preserve">         17.87亿</t>
  </si>
  <si>
    <t>立霸股份</t>
  </si>
  <si>
    <t>23.79万</t>
  </si>
  <si>
    <t xml:space="preserve">  15.84㈢</t>
  </si>
  <si>
    <t>司太立</t>
  </si>
  <si>
    <t>51.58万</t>
  </si>
  <si>
    <t>0.819㈢</t>
  </si>
  <si>
    <t>众源新材</t>
  </si>
  <si>
    <t>多伦科技</t>
  </si>
  <si>
    <t xml:space="preserve">         42.82亿</t>
  </si>
  <si>
    <t>神马电力</t>
  </si>
  <si>
    <t xml:space="preserve">          8.66亿</t>
  </si>
  <si>
    <t xml:space="preserve">         86.49亿</t>
  </si>
  <si>
    <t>掌阅科技</t>
  </si>
  <si>
    <t xml:space="preserve">         27.52亿</t>
  </si>
  <si>
    <t xml:space="preserve">         14.76亿</t>
  </si>
  <si>
    <t>6.99万</t>
  </si>
  <si>
    <t>嘉诚国际</t>
  </si>
  <si>
    <t>0.719㈢</t>
  </si>
  <si>
    <t>惠发食品</t>
  </si>
  <si>
    <t>16.67万</t>
  </si>
  <si>
    <t>-0.240㈢</t>
  </si>
  <si>
    <t xml:space="preserve">  -6.73㈢</t>
  </si>
  <si>
    <t>美诺华</t>
  </si>
  <si>
    <t xml:space="preserve">         36.87亿</t>
  </si>
  <si>
    <t xml:space="preserve">   9.85㈢</t>
  </si>
  <si>
    <t>贵人鸟</t>
  </si>
  <si>
    <t xml:space="preserve">         36.96亿</t>
  </si>
  <si>
    <t>-0.264㈢</t>
  </si>
  <si>
    <t xml:space="preserve"> -10.83㈢</t>
  </si>
  <si>
    <t>海兴电力</t>
  </si>
  <si>
    <t xml:space="preserve">         77.90亿</t>
  </si>
  <si>
    <t xml:space="preserve">         78.17亿</t>
  </si>
  <si>
    <t>起步股份</t>
  </si>
  <si>
    <t xml:space="preserve">         11.31亿</t>
  </si>
  <si>
    <t>健盛集团</t>
  </si>
  <si>
    <t xml:space="preserve">         41.22亿</t>
  </si>
  <si>
    <t>18.06万</t>
  </si>
  <si>
    <t>中通国脉</t>
  </si>
  <si>
    <t xml:space="preserve">         25.02亿</t>
  </si>
  <si>
    <t xml:space="preserve">         21.46亿</t>
  </si>
  <si>
    <t>7.24万</t>
  </si>
  <si>
    <t>普莱柯</t>
  </si>
  <si>
    <t xml:space="preserve">         59.70亿</t>
  </si>
  <si>
    <t>珍宝岛</t>
  </si>
  <si>
    <t xml:space="preserve">         98.08亿</t>
  </si>
  <si>
    <t xml:space="preserve">         14.47亿</t>
  </si>
  <si>
    <t>伟明环保</t>
  </si>
  <si>
    <t xml:space="preserve">        218.00亿</t>
  </si>
  <si>
    <t xml:space="preserve">         47.05亿</t>
  </si>
  <si>
    <t>28.09万</t>
  </si>
  <si>
    <t xml:space="preserve">  19.56㈢</t>
  </si>
  <si>
    <t>长久物流</t>
  </si>
  <si>
    <t>汇金通</t>
  </si>
  <si>
    <t>三星新材</t>
  </si>
  <si>
    <t xml:space="preserve">          6.55亿</t>
  </si>
  <si>
    <t xml:space="preserve">          4.56亿</t>
  </si>
  <si>
    <t>荣泰健康</t>
  </si>
  <si>
    <t>15.67万</t>
  </si>
  <si>
    <t>1.500㈢</t>
  </si>
  <si>
    <t xml:space="preserve">  13.36㈢</t>
  </si>
  <si>
    <t>艾艾精工</t>
  </si>
  <si>
    <t xml:space="preserve">          5.16亿</t>
  </si>
  <si>
    <t>捷昌驱动</t>
  </si>
  <si>
    <t xml:space="preserve">         77.18亿</t>
  </si>
  <si>
    <t>21.06万</t>
  </si>
  <si>
    <t>1.267㈢</t>
  </si>
  <si>
    <t xml:space="preserve">  12.88㈢</t>
  </si>
  <si>
    <t>苏利股份</t>
  </si>
  <si>
    <t>1.351㈢</t>
  </si>
  <si>
    <t>金麒麟</t>
  </si>
  <si>
    <t xml:space="preserve">         36.63亿</t>
  </si>
  <si>
    <t xml:space="preserve">         15.37亿</t>
  </si>
  <si>
    <t>7.76万</t>
  </si>
  <si>
    <t xml:space="preserve">   7.04㈢</t>
  </si>
  <si>
    <t>地素时尚</t>
  </si>
  <si>
    <t xml:space="preserve">         99.45亿</t>
  </si>
  <si>
    <t xml:space="preserve">  15.16㈢</t>
  </si>
  <si>
    <t>高能环境</t>
  </si>
  <si>
    <t xml:space="preserve">         62.42亿</t>
  </si>
  <si>
    <t xml:space="preserve">         62.95亿</t>
  </si>
  <si>
    <t xml:space="preserve">         43.50亿</t>
  </si>
  <si>
    <t>15.16万</t>
  </si>
  <si>
    <t>口子窖</t>
  </si>
  <si>
    <t xml:space="preserve">        317.46亿</t>
  </si>
  <si>
    <t xml:space="preserve">        186.37亿</t>
  </si>
  <si>
    <t>83.28万</t>
  </si>
  <si>
    <t>2.159㈢</t>
  </si>
  <si>
    <t xml:space="preserve">  19.74㈢</t>
  </si>
  <si>
    <t>康辰药业</t>
  </si>
  <si>
    <t xml:space="preserve">         55.02亿</t>
  </si>
  <si>
    <t xml:space="preserve">   7.64㈢</t>
  </si>
  <si>
    <t>东尼电子</t>
  </si>
  <si>
    <t xml:space="preserve">         55.07亿</t>
  </si>
  <si>
    <t>26.99万</t>
  </si>
  <si>
    <t>-0.860㈢</t>
  </si>
  <si>
    <t xml:space="preserve"> -24.68㈢</t>
  </si>
  <si>
    <t>伯特利</t>
  </si>
  <si>
    <t>22.18万</t>
  </si>
  <si>
    <t>引力传媒</t>
  </si>
  <si>
    <t xml:space="preserve">         38.59亿</t>
  </si>
  <si>
    <t>广信股份</t>
  </si>
  <si>
    <t xml:space="preserve">         67.29亿</t>
  </si>
  <si>
    <t>20.51万</t>
  </si>
  <si>
    <t>0.892㈢</t>
  </si>
  <si>
    <t>永艺股份</t>
  </si>
  <si>
    <t xml:space="preserve">         35.70亿</t>
  </si>
  <si>
    <t>再升科技</t>
  </si>
  <si>
    <t xml:space="preserve">         50.11亿</t>
  </si>
  <si>
    <t>纵横通信</t>
  </si>
  <si>
    <t>博天环境</t>
  </si>
  <si>
    <t>-0.576㈢</t>
  </si>
  <si>
    <t xml:space="preserve"> -16.70㈢</t>
  </si>
  <si>
    <t>珀莱雅</t>
  </si>
  <si>
    <t xml:space="preserve">         55.14亿</t>
  </si>
  <si>
    <t xml:space="preserve">        178.75亿</t>
  </si>
  <si>
    <t>56.44万</t>
  </si>
  <si>
    <t>东方电缆</t>
  </si>
  <si>
    <t xml:space="preserve">         69.63亿</t>
  </si>
  <si>
    <t xml:space="preserve">         71.30亿</t>
  </si>
  <si>
    <t>0.462㈢</t>
  </si>
  <si>
    <t xml:space="preserve">  15.27㈢</t>
  </si>
  <si>
    <t>京华激光</t>
  </si>
  <si>
    <t xml:space="preserve">         27.81亿</t>
  </si>
  <si>
    <t>0.539㈢</t>
  </si>
  <si>
    <t xml:space="preserve">   8.62㈢</t>
  </si>
  <si>
    <t>天创时尚</t>
  </si>
  <si>
    <t>禾丰牧业</t>
  </si>
  <si>
    <t xml:space="preserve">         96.75亿</t>
  </si>
  <si>
    <t xml:space="preserve">        107.36亿</t>
  </si>
  <si>
    <t xml:space="preserve">         32.10亿</t>
  </si>
  <si>
    <t xml:space="preserve">  13.70㈢</t>
  </si>
  <si>
    <t>麒盛科技</t>
  </si>
  <si>
    <t xml:space="preserve">         68.96亿</t>
  </si>
  <si>
    <t>1.807㈢</t>
  </si>
  <si>
    <t xml:space="preserve">  24.12㈢</t>
  </si>
  <si>
    <t>诺力股份</t>
  </si>
  <si>
    <t xml:space="preserve">  11.51㈢</t>
  </si>
  <si>
    <t>索通发展</t>
  </si>
  <si>
    <t xml:space="preserve">         40.54亿</t>
  </si>
  <si>
    <t>国联股份</t>
  </si>
  <si>
    <t xml:space="preserve">         94.42亿</t>
  </si>
  <si>
    <t>23.57万</t>
  </si>
  <si>
    <t>茶花股份</t>
  </si>
  <si>
    <t xml:space="preserve">          6.91亿</t>
  </si>
  <si>
    <t>韩建河山</t>
  </si>
  <si>
    <t>君禾股份</t>
  </si>
  <si>
    <t xml:space="preserve">          6.44亿</t>
  </si>
  <si>
    <t>杭电股份</t>
  </si>
  <si>
    <t>中曼石油</t>
  </si>
  <si>
    <t>3.65万</t>
  </si>
  <si>
    <t>科森科技</t>
  </si>
  <si>
    <t>-0.168㈢</t>
  </si>
  <si>
    <t>清源股份</t>
  </si>
  <si>
    <t>利通电子</t>
  </si>
  <si>
    <t xml:space="preserve">          8.60亿</t>
  </si>
  <si>
    <t>0.502㈢</t>
  </si>
  <si>
    <t>拉芳家化</t>
  </si>
  <si>
    <t>徕木股份</t>
  </si>
  <si>
    <t>0.177㈢</t>
  </si>
  <si>
    <t>南威软件</t>
  </si>
  <si>
    <t xml:space="preserve">         60.49亿</t>
  </si>
  <si>
    <t xml:space="preserve">         60.70亿</t>
  </si>
  <si>
    <t>镇海股份</t>
  </si>
  <si>
    <t xml:space="preserve">          6.61亿</t>
  </si>
  <si>
    <t xml:space="preserve">         26.42亿</t>
  </si>
  <si>
    <t xml:space="preserve">          5.04亿</t>
  </si>
  <si>
    <t>8.09万</t>
  </si>
  <si>
    <t>艾迪精密</t>
  </si>
  <si>
    <t xml:space="preserve">         38.08亿</t>
  </si>
  <si>
    <t xml:space="preserve">        125.05亿</t>
  </si>
  <si>
    <t>52.90万</t>
  </si>
  <si>
    <t xml:space="preserve">  20.97㈢</t>
  </si>
  <si>
    <t>海利尔</t>
  </si>
  <si>
    <t xml:space="preserve">         41.65亿</t>
  </si>
  <si>
    <t>1.631㈢</t>
  </si>
  <si>
    <t xml:space="preserve">  12.57㈢</t>
  </si>
  <si>
    <t>畅联股份</t>
  </si>
  <si>
    <t>彤程新材</t>
  </si>
  <si>
    <t xml:space="preserve">        102.25亿</t>
  </si>
  <si>
    <t>8.67万</t>
  </si>
  <si>
    <t xml:space="preserve">  14.55㈢</t>
  </si>
  <si>
    <t>朗博科技</t>
  </si>
  <si>
    <t>泰禾光电</t>
  </si>
  <si>
    <t xml:space="preserve">          9.44亿</t>
  </si>
  <si>
    <t xml:space="preserve">         22.18亿</t>
  </si>
  <si>
    <t>11.33万</t>
  </si>
  <si>
    <t>春光科技</t>
  </si>
  <si>
    <t>0.792㈢</t>
  </si>
  <si>
    <t>安图生物</t>
  </si>
  <si>
    <t xml:space="preserve">        398.08亿</t>
  </si>
  <si>
    <t xml:space="preserve">         67.80亿</t>
  </si>
  <si>
    <t>1.281㈢</t>
  </si>
  <si>
    <t xml:space="preserve">  23.18㈢</t>
  </si>
  <si>
    <t>璞泰来</t>
  </si>
  <si>
    <t xml:space="preserve">        158.73亿</t>
  </si>
  <si>
    <t xml:space="preserve">        356.97亿</t>
  </si>
  <si>
    <t xml:space="preserve">        119.95亿</t>
  </si>
  <si>
    <t>129.90万</t>
  </si>
  <si>
    <t>苏州科达</t>
  </si>
  <si>
    <t xml:space="preserve">         54.56亿</t>
  </si>
  <si>
    <t xml:space="preserve">         55.62亿</t>
  </si>
  <si>
    <t xml:space="preserve">         40.22亿</t>
  </si>
  <si>
    <t xml:space="preserve">   1.29㈢</t>
  </si>
  <si>
    <t>恒林股份</t>
  </si>
  <si>
    <t xml:space="preserve">         44.03亿</t>
  </si>
  <si>
    <t>2.200㈢</t>
  </si>
  <si>
    <t>柯力传感</t>
  </si>
  <si>
    <t>三祥新材</t>
  </si>
  <si>
    <t>5.80万</t>
  </si>
  <si>
    <t>康隆达</t>
  </si>
  <si>
    <t>亿嘉和</t>
  </si>
  <si>
    <t xml:space="preserve">         66.06亿</t>
  </si>
  <si>
    <t>五洲新春</t>
  </si>
  <si>
    <t>天马科技</t>
  </si>
  <si>
    <t>6.42万</t>
  </si>
  <si>
    <t>灵康药业</t>
  </si>
  <si>
    <t xml:space="preserve">  11.93㈢</t>
  </si>
  <si>
    <t>卫信康</t>
  </si>
  <si>
    <t xml:space="preserve">         43.70亿</t>
  </si>
  <si>
    <t>奇精机械</t>
  </si>
  <si>
    <t xml:space="preserve">          7.12亿</t>
  </si>
  <si>
    <t xml:space="preserve">         24.15亿</t>
  </si>
  <si>
    <t>火炬电子</t>
  </si>
  <si>
    <t xml:space="preserve">        103.89亿</t>
  </si>
  <si>
    <t>37.73万</t>
  </si>
  <si>
    <t xml:space="preserve">   9.56㈢</t>
  </si>
  <si>
    <t>华体科技</t>
  </si>
  <si>
    <t xml:space="preserve">         41.74亿</t>
  </si>
  <si>
    <t xml:space="preserve">         14.45亿</t>
  </si>
  <si>
    <t>28.40万</t>
  </si>
  <si>
    <t xml:space="preserve">  12.10㈢</t>
  </si>
  <si>
    <t>今创集团</t>
  </si>
  <si>
    <t xml:space="preserve">         81.63亿</t>
  </si>
  <si>
    <t xml:space="preserve">   7.20㈢</t>
  </si>
  <si>
    <t>永冠新材</t>
  </si>
  <si>
    <t>晶华新材</t>
  </si>
  <si>
    <t>晨丰科技</t>
  </si>
  <si>
    <t xml:space="preserve">   8.16㈢</t>
  </si>
  <si>
    <t>龙马环卫</t>
  </si>
  <si>
    <t>大胜达</t>
  </si>
  <si>
    <t xml:space="preserve">         63.47亿</t>
  </si>
  <si>
    <t>石英股份</t>
  </si>
  <si>
    <t>17.50万</t>
  </si>
  <si>
    <t>皖天然气</t>
  </si>
  <si>
    <t>至纯科技</t>
  </si>
  <si>
    <t xml:space="preserve">         85.41亿</t>
  </si>
  <si>
    <t>19.39万</t>
  </si>
  <si>
    <t>江苏新能</t>
  </si>
  <si>
    <t>安记食品</t>
  </si>
  <si>
    <t xml:space="preserve">         19.90亿</t>
  </si>
  <si>
    <t>有友食品</t>
  </si>
  <si>
    <t xml:space="preserve">         10.64亿</t>
  </si>
  <si>
    <t xml:space="preserve">         40.75亿</t>
  </si>
  <si>
    <t>航天工程</t>
  </si>
  <si>
    <t>纽威股份</t>
  </si>
  <si>
    <t xml:space="preserve">        103.28亿</t>
  </si>
  <si>
    <t>16.30万</t>
  </si>
  <si>
    <t>0.494㈢</t>
  </si>
  <si>
    <t xml:space="preserve">  14.63㈢</t>
  </si>
  <si>
    <t>宁波水表</t>
  </si>
  <si>
    <t>0.880㈢</t>
  </si>
  <si>
    <t xml:space="preserve">  11.54㈢</t>
  </si>
  <si>
    <t>德宏股份</t>
  </si>
  <si>
    <t xml:space="preserve">         27.11亿</t>
  </si>
  <si>
    <t>盛洋科技</t>
  </si>
  <si>
    <t>东方环宇</t>
  </si>
  <si>
    <t xml:space="preserve">         32.16亿</t>
  </si>
  <si>
    <t>健友股份</t>
  </si>
  <si>
    <t xml:space="preserve">        150.08亿</t>
  </si>
  <si>
    <t xml:space="preserve">        290.77亿</t>
  </si>
  <si>
    <t xml:space="preserve">         71.17亿</t>
  </si>
  <si>
    <t>71.96万</t>
  </si>
  <si>
    <t xml:space="preserve">  16.00㈢</t>
  </si>
  <si>
    <t>家家悦</t>
  </si>
  <si>
    <t xml:space="preserve">        149.67亿</t>
  </si>
  <si>
    <t>45.52万</t>
  </si>
  <si>
    <t xml:space="preserve">  12.50㈢</t>
  </si>
  <si>
    <t>中源家居</t>
  </si>
  <si>
    <t xml:space="preserve">          5.00亿</t>
  </si>
  <si>
    <t>0.588㈢</t>
  </si>
  <si>
    <t>香飘飘</t>
  </si>
  <si>
    <t>七一二</t>
  </si>
  <si>
    <t xml:space="preserve">        188.99亿</t>
  </si>
  <si>
    <t xml:space="preserve">         53.66亿</t>
  </si>
  <si>
    <t xml:space="preserve">   4.82㈢</t>
  </si>
  <si>
    <t>密尔克卫</t>
  </si>
  <si>
    <t xml:space="preserve">         61.46亿</t>
  </si>
  <si>
    <t>23.40万</t>
  </si>
  <si>
    <t>0.946㈢</t>
  </si>
  <si>
    <t>塞力斯</t>
  </si>
  <si>
    <t xml:space="preserve">         31.86亿</t>
  </si>
  <si>
    <t xml:space="preserve">         34.18亿</t>
  </si>
  <si>
    <t>天域生态</t>
  </si>
  <si>
    <t>5.86万</t>
  </si>
  <si>
    <t>海利生物</t>
  </si>
  <si>
    <t xml:space="preserve">         80.82亿</t>
  </si>
  <si>
    <t>13.38万</t>
  </si>
  <si>
    <t>中广天择</t>
  </si>
  <si>
    <t>14.73万</t>
  </si>
  <si>
    <t xml:space="preserve">  -2.27㈢</t>
  </si>
  <si>
    <t>阿科力</t>
  </si>
  <si>
    <t xml:space="preserve">         27.74亿</t>
  </si>
  <si>
    <t>天安新材</t>
  </si>
  <si>
    <t xml:space="preserve">          9.85亿</t>
  </si>
  <si>
    <t>朗迪集团</t>
  </si>
  <si>
    <t>博迈科</t>
  </si>
  <si>
    <t xml:space="preserve">         15.12亿</t>
  </si>
  <si>
    <t>鸣志电器</t>
  </si>
  <si>
    <t>龙韵股份</t>
  </si>
  <si>
    <t xml:space="preserve">          6.84亿</t>
  </si>
  <si>
    <t>-0.522㈢</t>
  </si>
  <si>
    <t xml:space="preserve">  -5.93㈢</t>
  </si>
  <si>
    <t>岱美股份</t>
  </si>
  <si>
    <t xml:space="preserve">        117.85亿</t>
  </si>
  <si>
    <t xml:space="preserve">         21.15亿</t>
  </si>
  <si>
    <t>18.46万</t>
  </si>
  <si>
    <t xml:space="preserve">  13.24㈢</t>
  </si>
  <si>
    <t>仙鹤股份</t>
  </si>
  <si>
    <t xml:space="preserve">         85.07亿</t>
  </si>
  <si>
    <t>0.438㈢</t>
  </si>
  <si>
    <t>三棵树</t>
  </si>
  <si>
    <t xml:space="preserve">        146.54亿</t>
  </si>
  <si>
    <t xml:space="preserve">        148.00亿</t>
  </si>
  <si>
    <t xml:space="preserve">         47.85亿</t>
  </si>
  <si>
    <t>81.32万</t>
  </si>
  <si>
    <t>1.461㈢</t>
  </si>
  <si>
    <t xml:space="preserve">  17.59㈢</t>
  </si>
  <si>
    <t>泰晶科技</t>
  </si>
  <si>
    <t>蔚蓝生物</t>
  </si>
  <si>
    <t>日辰股份</t>
  </si>
  <si>
    <t xml:space="preserve">         49.33亿</t>
  </si>
  <si>
    <t>大元泵业</t>
  </si>
  <si>
    <t>0.829㈢</t>
  </si>
  <si>
    <t>秦安股份</t>
  </si>
  <si>
    <t xml:space="preserve">         26.20亿</t>
  </si>
  <si>
    <t xml:space="preserve">          6.77亿</t>
  </si>
  <si>
    <t>-0.172㈢</t>
  </si>
  <si>
    <t xml:space="preserve">  -3.33㈢</t>
  </si>
  <si>
    <t>隆鑫通用</t>
  </si>
  <si>
    <t xml:space="preserve">         75.78亿</t>
  </si>
  <si>
    <t>7.95万</t>
  </si>
  <si>
    <t>中马传动</t>
  </si>
  <si>
    <t>常青股份</t>
  </si>
  <si>
    <t>沃格光电</t>
  </si>
  <si>
    <t xml:space="preserve">         30.97亿</t>
  </si>
  <si>
    <t>9.62万</t>
  </si>
  <si>
    <t>永安行</t>
  </si>
  <si>
    <t xml:space="preserve">   4.48㈢</t>
  </si>
  <si>
    <t>来伊份</t>
  </si>
  <si>
    <t>乾景园林</t>
  </si>
  <si>
    <t>ST威龙</t>
  </si>
  <si>
    <t xml:space="preserve">          7.42亿</t>
  </si>
  <si>
    <t>科博达</t>
  </si>
  <si>
    <t xml:space="preserve">        204.77亿</t>
  </si>
  <si>
    <t xml:space="preserve">  15.62㈢</t>
  </si>
  <si>
    <t>新日股份</t>
  </si>
  <si>
    <t>9.91万</t>
  </si>
  <si>
    <t>宁波高发</t>
  </si>
  <si>
    <t>15.85万</t>
  </si>
  <si>
    <t>星光农机</t>
  </si>
  <si>
    <t>雅运股份</t>
  </si>
  <si>
    <t>联泰环保</t>
  </si>
  <si>
    <t xml:space="preserve">          9.95亿</t>
  </si>
  <si>
    <t>康普顿</t>
  </si>
  <si>
    <t>华友钴业</t>
  </si>
  <si>
    <t xml:space="preserve">        419.06亿</t>
  </si>
  <si>
    <t xml:space="preserve">        242.48亿</t>
  </si>
  <si>
    <t>20.10万</t>
  </si>
  <si>
    <t>道森股份</t>
  </si>
  <si>
    <t>志邦家居</t>
  </si>
  <si>
    <t xml:space="preserve">         24.11亿</t>
  </si>
  <si>
    <t>24.75万</t>
  </si>
  <si>
    <t>瑞斯康达</t>
  </si>
  <si>
    <t>福斯特</t>
  </si>
  <si>
    <t xml:space="preserve">        244.99亿</t>
  </si>
  <si>
    <t xml:space="preserve">         51.02亿</t>
  </si>
  <si>
    <t>67.09万</t>
  </si>
  <si>
    <t>1.134㈢</t>
  </si>
  <si>
    <t>歌力思</t>
  </si>
  <si>
    <t>豪能股份</t>
  </si>
  <si>
    <t>丰山集团</t>
  </si>
  <si>
    <t xml:space="preserve">         11.76亿</t>
  </si>
  <si>
    <t>诚意药业</t>
  </si>
  <si>
    <t>0.831㈢</t>
  </si>
  <si>
    <t>原尚股份</t>
  </si>
  <si>
    <t xml:space="preserve">          6.24亿</t>
  </si>
  <si>
    <t>交建股份</t>
  </si>
  <si>
    <t xml:space="preserve">         92.07亿</t>
  </si>
  <si>
    <t>1.79万</t>
  </si>
  <si>
    <t>顾家家居</t>
  </si>
  <si>
    <t xml:space="preserve">        261.42亿</t>
  </si>
  <si>
    <t xml:space="preserve">        269.01亿</t>
  </si>
  <si>
    <t>35.57万</t>
  </si>
  <si>
    <t>1.560㈢</t>
  </si>
  <si>
    <t xml:space="preserve">  16.90㈢</t>
  </si>
  <si>
    <t>海峡环保</t>
  </si>
  <si>
    <t xml:space="preserve">         11.72亿</t>
  </si>
  <si>
    <t xml:space="preserve">         10.25亿</t>
  </si>
  <si>
    <t>曲美家居</t>
  </si>
  <si>
    <t xml:space="preserve">   5.35㈢</t>
  </si>
  <si>
    <t>神力股份</t>
  </si>
  <si>
    <t>9.79万</t>
  </si>
  <si>
    <t>嘉澳环保</t>
  </si>
  <si>
    <t>0.616㈢</t>
  </si>
  <si>
    <t xml:space="preserve">   5.81㈢</t>
  </si>
  <si>
    <t>百合花</t>
  </si>
  <si>
    <t xml:space="preserve">         52.99亿</t>
  </si>
  <si>
    <t>12.98万</t>
  </si>
  <si>
    <t xml:space="preserve">  11.38㈢</t>
  </si>
  <si>
    <t>华扬联众</t>
  </si>
  <si>
    <t xml:space="preserve">         44.31亿</t>
  </si>
  <si>
    <t>坤彩科技</t>
  </si>
  <si>
    <t xml:space="preserve">         29.84亿</t>
  </si>
  <si>
    <t xml:space="preserve">         20.12亿</t>
  </si>
  <si>
    <t>10.95万</t>
  </si>
  <si>
    <t>柯利达</t>
  </si>
  <si>
    <t xml:space="preserve">         28.72亿</t>
  </si>
  <si>
    <t>洛凯股份</t>
  </si>
  <si>
    <t xml:space="preserve">          4.32亿</t>
  </si>
  <si>
    <t>欧派家居</t>
  </si>
  <si>
    <t xml:space="preserve">        108.41亿</t>
  </si>
  <si>
    <t xml:space="preserve">        481.60亿</t>
  </si>
  <si>
    <t>155.30万</t>
  </si>
  <si>
    <t>3.280㈢</t>
  </si>
  <si>
    <t xml:space="preserve">  15.25㈢</t>
  </si>
  <si>
    <t>四通股份</t>
  </si>
  <si>
    <t xml:space="preserve">         21.65亿</t>
  </si>
  <si>
    <t>安正时尚</t>
  </si>
  <si>
    <t xml:space="preserve">         14.40亿</t>
  </si>
  <si>
    <t xml:space="preserve">         54.85亿</t>
  </si>
  <si>
    <t xml:space="preserve">   9.91㈢</t>
  </si>
  <si>
    <t>正平股份</t>
  </si>
  <si>
    <t>好太太</t>
  </si>
  <si>
    <t xml:space="preserve">         55.22亿</t>
  </si>
  <si>
    <t xml:space="preserve">          6.69亿</t>
  </si>
  <si>
    <t>0.437㈢</t>
  </si>
  <si>
    <t>华荣股份</t>
  </si>
  <si>
    <t xml:space="preserve">         32.28亿</t>
  </si>
  <si>
    <t>东宏股份</t>
  </si>
  <si>
    <t xml:space="preserve">         26.13亿</t>
  </si>
  <si>
    <t xml:space="preserve">   8.73㈢</t>
  </si>
  <si>
    <t>步长制药</t>
  </si>
  <si>
    <t xml:space="preserve">        232.31亿</t>
  </si>
  <si>
    <t xml:space="preserve">        111.41亿</t>
  </si>
  <si>
    <t>14.98万</t>
  </si>
  <si>
    <t>能科股份</t>
  </si>
  <si>
    <t xml:space="preserve">         37.61亿</t>
  </si>
  <si>
    <t>15.18万</t>
  </si>
  <si>
    <t>中公高科</t>
  </si>
  <si>
    <t xml:space="preserve">         18.02亿</t>
  </si>
  <si>
    <t>12.97万</t>
  </si>
  <si>
    <t>白云电器</t>
  </si>
  <si>
    <t>松炀资源</t>
  </si>
  <si>
    <t>桃李面包</t>
  </si>
  <si>
    <t xml:space="preserve">        279.82亿</t>
  </si>
  <si>
    <t xml:space="preserve">         78.82亿</t>
  </si>
  <si>
    <t>118.10万</t>
  </si>
  <si>
    <t>0.764㈢</t>
  </si>
  <si>
    <t xml:space="preserve">  13.95㈢</t>
  </si>
  <si>
    <t>新化股份</t>
  </si>
  <si>
    <t>飞科电器</t>
  </si>
  <si>
    <t xml:space="preserve">        162.78亿</t>
  </si>
  <si>
    <t>13.22万</t>
  </si>
  <si>
    <t>1.218㈢</t>
  </si>
  <si>
    <t xml:space="preserve">  21.44㈢</t>
  </si>
  <si>
    <t>新智认知</t>
  </si>
  <si>
    <t xml:space="preserve">         60.29亿</t>
  </si>
  <si>
    <t>嘉友国际</t>
  </si>
  <si>
    <t>11.94万</t>
  </si>
  <si>
    <t>1.784㈢</t>
  </si>
  <si>
    <t xml:space="preserve">  15.53㈢</t>
  </si>
  <si>
    <t>鼎胜新材</t>
  </si>
  <si>
    <t xml:space="preserve">         40.41亿</t>
  </si>
  <si>
    <t xml:space="preserve">         73.74亿</t>
  </si>
  <si>
    <t xml:space="preserve">         19.56亿</t>
  </si>
  <si>
    <t>太平鸟</t>
  </si>
  <si>
    <t xml:space="preserve">         71.07亿</t>
  </si>
  <si>
    <t xml:space="preserve">          8.40亿</t>
  </si>
  <si>
    <t>武进不锈</t>
  </si>
  <si>
    <t>永悦科技</t>
  </si>
  <si>
    <t xml:space="preserve">         13.04亿</t>
  </si>
  <si>
    <t xml:space="preserve">          9.45亿</t>
  </si>
  <si>
    <t>南卫股份</t>
  </si>
  <si>
    <t xml:space="preserve">          5.27亿</t>
  </si>
  <si>
    <t>数据港</t>
  </si>
  <si>
    <t xml:space="preserve">         48.07亿</t>
  </si>
  <si>
    <t>金域医学</t>
  </si>
  <si>
    <t xml:space="preserve">        138.48亿</t>
  </si>
  <si>
    <t xml:space="preserve">        226.74亿</t>
  </si>
  <si>
    <t xml:space="preserve">         88.38亿</t>
  </si>
  <si>
    <t>59.82万</t>
  </si>
  <si>
    <t>0.697㈢</t>
  </si>
  <si>
    <t>老百姓</t>
  </si>
  <si>
    <t xml:space="preserve">        168.85亿</t>
  </si>
  <si>
    <t xml:space="preserve">        181.30亿</t>
  </si>
  <si>
    <t>70.48万</t>
  </si>
  <si>
    <t>吉祥航空</t>
  </si>
  <si>
    <t xml:space="preserve">        266.14亿</t>
  </si>
  <si>
    <t xml:space="preserve">        291.19亿</t>
  </si>
  <si>
    <t xml:space="preserve">         96.32亿</t>
  </si>
  <si>
    <t>33.15万</t>
  </si>
  <si>
    <t>元祖股份</t>
  </si>
  <si>
    <t>1.147㈢</t>
  </si>
  <si>
    <t xml:space="preserve">  18.14㈢</t>
  </si>
  <si>
    <t>城地股份</t>
  </si>
  <si>
    <t xml:space="preserve">         34.17亿</t>
  </si>
  <si>
    <t xml:space="preserve">         64.82亿</t>
  </si>
  <si>
    <t>19.38万</t>
  </si>
  <si>
    <t>1.240㈢</t>
  </si>
  <si>
    <t>新华网</t>
  </si>
  <si>
    <t xml:space="preserve">        106.76亿</t>
  </si>
  <si>
    <t>新澳股份</t>
  </si>
  <si>
    <t xml:space="preserve">         15.79亿</t>
  </si>
  <si>
    <t>春秋电子</t>
  </si>
  <si>
    <t xml:space="preserve">         29.23亿</t>
  </si>
  <si>
    <t>天永智能</t>
  </si>
  <si>
    <t xml:space="preserve">          7.62亿</t>
  </si>
  <si>
    <t xml:space="preserve">         25.13亿</t>
  </si>
  <si>
    <t xml:space="preserve">          6.70亿</t>
  </si>
  <si>
    <t>寿仙谷</t>
  </si>
  <si>
    <t xml:space="preserve">         42.99亿</t>
  </si>
  <si>
    <t>长城科技</t>
  </si>
  <si>
    <t xml:space="preserve">         10.37亿</t>
  </si>
  <si>
    <t>0.655㈢</t>
  </si>
  <si>
    <t>好莱客</t>
  </si>
  <si>
    <t xml:space="preserve">         48.27亿</t>
  </si>
  <si>
    <t>晨光文具</t>
  </si>
  <si>
    <t xml:space="preserve">        431.48亿</t>
  </si>
  <si>
    <t xml:space="preserve">        130.15亿</t>
  </si>
  <si>
    <t>120.71万</t>
  </si>
  <si>
    <t>0.872㈢</t>
  </si>
  <si>
    <t xml:space="preserve">  20.37㈢</t>
  </si>
  <si>
    <t>莱绅通灵</t>
  </si>
  <si>
    <t>0.423㈢</t>
  </si>
  <si>
    <t>永创智能</t>
  </si>
  <si>
    <t xml:space="preserve">         46.58亿</t>
  </si>
  <si>
    <t>中持股份</t>
  </si>
  <si>
    <t>龙蟠科技</t>
  </si>
  <si>
    <t xml:space="preserve">         11.79亿</t>
  </si>
  <si>
    <t>牧高笛</t>
  </si>
  <si>
    <t xml:space="preserve">          5.75亿</t>
  </si>
  <si>
    <t xml:space="preserve">   9.53㈢</t>
  </si>
  <si>
    <t>合诚股份</t>
  </si>
  <si>
    <t xml:space="preserve">         18.95亿</t>
  </si>
  <si>
    <t>佳力图</t>
  </si>
  <si>
    <t xml:space="preserve">         15.01亿</t>
  </si>
  <si>
    <t>国茂股份</t>
  </si>
  <si>
    <t xml:space="preserve">         69.64亿</t>
  </si>
  <si>
    <t>苏博特</t>
  </si>
  <si>
    <t xml:space="preserve">         50.35亿</t>
  </si>
  <si>
    <t>11.48万</t>
  </si>
  <si>
    <t>合力科技</t>
  </si>
  <si>
    <t>金桥信息</t>
  </si>
  <si>
    <t xml:space="preserve">         26.11亿</t>
  </si>
  <si>
    <t>金徽酒</t>
  </si>
  <si>
    <t xml:space="preserve">         67.58亿</t>
  </si>
  <si>
    <t>世运电路</t>
  </si>
  <si>
    <t xml:space="preserve">         26.60亿</t>
  </si>
  <si>
    <t xml:space="preserve">         83.12亿</t>
  </si>
  <si>
    <t>金鸿顺</t>
  </si>
  <si>
    <t xml:space="preserve">          4.82亿</t>
  </si>
  <si>
    <t>-0.309㈢</t>
  </si>
  <si>
    <t xml:space="preserve">  -3.65㈢</t>
  </si>
  <si>
    <t>铁流股份</t>
  </si>
  <si>
    <t xml:space="preserve">          9.19亿</t>
  </si>
  <si>
    <t>中科软</t>
  </si>
  <si>
    <t xml:space="preserve">        296.42亿</t>
  </si>
  <si>
    <t>7.88万</t>
  </si>
  <si>
    <t>兴业股份</t>
  </si>
  <si>
    <t>亚翔集成</t>
  </si>
  <si>
    <t>睿能科技</t>
  </si>
  <si>
    <t xml:space="preserve">          8.20亿</t>
  </si>
  <si>
    <t>博敏电子</t>
  </si>
  <si>
    <t xml:space="preserve">         54.72亿</t>
  </si>
  <si>
    <t>5.59万</t>
  </si>
  <si>
    <t>丽岛新材</t>
  </si>
  <si>
    <t>三孚股份</t>
  </si>
  <si>
    <t xml:space="preserve">         31.38亿</t>
  </si>
  <si>
    <t>益丰药房</t>
  </si>
  <si>
    <t xml:space="preserve">        259.49亿</t>
  </si>
  <si>
    <t xml:space="preserve">        267.97亿</t>
  </si>
  <si>
    <t xml:space="preserve">         99.68亿</t>
  </si>
  <si>
    <t>138.57万</t>
  </si>
  <si>
    <t>1.104㈢</t>
  </si>
  <si>
    <t>大千生态</t>
  </si>
  <si>
    <t>0.575㈢</t>
  </si>
  <si>
    <t>威派格</t>
  </si>
  <si>
    <t xml:space="preserve">          7.05亿</t>
  </si>
  <si>
    <t>哈森股份</t>
  </si>
  <si>
    <t xml:space="preserve">         16.13亿</t>
  </si>
  <si>
    <t xml:space="preserve">          4.90亿</t>
  </si>
  <si>
    <t>百利科技</t>
  </si>
  <si>
    <t xml:space="preserve">         41.31亿</t>
  </si>
  <si>
    <t>12.64万</t>
  </si>
  <si>
    <t>克来机电</t>
  </si>
  <si>
    <t xml:space="preserve">         58.18亿</t>
  </si>
  <si>
    <t>28.01万</t>
  </si>
  <si>
    <t xml:space="preserve">  12.83㈢</t>
  </si>
  <si>
    <t>大理药业</t>
  </si>
  <si>
    <t xml:space="preserve">          4.95亿</t>
  </si>
  <si>
    <t>法兰泰克</t>
  </si>
  <si>
    <t>中创物流</t>
  </si>
  <si>
    <t xml:space="preserve">         42.37亿</t>
  </si>
  <si>
    <t>醋化股份</t>
  </si>
  <si>
    <t>银龙股份</t>
  </si>
  <si>
    <t xml:space="preserve">         35.07亿</t>
  </si>
  <si>
    <t>中农立华</t>
  </si>
  <si>
    <t xml:space="preserve">         24.17亿</t>
  </si>
  <si>
    <t>正川股份</t>
  </si>
  <si>
    <t xml:space="preserve">          6.86亿</t>
  </si>
  <si>
    <t>国泰集团</t>
  </si>
  <si>
    <t>深圳新星</t>
  </si>
  <si>
    <t xml:space="preserve">         41.79亿</t>
  </si>
  <si>
    <t>11.71万</t>
  </si>
  <si>
    <t>0.477㈢</t>
  </si>
  <si>
    <t>金诚信</t>
  </si>
  <si>
    <t xml:space="preserve">         51.16亿</t>
  </si>
  <si>
    <t>吉华集团</t>
  </si>
  <si>
    <t xml:space="preserve">         55.23亿</t>
  </si>
  <si>
    <t>泉峰汽车</t>
  </si>
  <si>
    <t>丸美股份</t>
  </si>
  <si>
    <t xml:space="preserve">        245.65亿</t>
  </si>
  <si>
    <t>20.88万</t>
  </si>
  <si>
    <t xml:space="preserve">  14.28㈢</t>
  </si>
  <si>
    <t>恒润股份</t>
  </si>
  <si>
    <t>0.752㈢</t>
  </si>
  <si>
    <t xml:space="preserve">   9.37㈢</t>
  </si>
  <si>
    <t>兆易创新</t>
  </si>
  <si>
    <t xml:space="preserve">        566.13亿</t>
  </si>
  <si>
    <t xml:space="preserve">        642.15亿</t>
  </si>
  <si>
    <t xml:space="preserve">        352.26亿</t>
  </si>
  <si>
    <t>120.58万</t>
  </si>
  <si>
    <t>康德莱</t>
  </si>
  <si>
    <t>中电电机</t>
  </si>
  <si>
    <t xml:space="preserve">          7.32亿</t>
  </si>
  <si>
    <t>艾华集团</t>
  </si>
  <si>
    <t xml:space="preserve">         84.08亿</t>
  </si>
  <si>
    <t>22.46万</t>
  </si>
  <si>
    <t xml:space="preserve">  10.05㈢</t>
  </si>
  <si>
    <t>麦迪科技</t>
  </si>
  <si>
    <t xml:space="preserve">         37.74亿</t>
  </si>
  <si>
    <t>33.56万</t>
  </si>
  <si>
    <t>至正股份</t>
  </si>
  <si>
    <t xml:space="preserve">          4.91亿</t>
  </si>
  <si>
    <t xml:space="preserve">  -1.93㈢</t>
  </si>
  <si>
    <t>松霖科技</t>
  </si>
  <si>
    <t xml:space="preserve">         80.88亿</t>
  </si>
  <si>
    <t>洛阳钼业</t>
  </si>
  <si>
    <t xml:space="preserve">        764.93亿</t>
  </si>
  <si>
    <t xml:space="preserve">        303.22亿</t>
  </si>
  <si>
    <t>9.76万</t>
  </si>
  <si>
    <t>甬金股份</t>
  </si>
  <si>
    <t xml:space="preserve">         64.63亿</t>
  </si>
  <si>
    <t>0.01万</t>
  </si>
  <si>
    <t>1.036㈢</t>
  </si>
  <si>
    <t xml:space="preserve">  14.68㈢</t>
  </si>
  <si>
    <t>ST中新</t>
  </si>
  <si>
    <t>-0.670㈢</t>
  </si>
  <si>
    <t xml:space="preserve"> -16.73㈢</t>
  </si>
  <si>
    <t>继峰股份</t>
  </si>
  <si>
    <t xml:space="preserve">         51.85亿</t>
  </si>
  <si>
    <t xml:space="preserve">         83.94亿</t>
  </si>
  <si>
    <t>方盛制药</t>
  </si>
  <si>
    <t>读者传媒</t>
  </si>
  <si>
    <t>华兴源创</t>
  </si>
  <si>
    <t xml:space="preserve">        181.69亿</t>
  </si>
  <si>
    <t>睿创微纳</t>
  </si>
  <si>
    <t xml:space="preserve">         20.00亿</t>
  </si>
  <si>
    <t>天准科技</t>
  </si>
  <si>
    <t xml:space="preserve">         57.21亿</t>
  </si>
  <si>
    <t>容百科技</t>
  </si>
  <si>
    <t xml:space="preserve">        145.66亿</t>
  </si>
  <si>
    <t>杭可科技</t>
  </si>
  <si>
    <t xml:space="preserve">        162.85亿</t>
  </si>
  <si>
    <t>光峰科技</t>
  </si>
  <si>
    <t xml:space="preserve">        124.45亿</t>
  </si>
  <si>
    <t xml:space="preserve">   6.51㈢</t>
  </si>
  <si>
    <t>澜起科技</t>
  </si>
  <si>
    <t xml:space="preserve">         54.59亿</t>
  </si>
  <si>
    <t xml:space="preserve">        829.17亿</t>
  </si>
  <si>
    <t>中国通号</t>
  </si>
  <si>
    <t xml:space="preserve">         81.84亿</t>
  </si>
  <si>
    <t xml:space="preserve">        595.71亿</t>
  </si>
  <si>
    <t>福光股份</t>
  </si>
  <si>
    <t xml:space="preserve">         64.90亿</t>
  </si>
  <si>
    <t>新光光电</t>
  </si>
  <si>
    <t>中微公司</t>
  </si>
  <si>
    <t xml:space="preserve">        508.12亿</t>
  </si>
  <si>
    <t>19.83万</t>
  </si>
  <si>
    <t>交控科技</t>
  </si>
  <si>
    <t xml:space="preserve">         10.54亿</t>
  </si>
  <si>
    <t xml:space="preserve">         51.50亿</t>
  </si>
  <si>
    <t>心脉医疗</t>
  </si>
  <si>
    <t xml:space="preserve">         20.27亿</t>
  </si>
  <si>
    <t xml:space="preserve">        104.37亿</t>
  </si>
  <si>
    <t>1.940㈢</t>
  </si>
  <si>
    <t>乐鑫科技</t>
  </si>
  <si>
    <t xml:space="preserve">        134.87亿</t>
  </si>
  <si>
    <t>28.27万</t>
  </si>
  <si>
    <t>安集科技</t>
  </si>
  <si>
    <t xml:space="preserve">         15.36亿</t>
  </si>
  <si>
    <t>方邦股份</t>
  </si>
  <si>
    <t xml:space="preserve">         72.46亿</t>
  </si>
  <si>
    <t>奥福环保</t>
  </si>
  <si>
    <t>瀚川智能</t>
  </si>
  <si>
    <t xml:space="preserve">         47.46亿</t>
  </si>
  <si>
    <t>安恒信息</t>
  </si>
  <si>
    <t xml:space="preserve">        109.76亿</t>
  </si>
  <si>
    <t>66.58万</t>
  </si>
  <si>
    <t>-0.560㈢</t>
  </si>
  <si>
    <t xml:space="preserve">  -8.92㈢</t>
  </si>
  <si>
    <t>杰普特</t>
  </si>
  <si>
    <t>沃尔德</t>
  </si>
  <si>
    <t>南微医学</t>
  </si>
  <si>
    <t xml:space="preserve">         48.11亿</t>
  </si>
  <si>
    <t xml:space="preserve">        209.68亿</t>
  </si>
  <si>
    <t>37.66万</t>
  </si>
  <si>
    <t>2.110㈢</t>
  </si>
  <si>
    <t xml:space="preserve">   9.46㈢</t>
  </si>
  <si>
    <t>山石网科</t>
  </si>
  <si>
    <t>天宜上佳</t>
  </si>
  <si>
    <t xml:space="preserve">        120.26亿</t>
  </si>
  <si>
    <t>传音控股</t>
  </si>
  <si>
    <t xml:space="preserve">        349.04亿</t>
  </si>
  <si>
    <t>1.810㈢</t>
  </si>
  <si>
    <t xml:space="preserve">  16.80㈢</t>
  </si>
  <si>
    <t>芯源微</t>
  </si>
  <si>
    <t xml:space="preserve">         66.88亿</t>
  </si>
  <si>
    <t>当虹科技</t>
  </si>
  <si>
    <t>宝兰德</t>
  </si>
  <si>
    <t>0.527㈢</t>
  </si>
  <si>
    <t>航天宏图</t>
  </si>
  <si>
    <t>热景生物</t>
  </si>
  <si>
    <t>虹软科技</t>
  </si>
  <si>
    <t xml:space="preserve">        194.27亿</t>
  </si>
  <si>
    <t>嘉必优</t>
  </si>
  <si>
    <t xml:space="preserve">          9.87亿</t>
  </si>
  <si>
    <t>申联生物</t>
  </si>
  <si>
    <t xml:space="preserve">   8.76㈢</t>
  </si>
  <si>
    <t>晶晨股份</t>
  </si>
  <si>
    <t xml:space="preserve">        225.25亿</t>
  </si>
  <si>
    <t>三达膜</t>
  </si>
  <si>
    <t xml:space="preserve">         66.21亿</t>
  </si>
  <si>
    <t xml:space="preserve">  13.90㈢</t>
  </si>
  <si>
    <t>赛诺医疗</t>
  </si>
  <si>
    <t xml:space="preserve">   8.57㈢</t>
  </si>
  <si>
    <t>金山办公</t>
  </si>
  <si>
    <t xml:space="preserve">        107.76亿</t>
  </si>
  <si>
    <t xml:space="preserve">        745.44亿</t>
  </si>
  <si>
    <t xml:space="preserve">  14.49㈢</t>
  </si>
  <si>
    <t>天奈科技</t>
  </si>
  <si>
    <t xml:space="preserve">         74.54亿</t>
  </si>
  <si>
    <t>普元信息</t>
  </si>
  <si>
    <t>西部超导</t>
  </si>
  <si>
    <t xml:space="preserve">         13.09亿</t>
  </si>
  <si>
    <t xml:space="preserve">        145.53亿</t>
  </si>
  <si>
    <t>聚辰股份</t>
  </si>
  <si>
    <t xml:space="preserve">         90.26亿</t>
  </si>
  <si>
    <t xml:space="preserve">  19.41㈢</t>
  </si>
  <si>
    <t>中国电研</t>
  </si>
  <si>
    <t xml:space="preserve">         80.13亿</t>
  </si>
  <si>
    <t xml:space="preserve">  14.77㈢</t>
  </si>
  <si>
    <t>清溢光电</t>
  </si>
  <si>
    <t>1.89万</t>
  </si>
  <si>
    <t>海尔生物</t>
  </si>
  <si>
    <t xml:space="preserve">         90.59亿</t>
  </si>
  <si>
    <t>博瑞医药</t>
  </si>
  <si>
    <t xml:space="preserve">        130.91亿</t>
  </si>
  <si>
    <t>安博通</t>
  </si>
  <si>
    <t xml:space="preserve">         51.74亿</t>
  </si>
  <si>
    <t xml:space="preserve">   2.32㈢</t>
  </si>
  <si>
    <t>柏楚电子</t>
  </si>
  <si>
    <t xml:space="preserve">         36.15亿</t>
  </si>
  <si>
    <t xml:space="preserve">        157.78亿</t>
  </si>
  <si>
    <t>20.92万</t>
  </si>
  <si>
    <t>2.460㈢</t>
  </si>
  <si>
    <t>卓越新能</t>
  </si>
  <si>
    <t xml:space="preserve">         48.61亿</t>
  </si>
  <si>
    <t>1.446㈢</t>
  </si>
  <si>
    <t xml:space="preserve">  21.04㈢</t>
  </si>
  <si>
    <t>佰仁医疗</t>
  </si>
  <si>
    <t xml:space="preserve">         39.49亿</t>
  </si>
  <si>
    <t xml:space="preserve">  19.53㈢</t>
  </si>
  <si>
    <t>久日新材</t>
  </si>
  <si>
    <t xml:space="preserve">         67.54亿</t>
  </si>
  <si>
    <t>2.081㈢</t>
  </si>
  <si>
    <t xml:space="preserve">  24.56㈢</t>
  </si>
  <si>
    <t>美迪西</t>
  </si>
  <si>
    <t>江苏北人</t>
  </si>
  <si>
    <t>卓易信息</t>
  </si>
  <si>
    <t xml:space="preserve">         70.64亿</t>
  </si>
  <si>
    <t>华特气体</t>
  </si>
  <si>
    <t xml:space="preserve">  10.62㈢</t>
  </si>
  <si>
    <t>鸿泉物联</t>
  </si>
  <si>
    <t xml:space="preserve">          6.53亿</t>
  </si>
  <si>
    <t xml:space="preserve">  17.83㈢</t>
  </si>
  <si>
    <t>长阳科技</t>
  </si>
  <si>
    <t>联瑞新材</t>
  </si>
  <si>
    <t xml:space="preserve">          8.36亿</t>
  </si>
  <si>
    <t xml:space="preserve">  14.94㈢</t>
  </si>
  <si>
    <t>迈得医疗</t>
  </si>
  <si>
    <t xml:space="preserve">          5.54亿</t>
  </si>
  <si>
    <t xml:space="preserve">         24.37亿</t>
  </si>
  <si>
    <t>微芯生物</t>
  </si>
  <si>
    <t xml:space="preserve">        221.93亿</t>
  </si>
  <si>
    <t>铂力特</t>
  </si>
  <si>
    <t xml:space="preserve">         44.70亿</t>
  </si>
  <si>
    <t>建龙微纳</t>
  </si>
  <si>
    <t>1.189㈢</t>
  </si>
  <si>
    <t xml:space="preserve">  24.19㈢</t>
  </si>
  <si>
    <t>祥生医疗</t>
  </si>
  <si>
    <t xml:space="preserve">          9.41亿</t>
  </si>
  <si>
    <t xml:space="preserve">  29.48㈢</t>
  </si>
  <si>
    <t>华熙生物</t>
  </si>
  <si>
    <t xml:space="preserve">         36.99亿</t>
  </si>
  <si>
    <t xml:space="preserve">        388.80亿</t>
  </si>
  <si>
    <t>0.867㈢</t>
  </si>
  <si>
    <t xml:space="preserve">  19.46㈢</t>
  </si>
  <si>
    <t>昊海生科</t>
  </si>
  <si>
    <t xml:space="preserve">        118.84亿</t>
  </si>
  <si>
    <t>1.412㈢</t>
  </si>
  <si>
    <t>晶丰明源</t>
  </si>
  <si>
    <t xml:space="preserve">         53.38亿</t>
  </si>
  <si>
    <t xml:space="preserve">  21.52㈢</t>
  </si>
  <si>
    <t>致远互联</t>
  </si>
  <si>
    <t>嘉元科技</t>
  </si>
  <si>
    <t xml:space="preserve">        124.83亿</t>
  </si>
  <si>
    <t>11.96万</t>
  </si>
  <si>
    <t>普门科技</t>
  </si>
  <si>
    <t xml:space="preserve">          5.70亿</t>
  </si>
  <si>
    <t>硕世生物</t>
  </si>
  <si>
    <t xml:space="preserve">  13.31㈢</t>
  </si>
  <si>
    <t>*ST保千</t>
  </si>
  <si>
    <t>-0.128㈢</t>
  </si>
  <si>
    <t>*ST毅达</t>
  </si>
  <si>
    <t>京沪高铁</t>
  </si>
  <si>
    <t>神驰机电</t>
  </si>
  <si>
    <t xml:space="preserve">  13.16㈢</t>
  </si>
  <si>
    <t>奥普家居</t>
  </si>
  <si>
    <t xml:space="preserve">  19.84㈢</t>
  </si>
  <si>
    <t>龙软科技</t>
  </si>
  <si>
    <t xml:space="preserve">  19.57㈢</t>
  </si>
  <si>
    <t>兴图新科</t>
  </si>
  <si>
    <t>万德斯</t>
  </si>
  <si>
    <t>八亿时空</t>
  </si>
  <si>
    <t xml:space="preserve">  16.02㈢</t>
  </si>
  <si>
    <t>特宝生物</t>
  </si>
  <si>
    <t>数据来源:通达信</t>
  </si>
  <si>
    <t>NO</t>
    <phoneticPr fontId="18" type="noConversion"/>
  </si>
  <si>
    <t>TNAME</t>
    <phoneticPr fontId="18" type="noConversion"/>
  </si>
  <si>
    <t>DESC</t>
    <phoneticPr fontId="18" type="noConversion"/>
  </si>
  <si>
    <t>T_STOCK_01</t>
    <phoneticPr fontId="18" type="noConversion"/>
  </si>
  <si>
    <t>daima</t>
  </si>
  <si>
    <t>mingcheng</t>
  </si>
  <si>
    <t>xianjia</t>
  </si>
  <si>
    <t>zhangdie</t>
  </si>
  <si>
    <t>maijia</t>
  </si>
  <si>
    <t>zongliang</t>
  </si>
  <si>
    <t>xianliang</t>
  </si>
  <si>
    <t>jinkai</t>
  </si>
  <si>
    <t>zuigao</t>
  </si>
  <si>
    <t>zuidi</t>
  </si>
  <si>
    <t>zuoshou</t>
  </si>
  <si>
    <t>zongjindong</t>
  </si>
  <si>
    <t>liangbi</t>
  </si>
  <si>
    <t>xifenxingye</t>
  </si>
  <si>
    <t>diqu</t>
  </si>
  <si>
    <t>junjia</t>
  </si>
  <si>
    <t>neipan</t>
  </si>
  <si>
    <t>waipan</t>
  </si>
  <si>
    <t>neiwaibi</t>
  </si>
  <si>
    <t>mailiang</t>
  </si>
  <si>
    <t>weipipeiliang</t>
  </si>
  <si>
    <t>kaipanjindong</t>
  </si>
  <si>
    <t>kaipanhuanshouZ</t>
  </si>
  <si>
    <t>fengchengbi</t>
  </si>
  <si>
    <t>fengdandong</t>
  </si>
  <si>
    <t>liutongshizhi</t>
  </si>
  <si>
    <t>ABguzongshizhi</t>
  </si>
  <si>
    <t>huoyuedong</t>
  </si>
  <si>
    <t>bijunliang</t>
  </si>
  <si>
    <t>bihuanshou</t>
  </si>
  <si>
    <t>lianzhangtian</t>
  </si>
  <si>
    <t>huanshouZ</t>
  </si>
  <si>
    <t>liutongshizhiZ</t>
  </si>
  <si>
    <t>beitaxishu</t>
  </si>
  <si>
    <t>dongqixingtai</t>
  </si>
  <si>
    <t>zhongqixingtai</t>
  </si>
  <si>
    <t>changqixingtai</t>
  </si>
  <si>
    <t>caiwugengxin</t>
  </si>
  <si>
    <t>shangshiriqi</t>
  </si>
  <si>
    <t>gudongrenshu</t>
  </si>
  <si>
    <t>renjunchigu</t>
  </si>
  <si>
    <t>renjunshizhi</t>
  </si>
  <si>
    <t>shijinglv</t>
  </si>
  <si>
    <t>shixianlv</t>
  </si>
  <si>
    <t>shixiaolv</t>
  </si>
  <si>
    <t>meigushouyi</t>
  </si>
  <si>
    <t>meigujingzi</t>
  </si>
  <si>
    <t>diaozhenghoujingzi</t>
  </si>
  <si>
    <t>meigugongji</t>
  </si>
  <si>
    <t>meiguweifenpei</t>
  </si>
  <si>
    <t>meiguxianjinliu</t>
  </si>
  <si>
    <t>yuangongrenshu</t>
  </si>
  <si>
    <t>jiaoyidaima</t>
  </si>
  <si>
    <t>zixuanri</t>
  </si>
  <si>
    <t>zixuanjia</t>
  </si>
  <si>
    <t>Name</t>
    <phoneticPr fontId="18" type="noConversion"/>
  </si>
  <si>
    <t>ID</t>
    <phoneticPr fontId="18" type="noConversion"/>
  </si>
  <si>
    <t>shiyingdong</t>
  </si>
  <si>
    <t>liutongguyi</t>
  </si>
  <si>
    <t>shiyingTTM</t>
  </si>
  <si>
    <t>shiyingjing</t>
  </si>
  <si>
    <t>zonggubenyi</t>
  </si>
  <si>
    <t>B/Aguyi</t>
  </si>
  <si>
    <t>Hguyi</t>
  </si>
  <si>
    <t>zongzichanyi</t>
  </si>
  <si>
    <t>jingzichanyi</t>
  </si>
  <si>
    <t>shaoshuguquanyi</t>
  </si>
  <si>
    <t>liudongzichanyi</t>
  </si>
  <si>
    <t>gudingzichanyi</t>
  </si>
  <si>
    <t>wuxingzichanyi</t>
  </si>
  <si>
    <t>liudongfuzhaiyi</t>
  </si>
  <si>
    <t>cunhuoyi</t>
  </si>
  <si>
    <t>yingshouzhangkuanyi</t>
  </si>
  <si>
    <t>zibengongjijinyi</t>
  </si>
  <si>
    <t>yingyeshouruyi</t>
  </si>
  <si>
    <t>yingyechengbenyi</t>
  </si>
  <si>
    <t>yingyelirunyi</t>
  </si>
  <si>
    <t>touzishouyiyi</t>
  </si>
  <si>
    <t>lirunzongdongyi</t>
  </si>
  <si>
    <t>shuihoulirunyi</t>
  </si>
  <si>
    <t>jinglirunyi</t>
  </si>
  <si>
    <t>koufeijinglirunyi</t>
  </si>
  <si>
    <t>weifenlirunyi</t>
  </si>
  <si>
    <t>jingyingxianjinliuyi</t>
  </si>
  <si>
    <t>zongxianjinliuyi</t>
  </si>
  <si>
    <t>yanfafeiyongyi</t>
  </si>
  <si>
    <t>zhangfu</t>
  </si>
  <si>
    <t>zhangsu</t>
  </si>
  <si>
    <t>huanshou</t>
  </si>
  <si>
    <t>zhenfu</t>
  </si>
  <si>
    <t>qiangruodong</t>
  </si>
  <si>
    <t>3rizhangfu</t>
  </si>
  <si>
    <t>20rizhangfu</t>
  </si>
  <si>
    <t>60rizhangfu</t>
  </si>
  <si>
    <t>nianchuzhijin</t>
  </si>
  <si>
    <t>kaipan</t>
  </si>
  <si>
    <t>junzhangfu</t>
  </si>
  <si>
    <t>shitizhangfu</t>
  </si>
  <si>
    <t>huitoubo</t>
  </si>
  <si>
    <t>gongjibo</t>
  </si>
  <si>
    <t>xianjuncha</t>
  </si>
  <si>
    <t>zichanfuzhailv</t>
  </si>
  <si>
    <t>liruntongbi</t>
  </si>
  <si>
    <t>shourutongbi</t>
  </si>
  <si>
    <t>guxilv</t>
  </si>
  <si>
    <t>quanyibi</t>
  </si>
  <si>
    <t>jingyilv</t>
  </si>
  <si>
    <t>maolilv</t>
  </si>
  <si>
    <t>yingyelirunlv</t>
  </si>
  <si>
    <t>jinglirunlv</t>
  </si>
  <si>
    <t>zixuanshouyi</t>
  </si>
  <si>
    <t>TYPE</t>
    <phoneticPr fontId="18" type="noConversion"/>
  </si>
  <si>
    <t>char</t>
    <phoneticPr fontId="18" type="noConversion"/>
  </si>
  <si>
    <t>float</t>
    <phoneticPr fontId="18" type="noConversion"/>
  </si>
  <si>
    <t>https://www.cnblogs.com/qq631243523/p/9791393.html</t>
  </si>
  <si>
    <t>数据类型</t>
    <phoneticPr fontId="18" type="noConversion"/>
  </si>
  <si>
    <t>type1</t>
    <phoneticPr fontId="18" type="noConversion"/>
  </si>
  <si>
    <t>type2</t>
    <phoneticPr fontId="18" type="noConversion"/>
  </si>
  <si>
    <t>type3</t>
    <phoneticPr fontId="18" type="noConversion"/>
  </si>
  <si>
    <t>交易日期</t>
    <phoneticPr fontId="18" type="noConversion"/>
  </si>
  <si>
    <t>jiaoyiriqi</t>
    <phoneticPr fontId="18" type="noConversion"/>
  </si>
  <si>
    <t>,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</si>
</sst>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I3769"/>
  <sheetViews>
    <sheetView topLeftCell="BG1" workbookViewId="0">
      <selection activeCell="BI2" sqref="BI2"/>
    </sheetView>
  </sheetViews>
  <sheetFormatPr defaultRowHeight="13.9" x14ac:dyDescent="0.4"/>
  <sheetData>
    <row r="1" spans="1:113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</row>
    <row r="2" spans="1:113" x14ac:dyDescent="0.4">
      <c r="A2" t="str">
        <f>"000001"</f>
        <v>000001</v>
      </c>
      <c r="B2" t="s">
        <v>113</v>
      </c>
      <c r="C2">
        <v>0.97</v>
      </c>
      <c r="D2">
        <v>16.63</v>
      </c>
      <c r="E2">
        <v>0.16</v>
      </c>
      <c r="F2">
        <v>16.62</v>
      </c>
      <c r="G2">
        <v>16.63</v>
      </c>
      <c r="H2">
        <v>1042575</v>
      </c>
      <c r="I2">
        <v>8961</v>
      </c>
      <c r="J2">
        <v>-0.05</v>
      </c>
      <c r="K2">
        <v>0.54</v>
      </c>
      <c r="L2">
        <v>16.53</v>
      </c>
      <c r="M2">
        <v>16.93</v>
      </c>
      <c r="N2">
        <v>16.43</v>
      </c>
      <c r="O2">
        <v>16.47</v>
      </c>
      <c r="P2">
        <v>10.25</v>
      </c>
      <c r="Q2">
        <v>1741473152</v>
      </c>
      <c r="R2">
        <v>2</v>
      </c>
      <c r="S2" t="s">
        <v>114</v>
      </c>
      <c r="T2" t="s">
        <v>115</v>
      </c>
      <c r="U2">
        <v>3.04</v>
      </c>
      <c r="V2">
        <v>16.7</v>
      </c>
      <c r="W2">
        <v>518925</v>
      </c>
      <c r="X2">
        <v>523650</v>
      </c>
      <c r="Y2">
        <v>0.99</v>
      </c>
      <c r="Z2">
        <v>1791</v>
      </c>
      <c r="AA2">
        <v>722</v>
      </c>
      <c r="AB2" t="s">
        <v>116</v>
      </c>
      <c r="AC2">
        <v>18584700</v>
      </c>
      <c r="AD2">
        <v>0.01</v>
      </c>
      <c r="AE2" t="s">
        <v>116</v>
      </c>
      <c r="AF2" t="s">
        <v>116</v>
      </c>
      <c r="AG2">
        <v>194.06</v>
      </c>
      <c r="AH2" t="s">
        <v>117</v>
      </c>
      <c r="AI2" t="s">
        <v>118</v>
      </c>
      <c r="AJ2">
        <v>1.65</v>
      </c>
      <c r="AK2">
        <v>4626</v>
      </c>
      <c r="AL2">
        <v>225</v>
      </c>
      <c r="AM2">
        <v>1E-4</v>
      </c>
      <c r="AN2">
        <v>2</v>
      </c>
      <c r="AO2">
        <v>1.4</v>
      </c>
      <c r="AP2">
        <v>8.76</v>
      </c>
      <c r="AQ2">
        <v>4.59</v>
      </c>
      <c r="AR2">
        <v>80.08</v>
      </c>
      <c r="AS2">
        <v>1.28</v>
      </c>
      <c r="AT2" t="s">
        <v>119</v>
      </c>
      <c r="AU2">
        <v>11.53</v>
      </c>
      <c r="AV2">
        <v>13</v>
      </c>
      <c r="AW2">
        <v>0.82</v>
      </c>
      <c r="BA2">
        <v>0.36</v>
      </c>
      <c r="BB2">
        <v>2.79</v>
      </c>
      <c r="BC2">
        <v>-0.24</v>
      </c>
      <c r="BD2">
        <v>1.42</v>
      </c>
      <c r="BE2">
        <v>0.6</v>
      </c>
      <c r="BF2">
        <v>-1.77</v>
      </c>
      <c r="BG2">
        <v>1.22</v>
      </c>
      <c r="BH2">
        <v>-0.45</v>
      </c>
      <c r="BI2">
        <v>20191022</v>
      </c>
      <c r="BJ2">
        <v>19910403</v>
      </c>
      <c r="BK2">
        <v>194.06</v>
      </c>
      <c r="BL2" t="s">
        <v>116</v>
      </c>
      <c r="BM2" t="s">
        <v>116</v>
      </c>
      <c r="BN2">
        <v>37076.83</v>
      </c>
      <c r="BO2">
        <v>2880.73</v>
      </c>
      <c r="BP2">
        <v>0</v>
      </c>
      <c r="BQ2">
        <v>92.23</v>
      </c>
      <c r="BR2">
        <v>0</v>
      </c>
      <c r="BS2">
        <v>105.87</v>
      </c>
      <c r="BT2">
        <v>45.73</v>
      </c>
      <c r="BU2">
        <v>0</v>
      </c>
      <c r="BV2">
        <v>0</v>
      </c>
      <c r="BW2">
        <v>0</v>
      </c>
      <c r="BX2">
        <v>808.16</v>
      </c>
      <c r="BY2">
        <v>1029.58</v>
      </c>
      <c r="BZ2">
        <v>0</v>
      </c>
      <c r="CA2">
        <v>307.13</v>
      </c>
      <c r="CB2">
        <v>77.17</v>
      </c>
      <c r="CC2">
        <v>306.76</v>
      </c>
      <c r="CD2">
        <v>236.21</v>
      </c>
      <c r="CE2">
        <v>236.21</v>
      </c>
      <c r="CF2">
        <v>235.27</v>
      </c>
      <c r="CG2">
        <v>1152.93</v>
      </c>
      <c r="CH2">
        <v>844.8</v>
      </c>
      <c r="CI2">
        <v>-48.56</v>
      </c>
      <c r="CJ2">
        <v>299958</v>
      </c>
      <c r="CK2">
        <v>27206</v>
      </c>
      <c r="CL2" t="s">
        <v>120</v>
      </c>
      <c r="CM2">
        <v>15.47</v>
      </c>
      <c r="CN2">
        <v>18.8</v>
      </c>
      <c r="CO2">
        <v>1.2</v>
      </c>
      <c r="CP2">
        <v>3.82</v>
      </c>
      <c r="CQ2">
        <v>3.13</v>
      </c>
      <c r="CR2">
        <v>0.77</v>
      </c>
      <c r="CS2" t="s">
        <v>121</v>
      </c>
      <c r="CT2">
        <v>13.82</v>
      </c>
      <c r="CU2">
        <v>13.82</v>
      </c>
      <c r="CV2">
        <v>4.16</v>
      </c>
      <c r="CW2">
        <v>5.94</v>
      </c>
      <c r="CX2">
        <v>4.3499999999999996</v>
      </c>
      <c r="CY2">
        <v>7.77</v>
      </c>
      <c r="CZ2" t="s">
        <v>122</v>
      </c>
      <c r="DA2" t="s">
        <v>116</v>
      </c>
      <c r="DB2">
        <v>29.83</v>
      </c>
      <c r="DC2">
        <v>22.94</v>
      </c>
      <c r="DD2">
        <v>0</v>
      </c>
      <c r="DE2">
        <v>33529</v>
      </c>
      <c r="DF2">
        <v>1</v>
      </c>
      <c r="DG2" t="s">
        <v>116</v>
      </c>
      <c r="DH2" t="s">
        <v>116</v>
      </c>
      <c r="DI2" t="s">
        <v>116</v>
      </c>
    </row>
    <row r="3" spans="1:113" x14ac:dyDescent="0.4">
      <c r="A3" t="str">
        <f>"000002"</f>
        <v>000002</v>
      </c>
      <c r="B3" t="s">
        <v>123</v>
      </c>
      <c r="C3">
        <v>-0.39</v>
      </c>
      <c r="D3">
        <v>31</v>
      </c>
      <c r="E3">
        <v>-0.12</v>
      </c>
      <c r="F3">
        <v>31</v>
      </c>
      <c r="G3">
        <v>31.01</v>
      </c>
      <c r="H3">
        <v>703097</v>
      </c>
      <c r="I3">
        <v>4524</v>
      </c>
      <c r="J3">
        <v>0</v>
      </c>
      <c r="K3">
        <v>0.72</v>
      </c>
      <c r="L3">
        <v>31.23</v>
      </c>
      <c r="M3">
        <v>31.32</v>
      </c>
      <c r="N3">
        <v>30.81</v>
      </c>
      <c r="O3">
        <v>31.12</v>
      </c>
      <c r="P3">
        <v>14.41</v>
      </c>
      <c r="Q3">
        <v>2185106944</v>
      </c>
      <c r="R3">
        <v>0.91</v>
      </c>
      <c r="S3" t="s">
        <v>124</v>
      </c>
      <c r="T3" t="s">
        <v>115</v>
      </c>
      <c r="U3">
        <v>1.64</v>
      </c>
      <c r="V3">
        <v>31.08</v>
      </c>
      <c r="W3">
        <v>404004</v>
      </c>
      <c r="X3">
        <v>299092</v>
      </c>
      <c r="Y3">
        <v>1.35</v>
      </c>
      <c r="Z3">
        <v>226</v>
      </c>
      <c r="AA3">
        <v>107</v>
      </c>
      <c r="AB3" t="s">
        <v>116</v>
      </c>
      <c r="AC3">
        <v>17345100</v>
      </c>
      <c r="AD3">
        <v>0.01</v>
      </c>
      <c r="AE3" t="s">
        <v>116</v>
      </c>
      <c r="AF3" t="s">
        <v>116</v>
      </c>
      <c r="AG3">
        <v>97.15</v>
      </c>
      <c r="AH3" t="s">
        <v>125</v>
      </c>
      <c r="AI3" t="s">
        <v>126</v>
      </c>
      <c r="AJ3">
        <v>0.28999999999999998</v>
      </c>
      <c r="AK3">
        <v>4695</v>
      </c>
      <c r="AL3">
        <v>150</v>
      </c>
      <c r="AM3">
        <v>2.0000000000000001E-4</v>
      </c>
      <c r="AN3">
        <v>-1</v>
      </c>
      <c r="AO3">
        <v>2.0299999999999998</v>
      </c>
      <c r="AP3">
        <v>11.91</v>
      </c>
      <c r="AQ3">
        <v>19.23</v>
      </c>
      <c r="AR3">
        <v>36.11</v>
      </c>
      <c r="AS3">
        <v>1.31</v>
      </c>
      <c r="AT3" t="s">
        <v>127</v>
      </c>
      <c r="AU3">
        <v>9.2100000000000009</v>
      </c>
      <c r="AV3">
        <v>10.37</v>
      </c>
      <c r="AW3">
        <v>0.54</v>
      </c>
      <c r="BA3">
        <v>0.35</v>
      </c>
      <c r="BB3">
        <v>0.64</v>
      </c>
      <c r="BC3">
        <v>-1</v>
      </c>
      <c r="BD3">
        <v>-0.13</v>
      </c>
      <c r="BE3">
        <v>-0.74</v>
      </c>
      <c r="BF3">
        <v>-1.02</v>
      </c>
      <c r="BG3">
        <v>0.62</v>
      </c>
      <c r="BH3">
        <v>-0.25</v>
      </c>
      <c r="BI3">
        <v>20191025</v>
      </c>
      <c r="BJ3">
        <v>19910129</v>
      </c>
      <c r="BK3">
        <v>113.02</v>
      </c>
      <c r="BL3" t="s">
        <v>116</v>
      </c>
      <c r="BM3">
        <v>15.78</v>
      </c>
      <c r="BN3">
        <v>16387.63</v>
      </c>
      <c r="BO3">
        <v>1672.74</v>
      </c>
      <c r="BP3">
        <v>775.78</v>
      </c>
      <c r="BQ3">
        <v>85.06</v>
      </c>
      <c r="BR3">
        <v>13581.85</v>
      </c>
      <c r="BS3">
        <v>124.12</v>
      </c>
      <c r="BT3">
        <v>47.98</v>
      </c>
      <c r="BU3">
        <v>12022.99</v>
      </c>
      <c r="BV3">
        <v>8598.51</v>
      </c>
      <c r="BW3">
        <v>19.309999999999999</v>
      </c>
      <c r="BX3">
        <v>119.31</v>
      </c>
      <c r="BY3">
        <v>2239.15</v>
      </c>
      <c r="BZ3">
        <v>1433.27</v>
      </c>
      <c r="CA3">
        <v>419.61</v>
      </c>
      <c r="CB3">
        <v>19.329999999999998</v>
      </c>
      <c r="CC3">
        <v>418.25</v>
      </c>
      <c r="CD3">
        <v>285.89999999999998</v>
      </c>
      <c r="CE3">
        <v>182.41</v>
      </c>
      <c r="CF3">
        <v>181.76</v>
      </c>
      <c r="CG3">
        <v>981.54</v>
      </c>
      <c r="CH3">
        <v>17.34</v>
      </c>
      <c r="CI3">
        <v>-801.63</v>
      </c>
      <c r="CJ3">
        <v>290546</v>
      </c>
      <c r="CK3">
        <v>18412</v>
      </c>
      <c r="CL3" t="s">
        <v>128</v>
      </c>
      <c r="CM3">
        <v>30.43</v>
      </c>
      <c r="CN3">
        <v>27.21</v>
      </c>
      <c r="CO3">
        <v>2.09</v>
      </c>
      <c r="CP3">
        <v>202.01</v>
      </c>
      <c r="CQ3">
        <v>1.56</v>
      </c>
      <c r="CR3">
        <v>3.37</v>
      </c>
      <c r="CS3" t="s">
        <v>129</v>
      </c>
      <c r="CT3">
        <v>14.8</v>
      </c>
      <c r="CU3">
        <v>0</v>
      </c>
      <c r="CV3">
        <v>1.06</v>
      </c>
      <c r="CW3">
        <v>8.68</v>
      </c>
      <c r="CX3">
        <v>0.15</v>
      </c>
      <c r="CY3">
        <v>10.210000000000001</v>
      </c>
      <c r="CZ3" t="s">
        <v>130</v>
      </c>
      <c r="DA3">
        <v>35.99</v>
      </c>
      <c r="DB3">
        <v>18.739999999999998</v>
      </c>
      <c r="DC3">
        <v>8.15</v>
      </c>
      <c r="DD3">
        <v>5.37</v>
      </c>
      <c r="DE3">
        <v>104300</v>
      </c>
      <c r="DF3">
        <v>2</v>
      </c>
      <c r="DG3" t="s">
        <v>116</v>
      </c>
      <c r="DH3" t="s">
        <v>116</v>
      </c>
      <c r="DI3" t="s">
        <v>116</v>
      </c>
    </row>
    <row r="4" spans="1:113" x14ac:dyDescent="0.4">
      <c r="A4" t="str">
        <f>"000004"</f>
        <v>000004</v>
      </c>
      <c r="B4" t="s">
        <v>131</v>
      </c>
      <c r="C4">
        <v>-3.76</v>
      </c>
      <c r="D4">
        <v>22.55</v>
      </c>
      <c r="E4">
        <v>-0.88</v>
      </c>
      <c r="F4">
        <v>22.55</v>
      </c>
      <c r="G4">
        <v>22.57</v>
      </c>
      <c r="H4">
        <v>32591</v>
      </c>
      <c r="I4">
        <v>215</v>
      </c>
      <c r="J4">
        <v>0.71</v>
      </c>
      <c r="K4">
        <v>3.95</v>
      </c>
      <c r="L4">
        <v>23.73</v>
      </c>
      <c r="M4">
        <v>24.5</v>
      </c>
      <c r="N4">
        <v>22.3</v>
      </c>
      <c r="O4">
        <v>23.43</v>
      </c>
      <c r="P4" t="s">
        <v>116</v>
      </c>
      <c r="Q4">
        <v>74079008</v>
      </c>
      <c r="R4">
        <v>1.89</v>
      </c>
      <c r="S4" t="s">
        <v>132</v>
      </c>
      <c r="T4" t="s">
        <v>115</v>
      </c>
      <c r="U4">
        <v>9.39</v>
      </c>
      <c r="V4">
        <v>22.73</v>
      </c>
      <c r="W4">
        <v>20814</v>
      </c>
      <c r="X4">
        <v>11777</v>
      </c>
      <c r="Y4">
        <v>1.77</v>
      </c>
      <c r="Z4">
        <v>73</v>
      </c>
      <c r="AA4">
        <v>10</v>
      </c>
      <c r="AB4" t="s">
        <v>116</v>
      </c>
      <c r="AC4">
        <v>694500</v>
      </c>
      <c r="AD4">
        <v>0.06</v>
      </c>
      <c r="AE4" t="s">
        <v>116</v>
      </c>
      <c r="AF4" t="s">
        <v>116</v>
      </c>
      <c r="AG4">
        <v>0.83</v>
      </c>
      <c r="AH4" t="s">
        <v>133</v>
      </c>
      <c r="AI4" t="s">
        <v>134</v>
      </c>
      <c r="AJ4">
        <v>-3.08</v>
      </c>
      <c r="AK4">
        <v>1479</v>
      </c>
      <c r="AL4">
        <v>22</v>
      </c>
      <c r="AM4">
        <v>2.7000000000000001E-3</v>
      </c>
      <c r="AN4">
        <v>-1</v>
      </c>
      <c r="AO4">
        <v>4.4400000000000004</v>
      </c>
      <c r="AP4">
        <v>13.26</v>
      </c>
      <c r="AQ4">
        <v>19.440000000000001</v>
      </c>
      <c r="AR4">
        <v>40.67</v>
      </c>
      <c r="AS4">
        <v>6.63</v>
      </c>
      <c r="AT4" t="s">
        <v>135</v>
      </c>
      <c r="AU4" t="s">
        <v>116</v>
      </c>
      <c r="AV4" t="s">
        <v>116</v>
      </c>
      <c r="AW4">
        <v>1.04</v>
      </c>
      <c r="BA4">
        <v>1.28</v>
      </c>
      <c r="BB4">
        <v>4.57</v>
      </c>
      <c r="BC4">
        <v>-4.82</v>
      </c>
      <c r="BD4">
        <v>-2.99</v>
      </c>
      <c r="BE4">
        <v>-4.97</v>
      </c>
      <c r="BF4">
        <v>-7.96</v>
      </c>
      <c r="BG4">
        <v>1.1200000000000001</v>
      </c>
      <c r="BH4">
        <v>-0.77</v>
      </c>
      <c r="BI4">
        <v>20191031</v>
      </c>
      <c r="BJ4">
        <v>19910114</v>
      </c>
      <c r="BK4">
        <v>0.84</v>
      </c>
      <c r="BL4" t="s">
        <v>116</v>
      </c>
      <c r="BM4" t="s">
        <v>116</v>
      </c>
      <c r="BN4">
        <v>1.3</v>
      </c>
      <c r="BO4">
        <v>0.99</v>
      </c>
      <c r="BP4">
        <v>0.18</v>
      </c>
      <c r="BQ4">
        <v>9.5299999999999994</v>
      </c>
      <c r="BR4">
        <v>0.91</v>
      </c>
      <c r="BS4">
        <v>0.01</v>
      </c>
      <c r="BT4">
        <v>0</v>
      </c>
      <c r="BU4">
        <v>0.12</v>
      </c>
      <c r="BV4">
        <v>0</v>
      </c>
      <c r="BW4">
        <v>0.19</v>
      </c>
      <c r="BX4">
        <v>0.01</v>
      </c>
      <c r="BY4">
        <v>1.08</v>
      </c>
      <c r="BZ4">
        <v>0.26</v>
      </c>
      <c r="CA4">
        <v>-0.05</v>
      </c>
      <c r="CB4">
        <v>0.11</v>
      </c>
      <c r="CC4">
        <v>-0.06</v>
      </c>
      <c r="CD4">
        <v>-0.13</v>
      </c>
      <c r="CE4">
        <v>-0.1</v>
      </c>
      <c r="CF4">
        <v>-0.2</v>
      </c>
      <c r="CG4">
        <v>0.03</v>
      </c>
      <c r="CH4">
        <v>-0.1</v>
      </c>
      <c r="CI4">
        <v>-0.28000000000000003</v>
      </c>
      <c r="CJ4">
        <v>10321</v>
      </c>
      <c r="CK4">
        <v>4759</v>
      </c>
      <c r="CL4" t="s">
        <v>136</v>
      </c>
      <c r="CM4">
        <v>-283.56</v>
      </c>
      <c r="CN4">
        <v>-57.77</v>
      </c>
      <c r="CO4">
        <v>19.07</v>
      </c>
      <c r="CP4">
        <v>-191.93</v>
      </c>
      <c r="CQ4">
        <v>17.510000000000002</v>
      </c>
      <c r="CR4">
        <v>0</v>
      </c>
      <c r="CS4" t="s">
        <v>137</v>
      </c>
      <c r="CT4">
        <v>1.18</v>
      </c>
      <c r="CU4">
        <v>0</v>
      </c>
      <c r="CV4">
        <v>0.01</v>
      </c>
      <c r="CW4">
        <v>0.04</v>
      </c>
      <c r="CX4">
        <v>-0.12</v>
      </c>
      <c r="CY4">
        <v>76.39</v>
      </c>
      <c r="CZ4" t="s">
        <v>138</v>
      </c>
      <c r="DA4">
        <v>75.510000000000005</v>
      </c>
      <c r="DB4">
        <v>-4.3</v>
      </c>
      <c r="DC4">
        <v>-9.19</v>
      </c>
      <c r="DD4">
        <v>0.03</v>
      </c>
      <c r="DE4">
        <v>210</v>
      </c>
      <c r="DF4">
        <v>4</v>
      </c>
      <c r="DG4" t="s">
        <v>116</v>
      </c>
      <c r="DH4" t="s">
        <v>116</v>
      </c>
      <c r="DI4" t="s">
        <v>116</v>
      </c>
    </row>
    <row r="5" spans="1:113" x14ac:dyDescent="0.4">
      <c r="A5" t="str">
        <f>"000005"</f>
        <v>000005</v>
      </c>
      <c r="B5" t="s">
        <v>139</v>
      </c>
      <c r="C5">
        <v>-0.32</v>
      </c>
      <c r="D5">
        <v>3.09</v>
      </c>
      <c r="E5">
        <v>-0.01</v>
      </c>
      <c r="F5">
        <v>3.08</v>
      </c>
      <c r="G5">
        <v>3.09</v>
      </c>
      <c r="H5">
        <v>91970</v>
      </c>
      <c r="I5">
        <v>722</v>
      </c>
      <c r="J5">
        <v>0.32</v>
      </c>
      <c r="K5">
        <v>0.87</v>
      </c>
      <c r="L5">
        <v>3.1</v>
      </c>
      <c r="M5">
        <v>3.14</v>
      </c>
      <c r="N5">
        <v>3.08</v>
      </c>
      <c r="O5">
        <v>3.1</v>
      </c>
      <c r="P5">
        <v>55.07</v>
      </c>
      <c r="Q5">
        <v>28526698</v>
      </c>
      <c r="R5">
        <v>1.1399999999999999</v>
      </c>
      <c r="S5" t="s">
        <v>140</v>
      </c>
      <c r="T5" t="s">
        <v>115</v>
      </c>
      <c r="U5">
        <v>1.94</v>
      </c>
      <c r="V5">
        <v>3.1</v>
      </c>
      <c r="W5">
        <v>54659</v>
      </c>
      <c r="X5">
        <v>37311</v>
      </c>
      <c r="Y5">
        <v>1.46</v>
      </c>
      <c r="Z5">
        <v>878</v>
      </c>
      <c r="AA5">
        <v>1081</v>
      </c>
      <c r="AB5" t="s">
        <v>116</v>
      </c>
      <c r="AC5">
        <v>64200</v>
      </c>
      <c r="AD5">
        <v>0</v>
      </c>
      <c r="AE5" t="s">
        <v>116</v>
      </c>
      <c r="AF5" t="s">
        <v>116</v>
      </c>
      <c r="AG5">
        <v>10.58</v>
      </c>
      <c r="AH5" t="s">
        <v>141</v>
      </c>
      <c r="AI5" t="s">
        <v>142</v>
      </c>
      <c r="AJ5">
        <v>0.36</v>
      </c>
      <c r="AK5">
        <v>1111</v>
      </c>
      <c r="AL5">
        <v>83</v>
      </c>
      <c r="AM5">
        <v>8.0000000000000004E-4</v>
      </c>
      <c r="AN5">
        <v>-1</v>
      </c>
      <c r="AO5">
        <v>1.31</v>
      </c>
      <c r="AP5">
        <v>5.46</v>
      </c>
      <c r="AQ5">
        <v>-2.2200000000000002</v>
      </c>
      <c r="AR5">
        <v>15.3</v>
      </c>
      <c r="AS5">
        <v>1.1100000000000001</v>
      </c>
      <c r="AT5" t="s">
        <v>143</v>
      </c>
      <c r="AU5">
        <v>17.510000000000002</v>
      </c>
      <c r="AV5">
        <v>21.98</v>
      </c>
      <c r="AW5">
        <v>1.03</v>
      </c>
      <c r="BA5">
        <v>0</v>
      </c>
      <c r="BB5">
        <v>1.29</v>
      </c>
      <c r="BC5">
        <v>-0.65</v>
      </c>
      <c r="BD5">
        <v>0.06</v>
      </c>
      <c r="BE5">
        <v>-0.32</v>
      </c>
      <c r="BF5">
        <v>-1.59</v>
      </c>
      <c r="BG5">
        <v>0.32</v>
      </c>
      <c r="BH5">
        <v>-0.38</v>
      </c>
      <c r="BI5">
        <v>20191121</v>
      </c>
      <c r="BJ5">
        <v>19901210</v>
      </c>
      <c r="BK5">
        <v>10.59</v>
      </c>
      <c r="BL5" t="s">
        <v>116</v>
      </c>
      <c r="BM5" t="s">
        <v>116</v>
      </c>
      <c r="BN5">
        <v>30.64</v>
      </c>
      <c r="BO5">
        <v>15.37</v>
      </c>
      <c r="BP5">
        <v>0.93</v>
      </c>
      <c r="BQ5">
        <v>46.82</v>
      </c>
      <c r="BR5">
        <v>18.239999999999998</v>
      </c>
      <c r="BS5">
        <v>0.3</v>
      </c>
      <c r="BT5">
        <v>0.66</v>
      </c>
      <c r="BU5">
        <v>14.27</v>
      </c>
      <c r="BV5">
        <v>4.7</v>
      </c>
      <c r="BW5">
        <v>3.81</v>
      </c>
      <c r="BX5">
        <v>6.88</v>
      </c>
      <c r="BY5">
        <v>5.69</v>
      </c>
      <c r="BZ5">
        <v>3.77</v>
      </c>
      <c r="CA5">
        <v>0.69</v>
      </c>
      <c r="CB5">
        <v>-0.17</v>
      </c>
      <c r="CC5">
        <v>0.72</v>
      </c>
      <c r="CD5">
        <v>0.47</v>
      </c>
      <c r="CE5">
        <v>0.45</v>
      </c>
      <c r="CF5">
        <v>-0.53</v>
      </c>
      <c r="CG5">
        <v>-2.52</v>
      </c>
      <c r="CH5">
        <v>1.28</v>
      </c>
      <c r="CI5">
        <v>-0.02</v>
      </c>
      <c r="CJ5">
        <v>125938</v>
      </c>
      <c r="CK5">
        <v>6557</v>
      </c>
      <c r="CL5" t="s">
        <v>144</v>
      </c>
      <c r="CM5">
        <v>582.03</v>
      </c>
      <c r="CN5">
        <v>48.69</v>
      </c>
      <c r="CO5">
        <v>2.13</v>
      </c>
      <c r="CP5">
        <v>25.52</v>
      </c>
      <c r="CQ5">
        <v>5.74</v>
      </c>
      <c r="CR5">
        <v>0</v>
      </c>
      <c r="CS5" t="s">
        <v>145</v>
      </c>
      <c r="CT5">
        <v>1.45</v>
      </c>
      <c r="CU5">
        <v>0</v>
      </c>
      <c r="CV5">
        <v>0.65</v>
      </c>
      <c r="CW5">
        <v>-0.24</v>
      </c>
      <c r="CX5">
        <v>0.12</v>
      </c>
      <c r="CY5">
        <v>50.15</v>
      </c>
      <c r="CZ5" t="s">
        <v>146</v>
      </c>
      <c r="DA5">
        <v>33.76</v>
      </c>
      <c r="DB5">
        <v>12.15</v>
      </c>
      <c r="DC5">
        <v>7.82</v>
      </c>
      <c r="DD5">
        <v>0.17</v>
      </c>
      <c r="DE5">
        <v>745</v>
      </c>
      <c r="DF5">
        <v>5</v>
      </c>
      <c r="DG5" t="s">
        <v>116</v>
      </c>
      <c r="DH5" t="s">
        <v>116</v>
      </c>
      <c r="DI5" t="s">
        <v>116</v>
      </c>
    </row>
    <row r="6" spans="1:113" x14ac:dyDescent="0.4">
      <c r="A6" t="str">
        <f>"000006"</f>
        <v>000006</v>
      </c>
      <c r="B6" t="s">
        <v>147</v>
      </c>
      <c r="C6">
        <v>-0.38</v>
      </c>
      <c r="D6">
        <v>5.27</v>
      </c>
      <c r="E6">
        <v>-0.02</v>
      </c>
      <c r="F6">
        <v>5.27</v>
      </c>
      <c r="G6">
        <v>5.28</v>
      </c>
      <c r="H6">
        <v>78893</v>
      </c>
      <c r="I6">
        <v>1913</v>
      </c>
      <c r="J6">
        <v>-0.18</v>
      </c>
      <c r="K6">
        <v>0.59</v>
      </c>
      <c r="L6">
        <v>5.29</v>
      </c>
      <c r="M6">
        <v>5.35</v>
      </c>
      <c r="N6">
        <v>5.26</v>
      </c>
      <c r="O6">
        <v>5.29</v>
      </c>
      <c r="P6">
        <v>11.81</v>
      </c>
      <c r="Q6">
        <v>41878652</v>
      </c>
      <c r="R6">
        <v>1.03</v>
      </c>
      <c r="S6" t="s">
        <v>148</v>
      </c>
      <c r="T6" t="s">
        <v>115</v>
      </c>
      <c r="U6">
        <v>1.7</v>
      </c>
      <c r="V6">
        <v>5.31</v>
      </c>
      <c r="W6">
        <v>36310</v>
      </c>
      <c r="X6">
        <v>42583</v>
      </c>
      <c r="Y6">
        <v>0.85</v>
      </c>
      <c r="Z6">
        <v>364</v>
      </c>
      <c r="AA6">
        <v>3854</v>
      </c>
      <c r="AB6" t="s">
        <v>116</v>
      </c>
      <c r="AC6">
        <v>28600</v>
      </c>
      <c r="AD6">
        <v>0</v>
      </c>
      <c r="AE6" t="s">
        <v>116</v>
      </c>
      <c r="AF6" t="s">
        <v>116</v>
      </c>
      <c r="AG6">
        <v>13.48</v>
      </c>
      <c r="AH6" t="s">
        <v>149</v>
      </c>
      <c r="AI6" t="s">
        <v>150</v>
      </c>
      <c r="AJ6">
        <v>0.3</v>
      </c>
      <c r="AK6">
        <v>1757</v>
      </c>
      <c r="AL6">
        <v>45</v>
      </c>
      <c r="AM6">
        <v>2.9999999999999997E-4</v>
      </c>
      <c r="AN6">
        <v>-1</v>
      </c>
      <c r="AO6">
        <v>-0.01</v>
      </c>
      <c r="AP6">
        <v>2.93</v>
      </c>
      <c r="AQ6">
        <v>3.33</v>
      </c>
      <c r="AR6">
        <v>5.72</v>
      </c>
      <c r="AS6">
        <v>0.91</v>
      </c>
      <c r="AT6" t="s">
        <v>151</v>
      </c>
      <c r="AU6">
        <v>8.65</v>
      </c>
      <c r="AV6">
        <v>8.14</v>
      </c>
      <c r="AW6">
        <v>0.69</v>
      </c>
      <c r="BA6">
        <v>0</v>
      </c>
      <c r="BB6">
        <v>1.1299999999999999</v>
      </c>
      <c r="BC6">
        <v>-0.56999999999999995</v>
      </c>
      <c r="BD6">
        <v>0.35</v>
      </c>
      <c r="BE6">
        <v>-0.38</v>
      </c>
      <c r="BF6">
        <v>-1.5</v>
      </c>
      <c r="BG6">
        <v>0.19</v>
      </c>
      <c r="BH6">
        <v>-0.72</v>
      </c>
      <c r="BI6">
        <v>20191030</v>
      </c>
      <c r="BJ6">
        <v>19920427</v>
      </c>
      <c r="BK6">
        <v>13.5</v>
      </c>
      <c r="BL6" t="s">
        <v>116</v>
      </c>
      <c r="BM6" t="s">
        <v>116</v>
      </c>
      <c r="BN6">
        <v>154.88999999999999</v>
      </c>
      <c r="BO6">
        <v>63.86</v>
      </c>
      <c r="BP6">
        <v>3.23</v>
      </c>
      <c r="BQ6">
        <v>56.69</v>
      </c>
      <c r="BR6">
        <v>122.35</v>
      </c>
      <c r="BS6">
        <v>0.13</v>
      </c>
      <c r="BT6">
        <v>0</v>
      </c>
      <c r="BU6">
        <v>56.61</v>
      </c>
      <c r="BV6">
        <v>71.099999999999994</v>
      </c>
      <c r="BW6">
        <v>7.0000000000000007E-2</v>
      </c>
      <c r="BX6">
        <v>4.84</v>
      </c>
      <c r="BY6">
        <v>19.63</v>
      </c>
      <c r="BZ6">
        <v>11.62</v>
      </c>
      <c r="CA6">
        <v>5.97</v>
      </c>
      <c r="CB6">
        <v>0.77</v>
      </c>
      <c r="CC6">
        <v>5.91</v>
      </c>
      <c r="CD6">
        <v>4.62</v>
      </c>
      <c r="CE6">
        <v>4.5199999999999996</v>
      </c>
      <c r="CF6">
        <v>4.5199999999999996</v>
      </c>
      <c r="CG6">
        <v>30.68</v>
      </c>
      <c r="CH6">
        <v>4.75</v>
      </c>
      <c r="CI6">
        <v>5.42</v>
      </c>
      <c r="CJ6">
        <v>68117</v>
      </c>
      <c r="CK6">
        <v>12659</v>
      </c>
      <c r="CL6" t="s">
        <v>152</v>
      </c>
      <c r="CM6">
        <v>-10.210000000000001</v>
      </c>
      <c r="CN6">
        <v>23.19</v>
      </c>
      <c r="CO6">
        <v>1.1100000000000001</v>
      </c>
      <c r="CP6">
        <v>14.99</v>
      </c>
      <c r="CQ6">
        <v>3.62</v>
      </c>
      <c r="CR6">
        <v>3.7</v>
      </c>
      <c r="CS6" t="s">
        <v>153</v>
      </c>
      <c r="CT6">
        <v>4.7300000000000004</v>
      </c>
      <c r="CU6">
        <v>0</v>
      </c>
      <c r="CV6">
        <v>0.36</v>
      </c>
      <c r="CW6">
        <v>2.27</v>
      </c>
      <c r="CX6">
        <v>0.35</v>
      </c>
      <c r="CY6">
        <v>41.23</v>
      </c>
      <c r="CZ6" t="s">
        <v>154</v>
      </c>
      <c r="DA6">
        <v>40.840000000000003</v>
      </c>
      <c r="DB6">
        <v>30.41</v>
      </c>
      <c r="DC6">
        <v>23.01</v>
      </c>
      <c r="DD6">
        <v>0</v>
      </c>
      <c r="DE6">
        <v>377</v>
      </c>
      <c r="DF6">
        <v>6</v>
      </c>
      <c r="DG6" t="s">
        <v>116</v>
      </c>
      <c r="DH6" t="s">
        <v>116</v>
      </c>
      <c r="DI6" t="s">
        <v>116</v>
      </c>
    </row>
    <row r="7" spans="1:113" x14ac:dyDescent="0.4">
      <c r="A7" t="str">
        <f>"000007"</f>
        <v>000007</v>
      </c>
      <c r="B7" t="s">
        <v>155</v>
      </c>
      <c r="C7">
        <v>3.15</v>
      </c>
      <c r="D7">
        <v>9.81</v>
      </c>
      <c r="E7">
        <v>0.3</v>
      </c>
      <c r="F7">
        <v>9.8000000000000007</v>
      </c>
      <c r="G7">
        <v>9.81</v>
      </c>
      <c r="H7">
        <v>106792</v>
      </c>
      <c r="I7">
        <v>1295</v>
      </c>
      <c r="J7">
        <v>-0.19</v>
      </c>
      <c r="K7">
        <v>3.46</v>
      </c>
      <c r="L7">
        <v>9.5</v>
      </c>
      <c r="M7">
        <v>9.9600000000000009</v>
      </c>
      <c r="N7">
        <v>9.39</v>
      </c>
      <c r="O7">
        <v>9.51</v>
      </c>
      <c r="P7" t="s">
        <v>116</v>
      </c>
      <c r="Q7">
        <v>103963104</v>
      </c>
      <c r="R7">
        <v>1.91</v>
      </c>
      <c r="S7" t="s">
        <v>156</v>
      </c>
      <c r="T7" t="s">
        <v>115</v>
      </c>
      <c r="U7">
        <v>5.99</v>
      </c>
      <c r="V7">
        <v>9.74</v>
      </c>
      <c r="W7">
        <v>54145</v>
      </c>
      <c r="X7">
        <v>52647</v>
      </c>
      <c r="Y7">
        <v>1.03</v>
      </c>
      <c r="Z7">
        <v>412</v>
      </c>
      <c r="AA7">
        <v>611</v>
      </c>
      <c r="AB7" t="s">
        <v>116</v>
      </c>
      <c r="AC7">
        <v>284100</v>
      </c>
      <c r="AD7">
        <v>0.01</v>
      </c>
      <c r="AE7" t="s">
        <v>116</v>
      </c>
      <c r="AF7" t="s">
        <v>116</v>
      </c>
      <c r="AG7">
        <v>3.09</v>
      </c>
      <c r="AH7" t="s">
        <v>157</v>
      </c>
      <c r="AI7" t="s">
        <v>158</v>
      </c>
      <c r="AJ7">
        <v>3.83</v>
      </c>
      <c r="AK7">
        <v>2123</v>
      </c>
      <c r="AL7">
        <v>50</v>
      </c>
      <c r="AM7">
        <v>1.6000000000000001E-3</v>
      </c>
      <c r="AN7">
        <v>1</v>
      </c>
      <c r="AO7">
        <v>0.41</v>
      </c>
      <c r="AP7">
        <v>-2</v>
      </c>
      <c r="AQ7">
        <v>15.96</v>
      </c>
      <c r="AR7">
        <v>21.71</v>
      </c>
      <c r="AS7">
        <v>5.19</v>
      </c>
      <c r="AT7" t="s">
        <v>159</v>
      </c>
      <c r="AU7" t="s">
        <v>116</v>
      </c>
      <c r="AV7" t="s">
        <v>116</v>
      </c>
      <c r="AW7">
        <v>0.45</v>
      </c>
      <c r="BA7">
        <v>-0.11</v>
      </c>
      <c r="BB7">
        <v>4.7300000000000004</v>
      </c>
      <c r="BC7">
        <v>-1.26</v>
      </c>
      <c r="BD7">
        <v>2.37</v>
      </c>
      <c r="BE7">
        <v>3.26</v>
      </c>
      <c r="BF7">
        <v>-1.51</v>
      </c>
      <c r="BG7">
        <v>4.47</v>
      </c>
      <c r="BH7">
        <v>0.79</v>
      </c>
      <c r="BI7">
        <v>20191119</v>
      </c>
      <c r="BJ7">
        <v>19920413</v>
      </c>
      <c r="BK7">
        <v>3.46</v>
      </c>
      <c r="BL7" t="s">
        <v>116</v>
      </c>
      <c r="BM7" t="s">
        <v>116</v>
      </c>
      <c r="BN7">
        <v>3.57</v>
      </c>
      <c r="BO7">
        <v>1.81</v>
      </c>
      <c r="BP7">
        <v>0.03</v>
      </c>
      <c r="BQ7">
        <v>48.26</v>
      </c>
      <c r="BR7">
        <v>0.99</v>
      </c>
      <c r="BS7">
        <v>0.64</v>
      </c>
      <c r="BT7">
        <v>0</v>
      </c>
      <c r="BU7">
        <v>0.41</v>
      </c>
      <c r="BV7">
        <v>0</v>
      </c>
      <c r="BW7">
        <v>0</v>
      </c>
      <c r="BX7">
        <v>1.57</v>
      </c>
      <c r="BY7">
        <v>0.31</v>
      </c>
      <c r="BZ7">
        <v>0.1</v>
      </c>
      <c r="CA7">
        <v>0.18</v>
      </c>
      <c r="CB7">
        <v>-0.06</v>
      </c>
      <c r="CC7">
        <v>-0.04</v>
      </c>
      <c r="CD7">
        <v>-0.09</v>
      </c>
      <c r="CE7">
        <v>-0.09</v>
      </c>
      <c r="CF7">
        <v>0.08</v>
      </c>
      <c r="CG7">
        <v>-3.31</v>
      </c>
      <c r="CH7">
        <v>-0.22</v>
      </c>
      <c r="CI7">
        <v>0.04</v>
      </c>
      <c r="CJ7">
        <v>20417</v>
      </c>
      <c r="CK7">
        <v>10071</v>
      </c>
      <c r="CL7" t="s">
        <v>160</v>
      </c>
      <c r="CM7">
        <v>-7.5</v>
      </c>
      <c r="CN7">
        <v>-3.68</v>
      </c>
      <c r="CO7">
        <v>18.739999999999998</v>
      </c>
      <c r="CP7">
        <v>-157.85</v>
      </c>
      <c r="CQ7">
        <v>109.37</v>
      </c>
      <c r="CR7">
        <v>0</v>
      </c>
      <c r="CS7" t="s">
        <v>161</v>
      </c>
      <c r="CT7">
        <v>0.52</v>
      </c>
      <c r="CU7">
        <v>0</v>
      </c>
      <c r="CV7">
        <v>0.45</v>
      </c>
      <c r="CW7">
        <v>-0.96</v>
      </c>
      <c r="CX7">
        <v>-0.06</v>
      </c>
      <c r="CY7">
        <v>50.77</v>
      </c>
      <c r="CZ7" t="s">
        <v>162</v>
      </c>
      <c r="DA7">
        <v>69.34</v>
      </c>
      <c r="DB7">
        <v>57.49</v>
      </c>
      <c r="DC7">
        <v>-29.96</v>
      </c>
      <c r="DD7">
        <v>0</v>
      </c>
      <c r="DE7">
        <v>84</v>
      </c>
      <c r="DF7">
        <v>7</v>
      </c>
      <c r="DG7" t="s">
        <v>116</v>
      </c>
      <c r="DH7" t="s">
        <v>116</v>
      </c>
      <c r="DI7" t="s">
        <v>116</v>
      </c>
    </row>
    <row r="8" spans="1:113" x14ac:dyDescent="0.4">
      <c r="A8" t="str">
        <f>"000008"</f>
        <v>000008</v>
      </c>
      <c r="B8" t="s">
        <v>163</v>
      </c>
      <c r="C8">
        <v>0</v>
      </c>
      <c r="D8">
        <v>3.63</v>
      </c>
      <c r="E8">
        <v>0</v>
      </c>
      <c r="F8">
        <v>3.63</v>
      </c>
      <c r="G8">
        <v>3.64</v>
      </c>
      <c r="H8">
        <v>248982</v>
      </c>
      <c r="I8">
        <v>3266</v>
      </c>
      <c r="J8">
        <v>0</v>
      </c>
      <c r="K8">
        <v>0.96</v>
      </c>
      <c r="L8">
        <v>3.65</v>
      </c>
      <c r="M8">
        <v>3.68</v>
      </c>
      <c r="N8">
        <v>3.62</v>
      </c>
      <c r="O8">
        <v>3.63</v>
      </c>
      <c r="P8">
        <v>51.01</v>
      </c>
      <c r="Q8">
        <v>90836376</v>
      </c>
      <c r="R8">
        <v>0.9</v>
      </c>
      <c r="S8" t="s">
        <v>164</v>
      </c>
      <c r="T8" t="s">
        <v>165</v>
      </c>
      <c r="U8">
        <v>1.65</v>
      </c>
      <c r="V8">
        <v>3.65</v>
      </c>
      <c r="W8">
        <v>127622</v>
      </c>
      <c r="X8">
        <v>121360</v>
      </c>
      <c r="Y8">
        <v>1.05</v>
      </c>
      <c r="Z8">
        <v>306</v>
      </c>
      <c r="AA8">
        <v>11216</v>
      </c>
      <c r="AB8" t="s">
        <v>116</v>
      </c>
      <c r="AC8">
        <v>1235200</v>
      </c>
      <c r="AD8">
        <v>0.02</v>
      </c>
      <c r="AE8" t="s">
        <v>116</v>
      </c>
      <c r="AF8" t="s">
        <v>116</v>
      </c>
      <c r="AG8">
        <v>25.94</v>
      </c>
      <c r="AH8" t="s">
        <v>166</v>
      </c>
      <c r="AI8" t="s">
        <v>167</v>
      </c>
      <c r="AJ8">
        <v>0.68</v>
      </c>
      <c r="AK8">
        <v>2384</v>
      </c>
      <c r="AL8">
        <v>104</v>
      </c>
      <c r="AM8">
        <v>4.0000000000000002E-4</v>
      </c>
      <c r="AN8">
        <v>0</v>
      </c>
      <c r="AO8">
        <v>0.28000000000000003</v>
      </c>
      <c r="AP8">
        <v>3.42</v>
      </c>
      <c r="AQ8">
        <v>4.3099999999999996</v>
      </c>
      <c r="AR8">
        <v>-6.44</v>
      </c>
      <c r="AS8">
        <v>1.48</v>
      </c>
      <c r="AT8" t="s">
        <v>168</v>
      </c>
      <c r="AU8">
        <v>28.85</v>
      </c>
      <c r="AV8">
        <v>31.05</v>
      </c>
      <c r="AW8">
        <v>0.87</v>
      </c>
      <c r="BA8">
        <v>0.55000000000000004</v>
      </c>
      <c r="BB8">
        <v>1.38</v>
      </c>
      <c r="BC8">
        <v>-0.28000000000000003</v>
      </c>
      <c r="BD8">
        <v>0.5</v>
      </c>
      <c r="BE8">
        <v>-0.55000000000000004</v>
      </c>
      <c r="BF8">
        <v>-1.36</v>
      </c>
      <c r="BG8">
        <v>0.28000000000000003</v>
      </c>
      <c r="BH8">
        <v>-0.5</v>
      </c>
      <c r="BI8">
        <v>20191022</v>
      </c>
      <c r="BJ8">
        <v>19920507</v>
      </c>
      <c r="BK8">
        <v>27.81</v>
      </c>
      <c r="BL8" t="s">
        <v>116</v>
      </c>
      <c r="BM8" t="s">
        <v>116</v>
      </c>
      <c r="BN8">
        <v>106</v>
      </c>
      <c r="BO8">
        <v>72.06</v>
      </c>
      <c r="BP8">
        <v>0.95</v>
      </c>
      <c r="BQ8">
        <v>31.12</v>
      </c>
      <c r="BR8">
        <v>55.72</v>
      </c>
      <c r="BS8">
        <v>4.0199999999999996</v>
      </c>
      <c r="BT8">
        <v>2.4500000000000002</v>
      </c>
      <c r="BU8">
        <v>30.02</v>
      </c>
      <c r="BV8">
        <v>8.69</v>
      </c>
      <c r="BW8">
        <v>30.62</v>
      </c>
      <c r="BX8">
        <v>27.71</v>
      </c>
      <c r="BY8">
        <v>15.6</v>
      </c>
      <c r="BZ8">
        <v>7.28</v>
      </c>
      <c r="CA8">
        <v>1.96</v>
      </c>
      <c r="CB8">
        <v>0.05</v>
      </c>
      <c r="CC8">
        <v>2.02</v>
      </c>
      <c r="CD8">
        <v>1.58</v>
      </c>
      <c r="CE8">
        <v>1.48</v>
      </c>
      <c r="CF8">
        <v>1.27</v>
      </c>
      <c r="CG8">
        <v>17.899999999999999</v>
      </c>
      <c r="CH8">
        <v>-1.91</v>
      </c>
      <c r="CI8">
        <v>-5.82</v>
      </c>
      <c r="CJ8">
        <v>102362</v>
      </c>
      <c r="CK8">
        <v>16413</v>
      </c>
      <c r="CL8" t="s">
        <v>169</v>
      </c>
      <c r="CM8">
        <v>20.13</v>
      </c>
      <c r="CN8">
        <v>20.98</v>
      </c>
      <c r="CO8">
        <v>1.4</v>
      </c>
      <c r="CP8">
        <v>-52.79</v>
      </c>
      <c r="CQ8">
        <v>6.47</v>
      </c>
      <c r="CR8">
        <v>0.27</v>
      </c>
      <c r="CS8" t="s">
        <v>170</v>
      </c>
      <c r="CT8">
        <v>2.59</v>
      </c>
      <c r="CU8">
        <v>0</v>
      </c>
      <c r="CV8">
        <v>1</v>
      </c>
      <c r="CW8">
        <v>0.64</v>
      </c>
      <c r="CX8">
        <v>-7.0000000000000007E-2</v>
      </c>
      <c r="CY8">
        <v>67.98</v>
      </c>
      <c r="CZ8" t="s">
        <v>171</v>
      </c>
      <c r="DA8">
        <v>53.3</v>
      </c>
      <c r="DB8">
        <v>12.56</v>
      </c>
      <c r="DC8">
        <v>9.51</v>
      </c>
      <c r="DD8">
        <v>1.51</v>
      </c>
      <c r="DE8">
        <v>2631</v>
      </c>
      <c r="DF8">
        <v>8</v>
      </c>
      <c r="DG8" t="s">
        <v>116</v>
      </c>
      <c r="DH8" t="s">
        <v>116</v>
      </c>
      <c r="DI8" t="s">
        <v>116</v>
      </c>
    </row>
    <row r="9" spans="1:113" x14ac:dyDescent="0.4">
      <c r="A9" t="str">
        <f>"000009"</f>
        <v>000009</v>
      </c>
      <c r="B9" t="s">
        <v>172</v>
      </c>
      <c r="C9">
        <v>8.7200000000000006</v>
      </c>
      <c r="D9">
        <v>6.36</v>
      </c>
      <c r="E9">
        <v>0.51</v>
      </c>
      <c r="F9">
        <v>6.35</v>
      </c>
      <c r="G9">
        <v>6.36</v>
      </c>
      <c r="H9">
        <v>3720423</v>
      </c>
      <c r="I9">
        <v>15133</v>
      </c>
      <c r="J9">
        <v>-0.46</v>
      </c>
      <c r="K9">
        <v>14.63</v>
      </c>
      <c r="L9">
        <v>6.2</v>
      </c>
      <c r="M9">
        <v>6.44</v>
      </c>
      <c r="N9">
        <v>5.97</v>
      </c>
      <c r="O9">
        <v>5.85</v>
      </c>
      <c r="P9">
        <v>61.3</v>
      </c>
      <c r="Q9">
        <v>2328709376</v>
      </c>
      <c r="R9">
        <v>4.4400000000000004</v>
      </c>
      <c r="S9" t="s">
        <v>173</v>
      </c>
      <c r="T9" t="s">
        <v>115</v>
      </c>
      <c r="U9">
        <v>8.0299999999999994</v>
      </c>
      <c r="V9">
        <v>6.26</v>
      </c>
      <c r="W9">
        <v>1766542</v>
      </c>
      <c r="X9">
        <v>1953881</v>
      </c>
      <c r="Y9">
        <v>0.9</v>
      </c>
      <c r="Z9">
        <v>1164</v>
      </c>
      <c r="AA9">
        <v>2907</v>
      </c>
      <c r="AB9" t="s">
        <v>116</v>
      </c>
      <c r="AC9">
        <v>42551200</v>
      </c>
      <c r="AD9">
        <v>0.33</v>
      </c>
      <c r="AE9" t="s">
        <v>116</v>
      </c>
      <c r="AF9" t="s">
        <v>116</v>
      </c>
      <c r="AG9">
        <v>25.44</v>
      </c>
      <c r="AH9" t="s">
        <v>174</v>
      </c>
      <c r="AI9" t="s">
        <v>175</v>
      </c>
      <c r="AJ9">
        <v>9.4</v>
      </c>
      <c r="AK9">
        <v>4636</v>
      </c>
      <c r="AL9">
        <v>803</v>
      </c>
      <c r="AM9">
        <v>3.2000000000000002E-3</v>
      </c>
      <c r="AN9">
        <v>4</v>
      </c>
      <c r="AO9">
        <v>31.41</v>
      </c>
      <c r="AP9">
        <v>42.28</v>
      </c>
      <c r="AQ9">
        <v>41.33</v>
      </c>
      <c r="AR9">
        <v>77.900000000000006</v>
      </c>
      <c r="AS9">
        <v>17.78</v>
      </c>
      <c r="AT9" t="s">
        <v>176</v>
      </c>
      <c r="AU9">
        <v>51.93</v>
      </c>
      <c r="AV9">
        <v>76.73</v>
      </c>
      <c r="AW9">
        <v>1.01</v>
      </c>
      <c r="BA9">
        <v>5.98</v>
      </c>
      <c r="BB9">
        <v>10.09</v>
      </c>
      <c r="BC9">
        <v>2.0499999999999998</v>
      </c>
      <c r="BD9">
        <v>7</v>
      </c>
      <c r="BE9">
        <v>2.58</v>
      </c>
      <c r="BF9">
        <v>-1.24</v>
      </c>
      <c r="BG9">
        <v>6.53</v>
      </c>
      <c r="BH9">
        <v>1.72</v>
      </c>
      <c r="BI9">
        <v>20191204</v>
      </c>
      <c r="BJ9">
        <v>19910625</v>
      </c>
      <c r="BK9">
        <v>25.79</v>
      </c>
      <c r="BL9" t="s">
        <v>116</v>
      </c>
      <c r="BM9" t="s">
        <v>116</v>
      </c>
      <c r="BN9">
        <v>304.88</v>
      </c>
      <c r="BO9">
        <v>53.89</v>
      </c>
      <c r="BP9">
        <v>52.19</v>
      </c>
      <c r="BQ9">
        <v>65.2</v>
      </c>
      <c r="BR9">
        <v>202.4</v>
      </c>
      <c r="BS9">
        <v>42.26</v>
      </c>
      <c r="BT9">
        <v>10.9</v>
      </c>
      <c r="BU9">
        <v>128.26</v>
      </c>
      <c r="BV9">
        <v>95.54</v>
      </c>
      <c r="BW9">
        <v>22.74</v>
      </c>
      <c r="BX9">
        <v>4.04</v>
      </c>
      <c r="BY9">
        <v>87.56</v>
      </c>
      <c r="BZ9">
        <v>56.05</v>
      </c>
      <c r="CA9">
        <v>8.68</v>
      </c>
      <c r="CB9">
        <v>-0.86</v>
      </c>
      <c r="CC9">
        <v>8.7899999999999991</v>
      </c>
      <c r="CD9">
        <v>5.74</v>
      </c>
      <c r="CE9">
        <v>2.0099999999999998</v>
      </c>
      <c r="CF9">
        <v>1.63</v>
      </c>
      <c r="CG9">
        <v>21.36</v>
      </c>
      <c r="CH9">
        <v>13.91</v>
      </c>
      <c r="CI9">
        <v>2.7</v>
      </c>
      <c r="CJ9">
        <v>158128</v>
      </c>
      <c r="CK9">
        <v>13235</v>
      </c>
      <c r="CL9" t="s">
        <v>177</v>
      </c>
      <c r="CM9">
        <v>103.52</v>
      </c>
      <c r="CN9">
        <v>31.68</v>
      </c>
      <c r="CO9">
        <v>3.04</v>
      </c>
      <c r="CP9">
        <v>11.79</v>
      </c>
      <c r="CQ9">
        <v>1.87</v>
      </c>
      <c r="CR9">
        <v>0.26</v>
      </c>
      <c r="CS9" t="s">
        <v>178</v>
      </c>
      <c r="CT9">
        <v>2.09</v>
      </c>
      <c r="CU9">
        <v>0</v>
      </c>
      <c r="CV9">
        <v>0.16</v>
      </c>
      <c r="CW9">
        <v>0.83</v>
      </c>
      <c r="CX9">
        <v>0.54</v>
      </c>
      <c r="CY9">
        <v>17.68</v>
      </c>
      <c r="CZ9" t="s">
        <v>179</v>
      </c>
      <c r="DA9">
        <v>35.979999999999997</v>
      </c>
      <c r="DB9">
        <v>9.91</v>
      </c>
      <c r="DC9">
        <v>2.29</v>
      </c>
      <c r="DD9">
        <v>2.71</v>
      </c>
      <c r="DE9">
        <v>13620</v>
      </c>
      <c r="DF9">
        <v>9</v>
      </c>
      <c r="DG9" t="s">
        <v>116</v>
      </c>
      <c r="DH9" t="s">
        <v>116</v>
      </c>
      <c r="DI9" t="s">
        <v>116</v>
      </c>
    </row>
    <row r="10" spans="1:113" x14ac:dyDescent="0.4">
      <c r="A10" t="str">
        <f>"000010"</f>
        <v>000010</v>
      </c>
      <c r="B10" t="s">
        <v>180</v>
      </c>
      <c r="C10">
        <v>0.59</v>
      </c>
      <c r="D10">
        <v>3.43</v>
      </c>
      <c r="E10">
        <v>0.02</v>
      </c>
      <c r="F10">
        <v>3.43</v>
      </c>
      <c r="G10">
        <v>3.44</v>
      </c>
      <c r="H10">
        <v>23174</v>
      </c>
      <c r="I10">
        <v>812</v>
      </c>
      <c r="J10">
        <v>-0.28000000000000003</v>
      </c>
      <c r="K10">
        <v>0.44</v>
      </c>
      <c r="L10">
        <v>3.39</v>
      </c>
      <c r="M10">
        <v>3.46</v>
      </c>
      <c r="N10">
        <v>3.39</v>
      </c>
      <c r="O10">
        <v>3.41</v>
      </c>
      <c r="P10">
        <v>48.3</v>
      </c>
      <c r="Q10">
        <v>7941756</v>
      </c>
      <c r="R10">
        <v>1.04</v>
      </c>
      <c r="S10" t="s">
        <v>181</v>
      </c>
      <c r="T10" t="s">
        <v>115</v>
      </c>
      <c r="U10">
        <v>2.0499999999999998</v>
      </c>
      <c r="V10">
        <v>3.43</v>
      </c>
      <c r="W10">
        <v>11303</v>
      </c>
      <c r="X10">
        <v>11871</v>
      </c>
      <c r="Y10">
        <v>0.95</v>
      </c>
      <c r="Z10">
        <v>880</v>
      </c>
      <c r="AA10">
        <v>427</v>
      </c>
      <c r="AB10" t="s">
        <v>116</v>
      </c>
      <c r="AC10">
        <v>194600</v>
      </c>
      <c r="AD10">
        <v>0.01</v>
      </c>
      <c r="AE10" t="s">
        <v>116</v>
      </c>
      <c r="AF10" t="s">
        <v>116</v>
      </c>
      <c r="AG10">
        <v>5.22</v>
      </c>
      <c r="AH10" t="s">
        <v>182</v>
      </c>
      <c r="AI10" t="s">
        <v>183</v>
      </c>
      <c r="AJ10">
        <v>1.27</v>
      </c>
      <c r="AK10">
        <v>284</v>
      </c>
      <c r="AL10">
        <v>82</v>
      </c>
      <c r="AM10">
        <v>1.6000000000000001E-3</v>
      </c>
      <c r="AN10">
        <v>1</v>
      </c>
      <c r="AO10">
        <v>0.59</v>
      </c>
      <c r="AP10">
        <v>3.94</v>
      </c>
      <c r="AQ10">
        <v>1.78</v>
      </c>
      <c r="AR10">
        <v>5.21</v>
      </c>
      <c r="AS10">
        <v>0.47</v>
      </c>
      <c r="AT10" t="s">
        <v>184</v>
      </c>
      <c r="AU10" t="s">
        <v>116</v>
      </c>
      <c r="AV10" t="s">
        <v>116</v>
      </c>
      <c r="AW10">
        <v>0.39</v>
      </c>
      <c r="BA10">
        <v>-0.59</v>
      </c>
      <c r="BB10">
        <v>1.47</v>
      </c>
      <c r="BC10">
        <v>-0.59</v>
      </c>
      <c r="BD10">
        <v>0.5</v>
      </c>
      <c r="BE10">
        <v>1.18</v>
      </c>
      <c r="BF10">
        <v>-0.87</v>
      </c>
      <c r="BG10">
        <v>1.18</v>
      </c>
      <c r="BH10">
        <v>0.09</v>
      </c>
      <c r="BI10">
        <v>20191119</v>
      </c>
      <c r="BJ10">
        <v>19951027</v>
      </c>
      <c r="BK10">
        <v>8.1999999999999993</v>
      </c>
      <c r="BL10" t="s">
        <v>116</v>
      </c>
      <c r="BM10" t="s">
        <v>116</v>
      </c>
      <c r="BN10">
        <v>42.63</v>
      </c>
      <c r="BO10">
        <v>4.41</v>
      </c>
      <c r="BP10">
        <v>2.81</v>
      </c>
      <c r="BQ10">
        <v>83.06</v>
      </c>
      <c r="BR10">
        <v>35.590000000000003</v>
      </c>
      <c r="BS10">
        <v>0.65</v>
      </c>
      <c r="BT10">
        <v>0.1</v>
      </c>
      <c r="BU10">
        <v>34.65</v>
      </c>
      <c r="BV10">
        <v>16.149999999999999</v>
      </c>
      <c r="BW10">
        <v>10.74</v>
      </c>
      <c r="BX10">
        <v>14.74</v>
      </c>
      <c r="BY10">
        <v>10.83</v>
      </c>
      <c r="BZ10">
        <v>8.19</v>
      </c>
      <c r="CA10">
        <v>1.65</v>
      </c>
      <c r="CB10">
        <v>0.28000000000000003</v>
      </c>
      <c r="CC10">
        <v>1.64</v>
      </c>
      <c r="CD10">
        <v>1.1100000000000001</v>
      </c>
      <c r="CE10">
        <v>0.44</v>
      </c>
      <c r="CF10">
        <v>0.16</v>
      </c>
      <c r="CG10">
        <v>-18.61</v>
      </c>
      <c r="CH10">
        <v>-0.95</v>
      </c>
      <c r="CI10">
        <v>0.31</v>
      </c>
      <c r="CJ10">
        <v>34263</v>
      </c>
      <c r="CK10">
        <v>14322</v>
      </c>
      <c r="CL10" t="s">
        <v>185</v>
      </c>
      <c r="CM10">
        <v>122.75</v>
      </c>
      <c r="CN10">
        <v>478.32</v>
      </c>
      <c r="CO10">
        <v>6.37</v>
      </c>
      <c r="CP10">
        <v>-29.52</v>
      </c>
      <c r="CQ10">
        <v>2.6</v>
      </c>
      <c r="CR10">
        <v>0</v>
      </c>
      <c r="CS10" t="s">
        <v>170</v>
      </c>
      <c r="CT10">
        <v>0.54</v>
      </c>
      <c r="CU10">
        <v>0</v>
      </c>
      <c r="CV10">
        <v>1.8</v>
      </c>
      <c r="CW10">
        <v>-2.27</v>
      </c>
      <c r="CX10">
        <v>-0.12</v>
      </c>
      <c r="CY10">
        <v>10.35</v>
      </c>
      <c r="CZ10" t="s">
        <v>186</v>
      </c>
      <c r="DA10">
        <v>24.4</v>
      </c>
      <c r="DB10">
        <v>15.23</v>
      </c>
      <c r="DC10">
        <v>4.03</v>
      </c>
      <c r="DD10">
        <v>0.01</v>
      </c>
      <c r="DE10">
        <v>545</v>
      </c>
      <c r="DF10">
        <v>10</v>
      </c>
      <c r="DG10" t="s">
        <v>116</v>
      </c>
      <c r="DH10" t="s">
        <v>116</v>
      </c>
      <c r="DI10" t="s">
        <v>116</v>
      </c>
    </row>
    <row r="11" spans="1:113" x14ac:dyDescent="0.4">
      <c r="A11" t="str">
        <f>"000011"</f>
        <v>000011</v>
      </c>
      <c r="B11" t="s">
        <v>187</v>
      </c>
      <c r="C11">
        <v>-0.43</v>
      </c>
      <c r="D11">
        <v>9.2799999999999994</v>
      </c>
      <c r="E11">
        <v>-0.04</v>
      </c>
      <c r="F11">
        <v>9.27</v>
      </c>
      <c r="G11">
        <v>9.2799999999999994</v>
      </c>
      <c r="H11">
        <v>17759</v>
      </c>
      <c r="I11">
        <v>363</v>
      </c>
      <c r="J11">
        <v>0.11</v>
      </c>
      <c r="K11">
        <v>0.34</v>
      </c>
      <c r="L11">
        <v>9.32</v>
      </c>
      <c r="M11">
        <v>9.43</v>
      </c>
      <c r="N11">
        <v>9.25</v>
      </c>
      <c r="O11">
        <v>9.32</v>
      </c>
      <c r="P11">
        <v>40.25</v>
      </c>
      <c r="Q11">
        <v>16536086</v>
      </c>
      <c r="R11">
        <v>0.9</v>
      </c>
      <c r="S11" t="s">
        <v>148</v>
      </c>
      <c r="T11" t="s">
        <v>115</v>
      </c>
      <c r="U11">
        <v>1.93</v>
      </c>
      <c r="V11">
        <v>9.31</v>
      </c>
      <c r="W11">
        <v>11102</v>
      </c>
      <c r="X11">
        <v>6657</v>
      </c>
      <c r="Y11">
        <v>1.67</v>
      </c>
      <c r="Z11">
        <v>5</v>
      </c>
      <c r="AA11">
        <v>742</v>
      </c>
      <c r="AB11" t="s">
        <v>116</v>
      </c>
      <c r="AC11">
        <v>64300</v>
      </c>
      <c r="AD11">
        <v>0</v>
      </c>
      <c r="AE11" t="s">
        <v>116</v>
      </c>
      <c r="AF11" t="s">
        <v>116</v>
      </c>
      <c r="AG11">
        <v>5.26</v>
      </c>
      <c r="AH11" t="s">
        <v>188</v>
      </c>
      <c r="AI11" t="s">
        <v>189</v>
      </c>
      <c r="AJ11">
        <v>0.25</v>
      </c>
      <c r="AK11">
        <v>707</v>
      </c>
      <c r="AL11">
        <v>25</v>
      </c>
      <c r="AM11">
        <v>5.0000000000000001E-4</v>
      </c>
      <c r="AN11">
        <v>-1</v>
      </c>
      <c r="AO11">
        <v>0.43</v>
      </c>
      <c r="AP11">
        <v>3</v>
      </c>
      <c r="AQ11">
        <v>-4.82</v>
      </c>
      <c r="AR11">
        <v>4.5</v>
      </c>
      <c r="AS11">
        <v>1.22</v>
      </c>
      <c r="AT11" t="s">
        <v>190</v>
      </c>
      <c r="AU11">
        <v>10.029999999999999</v>
      </c>
      <c r="AV11">
        <v>9.33</v>
      </c>
      <c r="AW11">
        <v>0.8</v>
      </c>
      <c r="BA11">
        <v>0</v>
      </c>
      <c r="BB11">
        <v>1.18</v>
      </c>
      <c r="BC11">
        <v>-0.75</v>
      </c>
      <c r="BD11">
        <v>-0.09</v>
      </c>
      <c r="BE11">
        <v>-0.43</v>
      </c>
      <c r="BF11">
        <v>-1.59</v>
      </c>
      <c r="BG11">
        <v>0.32</v>
      </c>
      <c r="BH11">
        <v>-0.33</v>
      </c>
      <c r="BI11">
        <v>20191031</v>
      </c>
      <c r="BJ11">
        <v>19920330</v>
      </c>
      <c r="BK11">
        <v>5.96</v>
      </c>
      <c r="BL11">
        <v>0.68</v>
      </c>
      <c r="BM11" t="s">
        <v>116</v>
      </c>
      <c r="BN11">
        <v>104.84</v>
      </c>
      <c r="BO11">
        <v>32.61</v>
      </c>
      <c r="BP11">
        <v>1.33</v>
      </c>
      <c r="BQ11">
        <v>67.63</v>
      </c>
      <c r="BR11">
        <v>94.01</v>
      </c>
      <c r="BS11">
        <v>0.5</v>
      </c>
      <c r="BT11">
        <v>0</v>
      </c>
      <c r="BU11">
        <v>48.43</v>
      </c>
      <c r="BV11">
        <v>40.909999999999997</v>
      </c>
      <c r="BW11">
        <v>1.06</v>
      </c>
      <c r="BX11">
        <v>1.19</v>
      </c>
      <c r="BY11">
        <v>10.02</v>
      </c>
      <c r="BZ11">
        <v>5.32</v>
      </c>
      <c r="CA11">
        <v>1.06</v>
      </c>
      <c r="CB11">
        <v>0.02</v>
      </c>
      <c r="CC11">
        <v>1.07</v>
      </c>
      <c r="CD11">
        <v>0.46</v>
      </c>
      <c r="CE11">
        <v>1.03</v>
      </c>
      <c r="CF11">
        <v>1.03</v>
      </c>
      <c r="CG11">
        <v>22.5</v>
      </c>
      <c r="CH11">
        <v>5.34</v>
      </c>
      <c r="CI11">
        <v>1.37</v>
      </c>
      <c r="CJ11">
        <v>41305</v>
      </c>
      <c r="CK11">
        <v>5173</v>
      </c>
      <c r="CL11" t="s">
        <v>191</v>
      </c>
      <c r="CM11">
        <v>-28.52</v>
      </c>
      <c r="CN11">
        <v>-16.43</v>
      </c>
      <c r="CO11">
        <v>1.7</v>
      </c>
      <c r="CP11">
        <v>10.35</v>
      </c>
      <c r="CQ11">
        <v>5.52</v>
      </c>
      <c r="CR11">
        <v>3.23</v>
      </c>
      <c r="CS11" t="s">
        <v>192</v>
      </c>
      <c r="CT11">
        <v>5.47</v>
      </c>
      <c r="CU11">
        <v>0</v>
      </c>
      <c r="CV11">
        <v>0.2</v>
      </c>
      <c r="CW11">
        <v>3.77</v>
      </c>
      <c r="CX11">
        <v>0.9</v>
      </c>
      <c r="CY11">
        <v>31.11</v>
      </c>
      <c r="CZ11" t="s">
        <v>193</v>
      </c>
      <c r="DA11">
        <v>46.89</v>
      </c>
      <c r="DB11">
        <v>10.61</v>
      </c>
      <c r="DC11">
        <v>10.29</v>
      </c>
      <c r="DD11">
        <v>0</v>
      </c>
      <c r="DE11">
        <v>5504</v>
      </c>
      <c r="DF11">
        <v>11</v>
      </c>
      <c r="DG11" t="s">
        <v>116</v>
      </c>
      <c r="DH11" t="s">
        <v>116</v>
      </c>
      <c r="DI11" t="s">
        <v>116</v>
      </c>
    </row>
    <row r="12" spans="1:113" x14ac:dyDescent="0.4">
      <c r="A12" t="str">
        <f>"000012"</f>
        <v>000012</v>
      </c>
      <c r="B12" t="s">
        <v>194</v>
      </c>
      <c r="C12">
        <v>-1.04</v>
      </c>
      <c r="D12">
        <v>4.7699999999999996</v>
      </c>
      <c r="E12">
        <v>-0.05</v>
      </c>
      <c r="F12">
        <v>4.7699999999999996</v>
      </c>
      <c r="G12">
        <v>4.78</v>
      </c>
      <c r="H12">
        <v>213856</v>
      </c>
      <c r="I12">
        <v>951</v>
      </c>
      <c r="J12">
        <v>-0.2</v>
      </c>
      <c r="K12">
        <v>1.0900000000000001</v>
      </c>
      <c r="L12">
        <v>4.91</v>
      </c>
      <c r="M12">
        <v>4.91</v>
      </c>
      <c r="N12">
        <v>4.76</v>
      </c>
      <c r="O12">
        <v>4.82</v>
      </c>
      <c r="P12">
        <v>20.43</v>
      </c>
      <c r="Q12">
        <v>103247936</v>
      </c>
      <c r="R12">
        <v>1.1499999999999999</v>
      </c>
      <c r="S12" t="s">
        <v>195</v>
      </c>
      <c r="T12" t="s">
        <v>115</v>
      </c>
      <c r="U12">
        <v>3.11</v>
      </c>
      <c r="V12">
        <v>4.83</v>
      </c>
      <c r="W12">
        <v>124615</v>
      </c>
      <c r="X12">
        <v>89241</v>
      </c>
      <c r="Y12">
        <v>1.4</v>
      </c>
      <c r="Z12">
        <v>1379</v>
      </c>
      <c r="AA12">
        <v>3242</v>
      </c>
      <c r="AB12" t="s">
        <v>116</v>
      </c>
      <c r="AC12">
        <v>2013600</v>
      </c>
      <c r="AD12">
        <v>0.03</v>
      </c>
      <c r="AE12" t="s">
        <v>116</v>
      </c>
      <c r="AF12" t="s">
        <v>116</v>
      </c>
      <c r="AG12">
        <v>19.579999999999998</v>
      </c>
      <c r="AH12" t="s">
        <v>196</v>
      </c>
      <c r="AI12" t="s">
        <v>197</v>
      </c>
      <c r="AJ12">
        <v>-0.36</v>
      </c>
      <c r="AK12">
        <v>2555</v>
      </c>
      <c r="AL12">
        <v>84</v>
      </c>
      <c r="AM12">
        <v>4.0000000000000002E-4</v>
      </c>
      <c r="AN12">
        <v>-1</v>
      </c>
      <c r="AO12">
        <v>0.42</v>
      </c>
      <c r="AP12">
        <v>9.15</v>
      </c>
      <c r="AQ12">
        <v>11.97</v>
      </c>
      <c r="AR12">
        <v>33.17</v>
      </c>
      <c r="AS12">
        <v>1.75</v>
      </c>
      <c r="AT12" t="s">
        <v>198</v>
      </c>
      <c r="AU12">
        <v>28.07</v>
      </c>
      <c r="AV12">
        <v>32.729999999999997</v>
      </c>
      <c r="AW12">
        <v>1.04</v>
      </c>
      <c r="BA12">
        <v>1.87</v>
      </c>
      <c r="BB12">
        <v>1.87</v>
      </c>
      <c r="BC12">
        <v>-1.24</v>
      </c>
      <c r="BD12">
        <v>0.16</v>
      </c>
      <c r="BE12">
        <v>-2.85</v>
      </c>
      <c r="BF12">
        <v>-2.85</v>
      </c>
      <c r="BG12">
        <v>0.21</v>
      </c>
      <c r="BH12">
        <v>-1.2</v>
      </c>
      <c r="BI12">
        <v>20191106</v>
      </c>
      <c r="BJ12">
        <v>19920228</v>
      </c>
      <c r="BK12">
        <v>31.08</v>
      </c>
      <c r="BL12">
        <v>11.09</v>
      </c>
      <c r="BM12" t="s">
        <v>116</v>
      </c>
      <c r="BN12">
        <v>184.23</v>
      </c>
      <c r="BO12">
        <v>95.47</v>
      </c>
      <c r="BP12">
        <v>3.64</v>
      </c>
      <c r="BQ12">
        <v>46.2</v>
      </c>
      <c r="BR12">
        <v>46.99</v>
      </c>
      <c r="BS12">
        <v>100.03</v>
      </c>
      <c r="BT12">
        <v>10.4</v>
      </c>
      <c r="BU12">
        <v>66.89</v>
      </c>
      <c r="BV12">
        <v>8.14</v>
      </c>
      <c r="BW12">
        <v>7.82</v>
      </c>
      <c r="BX12">
        <v>7.31</v>
      </c>
      <c r="BY12">
        <v>76.62</v>
      </c>
      <c r="BZ12">
        <v>57.01</v>
      </c>
      <c r="CA12">
        <v>6.75</v>
      </c>
      <c r="CB12">
        <v>0</v>
      </c>
      <c r="CC12">
        <v>6.74</v>
      </c>
      <c r="CD12">
        <v>5.62</v>
      </c>
      <c r="CE12">
        <v>5.44</v>
      </c>
      <c r="CF12">
        <v>4.2</v>
      </c>
      <c r="CG12">
        <v>48.89</v>
      </c>
      <c r="CH12">
        <v>15.08</v>
      </c>
      <c r="CI12">
        <v>-5.14</v>
      </c>
      <c r="CJ12">
        <v>144345</v>
      </c>
      <c r="CK12">
        <v>16147</v>
      </c>
      <c r="CL12" t="s">
        <v>199</v>
      </c>
      <c r="CM12">
        <v>16.03</v>
      </c>
      <c r="CN12">
        <v>-6.01</v>
      </c>
      <c r="CO12">
        <v>1.55</v>
      </c>
      <c r="CP12">
        <v>9.83</v>
      </c>
      <c r="CQ12">
        <v>1.94</v>
      </c>
      <c r="CR12">
        <v>0.95</v>
      </c>
      <c r="CS12" t="s">
        <v>200</v>
      </c>
      <c r="CT12">
        <v>3.07</v>
      </c>
      <c r="CU12">
        <v>0</v>
      </c>
      <c r="CV12">
        <v>0.24</v>
      </c>
      <c r="CW12">
        <v>1.57</v>
      </c>
      <c r="CX12">
        <v>0.49</v>
      </c>
      <c r="CY12">
        <v>51.82</v>
      </c>
      <c r="CZ12" t="s">
        <v>201</v>
      </c>
      <c r="DA12">
        <v>25.59</v>
      </c>
      <c r="DB12">
        <v>8.81</v>
      </c>
      <c r="DC12">
        <v>7.1</v>
      </c>
      <c r="DD12">
        <v>2.64</v>
      </c>
      <c r="DE12">
        <v>10800</v>
      </c>
      <c r="DF12">
        <v>12</v>
      </c>
      <c r="DG12" t="s">
        <v>116</v>
      </c>
      <c r="DH12" t="s">
        <v>116</v>
      </c>
      <c r="DI12" t="s">
        <v>116</v>
      </c>
    </row>
    <row r="13" spans="1:113" x14ac:dyDescent="0.4">
      <c r="A13" t="str">
        <f>"000014"</f>
        <v>000014</v>
      </c>
      <c r="B13" t="s">
        <v>202</v>
      </c>
      <c r="C13">
        <v>-1.06</v>
      </c>
      <c r="D13">
        <v>9.2899999999999991</v>
      </c>
      <c r="E13">
        <v>-0.1</v>
      </c>
      <c r="F13">
        <v>9.2899999999999991</v>
      </c>
      <c r="G13">
        <v>9.3000000000000007</v>
      </c>
      <c r="H13">
        <v>12692</v>
      </c>
      <c r="I13">
        <v>124</v>
      </c>
      <c r="J13">
        <v>0</v>
      </c>
      <c r="K13">
        <v>0.63</v>
      </c>
      <c r="L13">
        <v>9.39</v>
      </c>
      <c r="M13">
        <v>9.43</v>
      </c>
      <c r="N13">
        <v>9.2899999999999991</v>
      </c>
      <c r="O13">
        <v>9.39</v>
      </c>
      <c r="P13" t="s">
        <v>116</v>
      </c>
      <c r="Q13">
        <v>11880390</v>
      </c>
      <c r="R13">
        <v>0.88</v>
      </c>
      <c r="S13" t="s">
        <v>124</v>
      </c>
      <c r="T13" t="s">
        <v>115</v>
      </c>
      <c r="U13">
        <v>1.49</v>
      </c>
      <c r="V13">
        <v>9.36</v>
      </c>
      <c r="W13">
        <v>8197</v>
      </c>
      <c r="X13">
        <v>4495</v>
      </c>
      <c r="Y13">
        <v>1.82</v>
      </c>
      <c r="Z13">
        <v>91</v>
      </c>
      <c r="AA13">
        <v>195</v>
      </c>
      <c r="AB13" t="s">
        <v>116</v>
      </c>
      <c r="AC13">
        <v>0</v>
      </c>
      <c r="AD13">
        <v>0</v>
      </c>
      <c r="AE13" t="s">
        <v>116</v>
      </c>
      <c r="AF13" t="s">
        <v>116</v>
      </c>
      <c r="AG13">
        <v>2.02</v>
      </c>
      <c r="AH13" t="s">
        <v>203</v>
      </c>
      <c r="AI13" t="s">
        <v>203</v>
      </c>
      <c r="AJ13">
        <v>-0.39</v>
      </c>
      <c r="AK13">
        <v>596</v>
      </c>
      <c r="AL13">
        <v>21</v>
      </c>
      <c r="AM13">
        <v>1.1000000000000001E-3</v>
      </c>
      <c r="AN13">
        <v>-1</v>
      </c>
      <c r="AO13">
        <v>-0.64</v>
      </c>
      <c r="AP13">
        <v>6.29</v>
      </c>
      <c r="AQ13">
        <v>-2.62</v>
      </c>
      <c r="AR13">
        <v>0.72</v>
      </c>
      <c r="AS13">
        <v>0.95</v>
      </c>
      <c r="AT13" t="s">
        <v>204</v>
      </c>
      <c r="AU13">
        <v>14.14</v>
      </c>
      <c r="AV13">
        <v>12.83</v>
      </c>
      <c r="AW13">
        <v>0.84</v>
      </c>
      <c r="BA13">
        <v>0</v>
      </c>
      <c r="BB13">
        <v>0.43</v>
      </c>
      <c r="BC13">
        <v>-1.06</v>
      </c>
      <c r="BD13">
        <v>-0.31</v>
      </c>
      <c r="BE13">
        <v>-1.06</v>
      </c>
      <c r="BF13">
        <v>-1.48</v>
      </c>
      <c r="BG13">
        <v>0</v>
      </c>
      <c r="BH13">
        <v>-0.75</v>
      </c>
      <c r="BI13">
        <v>20191101</v>
      </c>
      <c r="BJ13">
        <v>19920602</v>
      </c>
      <c r="BK13">
        <v>2.02</v>
      </c>
      <c r="BL13" t="s">
        <v>116</v>
      </c>
      <c r="BM13" t="s">
        <v>116</v>
      </c>
      <c r="BN13">
        <v>19.75</v>
      </c>
      <c r="BO13">
        <v>8.6</v>
      </c>
      <c r="BP13">
        <v>0.54</v>
      </c>
      <c r="BQ13">
        <v>53.69</v>
      </c>
      <c r="BR13">
        <v>18.45</v>
      </c>
      <c r="BS13">
        <v>0.14000000000000001</v>
      </c>
      <c r="BT13">
        <v>0</v>
      </c>
      <c r="BU13">
        <v>10.41</v>
      </c>
      <c r="BV13">
        <v>15.63</v>
      </c>
      <c r="BW13">
        <v>0</v>
      </c>
      <c r="BX13">
        <v>0.1</v>
      </c>
      <c r="BY13">
        <v>0.91</v>
      </c>
      <c r="BZ13">
        <v>0.66</v>
      </c>
      <c r="CA13">
        <v>-0.24</v>
      </c>
      <c r="CB13">
        <v>0</v>
      </c>
      <c r="CC13">
        <v>-0.15</v>
      </c>
      <c r="CD13">
        <v>-0.12</v>
      </c>
      <c r="CE13">
        <v>-0.11</v>
      </c>
      <c r="CF13">
        <v>-0.18</v>
      </c>
      <c r="CG13">
        <v>4.18</v>
      </c>
      <c r="CH13">
        <v>0.71</v>
      </c>
      <c r="CI13">
        <v>-0.05</v>
      </c>
      <c r="CJ13">
        <v>25670</v>
      </c>
      <c r="CK13">
        <v>5185</v>
      </c>
      <c r="CL13" t="s">
        <v>205</v>
      </c>
      <c r="CM13">
        <v>-595.74</v>
      </c>
      <c r="CN13">
        <v>-51.2</v>
      </c>
      <c r="CO13">
        <v>2.1800000000000002</v>
      </c>
      <c r="CP13">
        <v>26.45</v>
      </c>
      <c r="CQ13">
        <v>20.64</v>
      </c>
      <c r="CR13">
        <v>0.71</v>
      </c>
      <c r="CS13" t="s">
        <v>206</v>
      </c>
      <c r="CT13">
        <v>4.26</v>
      </c>
      <c r="CU13">
        <v>0</v>
      </c>
      <c r="CV13">
        <v>0.05</v>
      </c>
      <c r="CW13">
        <v>2.0699999999999998</v>
      </c>
      <c r="CX13">
        <v>0.35</v>
      </c>
      <c r="CY13">
        <v>43.56</v>
      </c>
      <c r="CZ13" t="s">
        <v>207</v>
      </c>
      <c r="DA13">
        <v>27.75</v>
      </c>
      <c r="DB13">
        <v>-26.64</v>
      </c>
      <c r="DC13">
        <v>-12.37</v>
      </c>
      <c r="DD13">
        <v>0</v>
      </c>
      <c r="DE13">
        <v>148</v>
      </c>
      <c r="DF13">
        <v>14</v>
      </c>
      <c r="DG13" t="s">
        <v>116</v>
      </c>
      <c r="DH13" t="s">
        <v>116</v>
      </c>
      <c r="DI13" t="s">
        <v>116</v>
      </c>
    </row>
    <row r="14" spans="1:113" x14ac:dyDescent="0.4">
      <c r="A14" t="str">
        <f>"000016"</f>
        <v>000016</v>
      </c>
      <c r="B14" t="s">
        <v>208</v>
      </c>
      <c r="C14">
        <v>-2.46</v>
      </c>
      <c r="D14">
        <v>4.37</v>
      </c>
      <c r="E14">
        <v>-0.11</v>
      </c>
      <c r="F14">
        <v>4.37</v>
      </c>
      <c r="G14">
        <v>4.38</v>
      </c>
      <c r="H14">
        <v>251359</v>
      </c>
      <c r="I14">
        <v>2166</v>
      </c>
      <c r="J14">
        <v>0</v>
      </c>
      <c r="K14">
        <v>1.57</v>
      </c>
      <c r="L14">
        <v>4.49</v>
      </c>
      <c r="M14">
        <v>4.5</v>
      </c>
      <c r="N14">
        <v>4.3600000000000003</v>
      </c>
      <c r="O14">
        <v>4.4800000000000004</v>
      </c>
      <c r="P14">
        <v>17.52</v>
      </c>
      <c r="Q14">
        <v>111573128</v>
      </c>
      <c r="R14">
        <v>1.1399999999999999</v>
      </c>
      <c r="S14" t="s">
        <v>209</v>
      </c>
      <c r="T14" t="s">
        <v>115</v>
      </c>
      <c r="U14">
        <v>3.13</v>
      </c>
      <c r="V14">
        <v>4.4400000000000004</v>
      </c>
      <c r="W14">
        <v>160956</v>
      </c>
      <c r="X14">
        <v>90403</v>
      </c>
      <c r="Y14">
        <v>1.78</v>
      </c>
      <c r="Z14">
        <v>1394</v>
      </c>
      <c r="AA14">
        <v>2125</v>
      </c>
      <c r="AB14" t="s">
        <v>116</v>
      </c>
      <c r="AC14">
        <v>296800</v>
      </c>
      <c r="AD14">
        <v>0.01</v>
      </c>
      <c r="AE14" t="s">
        <v>116</v>
      </c>
      <c r="AF14" t="s">
        <v>116</v>
      </c>
      <c r="AG14">
        <v>15.97</v>
      </c>
      <c r="AH14" t="s">
        <v>210</v>
      </c>
      <c r="AI14" t="s">
        <v>211</v>
      </c>
      <c r="AJ14">
        <v>-1.78</v>
      </c>
      <c r="AK14">
        <v>2235</v>
      </c>
      <c r="AL14">
        <v>112</v>
      </c>
      <c r="AM14">
        <v>6.9999999999999999E-4</v>
      </c>
      <c r="AN14">
        <v>-1</v>
      </c>
      <c r="AO14">
        <v>-2.2400000000000002</v>
      </c>
      <c r="AP14">
        <v>8.44</v>
      </c>
      <c r="AQ14">
        <v>3.55</v>
      </c>
      <c r="AR14">
        <v>39.17</v>
      </c>
      <c r="AS14">
        <v>2.34</v>
      </c>
      <c r="AT14" t="s">
        <v>212</v>
      </c>
      <c r="AU14">
        <v>24.36</v>
      </c>
      <c r="AV14">
        <v>25.58</v>
      </c>
      <c r="AW14">
        <v>1.1399999999999999</v>
      </c>
      <c r="BA14">
        <v>0.22</v>
      </c>
      <c r="BB14">
        <v>0.45</v>
      </c>
      <c r="BC14">
        <v>-2.68</v>
      </c>
      <c r="BD14">
        <v>-0.92</v>
      </c>
      <c r="BE14">
        <v>-2.67</v>
      </c>
      <c r="BF14">
        <v>-2.89</v>
      </c>
      <c r="BG14">
        <v>0.23</v>
      </c>
      <c r="BH14">
        <v>-1.54</v>
      </c>
      <c r="BI14">
        <v>20191224</v>
      </c>
      <c r="BJ14">
        <v>19920327</v>
      </c>
      <c r="BK14">
        <v>24.08</v>
      </c>
      <c r="BL14">
        <v>8.11</v>
      </c>
      <c r="BM14" t="s">
        <v>116</v>
      </c>
      <c r="BN14">
        <v>416.68</v>
      </c>
      <c r="BO14">
        <v>83.35</v>
      </c>
      <c r="BP14">
        <v>17.579999999999998</v>
      </c>
      <c r="BQ14">
        <v>75.78</v>
      </c>
      <c r="BR14">
        <v>272.89</v>
      </c>
      <c r="BS14">
        <v>25.57</v>
      </c>
      <c r="BT14">
        <v>11.82</v>
      </c>
      <c r="BU14">
        <v>241.47</v>
      </c>
      <c r="BV14">
        <v>64.709999999999994</v>
      </c>
      <c r="BW14">
        <v>53.84</v>
      </c>
      <c r="BX14">
        <v>2.38</v>
      </c>
      <c r="BY14">
        <v>416.81</v>
      </c>
      <c r="BZ14">
        <v>396.01</v>
      </c>
      <c r="CA14">
        <v>5.87</v>
      </c>
      <c r="CB14">
        <v>7.96</v>
      </c>
      <c r="CC14">
        <v>6.46</v>
      </c>
      <c r="CD14">
        <v>6.31</v>
      </c>
      <c r="CE14">
        <v>4.5</v>
      </c>
      <c r="CF14">
        <v>-10.46</v>
      </c>
      <c r="CG14">
        <v>44.78</v>
      </c>
      <c r="CH14">
        <v>-25.73</v>
      </c>
      <c r="CI14">
        <v>26.99</v>
      </c>
      <c r="CJ14">
        <v>92364</v>
      </c>
      <c r="CK14">
        <v>20399</v>
      </c>
      <c r="CL14" t="s">
        <v>213</v>
      </c>
      <c r="CM14">
        <v>4.8099999999999996</v>
      </c>
      <c r="CN14">
        <v>40.049999999999997</v>
      </c>
      <c r="CO14">
        <v>1.26</v>
      </c>
      <c r="CP14">
        <v>-4.09</v>
      </c>
      <c r="CQ14">
        <v>0.25</v>
      </c>
      <c r="CR14">
        <v>2.29</v>
      </c>
      <c r="CS14" t="s">
        <v>214</v>
      </c>
      <c r="CT14">
        <v>3.46</v>
      </c>
      <c r="CU14">
        <v>0</v>
      </c>
      <c r="CV14">
        <v>0.1</v>
      </c>
      <c r="CW14">
        <v>1.86</v>
      </c>
      <c r="CX14">
        <v>-1.07</v>
      </c>
      <c r="CY14">
        <v>20</v>
      </c>
      <c r="CZ14" t="s">
        <v>215</v>
      </c>
      <c r="DA14">
        <v>4.99</v>
      </c>
      <c r="DB14">
        <v>1.41</v>
      </c>
      <c r="DC14">
        <v>1.08</v>
      </c>
      <c r="DD14">
        <v>3.19</v>
      </c>
      <c r="DE14">
        <v>18965</v>
      </c>
      <c r="DF14">
        <v>16</v>
      </c>
      <c r="DG14" t="s">
        <v>116</v>
      </c>
      <c r="DH14" t="s">
        <v>116</v>
      </c>
      <c r="DI14" t="s">
        <v>116</v>
      </c>
    </row>
    <row r="15" spans="1:113" x14ac:dyDescent="0.4">
      <c r="A15" t="str">
        <f>"000017"</f>
        <v>000017</v>
      </c>
      <c r="B15" t="s">
        <v>216</v>
      </c>
      <c r="C15">
        <v>-0.87</v>
      </c>
      <c r="D15">
        <v>4.55</v>
      </c>
      <c r="E15">
        <v>-0.04</v>
      </c>
      <c r="F15">
        <v>4.55</v>
      </c>
      <c r="G15">
        <v>4.5599999999999996</v>
      </c>
      <c r="H15">
        <v>49640</v>
      </c>
      <c r="I15">
        <v>329</v>
      </c>
      <c r="J15">
        <v>0</v>
      </c>
      <c r="K15">
        <v>1.64</v>
      </c>
      <c r="L15">
        <v>4.5999999999999996</v>
      </c>
      <c r="M15">
        <v>4.6399999999999997</v>
      </c>
      <c r="N15">
        <v>4.55</v>
      </c>
      <c r="O15">
        <v>4.59</v>
      </c>
      <c r="P15">
        <v>7800.47</v>
      </c>
      <c r="Q15">
        <v>22819462</v>
      </c>
      <c r="R15">
        <v>1.06</v>
      </c>
      <c r="S15" t="s">
        <v>217</v>
      </c>
      <c r="T15" t="s">
        <v>115</v>
      </c>
      <c r="U15">
        <v>1.96</v>
      </c>
      <c r="V15">
        <v>4.5999999999999996</v>
      </c>
      <c r="W15">
        <v>25021</v>
      </c>
      <c r="X15">
        <v>24619</v>
      </c>
      <c r="Y15">
        <v>1.02</v>
      </c>
      <c r="Z15">
        <v>434</v>
      </c>
      <c r="AA15">
        <v>2003</v>
      </c>
      <c r="AB15" t="s">
        <v>116</v>
      </c>
      <c r="AC15">
        <v>52400</v>
      </c>
      <c r="AD15">
        <v>0</v>
      </c>
      <c r="AE15" t="s">
        <v>116</v>
      </c>
      <c r="AF15" t="s">
        <v>116</v>
      </c>
      <c r="AG15">
        <v>3.03</v>
      </c>
      <c r="AH15" t="s">
        <v>218</v>
      </c>
      <c r="AI15" t="s">
        <v>219</v>
      </c>
      <c r="AJ15">
        <v>-0.19</v>
      </c>
      <c r="AK15">
        <v>1157</v>
      </c>
      <c r="AL15">
        <v>43</v>
      </c>
      <c r="AM15">
        <v>1.4E-3</v>
      </c>
      <c r="AN15">
        <v>-1</v>
      </c>
      <c r="AO15">
        <v>-0.22</v>
      </c>
      <c r="AP15">
        <v>6.81</v>
      </c>
      <c r="AQ15">
        <v>-6.57</v>
      </c>
      <c r="AR15">
        <v>4.3600000000000003</v>
      </c>
      <c r="AS15">
        <v>2.0699999999999998</v>
      </c>
      <c r="AT15" t="s">
        <v>220</v>
      </c>
      <c r="AU15" t="s">
        <v>116</v>
      </c>
      <c r="AV15" t="s">
        <v>116</v>
      </c>
      <c r="AW15">
        <v>1.1499999999999999</v>
      </c>
      <c r="BA15">
        <v>0.22</v>
      </c>
      <c r="BB15">
        <v>1.0900000000000001</v>
      </c>
      <c r="BC15">
        <v>-0.87</v>
      </c>
      <c r="BD15">
        <v>0.15</v>
      </c>
      <c r="BE15">
        <v>-1.0900000000000001</v>
      </c>
      <c r="BF15">
        <v>-1.94</v>
      </c>
      <c r="BG15">
        <v>0</v>
      </c>
      <c r="BH15">
        <v>-1.02</v>
      </c>
      <c r="BI15">
        <v>20191030</v>
      </c>
      <c r="BJ15">
        <v>19920331</v>
      </c>
      <c r="BK15">
        <v>5.51</v>
      </c>
      <c r="BL15">
        <v>2.48</v>
      </c>
      <c r="BM15" t="s">
        <v>116</v>
      </c>
      <c r="BN15">
        <v>0.69</v>
      </c>
      <c r="BO15">
        <v>0.15</v>
      </c>
      <c r="BP15">
        <v>0.02</v>
      </c>
      <c r="BQ15">
        <v>75.3</v>
      </c>
      <c r="BR15">
        <v>0.62</v>
      </c>
      <c r="BS15">
        <v>0.04</v>
      </c>
      <c r="BT15">
        <v>0.01</v>
      </c>
      <c r="BU15">
        <v>0.52</v>
      </c>
      <c r="BV15">
        <v>0.03</v>
      </c>
      <c r="BW15">
        <v>0.41</v>
      </c>
      <c r="BX15">
        <v>6.28</v>
      </c>
      <c r="BY15">
        <v>0.63</v>
      </c>
      <c r="BZ15">
        <v>0.56999999999999995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-11.97</v>
      </c>
      <c r="CH15">
        <v>-7.0000000000000007E-2</v>
      </c>
      <c r="CI15">
        <v>-0.08</v>
      </c>
      <c r="CJ15">
        <v>53992</v>
      </c>
      <c r="CK15">
        <v>9035</v>
      </c>
      <c r="CL15" t="s">
        <v>221</v>
      </c>
      <c r="CM15">
        <v>-77.760000000000005</v>
      </c>
      <c r="CN15">
        <v>-37.93</v>
      </c>
      <c r="CO15">
        <v>172.44</v>
      </c>
      <c r="CP15">
        <v>-342.82</v>
      </c>
      <c r="CQ15">
        <v>39.92</v>
      </c>
      <c r="CR15">
        <v>0</v>
      </c>
      <c r="CS15" t="s">
        <v>222</v>
      </c>
      <c r="CT15">
        <v>0.03</v>
      </c>
      <c r="CU15">
        <v>0</v>
      </c>
      <c r="CV15">
        <v>1.1399999999999999</v>
      </c>
      <c r="CW15">
        <v>-2.17</v>
      </c>
      <c r="CX15">
        <v>-0.01</v>
      </c>
      <c r="CY15">
        <v>21.21</v>
      </c>
      <c r="CZ15" t="s">
        <v>223</v>
      </c>
      <c r="DA15">
        <v>8.6</v>
      </c>
      <c r="DB15">
        <v>-0.3</v>
      </c>
      <c r="DC15">
        <v>0.38</v>
      </c>
      <c r="DD15">
        <v>0</v>
      </c>
      <c r="DE15">
        <v>53</v>
      </c>
      <c r="DF15">
        <v>17</v>
      </c>
      <c r="DG15" t="s">
        <v>116</v>
      </c>
      <c r="DH15" t="s">
        <v>116</v>
      </c>
      <c r="DI15" t="s">
        <v>116</v>
      </c>
    </row>
    <row r="16" spans="1:113" x14ac:dyDescent="0.4">
      <c r="A16" t="str">
        <f>"000019"</f>
        <v>000019</v>
      </c>
      <c r="B16" t="s">
        <v>224</v>
      </c>
      <c r="C16">
        <v>-0.49</v>
      </c>
      <c r="D16">
        <v>6.04</v>
      </c>
      <c r="E16">
        <v>-0.03</v>
      </c>
      <c r="F16">
        <v>6.04</v>
      </c>
      <c r="G16">
        <v>6.05</v>
      </c>
      <c r="H16">
        <v>55482</v>
      </c>
      <c r="I16">
        <v>372</v>
      </c>
      <c r="J16">
        <v>0</v>
      </c>
      <c r="K16">
        <v>1.33</v>
      </c>
      <c r="L16">
        <v>6.06</v>
      </c>
      <c r="M16">
        <v>6.11</v>
      </c>
      <c r="N16">
        <v>6.02</v>
      </c>
      <c r="O16">
        <v>6.07</v>
      </c>
      <c r="P16">
        <v>15.85</v>
      </c>
      <c r="Q16">
        <v>33708388</v>
      </c>
      <c r="R16">
        <v>1.52</v>
      </c>
      <c r="S16" t="s">
        <v>225</v>
      </c>
      <c r="T16" t="s">
        <v>115</v>
      </c>
      <c r="U16">
        <v>1.48</v>
      </c>
      <c r="V16">
        <v>6.08</v>
      </c>
      <c r="W16">
        <v>30323</v>
      </c>
      <c r="X16">
        <v>25159</v>
      </c>
      <c r="Y16">
        <v>1.21</v>
      </c>
      <c r="Z16">
        <v>112</v>
      </c>
      <c r="AA16">
        <v>214</v>
      </c>
      <c r="AB16" t="s">
        <v>116</v>
      </c>
      <c r="AC16">
        <v>99400</v>
      </c>
      <c r="AD16">
        <v>0.01</v>
      </c>
      <c r="AE16" t="s">
        <v>116</v>
      </c>
      <c r="AF16" t="s">
        <v>116</v>
      </c>
      <c r="AG16">
        <v>4.16</v>
      </c>
      <c r="AH16" t="s">
        <v>226</v>
      </c>
      <c r="AI16" t="s">
        <v>227</v>
      </c>
      <c r="AJ16">
        <v>0.18</v>
      </c>
      <c r="AK16">
        <v>1569</v>
      </c>
      <c r="AL16">
        <v>35</v>
      </c>
      <c r="AM16">
        <v>8.9999999999999998E-4</v>
      </c>
      <c r="AN16">
        <v>-1</v>
      </c>
      <c r="AO16">
        <v>0.34</v>
      </c>
      <c r="AP16">
        <v>3.25</v>
      </c>
      <c r="AQ16">
        <v>-1.79</v>
      </c>
      <c r="AR16">
        <v>-14.2</v>
      </c>
      <c r="AS16">
        <v>2.0499999999999998</v>
      </c>
      <c r="AT16" t="s">
        <v>228</v>
      </c>
      <c r="AU16">
        <v>20.05</v>
      </c>
      <c r="AV16">
        <v>22.58</v>
      </c>
      <c r="AW16">
        <v>0.74</v>
      </c>
      <c r="BA16">
        <v>-0.16</v>
      </c>
      <c r="BB16">
        <v>0.66</v>
      </c>
      <c r="BC16">
        <v>-0.82</v>
      </c>
      <c r="BD16">
        <v>0.09</v>
      </c>
      <c r="BE16">
        <v>-0.33</v>
      </c>
      <c r="BF16">
        <v>-1.1499999999999999</v>
      </c>
      <c r="BG16">
        <v>0.33</v>
      </c>
      <c r="BH16">
        <v>-0.59</v>
      </c>
      <c r="BI16">
        <v>20191029</v>
      </c>
      <c r="BJ16">
        <v>19921012</v>
      </c>
      <c r="BK16">
        <v>11.53</v>
      </c>
      <c r="BL16">
        <v>0.52</v>
      </c>
      <c r="BM16" t="s">
        <v>116</v>
      </c>
      <c r="BN16">
        <v>66.56</v>
      </c>
      <c r="BO16">
        <v>43.87</v>
      </c>
      <c r="BP16">
        <v>1.98</v>
      </c>
      <c r="BQ16">
        <v>31.12</v>
      </c>
      <c r="BR16">
        <v>41.05</v>
      </c>
      <c r="BS16">
        <v>9.56</v>
      </c>
      <c r="BT16">
        <v>5.88</v>
      </c>
      <c r="BU16">
        <v>11.27</v>
      </c>
      <c r="BV16">
        <v>28.39</v>
      </c>
      <c r="BW16">
        <v>5.23</v>
      </c>
      <c r="BX16">
        <v>14.23</v>
      </c>
      <c r="BY16">
        <v>74.81</v>
      </c>
      <c r="BZ16">
        <v>66.89</v>
      </c>
      <c r="CA16">
        <v>3.7</v>
      </c>
      <c r="CB16">
        <v>0.11</v>
      </c>
      <c r="CC16">
        <v>3.67</v>
      </c>
      <c r="CD16">
        <v>3.46</v>
      </c>
      <c r="CE16">
        <v>3.29</v>
      </c>
      <c r="CF16">
        <v>3.22</v>
      </c>
      <c r="CG16">
        <v>14.84</v>
      </c>
      <c r="CH16">
        <v>0.61</v>
      </c>
      <c r="CI16">
        <v>-2.66</v>
      </c>
      <c r="CJ16">
        <v>53405</v>
      </c>
      <c r="CK16">
        <v>6033</v>
      </c>
      <c r="CL16" t="s">
        <v>229</v>
      </c>
      <c r="CM16">
        <v>13.39</v>
      </c>
      <c r="CN16">
        <v>2.91</v>
      </c>
      <c r="CO16">
        <v>1.59</v>
      </c>
      <c r="CP16">
        <v>114.25</v>
      </c>
      <c r="CQ16">
        <v>0.93</v>
      </c>
      <c r="CR16">
        <v>1.66</v>
      </c>
      <c r="CS16" t="s">
        <v>230</v>
      </c>
      <c r="CT16">
        <v>3.81</v>
      </c>
      <c r="CU16">
        <v>0</v>
      </c>
      <c r="CV16">
        <v>1.23</v>
      </c>
      <c r="CW16">
        <v>1.29</v>
      </c>
      <c r="CX16">
        <v>0.05</v>
      </c>
      <c r="CY16">
        <v>65.900000000000006</v>
      </c>
      <c r="CZ16" t="s">
        <v>231</v>
      </c>
      <c r="DA16">
        <v>10.58</v>
      </c>
      <c r="DB16">
        <v>4.95</v>
      </c>
      <c r="DC16">
        <v>4.4000000000000004</v>
      </c>
      <c r="DD16">
        <v>7.0000000000000007E-2</v>
      </c>
      <c r="DE16">
        <v>1096</v>
      </c>
      <c r="DF16">
        <v>19</v>
      </c>
      <c r="DG16" t="s">
        <v>116</v>
      </c>
      <c r="DH16" t="s">
        <v>116</v>
      </c>
      <c r="DI16" t="s">
        <v>116</v>
      </c>
    </row>
    <row r="17" spans="1:113" x14ac:dyDescent="0.4">
      <c r="A17" t="str">
        <f>"000020"</f>
        <v>000020</v>
      </c>
      <c r="B17" t="s">
        <v>232</v>
      </c>
      <c r="C17">
        <v>-0.09</v>
      </c>
      <c r="D17">
        <v>10.71</v>
      </c>
      <c r="E17">
        <v>-0.01</v>
      </c>
      <c r="F17">
        <v>10.71</v>
      </c>
      <c r="G17">
        <v>10.73</v>
      </c>
      <c r="H17">
        <v>13782</v>
      </c>
      <c r="I17">
        <v>117</v>
      </c>
      <c r="J17">
        <v>-0.18</v>
      </c>
      <c r="K17">
        <v>0.76</v>
      </c>
      <c r="L17">
        <v>10.76</v>
      </c>
      <c r="M17">
        <v>10.95</v>
      </c>
      <c r="N17">
        <v>10.71</v>
      </c>
      <c r="O17">
        <v>10.72</v>
      </c>
      <c r="P17">
        <v>673.6</v>
      </c>
      <c r="Q17">
        <v>14922731</v>
      </c>
      <c r="R17">
        <v>1.51</v>
      </c>
      <c r="S17" t="s">
        <v>233</v>
      </c>
      <c r="T17" t="s">
        <v>115</v>
      </c>
      <c r="U17">
        <v>2.2400000000000002</v>
      </c>
      <c r="V17">
        <v>10.83</v>
      </c>
      <c r="W17">
        <v>6701</v>
      </c>
      <c r="X17">
        <v>7081</v>
      </c>
      <c r="Y17">
        <v>0.95</v>
      </c>
      <c r="Z17">
        <v>15</v>
      </c>
      <c r="AA17">
        <v>103</v>
      </c>
      <c r="AB17" t="s">
        <v>116</v>
      </c>
      <c r="AC17">
        <v>0</v>
      </c>
      <c r="AD17">
        <v>0</v>
      </c>
      <c r="AE17" t="s">
        <v>116</v>
      </c>
      <c r="AF17" t="s">
        <v>116</v>
      </c>
      <c r="AG17">
        <v>1.81</v>
      </c>
      <c r="AH17" t="s">
        <v>234</v>
      </c>
      <c r="AI17" t="s">
        <v>235</v>
      </c>
      <c r="AJ17">
        <v>0.59</v>
      </c>
      <c r="AK17">
        <v>997</v>
      </c>
      <c r="AL17">
        <v>14</v>
      </c>
      <c r="AM17">
        <v>8.0000000000000004E-4</v>
      </c>
      <c r="AN17">
        <v>-1</v>
      </c>
      <c r="AO17">
        <v>0.56999999999999995</v>
      </c>
      <c r="AP17">
        <v>4.6900000000000004</v>
      </c>
      <c r="AQ17">
        <v>-4.97</v>
      </c>
      <c r="AR17">
        <v>2.39</v>
      </c>
      <c r="AS17">
        <v>2.23</v>
      </c>
      <c r="AT17" t="s">
        <v>236</v>
      </c>
      <c r="AU17">
        <v>491.18</v>
      </c>
      <c r="AV17">
        <v>920.38</v>
      </c>
      <c r="AW17">
        <v>1.54</v>
      </c>
      <c r="BA17">
        <v>0.37</v>
      </c>
      <c r="BB17">
        <v>2.15</v>
      </c>
      <c r="BC17">
        <v>-0.09</v>
      </c>
      <c r="BD17">
        <v>1</v>
      </c>
      <c r="BE17">
        <v>-0.46</v>
      </c>
      <c r="BF17">
        <v>-2.19</v>
      </c>
      <c r="BG17">
        <v>0</v>
      </c>
      <c r="BH17">
        <v>-1.1000000000000001</v>
      </c>
      <c r="BI17">
        <v>20191029</v>
      </c>
      <c r="BJ17">
        <v>19920428</v>
      </c>
      <c r="BK17">
        <v>2.83</v>
      </c>
      <c r="BL17">
        <v>1.02</v>
      </c>
      <c r="BM17" t="s">
        <v>116</v>
      </c>
      <c r="BN17">
        <v>5.92</v>
      </c>
      <c r="BO17">
        <v>3.27</v>
      </c>
      <c r="BP17">
        <v>0</v>
      </c>
      <c r="BQ17">
        <v>44.72</v>
      </c>
      <c r="BR17">
        <v>2.95</v>
      </c>
      <c r="BS17">
        <v>1.97</v>
      </c>
      <c r="BT17">
        <v>0.44</v>
      </c>
      <c r="BU17">
        <v>2.65</v>
      </c>
      <c r="BV17">
        <v>0.64</v>
      </c>
      <c r="BW17">
        <v>1.52</v>
      </c>
      <c r="BX17">
        <v>1.47</v>
      </c>
      <c r="BY17">
        <v>5.49</v>
      </c>
      <c r="BZ17">
        <v>4.87</v>
      </c>
      <c r="CA17">
        <v>0.03</v>
      </c>
      <c r="CB17">
        <v>0</v>
      </c>
      <c r="CC17">
        <v>0.04</v>
      </c>
      <c r="CD17">
        <v>0.03</v>
      </c>
      <c r="CE17">
        <v>0.03</v>
      </c>
      <c r="CF17">
        <v>0.02</v>
      </c>
      <c r="CG17">
        <v>-1.8</v>
      </c>
      <c r="CH17">
        <v>0.54</v>
      </c>
      <c r="CI17">
        <v>-0.03</v>
      </c>
      <c r="CJ17">
        <v>24275</v>
      </c>
      <c r="CK17">
        <v>6751</v>
      </c>
      <c r="CL17" t="s">
        <v>237</v>
      </c>
      <c r="CM17">
        <v>578.71</v>
      </c>
      <c r="CN17">
        <v>12.05</v>
      </c>
      <c r="CO17">
        <v>9.26</v>
      </c>
      <c r="CP17">
        <v>56.37</v>
      </c>
      <c r="CQ17">
        <v>5.52</v>
      </c>
      <c r="CR17">
        <v>0</v>
      </c>
      <c r="CS17" t="s">
        <v>238</v>
      </c>
      <c r="CT17">
        <v>1.1599999999999999</v>
      </c>
      <c r="CU17">
        <v>0</v>
      </c>
      <c r="CV17">
        <v>0.52</v>
      </c>
      <c r="CW17">
        <v>-0.63</v>
      </c>
      <c r="CX17">
        <v>0.19</v>
      </c>
      <c r="CY17">
        <v>55.28</v>
      </c>
      <c r="CZ17" t="s">
        <v>239</v>
      </c>
      <c r="DA17">
        <v>11.28</v>
      </c>
      <c r="DB17">
        <v>0.57999999999999996</v>
      </c>
      <c r="DC17">
        <v>0.62</v>
      </c>
      <c r="DD17">
        <v>0.06</v>
      </c>
      <c r="DE17">
        <v>1016</v>
      </c>
      <c r="DF17">
        <v>20</v>
      </c>
      <c r="DG17" t="s">
        <v>116</v>
      </c>
      <c r="DH17" t="s">
        <v>116</v>
      </c>
      <c r="DI17" t="s">
        <v>116</v>
      </c>
    </row>
    <row r="18" spans="1:113" x14ac:dyDescent="0.4">
      <c r="A18" t="str">
        <f>"000021"</f>
        <v>000021</v>
      </c>
      <c r="B18" t="s">
        <v>240</v>
      </c>
      <c r="C18">
        <v>3.21</v>
      </c>
      <c r="D18">
        <v>12.53</v>
      </c>
      <c r="E18">
        <v>0.39</v>
      </c>
      <c r="F18">
        <v>12.52</v>
      </c>
      <c r="G18">
        <v>12.53</v>
      </c>
      <c r="H18">
        <v>1053278</v>
      </c>
      <c r="I18">
        <v>9064</v>
      </c>
      <c r="J18">
        <v>-0.39</v>
      </c>
      <c r="K18">
        <v>7.17</v>
      </c>
      <c r="L18">
        <v>12.13</v>
      </c>
      <c r="M18">
        <v>13.29</v>
      </c>
      <c r="N18">
        <v>12.08</v>
      </c>
      <c r="O18">
        <v>12.14</v>
      </c>
      <c r="P18">
        <v>50.75</v>
      </c>
      <c r="Q18">
        <v>1335057536</v>
      </c>
      <c r="R18">
        <v>1.73</v>
      </c>
      <c r="S18" t="s">
        <v>241</v>
      </c>
      <c r="T18" t="s">
        <v>115</v>
      </c>
      <c r="U18">
        <v>9.9700000000000006</v>
      </c>
      <c r="V18">
        <v>12.68</v>
      </c>
      <c r="W18">
        <v>466482</v>
      </c>
      <c r="X18">
        <v>586796</v>
      </c>
      <c r="Y18">
        <v>0.79</v>
      </c>
      <c r="Z18">
        <v>3025</v>
      </c>
      <c r="AA18">
        <v>935</v>
      </c>
      <c r="AB18" t="s">
        <v>116</v>
      </c>
      <c r="AC18">
        <v>2468500</v>
      </c>
      <c r="AD18">
        <v>0.03</v>
      </c>
      <c r="AE18" t="s">
        <v>116</v>
      </c>
      <c r="AF18" t="s">
        <v>116</v>
      </c>
      <c r="AG18">
        <v>14.69</v>
      </c>
      <c r="AH18" t="s">
        <v>242</v>
      </c>
      <c r="AI18" t="s">
        <v>243</v>
      </c>
      <c r="AJ18">
        <v>3.89</v>
      </c>
      <c r="AK18">
        <v>4653</v>
      </c>
      <c r="AL18">
        <v>226</v>
      </c>
      <c r="AM18">
        <v>1.5E-3</v>
      </c>
      <c r="AN18">
        <v>4</v>
      </c>
      <c r="AO18">
        <v>11.97</v>
      </c>
      <c r="AP18">
        <v>30.93</v>
      </c>
      <c r="AQ18">
        <v>11.08</v>
      </c>
      <c r="AR18">
        <v>121.77</v>
      </c>
      <c r="AS18">
        <v>14.58</v>
      </c>
      <c r="AT18" t="s">
        <v>244</v>
      </c>
      <c r="AU18">
        <v>50.97</v>
      </c>
      <c r="AV18">
        <v>34.78</v>
      </c>
      <c r="AW18">
        <v>2.17</v>
      </c>
      <c r="BA18">
        <v>-0.08</v>
      </c>
      <c r="BB18">
        <v>9.4700000000000006</v>
      </c>
      <c r="BC18">
        <v>-0.49</v>
      </c>
      <c r="BD18">
        <v>4.41</v>
      </c>
      <c r="BE18">
        <v>3.3</v>
      </c>
      <c r="BF18">
        <v>-5.72</v>
      </c>
      <c r="BG18">
        <v>3.73</v>
      </c>
      <c r="BH18">
        <v>-1.2</v>
      </c>
      <c r="BI18">
        <v>20191210</v>
      </c>
      <c r="BJ18">
        <v>19940202</v>
      </c>
      <c r="BK18">
        <v>14.71</v>
      </c>
      <c r="BL18" t="s">
        <v>116</v>
      </c>
      <c r="BM18" t="s">
        <v>116</v>
      </c>
      <c r="BN18">
        <v>170.23</v>
      </c>
      <c r="BO18">
        <v>64.62</v>
      </c>
      <c r="BP18">
        <v>1.59</v>
      </c>
      <c r="BQ18">
        <v>61.11</v>
      </c>
      <c r="BR18">
        <v>113.39</v>
      </c>
      <c r="BS18">
        <v>24.97</v>
      </c>
      <c r="BT18">
        <v>5.69</v>
      </c>
      <c r="BU18">
        <v>102.2</v>
      </c>
      <c r="BV18">
        <v>43.32</v>
      </c>
      <c r="BW18">
        <v>15.55</v>
      </c>
      <c r="BX18">
        <v>7.75</v>
      </c>
      <c r="BY18">
        <v>100.86</v>
      </c>
      <c r="BZ18">
        <v>92.13</v>
      </c>
      <c r="CA18">
        <v>4.1900000000000004</v>
      </c>
      <c r="CB18">
        <v>0.38</v>
      </c>
      <c r="CC18">
        <v>4.2</v>
      </c>
      <c r="CD18">
        <v>3.41</v>
      </c>
      <c r="CE18">
        <v>2.72</v>
      </c>
      <c r="CF18">
        <v>1.33</v>
      </c>
      <c r="CG18">
        <v>28.18</v>
      </c>
      <c r="CH18">
        <v>-10.25</v>
      </c>
      <c r="CI18">
        <v>-5.46</v>
      </c>
      <c r="CJ18">
        <v>125478</v>
      </c>
      <c r="CK18">
        <v>5758</v>
      </c>
      <c r="CL18" t="s">
        <v>245</v>
      </c>
      <c r="CM18">
        <v>-38.200000000000003</v>
      </c>
      <c r="CN18">
        <v>-20.02</v>
      </c>
      <c r="CO18">
        <v>2.85</v>
      </c>
      <c r="CP18">
        <v>-17.98</v>
      </c>
      <c r="CQ18">
        <v>1.83</v>
      </c>
      <c r="CR18">
        <v>0.8</v>
      </c>
      <c r="CS18" t="s">
        <v>246</v>
      </c>
      <c r="CT18">
        <v>4.3899999999999997</v>
      </c>
      <c r="CU18">
        <v>0</v>
      </c>
      <c r="CV18">
        <v>0.53</v>
      </c>
      <c r="CW18">
        <v>1.92</v>
      </c>
      <c r="CX18">
        <v>-0.7</v>
      </c>
      <c r="CY18">
        <v>37.96</v>
      </c>
      <c r="CZ18" t="s">
        <v>247</v>
      </c>
      <c r="DA18">
        <v>8.66</v>
      </c>
      <c r="DB18">
        <v>4.1500000000000004</v>
      </c>
      <c r="DC18">
        <v>2.7</v>
      </c>
      <c r="DD18">
        <v>2.44</v>
      </c>
      <c r="DE18">
        <v>21974</v>
      </c>
      <c r="DF18">
        <v>21</v>
      </c>
      <c r="DG18" t="s">
        <v>116</v>
      </c>
      <c r="DH18" t="s">
        <v>116</v>
      </c>
      <c r="DI18" t="s">
        <v>116</v>
      </c>
    </row>
    <row r="19" spans="1:113" x14ac:dyDescent="0.4">
      <c r="A19" t="str">
        <f>"000023"</f>
        <v>000023</v>
      </c>
      <c r="B19" t="s">
        <v>248</v>
      </c>
      <c r="C19">
        <v>-0.62</v>
      </c>
      <c r="D19">
        <v>12.73</v>
      </c>
      <c r="E19">
        <v>-0.08</v>
      </c>
      <c r="F19">
        <v>12.73</v>
      </c>
      <c r="G19">
        <v>12.74</v>
      </c>
      <c r="H19">
        <v>22212</v>
      </c>
      <c r="I19">
        <v>501</v>
      </c>
      <c r="J19">
        <v>-0.15</v>
      </c>
      <c r="K19">
        <v>1.6</v>
      </c>
      <c r="L19">
        <v>12.82</v>
      </c>
      <c r="M19">
        <v>12.95</v>
      </c>
      <c r="N19">
        <v>12.72</v>
      </c>
      <c r="O19">
        <v>12.81</v>
      </c>
      <c r="P19">
        <v>24.45</v>
      </c>
      <c r="Q19">
        <v>28513938</v>
      </c>
      <c r="R19">
        <v>1.45</v>
      </c>
      <c r="S19" t="s">
        <v>249</v>
      </c>
      <c r="T19" t="s">
        <v>115</v>
      </c>
      <c r="U19">
        <v>1.8</v>
      </c>
      <c r="V19">
        <v>12.84</v>
      </c>
      <c r="W19">
        <v>11784</v>
      </c>
      <c r="X19">
        <v>10428</v>
      </c>
      <c r="Y19">
        <v>1.1299999999999999</v>
      </c>
      <c r="Z19">
        <v>42</v>
      </c>
      <c r="AA19">
        <v>103</v>
      </c>
      <c r="AB19" t="s">
        <v>116</v>
      </c>
      <c r="AC19">
        <v>20500</v>
      </c>
      <c r="AD19">
        <v>0</v>
      </c>
      <c r="AE19" t="s">
        <v>116</v>
      </c>
      <c r="AF19" t="s">
        <v>116</v>
      </c>
      <c r="AG19">
        <v>1.39</v>
      </c>
      <c r="AH19" t="s">
        <v>250</v>
      </c>
      <c r="AI19" t="s">
        <v>250</v>
      </c>
      <c r="AJ19">
        <v>0.05</v>
      </c>
      <c r="AK19">
        <v>1327</v>
      </c>
      <c r="AL19">
        <v>17</v>
      </c>
      <c r="AM19">
        <v>1.1999999999999999E-3</v>
      </c>
      <c r="AN19">
        <v>-1</v>
      </c>
      <c r="AO19">
        <v>0.08</v>
      </c>
      <c r="AP19">
        <v>4.34</v>
      </c>
      <c r="AQ19">
        <v>-3.92</v>
      </c>
      <c r="AR19">
        <v>0.63</v>
      </c>
      <c r="AS19">
        <v>2.5099999999999998</v>
      </c>
      <c r="AT19" t="s">
        <v>251</v>
      </c>
      <c r="AU19">
        <v>25.28</v>
      </c>
      <c r="AV19">
        <v>67.11</v>
      </c>
      <c r="AW19">
        <v>0.79</v>
      </c>
      <c r="BA19">
        <v>0.08</v>
      </c>
      <c r="BB19">
        <v>1.0900000000000001</v>
      </c>
      <c r="BC19">
        <v>-0.7</v>
      </c>
      <c r="BD19">
        <v>0.21</v>
      </c>
      <c r="BE19">
        <v>-0.7</v>
      </c>
      <c r="BF19">
        <v>-1.7</v>
      </c>
      <c r="BG19">
        <v>0.08</v>
      </c>
      <c r="BH19">
        <v>-0.84</v>
      </c>
      <c r="BI19">
        <v>20191029</v>
      </c>
      <c r="BJ19">
        <v>19930429</v>
      </c>
      <c r="BK19">
        <v>1.39</v>
      </c>
      <c r="BL19" t="s">
        <v>116</v>
      </c>
      <c r="BM19" t="s">
        <v>116</v>
      </c>
      <c r="BN19">
        <v>23.66</v>
      </c>
      <c r="BO19">
        <v>4.7699999999999996</v>
      </c>
      <c r="BP19">
        <v>1.1200000000000001</v>
      </c>
      <c r="BQ19">
        <v>75.06</v>
      </c>
      <c r="BR19">
        <v>21.01</v>
      </c>
      <c r="BS19">
        <v>1.65</v>
      </c>
      <c r="BT19">
        <v>0.03</v>
      </c>
      <c r="BU19">
        <v>17.71</v>
      </c>
      <c r="BV19">
        <v>4.37</v>
      </c>
      <c r="BW19">
        <v>9.2200000000000006</v>
      </c>
      <c r="BX19">
        <v>1.03</v>
      </c>
      <c r="BY19">
        <v>12.68</v>
      </c>
      <c r="BZ19">
        <v>10.79</v>
      </c>
      <c r="CA19">
        <v>1.05</v>
      </c>
      <c r="CB19">
        <v>0.06</v>
      </c>
      <c r="CC19">
        <v>1.0900000000000001</v>
      </c>
      <c r="CD19">
        <v>0.79</v>
      </c>
      <c r="CE19">
        <v>0.54</v>
      </c>
      <c r="CF19">
        <v>0.44</v>
      </c>
      <c r="CG19">
        <v>1.84</v>
      </c>
      <c r="CH19">
        <v>0.64</v>
      </c>
      <c r="CI19">
        <v>0.25</v>
      </c>
      <c r="CJ19">
        <v>15819</v>
      </c>
      <c r="CK19">
        <v>5593</v>
      </c>
      <c r="CL19" t="s">
        <v>252</v>
      </c>
      <c r="CM19">
        <v>409.57</v>
      </c>
      <c r="CN19">
        <v>27.36</v>
      </c>
      <c r="CO19">
        <v>3.7</v>
      </c>
      <c r="CP19">
        <v>27.76</v>
      </c>
      <c r="CQ19">
        <v>1.39</v>
      </c>
      <c r="CR19">
        <v>0.47</v>
      </c>
      <c r="CS19" t="s">
        <v>253</v>
      </c>
      <c r="CT19">
        <v>3.44</v>
      </c>
      <c r="CU19">
        <v>0</v>
      </c>
      <c r="CV19">
        <v>0.74</v>
      </c>
      <c r="CW19">
        <v>1.33</v>
      </c>
      <c r="CX19">
        <v>0.46</v>
      </c>
      <c r="CY19">
        <v>20.18</v>
      </c>
      <c r="CZ19" t="s">
        <v>254</v>
      </c>
      <c r="DA19">
        <v>14.84</v>
      </c>
      <c r="DB19">
        <v>8.26</v>
      </c>
      <c r="DC19">
        <v>4.28</v>
      </c>
      <c r="DD19">
        <v>0</v>
      </c>
      <c r="DE19">
        <v>1088</v>
      </c>
      <c r="DF19">
        <v>23</v>
      </c>
      <c r="DG19" t="s">
        <v>116</v>
      </c>
      <c r="DH19" t="s">
        <v>116</v>
      </c>
      <c r="DI19" t="s">
        <v>116</v>
      </c>
    </row>
    <row r="20" spans="1:113" x14ac:dyDescent="0.4">
      <c r="A20" t="str">
        <f>"000025"</f>
        <v>000025</v>
      </c>
      <c r="B20" t="s">
        <v>255</v>
      </c>
      <c r="C20">
        <v>-0.1</v>
      </c>
      <c r="D20">
        <v>20.83</v>
      </c>
      <c r="E20">
        <v>-0.02</v>
      </c>
      <c r="F20">
        <v>20.83</v>
      </c>
      <c r="G20">
        <v>20.84</v>
      </c>
      <c r="H20">
        <v>54327</v>
      </c>
      <c r="I20">
        <v>388</v>
      </c>
      <c r="J20">
        <v>0</v>
      </c>
      <c r="K20">
        <v>1.38</v>
      </c>
      <c r="L20">
        <v>20.96</v>
      </c>
      <c r="M20">
        <v>21.4</v>
      </c>
      <c r="N20">
        <v>20.81</v>
      </c>
      <c r="O20">
        <v>20.85</v>
      </c>
      <c r="P20">
        <v>105.15</v>
      </c>
      <c r="Q20">
        <v>114488944</v>
      </c>
      <c r="R20">
        <v>1.53</v>
      </c>
      <c r="S20" t="s">
        <v>256</v>
      </c>
      <c r="T20" t="s">
        <v>115</v>
      </c>
      <c r="U20">
        <v>2.83</v>
      </c>
      <c r="V20">
        <v>21.07</v>
      </c>
      <c r="W20">
        <v>27837</v>
      </c>
      <c r="X20">
        <v>26490</v>
      </c>
      <c r="Y20">
        <v>1.05</v>
      </c>
      <c r="Z20">
        <v>163</v>
      </c>
      <c r="AA20">
        <v>293</v>
      </c>
      <c r="AB20" t="s">
        <v>116</v>
      </c>
      <c r="AC20">
        <v>25700</v>
      </c>
      <c r="AD20">
        <v>0</v>
      </c>
      <c r="AE20" t="s">
        <v>116</v>
      </c>
      <c r="AF20" t="s">
        <v>116</v>
      </c>
      <c r="AG20">
        <v>3.93</v>
      </c>
      <c r="AH20" t="s">
        <v>257</v>
      </c>
      <c r="AI20" t="s">
        <v>258</v>
      </c>
      <c r="AJ20">
        <v>0.57999999999999996</v>
      </c>
      <c r="AK20">
        <v>2375</v>
      </c>
      <c r="AL20">
        <v>23</v>
      </c>
      <c r="AM20">
        <v>5.9999999999999995E-4</v>
      </c>
      <c r="AN20">
        <v>-1</v>
      </c>
      <c r="AO20">
        <v>-0.38</v>
      </c>
      <c r="AP20">
        <v>4.67</v>
      </c>
      <c r="AQ20">
        <v>1.76</v>
      </c>
      <c r="AR20">
        <v>13.89</v>
      </c>
      <c r="AS20">
        <v>5.44</v>
      </c>
      <c r="AT20" t="s">
        <v>259</v>
      </c>
      <c r="AU20">
        <v>77.989999999999995</v>
      </c>
      <c r="AV20">
        <v>103.3</v>
      </c>
      <c r="AW20">
        <v>0.71</v>
      </c>
      <c r="BA20">
        <v>0.53</v>
      </c>
      <c r="BB20">
        <v>2.64</v>
      </c>
      <c r="BC20">
        <v>-0.19</v>
      </c>
      <c r="BD20">
        <v>1.08</v>
      </c>
      <c r="BE20">
        <v>-0.62</v>
      </c>
      <c r="BF20">
        <v>-2.66</v>
      </c>
      <c r="BG20">
        <v>0.1</v>
      </c>
      <c r="BH20">
        <v>-1.17</v>
      </c>
      <c r="BI20">
        <v>20191031</v>
      </c>
      <c r="BJ20">
        <v>19930621</v>
      </c>
      <c r="BK20">
        <v>4.3099999999999996</v>
      </c>
      <c r="BL20">
        <v>0.38</v>
      </c>
      <c r="BM20" t="s">
        <v>116</v>
      </c>
      <c r="BN20">
        <v>18.03</v>
      </c>
      <c r="BO20">
        <v>11.14</v>
      </c>
      <c r="BP20">
        <v>0.7</v>
      </c>
      <c r="BQ20">
        <v>34.29</v>
      </c>
      <c r="BR20">
        <v>8.56</v>
      </c>
      <c r="BS20">
        <v>1.08</v>
      </c>
      <c r="BT20">
        <v>0.5</v>
      </c>
      <c r="BU20">
        <v>6.12</v>
      </c>
      <c r="BV20">
        <v>7.0000000000000007E-2</v>
      </c>
      <c r="BW20">
        <v>1.17</v>
      </c>
      <c r="BX20">
        <v>4.3099999999999996</v>
      </c>
      <c r="BY20">
        <v>4.26</v>
      </c>
      <c r="BZ20">
        <v>3.23</v>
      </c>
      <c r="CA20">
        <v>0.76</v>
      </c>
      <c r="CB20">
        <v>0.23</v>
      </c>
      <c r="CC20">
        <v>0.76</v>
      </c>
      <c r="CD20">
        <v>0.65</v>
      </c>
      <c r="CE20">
        <v>0.64</v>
      </c>
      <c r="CF20">
        <v>0.57999999999999996</v>
      </c>
      <c r="CG20">
        <v>2.4900000000000002</v>
      </c>
      <c r="CH20">
        <v>0.57999999999999996</v>
      </c>
      <c r="CI20">
        <v>0.47</v>
      </c>
      <c r="CJ20">
        <v>52620</v>
      </c>
      <c r="CK20">
        <v>2624</v>
      </c>
      <c r="CL20" t="s">
        <v>260</v>
      </c>
      <c r="CM20">
        <v>78.680000000000007</v>
      </c>
      <c r="CN20">
        <v>46.48</v>
      </c>
      <c r="CO20">
        <v>8.06</v>
      </c>
      <c r="CP20">
        <v>154.88999999999999</v>
      </c>
      <c r="CQ20">
        <v>21.1</v>
      </c>
      <c r="CR20">
        <v>0</v>
      </c>
      <c r="CS20" t="s">
        <v>261</v>
      </c>
      <c r="CT20">
        <v>2.58</v>
      </c>
      <c r="CU20">
        <v>0</v>
      </c>
      <c r="CV20">
        <v>1</v>
      </c>
      <c r="CW20">
        <v>0.57999999999999996</v>
      </c>
      <c r="CX20">
        <v>0.13</v>
      </c>
      <c r="CY20">
        <v>61.8</v>
      </c>
      <c r="CZ20" t="s">
        <v>262</v>
      </c>
      <c r="DA20">
        <v>24.04</v>
      </c>
      <c r="DB20">
        <v>17.940000000000001</v>
      </c>
      <c r="DC20">
        <v>15.05</v>
      </c>
      <c r="DD20">
        <v>0</v>
      </c>
      <c r="DE20">
        <v>337</v>
      </c>
      <c r="DF20">
        <v>25</v>
      </c>
      <c r="DG20" t="s">
        <v>116</v>
      </c>
      <c r="DH20" t="s">
        <v>116</v>
      </c>
      <c r="DI20" t="s">
        <v>116</v>
      </c>
    </row>
    <row r="21" spans="1:113" x14ac:dyDescent="0.4">
      <c r="A21" t="str">
        <f>"000026"</f>
        <v>000026</v>
      </c>
      <c r="B21" t="s">
        <v>263</v>
      </c>
      <c r="C21">
        <v>-2.27</v>
      </c>
      <c r="D21">
        <v>11.2</v>
      </c>
      <c r="E21">
        <v>-0.26</v>
      </c>
      <c r="F21">
        <v>11.19</v>
      </c>
      <c r="G21">
        <v>11.2</v>
      </c>
      <c r="H21">
        <v>370949</v>
      </c>
      <c r="I21">
        <v>7521</v>
      </c>
      <c r="J21">
        <v>-0.7</v>
      </c>
      <c r="K21">
        <v>10.4</v>
      </c>
      <c r="L21">
        <v>11.5</v>
      </c>
      <c r="M21">
        <v>11.97</v>
      </c>
      <c r="N21">
        <v>11.2</v>
      </c>
      <c r="O21">
        <v>11.46</v>
      </c>
      <c r="P21">
        <v>20.82</v>
      </c>
      <c r="Q21">
        <v>428414336</v>
      </c>
      <c r="R21">
        <v>0.82</v>
      </c>
      <c r="S21" t="s">
        <v>225</v>
      </c>
      <c r="T21" t="s">
        <v>115</v>
      </c>
      <c r="U21">
        <v>6.72</v>
      </c>
      <c r="V21">
        <v>11.55</v>
      </c>
      <c r="W21">
        <v>189590</v>
      </c>
      <c r="X21">
        <v>181359</v>
      </c>
      <c r="Y21">
        <v>1.05</v>
      </c>
      <c r="Z21">
        <v>109</v>
      </c>
      <c r="AA21">
        <v>2073</v>
      </c>
      <c r="AB21" t="s">
        <v>116</v>
      </c>
      <c r="AC21">
        <v>2312700</v>
      </c>
      <c r="AD21">
        <v>0.1</v>
      </c>
      <c r="AE21" t="s">
        <v>116</v>
      </c>
      <c r="AF21" t="s">
        <v>116</v>
      </c>
      <c r="AG21">
        <v>3.57</v>
      </c>
      <c r="AH21" t="s">
        <v>264</v>
      </c>
      <c r="AI21" t="s">
        <v>265</v>
      </c>
      <c r="AJ21">
        <v>-1.59</v>
      </c>
      <c r="AK21">
        <v>3960</v>
      </c>
      <c r="AL21">
        <v>94</v>
      </c>
      <c r="AM21">
        <v>2.5999999999999999E-3</v>
      </c>
      <c r="AN21">
        <v>-2</v>
      </c>
      <c r="AO21">
        <v>-4.03</v>
      </c>
      <c r="AP21">
        <v>32.700000000000003</v>
      </c>
      <c r="AQ21">
        <v>42.31</v>
      </c>
      <c r="AR21">
        <v>57.99</v>
      </c>
      <c r="AS21">
        <v>19.149999999999999</v>
      </c>
      <c r="AT21" t="s">
        <v>266</v>
      </c>
      <c r="AU21">
        <v>24.82</v>
      </c>
      <c r="AV21">
        <v>26.99</v>
      </c>
      <c r="AW21">
        <v>1.37</v>
      </c>
      <c r="BA21">
        <v>0.35</v>
      </c>
      <c r="BB21">
        <v>4.45</v>
      </c>
      <c r="BC21">
        <v>-2.27</v>
      </c>
      <c r="BD21">
        <v>0.78</v>
      </c>
      <c r="BE21">
        <v>-2.61</v>
      </c>
      <c r="BF21">
        <v>-6.43</v>
      </c>
      <c r="BG21">
        <v>0</v>
      </c>
      <c r="BH21">
        <v>-3.05</v>
      </c>
      <c r="BI21">
        <v>20191202</v>
      </c>
      <c r="BJ21">
        <v>19930603</v>
      </c>
      <c r="BK21">
        <v>4.43</v>
      </c>
      <c r="BL21">
        <v>0.82</v>
      </c>
      <c r="BM21" t="s">
        <v>116</v>
      </c>
      <c r="BN21">
        <v>37.049999999999997</v>
      </c>
      <c r="BO21">
        <v>26.29</v>
      </c>
      <c r="BP21">
        <v>0</v>
      </c>
      <c r="BQ21">
        <v>29.04</v>
      </c>
      <c r="BR21">
        <v>26.11</v>
      </c>
      <c r="BS21">
        <v>4.1100000000000003</v>
      </c>
      <c r="BT21">
        <v>0.4</v>
      </c>
      <c r="BU21">
        <v>10.68</v>
      </c>
      <c r="BV21">
        <v>17.28</v>
      </c>
      <c r="BW21">
        <v>4.6399999999999997</v>
      </c>
      <c r="BX21">
        <v>10.8</v>
      </c>
      <c r="BY21">
        <v>27.4</v>
      </c>
      <c r="BZ21">
        <v>16.16</v>
      </c>
      <c r="CA21">
        <v>2.37</v>
      </c>
      <c r="CB21">
        <v>0.02</v>
      </c>
      <c r="CC21">
        <v>2.36</v>
      </c>
      <c r="CD21">
        <v>1.79</v>
      </c>
      <c r="CE21">
        <v>1.79</v>
      </c>
      <c r="CF21">
        <v>1.69</v>
      </c>
      <c r="CG21">
        <v>9.42</v>
      </c>
      <c r="CH21">
        <v>3.05</v>
      </c>
      <c r="CI21">
        <v>1.06</v>
      </c>
      <c r="CJ21">
        <v>34449</v>
      </c>
      <c r="CK21">
        <v>7994</v>
      </c>
      <c r="CL21" t="s">
        <v>267</v>
      </c>
      <c r="CM21">
        <v>9.8800000000000008</v>
      </c>
      <c r="CN21">
        <v>6.82</v>
      </c>
      <c r="CO21">
        <v>1.89</v>
      </c>
      <c r="CP21">
        <v>16.28</v>
      </c>
      <c r="CQ21">
        <v>1.81</v>
      </c>
      <c r="CR21">
        <v>1.77</v>
      </c>
      <c r="CS21" t="s">
        <v>268</v>
      </c>
      <c r="CT21">
        <v>5.93</v>
      </c>
      <c r="CU21">
        <v>0</v>
      </c>
      <c r="CV21">
        <v>2.44</v>
      </c>
      <c r="CW21">
        <v>2.13</v>
      </c>
      <c r="CX21">
        <v>0.69</v>
      </c>
      <c r="CY21">
        <v>70.959999999999994</v>
      </c>
      <c r="CZ21" t="s">
        <v>269</v>
      </c>
      <c r="DA21">
        <v>41</v>
      </c>
      <c r="DB21">
        <v>8.6300000000000008</v>
      </c>
      <c r="DC21">
        <v>6.52</v>
      </c>
      <c r="DD21">
        <v>0.34</v>
      </c>
      <c r="DE21">
        <v>5162</v>
      </c>
      <c r="DF21">
        <v>26</v>
      </c>
      <c r="DG21" t="s">
        <v>116</v>
      </c>
      <c r="DH21" t="s">
        <v>116</v>
      </c>
      <c r="DI21" t="s">
        <v>116</v>
      </c>
    </row>
    <row r="22" spans="1:113" x14ac:dyDescent="0.4">
      <c r="A22" t="str">
        <f>"000027"</f>
        <v>000027</v>
      </c>
      <c r="B22" t="s">
        <v>270</v>
      </c>
      <c r="C22">
        <v>-0.16</v>
      </c>
      <c r="D22">
        <v>6.12</v>
      </c>
      <c r="E22">
        <v>-0.01</v>
      </c>
      <c r="F22">
        <v>6.11</v>
      </c>
      <c r="G22">
        <v>6.12</v>
      </c>
      <c r="H22">
        <v>60656</v>
      </c>
      <c r="I22">
        <v>1117</v>
      </c>
      <c r="J22">
        <v>0.16</v>
      </c>
      <c r="K22">
        <v>0.15</v>
      </c>
      <c r="L22">
        <v>6.13</v>
      </c>
      <c r="M22">
        <v>6.17</v>
      </c>
      <c r="N22">
        <v>6.11</v>
      </c>
      <c r="O22">
        <v>6.13</v>
      </c>
      <c r="P22">
        <v>10.62</v>
      </c>
      <c r="Q22">
        <v>37276624</v>
      </c>
      <c r="R22">
        <v>0.86</v>
      </c>
      <c r="S22" t="s">
        <v>271</v>
      </c>
      <c r="T22" t="s">
        <v>115</v>
      </c>
      <c r="U22">
        <v>0.98</v>
      </c>
      <c r="V22">
        <v>6.15</v>
      </c>
      <c r="W22">
        <v>32138</v>
      </c>
      <c r="X22">
        <v>28518</v>
      </c>
      <c r="Y22">
        <v>1.1299999999999999</v>
      </c>
      <c r="Z22">
        <v>3109</v>
      </c>
      <c r="AA22">
        <v>369</v>
      </c>
      <c r="AB22" t="s">
        <v>116</v>
      </c>
      <c r="AC22">
        <v>134900</v>
      </c>
      <c r="AD22">
        <v>0</v>
      </c>
      <c r="AE22" t="s">
        <v>116</v>
      </c>
      <c r="AF22" t="s">
        <v>116</v>
      </c>
      <c r="AG22">
        <v>39.64</v>
      </c>
      <c r="AH22" t="s">
        <v>272</v>
      </c>
      <c r="AI22" t="s">
        <v>272</v>
      </c>
      <c r="AJ22">
        <v>0.52</v>
      </c>
      <c r="AK22">
        <v>2285</v>
      </c>
      <c r="AL22">
        <v>27</v>
      </c>
      <c r="AM22">
        <v>1E-4</v>
      </c>
      <c r="AN22">
        <v>-1</v>
      </c>
      <c r="AO22">
        <v>-0.16</v>
      </c>
      <c r="AP22">
        <v>1.66</v>
      </c>
      <c r="AQ22">
        <v>5.7</v>
      </c>
      <c r="AR22">
        <v>17.690000000000001</v>
      </c>
      <c r="AS22">
        <v>0.57999999999999996</v>
      </c>
      <c r="AT22" t="s">
        <v>273</v>
      </c>
      <c r="AU22">
        <v>13.48</v>
      </c>
      <c r="AV22">
        <v>35.130000000000003</v>
      </c>
      <c r="AW22">
        <v>0.52</v>
      </c>
      <c r="BA22">
        <v>0</v>
      </c>
      <c r="BB22">
        <v>0.65</v>
      </c>
      <c r="BC22">
        <v>-0.33</v>
      </c>
      <c r="BD22">
        <v>0.25</v>
      </c>
      <c r="BE22">
        <v>-0.16</v>
      </c>
      <c r="BF22">
        <v>-0.81</v>
      </c>
      <c r="BG22">
        <v>0.16</v>
      </c>
      <c r="BH22">
        <v>-0.42</v>
      </c>
      <c r="BI22">
        <v>20191224</v>
      </c>
      <c r="BJ22">
        <v>19930903</v>
      </c>
      <c r="BK22">
        <v>39.64</v>
      </c>
      <c r="BL22" t="s">
        <v>116</v>
      </c>
      <c r="BM22" t="s">
        <v>116</v>
      </c>
      <c r="BN22">
        <v>936.12</v>
      </c>
      <c r="BO22">
        <v>299.60000000000002</v>
      </c>
      <c r="BP22">
        <v>36.119999999999997</v>
      </c>
      <c r="BQ22">
        <v>64.14</v>
      </c>
      <c r="BR22">
        <v>236.68</v>
      </c>
      <c r="BS22">
        <v>358.03</v>
      </c>
      <c r="BT22">
        <v>47.4</v>
      </c>
      <c r="BU22">
        <v>210.56</v>
      </c>
      <c r="BV22">
        <v>12.22</v>
      </c>
      <c r="BW22">
        <v>72.87</v>
      </c>
      <c r="BX22">
        <v>39.450000000000003</v>
      </c>
      <c r="BY22">
        <v>157.80000000000001</v>
      </c>
      <c r="BZ22">
        <v>103.87</v>
      </c>
      <c r="CA22">
        <v>22.39</v>
      </c>
      <c r="CB22">
        <v>1.24</v>
      </c>
      <c r="CC22">
        <v>23.18</v>
      </c>
      <c r="CD22">
        <v>19.399999999999999</v>
      </c>
      <c r="CE22">
        <v>17.13</v>
      </c>
      <c r="CF22">
        <v>15.7</v>
      </c>
      <c r="CG22">
        <v>101.68</v>
      </c>
      <c r="CH22">
        <v>37.31</v>
      </c>
      <c r="CI22">
        <v>5.36</v>
      </c>
      <c r="CJ22">
        <v>105667</v>
      </c>
      <c r="CK22">
        <v>9832</v>
      </c>
      <c r="CL22" t="s">
        <v>274</v>
      </c>
      <c r="CM22">
        <v>183.64</v>
      </c>
      <c r="CN22">
        <v>27.5</v>
      </c>
      <c r="CO22">
        <v>1.01</v>
      </c>
      <c r="CP22">
        <v>6.5</v>
      </c>
      <c r="CQ22">
        <v>1.54</v>
      </c>
      <c r="CR22">
        <v>0.82</v>
      </c>
      <c r="CS22" t="s">
        <v>275</v>
      </c>
      <c r="CT22">
        <v>6.04</v>
      </c>
      <c r="CU22">
        <v>6.04</v>
      </c>
      <c r="CV22">
        <v>0.99</v>
      </c>
      <c r="CW22">
        <v>2.56</v>
      </c>
      <c r="CX22">
        <v>0.94</v>
      </c>
      <c r="CY22">
        <v>32</v>
      </c>
      <c r="CZ22" t="s">
        <v>276</v>
      </c>
      <c r="DA22">
        <v>34.18</v>
      </c>
      <c r="DB22">
        <v>14.19</v>
      </c>
      <c r="DC22">
        <v>10.85</v>
      </c>
      <c r="DD22">
        <v>0.78</v>
      </c>
      <c r="DE22">
        <v>6649</v>
      </c>
      <c r="DF22">
        <v>27</v>
      </c>
      <c r="DG22" t="s">
        <v>116</v>
      </c>
      <c r="DH22" t="s">
        <v>116</v>
      </c>
      <c r="DI22" t="s">
        <v>116</v>
      </c>
    </row>
    <row r="23" spans="1:113" x14ac:dyDescent="0.4">
      <c r="A23" t="str">
        <f>"000028"</f>
        <v>000028</v>
      </c>
      <c r="B23" t="s">
        <v>277</v>
      </c>
      <c r="C23">
        <v>-0.65</v>
      </c>
      <c r="D23">
        <v>44.67</v>
      </c>
      <c r="E23">
        <v>-0.28999999999999998</v>
      </c>
      <c r="F23">
        <v>44.64</v>
      </c>
      <c r="G23">
        <v>44.67</v>
      </c>
      <c r="H23">
        <v>18619</v>
      </c>
      <c r="I23">
        <v>102</v>
      </c>
      <c r="J23">
        <v>-0.06</v>
      </c>
      <c r="K23">
        <v>0.61</v>
      </c>
      <c r="L23">
        <v>44.9</v>
      </c>
      <c r="M23">
        <v>45.09</v>
      </c>
      <c r="N23">
        <v>44.61</v>
      </c>
      <c r="O23">
        <v>44.96</v>
      </c>
      <c r="P23">
        <v>14.91</v>
      </c>
      <c r="Q23">
        <v>83578000</v>
      </c>
      <c r="R23">
        <v>0.81</v>
      </c>
      <c r="S23" t="s">
        <v>278</v>
      </c>
      <c r="T23" t="s">
        <v>115</v>
      </c>
      <c r="U23">
        <v>1.07</v>
      </c>
      <c r="V23">
        <v>44.89</v>
      </c>
      <c r="W23">
        <v>10679</v>
      </c>
      <c r="X23">
        <v>7940</v>
      </c>
      <c r="Y23">
        <v>1.34</v>
      </c>
      <c r="Z23">
        <v>4</v>
      </c>
      <c r="AA23">
        <v>1</v>
      </c>
      <c r="AB23" t="s">
        <v>116</v>
      </c>
      <c r="AC23">
        <v>125700</v>
      </c>
      <c r="AD23">
        <v>0</v>
      </c>
      <c r="AE23" t="s">
        <v>116</v>
      </c>
      <c r="AF23" t="s">
        <v>116</v>
      </c>
      <c r="AG23">
        <v>3.08</v>
      </c>
      <c r="AH23" t="s">
        <v>279</v>
      </c>
      <c r="AI23" t="s">
        <v>280</v>
      </c>
      <c r="AJ23">
        <v>0.03</v>
      </c>
      <c r="AK23">
        <v>2050</v>
      </c>
      <c r="AL23">
        <v>9</v>
      </c>
      <c r="AM23">
        <v>2.9999999999999997E-4</v>
      </c>
      <c r="AN23">
        <v>-3</v>
      </c>
      <c r="AO23">
        <v>-3.11</v>
      </c>
      <c r="AP23">
        <v>2.4300000000000002</v>
      </c>
      <c r="AQ23">
        <v>3.09</v>
      </c>
      <c r="AR23">
        <v>8.85</v>
      </c>
      <c r="AS23">
        <v>1.52</v>
      </c>
      <c r="AT23" t="s">
        <v>281</v>
      </c>
      <c r="AU23">
        <v>15.35</v>
      </c>
      <c r="AV23">
        <v>15.8</v>
      </c>
      <c r="AW23">
        <v>0.66</v>
      </c>
      <c r="BA23">
        <v>-0.13</v>
      </c>
      <c r="BB23">
        <v>0.28999999999999998</v>
      </c>
      <c r="BC23">
        <v>-0.78</v>
      </c>
      <c r="BD23">
        <v>-0.16</v>
      </c>
      <c r="BE23">
        <v>-0.51</v>
      </c>
      <c r="BF23">
        <v>-0.93</v>
      </c>
      <c r="BG23">
        <v>0.13</v>
      </c>
      <c r="BH23">
        <v>-0.49</v>
      </c>
      <c r="BI23">
        <v>20191114</v>
      </c>
      <c r="BJ23">
        <v>19930809</v>
      </c>
      <c r="BK23">
        <v>4.28</v>
      </c>
      <c r="BL23">
        <v>0.55000000000000004</v>
      </c>
      <c r="BM23" t="s">
        <v>116</v>
      </c>
      <c r="BN23">
        <v>348.17</v>
      </c>
      <c r="BO23">
        <v>124.52</v>
      </c>
      <c r="BP23">
        <v>24.66</v>
      </c>
      <c r="BQ23">
        <v>57.15</v>
      </c>
      <c r="BR23">
        <v>282.69</v>
      </c>
      <c r="BS23">
        <v>5.84</v>
      </c>
      <c r="BT23">
        <v>3.14</v>
      </c>
      <c r="BU23">
        <v>185.07</v>
      </c>
      <c r="BV23">
        <v>52.75</v>
      </c>
      <c r="BW23">
        <v>131.81</v>
      </c>
      <c r="BX23">
        <v>43.63</v>
      </c>
      <c r="BY23">
        <v>388.76</v>
      </c>
      <c r="BZ23">
        <v>346.69</v>
      </c>
      <c r="CA23">
        <v>13.96</v>
      </c>
      <c r="CB23">
        <v>2.5499999999999998</v>
      </c>
      <c r="CC23">
        <v>14</v>
      </c>
      <c r="CD23">
        <v>11.27</v>
      </c>
      <c r="CE23">
        <v>9.6199999999999992</v>
      </c>
      <c r="CF23">
        <v>9.43</v>
      </c>
      <c r="CG23">
        <v>74.459999999999994</v>
      </c>
      <c r="CH23">
        <v>10.73</v>
      </c>
      <c r="CI23">
        <v>-1.59</v>
      </c>
      <c r="CJ23">
        <v>21620</v>
      </c>
      <c r="CK23">
        <v>8219</v>
      </c>
      <c r="CL23" t="s">
        <v>282</v>
      </c>
      <c r="CM23">
        <v>3.79</v>
      </c>
      <c r="CN23">
        <v>22.38</v>
      </c>
      <c r="CO23">
        <v>1.54</v>
      </c>
      <c r="CP23">
        <v>17.82</v>
      </c>
      <c r="CQ23">
        <v>0.49</v>
      </c>
      <c r="CR23">
        <v>0.9</v>
      </c>
      <c r="CS23" t="s">
        <v>283</v>
      </c>
      <c r="CT23">
        <v>29.08</v>
      </c>
      <c r="CU23">
        <v>0</v>
      </c>
      <c r="CV23">
        <v>10.19</v>
      </c>
      <c r="CW23">
        <v>17.39</v>
      </c>
      <c r="CX23">
        <v>2.5099999999999998</v>
      </c>
      <c r="CY23">
        <v>35.76</v>
      </c>
      <c r="CZ23" t="s">
        <v>284</v>
      </c>
      <c r="DA23">
        <v>10.82</v>
      </c>
      <c r="DB23">
        <v>3.59</v>
      </c>
      <c r="DC23">
        <v>2.4700000000000002</v>
      </c>
      <c r="DD23">
        <v>0</v>
      </c>
      <c r="DE23">
        <v>24821</v>
      </c>
      <c r="DF23">
        <v>28</v>
      </c>
      <c r="DG23" t="s">
        <v>116</v>
      </c>
      <c r="DH23" t="s">
        <v>116</v>
      </c>
      <c r="DI23" t="s">
        <v>116</v>
      </c>
    </row>
    <row r="24" spans="1:113" x14ac:dyDescent="0.4">
      <c r="A24" t="str">
        <f>"000029"</f>
        <v>000029</v>
      </c>
      <c r="B24" t="s">
        <v>285</v>
      </c>
      <c r="C24" t="s">
        <v>116</v>
      </c>
      <c r="D24">
        <v>10.97</v>
      </c>
      <c r="E24" t="s">
        <v>116</v>
      </c>
      <c r="G24" t="s">
        <v>116</v>
      </c>
      <c r="H24">
        <v>0</v>
      </c>
      <c r="I24">
        <v>0</v>
      </c>
      <c r="J24" t="s">
        <v>116</v>
      </c>
      <c r="K24">
        <v>0</v>
      </c>
      <c r="L24" t="s">
        <v>116</v>
      </c>
      <c r="M24" t="s">
        <v>116</v>
      </c>
      <c r="N24" t="s">
        <v>116</v>
      </c>
      <c r="O24">
        <v>10.97</v>
      </c>
      <c r="P24">
        <v>18.940000000000001</v>
      </c>
      <c r="Q24">
        <v>0</v>
      </c>
      <c r="R24">
        <v>0</v>
      </c>
      <c r="S24" t="s">
        <v>148</v>
      </c>
      <c r="T24" t="s">
        <v>115</v>
      </c>
      <c r="U24">
        <v>0</v>
      </c>
      <c r="V24">
        <v>10.97</v>
      </c>
      <c r="W24">
        <v>0</v>
      </c>
      <c r="X24">
        <v>0</v>
      </c>
      <c r="Y24" t="s">
        <v>116</v>
      </c>
      <c r="Z24">
        <v>0</v>
      </c>
      <c r="AA24">
        <v>0</v>
      </c>
      <c r="AB24" t="s">
        <v>116</v>
      </c>
      <c r="AC24">
        <v>0</v>
      </c>
      <c r="AD24" t="s">
        <v>116</v>
      </c>
      <c r="AE24" t="s">
        <v>116</v>
      </c>
      <c r="AF24" t="s">
        <v>116</v>
      </c>
      <c r="AG24">
        <v>8.92</v>
      </c>
      <c r="AH24" t="s">
        <v>286</v>
      </c>
      <c r="AI24" t="s">
        <v>287</v>
      </c>
      <c r="AJ24">
        <v>0.68</v>
      </c>
      <c r="AK24">
        <v>0</v>
      </c>
      <c r="AL24" t="s">
        <v>116</v>
      </c>
      <c r="AM24" t="s">
        <v>116</v>
      </c>
      <c r="AN24">
        <v>2</v>
      </c>
      <c r="AO24">
        <v>1.72</v>
      </c>
      <c r="AP24">
        <v>0</v>
      </c>
      <c r="AQ24">
        <v>0</v>
      </c>
      <c r="AR24">
        <v>0</v>
      </c>
      <c r="AS24" t="s">
        <v>116</v>
      </c>
      <c r="AT24" t="s">
        <v>288</v>
      </c>
      <c r="AU24">
        <v>19.5</v>
      </c>
      <c r="AV24">
        <v>22.04</v>
      </c>
      <c r="AW24">
        <v>0.71</v>
      </c>
      <c r="BA24" t="s">
        <v>116</v>
      </c>
      <c r="BB24" t="s">
        <v>116</v>
      </c>
      <c r="BC24" t="s">
        <v>116</v>
      </c>
      <c r="BD24">
        <v>0</v>
      </c>
      <c r="BE24" t="s">
        <v>116</v>
      </c>
      <c r="BF24" t="s">
        <v>116</v>
      </c>
      <c r="BG24" t="s">
        <v>116</v>
      </c>
      <c r="BH24" t="s">
        <v>116</v>
      </c>
      <c r="BI24">
        <v>20191030</v>
      </c>
      <c r="BJ24">
        <v>19930915</v>
      </c>
      <c r="BK24">
        <v>10.119999999999999</v>
      </c>
      <c r="BL24">
        <v>1.2</v>
      </c>
      <c r="BM24" t="s">
        <v>116</v>
      </c>
      <c r="BN24">
        <v>53.57</v>
      </c>
      <c r="BO24">
        <v>35.68</v>
      </c>
      <c r="BP24">
        <v>-1.32</v>
      </c>
      <c r="BQ24">
        <v>35.86</v>
      </c>
      <c r="BR24">
        <v>46.17</v>
      </c>
      <c r="BS24">
        <v>0.31</v>
      </c>
      <c r="BT24">
        <v>0</v>
      </c>
      <c r="BU24">
        <v>19.14</v>
      </c>
      <c r="BV24">
        <v>15.35</v>
      </c>
      <c r="BW24">
        <v>0.05</v>
      </c>
      <c r="BX24">
        <v>9.7799999999999994</v>
      </c>
      <c r="BY24">
        <v>19.03</v>
      </c>
      <c r="BZ24">
        <v>6.63</v>
      </c>
      <c r="CA24">
        <v>5.89</v>
      </c>
      <c r="CB24">
        <v>0.14000000000000001</v>
      </c>
      <c r="CC24">
        <v>5.9</v>
      </c>
      <c r="CD24">
        <v>4.4000000000000004</v>
      </c>
      <c r="CE24">
        <v>4.4000000000000004</v>
      </c>
      <c r="CF24">
        <v>4.3899999999999997</v>
      </c>
      <c r="CG24">
        <v>14.73</v>
      </c>
      <c r="CH24">
        <v>10.42</v>
      </c>
      <c r="CI24">
        <v>4.49</v>
      </c>
      <c r="CJ24">
        <v>76443</v>
      </c>
      <c r="CK24">
        <v>4824</v>
      </c>
      <c r="CL24" t="s">
        <v>289</v>
      </c>
      <c r="CM24">
        <v>17.52</v>
      </c>
      <c r="CN24">
        <v>18.96</v>
      </c>
      <c r="CO24">
        <v>3.11</v>
      </c>
      <c r="CP24">
        <v>10.65</v>
      </c>
      <c r="CQ24">
        <v>5.83</v>
      </c>
      <c r="CR24">
        <v>1.79</v>
      </c>
      <c r="CS24" t="s">
        <v>290</v>
      </c>
      <c r="CT24">
        <v>3.53</v>
      </c>
      <c r="CU24">
        <v>0</v>
      </c>
      <c r="CV24">
        <v>0.97</v>
      </c>
      <c r="CW24">
        <v>1.46</v>
      </c>
      <c r="CX24">
        <v>1.03</v>
      </c>
      <c r="CY24">
        <v>66.599999999999994</v>
      </c>
      <c r="CZ24" t="s">
        <v>291</v>
      </c>
      <c r="DA24">
        <v>65.17</v>
      </c>
      <c r="DB24">
        <v>30.93</v>
      </c>
      <c r="DC24">
        <v>23.09</v>
      </c>
      <c r="DD24">
        <v>0</v>
      </c>
      <c r="DE24">
        <v>1954</v>
      </c>
      <c r="DF24">
        <v>29</v>
      </c>
      <c r="DG24" t="s">
        <v>116</v>
      </c>
      <c r="DH24" t="s">
        <v>116</v>
      </c>
      <c r="DI24" t="s">
        <v>116</v>
      </c>
    </row>
    <row r="25" spans="1:113" x14ac:dyDescent="0.4">
      <c r="A25" t="str">
        <f>"000030"</f>
        <v>000030</v>
      </c>
      <c r="B25" t="s">
        <v>292</v>
      </c>
      <c r="C25">
        <v>-0.63</v>
      </c>
      <c r="D25">
        <v>4.71</v>
      </c>
      <c r="E25">
        <v>-0.03</v>
      </c>
      <c r="F25">
        <v>4.71</v>
      </c>
      <c r="G25">
        <v>4.72</v>
      </c>
      <c r="H25">
        <v>32746</v>
      </c>
      <c r="I25">
        <v>77</v>
      </c>
      <c r="J25">
        <v>0</v>
      </c>
      <c r="K25">
        <v>0.19</v>
      </c>
      <c r="L25">
        <v>4.74</v>
      </c>
      <c r="M25">
        <v>4.76</v>
      </c>
      <c r="N25">
        <v>4.7</v>
      </c>
      <c r="O25">
        <v>4.74</v>
      </c>
      <c r="P25">
        <v>10.36</v>
      </c>
      <c r="Q25">
        <v>15503613</v>
      </c>
      <c r="R25">
        <v>0.86</v>
      </c>
      <c r="S25" t="s">
        <v>293</v>
      </c>
      <c r="T25" t="s">
        <v>294</v>
      </c>
      <c r="U25">
        <v>1.27</v>
      </c>
      <c r="V25">
        <v>4.7300000000000004</v>
      </c>
      <c r="W25">
        <v>19517</v>
      </c>
      <c r="X25">
        <v>13229</v>
      </c>
      <c r="Y25">
        <v>1.48</v>
      </c>
      <c r="Z25">
        <v>118</v>
      </c>
      <c r="AA25">
        <v>262</v>
      </c>
      <c r="AB25" t="s">
        <v>116</v>
      </c>
      <c r="AC25">
        <v>18500</v>
      </c>
      <c r="AD25">
        <v>0</v>
      </c>
      <c r="AE25" t="s">
        <v>116</v>
      </c>
      <c r="AF25" t="s">
        <v>116</v>
      </c>
      <c r="AG25">
        <v>17.600000000000001</v>
      </c>
      <c r="AH25" t="s">
        <v>295</v>
      </c>
      <c r="AI25" t="s">
        <v>296</v>
      </c>
      <c r="AJ25">
        <v>0.05</v>
      </c>
      <c r="AK25">
        <v>700</v>
      </c>
      <c r="AL25">
        <v>47</v>
      </c>
      <c r="AM25">
        <v>2.9999999999999997E-4</v>
      </c>
      <c r="AN25">
        <v>-1</v>
      </c>
      <c r="AO25">
        <v>-1.88</v>
      </c>
      <c r="AP25">
        <v>1.95</v>
      </c>
      <c r="AQ25">
        <v>0.43</v>
      </c>
      <c r="AR25">
        <v>32.299999999999997</v>
      </c>
      <c r="AS25">
        <v>0.59</v>
      </c>
      <c r="AT25" t="s">
        <v>297</v>
      </c>
      <c r="AU25">
        <v>10.18</v>
      </c>
      <c r="AV25">
        <v>9.67</v>
      </c>
      <c r="AW25">
        <v>0.37</v>
      </c>
      <c r="BA25">
        <v>0</v>
      </c>
      <c r="BB25">
        <v>0.42</v>
      </c>
      <c r="BC25">
        <v>-0.84</v>
      </c>
      <c r="BD25">
        <v>-0.12</v>
      </c>
      <c r="BE25">
        <v>-0.63</v>
      </c>
      <c r="BF25">
        <v>-1.05</v>
      </c>
      <c r="BG25">
        <v>0.21</v>
      </c>
      <c r="BH25">
        <v>-0.52</v>
      </c>
      <c r="BI25">
        <v>20191030</v>
      </c>
      <c r="BJ25">
        <v>19930929</v>
      </c>
      <c r="BK25">
        <v>18.11</v>
      </c>
      <c r="BL25">
        <v>0.48</v>
      </c>
      <c r="BM25" t="s">
        <v>116</v>
      </c>
      <c r="BN25">
        <v>120.73</v>
      </c>
      <c r="BO25">
        <v>63.96</v>
      </c>
      <c r="BP25">
        <v>7.94</v>
      </c>
      <c r="BQ25">
        <v>40.44</v>
      </c>
      <c r="BR25">
        <v>59.52</v>
      </c>
      <c r="BS25">
        <v>21.78</v>
      </c>
      <c r="BT25">
        <v>4.7</v>
      </c>
      <c r="BU25">
        <v>39.729999999999997</v>
      </c>
      <c r="BV25">
        <v>8.1300000000000008</v>
      </c>
      <c r="BW25">
        <v>17.72</v>
      </c>
      <c r="BX25">
        <v>5.17</v>
      </c>
      <c r="BY25">
        <v>68.55</v>
      </c>
      <c r="BZ25">
        <v>58.97</v>
      </c>
      <c r="CA25">
        <v>6.39</v>
      </c>
      <c r="CB25">
        <v>4.1900000000000004</v>
      </c>
      <c r="CC25">
        <v>6.46</v>
      </c>
      <c r="CD25">
        <v>6.09</v>
      </c>
      <c r="CE25">
        <v>6.17</v>
      </c>
      <c r="CF25">
        <v>5.89</v>
      </c>
      <c r="CG25">
        <v>37.799999999999997</v>
      </c>
      <c r="CH25">
        <v>-0.22</v>
      </c>
      <c r="CI25">
        <v>-4.8899999999999997</v>
      </c>
      <c r="CJ25">
        <v>30394</v>
      </c>
      <c r="CK25">
        <v>19740</v>
      </c>
      <c r="CL25" t="s">
        <v>298</v>
      </c>
      <c r="CM25">
        <v>-6.65</v>
      </c>
      <c r="CN25">
        <v>20.51</v>
      </c>
      <c r="CO25">
        <v>1.33</v>
      </c>
      <c r="CP25">
        <v>-390.37</v>
      </c>
      <c r="CQ25">
        <v>1.24</v>
      </c>
      <c r="CR25">
        <v>3.08</v>
      </c>
      <c r="CS25" t="s">
        <v>299</v>
      </c>
      <c r="CT25">
        <v>3.53</v>
      </c>
      <c r="CU25">
        <v>0</v>
      </c>
      <c r="CV25">
        <v>0.28999999999999998</v>
      </c>
      <c r="CW25">
        <v>2.09</v>
      </c>
      <c r="CX25">
        <v>-0.01</v>
      </c>
      <c r="CY25">
        <v>52.98</v>
      </c>
      <c r="CZ25" t="s">
        <v>300</v>
      </c>
      <c r="DA25">
        <v>13.97</v>
      </c>
      <c r="DB25">
        <v>9.33</v>
      </c>
      <c r="DC25">
        <v>9</v>
      </c>
      <c r="DD25">
        <v>1.52</v>
      </c>
      <c r="DE25">
        <v>7560</v>
      </c>
      <c r="DF25">
        <v>30</v>
      </c>
      <c r="DG25" t="s">
        <v>116</v>
      </c>
      <c r="DH25" t="s">
        <v>116</v>
      </c>
      <c r="DI25" t="s">
        <v>116</v>
      </c>
    </row>
    <row r="26" spans="1:113" x14ac:dyDescent="0.4">
      <c r="A26" t="str">
        <f>"000031"</f>
        <v>000031</v>
      </c>
      <c r="B26" t="s">
        <v>301</v>
      </c>
      <c r="C26">
        <v>-0.57999999999999996</v>
      </c>
      <c r="D26">
        <v>6.89</v>
      </c>
      <c r="E26">
        <v>-0.04</v>
      </c>
      <c r="F26">
        <v>6.88</v>
      </c>
      <c r="G26">
        <v>6.89</v>
      </c>
      <c r="H26">
        <v>102075</v>
      </c>
      <c r="I26">
        <v>794</v>
      </c>
      <c r="J26">
        <v>0.15</v>
      </c>
      <c r="K26">
        <v>0.56000000000000005</v>
      </c>
      <c r="L26">
        <v>6.9</v>
      </c>
      <c r="M26">
        <v>6.96</v>
      </c>
      <c r="N26">
        <v>6.86</v>
      </c>
      <c r="O26">
        <v>6.93</v>
      </c>
      <c r="P26">
        <v>8.33</v>
      </c>
      <c r="Q26">
        <v>70520400</v>
      </c>
      <c r="R26">
        <v>0.89</v>
      </c>
      <c r="S26" t="s">
        <v>124</v>
      </c>
      <c r="T26" t="s">
        <v>115</v>
      </c>
      <c r="U26">
        <v>1.44</v>
      </c>
      <c r="V26">
        <v>6.91</v>
      </c>
      <c r="W26">
        <v>58330</v>
      </c>
      <c r="X26">
        <v>43745</v>
      </c>
      <c r="Y26">
        <v>1.33</v>
      </c>
      <c r="Z26">
        <v>509</v>
      </c>
      <c r="AA26">
        <v>142</v>
      </c>
      <c r="AB26" t="s">
        <v>116</v>
      </c>
      <c r="AC26">
        <v>354000</v>
      </c>
      <c r="AD26">
        <v>0.01</v>
      </c>
      <c r="AE26" t="s">
        <v>116</v>
      </c>
      <c r="AF26" t="s">
        <v>116</v>
      </c>
      <c r="AG26">
        <v>18.14</v>
      </c>
      <c r="AH26" t="s">
        <v>302</v>
      </c>
      <c r="AI26" t="s">
        <v>303</v>
      </c>
      <c r="AJ26">
        <v>0.1</v>
      </c>
      <c r="AK26">
        <v>2518</v>
      </c>
      <c r="AL26">
        <v>41</v>
      </c>
      <c r="AM26">
        <v>2.0000000000000001E-4</v>
      </c>
      <c r="AN26">
        <v>-1</v>
      </c>
      <c r="AO26">
        <v>-0.73</v>
      </c>
      <c r="AP26">
        <v>0</v>
      </c>
      <c r="AQ26">
        <v>2.68</v>
      </c>
      <c r="AR26">
        <v>44.44</v>
      </c>
      <c r="AS26">
        <v>1.07</v>
      </c>
      <c r="AT26" t="s">
        <v>304</v>
      </c>
      <c r="AU26">
        <v>12.47</v>
      </c>
      <c r="AV26">
        <v>19.48</v>
      </c>
      <c r="AW26">
        <v>0.75</v>
      </c>
      <c r="BA26">
        <v>-0.43</v>
      </c>
      <c r="BB26">
        <v>0.43</v>
      </c>
      <c r="BC26">
        <v>-1.01</v>
      </c>
      <c r="BD26">
        <v>-0.31</v>
      </c>
      <c r="BE26">
        <v>-0.14000000000000001</v>
      </c>
      <c r="BF26">
        <v>-1.01</v>
      </c>
      <c r="BG26">
        <v>0.44</v>
      </c>
      <c r="BH26">
        <v>-0.27</v>
      </c>
      <c r="BI26">
        <v>20191031</v>
      </c>
      <c r="BJ26">
        <v>19931008</v>
      </c>
      <c r="BK26">
        <v>39.26</v>
      </c>
      <c r="BL26" t="s">
        <v>116</v>
      </c>
      <c r="BM26" t="s">
        <v>116</v>
      </c>
      <c r="BN26">
        <v>1770.63</v>
      </c>
      <c r="BO26">
        <v>172.5</v>
      </c>
      <c r="BP26">
        <v>200.83</v>
      </c>
      <c r="BQ26">
        <v>78.92</v>
      </c>
      <c r="BR26">
        <v>1282.1199999999999</v>
      </c>
      <c r="BS26">
        <v>43.6</v>
      </c>
      <c r="BT26">
        <v>18.93</v>
      </c>
      <c r="BU26">
        <v>828.68</v>
      </c>
      <c r="BV26">
        <v>698.38</v>
      </c>
      <c r="BW26">
        <v>4.8600000000000003</v>
      </c>
      <c r="BX26">
        <v>59.49</v>
      </c>
      <c r="BY26">
        <v>223.32</v>
      </c>
      <c r="BZ26">
        <v>115.22</v>
      </c>
      <c r="CA26">
        <v>56.34</v>
      </c>
      <c r="CB26">
        <v>7.47</v>
      </c>
      <c r="CC26">
        <v>56.42</v>
      </c>
      <c r="CD26">
        <v>37.49</v>
      </c>
      <c r="CE26">
        <v>24.35</v>
      </c>
      <c r="CF26">
        <v>14.58</v>
      </c>
      <c r="CG26">
        <v>64.510000000000005</v>
      </c>
      <c r="CH26">
        <v>26.83</v>
      </c>
      <c r="CI26">
        <v>20.21</v>
      </c>
      <c r="CJ26">
        <v>148776</v>
      </c>
      <c r="CK26">
        <v>6428</v>
      </c>
      <c r="CL26" t="s">
        <v>305</v>
      </c>
      <c r="CM26">
        <v>47.08</v>
      </c>
      <c r="CN26">
        <v>68.28</v>
      </c>
      <c r="CO26">
        <v>1.57</v>
      </c>
      <c r="CP26">
        <v>10.08</v>
      </c>
      <c r="CQ26">
        <v>1.21</v>
      </c>
      <c r="CR26">
        <v>1.6</v>
      </c>
      <c r="CS26" t="s">
        <v>306</v>
      </c>
      <c r="CT26">
        <v>4.3899999999999997</v>
      </c>
      <c r="CU26">
        <v>0</v>
      </c>
      <c r="CV26">
        <v>1.52</v>
      </c>
      <c r="CW26">
        <v>1.64</v>
      </c>
      <c r="CX26">
        <v>0.68</v>
      </c>
      <c r="CY26">
        <v>9.74</v>
      </c>
      <c r="CZ26" t="s">
        <v>307</v>
      </c>
      <c r="DA26">
        <v>48.41</v>
      </c>
      <c r="DB26">
        <v>25.23</v>
      </c>
      <c r="DC26">
        <v>10.91</v>
      </c>
      <c r="DD26">
        <v>0</v>
      </c>
      <c r="DE26">
        <v>4238</v>
      </c>
      <c r="DF26">
        <v>31</v>
      </c>
      <c r="DG26" t="s">
        <v>116</v>
      </c>
      <c r="DH26" t="s">
        <v>116</v>
      </c>
      <c r="DI26" t="s">
        <v>116</v>
      </c>
    </row>
    <row r="27" spans="1:113" x14ac:dyDescent="0.4">
      <c r="A27" t="str">
        <f>"000032"</f>
        <v>000032</v>
      </c>
      <c r="B27" t="s">
        <v>308</v>
      </c>
      <c r="C27">
        <v>-2.68</v>
      </c>
      <c r="D27">
        <v>14.14</v>
      </c>
      <c r="E27">
        <v>-0.39</v>
      </c>
      <c r="F27">
        <v>14.14</v>
      </c>
      <c r="G27">
        <v>14.15</v>
      </c>
      <c r="H27">
        <v>53071</v>
      </c>
      <c r="I27">
        <v>528</v>
      </c>
      <c r="J27">
        <v>-0.06</v>
      </c>
      <c r="K27">
        <v>1.29</v>
      </c>
      <c r="L27">
        <v>14.52</v>
      </c>
      <c r="M27">
        <v>14.64</v>
      </c>
      <c r="N27">
        <v>14.11</v>
      </c>
      <c r="O27">
        <v>14.53</v>
      </c>
      <c r="P27">
        <v>50.12</v>
      </c>
      <c r="Q27">
        <v>75995328</v>
      </c>
      <c r="R27">
        <v>1.21</v>
      </c>
      <c r="S27" t="s">
        <v>233</v>
      </c>
      <c r="T27" t="s">
        <v>115</v>
      </c>
      <c r="U27">
        <v>3.65</v>
      </c>
      <c r="V27">
        <v>14.32</v>
      </c>
      <c r="W27">
        <v>29209</v>
      </c>
      <c r="X27">
        <v>23862</v>
      </c>
      <c r="Y27">
        <v>1.22</v>
      </c>
      <c r="Z27">
        <v>54</v>
      </c>
      <c r="AA27">
        <v>118</v>
      </c>
      <c r="AB27" t="s">
        <v>116</v>
      </c>
      <c r="AC27">
        <v>498000</v>
      </c>
      <c r="AD27">
        <v>0.02</v>
      </c>
      <c r="AE27" t="s">
        <v>116</v>
      </c>
      <c r="AF27" t="s">
        <v>116</v>
      </c>
      <c r="AG27">
        <v>4.1100000000000003</v>
      </c>
      <c r="AH27" t="s">
        <v>309</v>
      </c>
      <c r="AI27" t="s">
        <v>310</v>
      </c>
      <c r="AJ27">
        <v>-2.0099999999999998</v>
      </c>
      <c r="AK27">
        <v>2661</v>
      </c>
      <c r="AL27">
        <v>20</v>
      </c>
      <c r="AM27">
        <v>5.0000000000000001E-4</v>
      </c>
      <c r="AN27">
        <v>-1</v>
      </c>
      <c r="AO27">
        <v>5.45</v>
      </c>
      <c r="AP27">
        <v>8.69</v>
      </c>
      <c r="AQ27">
        <v>22.42</v>
      </c>
      <c r="AR27">
        <v>103.75</v>
      </c>
      <c r="AS27">
        <v>3.19</v>
      </c>
      <c r="AT27" t="s">
        <v>311</v>
      </c>
      <c r="AU27">
        <v>52.66</v>
      </c>
      <c r="AV27">
        <v>54.6</v>
      </c>
      <c r="AW27">
        <v>1.0900000000000001</v>
      </c>
      <c r="BA27">
        <v>-7.0000000000000007E-2</v>
      </c>
      <c r="BB27">
        <v>0.76</v>
      </c>
      <c r="BC27">
        <v>-2.89</v>
      </c>
      <c r="BD27">
        <v>-1.45</v>
      </c>
      <c r="BE27">
        <v>-2.62</v>
      </c>
      <c r="BF27">
        <v>-3.42</v>
      </c>
      <c r="BG27">
        <v>0.21</v>
      </c>
      <c r="BH27">
        <v>-1.24</v>
      </c>
      <c r="BI27">
        <v>20191223</v>
      </c>
      <c r="BJ27">
        <v>19931028</v>
      </c>
      <c r="BK27">
        <v>4.13</v>
      </c>
      <c r="BL27" t="s">
        <v>116</v>
      </c>
      <c r="BM27" t="s">
        <v>116</v>
      </c>
      <c r="BN27">
        <v>21.73</v>
      </c>
      <c r="BO27">
        <v>14.2</v>
      </c>
      <c r="BP27">
        <v>1.66</v>
      </c>
      <c r="BQ27">
        <v>26.97</v>
      </c>
      <c r="BR27">
        <v>16.600000000000001</v>
      </c>
      <c r="BS27">
        <v>0.76</v>
      </c>
      <c r="BT27">
        <v>2.35</v>
      </c>
      <c r="BU27">
        <v>5.72</v>
      </c>
      <c r="BV27">
        <v>3.17</v>
      </c>
      <c r="BW27">
        <v>2.04</v>
      </c>
      <c r="BX27">
        <v>0.7</v>
      </c>
      <c r="BY27">
        <v>10.119999999999999</v>
      </c>
      <c r="BZ27">
        <v>7.87</v>
      </c>
      <c r="CA27">
        <v>1.18</v>
      </c>
      <c r="CB27">
        <v>-0.02</v>
      </c>
      <c r="CC27">
        <v>1.22</v>
      </c>
      <c r="CD27">
        <v>0.9</v>
      </c>
      <c r="CE27">
        <v>0.87</v>
      </c>
      <c r="CF27">
        <v>0.73</v>
      </c>
      <c r="CG27">
        <v>6.86</v>
      </c>
      <c r="CH27">
        <v>0.74</v>
      </c>
      <c r="CI27">
        <v>-1.19</v>
      </c>
      <c r="CJ27">
        <v>17125</v>
      </c>
      <c r="CK27">
        <v>9701</v>
      </c>
      <c r="CL27" t="s">
        <v>312</v>
      </c>
      <c r="CM27">
        <v>4.71</v>
      </c>
      <c r="CN27">
        <v>-13.32</v>
      </c>
      <c r="CO27">
        <v>4.1100000000000003</v>
      </c>
      <c r="CP27">
        <v>78.62</v>
      </c>
      <c r="CQ27">
        <v>5.78</v>
      </c>
      <c r="CR27">
        <v>0.56999999999999995</v>
      </c>
      <c r="CS27" t="s">
        <v>313</v>
      </c>
      <c r="CT27">
        <v>3.44</v>
      </c>
      <c r="CU27">
        <v>0</v>
      </c>
      <c r="CV27">
        <v>0.17</v>
      </c>
      <c r="CW27">
        <v>1.66</v>
      </c>
      <c r="CX27">
        <v>0.18</v>
      </c>
      <c r="CY27">
        <v>65.37</v>
      </c>
      <c r="CZ27" t="s">
        <v>314</v>
      </c>
      <c r="DA27">
        <v>22.25</v>
      </c>
      <c r="DB27">
        <v>11.63</v>
      </c>
      <c r="DC27">
        <v>8.64</v>
      </c>
      <c r="DD27">
        <v>0.12</v>
      </c>
      <c r="DE27">
        <v>457</v>
      </c>
      <c r="DF27">
        <v>32</v>
      </c>
      <c r="DG27" t="s">
        <v>116</v>
      </c>
      <c r="DH27" t="s">
        <v>116</v>
      </c>
      <c r="DI27" t="s">
        <v>116</v>
      </c>
    </row>
    <row r="28" spans="1:113" x14ac:dyDescent="0.4">
      <c r="A28" t="str">
        <f>"000034"</f>
        <v>000034</v>
      </c>
      <c r="B28" t="s">
        <v>315</v>
      </c>
      <c r="C28">
        <v>-0.97</v>
      </c>
      <c r="D28">
        <v>20.399999999999999</v>
      </c>
      <c r="E28">
        <v>-0.2</v>
      </c>
      <c r="F28">
        <v>20.39</v>
      </c>
      <c r="G28">
        <v>20.399999999999999</v>
      </c>
      <c r="H28">
        <v>245891</v>
      </c>
      <c r="I28">
        <v>2044</v>
      </c>
      <c r="J28">
        <v>0.1</v>
      </c>
      <c r="K28">
        <v>5.0599999999999996</v>
      </c>
      <c r="L28">
        <v>20.73</v>
      </c>
      <c r="M28">
        <v>21.48</v>
      </c>
      <c r="N28">
        <v>20.350000000000001</v>
      </c>
      <c r="O28">
        <v>20.6</v>
      </c>
      <c r="P28">
        <v>19.62</v>
      </c>
      <c r="Q28">
        <v>514964992</v>
      </c>
      <c r="R28">
        <v>1.42</v>
      </c>
      <c r="S28" t="s">
        <v>173</v>
      </c>
      <c r="T28" t="s">
        <v>115</v>
      </c>
      <c r="U28">
        <v>5.49</v>
      </c>
      <c r="V28">
        <v>20.94</v>
      </c>
      <c r="W28">
        <v>128058</v>
      </c>
      <c r="X28">
        <v>117833</v>
      </c>
      <c r="Y28">
        <v>1.0900000000000001</v>
      </c>
      <c r="Z28">
        <v>121</v>
      </c>
      <c r="AA28">
        <v>347</v>
      </c>
      <c r="AB28" t="s">
        <v>116</v>
      </c>
      <c r="AC28">
        <v>1600400</v>
      </c>
      <c r="AD28">
        <v>0.02</v>
      </c>
      <c r="AE28" t="s">
        <v>116</v>
      </c>
      <c r="AF28" t="s">
        <v>116</v>
      </c>
      <c r="AG28">
        <v>4.8499999999999996</v>
      </c>
      <c r="AH28" t="s">
        <v>316</v>
      </c>
      <c r="AI28" t="s">
        <v>317</v>
      </c>
      <c r="AJ28">
        <v>-0.28999999999999998</v>
      </c>
      <c r="AK28">
        <v>3908</v>
      </c>
      <c r="AL28">
        <v>63</v>
      </c>
      <c r="AM28">
        <v>1.2999999999999999E-3</v>
      </c>
      <c r="AN28">
        <v>-2</v>
      </c>
      <c r="AO28">
        <v>-1.26</v>
      </c>
      <c r="AP28">
        <v>22.82</v>
      </c>
      <c r="AQ28">
        <v>25.69</v>
      </c>
      <c r="AR28">
        <v>54.58</v>
      </c>
      <c r="AS28">
        <v>7.51</v>
      </c>
      <c r="AT28" t="s">
        <v>318</v>
      </c>
      <c r="AU28">
        <v>19.670000000000002</v>
      </c>
      <c r="AV28">
        <v>26.04</v>
      </c>
      <c r="AW28">
        <v>1.87</v>
      </c>
      <c r="BA28">
        <v>0.63</v>
      </c>
      <c r="BB28">
        <v>4.2699999999999996</v>
      </c>
      <c r="BC28">
        <v>-1.21</v>
      </c>
      <c r="BD28">
        <v>1.66</v>
      </c>
      <c r="BE28">
        <v>-1.59</v>
      </c>
      <c r="BF28">
        <v>-5.03</v>
      </c>
      <c r="BG28">
        <v>0.25</v>
      </c>
      <c r="BH28">
        <v>-2.64</v>
      </c>
      <c r="BI28">
        <v>20191023</v>
      </c>
      <c r="BJ28">
        <v>19940509</v>
      </c>
      <c r="BK28">
        <v>6.54</v>
      </c>
      <c r="BL28" t="s">
        <v>116</v>
      </c>
      <c r="BM28" t="s">
        <v>116</v>
      </c>
      <c r="BN28">
        <v>274.48</v>
      </c>
      <c r="BO28">
        <v>41.95</v>
      </c>
      <c r="BP28">
        <v>0.02</v>
      </c>
      <c r="BQ28">
        <v>84.71</v>
      </c>
      <c r="BR28">
        <v>214.28</v>
      </c>
      <c r="BS28">
        <v>1.55</v>
      </c>
      <c r="BT28">
        <v>24.74</v>
      </c>
      <c r="BU28">
        <v>213.1</v>
      </c>
      <c r="BV28">
        <v>83.32</v>
      </c>
      <c r="BW28">
        <v>75.900000000000006</v>
      </c>
      <c r="BX28">
        <v>23.72</v>
      </c>
      <c r="BY28">
        <v>629.76</v>
      </c>
      <c r="BZ28">
        <v>605.02</v>
      </c>
      <c r="CA28">
        <v>6.42</v>
      </c>
      <c r="CB28">
        <v>1.51</v>
      </c>
      <c r="CC28">
        <v>6.49</v>
      </c>
      <c r="CD28">
        <v>5.0999999999999996</v>
      </c>
      <c r="CE28">
        <v>5.0999999999999996</v>
      </c>
      <c r="CF28">
        <v>4.07</v>
      </c>
      <c r="CG28">
        <v>10.86</v>
      </c>
      <c r="CH28">
        <v>10.52</v>
      </c>
      <c r="CI28">
        <v>7.93</v>
      </c>
      <c r="CJ28">
        <v>35225</v>
      </c>
      <c r="CK28">
        <v>9292</v>
      </c>
      <c r="CL28" t="s">
        <v>319</v>
      </c>
      <c r="CM28">
        <v>48.14</v>
      </c>
      <c r="CN28">
        <v>18.03</v>
      </c>
      <c r="CO28">
        <v>3.18</v>
      </c>
      <c r="CP28">
        <v>12.68</v>
      </c>
      <c r="CQ28">
        <v>0.21</v>
      </c>
      <c r="CR28">
        <v>1.23</v>
      </c>
      <c r="CS28" t="s">
        <v>320</v>
      </c>
      <c r="CT28">
        <v>6.41</v>
      </c>
      <c r="CU28">
        <v>0</v>
      </c>
      <c r="CV28">
        <v>3.63</v>
      </c>
      <c r="CW28">
        <v>1.66</v>
      </c>
      <c r="CX28">
        <v>1.61</v>
      </c>
      <c r="CY28">
        <v>15.28</v>
      </c>
      <c r="CZ28" t="s">
        <v>321</v>
      </c>
      <c r="DA28">
        <v>3.93</v>
      </c>
      <c r="DB28">
        <v>1.02</v>
      </c>
      <c r="DC28">
        <v>0.81</v>
      </c>
      <c r="DD28">
        <v>0.8</v>
      </c>
      <c r="DE28">
        <v>4228</v>
      </c>
      <c r="DF28">
        <v>34</v>
      </c>
      <c r="DG28" t="s">
        <v>116</v>
      </c>
      <c r="DH28" t="s">
        <v>116</v>
      </c>
      <c r="DI28" t="s">
        <v>116</v>
      </c>
    </row>
    <row r="29" spans="1:113" x14ac:dyDescent="0.4">
      <c r="A29" t="str">
        <f>"000035"</f>
        <v>000035</v>
      </c>
      <c r="B29" t="s">
        <v>322</v>
      </c>
      <c r="C29">
        <v>-1.03</v>
      </c>
      <c r="D29">
        <v>5.79</v>
      </c>
      <c r="E29">
        <v>-0.06</v>
      </c>
      <c r="F29">
        <v>5.78</v>
      </c>
      <c r="G29">
        <v>5.79</v>
      </c>
      <c r="H29">
        <v>91385</v>
      </c>
      <c r="I29">
        <v>1942</v>
      </c>
      <c r="J29">
        <v>-0.16</v>
      </c>
      <c r="K29">
        <v>0.71</v>
      </c>
      <c r="L29">
        <v>5.84</v>
      </c>
      <c r="M29">
        <v>5.84</v>
      </c>
      <c r="N29">
        <v>5.79</v>
      </c>
      <c r="O29">
        <v>5.85</v>
      </c>
      <c r="P29">
        <v>28.05</v>
      </c>
      <c r="Q29">
        <v>53130952</v>
      </c>
      <c r="R29">
        <v>0.71</v>
      </c>
      <c r="S29" t="s">
        <v>140</v>
      </c>
      <c r="T29" t="s">
        <v>323</v>
      </c>
      <c r="U29">
        <v>0.85</v>
      </c>
      <c r="V29">
        <v>5.81</v>
      </c>
      <c r="W29">
        <v>52863</v>
      </c>
      <c r="X29">
        <v>38522</v>
      </c>
      <c r="Y29">
        <v>1.37</v>
      </c>
      <c r="Z29">
        <v>3143</v>
      </c>
      <c r="AA29">
        <v>112</v>
      </c>
      <c r="AB29" t="s">
        <v>116</v>
      </c>
      <c r="AC29">
        <v>53100</v>
      </c>
      <c r="AD29">
        <v>0</v>
      </c>
      <c r="AE29" t="s">
        <v>116</v>
      </c>
      <c r="AF29" t="s">
        <v>116</v>
      </c>
      <c r="AG29">
        <v>12.81</v>
      </c>
      <c r="AH29" t="s">
        <v>324</v>
      </c>
      <c r="AI29" t="s">
        <v>325</v>
      </c>
      <c r="AJ29">
        <v>-0.35</v>
      </c>
      <c r="AK29">
        <v>2061</v>
      </c>
      <c r="AL29">
        <v>44</v>
      </c>
      <c r="AM29">
        <v>2.9999999999999997E-4</v>
      </c>
      <c r="AN29">
        <v>-5</v>
      </c>
      <c r="AO29">
        <v>-3.51</v>
      </c>
      <c r="AP29">
        <v>-9.11</v>
      </c>
      <c r="AQ29">
        <v>-0.69</v>
      </c>
      <c r="AR29">
        <v>11.35</v>
      </c>
      <c r="AS29">
        <v>1.18</v>
      </c>
      <c r="AT29" t="s">
        <v>326</v>
      </c>
      <c r="AU29">
        <v>33.17</v>
      </c>
      <c r="AV29">
        <v>67.5</v>
      </c>
      <c r="AW29">
        <v>0.68</v>
      </c>
      <c r="BA29">
        <v>-0.17</v>
      </c>
      <c r="BB29">
        <v>-0.17</v>
      </c>
      <c r="BC29">
        <v>-1.03</v>
      </c>
      <c r="BD29">
        <v>-0.62</v>
      </c>
      <c r="BE29">
        <v>-0.86</v>
      </c>
      <c r="BF29">
        <v>-0.86</v>
      </c>
      <c r="BG29">
        <v>0</v>
      </c>
      <c r="BH29">
        <v>-0.41</v>
      </c>
      <c r="BI29">
        <v>20191223</v>
      </c>
      <c r="BJ29">
        <v>19940408</v>
      </c>
      <c r="BK29">
        <v>25.24</v>
      </c>
      <c r="BL29" t="s">
        <v>116</v>
      </c>
      <c r="BM29" t="s">
        <v>116</v>
      </c>
      <c r="BN29">
        <v>423.03</v>
      </c>
      <c r="BO29">
        <v>99.38</v>
      </c>
      <c r="BP29">
        <v>8.5500000000000007</v>
      </c>
      <c r="BQ29">
        <v>74.489999999999995</v>
      </c>
      <c r="BR29">
        <v>116.55</v>
      </c>
      <c r="BS29">
        <v>71.75</v>
      </c>
      <c r="BT29">
        <v>95.74</v>
      </c>
      <c r="BU29">
        <v>121.88</v>
      </c>
      <c r="BV29">
        <v>6.62</v>
      </c>
      <c r="BW29">
        <v>60.66</v>
      </c>
      <c r="BX29">
        <v>80.67</v>
      </c>
      <c r="BY29">
        <v>130.66999999999999</v>
      </c>
      <c r="BZ29">
        <v>112.21</v>
      </c>
      <c r="CA29">
        <v>7.76</v>
      </c>
      <c r="CB29">
        <v>0.56999999999999995</v>
      </c>
      <c r="CC29">
        <v>7.3</v>
      </c>
      <c r="CD29">
        <v>4.74</v>
      </c>
      <c r="CE29">
        <v>3.91</v>
      </c>
      <c r="CF29">
        <v>4.21</v>
      </c>
      <c r="CG29">
        <v>14.68</v>
      </c>
      <c r="CH29">
        <v>14.91</v>
      </c>
      <c r="CI29">
        <v>19.739999999999998</v>
      </c>
      <c r="CJ29">
        <v>38683</v>
      </c>
      <c r="CK29">
        <v>19991</v>
      </c>
      <c r="CL29" t="s">
        <v>327</v>
      </c>
      <c r="CM29">
        <v>134.43</v>
      </c>
      <c r="CN29">
        <v>855.67</v>
      </c>
      <c r="CO29">
        <v>1.42</v>
      </c>
      <c r="CP29">
        <v>9.8000000000000007</v>
      </c>
      <c r="CQ29">
        <v>1.1200000000000001</v>
      </c>
      <c r="CR29">
        <v>0</v>
      </c>
      <c r="CS29" t="s">
        <v>328</v>
      </c>
      <c r="CT29">
        <v>4.07</v>
      </c>
      <c r="CU29">
        <v>4.07</v>
      </c>
      <c r="CV29">
        <v>3.2</v>
      </c>
      <c r="CW29">
        <v>0.57999999999999996</v>
      </c>
      <c r="CX29">
        <v>0.59</v>
      </c>
      <c r="CY29">
        <v>23.49</v>
      </c>
      <c r="CZ29" t="s">
        <v>329</v>
      </c>
      <c r="DA29">
        <v>14.13</v>
      </c>
      <c r="DB29">
        <v>5.94</v>
      </c>
      <c r="DC29">
        <v>2.99</v>
      </c>
      <c r="DD29">
        <v>0.6</v>
      </c>
      <c r="DE29">
        <v>8631</v>
      </c>
      <c r="DF29">
        <v>35</v>
      </c>
      <c r="DG29" t="s">
        <v>116</v>
      </c>
      <c r="DH29" t="s">
        <v>116</v>
      </c>
      <c r="DI29" t="s">
        <v>116</v>
      </c>
    </row>
    <row r="30" spans="1:113" x14ac:dyDescent="0.4">
      <c r="A30" t="str">
        <f>"000036"</f>
        <v>000036</v>
      </c>
      <c r="B30" t="s">
        <v>330</v>
      </c>
      <c r="C30">
        <v>-1.41</v>
      </c>
      <c r="D30">
        <v>4.2</v>
      </c>
      <c r="E30">
        <v>-0.06</v>
      </c>
      <c r="F30">
        <v>4.2</v>
      </c>
      <c r="G30">
        <v>4.21</v>
      </c>
      <c r="H30">
        <v>57782</v>
      </c>
      <c r="I30">
        <v>601</v>
      </c>
      <c r="J30">
        <v>-0.23</v>
      </c>
      <c r="K30">
        <v>0.39</v>
      </c>
      <c r="L30">
        <v>4.25</v>
      </c>
      <c r="M30">
        <v>4.28</v>
      </c>
      <c r="N30">
        <v>4.2</v>
      </c>
      <c r="O30">
        <v>4.26</v>
      </c>
      <c r="P30">
        <v>7.68</v>
      </c>
      <c r="Q30">
        <v>24459404</v>
      </c>
      <c r="R30">
        <v>0.94</v>
      </c>
      <c r="S30" t="s">
        <v>124</v>
      </c>
      <c r="T30" t="s">
        <v>115</v>
      </c>
      <c r="U30">
        <v>1.88</v>
      </c>
      <c r="V30">
        <v>4.2300000000000004</v>
      </c>
      <c r="W30">
        <v>39647</v>
      </c>
      <c r="X30">
        <v>18135</v>
      </c>
      <c r="Y30">
        <v>2.19</v>
      </c>
      <c r="Z30">
        <v>2080</v>
      </c>
      <c r="AA30">
        <v>2887</v>
      </c>
      <c r="AB30" t="s">
        <v>116</v>
      </c>
      <c r="AC30">
        <v>108400</v>
      </c>
      <c r="AD30">
        <v>0</v>
      </c>
      <c r="AE30" t="s">
        <v>116</v>
      </c>
      <c r="AF30" t="s">
        <v>116</v>
      </c>
      <c r="AG30">
        <v>14.75</v>
      </c>
      <c r="AH30" t="s">
        <v>331</v>
      </c>
      <c r="AI30" t="s">
        <v>332</v>
      </c>
      <c r="AJ30">
        <v>-0.73</v>
      </c>
      <c r="AK30">
        <v>1114</v>
      </c>
      <c r="AL30">
        <v>52</v>
      </c>
      <c r="AM30">
        <v>4.0000000000000002E-4</v>
      </c>
      <c r="AN30">
        <v>-1</v>
      </c>
      <c r="AO30">
        <v>0.96</v>
      </c>
      <c r="AP30">
        <v>6.87</v>
      </c>
      <c r="AQ30">
        <v>1.45</v>
      </c>
      <c r="AR30">
        <v>11.2</v>
      </c>
      <c r="AS30">
        <v>0.59</v>
      </c>
      <c r="AT30" t="s">
        <v>333</v>
      </c>
      <c r="AU30">
        <v>7.43</v>
      </c>
      <c r="AV30">
        <v>6.43</v>
      </c>
      <c r="AW30">
        <v>0.77</v>
      </c>
      <c r="BA30">
        <v>-0.23</v>
      </c>
      <c r="BB30">
        <v>0.47</v>
      </c>
      <c r="BC30">
        <v>-1.41</v>
      </c>
      <c r="BD30">
        <v>-0.63</v>
      </c>
      <c r="BE30">
        <v>-1.18</v>
      </c>
      <c r="BF30">
        <v>-1.87</v>
      </c>
      <c r="BG30">
        <v>0</v>
      </c>
      <c r="BH30">
        <v>-0.78</v>
      </c>
      <c r="BI30">
        <v>20191112</v>
      </c>
      <c r="BJ30">
        <v>19940617</v>
      </c>
      <c r="BK30">
        <v>14.84</v>
      </c>
      <c r="BL30" t="s">
        <v>116</v>
      </c>
      <c r="BM30" t="s">
        <v>116</v>
      </c>
      <c r="BN30">
        <v>121.46</v>
      </c>
      <c r="BO30">
        <v>47.39</v>
      </c>
      <c r="BP30">
        <v>6.8</v>
      </c>
      <c r="BQ30">
        <v>55.39</v>
      </c>
      <c r="BR30">
        <v>98.41</v>
      </c>
      <c r="BS30">
        <v>8.2200000000000006</v>
      </c>
      <c r="BT30">
        <v>0.05</v>
      </c>
      <c r="BU30">
        <v>47.27</v>
      </c>
      <c r="BV30">
        <v>34.630000000000003</v>
      </c>
      <c r="BW30">
        <v>0.31</v>
      </c>
      <c r="BX30">
        <v>2.3199999999999998</v>
      </c>
      <c r="BY30">
        <v>22.53</v>
      </c>
      <c r="BZ30">
        <v>5.59</v>
      </c>
      <c r="CA30">
        <v>8.89</v>
      </c>
      <c r="CB30">
        <v>0.09</v>
      </c>
      <c r="CC30">
        <v>8.99</v>
      </c>
      <c r="CD30">
        <v>6.64</v>
      </c>
      <c r="CE30">
        <v>6.09</v>
      </c>
      <c r="CF30">
        <v>5.87</v>
      </c>
      <c r="CG30">
        <v>25.9</v>
      </c>
      <c r="CH30">
        <v>13.34</v>
      </c>
      <c r="CI30">
        <v>6.77</v>
      </c>
      <c r="CJ30">
        <v>63173</v>
      </c>
      <c r="CK30">
        <v>15547</v>
      </c>
      <c r="CL30" t="s">
        <v>334</v>
      </c>
      <c r="CM30">
        <v>-17.57</v>
      </c>
      <c r="CN30">
        <v>-16.88</v>
      </c>
      <c r="CO30">
        <v>1.32</v>
      </c>
      <c r="CP30">
        <v>4.67</v>
      </c>
      <c r="CQ30">
        <v>2.77</v>
      </c>
      <c r="CR30">
        <v>10.99</v>
      </c>
      <c r="CS30" t="s">
        <v>335</v>
      </c>
      <c r="CT30">
        <v>3.19</v>
      </c>
      <c r="CU30">
        <v>0</v>
      </c>
      <c r="CV30">
        <v>0.16</v>
      </c>
      <c r="CW30">
        <v>1.75</v>
      </c>
      <c r="CX30">
        <v>0.9</v>
      </c>
      <c r="CY30">
        <v>39.020000000000003</v>
      </c>
      <c r="CZ30" t="s">
        <v>336</v>
      </c>
      <c r="DA30">
        <v>75.180000000000007</v>
      </c>
      <c r="DB30">
        <v>39.44</v>
      </c>
      <c r="DC30">
        <v>27.01</v>
      </c>
      <c r="DD30">
        <v>0</v>
      </c>
      <c r="DE30">
        <v>835</v>
      </c>
      <c r="DF30">
        <v>36</v>
      </c>
      <c r="DG30" t="s">
        <v>116</v>
      </c>
      <c r="DH30" t="s">
        <v>116</v>
      </c>
      <c r="DI30" t="s">
        <v>116</v>
      </c>
    </row>
    <row r="31" spans="1:113" x14ac:dyDescent="0.4">
      <c r="A31" t="str">
        <f>"000037"</f>
        <v>000037</v>
      </c>
      <c r="B31" t="s">
        <v>337</v>
      </c>
      <c r="C31">
        <v>0.88</v>
      </c>
      <c r="D31">
        <v>12.65</v>
      </c>
      <c r="E31">
        <v>0.11</v>
      </c>
      <c r="F31">
        <v>12.63</v>
      </c>
      <c r="G31">
        <v>12.65</v>
      </c>
      <c r="H31">
        <v>19935</v>
      </c>
      <c r="I31">
        <v>174</v>
      </c>
      <c r="J31">
        <v>0.4</v>
      </c>
      <c r="K31">
        <v>0.59</v>
      </c>
      <c r="L31">
        <v>12.54</v>
      </c>
      <c r="M31">
        <v>12.79</v>
      </c>
      <c r="N31">
        <v>12.49</v>
      </c>
      <c r="O31">
        <v>12.54</v>
      </c>
      <c r="P31">
        <v>670.94</v>
      </c>
      <c r="Q31">
        <v>25222732</v>
      </c>
      <c r="R31">
        <v>0.65</v>
      </c>
      <c r="S31" t="s">
        <v>271</v>
      </c>
      <c r="T31" t="s">
        <v>115</v>
      </c>
      <c r="U31">
        <v>2.39</v>
      </c>
      <c r="V31">
        <v>12.65</v>
      </c>
      <c r="W31">
        <v>10918</v>
      </c>
      <c r="X31">
        <v>9017</v>
      </c>
      <c r="Y31">
        <v>1.21</v>
      </c>
      <c r="Z31">
        <v>5</v>
      </c>
      <c r="AA31">
        <v>41</v>
      </c>
      <c r="AB31" t="s">
        <v>116</v>
      </c>
      <c r="AC31">
        <v>7500</v>
      </c>
      <c r="AD31">
        <v>0</v>
      </c>
      <c r="AE31" t="s">
        <v>116</v>
      </c>
      <c r="AF31" t="s">
        <v>116</v>
      </c>
      <c r="AG31">
        <v>3.39</v>
      </c>
      <c r="AH31" t="s">
        <v>338</v>
      </c>
      <c r="AI31" t="s">
        <v>339</v>
      </c>
      <c r="AJ31">
        <v>1.56</v>
      </c>
      <c r="AK31">
        <v>1052</v>
      </c>
      <c r="AL31">
        <v>19</v>
      </c>
      <c r="AM31">
        <v>5.9999999999999995E-4</v>
      </c>
      <c r="AN31">
        <v>2</v>
      </c>
      <c r="AO31">
        <v>-0.31</v>
      </c>
      <c r="AP31">
        <v>9.7100000000000009</v>
      </c>
      <c r="AQ31">
        <v>-9.51</v>
      </c>
      <c r="AR31">
        <v>165.76</v>
      </c>
      <c r="AS31">
        <v>1</v>
      </c>
      <c r="AT31" t="s">
        <v>340</v>
      </c>
      <c r="AU31" t="s">
        <v>116</v>
      </c>
      <c r="AV31">
        <v>396.02</v>
      </c>
      <c r="AW31">
        <v>0.93</v>
      </c>
      <c r="BA31">
        <v>0</v>
      </c>
      <c r="BB31">
        <v>1.99</v>
      </c>
      <c r="BC31">
        <v>-0.4</v>
      </c>
      <c r="BD31">
        <v>0.9</v>
      </c>
      <c r="BE31">
        <v>0.88</v>
      </c>
      <c r="BF31">
        <v>-1.0900000000000001</v>
      </c>
      <c r="BG31">
        <v>1.28</v>
      </c>
      <c r="BH31">
        <v>-0.02</v>
      </c>
      <c r="BI31">
        <v>20191224</v>
      </c>
      <c r="BJ31">
        <v>19940701</v>
      </c>
      <c r="BK31">
        <v>6.03</v>
      </c>
      <c r="BL31">
        <v>2.64</v>
      </c>
      <c r="BM31" t="s">
        <v>116</v>
      </c>
      <c r="BN31">
        <v>33.76</v>
      </c>
      <c r="BO31">
        <v>19.86</v>
      </c>
      <c r="BP31">
        <v>0.54</v>
      </c>
      <c r="BQ31">
        <v>39.57</v>
      </c>
      <c r="BR31">
        <v>17.68</v>
      </c>
      <c r="BS31">
        <v>13.99</v>
      </c>
      <c r="BT31">
        <v>0.44</v>
      </c>
      <c r="BU31">
        <v>11.8</v>
      </c>
      <c r="BV31">
        <v>1.28</v>
      </c>
      <c r="BW31">
        <v>1.99</v>
      </c>
      <c r="BX31">
        <v>3.63</v>
      </c>
      <c r="BY31">
        <v>8.17</v>
      </c>
      <c r="BZ31">
        <v>7.21</v>
      </c>
      <c r="CA31">
        <v>0.05</v>
      </c>
      <c r="CB31">
        <v>-0.01</v>
      </c>
      <c r="CC31">
        <v>0.05</v>
      </c>
      <c r="CD31">
        <v>0.03</v>
      </c>
      <c r="CE31">
        <v>0.09</v>
      </c>
      <c r="CF31">
        <v>0.04</v>
      </c>
      <c r="CG31">
        <v>6.88</v>
      </c>
      <c r="CH31">
        <v>0.84</v>
      </c>
      <c r="CI31">
        <v>0.48</v>
      </c>
      <c r="CJ31">
        <v>24724</v>
      </c>
      <c r="CK31">
        <v>18766</v>
      </c>
      <c r="CL31" t="s">
        <v>341</v>
      </c>
      <c r="CM31">
        <v>-77.069999999999993</v>
      </c>
      <c r="CN31">
        <v>-49.56</v>
      </c>
      <c r="CO31">
        <v>3.84</v>
      </c>
      <c r="CP31">
        <v>91.25</v>
      </c>
      <c r="CQ31">
        <v>9.33</v>
      </c>
      <c r="CR31">
        <v>0</v>
      </c>
      <c r="CS31" t="s">
        <v>342</v>
      </c>
      <c r="CT31">
        <v>3.3</v>
      </c>
      <c r="CU31">
        <v>0</v>
      </c>
      <c r="CV31">
        <v>0.6</v>
      </c>
      <c r="CW31">
        <v>1.1399999999999999</v>
      </c>
      <c r="CX31">
        <v>0.14000000000000001</v>
      </c>
      <c r="CY31">
        <v>58.84</v>
      </c>
      <c r="CZ31" t="s">
        <v>343</v>
      </c>
      <c r="DA31">
        <v>11.72</v>
      </c>
      <c r="DB31">
        <v>0.57999999999999996</v>
      </c>
      <c r="DC31">
        <v>1.04</v>
      </c>
      <c r="DD31">
        <v>0</v>
      </c>
      <c r="DE31">
        <v>520</v>
      </c>
      <c r="DF31">
        <v>37</v>
      </c>
      <c r="DG31" t="s">
        <v>116</v>
      </c>
      <c r="DH31" t="s">
        <v>116</v>
      </c>
      <c r="DI31" t="s">
        <v>116</v>
      </c>
    </row>
    <row r="32" spans="1:113" x14ac:dyDescent="0.4">
      <c r="A32" t="str">
        <f>"000038"</f>
        <v>000038</v>
      </c>
      <c r="B32" t="s">
        <v>344</v>
      </c>
      <c r="C32">
        <v>-1.56</v>
      </c>
      <c r="D32">
        <v>12</v>
      </c>
      <c r="E32">
        <v>-0.19</v>
      </c>
      <c r="F32">
        <v>11.99</v>
      </c>
      <c r="G32">
        <v>12</v>
      </c>
      <c r="H32">
        <v>104126</v>
      </c>
      <c r="I32">
        <v>920</v>
      </c>
      <c r="J32">
        <v>0.08</v>
      </c>
      <c r="K32">
        <v>4.5</v>
      </c>
      <c r="L32">
        <v>12.19</v>
      </c>
      <c r="M32">
        <v>12.32</v>
      </c>
      <c r="N32">
        <v>11.97</v>
      </c>
      <c r="O32">
        <v>12.19</v>
      </c>
      <c r="P32">
        <v>2852.9</v>
      </c>
      <c r="Q32">
        <v>126179688</v>
      </c>
      <c r="R32">
        <v>1.01</v>
      </c>
      <c r="S32" t="s">
        <v>345</v>
      </c>
      <c r="T32" t="s">
        <v>115</v>
      </c>
      <c r="U32">
        <v>2.87</v>
      </c>
      <c r="V32">
        <v>12.12</v>
      </c>
      <c r="W32">
        <v>56940</v>
      </c>
      <c r="X32">
        <v>47186</v>
      </c>
      <c r="Y32">
        <v>1.21</v>
      </c>
      <c r="Z32">
        <v>803</v>
      </c>
      <c r="AA32">
        <v>383</v>
      </c>
      <c r="AB32" t="s">
        <v>116</v>
      </c>
      <c r="AC32">
        <v>260900</v>
      </c>
      <c r="AD32">
        <v>0.02</v>
      </c>
      <c r="AE32" t="s">
        <v>116</v>
      </c>
      <c r="AF32" t="s">
        <v>116</v>
      </c>
      <c r="AG32">
        <v>2.3199999999999998</v>
      </c>
      <c r="AH32" t="s">
        <v>346</v>
      </c>
      <c r="AI32" t="s">
        <v>347</v>
      </c>
      <c r="AJ32">
        <v>-0.88</v>
      </c>
      <c r="AK32">
        <v>2721</v>
      </c>
      <c r="AL32">
        <v>38</v>
      </c>
      <c r="AM32">
        <v>1.6999999999999999E-3</v>
      </c>
      <c r="AN32">
        <v>-3</v>
      </c>
      <c r="AO32">
        <v>-2.2000000000000002</v>
      </c>
      <c r="AP32">
        <v>-0.41</v>
      </c>
      <c r="AQ32">
        <v>-0.91</v>
      </c>
      <c r="AR32">
        <v>-5.96</v>
      </c>
      <c r="AS32">
        <v>7.46</v>
      </c>
      <c r="AT32" t="s">
        <v>348</v>
      </c>
      <c r="AU32" t="s">
        <v>116</v>
      </c>
      <c r="AV32" t="s">
        <v>116</v>
      </c>
      <c r="AW32">
        <v>1.7</v>
      </c>
      <c r="BA32">
        <v>0</v>
      </c>
      <c r="BB32">
        <v>1.07</v>
      </c>
      <c r="BC32">
        <v>-1.8</v>
      </c>
      <c r="BD32">
        <v>-0.59</v>
      </c>
      <c r="BE32">
        <v>-1.56</v>
      </c>
      <c r="BF32">
        <v>-2.6</v>
      </c>
      <c r="BG32">
        <v>0.25</v>
      </c>
      <c r="BH32">
        <v>-0.97</v>
      </c>
      <c r="BI32">
        <v>20191223</v>
      </c>
      <c r="BJ32">
        <v>19940808</v>
      </c>
      <c r="BK32">
        <v>5.23</v>
      </c>
      <c r="BL32" t="s">
        <v>116</v>
      </c>
      <c r="BM32" t="s">
        <v>116</v>
      </c>
      <c r="BN32">
        <v>31.65</v>
      </c>
      <c r="BO32">
        <v>28.35</v>
      </c>
      <c r="BP32">
        <v>-0.04</v>
      </c>
      <c r="BQ32">
        <v>10.55</v>
      </c>
      <c r="BR32">
        <v>24.12</v>
      </c>
      <c r="BS32">
        <v>0.42</v>
      </c>
      <c r="BT32">
        <v>0.56999999999999995</v>
      </c>
      <c r="BU32">
        <v>3.17</v>
      </c>
      <c r="BV32">
        <v>1.48</v>
      </c>
      <c r="BW32">
        <v>5.52</v>
      </c>
      <c r="BX32">
        <v>43.13</v>
      </c>
      <c r="BY32">
        <v>14.74</v>
      </c>
      <c r="BZ32">
        <v>13.77</v>
      </c>
      <c r="CA32">
        <v>0.18</v>
      </c>
      <c r="CB32">
        <v>0.01</v>
      </c>
      <c r="CC32">
        <v>0.17</v>
      </c>
      <c r="CD32">
        <v>0.02</v>
      </c>
      <c r="CE32">
        <v>0.02</v>
      </c>
      <c r="CF32">
        <v>0.01</v>
      </c>
      <c r="CG32">
        <v>-20.39</v>
      </c>
      <c r="CH32">
        <v>-0.7</v>
      </c>
      <c r="CI32">
        <v>-4.1100000000000003</v>
      </c>
      <c r="CJ32">
        <v>36726</v>
      </c>
      <c r="CK32">
        <v>3803</v>
      </c>
      <c r="CL32" t="s">
        <v>349</v>
      </c>
      <c r="CM32">
        <v>-99.25</v>
      </c>
      <c r="CN32">
        <v>-29.78</v>
      </c>
      <c r="CO32">
        <v>2.21</v>
      </c>
      <c r="CP32">
        <v>-90.2</v>
      </c>
      <c r="CQ32">
        <v>4.26</v>
      </c>
      <c r="CR32">
        <v>0</v>
      </c>
      <c r="CS32" t="s">
        <v>350</v>
      </c>
      <c r="CT32">
        <v>5.42</v>
      </c>
      <c r="CU32">
        <v>0</v>
      </c>
      <c r="CV32">
        <v>8.25</v>
      </c>
      <c r="CW32">
        <v>-3.9</v>
      </c>
      <c r="CX32">
        <v>-0.13</v>
      </c>
      <c r="CY32">
        <v>89.58</v>
      </c>
      <c r="CZ32" t="s">
        <v>351</v>
      </c>
      <c r="DA32">
        <v>6.57</v>
      </c>
      <c r="DB32">
        <v>1.25</v>
      </c>
      <c r="DC32">
        <v>0.11</v>
      </c>
      <c r="DD32">
        <v>0.01</v>
      </c>
      <c r="DE32">
        <v>246</v>
      </c>
      <c r="DF32">
        <v>38</v>
      </c>
      <c r="DG32" t="s">
        <v>116</v>
      </c>
      <c r="DH32" t="s">
        <v>116</v>
      </c>
      <c r="DI32" t="s">
        <v>116</v>
      </c>
    </row>
    <row r="33" spans="1:113" x14ac:dyDescent="0.4">
      <c r="A33" t="str">
        <f>"000039"</f>
        <v>000039</v>
      </c>
      <c r="B33" t="s">
        <v>352</v>
      </c>
      <c r="C33">
        <v>0.5</v>
      </c>
      <c r="D33">
        <v>10.06</v>
      </c>
      <c r="E33">
        <v>0.05</v>
      </c>
      <c r="F33">
        <v>10.06</v>
      </c>
      <c r="G33">
        <v>10.08</v>
      </c>
      <c r="H33">
        <v>70176</v>
      </c>
      <c r="I33">
        <v>619</v>
      </c>
      <c r="J33">
        <v>-0.19</v>
      </c>
      <c r="K33">
        <v>0.46</v>
      </c>
      <c r="L33">
        <v>10.02</v>
      </c>
      <c r="M33">
        <v>10.27</v>
      </c>
      <c r="N33">
        <v>10.01</v>
      </c>
      <c r="O33">
        <v>10.01</v>
      </c>
      <c r="P33">
        <v>42.49</v>
      </c>
      <c r="Q33">
        <v>71269520</v>
      </c>
      <c r="R33">
        <v>1.52</v>
      </c>
      <c r="S33" t="s">
        <v>353</v>
      </c>
      <c r="T33" t="s">
        <v>115</v>
      </c>
      <c r="U33">
        <v>2.6</v>
      </c>
      <c r="V33">
        <v>10.16</v>
      </c>
      <c r="W33">
        <v>28272</v>
      </c>
      <c r="X33">
        <v>41904</v>
      </c>
      <c r="Y33">
        <v>0.67</v>
      </c>
      <c r="Z33">
        <v>1096</v>
      </c>
      <c r="AA33">
        <v>981</v>
      </c>
      <c r="AB33" t="s">
        <v>116</v>
      </c>
      <c r="AC33">
        <v>76000</v>
      </c>
      <c r="AD33">
        <v>0</v>
      </c>
      <c r="AE33" t="s">
        <v>116</v>
      </c>
      <c r="AF33" t="s">
        <v>116</v>
      </c>
      <c r="AG33">
        <v>15.23</v>
      </c>
      <c r="AH33" t="s">
        <v>354</v>
      </c>
      <c r="AI33" t="s">
        <v>355</v>
      </c>
      <c r="AJ33">
        <v>1.18</v>
      </c>
      <c r="AK33">
        <v>2239</v>
      </c>
      <c r="AL33">
        <v>31</v>
      </c>
      <c r="AM33">
        <v>2.0000000000000001E-4</v>
      </c>
      <c r="AN33">
        <v>4</v>
      </c>
      <c r="AO33">
        <v>0.9</v>
      </c>
      <c r="AP33">
        <v>4.3600000000000003</v>
      </c>
      <c r="AQ33">
        <v>2.86</v>
      </c>
      <c r="AR33">
        <v>20.36</v>
      </c>
      <c r="AS33">
        <v>0.7</v>
      </c>
      <c r="AT33" t="s">
        <v>356</v>
      </c>
      <c r="AU33">
        <v>21.21</v>
      </c>
      <c r="AV33">
        <v>10.66</v>
      </c>
      <c r="AW33">
        <v>0.4</v>
      </c>
      <c r="BA33">
        <v>0.1</v>
      </c>
      <c r="BB33">
        <v>2.6</v>
      </c>
      <c r="BC33">
        <v>0</v>
      </c>
      <c r="BD33">
        <v>1.46</v>
      </c>
      <c r="BE33">
        <v>0.4</v>
      </c>
      <c r="BF33">
        <v>-2.04</v>
      </c>
      <c r="BG33">
        <v>0.5</v>
      </c>
      <c r="BH33">
        <v>-0.96</v>
      </c>
      <c r="BI33">
        <v>20191204</v>
      </c>
      <c r="BJ33">
        <v>19940408</v>
      </c>
      <c r="BK33">
        <v>35.840000000000003</v>
      </c>
      <c r="BL33" t="s">
        <v>116</v>
      </c>
      <c r="BM33">
        <v>20.6</v>
      </c>
      <c r="BN33">
        <v>1670.02</v>
      </c>
      <c r="BO33">
        <v>382.04</v>
      </c>
      <c r="BP33">
        <v>174.1</v>
      </c>
      <c r="BQ33">
        <v>66.7</v>
      </c>
      <c r="BR33">
        <v>812.86</v>
      </c>
      <c r="BS33">
        <v>240.43</v>
      </c>
      <c r="BT33">
        <v>48.64</v>
      </c>
      <c r="BU33">
        <v>717.6</v>
      </c>
      <c r="BV33">
        <v>316.08999999999997</v>
      </c>
      <c r="BW33">
        <v>184.43</v>
      </c>
      <c r="BX33">
        <v>49.76</v>
      </c>
      <c r="BY33">
        <v>616.6</v>
      </c>
      <c r="BZ33">
        <v>532.16999999999996</v>
      </c>
      <c r="CA33">
        <v>17.28</v>
      </c>
      <c r="CB33">
        <v>0.96</v>
      </c>
      <c r="CC33">
        <v>20.079999999999998</v>
      </c>
      <c r="CD33">
        <v>12.22</v>
      </c>
      <c r="CE33">
        <v>6.36</v>
      </c>
      <c r="CF33">
        <v>3.99</v>
      </c>
      <c r="CG33">
        <v>209.27</v>
      </c>
      <c r="CH33">
        <v>-5.21</v>
      </c>
      <c r="CI33">
        <v>-27.61</v>
      </c>
      <c r="CJ33">
        <v>85488</v>
      </c>
      <c r="CK33">
        <v>11749</v>
      </c>
      <c r="CL33" t="s">
        <v>357</v>
      </c>
      <c r="CM33">
        <v>-72.540000000000006</v>
      </c>
      <c r="CN33">
        <v>-7.84</v>
      </c>
      <c r="CO33">
        <v>1.06</v>
      </c>
      <c r="CP33">
        <v>-69.209999999999994</v>
      </c>
      <c r="CQ33">
        <v>0.57999999999999996</v>
      </c>
      <c r="CR33">
        <v>4.55</v>
      </c>
      <c r="CS33" t="s">
        <v>358</v>
      </c>
      <c r="CT33">
        <v>9.5</v>
      </c>
      <c r="CU33">
        <v>9.5</v>
      </c>
      <c r="CV33">
        <v>1.39</v>
      </c>
      <c r="CW33">
        <v>5.84</v>
      </c>
      <c r="CX33">
        <v>-0.15</v>
      </c>
      <c r="CY33">
        <v>22.88</v>
      </c>
      <c r="CZ33" t="s">
        <v>359</v>
      </c>
      <c r="DA33">
        <v>13.69</v>
      </c>
      <c r="DB33">
        <v>2.8</v>
      </c>
      <c r="DC33">
        <v>1.03</v>
      </c>
      <c r="DD33">
        <v>9</v>
      </c>
      <c r="DE33">
        <v>51253</v>
      </c>
      <c r="DF33">
        <v>39</v>
      </c>
      <c r="DG33" t="s">
        <v>116</v>
      </c>
      <c r="DH33" t="s">
        <v>116</v>
      </c>
      <c r="DI33" t="s">
        <v>116</v>
      </c>
    </row>
    <row r="34" spans="1:113" x14ac:dyDescent="0.4">
      <c r="A34" t="str">
        <f>"000040"</f>
        <v>000040</v>
      </c>
      <c r="B34" t="s">
        <v>360</v>
      </c>
      <c r="C34">
        <v>9.92</v>
      </c>
      <c r="D34">
        <v>4.32</v>
      </c>
      <c r="E34">
        <v>0.39</v>
      </c>
      <c r="F34">
        <v>4.32</v>
      </c>
      <c r="G34" t="s">
        <v>116</v>
      </c>
      <c r="H34">
        <v>1435902</v>
      </c>
      <c r="I34">
        <v>1321</v>
      </c>
      <c r="J34">
        <v>0</v>
      </c>
      <c r="K34">
        <v>13.54</v>
      </c>
      <c r="L34">
        <v>3.95</v>
      </c>
      <c r="M34">
        <v>4.32</v>
      </c>
      <c r="N34">
        <v>3.94</v>
      </c>
      <c r="O34">
        <v>3.93</v>
      </c>
      <c r="P34">
        <v>65.39</v>
      </c>
      <c r="Q34">
        <v>608694784</v>
      </c>
      <c r="R34">
        <v>3.08</v>
      </c>
      <c r="S34" t="s">
        <v>361</v>
      </c>
      <c r="T34" t="s">
        <v>115</v>
      </c>
      <c r="U34">
        <v>9.67</v>
      </c>
      <c r="V34">
        <v>4.24</v>
      </c>
      <c r="W34">
        <v>686524</v>
      </c>
      <c r="X34">
        <v>749378</v>
      </c>
      <c r="Y34">
        <v>0.92</v>
      </c>
      <c r="Z34">
        <v>32505</v>
      </c>
      <c r="AA34">
        <v>0</v>
      </c>
      <c r="AB34" t="s">
        <v>116</v>
      </c>
      <c r="AC34">
        <v>754100</v>
      </c>
      <c r="AD34">
        <v>0.02</v>
      </c>
      <c r="AE34">
        <v>0.02</v>
      </c>
      <c r="AF34">
        <v>14042161</v>
      </c>
      <c r="AG34">
        <v>10.6</v>
      </c>
      <c r="AH34" t="s">
        <v>362</v>
      </c>
      <c r="AI34" t="s">
        <v>363</v>
      </c>
      <c r="AJ34">
        <v>10.6</v>
      </c>
      <c r="AK34">
        <v>3711</v>
      </c>
      <c r="AL34">
        <v>387</v>
      </c>
      <c r="AM34">
        <v>3.5999999999999999E-3</v>
      </c>
      <c r="AN34">
        <v>1</v>
      </c>
      <c r="AO34">
        <v>7.2</v>
      </c>
      <c r="AP34">
        <v>16.13</v>
      </c>
      <c r="AQ34">
        <v>-16.920000000000002</v>
      </c>
      <c r="AR34">
        <v>-39.619999999999997</v>
      </c>
      <c r="AS34">
        <v>15.89</v>
      </c>
      <c r="AT34" t="s">
        <v>364</v>
      </c>
      <c r="AU34" t="s">
        <v>116</v>
      </c>
      <c r="AV34">
        <v>5.75</v>
      </c>
      <c r="AW34">
        <v>1.24</v>
      </c>
      <c r="BA34">
        <v>0.51</v>
      </c>
      <c r="BB34">
        <v>9.92</v>
      </c>
      <c r="BC34">
        <v>0.25</v>
      </c>
      <c r="BD34">
        <v>7.87</v>
      </c>
      <c r="BE34">
        <v>9.3699999999999992</v>
      </c>
      <c r="BF34">
        <v>0</v>
      </c>
      <c r="BG34">
        <v>9.64</v>
      </c>
      <c r="BH34">
        <v>2.06</v>
      </c>
      <c r="BI34">
        <v>20191129</v>
      </c>
      <c r="BJ34">
        <v>19940808</v>
      </c>
      <c r="BK34">
        <v>14.87</v>
      </c>
      <c r="BL34" t="s">
        <v>116</v>
      </c>
      <c r="BM34" t="s">
        <v>116</v>
      </c>
      <c r="BN34">
        <v>330.65</v>
      </c>
      <c r="BO34">
        <v>144.58000000000001</v>
      </c>
      <c r="BP34">
        <v>0.95</v>
      </c>
      <c r="BQ34">
        <v>55.99</v>
      </c>
      <c r="BR34">
        <v>188.79</v>
      </c>
      <c r="BS34">
        <v>56.98</v>
      </c>
      <c r="BT34">
        <v>1.63</v>
      </c>
      <c r="BU34">
        <v>126.71</v>
      </c>
      <c r="BV34">
        <v>32.799999999999997</v>
      </c>
      <c r="BW34">
        <v>35.049999999999997</v>
      </c>
      <c r="BX34">
        <v>106.76</v>
      </c>
      <c r="BY34">
        <v>63.89</v>
      </c>
      <c r="BZ34">
        <v>56.66</v>
      </c>
      <c r="CA34">
        <v>1.21</v>
      </c>
      <c r="CB34">
        <v>0.84</v>
      </c>
      <c r="CC34">
        <v>0.94</v>
      </c>
      <c r="CD34">
        <v>0.73</v>
      </c>
      <c r="CE34">
        <v>0.74</v>
      </c>
      <c r="CF34">
        <v>-0.04</v>
      </c>
      <c r="CG34">
        <v>20.77</v>
      </c>
      <c r="CH34">
        <v>14.51</v>
      </c>
      <c r="CI34">
        <v>-16.07</v>
      </c>
      <c r="CJ34">
        <v>71325</v>
      </c>
      <c r="CK34">
        <v>12669</v>
      </c>
      <c r="CL34" t="s">
        <v>260</v>
      </c>
      <c r="CM34">
        <v>-94.76</v>
      </c>
      <c r="CN34">
        <v>20.67</v>
      </c>
      <c r="CO34">
        <v>0.44</v>
      </c>
      <c r="CP34">
        <v>4.43</v>
      </c>
      <c r="CQ34">
        <v>1.01</v>
      </c>
      <c r="CR34">
        <v>1.74</v>
      </c>
      <c r="CS34" t="s">
        <v>365</v>
      </c>
      <c r="CT34">
        <v>9.7200000000000006</v>
      </c>
      <c r="CU34">
        <v>0</v>
      </c>
      <c r="CV34">
        <v>7.18</v>
      </c>
      <c r="CW34">
        <v>1.4</v>
      </c>
      <c r="CX34">
        <v>0.98</v>
      </c>
      <c r="CY34">
        <v>43.73</v>
      </c>
      <c r="CZ34" t="s">
        <v>366</v>
      </c>
      <c r="DA34">
        <v>11.32</v>
      </c>
      <c r="DB34">
        <v>1.89</v>
      </c>
      <c r="DC34">
        <v>1.1499999999999999</v>
      </c>
      <c r="DD34">
        <v>0.22</v>
      </c>
      <c r="DE34">
        <v>2265</v>
      </c>
      <c r="DF34">
        <v>40</v>
      </c>
      <c r="DG34" t="s">
        <v>116</v>
      </c>
      <c r="DH34" t="s">
        <v>116</v>
      </c>
      <c r="DI34" t="s">
        <v>116</v>
      </c>
    </row>
    <row r="35" spans="1:113" x14ac:dyDescent="0.4">
      <c r="A35" t="str">
        <f>"000042"</f>
        <v>000042</v>
      </c>
      <c r="B35" t="s">
        <v>367</v>
      </c>
      <c r="C35">
        <v>-1.86</v>
      </c>
      <c r="D35">
        <v>11.06</v>
      </c>
      <c r="E35">
        <v>-0.21</v>
      </c>
      <c r="F35">
        <v>11.06</v>
      </c>
      <c r="G35">
        <v>11.07</v>
      </c>
      <c r="H35">
        <v>42132</v>
      </c>
      <c r="I35">
        <v>444</v>
      </c>
      <c r="J35">
        <v>0.09</v>
      </c>
      <c r="K35">
        <v>0.64</v>
      </c>
      <c r="L35">
        <v>11.27</v>
      </c>
      <c r="M35">
        <v>11.27</v>
      </c>
      <c r="N35">
        <v>11.01</v>
      </c>
      <c r="O35">
        <v>11.27</v>
      </c>
      <c r="P35">
        <v>5.95</v>
      </c>
      <c r="Q35">
        <v>46883772</v>
      </c>
      <c r="R35">
        <v>0.85</v>
      </c>
      <c r="S35" t="s">
        <v>124</v>
      </c>
      <c r="T35" t="s">
        <v>115</v>
      </c>
      <c r="U35">
        <v>2.31</v>
      </c>
      <c r="V35">
        <v>11.13</v>
      </c>
      <c r="W35">
        <v>29473</v>
      </c>
      <c r="X35">
        <v>12659</v>
      </c>
      <c r="Y35">
        <v>2.33</v>
      </c>
      <c r="Z35">
        <v>122</v>
      </c>
      <c r="AA35">
        <v>145</v>
      </c>
      <c r="AB35" t="s">
        <v>116</v>
      </c>
      <c r="AC35">
        <v>290800</v>
      </c>
      <c r="AD35">
        <v>0.01</v>
      </c>
      <c r="AE35" t="s">
        <v>116</v>
      </c>
      <c r="AF35" t="s">
        <v>116</v>
      </c>
      <c r="AG35">
        <v>6.62</v>
      </c>
      <c r="AH35" t="s">
        <v>368</v>
      </c>
      <c r="AI35" t="s">
        <v>369</v>
      </c>
      <c r="AJ35">
        <v>-1.18</v>
      </c>
      <c r="AK35">
        <v>1653</v>
      </c>
      <c r="AL35">
        <v>25</v>
      </c>
      <c r="AM35">
        <v>4.0000000000000002E-4</v>
      </c>
      <c r="AN35">
        <v>-1</v>
      </c>
      <c r="AO35">
        <v>0.37</v>
      </c>
      <c r="AP35">
        <v>8.43</v>
      </c>
      <c r="AQ35">
        <v>19.309999999999999</v>
      </c>
      <c r="AR35">
        <v>-0.54</v>
      </c>
      <c r="AS35">
        <v>1.89</v>
      </c>
      <c r="AT35" t="s">
        <v>370</v>
      </c>
      <c r="AU35">
        <v>11.95</v>
      </c>
      <c r="AV35">
        <v>16.46</v>
      </c>
      <c r="AW35">
        <v>0.71</v>
      </c>
      <c r="BA35">
        <v>0</v>
      </c>
      <c r="BB35">
        <v>0</v>
      </c>
      <c r="BC35">
        <v>-2.31</v>
      </c>
      <c r="BD35">
        <v>-1.26</v>
      </c>
      <c r="BE35">
        <v>-1.86</v>
      </c>
      <c r="BF35">
        <v>-1.86</v>
      </c>
      <c r="BG35">
        <v>0.45</v>
      </c>
      <c r="BH35">
        <v>-0.6</v>
      </c>
      <c r="BI35">
        <v>20191223</v>
      </c>
      <c r="BJ35">
        <v>19940921</v>
      </c>
      <c r="BK35">
        <v>6.65</v>
      </c>
      <c r="BL35" t="s">
        <v>116</v>
      </c>
      <c r="BM35" t="s">
        <v>116</v>
      </c>
      <c r="BN35">
        <v>439.07</v>
      </c>
      <c r="BO35">
        <v>76.09</v>
      </c>
      <c r="BP35">
        <v>4.58</v>
      </c>
      <c r="BQ35">
        <v>81.63</v>
      </c>
      <c r="BR35">
        <v>390.6</v>
      </c>
      <c r="BS35">
        <v>11.24</v>
      </c>
      <c r="BT35">
        <v>0.03</v>
      </c>
      <c r="BU35">
        <v>264.22000000000003</v>
      </c>
      <c r="BV35">
        <v>308.54000000000002</v>
      </c>
      <c r="BW35">
        <v>1.04</v>
      </c>
      <c r="BX35">
        <v>25.15</v>
      </c>
      <c r="BY35">
        <v>38.020000000000003</v>
      </c>
      <c r="BZ35">
        <v>18.91</v>
      </c>
      <c r="CA35">
        <v>12.52</v>
      </c>
      <c r="CB35">
        <v>8.07</v>
      </c>
      <c r="CC35">
        <v>12.28</v>
      </c>
      <c r="CD35">
        <v>7.95</v>
      </c>
      <c r="CE35">
        <v>9.26</v>
      </c>
      <c r="CF35">
        <v>2.1800000000000002</v>
      </c>
      <c r="CG35">
        <v>38.74</v>
      </c>
      <c r="CH35">
        <v>6.45</v>
      </c>
      <c r="CI35">
        <v>-8.69</v>
      </c>
      <c r="CJ35">
        <v>17408</v>
      </c>
      <c r="CK35">
        <v>12811</v>
      </c>
      <c r="CL35" t="s">
        <v>371</v>
      </c>
      <c r="CM35">
        <v>22.25</v>
      </c>
      <c r="CN35">
        <v>-46.31</v>
      </c>
      <c r="CO35">
        <v>0.97</v>
      </c>
      <c r="CP35">
        <v>11.39</v>
      </c>
      <c r="CQ35">
        <v>1.93</v>
      </c>
      <c r="CR35">
        <v>0.9</v>
      </c>
      <c r="CS35" t="s">
        <v>372</v>
      </c>
      <c r="CT35">
        <v>11.44</v>
      </c>
      <c r="CU35">
        <v>0</v>
      </c>
      <c r="CV35">
        <v>3.78</v>
      </c>
      <c r="CW35">
        <v>5.83</v>
      </c>
      <c r="CX35">
        <v>0.97</v>
      </c>
      <c r="CY35">
        <v>17.329999999999998</v>
      </c>
      <c r="CZ35" t="s">
        <v>373</v>
      </c>
      <c r="DA35">
        <v>50.27</v>
      </c>
      <c r="DB35">
        <v>32.94</v>
      </c>
      <c r="DC35">
        <v>24.36</v>
      </c>
      <c r="DD35">
        <v>0</v>
      </c>
      <c r="DE35">
        <v>2543</v>
      </c>
      <c r="DF35">
        <v>42</v>
      </c>
      <c r="DG35" t="s">
        <v>116</v>
      </c>
      <c r="DH35" t="s">
        <v>116</v>
      </c>
      <c r="DI35" t="s">
        <v>116</v>
      </c>
    </row>
    <row r="36" spans="1:113" x14ac:dyDescent="0.4">
      <c r="A36" t="str">
        <f>"000045"</f>
        <v>000045</v>
      </c>
      <c r="B36" t="s">
        <v>374</v>
      </c>
      <c r="C36">
        <v>-1.96</v>
      </c>
      <c r="D36">
        <v>7.5</v>
      </c>
      <c r="E36">
        <v>-0.15</v>
      </c>
      <c r="F36">
        <v>7.5</v>
      </c>
      <c r="G36">
        <v>7.51</v>
      </c>
      <c r="H36">
        <v>51418</v>
      </c>
      <c r="I36">
        <v>1537</v>
      </c>
      <c r="J36">
        <v>-0.52</v>
      </c>
      <c r="K36">
        <v>1.1299999999999999</v>
      </c>
      <c r="L36">
        <v>7.65</v>
      </c>
      <c r="M36">
        <v>7.75</v>
      </c>
      <c r="N36">
        <v>7.5</v>
      </c>
      <c r="O36">
        <v>7.65</v>
      </c>
      <c r="P36">
        <v>169.6</v>
      </c>
      <c r="Q36">
        <v>39291172</v>
      </c>
      <c r="R36">
        <v>1.22</v>
      </c>
      <c r="S36" t="s">
        <v>233</v>
      </c>
      <c r="T36" t="s">
        <v>115</v>
      </c>
      <c r="U36">
        <v>3.27</v>
      </c>
      <c r="V36">
        <v>7.64</v>
      </c>
      <c r="W36">
        <v>27216</v>
      </c>
      <c r="X36">
        <v>24202</v>
      </c>
      <c r="Y36">
        <v>1.1200000000000001</v>
      </c>
      <c r="Z36">
        <v>221</v>
      </c>
      <c r="AA36">
        <v>3</v>
      </c>
      <c r="AB36" t="s">
        <v>116</v>
      </c>
      <c r="AC36">
        <v>171400</v>
      </c>
      <c r="AD36">
        <v>0.01</v>
      </c>
      <c r="AE36" t="s">
        <v>116</v>
      </c>
      <c r="AF36" t="s">
        <v>116</v>
      </c>
      <c r="AG36">
        <v>4.57</v>
      </c>
      <c r="AH36" t="s">
        <v>375</v>
      </c>
      <c r="AI36" t="s">
        <v>376</v>
      </c>
      <c r="AJ36">
        <v>-1.28</v>
      </c>
      <c r="AK36">
        <v>1727</v>
      </c>
      <c r="AL36">
        <v>30</v>
      </c>
      <c r="AM36">
        <v>6.9999999999999999E-4</v>
      </c>
      <c r="AN36">
        <v>-1</v>
      </c>
      <c r="AO36">
        <v>-0.14000000000000001</v>
      </c>
      <c r="AP36">
        <v>5.63</v>
      </c>
      <c r="AQ36">
        <v>1.35</v>
      </c>
      <c r="AR36">
        <v>29.53</v>
      </c>
      <c r="AS36">
        <v>2.4900000000000002</v>
      </c>
      <c r="AT36" t="s">
        <v>377</v>
      </c>
      <c r="AU36" t="s">
        <v>116</v>
      </c>
      <c r="AV36" t="s">
        <v>116</v>
      </c>
      <c r="AW36">
        <v>1.22</v>
      </c>
      <c r="BA36">
        <v>0</v>
      </c>
      <c r="BB36">
        <v>1.31</v>
      </c>
      <c r="BC36">
        <v>-1.96</v>
      </c>
      <c r="BD36">
        <v>-0.11</v>
      </c>
      <c r="BE36">
        <v>-1.96</v>
      </c>
      <c r="BF36">
        <v>-3.23</v>
      </c>
      <c r="BG36">
        <v>0</v>
      </c>
      <c r="BH36">
        <v>-1.85</v>
      </c>
      <c r="BI36">
        <v>20191107</v>
      </c>
      <c r="BJ36">
        <v>19940815</v>
      </c>
      <c r="BK36">
        <v>5.09</v>
      </c>
      <c r="BL36">
        <v>0.49</v>
      </c>
      <c r="BM36" t="s">
        <v>116</v>
      </c>
      <c r="BN36">
        <v>43.12</v>
      </c>
      <c r="BO36">
        <v>25.9</v>
      </c>
      <c r="BP36">
        <v>10.69</v>
      </c>
      <c r="BQ36">
        <v>15.15</v>
      </c>
      <c r="BR36">
        <v>23.88</v>
      </c>
      <c r="BS36">
        <v>9.1199999999999992</v>
      </c>
      <c r="BT36">
        <v>0.37</v>
      </c>
      <c r="BU36">
        <v>4.63</v>
      </c>
      <c r="BV36">
        <v>4.68</v>
      </c>
      <c r="BW36">
        <v>3.81</v>
      </c>
      <c r="BX36">
        <v>18.57</v>
      </c>
      <c r="BY36">
        <v>16.41</v>
      </c>
      <c r="BZ36">
        <v>15.22</v>
      </c>
      <c r="CA36">
        <v>0.1</v>
      </c>
      <c r="CB36">
        <v>-0.02</v>
      </c>
      <c r="CC36">
        <v>0.15</v>
      </c>
      <c r="CD36">
        <v>0</v>
      </c>
      <c r="CE36">
        <v>0.17</v>
      </c>
      <c r="CF36">
        <v>-0.12</v>
      </c>
      <c r="CG36">
        <v>-0.41</v>
      </c>
      <c r="CH36">
        <v>2.87</v>
      </c>
      <c r="CI36">
        <v>-8.65</v>
      </c>
      <c r="CJ36">
        <v>33608</v>
      </c>
      <c r="CK36">
        <v>7625</v>
      </c>
      <c r="CL36" t="s">
        <v>378</v>
      </c>
      <c r="CM36">
        <v>37.69</v>
      </c>
      <c r="CN36">
        <v>53.1</v>
      </c>
      <c r="CO36">
        <v>1.47</v>
      </c>
      <c r="CP36">
        <v>13.33</v>
      </c>
      <c r="CQ36">
        <v>2.33</v>
      </c>
      <c r="CR36">
        <v>0</v>
      </c>
      <c r="CS36" t="s">
        <v>379</v>
      </c>
      <c r="CT36">
        <v>5.08</v>
      </c>
      <c r="CU36">
        <v>0</v>
      </c>
      <c r="CV36">
        <v>3.65</v>
      </c>
      <c r="CW36">
        <v>-0.08</v>
      </c>
      <c r="CX36">
        <v>0.56000000000000005</v>
      </c>
      <c r="CY36">
        <v>60.07</v>
      </c>
      <c r="CZ36" t="s">
        <v>380</v>
      </c>
      <c r="DA36">
        <v>7.21</v>
      </c>
      <c r="DB36">
        <v>0.64</v>
      </c>
      <c r="DC36">
        <v>1.03</v>
      </c>
      <c r="DD36">
        <v>0.28999999999999998</v>
      </c>
      <c r="DE36">
        <v>1337</v>
      </c>
      <c r="DF36">
        <v>45</v>
      </c>
      <c r="DG36" t="s">
        <v>116</v>
      </c>
      <c r="DH36" t="s">
        <v>116</v>
      </c>
      <c r="DI36" t="s">
        <v>116</v>
      </c>
    </row>
    <row r="37" spans="1:113" x14ac:dyDescent="0.4">
      <c r="A37" t="str">
        <f>"000046"</f>
        <v>000046</v>
      </c>
      <c r="B37" t="s">
        <v>381</v>
      </c>
      <c r="C37">
        <v>-1.55</v>
      </c>
      <c r="D37">
        <v>4.46</v>
      </c>
      <c r="E37">
        <v>-7.0000000000000007E-2</v>
      </c>
      <c r="F37">
        <v>4.45</v>
      </c>
      <c r="G37">
        <v>4.46</v>
      </c>
      <c r="H37">
        <v>279919</v>
      </c>
      <c r="I37">
        <v>5953</v>
      </c>
      <c r="J37">
        <v>-0.21</v>
      </c>
      <c r="K37">
        <v>0.54</v>
      </c>
      <c r="L37">
        <v>4.51</v>
      </c>
      <c r="M37">
        <v>4.63</v>
      </c>
      <c r="N37">
        <v>4.46</v>
      </c>
      <c r="O37">
        <v>4.53</v>
      </c>
      <c r="P37">
        <v>6.97</v>
      </c>
      <c r="Q37">
        <v>127142480</v>
      </c>
      <c r="R37">
        <v>1.1399999999999999</v>
      </c>
      <c r="S37" t="s">
        <v>124</v>
      </c>
      <c r="T37" t="s">
        <v>165</v>
      </c>
      <c r="U37">
        <v>3.75</v>
      </c>
      <c r="V37">
        <v>4.54</v>
      </c>
      <c r="W37">
        <v>166824</v>
      </c>
      <c r="X37">
        <v>113095</v>
      </c>
      <c r="Y37">
        <v>1.48</v>
      </c>
      <c r="Z37">
        <v>3319</v>
      </c>
      <c r="AA37">
        <v>941</v>
      </c>
      <c r="AB37" t="s">
        <v>116</v>
      </c>
      <c r="AC37">
        <v>492000</v>
      </c>
      <c r="AD37">
        <v>0.01</v>
      </c>
      <c r="AE37" t="s">
        <v>116</v>
      </c>
      <c r="AF37" t="s">
        <v>116</v>
      </c>
      <c r="AG37">
        <v>51.75</v>
      </c>
      <c r="AH37" t="s">
        <v>382</v>
      </c>
      <c r="AI37" t="s">
        <v>383</v>
      </c>
      <c r="AJ37">
        <v>-0.87</v>
      </c>
      <c r="AK37">
        <v>2354</v>
      </c>
      <c r="AL37">
        <v>119</v>
      </c>
      <c r="AM37">
        <v>2.0000000000000001E-4</v>
      </c>
      <c r="AN37">
        <v>-1</v>
      </c>
      <c r="AO37">
        <v>-1.1100000000000001</v>
      </c>
      <c r="AP37">
        <v>5.44</v>
      </c>
      <c r="AQ37">
        <v>2.06</v>
      </c>
      <c r="AR37">
        <v>-1.33</v>
      </c>
      <c r="AS37">
        <v>1.88</v>
      </c>
      <c r="AT37" t="s">
        <v>384</v>
      </c>
      <c r="AU37">
        <v>14.42</v>
      </c>
      <c r="AV37">
        <v>24.9</v>
      </c>
      <c r="AW37">
        <v>1.05</v>
      </c>
      <c r="BA37">
        <v>-0.44</v>
      </c>
      <c r="BB37">
        <v>2.21</v>
      </c>
      <c r="BC37">
        <v>-1.55</v>
      </c>
      <c r="BD37">
        <v>0.27</v>
      </c>
      <c r="BE37">
        <v>-1.1100000000000001</v>
      </c>
      <c r="BF37">
        <v>-3.67</v>
      </c>
      <c r="BG37">
        <v>0</v>
      </c>
      <c r="BH37">
        <v>-1.81</v>
      </c>
      <c r="BI37">
        <v>20191031</v>
      </c>
      <c r="BJ37">
        <v>19940912</v>
      </c>
      <c r="BK37">
        <v>51.96</v>
      </c>
      <c r="BL37" t="s">
        <v>116</v>
      </c>
      <c r="BM37" t="s">
        <v>116</v>
      </c>
      <c r="BN37">
        <v>1820.72</v>
      </c>
      <c r="BO37">
        <v>228.97</v>
      </c>
      <c r="BP37">
        <v>112.07</v>
      </c>
      <c r="BQ37">
        <v>81.27</v>
      </c>
      <c r="BR37">
        <v>1419.05</v>
      </c>
      <c r="BS37">
        <v>8.84</v>
      </c>
      <c r="BT37">
        <v>1.18</v>
      </c>
      <c r="BU37">
        <v>941.69</v>
      </c>
      <c r="BV37">
        <v>615.47</v>
      </c>
      <c r="BW37">
        <v>12.7</v>
      </c>
      <c r="BX37">
        <v>69.709999999999994</v>
      </c>
      <c r="BY37">
        <v>17.11</v>
      </c>
      <c r="BZ37">
        <v>8.9600000000000009</v>
      </c>
      <c r="CA37">
        <v>34.43</v>
      </c>
      <c r="CB37">
        <v>41.01</v>
      </c>
      <c r="CC37">
        <v>34.21</v>
      </c>
      <c r="CD37">
        <v>27.54</v>
      </c>
      <c r="CE37">
        <v>24.94</v>
      </c>
      <c r="CF37">
        <v>4.58</v>
      </c>
      <c r="CG37">
        <v>85.09</v>
      </c>
      <c r="CH37">
        <v>27.12</v>
      </c>
      <c r="CI37">
        <v>-10.14</v>
      </c>
      <c r="CJ37">
        <v>45091</v>
      </c>
      <c r="CK37">
        <v>33095</v>
      </c>
      <c r="CL37" t="s">
        <v>385</v>
      </c>
      <c r="CM37">
        <v>37.229999999999997</v>
      </c>
      <c r="CN37">
        <v>-31.33</v>
      </c>
      <c r="CO37">
        <v>1.01</v>
      </c>
      <c r="CP37">
        <v>8.5500000000000007</v>
      </c>
      <c r="CQ37">
        <v>13.54</v>
      </c>
      <c r="CR37">
        <v>3.36</v>
      </c>
      <c r="CS37" t="s">
        <v>386</v>
      </c>
      <c r="CT37">
        <v>4.41</v>
      </c>
      <c r="CU37">
        <v>0</v>
      </c>
      <c r="CV37">
        <v>1.34</v>
      </c>
      <c r="CW37">
        <v>1.64</v>
      </c>
      <c r="CX37">
        <v>0.52</v>
      </c>
      <c r="CY37">
        <v>12.58</v>
      </c>
      <c r="CZ37" t="s">
        <v>387</v>
      </c>
      <c r="DA37">
        <v>47.66</v>
      </c>
      <c r="DB37">
        <v>201.17</v>
      </c>
      <c r="DC37">
        <v>145.72999999999999</v>
      </c>
      <c r="DD37">
        <v>0</v>
      </c>
      <c r="DE37">
        <v>10170</v>
      </c>
      <c r="DF37">
        <v>46</v>
      </c>
      <c r="DG37" t="s">
        <v>116</v>
      </c>
      <c r="DH37" t="s">
        <v>116</v>
      </c>
      <c r="DI37" t="s">
        <v>116</v>
      </c>
    </row>
    <row r="38" spans="1:113" x14ac:dyDescent="0.4">
      <c r="A38" t="str">
        <f>"000048"</f>
        <v>000048</v>
      </c>
      <c r="B38" t="s">
        <v>388</v>
      </c>
      <c r="C38">
        <v>0.28000000000000003</v>
      </c>
      <c r="D38">
        <v>21.72</v>
      </c>
      <c r="E38">
        <v>0.06</v>
      </c>
      <c r="F38">
        <v>21.7</v>
      </c>
      <c r="G38">
        <v>21.72</v>
      </c>
      <c r="H38">
        <v>7693</v>
      </c>
      <c r="I38">
        <v>91</v>
      </c>
      <c r="J38">
        <v>0.18</v>
      </c>
      <c r="K38">
        <v>0.19</v>
      </c>
      <c r="L38">
        <v>21.98</v>
      </c>
      <c r="M38">
        <v>22.47</v>
      </c>
      <c r="N38">
        <v>21.68</v>
      </c>
      <c r="O38">
        <v>21.66</v>
      </c>
      <c r="P38">
        <v>21.87</v>
      </c>
      <c r="Q38">
        <v>16980302</v>
      </c>
      <c r="R38">
        <v>1.28</v>
      </c>
      <c r="S38" t="s">
        <v>389</v>
      </c>
      <c r="T38" t="s">
        <v>115</v>
      </c>
      <c r="U38">
        <v>3.65</v>
      </c>
      <c r="V38">
        <v>22.07</v>
      </c>
      <c r="W38">
        <v>4379</v>
      </c>
      <c r="X38">
        <v>3314</v>
      </c>
      <c r="Y38">
        <v>1.32</v>
      </c>
      <c r="Z38">
        <v>175</v>
      </c>
      <c r="AA38">
        <v>75</v>
      </c>
      <c r="AB38" t="s">
        <v>116</v>
      </c>
      <c r="AC38">
        <v>131900</v>
      </c>
      <c r="AD38">
        <v>0.01</v>
      </c>
      <c r="AE38" t="s">
        <v>116</v>
      </c>
      <c r="AF38" t="s">
        <v>116</v>
      </c>
      <c r="AG38">
        <v>4.0199999999999996</v>
      </c>
      <c r="AH38" t="s">
        <v>390</v>
      </c>
      <c r="AI38" t="s">
        <v>391</v>
      </c>
      <c r="AJ38">
        <v>0.96</v>
      </c>
      <c r="AK38">
        <v>750</v>
      </c>
      <c r="AL38">
        <v>10</v>
      </c>
      <c r="AM38">
        <v>2.9999999999999997E-4</v>
      </c>
      <c r="AN38">
        <v>3</v>
      </c>
      <c r="AO38">
        <v>1.59</v>
      </c>
      <c r="AP38">
        <v>1.07</v>
      </c>
      <c r="AQ38">
        <v>-12.98</v>
      </c>
      <c r="AR38">
        <v>22.92</v>
      </c>
      <c r="AS38">
        <v>0.72</v>
      </c>
      <c r="AT38" t="s">
        <v>392</v>
      </c>
      <c r="AU38">
        <v>10.99</v>
      </c>
      <c r="AV38">
        <v>19.989999999999998</v>
      </c>
      <c r="AW38">
        <v>0.48</v>
      </c>
      <c r="BA38">
        <v>1.48</v>
      </c>
      <c r="BB38">
        <v>3.74</v>
      </c>
      <c r="BC38">
        <v>0.09</v>
      </c>
      <c r="BD38">
        <v>1.91</v>
      </c>
      <c r="BE38">
        <v>-1.18</v>
      </c>
      <c r="BF38">
        <v>-3.34</v>
      </c>
      <c r="BG38">
        <v>0.18</v>
      </c>
      <c r="BH38">
        <v>-1.63</v>
      </c>
      <c r="BI38">
        <v>20191107</v>
      </c>
      <c r="BJ38">
        <v>19941101</v>
      </c>
      <c r="BK38">
        <v>4.0199999999999996</v>
      </c>
      <c r="BL38" t="s">
        <v>116</v>
      </c>
      <c r="BM38" t="s">
        <v>116</v>
      </c>
      <c r="BN38">
        <v>64.540000000000006</v>
      </c>
      <c r="BO38">
        <v>13.34</v>
      </c>
      <c r="BP38">
        <v>1.9</v>
      </c>
      <c r="BQ38">
        <v>76.39</v>
      </c>
      <c r="BR38">
        <v>53.78</v>
      </c>
      <c r="BS38">
        <v>5.5</v>
      </c>
      <c r="BT38">
        <v>0.67</v>
      </c>
      <c r="BU38">
        <v>47.66</v>
      </c>
      <c r="BV38">
        <v>20.78</v>
      </c>
      <c r="BW38">
        <v>0.63</v>
      </c>
      <c r="BX38">
        <v>0.54</v>
      </c>
      <c r="BY38">
        <v>17.25</v>
      </c>
      <c r="BZ38">
        <v>11.58</v>
      </c>
      <c r="CA38">
        <v>4.24</v>
      </c>
      <c r="CB38">
        <v>1.36</v>
      </c>
      <c r="CC38">
        <v>4.16</v>
      </c>
      <c r="CD38">
        <v>3.21</v>
      </c>
      <c r="CE38">
        <v>3</v>
      </c>
      <c r="CF38">
        <v>2.0699999999999998</v>
      </c>
      <c r="CG38">
        <v>8.89</v>
      </c>
      <c r="CH38">
        <v>9.7100000000000009</v>
      </c>
      <c r="CI38">
        <v>2.14</v>
      </c>
      <c r="CJ38">
        <v>8418</v>
      </c>
      <c r="CK38">
        <v>12753</v>
      </c>
      <c r="CL38" t="s">
        <v>393</v>
      </c>
      <c r="CM38">
        <v>615.1</v>
      </c>
      <c r="CN38">
        <v>41.78</v>
      </c>
      <c r="CO38">
        <v>6.56</v>
      </c>
      <c r="CP38">
        <v>9</v>
      </c>
      <c r="CQ38">
        <v>5.07</v>
      </c>
      <c r="CR38">
        <v>0</v>
      </c>
      <c r="CS38" t="s">
        <v>394</v>
      </c>
      <c r="CT38">
        <v>3.31</v>
      </c>
      <c r="CU38">
        <v>0</v>
      </c>
      <c r="CV38">
        <v>0.13</v>
      </c>
      <c r="CW38">
        <v>2.21</v>
      </c>
      <c r="CX38">
        <v>2.41</v>
      </c>
      <c r="CY38">
        <v>20.66</v>
      </c>
      <c r="CZ38" t="s">
        <v>395</v>
      </c>
      <c r="DA38">
        <v>32.85</v>
      </c>
      <c r="DB38">
        <v>24.57</v>
      </c>
      <c r="DC38">
        <v>17.38</v>
      </c>
      <c r="DD38">
        <v>0.21</v>
      </c>
      <c r="DE38">
        <v>1556</v>
      </c>
      <c r="DF38">
        <v>48</v>
      </c>
      <c r="DG38" t="s">
        <v>116</v>
      </c>
      <c r="DH38" t="s">
        <v>116</v>
      </c>
      <c r="DI38" t="s">
        <v>116</v>
      </c>
    </row>
    <row r="39" spans="1:113" x14ac:dyDescent="0.4">
      <c r="A39" t="str">
        <f>"000049"</f>
        <v>000049</v>
      </c>
      <c r="B39" t="s">
        <v>396</v>
      </c>
      <c r="C39">
        <v>-2.0499999999999998</v>
      </c>
      <c r="D39">
        <v>40.61</v>
      </c>
      <c r="E39">
        <v>-0.85</v>
      </c>
      <c r="F39">
        <v>40.6</v>
      </c>
      <c r="G39">
        <v>40.61</v>
      </c>
      <c r="H39">
        <v>106520</v>
      </c>
      <c r="I39">
        <v>1171</v>
      </c>
      <c r="J39">
        <v>-0.11</v>
      </c>
      <c r="K39">
        <v>5.19</v>
      </c>
      <c r="L39">
        <v>41.55</v>
      </c>
      <c r="M39">
        <v>42.6</v>
      </c>
      <c r="N39">
        <v>40.409999999999997</v>
      </c>
      <c r="O39">
        <v>41.46</v>
      </c>
      <c r="P39">
        <v>18.62</v>
      </c>
      <c r="Q39">
        <v>442148928</v>
      </c>
      <c r="R39">
        <v>1.31</v>
      </c>
      <c r="S39" t="s">
        <v>397</v>
      </c>
      <c r="T39" t="s">
        <v>115</v>
      </c>
      <c r="U39">
        <v>5.28</v>
      </c>
      <c r="V39">
        <v>41.51</v>
      </c>
      <c r="W39">
        <v>56273</v>
      </c>
      <c r="X39">
        <v>50247</v>
      </c>
      <c r="Y39">
        <v>1.1200000000000001</v>
      </c>
      <c r="Z39">
        <v>372</v>
      </c>
      <c r="AA39">
        <v>12</v>
      </c>
      <c r="AB39" t="s">
        <v>116</v>
      </c>
      <c r="AC39">
        <v>1786700</v>
      </c>
      <c r="AD39">
        <v>0.04</v>
      </c>
      <c r="AE39" t="s">
        <v>116</v>
      </c>
      <c r="AF39" t="s">
        <v>116</v>
      </c>
      <c r="AG39">
        <v>2.0499999999999998</v>
      </c>
      <c r="AH39" t="s">
        <v>398</v>
      </c>
      <c r="AI39" t="s">
        <v>399</v>
      </c>
      <c r="AJ39">
        <v>-1.37</v>
      </c>
      <c r="AK39">
        <v>3705</v>
      </c>
      <c r="AL39">
        <v>29</v>
      </c>
      <c r="AM39">
        <v>1.4E-3</v>
      </c>
      <c r="AN39">
        <v>-1</v>
      </c>
      <c r="AO39">
        <v>-2.14</v>
      </c>
      <c r="AP39">
        <v>9.14</v>
      </c>
      <c r="AQ39">
        <v>-1.67</v>
      </c>
      <c r="AR39">
        <v>42.84</v>
      </c>
      <c r="AS39">
        <v>9.48</v>
      </c>
      <c r="AT39" t="s">
        <v>400</v>
      </c>
      <c r="AU39">
        <v>18.059999999999999</v>
      </c>
      <c r="AV39">
        <v>20.96</v>
      </c>
      <c r="AW39">
        <v>2.11</v>
      </c>
      <c r="BA39">
        <v>0.22</v>
      </c>
      <c r="BB39">
        <v>2.75</v>
      </c>
      <c r="BC39">
        <v>-2.5299999999999998</v>
      </c>
      <c r="BD39">
        <v>0.12</v>
      </c>
      <c r="BE39">
        <v>-2.2599999999999998</v>
      </c>
      <c r="BF39">
        <v>-4.67</v>
      </c>
      <c r="BG39">
        <v>0.49</v>
      </c>
      <c r="BH39">
        <v>-2.17</v>
      </c>
      <c r="BI39">
        <v>20191226</v>
      </c>
      <c r="BJ39">
        <v>19950320</v>
      </c>
      <c r="BK39">
        <v>2.0699999999999998</v>
      </c>
      <c r="BL39" t="s">
        <v>116</v>
      </c>
      <c r="BM39" t="s">
        <v>116</v>
      </c>
      <c r="BN39">
        <v>92.19</v>
      </c>
      <c r="BO39">
        <v>20.6</v>
      </c>
      <c r="BP39">
        <v>6.09</v>
      </c>
      <c r="BQ39">
        <v>71.05</v>
      </c>
      <c r="BR39">
        <v>75.86</v>
      </c>
      <c r="BS39">
        <v>8.0299999999999994</v>
      </c>
      <c r="BT39">
        <v>1.81</v>
      </c>
      <c r="BU39">
        <v>61.35</v>
      </c>
      <c r="BV39">
        <v>23.4</v>
      </c>
      <c r="BW39">
        <v>43.23</v>
      </c>
      <c r="BX39">
        <v>0.3</v>
      </c>
      <c r="BY39">
        <v>125.4</v>
      </c>
      <c r="BZ39">
        <v>114.61</v>
      </c>
      <c r="CA39">
        <v>5.75</v>
      </c>
      <c r="CB39">
        <v>0.11</v>
      </c>
      <c r="CC39">
        <v>5.86</v>
      </c>
      <c r="CD39">
        <v>4.5199999999999996</v>
      </c>
      <c r="CE39">
        <v>3.39</v>
      </c>
      <c r="CF39">
        <v>3.18</v>
      </c>
      <c r="CG39">
        <v>17.5</v>
      </c>
      <c r="CH39">
        <v>10.86</v>
      </c>
      <c r="CI39">
        <v>-0.79</v>
      </c>
      <c r="CJ39">
        <v>37549</v>
      </c>
      <c r="CK39">
        <v>2994</v>
      </c>
      <c r="CL39" t="s">
        <v>401</v>
      </c>
      <c r="CM39">
        <v>23.49</v>
      </c>
      <c r="CN39">
        <v>7.25</v>
      </c>
      <c r="CO39">
        <v>4.09</v>
      </c>
      <c r="CP39">
        <v>7.75</v>
      </c>
      <c r="CQ39">
        <v>0.67</v>
      </c>
      <c r="CR39">
        <v>0.61</v>
      </c>
      <c r="CS39" t="s">
        <v>402</v>
      </c>
      <c r="CT39">
        <v>9.94</v>
      </c>
      <c r="CU39">
        <v>0</v>
      </c>
      <c r="CV39">
        <v>0.15</v>
      </c>
      <c r="CW39">
        <v>8.4499999999999993</v>
      </c>
      <c r="CX39">
        <v>5.24</v>
      </c>
      <c r="CY39">
        <v>22.34</v>
      </c>
      <c r="CZ39" t="s">
        <v>403</v>
      </c>
      <c r="DA39">
        <v>8.6</v>
      </c>
      <c r="DB39">
        <v>4.59</v>
      </c>
      <c r="DC39">
        <v>2.7</v>
      </c>
      <c r="DD39">
        <v>2.27</v>
      </c>
      <c r="DE39">
        <v>10565</v>
      </c>
      <c r="DF39">
        <v>49</v>
      </c>
      <c r="DG39" t="s">
        <v>116</v>
      </c>
      <c r="DH39" t="s">
        <v>116</v>
      </c>
      <c r="DI39" t="s">
        <v>116</v>
      </c>
    </row>
    <row r="40" spans="1:113" x14ac:dyDescent="0.4">
      <c r="A40" t="str">
        <f>"000050"</f>
        <v>000050</v>
      </c>
      <c r="B40" t="s">
        <v>404</v>
      </c>
      <c r="C40">
        <v>-3.65</v>
      </c>
      <c r="D40">
        <v>16.350000000000001</v>
      </c>
      <c r="E40">
        <v>-0.62</v>
      </c>
      <c r="F40">
        <v>16.34</v>
      </c>
      <c r="G40">
        <v>16.350000000000001</v>
      </c>
      <c r="H40">
        <v>389346</v>
      </c>
      <c r="I40">
        <v>4148</v>
      </c>
      <c r="J40">
        <v>0.18</v>
      </c>
      <c r="K40">
        <v>2.13</v>
      </c>
      <c r="L40">
        <v>17</v>
      </c>
      <c r="M40">
        <v>17.04</v>
      </c>
      <c r="N40">
        <v>16.28</v>
      </c>
      <c r="O40">
        <v>16.97</v>
      </c>
      <c r="P40">
        <v>24.29</v>
      </c>
      <c r="Q40">
        <v>646039296</v>
      </c>
      <c r="R40">
        <v>1.18</v>
      </c>
      <c r="S40" t="s">
        <v>233</v>
      </c>
      <c r="T40" t="s">
        <v>115</v>
      </c>
      <c r="U40">
        <v>4.4800000000000004</v>
      </c>
      <c r="V40">
        <v>16.59</v>
      </c>
      <c r="W40">
        <v>217922</v>
      </c>
      <c r="X40">
        <v>171424</v>
      </c>
      <c r="Y40">
        <v>1.27</v>
      </c>
      <c r="Z40">
        <v>1609</v>
      </c>
      <c r="AA40">
        <v>1070</v>
      </c>
      <c r="AB40" t="s">
        <v>116</v>
      </c>
      <c r="AC40">
        <v>1341300</v>
      </c>
      <c r="AD40">
        <v>0.01</v>
      </c>
      <c r="AE40" t="s">
        <v>116</v>
      </c>
      <c r="AF40" t="s">
        <v>116</v>
      </c>
      <c r="AG40">
        <v>18.29</v>
      </c>
      <c r="AH40" t="s">
        <v>405</v>
      </c>
      <c r="AI40" t="s">
        <v>406</v>
      </c>
      <c r="AJ40">
        <v>-2.97</v>
      </c>
      <c r="AK40">
        <v>4075</v>
      </c>
      <c r="AL40">
        <v>96</v>
      </c>
      <c r="AM40">
        <v>5.0000000000000001E-4</v>
      </c>
      <c r="AN40">
        <v>-1</v>
      </c>
      <c r="AO40">
        <v>-2.85</v>
      </c>
      <c r="AP40">
        <v>6.65</v>
      </c>
      <c r="AQ40">
        <v>16.2</v>
      </c>
      <c r="AR40">
        <v>67.86</v>
      </c>
      <c r="AS40">
        <v>4.5599999999999996</v>
      </c>
      <c r="AT40" t="s">
        <v>407</v>
      </c>
      <c r="AU40">
        <v>45.09</v>
      </c>
      <c r="AV40">
        <v>36.18</v>
      </c>
      <c r="AW40">
        <v>1.34</v>
      </c>
      <c r="BA40">
        <v>0.18</v>
      </c>
      <c r="BB40">
        <v>0.41</v>
      </c>
      <c r="BC40">
        <v>-4.07</v>
      </c>
      <c r="BD40">
        <v>-2.2200000000000002</v>
      </c>
      <c r="BE40">
        <v>-3.82</v>
      </c>
      <c r="BF40">
        <v>-4.05</v>
      </c>
      <c r="BG40">
        <v>0.43</v>
      </c>
      <c r="BH40">
        <v>-1.43</v>
      </c>
      <c r="BI40">
        <v>20191225</v>
      </c>
      <c r="BJ40">
        <v>19950315</v>
      </c>
      <c r="BK40">
        <v>20.48</v>
      </c>
      <c r="BL40" t="s">
        <v>116</v>
      </c>
      <c r="BM40" t="s">
        <v>116</v>
      </c>
      <c r="BN40">
        <v>649.72</v>
      </c>
      <c r="BO40">
        <v>269.26</v>
      </c>
      <c r="BP40">
        <v>0</v>
      </c>
      <c r="BQ40">
        <v>58.56</v>
      </c>
      <c r="BR40">
        <v>165.53</v>
      </c>
      <c r="BS40">
        <v>291.99</v>
      </c>
      <c r="BT40">
        <v>20.71</v>
      </c>
      <c r="BU40">
        <v>213.35</v>
      </c>
      <c r="BV40">
        <v>27.43</v>
      </c>
      <c r="BW40">
        <v>73.260000000000005</v>
      </c>
      <c r="BX40">
        <v>210.82</v>
      </c>
      <c r="BY40">
        <v>234.22</v>
      </c>
      <c r="BZ40">
        <v>196.09</v>
      </c>
      <c r="CA40">
        <v>11.39</v>
      </c>
      <c r="CB40">
        <v>0</v>
      </c>
      <c r="CC40">
        <v>11.55</v>
      </c>
      <c r="CD40">
        <v>10.34</v>
      </c>
      <c r="CE40">
        <v>10.34</v>
      </c>
      <c r="CF40">
        <v>5.45</v>
      </c>
      <c r="CG40">
        <v>36.47</v>
      </c>
      <c r="CH40">
        <v>25.43</v>
      </c>
      <c r="CI40">
        <v>6.1</v>
      </c>
      <c r="CJ40">
        <v>94808</v>
      </c>
      <c r="CK40">
        <v>8997</v>
      </c>
      <c r="CL40" t="s">
        <v>408</v>
      </c>
      <c r="CM40">
        <v>-15.03</v>
      </c>
      <c r="CN40">
        <v>7.74</v>
      </c>
      <c r="CO40">
        <v>1.24</v>
      </c>
      <c r="CP40">
        <v>13.17</v>
      </c>
      <c r="CQ40">
        <v>1.43</v>
      </c>
      <c r="CR40">
        <v>0.43</v>
      </c>
      <c r="CS40" t="s">
        <v>409</v>
      </c>
      <c r="CT40">
        <v>13.15</v>
      </c>
      <c r="CU40">
        <v>0</v>
      </c>
      <c r="CV40">
        <v>10.29</v>
      </c>
      <c r="CW40">
        <v>1.78</v>
      </c>
      <c r="CX40">
        <v>1.24</v>
      </c>
      <c r="CY40">
        <v>41.44</v>
      </c>
      <c r="CZ40" t="s">
        <v>410</v>
      </c>
      <c r="DA40">
        <v>16.28</v>
      </c>
      <c r="DB40">
        <v>4.8600000000000003</v>
      </c>
      <c r="DC40">
        <v>4.41</v>
      </c>
      <c r="DD40">
        <v>13.3</v>
      </c>
      <c r="DE40">
        <v>40513</v>
      </c>
      <c r="DF40">
        <v>50</v>
      </c>
      <c r="DG40" t="s">
        <v>116</v>
      </c>
      <c r="DH40" t="s">
        <v>116</v>
      </c>
      <c r="DI40" t="s">
        <v>116</v>
      </c>
    </row>
    <row r="41" spans="1:113" x14ac:dyDescent="0.4">
      <c r="A41" t="str">
        <f>"000055"</f>
        <v>000055</v>
      </c>
      <c r="B41" t="s">
        <v>411</v>
      </c>
      <c r="C41">
        <v>0</v>
      </c>
      <c r="D41">
        <v>4.7</v>
      </c>
      <c r="E41">
        <v>0</v>
      </c>
      <c r="F41">
        <v>4.7</v>
      </c>
      <c r="G41">
        <v>4.71</v>
      </c>
      <c r="H41">
        <v>67266</v>
      </c>
      <c r="I41">
        <v>182</v>
      </c>
      <c r="J41">
        <v>0.21</v>
      </c>
      <c r="K41">
        <v>0.99</v>
      </c>
      <c r="L41">
        <v>4.7</v>
      </c>
      <c r="M41">
        <v>4.78</v>
      </c>
      <c r="N41">
        <v>4.68</v>
      </c>
      <c r="O41">
        <v>4.7</v>
      </c>
      <c r="P41">
        <v>25.38</v>
      </c>
      <c r="Q41">
        <v>31854204</v>
      </c>
      <c r="R41">
        <v>1.54</v>
      </c>
      <c r="S41" t="s">
        <v>249</v>
      </c>
      <c r="T41" t="s">
        <v>115</v>
      </c>
      <c r="U41">
        <v>2.13</v>
      </c>
      <c r="V41">
        <v>4.74</v>
      </c>
      <c r="W41">
        <v>33601</v>
      </c>
      <c r="X41">
        <v>33665</v>
      </c>
      <c r="Y41">
        <v>1</v>
      </c>
      <c r="Z41">
        <v>343</v>
      </c>
      <c r="AA41">
        <v>524</v>
      </c>
      <c r="AB41" t="s">
        <v>116</v>
      </c>
      <c r="AC41">
        <v>28200</v>
      </c>
      <c r="AD41">
        <v>0</v>
      </c>
      <c r="AE41" t="s">
        <v>116</v>
      </c>
      <c r="AF41" t="s">
        <v>116</v>
      </c>
      <c r="AG41">
        <v>6.78</v>
      </c>
      <c r="AH41" t="s">
        <v>412</v>
      </c>
      <c r="AI41" t="s">
        <v>413</v>
      </c>
      <c r="AJ41">
        <v>0.68</v>
      </c>
      <c r="AK41">
        <v>1352</v>
      </c>
      <c r="AL41">
        <v>50</v>
      </c>
      <c r="AM41">
        <v>6.9999999999999999E-4</v>
      </c>
      <c r="AN41">
        <v>0</v>
      </c>
      <c r="AO41">
        <v>2.85</v>
      </c>
      <c r="AP41">
        <v>6.09</v>
      </c>
      <c r="AQ41">
        <v>0.64</v>
      </c>
      <c r="AR41">
        <v>23.68</v>
      </c>
      <c r="AS41">
        <v>1.25</v>
      </c>
      <c r="AT41" t="s">
        <v>414</v>
      </c>
      <c r="AU41">
        <v>2.54</v>
      </c>
      <c r="AV41">
        <v>2.35</v>
      </c>
      <c r="AW41">
        <v>0.64</v>
      </c>
      <c r="BA41">
        <v>0</v>
      </c>
      <c r="BB41">
        <v>1.7</v>
      </c>
      <c r="BC41">
        <v>-0.43</v>
      </c>
      <c r="BD41">
        <v>0.76</v>
      </c>
      <c r="BE41">
        <v>0</v>
      </c>
      <c r="BF41">
        <v>-1.67</v>
      </c>
      <c r="BG41">
        <v>0.43</v>
      </c>
      <c r="BH41">
        <v>-0.76</v>
      </c>
      <c r="BI41">
        <v>20191026</v>
      </c>
      <c r="BJ41">
        <v>19960415</v>
      </c>
      <c r="BK41">
        <v>11.23</v>
      </c>
      <c r="BL41">
        <v>4.4400000000000004</v>
      </c>
      <c r="BM41" t="s">
        <v>116</v>
      </c>
      <c r="BN41">
        <v>108.88</v>
      </c>
      <c r="BO41">
        <v>50.51</v>
      </c>
      <c r="BP41">
        <v>0.5</v>
      </c>
      <c r="BQ41">
        <v>53.14</v>
      </c>
      <c r="BR41">
        <v>44.81</v>
      </c>
      <c r="BS41">
        <v>4.7300000000000004</v>
      </c>
      <c r="BT41">
        <v>0.79</v>
      </c>
      <c r="BU41">
        <v>41.27</v>
      </c>
      <c r="BV41">
        <v>8.26</v>
      </c>
      <c r="BW41">
        <v>21.36</v>
      </c>
      <c r="BX41">
        <v>0.01</v>
      </c>
      <c r="BY41">
        <v>21.25</v>
      </c>
      <c r="BZ41">
        <v>16.29</v>
      </c>
      <c r="CA41">
        <v>1.66</v>
      </c>
      <c r="CB41">
        <v>0.06</v>
      </c>
      <c r="CC41">
        <v>1.71</v>
      </c>
      <c r="CD41">
        <v>1.56</v>
      </c>
      <c r="CE41">
        <v>1.56</v>
      </c>
      <c r="CF41">
        <v>1.29</v>
      </c>
      <c r="CG41">
        <v>38.69</v>
      </c>
      <c r="CH41">
        <v>-4.08</v>
      </c>
      <c r="CI41">
        <v>-5.75</v>
      </c>
      <c r="CJ41">
        <v>70369</v>
      </c>
      <c r="CK41">
        <v>13954</v>
      </c>
      <c r="CL41" t="s">
        <v>415</v>
      </c>
      <c r="CM41">
        <v>-51.46</v>
      </c>
      <c r="CN41">
        <v>-4.93</v>
      </c>
      <c r="CO41">
        <v>1.05</v>
      </c>
      <c r="CP41">
        <v>-12.93</v>
      </c>
      <c r="CQ41">
        <v>2.48</v>
      </c>
      <c r="CR41">
        <v>4.26</v>
      </c>
      <c r="CS41" t="s">
        <v>416</v>
      </c>
      <c r="CT41">
        <v>4.5</v>
      </c>
      <c r="CU41">
        <v>0</v>
      </c>
      <c r="CV41">
        <v>0</v>
      </c>
      <c r="CW41">
        <v>3.44</v>
      </c>
      <c r="CX41">
        <v>-0.36</v>
      </c>
      <c r="CY41">
        <v>46.39</v>
      </c>
      <c r="CZ41" t="s">
        <v>417</v>
      </c>
      <c r="DA41">
        <v>23.37</v>
      </c>
      <c r="DB41">
        <v>7.83</v>
      </c>
      <c r="DC41">
        <v>7.34</v>
      </c>
      <c r="DD41">
        <v>0.35</v>
      </c>
      <c r="DE41">
        <v>2206</v>
      </c>
      <c r="DF41">
        <v>55</v>
      </c>
      <c r="DG41" t="s">
        <v>116</v>
      </c>
      <c r="DH41" t="s">
        <v>116</v>
      </c>
      <c r="DI41" t="s">
        <v>116</v>
      </c>
    </row>
    <row r="42" spans="1:113" x14ac:dyDescent="0.4">
      <c r="A42" t="str">
        <f>"000056"</f>
        <v>000056</v>
      </c>
      <c r="B42" t="s">
        <v>418</v>
      </c>
      <c r="C42">
        <v>-1.41</v>
      </c>
      <c r="D42">
        <v>4.21</v>
      </c>
      <c r="E42">
        <v>-0.06</v>
      </c>
      <c r="F42">
        <v>4.21</v>
      </c>
      <c r="G42">
        <v>4.22</v>
      </c>
      <c r="H42">
        <v>81337</v>
      </c>
      <c r="I42">
        <v>1034</v>
      </c>
      <c r="J42">
        <v>0</v>
      </c>
      <c r="K42">
        <v>0.9</v>
      </c>
      <c r="L42">
        <v>4.2699999999999996</v>
      </c>
      <c r="M42">
        <v>4.3099999999999996</v>
      </c>
      <c r="N42">
        <v>4.2</v>
      </c>
      <c r="O42">
        <v>4.2699999999999996</v>
      </c>
      <c r="P42">
        <v>31.21</v>
      </c>
      <c r="Q42">
        <v>34649140</v>
      </c>
      <c r="R42">
        <v>1.1000000000000001</v>
      </c>
      <c r="S42" t="s">
        <v>419</v>
      </c>
      <c r="T42" t="s">
        <v>115</v>
      </c>
      <c r="U42">
        <v>2.58</v>
      </c>
      <c r="V42">
        <v>4.26</v>
      </c>
      <c r="W42">
        <v>50878</v>
      </c>
      <c r="X42">
        <v>30459</v>
      </c>
      <c r="Y42">
        <v>1.67</v>
      </c>
      <c r="Z42">
        <v>298</v>
      </c>
      <c r="AA42">
        <v>854</v>
      </c>
      <c r="AB42" t="s">
        <v>116</v>
      </c>
      <c r="AC42">
        <v>215800</v>
      </c>
      <c r="AD42">
        <v>0.02</v>
      </c>
      <c r="AE42" t="s">
        <v>116</v>
      </c>
      <c r="AF42" t="s">
        <v>116</v>
      </c>
      <c r="AG42">
        <v>9.0399999999999991</v>
      </c>
      <c r="AH42" t="s">
        <v>420</v>
      </c>
      <c r="AI42" t="s">
        <v>421</v>
      </c>
      <c r="AJ42">
        <v>-0.73</v>
      </c>
      <c r="AK42">
        <v>1321</v>
      </c>
      <c r="AL42">
        <v>62</v>
      </c>
      <c r="AM42">
        <v>6.9999999999999999E-4</v>
      </c>
      <c r="AN42">
        <v>-1</v>
      </c>
      <c r="AO42">
        <v>0.23</v>
      </c>
      <c r="AP42">
        <v>4.7300000000000004</v>
      </c>
      <c r="AQ42">
        <v>-9.85</v>
      </c>
      <c r="AR42">
        <v>-10.8</v>
      </c>
      <c r="AS42">
        <v>2.62</v>
      </c>
      <c r="AT42" t="s">
        <v>422</v>
      </c>
      <c r="AU42">
        <v>60.38</v>
      </c>
      <c r="AV42">
        <v>54.58</v>
      </c>
      <c r="AW42">
        <v>1.1599999999999999</v>
      </c>
      <c r="BA42">
        <v>0</v>
      </c>
      <c r="BB42">
        <v>0.94</v>
      </c>
      <c r="BC42">
        <v>-1.64</v>
      </c>
      <c r="BD42">
        <v>-0.24</v>
      </c>
      <c r="BE42">
        <v>-1.41</v>
      </c>
      <c r="BF42">
        <v>-2.3199999999999998</v>
      </c>
      <c r="BG42">
        <v>0.24</v>
      </c>
      <c r="BH42">
        <v>-1.17</v>
      </c>
      <c r="BI42">
        <v>20191226</v>
      </c>
      <c r="BJ42">
        <v>19960708</v>
      </c>
      <c r="BK42">
        <v>11.75</v>
      </c>
      <c r="BL42">
        <v>2.4300000000000002</v>
      </c>
      <c r="BM42" t="s">
        <v>116</v>
      </c>
      <c r="BN42">
        <v>130.75</v>
      </c>
      <c r="BO42">
        <v>54.5</v>
      </c>
      <c r="BP42">
        <v>4.8</v>
      </c>
      <c r="BQ42">
        <v>54.65</v>
      </c>
      <c r="BR42">
        <v>25.09</v>
      </c>
      <c r="BS42">
        <v>2.04</v>
      </c>
      <c r="BT42">
        <v>0.02</v>
      </c>
      <c r="BU42">
        <v>22.13</v>
      </c>
      <c r="BV42">
        <v>0.18</v>
      </c>
      <c r="BW42">
        <v>1.9</v>
      </c>
      <c r="BX42">
        <v>18.95</v>
      </c>
      <c r="BY42">
        <v>7.23</v>
      </c>
      <c r="BZ42">
        <v>2.13</v>
      </c>
      <c r="CA42">
        <v>1.88</v>
      </c>
      <c r="CB42">
        <v>0.05</v>
      </c>
      <c r="CC42">
        <v>1.9</v>
      </c>
      <c r="CD42">
        <v>1.53</v>
      </c>
      <c r="CE42">
        <v>1.19</v>
      </c>
      <c r="CF42">
        <v>1.05</v>
      </c>
      <c r="CG42">
        <v>21.6</v>
      </c>
      <c r="CH42">
        <v>1.94</v>
      </c>
      <c r="CI42">
        <v>-0.33</v>
      </c>
      <c r="CJ42">
        <v>36507</v>
      </c>
      <c r="CK42">
        <v>15150</v>
      </c>
      <c r="CL42" t="s">
        <v>423</v>
      </c>
      <c r="CM42">
        <v>-6.82</v>
      </c>
      <c r="CN42">
        <v>5.32</v>
      </c>
      <c r="CO42">
        <v>0.91</v>
      </c>
      <c r="CP42">
        <v>25.44</v>
      </c>
      <c r="CQ42">
        <v>6.84</v>
      </c>
      <c r="CR42">
        <v>0.24</v>
      </c>
      <c r="CS42" t="s">
        <v>424</v>
      </c>
      <c r="CT42">
        <v>4.6399999999999997</v>
      </c>
      <c r="CU42">
        <v>0</v>
      </c>
      <c r="CV42">
        <v>1.61</v>
      </c>
      <c r="CW42">
        <v>1.84</v>
      </c>
      <c r="CX42">
        <v>0.17</v>
      </c>
      <c r="CY42">
        <v>41.68</v>
      </c>
      <c r="CZ42" t="s">
        <v>425</v>
      </c>
      <c r="DA42">
        <v>70.510000000000005</v>
      </c>
      <c r="DB42">
        <v>25.98</v>
      </c>
      <c r="DC42">
        <v>16.45</v>
      </c>
      <c r="DD42">
        <v>0</v>
      </c>
      <c r="DE42">
        <v>722</v>
      </c>
      <c r="DF42">
        <v>56</v>
      </c>
      <c r="DG42" t="s">
        <v>116</v>
      </c>
      <c r="DH42" t="s">
        <v>116</v>
      </c>
      <c r="DI42" t="s">
        <v>116</v>
      </c>
    </row>
    <row r="43" spans="1:113" x14ac:dyDescent="0.4">
      <c r="A43" t="str">
        <f>"000058"</f>
        <v>000058</v>
      </c>
      <c r="B43" t="s">
        <v>426</v>
      </c>
      <c r="C43">
        <v>-0.4</v>
      </c>
      <c r="D43">
        <v>7.43</v>
      </c>
      <c r="E43">
        <v>-0.03</v>
      </c>
      <c r="F43">
        <v>7.43</v>
      </c>
      <c r="G43">
        <v>7.44</v>
      </c>
      <c r="H43">
        <v>160830</v>
      </c>
      <c r="I43">
        <v>2195</v>
      </c>
      <c r="J43">
        <v>-0.12</v>
      </c>
      <c r="K43">
        <v>2.99</v>
      </c>
      <c r="L43">
        <v>7.47</v>
      </c>
      <c r="M43">
        <v>7.65</v>
      </c>
      <c r="N43">
        <v>7.42</v>
      </c>
      <c r="O43">
        <v>7.46</v>
      </c>
      <c r="P43">
        <v>62.45</v>
      </c>
      <c r="Q43">
        <v>121034680</v>
      </c>
      <c r="R43">
        <v>1.19</v>
      </c>
      <c r="S43" t="s">
        <v>233</v>
      </c>
      <c r="T43" t="s">
        <v>115</v>
      </c>
      <c r="U43">
        <v>3.08</v>
      </c>
      <c r="V43">
        <v>7.53</v>
      </c>
      <c r="W43">
        <v>83149</v>
      </c>
      <c r="X43">
        <v>77681</v>
      </c>
      <c r="Y43">
        <v>1.07</v>
      </c>
      <c r="Z43">
        <v>2730</v>
      </c>
      <c r="AA43">
        <v>852</v>
      </c>
      <c r="AB43" t="s">
        <v>116</v>
      </c>
      <c r="AC43">
        <v>20200</v>
      </c>
      <c r="AD43">
        <v>0</v>
      </c>
      <c r="AE43" t="s">
        <v>116</v>
      </c>
      <c r="AF43" t="s">
        <v>116</v>
      </c>
      <c r="AG43">
        <v>5.38</v>
      </c>
      <c r="AH43" t="s">
        <v>427</v>
      </c>
      <c r="AI43" t="s">
        <v>428</v>
      </c>
      <c r="AJ43">
        <v>0.28000000000000003</v>
      </c>
      <c r="AK43">
        <v>2458</v>
      </c>
      <c r="AL43">
        <v>65</v>
      </c>
      <c r="AM43">
        <v>1.1999999999999999E-3</v>
      </c>
      <c r="AN43">
        <v>-1</v>
      </c>
      <c r="AO43">
        <v>0.13</v>
      </c>
      <c r="AP43">
        <v>0.41</v>
      </c>
      <c r="AQ43">
        <v>-11.23</v>
      </c>
      <c r="AR43">
        <v>25.61</v>
      </c>
      <c r="AS43">
        <v>5.58</v>
      </c>
      <c r="AT43" t="s">
        <v>429</v>
      </c>
      <c r="AU43">
        <v>209963.81</v>
      </c>
      <c r="AV43">
        <v>329.62</v>
      </c>
      <c r="AW43">
        <v>1.51</v>
      </c>
      <c r="BA43">
        <v>0.13</v>
      </c>
      <c r="BB43">
        <v>2.5499999999999998</v>
      </c>
      <c r="BC43">
        <v>-0.54</v>
      </c>
      <c r="BD43">
        <v>0.88</v>
      </c>
      <c r="BE43">
        <v>-0.54</v>
      </c>
      <c r="BF43">
        <v>-2.88</v>
      </c>
      <c r="BG43">
        <v>0.13</v>
      </c>
      <c r="BH43">
        <v>-1.28</v>
      </c>
      <c r="BI43">
        <v>20191125</v>
      </c>
      <c r="BJ43">
        <v>19961226</v>
      </c>
      <c r="BK43">
        <v>12.36</v>
      </c>
      <c r="BL43">
        <v>2.46</v>
      </c>
      <c r="BM43" t="s">
        <v>116</v>
      </c>
      <c r="BN43">
        <v>62.45</v>
      </c>
      <c r="BO43">
        <v>19.260000000000002</v>
      </c>
      <c r="BP43">
        <v>6.18</v>
      </c>
      <c r="BQ43">
        <v>59.26</v>
      </c>
      <c r="BR43">
        <v>42.76</v>
      </c>
      <c r="BS43">
        <v>0.71</v>
      </c>
      <c r="BT43">
        <v>7.0000000000000007E-2</v>
      </c>
      <c r="BU43">
        <v>18.829999999999998</v>
      </c>
      <c r="BV43">
        <v>25.05</v>
      </c>
      <c r="BW43">
        <v>1.1299999999999999</v>
      </c>
      <c r="BX43">
        <v>1.48</v>
      </c>
      <c r="BY43">
        <v>11.14</v>
      </c>
      <c r="BZ43">
        <v>7.34</v>
      </c>
      <c r="CA43">
        <v>2.25</v>
      </c>
      <c r="CB43">
        <v>0.77</v>
      </c>
      <c r="CC43">
        <v>2.27</v>
      </c>
      <c r="CD43">
        <v>1.5</v>
      </c>
      <c r="CE43">
        <v>1.1000000000000001</v>
      </c>
      <c r="CF43">
        <v>0.44</v>
      </c>
      <c r="CG43">
        <v>3.89</v>
      </c>
      <c r="CH43">
        <v>1.01</v>
      </c>
      <c r="CI43">
        <v>-9.69</v>
      </c>
      <c r="CJ43">
        <v>91601</v>
      </c>
      <c r="CK43">
        <v>5837</v>
      </c>
      <c r="CL43" t="s">
        <v>430</v>
      </c>
      <c r="CM43">
        <v>-20.14</v>
      </c>
      <c r="CN43">
        <v>-22.92</v>
      </c>
      <c r="CO43">
        <v>4.7699999999999996</v>
      </c>
      <c r="CP43">
        <v>90.88</v>
      </c>
      <c r="CQ43">
        <v>8.24</v>
      </c>
      <c r="CR43">
        <v>0.47</v>
      </c>
      <c r="CS43" t="s">
        <v>431</v>
      </c>
      <c r="CT43">
        <v>1.56</v>
      </c>
      <c r="CU43">
        <v>0</v>
      </c>
      <c r="CV43">
        <v>0.12</v>
      </c>
      <c r="CW43">
        <v>0.32</v>
      </c>
      <c r="CX43">
        <v>0.08</v>
      </c>
      <c r="CY43">
        <v>30.84</v>
      </c>
      <c r="CZ43" t="s">
        <v>276</v>
      </c>
      <c r="DA43">
        <v>34.06</v>
      </c>
      <c r="DB43">
        <v>20.190000000000001</v>
      </c>
      <c r="DC43">
        <v>9.9</v>
      </c>
      <c r="DD43">
        <v>0.02</v>
      </c>
      <c r="DE43">
        <v>2411</v>
      </c>
      <c r="DF43">
        <v>58</v>
      </c>
      <c r="DG43" t="s">
        <v>116</v>
      </c>
      <c r="DH43" t="s">
        <v>116</v>
      </c>
      <c r="DI43" t="s">
        <v>116</v>
      </c>
    </row>
    <row r="44" spans="1:113" x14ac:dyDescent="0.4">
      <c r="A44" t="str">
        <f>"000059"</f>
        <v>000059</v>
      </c>
      <c r="B44" t="s">
        <v>432</v>
      </c>
      <c r="C44">
        <v>-0.17</v>
      </c>
      <c r="D44">
        <v>5.98</v>
      </c>
      <c r="E44">
        <v>-0.01</v>
      </c>
      <c r="F44">
        <v>5.97</v>
      </c>
      <c r="G44">
        <v>5.98</v>
      </c>
      <c r="H44">
        <v>97524</v>
      </c>
      <c r="I44">
        <v>753</v>
      </c>
      <c r="J44">
        <v>0</v>
      </c>
      <c r="K44">
        <v>0.61</v>
      </c>
      <c r="L44">
        <v>5.98</v>
      </c>
      <c r="M44">
        <v>6.05</v>
      </c>
      <c r="N44">
        <v>5.97</v>
      </c>
      <c r="O44">
        <v>5.99</v>
      </c>
      <c r="P44">
        <v>7.77</v>
      </c>
      <c r="Q44">
        <v>58588156</v>
      </c>
      <c r="R44">
        <v>1.1499999999999999</v>
      </c>
      <c r="S44" t="s">
        <v>433</v>
      </c>
      <c r="T44" t="s">
        <v>434</v>
      </c>
      <c r="U44">
        <v>1.34</v>
      </c>
      <c r="V44">
        <v>6.01</v>
      </c>
      <c r="W44">
        <v>50078</v>
      </c>
      <c r="X44">
        <v>47446</v>
      </c>
      <c r="Y44">
        <v>1.06</v>
      </c>
      <c r="Z44">
        <v>1072</v>
      </c>
      <c r="AA44">
        <v>526</v>
      </c>
      <c r="AB44" t="s">
        <v>116</v>
      </c>
      <c r="AC44">
        <v>134600</v>
      </c>
      <c r="AD44">
        <v>0</v>
      </c>
      <c r="AE44" t="s">
        <v>116</v>
      </c>
      <c r="AF44" t="s">
        <v>116</v>
      </c>
      <c r="AG44">
        <v>15.99</v>
      </c>
      <c r="AH44" t="s">
        <v>435</v>
      </c>
      <c r="AI44" t="s">
        <v>435</v>
      </c>
      <c r="AJ44">
        <v>0.51</v>
      </c>
      <c r="AK44">
        <v>1588</v>
      </c>
      <c r="AL44">
        <v>61</v>
      </c>
      <c r="AM44">
        <v>4.0000000000000002E-4</v>
      </c>
      <c r="AN44">
        <v>-2</v>
      </c>
      <c r="AO44">
        <v>0.84</v>
      </c>
      <c r="AP44">
        <v>3.64</v>
      </c>
      <c r="AQ44">
        <v>4.18</v>
      </c>
      <c r="AR44">
        <v>5.0999999999999996</v>
      </c>
      <c r="AS44">
        <v>1.17</v>
      </c>
      <c r="AT44" t="s">
        <v>436</v>
      </c>
      <c r="AU44">
        <v>10.4</v>
      </c>
      <c r="AV44">
        <v>9.06</v>
      </c>
      <c r="AW44">
        <v>0.75</v>
      </c>
      <c r="BA44">
        <v>-0.17</v>
      </c>
      <c r="BB44">
        <v>1</v>
      </c>
      <c r="BC44">
        <v>-0.33</v>
      </c>
      <c r="BD44">
        <v>0.28999999999999998</v>
      </c>
      <c r="BE44">
        <v>0</v>
      </c>
      <c r="BF44">
        <v>-1.1599999999999999</v>
      </c>
      <c r="BG44">
        <v>0.17</v>
      </c>
      <c r="BH44">
        <v>-0.46</v>
      </c>
      <c r="BI44">
        <v>20191022</v>
      </c>
      <c r="BJ44">
        <v>19970130</v>
      </c>
      <c r="BK44">
        <v>15.99</v>
      </c>
      <c r="BL44" t="s">
        <v>116</v>
      </c>
      <c r="BM44" t="s">
        <v>116</v>
      </c>
      <c r="BN44">
        <v>278.58999999999997</v>
      </c>
      <c r="BO44">
        <v>137.16</v>
      </c>
      <c r="BP44">
        <v>6.16</v>
      </c>
      <c r="BQ44">
        <v>48.55</v>
      </c>
      <c r="BR44">
        <v>131.44</v>
      </c>
      <c r="BS44">
        <v>125.55</v>
      </c>
      <c r="BT44">
        <v>13.16</v>
      </c>
      <c r="BU44">
        <v>74.19</v>
      </c>
      <c r="BV44">
        <v>48.84</v>
      </c>
      <c r="BW44">
        <v>2.09</v>
      </c>
      <c r="BX44">
        <v>62.02</v>
      </c>
      <c r="BY44">
        <v>279.82</v>
      </c>
      <c r="BZ44">
        <v>234.93</v>
      </c>
      <c r="CA44">
        <v>11.6</v>
      </c>
      <c r="CB44">
        <v>0.04</v>
      </c>
      <c r="CC44">
        <v>11.78</v>
      </c>
      <c r="CD44">
        <v>9.8000000000000007</v>
      </c>
      <c r="CE44">
        <v>9.23</v>
      </c>
      <c r="CF44">
        <v>9.01</v>
      </c>
      <c r="CG44">
        <v>53.16</v>
      </c>
      <c r="CH44">
        <v>9.49</v>
      </c>
      <c r="CI44">
        <v>-29.77</v>
      </c>
      <c r="CJ44">
        <v>69257</v>
      </c>
      <c r="CK44">
        <v>12042</v>
      </c>
      <c r="CL44" t="s">
        <v>437</v>
      </c>
      <c r="CM44">
        <v>-12.83</v>
      </c>
      <c r="CN44">
        <v>10.3</v>
      </c>
      <c r="CO44">
        <v>0.7</v>
      </c>
      <c r="CP44">
        <v>10.08</v>
      </c>
      <c r="CQ44">
        <v>0.34</v>
      </c>
      <c r="CR44">
        <v>4.18</v>
      </c>
      <c r="CS44" t="s">
        <v>438</v>
      </c>
      <c r="CT44">
        <v>8.58</v>
      </c>
      <c r="CU44">
        <v>0</v>
      </c>
      <c r="CV44">
        <v>3.88</v>
      </c>
      <c r="CW44">
        <v>3.32</v>
      </c>
      <c r="CX44">
        <v>0.59</v>
      </c>
      <c r="CY44">
        <v>49.24</v>
      </c>
      <c r="CZ44" t="s">
        <v>439</v>
      </c>
      <c r="DA44">
        <v>16.04</v>
      </c>
      <c r="DB44">
        <v>4.1500000000000004</v>
      </c>
      <c r="DC44">
        <v>3.3</v>
      </c>
      <c r="DD44">
        <v>0.69</v>
      </c>
      <c r="DE44">
        <v>8298</v>
      </c>
      <c r="DF44">
        <v>59</v>
      </c>
      <c r="DG44" t="s">
        <v>116</v>
      </c>
      <c r="DH44" t="s">
        <v>116</v>
      </c>
      <c r="DI44" t="s">
        <v>116</v>
      </c>
    </row>
    <row r="45" spans="1:113" x14ac:dyDescent="0.4">
      <c r="A45" t="str">
        <f>"000060"</f>
        <v>000060</v>
      </c>
      <c r="B45" t="s">
        <v>440</v>
      </c>
      <c r="C45">
        <v>1.67</v>
      </c>
      <c r="D45">
        <v>4.25</v>
      </c>
      <c r="E45">
        <v>7.0000000000000007E-2</v>
      </c>
      <c r="F45">
        <v>4.24</v>
      </c>
      <c r="G45">
        <v>4.25</v>
      </c>
      <c r="H45">
        <v>816974</v>
      </c>
      <c r="I45">
        <v>4377</v>
      </c>
      <c r="J45">
        <v>0</v>
      </c>
      <c r="K45">
        <v>2.29</v>
      </c>
      <c r="L45">
        <v>4.18</v>
      </c>
      <c r="M45">
        <v>4.43</v>
      </c>
      <c r="N45">
        <v>4.18</v>
      </c>
      <c r="O45">
        <v>4.18</v>
      </c>
      <c r="P45">
        <v>17.89</v>
      </c>
      <c r="Q45">
        <v>351920768</v>
      </c>
      <c r="R45">
        <v>3.59</v>
      </c>
      <c r="S45" t="s">
        <v>441</v>
      </c>
      <c r="T45" t="s">
        <v>115</v>
      </c>
      <c r="U45">
        <v>5.98</v>
      </c>
      <c r="V45">
        <v>4.3099999999999996</v>
      </c>
      <c r="W45">
        <v>350287</v>
      </c>
      <c r="X45">
        <v>466687</v>
      </c>
      <c r="Y45">
        <v>0.75</v>
      </c>
      <c r="Z45">
        <v>7487</v>
      </c>
      <c r="AA45">
        <v>1713</v>
      </c>
      <c r="AB45" t="s">
        <v>116</v>
      </c>
      <c r="AC45">
        <v>583500</v>
      </c>
      <c r="AD45">
        <v>0.01</v>
      </c>
      <c r="AE45" t="s">
        <v>116</v>
      </c>
      <c r="AF45" t="s">
        <v>116</v>
      </c>
      <c r="AG45">
        <v>35.68</v>
      </c>
      <c r="AH45" t="s">
        <v>442</v>
      </c>
      <c r="AI45" t="s">
        <v>443</v>
      </c>
      <c r="AJ45">
        <v>2.35</v>
      </c>
      <c r="AK45">
        <v>3870</v>
      </c>
      <c r="AL45">
        <v>211</v>
      </c>
      <c r="AM45">
        <v>5.9999999999999995E-4</v>
      </c>
      <c r="AN45">
        <v>2</v>
      </c>
      <c r="AO45">
        <v>0.7</v>
      </c>
      <c r="AP45">
        <v>6.78</v>
      </c>
      <c r="AQ45">
        <v>4.42</v>
      </c>
      <c r="AR45">
        <v>9.5399999999999991</v>
      </c>
      <c r="AS45">
        <v>3.38</v>
      </c>
      <c r="AT45" t="s">
        <v>444</v>
      </c>
      <c r="AU45">
        <v>19.3</v>
      </c>
      <c r="AV45">
        <v>16.489999999999998</v>
      </c>
      <c r="AW45">
        <v>0.75</v>
      </c>
      <c r="BA45">
        <v>0</v>
      </c>
      <c r="BB45">
        <v>5.98</v>
      </c>
      <c r="BC45">
        <v>0</v>
      </c>
      <c r="BD45">
        <v>3.05</v>
      </c>
      <c r="BE45">
        <v>1.67</v>
      </c>
      <c r="BF45">
        <v>-4.0599999999999996</v>
      </c>
      <c r="BG45">
        <v>1.67</v>
      </c>
      <c r="BH45">
        <v>-1.38</v>
      </c>
      <c r="BI45">
        <v>20191028</v>
      </c>
      <c r="BJ45">
        <v>19970123</v>
      </c>
      <c r="BK45">
        <v>35.700000000000003</v>
      </c>
      <c r="BL45" t="s">
        <v>116</v>
      </c>
      <c r="BM45" t="s">
        <v>116</v>
      </c>
      <c r="BN45">
        <v>206.43</v>
      </c>
      <c r="BO45">
        <v>107.29</v>
      </c>
      <c r="BP45">
        <v>4.34</v>
      </c>
      <c r="BQ45">
        <v>45.92</v>
      </c>
      <c r="BR45">
        <v>75.849999999999994</v>
      </c>
      <c r="BS45">
        <v>67.8</v>
      </c>
      <c r="BT45">
        <v>32.01</v>
      </c>
      <c r="BU45">
        <v>66.33</v>
      </c>
      <c r="BV45">
        <v>18.68</v>
      </c>
      <c r="BW45">
        <v>5.96</v>
      </c>
      <c r="BX45">
        <v>15.42</v>
      </c>
      <c r="BY45">
        <v>173.41</v>
      </c>
      <c r="BZ45">
        <v>159.07</v>
      </c>
      <c r="CA45">
        <v>7.52</v>
      </c>
      <c r="CB45">
        <v>1.6</v>
      </c>
      <c r="CC45">
        <v>7.52</v>
      </c>
      <c r="CD45">
        <v>6.52</v>
      </c>
      <c r="CE45">
        <v>6.36</v>
      </c>
      <c r="CF45">
        <v>5.4</v>
      </c>
      <c r="CG45">
        <v>49.88</v>
      </c>
      <c r="CH45">
        <v>10.67</v>
      </c>
      <c r="CI45">
        <v>7.03</v>
      </c>
      <c r="CJ45">
        <v>164034</v>
      </c>
      <c r="CK45">
        <v>14729</v>
      </c>
      <c r="CL45" t="s">
        <v>445</v>
      </c>
      <c r="CM45">
        <v>-17.37</v>
      </c>
      <c r="CN45">
        <v>2.1800000000000002</v>
      </c>
      <c r="CO45">
        <v>1.41</v>
      </c>
      <c r="CP45">
        <v>14.22</v>
      </c>
      <c r="CQ45">
        <v>0.87</v>
      </c>
      <c r="CR45">
        <v>1.88</v>
      </c>
      <c r="CS45" t="s">
        <v>446</v>
      </c>
      <c r="CT45">
        <v>3.01</v>
      </c>
      <c r="CU45">
        <v>0</v>
      </c>
      <c r="CV45">
        <v>0.43</v>
      </c>
      <c r="CW45">
        <v>1.4</v>
      </c>
      <c r="CX45">
        <v>0.3</v>
      </c>
      <c r="CY45">
        <v>51.98</v>
      </c>
      <c r="CZ45" t="s">
        <v>447</v>
      </c>
      <c r="DA45">
        <v>8.27</v>
      </c>
      <c r="DB45">
        <v>4.34</v>
      </c>
      <c r="DC45">
        <v>3.67</v>
      </c>
      <c r="DD45">
        <v>2.0099999999999998</v>
      </c>
      <c r="DE45">
        <v>9855</v>
      </c>
      <c r="DF45">
        <v>60</v>
      </c>
      <c r="DG45" t="s">
        <v>116</v>
      </c>
      <c r="DH45" t="s">
        <v>116</v>
      </c>
      <c r="DI45" t="s">
        <v>116</v>
      </c>
    </row>
    <row r="46" spans="1:113" x14ac:dyDescent="0.4">
      <c r="A46" t="str">
        <f>"000061"</f>
        <v>000061</v>
      </c>
      <c r="B46" t="s">
        <v>448</v>
      </c>
      <c r="C46">
        <v>3.31</v>
      </c>
      <c r="D46">
        <v>5.61</v>
      </c>
      <c r="E46">
        <v>0.18</v>
      </c>
      <c r="F46">
        <v>5.6</v>
      </c>
      <c r="G46">
        <v>5.61</v>
      </c>
      <c r="H46">
        <v>180159</v>
      </c>
      <c r="I46">
        <v>1907</v>
      </c>
      <c r="J46">
        <v>0.54</v>
      </c>
      <c r="K46">
        <v>1.06</v>
      </c>
      <c r="L46">
        <v>5.44</v>
      </c>
      <c r="M46">
        <v>5.76</v>
      </c>
      <c r="N46">
        <v>5.44</v>
      </c>
      <c r="O46">
        <v>5.43</v>
      </c>
      <c r="P46">
        <v>43.49</v>
      </c>
      <c r="Q46">
        <v>101484688</v>
      </c>
      <c r="R46">
        <v>2.83</v>
      </c>
      <c r="S46" t="s">
        <v>449</v>
      </c>
      <c r="T46" t="s">
        <v>115</v>
      </c>
      <c r="U46">
        <v>5.89</v>
      </c>
      <c r="V46">
        <v>5.63</v>
      </c>
      <c r="W46">
        <v>78474</v>
      </c>
      <c r="X46">
        <v>101685</v>
      </c>
      <c r="Y46">
        <v>0.77</v>
      </c>
      <c r="Z46">
        <v>796</v>
      </c>
      <c r="AA46">
        <v>1556</v>
      </c>
      <c r="AB46" t="s">
        <v>116</v>
      </c>
      <c r="AC46">
        <v>140400</v>
      </c>
      <c r="AD46">
        <v>0</v>
      </c>
      <c r="AE46" t="s">
        <v>116</v>
      </c>
      <c r="AF46" t="s">
        <v>116</v>
      </c>
      <c r="AG46">
        <v>16.95</v>
      </c>
      <c r="AH46" t="s">
        <v>450</v>
      </c>
      <c r="AI46" t="s">
        <v>451</v>
      </c>
      <c r="AJ46">
        <v>3.99</v>
      </c>
      <c r="AK46">
        <v>2522</v>
      </c>
      <c r="AL46">
        <v>71</v>
      </c>
      <c r="AM46">
        <v>4.0000000000000002E-4</v>
      </c>
      <c r="AN46">
        <v>2</v>
      </c>
      <c r="AO46">
        <v>2</v>
      </c>
      <c r="AP46">
        <v>4.8600000000000003</v>
      </c>
      <c r="AQ46">
        <v>8.51</v>
      </c>
      <c r="AR46">
        <v>15.91</v>
      </c>
      <c r="AS46">
        <v>2.95</v>
      </c>
      <c r="AT46" t="s">
        <v>452</v>
      </c>
      <c r="AU46">
        <v>59.61</v>
      </c>
      <c r="AV46">
        <v>222.6</v>
      </c>
      <c r="AW46">
        <v>0.75</v>
      </c>
      <c r="BA46">
        <v>0.18</v>
      </c>
      <c r="BB46">
        <v>6.08</v>
      </c>
      <c r="BC46">
        <v>0.18</v>
      </c>
      <c r="BD46">
        <v>3.74</v>
      </c>
      <c r="BE46">
        <v>3.13</v>
      </c>
      <c r="BF46">
        <v>-2.6</v>
      </c>
      <c r="BG46">
        <v>3.13</v>
      </c>
      <c r="BH46">
        <v>-0.42</v>
      </c>
      <c r="BI46">
        <v>20191030</v>
      </c>
      <c r="BJ46">
        <v>19970110</v>
      </c>
      <c r="BK46">
        <v>16.97</v>
      </c>
      <c r="BL46" t="s">
        <v>116</v>
      </c>
      <c r="BM46" t="s">
        <v>116</v>
      </c>
      <c r="BN46">
        <v>189.28</v>
      </c>
      <c r="BO46">
        <v>50.48</v>
      </c>
      <c r="BP46">
        <v>16.93</v>
      </c>
      <c r="BQ46">
        <v>64.38</v>
      </c>
      <c r="BR46">
        <v>39.4</v>
      </c>
      <c r="BS46">
        <v>20.18</v>
      </c>
      <c r="BT46">
        <v>17.579999999999998</v>
      </c>
      <c r="BU46">
        <v>71.92</v>
      </c>
      <c r="BV46">
        <v>6.08</v>
      </c>
      <c r="BW46">
        <v>0.71</v>
      </c>
      <c r="BX46">
        <v>27.95</v>
      </c>
      <c r="BY46">
        <v>21.09</v>
      </c>
      <c r="BZ46">
        <v>13.38</v>
      </c>
      <c r="CA46">
        <v>3.62</v>
      </c>
      <c r="CB46">
        <v>0.77</v>
      </c>
      <c r="CC46">
        <v>3.65</v>
      </c>
      <c r="CD46">
        <v>2.4500000000000002</v>
      </c>
      <c r="CE46">
        <v>1.64</v>
      </c>
      <c r="CF46">
        <v>1.21</v>
      </c>
      <c r="CG46">
        <v>3.08</v>
      </c>
      <c r="CH46">
        <v>8.18</v>
      </c>
      <c r="CI46">
        <v>0.48</v>
      </c>
      <c r="CJ46">
        <v>48501</v>
      </c>
      <c r="CK46">
        <v>12575</v>
      </c>
      <c r="CL46" t="s">
        <v>453</v>
      </c>
      <c r="CM46">
        <v>247.56</v>
      </c>
      <c r="CN46">
        <v>24.12</v>
      </c>
      <c r="CO46">
        <v>1.89</v>
      </c>
      <c r="CP46">
        <v>11.63</v>
      </c>
      <c r="CQ46">
        <v>4.51</v>
      </c>
      <c r="CR46">
        <v>0.18</v>
      </c>
      <c r="CS46" t="s">
        <v>454</v>
      </c>
      <c r="CT46">
        <v>2.97</v>
      </c>
      <c r="CU46">
        <v>0</v>
      </c>
      <c r="CV46">
        <v>1.65</v>
      </c>
      <c r="CW46">
        <v>0.18</v>
      </c>
      <c r="CX46">
        <v>0.48</v>
      </c>
      <c r="CY46">
        <v>26.67</v>
      </c>
      <c r="CZ46" t="s">
        <v>455</v>
      </c>
      <c r="DA46">
        <v>36.53</v>
      </c>
      <c r="DB46">
        <v>17.190000000000001</v>
      </c>
      <c r="DC46">
        <v>7.79</v>
      </c>
      <c r="DD46">
        <v>7.0000000000000007E-2</v>
      </c>
      <c r="DE46">
        <v>4824</v>
      </c>
      <c r="DF46">
        <v>61</v>
      </c>
      <c r="DG46" t="s">
        <v>116</v>
      </c>
      <c r="DH46" t="s">
        <v>116</v>
      </c>
      <c r="DI46" t="s">
        <v>116</v>
      </c>
    </row>
    <row r="47" spans="1:113" x14ac:dyDescent="0.4">
      <c r="A47" t="str">
        <f>"000062"</f>
        <v>000062</v>
      </c>
      <c r="B47" t="s">
        <v>456</v>
      </c>
      <c r="C47">
        <v>-2.19</v>
      </c>
      <c r="D47">
        <v>14.28</v>
      </c>
      <c r="E47">
        <v>-0.32</v>
      </c>
      <c r="F47">
        <v>14.28</v>
      </c>
      <c r="G47">
        <v>14.29</v>
      </c>
      <c r="H47">
        <v>53103</v>
      </c>
      <c r="I47">
        <v>1372</v>
      </c>
      <c r="J47">
        <v>-0.41</v>
      </c>
      <c r="K47">
        <v>0.51</v>
      </c>
      <c r="L47">
        <v>14.7</v>
      </c>
      <c r="M47">
        <v>14.71</v>
      </c>
      <c r="N47">
        <v>14.28</v>
      </c>
      <c r="O47">
        <v>14.6</v>
      </c>
      <c r="P47">
        <v>22.94</v>
      </c>
      <c r="Q47">
        <v>76664872</v>
      </c>
      <c r="R47">
        <v>1.1100000000000001</v>
      </c>
      <c r="S47" t="s">
        <v>457</v>
      </c>
      <c r="T47" t="s">
        <v>115</v>
      </c>
      <c r="U47">
        <v>2.95</v>
      </c>
      <c r="V47">
        <v>14.44</v>
      </c>
      <c r="W47">
        <v>33813</v>
      </c>
      <c r="X47">
        <v>19290</v>
      </c>
      <c r="Y47">
        <v>1.75</v>
      </c>
      <c r="Z47">
        <v>430</v>
      </c>
      <c r="AA47">
        <v>80</v>
      </c>
      <c r="AB47" t="s">
        <v>116</v>
      </c>
      <c r="AC47">
        <v>742400</v>
      </c>
      <c r="AD47">
        <v>0.02</v>
      </c>
      <c r="AE47" t="s">
        <v>116</v>
      </c>
      <c r="AF47" t="s">
        <v>116</v>
      </c>
      <c r="AG47">
        <v>10.45</v>
      </c>
      <c r="AH47" t="s">
        <v>458</v>
      </c>
      <c r="AI47" t="s">
        <v>459</v>
      </c>
      <c r="AJ47">
        <v>-1.51</v>
      </c>
      <c r="AK47">
        <v>1768</v>
      </c>
      <c r="AL47">
        <v>30</v>
      </c>
      <c r="AM47">
        <v>2.9999999999999997E-4</v>
      </c>
      <c r="AN47">
        <v>-1</v>
      </c>
      <c r="AO47">
        <v>-0.7</v>
      </c>
      <c r="AP47">
        <v>7.61</v>
      </c>
      <c r="AQ47">
        <v>-3.58</v>
      </c>
      <c r="AR47">
        <v>26.18</v>
      </c>
      <c r="AS47">
        <v>2.15</v>
      </c>
      <c r="AT47" t="s">
        <v>460</v>
      </c>
      <c r="AU47">
        <v>22.76</v>
      </c>
      <c r="AV47">
        <v>21.79</v>
      </c>
      <c r="AW47">
        <v>1.38</v>
      </c>
      <c r="BA47">
        <v>0.68</v>
      </c>
      <c r="BB47">
        <v>0.75</v>
      </c>
      <c r="BC47">
        <v>-2.19</v>
      </c>
      <c r="BD47">
        <v>-1.1200000000000001</v>
      </c>
      <c r="BE47">
        <v>-2.86</v>
      </c>
      <c r="BF47">
        <v>-2.92</v>
      </c>
      <c r="BG47">
        <v>0</v>
      </c>
      <c r="BH47">
        <v>-1.08</v>
      </c>
      <c r="BI47">
        <v>20191024</v>
      </c>
      <c r="BJ47">
        <v>19970130</v>
      </c>
      <c r="BK47">
        <v>10.46</v>
      </c>
      <c r="BL47" t="s">
        <v>116</v>
      </c>
      <c r="BM47" t="s">
        <v>116</v>
      </c>
      <c r="BN47">
        <v>108.05</v>
      </c>
      <c r="BO47">
        <v>50.36</v>
      </c>
      <c r="BP47">
        <v>5.0999999999999996</v>
      </c>
      <c r="BQ47">
        <v>48.67</v>
      </c>
      <c r="BR47">
        <v>67.510000000000005</v>
      </c>
      <c r="BS47">
        <v>2.65</v>
      </c>
      <c r="BT47">
        <v>1.72</v>
      </c>
      <c r="BU47">
        <v>46.62</v>
      </c>
      <c r="BV47">
        <v>18.010000000000002</v>
      </c>
      <c r="BW47">
        <v>30.02</v>
      </c>
      <c r="BX47">
        <v>6.33</v>
      </c>
      <c r="BY47">
        <v>99.3</v>
      </c>
      <c r="BZ47">
        <v>87.81</v>
      </c>
      <c r="CA47">
        <v>6.8</v>
      </c>
      <c r="CB47">
        <v>1.1299999999999999</v>
      </c>
      <c r="CC47">
        <v>6.84</v>
      </c>
      <c r="CD47">
        <v>5.52</v>
      </c>
      <c r="CE47">
        <v>4.88</v>
      </c>
      <c r="CF47">
        <v>4.7300000000000004</v>
      </c>
      <c r="CG47">
        <v>29.81</v>
      </c>
      <c r="CH47">
        <v>5.26</v>
      </c>
      <c r="CI47">
        <v>-1.05</v>
      </c>
      <c r="CJ47">
        <v>35985</v>
      </c>
      <c r="CK47">
        <v>6877</v>
      </c>
      <c r="CL47" t="s">
        <v>461</v>
      </c>
      <c r="CM47">
        <v>-5.69</v>
      </c>
      <c r="CN47">
        <v>18.09</v>
      </c>
      <c r="CO47">
        <v>2.97</v>
      </c>
      <c r="CP47">
        <v>28.39</v>
      </c>
      <c r="CQ47">
        <v>1.5</v>
      </c>
      <c r="CR47">
        <v>1.21</v>
      </c>
      <c r="CS47" t="s">
        <v>462</v>
      </c>
      <c r="CT47">
        <v>4.82</v>
      </c>
      <c r="CU47">
        <v>0</v>
      </c>
      <c r="CV47">
        <v>0.61</v>
      </c>
      <c r="CW47">
        <v>2.85</v>
      </c>
      <c r="CX47">
        <v>0.5</v>
      </c>
      <c r="CY47">
        <v>46.61</v>
      </c>
      <c r="CZ47" t="s">
        <v>463</v>
      </c>
      <c r="DA47">
        <v>11.57</v>
      </c>
      <c r="DB47">
        <v>6.85</v>
      </c>
      <c r="DC47">
        <v>4.92</v>
      </c>
      <c r="DD47">
        <v>0.66</v>
      </c>
      <c r="DE47">
        <v>1905</v>
      </c>
      <c r="DF47">
        <v>62</v>
      </c>
      <c r="DG47" t="s">
        <v>116</v>
      </c>
      <c r="DH47" t="s">
        <v>116</v>
      </c>
      <c r="DI47" t="s">
        <v>116</v>
      </c>
    </row>
    <row r="48" spans="1:113" x14ac:dyDescent="0.4">
      <c r="A48" t="str">
        <f>"000063"</f>
        <v>000063</v>
      </c>
      <c r="B48" t="s">
        <v>464</v>
      </c>
      <c r="C48">
        <v>-0.77</v>
      </c>
      <c r="D48">
        <v>33.64</v>
      </c>
      <c r="E48">
        <v>-0.26</v>
      </c>
      <c r="F48">
        <v>33.630000000000003</v>
      </c>
      <c r="G48">
        <v>33.64</v>
      </c>
      <c r="H48">
        <v>639171</v>
      </c>
      <c r="I48">
        <v>5845</v>
      </c>
      <c r="J48">
        <v>-0.14000000000000001</v>
      </c>
      <c r="K48">
        <v>1.84</v>
      </c>
      <c r="L48">
        <v>34.01</v>
      </c>
      <c r="M48">
        <v>34.28</v>
      </c>
      <c r="N48">
        <v>33.5</v>
      </c>
      <c r="O48">
        <v>33.9</v>
      </c>
      <c r="P48">
        <v>25.84</v>
      </c>
      <c r="Q48">
        <v>2167929600</v>
      </c>
      <c r="R48">
        <v>0.89</v>
      </c>
      <c r="S48" t="s">
        <v>465</v>
      </c>
      <c r="T48" t="s">
        <v>115</v>
      </c>
      <c r="U48">
        <v>2.2999999999999998</v>
      </c>
      <c r="V48">
        <v>33.92</v>
      </c>
      <c r="W48">
        <v>363349</v>
      </c>
      <c r="X48">
        <v>275822</v>
      </c>
      <c r="Y48">
        <v>1.32</v>
      </c>
      <c r="Z48">
        <v>365</v>
      </c>
      <c r="AA48">
        <v>566</v>
      </c>
      <c r="AB48" t="s">
        <v>116</v>
      </c>
      <c r="AC48">
        <v>5152500</v>
      </c>
      <c r="AD48">
        <v>0.01</v>
      </c>
      <c r="AE48" t="s">
        <v>116</v>
      </c>
      <c r="AF48" t="s">
        <v>116</v>
      </c>
      <c r="AG48">
        <v>34.68</v>
      </c>
      <c r="AH48" t="s">
        <v>466</v>
      </c>
      <c r="AI48" t="s">
        <v>467</v>
      </c>
      <c r="AJ48">
        <v>-0.09</v>
      </c>
      <c r="AK48">
        <v>4670</v>
      </c>
      <c r="AL48">
        <v>137</v>
      </c>
      <c r="AM48">
        <v>4.0000000000000002E-4</v>
      </c>
      <c r="AN48">
        <v>-1</v>
      </c>
      <c r="AO48">
        <v>1.56</v>
      </c>
      <c r="AP48">
        <v>9.5399999999999991</v>
      </c>
      <c r="AQ48">
        <v>1.33</v>
      </c>
      <c r="AR48">
        <v>71.72</v>
      </c>
      <c r="AS48">
        <v>2.75</v>
      </c>
      <c r="AT48" t="s">
        <v>468</v>
      </c>
      <c r="AU48">
        <v>32.03</v>
      </c>
      <c r="AV48" t="s">
        <v>116</v>
      </c>
      <c r="AW48">
        <v>1.1599999999999999</v>
      </c>
      <c r="BA48">
        <v>0.32</v>
      </c>
      <c r="BB48">
        <v>1.1200000000000001</v>
      </c>
      <c r="BC48">
        <v>-1.18</v>
      </c>
      <c r="BD48">
        <v>0.05</v>
      </c>
      <c r="BE48">
        <v>-1.0900000000000001</v>
      </c>
      <c r="BF48">
        <v>-1.87</v>
      </c>
      <c r="BG48">
        <v>0.42</v>
      </c>
      <c r="BH48">
        <v>-0.82</v>
      </c>
      <c r="BI48">
        <v>20191220</v>
      </c>
      <c r="BJ48">
        <v>19971118</v>
      </c>
      <c r="BK48">
        <v>42.27</v>
      </c>
      <c r="BL48" t="s">
        <v>116</v>
      </c>
      <c r="BM48">
        <v>7.56</v>
      </c>
      <c r="BN48">
        <v>1471.59</v>
      </c>
      <c r="BO48">
        <v>277.66000000000003</v>
      </c>
      <c r="BP48">
        <v>32.97</v>
      </c>
      <c r="BQ48">
        <v>78.89</v>
      </c>
      <c r="BR48">
        <v>1079.46</v>
      </c>
      <c r="BS48">
        <v>91.44</v>
      </c>
      <c r="BT48">
        <v>73.290000000000006</v>
      </c>
      <c r="BU48">
        <v>927.91</v>
      </c>
      <c r="BV48">
        <v>297.58</v>
      </c>
      <c r="BW48">
        <v>197.95</v>
      </c>
      <c r="BX48">
        <v>121.05</v>
      </c>
      <c r="BY48">
        <v>642.41</v>
      </c>
      <c r="BZ48">
        <v>395.93</v>
      </c>
      <c r="CA48">
        <v>58.83</v>
      </c>
      <c r="CB48">
        <v>6.19</v>
      </c>
      <c r="CC48">
        <v>58.16</v>
      </c>
      <c r="CD48">
        <v>48.18</v>
      </c>
      <c r="CE48">
        <v>41.28</v>
      </c>
      <c r="CF48">
        <v>7.1</v>
      </c>
      <c r="CG48">
        <v>111.11</v>
      </c>
      <c r="CH48">
        <v>29.05</v>
      </c>
      <c r="CI48">
        <v>82.57</v>
      </c>
      <c r="CJ48">
        <v>356796</v>
      </c>
      <c r="CK48">
        <v>6507</v>
      </c>
      <c r="CL48" t="s">
        <v>469</v>
      </c>
      <c r="CM48">
        <v>156.86000000000001</v>
      </c>
      <c r="CN48">
        <v>9.32</v>
      </c>
      <c r="CO48">
        <v>5.12</v>
      </c>
      <c r="CP48">
        <v>48.95</v>
      </c>
      <c r="CQ48">
        <v>2.21</v>
      </c>
      <c r="CR48">
        <v>0</v>
      </c>
      <c r="CS48" t="s">
        <v>470</v>
      </c>
      <c r="CT48">
        <v>6.57</v>
      </c>
      <c r="CU48">
        <v>6.57</v>
      </c>
      <c r="CV48">
        <v>2.86</v>
      </c>
      <c r="CW48">
        <v>2.63</v>
      </c>
      <c r="CX48">
        <v>0.69</v>
      </c>
      <c r="CY48">
        <v>18.87</v>
      </c>
      <c r="CZ48" t="s">
        <v>471</v>
      </c>
      <c r="DA48">
        <v>38.369999999999997</v>
      </c>
      <c r="DB48">
        <v>9.16</v>
      </c>
      <c r="DC48">
        <v>6.43</v>
      </c>
      <c r="DD48">
        <v>93.6</v>
      </c>
      <c r="DE48">
        <v>68240</v>
      </c>
      <c r="DF48">
        <v>63</v>
      </c>
      <c r="DG48" t="s">
        <v>116</v>
      </c>
      <c r="DH48" t="s">
        <v>116</v>
      </c>
      <c r="DI48" t="s">
        <v>116</v>
      </c>
    </row>
    <row r="49" spans="1:113" x14ac:dyDescent="0.4">
      <c r="A49" t="str">
        <f>"000065"</f>
        <v>000065</v>
      </c>
      <c r="B49" t="s">
        <v>472</v>
      </c>
      <c r="C49">
        <v>-1.43</v>
      </c>
      <c r="D49">
        <v>8.3000000000000007</v>
      </c>
      <c r="E49">
        <v>-0.12</v>
      </c>
      <c r="F49">
        <v>8.3000000000000007</v>
      </c>
      <c r="G49">
        <v>8.32</v>
      </c>
      <c r="H49">
        <v>34495</v>
      </c>
      <c r="I49">
        <v>728</v>
      </c>
      <c r="J49">
        <v>0</v>
      </c>
      <c r="K49">
        <v>0.55000000000000004</v>
      </c>
      <c r="L49">
        <v>8.42</v>
      </c>
      <c r="M49">
        <v>8.48</v>
      </c>
      <c r="N49">
        <v>8.3000000000000007</v>
      </c>
      <c r="O49">
        <v>8.42</v>
      </c>
      <c r="P49">
        <v>9.67</v>
      </c>
      <c r="Q49">
        <v>28986322</v>
      </c>
      <c r="R49">
        <v>1.1399999999999999</v>
      </c>
      <c r="S49" t="s">
        <v>181</v>
      </c>
      <c r="T49" t="s">
        <v>165</v>
      </c>
      <c r="U49">
        <v>2.14</v>
      </c>
      <c r="V49">
        <v>8.4</v>
      </c>
      <c r="W49">
        <v>21263</v>
      </c>
      <c r="X49">
        <v>13232</v>
      </c>
      <c r="Y49">
        <v>1.61</v>
      </c>
      <c r="Z49">
        <v>83</v>
      </c>
      <c r="AA49">
        <v>79</v>
      </c>
      <c r="AB49" t="s">
        <v>116</v>
      </c>
      <c r="AC49">
        <v>59800</v>
      </c>
      <c r="AD49">
        <v>0</v>
      </c>
      <c r="AE49" t="s">
        <v>116</v>
      </c>
      <c r="AF49" t="s">
        <v>116</v>
      </c>
      <c r="AG49">
        <v>6.29</v>
      </c>
      <c r="AH49" t="s">
        <v>473</v>
      </c>
      <c r="AI49" t="s">
        <v>474</v>
      </c>
      <c r="AJ49">
        <v>-0.75</v>
      </c>
      <c r="AK49">
        <v>1286</v>
      </c>
      <c r="AL49">
        <v>27</v>
      </c>
      <c r="AM49">
        <v>4.0000000000000002E-4</v>
      </c>
      <c r="AN49">
        <v>-1</v>
      </c>
      <c r="AO49">
        <v>-0.96</v>
      </c>
      <c r="AP49">
        <v>4.2699999999999996</v>
      </c>
      <c r="AQ49">
        <v>-3.82</v>
      </c>
      <c r="AR49">
        <v>9.2100000000000009</v>
      </c>
      <c r="AS49">
        <v>1.18</v>
      </c>
      <c r="AT49" t="s">
        <v>475</v>
      </c>
      <c r="AU49">
        <v>9.93</v>
      </c>
      <c r="AV49">
        <v>10.84</v>
      </c>
      <c r="AW49">
        <v>0.97</v>
      </c>
      <c r="BA49">
        <v>0</v>
      </c>
      <c r="BB49">
        <v>0.71</v>
      </c>
      <c r="BC49">
        <v>-1.43</v>
      </c>
      <c r="BD49">
        <v>-0.2</v>
      </c>
      <c r="BE49">
        <v>-1.43</v>
      </c>
      <c r="BF49">
        <v>-2.12</v>
      </c>
      <c r="BG49">
        <v>0</v>
      </c>
      <c r="BH49">
        <v>-1.22</v>
      </c>
      <c r="BI49">
        <v>20191031</v>
      </c>
      <c r="BJ49">
        <v>19980605</v>
      </c>
      <c r="BK49">
        <v>7.7</v>
      </c>
      <c r="BL49" t="s">
        <v>116</v>
      </c>
      <c r="BM49" t="s">
        <v>116</v>
      </c>
      <c r="BN49">
        <v>125.66</v>
      </c>
      <c r="BO49">
        <v>46.13</v>
      </c>
      <c r="BP49">
        <v>4.3499999999999996</v>
      </c>
      <c r="BQ49">
        <v>59.83</v>
      </c>
      <c r="BR49">
        <v>90.7</v>
      </c>
      <c r="BS49">
        <v>4.16</v>
      </c>
      <c r="BT49">
        <v>17.41</v>
      </c>
      <c r="BU49">
        <v>65.83</v>
      </c>
      <c r="BV49">
        <v>5.12</v>
      </c>
      <c r="BW49">
        <v>32.15</v>
      </c>
      <c r="BX49">
        <v>9.15</v>
      </c>
      <c r="BY49">
        <v>66.28</v>
      </c>
      <c r="BZ49">
        <v>55.44</v>
      </c>
      <c r="CA49">
        <v>5.97</v>
      </c>
      <c r="CB49">
        <v>0.05</v>
      </c>
      <c r="CC49">
        <v>5.97</v>
      </c>
      <c r="CD49">
        <v>5.0999999999999996</v>
      </c>
      <c r="CE49">
        <v>4.95</v>
      </c>
      <c r="CF49">
        <v>4.93</v>
      </c>
      <c r="CG49">
        <v>27.38</v>
      </c>
      <c r="CH49">
        <v>-10.72</v>
      </c>
      <c r="CI49">
        <v>-14.91</v>
      </c>
      <c r="CJ49">
        <v>34739</v>
      </c>
      <c r="CK49">
        <v>8411</v>
      </c>
      <c r="CL49" t="s">
        <v>476</v>
      </c>
      <c r="CM49">
        <v>12.25</v>
      </c>
      <c r="CN49">
        <v>1.64</v>
      </c>
      <c r="CO49">
        <v>1.38</v>
      </c>
      <c r="CP49">
        <v>-5.96</v>
      </c>
      <c r="CQ49">
        <v>0.96</v>
      </c>
      <c r="CR49">
        <v>0.96</v>
      </c>
      <c r="CS49" t="s">
        <v>477</v>
      </c>
      <c r="CT49">
        <v>5.99</v>
      </c>
      <c r="CU49">
        <v>0</v>
      </c>
      <c r="CV49">
        <v>1.19</v>
      </c>
      <c r="CW49">
        <v>3.56</v>
      </c>
      <c r="CX49">
        <v>-1.39</v>
      </c>
      <c r="CY49">
        <v>36.71</v>
      </c>
      <c r="CZ49" t="s">
        <v>478</v>
      </c>
      <c r="DA49">
        <v>16.350000000000001</v>
      </c>
      <c r="DB49">
        <v>9.01</v>
      </c>
      <c r="DC49">
        <v>7.48</v>
      </c>
      <c r="DD49">
        <v>0.11</v>
      </c>
      <c r="DE49">
        <v>1921</v>
      </c>
      <c r="DF49">
        <v>65</v>
      </c>
      <c r="DG49" t="s">
        <v>116</v>
      </c>
      <c r="DH49" t="s">
        <v>116</v>
      </c>
      <c r="DI49" t="s">
        <v>116</v>
      </c>
    </row>
    <row r="50" spans="1:113" x14ac:dyDescent="0.4">
      <c r="A50" t="str">
        <f>"000066"</f>
        <v>000066</v>
      </c>
      <c r="B50" t="s">
        <v>479</v>
      </c>
      <c r="C50">
        <v>-3.2</v>
      </c>
      <c r="D50">
        <v>15.44</v>
      </c>
      <c r="E50">
        <v>-0.51</v>
      </c>
      <c r="F50">
        <v>15.43</v>
      </c>
      <c r="G50">
        <v>15.44</v>
      </c>
      <c r="H50">
        <v>590691</v>
      </c>
      <c r="I50">
        <v>8807</v>
      </c>
      <c r="J50">
        <v>-0.12</v>
      </c>
      <c r="K50">
        <v>2.37</v>
      </c>
      <c r="L50">
        <v>16.079999999999998</v>
      </c>
      <c r="M50">
        <v>16.12</v>
      </c>
      <c r="N50">
        <v>15.42</v>
      </c>
      <c r="O50">
        <v>15.95</v>
      </c>
      <c r="P50">
        <v>191.93</v>
      </c>
      <c r="Q50">
        <v>929738560</v>
      </c>
      <c r="R50">
        <v>0.93</v>
      </c>
      <c r="S50" t="s">
        <v>241</v>
      </c>
      <c r="T50" t="s">
        <v>115</v>
      </c>
      <c r="U50">
        <v>4.3899999999999997</v>
      </c>
      <c r="V50">
        <v>15.74</v>
      </c>
      <c r="W50">
        <v>329754</v>
      </c>
      <c r="X50">
        <v>260937</v>
      </c>
      <c r="Y50">
        <v>1.26</v>
      </c>
      <c r="Z50">
        <v>2222</v>
      </c>
      <c r="AA50">
        <v>2689</v>
      </c>
      <c r="AB50" t="s">
        <v>116</v>
      </c>
      <c r="AC50">
        <v>4793400</v>
      </c>
      <c r="AD50">
        <v>0.02</v>
      </c>
      <c r="AE50" t="s">
        <v>116</v>
      </c>
      <c r="AF50" t="s">
        <v>116</v>
      </c>
      <c r="AG50">
        <v>24.91</v>
      </c>
      <c r="AH50" t="s">
        <v>480</v>
      </c>
      <c r="AI50" t="s">
        <v>481</v>
      </c>
      <c r="AJ50">
        <v>-2.52</v>
      </c>
      <c r="AK50">
        <v>4441</v>
      </c>
      <c r="AL50">
        <v>133</v>
      </c>
      <c r="AM50">
        <v>5.0000000000000001E-4</v>
      </c>
      <c r="AN50">
        <v>-2</v>
      </c>
      <c r="AO50">
        <v>-2.4</v>
      </c>
      <c r="AP50">
        <v>3.97</v>
      </c>
      <c r="AQ50">
        <v>15.22</v>
      </c>
      <c r="AR50">
        <v>229.21</v>
      </c>
      <c r="AS50">
        <v>3.45</v>
      </c>
      <c r="AT50" t="s">
        <v>482</v>
      </c>
      <c r="AU50">
        <v>47.3</v>
      </c>
      <c r="AV50">
        <v>45.8</v>
      </c>
      <c r="AW50">
        <v>2.15</v>
      </c>
      <c r="BA50">
        <v>0.82</v>
      </c>
      <c r="BB50">
        <v>1.07</v>
      </c>
      <c r="BC50">
        <v>-3.32</v>
      </c>
      <c r="BD50">
        <v>-1.32</v>
      </c>
      <c r="BE50">
        <v>-3.98</v>
      </c>
      <c r="BF50">
        <v>-4.22</v>
      </c>
      <c r="BG50">
        <v>0.13</v>
      </c>
      <c r="BH50">
        <v>-1.88</v>
      </c>
      <c r="BI50">
        <v>20191224</v>
      </c>
      <c r="BJ50">
        <v>19970626</v>
      </c>
      <c r="BK50">
        <v>29.28</v>
      </c>
      <c r="BL50" t="s">
        <v>116</v>
      </c>
      <c r="BM50" t="s">
        <v>116</v>
      </c>
      <c r="BN50">
        <v>180.89</v>
      </c>
      <c r="BO50">
        <v>62.58</v>
      </c>
      <c r="BP50">
        <v>3.24</v>
      </c>
      <c r="BQ50">
        <v>63.61</v>
      </c>
      <c r="BR50">
        <v>112.21</v>
      </c>
      <c r="BS50">
        <v>19.170000000000002</v>
      </c>
      <c r="BT50">
        <v>4.7300000000000004</v>
      </c>
      <c r="BU50">
        <v>86.91</v>
      </c>
      <c r="BV50">
        <v>28.27</v>
      </c>
      <c r="BW50">
        <v>36.14</v>
      </c>
      <c r="BX50">
        <v>5.66</v>
      </c>
      <c r="BY50">
        <v>71.5</v>
      </c>
      <c r="BZ50">
        <v>56.06</v>
      </c>
      <c r="CA50">
        <v>2.2000000000000002</v>
      </c>
      <c r="CB50">
        <v>-0.22</v>
      </c>
      <c r="CC50">
        <v>2.23</v>
      </c>
      <c r="CD50">
        <v>2</v>
      </c>
      <c r="CE50">
        <v>1.77</v>
      </c>
      <c r="CF50">
        <v>1</v>
      </c>
      <c r="CG50">
        <v>25.51</v>
      </c>
      <c r="CH50">
        <v>-12.42</v>
      </c>
      <c r="CI50">
        <v>-7.06</v>
      </c>
      <c r="CJ50">
        <v>179442</v>
      </c>
      <c r="CK50">
        <v>9550</v>
      </c>
      <c r="CL50" t="s">
        <v>483</v>
      </c>
      <c r="CM50">
        <v>-15.06</v>
      </c>
      <c r="CN50">
        <v>14.02</v>
      </c>
      <c r="CO50">
        <v>7.22</v>
      </c>
      <c r="CP50">
        <v>-36.409999999999997</v>
      </c>
      <c r="CQ50">
        <v>6.32</v>
      </c>
      <c r="CR50">
        <v>0.32</v>
      </c>
      <c r="CS50" t="s">
        <v>484</v>
      </c>
      <c r="CT50">
        <v>2.14</v>
      </c>
      <c r="CU50">
        <v>0</v>
      </c>
      <c r="CV50">
        <v>0.19</v>
      </c>
      <c r="CW50">
        <v>0.87</v>
      </c>
      <c r="CX50">
        <v>-0.42</v>
      </c>
      <c r="CY50">
        <v>34.6</v>
      </c>
      <c r="CZ50" t="s">
        <v>485</v>
      </c>
      <c r="DA50">
        <v>21.59</v>
      </c>
      <c r="DB50">
        <v>3.07</v>
      </c>
      <c r="DC50">
        <v>2.4700000000000002</v>
      </c>
      <c r="DD50">
        <v>5.9</v>
      </c>
      <c r="DE50">
        <v>13846</v>
      </c>
      <c r="DF50">
        <v>66</v>
      </c>
      <c r="DG50" t="s">
        <v>116</v>
      </c>
      <c r="DH50" t="s">
        <v>116</v>
      </c>
      <c r="DI50" t="s">
        <v>116</v>
      </c>
    </row>
    <row r="51" spans="1:113" x14ac:dyDescent="0.4">
      <c r="A51" t="str">
        <f>"000068"</f>
        <v>000068</v>
      </c>
      <c r="B51" t="s">
        <v>486</v>
      </c>
      <c r="C51">
        <v>-0.97</v>
      </c>
      <c r="D51">
        <v>4.07</v>
      </c>
      <c r="E51">
        <v>-0.04</v>
      </c>
      <c r="F51">
        <v>4.07</v>
      </c>
      <c r="G51">
        <v>4.08</v>
      </c>
      <c r="H51">
        <v>131434</v>
      </c>
      <c r="I51">
        <v>1900</v>
      </c>
      <c r="J51">
        <v>-0.24</v>
      </c>
      <c r="K51">
        <v>1.31</v>
      </c>
      <c r="L51">
        <v>4.09</v>
      </c>
      <c r="M51">
        <v>4.1399999999999997</v>
      </c>
      <c r="N51">
        <v>4.0599999999999996</v>
      </c>
      <c r="O51">
        <v>4.1100000000000003</v>
      </c>
      <c r="P51" t="s">
        <v>116</v>
      </c>
      <c r="Q51">
        <v>53884000</v>
      </c>
      <c r="R51">
        <v>0.85</v>
      </c>
      <c r="S51" t="s">
        <v>140</v>
      </c>
      <c r="T51" t="s">
        <v>115</v>
      </c>
      <c r="U51">
        <v>1.95</v>
      </c>
      <c r="V51">
        <v>4.0999999999999996</v>
      </c>
      <c r="W51">
        <v>73161</v>
      </c>
      <c r="X51">
        <v>58273</v>
      </c>
      <c r="Y51">
        <v>1.26</v>
      </c>
      <c r="Z51">
        <v>773</v>
      </c>
      <c r="AA51">
        <v>1888</v>
      </c>
      <c r="AB51" t="s">
        <v>116</v>
      </c>
      <c r="AC51">
        <v>72800</v>
      </c>
      <c r="AD51">
        <v>0</v>
      </c>
      <c r="AE51" t="s">
        <v>116</v>
      </c>
      <c r="AF51" t="s">
        <v>116</v>
      </c>
      <c r="AG51">
        <v>10.07</v>
      </c>
      <c r="AH51" t="s">
        <v>487</v>
      </c>
      <c r="AI51" t="s">
        <v>487</v>
      </c>
      <c r="AJ51">
        <v>-0.28999999999999998</v>
      </c>
      <c r="AK51">
        <v>1536</v>
      </c>
      <c r="AL51">
        <v>86</v>
      </c>
      <c r="AM51">
        <v>8.9999999999999998E-4</v>
      </c>
      <c r="AN51">
        <v>-1</v>
      </c>
      <c r="AO51">
        <v>-1.2</v>
      </c>
      <c r="AP51">
        <v>6.54</v>
      </c>
      <c r="AQ51">
        <v>0</v>
      </c>
      <c r="AR51">
        <v>-4.24</v>
      </c>
      <c r="AS51">
        <v>2.48</v>
      </c>
      <c r="AT51" t="s">
        <v>488</v>
      </c>
      <c r="AU51" t="s">
        <v>116</v>
      </c>
      <c r="AV51" t="s">
        <v>116</v>
      </c>
      <c r="AW51">
        <v>1.46</v>
      </c>
      <c r="BA51">
        <v>-0.49</v>
      </c>
      <c r="BB51">
        <v>0.73</v>
      </c>
      <c r="BC51">
        <v>-1.22</v>
      </c>
      <c r="BD51">
        <v>-0.25</v>
      </c>
      <c r="BE51">
        <v>-0.49</v>
      </c>
      <c r="BF51">
        <v>-1.69</v>
      </c>
      <c r="BG51">
        <v>0.25</v>
      </c>
      <c r="BH51">
        <v>-0.72</v>
      </c>
      <c r="BI51">
        <v>20191223</v>
      </c>
      <c r="BJ51">
        <v>19970611</v>
      </c>
      <c r="BK51">
        <v>10.07</v>
      </c>
      <c r="BL51" t="s">
        <v>116</v>
      </c>
      <c r="BM51" t="s">
        <v>116</v>
      </c>
      <c r="BN51">
        <v>39.21</v>
      </c>
      <c r="BO51">
        <v>4.51</v>
      </c>
      <c r="BP51">
        <v>4.12</v>
      </c>
      <c r="BQ51">
        <v>78</v>
      </c>
      <c r="BR51">
        <v>14.53</v>
      </c>
      <c r="BS51">
        <v>1.59</v>
      </c>
      <c r="BT51">
        <v>0.34</v>
      </c>
      <c r="BU51">
        <v>17.149999999999999</v>
      </c>
      <c r="BV51">
        <v>0.51</v>
      </c>
      <c r="BW51">
        <v>1.97</v>
      </c>
      <c r="BX51">
        <v>11.93</v>
      </c>
      <c r="BY51">
        <v>0.99</v>
      </c>
      <c r="BZ51">
        <v>0.71</v>
      </c>
      <c r="CA51">
        <v>-0.74</v>
      </c>
      <c r="CB51">
        <v>-0.06</v>
      </c>
      <c r="CC51">
        <v>-0.74</v>
      </c>
      <c r="CD51">
        <v>-0.74</v>
      </c>
      <c r="CE51">
        <v>-0.72</v>
      </c>
      <c r="CF51">
        <v>-0.77</v>
      </c>
      <c r="CG51">
        <v>-19.07</v>
      </c>
      <c r="CH51">
        <v>-0.31</v>
      </c>
      <c r="CI51">
        <v>2.0099999999999998</v>
      </c>
      <c r="CJ51">
        <v>57553</v>
      </c>
      <c r="CK51">
        <v>9208</v>
      </c>
      <c r="CL51" t="s">
        <v>489</v>
      </c>
      <c r="CM51">
        <v>-48.28</v>
      </c>
      <c r="CN51">
        <v>-27.12</v>
      </c>
      <c r="CO51">
        <v>9.09</v>
      </c>
      <c r="CP51">
        <v>-130.59</v>
      </c>
      <c r="CQ51">
        <v>41.41</v>
      </c>
      <c r="CR51">
        <v>0</v>
      </c>
      <c r="CS51" t="s">
        <v>490</v>
      </c>
      <c r="CT51">
        <v>0.45</v>
      </c>
      <c r="CU51">
        <v>0</v>
      </c>
      <c r="CV51">
        <v>1.19</v>
      </c>
      <c r="CW51">
        <v>-1.89</v>
      </c>
      <c r="CX51">
        <v>-0.03</v>
      </c>
      <c r="CY51">
        <v>11.5</v>
      </c>
      <c r="CZ51" t="s">
        <v>491</v>
      </c>
      <c r="DA51">
        <v>28.51</v>
      </c>
      <c r="DB51">
        <v>-74.680000000000007</v>
      </c>
      <c r="DC51">
        <v>-72.650000000000006</v>
      </c>
      <c r="DD51">
        <v>0.11</v>
      </c>
      <c r="DE51">
        <v>541</v>
      </c>
      <c r="DF51">
        <v>68</v>
      </c>
      <c r="DG51" t="s">
        <v>116</v>
      </c>
      <c r="DH51" t="s">
        <v>116</v>
      </c>
      <c r="DI51" t="s">
        <v>116</v>
      </c>
    </row>
    <row r="52" spans="1:113" x14ac:dyDescent="0.4">
      <c r="A52" t="str">
        <f>"000069"</f>
        <v>000069</v>
      </c>
      <c r="B52" t="s">
        <v>492</v>
      </c>
      <c r="C52">
        <v>0.8</v>
      </c>
      <c r="D52">
        <v>7.59</v>
      </c>
      <c r="E52">
        <v>0.06</v>
      </c>
      <c r="F52">
        <v>7.58</v>
      </c>
      <c r="G52">
        <v>7.59</v>
      </c>
      <c r="H52">
        <v>496021</v>
      </c>
      <c r="I52">
        <v>1976</v>
      </c>
      <c r="J52">
        <v>0.26</v>
      </c>
      <c r="K52">
        <v>0.71</v>
      </c>
      <c r="L52">
        <v>7.52</v>
      </c>
      <c r="M52">
        <v>7.66</v>
      </c>
      <c r="N52">
        <v>7.5</v>
      </c>
      <c r="O52">
        <v>7.53</v>
      </c>
      <c r="P52">
        <v>7.79</v>
      </c>
      <c r="Q52">
        <v>376647872</v>
      </c>
      <c r="R52">
        <v>1.35</v>
      </c>
      <c r="S52" t="s">
        <v>493</v>
      </c>
      <c r="T52" t="s">
        <v>115</v>
      </c>
      <c r="U52">
        <v>2.12</v>
      </c>
      <c r="V52">
        <v>7.59</v>
      </c>
      <c r="W52">
        <v>191945</v>
      </c>
      <c r="X52">
        <v>304076</v>
      </c>
      <c r="Y52">
        <v>0.63</v>
      </c>
      <c r="Z52">
        <v>1280</v>
      </c>
      <c r="AA52">
        <v>648</v>
      </c>
      <c r="AB52" t="s">
        <v>116</v>
      </c>
      <c r="AC52">
        <v>1319800</v>
      </c>
      <c r="AD52">
        <v>0</v>
      </c>
      <c r="AE52" t="s">
        <v>116</v>
      </c>
      <c r="AF52" t="s">
        <v>116</v>
      </c>
      <c r="AG52">
        <v>70.17</v>
      </c>
      <c r="AH52" t="s">
        <v>494</v>
      </c>
      <c r="AI52" t="s">
        <v>495</v>
      </c>
      <c r="AJ52">
        <v>1.48</v>
      </c>
      <c r="AK52">
        <v>4177</v>
      </c>
      <c r="AL52">
        <v>119</v>
      </c>
      <c r="AM52">
        <v>2.0000000000000001E-4</v>
      </c>
      <c r="AN52">
        <v>2</v>
      </c>
      <c r="AO52">
        <v>2.4300000000000002</v>
      </c>
      <c r="AP52">
        <v>10.16</v>
      </c>
      <c r="AQ52">
        <v>6.9</v>
      </c>
      <c r="AR52">
        <v>25.45</v>
      </c>
      <c r="AS52">
        <v>1.39</v>
      </c>
      <c r="AT52" t="s">
        <v>496</v>
      </c>
      <c r="AU52">
        <v>5.42</v>
      </c>
      <c r="AV52">
        <v>5.88</v>
      </c>
      <c r="AW52">
        <v>0.56999999999999995</v>
      </c>
      <c r="BA52">
        <v>-0.13</v>
      </c>
      <c r="BB52">
        <v>1.73</v>
      </c>
      <c r="BC52">
        <v>-0.4</v>
      </c>
      <c r="BD52">
        <v>0.84</v>
      </c>
      <c r="BE52">
        <v>0.93</v>
      </c>
      <c r="BF52">
        <v>-0.91</v>
      </c>
      <c r="BG52">
        <v>1.2</v>
      </c>
      <c r="BH52">
        <v>-0.05</v>
      </c>
      <c r="BI52">
        <v>20191129</v>
      </c>
      <c r="BJ52">
        <v>19970910</v>
      </c>
      <c r="BK52">
        <v>82.03</v>
      </c>
      <c r="BL52" t="s">
        <v>116</v>
      </c>
      <c r="BM52" t="s">
        <v>116</v>
      </c>
      <c r="BN52">
        <v>3643.95</v>
      </c>
      <c r="BO52">
        <v>623.32000000000005</v>
      </c>
      <c r="BP52">
        <v>218.74</v>
      </c>
      <c r="BQ52">
        <v>76.89</v>
      </c>
      <c r="BR52">
        <v>2926.5</v>
      </c>
      <c r="BS52">
        <v>144.01</v>
      </c>
      <c r="BT52">
        <v>75.23</v>
      </c>
      <c r="BU52">
        <v>1760.64</v>
      </c>
      <c r="BV52">
        <v>2073.69</v>
      </c>
      <c r="BW52">
        <v>4.38</v>
      </c>
      <c r="BX52">
        <v>55.2</v>
      </c>
      <c r="BY52">
        <v>298.61</v>
      </c>
      <c r="BZ52">
        <v>111.7</v>
      </c>
      <c r="CA52">
        <v>89.25</v>
      </c>
      <c r="CB52">
        <v>27.73</v>
      </c>
      <c r="CC52">
        <v>89.24</v>
      </c>
      <c r="CD52">
        <v>68.23</v>
      </c>
      <c r="CE52">
        <v>59.97</v>
      </c>
      <c r="CF52">
        <v>49.63</v>
      </c>
      <c r="CG52">
        <v>462.19</v>
      </c>
      <c r="CH52">
        <v>-36.99</v>
      </c>
      <c r="CI52">
        <v>156.88999999999999</v>
      </c>
      <c r="CJ52">
        <v>108436</v>
      </c>
      <c r="CK52">
        <v>32864</v>
      </c>
      <c r="CL52" t="s">
        <v>497</v>
      </c>
      <c r="CM52">
        <v>17.82</v>
      </c>
      <c r="CN52">
        <v>21.63</v>
      </c>
      <c r="CO52">
        <v>1</v>
      </c>
      <c r="CP52">
        <v>-16.829999999999998</v>
      </c>
      <c r="CQ52">
        <v>2.08</v>
      </c>
      <c r="CR52">
        <v>3.95</v>
      </c>
      <c r="CS52" t="s">
        <v>498</v>
      </c>
      <c r="CT52">
        <v>7.6</v>
      </c>
      <c r="CU52">
        <v>0</v>
      </c>
      <c r="CV52">
        <v>0.67</v>
      </c>
      <c r="CW52">
        <v>5.63</v>
      </c>
      <c r="CX52">
        <v>-0.45</v>
      </c>
      <c r="CY52">
        <v>17.11</v>
      </c>
      <c r="CZ52" t="s">
        <v>499</v>
      </c>
      <c r="DA52">
        <v>62.59</v>
      </c>
      <c r="DB52">
        <v>29.89</v>
      </c>
      <c r="DC52">
        <v>20.079999999999998</v>
      </c>
      <c r="DD52">
        <v>0</v>
      </c>
      <c r="DE52">
        <v>24934</v>
      </c>
      <c r="DF52">
        <v>69</v>
      </c>
      <c r="DG52" t="s">
        <v>116</v>
      </c>
      <c r="DH52" t="s">
        <v>116</v>
      </c>
      <c r="DI52" t="s">
        <v>116</v>
      </c>
    </row>
    <row r="53" spans="1:113" x14ac:dyDescent="0.4">
      <c r="A53" t="str">
        <f>"000070"</f>
        <v>000070</v>
      </c>
      <c r="B53" t="s">
        <v>500</v>
      </c>
      <c r="C53">
        <v>-1.37</v>
      </c>
      <c r="D53">
        <v>10.83</v>
      </c>
      <c r="E53">
        <v>-0.15</v>
      </c>
      <c r="F53">
        <v>10.83</v>
      </c>
      <c r="G53">
        <v>10.84</v>
      </c>
      <c r="H53">
        <v>192919</v>
      </c>
      <c r="I53">
        <v>1618</v>
      </c>
      <c r="J53">
        <v>0.09</v>
      </c>
      <c r="K53">
        <v>2.44</v>
      </c>
      <c r="L53">
        <v>11.02</v>
      </c>
      <c r="M53">
        <v>11.28</v>
      </c>
      <c r="N53">
        <v>10.79</v>
      </c>
      <c r="O53">
        <v>10.98</v>
      </c>
      <c r="P53">
        <v>69.47</v>
      </c>
      <c r="Q53">
        <v>213286240</v>
      </c>
      <c r="R53">
        <v>1.07</v>
      </c>
      <c r="S53" t="s">
        <v>465</v>
      </c>
      <c r="T53" t="s">
        <v>115</v>
      </c>
      <c r="U53">
        <v>4.46</v>
      </c>
      <c r="V53">
        <v>11.06</v>
      </c>
      <c r="W53">
        <v>111263</v>
      </c>
      <c r="X53">
        <v>81656</v>
      </c>
      <c r="Y53">
        <v>1.36</v>
      </c>
      <c r="Z53">
        <v>2191</v>
      </c>
      <c r="AA53">
        <v>313</v>
      </c>
      <c r="AB53" t="s">
        <v>116</v>
      </c>
      <c r="AC53">
        <v>154300</v>
      </c>
      <c r="AD53">
        <v>0</v>
      </c>
      <c r="AE53" t="s">
        <v>116</v>
      </c>
      <c r="AF53" t="s">
        <v>116</v>
      </c>
      <c r="AG53">
        <v>7.92</v>
      </c>
      <c r="AH53" t="s">
        <v>501</v>
      </c>
      <c r="AI53" t="s">
        <v>502</v>
      </c>
      <c r="AJ53">
        <v>-0.69</v>
      </c>
      <c r="AK53">
        <v>3023</v>
      </c>
      <c r="AL53">
        <v>64</v>
      </c>
      <c r="AM53">
        <v>8.0000000000000004E-4</v>
      </c>
      <c r="AN53">
        <v>-2</v>
      </c>
      <c r="AO53">
        <v>-0.09</v>
      </c>
      <c r="AP53">
        <v>4.9400000000000004</v>
      </c>
      <c r="AQ53">
        <v>-11.16</v>
      </c>
      <c r="AR53">
        <v>84.21</v>
      </c>
      <c r="AS53">
        <v>3.96</v>
      </c>
      <c r="AT53" t="s">
        <v>503</v>
      </c>
      <c r="AU53">
        <v>42.66</v>
      </c>
      <c r="AV53">
        <v>31.95</v>
      </c>
      <c r="AW53">
        <v>1.56</v>
      </c>
      <c r="BA53">
        <v>0.36</v>
      </c>
      <c r="BB53">
        <v>2.73</v>
      </c>
      <c r="BC53">
        <v>-1.73</v>
      </c>
      <c r="BD53">
        <v>0.69</v>
      </c>
      <c r="BE53">
        <v>-1.72</v>
      </c>
      <c r="BF53">
        <v>-3.99</v>
      </c>
      <c r="BG53">
        <v>0.37</v>
      </c>
      <c r="BH53">
        <v>-2.06</v>
      </c>
      <c r="BI53">
        <v>20191106</v>
      </c>
      <c r="BJ53">
        <v>20000511</v>
      </c>
      <c r="BK53">
        <v>8.1300000000000008</v>
      </c>
      <c r="BL53" t="s">
        <v>116</v>
      </c>
      <c r="BM53" t="s">
        <v>116</v>
      </c>
      <c r="BN53">
        <v>71.2</v>
      </c>
      <c r="BO53">
        <v>26.78</v>
      </c>
      <c r="BP53">
        <v>4.8</v>
      </c>
      <c r="BQ53">
        <v>55.65</v>
      </c>
      <c r="BR53">
        <v>52.45</v>
      </c>
      <c r="BS53">
        <v>5.54</v>
      </c>
      <c r="BT53">
        <v>1.3</v>
      </c>
      <c r="BU53">
        <v>37.28</v>
      </c>
      <c r="BV53">
        <v>18.079999999999998</v>
      </c>
      <c r="BW53">
        <v>21.15</v>
      </c>
      <c r="BX53">
        <v>9.14</v>
      </c>
      <c r="BY53">
        <v>30.49</v>
      </c>
      <c r="BZ53">
        <v>25.57</v>
      </c>
      <c r="CA53">
        <v>1.21</v>
      </c>
      <c r="CB53">
        <v>0.01</v>
      </c>
      <c r="CC53">
        <v>1.21</v>
      </c>
      <c r="CD53">
        <v>1.07</v>
      </c>
      <c r="CE53">
        <v>0.95</v>
      </c>
      <c r="CF53">
        <v>0.73</v>
      </c>
      <c r="CG53">
        <v>8.7200000000000006</v>
      </c>
      <c r="CH53">
        <v>-5.48</v>
      </c>
      <c r="CI53">
        <v>-3.05</v>
      </c>
      <c r="CJ53">
        <v>94720</v>
      </c>
      <c r="CK53">
        <v>5144</v>
      </c>
      <c r="CL53" t="s">
        <v>504</v>
      </c>
      <c r="CM53">
        <v>-42.11</v>
      </c>
      <c r="CN53">
        <v>-24.28</v>
      </c>
      <c r="CO53">
        <v>3.31</v>
      </c>
      <c r="CP53">
        <v>-16.079999999999998</v>
      </c>
      <c r="CQ53">
        <v>2.89</v>
      </c>
      <c r="CR53">
        <v>0.32</v>
      </c>
      <c r="CS53" t="s">
        <v>505</v>
      </c>
      <c r="CT53">
        <v>3.27</v>
      </c>
      <c r="CU53">
        <v>3.27</v>
      </c>
      <c r="CV53">
        <v>1.1200000000000001</v>
      </c>
      <c r="CW53">
        <v>1.07</v>
      </c>
      <c r="CX53">
        <v>-0.67</v>
      </c>
      <c r="CY53">
        <v>37.61</v>
      </c>
      <c r="CZ53" t="s">
        <v>506</v>
      </c>
      <c r="DA53">
        <v>16.12</v>
      </c>
      <c r="DB53">
        <v>3.98</v>
      </c>
      <c r="DC53">
        <v>3.12</v>
      </c>
      <c r="DD53">
        <v>1.54</v>
      </c>
      <c r="DE53">
        <v>4179</v>
      </c>
      <c r="DF53">
        <v>70</v>
      </c>
      <c r="DG53" t="s">
        <v>116</v>
      </c>
      <c r="DH53" t="s">
        <v>116</v>
      </c>
      <c r="DI53" t="s">
        <v>116</v>
      </c>
    </row>
    <row r="54" spans="1:113" x14ac:dyDescent="0.4">
      <c r="A54" t="str">
        <f>"000078"</f>
        <v>000078</v>
      </c>
      <c r="B54" t="s">
        <v>507</v>
      </c>
      <c r="C54">
        <v>1.2</v>
      </c>
      <c r="D54">
        <v>3.37</v>
      </c>
      <c r="E54">
        <v>0.04</v>
      </c>
      <c r="F54">
        <v>3.36</v>
      </c>
      <c r="G54">
        <v>3.37</v>
      </c>
      <c r="H54">
        <v>166647</v>
      </c>
      <c r="I54">
        <v>512</v>
      </c>
      <c r="J54">
        <v>0</v>
      </c>
      <c r="K54">
        <v>0.64</v>
      </c>
      <c r="L54">
        <v>3.33</v>
      </c>
      <c r="M54">
        <v>3.41</v>
      </c>
      <c r="N54">
        <v>3.33</v>
      </c>
      <c r="O54">
        <v>3.33</v>
      </c>
      <c r="P54">
        <v>19.100000000000001</v>
      </c>
      <c r="Q54">
        <v>56357232</v>
      </c>
      <c r="R54">
        <v>1.71</v>
      </c>
      <c r="S54" t="s">
        <v>278</v>
      </c>
      <c r="T54" t="s">
        <v>115</v>
      </c>
      <c r="U54">
        <v>2.4</v>
      </c>
      <c r="V54">
        <v>3.38</v>
      </c>
      <c r="W54">
        <v>63432</v>
      </c>
      <c r="X54">
        <v>103215</v>
      </c>
      <c r="Y54">
        <v>0.61</v>
      </c>
      <c r="Z54">
        <v>4534</v>
      </c>
      <c r="AA54">
        <v>547</v>
      </c>
      <c r="AB54" t="s">
        <v>116</v>
      </c>
      <c r="AC54">
        <v>141500</v>
      </c>
      <c r="AD54">
        <v>0</v>
      </c>
      <c r="AE54" t="s">
        <v>116</v>
      </c>
      <c r="AF54" t="s">
        <v>116</v>
      </c>
      <c r="AG54">
        <v>26.22</v>
      </c>
      <c r="AH54" t="s">
        <v>508</v>
      </c>
      <c r="AI54" t="s">
        <v>509</v>
      </c>
      <c r="AJ54">
        <v>1.88</v>
      </c>
      <c r="AK54">
        <v>2249</v>
      </c>
      <c r="AL54">
        <v>74</v>
      </c>
      <c r="AM54">
        <v>2.9999999999999997E-4</v>
      </c>
      <c r="AN54">
        <v>1</v>
      </c>
      <c r="AO54">
        <v>1.2</v>
      </c>
      <c r="AP54">
        <v>4.01</v>
      </c>
      <c r="AQ54">
        <v>1.2</v>
      </c>
      <c r="AR54">
        <v>13.85</v>
      </c>
      <c r="AS54">
        <v>1.19</v>
      </c>
      <c r="AT54" t="s">
        <v>510</v>
      </c>
      <c r="AU54">
        <v>26.73</v>
      </c>
      <c r="AV54">
        <v>22.45</v>
      </c>
      <c r="AW54">
        <v>0.81</v>
      </c>
      <c r="BA54">
        <v>0</v>
      </c>
      <c r="BB54">
        <v>2.4</v>
      </c>
      <c r="BC54">
        <v>0</v>
      </c>
      <c r="BD54">
        <v>1.56</v>
      </c>
      <c r="BE54">
        <v>1.2</v>
      </c>
      <c r="BF54">
        <v>-1.17</v>
      </c>
      <c r="BG54">
        <v>1.2</v>
      </c>
      <c r="BH54">
        <v>-0.36</v>
      </c>
      <c r="BI54">
        <v>20191029</v>
      </c>
      <c r="BJ54">
        <v>19981218</v>
      </c>
      <c r="BK54">
        <v>27.63</v>
      </c>
      <c r="BL54" t="s">
        <v>116</v>
      </c>
      <c r="BM54" t="s">
        <v>116</v>
      </c>
      <c r="BN54">
        <v>397.73</v>
      </c>
      <c r="BO54">
        <v>63.77</v>
      </c>
      <c r="BP54">
        <v>15.85</v>
      </c>
      <c r="BQ54">
        <v>79.98</v>
      </c>
      <c r="BR54">
        <v>323.52</v>
      </c>
      <c r="BS54">
        <v>9.1199999999999992</v>
      </c>
      <c r="BT54">
        <v>2.54</v>
      </c>
      <c r="BU54">
        <v>284.27999999999997</v>
      </c>
      <c r="BV54">
        <v>37</v>
      </c>
      <c r="BW54">
        <v>180.96</v>
      </c>
      <c r="BX54">
        <v>25.76</v>
      </c>
      <c r="BY54">
        <v>307.02</v>
      </c>
      <c r="BZ54">
        <v>266.94</v>
      </c>
      <c r="CA54">
        <v>9.06</v>
      </c>
      <c r="CB54">
        <v>-0.28999999999999998</v>
      </c>
      <c r="CC54">
        <v>9.07</v>
      </c>
      <c r="CD54">
        <v>6.56</v>
      </c>
      <c r="CE54">
        <v>3.66</v>
      </c>
      <c r="CF54">
        <v>3.83</v>
      </c>
      <c r="CG54">
        <v>12.88</v>
      </c>
      <c r="CH54">
        <v>4.51</v>
      </c>
      <c r="CI54">
        <v>6.26</v>
      </c>
      <c r="CJ54">
        <v>149318</v>
      </c>
      <c r="CK54">
        <v>9413</v>
      </c>
      <c r="CL54" t="s">
        <v>511</v>
      </c>
      <c r="CM54">
        <v>-15.36</v>
      </c>
      <c r="CN54">
        <v>10.35</v>
      </c>
      <c r="CO54">
        <v>1.46</v>
      </c>
      <c r="CP54">
        <v>20.63</v>
      </c>
      <c r="CQ54">
        <v>0.3</v>
      </c>
      <c r="CR54">
        <v>0.59</v>
      </c>
      <c r="CS54" t="s">
        <v>512</v>
      </c>
      <c r="CT54">
        <v>2.31</v>
      </c>
      <c r="CU54">
        <v>0</v>
      </c>
      <c r="CV54">
        <v>0.93</v>
      </c>
      <c r="CW54">
        <v>0.47</v>
      </c>
      <c r="CX54">
        <v>0.16</v>
      </c>
      <c r="CY54">
        <v>16.03</v>
      </c>
      <c r="CZ54" t="s">
        <v>513</v>
      </c>
      <c r="DA54">
        <v>13.06</v>
      </c>
      <c r="DB54">
        <v>2.95</v>
      </c>
      <c r="DC54">
        <v>1.19</v>
      </c>
      <c r="DD54">
        <v>0.27</v>
      </c>
      <c r="DE54">
        <v>11615</v>
      </c>
      <c r="DF54">
        <v>78</v>
      </c>
      <c r="DG54" t="s">
        <v>116</v>
      </c>
      <c r="DH54" t="s">
        <v>116</v>
      </c>
      <c r="DI54" t="s">
        <v>116</v>
      </c>
    </row>
    <row r="55" spans="1:113" x14ac:dyDescent="0.4">
      <c r="A55" t="str">
        <f>"000088"</f>
        <v>000088</v>
      </c>
      <c r="B55" t="s">
        <v>514</v>
      </c>
      <c r="C55">
        <v>-0.54</v>
      </c>
      <c r="D55">
        <v>5.55</v>
      </c>
      <c r="E55">
        <v>-0.03</v>
      </c>
      <c r="F55">
        <v>5.55</v>
      </c>
      <c r="G55">
        <v>5.56</v>
      </c>
      <c r="H55">
        <v>44631</v>
      </c>
      <c r="I55">
        <v>134</v>
      </c>
      <c r="J55">
        <v>0</v>
      </c>
      <c r="K55">
        <v>0.23</v>
      </c>
      <c r="L55">
        <v>5.6</v>
      </c>
      <c r="M55">
        <v>5.65</v>
      </c>
      <c r="N55">
        <v>5.55</v>
      </c>
      <c r="O55">
        <v>5.58</v>
      </c>
      <c r="P55">
        <v>30.42</v>
      </c>
      <c r="Q55">
        <v>24956578</v>
      </c>
      <c r="R55">
        <v>1.39</v>
      </c>
      <c r="S55" t="s">
        <v>515</v>
      </c>
      <c r="T55" t="s">
        <v>115</v>
      </c>
      <c r="U55">
        <v>1.79</v>
      </c>
      <c r="V55">
        <v>5.59</v>
      </c>
      <c r="W55">
        <v>25838</v>
      </c>
      <c r="X55">
        <v>18793</v>
      </c>
      <c r="Y55">
        <v>1.37</v>
      </c>
      <c r="Z55">
        <v>1275</v>
      </c>
      <c r="AA55">
        <v>277</v>
      </c>
      <c r="AB55" t="s">
        <v>116</v>
      </c>
      <c r="AC55">
        <v>171900</v>
      </c>
      <c r="AD55">
        <v>0</v>
      </c>
      <c r="AE55" t="s">
        <v>116</v>
      </c>
      <c r="AF55" t="s">
        <v>116</v>
      </c>
      <c r="AG55">
        <v>19.420000000000002</v>
      </c>
      <c r="AH55" t="s">
        <v>516</v>
      </c>
      <c r="AI55" t="s">
        <v>516</v>
      </c>
      <c r="AJ55">
        <v>0.14000000000000001</v>
      </c>
      <c r="AK55">
        <v>860</v>
      </c>
      <c r="AL55">
        <v>52</v>
      </c>
      <c r="AM55">
        <v>2.9999999999999997E-4</v>
      </c>
      <c r="AN55">
        <v>-1</v>
      </c>
      <c r="AO55">
        <v>0.54</v>
      </c>
      <c r="AP55">
        <v>3.35</v>
      </c>
      <c r="AQ55">
        <v>-5.13</v>
      </c>
      <c r="AR55">
        <v>11.6</v>
      </c>
      <c r="AS55">
        <v>0.7</v>
      </c>
      <c r="AT55" t="s">
        <v>517</v>
      </c>
      <c r="AU55">
        <v>25.91</v>
      </c>
      <c r="AV55">
        <v>24.03</v>
      </c>
      <c r="AW55">
        <v>0.62</v>
      </c>
      <c r="BA55">
        <v>0.36</v>
      </c>
      <c r="BB55">
        <v>1.25</v>
      </c>
      <c r="BC55">
        <v>-0.54</v>
      </c>
      <c r="BD55">
        <v>0.21</v>
      </c>
      <c r="BE55">
        <v>-0.89</v>
      </c>
      <c r="BF55">
        <v>-1.77</v>
      </c>
      <c r="BG55">
        <v>0</v>
      </c>
      <c r="BH55">
        <v>-0.75</v>
      </c>
      <c r="BI55">
        <v>20191205</v>
      </c>
      <c r="BJ55">
        <v>19970728</v>
      </c>
      <c r="BK55">
        <v>19.420000000000002</v>
      </c>
      <c r="BL55" t="s">
        <v>116</v>
      </c>
      <c r="BM55" t="s">
        <v>116</v>
      </c>
      <c r="BN55">
        <v>107.02</v>
      </c>
      <c r="BO55">
        <v>69.66</v>
      </c>
      <c r="BP55">
        <v>10.86</v>
      </c>
      <c r="BQ55">
        <v>24.76</v>
      </c>
      <c r="BR55">
        <v>12.68</v>
      </c>
      <c r="BS55">
        <v>18.190000000000001</v>
      </c>
      <c r="BT55">
        <v>2.64</v>
      </c>
      <c r="BU55">
        <v>4.6900000000000004</v>
      </c>
      <c r="BV55">
        <v>0.02</v>
      </c>
      <c r="BW55">
        <v>0.27</v>
      </c>
      <c r="BX55">
        <v>7.96</v>
      </c>
      <c r="BY55">
        <v>4.5599999999999996</v>
      </c>
      <c r="BZ55">
        <v>2.41</v>
      </c>
      <c r="CA55">
        <v>3.11</v>
      </c>
      <c r="CB55">
        <v>2.2200000000000002</v>
      </c>
      <c r="CC55">
        <v>3.36</v>
      </c>
      <c r="CD55">
        <v>3.07</v>
      </c>
      <c r="CE55">
        <v>2.66</v>
      </c>
      <c r="CF55">
        <v>2.65</v>
      </c>
      <c r="CG55">
        <v>33.020000000000003</v>
      </c>
      <c r="CH55">
        <v>2.17</v>
      </c>
      <c r="CI55">
        <v>-2.85</v>
      </c>
      <c r="CJ55">
        <v>67702</v>
      </c>
      <c r="CK55">
        <v>9361</v>
      </c>
      <c r="CL55" t="s">
        <v>518</v>
      </c>
      <c r="CM55">
        <v>-10.88</v>
      </c>
      <c r="CN55">
        <v>55.76</v>
      </c>
      <c r="CO55">
        <v>1.55</v>
      </c>
      <c r="CP55">
        <v>49.64</v>
      </c>
      <c r="CQ55">
        <v>23.65</v>
      </c>
      <c r="CR55">
        <v>0.49</v>
      </c>
      <c r="CS55" t="s">
        <v>519</v>
      </c>
      <c r="CT55">
        <v>3.59</v>
      </c>
      <c r="CU55">
        <v>0</v>
      </c>
      <c r="CV55">
        <v>0.41</v>
      </c>
      <c r="CW55">
        <v>1.7</v>
      </c>
      <c r="CX55">
        <v>0.11</v>
      </c>
      <c r="CY55">
        <v>65.09</v>
      </c>
      <c r="CZ55" t="s">
        <v>520</v>
      </c>
      <c r="DA55">
        <v>47.04</v>
      </c>
      <c r="DB55">
        <v>68.209999999999994</v>
      </c>
      <c r="DC55">
        <v>58.3</v>
      </c>
      <c r="DD55">
        <v>0</v>
      </c>
      <c r="DE55">
        <v>775</v>
      </c>
      <c r="DF55">
        <v>88</v>
      </c>
      <c r="DG55" t="s">
        <v>116</v>
      </c>
      <c r="DH55" t="s">
        <v>116</v>
      </c>
      <c r="DI55" t="s">
        <v>116</v>
      </c>
    </row>
    <row r="56" spans="1:113" x14ac:dyDescent="0.4">
      <c r="A56" t="str">
        <f>"000089"</f>
        <v>000089</v>
      </c>
      <c r="B56" t="s">
        <v>521</v>
      </c>
      <c r="C56">
        <v>-0.2</v>
      </c>
      <c r="D56">
        <v>9.75</v>
      </c>
      <c r="E56">
        <v>-0.02</v>
      </c>
      <c r="F56">
        <v>9.74</v>
      </c>
      <c r="G56">
        <v>9.75</v>
      </c>
      <c r="H56">
        <v>178265</v>
      </c>
      <c r="I56">
        <v>1087</v>
      </c>
      <c r="J56">
        <v>0.1</v>
      </c>
      <c r="K56">
        <v>0.87</v>
      </c>
      <c r="L56">
        <v>9.7799999999999994</v>
      </c>
      <c r="M56">
        <v>9.86</v>
      </c>
      <c r="N56">
        <v>9.69</v>
      </c>
      <c r="O56">
        <v>9.77</v>
      </c>
      <c r="P56">
        <v>31.24</v>
      </c>
      <c r="Q56">
        <v>174191456</v>
      </c>
      <c r="R56">
        <v>1.25</v>
      </c>
      <c r="S56" t="s">
        <v>522</v>
      </c>
      <c r="T56" t="s">
        <v>115</v>
      </c>
      <c r="U56">
        <v>1.74</v>
      </c>
      <c r="V56">
        <v>9.77</v>
      </c>
      <c r="W56">
        <v>119125</v>
      </c>
      <c r="X56">
        <v>59140</v>
      </c>
      <c r="Y56">
        <v>2.0099999999999998</v>
      </c>
      <c r="Z56">
        <v>1435</v>
      </c>
      <c r="AA56">
        <v>1063</v>
      </c>
      <c r="AB56" t="s">
        <v>116</v>
      </c>
      <c r="AC56">
        <v>712000</v>
      </c>
      <c r="AD56">
        <v>0.01</v>
      </c>
      <c r="AE56" t="s">
        <v>116</v>
      </c>
      <c r="AF56" t="s">
        <v>116</v>
      </c>
      <c r="AG56">
        <v>20.51</v>
      </c>
      <c r="AH56" t="s">
        <v>523</v>
      </c>
      <c r="AI56" t="s">
        <v>523</v>
      </c>
      <c r="AJ56">
        <v>0.47</v>
      </c>
      <c r="AK56">
        <v>3159</v>
      </c>
      <c r="AL56">
        <v>56</v>
      </c>
      <c r="AM56">
        <v>2.9999999999999997E-4</v>
      </c>
      <c r="AN56">
        <v>-3</v>
      </c>
      <c r="AO56">
        <v>-1.02</v>
      </c>
      <c r="AP56">
        <v>3.28</v>
      </c>
      <c r="AQ56">
        <v>-11.36</v>
      </c>
      <c r="AR56">
        <v>26.56</v>
      </c>
      <c r="AS56">
        <v>2.02</v>
      </c>
      <c r="AT56" t="s">
        <v>524</v>
      </c>
      <c r="AU56">
        <v>34.96</v>
      </c>
      <c r="AV56">
        <v>29.93</v>
      </c>
      <c r="AW56">
        <v>0.61</v>
      </c>
      <c r="BA56">
        <v>0.1</v>
      </c>
      <c r="BB56">
        <v>0.92</v>
      </c>
      <c r="BC56">
        <v>-0.82</v>
      </c>
      <c r="BD56">
        <v>0.02</v>
      </c>
      <c r="BE56">
        <v>-0.31</v>
      </c>
      <c r="BF56">
        <v>-1.1200000000000001</v>
      </c>
      <c r="BG56">
        <v>0.62</v>
      </c>
      <c r="BH56">
        <v>-0.22</v>
      </c>
      <c r="BI56">
        <v>20191025</v>
      </c>
      <c r="BJ56">
        <v>19980420</v>
      </c>
      <c r="BK56">
        <v>20.51</v>
      </c>
      <c r="BL56" t="s">
        <v>116</v>
      </c>
      <c r="BM56" t="s">
        <v>116</v>
      </c>
      <c r="BN56">
        <v>139.76</v>
      </c>
      <c r="BO56">
        <v>119.5</v>
      </c>
      <c r="BP56">
        <v>0.28000000000000003</v>
      </c>
      <c r="BQ56">
        <v>14.3</v>
      </c>
      <c r="BR56">
        <v>33.39</v>
      </c>
      <c r="BS56">
        <v>73.05</v>
      </c>
      <c r="BT56">
        <v>2.4700000000000002</v>
      </c>
      <c r="BU56">
        <v>19.25</v>
      </c>
      <c r="BV56">
        <v>0.08</v>
      </c>
      <c r="BW56">
        <v>6.3</v>
      </c>
      <c r="BX56">
        <v>27.95</v>
      </c>
      <c r="BY56">
        <v>28.1</v>
      </c>
      <c r="BZ56">
        <v>20.72</v>
      </c>
      <c r="CA56">
        <v>6.96</v>
      </c>
      <c r="CB56">
        <v>0.72</v>
      </c>
      <c r="CC56">
        <v>6.28</v>
      </c>
      <c r="CD56">
        <v>4.8899999999999997</v>
      </c>
      <c r="CE56">
        <v>4.8</v>
      </c>
      <c r="CF56">
        <v>5.4</v>
      </c>
      <c r="CG56">
        <v>61.78</v>
      </c>
      <c r="CH56">
        <v>8.4</v>
      </c>
      <c r="CI56">
        <v>-2.04</v>
      </c>
      <c r="CJ56">
        <v>85518</v>
      </c>
      <c r="CK56">
        <v>10319</v>
      </c>
      <c r="CL56" t="s">
        <v>525</v>
      </c>
      <c r="CM56">
        <v>-16.68</v>
      </c>
      <c r="CN56">
        <v>5.5</v>
      </c>
      <c r="CO56">
        <v>1.67</v>
      </c>
      <c r="CP56">
        <v>23.8</v>
      </c>
      <c r="CQ56">
        <v>7.12</v>
      </c>
      <c r="CR56">
        <v>0.84</v>
      </c>
      <c r="CS56" t="s">
        <v>526</v>
      </c>
      <c r="CT56">
        <v>5.83</v>
      </c>
      <c r="CU56">
        <v>0</v>
      </c>
      <c r="CV56">
        <v>1.36</v>
      </c>
      <c r="CW56">
        <v>3.01</v>
      </c>
      <c r="CX56">
        <v>0.41</v>
      </c>
      <c r="CY56">
        <v>85.5</v>
      </c>
      <c r="CZ56" t="s">
        <v>527</v>
      </c>
      <c r="DA56">
        <v>26.26</v>
      </c>
      <c r="DB56">
        <v>24.78</v>
      </c>
      <c r="DC56">
        <v>17.079999999999998</v>
      </c>
      <c r="DD56">
        <v>0</v>
      </c>
      <c r="DE56">
        <v>5720</v>
      </c>
      <c r="DF56">
        <v>89</v>
      </c>
      <c r="DG56" t="s">
        <v>116</v>
      </c>
      <c r="DH56" t="s">
        <v>116</v>
      </c>
      <c r="DI56" t="s">
        <v>116</v>
      </c>
    </row>
    <row r="57" spans="1:113" x14ac:dyDescent="0.4">
      <c r="A57" t="str">
        <f>"000090"</f>
        <v>000090</v>
      </c>
      <c r="B57" t="s">
        <v>528</v>
      </c>
      <c r="C57">
        <v>1.37</v>
      </c>
      <c r="D57">
        <v>5.18</v>
      </c>
      <c r="E57">
        <v>7.0000000000000007E-2</v>
      </c>
      <c r="F57">
        <v>5.17</v>
      </c>
      <c r="G57">
        <v>5.18</v>
      </c>
      <c r="H57">
        <v>176256</v>
      </c>
      <c r="I57">
        <v>1685</v>
      </c>
      <c r="J57">
        <v>0.19</v>
      </c>
      <c r="K57">
        <v>0.94</v>
      </c>
      <c r="L57">
        <v>5.1100000000000003</v>
      </c>
      <c r="M57">
        <v>5.22</v>
      </c>
      <c r="N57">
        <v>5.1100000000000003</v>
      </c>
      <c r="O57">
        <v>5.1100000000000003</v>
      </c>
      <c r="P57">
        <v>29.12</v>
      </c>
      <c r="Q57">
        <v>91219328</v>
      </c>
      <c r="R57">
        <v>1.5</v>
      </c>
      <c r="S57" t="s">
        <v>181</v>
      </c>
      <c r="T57" t="s">
        <v>115</v>
      </c>
      <c r="U57">
        <v>2.15</v>
      </c>
      <c r="V57">
        <v>5.18</v>
      </c>
      <c r="W57">
        <v>83380</v>
      </c>
      <c r="X57">
        <v>92876</v>
      </c>
      <c r="Y57">
        <v>0.9</v>
      </c>
      <c r="Z57">
        <v>1125</v>
      </c>
      <c r="AA57">
        <v>280</v>
      </c>
      <c r="AB57" t="s">
        <v>116</v>
      </c>
      <c r="AC57">
        <v>35600</v>
      </c>
      <c r="AD57">
        <v>0</v>
      </c>
      <c r="AE57" t="s">
        <v>116</v>
      </c>
      <c r="AF57" t="s">
        <v>116</v>
      </c>
      <c r="AG57">
        <v>18.68</v>
      </c>
      <c r="AH57" t="s">
        <v>529</v>
      </c>
      <c r="AI57" t="s">
        <v>530</v>
      </c>
      <c r="AJ57">
        <v>2.0499999999999998</v>
      </c>
      <c r="AK57">
        <v>2085</v>
      </c>
      <c r="AL57">
        <v>85</v>
      </c>
      <c r="AM57">
        <v>5.0000000000000001E-4</v>
      </c>
      <c r="AN57">
        <v>3</v>
      </c>
      <c r="AO57">
        <v>1.97</v>
      </c>
      <c r="AP57">
        <v>2.78</v>
      </c>
      <c r="AQ57">
        <v>-0.77</v>
      </c>
      <c r="AR57">
        <v>54.8</v>
      </c>
      <c r="AS57">
        <v>1.65</v>
      </c>
      <c r="AT57" t="s">
        <v>531</v>
      </c>
      <c r="AU57">
        <v>11.3</v>
      </c>
      <c r="AV57">
        <v>12.38</v>
      </c>
      <c r="AW57">
        <v>0.65</v>
      </c>
      <c r="BA57">
        <v>0</v>
      </c>
      <c r="BB57">
        <v>2.15</v>
      </c>
      <c r="BC57">
        <v>0</v>
      </c>
      <c r="BD57">
        <v>1.28</v>
      </c>
      <c r="BE57">
        <v>1.37</v>
      </c>
      <c r="BF57">
        <v>-0.77</v>
      </c>
      <c r="BG57">
        <v>1.37</v>
      </c>
      <c r="BH57">
        <v>0.09</v>
      </c>
      <c r="BI57">
        <v>20191106</v>
      </c>
      <c r="BJ57">
        <v>19990721</v>
      </c>
      <c r="BK57">
        <v>18.690000000000001</v>
      </c>
      <c r="BL57" t="s">
        <v>116</v>
      </c>
      <c r="BM57" t="s">
        <v>116</v>
      </c>
      <c r="BN57">
        <v>391.63</v>
      </c>
      <c r="BO57">
        <v>87.42</v>
      </c>
      <c r="BP57">
        <v>0.9</v>
      </c>
      <c r="BQ57">
        <v>77.45</v>
      </c>
      <c r="BR57">
        <v>347.16</v>
      </c>
      <c r="BS57">
        <v>3.86</v>
      </c>
      <c r="BT57">
        <v>0.53</v>
      </c>
      <c r="BU57">
        <v>227.05</v>
      </c>
      <c r="BV57">
        <v>219.86</v>
      </c>
      <c r="BW57">
        <v>19.059999999999999</v>
      </c>
      <c r="BX57">
        <v>16.13</v>
      </c>
      <c r="BY57">
        <v>60.65</v>
      </c>
      <c r="BZ57">
        <v>49.22</v>
      </c>
      <c r="CA57">
        <v>4.5199999999999996</v>
      </c>
      <c r="CB57">
        <v>0.74</v>
      </c>
      <c r="CC57">
        <v>4.55</v>
      </c>
      <c r="CD57">
        <v>2.42</v>
      </c>
      <c r="CE57">
        <v>2.4900000000000002</v>
      </c>
      <c r="CF57">
        <v>1.81</v>
      </c>
      <c r="CG57">
        <v>24.73</v>
      </c>
      <c r="CH57">
        <v>47.4</v>
      </c>
      <c r="CI57">
        <v>50.09</v>
      </c>
      <c r="CJ57">
        <v>35353</v>
      </c>
      <c r="CK57">
        <v>30232</v>
      </c>
      <c r="CL57" t="s">
        <v>532</v>
      </c>
      <c r="CM57">
        <v>42.83</v>
      </c>
      <c r="CN57">
        <v>30.63</v>
      </c>
      <c r="CO57">
        <v>1.39</v>
      </c>
      <c r="CP57">
        <v>2.04</v>
      </c>
      <c r="CQ57">
        <v>1.6</v>
      </c>
      <c r="CR57">
        <v>3.71</v>
      </c>
      <c r="CS57" t="s">
        <v>533</v>
      </c>
      <c r="CT57">
        <v>3.72</v>
      </c>
      <c r="CU57">
        <v>3.72</v>
      </c>
      <c r="CV57">
        <v>0.86</v>
      </c>
      <c r="CW57">
        <v>1.32</v>
      </c>
      <c r="CX57">
        <v>2.54</v>
      </c>
      <c r="CY57">
        <v>22.32</v>
      </c>
      <c r="CZ57" t="s">
        <v>534</v>
      </c>
      <c r="DA57">
        <v>18.84</v>
      </c>
      <c r="DB57">
        <v>7.46</v>
      </c>
      <c r="DC57">
        <v>4.1100000000000003</v>
      </c>
      <c r="DD57">
        <v>1.82</v>
      </c>
      <c r="DE57">
        <v>7485</v>
      </c>
      <c r="DF57">
        <v>90</v>
      </c>
      <c r="DG57" t="s">
        <v>116</v>
      </c>
      <c r="DH57" t="s">
        <v>116</v>
      </c>
      <c r="DI57" t="s">
        <v>116</v>
      </c>
    </row>
    <row r="58" spans="1:113" x14ac:dyDescent="0.4">
      <c r="A58" t="str">
        <f>"000096"</f>
        <v>000096</v>
      </c>
      <c r="B58" t="s">
        <v>535</v>
      </c>
      <c r="C58">
        <v>-0.09</v>
      </c>
      <c r="D58">
        <v>11.37</v>
      </c>
      <c r="E58">
        <v>-0.01</v>
      </c>
      <c r="F58">
        <v>11.23</v>
      </c>
      <c r="G58">
        <v>11.37</v>
      </c>
      <c r="H58">
        <v>16812</v>
      </c>
      <c r="I58">
        <v>800</v>
      </c>
      <c r="J58">
        <v>1.34</v>
      </c>
      <c r="K58">
        <v>0.33</v>
      </c>
      <c r="L58">
        <v>11.38</v>
      </c>
      <c r="M58">
        <v>11.55</v>
      </c>
      <c r="N58">
        <v>11.2</v>
      </c>
      <c r="O58">
        <v>11.38</v>
      </c>
      <c r="P58">
        <v>42.56</v>
      </c>
      <c r="Q58">
        <v>19043532</v>
      </c>
      <c r="R58">
        <v>0.91</v>
      </c>
      <c r="S58" t="s">
        <v>536</v>
      </c>
      <c r="T58" t="s">
        <v>115</v>
      </c>
      <c r="U58">
        <v>3.08</v>
      </c>
      <c r="V58">
        <v>11.33</v>
      </c>
      <c r="W58">
        <v>8590</v>
      </c>
      <c r="X58">
        <v>8222</v>
      </c>
      <c r="Y58">
        <v>1.04</v>
      </c>
      <c r="Z58">
        <v>76</v>
      </c>
      <c r="AA58">
        <v>19</v>
      </c>
      <c r="AB58" t="s">
        <v>116</v>
      </c>
      <c r="AC58">
        <v>0</v>
      </c>
      <c r="AD58">
        <v>0</v>
      </c>
      <c r="AE58" t="s">
        <v>116</v>
      </c>
      <c r="AF58" t="s">
        <v>116</v>
      </c>
      <c r="AG58">
        <v>5.1100000000000003</v>
      </c>
      <c r="AH58" t="s">
        <v>537</v>
      </c>
      <c r="AI58" t="s">
        <v>538</v>
      </c>
      <c r="AJ58">
        <v>0.59</v>
      </c>
      <c r="AK58">
        <v>725</v>
      </c>
      <c r="AL58">
        <v>23</v>
      </c>
      <c r="AM58">
        <v>5.0000000000000001E-4</v>
      </c>
      <c r="AN58">
        <v>-1</v>
      </c>
      <c r="AO58">
        <v>0.62</v>
      </c>
      <c r="AP58">
        <v>7.87</v>
      </c>
      <c r="AQ58">
        <v>12.35</v>
      </c>
      <c r="AR58">
        <v>23.19</v>
      </c>
      <c r="AS58">
        <v>0.72</v>
      </c>
      <c r="AT58" t="s">
        <v>539</v>
      </c>
      <c r="AU58">
        <v>51.12</v>
      </c>
      <c r="AV58">
        <v>55.73</v>
      </c>
      <c r="AW58">
        <v>0.51</v>
      </c>
      <c r="BA58">
        <v>0</v>
      </c>
      <c r="BB58">
        <v>1.49</v>
      </c>
      <c r="BC58">
        <v>-1.58</v>
      </c>
      <c r="BD58">
        <v>-0.46</v>
      </c>
      <c r="BE58">
        <v>-0.09</v>
      </c>
      <c r="BF58">
        <v>-1.56</v>
      </c>
      <c r="BG58">
        <v>1.52</v>
      </c>
      <c r="BH58">
        <v>0.38</v>
      </c>
      <c r="BI58">
        <v>20191030</v>
      </c>
      <c r="BJ58">
        <v>20000724</v>
      </c>
      <c r="BK58">
        <v>5.28</v>
      </c>
      <c r="BL58" t="s">
        <v>116</v>
      </c>
      <c r="BM58" t="s">
        <v>116</v>
      </c>
      <c r="BN58">
        <v>27.46</v>
      </c>
      <c r="BO58">
        <v>25.73</v>
      </c>
      <c r="BP58">
        <v>0.22</v>
      </c>
      <c r="BQ58">
        <v>5.5</v>
      </c>
      <c r="BR58">
        <v>15.75</v>
      </c>
      <c r="BS58">
        <v>0.71</v>
      </c>
      <c r="BT58">
        <v>1.08</v>
      </c>
      <c r="BU58">
        <v>1.29</v>
      </c>
      <c r="BV58">
        <v>0.25</v>
      </c>
      <c r="BW58">
        <v>0.08</v>
      </c>
      <c r="BX58">
        <v>3.51</v>
      </c>
      <c r="BY58">
        <v>12.05</v>
      </c>
      <c r="BZ58">
        <v>10.74</v>
      </c>
      <c r="CA58">
        <v>1.28</v>
      </c>
      <c r="CB58">
        <v>0.62</v>
      </c>
      <c r="CC58">
        <v>1.28</v>
      </c>
      <c r="CD58">
        <v>1.0900000000000001</v>
      </c>
      <c r="CE58">
        <v>1.06</v>
      </c>
      <c r="CF58">
        <v>0.99</v>
      </c>
      <c r="CG58">
        <v>13.19</v>
      </c>
      <c r="CH58">
        <v>0.4</v>
      </c>
      <c r="CI58">
        <v>-0.14000000000000001</v>
      </c>
      <c r="CJ58">
        <v>28378</v>
      </c>
      <c r="CK58">
        <v>8272</v>
      </c>
      <c r="CL58" t="s">
        <v>540</v>
      </c>
      <c r="CM58">
        <v>10.09</v>
      </c>
      <c r="CN58">
        <v>-3.42</v>
      </c>
      <c r="CO58">
        <v>2.33</v>
      </c>
      <c r="CP58">
        <v>150.54</v>
      </c>
      <c r="CQ58">
        <v>4.9800000000000004</v>
      </c>
      <c r="CR58">
        <v>0.18</v>
      </c>
      <c r="CS58" t="s">
        <v>541</v>
      </c>
      <c r="CT58">
        <v>4.87</v>
      </c>
      <c r="CU58">
        <v>0</v>
      </c>
      <c r="CV58">
        <v>0.67</v>
      </c>
      <c r="CW58">
        <v>2.5</v>
      </c>
      <c r="CX58">
        <v>0.08</v>
      </c>
      <c r="CY58">
        <v>93.69</v>
      </c>
      <c r="CZ58" t="s">
        <v>542</v>
      </c>
      <c r="DA58">
        <v>10.92</v>
      </c>
      <c r="DB58">
        <v>10.65</v>
      </c>
      <c r="DC58">
        <v>8.7799999999999994</v>
      </c>
      <c r="DD58">
        <v>0</v>
      </c>
      <c r="DE58">
        <v>403</v>
      </c>
      <c r="DF58">
        <v>96</v>
      </c>
      <c r="DG58" t="s">
        <v>116</v>
      </c>
      <c r="DH58" t="s">
        <v>116</v>
      </c>
      <c r="DI58" t="s">
        <v>116</v>
      </c>
    </row>
    <row r="59" spans="1:113" x14ac:dyDescent="0.4">
      <c r="A59" t="str">
        <f>"000099"</f>
        <v>000099</v>
      </c>
      <c r="B59" t="s">
        <v>543</v>
      </c>
      <c r="C59">
        <v>-0.55000000000000004</v>
      </c>
      <c r="D59">
        <v>7.28</v>
      </c>
      <c r="E59">
        <v>-0.04</v>
      </c>
      <c r="F59">
        <v>7.27</v>
      </c>
      <c r="G59">
        <v>7.28</v>
      </c>
      <c r="H59">
        <v>38440</v>
      </c>
      <c r="I59">
        <v>249</v>
      </c>
      <c r="J59">
        <v>-0.13</v>
      </c>
      <c r="K59">
        <v>0.63</v>
      </c>
      <c r="L59">
        <v>7.33</v>
      </c>
      <c r="M59">
        <v>7.38</v>
      </c>
      <c r="N59">
        <v>7.27</v>
      </c>
      <c r="O59">
        <v>7.32</v>
      </c>
      <c r="P59">
        <v>21.1</v>
      </c>
      <c r="Q59">
        <v>28161160</v>
      </c>
      <c r="R59">
        <v>1.47</v>
      </c>
      <c r="S59" t="s">
        <v>544</v>
      </c>
      <c r="T59" t="s">
        <v>115</v>
      </c>
      <c r="U59">
        <v>1.5</v>
      </c>
      <c r="V59">
        <v>7.33</v>
      </c>
      <c r="W59">
        <v>21137</v>
      </c>
      <c r="X59">
        <v>17303</v>
      </c>
      <c r="Y59">
        <v>1.22</v>
      </c>
      <c r="Z59">
        <v>263</v>
      </c>
      <c r="AA59">
        <v>181</v>
      </c>
      <c r="AB59" t="s">
        <v>116</v>
      </c>
      <c r="AC59">
        <v>51300</v>
      </c>
      <c r="AD59">
        <v>0</v>
      </c>
      <c r="AE59" t="s">
        <v>116</v>
      </c>
      <c r="AF59" t="s">
        <v>116</v>
      </c>
      <c r="AG59">
        <v>6.06</v>
      </c>
      <c r="AH59" t="s">
        <v>545</v>
      </c>
      <c r="AI59" t="s">
        <v>545</v>
      </c>
      <c r="AJ59">
        <v>0.13</v>
      </c>
      <c r="AK59">
        <v>1554</v>
      </c>
      <c r="AL59">
        <v>25</v>
      </c>
      <c r="AM59">
        <v>4.0000000000000002E-4</v>
      </c>
      <c r="AN59">
        <v>-1</v>
      </c>
      <c r="AO59">
        <v>-0.41</v>
      </c>
      <c r="AP59">
        <v>4.3</v>
      </c>
      <c r="AQ59">
        <v>-2.2799999999999998</v>
      </c>
      <c r="AR59">
        <v>29.65</v>
      </c>
      <c r="AS59">
        <v>1.03</v>
      </c>
      <c r="AT59" t="s">
        <v>546</v>
      </c>
      <c r="AU59">
        <v>20.12</v>
      </c>
      <c r="AV59">
        <v>29.32</v>
      </c>
      <c r="AW59">
        <v>0.86</v>
      </c>
      <c r="BA59">
        <v>0.14000000000000001</v>
      </c>
      <c r="BB59">
        <v>0.82</v>
      </c>
      <c r="BC59">
        <v>-0.68</v>
      </c>
      <c r="BD59">
        <v>0.08</v>
      </c>
      <c r="BE59">
        <v>-0.68</v>
      </c>
      <c r="BF59">
        <v>-1.36</v>
      </c>
      <c r="BG59">
        <v>0.14000000000000001</v>
      </c>
      <c r="BH59">
        <v>-0.63</v>
      </c>
      <c r="BI59">
        <v>20191029</v>
      </c>
      <c r="BJ59">
        <v>20000731</v>
      </c>
      <c r="BK59">
        <v>6.06</v>
      </c>
      <c r="BL59" t="s">
        <v>116</v>
      </c>
      <c r="BM59" t="s">
        <v>116</v>
      </c>
      <c r="BN59">
        <v>58.51</v>
      </c>
      <c r="BO59">
        <v>32.18</v>
      </c>
      <c r="BP59">
        <v>1.22</v>
      </c>
      <c r="BQ59">
        <v>42.91</v>
      </c>
      <c r="BR59">
        <v>24.54</v>
      </c>
      <c r="BS59">
        <v>22.61</v>
      </c>
      <c r="BT59">
        <v>0.91</v>
      </c>
      <c r="BU59">
        <v>15.14</v>
      </c>
      <c r="BV59">
        <v>3.25</v>
      </c>
      <c r="BW59">
        <v>5.95</v>
      </c>
      <c r="BX59">
        <v>10.33</v>
      </c>
      <c r="BY59">
        <v>11.45</v>
      </c>
      <c r="BZ59">
        <v>8.42</v>
      </c>
      <c r="CA59">
        <v>2.2000000000000002</v>
      </c>
      <c r="CB59">
        <v>0</v>
      </c>
      <c r="CC59">
        <v>2.19</v>
      </c>
      <c r="CD59">
        <v>1.57</v>
      </c>
      <c r="CE59">
        <v>1.57</v>
      </c>
      <c r="CF59">
        <v>1.51</v>
      </c>
      <c r="CG59">
        <v>13.56</v>
      </c>
      <c r="CH59">
        <v>5.54</v>
      </c>
      <c r="CI59">
        <v>1.39</v>
      </c>
      <c r="CJ59">
        <v>58082</v>
      </c>
      <c r="CK59">
        <v>6404</v>
      </c>
      <c r="CL59" t="s">
        <v>547</v>
      </c>
      <c r="CM59">
        <v>78.239999999999995</v>
      </c>
      <c r="CN59">
        <v>15.79</v>
      </c>
      <c r="CO59">
        <v>1.37</v>
      </c>
      <c r="CP59">
        <v>7.97</v>
      </c>
      <c r="CQ59">
        <v>3.85</v>
      </c>
      <c r="CR59">
        <v>0.34</v>
      </c>
      <c r="CS59" t="s">
        <v>548</v>
      </c>
      <c r="CT59">
        <v>5.31</v>
      </c>
      <c r="CU59">
        <v>0</v>
      </c>
      <c r="CV59">
        <v>1.7</v>
      </c>
      <c r="CW59">
        <v>2.2400000000000002</v>
      </c>
      <c r="CX59">
        <v>0.91</v>
      </c>
      <c r="CY59">
        <v>55</v>
      </c>
      <c r="CZ59" t="s">
        <v>549</v>
      </c>
      <c r="DA59">
        <v>26.46</v>
      </c>
      <c r="DB59">
        <v>19.170000000000002</v>
      </c>
      <c r="DC59">
        <v>13.7</v>
      </c>
      <c r="DD59">
        <v>0</v>
      </c>
      <c r="DE59">
        <v>1090</v>
      </c>
      <c r="DF59">
        <v>99</v>
      </c>
      <c r="DG59" t="s">
        <v>116</v>
      </c>
      <c r="DH59" t="s">
        <v>116</v>
      </c>
      <c r="DI59" t="s">
        <v>116</v>
      </c>
    </row>
    <row r="60" spans="1:113" x14ac:dyDescent="0.4">
      <c r="A60" t="str">
        <f>"000100"</f>
        <v>000100</v>
      </c>
      <c r="B60" t="s">
        <v>550</v>
      </c>
      <c r="C60">
        <v>-3.62</v>
      </c>
      <c r="D60">
        <v>4.5199999999999996</v>
      </c>
      <c r="E60">
        <v>-0.17</v>
      </c>
      <c r="F60">
        <v>4.5199999999999996</v>
      </c>
      <c r="G60">
        <v>4.53</v>
      </c>
      <c r="H60">
        <v>3595828</v>
      </c>
      <c r="I60">
        <v>38270</v>
      </c>
      <c r="J60">
        <v>-0.21</v>
      </c>
      <c r="K60">
        <v>2.81</v>
      </c>
      <c r="L60">
        <v>4.67</v>
      </c>
      <c r="M60">
        <v>4.7</v>
      </c>
      <c r="N60">
        <v>4.51</v>
      </c>
      <c r="O60">
        <v>4.6900000000000004</v>
      </c>
      <c r="P60">
        <v>17.79</v>
      </c>
      <c r="Q60">
        <v>1657087872</v>
      </c>
      <c r="R60">
        <v>0.91</v>
      </c>
      <c r="S60" t="s">
        <v>233</v>
      </c>
      <c r="T60" t="s">
        <v>551</v>
      </c>
      <c r="U60">
        <v>4.05</v>
      </c>
      <c r="V60">
        <v>4.6100000000000003</v>
      </c>
      <c r="W60">
        <v>1846590</v>
      </c>
      <c r="X60">
        <v>1749238</v>
      </c>
      <c r="Y60">
        <v>1.06</v>
      </c>
      <c r="Z60">
        <v>10346</v>
      </c>
      <c r="AA60">
        <v>12525</v>
      </c>
      <c r="AB60" t="s">
        <v>116</v>
      </c>
      <c r="AC60">
        <v>14209900</v>
      </c>
      <c r="AD60">
        <v>0.03</v>
      </c>
      <c r="AE60" t="s">
        <v>116</v>
      </c>
      <c r="AF60" t="s">
        <v>116</v>
      </c>
      <c r="AG60">
        <v>127.84</v>
      </c>
      <c r="AH60" t="s">
        <v>552</v>
      </c>
      <c r="AI60" t="s">
        <v>553</v>
      </c>
      <c r="AJ60">
        <v>-2.95</v>
      </c>
      <c r="AK60">
        <v>4620</v>
      </c>
      <c r="AL60">
        <v>778</v>
      </c>
      <c r="AM60">
        <v>5.9999999999999995E-4</v>
      </c>
      <c r="AN60">
        <v>-1</v>
      </c>
      <c r="AO60">
        <v>1.1200000000000001</v>
      </c>
      <c r="AP60">
        <v>17.71</v>
      </c>
      <c r="AQ60">
        <v>23.84</v>
      </c>
      <c r="AR60">
        <v>92.34</v>
      </c>
      <c r="AS60">
        <v>3.18</v>
      </c>
      <c r="AT60" t="s">
        <v>554</v>
      </c>
      <c r="AU60">
        <v>17.2</v>
      </c>
      <c r="AV60">
        <v>17.63</v>
      </c>
      <c r="AW60">
        <v>1.41</v>
      </c>
      <c r="BA60">
        <v>-0.43</v>
      </c>
      <c r="BB60">
        <v>0.21</v>
      </c>
      <c r="BC60">
        <v>-3.84</v>
      </c>
      <c r="BD60">
        <v>-1.74</v>
      </c>
      <c r="BE60">
        <v>-3.21</v>
      </c>
      <c r="BF60">
        <v>-3.83</v>
      </c>
      <c r="BG60">
        <v>0.22</v>
      </c>
      <c r="BH60">
        <v>-1.88</v>
      </c>
      <c r="BI60">
        <v>20191210</v>
      </c>
      <c r="BJ60">
        <v>20040130</v>
      </c>
      <c r="BK60">
        <v>135.28</v>
      </c>
      <c r="BL60" t="s">
        <v>116</v>
      </c>
      <c r="BM60" t="s">
        <v>116</v>
      </c>
      <c r="BN60">
        <v>1617.33</v>
      </c>
      <c r="BO60">
        <v>304.02</v>
      </c>
      <c r="BP60">
        <v>337.92</v>
      </c>
      <c r="BQ60">
        <v>60.31</v>
      </c>
      <c r="BR60">
        <v>488.19</v>
      </c>
      <c r="BS60">
        <v>403.63</v>
      </c>
      <c r="BT60">
        <v>57.14</v>
      </c>
      <c r="BU60">
        <v>439.86</v>
      </c>
      <c r="BV60">
        <v>53.81</v>
      </c>
      <c r="BW60">
        <v>83.86</v>
      </c>
      <c r="BX60">
        <v>57.82</v>
      </c>
      <c r="BY60">
        <v>588.17999999999995</v>
      </c>
      <c r="BZ60">
        <v>512.16999999999996</v>
      </c>
      <c r="CA60">
        <v>37.08</v>
      </c>
      <c r="CB60">
        <v>25.82</v>
      </c>
      <c r="CC60">
        <v>38.119999999999997</v>
      </c>
      <c r="CD60">
        <v>34.869999999999997</v>
      </c>
      <c r="CE60">
        <v>25.77</v>
      </c>
      <c r="CF60">
        <v>5.03</v>
      </c>
      <c r="CG60">
        <v>111.29</v>
      </c>
      <c r="CH60">
        <v>76.09</v>
      </c>
      <c r="CI60">
        <v>-93.26</v>
      </c>
      <c r="CJ60">
        <v>466862</v>
      </c>
      <c r="CK60">
        <v>24190</v>
      </c>
      <c r="CL60" t="s">
        <v>555</v>
      </c>
      <c r="CM60">
        <v>3.52</v>
      </c>
      <c r="CN60">
        <v>-28.48</v>
      </c>
      <c r="CO60">
        <v>2.0099999999999998</v>
      </c>
      <c r="CP60">
        <v>8.0399999999999991</v>
      </c>
      <c r="CQ60">
        <v>1.04</v>
      </c>
      <c r="CR60">
        <v>2.19</v>
      </c>
      <c r="CS60" t="s">
        <v>556</v>
      </c>
      <c r="CT60">
        <v>2.25</v>
      </c>
      <c r="CU60">
        <v>0</v>
      </c>
      <c r="CV60">
        <v>0.43</v>
      </c>
      <c r="CW60">
        <v>0.82</v>
      </c>
      <c r="CX60">
        <v>0.56000000000000005</v>
      </c>
      <c r="CY60">
        <v>18.8</v>
      </c>
      <c r="CZ60" t="s">
        <v>557</v>
      </c>
      <c r="DA60">
        <v>12.92</v>
      </c>
      <c r="DB60">
        <v>6.3</v>
      </c>
      <c r="DC60">
        <v>4.38</v>
      </c>
      <c r="DD60">
        <v>26.03</v>
      </c>
      <c r="DE60">
        <v>89750</v>
      </c>
      <c r="DF60">
        <v>100</v>
      </c>
      <c r="DG60" t="s">
        <v>116</v>
      </c>
      <c r="DH60" t="s">
        <v>116</v>
      </c>
      <c r="DI60" t="s">
        <v>116</v>
      </c>
    </row>
    <row r="61" spans="1:113" x14ac:dyDescent="0.4">
      <c r="A61" t="str">
        <f>"000150"</f>
        <v>000150</v>
      </c>
      <c r="B61" t="s">
        <v>558</v>
      </c>
      <c r="C61">
        <v>-1.23</v>
      </c>
      <c r="D61">
        <v>4.8</v>
      </c>
      <c r="E61">
        <v>-0.06</v>
      </c>
      <c r="F61">
        <v>4.79</v>
      </c>
      <c r="G61">
        <v>4.8</v>
      </c>
      <c r="H61">
        <v>101202</v>
      </c>
      <c r="I61">
        <v>3851</v>
      </c>
      <c r="J61">
        <v>-0.2</v>
      </c>
      <c r="K61">
        <v>1.26</v>
      </c>
      <c r="L61">
        <v>4.8899999999999997</v>
      </c>
      <c r="M61">
        <v>4.8899999999999997</v>
      </c>
      <c r="N61">
        <v>4.8</v>
      </c>
      <c r="O61">
        <v>4.8600000000000003</v>
      </c>
      <c r="P61">
        <v>1215.83</v>
      </c>
      <c r="Q61">
        <v>49004748</v>
      </c>
      <c r="R61">
        <v>0.99</v>
      </c>
      <c r="S61" t="s">
        <v>559</v>
      </c>
      <c r="T61" t="s">
        <v>551</v>
      </c>
      <c r="U61">
        <v>1.85</v>
      </c>
      <c r="V61">
        <v>4.84</v>
      </c>
      <c r="W61">
        <v>70160</v>
      </c>
      <c r="X61">
        <v>31042</v>
      </c>
      <c r="Y61">
        <v>2.2599999999999998</v>
      </c>
      <c r="Z61">
        <v>1069</v>
      </c>
      <c r="AA61">
        <v>426</v>
      </c>
      <c r="AB61" t="s">
        <v>116</v>
      </c>
      <c r="AC61">
        <v>247900</v>
      </c>
      <c r="AD61">
        <v>0.01</v>
      </c>
      <c r="AE61" t="s">
        <v>116</v>
      </c>
      <c r="AF61" t="s">
        <v>116</v>
      </c>
      <c r="AG61">
        <v>8.06</v>
      </c>
      <c r="AH61" t="s">
        <v>560</v>
      </c>
      <c r="AI61" t="s">
        <v>561</v>
      </c>
      <c r="AJ61">
        <v>-0.56000000000000005</v>
      </c>
      <c r="AK61">
        <v>1300</v>
      </c>
      <c r="AL61">
        <v>78</v>
      </c>
      <c r="AM61">
        <v>1E-3</v>
      </c>
      <c r="AN61">
        <v>-1</v>
      </c>
      <c r="AO61">
        <v>-1.64</v>
      </c>
      <c r="AP61">
        <v>-5.88</v>
      </c>
      <c r="AQ61">
        <v>-10.95</v>
      </c>
      <c r="AR61">
        <v>-54.38</v>
      </c>
      <c r="AS61">
        <v>2.65</v>
      </c>
      <c r="AT61" t="s">
        <v>562</v>
      </c>
      <c r="AU61" t="s">
        <v>116</v>
      </c>
      <c r="AV61">
        <v>23.75</v>
      </c>
      <c r="AW61">
        <v>1.23</v>
      </c>
      <c r="BA61">
        <v>0.62</v>
      </c>
      <c r="BB61">
        <v>0.62</v>
      </c>
      <c r="BC61">
        <v>-1.23</v>
      </c>
      <c r="BD61">
        <v>-0.36</v>
      </c>
      <c r="BE61">
        <v>-1.84</v>
      </c>
      <c r="BF61">
        <v>-1.84</v>
      </c>
      <c r="BG61">
        <v>0</v>
      </c>
      <c r="BH61">
        <v>-0.87</v>
      </c>
      <c r="BI61">
        <v>20191030</v>
      </c>
      <c r="BJ61">
        <v>20000807</v>
      </c>
      <c r="BK61">
        <v>8.7799999999999994</v>
      </c>
      <c r="BL61" t="s">
        <v>116</v>
      </c>
      <c r="BM61" t="s">
        <v>116</v>
      </c>
      <c r="BN61">
        <v>81.13</v>
      </c>
      <c r="BO61">
        <v>24.18</v>
      </c>
      <c r="BP61">
        <v>1.1299999999999999</v>
      </c>
      <c r="BQ61">
        <v>68.8</v>
      </c>
      <c r="BR61">
        <v>27.49</v>
      </c>
      <c r="BS61">
        <v>6.95</v>
      </c>
      <c r="BT61">
        <v>6.59</v>
      </c>
      <c r="BU61">
        <v>43.33</v>
      </c>
      <c r="BV61">
        <v>1.99</v>
      </c>
      <c r="BW61">
        <v>11.74</v>
      </c>
      <c r="BX61">
        <v>3.25</v>
      </c>
      <c r="BY61">
        <v>13.91</v>
      </c>
      <c r="BZ61">
        <v>11.01</v>
      </c>
      <c r="CA61">
        <v>0.06</v>
      </c>
      <c r="CB61">
        <v>0.09</v>
      </c>
      <c r="CC61">
        <v>0.05</v>
      </c>
      <c r="CD61">
        <v>0.16</v>
      </c>
      <c r="CE61">
        <v>0.03</v>
      </c>
      <c r="CF61">
        <v>0.01</v>
      </c>
      <c r="CG61">
        <v>11.17</v>
      </c>
      <c r="CH61">
        <v>-0.49</v>
      </c>
      <c r="CI61">
        <v>0.06</v>
      </c>
      <c r="CJ61">
        <v>43886</v>
      </c>
      <c r="CK61">
        <v>8700</v>
      </c>
      <c r="CL61" t="s">
        <v>563</v>
      </c>
      <c r="CM61">
        <v>-98.74</v>
      </c>
      <c r="CN61">
        <v>-16.88</v>
      </c>
      <c r="CO61">
        <v>1.74</v>
      </c>
      <c r="CP61">
        <v>-86.28</v>
      </c>
      <c r="CQ61">
        <v>3.03</v>
      </c>
      <c r="CR61">
        <v>0</v>
      </c>
      <c r="CS61" t="s">
        <v>350</v>
      </c>
      <c r="CT61">
        <v>2.75</v>
      </c>
      <c r="CU61">
        <v>0</v>
      </c>
      <c r="CV61">
        <v>0.37</v>
      </c>
      <c r="CW61">
        <v>1.27</v>
      </c>
      <c r="CX61">
        <v>-0.06</v>
      </c>
      <c r="CY61">
        <v>29.8</v>
      </c>
      <c r="CZ61" t="s">
        <v>564</v>
      </c>
      <c r="DA61">
        <v>20.86</v>
      </c>
      <c r="DB61">
        <v>0.47</v>
      </c>
      <c r="DC61">
        <v>0.19</v>
      </c>
      <c r="DD61">
        <v>0</v>
      </c>
      <c r="DE61">
        <v>13668</v>
      </c>
      <c r="DF61">
        <v>150</v>
      </c>
      <c r="DG61" t="s">
        <v>116</v>
      </c>
      <c r="DH61" t="s">
        <v>116</v>
      </c>
      <c r="DI61" t="s">
        <v>116</v>
      </c>
    </row>
    <row r="62" spans="1:113" x14ac:dyDescent="0.4">
      <c r="A62" t="str">
        <f>"000151"</f>
        <v>000151</v>
      </c>
      <c r="B62" t="s">
        <v>565</v>
      </c>
      <c r="C62">
        <v>-1.63</v>
      </c>
      <c r="D62">
        <v>10.26</v>
      </c>
      <c r="E62">
        <v>-0.17</v>
      </c>
      <c r="F62">
        <v>10.25</v>
      </c>
      <c r="G62">
        <v>10.26</v>
      </c>
      <c r="H62">
        <v>54822</v>
      </c>
      <c r="I62">
        <v>1341</v>
      </c>
      <c r="J62">
        <v>-0.18</v>
      </c>
      <c r="K62">
        <v>2.06</v>
      </c>
      <c r="L62">
        <v>10.32</v>
      </c>
      <c r="M62">
        <v>10.5</v>
      </c>
      <c r="N62">
        <v>10.26</v>
      </c>
      <c r="O62">
        <v>10.43</v>
      </c>
      <c r="P62">
        <v>934.92</v>
      </c>
      <c r="Q62">
        <v>56675940</v>
      </c>
      <c r="R62">
        <v>0.79</v>
      </c>
      <c r="S62" t="s">
        <v>566</v>
      </c>
      <c r="T62" t="s">
        <v>165</v>
      </c>
      <c r="U62">
        <v>2.2999999999999998</v>
      </c>
      <c r="V62">
        <v>10.34</v>
      </c>
      <c r="W62">
        <v>34768</v>
      </c>
      <c r="X62">
        <v>20054</v>
      </c>
      <c r="Y62">
        <v>1.73</v>
      </c>
      <c r="Z62">
        <v>260</v>
      </c>
      <c r="AA62">
        <v>6</v>
      </c>
      <c r="AB62" t="s">
        <v>116</v>
      </c>
      <c r="AC62">
        <v>1328200</v>
      </c>
      <c r="AD62">
        <v>0.08</v>
      </c>
      <c r="AE62" t="s">
        <v>116</v>
      </c>
      <c r="AF62" t="s">
        <v>116</v>
      </c>
      <c r="AG62">
        <v>2.67</v>
      </c>
      <c r="AH62" t="s">
        <v>567</v>
      </c>
      <c r="AI62" t="s">
        <v>568</v>
      </c>
      <c r="AJ62">
        <v>-0.95</v>
      </c>
      <c r="AK62">
        <v>1179</v>
      </c>
      <c r="AL62">
        <v>46</v>
      </c>
      <c r="AM62">
        <v>1.6999999999999999E-3</v>
      </c>
      <c r="AN62">
        <v>-1</v>
      </c>
      <c r="AO62">
        <v>-1.1599999999999999</v>
      </c>
      <c r="AP62">
        <v>2.81</v>
      </c>
      <c r="AQ62">
        <v>4.6900000000000004</v>
      </c>
      <c r="AR62">
        <v>2.19</v>
      </c>
      <c r="AS62">
        <v>3.42</v>
      </c>
      <c r="AT62" t="s">
        <v>569</v>
      </c>
      <c r="AU62">
        <v>152.94</v>
      </c>
      <c r="AV62">
        <v>36.4</v>
      </c>
      <c r="AW62">
        <v>0.69</v>
      </c>
      <c r="BA62">
        <v>-1.05</v>
      </c>
      <c r="BB62">
        <v>0.67</v>
      </c>
      <c r="BC62">
        <v>-1.63</v>
      </c>
      <c r="BD62">
        <v>-0.88</v>
      </c>
      <c r="BE62">
        <v>-0.57999999999999996</v>
      </c>
      <c r="BF62">
        <v>-2.29</v>
      </c>
      <c r="BG62">
        <v>0</v>
      </c>
      <c r="BH62">
        <v>-0.75</v>
      </c>
      <c r="BI62">
        <v>20191105</v>
      </c>
      <c r="BJ62">
        <v>20000906</v>
      </c>
      <c r="BK62">
        <v>2.96</v>
      </c>
      <c r="BL62" t="s">
        <v>116</v>
      </c>
      <c r="BM62" t="s">
        <v>116</v>
      </c>
      <c r="BN62">
        <v>22.01</v>
      </c>
      <c r="BO62">
        <v>9.4700000000000006</v>
      </c>
      <c r="BP62">
        <v>0</v>
      </c>
      <c r="BQ62">
        <v>56.95</v>
      </c>
      <c r="BR62">
        <v>17.88</v>
      </c>
      <c r="BS62">
        <v>0.55000000000000004</v>
      </c>
      <c r="BT62">
        <v>0.2</v>
      </c>
      <c r="BU62">
        <v>12.48</v>
      </c>
      <c r="BV62">
        <v>8.64</v>
      </c>
      <c r="BW62">
        <v>0.66</v>
      </c>
      <c r="BX62">
        <v>4.42</v>
      </c>
      <c r="BY62">
        <v>6.53</v>
      </c>
      <c r="BZ62">
        <v>5.64</v>
      </c>
      <c r="CA62">
        <v>0.03</v>
      </c>
      <c r="CB62">
        <v>0</v>
      </c>
      <c r="CC62">
        <v>0.04</v>
      </c>
      <c r="CD62">
        <v>0.02</v>
      </c>
      <c r="CE62">
        <v>0.02</v>
      </c>
      <c r="CF62">
        <v>-0.14000000000000001</v>
      </c>
      <c r="CG62">
        <v>0.59</v>
      </c>
      <c r="CH62">
        <v>-3.61</v>
      </c>
      <c r="CI62">
        <v>-2.86</v>
      </c>
      <c r="CJ62">
        <v>34834</v>
      </c>
      <c r="CK62">
        <v>4605</v>
      </c>
      <c r="CL62" t="s">
        <v>570</v>
      </c>
      <c r="CM62">
        <v>-96.31</v>
      </c>
      <c r="CN62">
        <v>-25.42</v>
      </c>
      <c r="CO62">
        <v>3.21</v>
      </c>
      <c r="CP62">
        <v>-8.41</v>
      </c>
      <c r="CQ62">
        <v>4.6500000000000004</v>
      </c>
      <c r="CR62">
        <v>1.95</v>
      </c>
      <c r="CS62" t="s">
        <v>571</v>
      </c>
      <c r="CT62">
        <v>3.2</v>
      </c>
      <c r="CU62">
        <v>0</v>
      </c>
      <c r="CV62">
        <v>1.49</v>
      </c>
      <c r="CW62">
        <v>0.2</v>
      </c>
      <c r="CX62">
        <v>-1.22</v>
      </c>
      <c r="CY62">
        <v>43.05</v>
      </c>
      <c r="CZ62" t="s">
        <v>572</v>
      </c>
      <c r="DA62">
        <v>13.7</v>
      </c>
      <c r="DB62">
        <v>0.51</v>
      </c>
      <c r="DC62">
        <v>0.37</v>
      </c>
      <c r="DD62">
        <v>0.01</v>
      </c>
      <c r="DE62">
        <v>384</v>
      </c>
      <c r="DF62">
        <v>151</v>
      </c>
      <c r="DG62" t="s">
        <v>116</v>
      </c>
      <c r="DH62" t="s">
        <v>116</v>
      </c>
      <c r="DI62" t="s">
        <v>116</v>
      </c>
    </row>
    <row r="63" spans="1:113" x14ac:dyDescent="0.4">
      <c r="A63" t="str">
        <f>"000153"</f>
        <v>000153</v>
      </c>
      <c r="B63" t="s">
        <v>573</v>
      </c>
      <c r="C63">
        <v>-0.47</v>
      </c>
      <c r="D63">
        <v>6.36</v>
      </c>
      <c r="E63">
        <v>-0.03</v>
      </c>
      <c r="F63">
        <v>6.36</v>
      </c>
      <c r="G63">
        <v>6.37</v>
      </c>
      <c r="H63">
        <v>35910</v>
      </c>
      <c r="I63">
        <v>510</v>
      </c>
      <c r="J63">
        <v>0</v>
      </c>
      <c r="K63">
        <v>1.1499999999999999</v>
      </c>
      <c r="L63">
        <v>6.39</v>
      </c>
      <c r="M63">
        <v>6.46</v>
      </c>
      <c r="N63">
        <v>6.36</v>
      </c>
      <c r="O63">
        <v>6.39</v>
      </c>
      <c r="P63">
        <v>19.809999999999999</v>
      </c>
      <c r="Q63">
        <v>23027746</v>
      </c>
      <c r="R63">
        <v>1.25</v>
      </c>
      <c r="S63" t="s">
        <v>574</v>
      </c>
      <c r="T63" t="s">
        <v>575</v>
      </c>
      <c r="U63">
        <v>1.56</v>
      </c>
      <c r="V63">
        <v>6.41</v>
      </c>
      <c r="W63">
        <v>20374</v>
      </c>
      <c r="X63">
        <v>15536</v>
      </c>
      <c r="Y63">
        <v>1.31</v>
      </c>
      <c r="Z63">
        <v>569</v>
      </c>
      <c r="AA63">
        <v>545</v>
      </c>
      <c r="AB63" t="s">
        <v>116</v>
      </c>
      <c r="AC63">
        <v>46000</v>
      </c>
      <c r="AD63">
        <v>0</v>
      </c>
      <c r="AE63" t="s">
        <v>116</v>
      </c>
      <c r="AF63" t="s">
        <v>116</v>
      </c>
      <c r="AG63">
        <v>3.12</v>
      </c>
      <c r="AH63" t="s">
        <v>576</v>
      </c>
      <c r="AI63" t="s">
        <v>577</v>
      </c>
      <c r="AJ63">
        <v>0.21</v>
      </c>
      <c r="AK63">
        <v>840</v>
      </c>
      <c r="AL63">
        <v>43</v>
      </c>
      <c r="AM63">
        <v>1.4E-3</v>
      </c>
      <c r="AN63">
        <v>-1</v>
      </c>
      <c r="AO63">
        <v>-0.63</v>
      </c>
      <c r="AP63">
        <v>3.58</v>
      </c>
      <c r="AQ63">
        <v>3.75</v>
      </c>
      <c r="AR63">
        <v>25.94</v>
      </c>
      <c r="AS63">
        <v>1.61</v>
      </c>
      <c r="AT63" t="s">
        <v>578</v>
      </c>
      <c r="AU63">
        <v>24.93</v>
      </c>
      <c r="AV63">
        <v>32.58</v>
      </c>
      <c r="AW63">
        <v>1.01</v>
      </c>
      <c r="BA63">
        <v>0</v>
      </c>
      <c r="BB63">
        <v>1.1000000000000001</v>
      </c>
      <c r="BC63">
        <v>-0.47</v>
      </c>
      <c r="BD63">
        <v>0.35</v>
      </c>
      <c r="BE63">
        <v>-0.47</v>
      </c>
      <c r="BF63">
        <v>-1.55</v>
      </c>
      <c r="BG63">
        <v>0</v>
      </c>
      <c r="BH63">
        <v>-0.82</v>
      </c>
      <c r="BI63">
        <v>20191030</v>
      </c>
      <c r="BJ63">
        <v>20000920</v>
      </c>
      <c r="BK63">
        <v>3.12</v>
      </c>
      <c r="BL63" t="s">
        <v>116</v>
      </c>
      <c r="BM63" t="s">
        <v>116</v>
      </c>
      <c r="BN63">
        <v>33.32</v>
      </c>
      <c r="BO63">
        <v>13.19</v>
      </c>
      <c r="BP63">
        <v>0.03</v>
      </c>
      <c r="BQ63">
        <v>60.35</v>
      </c>
      <c r="BR63">
        <v>19.25</v>
      </c>
      <c r="BS63">
        <v>7.27</v>
      </c>
      <c r="BT63">
        <v>1.37</v>
      </c>
      <c r="BU63">
        <v>19.18</v>
      </c>
      <c r="BV63">
        <v>4.8600000000000003</v>
      </c>
      <c r="BW63">
        <v>6.84</v>
      </c>
      <c r="BX63">
        <v>4.96</v>
      </c>
      <c r="BY63">
        <v>23.86</v>
      </c>
      <c r="BZ63">
        <v>15.09</v>
      </c>
      <c r="CA63">
        <v>1.06</v>
      </c>
      <c r="CB63">
        <v>0.08</v>
      </c>
      <c r="CC63">
        <v>1.08</v>
      </c>
      <c r="CD63">
        <v>0.75</v>
      </c>
      <c r="CE63">
        <v>0.75</v>
      </c>
      <c r="CF63">
        <v>0.41</v>
      </c>
      <c r="CG63">
        <v>4.1399999999999997</v>
      </c>
      <c r="CH63">
        <v>0.39</v>
      </c>
      <c r="CI63">
        <v>-0.02</v>
      </c>
      <c r="CJ63">
        <v>30646</v>
      </c>
      <c r="CK63">
        <v>7276</v>
      </c>
      <c r="CL63" t="s">
        <v>579</v>
      </c>
      <c r="CM63">
        <v>33.15</v>
      </c>
      <c r="CN63">
        <v>6.92</v>
      </c>
      <c r="CO63">
        <v>1.51</v>
      </c>
      <c r="CP63">
        <v>50.35</v>
      </c>
      <c r="CQ63">
        <v>0.83</v>
      </c>
      <c r="CR63">
        <v>1.57</v>
      </c>
      <c r="CS63" t="s">
        <v>580</v>
      </c>
      <c r="CT63">
        <v>4.22</v>
      </c>
      <c r="CU63">
        <v>0</v>
      </c>
      <c r="CV63">
        <v>1.59</v>
      </c>
      <c r="CW63">
        <v>1.33</v>
      </c>
      <c r="CX63">
        <v>0.13</v>
      </c>
      <c r="CY63">
        <v>39.57</v>
      </c>
      <c r="CZ63" t="s">
        <v>201</v>
      </c>
      <c r="DA63">
        <v>36.75</v>
      </c>
      <c r="DB63">
        <v>4.4400000000000004</v>
      </c>
      <c r="DC63">
        <v>3.15</v>
      </c>
      <c r="DD63">
        <v>0.4</v>
      </c>
      <c r="DE63">
        <v>4758</v>
      </c>
      <c r="DF63">
        <v>153</v>
      </c>
      <c r="DG63" t="s">
        <v>116</v>
      </c>
      <c r="DH63" t="s">
        <v>116</v>
      </c>
      <c r="DI63" t="s">
        <v>116</v>
      </c>
    </row>
    <row r="64" spans="1:113" x14ac:dyDescent="0.4">
      <c r="A64" t="str">
        <f>"000155"</f>
        <v>000155</v>
      </c>
      <c r="B64" t="s">
        <v>581</v>
      </c>
      <c r="C64">
        <v>-1.4</v>
      </c>
      <c r="D64">
        <v>4.2300000000000004</v>
      </c>
      <c r="E64">
        <v>-0.06</v>
      </c>
      <c r="F64">
        <v>4.21</v>
      </c>
      <c r="G64">
        <v>4.2300000000000004</v>
      </c>
      <c r="H64">
        <v>171097</v>
      </c>
      <c r="I64">
        <v>5072</v>
      </c>
      <c r="J64">
        <v>0.48</v>
      </c>
      <c r="K64">
        <v>1.35</v>
      </c>
      <c r="L64">
        <v>4.29</v>
      </c>
      <c r="M64">
        <v>4.32</v>
      </c>
      <c r="N64">
        <v>4.1900000000000004</v>
      </c>
      <c r="O64">
        <v>4.29</v>
      </c>
      <c r="P64">
        <v>18.02</v>
      </c>
      <c r="Q64">
        <v>72956248</v>
      </c>
      <c r="R64">
        <v>0.51</v>
      </c>
      <c r="S64" t="s">
        <v>361</v>
      </c>
      <c r="T64" t="s">
        <v>582</v>
      </c>
      <c r="U64">
        <v>3.03</v>
      </c>
      <c r="V64">
        <v>4.26</v>
      </c>
      <c r="W64">
        <v>106256</v>
      </c>
      <c r="X64">
        <v>64841</v>
      </c>
      <c r="Y64">
        <v>1.64</v>
      </c>
      <c r="Z64">
        <v>83</v>
      </c>
      <c r="AA64">
        <v>2167</v>
      </c>
      <c r="AB64" t="s">
        <v>116</v>
      </c>
      <c r="AC64">
        <v>191300</v>
      </c>
      <c r="AD64">
        <v>0.01</v>
      </c>
      <c r="AE64" t="s">
        <v>116</v>
      </c>
      <c r="AF64" t="s">
        <v>116</v>
      </c>
      <c r="AG64">
        <v>12.7</v>
      </c>
      <c r="AH64" t="s">
        <v>583</v>
      </c>
      <c r="AI64" t="s">
        <v>583</v>
      </c>
      <c r="AJ64">
        <v>-0.72</v>
      </c>
      <c r="AK64">
        <v>1261</v>
      </c>
      <c r="AL64">
        <v>136</v>
      </c>
      <c r="AM64">
        <v>1.1000000000000001E-3</v>
      </c>
      <c r="AN64">
        <v>-1</v>
      </c>
      <c r="AO64">
        <v>-0.94</v>
      </c>
      <c r="AP64">
        <v>7.63</v>
      </c>
      <c r="AQ64">
        <v>5.75</v>
      </c>
      <c r="AR64">
        <v>17.5</v>
      </c>
      <c r="AS64">
        <v>2.38</v>
      </c>
      <c r="AT64" t="s">
        <v>584</v>
      </c>
      <c r="AU64">
        <v>9.9499999999999993</v>
      </c>
      <c r="AV64">
        <v>17.850000000000001</v>
      </c>
      <c r="AW64">
        <v>0.62</v>
      </c>
      <c r="BA64">
        <v>0</v>
      </c>
      <c r="BB64">
        <v>0.7</v>
      </c>
      <c r="BC64">
        <v>-2.33</v>
      </c>
      <c r="BD64">
        <v>-0.61</v>
      </c>
      <c r="BE64">
        <v>-1.4</v>
      </c>
      <c r="BF64">
        <v>-2.08</v>
      </c>
      <c r="BG64">
        <v>0.95</v>
      </c>
      <c r="BH64">
        <v>-0.79</v>
      </c>
      <c r="BI64">
        <v>20191225</v>
      </c>
      <c r="BJ64">
        <v>20000926</v>
      </c>
      <c r="BK64">
        <v>12.7</v>
      </c>
      <c r="BL64" t="s">
        <v>116</v>
      </c>
      <c r="BM64" t="s">
        <v>116</v>
      </c>
      <c r="BN64">
        <v>71.94</v>
      </c>
      <c r="BO64">
        <v>35.32</v>
      </c>
      <c r="BP64">
        <v>6.3</v>
      </c>
      <c r="BQ64">
        <v>42.14</v>
      </c>
      <c r="BR64">
        <v>35.380000000000003</v>
      </c>
      <c r="BS64">
        <v>29.44</v>
      </c>
      <c r="BT64">
        <v>0.72</v>
      </c>
      <c r="BU64">
        <v>9.2799999999999994</v>
      </c>
      <c r="BV64">
        <v>1.04</v>
      </c>
      <c r="BW64">
        <v>8.98</v>
      </c>
      <c r="BX64">
        <v>33.1</v>
      </c>
      <c r="BY64">
        <v>13.05</v>
      </c>
      <c r="BZ64">
        <v>8.89</v>
      </c>
      <c r="CA64">
        <v>3.31</v>
      </c>
      <c r="CB64">
        <v>0.25</v>
      </c>
      <c r="CC64">
        <v>3.32</v>
      </c>
      <c r="CD64">
        <v>3.18</v>
      </c>
      <c r="CE64">
        <v>2.2400000000000002</v>
      </c>
      <c r="CF64">
        <v>1.85</v>
      </c>
      <c r="CG64">
        <v>-12.48</v>
      </c>
      <c r="CH64">
        <v>2.78</v>
      </c>
      <c r="CI64">
        <v>-4.01</v>
      </c>
      <c r="CJ64">
        <v>34923</v>
      </c>
      <c r="CK64">
        <v>20570</v>
      </c>
      <c r="CL64" t="s">
        <v>585</v>
      </c>
      <c r="CM64">
        <v>1543.2</v>
      </c>
      <c r="CN64">
        <v>-55.01</v>
      </c>
      <c r="CO64">
        <v>1.52</v>
      </c>
      <c r="CP64">
        <v>19.34</v>
      </c>
      <c r="CQ64">
        <v>4.12</v>
      </c>
      <c r="CR64">
        <v>0</v>
      </c>
      <c r="CS64" t="s">
        <v>586</v>
      </c>
      <c r="CT64">
        <v>2.78</v>
      </c>
      <c r="CU64">
        <v>0</v>
      </c>
      <c r="CV64">
        <v>2.61</v>
      </c>
      <c r="CW64">
        <v>-0.98</v>
      </c>
      <c r="CX64">
        <v>0.22</v>
      </c>
      <c r="CY64">
        <v>49.1</v>
      </c>
      <c r="CZ64" t="s">
        <v>587</v>
      </c>
      <c r="DA64">
        <v>31.88</v>
      </c>
      <c r="DB64">
        <v>25.36</v>
      </c>
      <c r="DC64">
        <v>17.13</v>
      </c>
      <c r="DD64">
        <v>0</v>
      </c>
      <c r="DE64">
        <v>212</v>
      </c>
      <c r="DF64">
        <v>155</v>
      </c>
      <c r="DG64" t="s">
        <v>116</v>
      </c>
      <c r="DH64" t="s">
        <v>116</v>
      </c>
      <c r="DI64" t="s">
        <v>116</v>
      </c>
    </row>
    <row r="65" spans="1:113" x14ac:dyDescent="0.4">
      <c r="A65" t="str">
        <f>"000156"</f>
        <v>000156</v>
      </c>
      <c r="B65" t="s">
        <v>588</v>
      </c>
      <c r="C65">
        <v>-3.1</v>
      </c>
      <c r="D65">
        <v>10.01</v>
      </c>
      <c r="E65">
        <v>-0.32</v>
      </c>
      <c r="F65">
        <v>10.01</v>
      </c>
      <c r="G65">
        <v>10.02</v>
      </c>
      <c r="H65">
        <v>162177</v>
      </c>
      <c r="I65">
        <v>1951</v>
      </c>
      <c r="J65">
        <v>-0.09</v>
      </c>
      <c r="K65">
        <v>1.27</v>
      </c>
      <c r="L65">
        <v>10.25</v>
      </c>
      <c r="M65">
        <v>10.34</v>
      </c>
      <c r="N65">
        <v>9.99</v>
      </c>
      <c r="O65">
        <v>10.33</v>
      </c>
      <c r="P65">
        <v>21.26</v>
      </c>
      <c r="Q65">
        <v>164544784</v>
      </c>
      <c r="R65">
        <v>0.73</v>
      </c>
      <c r="S65" t="s">
        <v>589</v>
      </c>
      <c r="T65" t="s">
        <v>590</v>
      </c>
      <c r="U65">
        <v>3.39</v>
      </c>
      <c r="V65">
        <v>10.15</v>
      </c>
      <c r="W65">
        <v>92524</v>
      </c>
      <c r="X65">
        <v>69653</v>
      </c>
      <c r="Y65">
        <v>1.33</v>
      </c>
      <c r="Z65">
        <v>157</v>
      </c>
      <c r="AA65">
        <v>7</v>
      </c>
      <c r="AB65" t="s">
        <v>116</v>
      </c>
      <c r="AC65">
        <v>997300</v>
      </c>
      <c r="AD65">
        <v>0.02</v>
      </c>
      <c r="AE65" t="s">
        <v>116</v>
      </c>
      <c r="AF65" t="s">
        <v>116</v>
      </c>
      <c r="AG65">
        <v>12.8</v>
      </c>
      <c r="AH65" t="s">
        <v>591</v>
      </c>
      <c r="AI65" t="s">
        <v>592</v>
      </c>
      <c r="AJ65">
        <v>-2.42</v>
      </c>
      <c r="AK65">
        <v>2954</v>
      </c>
      <c r="AL65">
        <v>55</v>
      </c>
      <c r="AM65">
        <v>4.0000000000000002E-4</v>
      </c>
      <c r="AN65">
        <v>-1</v>
      </c>
      <c r="AO65">
        <v>0.5</v>
      </c>
      <c r="AP65">
        <v>19.309999999999999</v>
      </c>
      <c r="AQ65">
        <v>5.81</v>
      </c>
      <c r="AR65">
        <v>29.83</v>
      </c>
      <c r="AS65">
        <v>2.97</v>
      </c>
      <c r="AT65" t="s">
        <v>593</v>
      </c>
      <c r="AU65">
        <v>21.49</v>
      </c>
      <c r="AV65">
        <v>22.27</v>
      </c>
      <c r="AW65">
        <v>1.23</v>
      </c>
      <c r="BA65">
        <v>-0.77</v>
      </c>
      <c r="BB65">
        <v>0.1</v>
      </c>
      <c r="BC65">
        <v>-3.29</v>
      </c>
      <c r="BD65">
        <v>-1.78</v>
      </c>
      <c r="BE65">
        <v>-2.34</v>
      </c>
      <c r="BF65">
        <v>-3.19</v>
      </c>
      <c r="BG65">
        <v>0.2</v>
      </c>
      <c r="BH65">
        <v>-1.32</v>
      </c>
      <c r="BI65">
        <v>20191218</v>
      </c>
      <c r="BJ65">
        <v>20000906</v>
      </c>
      <c r="BK65">
        <v>14.33</v>
      </c>
      <c r="BL65" t="s">
        <v>116</v>
      </c>
      <c r="BM65" t="s">
        <v>116</v>
      </c>
      <c r="BN65">
        <v>152.57</v>
      </c>
      <c r="BO65">
        <v>108.69</v>
      </c>
      <c r="BP65">
        <v>0</v>
      </c>
      <c r="BQ65">
        <v>28.76</v>
      </c>
      <c r="BR65">
        <v>92.89</v>
      </c>
      <c r="BS65">
        <v>29.48</v>
      </c>
      <c r="BT65">
        <v>3.44</v>
      </c>
      <c r="BU65">
        <v>29.42</v>
      </c>
      <c r="BV65">
        <v>0.73</v>
      </c>
      <c r="BW65">
        <v>9.39</v>
      </c>
      <c r="BX65">
        <v>62.33</v>
      </c>
      <c r="BY65">
        <v>25.09</v>
      </c>
      <c r="BZ65">
        <v>15.58</v>
      </c>
      <c r="CA65">
        <v>5.32</v>
      </c>
      <c r="CB65">
        <v>0.36</v>
      </c>
      <c r="CC65">
        <v>5.33</v>
      </c>
      <c r="CD65">
        <v>5.0599999999999996</v>
      </c>
      <c r="CE65">
        <v>5.0599999999999996</v>
      </c>
      <c r="CF65">
        <v>4.04</v>
      </c>
      <c r="CG65">
        <v>28.64</v>
      </c>
      <c r="CH65">
        <v>7.53</v>
      </c>
      <c r="CI65">
        <v>-4.45</v>
      </c>
      <c r="CJ65">
        <v>38974</v>
      </c>
      <c r="CK65">
        <v>14032</v>
      </c>
      <c r="CL65" t="s">
        <v>594</v>
      </c>
      <c r="CM65">
        <v>4.84</v>
      </c>
      <c r="CN65">
        <v>4.58</v>
      </c>
      <c r="CO65">
        <v>1.32</v>
      </c>
      <c r="CP65">
        <v>19.05</v>
      </c>
      <c r="CQ65">
        <v>5.72</v>
      </c>
      <c r="CR65">
        <v>2.2000000000000002</v>
      </c>
      <c r="CS65" t="s">
        <v>595</v>
      </c>
      <c r="CT65">
        <v>7.58</v>
      </c>
      <c r="CU65">
        <v>0</v>
      </c>
      <c r="CV65">
        <v>4.3499999999999996</v>
      </c>
      <c r="CW65">
        <v>2</v>
      </c>
      <c r="CX65">
        <v>0.53</v>
      </c>
      <c r="CY65">
        <v>71.239999999999995</v>
      </c>
      <c r="CZ65" t="s">
        <v>596</v>
      </c>
      <c r="DA65">
        <v>37.92</v>
      </c>
      <c r="DB65">
        <v>21.19</v>
      </c>
      <c r="DC65">
        <v>20.170000000000002</v>
      </c>
      <c r="DD65">
        <v>0.77</v>
      </c>
      <c r="DE65">
        <v>4919</v>
      </c>
      <c r="DF65">
        <v>156</v>
      </c>
      <c r="DG65" t="s">
        <v>116</v>
      </c>
      <c r="DH65" t="s">
        <v>116</v>
      </c>
      <c r="DI65" t="s">
        <v>116</v>
      </c>
    </row>
    <row r="66" spans="1:113" x14ac:dyDescent="0.4">
      <c r="A66" t="str">
        <f>"000157"</f>
        <v>000157</v>
      </c>
      <c r="B66" t="s">
        <v>597</v>
      </c>
      <c r="C66">
        <v>0.31</v>
      </c>
      <c r="D66">
        <v>6.54</v>
      </c>
      <c r="E66">
        <v>0.02</v>
      </c>
      <c r="F66">
        <v>6.53</v>
      </c>
      <c r="G66">
        <v>6.54</v>
      </c>
      <c r="H66">
        <v>378225</v>
      </c>
      <c r="I66">
        <v>4508</v>
      </c>
      <c r="J66">
        <v>0.15</v>
      </c>
      <c r="K66">
        <v>0.6</v>
      </c>
      <c r="L66">
        <v>6.52</v>
      </c>
      <c r="M66">
        <v>6.58</v>
      </c>
      <c r="N66">
        <v>6.51</v>
      </c>
      <c r="O66">
        <v>6.52</v>
      </c>
      <c r="P66">
        <v>11.09</v>
      </c>
      <c r="Q66">
        <v>247468768</v>
      </c>
      <c r="R66">
        <v>1.05</v>
      </c>
      <c r="S66" t="s">
        <v>598</v>
      </c>
      <c r="T66" t="s">
        <v>599</v>
      </c>
      <c r="U66">
        <v>1.07</v>
      </c>
      <c r="V66">
        <v>6.54</v>
      </c>
      <c r="W66">
        <v>163761</v>
      </c>
      <c r="X66">
        <v>214464</v>
      </c>
      <c r="Y66">
        <v>0.76</v>
      </c>
      <c r="Z66">
        <v>194</v>
      </c>
      <c r="AA66">
        <v>1488</v>
      </c>
      <c r="AB66" t="s">
        <v>116</v>
      </c>
      <c r="AC66">
        <v>1070600</v>
      </c>
      <c r="AD66">
        <v>0</v>
      </c>
      <c r="AE66" t="s">
        <v>116</v>
      </c>
      <c r="AF66" t="s">
        <v>116</v>
      </c>
      <c r="AG66">
        <v>63.51</v>
      </c>
      <c r="AH66" t="s">
        <v>600</v>
      </c>
      <c r="AI66" t="s">
        <v>601</v>
      </c>
      <c r="AJ66">
        <v>0.99</v>
      </c>
      <c r="AK66">
        <v>4126</v>
      </c>
      <c r="AL66">
        <v>92</v>
      </c>
      <c r="AM66">
        <v>1E-4</v>
      </c>
      <c r="AN66">
        <v>1</v>
      </c>
      <c r="AO66">
        <v>1.72</v>
      </c>
      <c r="AP66">
        <v>9.92</v>
      </c>
      <c r="AQ66">
        <v>14.94</v>
      </c>
      <c r="AR66">
        <v>97.58</v>
      </c>
      <c r="AS66">
        <v>0.83</v>
      </c>
      <c r="AT66" t="s">
        <v>602</v>
      </c>
      <c r="AU66">
        <v>12.26</v>
      </c>
      <c r="AV66">
        <v>25.48</v>
      </c>
      <c r="AW66">
        <v>0.56000000000000005</v>
      </c>
      <c r="BA66">
        <v>0</v>
      </c>
      <c r="BB66">
        <v>0.92</v>
      </c>
      <c r="BC66">
        <v>-0.15</v>
      </c>
      <c r="BD66">
        <v>0.35</v>
      </c>
      <c r="BE66">
        <v>0.31</v>
      </c>
      <c r="BF66">
        <v>-0.61</v>
      </c>
      <c r="BG66">
        <v>0.46</v>
      </c>
      <c r="BH66">
        <v>-0.04</v>
      </c>
      <c r="BI66">
        <v>20191115</v>
      </c>
      <c r="BJ66">
        <v>20001012</v>
      </c>
      <c r="BK66">
        <v>78.69</v>
      </c>
      <c r="BL66" t="s">
        <v>116</v>
      </c>
      <c r="BM66">
        <v>13.88</v>
      </c>
      <c r="BN66">
        <v>1034.6300000000001</v>
      </c>
      <c r="BO66">
        <v>378.46</v>
      </c>
      <c r="BP66">
        <v>5.47</v>
      </c>
      <c r="BQ66">
        <v>62.89</v>
      </c>
      <c r="BR66">
        <v>780.13</v>
      </c>
      <c r="BS66">
        <v>56.28</v>
      </c>
      <c r="BT66">
        <v>42.31</v>
      </c>
      <c r="BU66">
        <v>506.42</v>
      </c>
      <c r="BV66">
        <v>115.29</v>
      </c>
      <c r="BW66">
        <v>259.39</v>
      </c>
      <c r="BX66">
        <v>135.77000000000001</v>
      </c>
      <c r="BY66">
        <v>317.55</v>
      </c>
      <c r="BZ66">
        <v>222.86</v>
      </c>
      <c r="CA66">
        <v>42.02</v>
      </c>
      <c r="CB66">
        <v>4.97</v>
      </c>
      <c r="CC66">
        <v>42.45</v>
      </c>
      <c r="CD66">
        <v>34.6</v>
      </c>
      <c r="CE66">
        <v>34.799999999999997</v>
      </c>
      <c r="CF66">
        <v>27.66</v>
      </c>
      <c r="CG66">
        <v>167.15</v>
      </c>
      <c r="CH66">
        <v>49.62</v>
      </c>
      <c r="CI66">
        <v>-7.64</v>
      </c>
      <c r="CJ66">
        <v>286339</v>
      </c>
      <c r="CK66">
        <v>15905</v>
      </c>
      <c r="CL66" t="s">
        <v>603</v>
      </c>
      <c r="CM66">
        <v>167.08</v>
      </c>
      <c r="CN66">
        <v>50.96</v>
      </c>
      <c r="CO66">
        <v>1.36</v>
      </c>
      <c r="CP66">
        <v>10.37</v>
      </c>
      <c r="CQ66">
        <v>1.62</v>
      </c>
      <c r="CR66">
        <v>3.62</v>
      </c>
      <c r="CS66" t="s">
        <v>604</v>
      </c>
      <c r="CT66">
        <v>4.82</v>
      </c>
      <c r="CU66">
        <v>4.82</v>
      </c>
      <c r="CV66">
        <v>1.73</v>
      </c>
      <c r="CW66">
        <v>2.12</v>
      </c>
      <c r="CX66">
        <v>0.63</v>
      </c>
      <c r="CY66">
        <v>36.58</v>
      </c>
      <c r="CZ66" t="s">
        <v>605</v>
      </c>
      <c r="DA66">
        <v>29.82</v>
      </c>
      <c r="DB66">
        <v>13.23</v>
      </c>
      <c r="DC66">
        <v>10.96</v>
      </c>
      <c r="DD66">
        <v>7.31</v>
      </c>
      <c r="DE66">
        <v>15121</v>
      </c>
      <c r="DF66">
        <v>157</v>
      </c>
      <c r="DG66" t="s">
        <v>116</v>
      </c>
      <c r="DH66" t="s">
        <v>116</v>
      </c>
      <c r="DI66" t="s">
        <v>116</v>
      </c>
    </row>
    <row r="67" spans="1:113" x14ac:dyDescent="0.4">
      <c r="A67" t="str">
        <f>"000158"</f>
        <v>000158</v>
      </c>
      <c r="B67" t="s">
        <v>606</v>
      </c>
      <c r="C67">
        <v>1.85</v>
      </c>
      <c r="D67">
        <v>6.62</v>
      </c>
      <c r="E67">
        <v>0.12</v>
      </c>
      <c r="F67">
        <v>6.61</v>
      </c>
      <c r="G67">
        <v>6.62</v>
      </c>
      <c r="H67">
        <v>787359</v>
      </c>
      <c r="I67">
        <v>10253</v>
      </c>
      <c r="J67">
        <v>-0.28999999999999998</v>
      </c>
      <c r="K67">
        <v>5.0199999999999996</v>
      </c>
      <c r="L67">
        <v>6.5</v>
      </c>
      <c r="M67">
        <v>6.83</v>
      </c>
      <c r="N67">
        <v>6.43</v>
      </c>
      <c r="O67">
        <v>6.5</v>
      </c>
      <c r="P67">
        <v>192.1</v>
      </c>
      <c r="Q67">
        <v>522727936</v>
      </c>
      <c r="R67">
        <v>1.66</v>
      </c>
      <c r="S67" t="s">
        <v>607</v>
      </c>
      <c r="T67" t="s">
        <v>608</v>
      </c>
      <c r="U67">
        <v>6.15</v>
      </c>
      <c r="V67">
        <v>6.64</v>
      </c>
      <c r="W67">
        <v>377457</v>
      </c>
      <c r="X67">
        <v>409902</v>
      </c>
      <c r="Y67">
        <v>0.92</v>
      </c>
      <c r="Z67">
        <v>2157</v>
      </c>
      <c r="AA67">
        <v>125</v>
      </c>
      <c r="AB67" t="s">
        <v>116</v>
      </c>
      <c r="AC67">
        <v>1591200</v>
      </c>
      <c r="AD67">
        <v>0.03</v>
      </c>
      <c r="AE67" t="s">
        <v>116</v>
      </c>
      <c r="AF67" t="s">
        <v>116</v>
      </c>
      <c r="AG67">
        <v>15.7</v>
      </c>
      <c r="AH67" t="s">
        <v>609</v>
      </c>
      <c r="AI67" t="s">
        <v>610</v>
      </c>
      <c r="AJ67">
        <v>2.5299999999999998</v>
      </c>
      <c r="AK67">
        <v>3937</v>
      </c>
      <c r="AL67">
        <v>200</v>
      </c>
      <c r="AM67">
        <v>1.2999999999999999E-3</v>
      </c>
      <c r="AN67">
        <v>1</v>
      </c>
      <c r="AO67">
        <v>4.43</v>
      </c>
      <c r="AP67">
        <v>14.53</v>
      </c>
      <c r="AQ67">
        <v>21.92</v>
      </c>
      <c r="AR67">
        <v>26.82</v>
      </c>
      <c r="AS67">
        <v>10.14</v>
      </c>
      <c r="AT67" t="s">
        <v>611</v>
      </c>
      <c r="AU67">
        <v>56.42</v>
      </c>
      <c r="AV67">
        <v>56.91</v>
      </c>
      <c r="AW67">
        <v>2.39</v>
      </c>
      <c r="BA67">
        <v>0</v>
      </c>
      <c r="BB67">
        <v>5.08</v>
      </c>
      <c r="BC67">
        <v>-1.08</v>
      </c>
      <c r="BD67">
        <v>2.14</v>
      </c>
      <c r="BE67">
        <v>1.85</v>
      </c>
      <c r="BF67">
        <v>-3.07</v>
      </c>
      <c r="BG67">
        <v>2.95</v>
      </c>
      <c r="BH67">
        <v>-0.28999999999999998</v>
      </c>
      <c r="BI67">
        <v>20191226</v>
      </c>
      <c r="BJ67">
        <v>20000724</v>
      </c>
      <c r="BK67">
        <v>15.99</v>
      </c>
      <c r="BL67" t="s">
        <v>116</v>
      </c>
      <c r="BM67" t="s">
        <v>116</v>
      </c>
      <c r="BN67">
        <v>134.19999999999999</v>
      </c>
      <c r="BO67">
        <v>59.13</v>
      </c>
      <c r="BP67">
        <v>7.0000000000000007E-2</v>
      </c>
      <c r="BQ67">
        <v>55.89</v>
      </c>
      <c r="BR67">
        <v>75.5</v>
      </c>
      <c r="BS67">
        <v>21.39</v>
      </c>
      <c r="BT67">
        <v>4.12</v>
      </c>
      <c r="BU67">
        <v>61.79</v>
      </c>
      <c r="BV67">
        <v>23</v>
      </c>
      <c r="BW67">
        <v>23.46</v>
      </c>
      <c r="BX67">
        <v>28.97</v>
      </c>
      <c r="BY67">
        <v>64.89</v>
      </c>
      <c r="BZ67">
        <v>59.06</v>
      </c>
      <c r="CA67">
        <v>0.52</v>
      </c>
      <c r="CB67">
        <v>-0.01</v>
      </c>
      <c r="CC67">
        <v>0.52</v>
      </c>
      <c r="CD67">
        <v>0.35</v>
      </c>
      <c r="CE67">
        <v>0.41</v>
      </c>
      <c r="CF67">
        <v>-1.37</v>
      </c>
      <c r="CG67">
        <v>13.56</v>
      </c>
      <c r="CH67">
        <v>-6.7</v>
      </c>
      <c r="CI67">
        <v>-9.84</v>
      </c>
      <c r="CJ67">
        <v>67104</v>
      </c>
      <c r="CK67">
        <v>11569</v>
      </c>
      <c r="CL67" t="s">
        <v>612</v>
      </c>
      <c r="CM67">
        <v>4.0199999999999996</v>
      </c>
      <c r="CN67">
        <v>16.88</v>
      </c>
      <c r="CO67">
        <v>1.79</v>
      </c>
      <c r="CP67">
        <v>-15.79</v>
      </c>
      <c r="CQ67">
        <v>1.63</v>
      </c>
      <c r="CR67">
        <v>0</v>
      </c>
      <c r="CS67" t="s">
        <v>613</v>
      </c>
      <c r="CT67">
        <v>3.7</v>
      </c>
      <c r="CU67">
        <v>0</v>
      </c>
      <c r="CV67">
        <v>1.81</v>
      </c>
      <c r="CW67">
        <v>0.85</v>
      </c>
      <c r="CX67">
        <v>-0.42</v>
      </c>
      <c r="CY67">
        <v>44.06</v>
      </c>
      <c r="CZ67" t="s">
        <v>614</v>
      </c>
      <c r="DA67">
        <v>9</v>
      </c>
      <c r="DB67">
        <v>0.8</v>
      </c>
      <c r="DC67">
        <v>0.64</v>
      </c>
      <c r="DD67">
        <v>0.74</v>
      </c>
      <c r="DE67">
        <v>5092</v>
      </c>
      <c r="DF67">
        <v>158</v>
      </c>
      <c r="DG67" t="s">
        <v>116</v>
      </c>
      <c r="DH67" t="s">
        <v>116</v>
      </c>
      <c r="DI67" t="s">
        <v>116</v>
      </c>
    </row>
    <row r="68" spans="1:113" x14ac:dyDescent="0.4">
      <c r="A68" t="str">
        <f>"000159"</f>
        <v>000159</v>
      </c>
      <c r="B68" t="s">
        <v>615</v>
      </c>
      <c r="C68">
        <v>-0.86</v>
      </c>
      <c r="D68">
        <v>5.76</v>
      </c>
      <c r="E68">
        <v>-0.05</v>
      </c>
      <c r="F68">
        <v>5.75</v>
      </c>
      <c r="G68">
        <v>5.76</v>
      </c>
      <c r="H68">
        <v>121242</v>
      </c>
      <c r="I68">
        <v>3000</v>
      </c>
      <c r="J68">
        <v>-0.16</v>
      </c>
      <c r="K68">
        <v>2.52</v>
      </c>
      <c r="L68">
        <v>5.8</v>
      </c>
      <c r="M68">
        <v>5.92</v>
      </c>
      <c r="N68">
        <v>5.76</v>
      </c>
      <c r="O68">
        <v>5.81</v>
      </c>
      <c r="P68" t="s">
        <v>116</v>
      </c>
      <c r="Q68">
        <v>70762384</v>
      </c>
      <c r="R68">
        <v>1.23</v>
      </c>
      <c r="S68" t="s">
        <v>536</v>
      </c>
      <c r="T68" t="s">
        <v>616</v>
      </c>
      <c r="U68">
        <v>2.75</v>
      </c>
      <c r="V68">
        <v>5.84</v>
      </c>
      <c r="W68">
        <v>61003</v>
      </c>
      <c r="X68">
        <v>60239</v>
      </c>
      <c r="Y68">
        <v>1.01</v>
      </c>
      <c r="Z68">
        <v>822</v>
      </c>
      <c r="AA68">
        <v>925</v>
      </c>
      <c r="AB68" t="s">
        <v>116</v>
      </c>
      <c r="AC68">
        <v>146200</v>
      </c>
      <c r="AD68">
        <v>0.01</v>
      </c>
      <c r="AE68" t="s">
        <v>116</v>
      </c>
      <c r="AF68" t="s">
        <v>116</v>
      </c>
      <c r="AG68">
        <v>4.8099999999999996</v>
      </c>
      <c r="AH68" t="s">
        <v>617</v>
      </c>
      <c r="AI68" t="s">
        <v>617</v>
      </c>
      <c r="AJ68">
        <v>-0.18</v>
      </c>
      <c r="AK68">
        <v>1587</v>
      </c>
      <c r="AL68">
        <v>76</v>
      </c>
      <c r="AM68">
        <v>1.6000000000000001E-3</v>
      </c>
      <c r="AN68">
        <v>-1</v>
      </c>
      <c r="AO68">
        <v>-1.2</v>
      </c>
      <c r="AP68">
        <v>-1.37</v>
      </c>
      <c r="AQ68">
        <v>-12.33</v>
      </c>
      <c r="AR68">
        <v>37.47</v>
      </c>
      <c r="AS68">
        <v>3.49</v>
      </c>
      <c r="AT68" t="s">
        <v>618</v>
      </c>
      <c r="AU68">
        <v>126.93</v>
      </c>
      <c r="AV68">
        <v>46.21</v>
      </c>
      <c r="AW68">
        <v>1.24</v>
      </c>
      <c r="BA68">
        <v>-0.17</v>
      </c>
      <c r="BB68">
        <v>1.89</v>
      </c>
      <c r="BC68">
        <v>-0.86</v>
      </c>
      <c r="BD68">
        <v>0.46</v>
      </c>
      <c r="BE68">
        <v>-0.69</v>
      </c>
      <c r="BF68">
        <v>-2.7</v>
      </c>
      <c r="BG68">
        <v>0</v>
      </c>
      <c r="BH68">
        <v>-1.32</v>
      </c>
      <c r="BI68">
        <v>20191029</v>
      </c>
      <c r="BJ68">
        <v>20000926</v>
      </c>
      <c r="BK68">
        <v>4.8099999999999996</v>
      </c>
      <c r="BL68" t="s">
        <v>116</v>
      </c>
      <c r="BM68" t="s">
        <v>116</v>
      </c>
      <c r="BN68">
        <v>28.12</v>
      </c>
      <c r="BO68">
        <v>21.42</v>
      </c>
      <c r="BP68">
        <v>-0.12</v>
      </c>
      <c r="BQ68">
        <v>24.25</v>
      </c>
      <c r="BR68">
        <v>14.53</v>
      </c>
      <c r="BS68">
        <v>3.32</v>
      </c>
      <c r="BT68">
        <v>0.64</v>
      </c>
      <c r="BU68">
        <v>5.42</v>
      </c>
      <c r="BV68">
        <v>7.77</v>
      </c>
      <c r="BW68">
        <v>0.28000000000000003</v>
      </c>
      <c r="BX68">
        <v>3.73</v>
      </c>
      <c r="BY68">
        <v>3.27</v>
      </c>
      <c r="BZ68">
        <v>2.95</v>
      </c>
      <c r="CA68">
        <v>-0.16</v>
      </c>
      <c r="CB68">
        <v>0.41</v>
      </c>
      <c r="CC68">
        <v>-0.17</v>
      </c>
      <c r="CD68">
        <v>-0.14000000000000001</v>
      </c>
      <c r="CE68">
        <v>-0.11</v>
      </c>
      <c r="CF68">
        <v>-0.17</v>
      </c>
      <c r="CG68">
        <v>11.56</v>
      </c>
      <c r="CH68">
        <v>-1.57</v>
      </c>
      <c r="CI68">
        <v>-1.08</v>
      </c>
      <c r="CJ68">
        <v>84886</v>
      </c>
      <c r="CK68">
        <v>4096</v>
      </c>
      <c r="CL68" t="s">
        <v>619</v>
      </c>
      <c r="CM68">
        <v>-142.01</v>
      </c>
      <c r="CN68">
        <v>-31.93</v>
      </c>
      <c r="CO68">
        <v>1.29</v>
      </c>
      <c r="CP68">
        <v>-17.64</v>
      </c>
      <c r="CQ68">
        <v>8.4600000000000009</v>
      </c>
      <c r="CR68">
        <v>0.52</v>
      </c>
      <c r="CS68" t="s">
        <v>620</v>
      </c>
      <c r="CT68">
        <v>4.46</v>
      </c>
      <c r="CU68">
        <v>0</v>
      </c>
      <c r="CV68">
        <v>0.78</v>
      </c>
      <c r="CW68">
        <v>2.41</v>
      </c>
      <c r="CX68">
        <v>-0.33</v>
      </c>
      <c r="CY68">
        <v>76.16</v>
      </c>
      <c r="CZ68" t="s">
        <v>621</v>
      </c>
      <c r="DA68">
        <v>9.77</v>
      </c>
      <c r="DB68">
        <v>-4.97</v>
      </c>
      <c r="DC68">
        <v>-3.44</v>
      </c>
      <c r="DD68">
        <v>0.05</v>
      </c>
      <c r="DE68">
        <v>315</v>
      </c>
      <c r="DF68">
        <v>159</v>
      </c>
      <c r="DG68" t="s">
        <v>116</v>
      </c>
      <c r="DH68" t="s">
        <v>116</v>
      </c>
      <c r="DI68" t="s">
        <v>116</v>
      </c>
    </row>
    <row r="69" spans="1:113" x14ac:dyDescent="0.4">
      <c r="A69" t="str">
        <f>"000166"</f>
        <v>000166</v>
      </c>
      <c r="B69" t="s">
        <v>622</v>
      </c>
      <c r="C69">
        <v>-1.4</v>
      </c>
      <c r="D69">
        <v>4.9400000000000004</v>
      </c>
      <c r="E69">
        <v>-7.0000000000000007E-2</v>
      </c>
      <c r="F69">
        <v>4.93</v>
      </c>
      <c r="G69">
        <v>4.9400000000000004</v>
      </c>
      <c r="H69">
        <v>796787</v>
      </c>
      <c r="I69">
        <v>2138</v>
      </c>
      <c r="J69">
        <v>0</v>
      </c>
      <c r="K69">
        <v>0.35</v>
      </c>
      <c r="L69">
        <v>5</v>
      </c>
      <c r="M69">
        <v>5.07</v>
      </c>
      <c r="N69">
        <v>4.92</v>
      </c>
      <c r="O69">
        <v>5.01</v>
      </c>
      <c r="P69">
        <v>19.5</v>
      </c>
      <c r="Q69">
        <v>398294336</v>
      </c>
      <c r="R69">
        <v>1.29</v>
      </c>
      <c r="S69" t="s">
        <v>623</v>
      </c>
      <c r="T69" t="s">
        <v>616</v>
      </c>
      <c r="U69">
        <v>2.99</v>
      </c>
      <c r="V69">
        <v>5</v>
      </c>
      <c r="W69">
        <v>377004</v>
      </c>
      <c r="X69">
        <v>419783</v>
      </c>
      <c r="Y69">
        <v>0.9</v>
      </c>
      <c r="Z69">
        <v>2893</v>
      </c>
      <c r="AA69">
        <v>11536</v>
      </c>
      <c r="AB69" t="s">
        <v>116</v>
      </c>
      <c r="AC69">
        <v>3867500</v>
      </c>
      <c r="AD69">
        <v>0.01</v>
      </c>
      <c r="AE69" t="s">
        <v>116</v>
      </c>
      <c r="AF69" t="s">
        <v>116</v>
      </c>
      <c r="AG69">
        <v>225.34</v>
      </c>
      <c r="AH69" t="s">
        <v>624</v>
      </c>
      <c r="AI69" t="s">
        <v>625</v>
      </c>
      <c r="AJ69">
        <v>-0.72</v>
      </c>
      <c r="AK69">
        <v>3732</v>
      </c>
      <c r="AL69">
        <v>214</v>
      </c>
      <c r="AM69">
        <v>1E-4</v>
      </c>
      <c r="AN69">
        <v>-1</v>
      </c>
      <c r="AO69">
        <v>-0.2</v>
      </c>
      <c r="AP69">
        <v>3.78</v>
      </c>
      <c r="AQ69">
        <v>2.7</v>
      </c>
      <c r="AR69">
        <v>22.89</v>
      </c>
      <c r="AS69">
        <v>0.82</v>
      </c>
      <c r="AT69" t="s">
        <v>626</v>
      </c>
      <c r="AU69">
        <v>22.07</v>
      </c>
      <c r="AV69">
        <v>29.73</v>
      </c>
      <c r="AW69">
        <v>0.83</v>
      </c>
      <c r="BA69">
        <v>-0.2</v>
      </c>
      <c r="BB69">
        <v>1.2</v>
      </c>
      <c r="BC69">
        <v>-1.8</v>
      </c>
      <c r="BD69">
        <v>-0.22</v>
      </c>
      <c r="BE69">
        <v>-1.2</v>
      </c>
      <c r="BF69">
        <v>-2.56</v>
      </c>
      <c r="BG69">
        <v>0.41</v>
      </c>
      <c r="BH69">
        <v>-1.17</v>
      </c>
      <c r="BI69">
        <v>20191031</v>
      </c>
      <c r="BJ69">
        <v>20150126</v>
      </c>
      <c r="BK69">
        <v>250.4</v>
      </c>
      <c r="BL69" t="s">
        <v>116</v>
      </c>
      <c r="BM69">
        <v>25.04</v>
      </c>
      <c r="BN69">
        <v>3722.28</v>
      </c>
      <c r="BO69">
        <v>820.38</v>
      </c>
      <c r="BP69">
        <v>16.02</v>
      </c>
      <c r="BQ69">
        <v>77.53</v>
      </c>
      <c r="BR69">
        <v>0</v>
      </c>
      <c r="BS69">
        <v>11.95</v>
      </c>
      <c r="BT69">
        <v>1.29</v>
      </c>
      <c r="BU69">
        <v>0</v>
      </c>
      <c r="BV69">
        <v>0</v>
      </c>
      <c r="BW69">
        <v>0</v>
      </c>
      <c r="BX69">
        <v>193.03</v>
      </c>
      <c r="BY69">
        <v>164.22</v>
      </c>
      <c r="BZ69">
        <v>0</v>
      </c>
      <c r="CA69">
        <v>58.55</v>
      </c>
      <c r="CB69">
        <v>39.58</v>
      </c>
      <c r="CC69">
        <v>58.38</v>
      </c>
      <c r="CD69">
        <v>48.02</v>
      </c>
      <c r="CE69">
        <v>47.57</v>
      </c>
      <c r="CF69">
        <v>47.4</v>
      </c>
      <c r="CG69">
        <v>238.26</v>
      </c>
      <c r="CH69">
        <v>-40.130000000000003</v>
      </c>
      <c r="CI69">
        <v>-52.53</v>
      </c>
      <c r="CJ69">
        <v>302815</v>
      </c>
      <c r="CK69">
        <v>32102</v>
      </c>
      <c r="CL69" t="s">
        <v>627</v>
      </c>
      <c r="CM69">
        <v>43.64</v>
      </c>
      <c r="CN69">
        <v>75.33</v>
      </c>
      <c r="CO69">
        <v>1.51</v>
      </c>
      <c r="CP69">
        <v>-30.82</v>
      </c>
      <c r="CQ69">
        <v>7.53</v>
      </c>
      <c r="CR69">
        <v>0.91</v>
      </c>
      <c r="CS69" t="s">
        <v>541</v>
      </c>
      <c r="CT69">
        <v>3.28</v>
      </c>
      <c r="CU69">
        <v>0</v>
      </c>
      <c r="CV69">
        <v>0.77</v>
      </c>
      <c r="CW69">
        <v>0.95</v>
      </c>
      <c r="CX69">
        <v>-0.16</v>
      </c>
      <c r="CY69">
        <v>22.04</v>
      </c>
      <c r="CZ69" t="s">
        <v>628</v>
      </c>
      <c r="DA69" t="s">
        <v>116</v>
      </c>
      <c r="DB69">
        <v>35.65</v>
      </c>
      <c r="DC69">
        <v>28.97</v>
      </c>
      <c r="DD69">
        <v>0</v>
      </c>
      <c r="DE69">
        <v>13594</v>
      </c>
      <c r="DF69">
        <v>166</v>
      </c>
      <c r="DG69" t="s">
        <v>116</v>
      </c>
      <c r="DH69" t="s">
        <v>116</v>
      </c>
      <c r="DI69" t="s">
        <v>116</v>
      </c>
    </row>
    <row r="70" spans="1:113" x14ac:dyDescent="0.4">
      <c r="A70" t="str">
        <f>"000301"</f>
        <v>000301</v>
      </c>
      <c r="B70" t="s">
        <v>629</v>
      </c>
      <c r="C70">
        <v>0.2</v>
      </c>
      <c r="D70">
        <v>5.12</v>
      </c>
      <c r="E70">
        <v>0.01</v>
      </c>
      <c r="F70">
        <v>5.12</v>
      </c>
      <c r="G70">
        <v>5.13</v>
      </c>
      <c r="H70">
        <v>83214</v>
      </c>
      <c r="I70">
        <v>170</v>
      </c>
      <c r="J70">
        <v>-0.18</v>
      </c>
      <c r="K70">
        <v>0.68</v>
      </c>
      <c r="L70">
        <v>5.13</v>
      </c>
      <c r="M70">
        <v>5.21</v>
      </c>
      <c r="N70">
        <v>5.1100000000000003</v>
      </c>
      <c r="O70">
        <v>5.1100000000000003</v>
      </c>
      <c r="P70">
        <v>13.02</v>
      </c>
      <c r="Q70">
        <v>43006492</v>
      </c>
      <c r="R70">
        <v>1.85</v>
      </c>
      <c r="S70" t="s">
        <v>630</v>
      </c>
      <c r="T70" t="s">
        <v>323</v>
      </c>
      <c r="U70">
        <v>1.96</v>
      </c>
      <c r="V70">
        <v>5.17</v>
      </c>
      <c r="W70">
        <v>38670</v>
      </c>
      <c r="X70">
        <v>44544</v>
      </c>
      <c r="Y70">
        <v>0.87</v>
      </c>
      <c r="Z70">
        <v>1147</v>
      </c>
      <c r="AA70">
        <v>42</v>
      </c>
      <c r="AB70" t="s">
        <v>116</v>
      </c>
      <c r="AC70">
        <v>68200</v>
      </c>
      <c r="AD70">
        <v>0</v>
      </c>
      <c r="AE70" t="s">
        <v>116</v>
      </c>
      <c r="AF70" t="s">
        <v>116</v>
      </c>
      <c r="AG70">
        <v>12.18</v>
      </c>
      <c r="AH70" t="s">
        <v>631</v>
      </c>
      <c r="AI70" t="s">
        <v>632</v>
      </c>
      <c r="AJ70">
        <v>0.87</v>
      </c>
      <c r="AK70">
        <v>1882</v>
      </c>
      <c r="AL70">
        <v>44</v>
      </c>
      <c r="AM70">
        <v>4.0000000000000002E-4</v>
      </c>
      <c r="AN70">
        <v>2</v>
      </c>
      <c r="AO70">
        <v>0.01</v>
      </c>
      <c r="AP70">
        <v>2.2000000000000002</v>
      </c>
      <c r="AQ70">
        <v>-0.57999999999999996</v>
      </c>
      <c r="AR70">
        <v>-4.4800000000000004</v>
      </c>
      <c r="AS70">
        <v>0.93</v>
      </c>
      <c r="AT70" t="s">
        <v>633</v>
      </c>
      <c r="AU70">
        <v>16.440000000000001</v>
      </c>
      <c r="AV70">
        <v>24.36</v>
      </c>
      <c r="AW70">
        <v>0.6</v>
      </c>
      <c r="BA70">
        <v>0.39</v>
      </c>
      <c r="BB70">
        <v>1.96</v>
      </c>
      <c r="BC70">
        <v>0</v>
      </c>
      <c r="BD70">
        <v>1.1399999999999999</v>
      </c>
      <c r="BE70">
        <v>-0.19</v>
      </c>
      <c r="BF70">
        <v>-1.73</v>
      </c>
      <c r="BG70">
        <v>0.2</v>
      </c>
      <c r="BH70">
        <v>-0.94</v>
      </c>
      <c r="BI70">
        <v>20191031</v>
      </c>
      <c r="BJ70">
        <v>20000529</v>
      </c>
      <c r="BK70">
        <v>40.29</v>
      </c>
      <c r="BL70" t="s">
        <v>116</v>
      </c>
      <c r="BM70" t="s">
        <v>116</v>
      </c>
      <c r="BN70">
        <v>318.83</v>
      </c>
      <c r="BO70">
        <v>134.66999999999999</v>
      </c>
      <c r="BP70">
        <v>0</v>
      </c>
      <c r="BQ70">
        <v>57.76</v>
      </c>
      <c r="BR70">
        <v>99.87</v>
      </c>
      <c r="BS70">
        <v>132.83000000000001</v>
      </c>
      <c r="BT70">
        <v>14.42</v>
      </c>
      <c r="BU70">
        <v>133.35</v>
      </c>
      <c r="BV70">
        <v>30.87</v>
      </c>
      <c r="BW70">
        <v>3.05</v>
      </c>
      <c r="BX70">
        <v>44.77</v>
      </c>
      <c r="BY70">
        <v>187.38</v>
      </c>
      <c r="BZ70">
        <v>165.36</v>
      </c>
      <c r="CA70">
        <v>14.47</v>
      </c>
      <c r="CB70">
        <v>1.35</v>
      </c>
      <c r="CC70">
        <v>14.51</v>
      </c>
      <c r="CD70">
        <v>11.88</v>
      </c>
      <c r="CE70">
        <v>11.89</v>
      </c>
      <c r="CF70">
        <v>9.44</v>
      </c>
      <c r="CG70">
        <v>17.52</v>
      </c>
      <c r="CH70">
        <v>29.05</v>
      </c>
      <c r="CI70">
        <v>17.68</v>
      </c>
      <c r="CJ70">
        <v>75650</v>
      </c>
      <c r="CK70">
        <v>11834</v>
      </c>
      <c r="CL70" t="s">
        <v>634</v>
      </c>
      <c r="CM70">
        <v>52.23</v>
      </c>
      <c r="CN70">
        <v>10.16</v>
      </c>
      <c r="CO70">
        <v>1.53</v>
      </c>
      <c r="CP70">
        <v>7.1</v>
      </c>
      <c r="CQ70">
        <v>1.1000000000000001</v>
      </c>
      <c r="CR70">
        <v>1.95</v>
      </c>
      <c r="CS70" t="s">
        <v>635</v>
      </c>
      <c r="CT70">
        <v>3.34</v>
      </c>
      <c r="CU70">
        <v>0</v>
      </c>
      <c r="CV70">
        <v>1.1100000000000001</v>
      </c>
      <c r="CW70">
        <v>0.43</v>
      </c>
      <c r="CX70">
        <v>0.72</v>
      </c>
      <c r="CY70">
        <v>42.24</v>
      </c>
      <c r="CZ70" t="s">
        <v>636</v>
      </c>
      <c r="DA70">
        <v>11.75</v>
      </c>
      <c r="DB70">
        <v>7.72</v>
      </c>
      <c r="DC70">
        <v>6.34</v>
      </c>
      <c r="DD70">
        <v>1.3</v>
      </c>
      <c r="DE70">
        <v>13118</v>
      </c>
      <c r="DF70">
        <v>301</v>
      </c>
      <c r="DG70" t="s">
        <v>116</v>
      </c>
      <c r="DH70" t="s">
        <v>116</v>
      </c>
      <c r="DI70" t="s">
        <v>116</v>
      </c>
    </row>
    <row r="71" spans="1:113" x14ac:dyDescent="0.4">
      <c r="A71" t="str">
        <f>"000333"</f>
        <v>000333</v>
      </c>
      <c r="B71" t="s">
        <v>637</v>
      </c>
      <c r="C71">
        <v>-0.69</v>
      </c>
      <c r="D71">
        <v>57.2</v>
      </c>
      <c r="E71">
        <v>-0.4</v>
      </c>
      <c r="F71">
        <v>57.2</v>
      </c>
      <c r="G71">
        <v>57.21</v>
      </c>
      <c r="H71">
        <v>181588</v>
      </c>
      <c r="I71">
        <v>1850</v>
      </c>
      <c r="J71">
        <v>-0.23</v>
      </c>
      <c r="K71">
        <v>0.27</v>
      </c>
      <c r="L71">
        <v>57.8</v>
      </c>
      <c r="M71">
        <v>58.13</v>
      </c>
      <c r="N71">
        <v>57.16</v>
      </c>
      <c r="O71">
        <v>57.6</v>
      </c>
      <c r="P71">
        <v>13.97</v>
      </c>
      <c r="Q71">
        <v>1046161408</v>
      </c>
      <c r="R71">
        <v>1.01</v>
      </c>
      <c r="S71" t="s">
        <v>209</v>
      </c>
      <c r="T71" t="s">
        <v>551</v>
      </c>
      <c r="U71">
        <v>1.68</v>
      </c>
      <c r="V71">
        <v>57.61</v>
      </c>
      <c r="W71">
        <v>91375</v>
      </c>
      <c r="X71">
        <v>90213</v>
      </c>
      <c r="Y71">
        <v>1.01</v>
      </c>
      <c r="Z71">
        <v>936</v>
      </c>
      <c r="AA71">
        <v>14</v>
      </c>
      <c r="AB71" t="s">
        <v>116</v>
      </c>
      <c r="AC71">
        <v>9688100</v>
      </c>
      <c r="AD71">
        <v>0</v>
      </c>
      <c r="AE71" t="s">
        <v>116</v>
      </c>
      <c r="AF71" t="s">
        <v>116</v>
      </c>
      <c r="AG71">
        <v>68.02</v>
      </c>
      <c r="AH71" t="s">
        <v>638</v>
      </c>
      <c r="AI71" t="s">
        <v>639</v>
      </c>
      <c r="AJ71">
        <v>-0.02</v>
      </c>
      <c r="AK71">
        <v>4459</v>
      </c>
      <c r="AL71">
        <v>41</v>
      </c>
      <c r="AM71">
        <v>1E-4</v>
      </c>
      <c r="AN71">
        <v>-1</v>
      </c>
      <c r="AO71">
        <v>0.22</v>
      </c>
      <c r="AP71">
        <v>5.34</v>
      </c>
      <c r="AQ71">
        <v>11.46</v>
      </c>
      <c r="AR71">
        <v>60.87</v>
      </c>
      <c r="AS71">
        <v>0.4</v>
      </c>
      <c r="AT71" t="s">
        <v>640</v>
      </c>
      <c r="AU71">
        <v>16.78</v>
      </c>
      <c r="AV71">
        <v>19.62</v>
      </c>
      <c r="AW71">
        <v>0.81</v>
      </c>
      <c r="BA71">
        <v>0.35</v>
      </c>
      <c r="BB71">
        <v>0.92</v>
      </c>
      <c r="BC71">
        <v>-0.76</v>
      </c>
      <c r="BD71">
        <v>0.02</v>
      </c>
      <c r="BE71">
        <v>-1.04</v>
      </c>
      <c r="BF71">
        <v>-1.6</v>
      </c>
      <c r="BG71">
        <v>7.0000000000000007E-2</v>
      </c>
      <c r="BH71">
        <v>-0.71</v>
      </c>
      <c r="BI71">
        <v>20191031</v>
      </c>
      <c r="BJ71">
        <v>19931112</v>
      </c>
      <c r="BK71">
        <v>69.39</v>
      </c>
      <c r="BL71" t="s">
        <v>116</v>
      </c>
      <c r="BM71" t="s">
        <v>116</v>
      </c>
      <c r="BN71">
        <v>2852.89</v>
      </c>
      <c r="BO71">
        <v>982.41</v>
      </c>
      <c r="BP71">
        <v>61.21</v>
      </c>
      <c r="BQ71">
        <v>63.42</v>
      </c>
      <c r="BR71">
        <v>2000.87</v>
      </c>
      <c r="BS71">
        <v>214.57</v>
      </c>
      <c r="BT71">
        <v>157.83000000000001</v>
      </c>
      <c r="BU71">
        <v>1294.06</v>
      </c>
      <c r="BV71">
        <v>240.05</v>
      </c>
      <c r="BW71">
        <v>202.6</v>
      </c>
      <c r="BX71">
        <v>192.58</v>
      </c>
      <c r="BY71">
        <v>2209.1799999999998</v>
      </c>
      <c r="BZ71">
        <v>1566.53</v>
      </c>
      <c r="CA71">
        <v>261.08</v>
      </c>
      <c r="CB71">
        <v>1.83</v>
      </c>
      <c r="CC71">
        <v>263.54000000000002</v>
      </c>
      <c r="CD71">
        <v>223.6</v>
      </c>
      <c r="CE71">
        <v>213.16</v>
      </c>
      <c r="CF71">
        <v>205.98</v>
      </c>
      <c r="CG71">
        <v>711.87</v>
      </c>
      <c r="CH71">
        <v>297.89999999999998</v>
      </c>
      <c r="CI71">
        <v>64.94</v>
      </c>
      <c r="CJ71">
        <v>200887</v>
      </c>
      <c r="CK71">
        <v>22848</v>
      </c>
      <c r="CL71" t="s">
        <v>641</v>
      </c>
      <c r="CM71">
        <v>19.079999999999998</v>
      </c>
      <c r="CN71">
        <v>7.37</v>
      </c>
      <c r="CO71">
        <v>4.05</v>
      </c>
      <c r="CP71">
        <v>13.32</v>
      </c>
      <c r="CQ71">
        <v>1.8</v>
      </c>
      <c r="CR71">
        <v>2.16</v>
      </c>
      <c r="CS71" t="s">
        <v>642</v>
      </c>
      <c r="CT71">
        <v>14.11</v>
      </c>
      <c r="CU71">
        <v>14.11</v>
      </c>
      <c r="CV71">
        <v>2.78</v>
      </c>
      <c r="CW71">
        <v>10.26</v>
      </c>
      <c r="CX71">
        <v>4.29</v>
      </c>
      <c r="CY71">
        <v>34.44</v>
      </c>
      <c r="CZ71" t="s">
        <v>643</v>
      </c>
      <c r="DA71">
        <v>29.09</v>
      </c>
      <c r="DB71">
        <v>11.82</v>
      </c>
      <c r="DC71">
        <v>9.65</v>
      </c>
      <c r="DD71">
        <v>69.94</v>
      </c>
      <c r="DE71">
        <v>114765</v>
      </c>
      <c r="DF71">
        <v>333</v>
      </c>
      <c r="DG71" t="s">
        <v>116</v>
      </c>
      <c r="DH71" t="s">
        <v>116</v>
      </c>
      <c r="DI71" t="s">
        <v>116</v>
      </c>
    </row>
    <row r="72" spans="1:113" x14ac:dyDescent="0.4">
      <c r="A72" t="str">
        <f>"000338"</f>
        <v>000338</v>
      </c>
      <c r="B72" t="s">
        <v>644</v>
      </c>
      <c r="C72">
        <v>0.59</v>
      </c>
      <c r="D72">
        <v>15.36</v>
      </c>
      <c r="E72">
        <v>0.09</v>
      </c>
      <c r="F72">
        <v>15.35</v>
      </c>
      <c r="G72">
        <v>15.36</v>
      </c>
      <c r="H72">
        <v>456485</v>
      </c>
      <c r="I72">
        <v>6119</v>
      </c>
      <c r="J72">
        <v>0.2</v>
      </c>
      <c r="K72">
        <v>1.08</v>
      </c>
      <c r="L72">
        <v>15.35</v>
      </c>
      <c r="M72">
        <v>15.58</v>
      </c>
      <c r="N72">
        <v>15.22</v>
      </c>
      <c r="O72">
        <v>15.27</v>
      </c>
      <c r="P72">
        <v>12.95</v>
      </c>
      <c r="Q72">
        <v>701808960</v>
      </c>
      <c r="R72">
        <v>1.1000000000000001</v>
      </c>
      <c r="S72" t="s">
        <v>293</v>
      </c>
      <c r="T72" t="s">
        <v>645</v>
      </c>
      <c r="U72">
        <v>2.36</v>
      </c>
      <c r="V72">
        <v>15.37</v>
      </c>
      <c r="W72">
        <v>224968</v>
      </c>
      <c r="X72">
        <v>231517</v>
      </c>
      <c r="Y72">
        <v>0.97</v>
      </c>
      <c r="Z72">
        <v>399</v>
      </c>
      <c r="AA72">
        <v>849</v>
      </c>
      <c r="AB72" t="s">
        <v>116</v>
      </c>
      <c r="AC72">
        <v>4253500</v>
      </c>
      <c r="AD72">
        <v>0.01</v>
      </c>
      <c r="AE72" t="s">
        <v>116</v>
      </c>
      <c r="AF72" t="s">
        <v>116</v>
      </c>
      <c r="AG72">
        <v>42.45</v>
      </c>
      <c r="AH72" t="s">
        <v>646</v>
      </c>
      <c r="AI72" t="s">
        <v>647</v>
      </c>
      <c r="AJ72">
        <v>1.27</v>
      </c>
      <c r="AK72">
        <v>4396</v>
      </c>
      <c r="AL72">
        <v>104</v>
      </c>
      <c r="AM72">
        <v>2.0000000000000001E-4</v>
      </c>
      <c r="AN72">
        <v>1</v>
      </c>
      <c r="AO72">
        <v>1.1200000000000001</v>
      </c>
      <c r="AP72">
        <v>16.45</v>
      </c>
      <c r="AQ72">
        <v>37.39</v>
      </c>
      <c r="AR72">
        <v>111.28</v>
      </c>
      <c r="AS72">
        <v>1.0900000000000001</v>
      </c>
      <c r="AT72" t="s">
        <v>648</v>
      </c>
      <c r="AU72">
        <v>12.54</v>
      </c>
      <c r="AV72">
        <v>14.08</v>
      </c>
      <c r="AW72">
        <v>1.1499999999999999</v>
      </c>
      <c r="BA72">
        <v>0.52</v>
      </c>
      <c r="BB72">
        <v>2.0299999999999998</v>
      </c>
      <c r="BC72">
        <v>-0.33</v>
      </c>
      <c r="BD72">
        <v>0.68</v>
      </c>
      <c r="BE72">
        <v>7.0000000000000007E-2</v>
      </c>
      <c r="BF72">
        <v>-1.41</v>
      </c>
      <c r="BG72">
        <v>0.92</v>
      </c>
      <c r="BH72">
        <v>-0.09</v>
      </c>
      <c r="BI72">
        <v>20191031</v>
      </c>
      <c r="BJ72">
        <v>20070430</v>
      </c>
      <c r="BK72">
        <v>79.34</v>
      </c>
      <c r="BL72" t="s">
        <v>116</v>
      </c>
      <c r="BM72">
        <v>19.43</v>
      </c>
      <c r="BN72">
        <v>2237.27</v>
      </c>
      <c r="BO72">
        <v>428.77</v>
      </c>
      <c r="BP72">
        <v>238.86</v>
      </c>
      <c r="BQ72">
        <v>70.16</v>
      </c>
      <c r="BR72">
        <v>1170.29</v>
      </c>
      <c r="BS72">
        <v>236.79</v>
      </c>
      <c r="BT72">
        <v>228</v>
      </c>
      <c r="BU72">
        <v>958.8</v>
      </c>
      <c r="BV72">
        <v>211.87</v>
      </c>
      <c r="BW72">
        <v>192.96</v>
      </c>
      <c r="BX72">
        <v>1.08</v>
      </c>
      <c r="BY72">
        <v>1267.08</v>
      </c>
      <c r="BZ72">
        <v>987.54</v>
      </c>
      <c r="CA72">
        <v>111.82</v>
      </c>
      <c r="CB72">
        <v>4.91</v>
      </c>
      <c r="CC72">
        <v>113.18</v>
      </c>
      <c r="CD72">
        <v>93.29</v>
      </c>
      <c r="CE72">
        <v>70.58</v>
      </c>
      <c r="CF72">
        <v>64.47</v>
      </c>
      <c r="CG72">
        <v>359.72</v>
      </c>
      <c r="CH72">
        <v>40.15</v>
      </c>
      <c r="CI72">
        <v>-53.86</v>
      </c>
      <c r="CJ72">
        <v>180939</v>
      </c>
      <c r="CK72">
        <v>23128</v>
      </c>
      <c r="CL72" t="s">
        <v>649</v>
      </c>
      <c r="CM72">
        <v>17.61</v>
      </c>
      <c r="CN72">
        <v>7.21</v>
      </c>
      <c r="CO72">
        <v>2.84</v>
      </c>
      <c r="CP72">
        <v>30.35</v>
      </c>
      <c r="CQ72">
        <v>0.96</v>
      </c>
      <c r="CR72">
        <v>2.8</v>
      </c>
      <c r="CS72" t="s">
        <v>650</v>
      </c>
      <c r="CT72">
        <v>5.4</v>
      </c>
      <c r="CU72">
        <v>0</v>
      </c>
      <c r="CV72">
        <v>0.01</v>
      </c>
      <c r="CW72">
        <v>4.53</v>
      </c>
      <c r="CX72">
        <v>0.51</v>
      </c>
      <c r="CY72">
        <v>19.16</v>
      </c>
      <c r="CZ72" t="s">
        <v>403</v>
      </c>
      <c r="DA72">
        <v>22.06</v>
      </c>
      <c r="DB72">
        <v>8.83</v>
      </c>
      <c r="DC72">
        <v>5.57</v>
      </c>
      <c r="DD72">
        <v>35.86</v>
      </c>
      <c r="DE72">
        <v>42103</v>
      </c>
      <c r="DF72">
        <v>338</v>
      </c>
      <c r="DG72" t="s">
        <v>116</v>
      </c>
      <c r="DH72" t="s">
        <v>116</v>
      </c>
      <c r="DI72" t="s">
        <v>116</v>
      </c>
    </row>
    <row r="73" spans="1:113" x14ac:dyDescent="0.4">
      <c r="A73" t="str">
        <f>"000400"</f>
        <v>000400</v>
      </c>
      <c r="B73" t="s">
        <v>651</v>
      </c>
      <c r="C73">
        <v>-1.95</v>
      </c>
      <c r="D73">
        <v>10.58</v>
      </c>
      <c r="E73">
        <v>-0.21</v>
      </c>
      <c r="F73">
        <v>10.58</v>
      </c>
      <c r="G73">
        <v>10.59</v>
      </c>
      <c r="H73">
        <v>116375</v>
      </c>
      <c r="I73">
        <v>2123</v>
      </c>
      <c r="J73">
        <v>-0.08</v>
      </c>
      <c r="K73">
        <v>1.1499999999999999</v>
      </c>
      <c r="L73">
        <v>10.78</v>
      </c>
      <c r="M73">
        <v>10.95</v>
      </c>
      <c r="N73">
        <v>10.5</v>
      </c>
      <c r="O73">
        <v>10.79</v>
      </c>
      <c r="P73">
        <v>30.03</v>
      </c>
      <c r="Q73">
        <v>125381824</v>
      </c>
      <c r="R73">
        <v>1.05</v>
      </c>
      <c r="S73" t="s">
        <v>397</v>
      </c>
      <c r="T73" t="s">
        <v>652</v>
      </c>
      <c r="U73">
        <v>4.17</v>
      </c>
      <c r="V73">
        <v>10.77</v>
      </c>
      <c r="W73">
        <v>63244</v>
      </c>
      <c r="X73">
        <v>53131</v>
      </c>
      <c r="Y73">
        <v>1.19</v>
      </c>
      <c r="Z73">
        <v>543</v>
      </c>
      <c r="AA73">
        <v>719</v>
      </c>
      <c r="AB73" t="s">
        <v>116</v>
      </c>
      <c r="AC73">
        <v>43100</v>
      </c>
      <c r="AD73">
        <v>0</v>
      </c>
      <c r="AE73" t="s">
        <v>116</v>
      </c>
      <c r="AF73" t="s">
        <v>116</v>
      </c>
      <c r="AG73">
        <v>10.08</v>
      </c>
      <c r="AH73" t="s">
        <v>653</v>
      </c>
      <c r="AI73" t="s">
        <v>654</v>
      </c>
      <c r="AJ73">
        <v>-1.27</v>
      </c>
      <c r="AK73">
        <v>2978</v>
      </c>
      <c r="AL73">
        <v>39</v>
      </c>
      <c r="AM73">
        <v>4.0000000000000002E-4</v>
      </c>
      <c r="AN73">
        <v>-3</v>
      </c>
      <c r="AO73">
        <v>-3.2</v>
      </c>
      <c r="AP73">
        <v>9.18</v>
      </c>
      <c r="AQ73">
        <v>24.32</v>
      </c>
      <c r="AR73">
        <v>19.66</v>
      </c>
      <c r="AS73">
        <v>1.97</v>
      </c>
      <c r="AT73" t="s">
        <v>655</v>
      </c>
      <c r="AU73">
        <v>34.340000000000003</v>
      </c>
      <c r="AV73">
        <v>53.43</v>
      </c>
      <c r="AW73">
        <v>1.05</v>
      </c>
      <c r="BA73">
        <v>-0.09</v>
      </c>
      <c r="BB73">
        <v>1.48</v>
      </c>
      <c r="BC73">
        <v>-2.69</v>
      </c>
      <c r="BD73">
        <v>-0.15</v>
      </c>
      <c r="BE73">
        <v>-1.86</v>
      </c>
      <c r="BF73">
        <v>-3.38</v>
      </c>
      <c r="BG73">
        <v>0.76</v>
      </c>
      <c r="BH73">
        <v>-1.8</v>
      </c>
      <c r="BI73">
        <v>20191012</v>
      </c>
      <c r="BJ73">
        <v>19970418</v>
      </c>
      <c r="BK73">
        <v>10.08</v>
      </c>
      <c r="BL73" t="s">
        <v>116</v>
      </c>
      <c r="BM73" t="s">
        <v>116</v>
      </c>
      <c r="BN73">
        <v>145.97</v>
      </c>
      <c r="BO73">
        <v>79.69</v>
      </c>
      <c r="BP73">
        <v>6.16</v>
      </c>
      <c r="BQ73">
        <v>41.19</v>
      </c>
      <c r="BR73">
        <v>122.99</v>
      </c>
      <c r="BS73">
        <v>11.48</v>
      </c>
      <c r="BT73">
        <v>5.23</v>
      </c>
      <c r="BU73">
        <v>59.84</v>
      </c>
      <c r="BV73">
        <v>30.43</v>
      </c>
      <c r="BW73">
        <v>71.42</v>
      </c>
      <c r="BX73">
        <v>8.3000000000000007</v>
      </c>
      <c r="BY73">
        <v>52.38</v>
      </c>
      <c r="BZ73">
        <v>42.55</v>
      </c>
      <c r="CA73">
        <v>3.76</v>
      </c>
      <c r="CB73">
        <v>-0.02</v>
      </c>
      <c r="CC73">
        <v>3.75</v>
      </c>
      <c r="CD73">
        <v>3.1</v>
      </c>
      <c r="CE73">
        <v>2.66</v>
      </c>
      <c r="CF73">
        <v>2.54</v>
      </c>
      <c r="CG73">
        <v>56.12</v>
      </c>
      <c r="CH73">
        <v>0.26</v>
      </c>
      <c r="CI73">
        <v>-1.25</v>
      </c>
      <c r="CJ73">
        <v>65353</v>
      </c>
      <c r="CK73">
        <v>9058</v>
      </c>
      <c r="CL73" t="s">
        <v>656</v>
      </c>
      <c r="CM73">
        <v>71.45</v>
      </c>
      <c r="CN73">
        <v>25.93</v>
      </c>
      <c r="CO73">
        <v>1.34</v>
      </c>
      <c r="CP73">
        <v>412.37</v>
      </c>
      <c r="CQ73">
        <v>2.04</v>
      </c>
      <c r="CR73">
        <v>0.45</v>
      </c>
      <c r="CS73" t="s">
        <v>657</v>
      </c>
      <c r="CT73">
        <v>7.9</v>
      </c>
      <c r="CU73">
        <v>0</v>
      </c>
      <c r="CV73">
        <v>0.82</v>
      </c>
      <c r="CW73">
        <v>5.57</v>
      </c>
      <c r="CX73">
        <v>0.03</v>
      </c>
      <c r="CY73">
        <v>54.6</v>
      </c>
      <c r="CZ73" t="s">
        <v>658</v>
      </c>
      <c r="DA73">
        <v>18.760000000000002</v>
      </c>
      <c r="DB73">
        <v>7.17</v>
      </c>
      <c r="DC73">
        <v>5.09</v>
      </c>
      <c r="DD73">
        <v>1.74</v>
      </c>
      <c r="DE73">
        <v>5422</v>
      </c>
      <c r="DF73">
        <v>400</v>
      </c>
      <c r="DG73" t="s">
        <v>116</v>
      </c>
      <c r="DH73" t="s">
        <v>116</v>
      </c>
      <c r="DI73" t="s">
        <v>116</v>
      </c>
    </row>
    <row r="74" spans="1:113" x14ac:dyDescent="0.4">
      <c r="A74" t="str">
        <f>"000401"</f>
        <v>000401</v>
      </c>
      <c r="B74" t="s">
        <v>659</v>
      </c>
      <c r="C74">
        <v>-1.06</v>
      </c>
      <c r="D74">
        <v>15.93</v>
      </c>
      <c r="E74">
        <v>-0.17</v>
      </c>
      <c r="F74">
        <v>15.92</v>
      </c>
      <c r="G74">
        <v>15.93</v>
      </c>
      <c r="H74">
        <v>265558</v>
      </c>
      <c r="I74">
        <v>2255</v>
      </c>
      <c r="J74">
        <v>0</v>
      </c>
      <c r="K74">
        <v>1.97</v>
      </c>
      <c r="L74">
        <v>16.07</v>
      </c>
      <c r="M74">
        <v>16.18</v>
      </c>
      <c r="N74">
        <v>15.91</v>
      </c>
      <c r="O74">
        <v>16.100000000000001</v>
      </c>
      <c r="P74">
        <v>6.52</v>
      </c>
      <c r="Q74">
        <v>424584352</v>
      </c>
      <c r="R74">
        <v>0.94</v>
      </c>
      <c r="S74" t="s">
        <v>660</v>
      </c>
      <c r="T74" t="s">
        <v>608</v>
      </c>
      <c r="U74">
        <v>1.68</v>
      </c>
      <c r="V74">
        <v>15.99</v>
      </c>
      <c r="W74">
        <v>147746</v>
      </c>
      <c r="X74">
        <v>117812</v>
      </c>
      <c r="Y74">
        <v>1.25</v>
      </c>
      <c r="Z74">
        <v>1850</v>
      </c>
      <c r="AA74">
        <v>232</v>
      </c>
      <c r="AB74" t="s">
        <v>116</v>
      </c>
      <c r="AC74">
        <v>1769300</v>
      </c>
      <c r="AD74">
        <v>0.01</v>
      </c>
      <c r="AE74" t="s">
        <v>116</v>
      </c>
      <c r="AF74" t="s">
        <v>116</v>
      </c>
      <c r="AG74">
        <v>13.47</v>
      </c>
      <c r="AH74" t="s">
        <v>661</v>
      </c>
      <c r="AI74" t="s">
        <v>662</v>
      </c>
      <c r="AJ74">
        <v>-0.38</v>
      </c>
      <c r="AK74">
        <v>4031</v>
      </c>
      <c r="AL74">
        <v>66</v>
      </c>
      <c r="AM74">
        <v>5.0000000000000001E-4</v>
      </c>
      <c r="AN74">
        <v>-1</v>
      </c>
      <c r="AO74">
        <v>1.98</v>
      </c>
      <c r="AP74">
        <v>7.13</v>
      </c>
      <c r="AQ74">
        <v>4.05</v>
      </c>
      <c r="AR74">
        <v>32.97</v>
      </c>
      <c r="AS74">
        <v>3.13</v>
      </c>
      <c r="AT74" t="s">
        <v>663</v>
      </c>
      <c r="AU74">
        <v>10.050000000000001</v>
      </c>
      <c r="AV74">
        <v>14.47</v>
      </c>
      <c r="AW74">
        <v>1.06</v>
      </c>
      <c r="BA74">
        <v>-0.19</v>
      </c>
      <c r="BB74">
        <v>0.5</v>
      </c>
      <c r="BC74">
        <v>-1.18</v>
      </c>
      <c r="BD74">
        <v>-0.69</v>
      </c>
      <c r="BE74">
        <v>-0.87</v>
      </c>
      <c r="BF74">
        <v>-1.55</v>
      </c>
      <c r="BG74">
        <v>0.13</v>
      </c>
      <c r="BH74">
        <v>-0.36</v>
      </c>
      <c r="BI74">
        <v>20191223</v>
      </c>
      <c r="BJ74">
        <v>19960614</v>
      </c>
      <c r="BK74">
        <v>13.48</v>
      </c>
      <c r="BL74" t="s">
        <v>116</v>
      </c>
      <c r="BM74" t="s">
        <v>116</v>
      </c>
      <c r="BN74">
        <v>653.15</v>
      </c>
      <c r="BO74">
        <v>157.9</v>
      </c>
      <c r="BP74">
        <v>143.71</v>
      </c>
      <c r="BQ74">
        <v>53.82</v>
      </c>
      <c r="BR74">
        <v>223.9</v>
      </c>
      <c r="BS74">
        <v>324.72000000000003</v>
      </c>
      <c r="BT74">
        <v>48.25</v>
      </c>
      <c r="BU74">
        <v>277.94</v>
      </c>
      <c r="BV74">
        <v>27.44</v>
      </c>
      <c r="BW74">
        <v>28.46</v>
      </c>
      <c r="BX74">
        <v>39.6</v>
      </c>
      <c r="BY74">
        <v>262.54000000000002</v>
      </c>
      <c r="BZ74">
        <v>163.61000000000001</v>
      </c>
      <c r="CA74">
        <v>53.87</v>
      </c>
      <c r="CB74">
        <v>2.79</v>
      </c>
      <c r="CC74">
        <v>53.63</v>
      </c>
      <c r="CD74">
        <v>43.22</v>
      </c>
      <c r="CE74">
        <v>24.7</v>
      </c>
      <c r="CF74">
        <v>24.73</v>
      </c>
      <c r="CG74">
        <v>65.31</v>
      </c>
      <c r="CH74">
        <v>57.96</v>
      </c>
      <c r="CI74">
        <v>-24.88</v>
      </c>
      <c r="CJ74">
        <v>101766</v>
      </c>
      <c r="CK74">
        <v>8339</v>
      </c>
      <c r="CL74" t="s">
        <v>664</v>
      </c>
      <c r="CM74">
        <v>35.96</v>
      </c>
      <c r="CN74">
        <v>16</v>
      </c>
      <c r="CO74">
        <v>1.68</v>
      </c>
      <c r="CP74">
        <v>3.7</v>
      </c>
      <c r="CQ74">
        <v>0.82</v>
      </c>
      <c r="CR74">
        <v>2.5099999999999998</v>
      </c>
      <c r="CS74" t="s">
        <v>665</v>
      </c>
      <c r="CT74">
        <v>9.5</v>
      </c>
      <c r="CU74">
        <v>9.5</v>
      </c>
      <c r="CV74">
        <v>2.94</v>
      </c>
      <c r="CW74">
        <v>4.8499999999999996</v>
      </c>
      <c r="CX74">
        <v>4.3</v>
      </c>
      <c r="CY74">
        <v>24.18</v>
      </c>
      <c r="CZ74" t="s">
        <v>666</v>
      </c>
      <c r="DA74">
        <v>37.68</v>
      </c>
      <c r="DB74">
        <v>20.52</v>
      </c>
      <c r="DC74">
        <v>9.41</v>
      </c>
      <c r="DD74">
        <v>1</v>
      </c>
      <c r="DE74">
        <v>20141</v>
      </c>
      <c r="DF74">
        <v>401</v>
      </c>
      <c r="DG74" t="s">
        <v>116</v>
      </c>
      <c r="DH74" t="s">
        <v>116</v>
      </c>
      <c r="DI74" t="s">
        <v>116</v>
      </c>
    </row>
    <row r="75" spans="1:113" x14ac:dyDescent="0.4">
      <c r="A75" t="str">
        <f>"000402"</f>
        <v>000402</v>
      </c>
      <c r="B75" t="s">
        <v>667</v>
      </c>
      <c r="C75">
        <v>-0.12</v>
      </c>
      <c r="D75">
        <v>8.01</v>
      </c>
      <c r="E75">
        <v>-0.01</v>
      </c>
      <c r="F75">
        <v>8.01</v>
      </c>
      <c r="G75">
        <v>8.02</v>
      </c>
      <c r="H75">
        <v>108946</v>
      </c>
      <c r="I75">
        <v>1882</v>
      </c>
      <c r="J75">
        <v>-0.11</v>
      </c>
      <c r="K75">
        <v>0.36</v>
      </c>
      <c r="L75">
        <v>8.02</v>
      </c>
      <c r="M75">
        <v>8.1199999999999992</v>
      </c>
      <c r="N75">
        <v>7.96</v>
      </c>
      <c r="O75">
        <v>8.02</v>
      </c>
      <c r="P75">
        <v>13.06</v>
      </c>
      <c r="Q75">
        <v>87460224</v>
      </c>
      <c r="R75">
        <v>1.37</v>
      </c>
      <c r="S75" t="s">
        <v>124</v>
      </c>
      <c r="T75" t="s">
        <v>165</v>
      </c>
      <c r="U75">
        <v>2</v>
      </c>
      <c r="V75">
        <v>8.0299999999999994</v>
      </c>
      <c r="W75">
        <v>61497</v>
      </c>
      <c r="X75">
        <v>47449</v>
      </c>
      <c r="Y75">
        <v>1.3</v>
      </c>
      <c r="Z75">
        <v>2007</v>
      </c>
      <c r="AA75">
        <v>169</v>
      </c>
      <c r="AB75" t="s">
        <v>116</v>
      </c>
      <c r="AC75">
        <v>587900</v>
      </c>
      <c r="AD75">
        <v>0.01</v>
      </c>
      <c r="AE75" t="s">
        <v>116</v>
      </c>
      <c r="AF75" t="s">
        <v>116</v>
      </c>
      <c r="AG75">
        <v>29.88</v>
      </c>
      <c r="AH75" t="s">
        <v>668</v>
      </c>
      <c r="AI75" t="s">
        <v>669</v>
      </c>
      <c r="AJ75">
        <v>0.55000000000000004</v>
      </c>
      <c r="AK75">
        <v>2710</v>
      </c>
      <c r="AL75">
        <v>40</v>
      </c>
      <c r="AM75">
        <v>1E-4</v>
      </c>
      <c r="AN75">
        <v>-1</v>
      </c>
      <c r="AO75">
        <v>0.13</v>
      </c>
      <c r="AP75">
        <v>3.62</v>
      </c>
      <c r="AQ75">
        <v>5.81</v>
      </c>
      <c r="AR75">
        <v>30.46</v>
      </c>
      <c r="AS75">
        <v>1.07</v>
      </c>
      <c r="AT75" t="s">
        <v>670</v>
      </c>
      <c r="AU75">
        <v>6.64</v>
      </c>
      <c r="AV75">
        <v>7.32</v>
      </c>
      <c r="AW75">
        <v>0.6</v>
      </c>
      <c r="BA75">
        <v>0</v>
      </c>
      <c r="BB75">
        <v>1.25</v>
      </c>
      <c r="BC75">
        <v>-0.75</v>
      </c>
      <c r="BD75">
        <v>0.1</v>
      </c>
      <c r="BE75">
        <v>-0.12</v>
      </c>
      <c r="BF75">
        <v>-1.35</v>
      </c>
      <c r="BG75">
        <v>0.63</v>
      </c>
      <c r="BH75">
        <v>-0.22</v>
      </c>
      <c r="BI75">
        <v>20191202</v>
      </c>
      <c r="BJ75">
        <v>19960626</v>
      </c>
      <c r="BK75">
        <v>29.89</v>
      </c>
      <c r="BL75" t="s">
        <v>116</v>
      </c>
      <c r="BM75" t="s">
        <v>116</v>
      </c>
      <c r="BN75">
        <v>1556.46</v>
      </c>
      <c r="BO75">
        <v>324.41000000000003</v>
      </c>
      <c r="BP75">
        <v>42.08</v>
      </c>
      <c r="BQ75">
        <v>76.45</v>
      </c>
      <c r="BR75">
        <v>1071.1099999999999</v>
      </c>
      <c r="BS75">
        <v>25.03</v>
      </c>
      <c r="BT75">
        <v>5.57</v>
      </c>
      <c r="BU75">
        <v>511.81</v>
      </c>
      <c r="BV75">
        <v>824.04</v>
      </c>
      <c r="BW75">
        <v>3.01</v>
      </c>
      <c r="BX75">
        <v>68.41</v>
      </c>
      <c r="BY75">
        <v>133.5</v>
      </c>
      <c r="BZ75">
        <v>69.56</v>
      </c>
      <c r="CA75">
        <v>24.82</v>
      </c>
      <c r="CB75">
        <v>0.22</v>
      </c>
      <c r="CC75">
        <v>25.17</v>
      </c>
      <c r="CD75">
        <v>18.22</v>
      </c>
      <c r="CE75">
        <v>13.75</v>
      </c>
      <c r="CF75">
        <v>14.09</v>
      </c>
      <c r="CG75">
        <v>203.46</v>
      </c>
      <c r="CH75">
        <v>70.02</v>
      </c>
      <c r="CI75">
        <v>-9.5399999999999991</v>
      </c>
      <c r="CJ75">
        <v>75615</v>
      </c>
      <c r="CK75">
        <v>13442</v>
      </c>
      <c r="CL75" t="s">
        <v>671</v>
      </c>
      <c r="CM75">
        <v>32.130000000000003</v>
      </c>
      <c r="CN75">
        <v>53.63</v>
      </c>
      <c r="CO75">
        <v>0.74</v>
      </c>
      <c r="CP75">
        <v>3.42</v>
      </c>
      <c r="CQ75">
        <v>1.79</v>
      </c>
      <c r="CR75">
        <v>3.75</v>
      </c>
      <c r="CS75" t="s">
        <v>672</v>
      </c>
      <c r="CT75">
        <v>10.85</v>
      </c>
      <c r="CU75">
        <v>0</v>
      </c>
      <c r="CV75">
        <v>2.29</v>
      </c>
      <c r="CW75">
        <v>6.81</v>
      </c>
      <c r="CX75">
        <v>2.34</v>
      </c>
      <c r="CY75">
        <v>20.84</v>
      </c>
      <c r="CZ75" t="s">
        <v>673</v>
      </c>
      <c r="DA75">
        <v>47.9</v>
      </c>
      <c r="DB75">
        <v>18.59</v>
      </c>
      <c r="DC75">
        <v>10.3</v>
      </c>
      <c r="DD75">
        <v>0</v>
      </c>
      <c r="DE75">
        <v>3557</v>
      </c>
      <c r="DF75">
        <v>402</v>
      </c>
      <c r="DG75" t="s">
        <v>116</v>
      </c>
      <c r="DH75" t="s">
        <v>116</v>
      </c>
      <c r="DI75" t="s">
        <v>116</v>
      </c>
    </row>
    <row r="76" spans="1:113" x14ac:dyDescent="0.4">
      <c r="A76" t="str">
        <f>"000403"</f>
        <v>000403</v>
      </c>
      <c r="B76" t="s">
        <v>674</v>
      </c>
      <c r="C76">
        <v>0.2</v>
      </c>
      <c r="D76">
        <v>30.74</v>
      </c>
      <c r="E76">
        <v>0.06</v>
      </c>
      <c r="F76">
        <v>30.72</v>
      </c>
      <c r="G76">
        <v>30.74</v>
      </c>
      <c r="H76">
        <v>11952</v>
      </c>
      <c r="I76">
        <v>94</v>
      </c>
      <c r="J76">
        <v>-0.02</v>
      </c>
      <c r="K76">
        <v>0.44</v>
      </c>
      <c r="L76">
        <v>30.76</v>
      </c>
      <c r="M76">
        <v>30.87</v>
      </c>
      <c r="N76">
        <v>30.39</v>
      </c>
      <c r="O76">
        <v>30.68</v>
      </c>
      <c r="P76">
        <v>49.36</v>
      </c>
      <c r="Q76">
        <v>36581456</v>
      </c>
      <c r="R76">
        <v>1.06</v>
      </c>
      <c r="S76" t="s">
        <v>132</v>
      </c>
      <c r="T76" t="s">
        <v>675</v>
      </c>
      <c r="U76">
        <v>1.56</v>
      </c>
      <c r="V76">
        <v>30.61</v>
      </c>
      <c r="W76">
        <v>5640</v>
      </c>
      <c r="X76">
        <v>6312</v>
      </c>
      <c r="Y76">
        <v>0.89</v>
      </c>
      <c r="Z76">
        <v>28</v>
      </c>
      <c r="AA76">
        <v>77</v>
      </c>
      <c r="AB76" t="s">
        <v>116</v>
      </c>
      <c r="AC76">
        <v>138400</v>
      </c>
      <c r="AD76">
        <v>0</v>
      </c>
      <c r="AE76" t="s">
        <v>116</v>
      </c>
      <c r="AF76" t="s">
        <v>116</v>
      </c>
      <c r="AG76">
        <v>2.71</v>
      </c>
      <c r="AH76" t="s">
        <v>676</v>
      </c>
      <c r="AI76" t="s">
        <v>677</v>
      </c>
      <c r="AJ76">
        <v>0.87</v>
      </c>
      <c r="AK76">
        <v>973</v>
      </c>
      <c r="AL76">
        <v>12</v>
      </c>
      <c r="AM76">
        <v>5.0000000000000001E-4</v>
      </c>
      <c r="AN76">
        <v>2</v>
      </c>
      <c r="AO76">
        <v>0.89</v>
      </c>
      <c r="AP76">
        <v>-2.84</v>
      </c>
      <c r="AQ76">
        <v>-4.95</v>
      </c>
      <c r="AR76">
        <v>22.08</v>
      </c>
      <c r="AS76">
        <v>0.96</v>
      </c>
      <c r="AT76" t="s">
        <v>678</v>
      </c>
      <c r="AU76">
        <v>66.02</v>
      </c>
      <c r="AV76">
        <v>104.76</v>
      </c>
      <c r="AW76">
        <v>0.87</v>
      </c>
      <c r="BA76">
        <v>0.26</v>
      </c>
      <c r="BB76">
        <v>0.62</v>
      </c>
      <c r="BC76">
        <v>-0.95</v>
      </c>
      <c r="BD76">
        <v>-0.24</v>
      </c>
      <c r="BE76">
        <v>-7.0000000000000007E-2</v>
      </c>
      <c r="BF76">
        <v>-0.42</v>
      </c>
      <c r="BG76">
        <v>1.1499999999999999</v>
      </c>
      <c r="BH76">
        <v>0.43</v>
      </c>
      <c r="BI76">
        <v>20191115</v>
      </c>
      <c r="BJ76">
        <v>19960628</v>
      </c>
      <c r="BK76">
        <v>2.73</v>
      </c>
      <c r="BL76" t="s">
        <v>116</v>
      </c>
      <c r="BM76" t="s">
        <v>116</v>
      </c>
      <c r="BN76">
        <v>12.84</v>
      </c>
      <c r="BO76">
        <v>7.65</v>
      </c>
      <c r="BP76">
        <v>0.02</v>
      </c>
      <c r="BQ76">
        <v>40.25</v>
      </c>
      <c r="BR76">
        <v>7.91</v>
      </c>
      <c r="BS76">
        <v>3.87</v>
      </c>
      <c r="BT76">
        <v>0.55000000000000004</v>
      </c>
      <c r="BU76">
        <v>4.92</v>
      </c>
      <c r="BV76">
        <v>4.17</v>
      </c>
      <c r="BW76">
        <v>1.68</v>
      </c>
      <c r="BX76">
        <v>1.1599999999999999</v>
      </c>
      <c r="BY76">
        <v>6.41</v>
      </c>
      <c r="BZ76">
        <v>2.96</v>
      </c>
      <c r="CA76">
        <v>1.41</v>
      </c>
      <c r="CB76">
        <v>7.0000000000000007E-2</v>
      </c>
      <c r="CC76">
        <v>1.49</v>
      </c>
      <c r="CD76">
        <v>1.26</v>
      </c>
      <c r="CE76">
        <v>1.27</v>
      </c>
      <c r="CF76">
        <v>1.1100000000000001</v>
      </c>
      <c r="CG76">
        <v>3.15</v>
      </c>
      <c r="CH76">
        <v>1.06</v>
      </c>
      <c r="CI76">
        <v>-0.24</v>
      </c>
      <c r="CJ76">
        <v>9591</v>
      </c>
      <c r="CK76">
        <v>13009</v>
      </c>
      <c r="CL76" t="s">
        <v>679</v>
      </c>
      <c r="CM76">
        <v>58.39</v>
      </c>
      <c r="CN76">
        <v>1.0900000000000001</v>
      </c>
      <c r="CO76">
        <v>10.95</v>
      </c>
      <c r="CP76">
        <v>78.8</v>
      </c>
      <c r="CQ76">
        <v>13.08</v>
      </c>
      <c r="CR76">
        <v>0</v>
      </c>
      <c r="CS76" t="s">
        <v>462</v>
      </c>
      <c r="CT76">
        <v>2.81</v>
      </c>
      <c r="CU76">
        <v>0</v>
      </c>
      <c r="CV76">
        <v>0.43</v>
      </c>
      <c r="CW76">
        <v>1.1599999999999999</v>
      </c>
      <c r="CX76">
        <v>0.39</v>
      </c>
      <c r="CY76">
        <v>59.57</v>
      </c>
      <c r="CZ76" t="s">
        <v>680</v>
      </c>
      <c r="DA76">
        <v>53.85</v>
      </c>
      <c r="DB76">
        <v>22.07</v>
      </c>
      <c r="DC76">
        <v>19.88</v>
      </c>
      <c r="DD76">
        <v>0.11</v>
      </c>
      <c r="DE76">
        <v>1063</v>
      </c>
      <c r="DF76">
        <v>403</v>
      </c>
      <c r="DG76" t="s">
        <v>116</v>
      </c>
      <c r="DH76" t="s">
        <v>116</v>
      </c>
      <c r="DI76" t="s">
        <v>116</v>
      </c>
    </row>
    <row r="77" spans="1:113" x14ac:dyDescent="0.4">
      <c r="A77" t="str">
        <f>"000404"</f>
        <v>000404</v>
      </c>
      <c r="B77" t="s">
        <v>681</v>
      </c>
      <c r="C77">
        <v>-0.77</v>
      </c>
      <c r="D77">
        <v>3.89</v>
      </c>
      <c r="E77">
        <v>-0.03</v>
      </c>
      <c r="F77">
        <v>3.89</v>
      </c>
      <c r="G77">
        <v>3.9</v>
      </c>
      <c r="H77">
        <v>52892</v>
      </c>
      <c r="I77">
        <v>210</v>
      </c>
      <c r="J77">
        <v>0</v>
      </c>
      <c r="K77">
        <v>0.76</v>
      </c>
      <c r="L77">
        <v>3.93</v>
      </c>
      <c r="M77">
        <v>3.94</v>
      </c>
      <c r="N77">
        <v>3.89</v>
      </c>
      <c r="O77">
        <v>3.92</v>
      </c>
      <c r="P77">
        <v>33.18</v>
      </c>
      <c r="Q77">
        <v>20723202</v>
      </c>
      <c r="R77">
        <v>0.95</v>
      </c>
      <c r="S77" t="s">
        <v>682</v>
      </c>
      <c r="T77" t="s">
        <v>683</v>
      </c>
      <c r="U77">
        <v>1.28</v>
      </c>
      <c r="V77">
        <v>3.92</v>
      </c>
      <c r="W77">
        <v>28266</v>
      </c>
      <c r="X77">
        <v>24626</v>
      </c>
      <c r="Y77">
        <v>1.1499999999999999</v>
      </c>
      <c r="Z77">
        <v>1196</v>
      </c>
      <c r="AA77">
        <v>475</v>
      </c>
      <c r="AB77" t="s">
        <v>116</v>
      </c>
      <c r="AC77">
        <v>13000</v>
      </c>
      <c r="AD77">
        <v>0</v>
      </c>
      <c r="AE77" t="s">
        <v>116</v>
      </c>
      <c r="AF77" t="s">
        <v>116</v>
      </c>
      <c r="AG77">
        <v>6.95</v>
      </c>
      <c r="AH77" t="s">
        <v>684</v>
      </c>
      <c r="AI77" t="s">
        <v>685</v>
      </c>
      <c r="AJ77">
        <v>-0.09</v>
      </c>
      <c r="AK77">
        <v>727</v>
      </c>
      <c r="AL77">
        <v>73</v>
      </c>
      <c r="AM77">
        <v>1E-3</v>
      </c>
      <c r="AN77">
        <v>-1</v>
      </c>
      <c r="AO77">
        <v>-0.27</v>
      </c>
      <c r="AP77">
        <v>2.91</v>
      </c>
      <c r="AQ77">
        <v>0.26</v>
      </c>
      <c r="AR77">
        <v>1.3</v>
      </c>
      <c r="AS77">
        <v>1.17</v>
      </c>
      <c r="AT77" t="s">
        <v>686</v>
      </c>
      <c r="AU77">
        <v>38.32</v>
      </c>
      <c r="AV77">
        <v>37.53</v>
      </c>
      <c r="AW77">
        <v>0.71</v>
      </c>
      <c r="BA77">
        <v>0.26</v>
      </c>
      <c r="BB77">
        <v>0.51</v>
      </c>
      <c r="BC77">
        <v>-0.77</v>
      </c>
      <c r="BD77">
        <v>-0.05</v>
      </c>
      <c r="BE77">
        <v>-1.02</v>
      </c>
      <c r="BF77">
        <v>-1.27</v>
      </c>
      <c r="BG77">
        <v>0</v>
      </c>
      <c r="BH77">
        <v>-0.72</v>
      </c>
      <c r="BI77">
        <v>20191018</v>
      </c>
      <c r="BJ77">
        <v>19960619</v>
      </c>
      <c r="BK77">
        <v>6.96</v>
      </c>
      <c r="BL77" t="s">
        <v>116</v>
      </c>
      <c r="BM77" t="s">
        <v>116</v>
      </c>
      <c r="BN77">
        <v>104.47</v>
      </c>
      <c r="BO77">
        <v>32.549999999999997</v>
      </c>
      <c r="BP77">
        <v>10.32</v>
      </c>
      <c r="BQ77">
        <v>58.96</v>
      </c>
      <c r="BR77">
        <v>81.42</v>
      </c>
      <c r="BS77">
        <v>15.62</v>
      </c>
      <c r="BT77">
        <v>2.98</v>
      </c>
      <c r="BU77">
        <v>57.36</v>
      </c>
      <c r="BV77">
        <v>11.68</v>
      </c>
      <c r="BW77">
        <v>16.86</v>
      </c>
      <c r="BX77">
        <v>15.82</v>
      </c>
      <c r="BY77">
        <v>69.44</v>
      </c>
      <c r="BZ77">
        <v>61.97</v>
      </c>
      <c r="CA77">
        <v>1.43</v>
      </c>
      <c r="CB77">
        <v>0.18</v>
      </c>
      <c r="CC77">
        <v>1.48</v>
      </c>
      <c r="CD77">
        <v>1.17</v>
      </c>
      <c r="CE77">
        <v>0.61</v>
      </c>
      <c r="CF77">
        <v>0.49</v>
      </c>
      <c r="CG77">
        <v>9.11</v>
      </c>
      <c r="CH77">
        <v>8.86</v>
      </c>
      <c r="CI77">
        <v>11.39</v>
      </c>
      <c r="CJ77">
        <v>33889</v>
      </c>
      <c r="CK77">
        <v>13364</v>
      </c>
      <c r="CL77" t="s">
        <v>518</v>
      </c>
      <c r="CM77">
        <v>-2.37</v>
      </c>
      <c r="CN77">
        <v>2.76</v>
      </c>
      <c r="CO77">
        <v>0.83</v>
      </c>
      <c r="CP77">
        <v>3.06</v>
      </c>
      <c r="CQ77">
        <v>0.39</v>
      </c>
      <c r="CR77">
        <v>0.51</v>
      </c>
      <c r="CS77" t="s">
        <v>687</v>
      </c>
      <c r="CT77">
        <v>4.68</v>
      </c>
      <c r="CU77">
        <v>0</v>
      </c>
      <c r="CV77">
        <v>2.27</v>
      </c>
      <c r="CW77">
        <v>1.31</v>
      </c>
      <c r="CX77">
        <v>1.27</v>
      </c>
      <c r="CY77">
        <v>31.16</v>
      </c>
      <c r="CZ77" t="s">
        <v>688</v>
      </c>
      <c r="DA77">
        <v>10.76</v>
      </c>
      <c r="DB77">
        <v>2.06</v>
      </c>
      <c r="DC77">
        <v>0.88</v>
      </c>
      <c r="DD77">
        <v>2.16</v>
      </c>
      <c r="DE77">
        <v>7737</v>
      </c>
      <c r="DF77">
        <v>404</v>
      </c>
      <c r="DG77" t="s">
        <v>116</v>
      </c>
      <c r="DH77" t="s">
        <v>116</v>
      </c>
      <c r="DI77" t="s">
        <v>116</v>
      </c>
    </row>
    <row r="78" spans="1:113" x14ac:dyDescent="0.4">
      <c r="A78" t="str">
        <f>"000407"</f>
        <v>000407</v>
      </c>
      <c r="B78" t="s">
        <v>689</v>
      </c>
      <c r="C78">
        <v>-0.85</v>
      </c>
      <c r="D78">
        <v>3.51</v>
      </c>
      <c r="E78">
        <v>-0.03</v>
      </c>
      <c r="F78">
        <v>3.5</v>
      </c>
      <c r="G78">
        <v>3.51</v>
      </c>
      <c r="H78">
        <v>76925</v>
      </c>
      <c r="I78">
        <v>451</v>
      </c>
      <c r="J78">
        <v>-0.27</v>
      </c>
      <c r="K78">
        <v>0.88</v>
      </c>
      <c r="L78">
        <v>3.53</v>
      </c>
      <c r="M78">
        <v>3.57</v>
      </c>
      <c r="N78">
        <v>3.5</v>
      </c>
      <c r="O78">
        <v>3.54</v>
      </c>
      <c r="P78">
        <v>20.02</v>
      </c>
      <c r="Q78">
        <v>27259598</v>
      </c>
      <c r="R78">
        <v>0.55000000000000004</v>
      </c>
      <c r="S78" t="s">
        <v>690</v>
      </c>
      <c r="T78" t="s">
        <v>645</v>
      </c>
      <c r="U78">
        <v>1.98</v>
      </c>
      <c r="V78">
        <v>3.54</v>
      </c>
      <c r="W78">
        <v>46942</v>
      </c>
      <c r="X78">
        <v>29983</v>
      </c>
      <c r="Y78">
        <v>1.57</v>
      </c>
      <c r="Z78">
        <v>2017</v>
      </c>
      <c r="AA78">
        <v>426</v>
      </c>
      <c r="AB78" t="s">
        <v>116</v>
      </c>
      <c r="AC78">
        <v>10200</v>
      </c>
      <c r="AD78">
        <v>0</v>
      </c>
      <c r="AE78" t="s">
        <v>116</v>
      </c>
      <c r="AF78" t="s">
        <v>116</v>
      </c>
      <c r="AG78">
        <v>8.76</v>
      </c>
      <c r="AH78" t="s">
        <v>691</v>
      </c>
      <c r="AI78" t="s">
        <v>692</v>
      </c>
      <c r="AJ78">
        <v>-0.17</v>
      </c>
      <c r="AK78">
        <v>773</v>
      </c>
      <c r="AL78">
        <v>100</v>
      </c>
      <c r="AM78">
        <v>1.1000000000000001E-3</v>
      </c>
      <c r="AN78">
        <v>-1</v>
      </c>
      <c r="AO78">
        <v>-2.78</v>
      </c>
      <c r="AP78">
        <v>3.54</v>
      </c>
      <c r="AQ78">
        <v>2.63</v>
      </c>
      <c r="AR78">
        <v>-5.9</v>
      </c>
      <c r="AS78">
        <v>1.17</v>
      </c>
      <c r="AT78" t="s">
        <v>693</v>
      </c>
      <c r="AU78">
        <v>24.15</v>
      </c>
      <c r="AV78">
        <v>30.13</v>
      </c>
      <c r="AW78">
        <v>0.81</v>
      </c>
      <c r="BA78">
        <v>-0.28000000000000003</v>
      </c>
      <c r="BB78">
        <v>0.85</v>
      </c>
      <c r="BC78">
        <v>-1.1299999999999999</v>
      </c>
      <c r="BD78">
        <v>0.1</v>
      </c>
      <c r="BE78">
        <v>-0.56999999999999995</v>
      </c>
      <c r="BF78">
        <v>-1.68</v>
      </c>
      <c r="BG78">
        <v>0.28999999999999998</v>
      </c>
      <c r="BH78">
        <v>-0.95</v>
      </c>
      <c r="BI78">
        <v>20191029</v>
      </c>
      <c r="BJ78">
        <v>19960703</v>
      </c>
      <c r="BK78">
        <v>8.8000000000000007</v>
      </c>
      <c r="BL78" t="s">
        <v>116</v>
      </c>
      <c r="BM78" t="s">
        <v>116</v>
      </c>
      <c r="BN78">
        <v>63.69</v>
      </c>
      <c r="BO78">
        <v>24.07</v>
      </c>
      <c r="BP78">
        <v>5.04</v>
      </c>
      <c r="BQ78">
        <v>54.29</v>
      </c>
      <c r="BR78">
        <v>20.04</v>
      </c>
      <c r="BS78">
        <v>14.86</v>
      </c>
      <c r="BT78">
        <v>1.1399999999999999</v>
      </c>
      <c r="BU78">
        <v>28.28</v>
      </c>
      <c r="BV78">
        <v>4.01</v>
      </c>
      <c r="BW78">
        <v>4.18</v>
      </c>
      <c r="BX78">
        <v>10.119999999999999</v>
      </c>
      <c r="BY78">
        <v>39.869999999999997</v>
      </c>
      <c r="BZ78">
        <v>34.08</v>
      </c>
      <c r="CA78">
        <v>2.39</v>
      </c>
      <c r="CB78">
        <v>0.28000000000000003</v>
      </c>
      <c r="CC78">
        <v>2.39</v>
      </c>
      <c r="CD78">
        <v>1.74</v>
      </c>
      <c r="CE78">
        <v>1.1599999999999999</v>
      </c>
      <c r="CF78">
        <v>1.07</v>
      </c>
      <c r="CG78">
        <v>3.69</v>
      </c>
      <c r="CH78">
        <v>4.3499999999999996</v>
      </c>
      <c r="CI78">
        <v>-0.87</v>
      </c>
      <c r="CJ78">
        <v>50465</v>
      </c>
      <c r="CK78">
        <v>13016</v>
      </c>
      <c r="CL78" t="s">
        <v>694</v>
      </c>
      <c r="CM78">
        <v>28.1</v>
      </c>
      <c r="CN78">
        <v>26.58</v>
      </c>
      <c r="CO78">
        <v>1.28</v>
      </c>
      <c r="CP78">
        <v>7.1</v>
      </c>
      <c r="CQ78">
        <v>0.77</v>
      </c>
      <c r="CR78">
        <v>0</v>
      </c>
      <c r="CS78" t="s">
        <v>512</v>
      </c>
      <c r="CT78">
        <v>2.74</v>
      </c>
      <c r="CU78">
        <v>0</v>
      </c>
      <c r="CV78">
        <v>1.1499999999999999</v>
      </c>
      <c r="CW78">
        <v>0.42</v>
      </c>
      <c r="CX78">
        <v>0.49</v>
      </c>
      <c r="CY78">
        <v>37.799999999999997</v>
      </c>
      <c r="CZ78" t="s">
        <v>695</v>
      </c>
      <c r="DA78">
        <v>14.53</v>
      </c>
      <c r="DB78">
        <v>5.98</v>
      </c>
      <c r="DC78">
        <v>2.9</v>
      </c>
      <c r="DD78">
        <v>0.1</v>
      </c>
      <c r="DE78">
        <v>2001</v>
      </c>
      <c r="DF78">
        <v>407</v>
      </c>
      <c r="DG78" t="s">
        <v>116</v>
      </c>
      <c r="DH78" t="s">
        <v>116</v>
      </c>
      <c r="DI78" t="s">
        <v>116</v>
      </c>
    </row>
    <row r="79" spans="1:113" x14ac:dyDescent="0.4">
      <c r="A79" t="str">
        <f>"000408"</f>
        <v>000408</v>
      </c>
      <c r="B79" t="s">
        <v>696</v>
      </c>
      <c r="C79">
        <v>1.39</v>
      </c>
      <c r="D79">
        <v>7.3</v>
      </c>
      <c r="E79">
        <v>0.1</v>
      </c>
      <c r="F79">
        <v>7.29</v>
      </c>
      <c r="G79">
        <v>7.3</v>
      </c>
      <c r="H79">
        <v>88540</v>
      </c>
      <c r="I79">
        <v>695</v>
      </c>
      <c r="J79">
        <v>0.14000000000000001</v>
      </c>
      <c r="K79">
        <v>1.87</v>
      </c>
      <c r="L79">
        <v>7.18</v>
      </c>
      <c r="M79">
        <v>7.44</v>
      </c>
      <c r="N79">
        <v>7.17</v>
      </c>
      <c r="O79">
        <v>7.2</v>
      </c>
      <c r="P79">
        <v>31</v>
      </c>
      <c r="Q79">
        <v>64793832</v>
      </c>
      <c r="R79">
        <v>1.44</v>
      </c>
      <c r="S79" t="s">
        <v>697</v>
      </c>
      <c r="T79" t="s">
        <v>698</v>
      </c>
      <c r="U79">
        <v>3.75</v>
      </c>
      <c r="V79">
        <v>7.32</v>
      </c>
      <c r="W79">
        <v>44415</v>
      </c>
      <c r="X79">
        <v>44125</v>
      </c>
      <c r="Y79">
        <v>1.01</v>
      </c>
      <c r="Z79">
        <v>353</v>
      </c>
      <c r="AA79">
        <v>126</v>
      </c>
      <c r="AB79" t="s">
        <v>116</v>
      </c>
      <c r="AC79">
        <v>79000</v>
      </c>
      <c r="AD79">
        <v>0</v>
      </c>
      <c r="AE79" t="s">
        <v>116</v>
      </c>
      <c r="AF79" t="s">
        <v>116</v>
      </c>
      <c r="AG79">
        <v>4.7300000000000004</v>
      </c>
      <c r="AH79" t="s">
        <v>699</v>
      </c>
      <c r="AI79" t="s">
        <v>700</v>
      </c>
      <c r="AJ79">
        <v>2.0699999999999998</v>
      </c>
      <c r="AK79">
        <v>1546</v>
      </c>
      <c r="AL79">
        <v>57</v>
      </c>
      <c r="AM79">
        <v>1.1999999999999999E-3</v>
      </c>
      <c r="AN79">
        <v>1</v>
      </c>
      <c r="AO79">
        <v>-0.81</v>
      </c>
      <c r="AP79">
        <v>-15.8</v>
      </c>
      <c r="AQ79">
        <v>-14.72</v>
      </c>
      <c r="AR79">
        <v>-34.94</v>
      </c>
      <c r="AS79">
        <v>1.87</v>
      </c>
      <c r="AT79" t="s">
        <v>699</v>
      </c>
      <c r="AU79">
        <v>32.42</v>
      </c>
      <c r="AV79">
        <v>17.12</v>
      </c>
      <c r="AW79">
        <v>0.72</v>
      </c>
      <c r="BA79">
        <v>-0.28000000000000003</v>
      </c>
      <c r="BB79">
        <v>3.33</v>
      </c>
      <c r="BC79">
        <v>-0.42</v>
      </c>
      <c r="BD79">
        <v>1.64</v>
      </c>
      <c r="BE79">
        <v>1.67</v>
      </c>
      <c r="BF79">
        <v>-1.88</v>
      </c>
      <c r="BG79">
        <v>1.81</v>
      </c>
      <c r="BH79">
        <v>-0.25</v>
      </c>
      <c r="BI79">
        <v>20191112</v>
      </c>
      <c r="BJ79">
        <v>19960628</v>
      </c>
      <c r="BK79">
        <v>19.940000000000001</v>
      </c>
      <c r="BL79" t="s">
        <v>116</v>
      </c>
      <c r="BM79" t="s">
        <v>116</v>
      </c>
      <c r="BN79">
        <v>98.12</v>
      </c>
      <c r="BO79">
        <v>78.02</v>
      </c>
      <c r="BP79">
        <v>0</v>
      </c>
      <c r="BQ79">
        <v>20.49</v>
      </c>
      <c r="BR79">
        <v>22.73</v>
      </c>
      <c r="BS79">
        <v>29.48</v>
      </c>
      <c r="BT79">
        <v>3.16</v>
      </c>
      <c r="BU79">
        <v>19.829999999999998</v>
      </c>
      <c r="BV79">
        <v>5.41</v>
      </c>
      <c r="BW79">
        <v>11.37</v>
      </c>
      <c r="BX79">
        <v>11.21</v>
      </c>
      <c r="BY79">
        <v>11.6</v>
      </c>
      <c r="BZ79">
        <v>3.91</v>
      </c>
      <c r="CA79">
        <v>4.18</v>
      </c>
      <c r="CB79">
        <v>0.04</v>
      </c>
      <c r="CC79">
        <v>4.2</v>
      </c>
      <c r="CD79">
        <v>3.52</v>
      </c>
      <c r="CE79">
        <v>3.52</v>
      </c>
      <c r="CF79">
        <v>3.12</v>
      </c>
      <c r="CG79">
        <v>42.28</v>
      </c>
      <c r="CH79">
        <v>1.77</v>
      </c>
      <c r="CI79">
        <v>-0.21</v>
      </c>
      <c r="CJ79">
        <v>27033</v>
      </c>
      <c r="CK79">
        <v>17515</v>
      </c>
      <c r="CL79" t="s">
        <v>701</v>
      </c>
      <c r="CM79">
        <v>-53.26</v>
      </c>
      <c r="CN79">
        <v>-36.76</v>
      </c>
      <c r="CO79">
        <v>1.87</v>
      </c>
      <c r="CP79">
        <v>82.24</v>
      </c>
      <c r="CQ79">
        <v>12.54</v>
      </c>
      <c r="CR79">
        <v>0</v>
      </c>
      <c r="CS79" t="s">
        <v>702</v>
      </c>
      <c r="CT79">
        <v>3.91</v>
      </c>
      <c r="CU79">
        <v>0</v>
      </c>
      <c r="CV79">
        <v>0.56000000000000005</v>
      </c>
      <c r="CW79">
        <v>2.12</v>
      </c>
      <c r="CX79">
        <v>0.09</v>
      </c>
      <c r="CY79">
        <v>79.510000000000005</v>
      </c>
      <c r="CZ79" t="s">
        <v>703</v>
      </c>
      <c r="DA79">
        <v>66.28</v>
      </c>
      <c r="DB79">
        <v>36.049999999999997</v>
      </c>
      <c r="DC79">
        <v>30.35</v>
      </c>
      <c r="DD79">
        <v>0.01</v>
      </c>
      <c r="DE79">
        <v>1710</v>
      </c>
      <c r="DF79">
        <v>408</v>
      </c>
      <c r="DG79" t="s">
        <v>116</v>
      </c>
      <c r="DH79" t="s">
        <v>116</v>
      </c>
      <c r="DI79" t="s">
        <v>116</v>
      </c>
    </row>
    <row r="80" spans="1:113" x14ac:dyDescent="0.4">
      <c r="A80" t="str">
        <f>"000409"</f>
        <v>000409</v>
      </c>
      <c r="B80" t="s">
        <v>704</v>
      </c>
      <c r="C80">
        <v>-1.98</v>
      </c>
      <c r="D80">
        <v>4.9400000000000004</v>
      </c>
      <c r="E80">
        <v>-0.1</v>
      </c>
      <c r="F80">
        <v>4.9400000000000004</v>
      </c>
      <c r="G80">
        <v>4.95</v>
      </c>
      <c r="H80">
        <v>41198</v>
      </c>
      <c r="I80">
        <v>205</v>
      </c>
      <c r="J80">
        <v>0</v>
      </c>
      <c r="K80">
        <v>1.02</v>
      </c>
      <c r="L80">
        <v>5.01</v>
      </c>
      <c r="M80">
        <v>5.12</v>
      </c>
      <c r="N80">
        <v>4.91</v>
      </c>
      <c r="O80">
        <v>5.04</v>
      </c>
      <c r="P80" t="s">
        <v>116</v>
      </c>
      <c r="Q80">
        <v>20695720</v>
      </c>
      <c r="R80">
        <v>0.83</v>
      </c>
      <c r="S80" t="s">
        <v>173</v>
      </c>
      <c r="T80" t="s">
        <v>645</v>
      </c>
      <c r="U80">
        <v>4.17</v>
      </c>
      <c r="V80">
        <v>5.0199999999999996</v>
      </c>
      <c r="W80">
        <v>23200</v>
      </c>
      <c r="X80">
        <v>17998</v>
      </c>
      <c r="Y80">
        <v>1.29</v>
      </c>
      <c r="Z80">
        <v>63</v>
      </c>
      <c r="AA80">
        <v>187</v>
      </c>
      <c r="AB80" t="s">
        <v>116</v>
      </c>
      <c r="AC80">
        <v>0</v>
      </c>
      <c r="AD80">
        <v>0</v>
      </c>
      <c r="AE80" t="s">
        <v>116</v>
      </c>
      <c r="AF80" t="s">
        <v>116</v>
      </c>
      <c r="AG80">
        <v>4.0599999999999996</v>
      </c>
      <c r="AH80" t="s">
        <v>705</v>
      </c>
      <c r="AI80" t="s">
        <v>706</v>
      </c>
      <c r="AJ80">
        <v>-1.31</v>
      </c>
      <c r="AK80">
        <v>532</v>
      </c>
      <c r="AL80">
        <v>77</v>
      </c>
      <c r="AM80">
        <v>1.9E-3</v>
      </c>
      <c r="AN80">
        <v>-1</v>
      </c>
      <c r="AO80">
        <v>-1.98</v>
      </c>
      <c r="AP80">
        <v>6.93</v>
      </c>
      <c r="AQ80">
        <v>-13.03</v>
      </c>
      <c r="AR80">
        <v>-12.72</v>
      </c>
      <c r="AS80">
        <v>1.21</v>
      </c>
      <c r="AT80" t="s">
        <v>707</v>
      </c>
      <c r="AU80" t="s">
        <v>116</v>
      </c>
      <c r="AV80">
        <v>81.47</v>
      </c>
      <c r="AW80">
        <v>0.56999999999999995</v>
      </c>
      <c r="BA80">
        <v>-0.6</v>
      </c>
      <c r="BB80">
        <v>1.59</v>
      </c>
      <c r="BC80">
        <v>-2.58</v>
      </c>
      <c r="BD80">
        <v>-0.33</v>
      </c>
      <c r="BE80">
        <v>-1.4</v>
      </c>
      <c r="BF80">
        <v>-3.52</v>
      </c>
      <c r="BG80">
        <v>0.61</v>
      </c>
      <c r="BH80">
        <v>-1.66</v>
      </c>
      <c r="BI80">
        <v>20191031</v>
      </c>
      <c r="BJ80">
        <v>19960627</v>
      </c>
      <c r="BK80">
        <v>5.1100000000000003</v>
      </c>
      <c r="BL80" t="s">
        <v>116</v>
      </c>
      <c r="BM80" t="s">
        <v>116</v>
      </c>
      <c r="BN80">
        <v>46.32</v>
      </c>
      <c r="BO80">
        <v>7.3</v>
      </c>
      <c r="BP80">
        <v>9.4700000000000006</v>
      </c>
      <c r="BQ80">
        <v>63.78</v>
      </c>
      <c r="BR80">
        <v>28.27</v>
      </c>
      <c r="BS80">
        <v>6.72</v>
      </c>
      <c r="BT80">
        <v>5.51</v>
      </c>
      <c r="BU80">
        <v>25.86</v>
      </c>
      <c r="BV80">
        <v>9.8000000000000007</v>
      </c>
      <c r="BW80">
        <v>2.64</v>
      </c>
      <c r="BX80">
        <v>6.69</v>
      </c>
      <c r="BY80">
        <v>17.309999999999999</v>
      </c>
      <c r="BZ80">
        <v>16.91</v>
      </c>
      <c r="CA80">
        <v>-4.72</v>
      </c>
      <c r="CB80">
        <v>-0.15</v>
      </c>
      <c r="CC80">
        <v>-4.75</v>
      </c>
      <c r="CD80">
        <v>-4.74</v>
      </c>
      <c r="CE80">
        <v>-2.56</v>
      </c>
      <c r="CF80">
        <v>-2.54</v>
      </c>
      <c r="CG80">
        <v>-4.5</v>
      </c>
      <c r="CH80">
        <v>-0.7</v>
      </c>
      <c r="CI80">
        <v>4.3600000000000003</v>
      </c>
      <c r="CJ80">
        <v>33199</v>
      </c>
      <c r="CK80">
        <v>10237</v>
      </c>
      <c r="CL80" t="s">
        <v>708</v>
      </c>
      <c r="CM80">
        <v>-596.76</v>
      </c>
      <c r="CN80">
        <v>78.87</v>
      </c>
      <c r="CO80">
        <v>3.46</v>
      </c>
      <c r="CP80">
        <v>-36.159999999999997</v>
      </c>
      <c r="CQ80">
        <v>1.46</v>
      </c>
      <c r="CR80">
        <v>0</v>
      </c>
      <c r="CS80" t="s">
        <v>709</v>
      </c>
      <c r="CT80">
        <v>1.43</v>
      </c>
      <c r="CU80">
        <v>0</v>
      </c>
      <c r="CV80">
        <v>1.31</v>
      </c>
      <c r="CW80">
        <v>-0.88</v>
      </c>
      <c r="CX80">
        <v>-0.14000000000000001</v>
      </c>
      <c r="CY80">
        <v>15.76</v>
      </c>
      <c r="CZ80" t="s">
        <v>710</v>
      </c>
      <c r="DA80">
        <v>2.3199999999999998</v>
      </c>
      <c r="DB80">
        <v>-27.27</v>
      </c>
      <c r="DC80">
        <v>-14.76</v>
      </c>
      <c r="DD80">
        <v>0</v>
      </c>
      <c r="DE80">
        <v>1548</v>
      </c>
      <c r="DF80">
        <v>409</v>
      </c>
      <c r="DG80" t="s">
        <v>116</v>
      </c>
      <c r="DH80" t="s">
        <v>116</v>
      </c>
      <c r="DI80" t="s">
        <v>116</v>
      </c>
    </row>
    <row r="81" spans="1:113" x14ac:dyDescent="0.4">
      <c r="A81" t="str">
        <f>"000410"</f>
        <v>000410</v>
      </c>
      <c r="B81" t="s">
        <v>711</v>
      </c>
      <c r="C81">
        <v>-0.28999999999999998</v>
      </c>
      <c r="D81">
        <v>6.88</v>
      </c>
      <c r="E81">
        <v>-0.02</v>
      </c>
      <c r="F81">
        <v>6.88</v>
      </c>
      <c r="G81">
        <v>6.89</v>
      </c>
      <c r="H81">
        <v>46748</v>
      </c>
      <c r="I81">
        <v>1253</v>
      </c>
      <c r="J81">
        <v>-0.14000000000000001</v>
      </c>
      <c r="K81">
        <v>0.28000000000000003</v>
      </c>
      <c r="L81">
        <v>6.89</v>
      </c>
      <c r="M81">
        <v>6.96</v>
      </c>
      <c r="N81">
        <v>6.85</v>
      </c>
      <c r="O81">
        <v>6.9</v>
      </c>
      <c r="P81" t="s">
        <v>116</v>
      </c>
      <c r="Q81">
        <v>32229752</v>
      </c>
      <c r="R81">
        <v>0.51</v>
      </c>
      <c r="S81" t="s">
        <v>712</v>
      </c>
      <c r="T81" t="s">
        <v>434</v>
      </c>
      <c r="U81">
        <v>1.59</v>
      </c>
      <c r="V81">
        <v>6.89</v>
      </c>
      <c r="W81">
        <v>27209</v>
      </c>
      <c r="X81">
        <v>19539</v>
      </c>
      <c r="Y81">
        <v>1.39</v>
      </c>
      <c r="Z81">
        <v>1278</v>
      </c>
      <c r="AA81">
        <v>772</v>
      </c>
      <c r="AB81" t="s">
        <v>116</v>
      </c>
      <c r="AC81">
        <v>52400</v>
      </c>
      <c r="AD81">
        <v>0</v>
      </c>
      <c r="AE81" t="s">
        <v>116</v>
      </c>
      <c r="AF81" t="s">
        <v>116</v>
      </c>
      <c r="AG81">
        <v>16.809999999999999</v>
      </c>
      <c r="AH81" t="s">
        <v>713</v>
      </c>
      <c r="AI81" t="s">
        <v>714</v>
      </c>
      <c r="AJ81">
        <v>0.39</v>
      </c>
      <c r="AK81">
        <v>1081</v>
      </c>
      <c r="AL81">
        <v>43</v>
      </c>
      <c r="AM81">
        <v>2.9999999999999997E-4</v>
      </c>
      <c r="AN81">
        <v>-2</v>
      </c>
      <c r="AO81">
        <v>0</v>
      </c>
      <c r="AP81">
        <v>4.08</v>
      </c>
      <c r="AQ81">
        <v>4.08</v>
      </c>
      <c r="AR81">
        <v>9.0299999999999994</v>
      </c>
      <c r="AS81">
        <v>0.49</v>
      </c>
      <c r="AT81" t="s">
        <v>715</v>
      </c>
      <c r="AU81" t="s">
        <v>116</v>
      </c>
      <c r="AV81" t="s">
        <v>116</v>
      </c>
      <c r="AW81">
        <v>0.45</v>
      </c>
      <c r="BA81">
        <v>-0.14000000000000001</v>
      </c>
      <c r="BB81">
        <v>0.87</v>
      </c>
      <c r="BC81">
        <v>-0.72</v>
      </c>
      <c r="BD81">
        <v>-0.08</v>
      </c>
      <c r="BE81">
        <v>-0.15</v>
      </c>
      <c r="BF81">
        <v>-1.1499999999999999</v>
      </c>
      <c r="BG81">
        <v>0.44</v>
      </c>
      <c r="BH81">
        <v>-0.21</v>
      </c>
      <c r="BI81">
        <v>20191220</v>
      </c>
      <c r="BJ81">
        <v>19960718</v>
      </c>
      <c r="BK81">
        <v>16.84</v>
      </c>
      <c r="BL81" t="s">
        <v>116</v>
      </c>
      <c r="BM81" t="s">
        <v>116</v>
      </c>
      <c r="BN81">
        <v>147.19999999999999</v>
      </c>
      <c r="BO81">
        <v>-26.1</v>
      </c>
      <c r="BP81">
        <v>1.54</v>
      </c>
      <c r="BQ81">
        <v>116.69</v>
      </c>
      <c r="BR81">
        <v>102.69</v>
      </c>
      <c r="BS81">
        <v>30.74</v>
      </c>
      <c r="BT81">
        <v>7.44</v>
      </c>
      <c r="BU81">
        <v>162.25</v>
      </c>
      <c r="BV81">
        <v>58.61</v>
      </c>
      <c r="BW81">
        <v>32.43</v>
      </c>
      <c r="BX81">
        <v>12.22</v>
      </c>
      <c r="BY81">
        <v>9.44</v>
      </c>
      <c r="BZ81">
        <v>13.93</v>
      </c>
      <c r="CA81">
        <v>-25.29</v>
      </c>
      <c r="CB81">
        <v>-0.01</v>
      </c>
      <c r="CC81">
        <v>-25.76</v>
      </c>
      <c r="CD81">
        <v>-25.8</v>
      </c>
      <c r="CE81">
        <v>-25.55</v>
      </c>
      <c r="CF81">
        <v>-25.39</v>
      </c>
      <c r="CG81">
        <v>-47.17</v>
      </c>
      <c r="CH81">
        <v>1.74</v>
      </c>
      <c r="CI81">
        <v>1.94</v>
      </c>
      <c r="CJ81">
        <v>99757</v>
      </c>
      <c r="CK81">
        <v>9475</v>
      </c>
      <c r="CL81" t="s">
        <v>716</v>
      </c>
      <c r="CM81">
        <v>-1357.25</v>
      </c>
      <c r="CN81">
        <v>-77.56</v>
      </c>
      <c r="CO81">
        <v>-4.4400000000000004</v>
      </c>
      <c r="CP81">
        <v>66.52</v>
      </c>
      <c r="CQ81">
        <v>12.28</v>
      </c>
      <c r="CR81">
        <v>0</v>
      </c>
      <c r="CS81" t="s">
        <v>717</v>
      </c>
      <c r="CT81">
        <v>-1.55</v>
      </c>
      <c r="CU81">
        <v>0</v>
      </c>
      <c r="CV81">
        <v>0.73</v>
      </c>
      <c r="CW81">
        <v>-2.8</v>
      </c>
      <c r="CX81">
        <v>0.1</v>
      </c>
      <c r="CY81">
        <v>-17.73</v>
      </c>
      <c r="CZ81" t="s">
        <v>116</v>
      </c>
      <c r="DA81">
        <v>-47.66</v>
      </c>
      <c r="DB81">
        <v>-267.97000000000003</v>
      </c>
      <c r="DC81">
        <v>-270.77</v>
      </c>
      <c r="DD81">
        <v>0.82</v>
      </c>
      <c r="DE81">
        <v>8338</v>
      </c>
      <c r="DF81">
        <v>410</v>
      </c>
      <c r="DG81" t="s">
        <v>116</v>
      </c>
      <c r="DH81" t="s">
        <v>116</v>
      </c>
      <c r="DI81" t="s">
        <v>116</v>
      </c>
    </row>
    <row r="82" spans="1:113" x14ac:dyDescent="0.4">
      <c r="A82" t="str">
        <f>"000411"</f>
        <v>000411</v>
      </c>
      <c r="B82" t="s">
        <v>718</v>
      </c>
      <c r="C82">
        <v>-0.33</v>
      </c>
      <c r="D82">
        <v>11.96</v>
      </c>
      <c r="E82">
        <v>-0.04</v>
      </c>
      <c r="F82">
        <v>11.96</v>
      </c>
      <c r="G82">
        <v>11.97</v>
      </c>
      <c r="H82">
        <v>13682</v>
      </c>
      <c r="I82">
        <v>118</v>
      </c>
      <c r="J82">
        <v>0.08</v>
      </c>
      <c r="K82">
        <v>0.66</v>
      </c>
      <c r="L82">
        <v>12.05</v>
      </c>
      <c r="M82">
        <v>12.12</v>
      </c>
      <c r="N82">
        <v>11.92</v>
      </c>
      <c r="O82">
        <v>12</v>
      </c>
      <c r="P82">
        <v>18.11</v>
      </c>
      <c r="Q82">
        <v>16479074</v>
      </c>
      <c r="R82">
        <v>1.1399999999999999</v>
      </c>
      <c r="S82" t="s">
        <v>278</v>
      </c>
      <c r="T82" t="s">
        <v>590</v>
      </c>
      <c r="U82">
        <v>1.67</v>
      </c>
      <c r="V82">
        <v>12.04</v>
      </c>
      <c r="W82">
        <v>7831</v>
      </c>
      <c r="X82">
        <v>5851</v>
      </c>
      <c r="Y82">
        <v>1.34</v>
      </c>
      <c r="Z82">
        <v>49</v>
      </c>
      <c r="AA82">
        <v>76</v>
      </c>
      <c r="AB82" t="s">
        <v>116</v>
      </c>
      <c r="AC82">
        <v>109700</v>
      </c>
      <c r="AD82">
        <v>0.01</v>
      </c>
      <c r="AE82" t="s">
        <v>116</v>
      </c>
      <c r="AF82" t="s">
        <v>116</v>
      </c>
      <c r="AG82">
        <v>2.0699999999999998</v>
      </c>
      <c r="AH82" t="s">
        <v>719</v>
      </c>
      <c r="AI82" t="s">
        <v>720</v>
      </c>
      <c r="AJ82">
        <v>0.35</v>
      </c>
      <c r="AK82">
        <v>764</v>
      </c>
      <c r="AL82">
        <v>18</v>
      </c>
      <c r="AM82">
        <v>8.9999999999999998E-4</v>
      </c>
      <c r="AN82">
        <v>-1</v>
      </c>
      <c r="AO82">
        <v>0.01</v>
      </c>
      <c r="AP82">
        <v>3.91</v>
      </c>
      <c r="AQ82">
        <v>-9.74</v>
      </c>
      <c r="AR82">
        <v>-4.4000000000000004</v>
      </c>
      <c r="AS82">
        <v>1.46</v>
      </c>
      <c r="AT82" t="s">
        <v>721</v>
      </c>
      <c r="AU82">
        <v>20.93</v>
      </c>
      <c r="AV82">
        <v>31.72</v>
      </c>
      <c r="AW82">
        <v>1.07</v>
      </c>
      <c r="BA82">
        <v>0.42</v>
      </c>
      <c r="BB82">
        <v>1</v>
      </c>
      <c r="BC82">
        <v>-0.67</v>
      </c>
      <c r="BD82">
        <v>0.37</v>
      </c>
      <c r="BE82">
        <v>-0.75</v>
      </c>
      <c r="BF82">
        <v>-1.32</v>
      </c>
      <c r="BG82">
        <v>0.34</v>
      </c>
      <c r="BH82">
        <v>-0.7</v>
      </c>
      <c r="BI82">
        <v>20191211</v>
      </c>
      <c r="BJ82">
        <v>19960716</v>
      </c>
      <c r="BK82">
        <v>2.4900000000000002</v>
      </c>
      <c r="BL82" t="s">
        <v>116</v>
      </c>
      <c r="BM82" t="s">
        <v>116</v>
      </c>
      <c r="BN82">
        <v>117.18</v>
      </c>
      <c r="BO82">
        <v>14.89</v>
      </c>
      <c r="BP82">
        <v>14.14</v>
      </c>
      <c r="BQ82">
        <v>75.22</v>
      </c>
      <c r="BR82">
        <v>105.23</v>
      </c>
      <c r="BS82">
        <v>5.6</v>
      </c>
      <c r="BT82">
        <v>1.06</v>
      </c>
      <c r="BU82">
        <v>84.61</v>
      </c>
      <c r="BV82">
        <v>26.2</v>
      </c>
      <c r="BW82">
        <v>59.78</v>
      </c>
      <c r="BX82">
        <v>4.53</v>
      </c>
      <c r="BY82">
        <v>183.13</v>
      </c>
      <c r="BZ82">
        <v>171.07</v>
      </c>
      <c r="CA82">
        <v>3.72</v>
      </c>
      <c r="CB82">
        <v>0</v>
      </c>
      <c r="CC82">
        <v>3.73</v>
      </c>
      <c r="CD82">
        <v>2.78</v>
      </c>
      <c r="CE82">
        <v>1.23</v>
      </c>
      <c r="CF82">
        <v>0.96</v>
      </c>
      <c r="CG82">
        <v>7.62</v>
      </c>
      <c r="CH82">
        <v>-6.32</v>
      </c>
      <c r="CI82">
        <v>-3.43</v>
      </c>
      <c r="CJ82">
        <v>11293</v>
      </c>
      <c r="CK82">
        <v>8320</v>
      </c>
      <c r="CL82" t="s">
        <v>722</v>
      </c>
      <c r="CM82">
        <v>64.7</v>
      </c>
      <c r="CN82">
        <v>19.96</v>
      </c>
      <c r="CO82">
        <v>2</v>
      </c>
      <c r="CP82">
        <v>-4.71</v>
      </c>
      <c r="CQ82">
        <v>0.16</v>
      </c>
      <c r="CR82">
        <v>0.91</v>
      </c>
      <c r="CS82" t="s">
        <v>723</v>
      </c>
      <c r="CT82">
        <v>5.98</v>
      </c>
      <c r="CU82">
        <v>0</v>
      </c>
      <c r="CV82">
        <v>1.82</v>
      </c>
      <c r="CW82">
        <v>3.06</v>
      </c>
      <c r="CX82">
        <v>-2.54</v>
      </c>
      <c r="CY82">
        <v>12.71</v>
      </c>
      <c r="CZ82" t="s">
        <v>724</v>
      </c>
      <c r="DA82">
        <v>6.59</v>
      </c>
      <c r="DB82">
        <v>2.0299999999999998</v>
      </c>
      <c r="DC82">
        <v>0.67</v>
      </c>
      <c r="DD82">
        <v>0.01</v>
      </c>
      <c r="DE82">
        <v>2400</v>
      </c>
      <c r="DF82">
        <v>411</v>
      </c>
      <c r="DG82" t="s">
        <v>116</v>
      </c>
      <c r="DH82" t="s">
        <v>116</v>
      </c>
      <c r="DI82" t="s">
        <v>116</v>
      </c>
    </row>
    <row r="83" spans="1:113" x14ac:dyDescent="0.4">
      <c r="A83" t="str">
        <f>"000413"</f>
        <v>000413</v>
      </c>
      <c r="B83" t="s">
        <v>725</v>
      </c>
      <c r="C83">
        <v>3.53</v>
      </c>
      <c r="D83">
        <v>3.52</v>
      </c>
      <c r="E83">
        <v>0.12</v>
      </c>
      <c r="F83">
        <v>3.52</v>
      </c>
      <c r="G83">
        <v>3.53</v>
      </c>
      <c r="H83">
        <v>2810776</v>
      </c>
      <c r="I83">
        <v>18646</v>
      </c>
      <c r="J83">
        <v>-0.27</v>
      </c>
      <c r="K83">
        <v>5.78</v>
      </c>
      <c r="L83">
        <v>3.4</v>
      </c>
      <c r="M83">
        <v>3.62</v>
      </c>
      <c r="N83">
        <v>3.38</v>
      </c>
      <c r="O83">
        <v>3.4</v>
      </c>
      <c r="P83">
        <v>13.33</v>
      </c>
      <c r="Q83">
        <v>995629952</v>
      </c>
      <c r="R83">
        <v>1.79</v>
      </c>
      <c r="S83" t="s">
        <v>233</v>
      </c>
      <c r="T83" t="s">
        <v>608</v>
      </c>
      <c r="U83">
        <v>7.06</v>
      </c>
      <c r="V83">
        <v>3.54</v>
      </c>
      <c r="W83">
        <v>1304877</v>
      </c>
      <c r="X83">
        <v>1505898</v>
      </c>
      <c r="Y83">
        <v>0.87</v>
      </c>
      <c r="Z83">
        <v>34374</v>
      </c>
      <c r="AA83">
        <v>10026</v>
      </c>
      <c r="AB83" t="s">
        <v>116</v>
      </c>
      <c r="AC83">
        <v>5547801</v>
      </c>
      <c r="AD83">
        <v>0.04</v>
      </c>
      <c r="AE83" t="s">
        <v>116</v>
      </c>
      <c r="AF83" t="s">
        <v>116</v>
      </c>
      <c r="AG83">
        <v>48.64</v>
      </c>
      <c r="AH83" t="s">
        <v>726</v>
      </c>
      <c r="AI83" t="s">
        <v>727</v>
      </c>
      <c r="AJ83">
        <v>4.21</v>
      </c>
      <c r="AK83">
        <v>4673</v>
      </c>
      <c r="AL83">
        <v>601</v>
      </c>
      <c r="AM83">
        <v>1.1999999999999999E-3</v>
      </c>
      <c r="AN83">
        <v>1</v>
      </c>
      <c r="AO83">
        <v>1.74</v>
      </c>
      <c r="AP83">
        <v>-26.67</v>
      </c>
      <c r="AQ83">
        <v>-39.409999999999997</v>
      </c>
      <c r="AR83">
        <v>-20.54</v>
      </c>
      <c r="AS83">
        <v>7.08</v>
      </c>
      <c r="AT83" t="s">
        <v>728</v>
      </c>
      <c r="AU83">
        <v>10.17</v>
      </c>
      <c r="AV83">
        <v>9.32</v>
      </c>
      <c r="AW83">
        <v>1.23</v>
      </c>
      <c r="BA83">
        <v>0</v>
      </c>
      <c r="BB83">
        <v>6.47</v>
      </c>
      <c r="BC83">
        <v>-0.59</v>
      </c>
      <c r="BD83">
        <v>4.18</v>
      </c>
      <c r="BE83">
        <v>3.53</v>
      </c>
      <c r="BF83">
        <v>-2.76</v>
      </c>
      <c r="BG83">
        <v>4.1399999999999997</v>
      </c>
      <c r="BH83">
        <v>-0.65</v>
      </c>
      <c r="BI83">
        <v>20191226</v>
      </c>
      <c r="BJ83">
        <v>19960925</v>
      </c>
      <c r="BK83">
        <v>57.3</v>
      </c>
      <c r="BL83">
        <v>2.5</v>
      </c>
      <c r="BM83" t="s">
        <v>116</v>
      </c>
      <c r="BN83">
        <v>724.4</v>
      </c>
      <c r="BO83">
        <v>332.82</v>
      </c>
      <c r="BP83">
        <v>9.98</v>
      </c>
      <c r="BQ83">
        <v>52.68</v>
      </c>
      <c r="BR83">
        <v>444.89</v>
      </c>
      <c r="BS83">
        <v>95.13</v>
      </c>
      <c r="BT83">
        <v>10.72</v>
      </c>
      <c r="BU83">
        <v>270.45999999999998</v>
      </c>
      <c r="BV83">
        <v>51.84</v>
      </c>
      <c r="BW83">
        <v>118.01</v>
      </c>
      <c r="BX83">
        <v>218.12</v>
      </c>
      <c r="BY83">
        <v>125.66</v>
      </c>
      <c r="BZ83">
        <v>99.12</v>
      </c>
      <c r="CA83">
        <v>14.95</v>
      </c>
      <c r="CB83">
        <v>1.59</v>
      </c>
      <c r="CC83">
        <v>15</v>
      </c>
      <c r="CD83">
        <v>11.86</v>
      </c>
      <c r="CE83">
        <v>11.35</v>
      </c>
      <c r="CF83">
        <v>9.6199999999999992</v>
      </c>
      <c r="CG83">
        <v>54.85</v>
      </c>
      <c r="CH83">
        <v>1.27</v>
      </c>
      <c r="CI83">
        <v>-5.31</v>
      </c>
      <c r="CJ83">
        <v>396200</v>
      </c>
      <c r="CK83">
        <v>10648</v>
      </c>
      <c r="CL83" t="s">
        <v>489</v>
      </c>
      <c r="CM83">
        <v>-13.71</v>
      </c>
      <c r="CN83">
        <v>-27.21</v>
      </c>
      <c r="CO83">
        <v>0.61</v>
      </c>
      <c r="CP83">
        <v>158.68</v>
      </c>
      <c r="CQ83">
        <v>1.61</v>
      </c>
      <c r="CR83">
        <v>1.99</v>
      </c>
      <c r="CS83" t="s">
        <v>729</v>
      </c>
      <c r="CT83">
        <v>5.81</v>
      </c>
      <c r="CU83">
        <v>0</v>
      </c>
      <c r="CV83">
        <v>3.81</v>
      </c>
      <c r="CW83">
        <v>0.96</v>
      </c>
      <c r="CX83">
        <v>0.02</v>
      </c>
      <c r="CY83">
        <v>45.94</v>
      </c>
      <c r="CZ83" t="s">
        <v>730</v>
      </c>
      <c r="DA83">
        <v>21.12</v>
      </c>
      <c r="DB83">
        <v>11.9</v>
      </c>
      <c r="DC83">
        <v>9.0299999999999994</v>
      </c>
      <c r="DD83">
        <v>3.74</v>
      </c>
      <c r="DE83">
        <v>8606</v>
      </c>
      <c r="DF83">
        <v>413</v>
      </c>
      <c r="DG83" t="s">
        <v>116</v>
      </c>
      <c r="DH83" t="s">
        <v>116</v>
      </c>
      <c r="DI83" t="s">
        <v>116</v>
      </c>
    </row>
    <row r="84" spans="1:113" x14ac:dyDescent="0.4">
      <c r="A84" t="str">
        <f>"000415"</f>
        <v>000415</v>
      </c>
      <c r="B84" t="s">
        <v>731</v>
      </c>
      <c r="C84">
        <v>-0.27</v>
      </c>
      <c r="D84">
        <v>3.71</v>
      </c>
      <c r="E84">
        <v>-0.01</v>
      </c>
      <c r="F84">
        <v>3.71</v>
      </c>
      <c r="G84">
        <v>3.72</v>
      </c>
      <c r="H84">
        <v>228111</v>
      </c>
      <c r="I84">
        <v>594</v>
      </c>
      <c r="J84">
        <v>-0.26</v>
      </c>
      <c r="K84">
        <v>0.64</v>
      </c>
      <c r="L84">
        <v>3.72</v>
      </c>
      <c r="M84">
        <v>3.82</v>
      </c>
      <c r="N84">
        <v>3.71</v>
      </c>
      <c r="O84">
        <v>3.72</v>
      </c>
      <c r="P84">
        <v>8.27</v>
      </c>
      <c r="Q84">
        <v>85939264</v>
      </c>
      <c r="R84">
        <v>1.05</v>
      </c>
      <c r="S84" t="s">
        <v>732</v>
      </c>
      <c r="T84" t="s">
        <v>616</v>
      </c>
      <c r="U84">
        <v>2.96</v>
      </c>
      <c r="V84">
        <v>3.77</v>
      </c>
      <c r="W84">
        <v>114894</v>
      </c>
      <c r="X84">
        <v>113217</v>
      </c>
      <c r="Y84">
        <v>1.01</v>
      </c>
      <c r="Z84">
        <v>2547</v>
      </c>
      <c r="AA84">
        <v>407</v>
      </c>
      <c r="AB84" t="s">
        <v>116</v>
      </c>
      <c r="AC84">
        <v>235600</v>
      </c>
      <c r="AD84">
        <v>0</v>
      </c>
      <c r="AE84" t="s">
        <v>116</v>
      </c>
      <c r="AF84" t="s">
        <v>116</v>
      </c>
      <c r="AG84">
        <v>35.47</v>
      </c>
      <c r="AH84" t="s">
        <v>733</v>
      </c>
      <c r="AI84" t="s">
        <v>734</v>
      </c>
      <c r="AJ84">
        <v>0.41</v>
      </c>
      <c r="AK84">
        <v>2263</v>
      </c>
      <c r="AL84">
        <v>101</v>
      </c>
      <c r="AM84">
        <v>2.9999999999999997E-4</v>
      </c>
      <c r="AN84">
        <v>-1</v>
      </c>
      <c r="AO84">
        <v>-0.53</v>
      </c>
      <c r="AP84">
        <v>8.48</v>
      </c>
      <c r="AQ84">
        <v>2.2000000000000002</v>
      </c>
      <c r="AR84">
        <v>3.06</v>
      </c>
      <c r="AS84">
        <v>1.25</v>
      </c>
      <c r="AT84" t="s">
        <v>735</v>
      </c>
      <c r="AU84">
        <v>11.92</v>
      </c>
      <c r="AV84">
        <v>10.07</v>
      </c>
      <c r="AW84">
        <v>1.2</v>
      </c>
      <c r="BA84">
        <v>0</v>
      </c>
      <c r="BB84">
        <v>2.69</v>
      </c>
      <c r="BC84">
        <v>-0.27</v>
      </c>
      <c r="BD84">
        <v>1.28</v>
      </c>
      <c r="BE84">
        <v>-0.27</v>
      </c>
      <c r="BF84">
        <v>-2.88</v>
      </c>
      <c r="BG84">
        <v>0</v>
      </c>
      <c r="BH84">
        <v>-1.54</v>
      </c>
      <c r="BI84">
        <v>20191031</v>
      </c>
      <c r="BJ84">
        <v>19960716</v>
      </c>
      <c r="BK84">
        <v>61.85</v>
      </c>
      <c r="BL84" t="s">
        <v>116</v>
      </c>
      <c r="BM84" t="s">
        <v>116</v>
      </c>
      <c r="BN84">
        <v>2704.79</v>
      </c>
      <c r="BO84">
        <v>384.35</v>
      </c>
      <c r="BP84">
        <v>173.02</v>
      </c>
      <c r="BQ84">
        <v>79.39</v>
      </c>
      <c r="BR84">
        <v>258.52999999999997</v>
      </c>
      <c r="BS84">
        <v>1935.37</v>
      </c>
      <c r="BT84">
        <v>3.29</v>
      </c>
      <c r="BU84">
        <v>280.24</v>
      </c>
      <c r="BV84">
        <v>0.2</v>
      </c>
      <c r="BW84">
        <v>28.94</v>
      </c>
      <c r="BX84">
        <v>171.22</v>
      </c>
      <c r="BY84">
        <v>262.63</v>
      </c>
      <c r="BZ84">
        <v>154.24</v>
      </c>
      <c r="CA84">
        <v>38.29</v>
      </c>
      <c r="CB84">
        <v>11.29</v>
      </c>
      <c r="CC84">
        <v>38.25</v>
      </c>
      <c r="CD84">
        <v>32.47</v>
      </c>
      <c r="CE84">
        <v>20.81</v>
      </c>
      <c r="CF84">
        <v>10.76</v>
      </c>
      <c r="CG84">
        <v>123.55</v>
      </c>
      <c r="CH84">
        <v>146.84</v>
      </c>
      <c r="CI84">
        <v>37.409999999999997</v>
      </c>
      <c r="CJ84">
        <v>103469</v>
      </c>
      <c r="CK84">
        <v>17680</v>
      </c>
      <c r="CL84" t="s">
        <v>415</v>
      </c>
      <c r="CM84">
        <v>-14.55</v>
      </c>
      <c r="CN84">
        <v>-10.57</v>
      </c>
      <c r="CO84">
        <v>0.6</v>
      </c>
      <c r="CP84">
        <v>1.56</v>
      </c>
      <c r="CQ84">
        <v>0.87</v>
      </c>
      <c r="CR84">
        <v>0</v>
      </c>
      <c r="CS84" t="s">
        <v>736</v>
      </c>
      <c r="CT84">
        <v>6.21</v>
      </c>
      <c r="CU84">
        <v>0</v>
      </c>
      <c r="CV84">
        <v>2.77</v>
      </c>
      <c r="CW84">
        <v>2</v>
      </c>
      <c r="CX84">
        <v>2.37</v>
      </c>
      <c r="CY84">
        <v>14.21</v>
      </c>
      <c r="CZ84" t="s">
        <v>737</v>
      </c>
      <c r="DA84">
        <v>41.27</v>
      </c>
      <c r="DB84">
        <v>14.58</v>
      </c>
      <c r="DC84">
        <v>7.92</v>
      </c>
      <c r="DD84">
        <v>0</v>
      </c>
      <c r="DE84">
        <v>818</v>
      </c>
      <c r="DF84">
        <v>415</v>
      </c>
      <c r="DG84" t="s">
        <v>116</v>
      </c>
      <c r="DH84" t="s">
        <v>116</v>
      </c>
      <c r="DI84" t="s">
        <v>116</v>
      </c>
    </row>
    <row r="85" spans="1:113" x14ac:dyDescent="0.4">
      <c r="A85" t="str">
        <f>"000416"</f>
        <v>000416</v>
      </c>
      <c r="B85" t="s">
        <v>738</v>
      </c>
      <c r="C85">
        <v>-2.12</v>
      </c>
      <c r="D85">
        <v>5.55</v>
      </c>
      <c r="E85">
        <v>-0.12</v>
      </c>
      <c r="F85">
        <v>5.55</v>
      </c>
      <c r="G85">
        <v>5.56</v>
      </c>
      <c r="H85">
        <v>291585</v>
      </c>
      <c r="I85">
        <v>2315</v>
      </c>
      <c r="J85">
        <v>-0.17</v>
      </c>
      <c r="K85">
        <v>5.48</v>
      </c>
      <c r="L85">
        <v>5.66</v>
      </c>
      <c r="M85">
        <v>5.97</v>
      </c>
      <c r="N85">
        <v>5.55</v>
      </c>
      <c r="O85">
        <v>5.67</v>
      </c>
      <c r="P85">
        <v>74.650000000000006</v>
      </c>
      <c r="Q85">
        <v>167733536</v>
      </c>
      <c r="R85">
        <v>1.46</v>
      </c>
      <c r="S85" t="s">
        <v>732</v>
      </c>
      <c r="T85" t="s">
        <v>645</v>
      </c>
      <c r="U85">
        <v>7.41</v>
      </c>
      <c r="V85">
        <v>5.75</v>
      </c>
      <c r="W85">
        <v>142971</v>
      </c>
      <c r="X85">
        <v>148614</v>
      </c>
      <c r="Y85">
        <v>0.96</v>
      </c>
      <c r="Z85">
        <v>1300</v>
      </c>
      <c r="AA85">
        <v>917</v>
      </c>
      <c r="AB85" t="s">
        <v>116</v>
      </c>
      <c r="AC85">
        <v>900500</v>
      </c>
      <c r="AD85">
        <v>0.04</v>
      </c>
      <c r="AE85" t="s">
        <v>116</v>
      </c>
      <c r="AF85" t="s">
        <v>116</v>
      </c>
      <c r="AG85">
        <v>5.32</v>
      </c>
      <c r="AH85" t="s">
        <v>739</v>
      </c>
      <c r="AI85" t="s">
        <v>740</v>
      </c>
      <c r="AJ85">
        <v>-1.44</v>
      </c>
      <c r="AK85">
        <v>2776</v>
      </c>
      <c r="AL85">
        <v>105</v>
      </c>
      <c r="AM85">
        <v>2E-3</v>
      </c>
      <c r="AN85">
        <v>-1</v>
      </c>
      <c r="AO85">
        <v>0.18</v>
      </c>
      <c r="AP85">
        <v>10.78</v>
      </c>
      <c r="AQ85">
        <v>-0.72</v>
      </c>
      <c r="AR85">
        <v>36.700000000000003</v>
      </c>
      <c r="AS85">
        <v>7.08</v>
      </c>
      <c r="AT85" t="s">
        <v>741</v>
      </c>
      <c r="AU85">
        <v>87.06</v>
      </c>
      <c r="AV85">
        <v>147.72</v>
      </c>
      <c r="AW85">
        <v>1.46</v>
      </c>
      <c r="BA85">
        <v>-0.18</v>
      </c>
      <c r="BB85">
        <v>5.29</v>
      </c>
      <c r="BC85">
        <v>-2.12</v>
      </c>
      <c r="BD85">
        <v>1.45</v>
      </c>
      <c r="BE85">
        <v>-1.94</v>
      </c>
      <c r="BF85">
        <v>-7.04</v>
      </c>
      <c r="BG85">
        <v>0</v>
      </c>
      <c r="BH85">
        <v>-3.57</v>
      </c>
      <c r="BI85">
        <v>20191031</v>
      </c>
      <c r="BJ85">
        <v>19960719</v>
      </c>
      <c r="BK85">
        <v>5.32</v>
      </c>
      <c r="BL85" t="s">
        <v>116</v>
      </c>
      <c r="BM85" t="s">
        <v>116</v>
      </c>
      <c r="BN85">
        <v>9.36</v>
      </c>
      <c r="BO85">
        <v>8.85</v>
      </c>
      <c r="BP85">
        <v>0.27</v>
      </c>
      <c r="BQ85">
        <v>2.59</v>
      </c>
      <c r="BR85">
        <v>6.79</v>
      </c>
      <c r="BS85">
        <v>0.35</v>
      </c>
      <c r="BT85">
        <v>0</v>
      </c>
      <c r="BU85">
        <v>0.24</v>
      </c>
      <c r="BV85">
        <v>0</v>
      </c>
      <c r="BW85">
        <v>7.0000000000000007E-2</v>
      </c>
      <c r="BX85">
        <v>0.28000000000000003</v>
      </c>
      <c r="BY85">
        <v>0.61</v>
      </c>
      <c r="BZ85">
        <v>0</v>
      </c>
      <c r="CA85">
        <v>0.44</v>
      </c>
      <c r="CB85">
        <v>-0.02</v>
      </c>
      <c r="CC85">
        <v>0.44</v>
      </c>
      <c r="CD85">
        <v>0.32</v>
      </c>
      <c r="CE85">
        <v>0.3</v>
      </c>
      <c r="CF85">
        <v>0.18</v>
      </c>
      <c r="CG85">
        <v>2.76</v>
      </c>
      <c r="CH85">
        <v>-0.76</v>
      </c>
      <c r="CI85">
        <v>-0.03</v>
      </c>
      <c r="CJ85">
        <v>41128</v>
      </c>
      <c r="CK85">
        <v>10009</v>
      </c>
      <c r="CL85" t="s">
        <v>742</v>
      </c>
      <c r="CM85">
        <v>88.5</v>
      </c>
      <c r="CN85">
        <v>2.91</v>
      </c>
      <c r="CO85">
        <v>3.34</v>
      </c>
      <c r="CP85">
        <v>-39.020000000000003</v>
      </c>
      <c r="CQ85">
        <v>48.49</v>
      </c>
      <c r="CR85">
        <v>0.54</v>
      </c>
      <c r="CS85" t="s">
        <v>743</v>
      </c>
      <c r="CT85">
        <v>1.66</v>
      </c>
      <c r="CU85">
        <v>0</v>
      </c>
      <c r="CV85">
        <v>0.05</v>
      </c>
      <c r="CW85">
        <v>0.52</v>
      </c>
      <c r="CX85">
        <v>-0.14000000000000001</v>
      </c>
      <c r="CY85">
        <v>94.56</v>
      </c>
      <c r="CZ85" t="s">
        <v>744</v>
      </c>
      <c r="DA85">
        <v>99.94</v>
      </c>
      <c r="DB85">
        <v>72.150000000000006</v>
      </c>
      <c r="DC85">
        <v>48.72</v>
      </c>
      <c r="DD85">
        <v>0</v>
      </c>
      <c r="DE85">
        <v>51</v>
      </c>
      <c r="DF85">
        <v>416</v>
      </c>
      <c r="DG85" t="s">
        <v>116</v>
      </c>
      <c r="DH85" t="s">
        <v>116</v>
      </c>
      <c r="DI85" t="s">
        <v>116</v>
      </c>
    </row>
    <row r="86" spans="1:113" x14ac:dyDescent="0.4">
      <c r="A86" t="str">
        <f>"000417"</f>
        <v>000417</v>
      </c>
      <c r="B86" t="s">
        <v>745</v>
      </c>
      <c r="C86">
        <v>-1.58</v>
      </c>
      <c r="D86">
        <v>4.9800000000000004</v>
      </c>
      <c r="E86">
        <v>-0.08</v>
      </c>
      <c r="F86">
        <v>4.9800000000000004</v>
      </c>
      <c r="G86">
        <v>4.99</v>
      </c>
      <c r="H86">
        <v>91866</v>
      </c>
      <c r="I86">
        <v>847</v>
      </c>
      <c r="J86">
        <v>0</v>
      </c>
      <c r="K86">
        <v>1.18</v>
      </c>
      <c r="L86">
        <v>5.05</v>
      </c>
      <c r="M86">
        <v>5.1100000000000003</v>
      </c>
      <c r="N86">
        <v>4.9800000000000004</v>
      </c>
      <c r="O86">
        <v>5.0599999999999996</v>
      </c>
      <c r="P86">
        <v>18.149999999999999</v>
      </c>
      <c r="Q86">
        <v>46363416</v>
      </c>
      <c r="R86">
        <v>0.84</v>
      </c>
      <c r="S86" t="s">
        <v>746</v>
      </c>
      <c r="T86" t="s">
        <v>575</v>
      </c>
      <c r="U86">
        <v>2.57</v>
      </c>
      <c r="V86">
        <v>5.05</v>
      </c>
      <c r="W86">
        <v>54415</v>
      </c>
      <c r="X86">
        <v>37451</v>
      </c>
      <c r="Y86">
        <v>1.45</v>
      </c>
      <c r="Z86">
        <v>780</v>
      </c>
      <c r="AA86">
        <v>960</v>
      </c>
      <c r="AB86" t="s">
        <v>116</v>
      </c>
      <c r="AC86">
        <v>252500</v>
      </c>
      <c r="AD86">
        <v>0.01</v>
      </c>
      <c r="AE86" t="s">
        <v>116</v>
      </c>
      <c r="AF86" t="s">
        <v>116</v>
      </c>
      <c r="AG86">
        <v>7.79</v>
      </c>
      <c r="AH86" t="s">
        <v>747</v>
      </c>
      <c r="AI86" t="s">
        <v>748</v>
      </c>
      <c r="AJ86">
        <v>-0.9</v>
      </c>
      <c r="AK86">
        <v>1088</v>
      </c>
      <c r="AL86">
        <v>84</v>
      </c>
      <c r="AM86">
        <v>1.1000000000000001E-3</v>
      </c>
      <c r="AN86">
        <v>-2</v>
      </c>
      <c r="AO86">
        <v>0.2</v>
      </c>
      <c r="AP86">
        <v>14.75</v>
      </c>
      <c r="AQ86">
        <v>11.66</v>
      </c>
      <c r="AR86">
        <v>19.14</v>
      </c>
      <c r="AS86">
        <v>1.9</v>
      </c>
      <c r="AT86" t="s">
        <v>749</v>
      </c>
      <c r="AU86">
        <v>18.2</v>
      </c>
      <c r="AV86">
        <v>17.3</v>
      </c>
      <c r="AW86">
        <v>0.88</v>
      </c>
      <c r="BA86">
        <v>-0.2</v>
      </c>
      <c r="BB86">
        <v>0.99</v>
      </c>
      <c r="BC86">
        <v>-1.58</v>
      </c>
      <c r="BD86">
        <v>-0.26</v>
      </c>
      <c r="BE86">
        <v>-1.39</v>
      </c>
      <c r="BF86">
        <v>-2.54</v>
      </c>
      <c r="BG86">
        <v>0</v>
      </c>
      <c r="BH86">
        <v>-1.32</v>
      </c>
      <c r="BI86">
        <v>20191025</v>
      </c>
      <c r="BJ86">
        <v>19960812</v>
      </c>
      <c r="BK86">
        <v>7.8</v>
      </c>
      <c r="BL86" t="s">
        <v>116</v>
      </c>
      <c r="BM86" t="s">
        <v>116</v>
      </c>
      <c r="BN86">
        <v>107.82</v>
      </c>
      <c r="BO86">
        <v>40.1</v>
      </c>
      <c r="BP86">
        <v>7.86</v>
      </c>
      <c r="BQ86">
        <v>55.52</v>
      </c>
      <c r="BR86">
        <v>49.84</v>
      </c>
      <c r="BS86">
        <v>21.17</v>
      </c>
      <c r="BT86">
        <v>11.69</v>
      </c>
      <c r="BU86">
        <v>52.95</v>
      </c>
      <c r="BV86">
        <v>18.53</v>
      </c>
      <c r="BW86">
        <v>1.24</v>
      </c>
      <c r="BX86">
        <v>3.09</v>
      </c>
      <c r="BY86">
        <v>83.83</v>
      </c>
      <c r="BZ86">
        <v>67.12</v>
      </c>
      <c r="CA86">
        <v>3.73</v>
      </c>
      <c r="CB86">
        <v>-0.25</v>
      </c>
      <c r="CC86">
        <v>3.69</v>
      </c>
      <c r="CD86">
        <v>2.4</v>
      </c>
      <c r="CE86">
        <v>1.61</v>
      </c>
      <c r="CF86">
        <v>1.1000000000000001</v>
      </c>
      <c r="CG86">
        <v>20.58</v>
      </c>
      <c r="CH86">
        <v>-7.33</v>
      </c>
      <c r="CI86">
        <v>-7.7</v>
      </c>
      <c r="CJ86">
        <v>29042</v>
      </c>
      <c r="CK86">
        <v>16619</v>
      </c>
      <c r="CL86" t="s">
        <v>750</v>
      </c>
      <c r="CM86">
        <v>-6.46</v>
      </c>
      <c r="CN86">
        <v>6.35</v>
      </c>
      <c r="CO86">
        <v>0.97</v>
      </c>
      <c r="CP86">
        <v>-5.3</v>
      </c>
      <c r="CQ86">
        <v>0.46</v>
      </c>
      <c r="CR86">
        <v>3.01</v>
      </c>
      <c r="CS86" t="s">
        <v>751</v>
      </c>
      <c r="CT86">
        <v>5.14</v>
      </c>
      <c r="CU86">
        <v>0</v>
      </c>
      <c r="CV86">
        <v>0.4</v>
      </c>
      <c r="CW86">
        <v>2.64</v>
      </c>
      <c r="CX86">
        <v>-0.94</v>
      </c>
      <c r="CY86">
        <v>37.19</v>
      </c>
      <c r="CZ86" t="s">
        <v>752</v>
      </c>
      <c r="DA86">
        <v>19.940000000000001</v>
      </c>
      <c r="DB86">
        <v>4.45</v>
      </c>
      <c r="DC86">
        <v>1.91</v>
      </c>
      <c r="DD86">
        <v>0</v>
      </c>
      <c r="DE86">
        <v>9558</v>
      </c>
      <c r="DF86">
        <v>417</v>
      </c>
      <c r="DG86" t="s">
        <v>116</v>
      </c>
      <c r="DH86" t="s">
        <v>116</v>
      </c>
      <c r="DI86" t="s">
        <v>116</v>
      </c>
    </row>
    <row r="87" spans="1:113" x14ac:dyDescent="0.4">
      <c r="A87" t="str">
        <f>"000419"</f>
        <v>000419</v>
      </c>
      <c r="B87" t="s">
        <v>753</v>
      </c>
      <c r="C87">
        <v>-0.44</v>
      </c>
      <c r="D87">
        <v>4.5199999999999996</v>
      </c>
      <c r="E87">
        <v>-0.02</v>
      </c>
      <c r="F87">
        <v>4.5199999999999996</v>
      </c>
      <c r="G87">
        <v>4.53</v>
      </c>
      <c r="H87">
        <v>28428</v>
      </c>
      <c r="I87">
        <v>243</v>
      </c>
      <c r="J87">
        <v>-0.21</v>
      </c>
      <c r="K87">
        <v>0.52</v>
      </c>
      <c r="L87">
        <v>4.53</v>
      </c>
      <c r="M87">
        <v>4.59</v>
      </c>
      <c r="N87">
        <v>4.51</v>
      </c>
      <c r="O87">
        <v>4.54</v>
      </c>
      <c r="P87">
        <v>13.31</v>
      </c>
      <c r="Q87">
        <v>12924104</v>
      </c>
      <c r="R87">
        <v>0.7</v>
      </c>
      <c r="S87" t="s">
        <v>746</v>
      </c>
      <c r="T87" t="s">
        <v>599</v>
      </c>
      <c r="U87">
        <v>1.76</v>
      </c>
      <c r="V87">
        <v>4.55</v>
      </c>
      <c r="W87">
        <v>18220</v>
      </c>
      <c r="X87">
        <v>10208</v>
      </c>
      <c r="Y87">
        <v>1.78</v>
      </c>
      <c r="Z87">
        <v>305</v>
      </c>
      <c r="AA87">
        <v>1177</v>
      </c>
      <c r="AB87" t="s">
        <v>116</v>
      </c>
      <c r="AC87">
        <v>13600</v>
      </c>
      <c r="AD87">
        <v>0</v>
      </c>
      <c r="AE87" t="s">
        <v>116</v>
      </c>
      <c r="AF87" t="s">
        <v>116</v>
      </c>
      <c r="AG87">
        <v>5.43</v>
      </c>
      <c r="AH87" t="s">
        <v>754</v>
      </c>
      <c r="AI87" t="s">
        <v>755</v>
      </c>
      <c r="AJ87">
        <v>0.24</v>
      </c>
      <c r="AK87">
        <v>763</v>
      </c>
      <c r="AL87">
        <v>37</v>
      </c>
      <c r="AM87">
        <v>6.9999999999999999E-4</v>
      </c>
      <c r="AN87">
        <v>-3</v>
      </c>
      <c r="AO87">
        <v>-1.52</v>
      </c>
      <c r="AP87">
        <v>5.36</v>
      </c>
      <c r="AQ87">
        <v>4.3899999999999997</v>
      </c>
      <c r="AR87">
        <v>15.31</v>
      </c>
      <c r="AS87">
        <v>0.94</v>
      </c>
      <c r="AT87" t="s">
        <v>756</v>
      </c>
      <c r="AU87">
        <v>14.48</v>
      </c>
      <c r="AV87">
        <v>17.37</v>
      </c>
      <c r="AW87">
        <v>0.84</v>
      </c>
      <c r="BA87">
        <v>-0.22</v>
      </c>
      <c r="BB87">
        <v>1.1000000000000001</v>
      </c>
      <c r="BC87">
        <v>-0.66</v>
      </c>
      <c r="BD87">
        <v>0.14000000000000001</v>
      </c>
      <c r="BE87">
        <v>-0.22</v>
      </c>
      <c r="BF87">
        <v>-1.53</v>
      </c>
      <c r="BG87">
        <v>0.22</v>
      </c>
      <c r="BH87">
        <v>-0.57999999999999996</v>
      </c>
      <c r="BI87">
        <v>20191022</v>
      </c>
      <c r="BJ87">
        <v>19960816</v>
      </c>
      <c r="BK87">
        <v>5.44</v>
      </c>
      <c r="BL87" t="s">
        <v>116</v>
      </c>
      <c r="BM87" t="s">
        <v>116</v>
      </c>
      <c r="BN87">
        <v>50.29</v>
      </c>
      <c r="BO87">
        <v>28.24</v>
      </c>
      <c r="BP87">
        <v>2.75</v>
      </c>
      <c r="BQ87">
        <v>38.369999999999997</v>
      </c>
      <c r="BR87">
        <v>23.25</v>
      </c>
      <c r="BS87">
        <v>10.6</v>
      </c>
      <c r="BT87">
        <v>2.7</v>
      </c>
      <c r="BU87">
        <v>16.54</v>
      </c>
      <c r="BV87">
        <v>3.21</v>
      </c>
      <c r="BW87">
        <v>0.28000000000000003</v>
      </c>
      <c r="BX87">
        <v>4.17</v>
      </c>
      <c r="BY87">
        <v>25.28</v>
      </c>
      <c r="BZ87">
        <v>19.649999999999999</v>
      </c>
      <c r="CA87">
        <v>1.99</v>
      </c>
      <c r="CB87">
        <v>0.35</v>
      </c>
      <c r="CC87">
        <v>2.08</v>
      </c>
      <c r="CD87">
        <v>1.61</v>
      </c>
      <c r="CE87">
        <v>1.38</v>
      </c>
      <c r="CF87">
        <v>1.29</v>
      </c>
      <c r="CG87">
        <v>10.91</v>
      </c>
      <c r="CH87">
        <v>-2.04</v>
      </c>
      <c r="CI87">
        <v>-0.91</v>
      </c>
      <c r="CJ87">
        <v>25570</v>
      </c>
      <c r="CK87">
        <v>11823</v>
      </c>
      <c r="CL87" t="s">
        <v>757</v>
      </c>
      <c r="CM87">
        <v>25.61</v>
      </c>
      <c r="CN87">
        <v>-8.7799999999999994</v>
      </c>
      <c r="CO87">
        <v>0.87</v>
      </c>
      <c r="CP87">
        <v>-12.06</v>
      </c>
      <c r="CQ87">
        <v>0.97</v>
      </c>
      <c r="CR87">
        <v>3.54</v>
      </c>
      <c r="CS87" t="s">
        <v>758</v>
      </c>
      <c r="CT87">
        <v>5.2</v>
      </c>
      <c r="CU87">
        <v>0</v>
      </c>
      <c r="CV87">
        <v>0.77</v>
      </c>
      <c r="CW87">
        <v>2.0099999999999998</v>
      </c>
      <c r="CX87">
        <v>-0.37</v>
      </c>
      <c r="CY87">
        <v>56.16</v>
      </c>
      <c r="CZ87" t="s">
        <v>759</v>
      </c>
      <c r="DA87">
        <v>22.26</v>
      </c>
      <c r="DB87">
        <v>7.86</v>
      </c>
      <c r="DC87">
        <v>5.47</v>
      </c>
      <c r="DD87">
        <v>0</v>
      </c>
      <c r="DE87">
        <v>3071</v>
      </c>
      <c r="DF87">
        <v>419</v>
      </c>
      <c r="DG87" t="s">
        <v>116</v>
      </c>
      <c r="DH87" t="s">
        <v>116</v>
      </c>
      <c r="DI87" t="s">
        <v>116</v>
      </c>
    </row>
    <row r="88" spans="1:113" x14ac:dyDescent="0.4">
      <c r="A88" t="str">
        <f>"000420"</f>
        <v>000420</v>
      </c>
      <c r="B88" t="s">
        <v>760</v>
      </c>
      <c r="C88">
        <v>-0.47</v>
      </c>
      <c r="D88">
        <v>2.14</v>
      </c>
      <c r="E88">
        <v>-0.01</v>
      </c>
      <c r="F88">
        <v>2.13</v>
      </c>
      <c r="G88">
        <v>2.14</v>
      </c>
      <c r="H88">
        <v>71625</v>
      </c>
      <c r="I88">
        <v>1373</v>
      </c>
      <c r="J88">
        <v>0.47</v>
      </c>
      <c r="K88">
        <v>0.39</v>
      </c>
      <c r="L88">
        <v>2.14</v>
      </c>
      <c r="M88">
        <v>2.1800000000000002</v>
      </c>
      <c r="N88">
        <v>2.13</v>
      </c>
      <c r="O88">
        <v>2.15</v>
      </c>
      <c r="P88">
        <v>38.69</v>
      </c>
      <c r="Q88">
        <v>15436220</v>
      </c>
      <c r="R88">
        <v>1.28</v>
      </c>
      <c r="S88" t="s">
        <v>630</v>
      </c>
      <c r="T88" t="s">
        <v>294</v>
      </c>
      <c r="U88">
        <v>2.33</v>
      </c>
      <c r="V88">
        <v>2.16</v>
      </c>
      <c r="W88">
        <v>33802</v>
      </c>
      <c r="X88">
        <v>37823</v>
      </c>
      <c r="Y88">
        <v>0.89</v>
      </c>
      <c r="Z88">
        <v>5844</v>
      </c>
      <c r="AA88">
        <v>5333</v>
      </c>
      <c r="AB88" t="s">
        <v>116</v>
      </c>
      <c r="AC88">
        <v>111900</v>
      </c>
      <c r="AD88">
        <v>0.01</v>
      </c>
      <c r="AE88" t="s">
        <v>116</v>
      </c>
      <c r="AF88" t="s">
        <v>116</v>
      </c>
      <c r="AG88">
        <v>18.5</v>
      </c>
      <c r="AH88" t="s">
        <v>761</v>
      </c>
      <c r="AI88" t="s">
        <v>762</v>
      </c>
      <c r="AJ88">
        <v>0.21</v>
      </c>
      <c r="AK88">
        <v>555</v>
      </c>
      <c r="AL88">
        <v>129</v>
      </c>
      <c r="AM88">
        <v>6.9999999999999999E-4</v>
      </c>
      <c r="AN88">
        <v>-3</v>
      </c>
      <c r="AO88">
        <v>-1.38</v>
      </c>
      <c r="AP88">
        <v>-0.93</v>
      </c>
      <c r="AQ88">
        <v>-5.73</v>
      </c>
      <c r="AR88">
        <v>12.63</v>
      </c>
      <c r="AS88">
        <v>0.71</v>
      </c>
      <c r="AT88" t="s">
        <v>763</v>
      </c>
      <c r="AU88">
        <v>48.95</v>
      </c>
      <c r="AV88">
        <v>31.85</v>
      </c>
      <c r="AW88">
        <v>0.85</v>
      </c>
      <c r="BA88">
        <v>-0.47</v>
      </c>
      <c r="BB88">
        <v>1.4</v>
      </c>
      <c r="BC88">
        <v>-0.93</v>
      </c>
      <c r="BD88">
        <v>0.24</v>
      </c>
      <c r="BE88">
        <v>0</v>
      </c>
      <c r="BF88">
        <v>-1.83</v>
      </c>
      <c r="BG88">
        <v>0.47</v>
      </c>
      <c r="BH88">
        <v>-0.7</v>
      </c>
      <c r="BI88">
        <v>20191031</v>
      </c>
      <c r="BJ88">
        <v>19960802</v>
      </c>
      <c r="BK88">
        <v>19.71</v>
      </c>
      <c r="BL88" t="s">
        <v>116</v>
      </c>
      <c r="BM88" t="s">
        <v>116</v>
      </c>
      <c r="BN88">
        <v>80.599999999999994</v>
      </c>
      <c r="BO88">
        <v>30.01</v>
      </c>
      <c r="BP88">
        <v>0.12</v>
      </c>
      <c r="BQ88">
        <v>62.62</v>
      </c>
      <c r="BR88">
        <v>22.31</v>
      </c>
      <c r="BS88">
        <v>31.36</v>
      </c>
      <c r="BT88">
        <v>2.4700000000000002</v>
      </c>
      <c r="BU88">
        <v>44.14</v>
      </c>
      <c r="BV88">
        <v>5.67</v>
      </c>
      <c r="BW88">
        <v>4.8099999999999996</v>
      </c>
      <c r="BX88">
        <v>13.9</v>
      </c>
      <c r="BY88">
        <v>19.489999999999998</v>
      </c>
      <c r="BZ88">
        <v>15.34</v>
      </c>
      <c r="CA88">
        <v>0.83</v>
      </c>
      <c r="CB88">
        <v>0</v>
      </c>
      <c r="CC88">
        <v>0.82</v>
      </c>
      <c r="CD88">
        <v>0.93</v>
      </c>
      <c r="CE88">
        <v>0.82</v>
      </c>
      <c r="CF88">
        <v>0.8</v>
      </c>
      <c r="CG88">
        <v>-5.5</v>
      </c>
      <c r="CH88">
        <v>0.44</v>
      </c>
      <c r="CI88">
        <v>0.39</v>
      </c>
      <c r="CJ88">
        <v>61588</v>
      </c>
      <c r="CK88">
        <v>16383</v>
      </c>
      <c r="CL88" t="s">
        <v>764</v>
      </c>
      <c r="CM88">
        <v>-36.130000000000003</v>
      </c>
      <c r="CN88">
        <v>0.23</v>
      </c>
      <c r="CO88">
        <v>1.41</v>
      </c>
      <c r="CP88">
        <v>95.57</v>
      </c>
      <c r="CQ88">
        <v>2.16</v>
      </c>
      <c r="CR88">
        <v>0</v>
      </c>
      <c r="CS88" t="s">
        <v>765</v>
      </c>
      <c r="CT88">
        <v>1.52</v>
      </c>
      <c r="CU88">
        <v>0</v>
      </c>
      <c r="CV88">
        <v>0.71</v>
      </c>
      <c r="CW88">
        <v>-0.28000000000000003</v>
      </c>
      <c r="CX88">
        <v>0.02</v>
      </c>
      <c r="CY88">
        <v>37.24</v>
      </c>
      <c r="CZ88" t="s">
        <v>766</v>
      </c>
      <c r="DA88">
        <v>21.29</v>
      </c>
      <c r="DB88">
        <v>4.25</v>
      </c>
      <c r="DC88">
        <v>4.1900000000000004</v>
      </c>
      <c r="DD88">
        <v>0.04</v>
      </c>
      <c r="DE88">
        <v>5302</v>
      </c>
      <c r="DF88">
        <v>420</v>
      </c>
      <c r="DG88" t="s">
        <v>116</v>
      </c>
      <c r="DH88" t="s">
        <v>116</v>
      </c>
      <c r="DI88" t="s">
        <v>116</v>
      </c>
    </row>
    <row r="89" spans="1:113" x14ac:dyDescent="0.4">
      <c r="A89" t="str">
        <f>"000421"</f>
        <v>000421</v>
      </c>
      <c r="B89" t="s">
        <v>767</v>
      </c>
      <c r="C89">
        <v>-0.67</v>
      </c>
      <c r="D89">
        <v>4.47</v>
      </c>
      <c r="E89">
        <v>-0.03</v>
      </c>
      <c r="F89">
        <v>4.47</v>
      </c>
      <c r="G89">
        <v>4.4800000000000004</v>
      </c>
      <c r="H89">
        <v>19953</v>
      </c>
      <c r="I89">
        <v>294</v>
      </c>
      <c r="J89">
        <v>-0.44</v>
      </c>
      <c r="K89">
        <v>0.35</v>
      </c>
      <c r="L89">
        <v>4.51</v>
      </c>
      <c r="M89">
        <v>4.53</v>
      </c>
      <c r="N89">
        <v>4.47</v>
      </c>
      <c r="O89">
        <v>4.5</v>
      </c>
      <c r="P89">
        <v>22.04</v>
      </c>
      <c r="Q89">
        <v>8972530</v>
      </c>
      <c r="R89">
        <v>0.89</v>
      </c>
      <c r="S89" t="s">
        <v>690</v>
      </c>
      <c r="T89" t="s">
        <v>323</v>
      </c>
      <c r="U89">
        <v>1.33</v>
      </c>
      <c r="V89">
        <v>4.5</v>
      </c>
      <c r="W89">
        <v>11410</v>
      </c>
      <c r="X89">
        <v>8543</v>
      </c>
      <c r="Y89">
        <v>1.34</v>
      </c>
      <c r="Z89">
        <v>407</v>
      </c>
      <c r="AA89">
        <v>50</v>
      </c>
      <c r="AB89" t="s">
        <v>116</v>
      </c>
      <c r="AC89">
        <v>43300</v>
      </c>
      <c r="AD89">
        <v>0</v>
      </c>
      <c r="AE89" t="s">
        <v>116</v>
      </c>
      <c r="AF89" t="s">
        <v>116</v>
      </c>
      <c r="AG89">
        <v>5.73</v>
      </c>
      <c r="AH89" t="s">
        <v>768</v>
      </c>
      <c r="AI89" t="s">
        <v>768</v>
      </c>
      <c r="AJ89">
        <v>0.01</v>
      </c>
      <c r="AK89">
        <v>400</v>
      </c>
      <c r="AL89">
        <v>50</v>
      </c>
      <c r="AM89">
        <v>8.9999999999999998E-4</v>
      </c>
      <c r="AN89">
        <v>-1</v>
      </c>
      <c r="AO89">
        <v>-0.45</v>
      </c>
      <c r="AP89">
        <v>4.68</v>
      </c>
      <c r="AQ89">
        <v>3.71</v>
      </c>
      <c r="AR89">
        <v>2.52</v>
      </c>
      <c r="AS89">
        <v>0.76</v>
      </c>
      <c r="AT89" t="s">
        <v>769</v>
      </c>
      <c r="AU89">
        <v>23</v>
      </c>
      <c r="AV89">
        <v>17.87</v>
      </c>
      <c r="AW89">
        <v>0.84</v>
      </c>
      <c r="BA89">
        <v>0.22</v>
      </c>
      <c r="BB89">
        <v>0.67</v>
      </c>
      <c r="BC89">
        <v>-0.67</v>
      </c>
      <c r="BD89">
        <v>-7.0000000000000007E-2</v>
      </c>
      <c r="BE89">
        <v>-0.89</v>
      </c>
      <c r="BF89">
        <v>-1.32</v>
      </c>
      <c r="BG89">
        <v>0</v>
      </c>
      <c r="BH89">
        <v>-0.6</v>
      </c>
      <c r="BI89">
        <v>20191031</v>
      </c>
      <c r="BJ89">
        <v>19960806</v>
      </c>
      <c r="BK89">
        <v>5.73</v>
      </c>
      <c r="BL89" t="s">
        <v>116</v>
      </c>
      <c r="BM89" t="s">
        <v>116</v>
      </c>
      <c r="BN89">
        <v>112.91</v>
      </c>
      <c r="BO89">
        <v>25.87</v>
      </c>
      <c r="BP89">
        <v>9.4</v>
      </c>
      <c r="BQ89">
        <v>68.760000000000005</v>
      </c>
      <c r="BR89">
        <v>59.98</v>
      </c>
      <c r="BS89">
        <v>32.950000000000003</v>
      </c>
      <c r="BT89">
        <v>1.25</v>
      </c>
      <c r="BU89">
        <v>71.05</v>
      </c>
      <c r="BV89">
        <v>30.94</v>
      </c>
      <c r="BW89">
        <v>1.94</v>
      </c>
      <c r="BX89">
        <v>4.07</v>
      </c>
      <c r="BY89">
        <v>26.16</v>
      </c>
      <c r="BZ89">
        <v>21.47</v>
      </c>
      <c r="CA89">
        <v>1.8</v>
      </c>
      <c r="CB89">
        <v>0.31</v>
      </c>
      <c r="CC89">
        <v>1.69</v>
      </c>
      <c r="CD89">
        <v>1.42</v>
      </c>
      <c r="CE89">
        <v>0.87</v>
      </c>
      <c r="CF89">
        <v>0.88</v>
      </c>
      <c r="CG89">
        <v>14.44</v>
      </c>
      <c r="CH89">
        <v>-1.28</v>
      </c>
      <c r="CI89">
        <v>-8.08</v>
      </c>
      <c r="CJ89">
        <v>27347</v>
      </c>
      <c r="CK89">
        <v>9583</v>
      </c>
      <c r="CL89" t="s">
        <v>770</v>
      </c>
      <c r="CM89">
        <v>-26.81</v>
      </c>
      <c r="CN89">
        <v>7.79</v>
      </c>
      <c r="CO89">
        <v>0.99</v>
      </c>
      <c r="CP89">
        <v>-19.95</v>
      </c>
      <c r="CQ89">
        <v>0.98</v>
      </c>
      <c r="CR89">
        <v>2.2400000000000002</v>
      </c>
      <c r="CS89" t="s">
        <v>771</v>
      </c>
      <c r="CT89">
        <v>4.5199999999999996</v>
      </c>
      <c r="CU89">
        <v>0</v>
      </c>
      <c r="CV89">
        <v>0.71</v>
      </c>
      <c r="CW89">
        <v>2.52</v>
      </c>
      <c r="CX89">
        <v>-0.22</v>
      </c>
      <c r="CY89">
        <v>22.91</v>
      </c>
      <c r="CZ89" t="s">
        <v>772</v>
      </c>
      <c r="DA89">
        <v>17.93</v>
      </c>
      <c r="DB89">
        <v>6.89</v>
      </c>
      <c r="DC89">
        <v>3.33</v>
      </c>
      <c r="DD89">
        <v>0.01</v>
      </c>
      <c r="DE89">
        <v>2617</v>
      </c>
      <c r="DF89">
        <v>421</v>
      </c>
      <c r="DG89" t="s">
        <v>116</v>
      </c>
      <c r="DH89" t="s">
        <v>116</v>
      </c>
      <c r="DI89" t="s">
        <v>116</v>
      </c>
    </row>
    <row r="90" spans="1:113" x14ac:dyDescent="0.4">
      <c r="A90" t="str">
        <f>"000422"</f>
        <v>000422</v>
      </c>
      <c r="B90" t="s">
        <v>773</v>
      </c>
      <c r="C90">
        <v>0</v>
      </c>
      <c r="D90">
        <v>2.89</v>
      </c>
      <c r="E90">
        <v>0</v>
      </c>
      <c r="F90">
        <v>2.88</v>
      </c>
      <c r="G90">
        <v>2.89</v>
      </c>
      <c r="H90">
        <v>37341</v>
      </c>
      <c r="I90">
        <v>269</v>
      </c>
      <c r="J90">
        <v>0</v>
      </c>
      <c r="K90">
        <v>0.42</v>
      </c>
      <c r="L90">
        <v>2.89</v>
      </c>
      <c r="M90">
        <v>2.91</v>
      </c>
      <c r="N90">
        <v>2.88</v>
      </c>
      <c r="O90">
        <v>2.89</v>
      </c>
      <c r="P90">
        <v>17.28</v>
      </c>
      <c r="Q90">
        <v>10817290</v>
      </c>
      <c r="R90">
        <v>0.72</v>
      </c>
      <c r="S90" t="s">
        <v>697</v>
      </c>
      <c r="T90" t="s">
        <v>774</v>
      </c>
      <c r="U90">
        <v>1.04</v>
      </c>
      <c r="V90">
        <v>2.9</v>
      </c>
      <c r="W90">
        <v>21002</v>
      </c>
      <c r="X90">
        <v>16339</v>
      </c>
      <c r="Y90">
        <v>1.29</v>
      </c>
      <c r="Z90">
        <v>3448</v>
      </c>
      <c r="AA90">
        <v>576</v>
      </c>
      <c r="AB90" t="s">
        <v>116</v>
      </c>
      <c r="AC90">
        <v>3800</v>
      </c>
      <c r="AD90">
        <v>0</v>
      </c>
      <c r="AE90" t="s">
        <v>116</v>
      </c>
      <c r="AF90" t="s">
        <v>116</v>
      </c>
      <c r="AG90">
        <v>8.98</v>
      </c>
      <c r="AH90" t="s">
        <v>775</v>
      </c>
      <c r="AI90" t="s">
        <v>775</v>
      </c>
      <c r="AJ90">
        <v>0.68</v>
      </c>
      <c r="AK90">
        <v>423</v>
      </c>
      <c r="AL90">
        <v>88</v>
      </c>
      <c r="AM90">
        <v>1E-3</v>
      </c>
      <c r="AN90">
        <v>0</v>
      </c>
      <c r="AO90">
        <v>-1.7</v>
      </c>
      <c r="AP90">
        <v>4.71</v>
      </c>
      <c r="AQ90">
        <v>1.76</v>
      </c>
      <c r="AR90">
        <v>0</v>
      </c>
      <c r="AS90">
        <v>0.56999999999999995</v>
      </c>
      <c r="AT90" t="s">
        <v>776</v>
      </c>
      <c r="AU90">
        <v>55.45</v>
      </c>
      <c r="AV90">
        <v>9.65</v>
      </c>
      <c r="AW90">
        <v>0.49</v>
      </c>
      <c r="BA90">
        <v>0</v>
      </c>
      <c r="BB90">
        <v>0.69</v>
      </c>
      <c r="BC90">
        <v>-0.35</v>
      </c>
      <c r="BD90">
        <v>0.24</v>
      </c>
      <c r="BE90">
        <v>0</v>
      </c>
      <c r="BF90">
        <v>-0.69</v>
      </c>
      <c r="BG90">
        <v>0.35</v>
      </c>
      <c r="BH90">
        <v>-0.24</v>
      </c>
      <c r="BI90">
        <v>20191031</v>
      </c>
      <c r="BJ90">
        <v>19960815</v>
      </c>
      <c r="BK90">
        <v>8.98</v>
      </c>
      <c r="BL90" t="s">
        <v>116</v>
      </c>
      <c r="BM90" t="s">
        <v>116</v>
      </c>
      <c r="BN90">
        <v>241.69</v>
      </c>
      <c r="BO90">
        <v>11.16</v>
      </c>
      <c r="BP90">
        <v>9.31</v>
      </c>
      <c r="BQ90">
        <v>91.53</v>
      </c>
      <c r="BR90">
        <v>65.97</v>
      </c>
      <c r="BS90">
        <v>96.53</v>
      </c>
      <c r="BT90">
        <v>5.51</v>
      </c>
      <c r="BU90">
        <v>171.11</v>
      </c>
      <c r="BV90">
        <v>15.41</v>
      </c>
      <c r="BW90">
        <v>1.69</v>
      </c>
      <c r="BX90">
        <v>20.27</v>
      </c>
      <c r="BY90">
        <v>105.07</v>
      </c>
      <c r="BZ90">
        <v>89.34</v>
      </c>
      <c r="CA90">
        <v>2.2999999999999998</v>
      </c>
      <c r="CB90">
        <v>2.4300000000000002</v>
      </c>
      <c r="CC90">
        <v>1.19</v>
      </c>
      <c r="CD90">
        <v>1.04</v>
      </c>
      <c r="CE90">
        <v>1.1299999999999999</v>
      </c>
      <c r="CF90">
        <v>-3.38</v>
      </c>
      <c r="CG90">
        <v>-32.06</v>
      </c>
      <c r="CH90">
        <v>15.64</v>
      </c>
      <c r="CI90">
        <v>-2.34</v>
      </c>
      <c r="CJ90">
        <v>53707</v>
      </c>
      <c r="CK90">
        <v>12190</v>
      </c>
      <c r="CL90" t="s">
        <v>777</v>
      </c>
      <c r="CM90">
        <v>-66.34</v>
      </c>
      <c r="CN90">
        <v>3.39</v>
      </c>
      <c r="CO90">
        <v>20.64</v>
      </c>
      <c r="CP90">
        <v>1.66</v>
      </c>
      <c r="CQ90">
        <v>0.25</v>
      </c>
      <c r="CR90">
        <v>0</v>
      </c>
      <c r="CS90" t="s">
        <v>778</v>
      </c>
      <c r="CT90">
        <v>0.14000000000000001</v>
      </c>
      <c r="CU90">
        <v>0.14000000000000001</v>
      </c>
      <c r="CV90">
        <v>2.2599999999999998</v>
      </c>
      <c r="CW90">
        <v>-3.57</v>
      </c>
      <c r="CX90">
        <v>1.74</v>
      </c>
      <c r="CY90">
        <v>4.62</v>
      </c>
      <c r="CZ90" t="s">
        <v>779</v>
      </c>
      <c r="DA90">
        <v>14.97</v>
      </c>
      <c r="DB90">
        <v>2.19</v>
      </c>
      <c r="DC90">
        <v>1.07</v>
      </c>
      <c r="DD90">
        <v>3.49</v>
      </c>
      <c r="DE90">
        <v>8442</v>
      </c>
      <c r="DF90">
        <v>422</v>
      </c>
      <c r="DG90" t="s">
        <v>116</v>
      </c>
      <c r="DH90" t="s">
        <v>116</v>
      </c>
      <c r="DI90" t="s">
        <v>116</v>
      </c>
    </row>
    <row r="91" spans="1:113" x14ac:dyDescent="0.4">
      <c r="A91" t="str">
        <f>"000423"</f>
        <v>000423</v>
      </c>
      <c r="B91" t="s">
        <v>780</v>
      </c>
      <c r="C91">
        <v>-0.26</v>
      </c>
      <c r="D91">
        <v>34.9</v>
      </c>
      <c r="E91">
        <v>-0.09</v>
      </c>
      <c r="F91">
        <v>34.9</v>
      </c>
      <c r="G91">
        <v>34.909999999999997</v>
      </c>
      <c r="H91">
        <v>32440</v>
      </c>
      <c r="I91">
        <v>290</v>
      </c>
      <c r="J91">
        <v>-0.02</v>
      </c>
      <c r="K91">
        <v>0.5</v>
      </c>
      <c r="L91">
        <v>34.979999999999997</v>
      </c>
      <c r="M91">
        <v>35.35</v>
      </c>
      <c r="N91">
        <v>34.869999999999997</v>
      </c>
      <c r="O91">
        <v>34.99</v>
      </c>
      <c r="P91">
        <v>81.95</v>
      </c>
      <c r="Q91">
        <v>113981520</v>
      </c>
      <c r="R91">
        <v>0.88</v>
      </c>
      <c r="S91" t="s">
        <v>781</v>
      </c>
      <c r="T91" t="s">
        <v>645</v>
      </c>
      <c r="U91">
        <v>1.37</v>
      </c>
      <c r="V91">
        <v>35.14</v>
      </c>
      <c r="W91">
        <v>15864</v>
      </c>
      <c r="X91">
        <v>16576</v>
      </c>
      <c r="Y91">
        <v>0.96</v>
      </c>
      <c r="Z91">
        <v>115</v>
      </c>
      <c r="AA91">
        <v>119</v>
      </c>
      <c r="AB91" t="s">
        <v>116</v>
      </c>
      <c r="AC91">
        <v>675100</v>
      </c>
      <c r="AD91">
        <v>0</v>
      </c>
      <c r="AE91" t="s">
        <v>116</v>
      </c>
      <c r="AF91" t="s">
        <v>116</v>
      </c>
      <c r="AG91">
        <v>6.54</v>
      </c>
      <c r="AH91" t="s">
        <v>782</v>
      </c>
      <c r="AI91" t="s">
        <v>783</v>
      </c>
      <c r="AJ91">
        <v>0.42</v>
      </c>
      <c r="AK91">
        <v>2669</v>
      </c>
      <c r="AL91">
        <v>12</v>
      </c>
      <c r="AM91">
        <v>2.0000000000000001E-4</v>
      </c>
      <c r="AN91">
        <v>-1</v>
      </c>
      <c r="AO91">
        <v>0.54</v>
      </c>
      <c r="AP91">
        <v>3.65</v>
      </c>
      <c r="AQ91">
        <v>14.61</v>
      </c>
      <c r="AR91">
        <v>-9.4499999999999993</v>
      </c>
      <c r="AS91">
        <v>0.73</v>
      </c>
      <c r="AT91" t="s">
        <v>784</v>
      </c>
      <c r="AU91">
        <v>21.36</v>
      </c>
      <c r="AV91">
        <v>10.95</v>
      </c>
      <c r="AW91">
        <v>0.28000000000000003</v>
      </c>
      <c r="BA91">
        <v>-0.03</v>
      </c>
      <c r="BB91">
        <v>1.03</v>
      </c>
      <c r="BC91">
        <v>-0.34</v>
      </c>
      <c r="BD91">
        <v>0.42</v>
      </c>
      <c r="BE91">
        <v>-0.23</v>
      </c>
      <c r="BF91">
        <v>-1.27</v>
      </c>
      <c r="BG91">
        <v>0.09</v>
      </c>
      <c r="BH91">
        <v>-0.67</v>
      </c>
      <c r="BI91">
        <v>20191031</v>
      </c>
      <c r="BJ91">
        <v>19960729</v>
      </c>
      <c r="BK91">
        <v>6.54</v>
      </c>
      <c r="BL91" t="s">
        <v>116</v>
      </c>
      <c r="BM91" t="s">
        <v>116</v>
      </c>
      <c r="BN91">
        <v>124.36</v>
      </c>
      <c r="BO91">
        <v>106.28</v>
      </c>
      <c r="BP91">
        <v>0.49</v>
      </c>
      <c r="BQ91">
        <v>14.15</v>
      </c>
      <c r="BR91">
        <v>91.56</v>
      </c>
      <c r="BS91">
        <v>18.899999999999999</v>
      </c>
      <c r="BT91">
        <v>4.1399999999999997</v>
      </c>
      <c r="BU91">
        <v>16.96</v>
      </c>
      <c r="BV91">
        <v>33.549999999999997</v>
      </c>
      <c r="BW91">
        <v>22.73</v>
      </c>
      <c r="BX91">
        <v>6.91</v>
      </c>
      <c r="BY91">
        <v>28.3</v>
      </c>
      <c r="BZ91">
        <v>12.77</v>
      </c>
      <c r="CA91">
        <v>2.54</v>
      </c>
      <c r="CB91">
        <v>0.26</v>
      </c>
      <c r="CC91">
        <v>2.6</v>
      </c>
      <c r="CD91">
        <v>2.0699999999999998</v>
      </c>
      <c r="CE91">
        <v>2.09</v>
      </c>
      <c r="CF91">
        <v>1.39</v>
      </c>
      <c r="CG91">
        <v>90.45</v>
      </c>
      <c r="CH91">
        <v>-10.82</v>
      </c>
      <c r="CI91">
        <v>-6.35</v>
      </c>
      <c r="CJ91">
        <v>100894</v>
      </c>
      <c r="CK91">
        <v>4406</v>
      </c>
      <c r="CL91" t="s">
        <v>785</v>
      </c>
      <c r="CM91">
        <v>-82.95</v>
      </c>
      <c r="CN91">
        <v>-35.450000000000003</v>
      </c>
      <c r="CO91">
        <v>2.15</v>
      </c>
      <c r="CP91">
        <v>-21.09</v>
      </c>
      <c r="CQ91">
        <v>8.07</v>
      </c>
      <c r="CR91">
        <v>2.87</v>
      </c>
      <c r="CS91" t="s">
        <v>786</v>
      </c>
      <c r="CT91">
        <v>16.25</v>
      </c>
      <c r="CU91">
        <v>0</v>
      </c>
      <c r="CV91">
        <v>1.06</v>
      </c>
      <c r="CW91">
        <v>13.83</v>
      </c>
      <c r="CX91">
        <v>-1.65</v>
      </c>
      <c r="CY91">
        <v>85.46</v>
      </c>
      <c r="CZ91" t="s">
        <v>787</v>
      </c>
      <c r="DA91">
        <v>54.87</v>
      </c>
      <c r="DB91">
        <v>8.98</v>
      </c>
      <c r="DC91">
        <v>7.38</v>
      </c>
      <c r="DD91">
        <v>1.68</v>
      </c>
      <c r="DE91">
        <v>4836</v>
      </c>
      <c r="DF91">
        <v>423</v>
      </c>
      <c r="DG91" t="s">
        <v>116</v>
      </c>
      <c r="DH91" t="s">
        <v>116</v>
      </c>
      <c r="DI91" t="s">
        <v>116</v>
      </c>
    </row>
    <row r="92" spans="1:113" x14ac:dyDescent="0.4">
      <c r="A92" t="str">
        <f>"000425"</f>
        <v>000425</v>
      </c>
      <c r="B92" t="s">
        <v>788</v>
      </c>
      <c r="C92">
        <v>1.87</v>
      </c>
      <c r="D92">
        <v>5.44</v>
      </c>
      <c r="E92">
        <v>0.1</v>
      </c>
      <c r="F92">
        <v>5.43</v>
      </c>
      <c r="G92">
        <v>5.44</v>
      </c>
      <c r="H92">
        <v>1683273</v>
      </c>
      <c r="I92">
        <v>7503</v>
      </c>
      <c r="J92">
        <v>0</v>
      </c>
      <c r="K92">
        <v>2.41</v>
      </c>
      <c r="L92">
        <v>5.35</v>
      </c>
      <c r="M92">
        <v>5.58</v>
      </c>
      <c r="N92">
        <v>5.33</v>
      </c>
      <c r="O92">
        <v>5.34</v>
      </c>
      <c r="P92">
        <v>10.58</v>
      </c>
      <c r="Q92">
        <v>917247232</v>
      </c>
      <c r="R92">
        <v>1.46</v>
      </c>
      <c r="S92" t="s">
        <v>598</v>
      </c>
      <c r="T92" t="s">
        <v>323</v>
      </c>
      <c r="U92">
        <v>4.68</v>
      </c>
      <c r="V92">
        <v>5.45</v>
      </c>
      <c r="W92">
        <v>697134</v>
      </c>
      <c r="X92">
        <v>986139</v>
      </c>
      <c r="Y92">
        <v>0.71</v>
      </c>
      <c r="Z92">
        <v>12098</v>
      </c>
      <c r="AA92">
        <v>330</v>
      </c>
      <c r="AB92" t="s">
        <v>116</v>
      </c>
      <c r="AC92">
        <v>2387700</v>
      </c>
      <c r="AD92">
        <v>0.01</v>
      </c>
      <c r="AE92" t="s">
        <v>116</v>
      </c>
      <c r="AF92" t="s">
        <v>116</v>
      </c>
      <c r="AG92">
        <v>69.95</v>
      </c>
      <c r="AH92" t="s">
        <v>789</v>
      </c>
      <c r="AI92" t="s">
        <v>790</v>
      </c>
      <c r="AJ92">
        <v>2.5499999999999998</v>
      </c>
      <c r="AK92">
        <v>4563</v>
      </c>
      <c r="AL92">
        <v>369</v>
      </c>
      <c r="AM92">
        <v>5.0000000000000001E-4</v>
      </c>
      <c r="AN92">
        <v>5</v>
      </c>
      <c r="AO92">
        <v>7.3</v>
      </c>
      <c r="AP92">
        <v>18.78</v>
      </c>
      <c r="AQ92">
        <v>21.43</v>
      </c>
      <c r="AR92">
        <v>71.61</v>
      </c>
      <c r="AS92">
        <v>4.1900000000000004</v>
      </c>
      <c r="AT92" t="s">
        <v>791</v>
      </c>
      <c r="AU92">
        <v>11.98</v>
      </c>
      <c r="AV92">
        <v>20.83</v>
      </c>
      <c r="AW92">
        <v>0.48</v>
      </c>
      <c r="BA92">
        <v>0.19</v>
      </c>
      <c r="BB92">
        <v>4.49</v>
      </c>
      <c r="BC92">
        <v>-0.19</v>
      </c>
      <c r="BD92">
        <v>2.04</v>
      </c>
      <c r="BE92">
        <v>1.68</v>
      </c>
      <c r="BF92">
        <v>-2.5099999999999998</v>
      </c>
      <c r="BG92">
        <v>2.06</v>
      </c>
      <c r="BH92">
        <v>-0.17</v>
      </c>
      <c r="BI92">
        <v>20191227</v>
      </c>
      <c r="BJ92">
        <v>19960828</v>
      </c>
      <c r="BK92">
        <v>78.34</v>
      </c>
      <c r="BL92" t="s">
        <v>116</v>
      </c>
      <c r="BM92" t="s">
        <v>116</v>
      </c>
      <c r="BN92">
        <v>691.19</v>
      </c>
      <c r="BO92">
        <v>325.29000000000002</v>
      </c>
      <c r="BP92">
        <v>2.21</v>
      </c>
      <c r="BQ92">
        <v>52.62</v>
      </c>
      <c r="BR92">
        <v>525.75</v>
      </c>
      <c r="BS92">
        <v>70.88</v>
      </c>
      <c r="BT92">
        <v>21.85</v>
      </c>
      <c r="BU92">
        <v>316.54000000000002</v>
      </c>
      <c r="BV92">
        <v>90.59</v>
      </c>
      <c r="BW92">
        <v>246.2</v>
      </c>
      <c r="BX92">
        <v>50.12</v>
      </c>
      <c r="BY92">
        <v>432.39</v>
      </c>
      <c r="BZ92">
        <v>352.11</v>
      </c>
      <c r="CA92">
        <v>33.72</v>
      </c>
      <c r="CB92">
        <v>5.05</v>
      </c>
      <c r="CC92">
        <v>33.83</v>
      </c>
      <c r="CD92">
        <v>30.34</v>
      </c>
      <c r="CE92">
        <v>30.2</v>
      </c>
      <c r="CF92">
        <v>27.23</v>
      </c>
      <c r="CG92">
        <v>139.77000000000001</v>
      </c>
      <c r="CH92">
        <v>31.02</v>
      </c>
      <c r="CI92">
        <v>10.130000000000001</v>
      </c>
      <c r="CJ92">
        <v>207922</v>
      </c>
      <c r="CK92">
        <v>19299</v>
      </c>
      <c r="CL92" t="s">
        <v>792</v>
      </c>
      <c r="CM92">
        <v>100.28</v>
      </c>
      <c r="CN92">
        <v>26.89</v>
      </c>
      <c r="CO92">
        <v>1.53</v>
      </c>
      <c r="CP92">
        <v>13.74</v>
      </c>
      <c r="CQ92">
        <v>0.99</v>
      </c>
      <c r="CR92">
        <v>1.1000000000000001</v>
      </c>
      <c r="CS92" t="s">
        <v>793</v>
      </c>
      <c r="CT92">
        <v>3.56</v>
      </c>
      <c r="CU92">
        <v>3.56</v>
      </c>
      <c r="CV92">
        <v>0.64</v>
      </c>
      <c r="CW92">
        <v>1.78</v>
      </c>
      <c r="CX92">
        <v>0.4</v>
      </c>
      <c r="CY92">
        <v>47.06</v>
      </c>
      <c r="CZ92" t="s">
        <v>794</v>
      </c>
      <c r="DA92">
        <v>18.57</v>
      </c>
      <c r="DB92">
        <v>7.8</v>
      </c>
      <c r="DC92">
        <v>6.98</v>
      </c>
      <c r="DD92">
        <v>15.17</v>
      </c>
      <c r="DE92">
        <v>14318</v>
      </c>
      <c r="DF92">
        <v>425</v>
      </c>
      <c r="DG92" t="s">
        <v>116</v>
      </c>
      <c r="DH92" t="s">
        <v>116</v>
      </c>
      <c r="DI92" t="s">
        <v>116</v>
      </c>
    </row>
    <row r="93" spans="1:113" x14ac:dyDescent="0.4">
      <c r="A93" t="str">
        <f>"000426"</f>
        <v>000426</v>
      </c>
      <c r="B93" t="s">
        <v>795</v>
      </c>
      <c r="C93">
        <v>1.62</v>
      </c>
      <c r="D93">
        <v>5.03</v>
      </c>
      <c r="E93">
        <v>0.08</v>
      </c>
      <c r="F93">
        <v>5.0199999999999996</v>
      </c>
      <c r="G93">
        <v>5.03</v>
      </c>
      <c r="H93">
        <v>298881</v>
      </c>
      <c r="I93">
        <v>2086</v>
      </c>
      <c r="J93">
        <v>-0.19</v>
      </c>
      <c r="K93">
        <v>2.0499999999999998</v>
      </c>
      <c r="L93">
        <v>4.96</v>
      </c>
      <c r="M93">
        <v>5.14</v>
      </c>
      <c r="N93">
        <v>4.92</v>
      </c>
      <c r="O93">
        <v>4.95</v>
      </c>
      <c r="P93" t="s">
        <v>116</v>
      </c>
      <c r="Q93">
        <v>150548240</v>
      </c>
      <c r="R93">
        <v>1.83</v>
      </c>
      <c r="S93" t="s">
        <v>441</v>
      </c>
      <c r="T93" t="s">
        <v>796</v>
      </c>
      <c r="U93">
        <v>4.4400000000000004</v>
      </c>
      <c r="V93">
        <v>5.04</v>
      </c>
      <c r="W93">
        <v>142799</v>
      </c>
      <c r="X93">
        <v>156082</v>
      </c>
      <c r="Y93">
        <v>0.91</v>
      </c>
      <c r="Z93">
        <v>1236</v>
      </c>
      <c r="AA93">
        <v>2509</v>
      </c>
      <c r="AB93" t="s">
        <v>116</v>
      </c>
      <c r="AC93">
        <v>777200</v>
      </c>
      <c r="AD93">
        <v>0.02</v>
      </c>
      <c r="AE93" t="s">
        <v>116</v>
      </c>
      <c r="AF93" t="s">
        <v>116</v>
      </c>
      <c r="AG93">
        <v>14.61</v>
      </c>
      <c r="AH93" t="s">
        <v>797</v>
      </c>
      <c r="AI93" t="s">
        <v>798</v>
      </c>
      <c r="AJ93">
        <v>2.2999999999999998</v>
      </c>
      <c r="AK93">
        <v>2932</v>
      </c>
      <c r="AL93">
        <v>102</v>
      </c>
      <c r="AM93">
        <v>6.9999999999999999E-4</v>
      </c>
      <c r="AN93">
        <v>4</v>
      </c>
      <c r="AO93">
        <v>9.59</v>
      </c>
      <c r="AP93">
        <v>21.2</v>
      </c>
      <c r="AQ93">
        <v>-7.37</v>
      </c>
      <c r="AR93">
        <v>1</v>
      </c>
      <c r="AS93">
        <v>4.59</v>
      </c>
      <c r="AT93" t="s">
        <v>799</v>
      </c>
      <c r="AU93" t="s">
        <v>116</v>
      </c>
      <c r="AV93" t="s">
        <v>116</v>
      </c>
      <c r="AW93">
        <v>0.53</v>
      </c>
      <c r="BA93">
        <v>0.2</v>
      </c>
      <c r="BB93">
        <v>3.84</v>
      </c>
      <c r="BC93">
        <v>-0.61</v>
      </c>
      <c r="BD93">
        <v>1.76</v>
      </c>
      <c r="BE93">
        <v>1.41</v>
      </c>
      <c r="BF93">
        <v>-2.14</v>
      </c>
      <c r="BG93">
        <v>2.2400000000000002</v>
      </c>
      <c r="BH93">
        <v>-0.14000000000000001</v>
      </c>
      <c r="BI93">
        <v>20191226</v>
      </c>
      <c r="BJ93">
        <v>19960828</v>
      </c>
      <c r="BK93">
        <v>18.37</v>
      </c>
      <c r="BL93" t="s">
        <v>116</v>
      </c>
      <c r="BM93" t="s">
        <v>116</v>
      </c>
      <c r="BN93">
        <v>90.05</v>
      </c>
      <c r="BO93">
        <v>51.58</v>
      </c>
      <c r="BP93">
        <v>0.06</v>
      </c>
      <c r="BQ93">
        <v>42.66</v>
      </c>
      <c r="BR93">
        <v>5.98</v>
      </c>
      <c r="BS93">
        <v>29.63</v>
      </c>
      <c r="BT93">
        <v>34.57</v>
      </c>
      <c r="BU93">
        <v>29.08</v>
      </c>
      <c r="BV93">
        <v>2.14</v>
      </c>
      <c r="BW93">
        <v>0.86</v>
      </c>
      <c r="BX93">
        <v>22.45</v>
      </c>
      <c r="BY93">
        <v>5.64</v>
      </c>
      <c r="BZ93">
        <v>2.82</v>
      </c>
      <c r="CA93">
        <v>-0.78</v>
      </c>
      <c r="CB93">
        <v>0.01</v>
      </c>
      <c r="CC93">
        <v>-1.1399999999999999</v>
      </c>
      <c r="CD93">
        <v>-1.03</v>
      </c>
      <c r="CE93">
        <v>-1.03</v>
      </c>
      <c r="CF93">
        <v>-0.67</v>
      </c>
      <c r="CG93">
        <v>7.83</v>
      </c>
      <c r="CH93">
        <v>2.75</v>
      </c>
      <c r="CI93">
        <v>-0.12</v>
      </c>
      <c r="CJ93">
        <v>43951</v>
      </c>
      <c r="CK93">
        <v>14806</v>
      </c>
      <c r="CL93" t="s">
        <v>800</v>
      </c>
      <c r="CM93">
        <v>-118.14</v>
      </c>
      <c r="CN93">
        <v>-68.39</v>
      </c>
      <c r="CO93">
        <v>1.79</v>
      </c>
      <c r="CP93">
        <v>33.590000000000003</v>
      </c>
      <c r="CQ93">
        <v>16.38</v>
      </c>
      <c r="CR93">
        <v>0</v>
      </c>
      <c r="CS93" t="s">
        <v>206</v>
      </c>
      <c r="CT93">
        <v>2.81</v>
      </c>
      <c r="CU93">
        <v>0</v>
      </c>
      <c r="CV93">
        <v>1.22</v>
      </c>
      <c r="CW93">
        <v>0.43</v>
      </c>
      <c r="CX93">
        <v>0.15</v>
      </c>
      <c r="CY93">
        <v>57.27</v>
      </c>
      <c r="CZ93" t="s">
        <v>801</v>
      </c>
      <c r="DA93">
        <v>49.98</v>
      </c>
      <c r="DB93">
        <v>-13.75</v>
      </c>
      <c r="DC93">
        <v>-18.23</v>
      </c>
      <c r="DD93">
        <v>0</v>
      </c>
      <c r="DE93">
        <v>378</v>
      </c>
      <c r="DF93">
        <v>426</v>
      </c>
      <c r="DG93" t="s">
        <v>116</v>
      </c>
      <c r="DH93" t="s">
        <v>116</v>
      </c>
      <c r="DI93" t="s">
        <v>116</v>
      </c>
    </row>
    <row r="94" spans="1:113" x14ac:dyDescent="0.4">
      <c r="A94" t="str">
        <f>"000428"</f>
        <v>000428</v>
      </c>
      <c r="B94" t="s">
        <v>802</v>
      </c>
      <c r="C94">
        <v>0.38</v>
      </c>
      <c r="D94">
        <v>2.61</v>
      </c>
      <c r="E94">
        <v>0.01</v>
      </c>
      <c r="F94">
        <v>2.6</v>
      </c>
      <c r="G94">
        <v>2.61</v>
      </c>
      <c r="H94">
        <v>36475</v>
      </c>
      <c r="I94">
        <v>1074</v>
      </c>
      <c r="J94">
        <v>0.38</v>
      </c>
      <c r="K94">
        <v>0.36</v>
      </c>
      <c r="L94">
        <v>2.6</v>
      </c>
      <c r="M94">
        <v>2.62</v>
      </c>
      <c r="N94">
        <v>2.58</v>
      </c>
      <c r="O94">
        <v>2.6</v>
      </c>
      <c r="P94" t="s">
        <v>116</v>
      </c>
      <c r="Q94">
        <v>9509096</v>
      </c>
      <c r="R94">
        <v>0.92</v>
      </c>
      <c r="S94" t="s">
        <v>156</v>
      </c>
      <c r="T94" t="s">
        <v>599</v>
      </c>
      <c r="U94">
        <v>1.54</v>
      </c>
      <c r="V94">
        <v>2.61</v>
      </c>
      <c r="W94">
        <v>13857</v>
      </c>
      <c r="X94">
        <v>22618</v>
      </c>
      <c r="Y94">
        <v>0.61</v>
      </c>
      <c r="Z94">
        <v>4248</v>
      </c>
      <c r="AA94">
        <v>329</v>
      </c>
      <c r="AB94" t="s">
        <v>116</v>
      </c>
      <c r="AC94">
        <v>800</v>
      </c>
      <c r="AD94">
        <v>0</v>
      </c>
      <c r="AE94" t="s">
        <v>116</v>
      </c>
      <c r="AF94" t="s">
        <v>116</v>
      </c>
      <c r="AG94">
        <v>10.19</v>
      </c>
      <c r="AH94" t="s">
        <v>803</v>
      </c>
      <c r="AI94" t="s">
        <v>803</v>
      </c>
      <c r="AJ94">
        <v>1.06</v>
      </c>
      <c r="AK94">
        <v>372</v>
      </c>
      <c r="AL94">
        <v>98</v>
      </c>
      <c r="AM94">
        <v>1E-3</v>
      </c>
      <c r="AN94">
        <v>1</v>
      </c>
      <c r="AO94">
        <v>0.38</v>
      </c>
      <c r="AP94">
        <v>5.67</v>
      </c>
      <c r="AQ94">
        <v>-1.1399999999999999</v>
      </c>
      <c r="AR94">
        <v>5.24</v>
      </c>
      <c r="AS94">
        <v>0.88</v>
      </c>
      <c r="AT94" t="s">
        <v>804</v>
      </c>
      <c r="AU94" t="s">
        <v>116</v>
      </c>
      <c r="AV94" t="s">
        <v>116</v>
      </c>
      <c r="AW94">
        <v>0.68</v>
      </c>
      <c r="BA94">
        <v>0</v>
      </c>
      <c r="BB94">
        <v>0.77</v>
      </c>
      <c r="BC94">
        <v>-0.77</v>
      </c>
      <c r="BD94">
        <v>0.27</v>
      </c>
      <c r="BE94">
        <v>0.38</v>
      </c>
      <c r="BF94">
        <v>-0.38</v>
      </c>
      <c r="BG94">
        <v>1.1599999999999999</v>
      </c>
      <c r="BH94">
        <v>0.11</v>
      </c>
      <c r="BI94">
        <v>20191223</v>
      </c>
      <c r="BJ94">
        <v>19960808</v>
      </c>
      <c r="BK94">
        <v>10.19</v>
      </c>
      <c r="BL94" t="s">
        <v>116</v>
      </c>
      <c r="BM94" t="s">
        <v>116</v>
      </c>
      <c r="BN94">
        <v>68.92</v>
      </c>
      <c r="BO94">
        <v>23.5</v>
      </c>
      <c r="BP94">
        <v>-1.1599999999999999</v>
      </c>
      <c r="BQ94">
        <v>67.58</v>
      </c>
      <c r="BR94">
        <v>17.940000000000001</v>
      </c>
      <c r="BS94">
        <v>31.72</v>
      </c>
      <c r="BT94">
        <v>5.33</v>
      </c>
      <c r="BU94">
        <v>29.05</v>
      </c>
      <c r="BV94">
        <v>8.2200000000000006</v>
      </c>
      <c r="BW94">
        <v>0.83</v>
      </c>
      <c r="BX94">
        <v>14.53</v>
      </c>
      <c r="BY94">
        <v>8.82</v>
      </c>
      <c r="BZ94">
        <v>4.6399999999999997</v>
      </c>
      <c r="CA94">
        <v>-2.1</v>
      </c>
      <c r="CB94">
        <v>-0.01</v>
      </c>
      <c r="CC94">
        <v>-2.13</v>
      </c>
      <c r="CD94">
        <v>-2.2000000000000002</v>
      </c>
      <c r="CE94">
        <v>-1.82</v>
      </c>
      <c r="CF94">
        <v>-1.89</v>
      </c>
      <c r="CG94">
        <v>-1.93</v>
      </c>
      <c r="CH94">
        <v>2.88</v>
      </c>
      <c r="CI94">
        <v>-0.18</v>
      </c>
      <c r="CJ94">
        <v>31159</v>
      </c>
      <c r="CK94">
        <v>13350</v>
      </c>
      <c r="CL94" t="s">
        <v>805</v>
      </c>
      <c r="CM94">
        <v>11.32</v>
      </c>
      <c r="CN94">
        <v>25.01</v>
      </c>
      <c r="CO94">
        <v>1.1299999999999999</v>
      </c>
      <c r="CP94">
        <v>9.24</v>
      </c>
      <c r="CQ94">
        <v>3.02</v>
      </c>
      <c r="CR94">
        <v>0</v>
      </c>
      <c r="CS94" t="s">
        <v>806</v>
      </c>
      <c r="CT94">
        <v>2.31</v>
      </c>
      <c r="CU94">
        <v>0</v>
      </c>
      <c r="CV94">
        <v>1.43</v>
      </c>
      <c r="CW94">
        <v>-0.19</v>
      </c>
      <c r="CX94">
        <v>0.28000000000000003</v>
      </c>
      <c r="CY94">
        <v>34.1</v>
      </c>
      <c r="CZ94" t="s">
        <v>807</v>
      </c>
      <c r="DA94">
        <v>47.43</v>
      </c>
      <c r="DB94">
        <v>-23.82</v>
      </c>
      <c r="DC94">
        <v>-20.67</v>
      </c>
      <c r="DD94">
        <v>0</v>
      </c>
      <c r="DE94">
        <v>4818</v>
      </c>
      <c r="DF94">
        <v>428</v>
      </c>
      <c r="DG94" t="s">
        <v>116</v>
      </c>
      <c r="DH94" t="s">
        <v>116</v>
      </c>
      <c r="DI94" t="s">
        <v>116</v>
      </c>
    </row>
    <row r="95" spans="1:113" x14ac:dyDescent="0.4">
      <c r="A95" t="str">
        <f>"000429"</f>
        <v>000429</v>
      </c>
      <c r="B95" t="s">
        <v>808</v>
      </c>
      <c r="C95">
        <v>0.13</v>
      </c>
      <c r="D95">
        <v>8.01</v>
      </c>
      <c r="E95">
        <v>0.01</v>
      </c>
      <c r="F95">
        <v>8</v>
      </c>
      <c r="G95">
        <v>8.01</v>
      </c>
      <c r="H95">
        <v>30476</v>
      </c>
      <c r="I95">
        <v>1448</v>
      </c>
      <c r="J95">
        <v>0.38</v>
      </c>
      <c r="K95">
        <v>0.23</v>
      </c>
      <c r="L95">
        <v>7.99</v>
      </c>
      <c r="M95">
        <v>8.02</v>
      </c>
      <c r="N95">
        <v>7.96</v>
      </c>
      <c r="O95">
        <v>8</v>
      </c>
      <c r="P95">
        <v>11.34</v>
      </c>
      <c r="Q95">
        <v>24359322</v>
      </c>
      <c r="R95">
        <v>1.57</v>
      </c>
      <c r="S95" t="s">
        <v>809</v>
      </c>
      <c r="T95" t="s">
        <v>551</v>
      </c>
      <c r="U95">
        <v>0.75</v>
      </c>
      <c r="V95">
        <v>7.99</v>
      </c>
      <c r="W95">
        <v>18004</v>
      </c>
      <c r="X95">
        <v>12472</v>
      </c>
      <c r="Y95">
        <v>1.44</v>
      </c>
      <c r="Z95">
        <v>612</v>
      </c>
      <c r="AA95">
        <v>115</v>
      </c>
      <c r="AB95" t="s">
        <v>116</v>
      </c>
      <c r="AC95">
        <v>0</v>
      </c>
      <c r="AD95">
        <v>0</v>
      </c>
      <c r="AE95" t="s">
        <v>116</v>
      </c>
      <c r="AF95" t="s">
        <v>116</v>
      </c>
      <c r="AG95">
        <v>13.03</v>
      </c>
      <c r="AH95" t="s">
        <v>810</v>
      </c>
      <c r="AI95" t="s">
        <v>811</v>
      </c>
      <c r="AJ95">
        <v>0.8</v>
      </c>
      <c r="AK95">
        <v>1188</v>
      </c>
      <c r="AL95">
        <v>26</v>
      </c>
      <c r="AM95">
        <v>2.0000000000000001E-4</v>
      </c>
      <c r="AN95">
        <v>1</v>
      </c>
      <c r="AO95">
        <v>0.26</v>
      </c>
      <c r="AP95">
        <v>-0.12</v>
      </c>
      <c r="AQ95">
        <v>4.43</v>
      </c>
      <c r="AR95">
        <v>2.3199999999999998</v>
      </c>
      <c r="AS95">
        <v>0.61</v>
      </c>
      <c r="AT95" t="s">
        <v>812</v>
      </c>
      <c r="AU95">
        <v>10.7</v>
      </c>
      <c r="AV95">
        <v>9.99</v>
      </c>
      <c r="AW95">
        <v>0.04</v>
      </c>
      <c r="BA95">
        <v>-0.12</v>
      </c>
      <c r="BB95">
        <v>0.25</v>
      </c>
      <c r="BC95">
        <v>-0.5</v>
      </c>
      <c r="BD95">
        <v>-0.09</v>
      </c>
      <c r="BE95">
        <v>0.25</v>
      </c>
      <c r="BF95">
        <v>-0.12</v>
      </c>
      <c r="BG95">
        <v>0.63</v>
      </c>
      <c r="BH95">
        <v>0.21</v>
      </c>
      <c r="BI95">
        <v>20191031</v>
      </c>
      <c r="BJ95">
        <v>19980220</v>
      </c>
      <c r="BK95">
        <v>20.91</v>
      </c>
      <c r="BL95">
        <v>3.49</v>
      </c>
      <c r="BM95" t="s">
        <v>116</v>
      </c>
      <c r="BN95">
        <v>169.77</v>
      </c>
      <c r="BO95">
        <v>95.89</v>
      </c>
      <c r="BP95">
        <v>4.0199999999999996</v>
      </c>
      <c r="BQ95">
        <v>41.15</v>
      </c>
      <c r="BR95">
        <v>27.49</v>
      </c>
      <c r="BS95">
        <v>77.37</v>
      </c>
      <c r="BT95">
        <v>0.04</v>
      </c>
      <c r="BU95">
        <v>13.33</v>
      </c>
      <c r="BV95">
        <v>0</v>
      </c>
      <c r="BW95">
        <v>0.94</v>
      </c>
      <c r="BX95">
        <v>25.63</v>
      </c>
      <c r="BY95">
        <v>22.81</v>
      </c>
      <c r="BZ95">
        <v>8.6</v>
      </c>
      <c r="CA95">
        <v>15.65</v>
      </c>
      <c r="CB95">
        <v>4.16</v>
      </c>
      <c r="CC95">
        <v>15.62</v>
      </c>
      <c r="CD95">
        <v>12.74</v>
      </c>
      <c r="CE95">
        <v>11.08</v>
      </c>
      <c r="CF95">
        <v>10.98</v>
      </c>
      <c r="CG95">
        <v>38.6</v>
      </c>
      <c r="CH95">
        <v>16.350000000000001</v>
      </c>
      <c r="CI95">
        <v>4.8499999999999996</v>
      </c>
      <c r="CJ95">
        <v>56063</v>
      </c>
      <c r="CK95">
        <v>15089</v>
      </c>
      <c r="CL95" t="s">
        <v>813</v>
      </c>
      <c r="CM95">
        <v>-9.23</v>
      </c>
      <c r="CN95">
        <v>-4.45</v>
      </c>
      <c r="CO95">
        <v>1.75</v>
      </c>
      <c r="CP95">
        <v>10.24</v>
      </c>
      <c r="CQ95">
        <v>7.34</v>
      </c>
      <c r="CR95">
        <v>7.02</v>
      </c>
      <c r="CS95" t="s">
        <v>814</v>
      </c>
      <c r="CT95">
        <v>4.59</v>
      </c>
      <c r="CU95">
        <v>0</v>
      </c>
      <c r="CV95">
        <v>1.23</v>
      </c>
      <c r="CW95">
        <v>1.85</v>
      </c>
      <c r="CX95">
        <v>0.78</v>
      </c>
      <c r="CY95">
        <v>56.48</v>
      </c>
      <c r="CZ95" t="s">
        <v>815</v>
      </c>
      <c r="DA95">
        <v>62.28</v>
      </c>
      <c r="DB95">
        <v>68.63</v>
      </c>
      <c r="DC95">
        <v>48.57</v>
      </c>
      <c r="DD95">
        <v>0</v>
      </c>
      <c r="DE95">
        <v>2197</v>
      </c>
      <c r="DF95">
        <v>429</v>
      </c>
      <c r="DG95" t="s">
        <v>116</v>
      </c>
      <c r="DH95" t="s">
        <v>116</v>
      </c>
      <c r="DI95" t="s">
        <v>116</v>
      </c>
    </row>
    <row r="96" spans="1:113" x14ac:dyDescent="0.4">
      <c r="A96" t="str">
        <f>"000430"</f>
        <v>000430</v>
      </c>
      <c r="B96" t="s">
        <v>816</v>
      </c>
      <c r="C96">
        <v>0</v>
      </c>
      <c r="D96">
        <v>5.17</v>
      </c>
      <c r="E96">
        <v>0</v>
      </c>
      <c r="F96">
        <v>5.16</v>
      </c>
      <c r="G96">
        <v>5.17</v>
      </c>
      <c r="H96">
        <v>15789</v>
      </c>
      <c r="I96">
        <v>173</v>
      </c>
      <c r="J96">
        <v>0</v>
      </c>
      <c r="K96">
        <v>0.48</v>
      </c>
      <c r="L96">
        <v>5.17</v>
      </c>
      <c r="M96">
        <v>5.2</v>
      </c>
      <c r="N96">
        <v>5.15</v>
      </c>
      <c r="O96">
        <v>5.17</v>
      </c>
      <c r="P96">
        <v>39.42</v>
      </c>
      <c r="Q96">
        <v>8174140</v>
      </c>
      <c r="R96">
        <v>1.08</v>
      </c>
      <c r="S96" t="s">
        <v>493</v>
      </c>
      <c r="T96" t="s">
        <v>599</v>
      </c>
      <c r="U96">
        <v>0.97</v>
      </c>
      <c r="V96">
        <v>5.18</v>
      </c>
      <c r="W96">
        <v>9075</v>
      </c>
      <c r="X96">
        <v>6714</v>
      </c>
      <c r="Y96">
        <v>1.35</v>
      </c>
      <c r="Z96">
        <v>182</v>
      </c>
      <c r="AA96">
        <v>1084</v>
      </c>
      <c r="AB96" t="s">
        <v>116</v>
      </c>
      <c r="AC96">
        <v>0</v>
      </c>
      <c r="AD96">
        <v>0</v>
      </c>
      <c r="AE96" t="s">
        <v>116</v>
      </c>
      <c r="AF96" t="s">
        <v>116</v>
      </c>
      <c r="AG96">
        <v>3.32</v>
      </c>
      <c r="AH96" t="s">
        <v>817</v>
      </c>
      <c r="AI96" t="s">
        <v>818</v>
      </c>
      <c r="AJ96">
        <v>0.68</v>
      </c>
      <c r="AK96">
        <v>448</v>
      </c>
      <c r="AL96">
        <v>35</v>
      </c>
      <c r="AM96">
        <v>1.1000000000000001E-3</v>
      </c>
      <c r="AN96">
        <v>0</v>
      </c>
      <c r="AO96">
        <v>0</v>
      </c>
      <c r="AP96">
        <v>4.4400000000000004</v>
      </c>
      <c r="AQ96">
        <v>-4.4400000000000004</v>
      </c>
      <c r="AR96">
        <v>6.82</v>
      </c>
      <c r="AS96">
        <v>0.6</v>
      </c>
      <c r="AT96" t="s">
        <v>819</v>
      </c>
      <c r="AU96">
        <v>182.67</v>
      </c>
      <c r="AV96">
        <v>79.260000000000005</v>
      </c>
      <c r="AW96">
        <v>0.68</v>
      </c>
      <c r="BA96">
        <v>0</v>
      </c>
      <c r="BB96">
        <v>0.57999999999999996</v>
      </c>
      <c r="BC96">
        <v>-0.39</v>
      </c>
      <c r="BD96">
        <v>0.14000000000000001</v>
      </c>
      <c r="BE96">
        <v>0</v>
      </c>
      <c r="BF96">
        <v>-0.57999999999999996</v>
      </c>
      <c r="BG96">
        <v>0.39</v>
      </c>
      <c r="BH96">
        <v>-0.14000000000000001</v>
      </c>
      <c r="BI96">
        <v>20191030</v>
      </c>
      <c r="BJ96">
        <v>19960829</v>
      </c>
      <c r="BK96">
        <v>4.05</v>
      </c>
      <c r="BL96" t="s">
        <v>116</v>
      </c>
      <c r="BM96" t="s">
        <v>116</v>
      </c>
      <c r="BN96">
        <v>26.61</v>
      </c>
      <c r="BO96">
        <v>16.22</v>
      </c>
      <c r="BP96">
        <v>7.0000000000000007E-2</v>
      </c>
      <c r="BQ96">
        <v>38.799999999999997</v>
      </c>
      <c r="BR96">
        <v>2.68</v>
      </c>
      <c r="BS96">
        <v>5.46</v>
      </c>
      <c r="BT96">
        <v>9.74</v>
      </c>
      <c r="BU96">
        <v>2.7</v>
      </c>
      <c r="BV96">
        <v>0.04</v>
      </c>
      <c r="BW96">
        <v>0.03</v>
      </c>
      <c r="BX96">
        <v>8.5299999999999994</v>
      </c>
      <c r="BY96">
        <v>3.24</v>
      </c>
      <c r="BZ96">
        <v>2.1</v>
      </c>
      <c r="CA96">
        <v>0.49</v>
      </c>
      <c r="CB96">
        <v>0.03</v>
      </c>
      <c r="CC96">
        <v>0.48</v>
      </c>
      <c r="CD96">
        <v>0.4</v>
      </c>
      <c r="CE96">
        <v>0.4</v>
      </c>
      <c r="CF96">
        <v>0.34</v>
      </c>
      <c r="CG96">
        <v>3.15</v>
      </c>
      <c r="CH96">
        <v>1.23</v>
      </c>
      <c r="CI96">
        <v>0.38</v>
      </c>
      <c r="CJ96">
        <v>26355</v>
      </c>
      <c r="CK96">
        <v>9938</v>
      </c>
      <c r="CL96" t="s">
        <v>820</v>
      </c>
      <c r="CM96">
        <v>-27.29</v>
      </c>
      <c r="CN96">
        <v>-11.39</v>
      </c>
      <c r="CO96">
        <v>1.29</v>
      </c>
      <c r="CP96">
        <v>16.96</v>
      </c>
      <c r="CQ96">
        <v>6.45</v>
      </c>
      <c r="CR96">
        <v>0</v>
      </c>
      <c r="CS96" t="s">
        <v>821</v>
      </c>
      <c r="CT96">
        <v>4.01</v>
      </c>
      <c r="CU96">
        <v>0</v>
      </c>
      <c r="CV96">
        <v>2.11</v>
      </c>
      <c r="CW96">
        <v>0.78</v>
      </c>
      <c r="CX96">
        <v>0.3</v>
      </c>
      <c r="CY96">
        <v>60.94</v>
      </c>
      <c r="CZ96" t="s">
        <v>822</v>
      </c>
      <c r="DA96">
        <v>35.090000000000003</v>
      </c>
      <c r="DB96">
        <v>15.25</v>
      </c>
      <c r="DC96">
        <v>12.28</v>
      </c>
      <c r="DD96">
        <v>0</v>
      </c>
      <c r="DE96">
        <v>1139</v>
      </c>
      <c r="DF96">
        <v>430</v>
      </c>
      <c r="DG96" t="s">
        <v>116</v>
      </c>
      <c r="DH96" t="s">
        <v>116</v>
      </c>
      <c r="DI96" t="s">
        <v>116</v>
      </c>
    </row>
    <row r="97" spans="1:113" x14ac:dyDescent="0.4">
      <c r="A97" t="str">
        <f>"000488"</f>
        <v>000488</v>
      </c>
      <c r="B97" t="s">
        <v>823</v>
      </c>
      <c r="C97">
        <v>0.82</v>
      </c>
      <c r="D97">
        <v>4.9400000000000004</v>
      </c>
      <c r="E97">
        <v>0.04</v>
      </c>
      <c r="F97">
        <v>4.93</v>
      </c>
      <c r="G97">
        <v>4.9400000000000004</v>
      </c>
      <c r="H97">
        <v>216287</v>
      </c>
      <c r="I97">
        <v>2547</v>
      </c>
      <c r="J97">
        <v>0</v>
      </c>
      <c r="K97">
        <v>1.31</v>
      </c>
      <c r="L97">
        <v>4.9000000000000004</v>
      </c>
      <c r="M97">
        <v>4.99</v>
      </c>
      <c r="N97">
        <v>4.8899999999999997</v>
      </c>
      <c r="O97">
        <v>4.9000000000000004</v>
      </c>
      <c r="P97">
        <v>10.08</v>
      </c>
      <c r="Q97">
        <v>106983632</v>
      </c>
      <c r="R97">
        <v>1.68</v>
      </c>
      <c r="S97" t="s">
        <v>824</v>
      </c>
      <c r="T97" t="s">
        <v>645</v>
      </c>
      <c r="U97">
        <v>2.04</v>
      </c>
      <c r="V97">
        <v>4.95</v>
      </c>
      <c r="W97">
        <v>105770</v>
      </c>
      <c r="X97">
        <v>110517</v>
      </c>
      <c r="Y97">
        <v>0.96</v>
      </c>
      <c r="Z97">
        <v>1722</v>
      </c>
      <c r="AA97">
        <v>2451</v>
      </c>
      <c r="AB97" t="s">
        <v>116</v>
      </c>
      <c r="AC97">
        <v>332200</v>
      </c>
      <c r="AD97">
        <v>0.01</v>
      </c>
      <c r="AE97" t="s">
        <v>116</v>
      </c>
      <c r="AF97" t="s">
        <v>116</v>
      </c>
      <c r="AG97">
        <v>16.57</v>
      </c>
      <c r="AH97" t="s">
        <v>825</v>
      </c>
      <c r="AI97" t="s">
        <v>826</v>
      </c>
      <c r="AJ97">
        <v>1.5</v>
      </c>
      <c r="AK97">
        <v>3213</v>
      </c>
      <c r="AL97">
        <v>67</v>
      </c>
      <c r="AM97">
        <v>4.0000000000000002E-4</v>
      </c>
      <c r="AN97">
        <v>4</v>
      </c>
      <c r="AO97">
        <v>1.65</v>
      </c>
      <c r="AP97">
        <v>4.4400000000000004</v>
      </c>
      <c r="AQ97">
        <v>3.78</v>
      </c>
      <c r="AR97">
        <v>-8.01</v>
      </c>
      <c r="AS97">
        <v>1.79</v>
      </c>
      <c r="AT97" t="s">
        <v>827</v>
      </c>
      <c r="AU97">
        <v>13.09</v>
      </c>
      <c r="AV97">
        <v>5.72</v>
      </c>
      <c r="AW97">
        <v>0.8</v>
      </c>
      <c r="BA97">
        <v>0</v>
      </c>
      <c r="BB97">
        <v>1.84</v>
      </c>
      <c r="BC97">
        <v>-0.2</v>
      </c>
      <c r="BD97">
        <v>0.95</v>
      </c>
      <c r="BE97">
        <v>0.82</v>
      </c>
      <c r="BF97">
        <v>-1</v>
      </c>
      <c r="BG97">
        <v>1.02</v>
      </c>
      <c r="BH97">
        <v>-0.13</v>
      </c>
      <c r="BI97">
        <v>20191026</v>
      </c>
      <c r="BJ97">
        <v>20001120</v>
      </c>
      <c r="BK97">
        <v>29.05</v>
      </c>
      <c r="BL97">
        <v>7.06</v>
      </c>
      <c r="BM97">
        <v>5.28</v>
      </c>
      <c r="BN97">
        <v>1041.18</v>
      </c>
      <c r="BO97">
        <v>244.85</v>
      </c>
      <c r="BP97">
        <v>6.97</v>
      </c>
      <c r="BQ97">
        <v>75.81</v>
      </c>
      <c r="BR97">
        <v>493.53</v>
      </c>
      <c r="BS97">
        <v>297.7</v>
      </c>
      <c r="BT97">
        <v>18.05</v>
      </c>
      <c r="BU97">
        <v>607.02</v>
      </c>
      <c r="BV97">
        <v>48.04</v>
      </c>
      <c r="BW97">
        <v>35.69</v>
      </c>
      <c r="BX97">
        <v>50.91</v>
      </c>
      <c r="BY97">
        <v>220.14</v>
      </c>
      <c r="BZ97">
        <v>160.38</v>
      </c>
      <c r="CA97">
        <v>11.52</v>
      </c>
      <c r="CB97">
        <v>1.66</v>
      </c>
      <c r="CC97">
        <v>14.04</v>
      </c>
      <c r="CD97">
        <v>11.18</v>
      </c>
      <c r="CE97">
        <v>10.68</v>
      </c>
      <c r="CF97">
        <v>7.51</v>
      </c>
      <c r="CG97">
        <v>87.94</v>
      </c>
      <c r="CH97">
        <v>64.989999999999995</v>
      </c>
      <c r="CI97">
        <v>3.92</v>
      </c>
      <c r="CJ97">
        <v>127898</v>
      </c>
      <c r="CK97">
        <v>14993</v>
      </c>
      <c r="CL97" t="s">
        <v>828</v>
      </c>
      <c r="CM97">
        <v>-56.97</v>
      </c>
      <c r="CN97">
        <v>-6.29</v>
      </c>
      <c r="CO97">
        <v>0.84</v>
      </c>
      <c r="CP97">
        <v>2.21</v>
      </c>
      <c r="CQ97">
        <v>0.65</v>
      </c>
      <c r="CR97">
        <v>4.8600000000000003</v>
      </c>
      <c r="CS97" t="s">
        <v>829</v>
      </c>
      <c r="CT97">
        <v>5.86</v>
      </c>
      <c r="CU97">
        <v>5.86</v>
      </c>
      <c r="CV97">
        <v>1.75</v>
      </c>
      <c r="CW97">
        <v>3.03</v>
      </c>
      <c r="CX97">
        <v>2.2400000000000002</v>
      </c>
      <c r="CY97">
        <v>23.52</v>
      </c>
      <c r="CZ97" t="s">
        <v>830</v>
      </c>
      <c r="DA97">
        <v>27.15</v>
      </c>
      <c r="DB97">
        <v>5.23</v>
      </c>
      <c r="DC97">
        <v>4.8499999999999996</v>
      </c>
      <c r="DD97">
        <v>7.06</v>
      </c>
      <c r="DE97">
        <v>15191</v>
      </c>
      <c r="DF97">
        <v>488</v>
      </c>
      <c r="DG97" t="s">
        <v>116</v>
      </c>
      <c r="DH97" t="s">
        <v>116</v>
      </c>
      <c r="DI97" t="s">
        <v>116</v>
      </c>
    </row>
    <row r="98" spans="1:113" x14ac:dyDescent="0.4">
      <c r="A98" t="str">
        <f>"000498"</f>
        <v>000498</v>
      </c>
      <c r="B98" t="s">
        <v>831</v>
      </c>
      <c r="C98">
        <v>0.44</v>
      </c>
      <c r="D98">
        <v>4.6100000000000003</v>
      </c>
      <c r="E98">
        <v>0.02</v>
      </c>
      <c r="F98">
        <v>4.6100000000000003</v>
      </c>
      <c r="G98">
        <v>4.62</v>
      </c>
      <c r="H98">
        <v>49363</v>
      </c>
      <c r="I98">
        <v>1171</v>
      </c>
      <c r="J98">
        <v>0.22</v>
      </c>
      <c r="K98">
        <v>0.44</v>
      </c>
      <c r="L98">
        <v>4.6100000000000003</v>
      </c>
      <c r="M98">
        <v>4.63</v>
      </c>
      <c r="N98">
        <v>4.59</v>
      </c>
      <c r="O98">
        <v>4.59</v>
      </c>
      <c r="P98">
        <v>10.3</v>
      </c>
      <c r="Q98">
        <v>22756632</v>
      </c>
      <c r="R98">
        <v>0.78</v>
      </c>
      <c r="S98" t="s">
        <v>181</v>
      </c>
      <c r="T98" t="s">
        <v>645</v>
      </c>
      <c r="U98">
        <v>0.87</v>
      </c>
      <c r="V98">
        <v>4.6100000000000003</v>
      </c>
      <c r="W98">
        <v>26421</v>
      </c>
      <c r="X98">
        <v>22942</v>
      </c>
      <c r="Y98">
        <v>1.1499999999999999</v>
      </c>
      <c r="Z98">
        <v>167</v>
      </c>
      <c r="AA98">
        <v>1436</v>
      </c>
      <c r="AB98" t="s">
        <v>116</v>
      </c>
      <c r="AC98">
        <v>65500</v>
      </c>
      <c r="AD98">
        <v>0</v>
      </c>
      <c r="AE98" t="s">
        <v>116</v>
      </c>
      <c r="AF98" t="s">
        <v>116</v>
      </c>
      <c r="AG98">
        <v>11.2</v>
      </c>
      <c r="AH98" t="s">
        <v>832</v>
      </c>
      <c r="AI98" t="s">
        <v>832</v>
      </c>
      <c r="AJ98">
        <v>1.1100000000000001</v>
      </c>
      <c r="AK98">
        <v>1076</v>
      </c>
      <c r="AL98">
        <v>46</v>
      </c>
      <c r="AM98">
        <v>4.0000000000000002E-4</v>
      </c>
      <c r="AN98">
        <v>1</v>
      </c>
      <c r="AO98">
        <v>-1.28</v>
      </c>
      <c r="AP98">
        <v>0.66</v>
      </c>
      <c r="AQ98">
        <v>-4.55</v>
      </c>
      <c r="AR98">
        <v>-7.52</v>
      </c>
      <c r="AS98">
        <v>1.2</v>
      </c>
      <c r="AT98" t="s">
        <v>833</v>
      </c>
      <c r="AU98">
        <v>7.5</v>
      </c>
      <c r="AV98">
        <v>7.78</v>
      </c>
      <c r="AW98">
        <v>0.78</v>
      </c>
      <c r="BA98">
        <v>0.44</v>
      </c>
      <c r="BB98">
        <v>0.87</v>
      </c>
      <c r="BC98">
        <v>0</v>
      </c>
      <c r="BD98">
        <v>0.44</v>
      </c>
      <c r="BE98">
        <v>0</v>
      </c>
      <c r="BF98">
        <v>-0.43</v>
      </c>
      <c r="BG98">
        <v>0.44</v>
      </c>
      <c r="BH98">
        <v>0</v>
      </c>
      <c r="BI98">
        <v>20191224</v>
      </c>
      <c r="BJ98">
        <v>19970609</v>
      </c>
      <c r="BK98">
        <v>11.2</v>
      </c>
      <c r="BL98" t="s">
        <v>116</v>
      </c>
      <c r="BM98" t="s">
        <v>116</v>
      </c>
      <c r="BN98">
        <v>285.76</v>
      </c>
      <c r="BO98">
        <v>53.02</v>
      </c>
      <c r="BP98">
        <v>23.64</v>
      </c>
      <c r="BQ98">
        <v>73.17</v>
      </c>
      <c r="BR98">
        <v>192.89</v>
      </c>
      <c r="BS98">
        <v>7.74</v>
      </c>
      <c r="BT98">
        <v>0.54</v>
      </c>
      <c r="BU98">
        <v>160.43</v>
      </c>
      <c r="BV98">
        <v>98.44</v>
      </c>
      <c r="BW98">
        <v>44.71</v>
      </c>
      <c r="BX98">
        <v>-1.75</v>
      </c>
      <c r="BY98">
        <v>157.68</v>
      </c>
      <c r="BZ98">
        <v>144.16999999999999</v>
      </c>
      <c r="CA98">
        <v>7</v>
      </c>
      <c r="CB98">
        <v>0.11</v>
      </c>
      <c r="CC98">
        <v>7</v>
      </c>
      <c r="CD98">
        <v>5.0999999999999996</v>
      </c>
      <c r="CE98">
        <v>3.76</v>
      </c>
      <c r="CF98">
        <v>3.26</v>
      </c>
      <c r="CG98">
        <v>33.229999999999997</v>
      </c>
      <c r="CH98">
        <v>-9.86</v>
      </c>
      <c r="CI98">
        <v>-10.67</v>
      </c>
      <c r="CJ98">
        <v>51402</v>
      </c>
      <c r="CK98">
        <v>7976</v>
      </c>
      <c r="CL98" t="s">
        <v>834</v>
      </c>
      <c r="CM98">
        <v>7.05</v>
      </c>
      <c r="CN98">
        <v>52.05</v>
      </c>
      <c r="CO98">
        <v>0.97</v>
      </c>
      <c r="CP98">
        <v>-5.24</v>
      </c>
      <c r="CQ98">
        <v>0.33</v>
      </c>
      <c r="CR98">
        <v>1.63</v>
      </c>
      <c r="CS98" t="s">
        <v>736</v>
      </c>
      <c r="CT98">
        <v>4.7300000000000004</v>
      </c>
      <c r="CU98">
        <v>0</v>
      </c>
      <c r="CV98">
        <v>-0.16</v>
      </c>
      <c r="CW98">
        <v>2.97</v>
      </c>
      <c r="CX98">
        <v>-0.88</v>
      </c>
      <c r="CY98">
        <v>18.55</v>
      </c>
      <c r="CZ98" t="s">
        <v>835</v>
      </c>
      <c r="DA98">
        <v>8.57</v>
      </c>
      <c r="DB98">
        <v>4.4400000000000004</v>
      </c>
      <c r="DC98">
        <v>2.38</v>
      </c>
      <c r="DD98">
        <v>1.54</v>
      </c>
      <c r="DE98">
        <v>8703</v>
      </c>
      <c r="DF98">
        <v>498</v>
      </c>
      <c r="DG98" t="s">
        <v>116</v>
      </c>
      <c r="DH98" t="s">
        <v>116</v>
      </c>
      <c r="DI98" t="s">
        <v>116</v>
      </c>
    </row>
    <row r="99" spans="1:113" x14ac:dyDescent="0.4">
      <c r="A99" t="str">
        <f>"000501"</f>
        <v>000501</v>
      </c>
      <c r="B99" t="s">
        <v>836</v>
      </c>
      <c r="C99">
        <v>-7.0000000000000007E-2</v>
      </c>
      <c r="D99">
        <v>13.35</v>
      </c>
      <c r="E99">
        <v>-0.01</v>
      </c>
      <c r="F99">
        <v>13.33</v>
      </c>
      <c r="G99">
        <v>13.35</v>
      </c>
      <c r="H99">
        <v>83108</v>
      </c>
      <c r="I99">
        <v>1021</v>
      </c>
      <c r="J99">
        <v>-0.06</v>
      </c>
      <c r="K99">
        <v>1.08</v>
      </c>
      <c r="L99">
        <v>13.29</v>
      </c>
      <c r="M99">
        <v>13.6</v>
      </c>
      <c r="N99">
        <v>13.25</v>
      </c>
      <c r="O99">
        <v>13.36</v>
      </c>
      <c r="P99">
        <v>9.41</v>
      </c>
      <c r="Q99">
        <v>110997896</v>
      </c>
      <c r="R99">
        <v>0.68</v>
      </c>
      <c r="S99" t="s">
        <v>746</v>
      </c>
      <c r="T99" t="s">
        <v>774</v>
      </c>
      <c r="U99">
        <v>2.62</v>
      </c>
      <c r="V99">
        <v>13.36</v>
      </c>
      <c r="W99">
        <v>45612</v>
      </c>
      <c r="X99">
        <v>37496</v>
      </c>
      <c r="Y99">
        <v>1.22</v>
      </c>
      <c r="Z99">
        <v>143</v>
      </c>
      <c r="AA99">
        <v>7</v>
      </c>
      <c r="AB99" t="s">
        <v>116</v>
      </c>
      <c r="AC99">
        <v>397400</v>
      </c>
      <c r="AD99">
        <v>0.01</v>
      </c>
      <c r="AE99" t="s">
        <v>116</v>
      </c>
      <c r="AF99" t="s">
        <v>116</v>
      </c>
      <c r="AG99">
        <v>7.68</v>
      </c>
      <c r="AH99" t="s">
        <v>837</v>
      </c>
      <c r="AI99" t="s">
        <v>838</v>
      </c>
      <c r="AJ99">
        <v>0.6</v>
      </c>
      <c r="AK99">
        <v>2264</v>
      </c>
      <c r="AL99">
        <v>37</v>
      </c>
      <c r="AM99">
        <v>5.0000000000000001E-4</v>
      </c>
      <c r="AN99">
        <v>-1</v>
      </c>
      <c r="AO99">
        <v>3.49</v>
      </c>
      <c r="AP99">
        <v>23.15</v>
      </c>
      <c r="AQ99">
        <v>33.1</v>
      </c>
      <c r="AR99">
        <v>43.86</v>
      </c>
      <c r="AS99">
        <v>1.9</v>
      </c>
      <c r="AT99" t="s">
        <v>839</v>
      </c>
      <c r="AU99">
        <v>9.4600000000000009</v>
      </c>
      <c r="AV99">
        <v>9.7799999999999994</v>
      </c>
      <c r="AW99">
        <v>0.25</v>
      </c>
      <c r="BA99">
        <v>-0.52</v>
      </c>
      <c r="BB99">
        <v>1.8</v>
      </c>
      <c r="BC99">
        <v>-0.82</v>
      </c>
      <c r="BD99">
        <v>-0.03</v>
      </c>
      <c r="BE99">
        <v>0.45</v>
      </c>
      <c r="BF99">
        <v>-1.84</v>
      </c>
      <c r="BG99">
        <v>0.75</v>
      </c>
      <c r="BH99">
        <v>-0.04</v>
      </c>
      <c r="BI99">
        <v>20191029</v>
      </c>
      <c r="BJ99">
        <v>19921120</v>
      </c>
      <c r="BK99">
        <v>7.69</v>
      </c>
      <c r="BL99" t="s">
        <v>116</v>
      </c>
      <c r="BM99" t="s">
        <v>116</v>
      </c>
      <c r="BN99">
        <v>228.57</v>
      </c>
      <c r="BO99">
        <v>90.45</v>
      </c>
      <c r="BP99">
        <v>0</v>
      </c>
      <c r="BQ99">
        <v>60.43</v>
      </c>
      <c r="BR99">
        <v>65.849999999999994</v>
      </c>
      <c r="BS99">
        <v>65.150000000000006</v>
      </c>
      <c r="BT99">
        <v>69.22</v>
      </c>
      <c r="BU99">
        <v>128.38999999999999</v>
      </c>
      <c r="BV99">
        <v>33.299999999999997</v>
      </c>
      <c r="BW99">
        <v>0.25</v>
      </c>
      <c r="BX99">
        <v>14.49</v>
      </c>
      <c r="BY99">
        <v>128.81</v>
      </c>
      <c r="BZ99">
        <v>101</v>
      </c>
      <c r="CA99">
        <v>10.89</v>
      </c>
      <c r="CB99">
        <v>0.14000000000000001</v>
      </c>
      <c r="CC99">
        <v>10.94</v>
      </c>
      <c r="CD99">
        <v>8.18</v>
      </c>
      <c r="CE99">
        <v>8.18</v>
      </c>
      <c r="CF99">
        <v>7.99</v>
      </c>
      <c r="CG99">
        <v>54.63</v>
      </c>
      <c r="CH99">
        <v>8.9</v>
      </c>
      <c r="CI99">
        <v>-7.15</v>
      </c>
      <c r="CJ99">
        <v>23124</v>
      </c>
      <c r="CK99">
        <v>18916</v>
      </c>
      <c r="CL99" t="s">
        <v>840</v>
      </c>
      <c r="CM99">
        <v>4.5199999999999996</v>
      </c>
      <c r="CN99">
        <v>-0.42</v>
      </c>
      <c r="CO99">
        <v>1.1299999999999999</v>
      </c>
      <c r="CP99">
        <v>11.53</v>
      </c>
      <c r="CQ99">
        <v>0.8</v>
      </c>
      <c r="CR99">
        <v>1.5</v>
      </c>
      <c r="CS99" t="s">
        <v>841</v>
      </c>
      <c r="CT99">
        <v>11.76</v>
      </c>
      <c r="CU99">
        <v>0</v>
      </c>
      <c r="CV99">
        <v>1.88</v>
      </c>
      <c r="CW99">
        <v>7.1</v>
      </c>
      <c r="CX99">
        <v>1.1599999999999999</v>
      </c>
      <c r="CY99">
        <v>39.57</v>
      </c>
      <c r="CZ99" t="s">
        <v>842</v>
      </c>
      <c r="DA99">
        <v>21.59</v>
      </c>
      <c r="DB99">
        <v>8.4499999999999993</v>
      </c>
      <c r="DC99">
        <v>6.35</v>
      </c>
      <c r="DD99">
        <v>0</v>
      </c>
      <c r="DE99">
        <v>9118</v>
      </c>
      <c r="DF99">
        <v>501</v>
      </c>
      <c r="DG99" t="s">
        <v>116</v>
      </c>
      <c r="DH99" t="s">
        <v>116</v>
      </c>
      <c r="DI99" t="s">
        <v>116</v>
      </c>
    </row>
    <row r="100" spans="1:113" x14ac:dyDescent="0.4">
      <c r="A100" t="str">
        <f>"000502"</f>
        <v>000502</v>
      </c>
      <c r="B100" t="s">
        <v>843</v>
      </c>
      <c r="C100">
        <v>1.39</v>
      </c>
      <c r="D100">
        <v>7.28</v>
      </c>
      <c r="E100">
        <v>0.1</v>
      </c>
      <c r="F100">
        <v>7.27</v>
      </c>
      <c r="G100">
        <v>7.28</v>
      </c>
      <c r="H100">
        <v>15971</v>
      </c>
      <c r="I100">
        <v>333</v>
      </c>
      <c r="J100">
        <v>0.14000000000000001</v>
      </c>
      <c r="K100">
        <v>0.87</v>
      </c>
      <c r="L100">
        <v>7.18</v>
      </c>
      <c r="M100">
        <v>7.32</v>
      </c>
      <c r="N100">
        <v>7.16</v>
      </c>
      <c r="O100">
        <v>7.18</v>
      </c>
      <c r="P100" t="s">
        <v>116</v>
      </c>
      <c r="Q100">
        <v>11569724</v>
      </c>
      <c r="R100">
        <v>1.02</v>
      </c>
      <c r="S100" t="s">
        <v>559</v>
      </c>
      <c r="T100" t="s">
        <v>551</v>
      </c>
      <c r="U100">
        <v>2.23</v>
      </c>
      <c r="V100">
        <v>7.24</v>
      </c>
      <c r="W100">
        <v>6890</v>
      </c>
      <c r="X100">
        <v>9081</v>
      </c>
      <c r="Y100">
        <v>0.76</v>
      </c>
      <c r="Z100">
        <v>20</v>
      </c>
      <c r="AA100">
        <v>3</v>
      </c>
      <c r="AB100" t="s">
        <v>116</v>
      </c>
      <c r="AC100">
        <v>5700</v>
      </c>
      <c r="AD100">
        <v>0</v>
      </c>
      <c r="AE100" t="s">
        <v>116</v>
      </c>
      <c r="AF100" t="s">
        <v>116</v>
      </c>
      <c r="AG100">
        <v>1.83</v>
      </c>
      <c r="AH100" t="s">
        <v>844</v>
      </c>
      <c r="AI100" t="s">
        <v>845</v>
      </c>
      <c r="AJ100">
        <v>2.0699999999999998</v>
      </c>
      <c r="AK100">
        <v>629</v>
      </c>
      <c r="AL100">
        <v>25</v>
      </c>
      <c r="AM100">
        <v>1.4E-3</v>
      </c>
      <c r="AN100">
        <v>2</v>
      </c>
      <c r="AO100">
        <v>2.25</v>
      </c>
      <c r="AP100">
        <v>3.56</v>
      </c>
      <c r="AQ100">
        <v>6.59</v>
      </c>
      <c r="AR100">
        <v>-4.21</v>
      </c>
      <c r="AS100">
        <v>1.1299999999999999</v>
      </c>
      <c r="AT100" t="s">
        <v>846</v>
      </c>
      <c r="AU100">
        <v>39.979999999999997</v>
      </c>
      <c r="AV100">
        <v>17.37</v>
      </c>
      <c r="AW100">
        <v>0.71</v>
      </c>
      <c r="BA100">
        <v>0</v>
      </c>
      <c r="BB100">
        <v>1.95</v>
      </c>
      <c r="BC100">
        <v>-0.28000000000000003</v>
      </c>
      <c r="BD100">
        <v>0.9</v>
      </c>
      <c r="BE100">
        <v>1.39</v>
      </c>
      <c r="BF100">
        <v>-0.55000000000000004</v>
      </c>
      <c r="BG100">
        <v>1.68</v>
      </c>
      <c r="BH100">
        <v>0.5</v>
      </c>
      <c r="BI100">
        <v>20191216</v>
      </c>
      <c r="BJ100">
        <v>19921123</v>
      </c>
      <c r="BK100">
        <v>1.85</v>
      </c>
      <c r="BL100" t="s">
        <v>116</v>
      </c>
      <c r="BM100" t="s">
        <v>116</v>
      </c>
      <c r="BN100">
        <v>2.52</v>
      </c>
      <c r="BO100">
        <v>2.0499999999999998</v>
      </c>
      <c r="BP100">
        <v>0.13</v>
      </c>
      <c r="BQ100">
        <v>13.75</v>
      </c>
      <c r="BR100">
        <v>1.46</v>
      </c>
      <c r="BS100">
        <v>0.22</v>
      </c>
      <c r="BT100">
        <v>0</v>
      </c>
      <c r="BU100">
        <v>0.35</v>
      </c>
      <c r="BV100">
        <v>0.28000000000000003</v>
      </c>
      <c r="BW100">
        <v>0.03</v>
      </c>
      <c r="BX100">
        <v>0.23</v>
      </c>
      <c r="BY100">
        <v>0.12</v>
      </c>
      <c r="BZ100">
        <v>0.09</v>
      </c>
      <c r="CA100">
        <v>-7.0000000000000007E-2</v>
      </c>
      <c r="CB100">
        <v>-0.01</v>
      </c>
      <c r="CC100">
        <v>-0.02</v>
      </c>
      <c r="CD100">
        <v>-0.02</v>
      </c>
      <c r="CE100">
        <v>-0.02</v>
      </c>
      <c r="CF100">
        <v>-7.0000000000000007E-2</v>
      </c>
      <c r="CG100">
        <v>-0.1</v>
      </c>
      <c r="CH100">
        <v>-0.08</v>
      </c>
      <c r="CI100">
        <v>-1.58</v>
      </c>
      <c r="CJ100">
        <v>18219</v>
      </c>
      <c r="CK100">
        <v>7766</v>
      </c>
      <c r="CL100" t="s">
        <v>847</v>
      </c>
      <c r="CM100">
        <v>-104.3</v>
      </c>
      <c r="CN100">
        <v>-9.59</v>
      </c>
      <c r="CO100">
        <v>6.57</v>
      </c>
      <c r="CP100">
        <v>-171.42</v>
      </c>
      <c r="CQ100">
        <v>113.32</v>
      </c>
      <c r="CR100">
        <v>0</v>
      </c>
      <c r="CS100" t="s">
        <v>848</v>
      </c>
      <c r="CT100">
        <v>1.1100000000000001</v>
      </c>
      <c r="CU100">
        <v>0</v>
      </c>
      <c r="CV100">
        <v>0.12</v>
      </c>
      <c r="CW100">
        <v>-0.05</v>
      </c>
      <c r="CX100">
        <v>-0.04</v>
      </c>
      <c r="CY100">
        <v>81.06</v>
      </c>
      <c r="CZ100" t="s">
        <v>849</v>
      </c>
      <c r="DA100">
        <v>20.18</v>
      </c>
      <c r="DB100">
        <v>-58.26</v>
      </c>
      <c r="DC100">
        <v>-15.2</v>
      </c>
      <c r="DD100">
        <v>0</v>
      </c>
      <c r="DE100">
        <v>127</v>
      </c>
      <c r="DF100">
        <v>502</v>
      </c>
      <c r="DG100" t="s">
        <v>116</v>
      </c>
      <c r="DH100" t="s">
        <v>116</v>
      </c>
      <c r="DI100" t="s">
        <v>116</v>
      </c>
    </row>
    <row r="101" spans="1:113" x14ac:dyDescent="0.4">
      <c r="A101" t="str">
        <f>"000503"</f>
        <v>000503</v>
      </c>
      <c r="B101" t="s">
        <v>850</v>
      </c>
      <c r="C101">
        <v>-4.91</v>
      </c>
      <c r="D101">
        <v>17.420000000000002</v>
      </c>
      <c r="E101">
        <v>-0.9</v>
      </c>
      <c r="F101">
        <v>17.41</v>
      </c>
      <c r="G101">
        <v>17.420000000000002</v>
      </c>
      <c r="H101">
        <v>236465</v>
      </c>
      <c r="I101">
        <v>2479</v>
      </c>
      <c r="J101">
        <v>0.57999999999999996</v>
      </c>
      <c r="K101">
        <v>2.63</v>
      </c>
      <c r="L101">
        <v>18.28</v>
      </c>
      <c r="M101">
        <v>18.5</v>
      </c>
      <c r="N101">
        <v>17.3</v>
      </c>
      <c r="O101">
        <v>18.32</v>
      </c>
      <c r="P101" t="s">
        <v>116</v>
      </c>
      <c r="Q101">
        <v>422985568</v>
      </c>
      <c r="R101">
        <v>1.25</v>
      </c>
      <c r="S101" t="s">
        <v>559</v>
      </c>
      <c r="T101" t="s">
        <v>851</v>
      </c>
      <c r="U101">
        <v>6.55</v>
      </c>
      <c r="V101">
        <v>17.89</v>
      </c>
      <c r="W101">
        <v>133274</v>
      </c>
      <c r="X101">
        <v>103191</v>
      </c>
      <c r="Y101">
        <v>1.29</v>
      </c>
      <c r="Z101">
        <v>976</v>
      </c>
      <c r="AA101">
        <v>174</v>
      </c>
      <c r="AB101" t="s">
        <v>116</v>
      </c>
      <c r="AC101">
        <v>2232000</v>
      </c>
      <c r="AD101">
        <v>0.02</v>
      </c>
      <c r="AE101" t="s">
        <v>116</v>
      </c>
      <c r="AF101" t="s">
        <v>116</v>
      </c>
      <c r="AG101">
        <v>8.99</v>
      </c>
      <c r="AH101" t="s">
        <v>852</v>
      </c>
      <c r="AI101" t="s">
        <v>852</v>
      </c>
      <c r="AJ101">
        <v>-4.2300000000000004</v>
      </c>
      <c r="AK101">
        <v>3202</v>
      </c>
      <c r="AL101">
        <v>74</v>
      </c>
      <c r="AM101">
        <v>8.0000000000000004E-4</v>
      </c>
      <c r="AN101">
        <v>-1</v>
      </c>
      <c r="AO101">
        <v>-5.88</v>
      </c>
      <c r="AP101">
        <v>3.38</v>
      </c>
      <c r="AQ101">
        <v>-1.69</v>
      </c>
      <c r="AR101">
        <v>9.6999999999999993</v>
      </c>
      <c r="AS101">
        <v>3.57</v>
      </c>
      <c r="AT101" t="s">
        <v>853</v>
      </c>
      <c r="AU101" t="s">
        <v>116</v>
      </c>
      <c r="AV101" t="s">
        <v>116</v>
      </c>
      <c r="AW101">
        <v>0.85</v>
      </c>
      <c r="BA101">
        <v>-0.22</v>
      </c>
      <c r="BB101">
        <v>0.98</v>
      </c>
      <c r="BC101">
        <v>-5.57</v>
      </c>
      <c r="BD101">
        <v>-2.36</v>
      </c>
      <c r="BE101">
        <v>-4.7</v>
      </c>
      <c r="BF101">
        <v>-5.84</v>
      </c>
      <c r="BG101">
        <v>0.69</v>
      </c>
      <c r="BH101">
        <v>-2.5499999999999998</v>
      </c>
      <c r="BI101">
        <v>20191030</v>
      </c>
      <c r="BJ101">
        <v>19921130</v>
      </c>
      <c r="BK101">
        <v>8.99</v>
      </c>
      <c r="BL101" t="s">
        <v>116</v>
      </c>
      <c r="BM101" t="s">
        <v>116</v>
      </c>
      <c r="BN101">
        <v>11.1</v>
      </c>
      <c r="BO101">
        <v>10.61</v>
      </c>
      <c r="BP101">
        <v>0.03</v>
      </c>
      <c r="BQ101">
        <v>4.1500000000000004</v>
      </c>
      <c r="BR101">
        <v>6.5</v>
      </c>
      <c r="BS101">
        <v>0.3</v>
      </c>
      <c r="BT101">
        <v>1.86</v>
      </c>
      <c r="BU101">
        <v>0.46</v>
      </c>
      <c r="BV101">
        <v>0</v>
      </c>
      <c r="BW101">
        <v>0.17</v>
      </c>
      <c r="BX101">
        <v>0</v>
      </c>
      <c r="BY101">
        <v>0.54</v>
      </c>
      <c r="BZ101">
        <v>1.1000000000000001</v>
      </c>
      <c r="CA101">
        <v>-1.47</v>
      </c>
      <c r="CB101">
        <v>0</v>
      </c>
      <c r="CC101">
        <v>-1.47</v>
      </c>
      <c r="CD101">
        <v>-1.47</v>
      </c>
      <c r="CE101">
        <v>-1.46</v>
      </c>
      <c r="CF101">
        <v>-1.42</v>
      </c>
      <c r="CG101">
        <v>2.63</v>
      </c>
      <c r="CH101">
        <v>-1.42</v>
      </c>
      <c r="CI101">
        <v>-2.17</v>
      </c>
      <c r="CJ101">
        <v>57247</v>
      </c>
      <c r="CK101">
        <v>11583</v>
      </c>
      <c r="CL101" t="s">
        <v>854</v>
      </c>
      <c r="CM101">
        <v>-29.11</v>
      </c>
      <c r="CN101">
        <v>15.09</v>
      </c>
      <c r="CO101">
        <v>14.76</v>
      </c>
      <c r="CP101">
        <v>-110.39</v>
      </c>
      <c r="CQ101">
        <v>291.77999999999997</v>
      </c>
      <c r="CR101">
        <v>0</v>
      </c>
      <c r="CS101" t="s">
        <v>855</v>
      </c>
      <c r="CT101">
        <v>1.18</v>
      </c>
      <c r="CU101">
        <v>0</v>
      </c>
      <c r="CV101">
        <v>0</v>
      </c>
      <c r="CW101">
        <v>0.28999999999999998</v>
      </c>
      <c r="CX101">
        <v>-0.16</v>
      </c>
      <c r="CY101">
        <v>95.56</v>
      </c>
      <c r="CZ101" t="s">
        <v>856</v>
      </c>
      <c r="DA101">
        <v>-105.75</v>
      </c>
      <c r="DB101">
        <v>-274.66000000000003</v>
      </c>
      <c r="DC101">
        <v>-272.52999999999997</v>
      </c>
      <c r="DD101">
        <v>0.04</v>
      </c>
      <c r="DE101">
        <v>1223</v>
      </c>
      <c r="DF101">
        <v>503</v>
      </c>
      <c r="DG101" t="s">
        <v>116</v>
      </c>
      <c r="DH101" t="s">
        <v>116</v>
      </c>
      <c r="DI101" t="s">
        <v>116</v>
      </c>
    </row>
    <row r="102" spans="1:113" x14ac:dyDescent="0.4">
      <c r="A102" t="str">
        <f>"000504"</f>
        <v>000504</v>
      </c>
      <c r="B102" t="s">
        <v>857</v>
      </c>
      <c r="C102">
        <v>-0.6</v>
      </c>
      <c r="D102">
        <v>8.26</v>
      </c>
      <c r="E102">
        <v>-0.05</v>
      </c>
      <c r="F102">
        <v>8.27</v>
      </c>
      <c r="G102">
        <v>8.2799999999999994</v>
      </c>
      <c r="H102">
        <v>7309</v>
      </c>
      <c r="I102">
        <v>1</v>
      </c>
      <c r="J102">
        <v>0</v>
      </c>
      <c r="K102">
        <v>0.24</v>
      </c>
      <c r="L102">
        <v>8.2899999999999991</v>
      </c>
      <c r="M102">
        <v>8.36</v>
      </c>
      <c r="N102">
        <v>8.24</v>
      </c>
      <c r="O102">
        <v>8.31</v>
      </c>
      <c r="P102" t="s">
        <v>116</v>
      </c>
      <c r="Q102">
        <v>6069041</v>
      </c>
      <c r="R102">
        <v>0.66</v>
      </c>
      <c r="S102" t="s">
        <v>140</v>
      </c>
      <c r="T102" t="s">
        <v>599</v>
      </c>
      <c r="U102">
        <v>1.44</v>
      </c>
      <c r="V102">
        <v>8.3000000000000007</v>
      </c>
      <c r="W102">
        <v>4899</v>
      </c>
      <c r="X102">
        <v>2410</v>
      </c>
      <c r="Y102">
        <v>2.0299999999999998</v>
      </c>
      <c r="Z102">
        <v>25</v>
      </c>
      <c r="AA102">
        <v>70</v>
      </c>
      <c r="AB102" t="s">
        <v>116</v>
      </c>
      <c r="AC102">
        <v>110300</v>
      </c>
      <c r="AD102">
        <v>0.01</v>
      </c>
      <c r="AE102" t="s">
        <v>116</v>
      </c>
      <c r="AF102" t="s">
        <v>116</v>
      </c>
      <c r="AG102">
        <v>3.11</v>
      </c>
      <c r="AH102" t="s">
        <v>858</v>
      </c>
      <c r="AI102" t="s">
        <v>859</v>
      </c>
      <c r="AJ102">
        <v>0.08</v>
      </c>
      <c r="AK102">
        <v>205</v>
      </c>
      <c r="AL102">
        <v>36</v>
      </c>
      <c r="AM102">
        <v>1.1000000000000001E-3</v>
      </c>
      <c r="AN102">
        <v>-1</v>
      </c>
      <c r="AO102">
        <v>-1.42</v>
      </c>
      <c r="AP102">
        <v>-0.96</v>
      </c>
      <c r="AQ102">
        <v>-5.28</v>
      </c>
      <c r="AR102">
        <v>-33.76</v>
      </c>
      <c r="AS102">
        <v>0.44</v>
      </c>
      <c r="AT102" t="s">
        <v>756</v>
      </c>
      <c r="AU102" t="s">
        <v>116</v>
      </c>
      <c r="AV102" t="s">
        <v>116</v>
      </c>
      <c r="AW102">
        <v>0</v>
      </c>
      <c r="BA102">
        <v>-0.24</v>
      </c>
      <c r="BB102">
        <v>0.6</v>
      </c>
      <c r="BC102">
        <v>-0.84</v>
      </c>
      <c r="BD102">
        <v>-0.08</v>
      </c>
      <c r="BE102">
        <v>-0.36</v>
      </c>
      <c r="BF102">
        <v>-1.2</v>
      </c>
      <c r="BG102">
        <v>0.24</v>
      </c>
      <c r="BH102">
        <v>-0.52</v>
      </c>
      <c r="BI102">
        <v>20191030</v>
      </c>
      <c r="BJ102">
        <v>19921208</v>
      </c>
      <c r="BK102">
        <v>3.12</v>
      </c>
      <c r="BL102" t="s">
        <v>116</v>
      </c>
      <c r="BM102" t="s">
        <v>116</v>
      </c>
      <c r="BN102">
        <v>3.44</v>
      </c>
      <c r="BO102">
        <v>-0.3</v>
      </c>
      <c r="BP102">
        <v>1.1599999999999999</v>
      </c>
      <c r="BQ102">
        <v>75.05</v>
      </c>
      <c r="BR102">
        <v>1.64</v>
      </c>
      <c r="BS102">
        <v>0.18</v>
      </c>
      <c r="BT102">
        <v>0.16</v>
      </c>
      <c r="BU102">
        <v>2.5</v>
      </c>
      <c r="BV102">
        <v>0.33</v>
      </c>
      <c r="BW102">
        <v>0.4</v>
      </c>
      <c r="BX102">
        <v>1.41</v>
      </c>
      <c r="BY102">
        <v>0.9</v>
      </c>
      <c r="BZ102">
        <v>0.27</v>
      </c>
      <c r="CA102">
        <v>-0.19</v>
      </c>
      <c r="CB102">
        <v>0</v>
      </c>
      <c r="CC102">
        <v>-0.2</v>
      </c>
      <c r="CD102">
        <v>-0.2</v>
      </c>
      <c r="CE102">
        <v>-0.2</v>
      </c>
      <c r="CF102">
        <v>-0.2</v>
      </c>
      <c r="CG102">
        <v>-5.18</v>
      </c>
      <c r="CH102">
        <v>-0.05</v>
      </c>
      <c r="CI102">
        <v>-0.02</v>
      </c>
      <c r="CJ102">
        <v>12573</v>
      </c>
      <c r="CK102">
        <v>13151</v>
      </c>
      <c r="CL102" t="s">
        <v>860</v>
      </c>
      <c r="CM102">
        <v>12.7</v>
      </c>
      <c r="CN102">
        <v>61.76</v>
      </c>
      <c r="CO102">
        <v>-84.52</v>
      </c>
      <c r="CP102">
        <v>-542.77</v>
      </c>
      <c r="CQ102">
        <v>28.52</v>
      </c>
      <c r="CR102">
        <v>0</v>
      </c>
      <c r="CS102" t="s">
        <v>861</v>
      </c>
      <c r="CT102">
        <v>-0.1</v>
      </c>
      <c r="CU102">
        <v>0</v>
      </c>
      <c r="CV102">
        <v>0.45</v>
      </c>
      <c r="CW102">
        <v>-1.66</v>
      </c>
      <c r="CX102">
        <v>-0.02</v>
      </c>
      <c r="CY102">
        <v>-8.86</v>
      </c>
      <c r="CZ102" t="s">
        <v>116</v>
      </c>
      <c r="DA102">
        <v>70.239999999999995</v>
      </c>
      <c r="DB102">
        <v>-21.36</v>
      </c>
      <c r="DC102">
        <v>-22.26</v>
      </c>
      <c r="DD102">
        <v>7.0000000000000007E-2</v>
      </c>
      <c r="DE102">
        <v>365</v>
      </c>
      <c r="DF102">
        <v>504</v>
      </c>
      <c r="DG102" t="s">
        <v>116</v>
      </c>
      <c r="DH102" t="s">
        <v>116</v>
      </c>
      <c r="DI102" t="s">
        <v>116</v>
      </c>
    </row>
    <row r="103" spans="1:113" x14ac:dyDescent="0.4">
      <c r="A103" t="str">
        <f>"000505"</f>
        <v>000505</v>
      </c>
      <c r="B103" t="s">
        <v>862</v>
      </c>
      <c r="C103">
        <v>-0.18</v>
      </c>
      <c r="D103">
        <v>5.45</v>
      </c>
      <c r="E103">
        <v>-0.01</v>
      </c>
      <c r="F103">
        <v>5.44</v>
      </c>
      <c r="G103">
        <v>5.45</v>
      </c>
      <c r="H103">
        <v>64581</v>
      </c>
      <c r="I103">
        <v>447</v>
      </c>
      <c r="J103">
        <v>0</v>
      </c>
      <c r="K103">
        <v>1.59</v>
      </c>
      <c r="L103">
        <v>5.51</v>
      </c>
      <c r="M103">
        <v>5.54</v>
      </c>
      <c r="N103">
        <v>5.43</v>
      </c>
      <c r="O103">
        <v>5.46</v>
      </c>
      <c r="P103">
        <v>32.840000000000003</v>
      </c>
      <c r="Q103">
        <v>35419828</v>
      </c>
      <c r="R103">
        <v>0.82</v>
      </c>
      <c r="S103" t="s">
        <v>863</v>
      </c>
      <c r="T103" t="s">
        <v>851</v>
      </c>
      <c r="U103">
        <v>2.0099999999999998</v>
      </c>
      <c r="V103">
        <v>5.48</v>
      </c>
      <c r="W103">
        <v>38608</v>
      </c>
      <c r="X103">
        <v>25973</v>
      </c>
      <c r="Y103">
        <v>1.49</v>
      </c>
      <c r="Z103">
        <v>1465</v>
      </c>
      <c r="AA103">
        <v>211</v>
      </c>
      <c r="AB103" t="s">
        <v>116</v>
      </c>
      <c r="AC103">
        <v>305800</v>
      </c>
      <c r="AD103">
        <v>0.02</v>
      </c>
      <c r="AE103" t="s">
        <v>116</v>
      </c>
      <c r="AF103" t="s">
        <v>116</v>
      </c>
      <c r="AG103">
        <v>4.0599999999999996</v>
      </c>
      <c r="AH103" t="s">
        <v>864</v>
      </c>
      <c r="AI103" t="s">
        <v>865</v>
      </c>
      <c r="AJ103">
        <v>0.5</v>
      </c>
      <c r="AK103">
        <v>1017</v>
      </c>
      <c r="AL103">
        <v>64</v>
      </c>
      <c r="AM103">
        <v>1.6000000000000001E-3</v>
      </c>
      <c r="AN103">
        <v>-1</v>
      </c>
      <c r="AO103">
        <v>-1.0900000000000001</v>
      </c>
      <c r="AP103">
        <v>-1.8</v>
      </c>
      <c r="AQ103">
        <v>-1.27</v>
      </c>
      <c r="AR103">
        <v>-1.27</v>
      </c>
      <c r="AS103">
        <v>2.29</v>
      </c>
      <c r="AT103" t="s">
        <v>866</v>
      </c>
      <c r="AU103">
        <v>24.74</v>
      </c>
      <c r="AV103">
        <v>22.25</v>
      </c>
      <c r="AW103">
        <v>0.87</v>
      </c>
      <c r="BA103">
        <v>0.92</v>
      </c>
      <c r="BB103">
        <v>1.47</v>
      </c>
      <c r="BC103">
        <v>-0.55000000000000004</v>
      </c>
      <c r="BD103">
        <v>0.45</v>
      </c>
      <c r="BE103">
        <v>-1.0900000000000001</v>
      </c>
      <c r="BF103">
        <v>-1.62</v>
      </c>
      <c r="BG103">
        <v>0.37</v>
      </c>
      <c r="BH103">
        <v>-0.63</v>
      </c>
      <c r="BI103">
        <v>20191019</v>
      </c>
      <c r="BJ103">
        <v>19921221</v>
      </c>
      <c r="BK103">
        <v>6.86</v>
      </c>
      <c r="BL103">
        <v>0.65</v>
      </c>
      <c r="BM103" t="s">
        <v>116</v>
      </c>
      <c r="BN103">
        <v>51.32</v>
      </c>
      <c r="BO103">
        <v>23.58</v>
      </c>
      <c r="BP103">
        <v>5.79</v>
      </c>
      <c r="BQ103">
        <v>42.76</v>
      </c>
      <c r="BR103">
        <v>29.67</v>
      </c>
      <c r="BS103">
        <v>12.41</v>
      </c>
      <c r="BT103">
        <v>3.74</v>
      </c>
      <c r="BU103">
        <v>20.16</v>
      </c>
      <c r="BV103">
        <v>9.93</v>
      </c>
      <c r="BW103">
        <v>0.96</v>
      </c>
      <c r="BX103">
        <v>15.96</v>
      </c>
      <c r="BY103">
        <v>51.08</v>
      </c>
      <c r="BZ103">
        <v>46.93</v>
      </c>
      <c r="CA103">
        <v>1.48</v>
      </c>
      <c r="CB103">
        <v>0.1</v>
      </c>
      <c r="CC103">
        <v>1.49</v>
      </c>
      <c r="CD103">
        <v>1.1100000000000001</v>
      </c>
      <c r="CE103">
        <v>0.85</v>
      </c>
      <c r="CF103">
        <v>0.69</v>
      </c>
      <c r="CG103">
        <v>-0.46</v>
      </c>
      <c r="CH103">
        <v>4.47</v>
      </c>
      <c r="CI103">
        <v>-4.13</v>
      </c>
      <c r="CJ103">
        <v>38631</v>
      </c>
      <c r="CK103">
        <v>8996</v>
      </c>
      <c r="CL103" t="s">
        <v>867</v>
      </c>
      <c r="CM103">
        <v>-16.54</v>
      </c>
      <c r="CN103">
        <v>-7.79</v>
      </c>
      <c r="CO103">
        <v>1.59</v>
      </c>
      <c r="CP103">
        <v>8.3699999999999992</v>
      </c>
      <c r="CQ103">
        <v>0.73</v>
      </c>
      <c r="CR103">
        <v>0</v>
      </c>
      <c r="CS103" t="s">
        <v>868</v>
      </c>
      <c r="CT103">
        <v>3.44</v>
      </c>
      <c r="CU103">
        <v>0</v>
      </c>
      <c r="CV103">
        <v>2.33</v>
      </c>
      <c r="CW103">
        <v>-7.0000000000000007E-2</v>
      </c>
      <c r="CX103">
        <v>0.65</v>
      </c>
      <c r="CY103">
        <v>45.95</v>
      </c>
      <c r="CZ103" t="s">
        <v>869</v>
      </c>
      <c r="DA103">
        <v>8.1199999999999992</v>
      </c>
      <c r="DB103">
        <v>2.91</v>
      </c>
      <c r="DC103">
        <v>1.67</v>
      </c>
      <c r="DD103">
        <v>0.01</v>
      </c>
      <c r="DE103">
        <v>2990</v>
      </c>
      <c r="DF103">
        <v>505</v>
      </c>
      <c r="DG103" t="s">
        <v>116</v>
      </c>
      <c r="DH103" t="s">
        <v>116</v>
      </c>
      <c r="DI103" t="s">
        <v>116</v>
      </c>
    </row>
    <row r="104" spans="1:113" x14ac:dyDescent="0.4">
      <c r="A104" t="str">
        <f>"000506"</f>
        <v>000506</v>
      </c>
      <c r="B104" t="s">
        <v>870</v>
      </c>
      <c r="C104">
        <v>0</v>
      </c>
      <c r="D104">
        <v>2.88</v>
      </c>
      <c r="E104">
        <v>0</v>
      </c>
      <c r="F104">
        <v>2.88</v>
      </c>
      <c r="G104">
        <v>2.89</v>
      </c>
      <c r="H104">
        <v>163028</v>
      </c>
      <c r="I104">
        <v>2200</v>
      </c>
      <c r="J104">
        <v>-0.34</v>
      </c>
      <c r="K104">
        <v>1.76</v>
      </c>
      <c r="L104">
        <v>2.88</v>
      </c>
      <c r="M104">
        <v>2.96</v>
      </c>
      <c r="N104">
        <v>2.88</v>
      </c>
      <c r="O104">
        <v>2.88</v>
      </c>
      <c r="P104" t="s">
        <v>116</v>
      </c>
      <c r="Q104">
        <v>47599460</v>
      </c>
      <c r="R104">
        <v>1.36</v>
      </c>
      <c r="S104" t="s">
        <v>871</v>
      </c>
      <c r="T104" t="s">
        <v>645</v>
      </c>
      <c r="U104">
        <v>2.78</v>
      </c>
      <c r="V104">
        <v>2.92</v>
      </c>
      <c r="W104">
        <v>73730</v>
      </c>
      <c r="X104">
        <v>89298</v>
      </c>
      <c r="Y104">
        <v>0.83</v>
      </c>
      <c r="Z104">
        <v>3287</v>
      </c>
      <c r="AA104">
        <v>831</v>
      </c>
      <c r="AB104" t="s">
        <v>116</v>
      </c>
      <c r="AC104">
        <v>134500</v>
      </c>
      <c r="AD104">
        <v>0.01</v>
      </c>
      <c r="AE104" t="s">
        <v>116</v>
      </c>
      <c r="AF104" t="s">
        <v>116</v>
      </c>
      <c r="AG104">
        <v>9.2899999999999991</v>
      </c>
      <c r="AH104" t="s">
        <v>872</v>
      </c>
      <c r="AI104" t="s">
        <v>873</v>
      </c>
      <c r="AJ104">
        <v>0.68</v>
      </c>
      <c r="AK104">
        <v>1356</v>
      </c>
      <c r="AL104">
        <v>120</v>
      </c>
      <c r="AM104">
        <v>1.2999999999999999E-3</v>
      </c>
      <c r="AN104">
        <v>0</v>
      </c>
      <c r="AO104">
        <v>0</v>
      </c>
      <c r="AP104">
        <v>2.86</v>
      </c>
      <c r="AQ104">
        <v>0</v>
      </c>
      <c r="AR104">
        <v>7.06</v>
      </c>
      <c r="AS104">
        <v>2.79</v>
      </c>
      <c r="AT104" t="s">
        <v>874</v>
      </c>
      <c r="AU104">
        <v>158.69999999999999</v>
      </c>
      <c r="AV104">
        <v>63.42</v>
      </c>
      <c r="AW104">
        <v>0.83</v>
      </c>
      <c r="BA104">
        <v>0</v>
      </c>
      <c r="BB104">
        <v>2.78</v>
      </c>
      <c r="BC104">
        <v>0</v>
      </c>
      <c r="BD104">
        <v>1.38</v>
      </c>
      <c r="BE104">
        <v>0</v>
      </c>
      <c r="BF104">
        <v>-2.7</v>
      </c>
      <c r="BG104">
        <v>0</v>
      </c>
      <c r="BH104">
        <v>-1.38</v>
      </c>
      <c r="BI104">
        <v>20191216</v>
      </c>
      <c r="BJ104">
        <v>19930312</v>
      </c>
      <c r="BK104">
        <v>9.2899999999999991</v>
      </c>
      <c r="BL104" t="s">
        <v>116</v>
      </c>
      <c r="BM104" t="s">
        <v>116</v>
      </c>
      <c r="BN104">
        <v>26.35</v>
      </c>
      <c r="BO104">
        <v>10.41</v>
      </c>
      <c r="BP104">
        <v>0.47</v>
      </c>
      <c r="BQ104">
        <v>58.7</v>
      </c>
      <c r="BR104">
        <v>11.45</v>
      </c>
      <c r="BS104">
        <v>5.39</v>
      </c>
      <c r="BT104">
        <v>2.12</v>
      </c>
      <c r="BU104">
        <v>13.6</v>
      </c>
      <c r="BV104">
        <v>4.68</v>
      </c>
      <c r="BW104">
        <v>0.05</v>
      </c>
      <c r="BX104">
        <v>0.51</v>
      </c>
      <c r="BY104">
        <v>2.58</v>
      </c>
      <c r="BZ104">
        <v>2.5299999999999998</v>
      </c>
      <c r="CA104">
        <v>-0.28000000000000003</v>
      </c>
      <c r="CB104">
        <v>0.02</v>
      </c>
      <c r="CC104">
        <v>-0.28000000000000003</v>
      </c>
      <c r="CD104">
        <v>-0.32</v>
      </c>
      <c r="CE104">
        <v>-0.16</v>
      </c>
      <c r="CF104">
        <v>-0.99</v>
      </c>
      <c r="CG104">
        <v>-0.19</v>
      </c>
      <c r="CH104">
        <v>0.34</v>
      </c>
      <c r="CI104">
        <v>0.19</v>
      </c>
      <c r="CJ104">
        <v>57000</v>
      </c>
      <c r="CK104">
        <v>10249</v>
      </c>
      <c r="CL104" t="s">
        <v>875</v>
      </c>
      <c r="CM104">
        <v>-284.89999999999998</v>
      </c>
      <c r="CN104">
        <v>-14.55</v>
      </c>
      <c r="CO104">
        <v>2.57</v>
      </c>
      <c r="CP104">
        <v>79.400000000000006</v>
      </c>
      <c r="CQ104">
        <v>10.36</v>
      </c>
      <c r="CR104">
        <v>0</v>
      </c>
      <c r="CS104" t="s">
        <v>876</v>
      </c>
      <c r="CT104">
        <v>1.1200000000000001</v>
      </c>
      <c r="CU104">
        <v>0</v>
      </c>
      <c r="CV104">
        <v>0.06</v>
      </c>
      <c r="CW104">
        <v>-0.02</v>
      </c>
      <c r="CX104">
        <v>0.04</v>
      </c>
      <c r="CY104">
        <v>39.51</v>
      </c>
      <c r="CZ104" t="s">
        <v>877</v>
      </c>
      <c r="DA104">
        <v>1.9</v>
      </c>
      <c r="DB104">
        <v>-10.87</v>
      </c>
      <c r="DC104">
        <v>-6.37</v>
      </c>
      <c r="DD104">
        <v>0</v>
      </c>
      <c r="DE104">
        <v>1503</v>
      </c>
      <c r="DF104">
        <v>506</v>
      </c>
      <c r="DG104" t="s">
        <v>116</v>
      </c>
      <c r="DH104" t="s">
        <v>116</v>
      </c>
      <c r="DI104" t="s">
        <v>116</v>
      </c>
    </row>
    <row r="105" spans="1:113" x14ac:dyDescent="0.4">
      <c r="A105" t="str">
        <f>"000507"</f>
        <v>000507</v>
      </c>
      <c r="B105" t="s">
        <v>878</v>
      </c>
      <c r="C105">
        <v>-0.16</v>
      </c>
      <c r="D105">
        <v>6.14</v>
      </c>
      <c r="E105">
        <v>-0.01</v>
      </c>
      <c r="F105">
        <v>6.14</v>
      </c>
      <c r="G105">
        <v>6.15</v>
      </c>
      <c r="H105">
        <v>115294</v>
      </c>
      <c r="I105">
        <v>1129</v>
      </c>
      <c r="J105">
        <v>0.16</v>
      </c>
      <c r="K105">
        <v>1.49</v>
      </c>
      <c r="L105">
        <v>6.14</v>
      </c>
      <c r="M105">
        <v>6.24</v>
      </c>
      <c r="N105">
        <v>6.12</v>
      </c>
      <c r="O105">
        <v>6.15</v>
      </c>
      <c r="P105">
        <v>29.32</v>
      </c>
      <c r="Q105">
        <v>71141704</v>
      </c>
      <c r="R105">
        <v>0.69</v>
      </c>
      <c r="S105" t="s">
        <v>515</v>
      </c>
      <c r="T105" t="s">
        <v>551</v>
      </c>
      <c r="U105">
        <v>1.95</v>
      </c>
      <c r="V105">
        <v>6.17</v>
      </c>
      <c r="W105">
        <v>63580</v>
      </c>
      <c r="X105">
        <v>51714</v>
      </c>
      <c r="Y105">
        <v>1.23</v>
      </c>
      <c r="Z105">
        <v>65</v>
      </c>
      <c r="AA105">
        <v>1251</v>
      </c>
      <c r="AB105" t="s">
        <v>116</v>
      </c>
      <c r="AC105">
        <v>130200</v>
      </c>
      <c r="AD105">
        <v>0</v>
      </c>
      <c r="AE105" t="s">
        <v>116</v>
      </c>
      <c r="AF105" t="s">
        <v>116</v>
      </c>
      <c r="AG105">
        <v>7.72</v>
      </c>
      <c r="AH105" t="s">
        <v>879</v>
      </c>
      <c r="AI105" t="s">
        <v>880</v>
      </c>
      <c r="AJ105">
        <v>0.52</v>
      </c>
      <c r="AK105">
        <v>1699</v>
      </c>
      <c r="AL105">
        <v>68</v>
      </c>
      <c r="AM105">
        <v>8.9999999999999998E-4</v>
      </c>
      <c r="AN105">
        <v>-1</v>
      </c>
      <c r="AO105">
        <v>0</v>
      </c>
      <c r="AP105">
        <v>-0.49</v>
      </c>
      <c r="AQ105">
        <v>12.66</v>
      </c>
      <c r="AR105">
        <v>-6.37</v>
      </c>
      <c r="AS105">
        <v>2.0299999999999998</v>
      </c>
      <c r="AT105" t="s">
        <v>881</v>
      </c>
      <c r="AU105">
        <v>33.28</v>
      </c>
      <c r="AV105">
        <v>33.85</v>
      </c>
      <c r="AW105">
        <v>0.76</v>
      </c>
      <c r="BA105">
        <v>-0.16</v>
      </c>
      <c r="BB105">
        <v>1.46</v>
      </c>
      <c r="BC105">
        <v>-0.49</v>
      </c>
      <c r="BD105">
        <v>0.33</v>
      </c>
      <c r="BE105">
        <v>0</v>
      </c>
      <c r="BF105">
        <v>-1.6</v>
      </c>
      <c r="BG105">
        <v>0.33</v>
      </c>
      <c r="BH105">
        <v>-0.49</v>
      </c>
      <c r="BI105">
        <v>20191202</v>
      </c>
      <c r="BJ105">
        <v>19930326</v>
      </c>
      <c r="BK105">
        <v>9.3000000000000007</v>
      </c>
      <c r="BL105" t="s">
        <v>116</v>
      </c>
      <c r="BM105" t="s">
        <v>116</v>
      </c>
      <c r="BN105">
        <v>92.79</v>
      </c>
      <c r="BO105">
        <v>52.7</v>
      </c>
      <c r="BP105">
        <v>4.5599999999999996</v>
      </c>
      <c r="BQ105">
        <v>38.29</v>
      </c>
      <c r="BR105">
        <v>23.63</v>
      </c>
      <c r="BS105">
        <v>29.68</v>
      </c>
      <c r="BT105">
        <v>2.12</v>
      </c>
      <c r="BU105">
        <v>20.83</v>
      </c>
      <c r="BV105">
        <v>1.67</v>
      </c>
      <c r="BW105">
        <v>4.6399999999999997</v>
      </c>
      <c r="BX105">
        <v>16.62</v>
      </c>
      <c r="BY105">
        <v>23.88</v>
      </c>
      <c r="BZ105">
        <v>20.28</v>
      </c>
      <c r="CA105">
        <v>1.91</v>
      </c>
      <c r="CB105">
        <v>0.92</v>
      </c>
      <c r="CC105">
        <v>1.93</v>
      </c>
      <c r="CD105">
        <v>1.62</v>
      </c>
      <c r="CE105">
        <v>1.46</v>
      </c>
      <c r="CF105">
        <v>1.39</v>
      </c>
      <c r="CG105">
        <v>12.45</v>
      </c>
      <c r="CH105">
        <v>1.1499999999999999</v>
      </c>
      <c r="CI105">
        <v>4.3499999999999996</v>
      </c>
      <c r="CJ105">
        <v>103515</v>
      </c>
      <c r="CK105">
        <v>5489</v>
      </c>
      <c r="CL105" t="s">
        <v>882</v>
      </c>
      <c r="CM105">
        <v>1.99</v>
      </c>
      <c r="CN105">
        <v>33.409999999999997</v>
      </c>
      <c r="CO105">
        <v>1.08</v>
      </c>
      <c r="CP105">
        <v>49.87</v>
      </c>
      <c r="CQ105">
        <v>2.39</v>
      </c>
      <c r="CR105">
        <v>0.69</v>
      </c>
      <c r="CS105" t="s">
        <v>328</v>
      </c>
      <c r="CT105">
        <v>5.66</v>
      </c>
      <c r="CU105">
        <v>0</v>
      </c>
      <c r="CV105">
        <v>1.79</v>
      </c>
      <c r="CW105">
        <v>1.34</v>
      </c>
      <c r="CX105">
        <v>0.12</v>
      </c>
      <c r="CY105">
        <v>56.8</v>
      </c>
      <c r="CZ105" t="s">
        <v>883</v>
      </c>
      <c r="DA105">
        <v>15.07</v>
      </c>
      <c r="DB105">
        <v>7.98</v>
      </c>
      <c r="DC105">
        <v>6.12</v>
      </c>
      <c r="DD105">
        <v>0.05</v>
      </c>
      <c r="DE105">
        <v>2898</v>
      </c>
      <c r="DF105">
        <v>507</v>
      </c>
      <c r="DG105" t="s">
        <v>116</v>
      </c>
      <c r="DH105" t="s">
        <v>116</v>
      </c>
      <c r="DI105" t="s">
        <v>116</v>
      </c>
    </row>
    <row r="106" spans="1:113" x14ac:dyDescent="0.4">
      <c r="A106" t="str">
        <f>"000509"</f>
        <v>000509</v>
      </c>
      <c r="B106" t="s">
        <v>884</v>
      </c>
      <c r="C106">
        <v>-1.22</v>
      </c>
      <c r="D106">
        <v>2.4300000000000002</v>
      </c>
      <c r="E106">
        <v>-0.03</v>
      </c>
      <c r="F106">
        <v>2.4300000000000002</v>
      </c>
      <c r="G106">
        <v>2.44</v>
      </c>
      <c r="H106">
        <v>115491</v>
      </c>
      <c r="I106">
        <v>894</v>
      </c>
      <c r="J106">
        <v>-0.4</v>
      </c>
      <c r="K106">
        <v>1.4</v>
      </c>
      <c r="L106">
        <v>2.46</v>
      </c>
      <c r="M106">
        <v>2.4900000000000002</v>
      </c>
      <c r="N106">
        <v>2.4300000000000002</v>
      </c>
      <c r="O106">
        <v>2.46</v>
      </c>
      <c r="P106">
        <v>180.72</v>
      </c>
      <c r="Q106">
        <v>28467356</v>
      </c>
      <c r="R106">
        <v>0.77</v>
      </c>
      <c r="S106" t="s">
        <v>249</v>
      </c>
      <c r="T106" t="s">
        <v>582</v>
      </c>
      <c r="U106">
        <v>2.44</v>
      </c>
      <c r="V106">
        <v>2.46</v>
      </c>
      <c r="W106">
        <v>67941</v>
      </c>
      <c r="X106">
        <v>47550</v>
      </c>
      <c r="Y106">
        <v>1.43</v>
      </c>
      <c r="Z106">
        <v>3661</v>
      </c>
      <c r="AA106">
        <v>208</v>
      </c>
      <c r="AB106" t="s">
        <v>116</v>
      </c>
      <c r="AC106">
        <v>118300</v>
      </c>
      <c r="AD106">
        <v>0.01</v>
      </c>
      <c r="AE106" t="s">
        <v>116</v>
      </c>
      <c r="AF106" t="s">
        <v>116</v>
      </c>
      <c r="AG106">
        <v>8.25</v>
      </c>
      <c r="AH106" t="s">
        <v>885</v>
      </c>
      <c r="AI106" t="s">
        <v>885</v>
      </c>
      <c r="AJ106">
        <v>-0.54</v>
      </c>
      <c r="AK106">
        <v>1193</v>
      </c>
      <c r="AL106">
        <v>97</v>
      </c>
      <c r="AM106">
        <v>1.1999999999999999E-3</v>
      </c>
      <c r="AN106">
        <v>-1</v>
      </c>
      <c r="AO106">
        <v>-0.41</v>
      </c>
      <c r="AP106">
        <v>6.58</v>
      </c>
      <c r="AQ106">
        <v>-1.62</v>
      </c>
      <c r="AR106">
        <v>-10</v>
      </c>
      <c r="AS106">
        <v>1.84</v>
      </c>
      <c r="AT106" t="s">
        <v>886</v>
      </c>
      <c r="AU106" t="s">
        <v>116</v>
      </c>
      <c r="AV106" t="s">
        <v>116</v>
      </c>
      <c r="AW106">
        <v>0.66</v>
      </c>
      <c r="BA106">
        <v>0</v>
      </c>
      <c r="BB106">
        <v>1.22</v>
      </c>
      <c r="BC106">
        <v>-1.22</v>
      </c>
      <c r="BD106">
        <v>0.2</v>
      </c>
      <c r="BE106">
        <v>-1.22</v>
      </c>
      <c r="BF106">
        <v>-2.41</v>
      </c>
      <c r="BG106">
        <v>0</v>
      </c>
      <c r="BH106">
        <v>-1.42</v>
      </c>
      <c r="BI106">
        <v>20191225</v>
      </c>
      <c r="BJ106">
        <v>19930507</v>
      </c>
      <c r="BK106">
        <v>8.25</v>
      </c>
      <c r="BL106" t="s">
        <v>116</v>
      </c>
      <c r="BM106" t="s">
        <v>116</v>
      </c>
      <c r="BN106">
        <v>2.19</v>
      </c>
      <c r="BO106">
        <v>0.43</v>
      </c>
      <c r="BP106">
        <v>0.04</v>
      </c>
      <c r="BQ106">
        <v>78.59</v>
      </c>
      <c r="BR106">
        <v>1.43</v>
      </c>
      <c r="BS106">
        <v>0.22</v>
      </c>
      <c r="BT106">
        <v>0</v>
      </c>
      <c r="BU106">
        <v>1.71</v>
      </c>
      <c r="BV106">
        <v>0.03</v>
      </c>
      <c r="BW106">
        <v>0.55000000000000004</v>
      </c>
      <c r="BX106">
        <v>2.5299999999999998</v>
      </c>
      <c r="BY106">
        <v>0.5</v>
      </c>
      <c r="BZ106">
        <v>0.2</v>
      </c>
      <c r="CA106">
        <v>0.1</v>
      </c>
      <c r="CB106">
        <v>0</v>
      </c>
      <c r="CC106">
        <v>0.18</v>
      </c>
      <c r="CD106">
        <v>0.17</v>
      </c>
      <c r="CE106">
        <v>0.08</v>
      </c>
      <c r="CF106">
        <v>0</v>
      </c>
      <c r="CG106">
        <v>-10.64</v>
      </c>
      <c r="CH106">
        <v>0.15</v>
      </c>
      <c r="CI106">
        <v>0.08</v>
      </c>
      <c r="CJ106">
        <v>55000</v>
      </c>
      <c r="CK106">
        <v>11387</v>
      </c>
      <c r="CL106" t="s">
        <v>887</v>
      </c>
      <c r="CM106">
        <v>200.19</v>
      </c>
      <c r="CN106">
        <v>-95.85</v>
      </c>
      <c r="CO106">
        <v>46.52</v>
      </c>
      <c r="CP106">
        <v>130.75</v>
      </c>
      <c r="CQ106">
        <v>40.49</v>
      </c>
      <c r="CR106">
        <v>0</v>
      </c>
      <c r="CS106" t="s">
        <v>888</v>
      </c>
      <c r="CT106">
        <v>0.05</v>
      </c>
      <c r="CU106">
        <v>0</v>
      </c>
      <c r="CV106">
        <v>0.31</v>
      </c>
      <c r="CW106">
        <v>-1.29</v>
      </c>
      <c r="CX106">
        <v>0.02</v>
      </c>
      <c r="CY106">
        <v>19.71</v>
      </c>
      <c r="CZ106" t="s">
        <v>889</v>
      </c>
      <c r="DA106">
        <v>59.55</v>
      </c>
      <c r="DB106">
        <v>19.32</v>
      </c>
      <c r="DC106">
        <v>16.8</v>
      </c>
      <c r="DD106">
        <v>0</v>
      </c>
      <c r="DE106">
        <v>64</v>
      </c>
      <c r="DF106">
        <v>509</v>
      </c>
      <c r="DG106" t="s">
        <v>116</v>
      </c>
      <c r="DH106" t="s">
        <v>116</v>
      </c>
      <c r="DI106" t="s">
        <v>116</v>
      </c>
    </row>
    <row r="107" spans="1:113" x14ac:dyDescent="0.4">
      <c r="A107" t="str">
        <f>"000510"</f>
        <v>000510</v>
      </c>
      <c r="B107" t="s">
        <v>890</v>
      </c>
      <c r="C107">
        <v>-1.86</v>
      </c>
      <c r="D107">
        <v>4.22</v>
      </c>
      <c r="E107">
        <v>-0.08</v>
      </c>
      <c r="F107">
        <v>4.22</v>
      </c>
      <c r="G107">
        <v>4.2300000000000004</v>
      </c>
      <c r="H107">
        <v>255632</v>
      </c>
      <c r="I107">
        <v>4120</v>
      </c>
      <c r="J107">
        <v>-0.23</v>
      </c>
      <c r="K107">
        <v>4.6500000000000004</v>
      </c>
      <c r="L107">
        <v>4.25</v>
      </c>
      <c r="M107">
        <v>4.3499999999999996</v>
      </c>
      <c r="N107">
        <v>4.2</v>
      </c>
      <c r="O107">
        <v>4.3</v>
      </c>
      <c r="P107">
        <v>41.36</v>
      </c>
      <c r="Q107">
        <v>108803248</v>
      </c>
      <c r="R107">
        <v>1.1299999999999999</v>
      </c>
      <c r="S107" t="s">
        <v>891</v>
      </c>
      <c r="T107" t="s">
        <v>582</v>
      </c>
      <c r="U107">
        <v>3.49</v>
      </c>
      <c r="V107">
        <v>4.26</v>
      </c>
      <c r="W107">
        <v>146242</v>
      </c>
      <c r="X107">
        <v>109390</v>
      </c>
      <c r="Y107">
        <v>1.34</v>
      </c>
      <c r="Z107">
        <v>54</v>
      </c>
      <c r="AA107">
        <v>1217</v>
      </c>
      <c r="AB107" t="s">
        <v>116</v>
      </c>
      <c r="AC107">
        <v>1116900</v>
      </c>
      <c r="AD107">
        <v>0.05</v>
      </c>
      <c r="AE107" t="s">
        <v>116</v>
      </c>
      <c r="AF107" t="s">
        <v>116</v>
      </c>
      <c r="AG107">
        <v>5.49</v>
      </c>
      <c r="AH107" t="s">
        <v>892</v>
      </c>
      <c r="AI107" t="s">
        <v>893</v>
      </c>
      <c r="AJ107">
        <v>-1.18</v>
      </c>
      <c r="AK107">
        <v>2720</v>
      </c>
      <c r="AL107">
        <v>94</v>
      </c>
      <c r="AM107">
        <v>1.6999999999999999E-3</v>
      </c>
      <c r="AN107">
        <v>-2</v>
      </c>
      <c r="AO107">
        <v>-0.71</v>
      </c>
      <c r="AP107">
        <v>9.9</v>
      </c>
      <c r="AQ107">
        <v>5.24</v>
      </c>
      <c r="AR107">
        <v>7.38</v>
      </c>
      <c r="AS107">
        <v>5.32</v>
      </c>
      <c r="AT107" t="s">
        <v>894</v>
      </c>
      <c r="AU107">
        <v>41.28</v>
      </c>
      <c r="AV107">
        <v>25.68</v>
      </c>
      <c r="AW107">
        <v>0.93</v>
      </c>
      <c r="BA107">
        <v>-1.1599999999999999</v>
      </c>
      <c r="BB107">
        <v>1.1599999999999999</v>
      </c>
      <c r="BC107">
        <v>-2.33</v>
      </c>
      <c r="BD107">
        <v>-1.02</v>
      </c>
      <c r="BE107">
        <v>-0.71</v>
      </c>
      <c r="BF107">
        <v>-2.99</v>
      </c>
      <c r="BG107">
        <v>0.48</v>
      </c>
      <c r="BH107">
        <v>-0.84</v>
      </c>
      <c r="BI107">
        <v>20191026</v>
      </c>
      <c r="BJ107">
        <v>19930507</v>
      </c>
      <c r="BK107">
        <v>6.09</v>
      </c>
      <c r="BL107" t="s">
        <v>116</v>
      </c>
      <c r="BM107" t="s">
        <v>116</v>
      </c>
      <c r="BN107">
        <v>14.92</v>
      </c>
      <c r="BO107">
        <v>9.7899999999999991</v>
      </c>
      <c r="BP107">
        <v>0.62</v>
      </c>
      <c r="BQ107">
        <v>30.23</v>
      </c>
      <c r="BR107">
        <v>4.04</v>
      </c>
      <c r="BS107">
        <v>8.11</v>
      </c>
      <c r="BT107">
        <v>0.62</v>
      </c>
      <c r="BU107">
        <v>4.26</v>
      </c>
      <c r="BV107">
        <v>1.34</v>
      </c>
      <c r="BW107">
        <v>0.26</v>
      </c>
      <c r="BX107">
        <v>0.25</v>
      </c>
      <c r="BY107">
        <v>17.23</v>
      </c>
      <c r="BZ107">
        <v>14.93</v>
      </c>
      <c r="CA107">
        <v>0.57999999999999996</v>
      </c>
      <c r="CB107">
        <v>-0.01</v>
      </c>
      <c r="CC107">
        <v>0.56000000000000005</v>
      </c>
      <c r="CD107">
        <v>0.51</v>
      </c>
      <c r="CE107">
        <v>0.47</v>
      </c>
      <c r="CF107">
        <v>0.47</v>
      </c>
      <c r="CG107">
        <v>2.2599999999999998</v>
      </c>
      <c r="CH107">
        <v>0.1</v>
      </c>
      <c r="CI107">
        <v>0.2</v>
      </c>
      <c r="CJ107">
        <v>51388</v>
      </c>
      <c r="CK107">
        <v>9351</v>
      </c>
      <c r="CL107" t="s">
        <v>895</v>
      </c>
      <c r="CM107">
        <v>-44.8</v>
      </c>
      <c r="CN107">
        <v>6.18</v>
      </c>
      <c r="CO107">
        <v>2.63</v>
      </c>
      <c r="CP107">
        <v>246.11</v>
      </c>
      <c r="CQ107">
        <v>1.49</v>
      </c>
      <c r="CR107">
        <v>0</v>
      </c>
      <c r="CS107" t="s">
        <v>896</v>
      </c>
      <c r="CT107">
        <v>1.61</v>
      </c>
      <c r="CU107">
        <v>0</v>
      </c>
      <c r="CV107">
        <v>0.04</v>
      </c>
      <c r="CW107">
        <v>0.37</v>
      </c>
      <c r="CX107">
        <v>0.02</v>
      </c>
      <c r="CY107">
        <v>65.61</v>
      </c>
      <c r="CZ107" t="s">
        <v>897</v>
      </c>
      <c r="DA107">
        <v>13.31</v>
      </c>
      <c r="DB107">
        <v>3.38</v>
      </c>
      <c r="DC107">
        <v>2.71</v>
      </c>
      <c r="DD107">
        <v>0.03</v>
      </c>
      <c r="DE107">
        <v>2495</v>
      </c>
      <c r="DF107">
        <v>510</v>
      </c>
      <c r="DG107" t="s">
        <v>116</v>
      </c>
      <c r="DH107" t="s">
        <v>116</v>
      </c>
      <c r="DI107" t="s">
        <v>116</v>
      </c>
    </row>
    <row r="108" spans="1:113" x14ac:dyDescent="0.4">
      <c r="A108" t="str">
        <f>"000513"</f>
        <v>000513</v>
      </c>
      <c r="B108" t="s">
        <v>898</v>
      </c>
      <c r="C108">
        <v>-0.43</v>
      </c>
      <c r="D108">
        <v>32.56</v>
      </c>
      <c r="E108">
        <v>-0.14000000000000001</v>
      </c>
      <c r="F108">
        <v>32.549999999999997</v>
      </c>
      <c r="G108">
        <v>32.56</v>
      </c>
      <c r="H108">
        <v>91555</v>
      </c>
      <c r="I108">
        <v>845</v>
      </c>
      <c r="J108">
        <v>0</v>
      </c>
      <c r="K108">
        <v>1.54</v>
      </c>
      <c r="L108">
        <v>32.72</v>
      </c>
      <c r="M108">
        <v>33.28</v>
      </c>
      <c r="N108">
        <v>32.5</v>
      </c>
      <c r="O108">
        <v>32.700000000000003</v>
      </c>
      <c r="P108">
        <v>21.95</v>
      </c>
      <c r="Q108">
        <v>301167136</v>
      </c>
      <c r="R108">
        <v>0.8</v>
      </c>
      <c r="S108" t="s">
        <v>574</v>
      </c>
      <c r="T108" t="s">
        <v>551</v>
      </c>
      <c r="U108">
        <v>2.39</v>
      </c>
      <c r="V108">
        <v>32.89</v>
      </c>
      <c r="W108">
        <v>49386</v>
      </c>
      <c r="X108">
        <v>42169</v>
      </c>
      <c r="Y108">
        <v>1.17</v>
      </c>
      <c r="Z108">
        <v>275</v>
      </c>
      <c r="AA108">
        <v>173</v>
      </c>
      <c r="AB108" t="s">
        <v>116</v>
      </c>
      <c r="AC108">
        <v>222500</v>
      </c>
      <c r="AD108">
        <v>0</v>
      </c>
      <c r="AE108" t="s">
        <v>116</v>
      </c>
      <c r="AF108" t="s">
        <v>116</v>
      </c>
      <c r="AG108">
        <v>5.95</v>
      </c>
      <c r="AH108" t="s">
        <v>899</v>
      </c>
      <c r="AI108" t="s">
        <v>900</v>
      </c>
      <c r="AJ108">
        <v>0.25</v>
      </c>
      <c r="AK108">
        <v>3569</v>
      </c>
      <c r="AL108">
        <v>26</v>
      </c>
      <c r="AM108">
        <v>4.0000000000000002E-4</v>
      </c>
      <c r="AN108">
        <v>-2</v>
      </c>
      <c r="AO108">
        <v>-1.1000000000000001</v>
      </c>
      <c r="AP108">
        <v>4.33</v>
      </c>
      <c r="AQ108">
        <v>24.04</v>
      </c>
      <c r="AR108">
        <v>76.73</v>
      </c>
      <c r="AS108">
        <v>2.57</v>
      </c>
      <c r="AT108" t="s">
        <v>901</v>
      </c>
      <c r="AU108">
        <v>25.75</v>
      </c>
      <c r="AV108">
        <v>28.12</v>
      </c>
      <c r="AW108">
        <v>1.08</v>
      </c>
      <c r="BA108">
        <v>0.06</v>
      </c>
      <c r="BB108">
        <v>1.77</v>
      </c>
      <c r="BC108">
        <v>-0.61</v>
      </c>
      <c r="BD108">
        <v>0.6</v>
      </c>
      <c r="BE108">
        <v>-0.49</v>
      </c>
      <c r="BF108">
        <v>-2.16</v>
      </c>
      <c r="BG108">
        <v>0.18</v>
      </c>
      <c r="BH108">
        <v>-1.02</v>
      </c>
      <c r="BI108">
        <v>20191023</v>
      </c>
      <c r="BJ108">
        <v>19931028</v>
      </c>
      <c r="BK108">
        <v>9.35</v>
      </c>
      <c r="BL108" t="s">
        <v>116</v>
      </c>
      <c r="BM108">
        <v>3.2</v>
      </c>
      <c r="BN108">
        <v>163.31</v>
      </c>
      <c r="BO108">
        <v>108.6</v>
      </c>
      <c r="BP108">
        <v>10.8</v>
      </c>
      <c r="BQ108">
        <v>26.89</v>
      </c>
      <c r="BR108">
        <v>113.01</v>
      </c>
      <c r="BS108">
        <v>31.82</v>
      </c>
      <c r="BT108">
        <v>2.31</v>
      </c>
      <c r="BU108">
        <v>40.6</v>
      </c>
      <c r="BV108">
        <v>10.91</v>
      </c>
      <c r="BW108">
        <v>17.96</v>
      </c>
      <c r="BX108">
        <v>11.54</v>
      </c>
      <c r="BY108">
        <v>72.95</v>
      </c>
      <c r="BZ108">
        <v>25.75</v>
      </c>
      <c r="CA108">
        <v>13.35</v>
      </c>
      <c r="CB108">
        <v>-0.14000000000000001</v>
      </c>
      <c r="CC108">
        <v>14.01</v>
      </c>
      <c r="CD108">
        <v>11.75</v>
      </c>
      <c r="CE108">
        <v>10.4</v>
      </c>
      <c r="CF108">
        <v>9.57</v>
      </c>
      <c r="CG108">
        <v>81.92</v>
      </c>
      <c r="CH108">
        <v>14.28</v>
      </c>
      <c r="CI108">
        <v>-13.78</v>
      </c>
      <c r="CJ108">
        <v>50435</v>
      </c>
      <c r="CK108">
        <v>7074</v>
      </c>
      <c r="CL108" t="s">
        <v>902</v>
      </c>
      <c r="CM108">
        <v>10.61</v>
      </c>
      <c r="CN108">
        <v>6.63</v>
      </c>
      <c r="CO108">
        <v>2.8</v>
      </c>
      <c r="CP108">
        <v>21.31</v>
      </c>
      <c r="CQ108">
        <v>4.17</v>
      </c>
      <c r="CR108">
        <v>2.84</v>
      </c>
      <c r="CS108" t="s">
        <v>903</v>
      </c>
      <c r="CT108">
        <v>11.62</v>
      </c>
      <c r="CU108">
        <v>0</v>
      </c>
      <c r="CV108">
        <v>1.23</v>
      </c>
      <c r="CW108">
        <v>8.76</v>
      </c>
      <c r="CX108">
        <v>1.53</v>
      </c>
      <c r="CY108">
        <v>66.5</v>
      </c>
      <c r="CZ108" t="s">
        <v>904</v>
      </c>
      <c r="DA108">
        <v>64.7</v>
      </c>
      <c r="DB108">
        <v>18.3</v>
      </c>
      <c r="DC108">
        <v>14.25</v>
      </c>
      <c r="DD108">
        <v>4.82</v>
      </c>
      <c r="DE108">
        <v>7671</v>
      </c>
      <c r="DF108">
        <v>513</v>
      </c>
      <c r="DG108" t="s">
        <v>116</v>
      </c>
      <c r="DH108" t="s">
        <v>116</v>
      </c>
      <c r="DI108" t="s">
        <v>116</v>
      </c>
    </row>
    <row r="109" spans="1:113" x14ac:dyDescent="0.4">
      <c r="A109" t="str">
        <f>"000514"</f>
        <v>000514</v>
      </c>
      <c r="B109" t="s">
        <v>905</v>
      </c>
      <c r="C109">
        <v>-0.24</v>
      </c>
      <c r="D109">
        <v>4.09</v>
      </c>
      <c r="E109">
        <v>-0.01</v>
      </c>
      <c r="F109">
        <v>4.08</v>
      </c>
      <c r="G109">
        <v>4.09</v>
      </c>
      <c r="H109">
        <v>49883</v>
      </c>
      <c r="I109">
        <v>283</v>
      </c>
      <c r="J109">
        <v>0.25</v>
      </c>
      <c r="K109">
        <v>0.59</v>
      </c>
      <c r="L109">
        <v>4.0999999999999996</v>
      </c>
      <c r="M109">
        <v>4.16</v>
      </c>
      <c r="N109">
        <v>4.07</v>
      </c>
      <c r="O109">
        <v>4.0999999999999996</v>
      </c>
      <c r="P109">
        <v>230.86</v>
      </c>
      <c r="Q109">
        <v>20586502</v>
      </c>
      <c r="R109">
        <v>1.45</v>
      </c>
      <c r="S109" t="s">
        <v>148</v>
      </c>
      <c r="T109" t="s">
        <v>906</v>
      </c>
      <c r="U109">
        <v>2.2000000000000002</v>
      </c>
      <c r="V109">
        <v>4.13</v>
      </c>
      <c r="W109">
        <v>25856</v>
      </c>
      <c r="X109">
        <v>24027</v>
      </c>
      <c r="Y109">
        <v>1.08</v>
      </c>
      <c r="Z109">
        <v>374</v>
      </c>
      <c r="AA109">
        <v>834</v>
      </c>
      <c r="AB109" t="s">
        <v>116</v>
      </c>
      <c r="AC109">
        <v>1200</v>
      </c>
      <c r="AD109">
        <v>0</v>
      </c>
      <c r="AE109" t="s">
        <v>116</v>
      </c>
      <c r="AF109" t="s">
        <v>116</v>
      </c>
      <c r="AG109">
        <v>8.44</v>
      </c>
      <c r="AH109" t="s">
        <v>907</v>
      </c>
      <c r="AI109" t="s">
        <v>907</v>
      </c>
      <c r="AJ109">
        <v>0.43</v>
      </c>
      <c r="AK109">
        <v>686</v>
      </c>
      <c r="AL109">
        <v>73</v>
      </c>
      <c r="AM109">
        <v>8.9999999999999998E-4</v>
      </c>
      <c r="AN109">
        <v>-1</v>
      </c>
      <c r="AO109">
        <v>0.49</v>
      </c>
      <c r="AP109">
        <v>5.96</v>
      </c>
      <c r="AQ109">
        <v>2.5099999999999998</v>
      </c>
      <c r="AR109">
        <v>12.05</v>
      </c>
      <c r="AS109">
        <v>1.61</v>
      </c>
      <c r="AT109" t="s">
        <v>908</v>
      </c>
      <c r="AU109">
        <v>140.1</v>
      </c>
      <c r="AV109">
        <v>137.05000000000001</v>
      </c>
      <c r="AW109">
        <v>1.02</v>
      </c>
      <c r="BA109">
        <v>0</v>
      </c>
      <c r="BB109">
        <v>1.46</v>
      </c>
      <c r="BC109">
        <v>-0.73</v>
      </c>
      <c r="BD109">
        <v>0.66</v>
      </c>
      <c r="BE109">
        <v>-0.24</v>
      </c>
      <c r="BF109">
        <v>-1.68</v>
      </c>
      <c r="BG109">
        <v>0.49</v>
      </c>
      <c r="BH109">
        <v>-0.9</v>
      </c>
      <c r="BI109">
        <v>20191018</v>
      </c>
      <c r="BJ109">
        <v>19930712</v>
      </c>
      <c r="BK109">
        <v>8.44</v>
      </c>
      <c r="BL109" t="s">
        <v>116</v>
      </c>
      <c r="BM109" t="s">
        <v>116</v>
      </c>
      <c r="BN109">
        <v>62.37</v>
      </c>
      <c r="BO109">
        <v>30.04</v>
      </c>
      <c r="BP109">
        <v>4.7300000000000004</v>
      </c>
      <c r="BQ109">
        <v>44.26</v>
      </c>
      <c r="BR109">
        <v>49.14</v>
      </c>
      <c r="BS109">
        <v>6.78</v>
      </c>
      <c r="BT109">
        <v>2.76</v>
      </c>
      <c r="BU109">
        <v>19.649999999999999</v>
      </c>
      <c r="BV109">
        <v>35.53</v>
      </c>
      <c r="BW109">
        <v>0.14000000000000001</v>
      </c>
      <c r="BX109">
        <v>11.88</v>
      </c>
      <c r="BY109">
        <v>2</v>
      </c>
      <c r="BZ109">
        <v>1.31</v>
      </c>
      <c r="CA109">
        <v>0.02</v>
      </c>
      <c r="CB109">
        <v>0.06</v>
      </c>
      <c r="CC109">
        <v>0.08</v>
      </c>
      <c r="CD109">
        <v>0.15</v>
      </c>
      <c r="CE109">
        <v>0.11</v>
      </c>
      <c r="CF109">
        <v>0.05</v>
      </c>
      <c r="CG109">
        <v>8.4</v>
      </c>
      <c r="CH109">
        <v>2.0299999999999998</v>
      </c>
      <c r="CI109">
        <v>5.51</v>
      </c>
      <c r="CJ109">
        <v>56752</v>
      </c>
      <c r="CK109">
        <v>5473</v>
      </c>
      <c r="CL109" t="s">
        <v>909</v>
      </c>
      <c r="CM109">
        <v>-4.66</v>
      </c>
      <c r="CN109">
        <v>-48.68</v>
      </c>
      <c r="CO109">
        <v>1.1499999999999999</v>
      </c>
      <c r="CP109">
        <v>17.03</v>
      </c>
      <c r="CQ109">
        <v>17.260000000000002</v>
      </c>
      <c r="CR109">
        <v>0</v>
      </c>
      <c r="CS109" t="s">
        <v>910</v>
      </c>
      <c r="CT109">
        <v>3.56</v>
      </c>
      <c r="CU109">
        <v>0</v>
      </c>
      <c r="CV109">
        <v>1.41</v>
      </c>
      <c r="CW109">
        <v>1</v>
      </c>
      <c r="CX109">
        <v>0.24</v>
      </c>
      <c r="CY109">
        <v>48.16</v>
      </c>
      <c r="CZ109" t="s">
        <v>911</v>
      </c>
      <c r="DA109">
        <v>34.67</v>
      </c>
      <c r="DB109">
        <v>1.21</v>
      </c>
      <c r="DC109">
        <v>5.61</v>
      </c>
      <c r="DD109">
        <v>0</v>
      </c>
      <c r="DE109">
        <v>740</v>
      </c>
      <c r="DF109">
        <v>514</v>
      </c>
      <c r="DG109" t="s">
        <v>116</v>
      </c>
      <c r="DH109" t="s">
        <v>116</v>
      </c>
      <c r="DI109" t="s">
        <v>116</v>
      </c>
    </row>
    <row r="110" spans="1:113" x14ac:dyDescent="0.4">
      <c r="A110" t="str">
        <f>"000516"</f>
        <v>000516</v>
      </c>
      <c r="B110" t="s">
        <v>912</v>
      </c>
      <c r="C110">
        <v>0.22</v>
      </c>
      <c r="D110">
        <v>4.55</v>
      </c>
      <c r="E110">
        <v>0.01</v>
      </c>
      <c r="F110">
        <v>4.54</v>
      </c>
      <c r="G110">
        <v>4.55</v>
      </c>
      <c r="H110">
        <v>87140</v>
      </c>
      <c r="I110">
        <v>542</v>
      </c>
      <c r="J110">
        <v>0.22</v>
      </c>
      <c r="K110">
        <v>0.45</v>
      </c>
      <c r="L110">
        <v>4.54</v>
      </c>
      <c r="M110">
        <v>4.59</v>
      </c>
      <c r="N110">
        <v>4.5199999999999996</v>
      </c>
      <c r="O110">
        <v>4.54</v>
      </c>
      <c r="P110" t="s">
        <v>116</v>
      </c>
      <c r="Q110">
        <v>39748600</v>
      </c>
      <c r="R110">
        <v>1.17</v>
      </c>
      <c r="S110" t="s">
        <v>559</v>
      </c>
      <c r="T110" t="s">
        <v>913</v>
      </c>
      <c r="U110">
        <v>1.54</v>
      </c>
      <c r="V110">
        <v>4.5599999999999996</v>
      </c>
      <c r="W110">
        <v>49659</v>
      </c>
      <c r="X110">
        <v>37481</v>
      </c>
      <c r="Y110">
        <v>1.32</v>
      </c>
      <c r="Z110">
        <v>2475</v>
      </c>
      <c r="AA110">
        <v>278</v>
      </c>
      <c r="AB110" t="s">
        <v>116</v>
      </c>
      <c r="AC110">
        <v>209300</v>
      </c>
      <c r="AD110">
        <v>0</v>
      </c>
      <c r="AE110" t="s">
        <v>116</v>
      </c>
      <c r="AF110" t="s">
        <v>116</v>
      </c>
      <c r="AG110">
        <v>19.29</v>
      </c>
      <c r="AH110" t="s">
        <v>914</v>
      </c>
      <c r="AI110" t="s">
        <v>915</v>
      </c>
      <c r="AJ110">
        <v>0.9</v>
      </c>
      <c r="AK110">
        <v>1516</v>
      </c>
      <c r="AL110">
        <v>57</v>
      </c>
      <c r="AM110">
        <v>2.9999999999999997E-4</v>
      </c>
      <c r="AN110">
        <v>2</v>
      </c>
      <c r="AO110">
        <v>0</v>
      </c>
      <c r="AP110">
        <v>-0.44</v>
      </c>
      <c r="AQ110">
        <v>-6.19</v>
      </c>
      <c r="AR110">
        <v>-6.44</v>
      </c>
      <c r="AS110">
        <v>0.62</v>
      </c>
      <c r="AT110" t="s">
        <v>916</v>
      </c>
      <c r="AU110" t="s">
        <v>116</v>
      </c>
      <c r="AV110">
        <v>4.1100000000000003</v>
      </c>
      <c r="AW110">
        <v>0.75</v>
      </c>
      <c r="BA110">
        <v>0</v>
      </c>
      <c r="BB110">
        <v>1.1000000000000001</v>
      </c>
      <c r="BC110">
        <v>-0.44</v>
      </c>
      <c r="BD110">
        <v>0.47</v>
      </c>
      <c r="BE110">
        <v>0.22</v>
      </c>
      <c r="BF110">
        <v>-0.87</v>
      </c>
      <c r="BG110">
        <v>0.66</v>
      </c>
      <c r="BH110">
        <v>-0.25</v>
      </c>
      <c r="BI110">
        <v>20191030</v>
      </c>
      <c r="BJ110">
        <v>19930809</v>
      </c>
      <c r="BK110">
        <v>19.71</v>
      </c>
      <c r="BL110" t="s">
        <v>116</v>
      </c>
      <c r="BM110" t="s">
        <v>116</v>
      </c>
      <c r="BN110">
        <v>93.2</v>
      </c>
      <c r="BO110">
        <v>53.41</v>
      </c>
      <c r="BP110">
        <v>0.44</v>
      </c>
      <c r="BQ110">
        <v>42.22</v>
      </c>
      <c r="BR110">
        <v>18.25</v>
      </c>
      <c r="BS110">
        <v>7.82</v>
      </c>
      <c r="BT110">
        <v>5.97</v>
      </c>
      <c r="BU110">
        <v>9.6199999999999992</v>
      </c>
      <c r="BV110">
        <v>0.34</v>
      </c>
      <c r="BW110">
        <v>0.96</v>
      </c>
      <c r="BX110">
        <v>2.39</v>
      </c>
      <c r="BY110">
        <v>6.73</v>
      </c>
      <c r="BZ110">
        <v>5.03</v>
      </c>
      <c r="CA110">
        <v>-0.1</v>
      </c>
      <c r="CB110">
        <v>0.56999999999999995</v>
      </c>
      <c r="CC110">
        <v>-0.1</v>
      </c>
      <c r="CD110">
        <v>-0.25</v>
      </c>
      <c r="CE110">
        <v>-0.2</v>
      </c>
      <c r="CF110">
        <v>-0.63</v>
      </c>
      <c r="CG110">
        <v>29.59</v>
      </c>
      <c r="CH110">
        <v>0.77</v>
      </c>
      <c r="CI110">
        <v>-0.9</v>
      </c>
      <c r="CJ110">
        <v>90863</v>
      </c>
      <c r="CK110">
        <v>15490</v>
      </c>
      <c r="CL110" t="s">
        <v>453</v>
      </c>
      <c r="CM110">
        <v>-100.91</v>
      </c>
      <c r="CN110">
        <v>-62.96</v>
      </c>
      <c r="CO110">
        <v>1.68</v>
      </c>
      <c r="CP110">
        <v>115.99</v>
      </c>
      <c r="CQ110">
        <v>13.33</v>
      </c>
      <c r="CR110">
        <v>1.87</v>
      </c>
      <c r="CS110" t="s">
        <v>848</v>
      </c>
      <c r="CT110">
        <v>2.71</v>
      </c>
      <c r="CU110">
        <v>0</v>
      </c>
      <c r="CV110">
        <v>0.12</v>
      </c>
      <c r="CW110">
        <v>1.5</v>
      </c>
      <c r="CX110">
        <v>0.04</v>
      </c>
      <c r="CY110">
        <v>57.31</v>
      </c>
      <c r="CZ110" t="s">
        <v>917</v>
      </c>
      <c r="DA110">
        <v>25.29</v>
      </c>
      <c r="DB110">
        <v>-1.46</v>
      </c>
      <c r="DC110">
        <v>-3.01</v>
      </c>
      <c r="DD110">
        <v>0.04</v>
      </c>
      <c r="DE110">
        <v>2827</v>
      </c>
      <c r="DF110">
        <v>516</v>
      </c>
      <c r="DG110" t="s">
        <v>116</v>
      </c>
      <c r="DH110" t="s">
        <v>116</v>
      </c>
      <c r="DI110" t="s">
        <v>116</v>
      </c>
    </row>
    <row r="111" spans="1:113" x14ac:dyDescent="0.4">
      <c r="A111" t="str">
        <f>"000517"</f>
        <v>000517</v>
      </c>
      <c r="B111" t="s">
        <v>918</v>
      </c>
      <c r="C111">
        <v>0</v>
      </c>
      <c r="D111">
        <v>2.69</v>
      </c>
      <c r="E111">
        <v>0</v>
      </c>
      <c r="F111">
        <v>2.68</v>
      </c>
      <c r="G111">
        <v>2.69</v>
      </c>
      <c r="H111">
        <v>246874</v>
      </c>
      <c r="I111">
        <v>1444</v>
      </c>
      <c r="J111">
        <v>0</v>
      </c>
      <c r="K111">
        <v>0.81</v>
      </c>
      <c r="L111">
        <v>2.66</v>
      </c>
      <c r="M111">
        <v>2.75</v>
      </c>
      <c r="N111">
        <v>2.65</v>
      </c>
      <c r="O111">
        <v>2.69</v>
      </c>
      <c r="P111">
        <v>9.8800000000000008</v>
      </c>
      <c r="Q111">
        <v>66618548</v>
      </c>
      <c r="R111">
        <v>1.77</v>
      </c>
      <c r="S111" t="s">
        <v>148</v>
      </c>
      <c r="T111" t="s">
        <v>590</v>
      </c>
      <c r="U111">
        <v>3.72</v>
      </c>
      <c r="V111">
        <v>2.7</v>
      </c>
      <c r="W111">
        <v>123666</v>
      </c>
      <c r="X111">
        <v>123208</v>
      </c>
      <c r="Y111">
        <v>1</v>
      </c>
      <c r="Z111">
        <v>3596</v>
      </c>
      <c r="AA111">
        <v>460</v>
      </c>
      <c r="AB111" t="s">
        <v>116</v>
      </c>
      <c r="AC111">
        <v>1068000</v>
      </c>
      <c r="AD111">
        <v>0.04</v>
      </c>
      <c r="AE111" t="s">
        <v>116</v>
      </c>
      <c r="AF111" t="s">
        <v>116</v>
      </c>
      <c r="AG111">
        <v>30.36</v>
      </c>
      <c r="AH111" t="s">
        <v>919</v>
      </c>
      <c r="AI111" t="s">
        <v>920</v>
      </c>
      <c r="AJ111">
        <v>0.68</v>
      </c>
      <c r="AK111">
        <v>1602</v>
      </c>
      <c r="AL111">
        <v>154</v>
      </c>
      <c r="AM111">
        <v>5.0000000000000001E-4</v>
      </c>
      <c r="AN111">
        <v>0</v>
      </c>
      <c r="AO111">
        <v>1.89</v>
      </c>
      <c r="AP111">
        <v>6.32</v>
      </c>
      <c r="AQ111">
        <v>0</v>
      </c>
      <c r="AR111">
        <v>16.45</v>
      </c>
      <c r="AS111">
        <v>2.2200000000000002</v>
      </c>
      <c r="AT111" t="s">
        <v>921</v>
      </c>
      <c r="AU111">
        <v>10.06</v>
      </c>
      <c r="AV111">
        <v>14.08</v>
      </c>
      <c r="AW111">
        <v>0.95</v>
      </c>
      <c r="BA111">
        <v>-1.1200000000000001</v>
      </c>
      <c r="BB111">
        <v>2.23</v>
      </c>
      <c r="BC111">
        <v>-1.49</v>
      </c>
      <c r="BD111">
        <v>0.32</v>
      </c>
      <c r="BE111">
        <v>1.1299999999999999</v>
      </c>
      <c r="BF111">
        <v>-2.1800000000000002</v>
      </c>
      <c r="BG111">
        <v>1.51</v>
      </c>
      <c r="BH111">
        <v>-0.32</v>
      </c>
      <c r="BI111">
        <v>20191029</v>
      </c>
      <c r="BJ111">
        <v>19930806</v>
      </c>
      <c r="BK111">
        <v>31.84</v>
      </c>
      <c r="BL111" t="s">
        <v>116</v>
      </c>
      <c r="BM111" t="s">
        <v>116</v>
      </c>
      <c r="BN111">
        <v>396.48</v>
      </c>
      <c r="BO111">
        <v>54.99</v>
      </c>
      <c r="BP111">
        <v>2.5299999999999998</v>
      </c>
      <c r="BQ111">
        <v>85.49</v>
      </c>
      <c r="BR111">
        <v>373.59</v>
      </c>
      <c r="BS111">
        <v>0.22</v>
      </c>
      <c r="BT111">
        <v>0.06</v>
      </c>
      <c r="BU111">
        <v>278.32</v>
      </c>
      <c r="BV111">
        <v>296.18</v>
      </c>
      <c r="BW111">
        <v>0.53</v>
      </c>
      <c r="BX111">
        <v>-17.059999999999999</v>
      </c>
      <c r="BY111">
        <v>25.24</v>
      </c>
      <c r="BZ111">
        <v>15.02</v>
      </c>
      <c r="CA111">
        <v>6.83</v>
      </c>
      <c r="CB111">
        <v>-0.51</v>
      </c>
      <c r="CC111">
        <v>6.87</v>
      </c>
      <c r="CD111">
        <v>5.74</v>
      </c>
      <c r="CE111">
        <v>6.5</v>
      </c>
      <c r="CF111">
        <v>5.58</v>
      </c>
      <c r="CG111">
        <v>39.25</v>
      </c>
      <c r="CH111">
        <v>-6.79</v>
      </c>
      <c r="CI111">
        <v>29.65</v>
      </c>
      <c r="CJ111">
        <v>54471</v>
      </c>
      <c r="CK111">
        <v>20375</v>
      </c>
      <c r="CL111" t="s">
        <v>922</v>
      </c>
      <c r="CM111">
        <v>59.66</v>
      </c>
      <c r="CN111">
        <v>8.58</v>
      </c>
      <c r="CO111">
        <v>1.56</v>
      </c>
      <c r="CP111">
        <v>-12.62</v>
      </c>
      <c r="CQ111">
        <v>3.39</v>
      </c>
      <c r="CR111">
        <v>0</v>
      </c>
      <c r="CS111" t="s">
        <v>923</v>
      </c>
      <c r="CT111">
        <v>1.73</v>
      </c>
      <c r="CU111">
        <v>0</v>
      </c>
      <c r="CV111">
        <v>-0.54</v>
      </c>
      <c r="CW111">
        <v>1.23</v>
      </c>
      <c r="CX111">
        <v>-0.21</v>
      </c>
      <c r="CY111">
        <v>13.87</v>
      </c>
      <c r="CZ111" t="s">
        <v>924</v>
      </c>
      <c r="DA111">
        <v>40.479999999999997</v>
      </c>
      <c r="DB111">
        <v>27.07</v>
      </c>
      <c r="DC111">
        <v>25.77</v>
      </c>
      <c r="DD111">
        <v>0</v>
      </c>
      <c r="DE111">
        <v>1432</v>
      </c>
      <c r="DF111">
        <v>517</v>
      </c>
      <c r="DG111" t="s">
        <v>116</v>
      </c>
      <c r="DH111" t="s">
        <v>116</v>
      </c>
      <c r="DI111" t="s">
        <v>116</v>
      </c>
    </row>
    <row r="112" spans="1:113" x14ac:dyDescent="0.4">
      <c r="A112" t="str">
        <f>"000518"</f>
        <v>000518</v>
      </c>
      <c r="B112" t="s">
        <v>925</v>
      </c>
      <c r="C112">
        <v>-0.3</v>
      </c>
      <c r="D112">
        <v>3.3</v>
      </c>
      <c r="E112">
        <v>-0.01</v>
      </c>
      <c r="F112">
        <v>3.3</v>
      </c>
      <c r="G112">
        <v>3.31</v>
      </c>
      <c r="H112">
        <v>54945</v>
      </c>
      <c r="I112">
        <v>547</v>
      </c>
      <c r="J112">
        <v>0</v>
      </c>
      <c r="K112">
        <v>0.53</v>
      </c>
      <c r="L112">
        <v>3.3</v>
      </c>
      <c r="M112">
        <v>3.33</v>
      </c>
      <c r="N112">
        <v>3.3</v>
      </c>
      <c r="O112">
        <v>3.31</v>
      </c>
      <c r="P112">
        <v>268.85000000000002</v>
      </c>
      <c r="Q112">
        <v>18219084</v>
      </c>
      <c r="R112">
        <v>0.81</v>
      </c>
      <c r="S112" t="s">
        <v>132</v>
      </c>
      <c r="T112" t="s">
        <v>323</v>
      </c>
      <c r="U112">
        <v>0.91</v>
      </c>
      <c r="V112">
        <v>3.32</v>
      </c>
      <c r="W112">
        <v>28123</v>
      </c>
      <c r="X112">
        <v>26822</v>
      </c>
      <c r="Y112">
        <v>1.05</v>
      </c>
      <c r="Z112">
        <v>5744</v>
      </c>
      <c r="AA112">
        <v>1232</v>
      </c>
      <c r="AB112" t="s">
        <v>116</v>
      </c>
      <c r="AC112">
        <v>97700</v>
      </c>
      <c r="AD112">
        <v>0</v>
      </c>
      <c r="AE112" t="s">
        <v>116</v>
      </c>
      <c r="AF112" t="s">
        <v>116</v>
      </c>
      <c r="AG112">
        <v>10.3</v>
      </c>
      <c r="AH112" t="s">
        <v>926</v>
      </c>
      <c r="AI112" t="s">
        <v>927</v>
      </c>
      <c r="AJ112">
        <v>0.38</v>
      </c>
      <c r="AK112">
        <v>799</v>
      </c>
      <c r="AL112">
        <v>69</v>
      </c>
      <c r="AM112">
        <v>6.9999999999999999E-4</v>
      </c>
      <c r="AN112">
        <v>-2</v>
      </c>
      <c r="AO112">
        <v>-0.6</v>
      </c>
      <c r="AP112">
        <v>-0.6</v>
      </c>
      <c r="AQ112">
        <v>5.77</v>
      </c>
      <c r="AR112">
        <v>-4.62</v>
      </c>
      <c r="AS112">
        <v>0.69</v>
      </c>
      <c r="AT112" t="s">
        <v>928</v>
      </c>
      <c r="AU112" t="s">
        <v>116</v>
      </c>
      <c r="AV112" t="s">
        <v>116</v>
      </c>
      <c r="AW112">
        <v>1</v>
      </c>
      <c r="BA112">
        <v>-0.3</v>
      </c>
      <c r="BB112">
        <v>0.6</v>
      </c>
      <c r="BC112">
        <v>-0.3</v>
      </c>
      <c r="BD112">
        <v>0.18</v>
      </c>
      <c r="BE112">
        <v>0</v>
      </c>
      <c r="BF112">
        <v>-0.9</v>
      </c>
      <c r="BG112">
        <v>0</v>
      </c>
      <c r="BH112">
        <v>-0.48</v>
      </c>
      <c r="BI112">
        <v>20191031</v>
      </c>
      <c r="BJ112">
        <v>19930908</v>
      </c>
      <c r="BK112">
        <v>10.3</v>
      </c>
      <c r="BL112" t="s">
        <v>116</v>
      </c>
      <c r="BM112" t="s">
        <v>116</v>
      </c>
      <c r="BN112">
        <v>8.9499999999999993</v>
      </c>
      <c r="BO112">
        <v>6.09</v>
      </c>
      <c r="BP112">
        <v>0.46</v>
      </c>
      <c r="BQ112">
        <v>26.81</v>
      </c>
      <c r="BR112">
        <v>7.3</v>
      </c>
      <c r="BS112">
        <v>0.83</v>
      </c>
      <c r="BT112">
        <v>0.42</v>
      </c>
      <c r="BU112">
        <v>2.4</v>
      </c>
      <c r="BV112">
        <v>5.58</v>
      </c>
      <c r="BW112">
        <v>1.26</v>
      </c>
      <c r="BX112">
        <v>0.36</v>
      </c>
      <c r="BY112">
        <v>2.86</v>
      </c>
      <c r="BZ112">
        <v>0.75</v>
      </c>
      <c r="CA112">
        <v>0.16</v>
      </c>
      <c r="CB112">
        <v>0</v>
      </c>
      <c r="CC112">
        <v>0.16</v>
      </c>
      <c r="CD112">
        <v>0.12</v>
      </c>
      <c r="CE112">
        <v>0.09</v>
      </c>
      <c r="CF112">
        <v>0.05</v>
      </c>
      <c r="CG112">
        <v>-4.95</v>
      </c>
      <c r="CH112">
        <v>0.11</v>
      </c>
      <c r="CI112">
        <v>-0.06</v>
      </c>
      <c r="CJ112">
        <v>85978</v>
      </c>
      <c r="CK112">
        <v>9268</v>
      </c>
      <c r="CL112" t="s">
        <v>929</v>
      </c>
      <c r="CM112">
        <v>200.91</v>
      </c>
      <c r="CN112">
        <v>1.56</v>
      </c>
      <c r="CO112">
        <v>5.58</v>
      </c>
      <c r="CP112">
        <v>318.73</v>
      </c>
      <c r="CQ112">
        <v>11.89</v>
      </c>
      <c r="CR112">
        <v>0</v>
      </c>
      <c r="CS112" t="s">
        <v>930</v>
      </c>
      <c r="CT112">
        <v>0.59</v>
      </c>
      <c r="CU112">
        <v>0</v>
      </c>
      <c r="CV112">
        <v>0.03</v>
      </c>
      <c r="CW112">
        <v>-0.48</v>
      </c>
      <c r="CX112">
        <v>0.01</v>
      </c>
      <c r="CY112">
        <v>68.040000000000006</v>
      </c>
      <c r="CZ112" t="s">
        <v>931</v>
      </c>
      <c r="DA112">
        <v>73.849999999999994</v>
      </c>
      <c r="DB112">
        <v>5.49</v>
      </c>
      <c r="DC112">
        <v>3.32</v>
      </c>
      <c r="DD112">
        <v>0.31</v>
      </c>
      <c r="DE112">
        <v>314</v>
      </c>
      <c r="DF112">
        <v>518</v>
      </c>
      <c r="DG112" t="s">
        <v>116</v>
      </c>
      <c r="DH112" t="s">
        <v>116</v>
      </c>
      <c r="DI112" t="s">
        <v>116</v>
      </c>
    </row>
    <row r="113" spans="1:113" x14ac:dyDescent="0.4">
      <c r="A113" t="str">
        <f>"000519"</f>
        <v>000519</v>
      </c>
      <c r="B113" t="s">
        <v>932</v>
      </c>
      <c r="C113">
        <v>0.65</v>
      </c>
      <c r="D113">
        <v>7.72</v>
      </c>
      <c r="E113">
        <v>0.05</v>
      </c>
      <c r="F113">
        <v>7.71</v>
      </c>
      <c r="G113">
        <v>7.72</v>
      </c>
      <c r="H113">
        <v>381616</v>
      </c>
      <c r="I113">
        <v>4724</v>
      </c>
      <c r="J113">
        <v>0</v>
      </c>
      <c r="K113">
        <v>4.09</v>
      </c>
      <c r="L113">
        <v>7.69</v>
      </c>
      <c r="M113">
        <v>7.91</v>
      </c>
      <c r="N113">
        <v>7.63</v>
      </c>
      <c r="O113">
        <v>7.67</v>
      </c>
      <c r="P113">
        <v>28.39</v>
      </c>
      <c r="Q113">
        <v>295892256</v>
      </c>
      <c r="R113">
        <v>1.52</v>
      </c>
      <c r="S113" t="s">
        <v>933</v>
      </c>
      <c r="T113" t="s">
        <v>599</v>
      </c>
      <c r="U113">
        <v>3.65</v>
      </c>
      <c r="V113">
        <v>7.75</v>
      </c>
      <c r="W113">
        <v>186207</v>
      </c>
      <c r="X113">
        <v>195409</v>
      </c>
      <c r="Y113">
        <v>0.95</v>
      </c>
      <c r="Z113">
        <v>1887</v>
      </c>
      <c r="AA113">
        <v>484</v>
      </c>
      <c r="AB113" t="s">
        <v>116</v>
      </c>
      <c r="AC113">
        <v>725200</v>
      </c>
      <c r="AD113">
        <v>0.01</v>
      </c>
      <c r="AE113" t="s">
        <v>116</v>
      </c>
      <c r="AF113" t="s">
        <v>116</v>
      </c>
      <c r="AG113">
        <v>9.33</v>
      </c>
      <c r="AH113" t="s">
        <v>934</v>
      </c>
      <c r="AI113" t="s">
        <v>935</v>
      </c>
      <c r="AJ113">
        <v>1.33</v>
      </c>
      <c r="AK113">
        <v>3371</v>
      </c>
      <c r="AL113">
        <v>113</v>
      </c>
      <c r="AM113">
        <v>1.1999999999999999E-3</v>
      </c>
      <c r="AN113">
        <v>1</v>
      </c>
      <c r="AO113">
        <v>0.26</v>
      </c>
      <c r="AP113">
        <v>6.34</v>
      </c>
      <c r="AQ113">
        <v>-7.1</v>
      </c>
      <c r="AR113">
        <v>23.54</v>
      </c>
      <c r="AS113">
        <v>5.3</v>
      </c>
      <c r="AT113" t="s">
        <v>936</v>
      </c>
      <c r="AU113">
        <v>29.1</v>
      </c>
      <c r="AV113">
        <v>30.97</v>
      </c>
      <c r="AW113">
        <v>0.95</v>
      </c>
      <c r="BA113">
        <v>0.26</v>
      </c>
      <c r="BB113">
        <v>3.13</v>
      </c>
      <c r="BC113">
        <v>-0.52</v>
      </c>
      <c r="BD113">
        <v>1.0900000000000001</v>
      </c>
      <c r="BE113">
        <v>0.39</v>
      </c>
      <c r="BF113">
        <v>-2.4</v>
      </c>
      <c r="BG113">
        <v>1.18</v>
      </c>
      <c r="BH113">
        <v>-0.44</v>
      </c>
      <c r="BI113">
        <v>20191223</v>
      </c>
      <c r="BJ113">
        <v>19931008</v>
      </c>
      <c r="BK113">
        <v>13.93</v>
      </c>
      <c r="BL113" t="s">
        <v>116</v>
      </c>
      <c r="BM113" t="s">
        <v>116</v>
      </c>
      <c r="BN113">
        <v>105.87</v>
      </c>
      <c r="BO113">
        <v>80.930000000000007</v>
      </c>
      <c r="BP113">
        <v>-0.01</v>
      </c>
      <c r="BQ113">
        <v>23.57</v>
      </c>
      <c r="BR113">
        <v>69.150000000000006</v>
      </c>
      <c r="BS113">
        <v>20.73</v>
      </c>
      <c r="BT113">
        <v>5.34</v>
      </c>
      <c r="BU113">
        <v>20.350000000000001</v>
      </c>
      <c r="BV113">
        <v>18.739999999999998</v>
      </c>
      <c r="BW113">
        <v>7.76</v>
      </c>
      <c r="BX113">
        <v>35.35</v>
      </c>
      <c r="BY113">
        <v>33.81</v>
      </c>
      <c r="BZ113">
        <v>26.33</v>
      </c>
      <c r="CA113">
        <v>3.43</v>
      </c>
      <c r="CB113">
        <v>0.04</v>
      </c>
      <c r="CC113">
        <v>3.4</v>
      </c>
      <c r="CD113">
        <v>2.84</v>
      </c>
      <c r="CE113">
        <v>2.84</v>
      </c>
      <c r="CF113">
        <v>2.69</v>
      </c>
      <c r="CG113">
        <v>30.3</v>
      </c>
      <c r="CH113">
        <v>-0.15</v>
      </c>
      <c r="CI113">
        <v>-1.54</v>
      </c>
      <c r="CJ113">
        <v>100000</v>
      </c>
      <c r="CK113">
        <v>7195</v>
      </c>
      <c r="CL113" t="s">
        <v>937</v>
      </c>
      <c r="CM113">
        <v>8.52</v>
      </c>
      <c r="CN113">
        <v>9.82</v>
      </c>
      <c r="CO113">
        <v>1.33</v>
      </c>
      <c r="CP113">
        <v>-708.44</v>
      </c>
      <c r="CQ113">
        <v>3.18</v>
      </c>
      <c r="CR113">
        <v>0.53</v>
      </c>
      <c r="CS113" t="s">
        <v>923</v>
      </c>
      <c r="CT113">
        <v>5.81</v>
      </c>
      <c r="CU113">
        <v>0</v>
      </c>
      <c r="CV113">
        <v>2.54</v>
      </c>
      <c r="CW113">
        <v>2.1800000000000002</v>
      </c>
      <c r="CX113">
        <v>-0.01</v>
      </c>
      <c r="CY113">
        <v>76.44</v>
      </c>
      <c r="CZ113" t="s">
        <v>938</v>
      </c>
      <c r="DA113">
        <v>22.12</v>
      </c>
      <c r="DB113">
        <v>10.14</v>
      </c>
      <c r="DC113">
        <v>8.4</v>
      </c>
      <c r="DD113">
        <v>1.64</v>
      </c>
      <c r="DE113">
        <v>8084</v>
      </c>
      <c r="DF113">
        <v>519</v>
      </c>
      <c r="DG113" t="s">
        <v>116</v>
      </c>
      <c r="DH113" t="s">
        <v>116</v>
      </c>
      <c r="DI113" t="s">
        <v>116</v>
      </c>
    </row>
    <row r="114" spans="1:113" x14ac:dyDescent="0.4">
      <c r="A114" t="str">
        <f>"000520"</f>
        <v>000520</v>
      </c>
      <c r="B114" t="s">
        <v>939</v>
      </c>
      <c r="C114">
        <v>0</v>
      </c>
      <c r="D114">
        <v>4.2</v>
      </c>
      <c r="E114">
        <v>0</v>
      </c>
      <c r="F114">
        <v>4.1900000000000004</v>
      </c>
      <c r="G114">
        <v>4.2</v>
      </c>
      <c r="H114">
        <v>64602</v>
      </c>
      <c r="I114">
        <v>2134</v>
      </c>
      <c r="J114">
        <v>0.24</v>
      </c>
      <c r="K114">
        <v>0.64</v>
      </c>
      <c r="L114">
        <v>4.21</v>
      </c>
      <c r="M114">
        <v>4.26</v>
      </c>
      <c r="N114">
        <v>4.18</v>
      </c>
      <c r="O114">
        <v>4.2</v>
      </c>
      <c r="P114">
        <v>107.92</v>
      </c>
      <c r="Q114">
        <v>27245814</v>
      </c>
      <c r="R114">
        <v>0.6</v>
      </c>
      <c r="S114" t="s">
        <v>940</v>
      </c>
      <c r="T114" t="s">
        <v>774</v>
      </c>
      <c r="U114">
        <v>1.9</v>
      </c>
      <c r="V114">
        <v>4.22</v>
      </c>
      <c r="W114">
        <v>42243</v>
      </c>
      <c r="X114">
        <v>22359</v>
      </c>
      <c r="Y114">
        <v>1.89</v>
      </c>
      <c r="Z114">
        <v>642</v>
      </c>
      <c r="AA114">
        <v>4523</v>
      </c>
      <c r="AB114" t="s">
        <v>116</v>
      </c>
      <c r="AC114">
        <v>87100</v>
      </c>
      <c r="AD114">
        <v>0</v>
      </c>
      <c r="AE114" t="s">
        <v>116</v>
      </c>
      <c r="AF114" t="s">
        <v>116</v>
      </c>
      <c r="AG114">
        <v>10.119999999999999</v>
      </c>
      <c r="AH114" t="s">
        <v>941</v>
      </c>
      <c r="AI114" t="s">
        <v>941</v>
      </c>
      <c r="AJ114">
        <v>0.68</v>
      </c>
      <c r="AK114">
        <v>932</v>
      </c>
      <c r="AL114">
        <v>69</v>
      </c>
      <c r="AM114">
        <v>6.9999999999999999E-4</v>
      </c>
      <c r="AN114">
        <v>0</v>
      </c>
      <c r="AO114">
        <v>-1.63</v>
      </c>
      <c r="AP114">
        <v>-1.87</v>
      </c>
      <c r="AQ114">
        <v>1.94</v>
      </c>
      <c r="AR114">
        <v>45.83</v>
      </c>
      <c r="AS114">
        <v>0.89</v>
      </c>
      <c r="AT114" t="s">
        <v>942</v>
      </c>
      <c r="AU114">
        <v>137.59</v>
      </c>
      <c r="AV114">
        <v>69.44</v>
      </c>
      <c r="AW114">
        <v>0.46</v>
      </c>
      <c r="BA114">
        <v>0.24</v>
      </c>
      <c r="BB114">
        <v>1.43</v>
      </c>
      <c r="BC114">
        <v>-0.48</v>
      </c>
      <c r="BD114">
        <v>0.42</v>
      </c>
      <c r="BE114">
        <v>-0.24</v>
      </c>
      <c r="BF114">
        <v>-1.41</v>
      </c>
      <c r="BG114">
        <v>0.48</v>
      </c>
      <c r="BH114">
        <v>-0.42</v>
      </c>
      <c r="BI114">
        <v>20191118</v>
      </c>
      <c r="BJ114">
        <v>19931025</v>
      </c>
      <c r="BK114">
        <v>10.119999999999999</v>
      </c>
      <c r="BL114" t="s">
        <v>116</v>
      </c>
      <c r="BM114" t="s">
        <v>116</v>
      </c>
      <c r="BN114">
        <v>6</v>
      </c>
      <c r="BO114">
        <v>4.0599999999999996</v>
      </c>
      <c r="BP114">
        <v>0</v>
      </c>
      <c r="BQ114">
        <v>32.270000000000003</v>
      </c>
      <c r="BR114">
        <v>2.25</v>
      </c>
      <c r="BS114">
        <v>3.68</v>
      </c>
      <c r="BT114">
        <v>0.03</v>
      </c>
      <c r="BU114">
        <v>1.66</v>
      </c>
      <c r="BV114">
        <v>0.1</v>
      </c>
      <c r="BW114">
        <v>0.37</v>
      </c>
      <c r="BX114">
        <v>19.600000000000001</v>
      </c>
      <c r="BY114">
        <v>6.07</v>
      </c>
      <c r="BZ114">
        <v>5.38</v>
      </c>
      <c r="CA114">
        <v>0.33</v>
      </c>
      <c r="CB114">
        <v>0.09</v>
      </c>
      <c r="CC114">
        <v>0.35</v>
      </c>
      <c r="CD114">
        <v>0.3</v>
      </c>
      <c r="CE114">
        <v>0.3</v>
      </c>
      <c r="CF114">
        <v>0.22</v>
      </c>
      <c r="CG114">
        <v>-28.16</v>
      </c>
      <c r="CH114">
        <v>0.18</v>
      </c>
      <c r="CI114">
        <v>-0.46</v>
      </c>
      <c r="CJ114">
        <v>93646</v>
      </c>
      <c r="CK114">
        <v>7750</v>
      </c>
      <c r="CL114" t="s">
        <v>943</v>
      </c>
      <c r="CM114">
        <v>-50.65</v>
      </c>
      <c r="CN114">
        <v>-5.92</v>
      </c>
      <c r="CO114">
        <v>10.46</v>
      </c>
      <c r="CP114">
        <v>236.87</v>
      </c>
      <c r="CQ114">
        <v>7</v>
      </c>
      <c r="CR114">
        <v>0</v>
      </c>
      <c r="CS114" t="s">
        <v>944</v>
      </c>
      <c r="CT114">
        <v>0.4</v>
      </c>
      <c r="CU114">
        <v>0</v>
      </c>
      <c r="CV114">
        <v>1.94</v>
      </c>
      <c r="CW114">
        <v>-2.78</v>
      </c>
      <c r="CX114">
        <v>0.02</v>
      </c>
      <c r="CY114">
        <v>67.73</v>
      </c>
      <c r="CZ114" t="s">
        <v>945</v>
      </c>
      <c r="DA114">
        <v>11.44</v>
      </c>
      <c r="DB114">
        <v>5.47</v>
      </c>
      <c r="DC114">
        <v>4.87</v>
      </c>
      <c r="DD114">
        <v>0</v>
      </c>
      <c r="DE114">
        <v>350</v>
      </c>
      <c r="DF114">
        <v>520</v>
      </c>
      <c r="DG114" t="s">
        <v>116</v>
      </c>
      <c r="DH114" t="s">
        <v>116</v>
      </c>
      <c r="DI114" t="s">
        <v>116</v>
      </c>
    </row>
    <row r="115" spans="1:113" x14ac:dyDescent="0.4">
      <c r="A115" t="str">
        <f>"000521"</f>
        <v>000521</v>
      </c>
      <c r="B115" t="s">
        <v>946</v>
      </c>
      <c r="C115">
        <v>-0.88</v>
      </c>
      <c r="D115">
        <v>3.36</v>
      </c>
      <c r="E115">
        <v>-0.03</v>
      </c>
      <c r="F115">
        <v>3.36</v>
      </c>
      <c r="G115">
        <v>3.37</v>
      </c>
      <c r="H115">
        <v>52230</v>
      </c>
      <c r="I115">
        <v>226</v>
      </c>
      <c r="J115">
        <v>0</v>
      </c>
      <c r="K115">
        <v>0.6</v>
      </c>
      <c r="L115">
        <v>3.39</v>
      </c>
      <c r="M115">
        <v>3.41</v>
      </c>
      <c r="N115">
        <v>3.36</v>
      </c>
      <c r="O115">
        <v>3.39</v>
      </c>
      <c r="P115">
        <v>32.6</v>
      </c>
      <c r="Q115">
        <v>17674070</v>
      </c>
      <c r="R115">
        <v>1.05</v>
      </c>
      <c r="S115" t="s">
        <v>209</v>
      </c>
      <c r="T115" t="s">
        <v>575</v>
      </c>
      <c r="U115">
        <v>1.47</v>
      </c>
      <c r="V115">
        <v>3.38</v>
      </c>
      <c r="W115">
        <v>28732</v>
      </c>
      <c r="X115">
        <v>23498</v>
      </c>
      <c r="Y115">
        <v>1.22</v>
      </c>
      <c r="Z115">
        <v>211</v>
      </c>
      <c r="AA115">
        <v>1274</v>
      </c>
      <c r="AB115" t="s">
        <v>116</v>
      </c>
      <c r="AC115">
        <v>98600</v>
      </c>
      <c r="AD115">
        <v>0</v>
      </c>
      <c r="AE115" t="s">
        <v>116</v>
      </c>
      <c r="AF115" t="s">
        <v>116</v>
      </c>
      <c r="AG115">
        <v>8.7200000000000006</v>
      </c>
      <c r="AH115" t="s">
        <v>947</v>
      </c>
      <c r="AI115" t="s">
        <v>948</v>
      </c>
      <c r="AJ115">
        <v>-0.21</v>
      </c>
      <c r="AK115">
        <v>1026</v>
      </c>
      <c r="AL115">
        <v>51</v>
      </c>
      <c r="AM115">
        <v>5.9999999999999995E-4</v>
      </c>
      <c r="AN115">
        <v>-1</v>
      </c>
      <c r="AO115">
        <v>0.3</v>
      </c>
      <c r="AP115">
        <v>3.07</v>
      </c>
      <c r="AQ115">
        <v>2.44</v>
      </c>
      <c r="AR115">
        <v>15.86</v>
      </c>
      <c r="AS115">
        <v>0.84</v>
      </c>
      <c r="AT115" t="s">
        <v>949</v>
      </c>
      <c r="AU115">
        <v>65.27</v>
      </c>
      <c r="AV115">
        <v>90.79</v>
      </c>
      <c r="AW115">
        <v>1.01</v>
      </c>
      <c r="BA115">
        <v>0</v>
      </c>
      <c r="BB115">
        <v>0.59</v>
      </c>
      <c r="BC115">
        <v>-0.88</v>
      </c>
      <c r="BD115">
        <v>-0.18</v>
      </c>
      <c r="BE115">
        <v>-0.88</v>
      </c>
      <c r="BF115">
        <v>-1.47</v>
      </c>
      <c r="BG115">
        <v>0</v>
      </c>
      <c r="BH115">
        <v>-0.71</v>
      </c>
      <c r="BI115">
        <v>20191019</v>
      </c>
      <c r="BJ115">
        <v>19931018</v>
      </c>
      <c r="BK115">
        <v>10.45</v>
      </c>
      <c r="BL115">
        <v>1.63</v>
      </c>
      <c r="BM115" t="s">
        <v>116</v>
      </c>
      <c r="BN115">
        <v>148.18</v>
      </c>
      <c r="BO115">
        <v>50.28</v>
      </c>
      <c r="BP115">
        <v>1</v>
      </c>
      <c r="BQ115">
        <v>65.39</v>
      </c>
      <c r="BR115">
        <v>112.29</v>
      </c>
      <c r="BS115">
        <v>20.3</v>
      </c>
      <c r="BT115">
        <v>8.3000000000000007</v>
      </c>
      <c r="BU115">
        <v>89.75</v>
      </c>
      <c r="BV115">
        <v>17.25</v>
      </c>
      <c r="BW115">
        <v>22.06</v>
      </c>
      <c r="BX115">
        <v>26.84</v>
      </c>
      <c r="BY115">
        <v>130.41</v>
      </c>
      <c r="BZ115">
        <v>106.11</v>
      </c>
      <c r="CA115">
        <v>1.03</v>
      </c>
      <c r="CB115">
        <v>-0.38</v>
      </c>
      <c r="CC115">
        <v>1.05</v>
      </c>
      <c r="CD115">
        <v>0.69</v>
      </c>
      <c r="CE115">
        <v>0.81</v>
      </c>
      <c r="CF115">
        <v>0.13</v>
      </c>
      <c r="CG115">
        <v>9.1999999999999993</v>
      </c>
      <c r="CH115">
        <v>2.0099999999999998</v>
      </c>
      <c r="CI115">
        <v>-5.75</v>
      </c>
      <c r="CJ115">
        <v>64377</v>
      </c>
      <c r="CK115">
        <v>12217</v>
      </c>
      <c r="CL115" t="s">
        <v>950</v>
      </c>
      <c r="CM115">
        <v>23.03</v>
      </c>
      <c r="CN115">
        <v>-1.57</v>
      </c>
      <c r="CO115">
        <v>0.7</v>
      </c>
      <c r="CP115">
        <v>17.440000000000001</v>
      </c>
      <c r="CQ115">
        <v>0.27</v>
      </c>
      <c r="CR115">
        <v>1.79</v>
      </c>
      <c r="CS115" t="s">
        <v>896</v>
      </c>
      <c r="CT115">
        <v>4.8099999999999996</v>
      </c>
      <c r="CU115">
        <v>0</v>
      </c>
      <c r="CV115">
        <v>2.57</v>
      </c>
      <c r="CW115">
        <v>0.88</v>
      </c>
      <c r="CX115">
        <v>0.19</v>
      </c>
      <c r="CY115">
        <v>33.93</v>
      </c>
      <c r="CZ115" t="s">
        <v>951</v>
      </c>
      <c r="DA115">
        <v>18.63</v>
      </c>
      <c r="DB115">
        <v>0.79</v>
      </c>
      <c r="DC115">
        <v>0.62</v>
      </c>
      <c r="DD115">
        <v>1.94</v>
      </c>
      <c r="DE115">
        <v>16520</v>
      </c>
      <c r="DF115">
        <v>521</v>
      </c>
      <c r="DG115" t="s">
        <v>116</v>
      </c>
      <c r="DH115" t="s">
        <v>116</v>
      </c>
      <c r="DI115" t="s">
        <v>116</v>
      </c>
    </row>
    <row r="116" spans="1:113" x14ac:dyDescent="0.4">
      <c r="A116" t="str">
        <f>"000523"</f>
        <v>000523</v>
      </c>
      <c r="B116" t="s">
        <v>952</v>
      </c>
      <c r="C116">
        <v>-2.02</v>
      </c>
      <c r="D116">
        <v>7.28</v>
      </c>
      <c r="E116">
        <v>-0.15</v>
      </c>
      <c r="F116">
        <v>7.28</v>
      </c>
      <c r="G116">
        <v>7.29</v>
      </c>
      <c r="H116">
        <v>215888</v>
      </c>
      <c r="I116">
        <v>4987</v>
      </c>
      <c r="J116">
        <v>-0.26</v>
      </c>
      <c r="K116">
        <v>3.44</v>
      </c>
      <c r="L116">
        <v>7.4</v>
      </c>
      <c r="M116">
        <v>7.54</v>
      </c>
      <c r="N116">
        <v>7.21</v>
      </c>
      <c r="O116">
        <v>7.43</v>
      </c>
      <c r="P116">
        <v>155.19999999999999</v>
      </c>
      <c r="Q116">
        <v>159750240</v>
      </c>
      <c r="R116">
        <v>0.76</v>
      </c>
      <c r="S116" t="s">
        <v>953</v>
      </c>
      <c r="T116" t="s">
        <v>551</v>
      </c>
      <c r="U116">
        <v>4.4400000000000004</v>
      </c>
      <c r="V116">
        <v>7.4</v>
      </c>
      <c r="W116">
        <v>118559</v>
      </c>
      <c r="X116">
        <v>97329</v>
      </c>
      <c r="Y116">
        <v>1.22</v>
      </c>
      <c r="Z116">
        <v>1049</v>
      </c>
      <c r="AA116">
        <v>248</v>
      </c>
      <c r="AB116" t="s">
        <v>116</v>
      </c>
      <c r="AC116">
        <v>910900</v>
      </c>
      <c r="AD116">
        <v>0.04</v>
      </c>
      <c r="AE116" t="s">
        <v>116</v>
      </c>
      <c r="AF116" t="s">
        <v>116</v>
      </c>
      <c r="AG116">
        <v>6.27</v>
      </c>
      <c r="AH116" t="s">
        <v>954</v>
      </c>
      <c r="AI116" t="s">
        <v>955</v>
      </c>
      <c r="AJ116">
        <v>-1.34</v>
      </c>
      <c r="AK116">
        <v>2726</v>
      </c>
      <c r="AL116">
        <v>79</v>
      </c>
      <c r="AM116">
        <v>1.2999999999999999E-3</v>
      </c>
      <c r="AN116">
        <v>-1</v>
      </c>
      <c r="AO116">
        <v>-1.63</v>
      </c>
      <c r="AP116">
        <v>35.82</v>
      </c>
      <c r="AQ116">
        <v>40.54</v>
      </c>
      <c r="AR116">
        <v>85.24</v>
      </c>
      <c r="AS116">
        <v>6.3</v>
      </c>
      <c r="AT116" t="s">
        <v>956</v>
      </c>
      <c r="AU116">
        <v>133.01</v>
      </c>
      <c r="AV116">
        <v>137.22</v>
      </c>
      <c r="AW116">
        <v>0.81</v>
      </c>
      <c r="BA116">
        <v>-0.4</v>
      </c>
      <c r="BB116">
        <v>1.48</v>
      </c>
      <c r="BC116">
        <v>-2.96</v>
      </c>
      <c r="BD116">
        <v>-0.41</v>
      </c>
      <c r="BE116">
        <v>-1.62</v>
      </c>
      <c r="BF116">
        <v>-3.45</v>
      </c>
      <c r="BG116">
        <v>0.97</v>
      </c>
      <c r="BH116">
        <v>-1.61</v>
      </c>
      <c r="BI116">
        <v>20191029</v>
      </c>
      <c r="BJ116">
        <v>19931108</v>
      </c>
      <c r="BK116">
        <v>6.28</v>
      </c>
      <c r="BL116" t="s">
        <v>116</v>
      </c>
      <c r="BM116" t="s">
        <v>116</v>
      </c>
      <c r="BN116">
        <v>73.510000000000005</v>
      </c>
      <c r="BO116">
        <v>19.52</v>
      </c>
      <c r="BP116">
        <v>-0.05</v>
      </c>
      <c r="BQ116">
        <v>73.510000000000005</v>
      </c>
      <c r="BR116">
        <v>64.91</v>
      </c>
      <c r="BS116">
        <v>4</v>
      </c>
      <c r="BT116">
        <v>0.54</v>
      </c>
      <c r="BU116">
        <v>52.75</v>
      </c>
      <c r="BV116">
        <v>13.76</v>
      </c>
      <c r="BW116">
        <v>28.13</v>
      </c>
      <c r="BX116">
        <v>10.34</v>
      </c>
      <c r="BY116">
        <v>93.74</v>
      </c>
      <c r="BZ116">
        <v>90.43</v>
      </c>
      <c r="CA116">
        <v>0.27</v>
      </c>
      <c r="CB116">
        <v>0.01</v>
      </c>
      <c r="CC116">
        <v>0.27</v>
      </c>
      <c r="CD116">
        <v>0.22</v>
      </c>
      <c r="CE116">
        <v>0.22</v>
      </c>
      <c r="CF116">
        <v>0.17</v>
      </c>
      <c r="CG116">
        <v>2.2599999999999998</v>
      </c>
      <c r="CH116">
        <v>-0.62</v>
      </c>
      <c r="CI116">
        <v>-2.5</v>
      </c>
      <c r="CJ116">
        <v>34249</v>
      </c>
      <c r="CK116">
        <v>10011</v>
      </c>
      <c r="CL116" t="s">
        <v>957</v>
      </c>
      <c r="CM116">
        <v>5.01</v>
      </c>
      <c r="CN116">
        <v>6.38</v>
      </c>
      <c r="CO116">
        <v>2.34</v>
      </c>
      <c r="CP116">
        <v>-73.819999999999993</v>
      </c>
      <c r="CQ116">
        <v>0.49</v>
      </c>
      <c r="CR116">
        <v>0.27</v>
      </c>
      <c r="CS116" t="s">
        <v>958</v>
      </c>
      <c r="CT116">
        <v>3.11</v>
      </c>
      <c r="CU116">
        <v>0</v>
      </c>
      <c r="CV116">
        <v>1.65</v>
      </c>
      <c r="CW116">
        <v>0.36</v>
      </c>
      <c r="CX116">
        <v>-0.1</v>
      </c>
      <c r="CY116">
        <v>26.56</v>
      </c>
      <c r="CZ116" t="s">
        <v>959</v>
      </c>
      <c r="DA116">
        <v>3.52</v>
      </c>
      <c r="DB116">
        <v>0.28999999999999998</v>
      </c>
      <c r="DC116">
        <v>0.24</v>
      </c>
      <c r="DD116">
        <v>0.08</v>
      </c>
      <c r="DE116">
        <v>834</v>
      </c>
      <c r="DF116">
        <v>523</v>
      </c>
      <c r="DG116" t="s">
        <v>116</v>
      </c>
      <c r="DH116" t="s">
        <v>116</v>
      </c>
      <c r="DI116" t="s">
        <v>116</v>
      </c>
    </row>
    <row r="117" spans="1:113" x14ac:dyDescent="0.4">
      <c r="A117" t="str">
        <f>"000524"</f>
        <v>000524</v>
      </c>
      <c r="B117" t="s">
        <v>960</v>
      </c>
      <c r="C117">
        <v>0</v>
      </c>
      <c r="D117">
        <v>7.4</v>
      </c>
      <c r="E117">
        <v>0</v>
      </c>
      <c r="F117">
        <v>7.39</v>
      </c>
      <c r="G117">
        <v>7.4</v>
      </c>
      <c r="H117">
        <v>13665</v>
      </c>
      <c r="I117">
        <v>126</v>
      </c>
      <c r="J117">
        <v>-0.12</v>
      </c>
      <c r="K117">
        <v>0.5</v>
      </c>
      <c r="L117">
        <v>7.4</v>
      </c>
      <c r="M117">
        <v>7.47</v>
      </c>
      <c r="N117">
        <v>7.39</v>
      </c>
      <c r="O117">
        <v>7.4</v>
      </c>
      <c r="P117">
        <v>15.63</v>
      </c>
      <c r="Q117">
        <v>10157159</v>
      </c>
      <c r="R117">
        <v>0.9</v>
      </c>
      <c r="S117" t="s">
        <v>156</v>
      </c>
      <c r="T117" t="s">
        <v>551</v>
      </c>
      <c r="U117">
        <v>1.08</v>
      </c>
      <c r="V117">
        <v>7.43</v>
      </c>
      <c r="W117">
        <v>8458</v>
      </c>
      <c r="X117">
        <v>5207</v>
      </c>
      <c r="Y117">
        <v>1.62</v>
      </c>
      <c r="Z117">
        <v>142</v>
      </c>
      <c r="AA117">
        <v>195</v>
      </c>
      <c r="AB117" t="s">
        <v>116</v>
      </c>
      <c r="AC117">
        <v>79200</v>
      </c>
      <c r="AD117">
        <v>0.01</v>
      </c>
      <c r="AE117" t="s">
        <v>116</v>
      </c>
      <c r="AF117" t="s">
        <v>116</v>
      </c>
      <c r="AG117">
        <v>2.72</v>
      </c>
      <c r="AH117" t="s">
        <v>961</v>
      </c>
      <c r="AI117" t="s">
        <v>962</v>
      </c>
      <c r="AJ117">
        <v>0.68</v>
      </c>
      <c r="AK117">
        <v>603</v>
      </c>
      <c r="AL117">
        <v>23</v>
      </c>
      <c r="AM117">
        <v>8.0000000000000004E-4</v>
      </c>
      <c r="AN117">
        <v>0</v>
      </c>
      <c r="AO117">
        <v>0.81</v>
      </c>
      <c r="AP117">
        <v>6.17</v>
      </c>
      <c r="AQ117">
        <v>-4.5199999999999996</v>
      </c>
      <c r="AR117">
        <v>10.86</v>
      </c>
      <c r="AS117">
        <v>1.06</v>
      </c>
      <c r="AT117" t="s">
        <v>963</v>
      </c>
      <c r="AU117">
        <v>17.66</v>
      </c>
      <c r="AV117">
        <v>24.21</v>
      </c>
      <c r="AW117">
        <v>0.97</v>
      </c>
      <c r="BA117">
        <v>0</v>
      </c>
      <c r="BB117">
        <v>0.95</v>
      </c>
      <c r="BC117">
        <v>-0.14000000000000001</v>
      </c>
      <c r="BD117">
        <v>0.45</v>
      </c>
      <c r="BE117">
        <v>0</v>
      </c>
      <c r="BF117">
        <v>-0.94</v>
      </c>
      <c r="BG117">
        <v>0.14000000000000001</v>
      </c>
      <c r="BH117">
        <v>-0.45</v>
      </c>
      <c r="BI117">
        <v>20191030</v>
      </c>
      <c r="BJ117">
        <v>19931118</v>
      </c>
      <c r="BK117">
        <v>6.7</v>
      </c>
      <c r="BL117" t="s">
        <v>116</v>
      </c>
      <c r="BM117" t="s">
        <v>116</v>
      </c>
      <c r="BN117">
        <v>49.22</v>
      </c>
      <c r="BO117">
        <v>26.45</v>
      </c>
      <c r="BP117">
        <v>0.67</v>
      </c>
      <c r="BQ117">
        <v>44.9</v>
      </c>
      <c r="BR117">
        <v>33.619999999999997</v>
      </c>
      <c r="BS117">
        <v>5.05</v>
      </c>
      <c r="BT117">
        <v>5.53</v>
      </c>
      <c r="BU117">
        <v>20.83</v>
      </c>
      <c r="BV117">
        <v>0.19</v>
      </c>
      <c r="BW117">
        <v>2.46</v>
      </c>
      <c r="BX117">
        <v>12.15</v>
      </c>
      <c r="BY117">
        <v>61.6</v>
      </c>
      <c r="BZ117">
        <v>53.1</v>
      </c>
      <c r="CA117">
        <v>3.51</v>
      </c>
      <c r="CB117">
        <v>0.22</v>
      </c>
      <c r="CC117">
        <v>3.5</v>
      </c>
      <c r="CD117">
        <v>2.65</v>
      </c>
      <c r="CE117">
        <v>2.38</v>
      </c>
      <c r="CF117">
        <v>1.58</v>
      </c>
      <c r="CG117">
        <v>5.26</v>
      </c>
      <c r="CH117">
        <v>2.7</v>
      </c>
      <c r="CI117">
        <v>3.69</v>
      </c>
      <c r="CJ117">
        <v>24824</v>
      </c>
      <c r="CK117">
        <v>5215</v>
      </c>
      <c r="CL117" t="s">
        <v>964</v>
      </c>
      <c r="CM117">
        <v>46.92</v>
      </c>
      <c r="CN117">
        <v>16.73</v>
      </c>
      <c r="CO117">
        <v>1.87</v>
      </c>
      <c r="CP117">
        <v>18.39</v>
      </c>
      <c r="CQ117">
        <v>0.81</v>
      </c>
      <c r="CR117">
        <v>3.04</v>
      </c>
      <c r="CS117" t="s">
        <v>965</v>
      </c>
      <c r="CT117">
        <v>3.95</v>
      </c>
      <c r="CU117">
        <v>0</v>
      </c>
      <c r="CV117">
        <v>1.81</v>
      </c>
      <c r="CW117">
        <v>0.78</v>
      </c>
      <c r="CX117">
        <v>0.4</v>
      </c>
      <c r="CY117">
        <v>53.75</v>
      </c>
      <c r="CZ117" t="s">
        <v>966</v>
      </c>
      <c r="DA117">
        <v>13.8</v>
      </c>
      <c r="DB117">
        <v>5.69</v>
      </c>
      <c r="DC117">
        <v>3.86</v>
      </c>
      <c r="DD117">
        <v>7.0000000000000007E-2</v>
      </c>
      <c r="DE117">
        <v>5919</v>
      </c>
      <c r="DF117">
        <v>524</v>
      </c>
      <c r="DG117" t="s">
        <v>116</v>
      </c>
      <c r="DH117" t="s">
        <v>116</v>
      </c>
      <c r="DI117" t="s">
        <v>116</v>
      </c>
    </row>
    <row r="118" spans="1:113" x14ac:dyDescent="0.4">
      <c r="A118" t="str">
        <f>"000525"</f>
        <v>000525</v>
      </c>
      <c r="B118" t="s">
        <v>967</v>
      </c>
      <c r="C118">
        <v>-2.58</v>
      </c>
      <c r="D118">
        <v>9.4499999999999993</v>
      </c>
      <c r="E118">
        <v>-0.25</v>
      </c>
      <c r="F118">
        <v>9.4499999999999993</v>
      </c>
      <c r="G118">
        <v>9.4600000000000009</v>
      </c>
      <c r="H118">
        <v>121266</v>
      </c>
      <c r="I118">
        <v>1147</v>
      </c>
      <c r="J118">
        <v>0.21</v>
      </c>
      <c r="K118">
        <v>2.11</v>
      </c>
      <c r="L118">
        <v>9.59</v>
      </c>
      <c r="M118">
        <v>9.6999999999999993</v>
      </c>
      <c r="N118">
        <v>9.42</v>
      </c>
      <c r="O118">
        <v>9.6999999999999993</v>
      </c>
      <c r="P118">
        <v>14.13</v>
      </c>
      <c r="Q118">
        <v>116183112</v>
      </c>
      <c r="R118">
        <v>0.63</v>
      </c>
      <c r="S118" t="s">
        <v>697</v>
      </c>
      <c r="T118" t="s">
        <v>323</v>
      </c>
      <c r="U118">
        <v>2.89</v>
      </c>
      <c r="V118">
        <v>9.58</v>
      </c>
      <c r="W118">
        <v>79426</v>
      </c>
      <c r="X118">
        <v>41840</v>
      </c>
      <c r="Y118">
        <v>1.9</v>
      </c>
      <c r="Z118">
        <v>362</v>
      </c>
      <c r="AA118">
        <v>344</v>
      </c>
      <c r="AB118" t="s">
        <v>116</v>
      </c>
      <c r="AC118">
        <v>1076000</v>
      </c>
      <c r="AD118">
        <v>0.04</v>
      </c>
      <c r="AE118" t="s">
        <v>116</v>
      </c>
      <c r="AF118" t="s">
        <v>116</v>
      </c>
      <c r="AG118">
        <v>5.74</v>
      </c>
      <c r="AH118" t="s">
        <v>968</v>
      </c>
      <c r="AI118" t="s">
        <v>969</v>
      </c>
      <c r="AJ118">
        <v>-1.9</v>
      </c>
      <c r="AK118">
        <v>2793</v>
      </c>
      <c r="AL118">
        <v>43</v>
      </c>
      <c r="AM118">
        <v>8.0000000000000004E-4</v>
      </c>
      <c r="AN118">
        <v>-1</v>
      </c>
      <c r="AO118">
        <v>-1.56</v>
      </c>
      <c r="AP118">
        <v>15.67</v>
      </c>
      <c r="AQ118">
        <v>-14.79</v>
      </c>
      <c r="AR118">
        <v>-31.92</v>
      </c>
      <c r="AS118">
        <v>4.8600000000000003</v>
      </c>
      <c r="AT118" t="s">
        <v>970</v>
      </c>
      <c r="AU118">
        <v>14.93</v>
      </c>
      <c r="AV118">
        <v>8.6199999999999992</v>
      </c>
      <c r="AW118">
        <v>1.23</v>
      </c>
      <c r="BA118">
        <v>-1.1299999999999999</v>
      </c>
      <c r="BB118">
        <v>0</v>
      </c>
      <c r="BC118">
        <v>-2.89</v>
      </c>
      <c r="BD118">
        <v>-1.23</v>
      </c>
      <c r="BE118">
        <v>-1.46</v>
      </c>
      <c r="BF118">
        <v>-2.58</v>
      </c>
      <c r="BG118">
        <v>0.32</v>
      </c>
      <c r="BH118">
        <v>-1.35</v>
      </c>
      <c r="BI118">
        <v>20191031</v>
      </c>
      <c r="BJ118">
        <v>19931028</v>
      </c>
      <c r="BK118">
        <v>5.81</v>
      </c>
      <c r="BL118" t="s">
        <v>116</v>
      </c>
      <c r="BM118" t="s">
        <v>116</v>
      </c>
      <c r="BN118">
        <v>137.35</v>
      </c>
      <c r="BO118">
        <v>48.45</v>
      </c>
      <c r="BP118">
        <v>0.87</v>
      </c>
      <c r="BQ118">
        <v>64.09</v>
      </c>
      <c r="BR118">
        <v>70.430000000000007</v>
      </c>
      <c r="BS118">
        <v>37.700000000000003</v>
      </c>
      <c r="BT118">
        <v>5.68</v>
      </c>
      <c r="BU118">
        <v>77.02</v>
      </c>
      <c r="BV118">
        <v>16.600000000000001</v>
      </c>
      <c r="BW118">
        <v>19.68</v>
      </c>
      <c r="BX118">
        <v>18.77</v>
      </c>
      <c r="BY118">
        <v>41.05</v>
      </c>
      <c r="BZ118">
        <v>31.83</v>
      </c>
      <c r="CA118">
        <v>3.47</v>
      </c>
      <c r="CB118">
        <v>0</v>
      </c>
      <c r="CC118">
        <v>3.47</v>
      </c>
      <c r="CD118">
        <v>2.96</v>
      </c>
      <c r="CE118">
        <v>2.91</v>
      </c>
      <c r="CF118">
        <v>2.63</v>
      </c>
      <c r="CG118">
        <v>20.51</v>
      </c>
      <c r="CH118">
        <v>2.04</v>
      </c>
      <c r="CI118">
        <v>-1.95</v>
      </c>
      <c r="CJ118">
        <v>25156</v>
      </c>
      <c r="CK118">
        <v>9920</v>
      </c>
      <c r="CL118" t="s">
        <v>971</v>
      </c>
      <c r="CM118">
        <v>-48.02</v>
      </c>
      <c r="CN118">
        <v>-3.52</v>
      </c>
      <c r="CO118">
        <v>1.1299999999999999</v>
      </c>
      <c r="CP118">
        <v>26.93</v>
      </c>
      <c r="CQ118">
        <v>1.34</v>
      </c>
      <c r="CR118">
        <v>1.59</v>
      </c>
      <c r="CS118" t="s">
        <v>972</v>
      </c>
      <c r="CT118">
        <v>8.34</v>
      </c>
      <c r="CU118">
        <v>0</v>
      </c>
      <c r="CV118">
        <v>3.23</v>
      </c>
      <c r="CW118">
        <v>3.53</v>
      </c>
      <c r="CX118">
        <v>0.35</v>
      </c>
      <c r="CY118">
        <v>35.28</v>
      </c>
      <c r="CZ118" t="s">
        <v>973</v>
      </c>
      <c r="DA118">
        <v>22.46</v>
      </c>
      <c r="DB118">
        <v>8.4600000000000009</v>
      </c>
      <c r="DC118">
        <v>7.09</v>
      </c>
      <c r="DD118">
        <v>0.81</v>
      </c>
      <c r="DE118">
        <v>3599</v>
      </c>
      <c r="DF118">
        <v>525</v>
      </c>
      <c r="DG118" t="s">
        <v>116</v>
      </c>
      <c r="DH118" t="s">
        <v>116</v>
      </c>
      <c r="DI118" t="s">
        <v>116</v>
      </c>
    </row>
    <row r="119" spans="1:113" x14ac:dyDescent="0.4">
      <c r="A119" t="str">
        <f>"000526"</f>
        <v>000526</v>
      </c>
      <c r="B119" t="s">
        <v>974</v>
      </c>
      <c r="C119">
        <v>-0.38</v>
      </c>
      <c r="D119">
        <v>31.2</v>
      </c>
      <c r="E119">
        <v>-0.12</v>
      </c>
      <c r="F119">
        <v>31.08</v>
      </c>
      <c r="G119">
        <v>31.2</v>
      </c>
      <c r="H119">
        <v>7585</v>
      </c>
      <c r="I119">
        <v>234</v>
      </c>
      <c r="J119">
        <v>0.87</v>
      </c>
      <c r="K119">
        <v>0.79</v>
      </c>
      <c r="L119">
        <v>31.66</v>
      </c>
      <c r="M119">
        <v>31.66</v>
      </c>
      <c r="N119">
        <v>30.88</v>
      </c>
      <c r="O119">
        <v>31.32</v>
      </c>
      <c r="P119">
        <v>35.18</v>
      </c>
      <c r="Q119">
        <v>23656850</v>
      </c>
      <c r="R119">
        <v>0.96</v>
      </c>
      <c r="S119" t="s">
        <v>217</v>
      </c>
      <c r="T119" t="s">
        <v>975</v>
      </c>
      <c r="U119">
        <v>2.4900000000000002</v>
      </c>
      <c r="V119">
        <v>31.19</v>
      </c>
      <c r="W119">
        <v>4586</v>
      </c>
      <c r="X119">
        <v>2999</v>
      </c>
      <c r="Y119">
        <v>1.53</v>
      </c>
      <c r="Z119">
        <v>14</v>
      </c>
      <c r="AA119">
        <v>20</v>
      </c>
      <c r="AB119" t="s">
        <v>116</v>
      </c>
      <c r="AC119">
        <v>120300</v>
      </c>
      <c r="AD119">
        <v>0.01</v>
      </c>
      <c r="AE119" t="s">
        <v>116</v>
      </c>
      <c r="AF119" t="s">
        <v>116</v>
      </c>
      <c r="AG119">
        <v>0.96</v>
      </c>
      <c r="AH119" t="s">
        <v>976</v>
      </c>
      <c r="AI119" t="s">
        <v>976</v>
      </c>
      <c r="AJ119">
        <v>0.3</v>
      </c>
      <c r="AK119">
        <v>662</v>
      </c>
      <c r="AL119">
        <v>11</v>
      </c>
      <c r="AM119">
        <v>1.1999999999999999E-3</v>
      </c>
      <c r="AN119">
        <v>-3</v>
      </c>
      <c r="AO119">
        <v>-2.96</v>
      </c>
      <c r="AP119">
        <v>0.97</v>
      </c>
      <c r="AQ119">
        <v>15.68</v>
      </c>
      <c r="AR119">
        <v>71.05</v>
      </c>
      <c r="AS119">
        <v>1.25</v>
      </c>
      <c r="AT119" t="s">
        <v>977</v>
      </c>
      <c r="AU119">
        <v>347.55</v>
      </c>
      <c r="AV119">
        <v>231.75</v>
      </c>
      <c r="AW119">
        <v>1.1299999999999999</v>
      </c>
      <c r="BA119">
        <v>1.0900000000000001</v>
      </c>
      <c r="BB119">
        <v>1.0900000000000001</v>
      </c>
      <c r="BC119">
        <v>-1.4</v>
      </c>
      <c r="BD119">
        <v>-0.42</v>
      </c>
      <c r="BE119">
        <v>-1.45</v>
      </c>
      <c r="BF119">
        <v>-1.45</v>
      </c>
      <c r="BG119">
        <v>1.04</v>
      </c>
      <c r="BH119">
        <v>0.04</v>
      </c>
      <c r="BI119">
        <v>20191031</v>
      </c>
      <c r="BJ119">
        <v>19931101</v>
      </c>
      <c r="BK119">
        <v>0.96</v>
      </c>
      <c r="BL119" t="s">
        <v>116</v>
      </c>
      <c r="BM119" t="s">
        <v>116</v>
      </c>
      <c r="BN119">
        <v>38.729999999999997</v>
      </c>
      <c r="BO119">
        <v>1.45</v>
      </c>
      <c r="BP119">
        <v>-0.09</v>
      </c>
      <c r="BQ119">
        <v>96.5</v>
      </c>
      <c r="BR119">
        <v>17.48</v>
      </c>
      <c r="BS119">
        <v>1.41</v>
      </c>
      <c r="BT119">
        <v>0.57999999999999996</v>
      </c>
      <c r="BU119">
        <v>37.24</v>
      </c>
      <c r="BV119">
        <v>0</v>
      </c>
      <c r="BW119">
        <v>0.36</v>
      </c>
      <c r="BX119">
        <v>0.57999999999999996</v>
      </c>
      <c r="BY119">
        <v>24.33</v>
      </c>
      <c r="BZ119">
        <v>17.28</v>
      </c>
      <c r="CA119">
        <v>1.05</v>
      </c>
      <c r="CB119">
        <v>0.1</v>
      </c>
      <c r="CC119">
        <v>1.04</v>
      </c>
      <c r="CD119">
        <v>0.62</v>
      </c>
      <c r="CE119">
        <v>0.64</v>
      </c>
      <c r="CF119">
        <v>0.55000000000000004</v>
      </c>
      <c r="CG119">
        <v>-0.13</v>
      </c>
      <c r="CH119">
        <v>3.89</v>
      </c>
      <c r="CI119">
        <v>-2.2599999999999998</v>
      </c>
      <c r="CJ119">
        <v>10175</v>
      </c>
      <c r="CK119">
        <v>5985</v>
      </c>
      <c r="CL119" t="s">
        <v>978</v>
      </c>
      <c r="CM119">
        <v>-6.32</v>
      </c>
      <c r="CN119">
        <v>3.8</v>
      </c>
      <c r="CO119">
        <v>20.76</v>
      </c>
      <c r="CP119">
        <v>7.72</v>
      </c>
      <c r="CQ119">
        <v>1.23</v>
      </c>
      <c r="CR119">
        <v>0</v>
      </c>
      <c r="CS119" t="s">
        <v>979</v>
      </c>
      <c r="CT119">
        <v>1.5</v>
      </c>
      <c r="CU119">
        <v>0</v>
      </c>
      <c r="CV119">
        <v>0.6</v>
      </c>
      <c r="CW119">
        <v>-0.13</v>
      </c>
      <c r="CX119">
        <v>4.04</v>
      </c>
      <c r="CY119">
        <v>3.73</v>
      </c>
      <c r="CZ119" t="s">
        <v>980</v>
      </c>
      <c r="DA119">
        <v>29</v>
      </c>
      <c r="DB119">
        <v>4.3099999999999996</v>
      </c>
      <c r="DC119">
        <v>2.63</v>
      </c>
      <c r="DD119">
        <v>0.28000000000000003</v>
      </c>
      <c r="DE119">
        <v>14392</v>
      </c>
      <c r="DF119">
        <v>526</v>
      </c>
      <c r="DG119" t="s">
        <v>116</v>
      </c>
      <c r="DH119" t="s">
        <v>116</v>
      </c>
      <c r="DI119" t="s">
        <v>116</v>
      </c>
    </row>
    <row r="120" spans="1:113" x14ac:dyDescent="0.4">
      <c r="A120" t="str">
        <f>"000528"</f>
        <v>000528</v>
      </c>
      <c r="B120" t="s">
        <v>981</v>
      </c>
      <c r="C120">
        <v>-0.44</v>
      </c>
      <c r="D120">
        <v>6.75</v>
      </c>
      <c r="E120">
        <v>-0.03</v>
      </c>
      <c r="F120">
        <v>6.75</v>
      </c>
      <c r="G120">
        <v>6.76</v>
      </c>
      <c r="H120">
        <v>225587</v>
      </c>
      <c r="I120">
        <v>1037</v>
      </c>
      <c r="J120">
        <v>0</v>
      </c>
      <c r="K120">
        <v>1.54</v>
      </c>
      <c r="L120">
        <v>6.8</v>
      </c>
      <c r="M120">
        <v>6.85</v>
      </c>
      <c r="N120">
        <v>6.74</v>
      </c>
      <c r="O120">
        <v>6.78</v>
      </c>
      <c r="P120">
        <v>8.4700000000000006</v>
      </c>
      <c r="Q120">
        <v>153256256</v>
      </c>
      <c r="R120">
        <v>1.44</v>
      </c>
      <c r="S120" t="s">
        <v>598</v>
      </c>
      <c r="T120" t="s">
        <v>982</v>
      </c>
      <c r="U120">
        <v>1.62</v>
      </c>
      <c r="V120">
        <v>6.79</v>
      </c>
      <c r="W120">
        <v>113805</v>
      </c>
      <c r="X120">
        <v>111782</v>
      </c>
      <c r="Y120">
        <v>1.02</v>
      </c>
      <c r="Z120">
        <v>906</v>
      </c>
      <c r="AA120">
        <v>765</v>
      </c>
      <c r="AB120" t="s">
        <v>116</v>
      </c>
      <c r="AC120">
        <v>471200</v>
      </c>
      <c r="AD120">
        <v>0.01</v>
      </c>
      <c r="AE120" t="s">
        <v>116</v>
      </c>
      <c r="AF120" t="s">
        <v>116</v>
      </c>
      <c r="AG120">
        <v>14.63</v>
      </c>
      <c r="AH120" t="s">
        <v>983</v>
      </c>
      <c r="AI120" t="s">
        <v>984</v>
      </c>
      <c r="AJ120">
        <v>0.24</v>
      </c>
      <c r="AK120">
        <v>3075</v>
      </c>
      <c r="AL120">
        <v>73</v>
      </c>
      <c r="AM120">
        <v>5.0000000000000001E-4</v>
      </c>
      <c r="AN120">
        <v>-1</v>
      </c>
      <c r="AO120">
        <v>1.96</v>
      </c>
      <c r="AP120">
        <v>6.3</v>
      </c>
      <c r="AQ120">
        <v>8.8699999999999992</v>
      </c>
      <c r="AR120">
        <v>14.02</v>
      </c>
      <c r="AS120">
        <v>2.37</v>
      </c>
      <c r="AT120" t="s">
        <v>985</v>
      </c>
      <c r="AU120">
        <v>10.41</v>
      </c>
      <c r="AV120">
        <v>12.61</v>
      </c>
      <c r="AW120">
        <v>0.4</v>
      </c>
      <c r="BA120">
        <v>0.28999999999999998</v>
      </c>
      <c r="BB120">
        <v>1.03</v>
      </c>
      <c r="BC120">
        <v>-0.59</v>
      </c>
      <c r="BD120">
        <v>0.2</v>
      </c>
      <c r="BE120">
        <v>-0.74</v>
      </c>
      <c r="BF120">
        <v>-1.46</v>
      </c>
      <c r="BG120">
        <v>0.15</v>
      </c>
      <c r="BH120">
        <v>-0.64</v>
      </c>
      <c r="BI120">
        <v>20191225</v>
      </c>
      <c r="BJ120">
        <v>19931118</v>
      </c>
      <c r="BK120">
        <v>14.76</v>
      </c>
      <c r="BL120" t="s">
        <v>116</v>
      </c>
      <c r="BM120" t="s">
        <v>116</v>
      </c>
      <c r="BN120">
        <v>278.5</v>
      </c>
      <c r="BO120">
        <v>101.37</v>
      </c>
      <c r="BP120">
        <v>4.82</v>
      </c>
      <c r="BQ120">
        <v>61.87</v>
      </c>
      <c r="BR120">
        <v>192.4</v>
      </c>
      <c r="BS120">
        <v>27.85</v>
      </c>
      <c r="BT120">
        <v>7.63</v>
      </c>
      <c r="BU120">
        <v>126.08</v>
      </c>
      <c r="BV120">
        <v>49.45</v>
      </c>
      <c r="BW120">
        <v>44.63</v>
      </c>
      <c r="BX120">
        <v>31.27</v>
      </c>
      <c r="BY120">
        <v>142.19</v>
      </c>
      <c r="BZ120">
        <v>108.1</v>
      </c>
      <c r="CA120">
        <v>11.2</v>
      </c>
      <c r="CB120">
        <v>0.61</v>
      </c>
      <c r="CC120">
        <v>11.27</v>
      </c>
      <c r="CD120">
        <v>9.42</v>
      </c>
      <c r="CE120">
        <v>8.82</v>
      </c>
      <c r="CF120">
        <v>8.27</v>
      </c>
      <c r="CG120">
        <v>49.22</v>
      </c>
      <c r="CH120">
        <v>10.23</v>
      </c>
      <c r="CI120">
        <v>1.63</v>
      </c>
      <c r="CJ120">
        <v>98328</v>
      </c>
      <c r="CK120">
        <v>9672</v>
      </c>
      <c r="CL120" t="s">
        <v>334</v>
      </c>
      <c r="CM120">
        <v>23.31</v>
      </c>
      <c r="CN120">
        <v>5.59</v>
      </c>
      <c r="CO120">
        <v>0.98</v>
      </c>
      <c r="CP120">
        <v>9.74</v>
      </c>
      <c r="CQ120">
        <v>0.7</v>
      </c>
      <c r="CR120">
        <v>2.2200000000000002</v>
      </c>
      <c r="CS120" t="s">
        <v>986</v>
      </c>
      <c r="CT120">
        <v>6.87</v>
      </c>
      <c r="CU120">
        <v>0</v>
      </c>
      <c r="CV120">
        <v>2.12</v>
      </c>
      <c r="CW120">
        <v>3.33</v>
      </c>
      <c r="CX120">
        <v>0.69</v>
      </c>
      <c r="CY120">
        <v>36.4</v>
      </c>
      <c r="CZ120" t="s">
        <v>987</v>
      </c>
      <c r="DA120">
        <v>23.98</v>
      </c>
      <c r="DB120">
        <v>7.87</v>
      </c>
      <c r="DC120">
        <v>6.2</v>
      </c>
      <c r="DD120">
        <v>3.36</v>
      </c>
      <c r="DE120">
        <v>9807</v>
      </c>
      <c r="DF120">
        <v>528</v>
      </c>
      <c r="DG120" t="s">
        <v>116</v>
      </c>
      <c r="DH120" t="s">
        <v>116</v>
      </c>
      <c r="DI120" t="s">
        <v>116</v>
      </c>
    </row>
    <row r="121" spans="1:113" x14ac:dyDescent="0.4">
      <c r="A121" t="str">
        <f>"000529"</f>
        <v>000529</v>
      </c>
      <c r="B121" t="s">
        <v>988</v>
      </c>
      <c r="C121">
        <v>-1.77</v>
      </c>
      <c r="D121">
        <v>6.65</v>
      </c>
      <c r="E121">
        <v>-0.12</v>
      </c>
      <c r="F121">
        <v>6.65</v>
      </c>
      <c r="G121">
        <v>6.66</v>
      </c>
      <c r="H121">
        <v>64372</v>
      </c>
      <c r="I121">
        <v>864</v>
      </c>
      <c r="J121">
        <v>-0.14000000000000001</v>
      </c>
      <c r="K121">
        <v>1.1299999999999999</v>
      </c>
      <c r="L121">
        <v>6.74</v>
      </c>
      <c r="M121">
        <v>6.88</v>
      </c>
      <c r="N121">
        <v>6.64</v>
      </c>
      <c r="O121">
        <v>6.77</v>
      </c>
      <c r="P121">
        <v>20.25</v>
      </c>
      <c r="Q121">
        <v>43455716</v>
      </c>
      <c r="R121">
        <v>0.85</v>
      </c>
      <c r="S121" t="s">
        <v>863</v>
      </c>
      <c r="T121" t="s">
        <v>551</v>
      </c>
      <c r="U121">
        <v>3.55</v>
      </c>
      <c r="V121">
        <v>6.75</v>
      </c>
      <c r="W121">
        <v>39036</v>
      </c>
      <c r="X121">
        <v>25336</v>
      </c>
      <c r="Y121">
        <v>1.54</v>
      </c>
      <c r="Z121">
        <v>557</v>
      </c>
      <c r="AA121">
        <v>115</v>
      </c>
      <c r="AB121" t="s">
        <v>116</v>
      </c>
      <c r="AC121">
        <v>341700</v>
      </c>
      <c r="AD121">
        <v>0.02</v>
      </c>
      <c r="AE121" t="s">
        <v>116</v>
      </c>
      <c r="AF121" t="s">
        <v>116</v>
      </c>
      <c r="AG121">
        <v>5.7</v>
      </c>
      <c r="AH121" t="s">
        <v>989</v>
      </c>
      <c r="AI121" t="s">
        <v>990</v>
      </c>
      <c r="AJ121">
        <v>-1.0900000000000001</v>
      </c>
      <c r="AK121">
        <v>1988</v>
      </c>
      <c r="AL121">
        <v>32</v>
      </c>
      <c r="AM121">
        <v>5.9999999999999995E-4</v>
      </c>
      <c r="AN121">
        <v>-1</v>
      </c>
      <c r="AO121">
        <v>-0.45</v>
      </c>
      <c r="AP121">
        <v>6.23</v>
      </c>
      <c r="AQ121">
        <v>9.74</v>
      </c>
      <c r="AR121">
        <v>50.79</v>
      </c>
      <c r="AS121">
        <v>2.48</v>
      </c>
      <c r="AT121" t="s">
        <v>991</v>
      </c>
      <c r="AU121">
        <v>18.77</v>
      </c>
      <c r="AV121">
        <v>23.22</v>
      </c>
      <c r="AW121">
        <v>0.47</v>
      </c>
      <c r="BA121">
        <v>-0.44</v>
      </c>
      <c r="BB121">
        <v>1.62</v>
      </c>
      <c r="BC121">
        <v>-1.92</v>
      </c>
      <c r="BD121">
        <v>-0.28999999999999998</v>
      </c>
      <c r="BE121">
        <v>-1.34</v>
      </c>
      <c r="BF121">
        <v>-3.34</v>
      </c>
      <c r="BG121">
        <v>0.15</v>
      </c>
      <c r="BH121">
        <v>-1.49</v>
      </c>
      <c r="BI121">
        <v>20191030</v>
      </c>
      <c r="BJ121">
        <v>19931118</v>
      </c>
      <c r="BK121">
        <v>5.84</v>
      </c>
      <c r="BL121" t="s">
        <v>116</v>
      </c>
      <c r="BM121" t="s">
        <v>116</v>
      </c>
      <c r="BN121">
        <v>23.16</v>
      </c>
      <c r="BO121">
        <v>15.99</v>
      </c>
      <c r="BP121">
        <v>0.67</v>
      </c>
      <c r="BQ121">
        <v>28.07</v>
      </c>
      <c r="BR121">
        <v>16.71</v>
      </c>
      <c r="BS121">
        <v>1.6</v>
      </c>
      <c r="BT121">
        <v>1.04</v>
      </c>
      <c r="BU121">
        <v>6.38</v>
      </c>
      <c r="BV121">
        <v>3.99</v>
      </c>
      <c r="BW121">
        <v>1.18</v>
      </c>
      <c r="BX121">
        <v>5.71</v>
      </c>
      <c r="BY121">
        <v>19.16</v>
      </c>
      <c r="BZ121">
        <v>14.78</v>
      </c>
      <c r="CA121">
        <v>2.0499999999999998</v>
      </c>
      <c r="CB121">
        <v>0.04</v>
      </c>
      <c r="CC121">
        <v>2.06</v>
      </c>
      <c r="CD121">
        <v>1.6</v>
      </c>
      <c r="CE121">
        <v>1.44</v>
      </c>
      <c r="CF121">
        <v>1.42</v>
      </c>
      <c r="CG121">
        <v>3.54</v>
      </c>
      <c r="CH121">
        <v>-0.2</v>
      </c>
      <c r="CI121">
        <v>-0.95</v>
      </c>
      <c r="CJ121">
        <v>42670</v>
      </c>
      <c r="CK121">
        <v>6076</v>
      </c>
      <c r="CL121" t="s">
        <v>992</v>
      </c>
      <c r="CM121">
        <v>38.06</v>
      </c>
      <c r="CN121">
        <v>20.329999999999998</v>
      </c>
      <c r="CO121">
        <v>2.4300000000000002</v>
      </c>
      <c r="CP121">
        <v>-191.19</v>
      </c>
      <c r="CQ121">
        <v>2.0299999999999998</v>
      </c>
      <c r="CR121">
        <v>1.05</v>
      </c>
      <c r="CS121" t="s">
        <v>993</v>
      </c>
      <c r="CT121">
        <v>2.74</v>
      </c>
      <c r="CU121">
        <v>0</v>
      </c>
      <c r="CV121">
        <v>0.98</v>
      </c>
      <c r="CW121">
        <v>0.61</v>
      </c>
      <c r="CX121">
        <v>-0.03</v>
      </c>
      <c r="CY121">
        <v>69.05</v>
      </c>
      <c r="CZ121" t="s">
        <v>994</v>
      </c>
      <c r="DA121">
        <v>22.87</v>
      </c>
      <c r="DB121">
        <v>10.71</v>
      </c>
      <c r="DC121">
        <v>7.5</v>
      </c>
      <c r="DD121">
        <v>0</v>
      </c>
      <c r="DE121">
        <v>1749</v>
      </c>
      <c r="DF121">
        <v>529</v>
      </c>
      <c r="DG121" t="s">
        <v>116</v>
      </c>
      <c r="DH121" t="s">
        <v>116</v>
      </c>
      <c r="DI121" t="s">
        <v>116</v>
      </c>
    </row>
    <row r="122" spans="1:113" x14ac:dyDescent="0.4">
      <c r="A122" t="str">
        <f>"000530"</f>
        <v>000530</v>
      </c>
      <c r="B122" t="s">
        <v>995</v>
      </c>
      <c r="C122">
        <v>-0.52</v>
      </c>
      <c r="D122">
        <v>3.85</v>
      </c>
      <c r="E122">
        <v>-0.02</v>
      </c>
      <c r="F122">
        <v>3.85</v>
      </c>
      <c r="G122">
        <v>3.87</v>
      </c>
      <c r="H122">
        <v>44317</v>
      </c>
      <c r="I122">
        <v>208</v>
      </c>
      <c r="J122">
        <v>-0.25</v>
      </c>
      <c r="K122">
        <v>0.74</v>
      </c>
      <c r="L122">
        <v>3.87</v>
      </c>
      <c r="M122">
        <v>3.92</v>
      </c>
      <c r="N122">
        <v>3.85</v>
      </c>
      <c r="O122">
        <v>3.87</v>
      </c>
      <c r="P122">
        <v>23.33</v>
      </c>
      <c r="Q122">
        <v>17238102</v>
      </c>
      <c r="R122">
        <v>0.88</v>
      </c>
      <c r="S122" t="s">
        <v>996</v>
      </c>
      <c r="T122" t="s">
        <v>434</v>
      </c>
      <c r="U122">
        <v>1.81</v>
      </c>
      <c r="V122">
        <v>3.89</v>
      </c>
      <c r="W122">
        <v>24845</v>
      </c>
      <c r="X122">
        <v>19472</v>
      </c>
      <c r="Y122">
        <v>1.28</v>
      </c>
      <c r="Z122">
        <v>1631</v>
      </c>
      <c r="AA122">
        <v>2054</v>
      </c>
      <c r="AB122" t="s">
        <v>116</v>
      </c>
      <c r="AC122">
        <v>12000</v>
      </c>
      <c r="AD122">
        <v>0</v>
      </c>
      <c r="AE122" t="s">
        <v>116</v>
      </c>
      <c r="AF122" t="s">
        <v>116</v>
      </c>
      <c r="AG122">
        <v>5.98</v>
      </c>
      <c r="AH122" t="s">
        <v>997</v>
      </c>
      <c r="AI122" t="s">
        <v>998</v>
      </c>
      <c r="AJ122">
        <v>0.16</v>
      </c>
      <c r="AK122">
        <v>686</v>
      </c>
      <c r="AL122">
        <v>65</v>
      </c>
      <c r="AM122">
        <v>1.1000000000000001E-3</v>
      </c>
      <c r="AN122">
        <v>-1</v>
      </c>
      <c r="AO122">
        <v>-0.52</v>
      </c>
      <c r="AP122">
        <v>4.9000000000000004</v>
      </c>
      <c r="AQ122">
        <v>-7.45</v>
      </c>
      <c r="AR122">
        <v>18.100000000000001</v>
      </c>
      <c r="AS122">
        <v>1.04</v>
      </c>
      <c r="AT122" t="s">
        <v>999</v>
      </c>
      <c r="AU122">
        <v>22.96</v>
      </c>
      <c r="AV122">
        <v>29.38</v>
      </c>
      <c r="AW122">
        <v>0.85</v>
      </c>
      <c r="BA122">
        <v>0</v>
      </c>
      <c r="BB122">
        <v>1.29</v>
      </c>
      <c r="BC122">
        <v>-0.52</v>
      </c>
      <c r="BD122">
        <v>0.51</v>
      </c>
      <c r="BE122">
        <v>-0.52</v>
      </c>
      <c r="BF122">
        <v>-1.79</v>
      </c>
      <c r="BG122">
        <v>0</v>
      </c>
      <c r="BH122">
        <v>-1.03</v>
      </c>
      <c r="BI122">
        <v>20191226</v>
      </c>
      <c r="BJ122">
        <v>19931208</v>
      </c>
      <c r="BK122">
        <v>8.43</v>
      </c>
      <c r="BL122">
        <v>2.42</v>
      </c>
      <c r="BM122" t="s">
        <v>116</v>
      </c>
      <c r="BN122">
        <v>56.75</v>
      </c>
      <c r="BO122">
        <v>34.15</v>
      </c>
      <c r="BP122">
        <v>0.8</v>
      </c>
      <c r="BQ122">
        <v>38.42</v>
      </c>
      <c r="BR122">
        <v>24.61</v>
      </c>
      <c r="BS122">
        <v>9.41</v>
      </c>
      <c r="BT122">
        <v>1.42</v>
      </c>
      <c r="BU122">
        <v>18.43</v>
      </c>
      <c r="BV122">
        <v>5.15</v>
      </c>
      <c r="BW122">
        <v>12.31</v>
      </c>
      <c r="BX122">
        <v>7.27</v>
      </c>
      <c r="BY122">
        <v>14.53</v>
      </c>
      <c r="BZ122">
        <v>12.28</v>
      </c>
      <c r="CA122">
        <v>1.1100000000000001</v>
      </c>
      <c r="CB122">
        <v>1.46</v>
      </c>
      <c r="CC122">
        <v>1.1399999999999999</v>
      </c>
      <c r="CD122">
        <v>1.03</v>
      </c>
      <c r="CE122">
        <v>1.04</v>
      </c>
      <c r="CF122">
        <v>0.4</v>
      </c>
      <c r="CG122">
        <v>10.89</v>
      </c>
      <c r="CH122">
        <v>-0.81</v>
      </c>
      <c r="CI122">
        <v>-0.55000000000000004</v>
      </c>
      <c r="CJ122">
        <v>51967</v>
      </c>
      <c r="CK122">
        <v>12861</v>
      </c>
      <c r="CL122" t="s">
        <v>1000</v>
      </c>
      <c r="CM122">
        <v>42.09</v>
      </c>
      <c r="CN122">
        <v>-3.86</v>
      </c>
      <c r="CO122">
        <v>0.95</v>
      </c>
      <c r="CP122">
        <v>-40.200000000000003</v>
      </c>
      <c r="CQ122">
        <v>2.23</v>
      </c>
      <c r="CR122">
        <v>1.3</v>
      </c>
      <c r="CS122" t="s">
        <v>868</v>
      </c>
      <c r="CT122">
        <v>4.05</v>
      </c>
      <c r="CU122">
        <v>0</v>
      </c>
      <c r="CV122">
        <v>0.86</v>
      </c>
      <c r="CW122">
        <v>1.29</v>
      </c>
      <c r="CX122">
        <v>-0.1</v>
      </c>
      <c r="CY122">
        <v>60.17</v>
      </c>
      <c r="CZ122" t="s">
        <v>1001</v>
      </c>
      <c r="DA122">
        <v>15.51</v>
      </c>
      <c r="DB122">
        <v>7.64</v>
      </c>
      <c r="DC122">
        <v>7.18</v>
      </c>
      <c r="DD122">
        <v>0.41</v>
      </c>
      <c r="DE122">
        <v>1674</v>
      </c>
      <c r="DF122">
        <v>530</v>
      </c>
      <c r="DG122" t="s">
        <v>116</v>
      </c>
      <c r="DH122" t="s">
        <v>116</v>
      </c>
      <c r="DI122" t="s">
        <v>116</v>
      </c>
    </row>
    <row r="123" spans="1:113" x14ac:dyDescent="0.4">
      <c r="A123" t="str">
        <f>"000531"</f>
        <v>000531</v>
      </c>
      <c r="B123" t="s">
        <v>1002</v>
      </c>
      <c r="C123">
        <v>-0.73</v>
      </c>
      <c r="D123">
        <v>6.79</v>
      </c>
      <c r="E123">
        <v>-0.05</v>
      </c>
      <c r="F123">
        <v>6.79</v>
      </c>
      <c r="G123">
        <v>6.8</v>
      </c>
      <c r="H123">
        <v>44942</v>
      </c>
      <c r="I123">
        <v>536</v>
      </c>
      <c r="J123">
        <v>0</v>
      </c>
      <c r="K123">
        <v>0.66</v>
      </c>
      <c r="L123">
        <v>6.91</v>
      </c>
      <c r="M123">
        <v>6.91</v>
      </c>
      <c r="N123">
        <v>6.76</v>
      </c>
      <c r="O123">
        <v>6.84</v>
      </c>
      <c r="P123">
        <v>10.09</v>
      </c>
      <c r="Q123">
        <v>30610148</v>
      </c>
      <c r="R123">
        <v>1.52</v>
      </c>
      <c r="S123" t="s">
        <v>271</v>
      </c>
      <c r="T123" t="s">
        <v>551</v>
      </c>
      <c r="U123">
        <v>2.19</v>
      </c>
      <c r="V123">
        <v>6.81</v>
      </c>
      <c r="W123">
        <v>25410</v>
      </c>
      <c r="X123">
        <v>19532</v>
      </c>
      <c r="Y123">
        <v>1.3</v>
      </c>
      <c r="Z123">
        <v>190</v>
      </c>
      <c r="AA123">
        <v>173</v>
      </c>
      <c r="AB123" t="s">
        <v>116</v>
      </c>
      <c r="AC123">
        <v>1034400</v>
      </c>
      <c r="AD123">
        <v>0.05</v>
      </c>
      <c r="AE123" t="s">
        <v>116</v>
      </c>
      <c r="AF123" t="s">
        <v>116</v>
      </c>
      <c r="AG123">
        <v>6.85</v>
      </c>
      <c r="AH123" t="s">
        <v>1003</v>
      </c>
      <c r="AI123" t="s">
        <v>1003</v>
      </c>
      <c r="AJ123">
        <v>-0.05</v>
      </c>
      <c r="AK123">
        <v>936</v>
      </c>
      <c r="AL123">
        <v>48</v>
      </c>
      <c r="AM123">
        <v>6.9999999999999999E-4</v>
      </c>
      <c r="AN123">
        <v>-1</v>
      </c>
      <c r="AO123">
        <v>1.19</v>
      </c>
      <c r="AP123">
        <v>5.1100000000000003</v>
      </c>
      <c r="AQ123">
        <v>2.41</v>
      </c>
      <c r="AR123">
        <v>40</v>
      </c>
      <c r="AS123">
        <v>1.56</v>
      </c>
      <c r="AT123" t="s">
        <v>1004</v>
      </c>
      <c r="AU123">
        <v>13.12</v>
      </c>
      <c r="AV123">
        <v>56.77</v>
      </c>
      <c r="AW123">
        <v>1.07</v>
      </c>
      <c r="BA123">
        <v>1.02</v>
      </c>
      <c r="BB123">
        <v>1.02</v>
      </c>
      <c r="BC123">
        <v>-1.17</v>
      </c>
      <c r="BD123">
        <v>-0.42</v>
      </c>
      <c r="BE123">
        <v>-1.74</v>
      </c>
      <c r="BF123">
        <v>-1.74</v>
      </c>
      <c r="BG123">
        <v>0.44</v>
      </c>
      <c r="BH123">
        <v>-0.31</v>
      </c>
      <c r="BI123">
        <v>20191029</v>
      </c>
      <c r="BJ123">
        <v>19940106</v>
      </c>
      <c r="BK123">
        <v>6.85</v>
      </c>
      <c r="BL123" t="s">
        <v>116</v>
      </c>
      <c r="BM123" t="s">
        <v>116</v>
      </c>
      <c r="BN123">
        <v>94.09</v>
      </c>
      <c r="BO123">
        <v>40.28</v>
      </c>
      <c r="BP123">
        <v>3.12</v>
      </c>
      <c r="BQ123">
        <v>53.88</v>
      </c>
      <c r="BR123">
        <v>24.73</v>
      </c>
      <c r="BS123">
        <v>30.52</v>
      </c>
      <c r="BT123">
        <v>1.63</v>
      </c>
      <c r="BU123">
        <v>42.74</v>
      </c>
      <c r="BV123">
        <v>6.53</v>
      </c>
      <c r="BW123">
        <v>3.34</v>
      </c>
      <c r="BX123">
        <v>8.61</v>
      </c>
      <c r="BY123">
        <v>22.66</v>
      </c>
      <c r="BZ123">
        <v>18.059999999999999</v>
      </c>
      <c r="CA123">
        <v>4.12</v>
      </c>
      <c r="CB123">
        <v>1.61</v>
      </c>
      <c r="CC123">
        <v>4.08</v>
      </c>
      <c r="CD123">
        <v>3.5</v>
      </c>
      <c r="CE123">
        <v>3.46</v>
      </c>
      <c r="CF123">
        <v>3.03</v>
      </c>
      <c r="CG123">
        <v>20.8</v>
      </c>
      <c r="CH123">
        <v>4.6399999999999997</v>
      </c>
      <c r="CI123">
        <v>-11.7</v>
      </c>
      <c r="CJ123">
        <v>32135</v>
      </c>
      <c r="CK123">
        <v>8967</v>
      </c>
      <c r="CL123" t="s">
        <v>1005</v>
      </c>
      <c r="CM123">
        <v>372.86</v>
      </c>
      <c r="CN123">
        <v>-4.55</v>
      </c>
      <c r="CO123">
        <v>1.1499999999999999</v>
      </c>
      <c r="CP123">
        <v>10.02</v>
      </c>
      <c r="CQ123">
        <v>2.0499999999999998</v>
      </c>
      <c r="CR123">
        <v>3.09</v>
      </c>
      <c r="CS123" t="s">
        <v>409</v>
      </c>
      <c r="CT123">
        <v>5.88</v>
      </c>
      <c r="CU123">
        <v>0</v>
      </c>
      <c r="CV123">
        <v>1.26</v>
      </c>
      <c r="CW123">
        <v>3.04</v>
      </c>
      <c r="CX123">
        <v>0.68</v>
      </c>
      <c r="CY123">
        <v>42.8</v>
      </c>
      <c r="CZ123" t="s">
        <v>1006</v>
      </c>
      <c r="DA123">
        <v>20.32</v>
      </c>
      <c r="DB123">
        <v>18.18</v>
      </c>
      <c r="DC123">
        <v>15.25</v>
      </c>
      <c r="DD123">
        <v>0</v>
      </c>
      <c r="DE123">
        <v>1231</v>
      </c>
      <c r="DF123">
        <v>531</v>
      </c>
      <c r="DG123" t="s">
        <v>116</v>
      </c>
      <c r="DH123" t="s">
        <v>116</v>
      </c>
      <c r="DI123" t="s">
        <v>116</v>
      </c>
    </row>
    <row r="124" spans="1:113" x14ac:dyDescent="0.4">
      <c r="A124" t="str">
        <f>"000532"</f>
        <v>000532</v>
      </c>
      <c r="B124" t="s">
        <v>1007</v>
      </c>
      <c r="C124">
        <v>3.23</v>
      </c>
      <c r="D124">
        <v>11.82</v>
      </c>
      <c r="E124">
        <v>0.37</v>
      </c>
      <c r="F124">
        <v>11.81</v>
      </c>
      <c r="G124">
        <v>11.82</v>
      </c>
      <c r="H124">
        <v>243715</v>
      </c>
      <c r="I124">
        <v>2337</v>
      </c>
      <c r="J124">
        <v>-0.16</v>
      </c>
      <c r="K124">
        <v>7.1</v>
      </c>
      <c r="L124">
        <v>11.5</v>
      </c>
      <c r="M124">
        <v>11.98</v>
      </c>
      <c r="N124">
        <v>11.48</v>
      </c>
      <c r="O124">
        <v>11.45</v>
      </c>
      <c r="P124">
        <v>122.2</v>
      </c>
      <c r="Q124">
        <v>287136768</v>
      </c>
      <c r="R124">
        <v>1.27</v>
      </c>
      <c r="S124" t="s">
        <v>732</v>
      </c>
      <c r="T124" t="s">
        <v>551</v>
      </c>
      <c r="U124">
        <v>4.37</v>
      </c>
      <c r="V124">
        <v>11.78</v>
      </c>
      <c r="W124">
        <v>108555</v>
      </c>
      <c r="X124">
        <v>135160</v>
      </c>
      <c r="Y124">
        <v>0.8</v>
      </c>
      <c r="Z124">
        <v>359</v>
      </c>
      <c r="AA124">
        <v>93</v>
      </c>
      <c r="AB124" t="s">
        <v>116</v>
      </c>
      <c r="AC124">
        <v>1044200</v>
      </c>
      <c r="AD124">
        <v>0.05</v>
      </c>
      <c r="AE124" t="s">
        <v>116</v>
      </c>
      <c r="AF124" t="s">
        <v>116</v>
      </c>
      <c r="AG124">
        <v>3.43</v>
      </c>
      <c r="AH124" t="s">
        <v>1008</v>
      </c>
      <c r="AI124" t="s">
        <v>1009</v>
      </c>
      <c r="AJ124">
        <v>3.91</v>
      </c>
      <c r="AK124">
        <v>3548</v>
      </c>
      <c r="AL124">
        <v>69</v>
      </c>
      <c r="AM124">
        <v>2E-3</v>
      </c>
      <c r="AN124">
        <v>1</v>
      </c>
      <c r="AO124">
        <v>3.68</v>
      </c>
      <c r="AP124">
        <v>2.87</v>
      </c>
      <c r="AQ124">
        <v>22.23</v>
      </c>
      <c r="AR124">
        <v>20.12</v>
      </c>
      <c r="AS124">
        <v>14.01</v>
      </c>
      <c r="AT124" t="s">
        <v>1010</v>
      </c>
      <c r="AU124">
        <v>68.959999999999994</v>
      </c>
      <c r="AV124">
        <v>74.53</v>
      </c>
      <c r="AW124">
        <v>0.56999999999999995</v>
      </c>
      <c r="BA124">
        <v>0.44</v>
      </c>
      <c r="BB124">
        <v>4.63</v>
      </c>
      <c r="BC124">
        <v>0.26</v>
      </c>
      <c r="BD124">
        <v>2.9</v>
      </c>
      <c r="BE124">
        <v>2.78</v>
      </c>
      <c r="BF124">
        <v>-1.34</v>
      </c>
      <c r="BG124">
        <v>2.96</v>
      </c>
      <c r="BH124">
        <v>0.33</v>
      </c>
      <c r="BI124">
        <v>20191025</v>
      </c>
      <c r="BJ124">
        <v>19940103</v>
      </c>
      <c r="BK124">
        <v>3.45</v>
      </c>
      <c r="BL124" t="s">
        <v>116</v>
      </c>
      <c r="BM124" t="s">
        <v>116</v>
      </c>
      <c r="BN124">
        <v>26.17</v>
      </c>
      <c r="BO124">
        <v>8.0299999999999994</v>
      </c>
      <c r="BP124">
        <v>1.78</v>
      </c>
      <c r="BQ124">
        <v>62.51</v>
      </c>
      <c r="BR124">
        <v>6.79</v>
      </c>
      <c r="BS124">
        <v>1</v>
      </c>
      <c r="BT124">
        <v>1.92</v>
      </c>
      <c r="BU124">
        <v>12.82</v>
      </c>
      <c r="BV124">
        <v>1.02</v>
      </c>
      <c r="BW124">
        <v>1.1299999999999999</v>
      </c>
      <c r="BX124">
        <v>0.26</v>
      </c>
      <c r="BY124">
        <v>2.73</v>
      </c>
      <c r="BZ124">
        <v>1.58</v>
      </c>
      <c r="CA124">
        <v>0.41</v>
      </c>
      <c r="CB124">
        <v>0.3</v>
      </c>
      <c r="CC124">
        <v>0.41</v>
      </c>
      <c r="CD124">
        <v>0.26</v>
      </c>
      <c r="CE124">
        <v>0.25</v>
      </c>
      <c r="CF124">
        <v>0.25</v>
      </c>
      <c r="CG124">
        <v>3.71</v>
      </c>
      <c r="CH124">
        <v>0.85</v>
      </c>
      <c r="CI124">
        <v>0.25</v>
      </c>
      <c r="CJ124">
        <v>35007</v>
      </c>
      <c r="CK124">
        <v>4969</v>
      </c>
      <c r="CL124" t="s">
        <v>1011</v>
      </c>
      <c r="CM124">
        <v>21.43</v>
      </c>
      <c r="CN124">
        <v>-8.34</v>
      </c>
      <c r="CO124">
        <v>5.07</v>
      </c>
      <c r="CP124">
        <v>47.68</v>
      </c>
      <c r="CQ124">
        <v>14.95</v>
      </c>
      <c r="CR124">
        <v>0.25</v>
      </c>
      <c r="CS124" t="s">
        <v>1012</v>
      </c>
      <c r="CT124">
        <v>2.33</v>
      </c>
      <c r="CU124">
        <v>0</v>
      </c>
      <c r="CV124">
        <v>7.0000000000000007E-2</v>
      </c>
      <c r="CW124">
        <v>1.07</v>
      </c>
      <c r="CX124">
        <v>0.25</v>
      </c>
      <c r="CY124">
        <v>30.69</v>
      </c>
      <c r="CZ124" t="s">
        <v>1013</v>
      </c>
      <c r="DA124">
        <v>42.08</v>
      </c>
      <c r="DB124">
        <v>15.03</v>
      </c>
      <c r="DC124">
        <v>9.18</v>
      </c>
      <c r="DD124">
        <v>0.1</v>
      </c>
      <c r="DE124">
        <v>635</v>
      </c>
      <c r="DF124">
        <v>532</v>
      </c>
      <c r="DG124" t="s">
        <v>116</v>
      </c>
      <c r="DH124" t="s">
        <v>116</v>
      </c>
      <c r="DI124" t="s">
        <v>116</v>
      </c>
    </row>
    <row r="125" spans="1:113" x14ac:dyDescent="0.4">
      <c r="A125" t="str">
        <f>"000533"</f>
        <v>000533</v>
      </c>
      <c r="B125" t="s">
        <v>1014</v>
      </c>
      <c r="C125">
        <v>-0.72</v>
      </c>
      <c r="D125">
        <v>2.76</v>
      </c>
      <c r="E125">
        <v>-0.02</v>
      </c>
      <c r="F125">
        <v>2.76</v>
      </c>
      <c r="G125">
        <v>2.77</v>
      </c>
      <c r="H125">
        <v>116691</v>
      </c>
      <c r="I125">
        <v>2122</v>
      </c>
      <c r="J125">
        <v>0</v>
      </c>
      <c r="K125">
        <v>1.7</v>
      </c>
      <c r="L125">
        <v>2.76</v>
      </c>
      <c r="M125">
        <v>2.8</v>
      </c>
      <c r="N125">
        <v>2.76</v>
      </c>
      <c r="O125">
        <v>2.78</v>
      </c>
      <c r="P125">
        <v>1110.07</v>
      </c>
      <c r="Q125">
        <v>32416824</v>
      </c>
      <c r="R125">
        <v>0.98</v>
      </c>
      <c r="S125" t="s">
        <v>397</v>
      </c>
      <c r="T125" t="s">
        <v>551</v>
      </c>
      <c r="U125">
        <v>1.44</v>
      </c>
      <c r="V125">
        <v>2.78</v>
      </c>
      <c r="W125">
        <v>65387</v>
      </c>
      <c r="X125">
        <v>51304</v>
      </c>
      <c r="Y125">
        <v>1.27</v>
      </c>
      <c r="Z125">
        <v>5071</v>
      </c>
      <c r="AA125">
        <v>2854</v>
      </c>
      <c r="AB125" t="s">
        <v>116</v>
      </c>
      <c r="AC125">
        <v>387200</v>
      </c>
      <c r="AD125">
        <v>0.03</v>
      </c>
      <c r="AE125" t="s">
        <v>116</v>
      </c>
      <c r="AF125" t="s">
        <v>116</v>
      </c>
      <c r="AG125">
        <v>6.85</v>
      </c>
      <c r="AH125" t="s">
        <v>833</v>
      </c>
      <c r="AI125" t="s">
        <v>1015</v>
      </c>
      <c r="AJ125">
        <v>-0.04</v>
      </c>
      <c r="AK125">
        <v>1076</v>
      </c>
      <c r="AL125">
        <v>108</v>
      </c>
      <c r="AM125">
        <v>1.6000000000000001E-3</v>
      </c>
      <c r="AN125">
        <v>-1</v>
      </c>
      <c r="AO125">
        <v>-0.37</v>
      </c>
      <c r="AP125">
        <v>1.85</v>
      </c>
      <c r="AQ125">
        <v>8.24</v>
      </c>
      <c r="AR125">
        <v>9.09</v>
      </c>
      <c r="AS125">
        <v>2.79</v>
      </c>
      <c r="AT125" t="s">
        <v>1016</v>
      </c>
      <c r="AU125" t="s">
        <v>116</v>
      </c>
      <c r="AV125" t="s">
        <v>116</v>
      </c>
      <c r="AW125">
        <v>1.27</v>
      </c>
      <c r="BA125">
        <v>-0.72</v>
      </c>
      <c r="BB125">
        <v>0.72</v>
      </c>
      <c r="BC125">
        <v>-0.72</v>
      </c>
      <c r="BD125">
        <v>-7.0000000000000007E-2</v>
      </c>
      <c r="BE125">
        <v>0</v>
      </c>
      <c r="BF125">
        <v>-1.43</v>
      </c>
      <c r="BG125">
        <v>0</v>
      </c>
      <c r="BH125">
        <v>-0.65</v>
      </c>
      <c r="BI125">
        <v>20191030</v>
      </c>
      <c r="BJ125">
        <v>19940103</v>
      </c>
      <c r="BK125">
        <v>6.91</v>
      </c>
      <c r="BL125" t="s">
        <v>116</v>
      </c>
      <c r="BM125" t="s">
        <v>116</v>
      </c>
      <c r="BN125">
        <v>24.46</v>
      </c>
      <c r="BO125">
        <v>6.08</v>
      </c>
      <c r="BP125">
        <v>2.91</v>
      </c>
      <c r="BQ125">
        <v>63.26</v>
      </c>
      <c r="BR125">
        <v>18.899999999999999</v>
      </c>
      <c r="BS125">
        <v>2.11</v>
      </c>
      <c r="BT125">
        <v>2.48</v>
      </c>
      <c r="BU125">
        <v>12.98</v>
      </c>
      <c r="BV125">
        <v>2.42</v>
      </c>
      <c r="BW125">
        <v>10.93</v>
      </c>
      <c r="BX125">
        <v>0.41</v>
      </c>
      <c r="BY125">
        <v>9.65</v>
      </c>
      <c r="BZ125">
        <v>7</v>
      </c>
      <c r="CA125">
        <v>-0.2</v>
      </c>
      <c r="CB125">
        <v>0</v>
      </c>
      <c r="CC125">
        <v>-0.02</v>
      </c>
      <c r="CD125">
        <v>-0.09</v>
      </c>
      <c r="CE125">
        <v>0.01</v>
      </c>
      <c r="CF125">
        <v>-0.17</v>
      </c>
      <c r="CG125">
        <v>-2.2200000000000002</v>
      </c>
      <c r="CH125">
        <v>1.03</v>
      </c>
      <c r="CI125">
        <v>0.22</v>
      </c>
      <c r="CJ125">
        <v>46121</v>
      </c>
      <c r="CK125">
        <v>9053</v>
      </c>
      <c r="CL125" t="s">
        <v>1017</v>
      </c>
      <c r="CM125">
        <v>105.88</v>
      </c>
      <c r="CN125">
        <v>-89.43</v>
      </c>
      <c r="CO125">
        <v>3.14</v>
      </c>
      <c r="CP125">
        <v>18.579999999999998</v>
      </c>
      <c r="CQ125">
        <v>1.98</v>
      </c>
      <c r="CR125">
        <v>0</v>
      </c>
      <c r="CS125" t="s">
        <v>1018</v>
      </c>
      <c r="CT125">
        <v>0.88</v>
      </c>
      <c r="CU125">
        <v>0</v>
      </c>
      <c r="CV125">
        <v>0.06</v>
      </c>
      <c r="CW125">
        <v>-0.32</v>
      </c>
      <c r="CX125">
        <v>0.15</v>
      </c>
      <c r="CY125">
        <v>24.85</v>
      </c>
      <c r="CZ125" t="s">
        <v>1019</v>
      </c>
      <c r="DA125">
        <v>27.45</v>
      </c>
      <c r="DB125">
        <v>-2.08</v>
      </c>
      <c r="DC125">
        <v>0.13</v>
      </c>
      <c r="DD125">
        <v>0.4</v>
      </c>
      <c r="DE125">
        <v>1325</v>
      </c>
      <c r="DF125">
        <v>533</v>
      </c>
      <c r="DG125" t="s">
        <v>116</v>
      </c>
      <c r="DH125" t="s">
        <v>116</v>
      </c>
      <c r="DI125" t="s">
        <v>116</v>
      </c>
    </row>
    <row r="126" spans="1:113" x14ac:dyDescent="0.4">
      <c r="A126" t="str">
        <f>"000534"</f>
        <v>000534</v>
      </c>
      <c r="B126" t="s">
        <v>1020</v>
      </c>
      <c r="C126">
        <v>-0.66</v>
      </c>
      <c r="D126">
        <v>9.1</v>
      </c>
      <c r="E126">
        <v>-0.06</v>
      </c>
      <c r="F126">
        <v>9.1</v>
      </c>
      <c r="G126">
        <v>9.11</v>
      </c>
      <c r="H126">
        <v>22539</v>
      </c>
      <c r="I126">
        <v>244</v>
      </c>
      <c r="J126">
        <v>0.11</v>
      </c>
      <c r="K126">
        <v>0.46</v>
      </c>
      <c r="L126">
        <v>9.23</v>
      </c>
      <c r="M126">
        <v>9.23</v>
      </c>
      <c r="N126">
        <v>9.02</v>
      </c>
      <c r="O126">
        <v>9.16</v>
      </c>
      <c r="P126">
        <v>41.26</v>
      </c>
      <c r="Q126">
        <v>20506898</v>
      </c>
      <c r="R126">
        <v>1.88</v>
      </c>
      <c r="S126" t="s">
        <v>132</v>
      </c>
      <c r="T126" t="s">
        <v>551</v>
      </c>
      <c r="U126">
        <v>2.29</v>
      </c>
      <c r="V126">
        <v>9.1</v>
      </c>
      <c r="W126">
        <v>12390</v>
      </c>
      <c r="X126">
        <v>10149</v>
      </c>
      <c r="Y126">
        <v>1.22</v>
      </c>
      <c r="Z126">
        <v>735</v>
      </c>
      <c r="AA126">
        <v>20</v>
      </c>
      <c r="AB126" t="s">
        <v>116</v>
      </c>
      <c r="AC126">
        <v>8300</v>
      </c>
      <c r="AD126">
        <v>0</v>
      </c>
      <c r="AE126" t="s">
        <v>116</v>
      </c>
      <c r="AF126" t="s">
        <v>116</v>
      </c>
      <c r="AG126">
        <v>4.91</v>
      </c>
      <c r="AH126" t="s">
        <v>1021</v>
      </c>
      <c r="AI126" t="s">
        <v>1022</v>
      </c>
      <c r="AJ126">
        <v>0.02</v>
      </c>
      <c r="AK126">
        <v>1220</v>
      </c>
      <c r="AL126">
        <v>18</v>
      </c>
      <c r="AM126">
        <v>4.0000000000000002E-4</v>
      </c>
      <c r="AN126">
        <v>-1</v>
      </c>
      <c r="AO126">
        <v>0.22</v>
      </c>
      <c r="AP126">
        <v>2.02</v>
      </c>
      <c r="AQ126">
        <v>-13.17</v>
      </c>
      <c r="AR126">
        <v>-12.42</v>
      </c>
      <c r="AS126">
        <v>0.96</v>
      </c>
      <c r="AT126" t="s">
        <v>1023</v>
      </c>
      <c r="AU126">
        <v>267.27999999999997</v>
      </c>
      <c r="AV126">
        <v>73.09</v>
      </c>
      <c r="AW126">
        <v>1.07</v>
      </c>
      <c r="BA126">
        <v>0.76</v>
      </c>
      <c r="BB126">
        <v>0.76</v>
      </c>
      <c r="BC126">
        <v>-1.53</v>
      </c>
      <c r="BD126">
        <v>-0.67</v>
      </c>
      <c r="BE126">
        <v>-1.41</v>
      </c>
      <c r="BF126">
        <v>-1.41</v>
      </c>
      <c r="BG126">
        <v>0.89</v>
      </c>
      <c r="BH126">
        <v>0.02</v>
      </c>
      <c r="BI126">
        <v>20191115</v>
      </c>
      <c r="BJ126">
        <v>19940110</v>
      </c>
      <c r="BK126">
        <v>4.92</v>
      </c>
      <c r="BL126" t="s">
        <v>116</v>
      </c>
      <c r="BM126" t="s">
        <v>116</v>
      </c>
      <c r="BN126">
        <v>19.989999999999998</v>
      </c>
      <c r="BO126">
        <v>10.38</v>
      </c>
      <c r="BP126">
        <v>0.01</v>
      </c>
      <c r="BQ126">
        <v>48.02</v>
      </c>
      <c r="BR126">
        <v>7.61</v>
      </c>
      <c r="BS126">
        <v>2.27</v>
      </c>
      <c r="BT126">
        <v>1.23</v>
      </c>
      <c r="BU126">
        <v>4.47</v>
      </c>
      <c r="BV126">
        <v>0.51</v>
      </c>
      <c r="BW126">
        <v>1.08</v>
      </c>
      <c r="BX126">
        <v>0</v>
      </c>
      <c r="BY126">
        <v>4.01</v>
      </c>
      <c r="BZ126">
        <v>0.48</v>
      </c>
      <c r="CA126">
        <v>0.86</v>
      </c>
      <c r="CB126">
        <v>0.28000000000000003</v>
      </c>
      <c r="CC126">
        <v>0.86</v>
      </c>
      <c r="CD126">
        <v>0.64</v>
      </c>
      <c r="CE126">
        <v>0.81</v>
      </c>
      <c r="CF126">
        <v>0.39</v>
      </c>
      <c r="CG126">
        <v>5.46</v>
      </c>
      <c r="CH126">
        <v>-1.55</v>
      </c>
      <c r="CI126">
        <v>-2.08</v>
      </c>
      <c r="CJ126">
        <v>16651</v>
      </c>
      <c r="CK126">
        <v>14069</v>
      </c>
      <c r="CL126" t="s">
        <v>1024</v>
      </c>
      <c r="CM126">
        <v>-35.35</v>
      </c>
      <c r="CN126">
        <v>7.53</v>
      </c>
      <c r="CO126">
        <v>4.3099999999999996</v>
      </c>
      <c r="CP126">
        <v>-28.81</v>
      </c>
      <c r="CQ126">
        <v>11.17</v>
      </c>
      <c r="CR126">
        <v>0.55000000000000004</v>
      </c>
      <c r="CS126" t="s">
        <v>1025</v>
      </c>
      <c r="CT126">
        <v>2.11</v>
      </c>
      <c r="CU126">
        <v>0</v>
      </c>
      <c r="CV126">
        <v>0</v>
      </c>
      <c r="CW126">
        <v>1.1100000000000001</v>
      </c>
      <c r="CX126">
        <v>-0.32</v>
      </c>
      <c r="CY126">
        <v>51.93</v>
      </c>
      <c r="CZ126" t="s">
        <v>1026</v>
      </c>
      <c r="DA126">
        <v>87.97</v>
      </c>
      <c r="DB126">
        <v>21.42</v>
      </c>
      <c r="DC126">
        <v>20.309999999999999</v>
      </c>
      <c r="DD126">
        <v>0.22</v>
      </c>
      <c r="DE126">
        <v>324</v>
      </c>
      <c r="DF126">
        <v>534</v>
      </c>
      <c r="DG126" t="s">
        <v>116</v>
      </c>
      <c r="DH126" t="s">
        <v>116</v>
      </c>
      <c r="DI126" t="s">
        <v>116</v>
      </c>
    </row>
    <row r="127" spans="1:113" x14ac:dyDescent="0.4">
      <c r="A127" t="str">
        <f>"000536"</f>
        <v>000536</v>
      </c>
      <c r="B127" t="s">
        <v>1027</v>
      </c>
      <c r="C127">
        <v>-3.48</v>
      </c>
      <c r="D127">
        <v>2.77</v>
      </c>
      <c r="E127">
        <v>-0.1</v>
      </c>
      <c r="F127">
        <v>2.77</v>
      </c>
      <c r="G127">
        <v>2.78</v>
      </c>
      <c r="H127">
        <v>661510</v>
      </c>
      <c r="I127">
        <v>11056</v>
      </c>
      <c r="J127">
        <v>-0.35</v>
      </c>
      <c r="K127">
        <v>2.39</v>
      </c>
      <c r="L127">
        <v>2.85</v>
      </c>
      <c r="M127">
        <v>2.87</v>
      </c>
      <c r="N127">
        <v>2.77</v>
      </c>
      <c r="O127">
        <v>2.87</v>
      </c>
      <c r="P127" t="s">
        <v>116</v>
      </c>
      <c r="Q127">
        <v>186213248</v>
      </c>
      <c r="R127">
        <v>0.71</v>
      </c>
      <c r="S127" t="s">
        <v>233</v>
      </c>
      <c r="T127" t="s">
        <v>975</v>
      </c>
      <c r="U127">
        <v>3.48</v>
      </c>
      <c r="V127">
        <v>2.81</v>
      </c>
      <c r="W127">
        <v>425516</v>
      </c>
      <c r="X127">
        <v>235994</v>
      </c>
      <c r="Y127">
        <v>1.8</v>
      </c>
      <c r="Z127">
        <v>10320</v>
      </c>
      <c r="AA127">
        <v>3821</v>
      </c>
      <c r="AB127" t="s">
        <v>116</v>
      </c>
      <c r="AC127">
        <v>2577300</v>
      </c>
      <c r="AD127">
        <v>7.0000000000000007E-2</v>
      </c>
      <c r="AE127" t="s">
        <v>116</v>
      </c>
      <c r="AF127" t="s">
        <v>116</v>
      </c>
      <c r="AG127">
        <v>27.63</v>
      </c>
      <c r="AH127" t="s">
        <v>1028</v>
      </c>
      <c r="AI127" t="s">
        <v>1029</v>
      </c>
      <c r="AJ127">
        <v>-2.81</v>
      </c>
      <c r="AK127">
        <v>3162</v>
      </c>
      <c r="AL127">
        <v>209</v>
      </c>
      <c r="AM127">
        <v>8.0000000000000004E-4</v>
      </c>
      <c r="AN127">
        <v>-2</v>
      </c>
      <c r="AO127">
        <v>-3.48</v>
      </c>
      <c r="AP127">
        <v>4.1399999999999997</v>
      </c>
      <c r="AQ127">
        <v>0</v>
      </c>
      <c r="AR127">
        <v>48.13</v>
      </c>
      <c r="AS127">
        <v>5.19</v>
      </c>
      <c r="AT127" t="s">
        <v>1030</v>
      </c>
      <c r="AU127" t="s">
        <v>116</v>
      </c>
      <c r="AV127" t="s">
        <v>116</v>
      </c>
      <c r="AW127">
        <v>0.98</v>
      </c>
      <c r="BA127">
        <v>-0.7</v>
      </c>
      <c r="BB127">
        <v>0</v>
      </c>
      <c r="BC127">
        <v>-3.48</v>
      </c>
      <c r="BD127">
        <v>-1.92</v>
      </c>
      <c r="BE127">
        <v>-2.81</v>
      </c>
      <c r="BF127">
        <v>-3.48</v>
      </c>
      <c r="BG127">
        <v>0</v>
      </c>
      <c r="BH127">
        <v>-1.57</v>
      </c>
      <c r="BI127">
        <v>20191223</v>
      </c>
      <c r="BJ127">
        <v>19931126</v>
      </c>
      <c r="BK127">
        <v>27.66</v>
      </c>
      <c r="BL127" t="s">
        <v>116</v>
      </c>
      <c r="BM127" t="s">
        <v>116</v>
      </c>
      <c r="BN127">
        <v>162.27000000000001</v>
      </c>
      <c r="BO127">
        <v>59.74</v>
      </c>
      <c r="BP127">
        <v>0.69</v>
      </c>
      <c r="BQ127">
        <v>62.76</v>
      </c>
      <c r="BR127">
        <v>41.91</v>
      </c>
      <c r="BS127">
        <v>95.13</v>
      </c>
      <c r="BT127">
        <v>2.96</v>
      </c>
      <c r="BU127">
        <v>76.09</v>
      </c>
      <c r="BV127">
        <v>4.99</v>
      </c>
      <c r="BW127">
        <v>1.75</v>
      </c>
      <c r="BX127">
        <v>85.95</v>
      </c>
      <c r="BY127">
        <v>11.53</v>
      </c>
      <c r="BZ127">
        <v>16.149999999999999</v>
      </c>
      <c r="CA127">
        <v>-15.29</v>
      </c>
      <c r="CB127">
        <v>0</v>
      </c>
      <c r="CC127">
        <v>-15.25</v>
      </c>
      <c r="CD127">
        <v>-14.97</v>
      </c>
      <c r="CE127">
        <v>-14.93</v>
      </c>
      <c r="CF127">
        <v>-18.22</v>
      </c>
      <c r="CG127">
        <v>-59.67</v>
      </c>
      <c r="CH127">
        <v>-3.35</v>
      </c>
      <c r="CI127">
        <v>-22.6</v>
      </c>
      <c r="CJ127">
        <v>90340</v>
      </c>
      <c r="CK127">
        <v>14103</v>
      </c>
      <c r="CL127" t="s">
        <v>1031</v>
      </c>
      <c r="CM127">
        <v>-224.23</v>
      </c>
      <c r="CN127">
        <v>-68.3</v>
      </c>
      <c r="CO127">
        <v>1.28</v>
      </c>
      <c r="CP127">
        <v>-22.87</v>
      </c>
      <c r="CQ127">
        <v>6.65</v>
      </c>
      <c r="CR127">
        <v>0</v>
      </c>
      <c r="CS127" t="s">
        <v>1032</v>
      </c>
      <c r="CT127">
        <v>2.16</v>
      </c>
      <c r="CU127">
        <v>0</v>
      </c>
      <c r="CV127">
        <v>3.11</v>
      </c>
      <c r="CW127">
        <v>-2.16</v>
      </c>
      <c r="CX127">
        <v>-0.12</v>
      </c>
      <c r="CY127">
        <v>36.81</v>
      </c>
      <c r="CZ127" t="s">
        <v>1033</v>
      </c>
      <c r="DA127">
        <v>-40.090000000000003</v>
      </c>
      <c r="DB127">
        <v>-132.63</v>
      </c>
      <c r="DC127">
        <v>-129.53</v>
      </c>
      <c r="DD127">
        <v>2.5</v>
      </c>
      <c r="DE127">
        <v>5028</v>
      </c>
      <c r="DF127">
        <v>536</v>
      </c>
      <c r="DG127" t="s">
        <v>116</v>
      </c>
      <c r="DH127" t="s">
        <v>116</v>
      </c>
      <c r="DI127" t="s">
        <v>116</v>
      </c>
    </row>
    <row r="128" spans="1:113" x14ac:dyDescent="0.4">
      <c r="A128" t="str">
        <f>"000537"</f>
        <v>000537</v>
      </c>
      <c r="B128" t="s">
        <v>1034</v>
      </c>
      <c r="C128">
        <v>-1.77</v>
      </c>
      <c r="D128">
        <v>7.76</v>
      </c>
      <c r="E128">
        <v>-0.14000000000000001</v>
      </c>
      <c r="F128">
        <v>7.76</v>
      </c>
      <c r="G128">
        <v>7.77</v>
      </c>
      <c r="H128">
        <v>183581</v>
      </c>
      <c r="I128">
        <v>1934</v>
      </c>
      <c r="J128">
        <v>-0.12</v>
      </c>
      <c r="K128">
        <v>3.58</v>
      </c>
      <c r="L128">
        <v>7.84</v>
      </c>
      <c r="M128">
        <v>7.93</v>
      </c>
      <c r="N128">
        <v>7.76</v>
      </c>
      <c r="O128">
        <v>7.9</v>
      </c>
      <c r="P128">
        <v>4.41</v>
      </c>
      <c r="Q128">
        <v>143690048</v>
      </c>
      <c r="R128">
        <v>0.56000000000000005</v>
      </c>
      <c r="S128" t="s">
        <v>148</v>
      </c>
      <c r="T128" t="s">
        <v>1035</v>
      </c>
      <c r="U128">
        <v>2.15</v>
      </c>
      <c r="V128">
        <v>7.83</v>
      </c>
      <c r="W128">
        <v>115688</v>
      </c>
      <c r="X128">
        <v>67893</v>
      </c>
      <c r="Y128">
        <v>1.7</v>
      </c>
      <c r="Z128">
        <v>553</v>
      </c>
      <c r="AA128">
        <v>276</v>
      </c>
      <c r="AB128" t="s">
        <v>116</v>
      </c>
      <c r="AC128">
        <v>798100</v>
      </c>
      <c r="AD128">
        <v>0.03</v>
      </c>
      <c r="AE128" t="s">
        <v>116</v>
      </c>
      <c r="AF128" t="s">
        <v>116</v>
      </c>
      <c r="AG128">
        <v>5.13</v>
      </c>
      <c r="AH128" t="s">
        <v>1036</v>
      </c>
      <c r="AI128" t="s">
        <v>1037</v>
      </c>
      <c r="AJ128">
        <v>-1.0900000000000001</v>
      </c>
      <c r="AK128">
        <v>2866</v>
      </c>
      <c r="AL128">
        <v>64</v>
      </c>
      <c r="AM128">
        <v>1.1999999999999999E-3</v>
      </c>
      <c r="AN128">
        <v>-1</v>
      </c>
      <c r="AO128">
        <v>0</v>
      </c>
      <c r="AP128">
        <v>13.78</v>
      </c>
      <c r="AQ128">
        <v>19.75</v>
      </c>
      <c r="AR128">
        <v>5.43</v>
      </c>
      <c r="AS128">
        <v>4.5199999999999996</v>
      </c>
      <c r="AT128" t="s">
        <v>1038</v>
      </c>
      <c r="AU128">
        <v>5.44</v>
      </c>
      <c r="AV128">
        <v>5.78</v>
      </c>
      <c r="AW128">
        <v>0.97</v>
      </c>
      <c r="BA128">
        <v>-0.76</v>
      </c>
      <c r="BB128">
        <v>0.38</v>
      </c>
      <c r="BC128">
        <v>-1.77</v>
      </c>
      <c r="BD128">
        <v>-0.92</v>
      </c>
      <c r="BE128">
        <v>-1.02</v>
      </c>
      <c r="BF128">
        <v>-2.14</v>
      </c>
      <c r="BG128">
        <v>0</v>
      </c>
      <c r="BH128">
        <v>-0.85</v>
      </c>
      <c r="BI128">
        <v>20191225</v>
      </c>
      <c r="BJ128">
        <v>19931210</v>
      </c>
      <c r="BK128">
        <v>18.63</v>
      </c>
      <c r="BL128" t="s">
        <v>116</v>
      </c>
      <c r="BM128" t="s">
        <v>116</v>
      </c>
      <c r="BN128">
        <v>769.35</v>
      </c>
      <c r="BO128">
        <v>129.02000000000001</v>
      </c>
      <c r="BP128">
        <v>0</v>
      </c>
      <c r="BQ128">
        <v>83.23</v>
      </c>
      <c r="BR128">
        <v>686.77</v>
      </c>
      <c r="BS128">
        <v>16.670000000000002</v>
      </c>
      <c r="BT128">
        <v>8.2899999999999991</v>
      </c>
      <c r="BU128">
        <v>483.52</v>
      </c>
      <c r="BV128">
        <v>589.61</v>
      </c>
      <c r="BW128">
        <v>0.2</v>
      </c>
      <c r="BX128">
        <v>17.21</v>
      </c>
      <c r="BY128">
        <v>130.81</v>
      </c>
      <c r="BZ128">
        <v>76.709999999999994</v>
      </c>
      <c r="CA128">
        <v>33.15</v>
      </c>
      <c r="CB128">
        <v>-0.01</v>
      </c>
      <c r="CC128">
        <v>33.31</v>
      </c>
      <c r="CD128">
        <v>24.6</v>
      </c>
      <c r="CE128">
        <v>24.6</v>
      </c>
      <c r="CF128">
        <v>24.41</v>
      </c>
      <c r="CG128">
        <v>90.54</v>
      </c>
      <c r="CH128">
        <v>-24.89</v>
      </c>
      <c r="CI128">
        <v>19.940000000000001</v>
      </c>
      <c r="CJ128">
        <v>34514</v>
      </c>
      <c r="CK128">
        <v>11762</v>
      </c>
      <c r="CL128" t="s">
        <v>1039</v>
      </c>
      <c r="CM128">
        <v>6.64</v>
      </c>
      <c r="CN128">
        <v>-9.4600000000000009</v>
      </c>
      <c r="CO128">
        <v>1.1200000000000001</v>
      </c>
      <c r="CP128">
        <v>-5.81</v>
      </c>
      <c r="CQ128">
        <v>1.1000000000000001</v>
      </c>
      <c r="CR128">
        <v>1.68</v>
      </c>
      <c r="CS128" t="s">
        <v>1040</v>
      </c>
      <c r="CT128">
        <v>6.93</v>
      </c>
      <c r="CU128">
        <v>0</v>
      </c>
      <c r="CV128">
        <v>0.92</v>
      </c>
      <c r="CW128">
        <v>4.8600000000000003</v>
      </c>
      <c r="CX128">
        <v>-1.34</v>
      </c>
      <c r="CY128">
        <v>16.77</v>
      </c>
      <c r="CZ128" t="s">
        <v>1041</v>
      </c>
      <c r="DA128">
        <v>41.35</v>
      </c>
      <c r="DB128">
        <v>25.34</v>
      </c>
      <c r="DC128">
        <v>18.809999999999999</v>
      </c>
      <c r="DD128">
        <v>0</v>
      </c>
      <c r="DE128">
        <v>1890</v>
      </c>
      <c r="DF128">
        <v>537</v>
      </c>
      <c r="DG128" t="s">
        <v>116</v>
      </c>
      <c r="DH128" t="s">
        <v>116</v>
      </c>
      <c r="DI128" t="s">
        <v>116</v>
      </c>
    </row>
    <row r="129" spans="1:113" x14ac:dyDescent="0.4">
      <c r="A129" t="str">
        <f>"000538"</f>
        <v>000538</v>
      </c>
      <c r="B129" t="s">
        <v>1042</v>
      </c>
      <c r="C129">
        <v>-0.38</v>
      </c>
      <c r="D129">
        <v>87.66</v>
      </c>
      <c r="E129">
        <v>-0.33</v>
      </c>
      <c r="F129">
        <v>87.65</v>
      </c>
      <c r="G129">
        <v>87.66</v>
      </c>
      <c r="H129">
        <v>28895</v>
      </c>
      <c r="I129">
        <v>237</v>
      </c>
      <c r="J129">
        <v>-0.13</v>
      </c>
      <c r="K129">
        <v>0.47</v>
      </c>
      <c r="L129">
        <v>87.98</v>
      </c>
      <c r="M129">
        <v>88.01</v>
      </c>
      <c r="N129">
        <v>87.12</v>
      </c>
      <c r="O129">
        <v>87.99</v>
      </c>
      <c r="P129">
        <v>23.71</v>
      </c>
      <c r="Q129">
        <v>252958000</v>
      </c>
      <c r="R129">
        <v>0.86</v>
      </c>
      <c r="S129" t="s">
        <v>781</v>
      </c>
      <c r="T129" t="s">
        <v>1043</v>
      </c>
      <c r="U129">
        <v>1.01</v>
      </c>
      <c r="V129">
        <v>87.54</v>
      </c>
      <c r="W129">
        <v>15338</v>
      </c>
      <c r="X129">
        <v>13557</v>
      </c>
      <c r="Y129">
        <v>1.1299999999999999</v>
      </c>
      <c r="Z129">
        <v>18</v>
      </c>
      <c r="AA129">
        <v>112</v>
      </c>
      <c r="AB129" t="s">
        <v>116</v>
      </c>
      <c r="AC129">
        <v>431100</v>
      </c>
      <c r="AD129">
        <v>0</v>
      </c>
      <c r="AE129" t="s">
        <v>116</v>
      </c>
      <c r="AF129" t="s">
        <v>116</v>
      </c>
      <c r="AG129">
        <v>6.09</v>
      </c>
      <c r="AH129" t="s">
        <v>1044</v>
      </c>
      <c r="AI129" t="s">
        <v>1045</v>
      </c>
      <c r="AJ129">
        <v>0.3</v>
      </c>
      <c r="AK129">
        <v>3294</v>
      </c>
      <c r="AL129">
        <v>9</v>
      </c>
      <c r="AM129">
        <v>1E-4</v>
      </c>
      <c r="AN129">
        <v>-2</v>
      </c>
      <c r="AO129">
        <v>-0.33</v>
      </c>
      <c r="AP129">
        <v>-0.27</v>
      </c>
      <c r="AQ129">
        <v>14.65</v>
      </c>
      <c r="AR129">
        <v>21.82</v>
      </c>
      <c r="AS129">
        <v>0.47</v>
      </c>
      <c r="AT129" t="s">
        <v>1044</v>
      </c>
      <c r="AU129">
        <v>31.52</v>
      </c>
      <c r="AV129">
        <v>33.869999999999997</v>
      </c>
      <c r="AW129">
        <v>0.94</v>
      </c>
      <c r="BA129">
        <v>-0.01</v>
      </c>
      <c r="BB129">
        <v>0.02</v>
      </c>
      <c r="BC129">
        <v>-0.99</v>
      </c>
      <c r="BD129">
        <v>-0.51</v>
      </c>
      <c r="BE129">
        <v>-0.36</v>
      </c>
      <c r="BF129">
        <v>-0.4</v>
      </c>
      <c r="BG129">
        <v>0.62</v>
      </c>
      <c r="BH129">
        <v>0.13</v>
      </c>
      <c r="BI129">
        <v>20191029</v>
      </c>
      <c r="BJ129">
        <v>19931215</v>
      </c>
      <c r="BK129">
        <v>12.77</v>
      </c>
      <c r="BL129" t="s">
        <v>116</v>
      </c>
      <c r="BM129" t="s">
        <v>116</v>
      </c>
      <c r="BN129">
        <v>494.38</v>
      </c>
      <c r="BO129">
        <v>374.15</v>
      </c>
      <c r="BP129">
        <v>1.4</v>
      </c>
      <c r="BQ129">
        <v>24.03</v>
      </c>
      <c r="BR129">
        <v>416.93</v>
      </c>
      <c r="BS129">
        <v>18.59</v>
      </c>
      <c r="BT129">
        <v>4.88</v>
      </c>
      <c r="BU129">
        <v>108.34</v>
      </c>
      <c r="BV129">
        <v>121.42</v>
      </c>
      <c r="BW129">
        <v>19.100000000000001</v>
      </c>
      <c r="BX129">
        <v>173.77</v>
      </c>
      <c r="BY129">
        <v>216.46</v>
      </c>
      <c r="BZ129">
        <v>152.16999999999999</v>
      </c>
      <c r="CA129">
        <v>39.86</v>
      </c>
      <c r="CB129">
        <v>13.29</v>
      </c>
      <c r="CC129">
        <v>39.71</v>
      </c>
      <c r="CD129">
        <v>35.369999999999997</v>
      </c>
      <c r="CE129">
        <v>35.42</v>
      </c>
      <c r="CF129">
        <v>23.36</v>
      </c>
      <c r="CG129">
        <v>173.54</v>
      </c>
      <c r="CH129">
        <v>1.54</v>
      </c>
      <c r="CI129">
        <v>66.849999999999994</v>
      </c>
      <c r="CJ129">
        <v>75585</v>
      </c>
      <c r="CK129">
        <v>8057</v>
      </c>
      <c r="CL129" t="s">
        <v>1046</v>
      </c>
      <c r="CM129">
        <v>7.46</v>
      </c>
      <c r="CN129">
        <v>8.36</v>
      </c>
      <c r="CO129">
        <v>2.99</v>
      </c>
      <c r="CP129">
        <v>727.6</v>
      </c>
      <c r="CQ129">
        <v>5.17</v>
      </c>
      <c r="CR129">
        <v>1.86</v>
      </c>
      <c r="CS129" t="s">
        <v>1047</v>
      </c>
      <c r="CT129">
        <v>29.29</v>
      </c>
      <c r="CU129">
        <v>0</v>
      </c>
      <c r="CV129">
        <v>13.6</v>
      </c>
      <c r="CW129">
        <v>13.59</v>
      </c>
      <c r="CX129">
        <v>0.12</v>
      </c>
      <c r="CY129">
        <v>75.680000000000007</v>
      </c>
      <c r="CZ129" t="s">
        <v>1048</v>
      </c>
      <c r="DA129">
        <v>29.7</v>
      </c>
      <c r="DB129">
        <v>18.420000000000002</v>
      </c>
      <c r="DC129">
        <v>16.36</v>
      </c>
      <c r="DD129">
        <v>1.07</v>
      </c>
      <c r="DE129">
        <v>8068</v>
      </c>
      <c r="DF129">
        <v>538</v>
      </c>
      <c r="DG129" t="s">
        <v>116</v>
      </c>
      <c r="DH129" t="s">
        <v>116</v>
      </c>
      <c r="DI129" t="s">
        <v>116</v>
      </c>
    </row>
    <row r="130" spans="1:113" x14ac:dyDescent="0.4">
      <c r="A130" t="str">
        <f>"000539"</f>
        <v>000539</v>
      </c>
      <c r="B130" t="s">
        <v>1049</v>
      </c>
      <c r="C130">
        <v>-1.23</v>
      </c>
      <c r="D130">
        <v>4.0199999999999996</v>
      </c>
      <c r="E130">
        <v>-0.05</v>
      </c>
      <c r="F130">
        <v>4.0199999999999996</v>
      </c>
      <c r="G130">
        <v>4.0599999999999996</v>
      </c>
      <c r="H130">
        <v>40620</v>
      </c>
      <c r="I130">
        <v>4443</v>
      </c>
      <c r="J130">
        <v>-0.73</v>
      </c>
      <c r="K130">
        <v>0.16</v>
      </c>
      <c r="L130">
        <v>4.0599999999999996</v>
      </c>
      <c r="M130">
        <v>4.0999999999999996</v>
      </c>
      <c r="N130">
        <v>4.0199999999999996</v>
      </c>
      <c r="O130">
        <v>4.07</v>
      </c>
      <c r="P130">
        <v>11.82</v>
      </c>
      <c r="Q130">
        <v>16523713</v>
      </c>
      <c r="R130">
        <v>1.45</v>
      </c>
      <c r="S130" t="s">
        <v>271</v>
      </c>
      <c r="T130" t="s">
        <v>551</v>
      </c>
      <c r="U130">
        <v>1.97</v>
      </c>
      <c r="V130">
        <v>4.07</v>
      </c>
      <c r="W130">
        <v>22179</v>
      </c>
      <c r="X130">
        <v>18441</v>
      </c>
      <c r="Y130">
        <v>1.2</v>
      </c>
      <c r="Z130">
        <v>1092</v>
      </c>
      <c r="AA130">
        <v>201</v>
      </c>
      <c r="AB130" t="s">
        <v>116</v>
      </c>
      <c r="AC130">
        <v>52000</v>
      </c>
      <c r="AD130">
        <v>0</v>
      </c>
      <c r="AE130" t="s">
        <v>116</v>
      </c>
      <c r="AF130" t="s">
        <v>116</v>
      </c>
      <c r="AG130">
        <v>25.54</v>
      </c>
      <c r="AH130" t="s">
        <v>1050</v>
      </c>
      <c r="AI130" t="s">
        <v>1051</v>
      </c>
      <c r="AJ130">
        <v>-0.55000000000000004</v>
      </c>
      <c r="AK130">
        <v>840</v>
      </c>
      <c r="AL130">
        <v>48</v>
      </c>
      <c r="AM130">
        <v>2.0000000000000001E-4</v>
      </c>
      <c r="AN130">
        <v>-1</v>
      </c>
      <c r="AO130">
        <v>-0.98</v>
      </c>
      <c r="AP130">
        <v>-2.66</v>
      </c>
      <c r="AQ130">
        <v>2.0299999999999998</v>
      </c>
      <c r="AR130">
        <v>-12.04</v>
      </c>
      <c r="AS130">
        <v>0.5</v>
      </c>
      <c r="AT130" t="s">
        <v>1052</v>
      </c>
      <c r="AU130">
        <v>24.13</v>
      </c>
      <c r="AV130">
        <v>44.48</v>
      </c>
      <c r="AW130">
        <v>0.59</v>
      </c>
      <c r="BA130">
        <v>-0.25</v>
      </c>
      <c r="BB130">
        <v>0.74</v>
      </c>
      <c r="BC130">
        <v>-1.23</v>
      </c>
      <c r="BD130">
        <v>-0.05</v>
      </c>
      <c r="BE130">
        <v>-0.99</v>
      </c>
      <c r="BF130">
        <v>-1.95</v>
      </c>
      <c r="BG130">
        <v>0</v>
      </c>
      <c r="BH130">
        <v>-1.18</v>
      </c>
      <c r="BI130">
        <v>20191031</v>
      </c>
      <c r="BJ130">
        <v>19931126</v>
      </c>
      <c r="BK130">
        <v>52.5</v>
      </c>
      <c r="BL130">
        <v>7.98</v>
      </c>
      <c r="BM130" t="s">
        <v>116</v>
      </c>
      <c r="BN130">
        <v>739.16</v>
      </c>
      <c r="BO130">
        <v>252.86</v>
      </c>
      <c r="BP130">
        <v>79.209999999999994</v>
      </c>
      <c r="BQ130">
        <v>55.07</v>
      </c>
      <c r="BR130">
        <v>121.71</v>
      </c>
      <c r="BS130">
        <v>392.03</v>
      </c>
      <c r="BT130">
        <v>18.34</v>
      </c>
      <c r="BU130">
        <v>183.58</v>
      </c>
      <c r="BV130">
        <v>18.649999999999999</v>
      </c>
      <c r="BW130">
        <v>33.19</v>
      </c>
      <c r="BX130">
        <v>51.03</v>
      </c>
      <c r="BY130">
        <v>215.21</v>
      </c>
      <c r="BZ130">
        <v>179.52</v>
      </c>
      <c r="CA130">
        <v>25.2</v>
      </c>
      <c r="CB130">
        <v>4.4000000000000004</v>
      </c>
      <c r="CC130">
        <v>25.07</v>
      </c>
      <c r="CD130">
        <v>18.93</v>
      </c>
      <c r="CE130">
        <v>13.39</v>
      </c>
      <c r="CF130">
        <v>13.08</v>
      </c>
      <c r="CG130">
        <v>61.02</v>
      </c>
      <c r="CH130">
        <v>67.739999999999995</v>
      </c>
      <c r="CI130">
        <v>0.72</v>
      </c>
      <c r="CJ130">
        <v>95913</v>
      </c>
      <c r="CK130">
        <v>16820</v>
      </c>
      <c r="CL130" t="s">
        <v>1053</v>
      </c>
      <c r="CM130">
        <v>42.61</v>
      </c>
      <c r="CN130">
        <v>2.69</v>
      </c>
      <c r="CO130">
        <v>0.83</v>
      </c>
      <c r="CP130">
        <v>3.12</v>
      </c>
      <c r="CQ130">
        <v>0.98</v>
      </c>
      <c r="CR130">
        <v>1.49</v>
      </c>
      <c r="CS130" t="s">
        <v>758</v>
      </c>
      <c r="CT130">
        <v>4.82</v>
      </c>
      <c r="CU130">
        <v>0</v>
      </c>
      <c r="CV130">
        <v>0.97</v>
      </c>
      <c r="CW130">
        <v>1.1599999999999999</v>
      </c>
      <c r="CX130">
        <v>1.29</v>
      </c>
      <c r="CY130">
        <v>34.21</v>
      </c>
      <c r="CZ130" t="s">
        <v>1054</v>
      </c>
      <c r="DA130">
        <v>16.579999999999998</v>
      </c>
      <c r="DB130">
        <v>11.71</v>
      </c>
      <c r="DC130">
        <v>6.22</v>
      </c>
      <c r="DD130">
        <v>0.02</v>
      </c>
      <c r="DE130">
        <v>6735</v>
      </c>
      <c r="DF130">
        <v>539</v>
      </c>
      <c r="DG130" t="s">
        <v>116</v>
      </c>
      <c r="DH130" t="s">
        <v>116</v>
      </c>
      <c r="DI130" t="s">
        <v>116</v>
      </c>
    </row>
    <row r="131" spans="1:113" x14ac:dyDescent="0.4">
      <c r="A131" t="str">
        <f>"000540"</f>
        <v>000540</v>
      </c>
      <c r="B131" t="s">
        <v>1055</v>
      </c>
      <c r="C131">
        <v>0.3</v>
      </c>
      <c r="D131">
        <v>3.33</v>
      </c>
      <c r="E131">
        <v>0.01</v>
      </c>
      <c r="F131">
        <v>3.33</v>
      </c>
      <c r="G131">
        <v>3.34</v>
      </c>
      <c r="H131">
        <v>551737</v>
      </c>
      <c r="I131">
        <v>3424</v>
      </c>
      <c r="J131">
        <v>0</v>
      </c>
      <c r="K131">
        <v>0.79</v>
      </c>
      <c r="L131">
        <v>3.34</v>
      </c>
      <c r="M131">
        <v>3.43</v>
      </c>
      <c r="N131">
        <v>3.29</v>
      </c>
      <c r="O131">
        <v>3.32</v>
      </c>
      <c r="P131">
        <v>11.66</v>
      </c>
      <c r="Q131">
        <v>185394736</v>
      </c>
      <c r="R131">
        <v>1.27</v>
      </c>
      <c r="S131" t="s">
        <v>732</v>
      </c>
      <c r="T131" t="s">
        <v>1056</v>
      </c>
      <c r="U131">
        <v>4.22</v>
      </c>
      <c r="V131">
        <v>3.36</v>
      </c>
      <c r="W131">
        <v>257802</v>
      </c>
      <c r="X131">
        <v>293935</v>
      </c>
      <c r="Y131">
        <v>0.88</v>
      </c>
      <c r="Z131">
        <v>1796</v>
      </c>
      <c r="AA131">
        <v>4936</v>
      </c>
      <c r="AB131" t="s">
        <v>116</v>
      </c>
      <c r="AC131">
        <v>1274500</v>
      </c>
      <c r="AD131">
        <v>0.01</v>
      </c>
      <c r="AE131" t="s">
        <v>116</v>
      </c>
      <c r="AF131" t="s">
        <v>116</v>
      </c>
      <c r="AG131">
        <v>69.569999999999993</v>
      </c>
      <c r="AH131" t="s">
        <v>1057</v>
      </c>
      <c r="AI131" t="s">
        <v>1058</v>
      </c>
      <c r="AJ131">
        <v>0.98</v>
      </c>
      <c r="AK131">
        <v>2537</v>
      </c>
      <c r="AL131">
        <v>217</v>
      </c>
      <c r="AM131">
        <v>2.9999999999999997E-4</v>
      </c>
      <c r="AN131">
        <v>1</v>
      </c>
      <c r="AO131">
        <v>1.22</v>
      </c>
      <c r="AP131">
        <v>8.4700000000000006</v>
      </c>
      <c r="AQ131">
        <v>-2.63</v>
      </c>
      <c r="AR131">
        <v>-30.86</v>
      </c>
      <c r="AS131">
        <v>1.48</v>
      </c>
      <c r="AT131" t="s">
        <v>1059</v>
      </c>
      <c r="AU131">
        <v>15.79</v>
      </c>
      <c r="AV131">
        <v>15.9</v>
      </c>
      <c r="AW131">
        <v>1</v>
      </c>
      <c r="BA131">
        <v>0.6</v>
      </c>
      <c r="BB131">
        <v>3.31</v>
      </c>
      <c r="BC131">
        <v>-0.9</v>
      </c>
      <c r="BD131">
        <v>1.21</v>
      </c>
      <c r="BE131">
        <v>-0.3</v>
      </c>
      <c r="BF131">
        <v>-2.92</v>
      </c>
      <c r="BG131">
        <v>1.22</v>
      </c>
      <c r="BH131">
        <v>-0.91</v>
      </c>
      <c r="BI131">
        <v>20191218</v>
      </c>
      <c r="BJ131">
        <v>19940202</v>
      </c>
      <c r="BK131">
        <v>70.05</v>
      </c>
      <c r="BL131" t="s">
        <v>116</v>
      </c>
      <c r="BM131" t="s">
        <v>116</v>
      </c>
      <c r="BN131">
        <v>1171.92</v>
      </c>
      <c r="BO131">
        <v>180.95</v>
      </c>
      <c r="BP131">
        <v>29.87</v>
      </c>
      <c r="BQ131">
        <v>82.01</v>
      </c>
      <c r="BR131">
        <v>680.65</v>
      </c>
      <c r="BS131">
        <v>31.18</v>
      </c>
      <c r="BT131">
        <v>3.35</v>
      </c>
      <c r="BU131">
        <v>363.23</v>
      </c>
      <c r="BV131">
        <v>337.42</v>
      </c>
      <c r="BW131">
        <v>12.91</v>
      </c>
      <c r="BX131">
        <v>11.06</v>
      </c>
      <c r="BY131">
        <v>100.7</v>
      </c>
      <c r="BZ131">
        <v>63.23</v>
      </c>
      <c r="CA131">
        <v>16.14</v>
      </c>
      <c r="CB131">
        <v>4.63</v>
      </c>
      <c r="CC131">
        <v>16.05</v>
      </c>
      <c r="CD131">
        <v>14.67</v>
      </c>
      <c r="CE131">
        <v>15.01</v>
      </c>
      <c r="CF131">
        <v>12.88</v>
      </c>
      <c r="CG131">
        <v>93.38</v>
      </c>
      <c r="CH131">
        <v>90.04</v>
      </c>
      <c r="CI131">
        <v>-9.85</v>
      </c>
      <c r="CJ131">
        <v>209000</v>
      </c>
      <c r="CK131">
        <v>17813</v>
      </c>
      <c r="CL131" t="s">
        <v>1060</v>
      </c>
      <c r="CM131">
        <v>0.72</v>
      </c>
      <c r="CN131">
        <v>-0.45</v>
      </c>
      <c r="CO131">
        <v>1.29</v>
      </c>
      <c r="CP131">
        <v>2.59</v>
      </c>
      <c r="CQ131">
        <v>2.3199999999999998</v>
      </c>
      <c r="CR131">
        <v>1.5</v>
      </c>
      <c r="CS131" t="s">
        <v>1061</v>
      </c>
      <c r="CT131">
        <v>2.58</v>
      </c>
      <c r="CU131">
        <v>0</v>
      </c>
      <c r="CV131">
        <v>0.16</v>
      </c>
      <c r="CW131">
        <v>1.33</v>
      </c>
      <c r="CX131">
        <v>1.29</v>
      </c>
      <c r="CY131">
        <v>15.44</v>
      </c>
      <c r="CZ131" t="s">
        <v>1062</v>
      </c>
      <c r="DA131">
        <v>37.21</v>
      </c>
      <c r="DB131">
        <v>16.03</v>
      </c>
      <c r="DC131">
        <v>14.91</v>
      </c>
      <c r="DD131">
        <v>0</v>
      </c>
      <c r="DE131">
        <v>6265</v>
      </c>
      <c r="DF131">
        <v>540</v>
      </c>
      <c r="DG131" t="s">
        <v>116</v>
      </c>
      <c r="DH131" t="s">
        <v>116</v>
      </c>
      <c r="DI131" t="s">
        <v>116</v>
      </c>
    </row>
    <row r="132" spans="1:113" x14ac:dyDescent="0.4">
      <c r="A132" t="str">
        <f>"000541"</f>
        <v>000541</v>
      </c>
      <c r="B132" t="s">
        <v>1063</v>
      </c>
      <c r="C132">
        <v>0</v>
      </c>
      <c r="D132">
        <v>4.87</v>
      </c>
      <c r="E132">
        <v>0</v>
      </c>
      <c r="F132">
        <v>4.87</v>
      </c>
      <c r="G132">
        <v>4.88</v>
      </c>
      <c r="H132">
        <v>39426</v>
      </c>
      <c r="I132">
        <v>453</v>
      </c>
      <c r="J132">
        <v>0.21</v>
      </c>
      <c r="K132">
        <v>0.37</v>
      </c>
      <c r="L132">
        <v>4.8899999999999997</v>
      </c>
      <c r="M132">
        <v>4.9000000000000004</v>
      </c>
      <c r="N132">
        <v>4.8499999999999996</v>
      </c>
      <c r="O132">
        <v>4.87</v>
      </c>
      <c r="P132">
        <v>22.15</v>
      </c>
      <c r="Q132">
        <v>19238582</v>
      </c>
      <c r="R132">
        <v>0.9</v>
      </c>
      <c r="S132" t="s">
        <v>209</v>
      </c>
      <c r="T132" t="s">
        <v>551</v>
      </c>
      <c r="U132">
        <v>1.03</v>
      </c>
      <c r="V132">
        <v>4.88</v>
      </c>
      <c r="W132">
        <v>20953</v>
      </c>
      <c r="X132">
        <v>18473</v>
      </c>
      <c r="Y132">
        <v>1.1299999999999999</v>
      </c>
      <c r="Z132">
        <v>415</v>
      </c>
      <c r="AA132">
        <v>1520</v>
      </c>
      <c r="AB132" t="s">
        <v>116</v>
      </c>
      <c r="AC132">
        <v>89500</v>
      </c>
      <c r="AD132">
        <v>0</v>
      </c>
      <c r="AE132" t="s">
        <v>116</v>
      </c>
      <c r="AF132" t="s">
        <v>116</v>
      </c>
      <c r="AG132">
        <v>10.72</v>
      </c>
      <c r="AH132" t="s">
        <v>1064</v>
      </c>
      <c r="AI132" t="s">
        <v>1065</v>
      </c>
      <c r="AJ132">
        <v>0.68</v>
      </c>
      <c r="AK132">
        <v>1018</v>
      </c>
      <c r="AL132">
        <v>39</v>
      </c>
      <c r="AM132">
        <v>4.0000000000000002E-4</v>
      </c>
      <c r="AN132">
        <v>0</v>
      </c>
      <c r="AO132">
        <v>0.42</v>
      </c>
      <c r="AP132">
        <v>-0.61</v>
      </c>
      <c r="AQ132">
        <v>-3.56</v>
      </c>
      <c r="AR132">
        <v>-3.07</v>
      </c>
      <c r="AS132">
        <v>0.66</v>
      </c>
      <c r="AT132" t="s">
        <v>1066</v>
      </c>
      <c r="AU132">
        <v>23.94</v>
      </c>
      <c r="AV132">
        <v>18.05</v>
      </c>
      <c r="AW132">
        <v>0.55000000000000004</v>
      </c>
      <c r="BA132">
        <v>0.41</v>
      </c>
      <c r="BB132">
        <v>0.62</v>
      </c>
      <c r="BC132">
        <v>-0.41</v>
      </c>
      <c r="BD132">
        <v>0.2</v>
      </c>
      <c r="BE132">
        <v>-0.41</v>
      </c>
      <c r="BF132">
        <v>-0.61</v>
      </c>
      <c r="BG132">
        <v>0.41</v>
      </c>
      <c r="BH132">
        <v>-0.2</v>
      </c>
      <c r="BI132">
        <v>20191030</v>
      </c>
      <c r="BJ132">
        <v>19931123</v>
      </c>
      <c r="BK132">
        <v>13.99</v>
      </c>
      <c r="BL132">
        <v>3.22</v>
      </c>
      <c r="BM132" t="s">
        <v>116</v>
      </c>
      <c r="BN132">
        <v>55.13</v>
      </c>
      <c r="BO132">
        <v>43.72</v>
      </c>
      <c r="BP132">
        <v>0.26</v>
      </c>
      <c r="BQ132">
        <v>20.21</v>
      </c>
      <c r="BR132">
        <v>34.26</v>
      </c>
      <c r="BS132">
        <v>5.78</v>
      </c>
      <c r="BT132">
        <v>1.69</v>
      </c>
      <c r="BU132">
        <v>10.55</v>
      </c>
      <c r="BV132">
        <v>6.51</v>
      </c>
      <c r="BW132">
        <v>7.16</v>
      </c>
      <c r="BX132">
        <v>1.59</v>
      </c>
      <c r="BY132">
        <v>24.42</v>
      </c>
      <c r="BZ132">
        <v>18.78</v>
      </c>
      <c r="CA132">
        <v>2.71</v>
      </c>
      <c r="CB132">
        <v>0.55000000000000004</v>
      </c>
      <c r="CC132">
        <v>2.71</v>
      </c>
      <c r="CD132">
        <v>2.33</v>
      </c>
      <c r="CE132">
        <v>2.31</v>
      </c>
      <c r="CF132">
        <v>2.19</v>
      </c>
      <c r="CG132">
        <v>16.670000000000002</v>
      </c>
      <c r="CH132">
        <v>3.36</v>
      </c>
      <c r="CI132">
        <v>1.68</v>
      </c>
      <c r="CJ132">
        <v>85241</v>
      </c>
      <c r="CK132">
        <v>10800</v>
      </c>
      <c r="CL132" t="s">
        <v>1067</v>
      </c>
      <c r="CM132">
        <v>-28.72</v>
      </c>
      <c r="CN132">
        <v>-15.35</v>
      </c>
      <c r="CO132">
        <v>1.56</v>
      </c>
      <c r="CP132">
        <v>20.29</v>
      </c>
      <c r="CQ132">
        <v>2.79</v>
      </c>
      <c r="CR132">
        <v>3.2</v>
      </c>
      <c r="CS132" t="s">
        <v>1025</v>
      </c>
      <c r="CT132">
        <v>3.12</v>
      </c>
      <c r="CU132">
        <v>0</v>
      </c>
      <c r="CV132">
        <v>0.11</v>
      </c>
      <c r="CW132">
        <v>1.19</v>
      </c>
      <c r="CX132">
        <v>0.24</v>
      </c>
      <c r="CY132">
        <v>79.31</v>
      </c>
      <c r="CZ132" t="s">
        <v>1068</v>
      </c>
      <c r="DA132">
        <v>23.1</v>
      </c>
      <c r="DB132">
        <v>11.1</v>
      </c>
      <c r="DC132">
        <v>9.4499999999999993</v>
      </c>
      <c r="DD132">
        <v>0.51</v>
      </c>
      <c r="DE132">
        <v>9234</v>
      </c>
      <c r="DF132">
        <v>541</v>
      </c>
      <c r="DG132" t="s">
        <v>116</v>
      </c>
      <c r="DH132" t="s">
        <v>116</v>
      </c>
      <c r="DI132" t="s">
        <v>116</v>
      </c>
    </row>
    <row r="133" spans="1:113" x14ac:dyDescent="0.4">
      <c r="A133" t="str">
        <f>"000543"</f>
        <v>000543</v>
      </c>
      <c r="B133" t="s">
        <v>1069</v>
      </c>
      <c r="C133">
        <v>-0.22</v>
      </c>
      <c r="D133">
        <v>4.59</v>
      </c>
      <c r="E133">
        <v>-0.01</v>
      </c>
      <c r="F133">
        <v>4.59</v>
      </c>
      <c r="G133">
        <v>4.5999999999999996</v>
      </c>
      <c r="H133">
        <v>112707</v>
      </c>
      <c r="I133">
        <v>175</v>
      </c>
      <c r="J133">
        <v>0</v>
      </c>
      <c r="K133">
        <v>0.63</v>
      </c>
      <c r="L133">
        <v>4.6100000000000003</v>
      </c>
      <c r="M133">
        <v>4.6500000000000004</v>
      </c>
      <c r="N133">
        <v>4.59</v>
      </c>
      <c r="O133">
        <v>4.5999999999999996</v>
      </c>
      <c r="P133">
        <v>11.26</v>
      </c>
      <c r="Q133">
        <v>52032592</v>
      </c>
      <c r="R133">
        <v>1.1200000000000001</v>
      </c>
      <c r="S133" t="s">
        <v>271</v>
      </c>
      <c r="T133" t="s">
        <v>575</v>
      </c>
      <c r="U133">
        <v>1.3</v>
      </c>
      <c r="V133">
        <v>4.62</v>
      </c>
      <c r="W133">
        <v>59375</v>
      </c>
      <c r="X133">
        <v>53332</v>
      </c>
      <c r="Y133">
        <v>1.1100000000000001</v>
      </c>
      <c r="Z133">
        <v>1460</v>
      </c>
      <c r="AA133">
        <v>866</v>
      </c>
      <c r="AB133" t="s">
        <v>116</v>
      </c>
      <c r="AC133">
        <v>668900</v>
      </c>
      <c r="AD133">
        <v>0.01</v>
      </c>
      <c r="AE133" t="s">
        <v>116</v>
      </c>
      <c r="AF133" t="s">
        <v>116</v>
      </c>
      <c r="AG133">
        <v>17.899999999999999</v>
      </c>
      <c r="AH133" t="s">
        <v>1070</v>
      </c>
      <c r="AI133" t="s">
        <v>1071</v>
      </c>
      <c r="AJ133">
        <v>0.46</v>
      </c>
      <c r="AK133">
        <v>2468</v>
      </c>
      <c r="AL133">
        <v>46</v>
      </c>
      <c r="AM133">
        <v>2.9999999999999997E-4</v>
      </c>
      <c r="AN133">
        <v>-1</v>
      </c>
      <c r="AO133">
        <v>-0.44</v>
      </c>
      <c r="AP133">
        <v>-1.92</v>
      </c>
      <c r="AQ133">
        <v>3.38</v>
      </c>
      <c r="AR133">
        <v>-3.29</v>
      </c>
      <c r="AS133">
        <v>1.1499999999999999</v>
      </c>
      <c r="AT133" t="s">
        <v>1072</v>
      </c>
      <c r="AU133">
        <v>10.97</v>
      </c>
      <c r="AV133">
        <v>18.7</v>
      </c>
      <c r="AW133">
        <v>0.6</v>
      </c>
      <c r="BA133">
        <v>0.22</v>
      </c>
      <c r="BB133">
        <v>1.0900000000000001</v>
      </c>
      <c r="BC133">
        <v>-0.22</v>
      </c>
      <c r="BD133">
        <v>0.36</v>
      </c>
      <c r="BE133">
        <v>-0.43</v>
      </c>
      <c r="BF133">
        <v>-1.29</v>
      </c>
      <c r="BG133">
        <v>0</v>
      </c>
      <c r="BH133">
        <v>-0.57999999999999996</v>
      </c>
      <c r="BI133">
        <v>20191031</v>
      </c>
      <c r="BJ133">
        <v>19931220</v>
      </c>
      <c r="BK133">
        <v>22.67</v>
      </c>
      <c r="BL133" t="s">
        <v>116</v>
      </c>
      <c r="BM133" t="s">
        <v>116</v>
      </c>
      <c r="BN133">
        <v>326.08</v>
      </c>
      <c r="BO133">
        <v>130.97</v>
      </c>
      <c r="BP133">
        <v>46.68</v>
      </c>
      <c r="BQ133">
        <v>45.52</v>
      </c>
      <c r="BR133">
        <v>36.130000000000003</v>
      </c>
      <c r="BS133">
        <v>167.14</v>
      </c>
      <c r="BT133">
        <v>7.01</v>
      </c>
      <c r="BU133">
        <v>74.97</v>
      </c>
      <c r="BV133">
        <v>4.79</v>
      </c>
      <c r="BW133">
        <v>13.63</v>
      </c>
      <c r="BX133">
        <v>38.200000000000003</v>
      </c>
      <c r="BY133">
        <v>116.45</v>
      </c>
      <c r="BZ133">
        <v>106.23</v>
      </c>
      <c r="CA133">
        <v>10.32</v>
      </c>
      <c r="CB133">
        <v>4.8099999999999996</v>
      </c>
      <c r="CC133">
        <v>10.44</v>
      </c>
      <c r="CD133">
        <v>8.8800000000000008</v>
      </c>
      <c r="CE133">
        <v>6.93</v>
      </c>
      <c r="CF133">
        <v>6.79</v>
      </c>
      <c r="CG133">
        <v>41.97</v>
      </c>
      <c r="CH133">
        <v>19.5</v>
      </c>
      <c r="CI133">
        <v>-3.99</v>
      </c>
      <c r="CJ133">
        <v>59753</v>
      </c>
      <c r="CK133">
        <v>16411</v>
      </c>
      <c r="CL133" t="s">
        <v>1073</v>
      </c>
      <c r="CM133">
        <v>130.5</v>
      </c>
      <c r="CN133">
        <v>22.16</v>
      </c>
      <c r="CO133">
        <v>0.79</v>
      </c>
      <c r="CP133">
        <v>5.34</v>
      </c>
      <c r="CQ133">
        <v>0.89</v>
      </c>
      <c r="CR133">
        <v>0.76</v>
      </c>
      <c r="CS133" t="s">
        <v>1074</v>
      </c>
      <c r="CT133">
        <v>5.78</v>
      </c>
      <c r="CU133">
        <v>0</v>
      </c>
      <c r="CV133">
        <v>1.69</v>
      </c>
      <c r="CW133">
        <v>1.85</v>
      </c>
      <c r="CX133">
        <v>0.86</v>
      </c>
      <c r="CY133">
        <v>40.159999999999997</v>
      </c>
      <c r="CZ133" t="s">
        <v>1054</v>
      </c>
      <c r="DA133">
        <v>8.77</v>
      </c>
      <c r="DB133">
        <v>8.86</v>
      </c>
      <c r="DC133">
        <v>5.95</v>
      </c>
      <c r="DD133">
        <v>0</v>
      </c>
      <c r="DE133">
        <v>3539</v>
      </c>
      <c r="DF133">
        <v>543</v>
      </c>
      <c r="DG133" t="s">
        <v>116</v>
      </c>
      <c r="DH133" t="s">
        <v>116</v>
      </c>
      <c r="DI133" t="s">
        <v>116</v>
      </c>
    </row>
    <row r="134" spans="1:113" x14ac:dyDescent="0.4">
      <c r="A134" t="str">
        <f>"000544"</f>
        <v>000544</v>
      </c>
      <c r="B134" t="s">
        <v>1075</v>
      </c>
      <c r="C134">
        <v>-0.64</v>
      </c>
      <c r="D134">
        <v>6.18</v>
      </c>
      <c r="E134">
        <v>-0.04</v>
      </c>
      <c r="F134">
        <v>6.18</v>
      </c>
      <c r="G134">
        <v>6.19</v>
      </c>
      <c r="H134">
        <v>29609</v>
      </c>
      <c r="I134">
        <v>121</v>
      </c>
      <c r="J134">
        <v>-0.15</v>
      </c>
      <c r="K134">
        <v>0.3</v>
      </c>
      <c r="L134">
        <v>6.22</v>
      </c>
      <c r="M134">
        <v>6.29</v>
      </c>
      <c r="N134">
        <v>6.18</v>
      </c>
      <c r="O134">
        <v>6.22</v>
      </c>
      <c r="P134">
        <v>17.600000000000001</v>
      </c>
      <c r="Q134">
        <v>18460630</v>
      </c>
      <c r="R134">
        <v>0.84</v>
      </c>
      <c r="S134" t="s">
        <v>140</v>
      </c>
      <c r="T134" t="s">
        <v>652</v>
      </c>
      <c r="U134">
        <v>1.77</v>
      </c>
      <c r="V134">
        <v>6.23</v>
      </c>
      <c r="W134">
        <v>16210</v>
      </c>
      <c r="X134">
        <v>13399</v>
      </c>
      <c r="Y134">
        <v>1.21</v>
      </c>
      <c r="Z134">
        <v>326</v>
      </c>
      <c r="AA134">
        <v>246</v>
      </c>
      <c r="AB134" t="s">
        <v>116</v>
      </c>
      <c r="AC134">
        <v>8100</v>
      </c>
      <c r="AD134">
        <v>0</v>
      </c>
      <c r="AE134" t="s">
        <v>116</v>
      </c>
      <c r="AF134" t="s">
        <v>116</v>
      </c>
      <c r="AG134">
        <v>9.75</v>
      </c>
      <c r="AH134" t="s">
        <v>1076</v>
      </c>
      <c r="AI134" t="s">
        <v>1076</v>
      </c>
      <c r="AJ134">
        <v>0.04</v>
      </c>
      <c r="AK134">
        <v>962</v>
      </c>
      <c r="AL134">
        <v>31</v>
      </c>
      <c r="AM134">
        <v>2.9999999999999997E-4</v>
      </c>
      <c r="AN134">
        <v>-1</v>
      </c>
      <c r="AO134">
        <v>-0.16</v>
      </c>
      <c r="AP134">
        <v>4.04</v>
      </c>
      <c r="AQ134">
        <v>-7.35</v>
      </c>
      <c r="AR134">
        <v>28.22</v>
      </c>
      <c r="AS134">
        <v>0.97</v>
      </c>
      <c r="AT134" t="s">
        <v>1077</v>
      </c>
      <c r="AU134">
        <v>15.04</v>
      </c>
      <c r="AV134">
        <v>14.54</v>
      </c>
      <c r="AW134">
        <v>0.89</v>
      </c>
      <c r="BA134">
        <v>0</v>
      </c>
      <c r="BB134">
        <v>1.1299999999999999</v>
      </c>
      <c r="BC134">
        <v>-0.64</v>
      </c>
      <c r="BD134">
        <v>0.24</v>
      </c>
      <c r="BE134">
        <v>-0.64</v>
      </c>
      <c r="BF134">
        <v>-1.75</v>
      </c>
      <c r="BG134">
        <v>0</v>
      </c>
      <c r="BH134">
        <v>-0.88</v>
      </c>
      <c r="BI134">
        <v>20191026</v>
      </c>
      <c r="BJ134">
        <v>19931208</v>
      </c>
      <c r="BK134">
        <v>9.75</v>
      </c>
      <c r="BL134" t="s">
        <v>116</v>
      </c>
      <c r="BM134" t="s">
        <v>116</v>
      </c>
      <c r="BN134">
        <v>103.33</v>
      </c>
      <c r="BO134">
        <v>57.86</v>
      </c>
      <c r="BP134">
        <v>3.84</v>
      </c>
      <c r="BQ134">
        <v>40.299999999999997</v>
      </c>
      <c r="BR134">
        <v>34.159999999999997</v>
      </c>
      <c r="BS134">
        <v>29.81</v>
      </c>
      <c r="BT134">
        <v>17.62</v>
      </c>
      <c r="BU134">
        <v>14.24</v>
      </c>
      <c r="BV134">
        <v>0.45</v>
      </c>
      <c r="BW134">
        <v>3.27</v>
      </c>
      <c r="BX134">
        <v>38.69</v>
      </c>
      <c r="BY134">
        <v>11.1</v>
      </c>
      <c r="BZ134">
        <v>6.73</v>
      </c>
      <c r="CA134">
        <v>2.97</v>
      </c>
      <c r="CB134">
        <v>7.0000000000000007E-2</v>
      </c>
      <c r="CC134">
        <v>2.97</v>
      </c>
      <c r="CD134">
        <v>2.62</v>
      </c>
      <c r="CE134">
        <v>2.57</v>
      </c>
      <c r="CF134">
        <v>2.4900000000000002</v>
      </c>
      <c r="CG134">
        <v>6.93</v>
      </c>
      <c r="CH134">
        <v>6.17</v>
      </c>
      <c r="CI134">
        <v>5.33</v>
      </c>
      <c r="CJ134">
        <v>37412</v>
      </c>
      <c r="CK134">
        <v>8148</v>
      </c>
      <c r="CL134" t="s">
        <v>1078</v>
      </c>
      <c r="CM134">
        <v>-5.0999999999999996</v>
      </c>
      <c r="CN134">
        <v>53.96</v>
      </c>
      <c r="CO134">
        <v>1.04</v>
      </c>
      <c r="CP134">
        <v>9.77</v>
      </c>
      <c r="CQ134">
        <v>5.43</v>
      </c>
      <c r="CR134">
        <v>4.05</v>
      </c>
      <c r="CS134" t="s">
        <v>1079</v>
      </c>
      <c r="CT134">
        <v>5.94</v>
      </c>
      <c r="CU134">
        <v>0</v>
      </c>
      <c r="CV134">
        <v>3.97</v>
      </c>
      <c r="CW134">
        <v>0.71</v>
      </c>
      <c r="CX134">
        <v>0.63</v>
      </c>
      <c r="CY134">
        <v>55.99</v>
      </c>
      <c r="CZ134" t="s">
        <v>1080</v>
      </c>
      <c r="DA134">
        <v>39.31</v>
      </c>
      <c r="DB134">
        <v>26.75</v>
      </c>
      <c r="DC134">
        <v>23.13</v>
      </c>
      <c r="DD134">
        <v>0.23</v>
      </c>
      <c r="DE134">
        <v>1246</v>
      </c>
      <c r="DF134">
        <v>544</v>
      </c>
      <c r="DG134" t="s">
        <v>116</v>
      </c>
      <c r="DH134" t="s">
        <v>116</v>
      </c>
      <c r="DI134" t="s">
        <v>116</v>
      </c>
    </row>
    <row r="135" spans="1:113" x14ac:dyDescent="0.4">
      <c r="A135" t="str">
        <f>"000545"</f>
        <v>000545</v>
      </c>
      <c r="B135" t="s">
        <v>1081</v>
      </c>
      <c r="C135">
        <v>-0.33</v>
      </c>
      <c r="D135">
        <v>3</v>
      </c>
      <c r="E135">
        <v>-0.01</v>
      </c>
      <c r="F135">
        <v>3</v>
      </c>
      <c r="G135">
        <v>3.01</v>
      </c>
      <c r="H135">
        <v>89465</v>
      </c>
      <c r="I135">
        <v>2328</v>
      </c>
      <c r="J135">
        <v>-0.32</v>
      </c>
      <c r="K135">
        <v>0.93</v>
      </c>
      <c r="L135">
        <v>3</v>
      </c>
      <c r="M135">
        <v>3.07</v>
      </c>
      <c r="N135">
        <v>3</v>
      </c>
      <c r="O135">
        <v>3.01</v>
      </c>
      <c r="P135">
        <v>42.31</v>
      </c>
      <c r="Q135">
        <v>27147794</v>
      </c>
      <c r="R135">
        <v>1.49</v>
      </c>
      <c r="S135" t="s">
        <v>891</v>
      </c>
      <c r="T135" t="s">
        <v>294</v>
      </c>
      <c r="U135">
        <v>2.33</v>
      </c>
      <c r="V135">
        <v>3.03</v>
      </c>
      <c r="W135">
        <v>37448</v>
      </c>
      <c r="X135">
        <v>52017</v>
      </c>
      <c r="Y135">
        <v>0.72</v>
      </c>
      <c r="Z135">
        <v>686</v>
      </c>
      <c r="AA135">
        <v>1301</v>
      </c>
      <c r="AB135" t="s">
        <v>116</v>
      </c>
      <c r="AC135">
        <v>105300</v>
      </c>
      <c r="AD135">
        <v>0.01</v>
      </c>
      <c r="AE135" t="s">
        <v>116</v>
      </c>
      <c r="AF135" t="s">
        <v>116</v>
      </c>
      <c r="AG135">
        <v>9.59</v>
      </c>
      <c r="AH135" t="s">
        <v>1082</v>
      </c>
      <c r="AI135" t="s">
        <v>1083</v>
      </c>
      <c r="AJ135">
        <v>0.35</v>
      </c>
      <c r="AK135">
        <v>1035</v>
      </c>
      <c r="AL135">
        <v>86</v>
      </c>
      <c r="AM135">
        <v>8.9999999999999998E-4</v>
      </c>
      <c r="AN135">
        <v>-1</v>
      </c>
      <c r="AO135">
        <v>0</v>
      </c>
      <c r="AP135">
        <v>2.39</v>
      </c>
      <c r="AQ135">
        <v>-4.46</v>
      </c>
      <c r="AR135">
        <v>-4.1500000000000004</v>
      </c>
      <c r="AS135">
        <v>1.45</v>
      </c>
      <c r="AT135" t="s">
        <v>1084</v>
      </c>
      <c r="AU135">
        <v>40.31</v>
      </c>
      <c r="AV135">
        <v>29.01</v>
      </c>
      <c r="AW135">
        <v>0.79</v>
      </c>
      <c r="BA135">
        <v>-0.33</v>
      </c>
      <c r="BB135">
        <v>1.99</v>
      </c>
      <c r="BC135">
        <v>-0.33</v>
      </c>
      <c r="BD135">
        <v>0.81</v>
      </c>
      <c r="BE135">
        <v>0</v>
      </c>
      <c r="BF135">
        <v>-2.2799999999999998</v>
      </c>
      <c r="BG135">
        <v>0</v>
      </c>
      <c r="BH135">
        <v>-1.1399999999999999</v>
      </c>
      <c r="BI135">
        <v>20191030</v>
      </c>
      <c r="BJ135">
        <v>19931215</v>
      </c>
      <c r="BK135">
        <v>9.8699999999999992</v>
      </c>
      <c r="BL135" t="s">
        <v>116</v>
      </c>
      <c r="BM135" t="s">
        <v>116</v>
      </c>
      <c r="BN135">
        <v>32.119999999999997</v>
      </c>
      <c r="BO135">
        <v>21.07</v>
      </c>
      <c r="BP135">
        <v>0</v>
      </c>
      <c r="BQ135">
        <v>34.4</v>
      </c>
      <c r="BR135">
        <v>13.26</v>
      </c>
      <c r="BS135">
        <v>11.29</v>
      </c>
      <c r="BT135">
        <v>0.5</v>
      </c>
      <c r="BU135">
        <v>10.37</v>
      </c>
      <c r="BV135">
        <v>2.78</v>
      </c>
      <c r="BW135">
        <v>1.44</v>
      </c>
      <c r="BX135">
        <v>-0.64</v>
      </c>
      <c r="BY135">
        <v>14.54</v>
      </c>
      <c r="BZ135">
        <v>12</v>
      </c>
      <c r="CA135">
        <v>0.66</v>
      </c>
      <c r="CB135">
        <v>0</v>
      </c>
      <c r="CC135">
        <v>0.66</v>
      </c>
      <c r="CD135">
        <v>0.52</v>
      </c>
      <c r="CE135">
        <v>0.52</v>
      </c>
      <c r="CF135">
        <v>0.4</v>
      </c>
      <c r="CG135">
        <v>11.18</v>
      </c>
      <c r="CH135">
        <v>-0.14000000000000001</v>
      </c>
      <c r="CI135">
        <v>-0.51</v>
      </c>
      <c r="CJ135">
        <v>69491</v>
      </c>
      <c r="CK135">
        <v>8884</v>
      </c>
      <c r="CL135" t="s">
        <v>1085</v>
      </c>
      <c r="CM135">
        <v>-35.28</v>
      </c>
      <c r="CN135">
        <v>0.94</v>
      </c>
      <c r="CO135">
        <v>1.41</v>
      </c>
      <c r="CP135">
        <v>-214.22</v>
      </c>
      <c r="CQ135">
        <v>2.04</v>
      </c>
      <c r="CR135">
        <v>0</v>
      </c>
      <c r="CS135" t="s">
        <v>170</v>
      </c>
      <c r="CT135">
        <v>2.13</v>
      </c>
      <c r="CU135">
        <v>0</v>
      </c>
      <c r="CV135">
        <v>-0.06</v>
      </c>
      <c r="CW135">
        <v>1.1299999999999999</v>
      </c>
      <c r="CX135">
        <v>-0.01</v>
      </c>
      <c r="CY135">
        <v>65.599999999999994</v>
      </c>
      <c r="CZ135" t="s">
        <v>1086</v>
      </c>
      <c r="DA135">
        <v>17.48</v>
      </c>
      <c r="DB135">
        <v>4.5199999999999996</v>
      </c>
      <c r="DC135">
        <v>3.61</v>
      </c>
      <c r="DD135">
        <v>0.5</v>
      </c>
      <c r="DE135">
        <v>1006</v>
      </c>
      <c r="DF135">
        <v>545</v>
      </c>
      <c r="DG135" t="s">
        <v>116</v>
      </c>
      <c r="DH135" t="s">
        <v>116</v>
      </c>
      <c r="DI135" t="s">
        <v>116</v>
      </c>
    </row>
    <row r="136" spans="1:113" x14ac:dyDescent="0.4">
      <c r="A136" t="str">
        <f>"000546"</f>
        <v>000546</v>
      </c>
      <c r="B136" t="s">
        <v>1087</v>
      </c>
      <c r="C136">
        <v>2</v>
      </c>
      <c r="D136">
        <v>10.210000000000001</v>
      </c>
      <c r="E136">
        <v>0.2</v>
      </c>
      <c r="F136">
        <v>10.199999999999999</v>
      </c>
      <c r="G136">
        <v>10.210000000000001</v>
      </c>
      <c r="H136">
        <v>58806</v>
      </c>
      <c r="I136">
        <v>834</v>
      </c>
      <c r="J136">
        <v>0.2</v>
      </c>
      <c r="K136">
        <v>0.88</v>
      </c>
      <c r="L136">
        <v>10.02</v>
      </c>
      <c r="M136">
        <v>10.31</v>
      </c>
      <c r="N136">
        <v>9.94</v>
      </c>
      <c r="O136">
        <v>10.01</v>
      </c>
      <c r="P136">
        <v>13.59</v>
      </c>
      <c r="Q136">
        <v>59543888</v>
      </c>
      <c r="R136">
        <v>1.67</v>
      </c>
      <c r="S136" t="s">
        <v>660</v>
      </c>
      <c r="T136" t="s">
        <v>294</v>
      </c>
      <c r="U136">
        <v>3.7</v>
      </c>
      <c r="V136">
        <v>10.130000000000001</v>
      </c>
      <c r="W136">
        <v>30175</v>
      </c>
      <c r="X136">
        <v>28631</v>
      </c>
      <c r="Y136">
        <v>1.05</v>
      </c>
      <c r="Z136">
        <v>87</v>
      </c>
      <c r="AA136">
        <v>470</v>
      </c>
      <c r="AB136" t="s">
        <v>116</v>
      </c>
      <c r="AC136">
        <v>57100</v>
      </c>
      <c r="AD136">
        <v>0</v>
      </c>
      <c r="AE136" t="s">
        <v>116</v>
      </c>
      <c r="AF136" t="s">
        <v>116</v>
      </c>
      <c r="AG136">
        <v>6.68</v>
      </c>
      <c r="AH136" t="s">
        <v>1088</v>
      </c>
      <c r="AI136" t="s">
        <v>1089</v>
      </c>
      <c r="AJ136">
        <v>2.68</v>
      </c>
      <c r="AK136">
        <v>1740</v>
      </c>
      <c r="AL136">
        <v>34</v>
      </c>
      <c r="AM136">
        <v>5.0000000000000001E-4</v>
      </c>
      <c r="AN136">
        <v>1</v>
      </c>
      <c r="AO136">
        <v>0.79</v>
      </c>
      <c r="AP136">
        <v>-2.67</v>
      </c>
      <c r="AQ136">
        <v>4.72</v>
      </c>
      <c r="AR136">
        <v>18.579999999999998</v>
      </c>
      <c r="AS136">
        <v>1.4</v>
      </c>
      <c r="AT136" t="s">
        <v>1090</v>
      </c>
      <c r="AU136">
        <v>17.899999999999999</v>
      </c>
      <c r="AV136">
        <v>19.48</v>
      </c>
      <c r="AW136">
        <v>0.48</v>
      </c>
      <c r="BA136">
        <v>0.1</v>
      </c>
      <c r="BB136">
        <v>3</v>
      </c>
      <c r="BC136">
        <v>-0.7</v>
      </c>
      <c r="BD136">
        <v>1.1499999999999999</v>
      </c>
      <c r="BE136">
        <v>1.9</v>
      </c>
      <c r="BF136">
        <v>-0.97</v>
      </c>
      <c r="BG136">
        <v>2.72</v>
      </c>
      <c r="BH136">
        <v>0.84</v>
      </c>
      <c r="BI136">
        <v>20191025</v>
      </c>
      <c r="BJ136">
        <v>19931215</v>
      </c>
      <c r="BK136">
        <v>7.15</v>
      </c>
      <c r="BL136" t="s">
        <v>116</v>
      </c>
      <c r="BM136" t="s">
        <v>116</v>
      </c>
      <c r="BN136">
        <v>90.77</v>
      </c>
      <c r="BO136">
        <v>40.549999999999997</v>
      </c>
      <c r="BP136">
        <v>7.11</v>
      </c>
      <c r="BQ136">
        <v>47.49</v>
      </c>
      <c r="BR136">
        <v>36.61</v>
      </c>
      <c r="BS136">
        <v>37.200000000000003</v>
      </c>
      <c r="BT136">
        <v>2.9</v>
      </c>
      <c r="BU136">
        <v>37.08</v>
      </c>
      <c r="BV136">
        <v>15.43</v>
      </c>
      <c r="BW136">
        <v>9.91</v>
      </c>
      <c r="BX136">
        <v>16.149999999999999</v>
      </c>
      <c r="BY136">
        <v>56.49</v>
      </c>
      <c r="BZ136">
        <v>48.04</v>
      </c>
      <c r="CA136">
        <v>4.7699999999999996</v>
      </c>
      <c r="CB136">
        <v>0.21</v>
      </c>
      <c r="CC136">
        <v>5.34</v>
      </c>
      <c r="CD136">
        <v>4.5999999999999996</v>
      </c>
      <c r="CE136">
        <v>4.03</v>
      </c>
      <c r="CF136">
        <v>3.59</v>
      </c>
      <c r="CG136">
        <v>16.14</v>
      </c>
      <c r="CH136">
        <v>5.57</v>
      </c>
      <c r="CI136">
        <v>-0.11</v>
      </c>
      <c r="CJ136">
        <v>14310</v>
      </c>
      <c r="CK136">
        <v>29351</v>
      </c>
      <c r="CL136" t="s">
        <v>1091</v>
      </c>
      <c r="CM136">
        <v>8.94</v>
      </c>
      <c r="CN136">
        <v>-0.72</v>
      </c>
      <c r="CO136">
        <v>1.8</v>
      </c>
      <c r="CP136">
        <v>13.09</v>
      </c>
      <c r="CQ136">
        <v>1.29</v>
      </c>
      <c r="CR136">
        <v>0.49</v>
      </c>
      <c r="CS136" t="s">
        <v>1092</v>
      </c>
      <c r="CT136">
        <v>5.67</v>
      </c>
      <c r="CU136">
        <v>0</v>
      </c>
      <c r="CV136">
        <v>2.2599999999999998</v>
      </c>
      <c r="CW136">
        <v>2.2599999999999998</v>
      </c>
      <c r="CX136">
        <v>0.78</v>
      </c>
      <c r="CY136">
        <v>44.68</v>
      </c>
      <c r="CZ136" t="s">
        <v>1093</v>
      </c>
      <c r="DA136">
        <v>14.96</v>
      </c>
      <c r="DB136">
        <v>8.44</v>
      </c>
      <c r="DC136">
        <v>7.13</v>
      </c>
      <c r="DD136">
        <v>0.5</v>
      </c>
      <c r="DE136">
        <v>3368</v>
      </c>
      <c r="DF136">
        <v>546</v>
      </c>
      <c r="DG136" t="s">
        <v>116</v>
      </c>
      <c r="DH136" t="s">
        <v>116</v>
      </c>
      <c r="DI136" t="s">
        <v>116</v>
      </c>
    </row>
    <row r="137" spans="1:113" x14ac:dyDescent="0.4">
      <c r="A137" t="str">
        <f>"000547"</f>
        <v>000547</v>
      </c>
      <c r="B137" t="s">
        <v>1094</v>
      </c>
      <c r="C137">
        <v>3.43</v>
      </c>
      <c r="D137">
        <v>10.26</v>
      </c>
      <c r="E137">
        <v>0.34</v>
      </c>
      <c r="F137">
        <v>10.26</v>
      </c>
      <c r="G137">
        <v>10.27</v>
      </c>
      <c r="H137">
        <v>457933</v>
      </c>
      <c r="I137">
        <v>5670</v>
      </c>
      <c r="J137">
        <v>-0.09</v>
      </c>
      <c r="K137">
        <v>4.16</v>
      </c>
      <c r="L137">
        <v>9.9600000000000009</v>
      </c>
      <c r="M137">
        <v>10.76</v>
      </c>
      <c r="N137">
        <v>9.9600000000000009</v>
      </c>
      <c r="O137">
        <v>9.92</v>
      </c>
      <c r="P137">
        <v>40.119999999999997</v>
      </c>
      <c r="Q137">
        <v>476308736</v>
      </c>
      <c r="R137">
        <v>3.87</v>
      </c>
      <c r="S137" t="s">
        <v>465</v>
      </c>
      <c r="T137" t="s">
        <v>975</v>
      </c>
      <c r="U137">
        <v>8.06</v>
      </c>
      <c r="V137">
        <v>10.4</v>
      </c>
      <c r="W137">
        <v>221443</v>
      </c>
      <c r="X137">
        <v>236490</v>
      </c>
      <c r="Y137">
        <v>0.94</v>
      </c>
      <c r="Z137">
        <v>1130</v>
      </c>
      <c r="AA137">
        <v>1528</v>
      </c>
      <c r="AB137" t="s">
        <v>116</v>
      </c>
      <c r="AC137">
        <v>459700</v>
      </c>
      <c r="AD137">
        <v>0</v>
      </c>
      <c r="AE137" t="s">
        <v>116</v>
      </c>
      <c r="AF137" t="s">
        <v>116</v>
      </c>
      <c r="AG137">
        <v>11.02</v>
      </c>
      <c r="AH137" t="s">
        <v>1095</v>
      </c>
      <c r="AI137" t="s">
        <v>1096</v>
      </c>
      <c r="AJ137">
        <v>4.1100000000000003</v>
      </c>
      <c r="AK137">
        <v>4278</v>
      </c>
      <c r="AL137">
        <v>107</v>
      </c>
      <c r="AM137">
        <v>1E-3</v>
      </c>
      <c r="AN137">
        <v>4</v>
      </c>
      <c r="AO137">
        <v>4.0599999999999996</v>
      </c>
      <c r="AP137">
        <v>8.57</v>
      </c>
      <c r="AQ137">
        <v>-3.84</v>
      </c>
      <c r="AR137">
        <v>35.71</v>
      </c>
      <c r="AS137">
        <v>4.5199999999999996</v>
      </c>
      <c r="AT137" t="s">
        <v>1097</v>
      </c>
      <c r="AU137">
        <v>30.78</v>
      </c>
      <c r="AV137">
        <v>36.75</v>
      </c>
      <c r="AW137">
        <v>0.97</v>
      </c>
      <c r="BA137">
        <v>0.4</v>
      </c>
      <c r="BB137">
        <v>8.4700000000000006</v>
      </c>
      <c r="BC137">
        <v>0.4</v>
      </c>
      <c r="BD137">
        <v>4.8499999999999996</v>
      </c>
      <c r="BE137">
        <v>3.01</v>
      </c>
      <c r="BF137">
        <v>-4.6500000000000004</v>
      </c>
      <c r="BG137">
        <v>3.01</v>
      </c>
      <c r="BH137">
        <v>-1.42</v>
      </c>
      <c r="BI137">
        <v>20191224</v>
      </c>
      <c r="BJ137">
        <v>19931130</v>
      </c>
      <c r="BK137">
        <v>16.059999999999999</v>
      </c>
      <c r="BL137" t="s">
        <v>116</v>
      </c>
      <c r="BM137" t="s">
        <v>116</v>
      </c>
      <c r="BN137">
        <v>105.13</v>
      </c>
      <c r="BO137">
        <v>74.52</v>
      </c>
      <c r="BP137">
        <v>3.53</v>
      </c>
      <c r="BQ137">
        <v>25.76</v>
      </c>
      <c r="BR137">
        <v>59.88</v>
      </c>
      <c r="BS137">
        <v>5.98</v>
      </c>
      <c r="BT137">
        <v>3.37</v>
      </c>
      <c r="BU137">
        <v>26.6</v>
      </c>
      <c r="BV137">
        <v>9.8800000000000008</v>
      </c>
      <c r="BW137">
        <v>27.11</v>
      </c>
      <c r="BX137">
        <v>53.9</v>
      </c>
      <c r="BY137">
        <v>23.52</v>
      </c>
      <c r="BZ137">
        <v>14.66</v>
      </c>
      <c r="CA137">
        <v>3.53</v>
      </c>
      <c r="CB137">
        <v>0.28000000000000003</v>
      </c>
      <c r="CC137">
        <v>3.55</v>
      </c>
      <c r="CD137">
        <v>3.25</v>
      </c>
      <c r="CE137">
        <v>3.08</v>
      </c>
      <c r="CF137">
        <v>2.85</v>
      </c>
      <c r="CG137">
        <v>16.399999999999999</v>
      </c>
      <c r="CH137">
        <v>-9.3800000000000008</v>
      </c>
      <c r="CI137">
        <v>-10.27</v>
      </c>
      <c r="CJ137">
        <v>98059</v>
      </c>
      <c r="CK137">
        <v>10322</v>
      </c>
      <c r="CL137" t="s">
        <v>1098</v>
      </c>
      <c r="CM137">
        <v>39.31</v>
      </c>
      <c r="CN137">
        <v>44.07</v>
      </c>
      <c r="CO137">
        <v>2.21</v>
      </c>
      <c r="CP137">
        <v>-17.559999999999999</v>
      </c>
      <c r="CQ137">
        <v>7.01</v>
      </c>
      <c r="CR137">
        <v>0</v>
      </c>
      <c r="CS137" t="s">
        <v>1099</v>
      </c>
      <c r="CT137">
        <v>4.6399999999999997</v>
      </c>
      <c r="CU137">
        <v>0</v>
      </c>
      <c r="CV137">
        <v>3.36</v>
      </c>
      <c r="CW137">
        <v>1.02</v>
      </c>
      <c r="CX137">
        <v>-0.57999999999999996</v>
      </c>
      <c r="CY137">
        <v>70.88</v>
      </c>
      <c r="CZ137" t="s">
        <v>1100</v>
      </c>
      <c r="DA137">
        <v>37.65</v>
      </c>
      <c r="DB137">
        <v>15.03</v>
      </c>
      <c r="DC137">
        <v>13.09</v>
      </c>
      <c r="DD137">
        <v>2.41</v>
      </c>
      <c r="DE137">
        <v>2353</v>
      </c>
      <c r="DF137">
        <v>547</v>
      </c>
      <c r="DG137" t="s">
        <v>116</v>
      </c>
      <c r="DH137" t="s">
        <v>116</v>
      </c>
      <c r="DI137" t="s">
        <v>116</v>
      </c>
    </row>
    <row r="138" spans="1:113" x14ac:dyDescent="0.4">
      <c r="A138" t="str">
        <f>"000548"</f>
        <v>000548</v>
      </c>
      <c r="B138" t="s">
        <v>1101</v>
      </c>
      <c r="C138">
        <v>-0.72</v>
      </c>
      <c r="D138">
        <v>4.1399999999999997</v>
      </c>
      <c r="E138">
        <v>-0.03</v>
      </c>
      <c r="F138">
        <v>4.13</v>
      </c>
      <c r="G138">
        <v>4.1399999999999997</v>
      </c>
      <c r="H138">
        <v>31594</v>
      </c>
      <c r="I138">
        <v>280</v>
      </c>
      <c r="J138">
        <v>0.49</v>
      </c>
      <c r="K138">
        <v>0.63</v>
      </c>
      <c r="L138">
        <v>4.1500000000000004</v>
      </c>
      <c r="M138">
        <v>4.1900000000000004</v>
      </c>
      <c r="N138">
        <v>4.1100000000000003</v>
      </c>
      <c r="O138">
        <v>4.17</v>
      </c>
      <c r="P138">
        <v>38.200000000000003</v>
      </c>
      <c r="Q138">
        <v>13159570</v>
      </c>
      <c r="R138">
        <v>1.55</v>
      </c>
      <c r="S138" t="s">
        <v>809</v>
      </c>
      <c r="T138" t="s">
        <v>599</v>
      </c>
      <c r="U138">
        <v>1.92</v>
      </c>
      <c r="V138">
        <v>4.17</v>
      </c>
      <c r="W138">
        <v>16664</v>
      </c>
      <c r="X138">
        <v>14930</v>
      </c>
      <c r="Y138">
        <v>1.1200000000000001</v>
      </c>
      <c r="Z138">
        <v>105</v>
      </c>
      <c r="AA138">
        <v>462</v>
      </c>
      <c r="AB138" t="s">
        <v>116</v>
      </c>
      <c r="AC138">
        <v>0</v>
      </c>
      <c r="AD138">
        <v>0</v>
      </c>
      <c r="AE138" t="s">
        <v>116</v>
      </c>
      <c r="AF138" t="s">
        <v>116</v>
      </c>
      <c r="AG138">
        <v>4.99</v>
      </c>
      <c r="AH138" t="s">
        <v>1102</v>
      </c>
      <c r="AI138" t="s">
        <v>1102</v>
      </c>
      <c r="AJ138">
        <v>-0.04</v>
      </c>
      <c r="AK138">
        <v>699</v>
      </c>
      <c r="AL138">
        <v>45</v>
      </c>
      <c r="AM138">
        <v>8.9999999999999998E-4</v>
      </c>
      <c r="AN138">
        <v>-1</v>
      </c>
      <c r="AO138">
        <v>0</v>
      </c>
      <c r="AP138">
        <v>4.28</v>
      </c>
      <c r="AQ138">
        <v>0.49</v>
      </c>
      <c r="AR138">
        <v>-5.05</v>
      </c>
      <c r="AS138">
        <v>0.94</v>
      </c>
      <c r="AT138" t="s">
        <v>1103</v>
      </c>
      <c r="AU138">
        <v>37.82</v>
      </c>
      <c r="AV138">
        <v>51.36</v>
      </c>
      <c r="AW138">
        <v>1</v>
      </c>
      <c r="BA138">
        <v>-0.48</v>
      </c>
      <c r="BB138">
        <v>0.48</v>
      </c>
      <c r="BC138">
        <v>-1.44</v>
      </c>
      <c r="BD138">
        <v>-0.11</v>
      </c>
      <c r="BE138">
        <v>-0.24</v>
      </c>
      <c r="BF138">
        <v>-1.19</v>
      </c>
      <c r="BG138">
        <v>0.73</v>
      </c>
      <c r="BH138">
        <v>-0.61</v>
      </c>
      <c r="BI138">
        <v>20191031</v>
      </c>
      <c r="BJ138">
        <v>19931220</v>
      </c>
      <c r="BK138">
        <v>4.99</v>
      </c>
      <c r="BL138" t="s">
        <v>116</v>
      </c>
      <c r="BM138" t="s">
        <v>116</v>
      </c>
      <c r="BN138">
        <v>22.45</v>
      </c>
      <c r="BO138">
        <v>16.920000000000002</v>
      </c>
      <c r="BP138">
        <v>-0.31</v>
      </c>
      <c r="BQ138">
        <v>26.01</v>
      </c>
      <c r="BR138">
        <v>11.89</v>
      </c>
      <c r="BS138">
        <v>2.58</v>
      </c>
      <c r="BT138">
        <v>2.41</v>
      </c>
      <c r="BU138">
        <v>5.82</v>
      </c>
      <c r="BV138">
        <v>5.89</v>
      </c>
      <c r="BW138">
        <v>0.22</v>
      </c>
      <c r="BX138">
        <v>4.78</v>
      </c>
      <c r="BY138">
        <v>2.08</v>
      </c>
      <c r="BZ138">
        <v>0.74</v>
      </c>
      <c r="CA138">
        <v>0.55000000000000004</v>
      </c>
      <c r="CB138">
        <v>-0.02</v>
      </c>
      <c r="CC138">
        <v>0.56000000000000005</v>
      </c>
      <c r="CD138">
        <v>0.33</v>
      </c>
      <c r="CE138">
        <v>0.41</v>
      </c>
      <c r="CF138">
        <v>0.4</v>
      </c>
      <c r="CG138">
        <v>5.96</v>
      </c>
      <c r="CH138">
        <v>-0.34</v>
      </c>
      <c r="CI138">
        <v>-0.79</v>
      </c>
      <c r="CJ138">
        <v>61122</v>
      </c>
      <c r="CK138">
        <v>5528</v>
      </c>
      <c r="CL138" t="s">
        <v>1104</v>
      </c>
      <c r="CM138">
        <v>55.03</v>
      </c>
      <c r="CN138">
        <v>9.43</v>
      </c>
      <c r="CO138">
        <v>1.22</v>
      </c>
      <c r="CP138">
        <v>-60.23</v>
      </c>
      <c r="CQ138">
        <v>9.9600000000000009</v>
      </c>
      <c r="CR138">
        <v>0.48</v>
      </c>
      <c r="CS138" t="s">
        <v>1105</v>
      </c>
      <c r="CT138">
        <v>3.39</v>
      </c>
      <c r="CU138">
        <v>0</v>
      </c>
      <c r="CV138">
        <v>0.96</v>
      </c>
      <c r="CW138">
        <v>1.19</v>
      </c>
      <c r="CX138">
        <v>-7.0000000000000007E-2</v>
      </c>
      <c r="CY138">
        <v>75.38</v>
      </c>
      <c r="CZ138" t="s">
        <v>1106</v>
      </c>
      <c r="DA138">
        <v>64.349999999999994</v>
      </c>
      <c r="DB138">
        <v>26.64</v>
      </c>
      <c r="DC138">
        <v>19.55</v>
      </c>
      <c r="DD138">
        <v>0</v>
      </c>
      <c r="DE138">
        <v>785</v>
      </c>
      <c r="DF138">
        <v>548</v>
      </c>
      <c r="DG138" t="s">
        <v>116</v>
      </c>
      <c r="DH138" t="s">
        <v>116</v>
      </c>
      <c r="DI138" t="s">
        <v>116</v>
      </c>
    </row>
    <row r="139" spans="1:113" x14ac:dyDescent="0.4">
      <c r="A139" t="str">
        <f>"000550"</f>
        <v>000550</v>
      </c>
      <c r="B139" t="s">
        <v>1107</v>
      </c>
      <c r="C139">
        <v>-1.36</v>
      </c>
      <c r="D139">
        <v>13.78</v>
      </c>
      <c r="E139">
        <v>-0.19</v>
      </c>
      <c r="F139">
        <v>13.78</v>
      </c>
      <c r="G139">
        <v>13.79</v>
      </c>
      <c r="H139">
        <v>55209</v>
      </c>
      <c r="I139">
        <v>797</v>
      </c>
      <c r="J139">
        <v>-0.13</v>
      </c>
      <c r="K139">
        <v>1.06</v>
      </c>
      <c r="L139">
        <v>13.91</v>
      </c>
      <c r="M139">
        <v>13.97</v>
      </c>
      <c r="N139">
        <v>13.78</v>
      </c>
      <c r="O139">
        <v>13.97</v>
      </c>
      <c r="P139">
        <v>56.58</v>
      </c>
      <c r="Q139">
        <v>76484704</v>
      </c>
      <c r="R139">
        <v>0.98</v>
      </c>
      <c r="S139" t="s">
        <v>1108</v>
      </c>
      <c r="T139" t="s">
        <v>683</v>
      </c>
      <c r="U139">
        <v>1.36</v>
      </c>
      <c r="V139">
        <v>13.85</v>
      </c>
      <c r="W139">
        <v>34171</v>
      </c>
      <c r="X139">
        <v>21038</v>
      </c>
      <c r="Y139">
        <v>1.62</v>
      </c>
      <c r="Z139">
        <v>694</v>
      </c>
      <c r="AA139">
        <v>90</v>
      </c>
      <c r="AB139" t="s">
        <v>116</v>
      </c>
      <c r="AC139">
        <v>121000</v>
      </c>
      <c r="AD139">
        <v>0.01</v>
      </c>
      <c r="AE139" t="s">
        <v>116</v>
      </c>
      <c r="AF139" t="s">
        <v>116</v>
      </c>
      <c r="AG139">
        <v>5.18</v>
      </c>
      <c r="AH139" t="s">
        <v>1109</v>
      </c>
      <c r="AI139" t="s">
        <v>1110</v>
      </c>
      <c r="AJ139">
        <v>-0.68</v>
      </c>
      <c r="AK139">
        <v>2094</v>
      </c>
      <c r="AL139">
        <v>26</v>
      </c>
      <c r="AM139">
        <v>5.0000000000000001E-4</v>
      </c>
      <c r="AN139">
        <v>-2</v>
      </c>
      <c r="AO139">
        <v>-0.86</v>
      </c>
      <c r="AP139">
        <v>-3.16</v>
      </c>
      <c r="AQ139">
        <v>-18.46</v>
      </c>
      <c r="AR139">
        <v>8.33</v>
      </c>
      <c r="AS139">
        <v>3.36</v>
      </c>
      <c r="AT139" t="s">
        <v>1111</v>
      </c>
      <c r="AU139">
        <v>387.22</v>
      </c>
      <c r="AV139">
        <v>129.53</v>
      </c>
      <c r="AW139">
        <v>0.72</v>
      </c>
      <c r="BA139">
        <v>-0.43</v>
      </c>
      <c r="BB139">
        <v>0</v>
      </c>
      <c r="BC139">
        <v>-1.36</v>
      </c>
      <c r="BD139">
        <v>-0.83</v>
      </c>
      <c r="BE139">
        <v>-0.93</v>
      </c>
      <c r="BF139">
        <v>-1.36</v>
      </c>
      <c r="BG139">
        <v>0</v>
      </c>
      <c r="BH139">
        <v>-0.53</v>
      </c>
      <c r="BI139">
        <v>20191227</v>
      </c>
      <c r="BJ139">
        <v>19931201</v>
      </c>
      <c r="BK139">
        <v>8.6300000000000008</v>
      </c>
      <c r="BL139">
        <v>3.44</v>
      </c>
      <c r="BM139" t="s">
        <v>116</v>
      </c>
      <c r="BN139">
        <v>228.4</v>
      </c>
      <c r="BO139">
        <v>105.08</v>
      </c>
      <c r="BP139">
        <v>0</v>
      </c>
      <c r="BQ139">
        <v>54</v>
      </c>
      <c r="BR139">
        <v>139.62</v>
      </c>
      <c r="BS139">
        <v>55.64</v>
      </c>
      <c r="BT139">
        <v>8.18</v>
      </c>
      <c r="BU139">
        <v>119.09</v>
      </c>
      <c r="BV139">
        <v>20.97</v>
      </c>
      <c r="BW139">
        <v>22.69</v>
      </c>
      <c r="BX139">
        <v>8.39</v>
      </c>
      <c r="BY139">
        <v>204.08</v>
      </c>
      <c r="BZ139">
        <v>171.77</v>
      </c>
      <c r="CA139">
        <v>-0.56999999999999995</v>
      </c>
      <c r="CB139">
        <v>0.24</v>
      </c>
      <c r="CC139">
        <v>0.99</v>
      </c>
      <c r="CD139">
        <v>1.58</v>
      </c>
      <c r="CE139">
        <v>1.58</v>
      </c>
      <c r="CF139">
        <v>-0.47</v>
      </c>
      <c r="CG139">
        <v>83.84</v>
      </c>
      <c r="CH139">
        <v>12.83</v>
      </c>
      <c r="CI139">
        <v>1.89</v>
      </c>
      <c r="CJ139">
        <v>23713</v>
      </c>
      <c r="CK139">
        <v>21435</v>
      </c>
      <c r="CL139" t="s">
        <v>1112</v>
      </c>
      <c r="CM139">
        <v>-27.93</v>
      </c>
      <c r="CN139">
        <v>1.08</v>
      </c>
      <c r="CO139">
        <v>1.1299999999999999</v>
      </c>
      <c r="CP139">
        <v>9.27</v>
      </c>
      <c r="CQ139">
        <v>0.57999999999999996</v>
      </c>
      <c r="CR139">
        <v>0.28999999999999998</v>
      </c>
      <c r="CS139" t="s">
        <v>1113</v>
      </c>
      <c r="CT139">
        <v>12.17</v>
      </c>
      <c r="CU139">
        <v>0</v>
      </c>
      <c r="CV139">
        <v>0.97</v>
      </c>
      <c r="CW139">
        <v>9.7100000000000009</v>
      </c>
      <c r="CX139">
        <v>1.49</v>
      </c>
      <c r="CY139">
        <v>46</v>
      </c>
      <c r="CZ139" t="s">
        <v>1114</v>
      </c>
      <c r="DA139">
        <v>15.83</v>
      </c>
      <c r="DB139">
        <v>-0.28000000000000003</v>
      </c>
      <c r="DC139">
        <v>0.77</v>
      </c>
      <c r="DD139">
        <v>12.26</v>
      </c>
      <c r="DE139">
        <v>16540</v>
      </c>
      <c r="DF139">
        <v>550</v>
      </c>
      <c r="DG139" t="s">
        <v>116</v>
      </c>
      <c r="DH139" t="s">
        <v>116</v>
      </c>
      <c r="DI139" t="s">
        <v>116</v>
      </c>
    </row>
    <row r="140" spans="1:113" x14ac:dyDescent="0.4">
      <c r="A140" t="str">
        <f>"000551"</f>
        <v>000551</v>
      </c>
      <c r="B140" t="s">
        <v>1115</v>
      </c>
      <c r="C140">
        <v>-1.35</v>
      </c>
      <c r="D140">
        <v>6.58</v>
      </c>
      <c r="E140">
        <v>-0.09</v>
      </c>
      <c r="F140">
        <v>6.57</v>
      </c>
      <c r="G140">
        <v>6.58</v>
      </c>
      <c r="H140">
        <v>22727</v>
      </c>
      <c r="I140">
        <v>602</v>
      </c>
      <c r="J140">
        <v>-0.14000000000000001</v>
      </c>
      <c r="K140">
        <v>0.56999999999999995</v>
      </c>
      <c r="L140">
        <v>6.67</v>
      </c>
      <c r="M140">
        <v>6.7</v>
      </c>
      <c r="N140">
        <v>6.58</v>
      </c>
      <c r="O140">
        <v>6.67</v>
      </c>
      <c r="P140">
        <v>23.51</v>
      </c>
      <c r="Q140">
        <v>15093472</v>
      </c>
      <c r="R140">
        <v>1.03</v>
      </c>
      <c r="S140" t="s">
        <v>682</v>
      </c>
      <c r="T140" t="s">
        <v>323</v>
      </c>
      <c r="U140">
        <v>1.8</v>
      </c>
      <c r="V140">
        <v>6.64</v>
      </c>
      <c r="W140">
        <v>12509</v>
      </c>
      <c r="X140">
        <v>10218</v>
      </c>
      <c r="Y140">
        <v>1.22</v>
      </c>
      <c r="Z140">
        <v>142</v>
      </c>
      <c r="AA140">
        <v>649</v>
      </c>
      <c r="AB140" t="s">
        <v>116</v>
      </c>
      <c r="AC140">
        <v>6700</v>
      </c>
      <c r="AD140">
        <v>0</v>
      </c>
      <c r="AE140" t="s">
        <v>116</v>
      </c>
      <c r="AF140" t="s">
        <v>116</v>
      </c>
      <c r="AG140">
        <v>4</v>
      </c>
      <c r="AH140" t="s">
        <v>1116</v>
      </c>
      <c r="AI140" t="s">
        <v>1116</v>
      </c>
      <c r="AJ140">
        <v>-0.67</v>
      </c>
      <c r="AK140">
        <v>597</v>
      </c>
      <c r="AL140">
        <v>38</v>
      </c>
      <c r="AM140">
        <v>1E-3</v>
      </c>
      <c r="AN140">
        <v>-1</v>
      </c>
      <c r="AO140">
        <v>-0.6</v>
      </c>
      <c r="AP140">
        <v>7.69</v>
      </c>
      <c r="AQ140">
        <v>-0.75</v>
      </c>
      <c r="AR140">
        <v>13.25</v>
      </c>
      <c r="AS140">
        <v>0.96</v>
      </c>
      <c r="AT140" t="s">
        <v>1117</v>
      </c>
      <c r="AU140">
        <v>29.28</v>
      </c>
      <c r="AV140">
        <v>30.57</v>
      </c>
      <c r="AW140">
        <v>1.34</v>
      </c>
      <c r="BA140">
        <v>0</v>
      </c>
      <c r="BB140">
        <v>0.45</v>
      </c>
      <c r="BC140">
        <v>-1.35</v>
      </c>
      <c r="BD140">
        <v>-0.43</v>
      </c>
      <c r="BE140">
        <v>-1.35</v>
      </c>
      <c r="BF140">
        <v>-1.79</v>
      </c>
      <c r="BG140">
        <v>0</v>
      </c>
      <c r="BH140">
        <v>-0.92</v>
      </c>
      <c r="BI140">
        <v>20191029</v>
      </c>
      <c r="BJ140">
        <v>19940106</v>
      </c>
      <c r="BK140">
        <v>4</v>
      </c>
      <c r="BL140" t="s">
        <v>116</v>
      </c>
      <c r="BM140" t="s">
        <v>116</v>
      </c>
      <c r="BN140">
        <v>43.24</v>
      </c>
      <c r="BO140">
        <v>17.23</v>
      </c>
      <c r="BP140">
        <v>5.68</v>
      </c>
      <c r="BQ140">
        <v>47.01</v>
      </c>
      <c r="BR140">
        <v>27.36</v>
      </c>
      <c r="BS140">
        <v>8.9700000000000006</v>
      </c>
      <c r="BT140">
        <v>1.42</v>
      </c>
      <c r="BU140">
        <v>18.86</v>
      </c>
      <c r="BV140">
        <v>8.67</v>
      </c>
      <c r="BW140">
        <v>6.39</v>
      </c>
      <c r="BX140">
        <v>3.27</v>
      </c>
      <c r="BY140">
        <v>24.58</v>
      </c>
      <c r="BZ140">
        <v>19.03</v>
      </c>
      <c r="CA140">
        <v>1.67</v>
      </c>
      <c r="CB140">
        <v>0.14000000000000001</v>
      </c>
      <c r="CC140">
        <v>1.69</v>
      </c>
      <c r="CD140">
        <v>1.49</v>
      </c>
      <c r="CE140">
        <v>0.84</v>
      </c>
      <c r="CF140">
        <v>0.72</v>
      </c>
      <c r="CG140">
        <v>6.99</v>
      </c>
      <c r="CH140">
        <v>1.1299999999999999</v>
      </c>
      <c r="CI140">
        <v>-0.64</v>
      </c>
      <c r="CJ140">
        <v>25774</v>
      </c>
      <c r="CK140">
        <v>9194</v>
      </c>
      <c r="CL140" t="s">
        <v>1118</v>
      </c>
      <c r="CM140">
        <v>4.7300000000000004</v>
      </c>
      <c r="CN140">
        <v>7.6</v>
      </c>
      <c r="CO140">
        <v>1.53</v>
      </c>
      <c r="CP140">
        <v>23.32</v>
      </c>
      <c r="CQ140">
        <v>1.07</v>
      </c>
      <c r="CR140">
        <v>0</v>
      </c>
      <c r="CS140" t="s">
        <v>1119</v>
      </c>
      <c r="CT140">
        <v>4.3099999999999996</v>
      </c>
      <c r="CU140">
        <v>0</v>
      </c>
      <c r="CV140">
        <v>0.82</v>
      </c>
      <c r="CW140">
        <v>1.75</v>
      </c>
      <c r="CX140">
        <v>0.28000000000000003</v>
      </c>
      <c r="CY140">
        <v>39.85</v>
      </c>
      <c r="CZ140" t="s">
        <v>549</v>
      </c>
      <c r="DA140">
        <v>22.59</v>
      </c>
      <c r="DB140">
        <v>6.81</v>
      </c>
      <c r="DC140">
        <v>3.42</v>
      </c>
      <c r="DD140">
        <v>1.07</v>
      </c>
      <c r="DE140">
        <v>3266</v>
      </c>
      <c r="DF140">
        <v>551</v>
      </c>
      <c r="DG140" t="s">
        <v>116</v>
      </c>
      <c r="DH140" t="s">
        <v>116</v>
      </c>
      <c r="DI140" t="s">
        <v>116</v>
      </c>
    </row>
    <row r="141" spans="1:113" x14ac:dyDescent="0.4">
      <c r="A141" t="str">
        <f>"000552"</f>
        <v>000552</v>
      </c>
      <c r="B141" t="s">
        <v>1120</v>
      </c>
      <c r="C141">
        <v>0.8</v>
      </c>
      <c r="D141">
        <v>2.5299999999999998</v>
      </c>
      <c r="E141">
        <v>0.02</v>
      </c>
      <c r="F141">
        <v>2.52</v>
      </c>
      <c r="G141">
        <v>2.5299999999999998</v>
      </c>
      <c r="H141">
        <v>164160</v>
      </c>
      <c r="I141">
        <v>1201</v>
      </c>
      <c r="J141">
        <v>0.4</v>
      </c>
      <c r="K141">
        <v>0.72</v>
      </c>
      <c r="L141">
        <v>2.5099999999999998</v>
      </c>
      <c r="M141">
        <v>2.57</v>
      </c>
      <c r="N141">
        <v>2.5099999999999998</v>
      </c>
      <c r="O141">
        <v>2.5099999999999998</v>
      </c>
      <c r="P141">
        <v>11.32</v>
      </c>
      <c r="Q141">
        <v>41632196</v>
      </c>
      <c r="R141">
        <v>2.16</v>
      </c>
      <c r="S141" t="s">
        <v>1121</v>
      </c>
      <c r="T141" t="s">
        <v>1122</v>
      </c>
      <c r="U141">
        <v>2.39</v>
      </c>
      <c r="V141">
        <v>2.54</v>
      </c>
      <c r="W141">
        <v>73615</v>
      </c>
      <c r="X141">
        <v>90545</v>
      </c>
      <c r="Y141">
        <v>0.81</v>
      </c>
      <c r="Z141">
        <v>1865</v>
      </c>
      <c r="AA141">
        <v>8926</v>
      </c>
      <c r="AB141" t="s">
        <v>116</v>
      </c>
      <c r="AC141">
        <v>17100</v>
      </c>
      <c r="AD141">
        <v>0</v>
      </c>
      <c r="AE141" t="s">
        <v>116</v>
      </c>
      <c r="AF141" t="s">
        <v>116</v>
      </c>
      <c r="AG141">
        <v>22.84</v>
      </c>
      <c r="AH141" t="s">
        <v>1123</v>
      </c>
      <c r="AI141" t="s">
        <v>1124</v>
      </c>
      <c r="AJ141">
        <v>1.48</v>
      </c>
      <c r="AK141">
        <v>1527</v>
      </c>
      <c r="AL141">
        <v>108</v>
      </c>
      <c r="AM141">
        <v>5.0000000000000001E-4</v>
      </c>
      <c r="AN141">
        <v>2</v>
      </c>
      <c r="AO141">
        <v>0</v>
      </c>
      <c r="AP141">
        <v>0.4</v>
      </c>
      <c r="AQ141">
        <v>1.61</v>
      </c>
      <c r="AR141">
        <v>2.85</v>
      </c>
      <c r="AS141">
        <v>1.45</v>
      </c>
      <c r="AT141" t="s">
        <v>1125</v>
      </c>
      <c r="AU141">
        <v>12.49</v>
      </c>
      <c r="AV141">
        <v>10.1</v>
      </c>
      <c r="AW141">
        <v>0.56000000000000005</v>
      </c>
      <c r="BA141">
        <v>0</v>
      </c>
      <c r="BB141">
        <v>2.39</v>
      </c>
      <c r="BC141">
        <v>0</v>
      </c>
      <c r="BD141">
        <v>1.04</v>
      </c>
      <c r="BE141">
        <v>0.8</v>
      </c>
      <c r="BF141">
        <v>-1.56</v>
      </c>
      <c r="BG141">
        <v>0.8</v>
      </c>
      <c r="BH141">
        <v>-0.24</v>
      </c>
      <c r="BI141">
        <v>20191031</v>
      </c>
      <c r="BJ141">
        <v>19940106</v>
      </c>
      <c r="BK141">
        <v>22.87</v>
      </c>
      <c r="BL141" t="s">
        <v>116</v>
      </c>
      <c r="BM141" t="s">
        <v>116</v>
      </c>
      <c r="BN141">
        <v>100.02</v>
      </c>
      <c r="BO141">
        <v>76.09</v>
      </c>
      <c r="BP141">
        <v>0.78</v>
      </c>
      <c r="BQ141">
        <v>23.14</v>
      </c>
      <c r="BR141">
        <v>48.5</v>
      </c>
      <c r="BS141">
        <v>31.04</v>
      </c>
      <c r="BT141">
        <v>15.51</v>
      </c>
      <c r="BU141">
        <v>19.54</v>
      </c>
      <c r="BV141">
        <v>4.55</v>
      </c>
      <c r="BW141">
        <v>6.09</v>
      </c>
      <c r="BX141">
        <v>18.43</v>
      </c>
      <c r="BY141">
        <v>29.14</v>
      </c>
      <c r="BZ141">
        <v>21.49</v>
      </c>
      <c r="CA141">
        <v>4.5</v>
      </c>
      <c r="CB141">
        <v>0.02</v>
      </c>
      <c r="CC141">
        <v>4.54</v>
      </c>
      <c r="CD141">
        <v>3.84</v>
      </c>
      <c r="CE141">
        <v>3.83</v>
      </c>
      <c r="CF141">
        <v>3.75</v>
      </c>
      <c r="CG141">
        <v>25.4</v>
      </c>
      <c r="CH141">
        <v>4.5199999999999996</v>
      </c>
      <c r="CI141">
        <v>-4.9400000000000004</v>
      </c>
      <c r="CJ141">
        <v>44835</v>
      </c>
      <c r="CK141">
        <v>25260</v>
      </c>
      <c r="CL141" t="s">
        <v>1126</v>
      </c>
      <c r="CM141">
        <v>-22.2</v>
      </c>
      <c r="CN141">
        <v>-5.55</v>
      </c>
      <c r="CO141">
        <v>0.76</v>
      </c>
      <c r="CP141">
        <v>12.79</v>
      </c>
      <c r="CQ141">
        <v>1.99</v>
      </c>
      <c r="CR141">
        <v>3.95</v>
      </c>
      <c r="CS141" t="s">
        <v>1127</v>
      </c>
      <c r="CT141">
        <v>3.33</v>
      </c>
      <c r="CU141">
        <v>0</v>
      </c>
      <c r="CV141">
        <v>0.81</v>
      </c>
      <c r="CW141">
        <v>1.1100000000000001</v>
      </c>
      <c r="CX141">
        <v>0.2</v>
      </c>
      <c r="CY141">
        <v>76.069999999999993</v>
      </c>
      <c r="CZ141" t="s">
        <v>1128</v>
      </c>
      <c r="DA141">
        <v>26.24</v>
      </c>
      <c r="DB141">
        <v>15.46</v>
      </c>
      <c r="DC141">
        <v>13.16</v>
      </c>
      <c r="DD141">
        <v>0.03</v>
      </c>
      <c r="DE141">
        <v>12683</v>
      </c>
      <c r="DF141">
        <v>552</v>
      </c>
      <c r="DG141" t="s">
        <v>116</v>
      </c>
      <c r="DH141" t="s">
        <v>116</v>
      </c>
      <c r="DI141" t="s">
        <v>116</v>
      </c>
    </row>
    <row r="142" spans="1:113" x14ac:dyDescent="0.4">
      <c r="A142" t="str">
        <f>"000553"</f>
        <v>000553</v>
      </c>
      <c r="B142" t="s">
        <v>1129</v>
      </c>
      <c r="C142">
        <v>-1.82</v>
      </c>
      <c r="D142">
        <v>9.6999999999999993</v>
      </c>
      <c r="E142">
        <v>-0.18</v>
      </c>
      <c r="F142">
        <v>9.69</v>
      </c>
      <c r="G142">
        <v>9.6999999999999993</v>
      </c>
      <c r="H142">
        <v>38275</v>
      </c>
      <c r="I142">
        <v>325</v>
      </c>
      <c r="J142">
        <v>-0.91</v>
      </c>
      <c r="K142">
        <v>0.82</v>
      </c>
      <c r="L142">
        <v>9.8800000000000008</v>
      </c>
      <c r="M142">
        <v>9.8800000000000008</v>
      </c>
      <c r="N142">
        <v>9.64</v>
      </c>
      <c r="O142">
        <v>9.8800000000000008</v>
      </c>
      <c r="P142">
        <v>22.4</v>
      </c>
      <c r="Q142">
        <v>37331932</v>
      </c>
      <c r="R142">
        <v>1.1399999999999999</v>
      </c>
      <c r="S142" t="s">
        <v>697</v>
      </c>
      <c r="T142" t="s">
        <v>774</v>
      </c>
      <c r="U142">
        <v>2.4300000000000002</v>
      </c>
      <c r="V142">
        <v>9.75</v>
      </c>
      <c r="W142">
        <v>22396</v>
      </c>
      <c r="X142">
        <v>15879</v>
      </c>
      <c r="Y142">
        <v>1.41</v>
      </c>
      <c r="Z142">
        <v>203</v>
      </c>
      <c r="AA142">
        <v>291</v>
      </c>
      <c r="AB142" t="s">
        <v>116</v>
      </c>
      <c r="AC142">
        <v>17800</v>
      </c>
      <c r="AD142">
        <v>0</v>
      </c>
      <c r="AE142" t="s">
        <v>116</v>
      </c>
      <c r="AF142" t="s">
        <v>116</v>
      </c>
      <c r="AG142">
        <v>4.6900000000000004</v>
      </c>
      <c r="AH142" t="s">
        <v>1130</v>
      </c>
      <c r="AI142" t="s">
        <v>1131</v>
      </c>
      <c r="AJ142">
        <v>-1.1399999999999999</v>
      </c>
      <c r="AK142">
        <v>1248</v>
      </c>
      <c r="AL142">
        <v>31</v>
      </c>
      <c r="AM142">
        <v>6.9999999999999999E-4</v>
      </c>
      <c r="AN142">
        <v>-1</v>
      </c>
      <c r="AO142">
        <v>-3.29</v>
      </c>
      <c r="AP142">
        <v>-1.42</v>
      </c>
      <c r="AQ142">
        <v>6.24</v>
      </c>
      <c r="AR142">
        <v>7.38</v>
      </c>
      <c r="AS142">
        <v>1.1000000000000001</v>
      </c>
      <c r="AT142" t="s">
        <v>1132</v>
      </c>
      <c r="AU142">
        <v>40.409999999999997</v>
      </c>
      <c r="AV142">
        <v>9.8800000000000008</v>
      </c>
      <c r="AW142">
        <v>0.37</v>
      </c>
      <c r="BA142">
        <v>0</v>
      </c>
      <c r="BB142">
        <v>0</v>
      </c>
      <c r="BC142">
        <v>-2.4300000000000002</v>
      </c>
      <c r="BD142">
        <v>-1.28</v>
      </c>
      <c r="BE142">
        <v>-1.82</v>
      </c>
      <c r="BF142">
        <v>-1.82</v>
      </c>
      <c r="BG142">
        <v>0.62</v>
      </c>
      <c r="BH142">
        <v>-0.54</v>
      </c>
      <c r="BI142">
        <v>20191213</v>
      </c>
      <c r="BJ142">
        <v>19931203</v>
      </c>
      <c r="BK142">
        <v>24.47</v>
      </c>
      <c r="BL142">
        <v>1.67</v>
      </c>
      <c r="BM142" t="s">
        <v>116</v>
      </c>
      <c r="BN142">
        <v>460.47</v>
      </c>
      <c r="BO142">
        <v>232.22</v>
      </c>
      <c r="BP142">
        <v>0</v>
      </c>
      <c r="BQ142">
        <v>49.57</v>
      </c>
      <c r="BR142">
        <v>258.44</v>
      </c>
      <c r="BS142">
        <v>72.44</v>
      </c>
      <c r="BT142">
        <v>58.12</v>
      </c>
      <c r="BU142">
        <v>112.18</v>
      </c>
      <c r="BV142">
        <v>105.09</v>
      </c>
      <c r="BW142">
        <v>73.45</v>
      </c>
      <c r="BX142">
        <v>129.03</v>
      </c>
      <c r="BY142">
        <v>202.82</v>
      </c>
      <c r="BZ142">
        <v>136.07</v>
      </c>
      <c r="CA142">
        <v>9.74</v>
      </c>
      <c r="CB142">
        <v>-4.67</v>
      </c>
      <c r="CC142">
        <v>9.6199999999999992</v>
      </c>
      <c r="CD142">
        <v>7.95</v>
      </c>
      <c r="CE142">
        <v>7.95</v>
      </c>
      <c r="CF142">
        <v>6.23</v>
      </c>
      <c r="CG142">
        <v>61.06</v>
      </c>
      <c r="CH142">
        <v>0.94</v>
      </c>
      <c r="CI142">
        <v>-18.53</v>
      </c>
      <c r="CJ142">
        <v>48810</v>
      </c>
      <c r="CK142">
        <v>10571</v>
      </c>
      <c r="CL142" t="s">
        <v>1133</v>
      </c>
      <c r="CM142">
        <v>-69.55</v>
      </c>
      <c r="CN142">
        <v>1.78</v>
      </c>
      <c r="CO142">
        <v>1.02</v>
      </c>
      <c r="CP142">
        <v>251.76</v>
      </c>
      <c r="CQ142">
        <v>1.17</v>
      </c>
      <c r="CR142">
        <v>1</v>
      </c>
      <c r="CS142" t="s">
        <v>1134</v>
      </c>
      <c r="CT142">
        <v>9.49</v>
      </c>
      <c r="CU142">
        <v>0</v>
      </c>
      <c r="CV142">
        <v>5.27</v>
      </c>
      <c r="CW142">
        <v>2.5</v>
      </c>
      <c r="CX142">
        <v>0.04</v>
      </c>
      <c r="CY142">
        <v>50.43</v>
      </c>
      <c r="CZ142" t="s">
        <v>1135</v>
      </c>
      <c r="DA142">
        <v>32.909999999999997</v>
      </c>
      <c r="DB142">
        <v>4.8</v>
      </c>
      <c r="DC142">
        <v>3.92</v>
      </c>
      <c r="DD142">
        <v>3.18</v>
      </c>
      <c r="DE142">
        <v>1470</v>
      </c>
      <c r="DF142">
        <v>553</v>
      </c>
      <c r="DG142" t="s">
        <v>116</v>
      </c>
      <c r="DH142" t="s">
        <v>116</v>
      </c>
      <c r="DI142" t="s">
        <v>116</v>
      </c>
    </row>
    <row r="143" spans="1:113" x14ac:dyDescent="0.4">
      <c r="A143" t="str">
        <f>"000554"</f>
        <v>000554</v>
      </c>
      <c r="B143" t="s">
        <v>1136</v>
      </c>
      <c r="C143">
        <v>1.04</v>
      </c>
      <c r="D143">
        <v>4.8600000000000003</v>
      </c>
      <c r="E143">
        <v>0.05</v>
      </c>
      <c r="F143">
        <v>4.8499999999999996</v>
      </c>
      <c r="G143">
        <v>4.8600000000000003</v>
      </c>
      <c r="H143">
        <v>74292</v>
      </c>
      <c r="I143">
        <v>490</v>
      </c>
      <c r="J143">
        <v>0</v>
      </c>
      <c r="K143">
        <v>2.0499999999999998</v>
      </c>
      <c r="L143">
        <v>4.82</v>
      </c>
      <c r="M143">
        <v>4.8899999999999997</v>
      </c>
      <c r="N143">
        <v>4.8</v>
      </c>
      <c r="O143">
        <v>4.8099999999999996</v>
      </c>
      <c r="P143">
        <v>1080.8499999999999</v>
      </c>
      <c r="Q143">
        <v>36070424</v>
      </c>
      <c r="R143">
        <v>1.97</v>
      </c>
      <c r="S143" t="s">
        <v>536</v>
      </c>
      <c r="T143" t="s">
        <v>645</v>
      </c>
      <c r="U143">
        <v>1.87</v>
      </c>
      <c r="V143">
        <v>4.8600000000000003</v>
      </c>
      <c r="W143">
        <v>31435</v>
      </c>
      <c r="X143">
        <v>42857</v>
      </c>
      <c r="Y143">
        <v>0.73</v>
      </c>
      <c r="Z143">
        <v>1057</v>
      </c>
      <c r="AA143">
        <v>37</v>
      </c>
      <c r="AB143" t="s">
        <v>116</v>
      </c>
      <c r="AC143">
        <v>38100</v>
      </c>
      <c r="AD143">
        <v>0</v>
      </c>
      <c r="AE143" t="s">
        <v>116</v>
      </c>
      <c r="AF143" t="s">
        <v>116</v>
      </c>
      <c r="AG143">
        <v>3.63</v>
      </c>
      <c r="AH143" t="s">
        <v>686</v>
      </c>
      <c r="AI143" t="s">
        <v>1137</v>
      </c>
      <c r="AJ143">
        <v>1.72</v>
      </c>
      <c r="AK143">
        <v>1065</v>
      </c>
      <c r="AL143">
        <v>70</v>
      </c>
      <c r="AM143">
        <v>1.9E-3</v>
      </c>
      <c r="AN143">
        <v>2</v>
      </c>
      <c r="AO143">
        <v>2.3199999999999998</v>
      </c>
      <c r="AP143">
        <v>3.4</v>
      </c>
      <c r="AQ143">
        <v>-2.8</v>
      </c>
      <c r="AR143">
        <v>-5.08</v>
      </c>
      <c r="AS143">
        <v>2.0499999999999998</v>
      </c>
      <c r="AT143" t="s">
        <v>686</v>
      </c>
      <c r="AU143">
        <v>1011.13</v>
      </c>
      <c r="AV143">
        <v>1244.9100000000001</v>
      </c>
      <c r="AW143">
        <v>0.71</v>
      </c>
      <c r="BA143">
        <v>0.21</v>
      </c>
      <c r="BB143">
        <v>1.66</v>
      </c>
      <c r="BC143">
        <v>-0.21</v>
      </c>
      <c r="BD143">
        <v>0.94</v>
      </c>
      <c r="BE143">
        <v>0.83</v>
      </c>
      <c r="BF143">
        <v>-0.61</v>
      </c>
      <c r="BG143">
        <v>1.25</v>
      </c>
      <c r="BH143">
        <v>0.1</v>
      </c>
      <c r="BI143">
        <v>20191030</v>
      </c>
      <c r="BJ143">
        <v>19931215</v>
      </c>
      <c r="BK143">
        <v>4.8099999999999996</v>
      </c>
      <c r="BL143" t="s">
        <v>116</v>
      </c>
      <c r="BM143" t="s">
        <v>116</v>
      </c>
      <c r="BN143">
        <v>13.7</v>
      </c>
      <c r="BO143">
        <v>9.02</v>
      </c>
      <c r="BP143">
        <v>0.03</v>
      </c>
      <c r="BQ143">
        <v>33.9</v>
      </c>
      <c r="BR143">
        <v>3.15</v>
      </c>
      <c r="BS143">
        <v>5.21</v>
      </c>
      <c r="BT143">
        <v>2.92</v>
      </c>
      <c r="BU143">
        <v>3.92</v>
      </c>
      <c r="BV143">
        <v>2.2400000000000002</v>
      </c>
      <c r="BW143">
        <v>0</v>
      </c>
      <c r="BX143">
        <v>1.87</v>
      </c>
      <c r="BY143">
        <v>22.36</v>
      </c>
      <c r="BZ143">
        <v>20.2</v>
      </c>
      <c r="CA143">
        <v>0.21</v>
      </c>
      <c r="CB143">
        <v>-0.01</v>
      </c>
      <c r="CC143">
        <v>0.05</v>
      </c>
      <c r="CD143">
        <v>0.02</v>
      </c>
      <c r="CE143">
        <v>0.02</v>
      </c>
      <c r="CF143">
        <v>0.15</v>
      </c>
      <c r="CG143">
        <v>1.21</v>
      </c>
      <c r="CH143">
        <v>1.1000000000000001</v>
      </c>
      <c r="CI143">
        <v>-0.24</v>
      </c>
      <c r="CJ143">
        <v>50028</v>
      </c>
      <c r="CK143">
        <v>7249</v>
      </c>
      <c r="CL143" t="s">
        <v>777</v>
      </c>
      <c r="CM143">
        <v>36.54</v>
      </c>
      <c r="CN143">
        <v>-2.62</v>
      </c>
      <c r="CO143">
        <v>2.59</v>
      </c>
      <c r="CP143">
        <v>21.24</v>
      </c>
      <c r="CQ143">
        <v>1.05</v>
      </c>
      <c r="CR143">
        <v>0</v>
      </c>
      <c r="CS143" t="s">
        <v>350</v>
      </c>
      <c r="CT143">
        <v>1.88</v>
      </c>
      <c r="CU143">
        <v>0</v>
      </c>
      <c r="CV143">
        <v>0.39</v>
      </c>
      <c r="CW143">
        <v>0.25</v>
      </c>
      <c r="CX143">
        <v>0.23</v>
      </c>
      <c r="CY143">
        <v>65.86</v>
      </c>
      <c r="CZ143" t="s">
        <v>1138</v>
      </c>
      <c r="DA143">
        <v>9.6300000000000008</v>
      </c>
      <c r="DB143">
        <v>0.95</v>
      </c>
      <c r="DC143">
        <v>7.0000000000000007E-2</v>
      </c>
      <c r="DD143">
        <v>0</v>
      </c>
      <c r="DE143">
        <v>1305</v>
      </c>
      <c r="DF143">
        <v>554</v>
      </c>
      <c r="DG143" t="s">
        <v>116</v>
      </c>
      <c r="DH143" t="s">
        <v>116</v>
      </c>
      <c r="DI143" t="s">
        <v>116</v>
      </c>
    </row>
    <row r="144" spans="1:113" x14ac:dyDescent="0.4">
      <c r="A144" t="str">
        <f>"000555"</f>
        <v>000555</v>
      </c>
      <c r="B144" t="s">
        <v>1139</v>
      </c>
      <c r="C144">
        <v>-1.34</v>
      </c>
      <c r="D144">
        <v>13.98</v>
      </c>
      <c r="E144">
        <v>-0.19</v>
      </c>
      <c r="F144">
        <v>13.98</v>
      </c>
      <c r="G144">
        <v>13.99</v>
      </c>
      <c r="H144">
        <v>376988</v>
      </c>
      <c r="I144">
        <v>2196</v>
      </c>
      <c r="J144">
        <v>7.0000000000000007E-2</v>
      </c>
      <c r="K144">
        <v>4.01</v>
      </c>
      <c r="L144">
        <v>14.12</v>
      </c>
      <c r="M144">
        <v>14.61</v>
      </c>
      <c r="N144">
        <v>13.85</v>
      </c>
      <c r="O144">
        <v>14.17</v>
      </c>
      <c r="P144">
        <v>53.46</v>
      </c>
      <c r="Q144">
        <v>535378240</v>
      </c>
      <c r="R144">
        <v>1.43</v>
      </c>
      <c r="S144" t="s">
        <v>607</v>
      </c>
      <c r="T144" t="s">
        <v>115</v>
      </c>
      <c r="U144">
        <v>5.36</v>
      </c>
      <c r="V144">
        <v>14.2</v>
      </c>
      <c r="W144">
        <v>196132</v>
      </c>
      <c r="X144">
        <v>180856</v>
      </c>
      <c r="Y144">
        <v>1.08</v>
      </c>
      <c r="Z144">
        <v>74</v>
      </c>
      <c r="AA144">
        <v>2413</v>
      </c>
      <c r="AB144" t="s">
        <v>116</v>
      </c>
      <c r="AC144">
        <v>2626300</v>
      </c>
      <c r="AD144">
        <v>0.05</v>
      </c>
      <c r="AE144" t="s">
        <v>116</v>
      </c>
      <c r="AF144" t="s">
        <v>116</v>
      </c>
      <c r="AG144">
        <v>9.41</v>
      </c>
      <c r="AH144" t="s">
        <v>1140</v>
      </c>
      <c r="AI144" t="s">
        <v>1141</v>
      </c>
      <c r="AJ144">
        <v>-0.66</v>
      </c>
      <c r="AK144">
        <v>4218</v>
      </c>
      <c r="AL144">
        <v>89</v>
      </c>
      <c r="AM144">
        <v>8.9999999999999998E-4</v>
      </c>
      <c r="AN144">
        <v>-1</v>
      </c>
      <c r="AO144">
        <v>9.91</v>
      </c>
      <c r="AP144">
        <v>15.35</v>
      </c>
      <c r="AQ144">
        <v>10.69</v>
      </c>
      <c r="AR144">
        <v>50.24</v>
      </c>
      <c r="AS144">
        <v>9.7899999999999991</v>
      </c>
      <c r="AT144" t="s">
        <v>1142</v>
      </c>
      <c r="AU144" t="s">
        <v>116</v>
      </c>
      <c r="AV144">
        <v>322.26</v>
      </c>
      <c r="AW144">
        <v>2</v>
      </c>
      <c r="BA144">
        <v>-0.35</v>
      </c>
      <c r="BB144">
        <v>3.11</v>
      </c>
      <c r="BC144">
        <v>-2.2599999999999998</v>
      </c>
      <c r="BD144">
        <v>0.22</v>
      </c>
      <c r="BE144">
        <v>-0.99</v>
      </c>
      <c r="BF144">
        <v>-4.3099999999999996</v>
      </c>
      <c r="BG144">
        <v>0.94</v>
      </c>
      <c r="BH144">
        <v>-1.56</v>
      </c>
      <c r="BI144">
        <v>20191030</v>
      </c>
      <c r="BJ144">
        <v>19940408</v>
      </c>
      <c r="BK144">
        <v>9.6999999999999993</v>
      </c>
      <c r="BL144" t="s">
        <v>116</v>
      </c>
      <c r="BM144" t="s">
        <v>116</v>
      </c>
      <c r="BN144">
        <v>99.86</v>
      </c>
      <c r="BO144">
        <v>50.39</v>
      </c>
      <c r="BP144">
        <v>0.88</v>
      </c>
      <c r="BQ144">
        <v>48.66</v>
      </c>
      <c r="BR144">
        <v>70.09</v>
      </c>
      <c r="BS144">
        <v>5.0199999999999996</v>
      </c>
      <c r="BT144">
        <v>1.21</v>
      </c>
      <c r="BU144">
        <v>48.03</v>
      </c>
      <c r="BV144">
        <v>20.56</v>
      </c>
      <c r="BW144">
        <v>32.14</v>
      </c>
      <c r="BX144">
        <v>22.72</v>
      </c>
      <c r="BY144">
        <v>62.34</v>
      </c>
      <c r="BZ144">
        <v>50.94</v>
      </c>
      <c r="CA144">
        <v>1.98</v>
      </c>
      <c r="CB144">
        <v>0.61</v>
      </c>
      <c r="CC144">
        <v>2</v>
      </c>
      <c r="CD144">
        <v>1.82</v>
      </c>
      <c r="CE144">
        <v>1.9</v>
      </c>
      <c r="CF144">
        <v>1.34</v>
      </c>
      <c r="CG144">
        <v>17.02</v>
      </c>
      <c r="CH144">
        <v>-6.15</v>
      </c>
      <c r="CI144">
        <v>-8.5500000000000007</v>
      </c>
      <c r="CJ144">
        <v>63000</v>
      </c>
      <c r="CK144">
        <v>6112</v>
      </c>
      <c r="CL144" t="s">
        <v>1143</v>
      </c>
      <c r="CM144">
        <v>-35.78</v>
      </c>
      <c r="CN144">
        <v>1.02</v>
      </c>
      <c r="CO144">
        <v>2.67</v>
      </c>
      <c r="CP144">
        <v>-22.06</v>
      </c>
      <c r="CQ144">
        <v>2.1800000000000002</v>
      </c>
      <c r="CR144">
        <v>0.25</v>
      </c>
      <c r="CS144" t="s">
        <v>541</v>
      </c>
      <c r="CT144">
        <v>5.23</v>
      </c>
      <c r="CU144">
        <v>5.23</v>
      </c>
      <c r="CV144">
        <v>2.34</v>
      </c>
      <c r="CW144">
        <v>1.75</v>
      </c>
      <c r="CX144">
        <v>-0.63</v>
      </c>
      <c r="CY144">
        <v>50.46</v>
      </c>
      <c r="CZ144" t="s">
        <v>1144</v>
      </c>
      <c r="DA144">
        <v>18.29</v>
      </c>
      <c r="DB144">
        <v>3.18</v>
      </c>
      <c r="DC144">
        <v>3.05</v>
      </c>
      <c r="DD144">
        <v>2.42</v>
      </c>
      <c r="DE144">
        <v>9187</v>
      </c>
      <c r="DF144">
        <v>555</v>
      </c>
      <c r="DG144" t="s">
        <v>116</v>
      </c>
      <c r="DH144" t="s">
        <v>116</v>
      </c>
      <c r="DI144" t="s">
        <v>116</v>
      </c>
    </row>
    <row r="145" spans="1:113" x14ac:dyDescent="0.4">
      <c r="A145" t="str">
        <f>"000557"</f>
        <v>000557</v>
      </c>
      <c r="B145" t="s">
        <v>1145</v>
      </c>
      <c r="C145">
        <v>-0.88</v>
      </c>
      <c r="D145">
        <v>3.38</v>
      </c>
      <c r="E145">
        <v>-0.03</v>
      </c>
      <c r="F145">
        <v>3.37</v>
      </c>
      <c r="G145">
        <v>3.38</v>
      </c>
      <c r="H145">
        <v>69206</v>
      </c>
      <c r="I145">
        <v>462</v>
      </c>
      <c r="J145">
        <v>0.3</v>
      </c>
      <c r="K145">
        <v>0.47</v>
      </c>
      <c r="L145">
        <v>3.38</v>
      </c>
      <c r="M145">
        <v>3.43</v>
      </c>
      <c r="N145">
        <v>3.36</v>
      </c>
      <c r="O145">
        <v>3.41</v>
      </c>
      <c r="P145">
        <v>335.68</v>
      </c>
      <c r="Q145">
        <v>23428802</v>
      </c>
      <c r="R145">
        <v>1.1399999999999999</v>
      </c>
      <c r="S145" t="s">
        <v>1146</v>
      </c>
      <c r="T145" t="s">
        <v>1147</v>
      </c>
      <c r="U145">
        <v>2.0499999999999998</v>
      </c>
      <c r="V145">
        <v>3.39</v>
      </c>
      <c r="W145">
        <v>42516</v>
      </c>
      <c r="X145">
        <v>26690</v>
      </c>
      <c r="Y145">
        <v>1.59</v>
      </c>
      <c r="Z145">
        <v>553</v>
      </c>
      <c r="AA145">
        <v>660</v>
      </c>
      <c r="AB145" t="s">
        <v>116</v>
      </c>
      <c r="AC145">
        <v>434000</v>
      </c>
      <c r="AD145">
        <v>0.02</v>
      </c>
      <c r="AE145" t="s">
        <v>116</v>
      </c>
      <c r="AF145" t="s">
        <v>116</v>
      </c>
      <c r="AG145">
        <v>14.58</v>
      </c>
      <c r="AH145" t="s">
        <v>1148</v>
      </c>
      <c r="AI145" t="s">
        <v>1149</v>
      </c>
      <c r="AJ145">
        <v>-0.2</v>
      </c>
      <c r="AK145">
        <v>916</v>
      </c>
      <c r="AL145">
        <v>76</v>
      </c>
      <c r="AM145">
        <v>5.0000000000000001E-4</v>
      </c>
      <c r="AN145">
        <v>-1</v>
      </c>
      <c r="AO145">
        <v>1.5</v>
      </c>
      <c r="AP145">
        <v>1.5</v>
      </c>
      <c r="AQ145">
        <v>0.3</v>
      </c>
      <c r="AR145">
        <v>-1.46</v>
      </c>
      <c r="AS145">
        <v>0.87</v>
      </c>
      <c r="AT145" t="s">
        <v>1150</v>
      </c>
      <c r="AU145">
        <v>65.010000000000005</v>
      </c>
      <c r="AV145">
        <v>33.450000000000003</v>
      </c>
      <c r="AW145">
        <v>0.93</v>
      </c>
      <c r="BA145">
        <v>-0.88</v>
      </c>
      <c r="BB145">
        <v>0.59</v>
      </c>
      <c r="BC145">
        <v>-1.47</v>
      </c>
      <c r="BD145">
        <v>-0.72</v>
      </c>
      <c r="BE145">
        <v>0</v>
      </c>
      <c r="BF145">
        <v>-1.46</v>
      </c>
      <c r="BG145">
        <v>0.6</v>
      </c>
      <c r="BH145">
        <v>-0.16</v>
      </c>
      <c r="BI145">
        <v>20191205</v>
      </c>
      <c r="BJ145">
        <v>19940617</v>
      </c>
      <c r="BK145">
        <v>14.58</v>
      </c>
      <c r="BL145" t="s">
        <v>116</v>
      </c>
      <c r="BM145" t="s">
        <v>116</v>
      </c>
      <c r="BN145">
        <v>53.3</v>
      </c>
      <c r="BO145">
        <v>49.4</v>
      </c>
      <c r="BP145">
        <v>0</v>
      </c>
      <c r="BQ145">
        <v>7.32</v>
      </c>
      <c r="BR145">
        <v>12.21</v>
      </c>
      <c r="BS145">
        <v>33.5</v>
      </c>
      <c r="BT145">
        <v>4.75</v>
      </c>
      <c r="BU145">
        <v>3.51</v>
      </c>
      <c r="BV145">
        <v>0.53</v>
      </c>
      <c r="BW145">
        <v>1.17</v>
      </c>
      <c r="BX145">
        <v>43.23</v>
      </c>
      <c r="BY145">
        <v>5.72</v>
      </c>
      <c r="BZ145">
        <v>3.9</v>
      </c>
      <c r="CA145">
        <v>1.39</v>
      </c>
      <c r="CB145">
        <v>0</v>
      </c>
      <c r="CC145">
        <v>0.34</v>
      </c>
      <c r="CD145">
        <v>0.11</v>
      </c>
      <c r="CE145">
        <v>0.11</v>
      </c>
      <c r="CF145">
        <v>1.1399999999999999</v>
      </c>
      <c r="CG145">
        <v>-9.86</v>
      </c>
      <c r="CH145">
        <v>1.1399999999999999</v>
      </c>
      <c r="CI145">
        <v>2.95</v>
      </c>
      <c r="CJ145">
        <v>53679</v>
      </c>
      <c r="CK145">
        <v>14884</v>
      </c>
      <c r="CL145" t="s">
        <v>1151</v>
      </c>
      <c r="CM145">
        <v>-86.66</v>
      </c>
      <c r="CN145">
        <v>12.09</v>
      </c>
      <c r="CO145">
        <v>1</v>
      </c>
      <c r="CP145">
        <v>43.34</v>
      </c>
      <c r="CQ145">
        <v>8.61</v>
      </c>
      <c r="CR145">
        <v>0</v>
      </c>
      <c r="CS145" t="s">
        <v>571</v>
      </c>
      <c r="CT145">
        <v>3.39</v>
      </c>
      <c r="CU145">
        <v>0</v>
      </c>
      <c r="CV145">
        <v>2.96</v>
      </c>
      <c r="CW145">
        <v>-0.68</v>
      </c>
      <c r="CX145">
        <v>0.08</v>
      </c>
      <c r="CY145">
        <v>92.68</v>
      </c>
      <c r="CZ145" t="s">
        <v>1152</v>
      </c>
      <c r="DA145">
        <v>31.91</v>
      </c>
      <c r="DB145">
        <v>24.35</v>
      </c>
      <c r="DC145">
        <v>1.92</v>
      </c>
      <c r="DD145">
        <v>0</v>
      </c>
      <c r="DE145">
        <v>1120</v>
      </c>
      <c r="DF145">
        <v>557</v>
      </c>
      <c r="DG145" t="s">
        <v>116</v>
      </c>
      <c r="DH145" t="s">
        <v>116</v>
      </c>
      <c r="DI145" t="s">
        <v>116</v>
      </c>
    </row>
    <row r="146" spans="1:113" x14ac:dyDescent="0.4">
      <c r="A146" t="str">
        <f>"000558"</f>
        <v>000558</v>
      </c>
      <c r="B146" t="s">
        <v>1153</v>
      </c>
      <c r="C146">
        <v>0.62</v>
      </c>
      <c r="D146">
        <v>3.27</v>
      </c>
      <c r="E146">
        <v>0.02</v>
      </c>
      <c r="F146">
        <v>3.26</v>
      </c>
      <c r="G146">
        <v>3.27</v>
      </c>
      <c r="H146">
        <v>73886</v>
      </c>
      <c r="I146">
        <v>2658</v>
      </c>
      <c r="J146">
        <v>0.62</v>
      </c>
      <c r="K146">
        <v>0.56999999999999995</v>
      </c>
      <c r="L146">
        <v>3.25</v>
      </c>
      <c r="M146">
        <v>3.27</v>
      </c>
      <c r="N146">
        <v>3.24</v>
      </c>
      <c r="O146">
        <v>3.25</v>
      </c>
      <c r="P146" t="s">
        <v>116</v>
      </c>
      <c r="Q146">
        <v>24044192</v>
      </c>
      <c r="R146">
        <v>0.94</v>
      </c>
      <c r="S146" t="s">
        <v>217</v>
      </c>
      <c r="T146" t="s">
        <v>590</v>
      </c>
      <c r="U146">
        <v>0.92</v>
      </c>
      <c r="V146">
        <v>3.25</v>
      </c>
      <c r="W146">
        <v>33752</v>
      </c>
      <c r="X146">
        <v>40134</v>
      </c>
      <c r="Y146">
        <v>0.84</v>
      </c>
      <c r="Z146">
        <v>1839</v>
      </c>
      <c r="AA146">
        <v>706</v>
      </c>
      <c r="AB146" t="s">
        <v>116</v>
      </c>
      <c r="AC146">
        <v>52200</v>
      </c>
      <c r="AD146">
        <v>0</v>
      </c>
      <c r="AE146" t="s">
        <v>116</v>
      </c>
      <c r="AF146" t="s">
        <v>116</v>
      </c>
      <c r="AG146">
        <v>12.88</v>
      </c>
      <c r="AH146" t="s">
        <v>561</v>
      </c>
      <c r="AI146" t="s">
        <v>1154</v>
      </c>
      <c r="AJ146">
        <v>1.29</v>
      </c>
      <c r="AK146">
        <v>762</v>
      </c>
      <c r="AL146">
        <v>97</v>
      </c>
      <c r="AM146">
        <v>8.0000000000000004E-4</v>
      </c>
      <c r="AN146">
        <v>2</v>
      </c>
      <c r="AO146">
        <v>1.24</v>
      </c>
      <c r="AP146">
        <v>0</v>
      </c>
      <c r="AQ146">
        <v>-6.3</v>
      </c>
      <c r="AR146">
        <v>12.76</v>
      </c>
      <c r="AS146">
        <v>1.24</v>
      </c>
      <c r="AT146" t="s">
        <v>1155</v>
      </c>
      <c r="AU146" t="s">
        <v>116</v>
      </c>
      <c r="AV146" t="s">
        <v>116</v>
      </c>
      <c r="AW146">
        <v>0.79</v>
      </c>
      <c r="BA146">
        <v>0</v>
      </c>
      <c r="BB146">
        <v>0.62</v>
      </c>
      <c r="BC146">
        <v>-0.31</v>
      </c>
      <c r="BD146">
        <v>0.13</v>
      </c>
      <c r="BE146">
        <v>0.62</v>
      </c>
      <c r="BF146">
        <v>0</v>
      </c>
      <c r="BG146">
        <v>0.93</v>
      </c>
      <c r="BH146">
        <v>0.48</v>
      </c>
      <c r="BI146">
        <v>20191031</v>
      </c>
      <c r="BJ146">
        <v>19940509</v>
      </c>
      <c r="BK146">
        <v>12.89</v>
      </c>
      <c r="BL146" t="s">
        <v>116</v>
      </c>
      <c r="BM146" t="s">
        <v>116</v>
      </c>
      <c r="BN146">
        <v>23.51</v>
      </c>
      <c r="BO146">
        <v>12.07</v>
      </c>
      <c r="BP146">
        <v>-0.06</v>
      </c>
      <c r="BQ146">
        <v>48.94</v>
      </c>
      <c r="BR146">
        <v>7.24</v>
      </c>
      <c r="BS146">
        <v>2.75</v>
      </c>
      <c r="BT146">
        <v>0.8</v>
      </c>
      <c r="BU146">
        <v>5.83</v>
      </c>
      <c r="BV146">
        <v>3.72</v>
      </c>
      <c r="BW146">
        <v>0.15</v>
      </c>
      <c r="BX146">
        <v>0.7</v>
      </c>
      <c r="BY146">
        <v>0.83</v>
      </c>
      <c r="BZ146">
        <v>0.66</v>
      </c>
      <c r="CA146">
        <v>-0.56999999999999995</v>
      </c>
      <c r="CB146">
        <v>-0.03</v>
      </c>
      <c r="CC146">
        <v>-0.56999999999999995</v>
      </c>
      <c r="CD146">
        <v>-0.62</v>
      </c>
      <c r="CE146">
        <v>-0.6</v>
      </c>
      <c r="CF146">
        <v>-0.76</v>
      </c>
      <c r="CG146">
        <v>-2.2000000000000002</v>
      </c>
      <c r="CH146">
        <v>-1.19</v>
      </c>
      <c r="CI146">
        <v>-2.1</v>
      </c>
      <c r="CJ146">
        <v>76718</v>
      </c>
      <c r="CK146">
        <v>7744</v>
      </c>
      <c r="CL146" t="s">
        <v>1156</v>
      </c>
      <c r="CM146">
        <v>-405.88</v>
      </c>
      <c r="CN146">
        <v>-87.3</v>
      </c>
      <c r="CO146">
        <v>3.49</v>
      </c>
      <c r="CP146">
        <v>-35.33</v>
      </c>
      <c r="CQ146">
        <v>50.66</v>
      </c>
      <c r="CR146">
        <v>0</v>
      </c>
      <c r="CS146" t="s">
        <v>1157</v>
      </c>
      <c r="CT146">
        <v>0.94</v>
      </c>
      <c r="CU146">
        <v>0</v>
      </c>
      <c r="CV146">
        <v>0.05</v>
      </c>
      <c r="CW146">
        <v>-0.17</v>
      </c>
      <c r="CX146">
        <v>-0.09</v>
      </c>
      <c r="CY146">
        <v>51.33</v>
      </c>
      <c r="CZ146" t="s">
        <v>1158</v>
      </c>
      <c r="DA146">
        <v>20.64</v>
      </c>
      <c r="DB146">
        <v>-68.62</v>
      </c>
      <c r="DC146">
        <v>-72.23</v>
      </c>
      <c r="DD146">
        <v>0</v>
      </c>
      <c r="DE146">
        <v>174</v>
      </c>
      <c r="DF146">
        <v>558</v>
      </c>
      <c r="DG146" t="s">
        <v>116</v>
      </c>
      <c r="DH146" t="s">
        <v>116</v>
      </c>
      <c r="DI146" t="s">
        <v>116</v>
      </c>
    </row>
    <row r="147" spans="1:113" x14ac:dyDescent="0.4">
      <c r="A147" t="str">
        <f>"000559"</f>
        <v>000559</v>
      </c>
      <c r="B147" t="s">
        <v>1159</v>
      </c>
      <c r="C147">
        <v>1.1399999999999999</v>
      </c>
      <c r="D147">
        <v>5.34</v>
      </c>
      <c r="E147">
        <v>0.06</v>
      </c>
      <c r="F147">
        <v>5.34</v>
      </c>
      <c r="G147">
        <v>5.35</v>
      </c>
      <c r="H147">
        <v>118790</v>
      </c>
      <c r="I147">
        <v>1300</v>
      </c>
      <c r="J147">
        <v>0</v>
      </c>
      <c r="K147">
        <v>0.43</v>
      </c>
      <c r="L147">
        <v>5.28</v>
      </c>
      <c r="M147">
        <v>5.42</v>
      </c>
      <c r="N147">
        <v>5.26</v>
      </c>
      <c r="O147">
        <v>5.28</v>
      </c>
      <c r="P147">
        <v>26.53</v>
      </c>
      <c r="Q147">
        <v>63549876</v>
      </c>
      <c r="R147">
        <v>2.2599999999999998</v>
      </c>
      <c r="S147" t="s">
        <v>293</v>
      </c>
      <c r="T147" t="s">
        <v>590</v>
      </c>
      <c r="U147">
        <v>3.03</v>
      </c>
      <c r="V147">
        <v>5.35</v>
      </c>
      <c r="W147">
        <v>43407</v>
      </c>
      <c r="X147">
        <v>75383</v>
      </c>
      <c r="Y147">
        <v>0.57999999999999996</v>
      </c>
      <c r="Z147">
        <v>706</v>
      </c>
      <c r="AA147">
        <v>2006</v>
      </c>
      <c r="AB147" t="s">
        <v>116</v>
      </c>
      <c r="AC147">
        <v>68700</v>
      </c>
      <c r="AD147">
        <v>0</v>
      </c>
      <c r="AE147" t="s">
        <v>116</v>
      </c>
      <c r="AF147" t="s">
        <v>116</v>
      </c>
      <c r="AG147">
        <v>27.53</v>
      </c>
      <c r="AH147" t="s">
        <v>1160</v>
      </c>
      <c r="AI147" t="s">
        <v>1160</v>
      </c>
      <c r="AJ147">
        <v>1.82</v>
      </c>
      <c r="AK147">
        <v>1952</v>
      </c>
      <c r="AL147">
        <v>61</v>
      </c>
      <c r="AM147">
        <v>2.0000000000000001E-4</v>
      </c>
      <c r="AN147">
        <v>2</v>
      </c>
      <c r="AO147">
        <v>1.33</v>
      </c>
      <c r="AP147">
        <v>5.12</v>
      </c>
      <c r="AQ147">
        <v>1.91</v>
      </c>
      <c r="AR147">
        <v>8.5399999999999991</v>
      </c>
      <c r="AS147">
        <v>0.99</v>
      </c>
      <c r="AT147" t="s">
        <v>1161</v>
      </c>
      <c r="AU147">
        <v>26.33</v>
      </c>
      <c r="AV147">
        <v>20.350000000000001</v>
      </c>
      <c r="AW147">
        <v>0.83</v>
      </c>
      <c r="BA147">
        <v>0</v>
      </c>
      <c r="BB147">
        <v>2.65</v>
      </c>
      <c r="BC147">
        <v>-0.38</v>
      </c>
      <c r="BD147">
        <v>1.32</v>
      </c>
      <c r="BE147">
        <v>1.1399999999999999</v>
      </c>
      <c r="BF147">
        <v>-1.48</v>
      </c>
      <c r="BG147">
        <v>1.52</v>
      </c>
      <c r="BH147">
        <v>-0.18</v>
      </c>
      <c r="BI147">
        <v>20191024</v>
      </c>
      <c r="BJ147">
        <v>19940110</v>
      </c>
      <c r="BK147">
        <v>27.53</v>
      </c>
      <c r="BL147" t="s">
        <v>116</v>
      </c>
      <c r="BM147" t="s">
        <v>116</v>
      </c>
      <c r="BN147">
        <v>115.4</v>
      </c>
      <c r="BO147">
        <v>50.79</v>
      </c>
      <c r="BP147">
        <v>2.44</v>
      </c>
      <c r="BQ147">
        <v>53.87</v>
      </c>
      <c r="BR147">
        <v>64.510000000000005</v>
      </c>
      <c r="BS147">
        <v>29.78</v>
      </c>
      <c r="BT147">
        <v>1.55</v>
      </c>
      <c r="BU147">
        <v>46.99</v>
      </c>
      <c r="BV147">
        <v>19.64</v>
      </c>
      <c r="BW147">
        <v>17.48</v>
      </c>
      <c r="BX147">
        <v>2.42</v>
      </c>
      <c r="BY147">
        <v>76.540000000000006</v>
      </c>
      <c r="BZ147">
        <v>63.85</v>
      </c>
      <c r="CA147">
        <v>4.53</v>
      </c>
      <c r="CB147">
        <v>0.97</v>
      </c>
      <c r="CC147">
        <v>4.5999999999999996</v>
      </c>
      <c r="CD147">
        <v>4.2300000000000004</v>
      </c>
      <c r="CE147">
        <v>4.16</v>
      </c>
      <c r="CF147">
        <v>3.45</v>
      </c>
      <c r="CG147">
        <v>15.92</v>
      </c>
      <c r="CH147">
        <v>9.7100000000000009</v>
      </c>
      <c r="CI147">
        <v>-0.06</v>
      </c>
      <c r="CJ147">
        <v>107418</v>
      </c>
      <c r="CK147">
        <v>11147</v>
      </c>
      <c r="CL147" t="s">
        <v>1162</v>
      </c>
      <c r="CM147">
        <v>-28.32</v>
      </c>
      <c r="CN147">
        <v>-10.78</v>
      </c>
      <c r="CO147">
        <v>2.89</v>
      </c>
      <c r="CP147">
        <v>15.15</v>
      </c>
      <c r="CQ147">
        <v>1.92</v>
      </c>
      <c r="CR147">
        <v>3.75</v>
      </c>
      <c r="CS147" t="s">
        <v>1163</v>
      </c>
      <c r="CT147">
        <v>1.84</v>
      </c>
      <c r="CU147">
        <v>0</v>
      </c>
      <c r="CV147">
        <v>0.09</v>
      </c>
      <c r="CW147">
        <v>0.57999999999999996</v>
      </c>
      <c r="CX147">
        <v>0.35</v>
      </c>
      <c r="CY147">
        <v>44.01</v>
      </c>
      <c r="CZ147" t="s">
        <v>1164</v>
      </c>
      <c r="DA147">
        <v>16.57</v>
      </c>
      <c r="DB147">
        <v>5.92</v>
      </c>
      <c r="DC147">
        <v>5.43</v>
      </c>
      <c r="DD147">
        <v>3.4</v>
      </c>
      <c r="DE147">
        <v>9490</v>
      </c>
      <c r="DF147">
        <v>559</v>
      </c>
      <c r="DG147" t="s">
        <v>116</v>
      </c>
      <c r="DH147" t="s">
        <v>116</v>
      </c>
      <c r="DI147" t="s">
        <v>116</v>
      </c>
    </row>
    <row r="148" spans="1:113" x14ac:dyDescent="0.4">
      <c r="A148" t="str">
        <f>"000560"</f>
        <v>000560</v>
      </c>
      <c r="B148" t="s">
        <v>1165</v>
      </c>
      <c r="C148">
        <v>1.17</v>
      </c>
      <c r="D148">
        <v>4.3099999999999996</v>
      </c>
      <c r="E148">
        <v>0.05</v>
      </c>
      <c r="F148">
        <v>4.3099999999999996</v>
      </c>
      <c r="G148">
        <v>4.32</v>
      </c>
      <c r="H148">
        <v>197697</v>
      </c>
      <c r="I148">
        <v>2555</v>
      </c>
      <c r="J148">
        <v>0</v>
      </c>
      <c r="K148">
        <v>1.1000000000000001</v>
      </c>
      <c r="L148">
        <v>4.26</v>
      </c>
      <c r="M148">
        <v>4.3899999999999997</v>
      </c>
      <c r="N148">
        <v>4.24</v>
      </c>
      <c r="O148">
        <v>4.26</v>
      </c>
      <c r="P148">
        <v>11.88</v>
      </c>
      <c r="Q148">
        <v>85119336</v>
      </c>
      <c r="R148">
        <v>1.76</v>
      </c>
      <c r="S148" t="s">
        <v>419</v>
      </c>
      <c r="T148" t="s">
        <v>1043</v>
      </c>
      <c r="U148">
        <v>3.52</v>
      </c>
      <c r="V148">
        <v>4.3099999999999996</v>
      </c>
      <c r="W148">
        <v>89480</v>
      </c>
      <c r="X148">
        <v>108217</v>
      </c>
      <c r="Y148">
        <v>0.83</v>
      </c>
      <c r="Z148">
        <v>2810</v>
      </c>
      <c r="AA148">
        <v>1041</v>
      </c>
      <c r="AB148" t="s">
        <v>116</v>
      </c>
      <c r="AC148">
        <v>96900</v>
      </c>
      <c r="AD148">
        <v>0</v>
      </c>
      <c r="AE148" t="s">
        <v>116</v>
      </c>
      <c r="AF148" t="s">
        <v>116</v>
      </c>
      <c r="AG148">
        <v>17.98</v>
      </c>
      <c r="AH148" t="s">
        <v>1166</v>
      </c>
      <c r="AI148" t="s">
        <v>1167</v>
      </c>
      <c r="AJ148">
        <v>1.85</v>
      </c>
      <c r="AK148">
        <v>1682</v>
      </c>
      <c r="AL148">
        <v>118</v>
      </c>
      <c r="AM148">
        <v>6.9999999999999999E-4</v>
      </c>
      <c r="AN148">
        <v>2</v>
      </c>
      <c r="AO148">
        <v>1.65</v>
      </c>
      <c r="AP148">
        <v>-1.6</v>
      </c>
      <c r="AQ148">
        <v>-1.82</v>
      </c>
      <c r="AR148">
        <v>-6.3</v>
      </c>
      <c r="AS148">
        <v>1.55</v>
      </c>
      <c r="AT148" t="s">
        <v>1168</v>
      </c>
      <c r="AU148">
        <v>13.18</v>
      </c>
      <c r="AV148">
        <v>16.09</v>
      </c>
      <c r="AW148">
        <v>0.49</v>
      </c>
      <c r="BA148">
        <v>0</v>
      </c>
      <c r="BB148">
        <v>3.05</v>
      </c>
      <c r="BC148">
        <v>-0.47</v>
      </c>
      <c r="BD148">
        <v>1.07</v>
      </c>
      <c r="BE148">
        <v>1.17</v>
      </c>
      <c r="BF148">
        <v>-1.82</v>
      </c>
      <c r="BG148">
        <v>1.65</v>
      </c>
      <c r="BH148">
        <v>0.1</v>
      </c>
      <c r="BI148">
        <v>20191202</v>
      </c>
      <c r="BJ148">
        <v>19940202</v>
      </c>
      <c r="BK148">
        <v>23.56</v>
      </c>
      <c r="BL148" t="s">
        <v>116</v>
      </c>
      <c r="BM148" t="s">
        <v>116</v>
      </c>
      <c r="BN148">
        <v>190.69</v>
      </c>
      <c r="BO148">
        <v>98.87</v>
      </c>
      <c r="BP148">
        <v>2.27</v>
      </c>
      <c r="BQ148">
        <v>46.96</v>
      </c>
      <c r="BR148">
        <v>86.76</v>
      </c>
      <c r="BS148">
        <v>3.85</v>
      </c>
      <c r="BT148">
        <v>13.37</v>
      </c>
      <c r="BU148">
        <v>67.19</v>
      </c>
      <c r="BV148">
        <v>5.66</v>
      </c>
      <c r="BW148">
        <v>13.41</v>
      </c>
      <c r="BX148">
        <v>55.48</v>
      </c>
      <c r="BY148">
        <v>86.85</v>
      </c>
      <c r="BZ148">
        <v>60.6</v>
      </c>
      <c r="CA148">
        <v>9.23</v>
      </c>
      <c r="CB148">
        <v>-0.1</v>
      </c>
      <c r="CC148">
        <v>9.39</v>
      </c>
      <c r="CD148">
        <v>6.71</v>
      </c>
      <c r="CE148">
        <v>6.41</v>
      </c>
      <c r="CF148">
        <v>6.04</v>
      </c>
      <c r="CG148">
        <v>18.100000000000001</v>
      </c>
      <c r="CH148">
        <v>15.61</v>
      </c>
      <c r="CI148">
        <v>-1.33</v>
      </c>
      <c r="CJ148">
        <v>30195</v>
      </c>
      <c r="CK148">
        <v>42261</v>
      </c>
      <c r="CL148" t="s">
        <v>1169</v>
      </c>
      <c r="CM148">
        <v>27.68</v>
      </c>
      <c r="CN148">
        <v>3.27</v>
      </c>
      <c r="CO148">
        <v>1.03</v>
      </c>
      <c r="CP148">
        <v>6.5</v>
      </c>
      <c r="CQ148">
        <v>1.17</v>
      </c>
      <c r="CR148">
        <v>1.6</v>
      </c>
      <c r="CS148" t="s">
        <v>1170</v>
      </c>
      <c r="CT148">
        <v>4.2</v>
      </c>
      <c r="CU148">
        <v>0</v>
      </c>
      <c r="CV148">
        <v>2.36</v>
      </c>
      <c r="CW148">
        <v>0.77</v>
      </c>
      <c r="CX148">
        <v>0.66</v>
      </c>
      <c r="CY148">
        <v>51.85</v>
      </c>
      <c r="CZ148" t="s">
        <v>1171</v>
      </c>
      <c r="DA148">
        <v>30.22</v>
      </c>
      <c r="DB148">
        <v>10.63</v>
      </c>
      <c r="DC148">
        <v>7.38</v>
      </c>
      <c r="DD148">
        <v>0</v>
      </c>
      <c r="DE148">
        <v>52415</v>
      </c>
      <c r="DF148">
        <v>560</v>
      </c>
      <c r="DG148" t="s">
        <v>116</v>
      </c>
      <c r="DH148" t="s">
        <v>116</v>
      </c>
      <c r="DI148" t="s">
        <v>116</v>
      </c>
    </row>
    <row r="149" spans="1:113" x14ac:dyDescent="0.4">
      <c r="A149" t="str">
        <f>"000561"</f>
        <v>000561</v>
      </c>
      <c r="B149" t="s">
        <v>1172</v>
      </c>
      <c r="C149">
        <v>-1.35</v>
      </c>
      <c r="D149">
        <v>7.29</v>
      </c>
      <c r="E149">
        <v>-0.1</v>
      </c>
      <c r="F149">
        <v>7.28</v>
      </c>
      <c r="G149">
        <v>7.29</v>
      </c>
      <c r="H149">
        <v>152266</v>
      </c>
      <c r="I149">
        <v>1336</v>
      </c>
      <c r="J149">
        <v>0.69</v>
      </c>
      <c r="K149">
        <v>2.5499999999999998</v>
      </c>
      <c r="L149">
        <v>7.36</v>
      </c>
      <c r="M149">
        <v>7.6</v>
      </c>
      <c r="N149">
        <v>7.22</v>
      </c>
      <c r="O149">
        <v>7.39</v>
      </c>
      <c r="P149">
        <v>849.21</v>
      </c>
      <c r="Q149">
        <v>112106832</v>
      </c>
      <c r="R149">
        <v>0.86</v>
      </c>
      <c r="S149" t="s">
        <v>465</v>
      </c>
      <c r="T149" t="s">
        <v>913</v>
      </c>
      <c r="U149">
        <v>5.14</v>
      </c>
      <c r="V149">
        <v>7.36</v>
      </c>
      <c r="W149">
        <v>81671</v>
      </c>
      <c r="X149">
        <v>70595</v>
      </c>
      <c r="Y149">
        <v>1.1599999999999999</v>
      </c>
      <c r="Z149">
        <v>16</v>
      </c>
      <c r="AA149">
        <v>101</v>
      </c>
      <c r="AB149" t="s">
        <v>116</v>
      </c>
      <c r="AC149">
        <v>306900</v>
      </c>
      <c r="AD149">
        <v>0.02</v>
      </c>
      <c r="AE149" t="s">
        <v>116</v>
      </c>
      <c r="AF149" t="s">
        <v>116</v>
      </c>
      <c r="AG149">
        <v>5.96</v>
      </c>
      <c r="AH149" t="s">
        <v>1173</v>
      </c>
      <c r="AI149" t="s">
        <v>1174</v>
      </c>
      <c r="AJ149">
        <v>-0.67</v>
      </c>
      <c r="AK149">
        <v>2326</v>
      </c>
      <c r="AL149">
        <v>65</v>
      </c>
      <c r="AM149">
        <v>1.1000000000000001E-3</v>
      </c>
      <c r="AN149">
        <v>-2</v>
      </c>
      <c r="AO149">
        <v>-1.48</v>
      </c>
      <c r="AP149">
        <v>10.62</v>
      </c>
      <c r="AQ149">
        <v>6.58</v>
      </c>
      <c r="AR149">
        <v>29.95</v>
      </c>
      <c r="AS149">
        <v>5.69</v>
      </c>
      <c r="AT149" t="s">
        <v>1175</v>
      </c>
      <c r="AU149">
        <v>52.93</v>
      </c>
      <c r="AV149">
        <v>50.96</v>
      </c>
      <c r="AW149">
        <v>0.64</v>
      </c>
      <c r="BA149">
        <v>-0.41</v>
      </c>
      <c r="BB149">
        <v>2.84</v>
      </c>
      <c r="BC149">
        <v>-2.2999999999999998</v>
      </c>
      <c r="BD149">
        <v>-0.37</v>
      </c>
      <c r="BE149">
        <v>-0.95</v>
      </c>
      <c r="BF149">
        <v>-4.08</v>
      </c>
      <c r="BG149">
        <v>0.97</v>
      </c>
      <c r="BH149">
        <v>-0.98</v>
      </c>
      <c r="BI149">
        <v>20191031</v>
      </c>
      <c r="BJ149">
        <v>19940509</v>
      </c>
      <c r="BK149">
        <v>6.05</v>
      </c>
      <c r="BL149" t="s">
        <v>116</v>
      </c>
      <c r="BM149" t="s">
        <v>116</v>
      </c>
      <c r="BN149">
        <v>30.69</v>
      </c>
      <c r="BO149">
        <v>13.79</v>
      </c>
      <c r="BP149">
        <v>1.27</v>
      </c>
      <c r="BQ149">
        <v>50.94</v>
      </c>
      <c r="BR149">
        <v>24.1</v>
      </c>
      <c r="BS149">
        <v>2.5299999999999998</v>
      </c>
      <c r="BT149">
        <v>1</v>
      </c>
      <c r="BU149">
        <v>13.38</v>
      </c>
      <c r="BV149">
        <v>7.87</v>
      </c>
      <c r="BW149">
        <v>9.33</v>
      </c>
      <c r="BX149">
        <v>2.1</v>
      </c>
      <c r="BY149">
        <v>6.91</v>
      </c>
      <c r="BZ149">
        <v>4.05</v>
      </c>
      <c r="CA149">
        <v>0.05</v>
      </c>
      <c r="CB149">
        <v>0.03</v>
      </c>
      <c r="CC149">
        <v>0.06</v>
      </c>
      <c r="CD149">
        <v>0.04</v>
      </c>
      <c r="CE149">
        <v>0.04</v>
      </c>
      <c r="CF149">
        <v>0</v>
      </c>
      <c r="CG149">
        <v>6.2</v>
      </c>
      <c r="CH149">
        <v>-0.79</v>
      </c>
      <c r="CI149">
        <v>-1.26</v>
      </c>
      <c r="CJ149">
        <v>50383</v>
      </c>
      <c r="CK149">
        <v>5307</v>
      </c>
      <c r="CL149" t="s">
        <v>1176</v>
      </c>
      <c r="CM149">
        <v>-45.26</v>
      </c>
      <c r="CN149">
        <v>-1.82</v>
      </c>
      <c r="CO149">
        <v>3.2</v>
      </c>
      <c r="CP149">
        <v>-55.47</v>
      </c>
      <c r="CQ149">
        <v>6.38</v>
      </c>
      <c r="CR149">
        <v>0</v>
      </c>
      <c r="CS149" t="s">
        <v>1177</v>
      </c>
      <c r="CT149">
        <v>2.2799999999999998</v>
      </c>
      <c r="CU149">
        <v>0</v>
      </c>
      <c r="CV149">
        <v>0.35</v>
      </c>
      <c r="CW149">
        <v>1.02</v>
      </c>
      <c r="CX149">
        <v>-0.13</v>
      </c>
      <c r="CY149">
        <v>44.91</v>
      </c>
      <c r="CZ149" t="s">
        <v>1178</v>
      </c>
      <c r="DA149">
        <v>41.42</v>
      </c>
      <c r="DB149">
        <v>0.7</v>
      </c>
      <c r="DC149">
        <v>0.56000000000000005</v>
      </c>
      <c r="DD149">
        <v>1.07</v>
      </c>
      <c r="DE149">
        <v>2996</v>
      </c>
      <c r="DF149">
        <v>561</v>
      </c>
      <c r="DG149" t="s">
        <v>116</v>
      </c>
      <c r="DH149" t="s">
        <v>116</v>
      </c>
      <c r="DI149" t="s">
        <v>116</v>
      </c>
    </row>
    <row r="150" spans="1:113" x14ac:dyDescent="0.4">
      <c r="A150" t="str">
        <f>"000563"</f>
        <v>000563</v>
      </c>
      <c r="B150" t="s">
        <v>1179</v>
      </c>
      <c r="C150">
        <v>-0.23</v>
      </c>
      <c r="D150">
        <v>4.3099999999999996</v>
      </c>
      <c r="E150">
        <v>-0.01</v>
      </c>
      <c r="F150">
        <v>4.3099999999999996</v>
      </c>
      <c r="G150">
        <v>4.32</v>
      </c>
      <c r="H150">
        <v>1528566</v>
      </c>
      <c r="I150">
        <v>7220</v>
      </c>
      <c r="J150">
        <v>-0.22</v>
      </c>
      <c r="K150">
        <v>3.86</v>
      </c>
      <c r="L150">
        <v>4.33</v>
      </c>
      <c r="M150">
        <v>4.58</v>
      </c>
      <c r="N150">
        <v>4.3099999999999996</v>
      </c>
      <c r="O150">
        <v>4.32</v>
      </c>
      <c r="P150">
        <v>27.91</v>
      </c>
      <c r="Q150">
        <v>677964864</v>
      </c>
      <c r="R150">
        <v>2.5299999999999998</v>
      </c>
      <c r="S150" t="s">
        <v>732</v>
      </c>
      <c r="T150" t="s">
        <v>913</v>
      </c>
      <c r="U150">
        <v>6.25</v>
      </c>
      <c r="V150">
        <v>4.4400000000000004</v>
      </c>
      <c r="W150">
        <v>717088</v>
      </c>
      <c r="X150">
        <v>811478</v>
      </c>
      <c r="Y150">
        <v>0.88</v>
      </c>
      <c r="Z150">
        <v>4370</v>
      </c>
      <c r="AA150">
        <v>7163</v>
      </c>
      <c r="AB150" t="s">
        <v>116</v>
      </c>
      <c r="AC150">
        <v>4131300</v>
      </c>
      <c r="AD150">
        <v>0.06</v>
      </c>
      <c r="AE150" t="s">
        <v>116</v>
      </c>
      <c r="AF150" t="s">
        <v>116</v>
      </c>
      <c r="AG150">
        <v>39.64</v>
      </c>
      <c r="AH150" t="s">
        <v>1180</v>
      </c>
      <c r="AI150" t="s">
        <v>1180</v>
      </c>
      <c r="AJ150">
        <v>0.45</v>
      </c>
      <c r="AK150">
        <v>4170</v>
      </c>
      <c r="AL150">
        <v>367</v>
      </c>
      <c r="AM150">
        <v>8.9999999999999998E-4</v>
      </c>
      <c r="AN150">
        <v>-1</v>
      </c>
      <c r="AO150">
        <v>2.14</v>
      </c>
      <c r="AP150">
        <v>8.2899999999999991</v>
      </c>
      <c r="AQ150">
        <v>3.61</v>
      </c>
      <c r="AR150">
        <v>62.03</v>
      </c>
      <c r="AS150">
        <v>8.86</v>
      </c>
      <c r="AT150" t="s">
        <v>1181</v>
      </c>
      <c r="AU150">
        <v>31.5</v>
      </c>
      <c r="AV150">
        <v>53.48</v>
      </c>
      <c r="AW150">
        <v>1.27</v>
      </c>
      <c r="BA150">
        <v>0.23</v>
      </c>
      <c r="BB150">
        <v>6.02</v>
      </c>
      <c r="BC150">
        <v>-0.23</v>
      </c>
      <c r="BD150">
        <v>2.67</v>
      </c>
      <c r="BE150">
        <v>-0.46</v>
      </c>
      <c r="BF150">
        <v>-5.9</v>
      </c>
      <c r="BG150">
        <v>0</v>
      </c>
      <c r="BH150">
        <v>-2.9</v>
      </c>
      <c r="BI150">
        <v>20191205</v>
      </c>
      <c r="BJ150">
        <v>19940110</v>
      </c>
      <c r="BK150">
        <v>39.64</v>
      </c>
      <c r="BL150" t="s">
        <v>116</v>
      </c>
      <c r="BM150" t="s">
        <v>116</v>
      </c>
      <c r="BN150">
        <v>128.53</v>
      </c>
      <c r="BO150">
        <v>107.57</v>
      </c>
      <c r="BP150">
        <v>0</v>
      </c>
      <c r="BQ150">
        <v>16.3</v>
      </c>
      <c r="BR150">
        <v>0</v>
      </c>
      <c r="BS150">
        <v>0.7</v>
      </c>
      <c r="BT150">
        <v>0.05</v>
      </c>
      <c r="BU150">
        <v>0</v>
      </c>
      <c r="BV150">
        <v>0</v>
      </c>
      <c r="BW150">
        <v>0</v>
      </c>
      <c r="BX150">
        <v>41.11</v>
      </c>
      <c r="BY150">
        <v>12.95</v>
      </c>
      <c r="BZ150">
        <v>0</v>
      </c>
      <c r="CA150">
        <v>6</v>
      </c>
      <c r="CB150">
        <v>2.6</v>
      </c>
      <c r="CC150">
        <v>5.97</v>
      </c>
      <c r="CD150">
        <v>4.59</v>
      </c>
      <c r="CE150">
        <v>4.59</v>
      </c>
      <c r="CF150">
        <v>4.59</v>
      </c>
      <c r="CG150">
        <v>20.67</v>
      </c>
      <c r="CH150">
        <v>-17.39</v>
      </c>
      <c r="CI150">
        <v>-6.97</v>
      </c>
      <c r="CJ150">
        <v>140534</v>
      </c>
      <c r="CK150">
        <v>12270</v>
      </c>
      <c r="CL150" t="s">
        <v>289</v>
      </c>
      <c r="CM150">
        <v>94.32</v>
      </c>
      <c r="CN150">
        <v>90.78</v>
      </c>
      <c r="CO150">
        <v>1.59</v>
      </c>
      <c r="CP150">
        <v>-9.83</v>
      </c>
      <c r="CQ150">
        <v>13.19</v>
      </c>
      <c r="CR150">
        <v>0.46</v>
      </c>
      <c r="CS150" t="s">
        <v>1182</v>
      </c>
      <c r="CT150">
        <v>2.71</v>
      </c>
      <c r="CU150">
        <v>0</v>
      </c>
      <c r="CV150">
        <v>1.04</v>
      </c>
      <c r="CW150">
        <v>0.52</v>
      </c>
      <c r="CX150">
        <v>-0.44</v>
      </c>
      <c r="CY150">
        <v>83.7</v>
      </c>
      <c r="CZ150" t="s">
        <v>1183</v>
      </c>
      <c r="DA150" t="s">
        <v>116</v>
      </c>
      <c r="DB150">
        <v>46.33</v>
      </c>
      <c r="DC150">
        <v>35.44</v>
      </c>
      <c r="DD150">
        <v>0</v>
      </c>
      <c r="DE150">
        <v>599</v>
      </c>
      <c r="DF150">
        <v>563</v>
      </c>
      <c r="DG150" t="s">
        <v>116</v>
      </c>
      <c r="DH150" t="s">
        <v>116</v>
      </c>
      <c r="DI150" t="s">
        <v>116</v>
      </c>
    </row>
    <row r="151" spans="1:113" x14ac:dyDescent="0.4">
      <c r="A151" t="str">
        <f>"000564"</f>
        <v>000564</v>
      </c>
      <c r="B151" t="s">
        <v>1184</v>
      </c>
      <c r="C151">
        <v>1.27</v>
      </c>
      <c r="D151">
        <v>2.4</v>
      </c>
      <c r="E151">
        <v>0.03</v>
      </c>
      <c r="F151">
        <v>2.39</v>
      </c>
      <c r="G151">
        <v>2.4</v>
      </c>
      <c r="H151">
        <v>298044</v>
      </c>
      <c r="I151">
        <v>4253</v>
      </c>
      <c r="J151">
        <v>0.42</v>
      </c>
      <c r="K151">
        <v>1.49</v>
      </c>
      <c r="L151">
        <v>2.37</v>
      </c>
      <c r="M151">
        <v>2.4300000000000002</v>
      </c>
      <c r="N151">
        <v>2.36</v>
      </c>
      <c r="O151">
        <v>2.37</v>
      </c>
      <c r="P151" t="s">
        <v>116</v>
      </c>
      <c r="Q151">
        <v>71605840</v>
      </c>
      <c r="R151">
        <v>1.74</v>
      </c>
      <c r="S151" t="s">
        <v>746</v>
      </c>
      <c r="T151" t="s">
        <v>913</v>
      </c>
      <c r="U151">
        <v>2.95</v>
      </c>
      <c r="V151">
        <v>2.4</v>
      </c>
      <c r="W151">
        <v>155795</v>
      </c>
      <c r="X151">
        <v>142249</v>
      </c>
      <c r="Y151">
        <v>1.1000000000000001</v>
      </c>
      <c r="Z151">
        <v>949</v>
      </c>
      <c r="AA151">
        <v>2589</v>
      </c>
      <c r="AB151" t="s">
        <v>116</v>
      </c>
      <c r="AC151">
        <v>200700</v>
      </c>
      <c r="AD151">
        <v>0.01</v>
      </c>
      <c r="AE151" t="s">
        <v>116</v>
      </c>
      <c r="AF151" t="s">
        <v>116</v>
      </c>
      <c r="AG151">
        <v>20.059999999999999</v>
      </c>
      <c r="AH151" t="s">
        <v>1185</v>
      </c>
      <c r="AI151" t="s">
        <v>1186</v>
      </c>
      <c r="AJ151">
        <v>1.94</v>
      </c>
      <c r="AK151">
        <v>2346</v>
      </c>
      <c r="AL151">
        <v>127</v>
      </c>
      <c r="AM151">
        <v>5.9999999999999995E-4</v>
      </c>
      <c r="AN151">
        <v>2</v>
      </c>
      <c r="AO151">
        <v>1.27</v>
      </c>
      <c r="AP151">
        <v>7.14</v>
      </c>
      <c r="AQ151">
        <v>-0.83</v>
      </c>
      <c r="AR151">
        <v>-5.14</v>
      </c>
      <c r="AS151">
        <v>1.97</v>
      </c>
      <c r="AT151" t="s">
        <v>1187</v>
      </c>
      <c r="AU151" t="s">
        <v>116</v>
      </c>
      <c r="AV151">
        <v>18.91</v>
      </c>
      <c r="AW151">
        <v>0.86</v>
      </c>
      <c r="BA151">
        <v>0</v>
      </c>
      <c r="BB151">
        <v>2.5299999999999998</v>
      </c>
      <c r="BC151">
        <v>-0.42</v>
      </c>
      <c r="BD151">
        <v>1.37</v>
      </c>
      <c r="BE151">
        <v>1.27</v>
      </c>
      <c r="BF151">
        <v>-1.23</v>
      </c>
      <c r="BG151">
        <v>1.69</v>
      </c>
      <c r="BH151">
        <v>-0.11</v>
      </c>
      <c r="BI151">
        <v>20191030</v>
      </c>
      <c r="BJ151">
        <v>19940110</v>
      </c>
      <c r="BK151">
        <v>60.08</v>
      </c>
      <c r="BL151" t="s">
        <v>116</v>
      </c>
      <c r="BM151" t="s">
        <v>116</v>
      </c>
      <c r="BN151">
        <v>545.1</v>
      </c>
      <c r="BO151">
        <v>311.01</v>
      </c>
      <c r="BP151">
        <v>6.28</v>
      </c>
      <c r="BQ151">
        <v>41.79</v>
      </c>
      <c r="BR151">
        <v>320.13</v>
      </c>
      <c r="BS151">
        <v>41.79</v>
      </c>
      <c r="BT151">
        <v>10.82</v>
      </c>
      <c r="BU151">
        <v>175.74</v>
      </c>
      <c r="BV151">
        <v>63.15</v>
      </c>
      <c r="BW151">
        <v>7.7</v>
      </c>
      <c r="BX151">
        <v>244.28</v>
      </c>
      <c r="BY151">
        <v>47.35</v>
      </c>
      <c r="BZ151">
        <v>36.090000000000003</v>
      </c>
      <c r="CA151">
        <v>1.31</v>
      </c>
      <c r="CB151">
        <v>7.87</v>
      </c>
      <c r="CC151">
        <v>1.1000000000000001</v>
      </c>
      <c r="CD151">
        <v>-1.1499999999999999</v>
      </c>
      <c r="CE151">
        <v>-0.92</v>
      </c>
      <c r="CF151">
        <v>-0.77</v>
      </c>
      <c r="CG151">
        <v>0.18</v>
      </c>
      <c r="CH151">
        <v>6.26</v>
      </c>
      <c r="CI151">
        <v>31.68</v>
      </c>
      <c r="CJ151">
        <v>75207</v>
      </c>
      <c r="CK151">
        <v>20138</v>
      </c>
      <c r="CL151" t="s">
        <v>1188</v>
      </c>
      <c r="CM151">
        <v>-111.93</v>
      </c>
      <c r="CN151">
        <v>-66.56</v>
      </c>
      <c r="CO151">
        <v>0.46</v>
      </c>
      <c r="CP151">
        <v>23.04</v>
      </c>
      <c r="CQ151">
        <v>3.05</v>
      </c>
      <c r="CR151">
        <v>0</v>
      </c>
      <c r="CS151" t="s">
        <v>1189</v>
      </c>
      <c r="CT151">
        <v>5.18</v>
      </c>
      <c r="CU151">
        <v>0</v>
      </c>
      <c r="CV151">
        <v>4.07</v>
      </c>
      <c r="CW151">
        <v>0</v>
      </c>
      <c r="CX151">
        <v>0.1</v>
      </c>
      <c r="CY151">
        <v>57.06</v>
      </c>
      <c r="CZ151" t="s">
        <v>1190</v>
      </c>
      <c r="DA151">
        <v>23.77</v>
      </c>
      <c r="DB151">
        <v>2.78</v>
      </c>
      <c r="DC151">
        <v>-1.93</v>
      </c>
      <c r="DD151">
        <v>0.16</v>
      </c>
      <c r="DE151">
        <v>9366</v>
      </c>
      <c r="DF151">
        <v>564</v>
      </c>
      <c r="DG151" t="s">
        <v>116</v>
      </c>
      <c r="DH151" t="s">
        <v>116</v>
      </c>
      <c r="DI151" t="s">
        <v>116</v>
      </c>
    </row>
    <row r="152" spans="1:113" x14ac:dyDescent="0.4">
      <c r="A152" t="str">
        <f>"000565"</f>
        <v>000565</v>
      </c>
      <c r="B152" t="s">
        <v>1191</v>
      </c>
      <c r="C152">
        <v>0</v>
      </c>
      <c r="D152">
        <v>5.16</v>
      </c>
      <c r="E152">
        <v>0</v>
      </c>
      <c r="F152">
        <v>5.16</v>
      </c>
      <c r="G152">
        <v>5.17</v>
      </c>
      <c r="H152">
        <v>43336</v>
      </c>
      <c r="I152">
        <v>203</v>
      </c>
      <c r="J152">
        <v>-0.18</v>
      </c>
      <c r="K152">
        <v>1</v>
      </c>
      <c r="L152">
        <v>5.18</v>
      </c>
      <c r="M152">
        <v>5.3</v>
      </c>
      <c r="N152">
        <v>5.15</v>
      </c>
      <c r="O152">
        <v>5.16</v>
      </c>
      <c r="P152">
        <v>26.19</v>
      </c>
      <c r="Q152">
        <v>22609344</v>
      </c>
      <c r="R152">
        <v>1.98</v>
      </c>
      <c r="S152" t="s">
        <v>1192</v>
      </c>
      <c r="T152" t="s">
        <v>906</v>
      </c>
      <c r="U152">
        <v>2.91</v>
      </c>
      <c r="V152">
        <v>5.22</v>
      </c>
      <c r="W152">
        <v>21672</v>
      </c>
      <c r="X152">
        <v>21664</v>
      </c>
      <c r="Y152">
        <v>1</v>
      </c>
      <c r="Z152">
        <v>1052</v>
      </c>
      <c r="AA152">
        <v>646</v>
      </c>
      <c r="AB152" t="s">
        <v>116</v>
      </c>
      <c r="AC152">
        <v>25400</v>
      </c>
      <c r="AD152">
        <v>0</v>
      </c>
      <c r="AE152" t="s">
        <v>116</v>
      </c>
      <c r="AF152" t="s">
        <v>116</v>
      </c>
      <c r="AG152">
        <v>4.34</v>
      </c>
      <c r="AH152" t="s">
        <v>1193</v>
      </c>
      <c r="AI152" t="s">
        <v>1193</v>
      </c>
      <c r="AJ152">
        <v>0.68</v>
      </c>
      <c r="AK152">
        <v>1189</v>
      </c>
      <c r="AL152">
        <v>36</v>
      </c>
      <c r="AM152">
        <v>8.0000000000000004E-4</v>
      </c>
      <c r="AN152">
        <v>0</v>
      </c>
      <c r="AO152">
        <v>0.39</v>
      </c>
      <c r="AP152">
        <v>5.95</v>
      </c>
      <c r="AQ152">
        <v>-3.55</v>
      </c>
      <c r="AR152">
        <v>21.5</v>
      </c>
      <c r="AS152">
        <v>1.68</v>
      </c>
      <c r="AT152" t="s">
        <v>1194</v>
      </c>
      <c r="AU152">
        <v>34.909999999999997</v>
      </c>
      <c r="AV152">
        <v>49.47</v>
      </c>
      <c r="AW152">
        <v>0.97</v>
      </c>
      <c r="BA152">
        <v>0.39</v>
      </c>
      <c r="BB152">
        <v>2.71</v>
      </c>
      <c r="BC152">
        <v>-0.19</v>
      </c>
      <c r="BD152">
        <v>1.1100000000000001</v>
      </c>
      <c r="BE152">
        <v>-0.39</v>
      </c>
      <c r="BF152">
        <v>-2.64</v>
      </c>
      <c r="BG152">
        <v>0.19</v>
      </c>
      <c r="BH152">
        <v>-1.1100000000000001</v>
      </c>
      <c r="BI152">
        <v>20191025</v>
      </c>
      <c r="BJ152">
        <v>19940408</v>
      </c>
      <c r="BK152">
        <v>4.34</v>
      </c>
      <c r="BL152" t="s">
        <v>116</v>
      </c>
      <c r="BM152" t="s">
        <v>116</v>
      </c>
      <c r="BN152">
        <v>15.35</v>
      </c>
      <c r="BO152">
        <v>11.33</v>
      </c>
      <c r="BP152">
        <v>0</v>
      </c>
      <c r="BQ152">
        <v>26.17</v>
      </c>
      <c r="BR152">
        <v>7.12</v>
      </c>
      <c r="BS152">
        <v>2.1</v>
      </c>
      <c r="BT152">
        <v>0.21</v>
      </c>
      <c r="BU152">
        <v>3.06</v>
      </c>
      <c r="BV152">
        <v>1.1399999999999999</v>
      </c>
      <c r="BW152">
        <v>1.67</v>
      </c>
      <c r="BX152">
        <v>0.56999999999999995</v>
      </c>
      <c r="BY152">
        <v>3.51</v>
      </c>
      <c r="BZ152">
        <v>2.42</v>
      </c>
      <c r="CA152">
        <v>0.73</v>
      </c>
      <c r="CB152">
        <v>0.5</v>
      </c>
      <c r="CC152">
        <v>0.73</v>
      </c>
      <c r="CD152">
        <v>0.64</v>
      </c>
      <c r="CE152">
        <v>0.64</v>
      </c>
      <c r="CF152">
        <v>0.35</v>
      </c>
      <c r="CG152">
        <v>5.14</v>
      </c>
      <c r="CH152">
        <v>0.13</v>
      </c>
      <c r="CI152">
        <v>-0.12</v>
      </c>
      <c r="CJ152">
        <v>38224</v>
      </c>
      <c r="CK152">
        <v>6744</v>
      </c>
      <c r="CL152" t="s">
        <v>805</v>
      </c>
      <c r="CM152">
        <v>41.76</v>
      </c>
      <c r="CN152">
        <v>-40.49</v>
      </c>
      <c r="CO152">
        <v>1.97</v>
      </c>
      <c r="CP152">
        <v>171</v>
      </c>
      <c r="CQ152">
        <v>6.37</v>
      </c>
      <c r="CR152">
        <v>0.25</v>
      </c>
      <c r="CS152" t="s">
        <v>1195</v>
      </c>
      <c r="CT152">
        <v>2.61</v>
      </c>
      <c r="CU152">
        <v>0</v>
      </c>
      <c r="CV152">
        <v>0.13</v>
      </c>
      <c r="CW152">
        <v>1.18</v>
      </c>
      <c r="CX152">
        <v>0.03</v>
      </c>
      <c r="CY152">
        <v>73.83</v>
      </c>
      <c r="CZ152" t="s">
        <v>1196</v>
      </c>
      <c r="DA152">
        <v>31.26</v>
      </c>
      <c r="DB152">
        <v>20.76</v>
      </c>
      <c r="DC152">
        <v>18.23</v>
      </c>
      <c r="DD152">
        <v>0.06</v>
      </c>
      <c r="DE152">
        <v>913</v>
      </c>
      <c r="DF152">
        <v>565</v>
      </c>
      <c r="DG152" t="s">
        <v>116</v>
      </c>
      <c r="DH152" t="s">
        <v>116</v>
      </c>
      <c r="DI152" t="s">
        <v>116</v>
      </c>
    </row>
    <row r="153" spans="1:113" x14ac:dyDescent="0.4">
      <c r="A153" t="str">
        <f>"000566"</f>
        <v>000566</v>
      </c>
      <c r="B153" t="s">
        <v>1197</v>
      </c>
      <c r="C153">
        <v>-2</v>
      </c>
      <c r="D153">
        <v>5.87</v>
      </c>
      <c r="E153">
        <v>-0.12</v>
      </c>
      <c r="F153">
        <v>5.86</v>
      </c>
      <c r="G153">
        <v>5.87</v>
      </c>
      <c r="H153">
        <v>77158</v>
      </c>
      <c r="I153">
        <v>1316</v>
      </c>
      <c r="J153">
        <v>-0.16</v>
      </c>
      <c r="K153">
        <v>0.64</v>
      </c>
      <c r="L153">
        <v>5.99</v>
      </c>
      <c r="M153">
        <v>6.01</v>
      </c>
      <c r="N153">
        <v>5.86</v>
      </c>
      <c r="O153">
        <v>5.99</v>
      </c>
      <c r="P153">
        <v>47.78</v>
      </c>
      <c r="Q153">
        <v>45852276</v>
      </c>
      <c r="R153">
        <v>0.67</v>
      </c>
      <c r="S153" t="s">
        <v>574</v>
      </c>
      <c r="T153" t="s">
        <v>851</v>
      </c>
      <c r="U153">
        <v>2.5</v>
      </c>
      <c r="V153">
        <v>5.94</v>
      </c>
      <c r="W153">
        <v>47587</v>
      </c>
      <c r="X153">
        <v>29571</v>
      </c>
      <c r="Y153">
        <v>1.61</v>
      </c>
      <c r="Z153">
        <v>1382</v>
      </c>
      <c r="AA153">
        <v>637</v>
      </c>
      <c r="AB153" t="s">
        <v>116</v>
      </c>
      <c r="AC153">
        <v>44300</v>
      </c>
      <c r="AD153">
        <v>0</v>
      </c>
      <c r="AE153" t="s">
        <v>116</v>
      </c>
      <c r="AF153" t="s">
        <v>116</v>
      </c>
      <c r="AG153">
        <v>12.03</v>
      </c>
      <c r="AH153" t="s">
        <v>1198</v>
      </c>
      <c r="AI153" t="s">
        <v>1199</v>
      </c>
      <c r="AJ153">
        <v>-1.32</v>
      </c>
      <c r="AK153">
        <v>1554</v>
      </c>
      <c r="AL153">
        <v>50</v>
      </c>
      <c r="AM153">
        <v>4.0000000000000002E-4</v>
      </c>
      <c r="AN153">
        <v>-1</v>
      </c>
      <c r="AO153">
        <v>-2.65</v>
      </c>
      <c r="AP153">
        <v>2.62</v>
      </c>
      <c r="AQ153">
        <v>-9.41</v>
      </c>
      <c r="AR153">
        <v>14.65</v>
      </c>
      <c r="AS153">
        <v>1.01</v>
      </c>
      <c r="AT153" t="s">
        <v>1200</v>
      </c>
      <c r="AU153">
        <v>573.86</v>
      </c>
      <c r="AV153">
        <v>65.59</v>
      </c>
      <c r="AW153">
        <v>1.22</v>
      </c>
      <c r="BA153">
        <v>0</v>
      </c>
      <c r="BB153">
        <v>0.33</v>
      </c>
      <c r="BC153">
        <v>-2.17</v>
      </c>
      <c r="BD153">
        <v>-0.79</v>
      </c>
      <c r="BE153">
        <v>-2</v>
      </c>
      <c r="BF153">
        <v>-2.33</v>
      </c>
      <c r="BG153">
        <v>0.17</v>
      </c>
      <c r="BH153">
        <v>-1.21</v>
      </c>
      <c r="BI153">
        <v>20191031</v>
      </c>
      <c r="BJ153">
        <v>19940525</v>
      </c>
      <c r="BK153">
        <v>13.36</v>
      </c>
      <c r="BL153" t="s">
        <v>116</v>
      </c>
      <c r="BM153" t="s">
        <v>116</v>
      </c>
      <c r="BN153">
        <v>106.84</v>
      </c>
      <c r="BO153">
        <v>47.81</v>
      </c>
      <c r="BP153">
        <v>1.97</v>
      </c>
      <c r="BQ153">
        <v>53.41</v>
      </c>
      <c r="BR153">
        <v>53.46</v>
      </c>
      <c r="BS153">
        <v>13.07</v>
      </c>
      <c r="BT153">
        <v>4.33</v>
      </c>
      <c r="BU153">
        <v>45.48</v>
      </c>
      <c r="BV153">
        <v>6.45</v>
      </c>
      <c r="BW153">
        <v>7.9</v>
      </c>
      <c r="BX153">
        <v>33.89</v>
      </c>
      <c r="BY153">
        <v>19.34</v>
      </c>
      <c r="BZ153">
        <v>7.83</v>
      </c>
      <c r="CA153">
        <v>1.57</v>
      </c>
      <c r="CB153">
        <v>-0.12</v>
      </c>
      <c r="CC153">
        <v>1.52</v>
      </c>
      <c r="CD153">
        <v>1.1299999999999999</v>
      </c>
      <c r="CE153">
        <v>1.23</v>
      </c>
      <c r="CF153">
        <v>0.94</v>
      </c>
      <c r="CG153">
        <v>7.02</v>
      </c>
      <c r="CH153">
        <v>0.08</v>
      </c>
      <c r="CI153">
        <v>-10.53</v>
      </c>
      <c r="CJ153">
        <v>48673</v>
      </c>
      <c r="CK153">
        <v>15725</v>
      </c>
      <c r="CL153" t="s">
        <v>1201</v>
      </c>
      <c r="CM153">
        <v>-46.24</v>
      </c>
      <c r="CN153">
        <v>-5.68</v>
      </c>
      <c r="CO153">
        <v>1.64</v>
      </c>
      <c r="CP153">
        <v>1035.26</v>
      </c>
      <c r="CQ153">
        <v>4.0599999999999996</v>
      </c>
      <c r="CR153">
        <v>0</v>
      </c>
      <c r="CS153" t="s">
        <v>1202</v>
      </c>
      <c r="CT153">
        <v>3.58</v>
      </c>
      <c r="CU153">
        <v>0</v>
      </c>
      <c r="CV153">
        <v>2.54</v>
      </c>
      <c r="CW153">
        <v>0.53</v>
      </c>
      <c r="CX153">
        <v>0.01</v>
      </c>
      <c r="CY153">
        <v>44.75</v>
      </c>
      <c r="CZ153" t="s">
        <v>1203</v>
      </c>
      <c r="DA153">
        <v>59.52</v>
      </c>
      <c r="DB153">
        <v>8.11</v>
      </c>
      <c r="DC153">
        <v>6.37</v>
      </c>
      <c r="DD153">
        <v>0.14000000000000001</v>
      </c>
      <c r="DE153">
        <v>2359</v>
      </c>
      <c r="DF153">
        <v>566</v>
      </c>
      <c r="DG153" t="s">
        <v>116</v>
      </c>
      <c r="DH153" t="s">
        <v>116</v>
      </c>
      <c r="DI153" t="s">
        <v>116</v>
      </c>
    </row>
    <row r="154" spans="1:113" x14ac:dyDescent="0.4">
      <c r="A154" t="str">
        <f>"000567"</f>
        <v>000567</v>
      </c>
      <c r="B154" t="s">
        <v>1204</v>
      </c>
      <c r="C154">
        <v>1.25</v>
      </c>
      <c r="D154">
        <v>8.94</v>
      </c>
      <c r="E154">
        <v>0.11</v>
      </c>
      <c r="F154">
        <v>8.94</v>
      </c>
      <c r="G154">
        <v>8.9499999999999993</v>
      </c>
      <c r="H154">
        <v>111820</v>
      </c>
      <c r="I154">
        <v>1558</v>
      </c>
      <c r="J154">
        <v>0.11</v>
      </c>
      <c r="K154">
        <v>5.13</v>
      </c>
      <c r="L154">
        <v>8.86</v>
      </c>
      <c r="M154">
        <v>9.0399999999999991</v>
      </c>
      <c r="N154">
        <v>8.68</v>
      </c>
      <c r="O154">
        <v>8.83</v>
      </c>
      <c r="P154">
        <v>28.05</v>
      </c>
      <c r="Q154">
        <v>99652960</v>
      </c>
      <c r="R154">
        <v>1.01</v>
      </c>
      <c r="S154" t="s">
        <v>732</v>
      </c>
      <c r="T154" t="s">
        <v>851</v>
      </c>
      <c r="U154">
        <v>4.08</v>
      </c>
      <c r="V154">
        <v>8.91</v>
      </c>
      <c r="W154">
        <v>52445</v>
      </c>
      <c r="X154">
        <v>59375</v>
      </c>
      <c r="Y154">
        <v>0.88</v>
      </c>
      <c r="Z154">
        <v>986</v>
      </c>
      <c r="AA154">
        <v>636</v>
      </c>
      <c r="AB154" t="s">
        <v>116</v>
      </c>
      <c r="AC154">
        <v>101000</v>
      </c>
      <c r="AD154">
        <v>0.01</v>
      </c>
      <c r="AE154" t="s">
        <v>116</v>
      </c>
      <c r="AF154" t="s">
        <v>116</v>
      </c>
      <c r="AG154">
        <v>2.1800000000000002</v>
      </c>
      <c r="AH154" t="s">
        <v>1205</v>
      </c>
      <c r="AI154" t="s">
        <v>1206</v>
      </c>
      <c r="AJ154">
        <v>1.92</v>
      </c>
      <c r="AK154">
        <v>2694</v>
      </c>
      <c r="AL154">
        <v>42</v>
      </c>
      <c r="AM154">
        <v>1.9E-3</v>
      </c>
      <c r="AN154">
        <v>2</v>
      </c>
      <c r="AO154">
        <v>0.23</v>
      </c>
      <c r="AP154">
        <v>11.47</v>
      </c>
      <c r="AQ154">
        <v>3.59</v>
      </c>
      <c r="AR154">
        <v>17.079999999999998</v>
      </c>
      <c r="AS154">
        <v>7.12</v>
      </c>
      <c r="AT154" t="s">
        <v>1207</v>
      </c>
      <c r="AU154">
        <v>29.02</v>
      </c>
      <c r="AV154">
        <v>47.52</v>
      </c>
      <c r="AW154">
        <v>1.53</v>
      </c>
      <c r="BA154">
        <v>0.34</v>
      </c>
      <c r="BB154">
        <v>2.38</v>
      </c>
      <c r="BC154">
        <v>-1.7</v>
      </c>
      <c r="BD154">
        <v>0.93</v>
      </c>
      <c r="BE154">
        <v>0.9</v>
      </c>
      <c r="BF154">
        <v>-1.1100000000000001</v>
      </c>
      <c r="BG154">
        <v>3</v>
      </c>
      <c r="BH154">
        <v>0.32</v>
      </c>
      <c r="BI154">
        <v>20191030</v>
      </c>
      <c r="BJ154">
        <v>19940525</v>
      </c>
      <c r="BK154">
        <v>6.41</v>
      </c>
      <c r="BL154" t="s">
        <v>116</v>
      </c>
      <c r="BM154" t="s">
        <v>116</v>
      </c>
      <c r="BN154">
        <v>54.74</v>
      </c>
      <c r="BO154">
        <v>42.73</v>
      </c>
      <c r="BP154">
        <v>0</v>
      </c>
      <c r="BQ154">
        <v>21.94</v>
      </c>
      <c r="BR154">
        <v>39.68</v>
      </c>
      <c r="BS154">
        <v>0.06</v>
      </c>
      <c r="BT154">
        <v>0</v>
      </c>
      <c r="BU154">
        <v>10.7</v>
      </c>
      <c r="BV154">
        <v>0</v>
      </c>
      <c r="BW154">
        <v>0</v>
      </c>
      <c r="BX154">
        <v>33.53</v>
      </c>
      <c r="BY154">
        <v>2.96</v>
      </c>
      <c r="BZ154">
        <v>0</v>
      </c>
      <c r="CA154">
        <v>1.7</v>
      </c>
      <c r="CB154">
        <v>-0.04</v>
      </c>
      <c r="CC154">
        <v>1.72</v>
      </c>
      <c r="CD154">
        <v>1.53</v>
      </c>
      <c r="CE154">
        <v>1.53</v>
      </c>
      <c r="CF154">
        <v>1.55</v>
      </c>
      <c r="CG154">
        <v>2.59</v>
      </c>
      <c r="CH154">
        <v>-1.84</v>
      </c>
      <c r="CI154">
        <v>1.25</v>
      </c>
      <c r="CJ154">
        <v>25843</v>
      </c>
      <c r="CK154">
        <v>6076</v>
      </c>
      <c r="CL154" t="s">
        <v>1208</v>
      </c>
      <c r="CM154">
        <v>100.72</v>
      </c>
      <c r="CN154">
        <v>19.46</v>
      </c>
      <c r="CO154">
        <v>1.34</v>
      </c>
      <c r="CP154">
        <v>-31.16</v>
      </c>
      <c r="CQ154">
        <v>19.39</v>
      </c>
      <c r="CR154">
        <v>0.37</v>
      </c>
      <c r="CS154" t="s">
        <v>1209</v>
      </c>
      <c r="CT154">
        <v>6.66</v>
      </c>
      <c r="CU154">
        <v>0</v>
      </c>
      <c r="CV154">
        <v>5.23</v>
      </c>
      <c r="CW154">
        <v>0.4</v>
      </c>
      <c r="CX154">
        <v>-0.28999999999999998</v>
      </c>
      <c r="CY154">
        <v>78.06</v>
      </c>
      <c r="CZ154" t="s">
        <v>1210</v>
      </c>
      <c r="DA154" t="s">
        <v>116</v>
      </c>
      <c r="DB154">
        <v>57.53</v>
      </c>
      <c r="DC154">
        <v>51.83</v>
      </c>
      <c r="DD154">
        <v>0</v>
      </c>
      <c r="DE154">
        <v>63</v>
      </c>
      <c r="DF154">
        <v>567</v>
      </c>
      <c r="DG154" t="s">
        <v>116</v>
      </c>
      <c r="DH154" t="s">
        <v>116</v>
      </c>
      <c r="DI154" t="s">
        <v>116</v>
      </c>
    </row>
    <row r="155" spans="1:113" x14ac:dyDescent="0.4">
      <c r="A155" t="str">
        <f>"000568"</f>
        <v>000568</v>
      </c>
      <c r="B155" t="s">
        <v>1211</v>
      </c>
      <c r="C155">
        <v>1.21</v>
      </c>
      <c r="D155">
        <v>81.709999999999994</v>
      </c>
      <c r="E155">
        <v>0.98</v>
      </c>
      <c r="F155">
        <v>81.709999999999994</v>
      </c>
      <c r="G155">
        <v>81.72</v>
      </c>
      <c r="H155">
        <v>111348</v>
      </c>
      <c r="I155">
        <v>537</v>
      </c>
      <c r="J155">
        <v>0</v>
      </c>
      <c r="K155">
        <v>0.76</v>
      </c>
      <c r="L155">
        <v>81.040000000000006</v>
      </c>
      <c r="M155">
        <v>82.47</v>
      </c>
      <c r="N155">
        <v>81.040000000000006</v>
      </c>
      <c r="O155">
        <v>80.73</v>
      </c>
      <c r="P155">
        <v>23.65</v>
      </c>
      <c r="Q155">
        <v>913715008</v>
      </c>
      <c r="R155">
        <v>1.81</v>
      </c>
      <c r="S155" t="s">
        <v>1212</v>
      </c>
      <c r="T155" t="s">
        <v>582</v>
      </c>
      <c r="U155">
        <v>1.77</v>
      </c>
      <c r="V155">
        <v>82.06</v>
      </c>
      <c r="W155">
        <v>52046</v>
      </c>
      <c r="X155">
        <v>59302</v>
      </c>
      <c r="Y155">
        <v>0.88</v>
      </c>
      <c r="Z155">
        <v>60</v>
      </c>
      <c r="AA155">
        <v>47</v>
      </c>
      <c r="AB155" t="s">
        <v>116</v>
      </c>
      <c r="AC155">
        <v>3549600</v>
      </c>
      <c r="AD155">
        <v>0.01</v>
      </c>
      <c r="AE155" t="s">
        <v>116</v>
      </c>
      <c r="AF155" t="s">
        <v>116</v>
      </c>
      <c r="AG155">
        <v>14.6</v>
      </c>
      <c r="AH155" t="s">
        <v>1213</v>
      </c>
      <c r="AI155" t="s">
        <v>1214</v>
      </c>
      <c r="AJ155">
        <v>1.89</v>
      </c>
      <c r="AK155">
        <v>4277</v>
      </c>
      <c r="AL155">
        <v>26</v>
      </c>
      <c r="AM155">
        <v>2.0000000000000001E-4</v>
      </c>
      <c r="AN155">
        <v>1</v>
      </c>
      <c r="AO155">
        <v>-0.42</v>
      </c>
      <c r="AP155">
        <v>-0.05</v>
      </c>
      <c r="AQ155">
        <v>-6.32</v>
      </c>
      <c r="AR155">
        <v>108.92</v>
      </c>
      <c r="AS155">
        <v>1.56</v>
      </c>
      <c r="AT155" t="s">
        <v>1215</v>
      </c>
      <c r="AU155">
        <v>26.42</v>
      </c>
      <c r="AV155">
        <v>34.340000000000003</v>
      </c>
      <c r="AW155">
        <v>0.64</v>
      </c>
      <c r="BA155">
        <v>0.38</v>
      </c>
      <c r="BB155">
        <v>2.16</v>
      </c>
      <c r="BC155">
        <v>0.38</v>
      </c>
      <c r="BD155">
        <v>1.65</v>
      </c>
      <c r="BE155">
        <v>0.83</v>
      </c>
      <c r="BF155">
        <v>-0.92</v>
      </c>
      <c r="BG155">
        <v>0.83</v>
      </c>
      <c r="BH155">
        <v>-0.43</v>
      </c>
      <c r="BI155">
        <v>20191227</v>
      </c>
      <c r="BJ155">
        <v>19940509</v>
      </c>
      <c r="BK155">
        <v>14.65</v>
      </c>
      <c r="BL155" t="s">
        <v>116</v>
      </c>
      <c r="BM155" t="s">
        <v>116</v>
      </c>
      <c r="BN155">
        <v>266.86</v>
      </c>
      <c r="BO155">
        <v>185.6</v>
      </c>
      <c r="BP155">
        <v>1.65</v>
      </c>
      <c r="BQ155">
        <v>29.83</v>
      </c>
      <c r="BR155">
        <v>164.81</v>
      </c>
      <c r="BS155">
        <v>9.85</v>
      </c>
      <c r="BT155">
        <v>2.4</v>
      </c>
      <c r="BU155">
        <v>53.94</v>
      </c>
      <c r="BV155">
        <v>34.82</v>
      </c>
      <c r="BW155">
        <v>0.17</v>
      </c>
      <c r="BX155">
        <v>37.229999999999997</v>
      </c>
      <c r="BY155">
        <v>114.77</v>
      </c>
      <c r="BZ155">
        <v>21.73</v>
      </c>
      <c r="CA155">
        <v>50.51</v>
      </c>
      <c r="CB155">
        <v>1.25</v>
      </c>
      <c r="CC155">
        <v>50.33</v>
      </c>
      <c r="CD155">
        <v>38.159999999999997</v>
      </c>
      <c r="CE155">
        <v>37.950000000000003</v>
      </c>
      <c r="CF155">
        <v>37.92</v>
      </c>
      <c r="CG155">
        <v>117.07</v>
      </c>
      <c r="CH155">
        <v>33.450000000000003</v>
      </c>
      <c r="CI155">
        <v>9.76</v>
      </c>
      <c r="CJ155">
        <v>102420</v>
      </c>
      <c r="CK155">
        <v>6962</v>
      </c>
      <c r="CL155" t="s">
        <v>1216</v>
      </c>
      <c r="CM155">
        <v>37.96</v>
      </c>
      <c r="CN155">
        <v>23.9</v>
      </c>
      <c r="CO155">
        <v>6.45</v>
      </c>
      <c r="CP155">
        <v>35.78</v>
      </c>
      <c r="CQ155">
        <v>10.43</v>
      </c>
      <c r="CR155">
        <v>1.9</v>
      </c>
      <c r="CS155" t="s">
        <v>1217</v>
      </c>
      <c r="CT155">
        <v>12.67</v>
      </c>
      <c r="CU155">
        <v>0</v>
      </c>
      <c r="CV155">
        <v>2.54</v>
      </c>
      <c r="CW155">
        <v>7.99</v>
      </c>
      <c r="CX155">
        <v>2.2799999999999998</v>
      </c>
      <c r="CY155">
        <v>69.55</v>
      </c>
      <c r="CZ155" t="s">
        <v>1218</v>
      </c>
      <c r="DA155">
        <v>81.069999999999993</v>
      </c>
      <c r="DB155">
        <v>44.01</v>
      </c>
      <c r="DC155">
        <v>33.07</v>
      </c>
      <c r="DD155">
        <v>0.39</v>
      </c>
      <c r="DE155">
        <v>2880</v>
      </c>
      <c r="DF155">
        <v>568</v>
      </c>
      <c r="DG155" t="s">
        <v>116</v>
      </c>
      <c r="DH155" t="s">
        <v>116</v>
      </c>
      <c r="DI155" t="s">
        <v>116</v>
      </c>
    </row>
    <row r="156" spans="1:113" x14ac:dyDescent="0.4">
      <c r="A156" t="str">
        <f>"000570"</f>
        <v>000570</v>
      </c>
      <c r="B156" t="s">
        <v>1219</v>
      </c>
      <c r="C156">
        <v>-0.44</v>
      </c>
      <c r="D156">
        <v>4.53</v>
      </c>
      <c r="E156">
        <v>-0.02</v>
      </c>
      <c r="F156">
        <v>4.53</v>
      </c>
      <c r="G156">
        <v>4.54</v>
      </c>
      <c r="H156">
        <v>34095</v>
      </c>
      <c r="I156">
        <v>653</v>
      </c>
      <c r="J156">
        <v>-0.43</v>
      </c>
      <c r="K156">
        <v>0.83</v>
      </c>
      <c r="L156">
        <v>4.54</v>
      </c>
      <c r="M156">
        <v>4.59</v>
      </c>
      <c r="N156">
        <v>4.49</v>
      </c>
      <c r="O156">
        <v>4.55</v>
      </c>
      <c r="P156">
        <v>95.32</v>
      </c>
      <c r="Q156">
        <v>15486978</v>
      </c>
      <c r="R156">
        <v>1.97</v>
      </c>
      <c r="S156" t="s">
        <v>996</v>
      </c>
      <c r="T156" t="s">
        <v>323</v>
      </c>
      <c r="U156">
        <v>2.2000000000000002</v>
      </c>
      <c r="V156">
        <v>4.54</v>
      </c>
      <c r="W156">
        <v>11810</v>
      </c>
      <c r="X156">
        <v>22285</v>
      </c>
      <c r="Y156">
        <v>0.53</v>
      </c>
      <c r="Z156">
        <v>323</v>
      </c>
      <c r="AA156">
        <v>255</v>
      </c>
      <c r="AB156" t="s">
        <v>116</v>
      </c>
      <c r="AC156">
        <v>13600</v>
      </c>
      <c r="AD156">
        <v>0</v>
      </c>
      <c r="AE156" t="s">
        <v>116</v>
      </c>
      <c r="AF156" t="s">
        <v>116</v>
      </c>
      <c r="AG156">
        <v>4.1100000000000003</v>
      </c>
      <c r="AH156" t="s">
        <v>1220</v>
      </c>
      <c r="AI156" t="s">
        <v>1221</v>
      </c>
      <c r="AJ156">
        <v>0.24</v>
      </c>
      <c r="AK156">
        <v>649</v>
      </c>
      <c r="AL156">
        <v>53</v>
      </c>
      <c r="AM156">
        <v>1.2999999999999999E-3</v>
      </c>
      <c r="AN156">
        <v>-1</v>
      </c>
      <c r="AO156">
        <v>0.45</v>
      </c>
      <c r="AP156">
        <v>4.38</v>
      </c>
      <c r="AQ156">
        <v>-3.62</v>
      </c>
      <c r="AR156">
        <v>21.94</v>
      </c>
      <c r="AS156">
        <v>1.42</v>
      </c>
      <c r="AT156" t="s">
        <v>220</v>
      </c>
      <c r="AU156">
        <v>43.31</v>
      </c>
      <c r="AV156">
        <v>41</v>
      </c>
      <c r="AW156">
        <v>1.02</v>
      </c>
      <c r="BA156">
        <v>-0.22</v>
      </c>
      <c r="BB156">
        <v>0.88</v>
      </c>
      <c r="BC156">
        <v>-1.32</v>
      </c>
      <c r="BD156">
        <v>-0.17</v>
      </c>
      <c r="BE156">
        <v>-0.22</v>
      </c>
      <c r="BF156">
        <v>-1.31</v>
      </c>
      <c r="BG156">
        <v>0.89</v>
      </c>
      <c r="BH156">
        <v>-0.27</v>
      </c>
      <c r="BI156">
        <v>20191030</v>
      </c>
      <c r="BJ156">
        <v>19940701</v>
      </c>
      <c r="BK156">
        <v>5.61</v>
      </c>
      <c r="BL156">
        <v>1.5</v>
      </c>
      <c r="BM156" t="s">
        <v>116</v>
      </c>
      <c r="BN156">
        <v>34.979999999999997</v>
      </c>
      <c r="BO156">
        <v>20.8</v>
      </c>
      <c r="BP156">
        <v>0.2</v>
      </c>
      <c r="BQ156">
        <v>39.97</v>
      </c>
      <c r="BR156">
        <v>22.27</v>
      </c>
      <c r="BS156">
        <v>4.7</v>
      </c>
      <c r="BT156">
        <v>1</v>
      </c>
      <c r="BU156">
        <v>12.85</v>
      </c>
      <c r="BV156">
        <v>4.66</v>
      </c>
      <c r="BW156">
        <v>8.14</v>
      </c>
      <c r="BX156">
        <v>1.64</v>
      </c>
      <c r="BY156">
        <v>15.76</v>
      </c>
      <c r="BZ156">
        <v>13.6</v>
      </c>
      <c r="CA156">
        <v>0.17</v>
      </c>
      <c r="CB156">
        <v>0.06</v>
      </c>
      <c r="CC156">
        <v>0.18</v>
      </c>
      <c r="CD156">
        <v>0.2</v>
      </c>
      <c r="CE156">
        <v>0.2</v>
      </c>
      <c r="CF156">
        <v>0.14000000000000001</v>
      </c>
      <c r="CG156">
        <v>7.24</v>
      </c>
      <c r="CH156">
        <v>-1.78</v>
      </c>
      <c r="CI156">
        <v>-2.87</v>
      </c>
      <c r="CJ156">
        <v>51028</v>
      </c>
      <c r="CK156">
        <v>7653</v>
      </c>
      <c r="CL156" t="s">
        <v>1222</v>
      </c>
      <c r="CM156">
        <v>-14.16</v>
      </c>
      <c r="CN156">
        <v>-2.65</v>
      </c>
      <c r="CO156">
        <v>1.22</v>
      </c>
      <c r="CP156">
        <v>-14.3</v>
      </c>
      <c r="CQ156">
        <v>1.61</v>
      </c>
      <c r="CR156">
        <v>0.55000000000000004</v>
      </c>
      <c r="CS156" t="s">
        <v>1223</v>
      </c>
      <c r="CT156">
        <v>3.71</v>
      </c>
      <c r="CU156">
        <v>0</v>
      </c>
      <c r="CV156">
        <v>0.28999999999999998</v>
      </c>
      <c r="CW156">
        <v>1.29</v>
      </c>
      <c r="CX156">
        <v>-0.32</v>
      </c>
      <c r="CY156">
        <v>59.47</v>
      </c>
      <c r="CZ156" t="s">
        <v>1224</v>
      </c>
      <c r="DA156">
        <v>13.74</v>
      </c>
      <c r="DB156">
        <v>1.08</v>
      </c>
      <c r="DC156">
        <v>1.27</v>
      </c>
      <c r="DD156">
        <v>0.5</v>
      </c>
      <c r="DE156">
        <v>3186</v>
      </c>
      <c r="DF156">
        <v>570</v>
      </c>
      <c r="DG156" t="s">
        <v>116</v>
      </c>
      <c r="DH156" t="s">
        <v>116</v>
      </c>
      <c r="DI156" t="s">
        <v>116</v>
      </c>
    </row>
    <row r="157" spans="1:113" x14ac:dyDescent="0.4">
      <c r="A157" t="str">
        <f>"000571"</f>
        <v>000571</v>
      </c>
      <c r="B157" t="s">
        <v>1225</v>
      </c>
      <c r="C157">
        <v>-1.79</v>
      </c>
      <c r="D157">
        <v>2.75</v>
      </c>
      <c r="E157">
        <v>-0.05</v>
      </c>
      <c r="F157">
        <v>2.74</v>
      </c>
      <c r="G157">
        <v>2.75</v>
      </c>
      <c r="H157">
        <v>43511</v>
      </c>
      <c r="I157">
        <v>655</v>
      </c>
      <c r="J157">
        <v>0</v>
      </c>
      <c r="K157">
        <v>0.54</v>
      </c>
      <c r="L157">
        <v>2.78</v>
      </c>
      <c r="M157">
        <v>2.8</v>
      </c>
      <c r="N157">
        <v>2.74</v>
      </c>
      <c r="O157">
        <v>2.8</v>
      </c>
      <c r="P157" t="s">
        <v>116</v>
      </c>
      <c r="Q157">
        <v>12057168</v>
      </c>
      <c r="R157">
        <v>0.64</v>
      </c>
      <c r="S157" t="s">
        <v>173</v>
      </c>
      <c r="T157" t="s">
        <v>851</v>
      </c>
      <c r="U157">
        <v>2.14</v>
      </c>
      <c r="V157">
        <v>2.77</v>
      </c>
      <c r="W157">
        <v>29039</v>
      </c>
      <c r="X157">
        <v>14472</v>
      </c>
      <c r="Y157">
        <v>2.0099999999999998</v>
      </c>
      <c r="Z157">
        <v>1464</v>
      </c>
      <c r="AA157">
        <v>68</v>
      </c>
      <c r="AB157" t="s">
        <v>116</v>
      </c>
      <c r="AC157">
        <v>58400</v>
      </c>
      <c r="AD157">
        <v>0</v>
      </c>
      <c r="AE157" t="s">
        <v>116</v>
      </c>
      <c r="AF157" t="s">
        <v>116</v>
      </c>
      <c r="AG157">
        <v>8.06</v>
      </c>
      <c r="AH157" t="s">
        <v>1226</v>
      </c>
      <c r="AI157" t="s">
        <v>1227</v>
      </c>
      <c r="AJ157">
        <v>-1.1100000000000001</v>
      </c>
      <c r="AK157">
        <v>368</v>
      </c>
      <c r="AL157">
        <v>118</v>
      </c>
      <c r="AM157">
        <v>1.5E-3</v>
      </c>
      <c r="AN157">
        <v>-1</v>
      </c>
      <c r="AO157">
        <v>0.72</v>
      </c>
      <c r="AP157">
        <v>20.09</v>
      </c>
      <c r="AQ157">
        <v>17.02</v>
      </c>
      <c r="AR157">
        <v>-19.829999999999998</v>
      </c>
      <c r="AS157">
        <v>0.72</v>
      </c>
      <c r="AT157" t="s">
        <v>1228</v>
      </c>
      <c r="AU157" t="s">
        <v>116</v>
      </c>
      <c r="AV157" t="s">
        <v>116</v>
      </c>
      <c r="AW157">
        <v>0.78</v>
      </c>
      <c r="BA157">
        <v>-0.71</v>
      </c>
      <c r="BB157">
        <v>0</v>
      </c>
      <c r="BC157">
        <v>-2.14</v>
      </c>
      <c r="BD157">
        <v>-1.03</v>
      </c>
      <c r="BE157">
        <v>-1.08</v>
      </c>
      <c r="BF157">
        <v>-1.79</v>
      </c>
      <c r="BG157">
        <v>0.36</v>
      </c>
      <c r="BH157">
        <v>-0.75</v>
      </c>
      <c r="BI157">
        <v>20191031</v>
      </c>
      <c r="BJ157">
        <v>19940525</v>
      </c>
      <c r="BK157">
        <v>8.14</v>
      </c>
      <c r="BL157" t="s">
        <v>116</v>
      </c>
      <c r="BM157" t="s">
        <v>116</v>
      </c>
      <c r="BN157">
        <v>38.74</v>
      </c>
      <c r="BO157">
        <v>12.11</v>
      </c>
      <c r="BP157">
        <v>5.63</v>
      </c>
      <c r="BQ157">
        <v>54.21</v>
      </c>
      <c r="BR157">
        <v>13.04</v>
      </c>
      <c r="BS157">
        <v>15.33</v>
      </c>
      <c r="BT157">
        <v>3.39</v>
      </c>
      <c r="BU157">
        <v>18.75</v>
      </c>
      <c r="BV157">
        <v>0.77</v>
      </c>
      <c r="BW157">
        <v>2.6</v>
      </c>
      <c r="BX157">
        <v>6.45</v>
      </c>
      <c r="BY157">
        <v>10.76</v>
      </c>
      <c r="BZ157">
        <v>8.16</v>
      </c>
      <c r="CA157">
        <v>-0.56000000000000005</v>
      </c>
      <c r="CB157">
        <v>-0.17</v>
      </c>
      <c r="CC157">
        <v>-0.53</v>
      </c>
      <c r="CD157">
        <v>-0.59</v>
      </c>
      <c r="CE157">
        <v>-0.88</v>
      </c>
      <c r="CF157">
        <v>-0.99</v>
      </c>
      <c r="CG157">
        <v>-3.39</v>
      </c>
      <c r="CH157">
        <v>1.1000000000000001</v>
      </c>
      <c r="CI157">
        <v>-0.96</v>
      </c>
      <c r="CJ157">
        <v>71895</v>
      </c>
      <c r="CK157">
        <v>8428</v>
      </c>
      <c r="CL157" t="s">
        <v>1229</v>
      </c>
      <c r="CM157">
        <v>-425.26</v>
      </c>
      <c r="CN157">
        <v>-20.34</v>
      </c>
      <c r="CO157">
        <v>1.85</v>
      </c>
      <c r="CP157">
        <v>20.440000000000001</v>
      </c>
      <c r="CQ157">
        <v>2.08</v>
      </c>
      <c r="CR157">
        <v>0</v>
      </c>
      <c r="CS157" t="s">
        <v>1230</v>
      </c>
      <c r="CT157">
        <v>1.49</v>
      </c>
      <c r="CU157">
        <v>0</v>
      </c>
      <c r="CV157">
        <v>0.79</v>
      </c>
      <c r="CW157">
        <v>-0.42</v>
      </c>
      <c r="CX157">
        <v>0.13</v>
      </c>
      <c r="CY157">
        <v>31.26</v>
      </c>
      <c r="CZ157" t="s">
        <v>1231</v>
      </c>
      <c r="DA157">
        <v>24.16</v>
      </c>
      <c r="DB157">
        <v>-5.24</v>
      </c>
      <c r="DC157">
        <v>-8.18</v>
      </c>
      <c r="DD157">
        <v>0</v>
      </c>
      <c r="DE157">
        <v>3808</v>
      </c>
      <c r="DF157">
        <v>571</v>
      </c>
      <c r="DG157" t="s">
        <v>116</v>
      </c>
      <c r="DH157" t="s">
        <v>116</v>
      </c>
      <c r="DI157" t="s">
        <v>116</v>
      </c>
    </row>
    <row r="158" spans="1:113" x14ac:dyDescent="0.4">
      <c r="A158" t="str">
        <f>"000572"</f>
        <v>000572</v>
      </c>
      <c r="B158" t="s">
        <v>1232</v>
      </c>
      <c r="C158">
        <v>0.53</v>
      </c>
      <c r="D158">
        <v>1.91</v>
      </c>
      <c r="E158">
        <v>0.01</v>
      </c>
      <c r="F158">
        <v>1.91</v>
      </c>
      <c r="G158">
        <v>1.92</v>
      </c>
      <c r="H158">
        <v>136692</v>
      </c>
      <c r="I158">
        <v>939</v>
      </c>
      <c r="J158">
        <v>-0.51</v>
      </c>
      <c r="K158">
        <v>0.83</v>
      </c>
      <c r="L158">
        <v>1.92</v>
      </c>
      <c r="M158">
        <v>1.97</v>
      </c>
      <c r="N158">
        <v>1.91</v>
      </c>
      <c r="O158">
        <v>1.9</v>
      </c>
      <c r="P158" t="s">
        <v>116</v>
      </c>
      <c r="Q158">
        <v>26495088</v>
      </c>
      <c r="R158">
        <v>0.75</v>
      </c>
      <c r="S158" t="s">
        <v>1108</v>
      </c>
      <c r="T158" t="s">
        <v>851</v>
      </c>
      <c r="U158">
        <v>3.16</v>
      </c>
      <c r="V158">
        <v>1.94</v>
      </c>
      <c r="W158">
        <v>64735</v>
      </c>
      <c r="X158">
        <v>71957</v>
      </c>
      <c r="Y158">
        <v>0.9</v>
      </c>
      <c r="Z158">
        <v>3832</v>
      </c>
      <c r="AA158">
        <v>2027</v>
      </c>
      <c r="AB158" t="s">
        <v>116</v>
      </c>
      <c r="AC158">
        <v>618200</v>
      </c>
      <c r="AD158">
        <v>0.03</v>
      </c>
      <c r="AE158" t="s">
        <v>116</v>
      </c>
      <c r="AF158" t="s">
        <v>116</v>
      </c>
      <c r="AG158">
        <v>16.420000000000002</v>
      </c>
      <c r="AH158" t="s">
        <v>1233</v>
      </c>
      <c r="AI158" t="s">
        <v>1234</v>
      </c>
      <c r="AJ158">
        <v>1.21</v>
      </c>
      <c r="AK158">
        <v>821</v>
      </c>
      <c r="AL158">
        <v>166</v>
      </c>
      <c r="AM158">
        <v>1E-3</v>
      </c>
      <c r="AN158">
        <v>1</v>
      </c>
      <c r="AO158">
        <v>-2.04</v>
      </c>
      <c r="AP158">
        <v>7.3</v>
      </c>
      <c r="AQ158">
        <v>0</v>
      </c>
      <c r="AR158">
        <v>-10.33</v>
      </c>
      <c r="AS158">
        <v>1.27</v>
      </c>
      <c r="AT158" t="s">
        <v>1235</v>
      </c>
      <c r="AU158" t="s">
        <v>116</v>
      </c>
      <c r="AV158" t="s">
        <v>116</v>
      </c>
      <c r="AW158">
        <v>0.62</v>
      </c>
      <c r="BA158">
        <v>1.05</v>
      </c>
      <c r="BB158">
        <v>3.68</v>
      </c>
      <c r="BC158">
        <v>0.53</v>
      </c>
      <c r="BD158">
        <v>2.02</v>
      </c>
      <c r="BE158">
        <v>-0.52</v>
      </c>
      <c r="BF158">
        <v>-3.05</v>
      </c>
      <c r="BG158">
        <v>0</v>
      </c>
      <c r="BH158">
        <v>-1.49</v>
      </c>
      <c r="BI158">
        <v>20191223</v>
      </c>
      <c r="BJ158">
        <v>19940808</v>
      </c>
      <c r="BK158">
        <v>16.45</v>
      </c>
      <c r="BL158" t="s">
        <v>116</v>
      </c>
      <c r="BM158" t="s">
        <v>116</v>
      </c>
      <c r="BN158">
        <v>109.01</v>
      </c>
      <c r="BO158">
        <v>46.71</v>
      </c>
      <c r="BP158">
        <v>9</v>
      </c>
      <c r="BQ158">
        <v>48.9</v>
      </c>
      <c r="BR158">
        <v>29.01</v>
      </c>
      <c r="BS158">
        <v>29.99</v>
      </c>
      <c r="BT158">
        <v>14.33</v>
      </c>
      <c r="BU158">
        <v>51.4</v>
      </c>
      <c r="BV158">
        <v>6.5</v>
      </c>
      <c r="BW158">
        <v>7.42</v>
      </c>
      <c r="BX158">
        <v>37.65</v>
      </c>
      <c r="BY158">
        <v>34.35</v>
      </c>
      <c r="BZ158">
        <v>33.53</v>
      </c>
      <c r="CA158">
        <v>-2.1800000000000002</v>
      </c>
      <c r="CB158">
        <v>1.31</v>
      </c>
      <c r="CC158">
        <v>-2.14</v>
      </c>
      <c r="CD158">
        <v>-1.48</v>
      </c>
      <c r="CE158">
        <v>-2.0099999999999998</v>
      </c>
      <c r="CF158">
        <v>-3.63</v>
      </c>
      <c r="CG158">
        <v>-8.84</v>
      </c>
      <c r="CH158">
        <v>3.01</v>
      </c>
      <c r="CI158">
        <v>1.25</v>
      </c>
      <c r="CJ158">
        <v>80472</v>
      </c>
      <c r="CK158">
        <v>13365</v>
      </c>
      <c r="CL158" t="s">
        <v>1236</v>
      </c>
      <c r="CM158">
        <v>57.79</v>
      </c>
      <c r="CN158">
        <v>-15.07</v>
      </c>
      <c r="CO158">
        <v>0.67</v>
      </c>
      <c r="CP158">
        <v>10.42</v>
      </c>
      <c r="CQ158">
        <v>0.91</v>
      </c>
      <c r="CR158">
        <v>0</v>
      </c>
      <c r="CS158" t="s">
        <v>1237</v>
      </c>
      <c r="CT158">
        <v>2.84</v>
      </c>
      <c r="CU158">
        <v>0</v>
      </c>
      <c r="CV158">
        <v>2.29</v>
      </c>
      <c r="CW158">
        <v>-0.54</v>
      </c>
      <c r="CX158">
        <v>0.18</v>
      </c>
      <c r="CY158">
        <v>42.85</v>
      </c>
      <c r="CZ158" t="s">
        <v>1238</v>
      </c>
      <c r="DA158">
        <v>2.39</v>
      </c>
      <c r="DB158">
        <v>-6.36</v>
      </c>
      <c r="DC158">
        <v>-5.87</v>
      </c>
      <c r="DD158">
        <v>1.37</v>
      </c>
      <c r="DE158">
        <v>6278</v>
      </c>
      <c r="DF158">
        <v>572</v>
      </c>
      <c r="DG158" t="s">
        <v>116</v>
      </c>
      <c r="DH158" t="s">
        <v>116</v>
      </c>
      <c r="DI158" t="s">
        <v>116</v>
      </c>
    </row>
    <row r="159" spans="1:113" x14ac:dyDescent="0.4">
      <c r="A159" t="str">
        <f>"000573"</f>
        <v>000573</v>
      </c>
      <c r="B159" t="s">
        <v>1239</v>
      </c>
      <c r="C159">
        <v>-1.62</v>
      </c>
      <c r="D159">
        <v>3.03</v>
      </c>
      <c r="E159">
        <v>-0.05</v>
      </c>
      <c r="F159">
        <v>3.03</v>
      </c>
      <c r="G159">
        <v>3.04</v>
      </c>
      <c r="H159">
        <v>53170</v>
      </c>
      <c r="I159">
        <v>490</v>
      </c>
      <c r="J159">
        <v>0</v>
      </c>
      <c r="K159">
        <v>0.85</v>
      </c>
      <c r="L159">
        <v>3.08</v>
      </c>
      <c r="M159">
        <v>3.09</v>
      </c>
      <c r="N159">
        <v>3.03</v>
      </c>
      <c r="O159">
        <v>3.08</v>
      </c>
      <c r="P159">
        <v>10.72</v>
      </c>
      <c r="Q159">
        <v>16272372</v>
      </c>
      <c r="R159">
        <v>0.91</v>
      </c>
      <c r="S159" t="s">
        <v>148</v>
      </c>
      <c r="T159" t="s">
        <v>551</v>
      </c>
      <c r="U159">
        <v>1.95</v>
      </c>
      <c r="V159">
        <v>3.06</v>
      </c>
      <c r="W159">
        <v>30217</v>
      </c>
      <c r="X159">
        <v>22953</v>
      </c>
      <c r="Y159">
        <v>1.32</v>
      </c>
      <c r="Z159">
        <v>671</v>
      </c>
      <c r="AA159">
        <v>1530</v>
      </c>
      <c r="AB159" t="s">
        <v>116</v>
      </c>
      <c r="AC159">
        <v>76400</v>
      </c>
      <c r="AD159">
        <v>0</v>
      </c>
      <c r="AE159" t="s">
        <v>116</v>
      </c>
      <c r="AF159" t="s">
        <v>116</v>
      </c>
      <c r="AG159">
        <v>6.29</v>
      </c>
      <c r="AH159" t="s">
        <v>1240</v>
      </c>
      <c r="AI159" t="s">
        <v>1241</v>
      </c>
      <c r="AJ159">
        <v>-0.94</v>
      </c>
      <c r="AK159">
        <v>1383</v>
      </c>
      <c r="AL159">
        <v>38</v>
      </c>
      <c r="AM159">
        <v>5.9999999999999995E-4</v>
      </c>
      <c r="AN159">
        <v>-1</v>
      </c>
      <c r="AO159">
        <v>-0.32</v>
      </c>
      <c r="AP159">
        <v>4.4800000000000004</v>
      </c>
      <c r="AQ159">
        <v>6.32</v>
      </c>
      <c r="AR159">
        <v>1.34</v>
      </c>
      <c r="AS159">
        <v>1.06</v>
      </c>
      <c r="AT159" t="s">
        <v>1242</v>
      </c>
      <c r="AU159">
        <v>8.3000000000000007</v>
      </c>
      <c r="AV159">
        <v>37.770000000000003</v>
      </c>
      <c r="AW159">
        <v>0.72</v>
      </c>
      <c r="BA159">
        <v>0</v>
      </c>
      <c r="BB159">
        <v>0.32</v>
      </c>
      <c r="BC159">
        <v>-1.62</v>
      </c>
      <c r="BD159">
        <v>-0.63</v>
      </c>
      <c r="BE159">
        <v>-1.62</v>
      </c>
      <c r="BF159">
        <v>-1.94</v>
      </c>
      <c r="BG159">
        <v>0</v>
      </c>
      <c r="BH159">
        <v>-0.99</v>
      </c>
      <c r="BI159">
        <v>20191031</v>
      </c>
      <c r="BJ159">
        <v>19940815</v>
      </c>
      <c r="BK159">
        <v>6.49</v>
      </c>
      <c r="BL159" t="s">
        <v>116</v>
      </c>
      <c r="BM159" t="s">
        <v>116</v>
      </c>
      <c r="BN159">
        <v>32.61</v>
      </c>
      <c r="BO159">
        <v>17.95</v>
      </c>
      <c r="BP159">
        <v>7.0000000000000007E-2</v>
      </c>
      <c r="BQ159">
        <v>44.71</v>
      </c>
      <c r="BR159">
        <v>20.5</v>
      </c>
      <c r="BS159">
        <v>1.4</v>
      </c>
      <c r="BT159">
        <v>1.67</v>
      </c>
      <c r="BU159">
        <v>9.2200000000000006</v>
      </c>
      <c r="BV159">
        <v>13.07</v>
      </c>
      <c r="BW159">
        <v>0.03</v>
      </c>
      <c r="BX159">
        <v>5.47</v>
      </c>
      <c r="BY159">
        <v>7.45</v>
      </c>
      <c r="BZ159">
        <v>5.19</v>
      </c>
      <c r="CA159">
        <v>1.69</v>
      </c>
      <c r="CB159">
        <v>0.93</v>
      </c>
      <c r="CC159">
        <v>1.64</v>
      </c>
      <c r="CD159">
        <v>1.31</v>
      </c>
      <c r="CE159">
        <v>1.38</v>
      </c>
      <c r="CF159">
        <v>1.41</v>
      </c>
      <c r="CG159">
        <v>4.3</v>
      </c>
      <c r="CH159">
        <v>-0.67</v>
      </c>
      <c r="CI159">
        <v>0.44</v>
      </c>
      <c r="CJ159">
        <v>49262</v>
      </c>
      <c r="CK159">
        <v>10175</v>
      </c>
      <c r="CL159" t="s">
        <v>1243</v>
      </c>
      <c r="CM159">
        <v>390.99</v>
      </c>
      <c r="CN159">
        <v>180.69</v>
      </c>
      <c r="CO159">
        <v>1.0900000000000001</v>
      </c>
      <c r="CP159">
        <v>-29.14</v>
      </c>
      <c r="CQ159">
        <v>2.64</v>
      </c>
      <c r="CR159">
        <v>1.98</v>
      </c>
      <c r="CS159" t="s">
        <v>1244</v>
      </c>
      <c r="CT159">
        <v>2.77</v>
      </c>
      <c r="CU159">
        <v>0</v>
      </c>
      <c r="CV159">
        <v>0.84</v>
      </c>
      <c r="CW159">
        <v>0.66</v>
      </c>
      <c r="CX159">
        <v>-0.1</v>
      </c>
      <c r="CY159">
        <v>55.06</v>
      </c>
      <c r="CZ159" t="s">
        <v>1245</v>
      </c>
      <c r="DA159">
        <v>30.35</v>
      </c>
      <c r="DB159">
        <v>22.76</v>
      </c>
      <c r="DC159">
        <v>18.47</v>
      </c>
      <c r="DD159">
        <v>0</v>
      </c>
      <c r="DE159">
        <v>402</v>
      </c>
      <c r="DF159">
        <v>573</v>
      </c>
      <c r="DG159" t="s">
        <v>116</v>
      </c>
      <c r="DH159" t="s">
        <v>116</v>
      </c>
      <c r="DI159" t="s">
        <v>116</v>
      </c>
    </row>
    <row r="160" spans="1:113" x14ac:dyDescent="0.4">
      <c r="A160" t="str">
        <f>"000576"</f>
        <v>000576</v>
      </c>
      <c r="B160" t="s">
        <v>1246</v>
      </c>
      <c r="C160">
        <v>10.029999999999999</v>
      </c>
      <c r="D160">
        <v>7.79</v>
      </c>
      <c r="E160">
        <v>0.71</v>
      </c>
      <c r="F160">
        <v>7.79</v>
      </c>
      <c r="G160" t="s">
        <v>116</v>
      </c>
      <c r="H160">
        <v>244186</v>
      </c>
      <c r="I160">
        <v>1101</v>
      </c>
      <c r="J160">
        <v>0</v>
      </c>
      <c r="K160">
        <v>5.71</v>
      </c>
      <c r="L160">
        <v>7.1</v>
      </c>
      <c r="M160">
        <v>7.79</v>
      </c>
      <c r="N160">
        <v>7.06</v>
      </c>
      <c r="O160">
        <v>7.08</v>
      </c>
      <c r="P160">
        <v>30.34</v>
      </c>
      <c r="Q160">
        <v>184167168</v>
      </c>
      <c r="R160">
        <v>4.67</v>
      </c>
      <c r="S160" t="s">
        <v>824</v>
      </c>
      <c r="T160" t="s">
        <v>551</v>
      </c>
      <c r="U160">
        <v>10.31</v>
      </c>
      <c r="V160">
        <v>7.54</v>
      </c>
      <c r="W160">
        <v>110975</v>
      </c>
      <c r="X160">
        <v>133211</v>
      </c>
      <c r="Y160">
        <v>0.83</v>
      </c>
      <c r="Z160">
        <v>13642</v>
      </c>
      <c r="AA160">
        <v>0</v>
      </c>
      <c r="AB160" t="s">
        <v>116</v>
      </c>
      <c r="AC160">
        <v>134200</v>
      </c>
      <c r="AD160">
        <v>0.01</v>
      </c>
      <c r="AE160">
        <v>0.06</v>
      </c>
      <c r="AF160">
        <v>10627118</v>
      </c>
      <c r="AG160">
        <v>4.28</v>
      </c>
      <c r="AH160" t="s">
        <v>1247</v>
      </c>
      <c r="AI160" t="s">
        <v>1248</v>
      </c>
      <c r="AJ160">
        <v>10.71</v>
      </c>
      <c r="AK160">
        <v>2730</v>
      </c>
      <c r="AL160">
        <v>89</v>
      </c>
      <c r="AM160">
        <v>2.0999999999999999E-3</v>
      </c>
      <c r="AN160">
        <v>1</v>
      </c>
      <c r="AO160">
        <v>8.8000000000000007</v>
      </c>
      <c r="AP160">
        <v>8.19</v>
      </c>
      <c r="AQ160">
        <v>-3.95</v>
      </c>
      <c r="AR160">
        <v>29.83</v>
      </c>
      <c r="AS160">
        <v>10.01</v>
      </c>
      <c r="AT160" t="s">
        <v>1249</v>
      </c>
      <c r="AU160">
        <v>15.55</v>
      </c>
      <c r="AV160">
        <v>35.18</v>
      </c>
      <c r="AW160">
        <v>0.72</v>
      </c>
      <c r="BA160">
        <v>0.28000000000000003</v>
      </c>
      <c r="BB160">
        <v>10.029999999999999</v>
      </c>
      <c r="BC160">
        <v>-0.28000000000000003</v>
      </c>
      <c r="BD160">
        <v>6.53</v>
      </c>
      <c r="BE160">
        <v>9.7200000000000006</v>
      </c>
      <c r="BF160">
        <v>0</v>
      </c>
      <c r="BG160">
        <v>10.34</v>
      </c>
      <c r="BH160">
        <v>3.5</v>
      </c>
      <c r="BI160">
        <v>20191223</v>
      </c>
      <c r="BJ160">
        <v>19940907</v>
      </c>
      <c r="BK160">
        <v>4.43</v>
      </c>
      <c r="BL160" t="s">
        <v>116</v>
      </c>
      <c r="BM160" t="s">
        <v>116</v>
      </c>
      <c r="BN160">
        <v>16.309999999999999</v>
      </c>
      <c r="BO160">
        <v>11.1</v>
      </c>
      <c r="BP160">
        <v>0.28999999999999998</v>
      </c>
      <c r="BQ160">
        <v>30.13</v>
      </c>
      <c r="BR160">
        <v>5.98</v>
      </c>
      <c r="BS160">
        <v>0.64</v>
      </c>
      <c r="BT160">
        <v>0.28999999999999998</v>
      </c>
      <c r="BU160">
        <v>1.46</v>
      </c>
      <c r="BV160">
        <v>1.18</v>
      </c>
      <c r="BW160">
        <v>0.61</v>
      </c>
      <c r="BX160">
        <v>7.57</v>
      </c>
      <c r="BY160">
        <v>3.4</v>
      </c>
      <c r="BZ160">
        <v>2.36</v>
      </c>
      <c r="CA160">
        <v>1.02</v>
      </c>
      <c r="CB160">
        <v>0.37</v>
      </c>
      <c r="CC160">
        <v>1.02</v>
      </c>
      <c r="CD160">
        <v>0.93</v>
      </c>
      <c r="CE160">
        <v>0.85</v>
      </c>
      <c r="CF160">
        <v>0.39</v>
      </c>
      <c r="CG160">
        <v>-1.36</v>
      </c>
      <c r="CH160">
        <v>-0.4</v>
      </c>
      <c r="CI160">
        <v>-1.02</v>
      </c>
      <c r="CJ160">
        <v>26714</v>
      </c>
      <c r="CK160">
        <v>9133</v>
      </c>
      <c r="CL160" t="s">
        <v>1250</v>
      </c>
      <c r="CM160">
        <v>321.86</v>
      </c>
      <c r="CN160">
        <v>31.74</v>
      </c>
      <c r="CO160">
        <v>3.11</v>
      </c>
      <c r="CP160">
        <v>-85.71</v>
      </c>
      <c r="CQ160">
        <v>10.14</v>
      </c>
      <c r="CR160">
        <v>0</v>
      </c>
      <c r="CS160" t="s">
        <v>1251</v>
      </c>
      <c r="CT160">
        <v>2.5099999999999998</v>
      </c>
      <c r="CU160">
        <v>0</v>
      </c>
      <c r="CV160">
        <v>1.71</v>
      </c>
      <c r="CW160">
        <v>-0.31</v>
      </c>
      <c r="CX160">
        <v>-0.09</v>
      </c>
      <c r="CY160">
        <v>68.08</v>
      </c>
      <c r="CZ160" t="s">
        <v>1252</v>
      </c>
      <c r="DA160">
        <v>30.54</v>
      </c>
      <c r="DB160">
        <v>29.99</v>
      </c>
      <c r="DC160">
        <v>25.08</v>
      </c>
      <c r="DD160">
        <v>0.14000000000000001</v>
      </c>
      <c r="DE160">
        <v>235</v>
      </c>
      <c r="DF160">
        <v>576</v>
      </c>
      <c r="DG160" t="s">
        <v>116</v>
      </c>
      <c r="DH160" t="s">
        <v>116</v>
      </c>
      <c r="DI160" t="s">
        <v>116</v>
      </c>
    </row>
    <row r="161" spans="1:113" x14ac:dyDescent="0.4">
      <c r="A161" t="str">
        <f>"000581"</f>
        <v>000581</v>
      </c>
      <c r="B161" t="s">
        <v>1253</v>
      </c>
      <c r="C161">
        <v>0.27</v>
      </c>
      <c r="D161">
        <v>18.84</v>
      </c>
      <c r="E161">
        <v>0.05</v>
      </c>
      <c r="F161">
        <v>18.829999999999998</v>
      </c>
      <c r="G161">
        <v>18.84</v>
      </c>
      <c r="H161">
        <v>74432</v>
      </c>
      <c r="I161">
        <v>953</v>
      </c>
      <c r="J161">
        <v>0.05</v>
      </c>
      <c r="K161">
        <v>0.89</v>
      </c>
      <c r="L161">
        <v>18.87</v>
      </c>
      <c r="M161">
        <v>19.149999999999999</v>
      </c>
      <c r="N161">
        <v>18.809999999999999</v>
      </c>
      <c r="O161">
        <v>18.79</v>
      </c>
      <c r="P161">
        <v>8.26</v>
      </c>
      <c r="Q161">
        <v>141163792</v>
      </c>
      <c r="R161">
        <v>1.36</v>
      </c>
      <c r="S161" t="s">
        <v>293</v>
      </c>
      <c r="T161" t="s">
        <v>323</v>
      </c>
      <c r="U161">
        <v>1.81</v>
      </c>
      <c r="V161">
        <v>18.97</v>
      </c>
      <c r="W161">
        <v>37450</v>
      </c>
      <c r="X161">
        <v>36982</v>
      </c>
      <c r="Y161">
        <v>1.01</v>
      </c>
      <c r="Z161">
        <v>125</v>
      </c>
      <c r="AA161">
        <v>175</v>
      </c>
      <c r="AB161" t="s">
        <v>116</v>
      </c>
      <c r="AC161">
        <v>322700</v>
      </c>
      <c r="AD161">
        <v>0</v>
      </c>
      <c r="AE161" t="s">
        <v>116</v>
      </c>
      <c r="AF161" t="s">
        <v>116</v>
      </c>
      <c r="AG161">
        <v>8.36</v>
      </c>
      <c r="AH161" t="s">
        <v>1254</v>
      </c>
      <c r="AI161" t="s">
        <v>1255</v>
      </c>
      <c r="AJ161">
        <v>0.94</v>
      </c>
      <c r="AK161">
        <v>3661</v>
      </c>
      <c r="AL161">
        <v>20</v>
      </c>
      <c r="AM161">
        <v>2.0000000000000001E-4</v>
      </c>
      <c r="AN161">
        <v>2</v>
      </c>
      <c r="AO161">
        <v>-0.56999999999999995</v>
      </c>
      <c r="AP161">
        <v>1.29</v>
      </c>
      <c r="AQ161">
        <v>14.18</v>
      </c>
      <c r="AR161">
        <v>14.46</v>
      </c>
      <c r="AS161">
        <v>1.44</v>
      </c>
      <c r="AT161" t="s">
        <v>1256</v>
      </c>
      <c r="AU161">
        <v>9.1999999999999993</v>
      </c>
      <c r="AV161">
        <v>7.93</v>
      </c>
      <c r="AW161">
        <v>0.61</v>
      </c>
      <c r="BA161">
        <v>0.43</v>
      </c>
      <c r="BB161">
        <v>1.92</v>
      </c>
      <c r="BC161">
        <v>0.11</v>
      </c>
      <c r="BD161">
        <v>0.93</v>
      </c>
      <c r="BE161">
        <v>-0.16</v>
      </c>
      <c r="BF161">
        <v>-1.62</v>
      </c>
      <c r="BG161">
        <v>0.16</v>
      </c>
      <c r="BH161">
        <v>-0.67</v>
      </c>
      <c r="BI161">
        <v>20191030</v>
      </c>
      <c r="BJ161">
        <v>19980924</v>
      </c>
      <c r="BK161">
        <v>10.09</v>
      </c>
      <c r="BL161">
        <v>1.72</v>
      </c>
      <c r="BM161" t="s">
        <v>116</v>
      </c>
      <c r="BN161">
        <v>228.23</v>
      </c>
      <c r="BO161">
        <v>164.46</v>
      </c>
      <c r="BP161">
        <v>4.4400000000000004</v>
      </c>
      <c r="BQ161">
        <v>26</v>
      </c>
      <c r="BR161">
        <v>128.41</v>
      </c>
      <c r="BS161">
        <v>27.1</v>
      </c>
      <c r="BT161">
        <v>3.25</v>
      </c>
      <c r="BU161">
        <v>54.01</v>
      </c>
      <c r="BV161">
        <v>17.16</v>
      </c>
      <c r="BW161">
        <v>22.1</v>
      </c>
      <c r="BX161">
        <v>33.92</v>
      </c>
      <c r="BY161">
        <v>63.19</v>
      </c>
      <c r="BZ161">
        <v>49.53</v>
      </c>
      <c r="CA161">
        <v>18.309999999999999</v>
      </c>
      <c r="CB161">
        <v>12.88</v>
      </c>
      <c r="CC161">
        <v>18.559999999999999</v>
      </c>
      <c r="CD161">
        <v>17.510000000000002</v>
      </c>
      <c r="CE161">
        <v>17.27</v>
      </c>
      <c r="CF161">
        <v>15.4</v>
      </c>
      <c r="CG161">
        <v>115.29</v>
      </c>
      <c r="CH161">
        <v>12.39</v>
      </c>
      <c r="CI161">
        <v>2.68</v>
      </c>
      <c r="CJ161">
        <v>63734</v>
      </c>
      <c r="CK161">
        <v>10819</v>
      </c>
      <c r="CL161" t="s">
        <v>1257</v>
      </c>
      <c r="CM161">
        <v>-16</v>
      </c>
      <c r="CN161">
        <v>-7.88</v>
      </c>
      <c r="CO161">
        <v>1.1599999999999999</v>
      </c>
      <c r="CP161">
        <v>15.34</v>
      </c>
      <c r="CQ161">
        <v>3.01</v>
      </c>
      <c r="CR161">
        <v>6.37</v>
      </c>
      <c r="CS161" t="s">
        <v>1258</v>
      </c>
      <c r="CT161">
        <v>16.3</v>
      </c>
      <c r="CU161">
        <v>0</v>
      </c>
      <c r="CV161">
        <v>3.36</v>
      </c>
      <c r="CW161">
        <v>11.43</v>
      </c>
      <c r="CX161">
        <v>1.23</v>
      </c>
      <c r="CY161">
        <v>72.06</v>
      </c>
      <c r="CZ161" t="s">
        <v>1259</v>
      </c>
      <c r="DA161">
        <v>21.62</v>
      </c>
      <c r="DB161">
        <v>28.98</v>
      </c>
      <c r="DC161">
        <v>27.32</v>
      </c>
      <c r="DD161">
        <v>2.69</v>
      </c>
      <c r="DE161">
        <v>5522</v>
      </c>
      <c r="DF161">
        <v>581</v>
      </c>
      <c r="DG161" t="s">
        <v>116</v>
      </c>
      <c r="DH161" t="s">
        <v>116</v>
      </c>
      <c r="DI161" t="s">
        <v>116</v>
      </c>
    </row>
    <row r="162" spans="1:113" x14ac:dyDescent="0.4">
      <c r="A162" t="str">
        <f>"000582"</f>
        <v>000582</v>
      </c>
      <c r="B162" t="s">
        <v>1260</v>
      </c>
      <c r="C162">
        <v>-0.12</v>
      </c>
      <c r="D162">
        <v>8.49</v>
      </c>
      <c r="E162">
        <v>-0.01</v>
      </c>
      <c r="F162">
        <v>8.48</v>
      </c>
      <c r="G162">
        <v>8.49</v>
      </c>
      <c r="H162">
        <v>19191</v>
      </c>
      <c r="I162">
        <v>166</v>
      </c>
      <c r="J162">
        <v>0.24</v>
      </c>
      <c r="K162">
        <v>0.32</v>
      </c>
      <c r="L162">
        <v>8.51</v>
      </c>
      <c r="M162">
        <v>8.5399999999999991</v>
      </c>
      <c r="N162">
        <v>8.4700000000000006</v>
      </c>
      <c r="O162">
        <v>8.5</v>
      </c>
      <c r="P162">
        <v>14.43</v>
      </c>
      <c r="Q162">
        <v>16341695</v>
      </c>
      <c r="R162">
        <v>1.08</v>
      </c>
      <c r="S162" t="s">
        <v>515</v>
      </c>
      <c r="T162" t="s">
        <v>982</v>
      </c>
      <c r="U162">
        <v>0.82</v>
      </c>
      <c r="V162">
        <v>8.52</v>
      </c>
      <c r="W162">
        <v>11990</v>
      </c>
      <c r="X162">
        <v>7201</v>
      </c>
      <c r="Y162">
        <v>1.67</v>
      </c>
      <c r="Z162">
        <v>140</v>
      </c>
      <c r="AA162">
        <v>245</v>
      </c>
      <c r="AB162" t="s">
        <v>116</v>
      </c>
      <c r="AC162">
        <v>37400</v>
      </c>
      <c r="AD162">
        <v>0</v>
      </c>
      <c r="AE162" t="s">
        <v>116</v>
      </c>
      <c r="AF162" t="s">
        <v>116</v>
      </c>
      <c r="AG162">
        <v>5.96</v>
      </c>
      <c r="AH162" t="s">
        <v>1261</v>
      </c>
      <c r="AI162" t="s">
        <v>1262</v>
      </c>
      <c r="AJ162">
        <v>0.56000000000000005</v>
      </c>
      <c r="AK162">
        <v>725</v>
      </c>
      <c r="AL162">
        <v>26</v>
      </c>
      <c r="AM162">
        <v>4.0000000000000002E-4</v>
      </c>
      <c r="AN162">
        <v>-2</v>
      </c>
      <c r="AO162">
        <v>-0.47</v>
      </c>
      <c r="AP162">
        <v>-3.63</v>
      </c>
      <c r="AQ162">
        <v>-2.64</v>
      </c>
      <c r="AR162">
        <v>22.59</v>
      </c>
      <c r="AS162">
        <v>0.38</v>
      </c>
      <c r="AT162" t="s">
        <v>1263</v>
      </c>
      <c r="AU162">
        <v>16.05</v>
      </c>
      <c r="AV162">
        <v>21.49</v>
      </c>
      <c r="AW162">
        <v>0.83</v>
      </c>
      <c r="BA162">
        <v>0.12</v>
      </c>
      <c r="BB162">
        <v>0.47</v>
      </c>
      <c r="BC162">
        <v>-0.35</v>
      </c>
      <c r="BD162">
        <v>0.18</v>
      </c>
      <c r="BE162">
        <v>-0.24</v>
      </c>
      <c r="BF162">
        <v>-0.59</v>
      </c>
      <c r="BG162">
        <v>0.24</v>
      </c>
      <c r="BH162">
        <v>-0.3</v>
      </c>
      <c r="BI162">
        <v>20191227</v>
      </c>
      <c r="BJ162">
        <v>19951102</v>
      </c>
      <c r="BK162">
        <v>16.350000000000001</v>
      </c>
      <c r="BL162" t="s">
        <v>116</v>
      </c>
      <c r="BM162" t="s">
        <v>116</v>
      </c>
      <c r="BN162">
        <v>170</v>
      </c>
      <c r="BO162">
        <v>95.95</v>
      </c>
      <c r="BP162">
        <v>12.91</v>
      </c>
      <c r="BQ162">
        <v>35.96</v>
      </c>
      <c r="BR162">
        <v>36.22</v>
      </c>
      <c r="BS162">
        <v>101.87</v>
      </c>
      <c r="BT162">
        <v>22.99</v>
      </c>
      <c r="BU162">
        <v>35.49</v>
      </c>
      <c r="BV162">
        <v>0.28000000000000003</v>
      </c>
      <c r="BW162">
        <v>4.63</v>
      </c>
      <c r="BX162">
        <v>39.119999999999997</v>
      </c>
      <c r="BY162">
        <v>33.61</v>
      </c>
      <c r="BZ162">
        <v>20.57</v>
      </c>
      <c r="CA162">
        <v>9.09</v>
      </c>
      <c r="CB162">
        <v>0</v>
      </c>
      <c r="CC162">
        <v>9.1</v>
      </c>
      <c r="CD162">
        <v>7.84</v>
      </c>
      <c r="CE162">
        <v>7.21</v>
      </c>
      <c r="CF162">
        <v>7.09</v>
      </c>
      <c r="CG162">
        <v>36.81</v>
      </c>
      <c r="CH162">
        <v>12.16</v>
      </c>
      <c r="CI162">
        <v>-3.55</v>
      </c>
      <c r="CJ162">
        <v>29945</v>
      </c>
      <c r="CK162">
        <v>16826</v>
      </c>
      <c r="CL162" t="s">
        <v>1264</v>
      </c>
      <c r="CM162">
        <v>43.61</v>
      </c>
      <c r="CN162">
        <v>11.54</v>
      </c>
      <c r="CO162">
        <v>1.45</v>
      </c>
      <c r="CP162">
        <v>11.42</v>
      </c>
      <c r="CQ162">
        <v>4.13</v>
      </c>
      <c r="CR162">
        <v>1.34</v>
      </c>
      <c r="CS162" t="s">
        <v>1265</v>
      </c>
      <c r="CT162">
        <v>5.87</v>
      </c>
      <c r="CU162">
        <v>0</v>
      </c>
      <c r="CV162">
        <v>2.39</v>
      </c>
      <c r="CW162">
        <v>2.25</v>
      </c>
      <c r="CX162">
        <v>0.74</v>
      </c>
      <c r="CY162">
        <v>56.44</v>
      </c>
      <c r="CZ162" t="s">
        <v>1266</v>
      </c>
      <c r="DA162">
        <v>38.799999999999997</v>
      </c>
      <c r="DB162">
        <v>27.05</v>
      </c>
      <c r="DC162">
        <v>21.46</v>
      </c>
      <c r="DD162">
        <v>0</v>
      </c>
      <c r="DE162">
        <v>3755</v>
      </c>
      <c r="DF162">
        <v>582</v>
      </c>
      <c r="DG162" t="s">
        <v>116</v>
      </c>
      <c r="DH162" t="s">
        <v>116</v>
      </c>
      <c r="DI162" t="s">
        <v>116</v>
      </c>
    </row>
    <row r="163" spans="1:113" x14ac:dyDescent="0.4">
      <c r="A163" t="str">
        <f>"000584"</f>
        <v>000584</v>
      </c>
      <c r="B163" t="s">
        <v>1267</v>
      </c>
      <c r="C163">
        <v>-1.73</v>
      </c>
      <c r="D163">
        <v>6.24</v>
      </c>
      <c r="E163">
        <v>-0.11</v>
      </c>
      <c r="F163">
        <v>6.24</v>
      </c>
      <c r="G163">
        <v>6.25</v>
      </c>
      <c r="H163">
        <v>69389</v>
      </c>
      <c r="I163">
        <v>656</v>
      </c>
      <c r="J163">
        <v>0.16</v>
      </c>
      <c r="K163">
        <v>1.1599999999999999</v>
      </c>
      <c r="L163">
        <v>6.31</v>
      </c>
      <c r="M163">
        <v>6.36</v>
      </c>
      <c r="N163">
        <v>6.2</v>
      </c>
      <c r="O163">
        <v>6.35</v>
      </c>
      <c r="P163">
        <v>56.91</v>
      </c>
      <c r="Q163">
        <v>43664544</v>
      </c>
      <c r="R163">
        <v>0.98</v>
      </c>
      <c r="S163" t="s">
        <v>682</v>
      </c>
      <c r="T163" t="s">
        <v>323</v>
      </c>
      <c r="U163">
        <v>2.52</v>
      </c>
      <c r="V163">
        <v>6.29</v>
      </c>
      <c r="W163">
        <v>40964</v>
      </c>
      <c r="X163">
        <v>28425</v>
      </c>
      <c r="Y163">
        <v>1.44</v>
      </c>
      <c r="Z163">
        <v>77</v>
      </c>
      <c r="AA163">
        <v>120</v>
      </c>
      <c r="AB163" t="s">
        <v>116</v>
      </c>
      <c r="AC163">
        <v>224600</v>
      </c>
      <c r="AD163">
        <v>0.01</v>
      </c>
      <c r="AE163" t="s">
        <v>116</v>
      </c>
      <c r="AF163" t="s">
        <v>116</v>
      </c>
      <c r="AG163">
        <v>5.98</v>
      </c>
      <c r="AH163" t="s">
        <v>1268</v>
      </c>
      <c r="AI163" t="s">
        <v>1269</v>
      </c>
      <c r="AJ163">
        <v>-1.05</v>
      </c>
      <c r="AK163">
        <v>1493</v>
      </c>
      <c r="AL163">
        <v>46</v>
      </c>
      <c r="AM163">
        <v>8.0000000000000004E-4</v>
      </c>
      <c r="AN163">
        <v>-1</v>
      </c>
      <c r="AO163">
        <v>1.8</v>
      </c>
      <c r="AP163">
        <v>5.76</v>
      </c>
      <c r="AQ163">
        <v>-7.42</v>
      </c>
      <c r="AR163">
        <v>-0.32</v>
      </c>
      <c r="AS163">
        <v>1.67</v>
      </c>
      <c r="AT163" t="s">
        <v>1270</v>
      </c>
      <c r="AU163">
        <v>54.62</v>
      </c>
      <c r="AV163">
        <v>31.8</v>
      </c>
      <c r="AW163">
        <v>1.31</v>
      </c>
      <c r="BA163">
        <v>-0.63</v>
      </c>
      <c r="BB163">
        <v>0.16</v>
      </c>
      <c r="BC163">
        <v>-2.36</v>
      </c>
      <c r="BD163">
        <v>-0.9</v>
      </c>
      <c r="BE163">
        <v>-1.1100000000000001</v>
      </c>
      <c r="BF163">
        <v>-1.89</v>
      </c>
      <c r="BG163">
        <v>0.65</v>
      </c>
      <c r="BH163">
        <v>-0.83</v>
      </c>
      <c r="BI163">
        <v>20191031</v>
      </c>
      <c r="BJ163">
        <v>19951128</v>
      </c>
      <c r="BK163">
        <v>6.13</v>
      </c>
      <c r="BL163" t="s">
        <v>116</v>
      </c>
      <c r="BM163" t="s">
        <v>116</v>
      </c>
      <c r="BN163">
        <v>47.12</v>
      </c>
      <c r="BO163">
        <v>17.399999999999999</v>
      </c>
      <c r="BP163">
        <v>0.93</v>
      </c>
      <c r="BQ163">
        <v>61.11</v>
      </c>
      <c r="BR163">
        <v>26.16</v>
      </c>
      <c r="BS163">
        <v>1.04</v>
      </c>
      <c r="BT163">
        <v>0.74</v>
      </c>
      <c r="BU163">
        <v>25.17</v>
      </c>
      <c r="BV163">
        <v>11.84</v>
      </c>
      <c r="BW163">
        <v>5.08</v>
      </c>
      <c r="BX163">
        <v>6.75</v>
      </c>
      <c r="BY163">
        <v>12.35</v>
      </c>
      <c r="BZ163">
        <v>9.67</v>
      </c>
      <c r="CA163">
        <v>0.31</v>
      </c>
      <c r="CB163">
        <v>0.16</v>
      </c>
      <c r="CC163">
        <v>0.71</v>
      </c>
      <c r="CD163">
        <v>0.5</v>
      </c>
      <c r="CE163">
        <v>0.5</v>
      </c>
      <c r="CF163">
        <v>0.15</v>
      </c>
      <c r="CG163">
        <v>3.72</v>
      </c>
      <c r="CH163">
        <v>-1.3</v>
      </c>
      <c r="CI163">
        <v>-2.4500000000000002</v>
      </c>
      <c r="CJ163">
        <v>42048</v>
      </c>
      <c r="CK163">
        <v>9868</v>
      </c>
      <c r="CL163" t="s">
        <v>1271</v>
      </c>
      <c r="CM163">
        <v>-49.92</v>
      </c>
      <c r="CN163">
        <v>-32.36</v>
      </c>
      <c r="CO163">
        <v>2.2000000000000002</v>
      </c>
      <c r="CP163">
        <v>-29.37</v>
      </c>
      <c r="CQ163">
        <v>3.1</v>
      </c>
      <c r="CR163">
        <v>0.32</v>
      </c>
      <c r="CS163" t="s">
        <v>1272</v>
      </c>
      <c r="CT163">
        <v>2.84</v>
      </c>
      <c r="CU163">
        <v>0</v>
      </c>
      <c r="CV163">
        <v>1.1000000000000001</v>
      </c>
      <c r="CW163">
        <v>0.61</v>
      </c>
      <c r="CX163">
        <v>-0.21</v>
      </c>
      <c r="CY163">
        <v>36.92</v>
      </c>
      <c r="CZ163" t="s">
        <v>146</v>
      </c>
      <c r="DA163">
        <v>21.74</v>
      </c>
      <c r="DB163">
        <v>2.5099999999999998</v>
      </c>
      <c r="DC163">
        <v>4.08</v>
      </c>
      <c r="DD163">
        <v>0.44</v>
      </c>
      <c r="DE163">
        <v>915</v>
      </c>
      <c r="DF163">
        <v>584</v>
      </c>
      <c r="DG163" t="s">
        <v>116</v>
      </c>
      <c r="DH163" t="s">
        <v>116</v>
      </c>
      <c r="DI163" t="s">
        <v>116</v>
      </c>
    </row>
    <row r="164" spans="1:113" x14ac:dyDescent="0.4">
      <c r="A164" t="str">
        <f>"000585"</f>
        <v>000585</v>
      </c>
      <c r="B164" t="s">
        <v>1273</v>
      </c>
      <c r="C164">
        <v>0</v>
      </c>
      <c r="D164">
        <v>2.0099999999999998</v>
      </c>
      <c r="E164">
        <v>0</v>
      </c>
      <c r="F164">
        <v>2.0099999999999998</v>
      </c>
      <c r="G164">
        <v>2.02</v>
      </c>
      <c r="H164">
        <v>32376</v>
      </c>
      <c r="I164">
        <v>569</v>
      </c>
      <c r="J164">
        <v>-0.49</v>
      </c>
      <c r="K164">
        <v>0.53</v>
      </c>
      <c r="L164">
        <v>2.0099999999999998</v>
      </c>
      <c r="M164">
        <v>2.0499999999999998</v>
      </c>
      <c r="N164">
        <v>1.99</v>
      </c>
      <c r="O164">
        <v>2.0099999999999998</v>
      </c>
      <c r="P164" t="s">
        <v>116</v>
      </c>
      <c r="Q164">
        <v>6560620</v>
      </c>
      <c r="R164">
        <v>0.49</v>
      </c>
      <c r="S164" t="s">
        <v>397</v>
      </c>
      <c r="T164" t="s">
        <v>851</v>
      </c>
      <c r="U164">
        <v>2.99</v>
      </c>
      <c r="V164">
        <v>2.0299999999999998</v>
      </c>
      <c r="W164">
        <v>16922</v>
      </c>
      <c r="X164">
        <v>15454</v>
      </c>
      <c r="Y164">
        <v>1.0900000000000001</v>
      </c>
      <c r="Z164">
        <v>1148</v>
      </c>
      <c r="AA164">
        <v>1242</v>
      </c>
      <c r="AB164" t="s">
        <v>116</v>
      </c>
      <c r="AC164">
        <v>17900</v>
      </c>
      <c r="AD164">
        <v>0</v>
      </c>
      <c r="AE164" t="s">
        <v>116</v>
      </c>
      <c r="AF164" t="s">
        <v>116</v>
      </c>
      <c r="AG164">
        <v>6.09</v>
      </c>
      <c r="AH164" t="s">
        <v>1274</v>
      </c>
      <c r="AI164" t="s">
        <v>1275</v>
      </c>
      <c r="AJ164">
        <v>0.68</v>
      </c>
      <c r="AK164">
        <v>308</v>
      </c>
      <c r="AL164">
        <v>105</v>
      </c>
      <c r="AM164">
        <v>1.6999999999999999E-3</v>
      </c>
      <c r="AN164">
        <v>0</v>
      </c>
      <c r="AO164">
        <v>-1.95</v>
      </c>
      <c r="AP164">
        <v>9.84</v>
      </c>
      <c r="AQ164">
        <v>9.24</v>
      </c>
      <c r="AR164">
        <v>-1.47</v>
      </c>
      <c r="AS164">
        <v>0.61</v>
      </c>
      <c r="AT164" t="s">
        <v>1276</v>
      </c>
      <c r="AU164" t="s">
        <v>116</v>
      </c>
      <c r="AV164">
        <v>120.27</v>
      </c>
      <c r="AW164">
        <v>0.56999999999999995</v>
      </c>
      <c r="BA164">
        <v>0</v>
      </c>
      <c r="BB164">
        <v>1.99</v>
      </c>
      <c r="BC164">
        <v>-1</v>
      </c>
      <c r="BD164">
        <v>0.82</v>
      </c>
      <c r="BE164">
        <v>0</v>
      </c>
      <c r="BF164">
        <v>-1.95</v>
      </c>
      <c r="BG164">
        <v>1.01</v>
      </c>
      <c r="BH164">
        <v>-0.82</v>
      </c>
      <c r="BI164">
        <v>20191031</v>
      </c>
      <c r="BJ164">
        <v>19951213</v>
      </c>
      <c r="BK164">
        <v>8.73</v>
      </c>
      <c r="BL164" t="s">
        <v>116</v>
      </c>
      <c r="BM164">
        <v>2.58</v>
      </c>
      <c r="BN164">
        <v>5.52</v>
      </c>
      <c r="BO164">
        <v>0.13</v>
      </c>
      <c r="BP164">
        <v>0.06</v>
      </c>
      <c r="BQ164">
        <v>96.63</v>
      </c>
      <c r="BR164">
        <v>1.98</v>
      </c>
      <c r="BS164">
        <v>0.5</v>
      </c>
      <c r="BT164">
        <v>0.15</v>
      </c>
      <c r="BU164">
        <v>4.04</v>
      </c>
      <c r="BV164">
        <v>0.13</v>
      </c>
      <c r="BW164">
        <v>0.31</v>
      </c>
      <c r="BX164">
        <v>10.83</v>
      </c>
      <c r="BY164">
        <v>0.72</v>
      </c>
      <c r="BZ164">
        <v>0.37</v>
      </c>
      <c r="CA164">
        <v>-0.05</v>
      </c>
      <c r="CB164">
        <v>0</v>
      </c>
      <c r="CC164">
        <v>-0.05</v>
      </c>
      <c r="CD164">
        <v>-0.06</v>
      </c>
      <c r="CE164">
        <v>-0.06</v>
      </c>
      <c r="CF164">
        <v>-0.02</v>
      </c>
      <c r="CG164">
        <v>-20.25</v>
      </c>
      <c r="CH164">
        <v>-0.11</v>
      </c>
      <c r="CI164">
        <v>-0.11</v>
      </c>
      <c r="CJ164">
        <v>60835</v>
      </c>
      <c r="CK164">
        <v>8678</v>
      </c>
      <c r="CL164" t="s">
        <v>1277</v>
      </c>
      <c r="CM164">
        <v>-158.53</v>
      </c>
      <c r="CN164">
        <v>233.72</v>
      </c>
      <c r="CO164">
        <v>134.55000000000001</v>
      </c>
      <c r="CP164">
        <v>-160.54</v>
      </c>
      <c r="CQ164">
        <v>24.35</v>
      </c>
      <c r="CR164">
        <v>0</v>
      </c>
      <c r="CS164" t="s">
        <v>1278</v>
      </c>
      <c r="CT164">
        <v>0.01</v>
      </c>
      <c r="CU164">
        <v>0</v>
      </c>
      <c r="CV164">
        <v>1.24</v>
      </c>
      <c r="CW164">
        <v>-2.3199999999999998</v>
      </c>
      <c r="CX164">
        <v>-0.01</v>
      </c>
      <c r="CY164">
        <v>2.36</v>
      </c>
      <c r="CZ164" t="s">
        <v>1279</v>
      </c>
      <c r="DA164">
        <v>48.27</v>
      </c>
      <c r="DB164">
        <v>-7.51</v>
      </c>
      <c r="DC164">
        <v>-7.85</v>
      </c>
      <c r="DD164">
        <v>0</v>
      </c>
      <c r="DE164">
        <v>167</v>
      </c>
      <c r="DF164">
        <v>585</v>
      </c>
      <c r="DG164" t="s">
        <v>116</v>
      </c>
      <c r="DH164" t="s">
        <v>116</v>
      </c>
      <c r="DI164" t="s">
        <v>116</v>
      </c>
    </row>
    <row r="165" spans="1:113" x14ac:dyDescent="0.4">
      <c r="A165" t="str">
        <f>"000586"</f>
        <v>000586</v>
      </c>
      <c r="B165" t="s">
        <v>1280</v>
      </c>
      <c r="C165">
        <v>-2.02</v>
      </c>
      <c r="D165">
        <v>10.210000000000001</v>
      </c>
      <c r="E165">
        <v>-0.21</v>
      </c>
      <c r="F165">
        <v>10.199999999999999</v>
      </c>
      <c r="G165">
        <v>10.210000000000001</v>
      </c>
      <c r="H165">
        <v>49074</v>
      </c>
      <c r="I165">
        <v>503</v>
      </c>
      <c r="J165">
        <v>0</v>
      </c>
      <c r="K165">
        <v>2.54</v>
      </c>
      <c r="L165">
        <v>10.48</v>
      </c>
      <c r="M165">
        <v>10.57</v>
      </c>
      <c r="N165">
        <v>10.19</v>
      </c>
      <c r="O165">
        <v>10.42</v>
      </c>
      <c r="P165">
        <v>239.64</v>
      </c>
      <c r="Q165">
        <v>50849376</v>
      </c>
      <c r="R165">
        <v>0.97</v>
      </c>
      <c r="S165" t="s">
        <v>465</v>
      </c>
      <c r="T165" t="s">
        <v>582</v>
      </c>
      <c r="U165">
        <v>3.65</v>
      </c>
      <c r="V165">
        <v>10.36</v>
      </c>
      <c r="W165">
        <v>32629</v>
      </c>
      <c r="X165">
        <v>16445</v>
      </c>
      <c r="Y165">
        <v>1.98</v>
      </c>
      <c r="Z165">
        <v>677</v>
      </c>
      <c r="AA165">
        <v>4</v>
      </c>
      <c r="AB165" t="s">
        <v>116</v>
      </c>
      <c r="AC165">
        <v>246300</v>
      </c>
      <c r="AD165">
        <v>0.02</v>
      </c>
      <c r="AE165" t="s">
        <v>116</v>
      </c>
      <c r="AF165" t="s">
        <v>116</v>
      </c>
      <c r="AG165">
        <v>1.93</v>
      </c>
      <c r="AH165" t="s">
        <v>1281</v>
      </c>
      <c r="AI165" t="s">
        <v>1281</v>
      </c>
      <c r="AJ165">
        <v>-1.34</v>
      </c>
      <c r="AK165">
        <v>2702</v>
      </c>
      <c r="AL165">
        <v>18</v>
      </c>
      <c r="AM165">
        <v>8.9999999999999998E-4</v>
      </c>
      <c r="AN165">
        <v>-2</v>
      </c>
      <c r="AO165">
        <v>-0.69</v>
      </c>
      <c r="AP165">
        <v>3.65</v>
      </c>
      <c r="AQ165">
        <v>-16.989999999999998</v>
      </c>
      <c r="AR165">
        <v>-11.75</v>
      </c>
      <c r="AS165">
        <v>3.93</v>
      </c>
      <c r="AT165" t="s">
        <v>1282</v>
      </c>
      <c r="AU165">
        <v>381.99</v>
      </c>
      <c r="AV165" t="s">
        <v>116</v>
      </c>
      <c r="AW165">
        <v>1.42</v>
      </c>
      <c r="BA165">
        <v>0.57999999999999996</v>
      </c>
      <c r="BB165">
        <v>1.44</v>
      </c>
      <c r="BC165">
        <v>-2.21</v>
      </c>
      <c r="BD165">
        <v>-0.56000000000000005</v>
      </c>
      <c r="BE165">
        <v>-2.58</v>
      </c>
      <c r="BF165">
        <v>-3.41</v>
      </c>
      <c r="BG165">
        <v>0.2</v>
      </c>
      <c r="BH165">
        <v>-1.46</v>
      </c>
      <c r="BI165">
        <v>20191030</v>
      </c>
      <c r="BJ165">
        <v>19951220</v>
      </c>
      <c r="BK165">
        <v>1.93</v>
      </c>
      <c r="BL165" t="s">
        <v>116</v>
      </c>
      <c r="BM165" t="s">
        <v>116</v>
      </c>
      <c r="BN165">
        <v>6.09</v>
      </c>
      <c r="BO165">
        <v>2.42</v>
      </c>
      <c r="BP165">
        <v>0.25</v>
      </c>
      <c r="BQ165">
        <v>56.14</v>
      </c>
      <c r="BR165">
        <v>5.27</v>
      </c>
      <c r="BS165">
        <v>0.45</v>
      </c>
      <c r="BT165">
        <v>0.21</v>
      </c>
      <c r="BU165">
        <v>3.21</v>
      </c>
      <c r="BV165">
        <v>1.2</v>
      </c>
      <c r="BW165">
        <v>2.4900000000000002</v>
      </c>
      <c r="BX165">
        <v>0.65</v>
      </c>
      <c r="BY165">
        <v>2.78</v>
      </c>
      <c r="BZ165">
        <v>2.04</v>
      </c>
      <c r="CA165">
        <v>0.05</v>
      </c>
      <c r="CB165">
        <v>0.01</v>
      </c>
      <c r="CC165">
        <v>0.06</v>
      </c>
      <c r="CD165">
        <v>0.04</v>
      </c>
      <c r="CE165">
        <v>0.06</v>
      </c>
      <c r="CF165">
        <v>0.04</v>
      </c>
      <c r="CG165">
        <v>-0.34</v>
      </c>
      <c r="CH165">
        <v>-0.35</v>
      </c>
      <c r="CI165">
        <v>-0.03</v>
      </c>
      <c r="CJ165">
        <v>28285</v>
      </c>
      <c r="CK165">
        <v>4416</v>
      </c>
      <c r="CL165" t="s">
        <v>1283</v>
      </c>
      <c r="CM165">
        <v>427.72</v>
      </c>
      <c r="CN165">
        <v>10.97</v>
      </c>
      <c r="CO165">
        <v>8.15</v>
      </c>
      <c r="CP165">
        <v>-56.76</v>
      </c>
      <c r="CQ165">
        <v>7.12</v>
      </c>
      <c r="CR165">
        <v>0</v>
      </c>
      <c r="CS165" t="s">
        <v>1284</v>
      </c>
      <c r="CT165">
        <v>1.25</v>
      </c>
      <c r="CU165">
        <v>0</v>
      </c>
      <c r="CV165">
        <v>0.33</v>
      </c>
      <c r="CW165">
        <v>-0.17</v>
      </c>
      <c r="CX165">
        <v>-0.18</v>
      </c>
      <c r="CY165">
        <v>39.81</v>
      </c>
      <c r="CZ165" t="s">
        <v>1285</v>
      </c>
      <c r="DA165">
        <v>26.44</v>
      </c>
      <c r="DB165">
        <v>1.7</v>
      </c>
      <c r="DC165">
        <v>2.23</v>
      </c>
      <c r="DD165">
        <v>0.1</v>
      </c>
      <c r="DE165">
        <v>983</v>
      </c>
      <c r="DF165">
        <v>586</v>
      </c>
      <c r="DG165" t="s">
        <v>116</v>
      </c>
      <c r="DH165" t="s">
        <v>116</v>
      </c>
      <c r="DI165" t="s">
        <v>116</v>
      </c>
    </row>
    <row r="166" spans="1:113" x14ac:dyDescent="0.4">
      <c r="A166" t="str">
        <f>"000587"</f>
        <v>000587</v>
      </c>
      <c r="B166" t="s">
        <v>1286</v>
      </c>
      <c r="C166">
        <v>1.67</v>
      </c>
      <c r="D166">
        <v>1.83</v>
      </c>
      <c r="E166">
        <v>0.03</v>
      </c>
      <c r="F166">
        <v>1.82</v>
      </c>
      <c r="G166">
        <v>1.83</v>
      </c>
      <c r="H166">
        <v>472729</v>
      </c>
      <c r="I166">
        <v>2109</v>
      </c>
      <c r="J166">
        <v>0.55000000000000004</v>
      </c>
      <c r="K166">
        <v>3.9</v>
      </c>
      <c r="L166">
        <v>1.8</v>
      </c>
      <c r="M166">
        <v>1.85</v>
      </c>
      <c r="N166">
        <v>1.8</v>
      </c>
      <c r="O166">
        <v>1.8</v>
      </c>
      <c r="P166" t="s">
        <v>116</v>
      </c>
      <c r="Q166">
        <v>86567136</v>
      </c>
      <c r="R166">
        <v>1.79</v>
      </c>
      <c r="S166" t="s">
        <v>457</v>
      </c>
      <c r="T166" t="s">
        <v>1287</v>
      </c>
      <c r="U166">
        <v>2.78</v>
      </c>
      <c r="V166">
        <v>1.83</v>
      </c>
      <c r="W166">
        <v>203686</v>
      </c>
      <c r="X166">
        <v>269043</v>
      </c>
      <c r="Y166">
        <v>0.76</v>
      </c>
      <c r="Z166">
        <v>14056</v>
      </c>
      <c r="AA166">
        <v>6797</v>
      </c>
      <c r="AB166" t="s">
        <v>116</v>
      </c>
      <c r="AC166">
        <v>572400</v>
      </c>
      <c r="AD166">
        <v>0.04</v>
      </c>
      <c r="AE166" t="s">
        <v>116</v>
      </c>
      <c r="AF166" t="s">
        <v>116</v>
      </c>
      <c r="AG166">
        <v>12.13</v>
      </c>
      <c r="AH166" t="s">
        <v>1288</v>
      </c>
      <c r="AI166" t="s">
        <v>1289</v>
      </c>
      <c r="AJ166">
        <v>2.35</v>
      </c>
      <c r="AK166">
        <v>2383</v>
      </c>
      <c r="AL166">
        <v>198</v>
      </c>
      <c r="AM166">
        <v>1.6000000000000001E-3</v>
      </c>
      <c r="AN166">
        <v>1</v>
      </c>
      <c r="AO166">
        <v>2.2400000000000002</v>
      </c>
      <c r="AP166">
        <v>3.39</v>
      </c>
      <c r="AQ166">
        <v>-12.44</v>
      </c>
      <c r="AR166">
        <v>-22.13</v>
      </c>
      <c r="AS166">
        <v>5.59</v>
      </c>
      <c r="AT166" t="s">
        <v>1290</v>
      </c>
      <c r="AU166" t="s">
        <v>116</v>
      </c>
      <c r="AV166" t="s">
        <v>116</v>
      </c>
      <c r="AW166">
        <v>0.65</v>
      </c>
      <c r="BA166">
        <v>0</v>
      </c>
      <c r="BB166">
        <v>2.78</v>
      </c>
      <c r="BC166">
        <v>0</v>
      </c>
      <c r="BD166">
        <v>1.73</v>
      </c>
      <c r="BE166">
        <v>1.67</v>
      </c>
      <c r="BF166">
        <v>-1.08</v>
      </c>
      <c r="BG166">
        <v>1.67</v>
      </c>
      <c r="BH166">
        <v>-7.0000000000000007E-2</v>
      </c>
      <c r="BI166">
        <v>20191030</v>
      </c>
      <c r="BJ166">
        <v>19960425</v>
      </c>
      <c r="BK166">
        <v>21.24</v>
      </c>
      <c r="BL166" t="s">
        <v>116</v>
      </c>
      <c r="BM166" t="s">
        <v>116</v>
      </c>
      <c r="BN166">
        <v>278.04000000000002</v>
      </c>
      <c r="BO166">
        <v>44.3</v>
      </c>
      <c r="BP166">
        <v>-1.04</v>
      </c>
      <c r="BQ166">
        <v>84.44</v>
      </c>
      <c r="BR166">
        <v>145.13</v>
      </c>
      <c r="BS166">
        <v>1.52</v>
      </c>
      <c r="BT166">
        <v>0.05</v>
      </c>
      <c r="BU166">
        <v>208.37</v>
      </c>
      <c r="BV166">
        <v>36.590000000000003</v>
      </c>
      <c r="BW166">
        <v>18.079999999999998</v>
      </c>
      <c r="BX166">
        <v>47.45</v>
      </c>
      <c r="BY166">
        <v>11.43</v>
      </c>
      <c r="BZ166">
        <v>24.5</v>
      </c>
      <c r="CA166">
        <v>-22.07</v>
      </c>
      <c r="CB166">
        <v>0.06</v>
      </c>
      <c r="CC166">
        <v>-22.09</v>
      </c>
      <c r="CD166">
        <v>-22.68</v>
      </c>
      <c r="CE166">
        <v>-21.38</v>
      </c>
      <c r="CF166">
        <v>-21.84</v>
      </c>
      <c r="CG166">
        <v>-26.3</v>
      </c>
      <c r="CH166">
        <v>-15.24</v>
      </c>
      <c r="CI166">
        <v>-0.43</v>
      </c>
      <c r="CJ166">
        <v>70600</v>
      </c>
      <c r="CK166">
        <v>11977</v>
      </c>
      <c r="CL166" t="s">
        <v>1291</v>
      </c>
      <c r="CM166">
        <v>-1169.6600000000001</v>
      </c>
      <c r="CN166">
        <v>-88.94</v>
      </c>
      <c r="CO166">
        <v>0.88</v>
      </c>
      <c r="CP166">
        <v>-2.5499999999999998</v>
      </c>
      <c r="CQ166">
        <v>3.4</v>
      </c>
      <c r="CR166">
        <v>0</v>
      </c>
      <c r="CS166" t="s">
        <v>1292</v>
      </c>
      <c r="CT166">
        <v>2.09</v>
      </c>
      <c r="CU166">
        <v>0</v>
      </c>
      <c r="CV166">
        <v>2.23</v>
      </c>
      <c r="CW166">
        <v>-1.24</v>
      </c>
      <c r="CX166">
        <v>-0.72</v>
      </c>
      <c r="CY166">
        <v>15.93</v>
      </c>
      <c r="CZ166" t="s">
        <v>1293</v>
      </c>
      <c r="DA166">
        <v>-114.31</v>
      </c>
      <c r="DB166">
        <v>-193.11</v>
      </c>
      <c r="DC166">
        <v>-187.06</v>
      </c>
      <c r="DD166">
        <v>0</v>
      </c>
      <c r="DE166">
        <v>698</v>
      </c>
      <c r="DF166">
        <v>587</v>
      </c>
      <c r="DG166" t="s">
        <v>116</v>
      </c>
      <c r="DH166" t="s">
        <v>116</v>
      </c>
      <c r="DI166" t="s">
        <v>116</v>
      </c>
    </row>
    <row r="167" spans="1:113" x14ac:dyDescent="0.4">
      <c r="A167" t="str">
        <f>"000589"</f>
        <v>000589</v>
      </c>
      <c r="B167" t="s">
        <v>1294</v>
      </c>
      <c r="C167">
        <v>0</v>
      </c>
      <c r="D167">
        <v>4.8</v>
      </c>
      <c r="E167">
        <v>0</v>
      </c>
      <c r="F167">
        <v>4.79</v>
      </c>
      <c r="G167">
        <v>4.8</v>
      </c>
      <c r="H167">
        <v>157363</v>
      </c>
      <c r="I167">
        <v>3708</v>
      </c>
      <c r="J167">
        <v>0.42</v>
      </c>
      <c r="K167">
        <v>2.0299999999999998</v>
      </c>
      <c r="L167">
        <v>4.8</v>
      </c>
      <c r="M167">
        <v>4.87</v>
      </c>
      <c r="N167">
        <v>4.7699999999999996</v>
      </c>
      <c r="O167">
        <v>4.8</v>
      </c>
      <c r="P167">
        <v>21.62</v>
      </c>
      <c r="Q167">
        <v>75916848</v>
      </c>
      <c r="R167">
        <v>1.01</v>
      </c>
      <c r="S167" t="s">
        <v>293</v>
      </c>
      <c r="T167" t="s">
        <v>1056</v>
      </c>
      <c r="U167">
        <v>2.08</v>
      </c>
      <c r="V167">
        <v>4.82</v>
      </c>
      <c r="W167">
        <v>86858</v>
      </c>
      <c r="X167">
        <v>70505</v>
      </c>
      <c r="Y167">
        <v>1.23</v>
      </c>
      <c r="Z167">
        <v>598</v>
      </c>
      <c r="AA167">
        <v>1896</v>
      </c>
      <c r="AB167" t="s">
        <v>116</v>
      </c>
      <c r="AC167">
        <v>564500</v>
      </c>
      <c r="AD167">
        <v>0.02</v>
      </c>
      <c r="AE167" t="s">
        <v>116</v>
      </c>
      <c r="AF167" t="s">
        <v>116</v>
      </c>
      <c r="AG167">
        <v>7.75</v>
      </c>
      <c r="AH167" t="s">
        <v>1295</v>
      </c>
      <c r="AI167" t="s">
        <v>1295</v>
      </c>
      <c r="AJ167">
        <v>0.68</v>
      </c>
      <c r="AK167">
        <v>1843</v>
      </c>
      <c r="AL167">
        <v>85</v>
      </c>
      <c r="AM167">
        <v>1.1000000000000001E-3</v>
      </c>
      <c r="AN167">
        <v>0</v>
      </c>
      <c r="AO167">
        <v>3</v>
      </c>
      <c r="AP167">
        <v>11.37</v>
      </c>
      <c r="AQ167">
        <v>7.62</v>
      </c>
      <c r="AR167">
        <v>43.28</v>
      </c>
      <c r="AS167">
        <v>2.72</v>
      </c>
      <c r="AT167" t="s">
        <v>346</v>
      </c>
      <c r="AU167">
        <v>24.22</v>
      </c>
      <c r="AV167">
        <v>42.22</v>
      </c>
      <c r="AW167">
        <v>0.86</v>
      </c>
      <c r="BA167">
        <v>0</v>
      </c>
      <c r="BB167">
        <v>1.46</v>
      </c>
      <c r="BC167">
        <v>-0.63</v>
      </c>
      <c r="BD167">
        <v>0.51</v>
      </c>
      <c r="BE167">
        <v>0</v>
      </c>
      <c r="BF167">
        <v>-1.44</v>
      </c>
      <c r="BG167">
        <v>0.63</v>
      </c>
      <c r="BH167">
        <v>-0.51</v>
      </c>
      <c r="BI167">
        <v>20191223</v>
      </c>
      <c r="BJ167">
        <v>19960308</v>
      </c>
      <c r="BK167">
        <v>7.75</v>
      </c>
      <c r="BL167" t="s">
        <v>116</v>
      </c>
      <c r="BM167" t="s">
        <v>116</v>
      </c>
      <c r="BN167">
        <v>104.01</v>
      </c>
      <c r="BO167">
        <v>35.42</v>
      </c>
      <c r="BP167">
        <v>0.12</v>
      </c>
      <c r="BQ167">
        <v>65.83</v>
      </c>
      <c r="BR167">
        <v>53.1</v>
      </c>
      <c r="BS167">
        <v>36.799999999999997</v>
      </c>
      <c r="BT167">
        <v>2.91</v>
      </c>
      <c r="BU167">
        <v>60.93</v>
      </c>
      <c r="BV167">
        <v>6.08</v>
      </c>
      <c r="BW167">
        <v>8.49</v>
      </c>
      <c r="BX167">
        <v>18.350000000000001</v>
      </c>
      <c r="BY167">
        <v>48.39</v>
      </c>
      <c r="BZ167">
        <v>39.07</v>
      </c>
      <c r="CA167">
        <v>1.8</v>
      </c>
      <c r="CB167">
        <v>0.02</v>
      </c>
      <c r="CC167">
        <v>1.66</v>
      </c>
      <c r="CD167">
        <v>1.29</v>
      </c>
      <c r="CE167">
        <v>1.29</v>
      </c>
      <c r="CF167">
        <v>1.41</v>
      </c>
      <c r="CG167">
        <v>6.7</v>
      </c>
      <c r="CH167">
        <v>12.38</v>
      </c>
      <c r="CI167">
        <v>1.6</v>
      </c>
      <c r="CJ167">
        <v>58605</v>
      </c>
      <c r="CK167">
        <v>9879</v>
      </c>
      <c r="CL167" t="s">
        <v>1296</v>
      </c>
      <c r="CM167">
        <v>103.02</v>
      </c>
      <c r="CN167">
        <v>-6.41</v>
      </c>
      <c r="CO167">
        <v>1.05</v>
      </c>
      <c r="CP167">
        <v>3.01</v>
      </c>
      <c r="CQ167">
        <v>0.77</v>
      </c>
      <c r="CR167">
        <v>0</v>
      </c>
      <c r="CS167" t="s">
        <v>1297</v>
      </c>
      <c r="CT167">
        <v>4.57</v>
      </c>
      <c r="CU167">
        <v>0</v>
      </c>
      <c r="CV167">
        <v>2.37</v>
      </c>
      <c r="CW167">
        <v>0.86</v>
      </c>
      <c r="CX167">
        <v>1.6</v>
      </c>
      <c r="CY167">
        <v>34.06</v>
      </c>
      <c r="CZ167" t="s">
        <v>1298</v>
      </c>
      <c r="DA167">
        <v>19.27</v>
      </c>
      <c r="DB167">
        <v>3.72</v>
      </c>
      <c r="DC167">
        <v>2.67</v>
      </c>
      <c r="DD167">
        <v>1.38</v>
      </c>
      <c r="DE167">
        <v>6337</v>
      </c>
      <c r="DF167">
        <v>589</v>
      </c>
      <c r="DG167" t="s">
        <v>116</v>
      </c>
      <c r="DH167" t="s">
        <v>116</v>
      </c>
      <c r="DI167" t="s">
        <v>116</v>
      </c>
    </row>
    <row r="168" spans="1:113" x14ac:dyDescent="0.4">
      <c r="A168" t="str">
        <f>"000590"</f>
        <v>000590</v>
      </c>
      <c r="B168" t="s">
        <v>1299</v>
      </c>
      <c r="C168">
        <v>-2.12</v>
      </c>
      <c r="D168">
        <v>11.53</v>
      </c>
      <c r="E168">
        <v>-0.25</v>
      </c>
      <c r="F168">
        <v>11.53</v>
      </c>
      <c r="G168">
        <v>11.54</v>
      </c>
      <c r="H168">
        <v>43873</v>
      </c>
      <c r="I168">
        <v>1042</v>
      </c>
      <c r="J168">
        <v>-0.16</v>
      </c>
      <c r="K168">
        <v>1.97</v>
      </c>
      <c r="L168">
        <v>11.75</v>
      </c>
      <c r="M168">
        <v>11.76</v>
      </c>
      <c r="N168">
        <v>11.51</v>
      </c>
      <c r="O168">
        <v>11.78</v>
      </c>
      <c r="P168">
        <v>119.47</v>
      </c>
      <c r="Q168">
        <v>51036460</v>
      </c>
      <c r="R168">
        <v>0.71</v>
      </c>
      <c r="S168" t="s">
        <v>781</v>
      </c>
      <c r="T168" t="s">
        <v>599</v>
      </c>
      <c r="U168">
        <v>2.12</v>
      </c>
      <c r="V168">
        <v>11.63</v>
      </c>
      <c r="W168">
        <v>26666</v>
      </c>
      <c r="X168">
        <v>17207</v>
      </c>
      <c r="Y168">
        <v>1.55</v>
      </c>
      <c r="Z168">
        <v>519</v>
      </c>
      <c r="AA168">
        <v>225</v>
      </c>
      <c r="AB168" t="s">
        <v>116</v>
      </c>
      <c r="AC168">
        <v>108100</v>
      </c>
      <c r="AD168">
        <v>0.01</v>
      </c>
      <c r="AE168" t="s">
        <v>116</v>
      </c>
      <c r="AF168" t="s">
        <v>116</v>
      </c>
      <c r="AG168">
        <v>2.23</v>
      </c>
      <c r="AH168" t="s">
        <v>859</v>
      </c>
      <c r="AI168" t="s">
        <v>1300</v>
      </c>
      <c r="AJ168">
        <v>-1.44</v>
      </c>
      <c r="AK168">
        <v>1380</v>
      </c>
      <c r="AL168">
        <v>32</v>
      </c>
      <c r="AM168">
        <v>1.4E-3</v>
      </c>
      <c r="AN168">
        <v>-3</v>
      </c>
      <c r="AO168">
        <v>-4.3899999999999997</v>
      </c>
      <c r="AP168">
        <v>2.67</v>
      </c>
      <c r="AQ168">
        <v>7.56</v>
      </c>
      <c r="AR168">
        <v>51.71</v>
      </c>
      <c r="AS168">
        <v>3.65</v>
      </c>
      <c r="AT168" t="s">
        <v>1301</v>
      </c>
      <c r="AU168" t="s">
        <v>116</v>
      </c>
      <c r="AV168" t="s">
        <v>116</v>
      </c>
      <c r="AW168">
        <v>0.2</v>
      </c>
      <c r="BA168">
        <v>-0.25</v>
      </c>
      <c r="BB168">
        <v>-0.17</v>
      </c>
      <c r="BC168">
        <v>-2.29</v>
      </c>
      <c r="BD168">
        <v>-1.25</v>
      </c>
      <c r="BE168">
        <v>-1.87</v>
      </c>
      <c r="BF168">
        <v>-1.96</v>
      </c>
      <c r="BG168">
        <v>0.17</v>
      </c>
      <c r="BH168">
        <v>-0.87</v>
      </c>
      <c r="BI168">
        <v>20191029</v>
      </c>
      <c r="BJ168">
        <v>19960119</v>
      </c>
      <c r="BK168">
        <v>2.39</v>
      </c>
      <c r="BL168" t="s">
        <v>116</v>
      </c>
      <c r="BM168" t="s">
        <v>116</v>
      </c>
      <c r="BN168">
        <v>8.31</v>
      </c>
      <c r="BO168">
        <v>5.97</v>
      </c>
      <c r="BP168">
        <v>0</v>
      </c>
      <c r="BQ168">
        <v>28.12</v>
      </c>
      <c r="BR168">
        <v>4.83</v>
      </c>
      <c r="BS168">
        <v>1.45</v>
      </c>
      <c r="BT168">
        <v>1.35</v>
      </c>
      <c r="BU168">
        <v>1.39</v>
      </c>
      <c r="BV168">
        <v>0.6</v>
      </c>
      <c r="BW168">
        <v>0.04</v>
      </c>
      <c r="BX168">
        <v>4.74</v>
      </c>
      <c r="BY168">
        <v>2.14</v>
      </c>
      <c r="BZ168">
        <v>1.04</v>
      </c>
      <c r="CA168">
        <v>0.21</v>
      </c>
      <c r="CB168">
        <v>0</v>
      </c>
      <c r="CC168">
        <v>0.21</v>
      </c>
      <c r="CD168">
        <v>0.17</v>
      </c>
      <c r="CE168">
        <v>0.17</v>
      </c>
      <c r="CF168">
        <v>0.16</v>
      </c>
      <c r="CG168">
        <v>-1.62</v>
      </c>
      <c r="CH168">
        <v>0.2</v>
      </c>
      <c r="CI168">
        <v>-0.15</v>
      </c>
      <c r="CJ168">
        <v>21210</v>
      </c>
      <c r="CK168">
        <v>5669</v>
      </c>
      <c r="CL168" t="s">
        <v>1302</v>
      </c>
      <c r="CM168">
        <v>254.64</v>
      </c>
      <c r="CN168">
        <v>66.31</v>
      </c>
      <c r="CO168">
        <v>4.62</v>
      </c>
      <c r="CP168">
        <v>137.96</v>
      </c>
      <c r="CQ168">
        <v>12.89</v>
      </c>
      <c r="CR168">
        <v>0</v>
      </c>
      <c r="CS168" t="s">
        <v>1303</v>
      </c>
      <c r="CT168">
        <v>2.4900000000000002</v>
      </c>
      <c r="CU168">
        <v>0</v>
      </c>
      <c r="CV168">
        <v>1.98</v>
      </c>
      <c r="CW168">
        <v>-0.68</v>
      </c>
      <c r="CX168">
        <v>0.08</v>
      </c>
      <c r="CY168">
        <v>71.88</v>
      </c>
      <c r="CZ168" t="s">
        <v>146</v>
      </c>
      <c r="DA168">
        <v>51.48</v>
      </c>
      <c r="DB168">
        <v>9.8699999999999992</v>
      </c>
      <c r="DC168">
        <v>8.09</v>
      </c>
      <c r="DD168">
        <v>7.0000000000000007E-2</v>
      </c>
      <c r="DE168">
        <v>1401</v>
      </c>
      <c r="DF168">
        <v>590</v>
      </c>
      <c r="DG168" t="s">
        <v>116</v>
      </c>
      <c r="DH168" t="s">
        <v>116</v>
      </c>
      <c r="DI168" t="s">
        <v>116</v>
      </c>
    </row>
    <row r="169" spans="1:113" x14ac:dyDescent="0.4">
      <c r="A169" t="str">
        <f>"000591"</f>
        <v>000591</v>
      </c>
      <c r="B169" t="s">
        <v>1304</v>
      </c>
      <c r="C169">
        <v>-2.97</v>
      </c>
      <c r="D169">
        <v>3.59</v>
      </c>
      <c r="E169">
        <v>-0.11</v>
      </c>
      <c r="F169">
        <v>3.58</v>
      </c>
      <c r="G169">
        <v>3.59</v>
      </c>
      <c r="H169">
        <v>248633</v>
      </c>
      <c r="I169">
        <v>4265</v>
      </c>
      <c r="J169">
        <v>0.28000000000000003</v>
      </c>
      <c r="K169">
        <v>1.22</v>
      </c>
      <c r="L169">
        <v>3.69</v>
      </c>
      <c r="M169">
        <v>3.7</v>
      </c>
      <c r="N169">
        <v>3.58</v>
      </c>
      <c r="O169">
        <v>3.7</v>
      </c>
      <c r="P169">
        <v>9.9</v>
      </c>
      <c r="Q169">
        <v>90567440</v>
      </c>
      <c r="R169">
        <v>0.82</v>
      </c>
      <c r="S169" t="s">
        <v>361</v>
      </c>
      <c r="T169" t="s">
        <v>906</v>
      </c>
      <c r="U169">
        <v>3.24</v>
      </c>
      <c r="V169">
        <v>3.64</v>
      </c>
      <c r="W169">
        <v>177819</v>
      </c>
      <c r="X169">
        <v>70814</v>
      </c>
      <c r="Y169">
        <v>2.5099999999999998</v>
      </c>
      <c r="Z169">
        <v>3910</v>
      </c>
      <c r="AA169">
        <v>431</v>
      </c>
      <c r="AB169" t="s">
        <v>116</v>
      </c>
      <c r="AC169">
        <v>218400</v>
      </c>
      <c r="AD169">
        <v>0</v>
      </c>
      <c r="AE169" t="s">
        <v>116</v>
      </c>
      <c r="AF169" t="s">
        <v>116</v>
      </c>
      <c r="AG169">
        <v>20.37</v>
      </c>
      <c r="AH169" t="s">
        <v>1305</v>
      </c>
      <c r="AI169" t="s">
        <v>1306</v>
      </c>
      <c r="AJ169">
        <v>-2.29</v>
      </c>
      <c r="AK169">
        <v>1889</v>
      </c>
      <c r="AL169">
        <v>132</v>
      </c>
      <c r="AM169">
        <v>5.9999999999999995E-4</v>
      </c>
      <c r="AN169">
        <v>-1</v>
      </c>
      <c r="AO169">
        <v>-1.91</v>
      </c>
      <c r="AP169">
        <v>4.97</v>
      </c>
      <c r="AQ169">
        <v>14.7</v>
      </c>
      <c r="AR169">
        <v>25.7</v>
      </c>
      <c r="AS169">
        <v>1.22</v>
      </c>
      <c r="AT169" t="s">
        <v>1305</v>
      </c>
      <c r="AU169">
        <v>11.23</v>
      </c>
      <c r="AV169">
        <v>12.52</v>
      </c>
      <c r="AW169">
        <v>0.74</v>
      </c>
      <c r="BA169">
        <v>-0.27</v>
      </c>
      <c r="BB169">
        <v>0</v>
      </c>
      <c r="BC169">
        <v>-3.24</v>
      </c>
      <c r="BD169">
        <v>-1.55</v>
      </c>
      <c r="BE169">
        <v>-2.71</v>
      </c>
      <c r="BF169">
        <v>-2.97</v>
      </c>
      <c r="BG169">
        <v>0.28000000000000003</v>
      </c>
      <c r="BH169">
        <v>-1.42</v>
      </c>
      <c r="BI169">
        <v>20191030</v>
      </c>
      <c r="BJ169">
        <v>19960208</v>
      </c>
      <c r="BK169">
        <v>30.07</v>
      </c>
      <c r="BL169" t="s">
        <v>116</v>
      </c>
      <c r="BM169" t="s">
        <v>116</v>
      </c>
      <c r="BN169">
        <v>374.34</v>
      </c>
      <c r="BO169">
        <v>132.38</v>
      </c>
      <c r="BP169">
        <v>1.39</v>
      </c>
      <c r="BQ169">
        <v>64.260000000000005</v>
      </c>
      <c r="BR169">
        <v>93.12</v>
      </c>
      <c r="BS169">
        <v>256.35000000000002</v>
      </c>
      <c r="BT169">
        <v>5.32</v>
      </c>
      <c r="BU169">
        <v>71.48</v>
      </c>
      <c r="BV169">
        <v>2.13</v>
      </c>
      <c r="BW169">
        <v>69.900000000000006</v>
      </c>
      <c r="BX169">
        <v>66.930000000000007</v>
      </c>
      <c r="BY169">
        <v>36.69</v>
      </c>
      <c r="BZ169">
        <v>18</v>
      </c>
      <c r="CA169">
        <v>9.6999999999999993</v>
      </c>
      <c r="CB169">
        <v>0.03</v>
      </c>
      <c r="CC169">
        <v>8.9700000000000006</v>
      </c>
      <c r="CD169">
        <v>8.15</v>
      </c>
      <c r="CE169">
        <v>8.18</v>
      </c>
      <c r="CF169">
        <v>8.86</v>
      </c>
      <c r="CG169">
        <v>34.380000000000003</v>
      </c>
      <c r="CH169">
        <v>15.47</v>
      </c>
      <c r="CI169">
        <v>3.35</v>
      </c>
      <c r="CJ169">
        <v>56482</v>
      </c>
      <c r="CK169">
        <v>36066</v>
      </c>
      <c r="CL169" t="s">
        <v>1307</v>
      </c>
      <c r="CM169">
        <v>13.81</v>
      </c>
      <c r="CN169">
        <v>22.29</v>
      </c>
      <c r="CO169">
        <v>0.82</v>
      </c>
      <c r="CP169">
        <v>6.98</v>
      </c>
      <c r="CQ169">
        <v>2.94</v>
      </c>
      <c r="CR169">
        <v>2.9</v>
      </c>
      <c r="CS169" t="s">
        <v>1170</v>
      </c>
      <c r="CT169">
        <v>4.4000000000000004</v>
      </c>
      <c r="CU169">
        <v>0</v>
      </c>
      <c r="CV169">
        <v>2.23</v>
      </c>
      <c r="CW169">
        <v>1.1399999999999999</v>
      </c>
      <c r="CX169">
        <v>0.51</v>
      </c>
      <c r="CY169">
        <v>35.36</v>
      </c>
      <c r="CZ169" t="s">
        <v>1308</v>
      </c>
      <c r="DA169">
        <v>50.94</v>
      </c>
      <c r="DB169">
        <v>26.43</v>
      </c>
      <c r="DC169">
        <v>22.29</v>
      </c>
      <c r="DD169">
        <v>0.2</v>
      </c>
      <c r="DE169">
        <v>2050</v>
      </c>
      <c r="DF169">
        <v>591</v>
      </c>
      <c r="DG169" t="s">
        <v>116</v>
      </c>
      <c r="DH169" t="s">
        <v>116</v>
      </c>
      <c r="DI169" t="s">
        <v>116</v>
      </c>
    </row>
    <row r="170" spans="1:113" x14ac:dyDescent="0.4">
      <c r="A170" t="str">
        <f>"000592"</f>
        <v>000592</v>
      </c>
      <c r="B170" t="s">
        <v>1309</v>
      </c>
      <c r="C170">
        <v>-0.36</v>
      </c>
      <c r="D170">
        <v>2.8</v>
      </c>
      <c r="E170">
        <v>-0.01</v>
      </c>
      <c r="F170">
        <v>2.8</v>
      </c>
      <c r="G170">
        <v>2.81</v>
      </c>
      <c r="H170">
        <v>176565</v>
      </c>
      <c r="I170">
        <v>1236</v>
      </c>
      <c r="J170">
        <v>-0.35</v>
      </c>
      <c r="K170">
        <v>0.92</v>
      </c>
      <c r="L170">
        <v>2.82</v>
      </c>
      <c r="M170">
        <v>2.84</v>
      </c>
      <c r="N170">
        <v>2.8</v>
      </c>
      <c r="O170">
        <v>2.81</v>
      </c>
      <c r="P170">
        <v>133.51</v>
      </c>
      <c r="Q170">
        <v>49788724</v>
      </c>
      <c r="R170">
        <v>0.92</v>
      </c>
      <c r="S170" t="s">
        <v>1310</v>
      </c>
      <c r="T170" t="s">
        <v>975</v>
      </c>
      <c r="U170">
        <v>1.42</v>
      </c>
      <c r="V170">
        <v>2.82</v>
      </c>
      <c r="W170">
        <v>106580</v>
      </c>
      <c r="X170">
        <v>69985</v>
      </c>
      <c r="Y170">
        <v>1.52</v>
      </c>
      <c r="Z170">
        <v>16171</v>
      </c>
      <c r="AA170">
        <v>4345</v>
      </c>
      <c r="AB170" t="s">
        <v>116</v>
      </c>
      <c r="AC170">
        <v>164100</v>
      </c>
      <c r="AD170">
        <v>0</v>
      </c>
      <c r="AE170" t="s">
        <v>116</v>
      </c>
      <c r="AF170" t="s">
        <v>116</v>
      </c>
      <c r="AG170">
        <v>19.14</v>
      </c>
      <c r="AH170" t="s">
        <v>1311</v>
      </c>
      <c r="AI170" t="s">
        <v>1312</v>
      </c>
      <c r="AJ170">
        <v>0.32</v>
      </c>
      <c r="AK170">
        <v>1186</v>
      </c>
      <c r="AL170">
        <v>149</v>
      </c>
      <c r="AM170">
        <v>8.0000000000000004E-4</v>
      </c>
      <c r="AN170">
        <v>-1</v>
      </c>
      <c r="AO170">
        <v>-0.36</v>
      </c>
      <c r="AP170">
        <v>2.56</v>
      </c>
      <c r="AQ170">
        <v>0</v>
      </c>
      <c r="AR170">
        <v>4.87</v>
      </c>
      <c r="AS170">
        <v>1.24</v>
      </c>
      <c r="AT170" t="s">
        <v>1313</v>
      </c>
      <c r="AU170" t="s">
        <v>116</v>
      </c>
      <c r="AV170">
        <v>205.29</v>
      </c>
      <c r="AW170">
        <v>0.61</v>
      </c>
      <c r="BA170">
        <v>0.36</v>
      </c>
      <c r="BB170">
        <v>1.07</v>
      </c>
      <c r="BC170">
        <v>-0.36</v>
      </c>
      <c r="BD170">
        <v>0.35</v>
      </c>
      <c r="BE170">
        <v>-0.71</v>
      </c>
      <c r="BF170">
        <v>-1.41</v>
      </c>
      <c r="BG170">
        <v>0</v>
      </c>
      <c r="BH170">
        <v>-0.71</v>
      </c>
      <c r="BI170">
        <v>20191218</v>
      </c>
      <c r="BJ170">
        <v>19960327</v>
      </c>
      <c r="BK170">
        <v>19.32</v>
      </c>
      <c r="BL170" t="s">
        <v>116</v>
      </c>
      <c r="BM170" t="s">
        <v>116</v>
      </c>
      <c r="BN170">
        <v>40.58</v>
      </c>
      <c r="BO170">
        <v>32.47</v>
      </c>
      <c r="BP170">
        <v>3.43</v>
      </c>
      <c r="BQ170">
        <v>11.54</v>
      </c>
      <c r="BR170">
        <v>34.020000000000003</v>
      </c>
      <c r="BS170">
        <v>3.01</v>
      </c>
      <c r="BT170">
        <v>0.92</v>
      </c>
      <c r="BU170">
        <v>4.53</v>
      </c>
      <c r="BV170">
        <v>21.35</v>
      </c>
      <c r="BW170">
        <v>1.0900000000000001</v>
      </c>
      <c r="BX170">
        <v>14.5</v>
      </c>
      <c r="BY170">
        <v>6.84</v>
      </c>
      <c r="BZ170">
        <v>6.05</v>
      </c>
      <c r="CA170">
        <v>0.33</v>
      </c>
      <c r="CB170">
        <v>0.38</v>
      </c>
      <c r="CC170">
        <v>0.37</v>
      </c>
      <c r="CD170">
        <v>0.31</v>
      </c>
      <c r="CE170">
        <v>0.3</v>
      </c>
      <c r="CF170">
        <v>0</v>
      </c>
      <c r="CG170">
        <v>-1.68</v>
      </c>
      <c r="CH170">
        <v>3.5</v>
      </c>
      <c r="CI170">
        <v>-0.9</v>
      </c>
      <c r="CJ170">
        <v>95574</v>
      </c>
      <c r="CK170">
        <v>14892</v>
      </c>
      <c r="CL170" t="s">
        <v>1314</v>
      </c>
      <c r="CM170">
        <v>-61.99</v>
      </c>
      <c r="CN170">
        <v>-2.16</v>
      </c>
      <c r="CO170">
        <v>1.67</v>
      </c>
      <c r="CP170">
        <v>15.48</v>
      </c>
      <c r="CQ170">
        <v>7.91</v>
      </c>
      <c r="CR170">
        <v>0</v>
      </c>
      <c r="CS170" t="s">
        <v>1315</v>
      </c>
      <c r="CT170">
        <v>1.68</v>
      </c>
      <c r="CU170">
        <v>0</v>
      </c>
      <c r="CV170">
        <v>0.75</v>
      </c>
      <c r="CW170">
        <v>-0.09</v>
      </c>
      <c r="CX170">
        <v>0.18</v>
      </c>
      <c r="CY170">
        <v>80.02</v>
      </c>
      <c r="CZ170" t="s">
        <v>1316</v>
      </c>
      <c r="DA170">
        <v>11.53</v>
      </c>
      <c r="DB170">
        <v>4.83</v>
      </c>
      <c r="DC170">
        <v>4.4400000000000004</v>
      </c>
      <c r="DD170">
        <v>0.01</v>
      </c>
      <c r="DE170">
        <v>1030</v>
      </c>
      <c r="DF170">
        <v>592</v>
      </c>
      <c r="DG170" t="s">
        <v>116</v>
      </c>
      <c r="DH170" t="s">
        <v>116</v>
      </c>
      <c r="DI170" t="s">
        <v>116</v>
      </c>
    </row>
    <row r="171" spans="1:113" x14ac:dyDescent="0.4">
      <c r="A171" t="str">
        <f>"000593"</f>
        <v>000593</v>
      </c>
      <c r="B171" t="s">
        <v>1317</v>
      </c>
      <c r="C171">
        <v>-0.33</v>
      </c>
      <c r="D171">
        <v>5.98</v>
      </c>
      <c r="E171">
        <v>-0.02</v>
      </c>
      <c r="F171">
        <v>5.98</v>
      </c>
      <c r="G171">
        <v>5.99</v>
      </c>
      <c r="H171">
        <v>27393</v>
      </c>
      <c r="I171">
        <v>275</v>
      </c>
      <c r="J171">
        <v>-0.16</v>
      </c>
      <c r="K171">
        <v>0.76</v>
      </c>
      <c r="L171">
        <v>6.01</v>
      </c>
      <c r="M171">
        <v>6.05</v>
      </c>
      <c r="N171">
        <v>5.98</v>
      </c>
      <c r="O171">
        <v>6</v>
      </c>
      <c r="P171">
        <v>69.72</v>
      </c>
      <c r="Q171">
        <v>16481029</v>
      </c>
      <c r="R171">
        <v>0.93</v>
      </c>
      <c r="S171" t="s">
        <v>690</v>
      </c>
      <c r="T171" t="s">
        <v>582</v>
      </c>
      <c r="U171">
        <v>1.17</v>
      </c>
      <c r="V171">
        <v>6.02</v>
      </c>
      <c r="W171">
        <v>15646</v>
      </c>
      <c r="X171">
        <v>11747</v>
      </c>
      <c r="Y171">
        <v>1.33</v>
      </c>
      <c r="Z171">
        <v>1275</v>
      </c>
      <c r="AA171">
        <v>83</v>
      </c>
      <c r="AB171" t="s">
        <v>116</v>
      </c>
      <c r="AC171">
        <v>6600</v>
      </c>
      <c r="AD171">
        <v>0</v>
      </c>
      <c r="AE171" t="s">
        <v>116</v>
      </c>
      <c r="AF171" t="s">
        <v>116</v>
      </c>
      <c r="AG171">
        <v>3.58</v>
      </c>
      <c r="AH171" t="s">
        <v>1318</v>
      </c>
      <c r="AI171" t="s">
        <v>1319</v>
      </c>
      <c r="AJ171">
        <v>0.35</v>
      </c>
      <c r="AK171">
        <v>897</v>
      </c>
      <c r="AL171">
        <v>31</v>
      </c>
      <c r="AM171">
        <v>8.9999999999999998E-4</v>
      </c>
      <c r="AN171">
        <v>-1</v>
      </c>
      <c r="AO171">
        <v>0.34</v>
      </c>
      <c r="AP171">
        <v>-3.08</v>
      </c>
      <c r="AQ171">
        <v>-3.08</v>
      </c>
      <c r="AR171">
        <v>-7.29</v>
      </c>
      <c r="AS171">
        <v>1.35</v>
      </c>
      <c r="AT171" t="s">
        <v>1320</v>
      </c>
      <c r="AU171" t="s">
        <v>116</v>
      </c>
      <c r="AV171" t="s">
        <v>116</v>
      </c>
      <c r="AW171">
        <v>0.68</v>
      </c>
      <c r="BA171">
        <v>0.17</v>
      </c>
      <c r="BB171">
        <v>0.83</v>
      </c>
      <c r="BC171">
        <v>-0.33</v>
      </c>
      <c r="BD171">
        <v>0.28000000000000003</v>
      </c>
      <c r="BE171">
        <v>-0.5</v>
      </c>
      <c r="BF171">
        <v>-1.1599999999999999</v>
      </c>
      <c r="BG171">
        <v>0</v>
      </c>
      <c r="BH171">
        <v>-0.61</v>
      </c>
      <c r="BI171">
        <v>20191031</v>
      </c>
      <c r="BJ171">
        <v>19960312</v>
      </c>
      <c r="BK171">
        <v>3.59</v>
      </c>
      <c r="BL171" t="s">
        <v>116</v>
      </c>
      <c r="BM171" t="s">
        <v>116</v>
      </c>
      <c r="BN171">
        <v>18.71</v>
      </c>
      <c r="BO171">
        <v>9.4499999999999993</v>
      </c>
      <c r="BP171">
        <v>0.22</v>
      </c>
      <c r="BQ171">
        <v>48.27</v>
      </c>
      <c r="BR171">
        <v>4.74</v>
      </c>
      <c r="BS171">
        <v>6.24</v>
      </c>
      <c r="BT171">
        <v>0.49</v>
      </c>
      <c r="BU171">
        <v>6.24</v>
      </c>
      <c r="BV171">
        <v>0.9</v>
      </c>
      <c r="BW171">
        <v>1.71</v>
      </c>
      <c r="BX171">
        <v>6.56</v>
      </c>
      <c r="BY171">
        <v>6.4</v>
      </c>
      <c r="BZ171">
        <v>5.07</v>
      </c>
      <c r="CA171">
        <v>0.39</v>
      </c>
      <c r="CB171">
        <v>0.05</v>
      </c>
      <c r="CC171">
        <v>0.4</v>
      </c>
      <c r="CD171">
        <v>0.25</v>
      </c>
      <c r="CE171">
        <v>0.23</v>
      </c>
      <c r="CF171">
        <v>0.22</v>
      </c>
      <c r="CG171">
        <v>-0.86</v>
      </c>
      <c r="CH171">
        <v>0.24</v>
      </c>
      <c r="CI171">
        <v>-0.13</v>
      </c>
      <c r="CJ171">
        <v>35723</v>
      </c>
      <c r="CK171">
        <v>5688</v>
      </c>
      <c r="CL171" t="s">
        <v>1321</v>
      </c>
      <c r="CM171">
        <v>32.76</v>
      </c>
      <c r="CN171">
        <v>37.89</v>
      </c>
      <c r="CO171">
        <v>2.27</v>
      </c>
      <c r="CP171">
        <v>87.8</v>
      </c>
      <c r="CQ171">
        <v>3.35</v>
      </c>
      <c r="CR171">
        <v>0</v>
      </c>
      <c r="CS171" t="s">
        <v>1322</v>
      </c>
      <c r="CT171">
        <v>2.64</v>
      </c>
      <c r="CU171">
        <v>0</v>
      </c>
      <c r="CV171">
        <v>1.83</v>
      </c>
      <c r="CW171">
        <v>-0.24</v>
      </c>
      <c r="CX171">
        <v>7.0000000000000007E-2</v>
      </c>
      <c r="CY171">
        <v>50.54</v>
      </c>
      <c r="CZ171" t="s">
        <v>1323</v>
      </c>
      <c r="DA171">
        <v>20.78</v>
      </c>
      <c r="DB171">
        <v>6.07</v>
      </c>
      <c r="DC171">
        <v>3.6</v>
      </c>
      <c r="DD171">
        <v>0</v>
      </c>
      <c r="DE171">
        <v>824</v>
      </c>
      <c r="DF171">
        <v>593</v>
      </c>
      <c r="DG171" t="s">
        <v>116</v>
      </c>
      <c r="DH171" t="s">
        <v>116</v>
      </c>
      <c r="DI171" t="s">
        <v>116</v>
      </c>
    </row>
    <row r="172" spans="1:113" x14ac:dyDescent="0.4">
      <c r="A172" t="str">
        <f>"000595"</f>
        <v>000595</v>
      </c>
      <c r="B172" t="s">
        <v>1324</v>
      </c>
      <c r="C172">
        <v>-3.57</v>
      </c>
      <c r="D172">
        <v>3.24</v>
      </c>
      <c r="E172">
        <v>-0.12</v>
      </c>
      <c r="F172">
        <v>3.24</v>
      </c>
      <c r="G172">
        <v>3.25</v>
      </c>
      <c r="H172">
        <v>276681</v>
      </c>
      <c r="I172">
        <v>4653</v>
      </c>
      <c r="J172">
        <v>-0.6</v>
      </c>
      <c r="K172">
        <v>3.68</v>
      </c>
      <c r="L172">
        <v>3.4</v>
      </c>
      <c r="M172">
        <v>3.42</v>
      </c>
      <c r="N172">
        <v>3.23</v>
      </c>
      <c r="O172">
        <v>3.36</v>
      </c>
      <c r="P172" t="s">
        <v>116</v>
      </c>
      <c r="Q172">
        <v>91712592</v>
      </c>
      <c r="R172">
        <v>0.7</v>
      </c>
      <c r="S172" t="s">
        <v>996</v>
      </c>
      <c r="T172" t="s">
        <v>1147</v>
      </c>
      <c r="U172">
        <v>5.65</v>
      </c>
      <c r="V172">
        <v>3.31</v>
      </c>
      <c r="W172">
        <v>175969</v>
      </c>
      <c r="X172">
        <v>100712</v>
      </c>
      <c r="Y172">
        <v>1.75</v>
      </c>
      <c r="Z172">
        <v>307</v>
      </c>
      <c r="AA172">
        <v>658</v>
      </c>
      <c r="AB172" t="s">
        <v>116</v>
      </c>
      <c r="AC172">
        <v>562000</v>
      </c>
      <c r="AD172">
        <v>0.05</v>
      </c>
      <c r="AE172" t="s">
        <v>116</v>
      </c>
      <c r="AF172" t="s">
        <v>116</v>
      </c>
      <c r="AG172">
        <v>7.52</v>
      </c>
      <c r="AH172" t="s">
        <v>1325</v>
      </c>
      <c r="AI172" t="s">
        <v>1326</v>
      </c>
      <c r="AJ172">
        <v>-2.89</v>
      </c>
      <c r="AK172">
        <v>3082</v>
      </c>
      <c r="AL172">
        <v>90</v>
      </c>
      <c r="AM172">
        <v>1.1999999999999999E-3</v>
      </c>
      <c r="AN172">
        <v>-2</v>
      </c>
      <c r="AO172">
        <v>-3.86</v>
      </c>
      <c r="AP172">
        <v>-4.71</v>
      </c>
      <c r="AQ172">
        <v>-9.24</v>
      </c>
      <c r="AR172">
        <v>27.56</v>
      </c>
      <c r="AS172">
        <v>7.83</v>
      </c>
      <c r="AT172" t="s">
        <v>1327</v>
      </c>
      <c r="AU172" t="s">
        <v>116</v>
      </c>
      <c r="AV172" t="s">
        <v>116</v>
      </c>
      <c r="AW172">
        <v>1.1000000000000001</v>
      </c>
      <c r="BA172">
        <v>1.19</v>
      </c>
      <c r="BB172">
        <v>1.79</v>
      </c>
      <c r="BC172">
        <v>-3.87</v>
      </c>
      <c r="BD172">
        <v>-1.35</v>
      </c>
      <c r="BE172">
        <v>-4.71</v>
      </c>
      <c r="BF172">
        <v>-5.26</v>
      </c>
      <c r="BG172">
        <v>0.31</v>
      </c>
      <c r="BH172">
        <v>-2.2200000000000002</v>
      </c>
      <c r="BI172">
        <v>20191223</v>
      </c>
      <c r="BJ172">
        <v>19960419</v>
      </c>
      <c r="BK172">
        <v>7.64</v>
      </c>
      <c r="BL172" t="s">
        <v>116</v>
      </c>
      <c r="BM172" t="s">
        <v>116</v>
      </c>
      <c r="BN172">
        <v>17.88</v>
      </c>
      <c r="BO172">
        <v>5.39</v>
      </c>
      <c r="BP172">
        <v>0.63</v>
      </c>
      <c r="BQ172">
        <v>66.349999999999994</v>
      </c>
      <c r="BR172">
        <v>8.6300000000000008</v>
      </c>
      <c r="BS172">
        <v>4.3899999999999997</v>
      </c>
      <c r="BT172">
        <v>1.4</v>
      </c>
      <c r="BU172">
        <v>9.27</v>
      </c>
      <c r="BV172">
        <v>3.08</v>
      </c>
      <c r="BW172">
        <v>3.88</v>
      </c>
      <c r="BX172">
        <v>4.8099999999999996</v>
      </c>
      <c r="BY172">
        <v>2.23</v>
      </c>
      <c r="BZ172">
        <v>2.17</v>
      </c>
      <c r="CA172">
        <v>-0.96</v>
      </c>
      <c r="CB172">
        <v>0</v>
      </c>
      <c r="CC172">
        <v>-0.96</v>
      </c>
      <c r="CD172">
        <v>-0.99</v>
      </c>
      <c r="CE172">
        <v>-0.87</v>
      </c>
      <c r="CF172">
        <v>-0.87</v>
      </c>
      <c r="CG172">
        <v>-6.97</v>
      </c>
      <c r="CH172">
        <v>-0.13</v>
      </c>
      <c r="CI172">
        <v>0</v>
      </c>
      <c r="CJ172">
        <v>60075</v>
      </c>
      <c r="CK172">
        <v>5882</v>
      </c>
      <c r="CL172" t="s">
        <v>1328</v>
      </c>
      <c r="CM172">
        <v>-1058.1400000000001</v>
      </c>
      <c r="CN172">
        <v>-26.64</v>
      </c>
      <c r="CO172">
        <v>4.5999999999999996</v>
      </c>
      <c r="CP172">
        <v>-189.38</v>
      </c>
      <c r="CQ172">
        <v>11.12</v>
      </c>
      <c r="CR172">
        <v>0</v>
      </c>
      <c r="CS172" t="s">
        <v>1329</v>
      </c>
      <c r="CT172">
        <v>0.7</v>
      </c>
      <c r="CU172">
        <v>0.7</v>
      </c>
      <c r="CV172">
        <v>0.63</v>
      </c>
      <c r="CW172">
        <v>-0.91</v>
      </c>
      <c r="CX172">
        <v>-0.02</v>
      </c>
      <c r="CY172">
        <v>30.13</v>
      </c>
      <c r="CZ172" t="s">
        <v>1330</v>
      </c>
      <c r="DA172">
        <v>2.3199999999999998</v>
      </c>
      <c r="DB172">
        <v>-42.98</v>
      </c>
      <c r="DC172">
        <v>-38.99</v>
      </c>
      <c r="DD172">
        <v>0</v>
      </c>
      <c r="DE172">
        <v>1488</v>
      </c>
      <c r="DF172">
        <v>595</v>
      </c>
      <c r="DG172" t="s">
        <v>116</v>
      </c>
      <c r="DH172" t="s">
        <v>116</v>
      </c>
      <c r="DI172" t="s">
        <v>116</v>
      </c>
    </row>
    <row r="173" spans="1:113" x14ac:dyDescent="0.4">
      <c r="A173" t="str">
        <f>"000596"</f>
        <v>000596</v>
      </c>
      <c r="B173" t="s">
        <v>1331</v>
      </c>
      <c r="C173">
        <v>1.05</v>
      </c>
      <c r="D173">
        <v>122.35</v>
      </c>
      <c r="E173">
        <v>1.27</v>
      </c>
      <c r="F173">
        <v>122.34</v>
      </c>
      <c r="G173">
        <v>122.35</v>
      </c>
      <c r="H173">
        <v>21040</v>
      </c>
      <c r="I173">
        <v>385</v>
      </c>
      <c r="J173">
        <v>0.04</v>
      </c>
      <c r="K173">
        <v>0.55000000000000004</v>
      </c>
      <c r="L173">
        <v>121.66</v>
      </c>
      <c r="M173">
        <v>124.13</v>
      </c>
      <c r="N173">
        <v>121.09</v>
      </c>
      <c r="O173">
        <v>121.08</v>
      </c>
      <c r="P173">
        <v>26.53</v>
      </c>
      <c r="Q173">
        <v>257928528</v>
      </c>
      <c r="R173">
        <v>1.1499999999999999</v>
      </c>
      <c r="S173" t="s">
        <v>1212</v>
      </c>
      <c r="T173" t="s">
        <v>575</v>
      </c>
      <c r="U173">
        <v>2.5099999999999998</v>
      </c>
      <c r="V173">
        <v>122.59</v>
      </c>
      <c r="W173">
        <v>9793</v>
      </c>
      <c r="X173">
        <v>11247</v>
      </c>
      <c r="Y173">
        <v>0.87</v>
      </c>
      <c r="Z173">
        <v>3</v>
      </c>
      <c r="AA173">
        <v>45</v>
      </c>
      <c r="AB173" t="s">
        <v>116</v>
      </c>
      <c r="AC173">
        <v>1739700</v>
      </c>
      <c r="AD173">
        <v>0.01</v>
      </c>
      <c r="AE173" t="s">
        <v>116</v>
      </c>
      <c r="AF173" t="s">
        <v>116</v>
      </c>
      <c r="AG173">
        <v>3.84</v>
      </c>
      <c r="AH173" t="s">
        <v>1332</v>
      </c>
      <c r="AI173" t="s">
        <v>1333</v>
      </c>
      <c r="AJ173">
        <v>1.73</v>
      </c>
      <c r="AK173">
        <v>2831</v>
      </c>
      <c r="AL173">
        <v>7</v>
      </c>
      <c r="AM173">
        <v>2.0000000000000001E-4</v>
      </c>
      <c r="AN173">
        <v>2</v>
      </c>
      <c r="AO173">
        <v>2.29</v>
      </c>
      <c r="AP173">
        <v>13.12</v>
      </c>
      <c r="AQ173">
        <v>4.38</v>
      </c>
      <c r="AR173">
        <v>133.22999999999999</v>
      </c>
      <c r="AS173">
        <v>1.88</v>
      </c>
      <c r="AT173" t="s">
        <v>1334</v>
      </c>
      <c r="AU173">
        <v>28.25</v>
      </c>
      <c r="AV173">
        <v>36.35</v>
      </c>
      <c r="AW173">
        <v>1.08</v>
      </c>
      <c r="BA173">
        <v>0.48</v>
      </c>
      <c r="BB173">
        <v>2.52</v>
      </c>
      <c r="BC173">
        <v>0.01</v>
      </c>
      <c r="BD173">
        <v>1.25</v>
      </c>
      <c r="BE173">
        <v>0.56999999999999995</v>
      </c>
      <c r="BF173">
        <v>-1.43</v>
      </c>
      <c r="BG173">
        <v>1.04</v>
      </c>
      <c r="BH173">
        <v>-0.2</v>
      </c>
      <c r="BI173">
        <v>20191028</v>
      </c>
      <c r="BJ173">
        <v>19960927</v>
      </c>
      <c r="BK173">
        <v>5.04</v>
      </c>
      <c r="BL173">
        <v>1.2</v>
      </c>
      <c r="BM173" t="s">
        <v>116</v>
      </c>
      <c r="BN173">
        <v>132.66</v>
      </c>
      <c r="BO173">
        <v>85.88</v>
      </c>
      <c r="BP173">
        <v>4.67</v>
      </c>
      <c r="BQ173">
        <v>31.74</v>
      </c>
      <c r="BR173">
        <v>87.38</v>
      </c>
      <c r="BS173">
        <v>16.579999999999998</v>
      </c>
      <c r="BT173">
        <v>7.29</v>
      </c>
      <c r="BU173">
        <v>40.31</v>
      </c>
      <c r="BV173">
        <v>24.6</v>
      </c>
      <c r="BW173">
        <v>0.31</v>
      </c>
      <c r="BX173">
        <v>12.95</v>
      </c>
      <c r="BY173">
        <v>82.03</v>
      </c>
      <c r="BZ173">
        <v>19.440000000000001</v>
      </c>
      <c r="CA173">
        <v>23.41</v>
      </c>
      <c r="CB173">
        <v>1.06</v>
      </c>
      <c r="CC173">
        <v>23.64</v>
      </c>
      <c r="CD173">
        <v>17.809999999999999</v>
      </c>
      <c r="CE173">
        <v>17.420000000000002</v>
      </c>
      <c r="CF173">
        <v>16.100000000000001</v>
      </c>
      <c r="CG173">
        <v>65.319999999999993</v>
      </c>
      <c r="CH173">
        <v>22.41</v>
      </c>
      <c r="CI173">
        <v>23.56</v>
      </c>
      <c r="CJ173">
        <v>23360</v>
      </c>
      <c r="CK173">
        <v>9940</v>
      </c>
      <c r="CL173" t="s">
        <v>1335</v>
      </c>
      <c r="CM173">
        <v>38.69</v>
      </c>
      <c r="CN173">
        <v>21.31</v>
      </c>
      <c r="CO173">
        <v>7.17</v>
      </c>
      <c r="CP173">
        <v>27.49</v>
      </c>
      <c r="CQ173">
        <v>7.51</v>
      </c>
      <c r="CR173">
        <v>1.23</v>
      </c>
      <c r="CS173" t="s">
        <v>1336</v>
      </c>
      <c r="CT173">
        <v>17.05</v>
      </c>
      <c r="CU173">
        <v>0</v>
      </c>
      <c r="CV173">
        <v>2.57</v>
      </c>
      <c r="CW173">
        <v>12.97</v>
      </c>
      <c r="CX173">
        <v>4.45</v>
      </c>
      <c r="CY173">
        <v>64.739999999999995</v>
      </c>
      <c r="CZ173" t="s">
        <v>1337</v>
      </c>
      <c r="DA173">
        <v>76.31</v>
      </c>
      <c r="DB173">
        <v>28.54</v>
      </c>
      <c r="DC173">
        <v>21.23</v>
      </c>
      <c r="DD173">
        <v>0.26</v>
      </c>
      <c r="DE173">
        <v>8323</v>
      </c>
      <c r="DF173">
        <v>596</v>
      </c>
      <c r="DG173" t="s">
        <v>116</v>
      </c>
      <c r="DH173" t="s">
        <v>116</v>
      </c>
      <c r="DI173" t="s">
        <v>116</v>
      </c>
    </row>
    <row r="174" spans="1:113" x14ac:dyDescent="0.4">
      <c r="A174" t="str">
        <f>"000597"</f>
        <v>000597</v>
      </c>
      <c r="B174" t="s">
        <v>1338</v>
      </c>
      <c r="C174">
        <v>-0.59</v>
      </c>
      <c r="D174">
        <v>6.78</v>
      </c>
      <c r="E174">
        <v>-0.04</v>
      </c>
      <c r="F174">
        <v>6.78</v>
      </c>
      <c r="G174">
        <v>6.81</v>
      </c>
      <c r="H174">
        <v>31230</v>
      </c>
      <c r="I174">
        <v>521</v>
      </c>
      <c r="J174">
        <v>-0.14000000000000001</v>
      </c>
      <c r="K174">
        <v>0.38</v>
      </c>
      <c r="L174">
        <v>6.86</v>
      </c>
      <c r="M174">
        <v>6.86</v>
      </c>
      <c r="N174">
        <v>6.78</v>
      </c>
      <c r="O174">
        <v>6.82</v>
      </c>
      <c r="P174">
        <v>26.24</v>
      </c>
      <c r="Q174">
        <v>21280490</v>
      </c>
      <c r="R174">
        <v>1.05</v>
      </c>
      <c r="S174" t="s">
        <v>574</v>
      </c>
      <c r="T174" t="s">
        <v>434</v>
      </c>
      <c r="U174">
        <v>1.17</v>
      </c>
      <c r="V174">
        <v>6.81</v>
      </c>
      <c r="W174">
        <v>19350</v>
      </c>
      <c r="X174">
        <v>11880</v>
      </c>
      <c r="Y174">
        <v>1.63</v>
      </c>
      <c r="Z174">
        <v>38</v>
      </c>
      <c r="AA174">
        <v>180</v>
      </c>
      <c r="AB174" t="s">
        <v>116</v>
      </c>
      <c r="AC174">
        <v>62400</v>
      </c>
      <c r="AD174">
        <v>0</v>
      </c>
      <c r="AE174" t="s">
        <v>116</v>
      </c>
      <c r="AF174" t="s">
        <v>116</v>
      </c>
      <c r="AG174">
        <v>8.17</v>
      </c>
      <c r="AH174" t="s">
        <v>1339</v>
      </c>
      <c r="AI174" t="s">
        <v>1340</v>
      </c>
      <c r="AJ174">
        <v>0.09</v>
      </c>
      <c r="AK174">
        <v>910</v>
      </c>
      <c r="AL174">
        <v>34</v>
      </c>
      <c r="AM174">
        <v>4.0000000000000002E-4</v>
      </c>
      <c r="AN174">
        <v>-1</v>
      </c>
      <c r="AO174">
        <v>-0.74</v>
      </c>
      <c r="AP174">
        <v>-1.88</v>
      </c>
      <c r="AQ174">
        <v>-13.74</v>
      </c>
      <c r="AR174">
        <v>-0.56999999999999995</v>
      </c>
      <c r="AS174">
        <v>0.75</v>
      </c>
      <c r="AT174" t="s">
        <v>1341</v>
      </c>
      <c r="AU174">
        <v>28.69</v>
      </c>
      <c r="AV174">
        <v>31.42</v>
      </c>
      <c r="AW174">
        <v>0.89</v>
      </c>
      <c r="BA174">
        <v>0.59</v>
      </c>
      <c r="BB174">
        <v>0.59</v>
      </c>
      <c r="BC174">
        <v>-0.59</v>
      </c>
      <c r="BD174">
        <v>-0.09</v>
      </c>
      <c r="BE174">
        <v>-1.17</v>
      </c>
      <c r="BF174">
        <v>-1.17</v>
      </c>
      <c r="BG174">
        <v>0</v>
      </c>
      <c r="BH174">
        <v>-0.5</v>
      </c>
      <c r="BI174">
        <v>20191106</v>
      </c>
      <c r="BJ174">
        <v>19960523</v>
      </c>
      <c r="BK174">
        <v>9.0500000000000007</v>
      </c>
      <c r="BL174" t="s">
        <v>116</v>
      </c>
      <c r="BM174" t="s">
        <v>116</v>
      </c>
      <c r="BN174">
        <v>124.81</v>
      </c>
      <c r="BO174">
        <v>37.28</v>
      </c>
      <c r="BP174">
        <v>1.24</v>
      </c>
      <c r="BQ174">
        <v>69.14</v>
      </c>
      <c r="BR174">
        <v>59.33</v>
      </c>
      <c r="BS174">
        <v>27.85</v>
      </c>
      <c r="BT174">
        <v>6.83</v>
      </c>
      <c r="BU174">
        <v>79.05</v>
      </c>
      <c r="BV174">
        <v>10.77</v>
      </c>
      <c r="BW174">
        <v>19.989999999999998</v>
      </c>
      <c r="BX174">
        <v>25.31</v>
      </c>
      <c r="BY174">
        <v>60.48</v>
      </c>
      <c r="BZ174">
        <v>33.93</v>
      </c>
      <c r="CA174">
        <v>2.17</v>
      </c>
      <c r="CB174">
        <v>0</v>
      </c>
      <c r="CC174">
        <v>2.19</v>
      </c>
      <c r="CD174">
        <v>1.82</v>
      </c>
      <c r="CE174">
        <v>1.75</v>
      </c>
      <c r="CF174">
        <v>1.61</v>
      </c>
      <c r="CG174">
        <v>3.57</v>
      </c>
      <c r="CH174">
        <v>-1.75</v>
      </c>
      <c r="CI174">
        <v>2.0699999999999998</v>
      </c>
      <c r="CJ174">
        <v>29301</v>
      </c>
      <c r="CK174">
        <v>14213</v>
      </c>
      <c r="CL174" t="s">
        <v>1342</v>
      </c>
      <c r="CM174">
        <v>11.89</v>
      </c>
      <c r="CN174">
        <v>7.67</v>
      </c>
      <c r="CO174">
        <v>1.65</v>
      </c>
      <c r="CP174">
        <v>-35.11</v>
      </c>
      <c r="CQ174">
        <v>1.01</v>
      </c>
      <c r="CR174">
        <v>0</v>
      </c>
      <c r="CS174" t="s">
        <v>541</v>
      </c>
      <c r="CT174">
        <v>4.12</v>
      </c>
      <c r="CU174">
        <v>0</v>
      </c>
      <c r="CV174">
        <v>2.8</v>
      </c>
      <c r="CW174">
        <v>0.39</v>
      </c>
      <c r="CX174">
        <v>-0.19</v>
      </c>
      <c r="CY174">
        <v>29.87</v>
      </c>
      <c r="CZ174" t="s">
        <v>1343</v>
      </c>
      <c r="DA174">
        <v>43.9</v>
      </c>
      <c r="DB174">
        <v>3.6</v>
      </c>
      <c r="DC174">
        <v>2.9</v>
      </c>
      <c r="DD174">
        <v>0.34</v>
      </c>
      <c r="DE174">
        <v>7659</v>
      </c>
      <c r="DF174">
        <v>597</v>
      </c>
      <c r="DG174" t="s">
        <v>116</v>
      </c>
      <c r="DH174" t="s">
        <v>116</v>
      </c>
      <c r="DI174" t="s">
        <v>116</v>
      </c>
    </row>
    <row r="175" spans="1:113" x14ac:dyDescent="0.4">
      <c r="A175" t="str">
        <f>"000598"</f>
        <v>000598</v>
      </c>
      <c r="B175" t="s">
        <v>1344</v>
      </c>
      <c r="C175">
        <v>0.22</v>
      </c>
      <c r="D175">
        <v>4.59</v>
      </c>
      <c r="E175">
        <v>0.01</v>
      </c>
      <c r="F175">
        <v>4.58</v>
      </c>
      <c r="G175">
        <v>4.59</v>
      </c>
      <c r="H175">
        <v>76470</v>
      </c>
      <c r="I175">
        <v>1315</v>
      </c>
      <c r="J175">
        <v>0.22</v>
      </c>
      <c r="K175">
        <v>0.26</v>
      </c>
      <c r="L175">
        <v>4.58</v>
      </c>
      <c r="M175">
        <v>4.6100000000000003</v>
      </c>
      <c r="N175">
        <v>4.57</v>
      </c>
      <c r="O175">
        <v>4.58</v>
      </c>
      <c r="P175">
        <v>11.01</v>
      </c>
      <c r="Q175">
        <v>35091648</v>
      </c>
      <c r="R175">
        <v>0.89</v>
      </c>
      <c r="S175" t="s">
        <v>1345</v>
      </c>
      <c r="T175" t="s">
        <v>582</v>
      </c>
      <c r="U175">
        <v>0.87</v>
      </c>
      <c r="V175">
        <v>4.59</v>
      </c>
      <c r="W175">
        <v>45450</v>
      </c>
      <c r="X175">
        <v>31020</v>
      </c>
      <c r="Y175">
        <v>1.47</v>
      </c>
      <c r="Z175">
        <v>1507</v>
      </c>
      <c r="AA175">
        <v>3743</v>
      </c>
      <c r="AB175" t="s">
        <v>116</v>
      </c>
      <c r="AC175">
        <v>369200</v>
      </c>
      <c r="AD175">
        <v>0</v>
      </c>
      <c r="AE175" t="s">
        <v>116</v>
      </c>
      <c r="AF175" t="s">
        <v>116</v>
      </c>
      <c r="AG175">
        <v>29.86</v>
      </c>
      <c r="AH175" t="s">
        <v>1346</v>
      </c>
      <c r="AI175" t="s">
        <v>1346</v>
      </c>
      <c r="AJ175">
        <v>0.9</v>
      </c>
      <c r="AK175">
        <v>1531</v>
      </c>
      <c r="AL175">
        <v>50</v>
      </c>
      <c r="AM175">
        <v>2.0000000000000001E-4</v>
      </c>
      <c r="AN175">
        <v>2</v>
      </c>
      <c r="AO175">
        <v>0</v>
      </c>
      <c r="AP175">
        <v>1.77</v>
      </c>
      <c r="AQ175">
        <v>-1.71</v>
      </c>
      <c r="AR175">
        <v>15.79</v>
      </c>
      <c r="AS175">
        <v>0.44</v>
      </c>
      <c r="AT175" t="s">
        <v>1347</v>
      </c>
      <c r="AU175">
        <v>12.79</v>
      </c>
      <c r="AV175">
        <v>13.87</v>
      </c>
      <c r="AW175">
        <v>0.37</v>
      </c>
      <c r="BA175">
        <v>0</v>
      </c>
      <c r="BB175">
        <v>0.66</v>
      </c>
      <c r="BC175">
        <v>-0.22</v>
      </c>
      <c r="BD175">
        <v>0.19</v>
      </c>
      <c r="BE175">
        <v>0.22</v>
      </c>
      <c r="BF175">
        <v>-0.43</v>
      </c>
      <c r="BG175">
        <v>0.44</v>
      </c>
      <c r="BH175">
        <v>0.02</v>
      </c>
      <c r="BI175">
        <v>20191026</v>
      </c>
      <c r="BJ175">
        <v>19960529</v>
      </c>
      <c r="BK175">
        <v>29.86</v>
      </c>
      <c r="BL175" t="s">
        <v>116</v>
      </c>
      <c r="BM175" t="s">
        <v>116</v>
      </c>
      <c r="BN175">
        <v>221.5</v>
      </c>
      <c r="BO175">
        <v>111.01</v>
      </c>
      <c r="BP175">
        <v>7.2</v>
      </c>
      <c r="BQ175">
        <v>46.63</v>
      </c>
      <c r="BR175">
        <v>38.729999999999997</v>
      </c>
      <c r="BS175">
        <v>82.91</v>
      </c>
      <c r="BT175">
        <v>53.31</v>
      </c>
      <c r="BU175">
        <v>47.09</v>
      </c>
      <c r="BV175">
        <v>7.52</v>
      </c>
      <c r="BW175">
        <v>10.029999999999999</v>
      </c>
      <c r="BX175">
        <v>17.8</v>
      </c>
      <c r="BY175">
        <v>32.840000000000003</v>
      </c>
      <c r="BZ175">
        <v>18.350000000000001</v>
      </c>
      <c r="CA175">
        <v>11.13</v>
      </c>
      <c r="CB175">
        <v>0</v>
      </c>
      <c r="CC175">
        <v>11.21</v>
      </c>
      <c r="CD175">
        <v>9.5</v>
      </c>
      <c r="CE175">
        <v>9.33</v>
      </c>
      <c r="CF175">
        <v>9.15</v>
      </c>
      <c r="CG175">
        <v>60.53</v>
      </c>
      <c r="CH175">
        <v>14.22</v>
      </c>
      <c r="CI175">
        <v>-4.58</v>
      </c>
      <c r="CJ175">
        <v>132695</v>
      </c>
      <c r="CK175">
        <v>13012</v>
      </c>
      <c r="CL175" t="s">
        <v>1348</v>
      </c>
      <c r="CM175">
        <v>9.8800000000000008</v>
      </c>
      <c r="CN175">
        <v>9.2200000000000006</v>
      </c>
      <c r="CO175">
        <v>1.23</v>
      </c>
      <c r="CP175">
        <v>9.64</v>
      </c>
      <c r="CQ175">
        <v>4.17</v>
      </c>
      <c r="CR175">
        <v>1.44</v>
      </c>
      <c r="CS175" t="s">
        <v>1349</v>
      </c>
      <c r="CT175">
        <v>3.72</v>
      </c>
      <c r="CU175">
        <v>0</v>
      </c>
      <c r="CV175">
        <v>0.6</v>
      </c>
      <c r="CW175">
        <v>2.0299999999999998</v>
      </c>
      <c r="CX175">
        <v>0.48</v>
      </c>
      <c r="CY175">
        <v>50.12</v>
      </c>
      <c r="CZ175" t="s">
        <v>1350</v>
      </c>
      <c r="DA175">
        <v>44.11</v>
      </c>
      <c r="DB175">
        <v>33.909999999999997</v>
      </c>
      <c r="DC175">
        <v>28.42</v>
      </c>
      <c r="DD175">
        <v>0.02</v>
      </c>
      <c r="DE175">
        <v>3767</v>
      </c>
      <c r="DF175">
        <v>598</v>
      </c>
      <c r="DG175" t="s">
        <v>116</v>
      </c>
      <c r="DH175" t="s">
        <v>116</v>
      </c>
      <c r="DI175" t="s">
        <v>116</v>
      </c>
    </row>
    <row r="176" spans="1:113" x14ac:dyDescent="0.4">
      <c r="A176" t="str">
        <f>"000599"</f>
        <v>000599</v>
      </c>
      <c r="B176" t="s">
        <v>1351</v>
      </c>
      <c r="C176">
        <v>-1.67</v>
      </c>
      <c r="D176">
        <v>4.7</v>
      </c>
      <c r="E176">
        <v>-0.08</v>
      </c>
      <c r="F176">
        <v>4.6900000000000004</v>
      </c>
      <c r="G176">
        <v>4.7</v>
      </c>
      <c r="H176">
        <v>69011</v>
      </c>
      <c r="I176">
        <v>926</v>
      </c>
      <c r="J176">
        <v>0.21</v>
      </c>
      <c r="K176">
        <v>0.9</v>
      </c>
      <c r="L176">
        <v>4.7699999999999996</v>
      </c>
      <c r="M176">
        <v>4.7699999999999996</v>
      </c>
      <c r="N176">
        <v>4.6900000000000004</v>
      </c>
      <c r="O176">
        <v>4.78</v>
      </c>
      <c r="P176">
        <v>100.84</v>
      </c>
      <c r="Q176">
        <v>32618722</v>
      </c>
      <c r="R176">
        <v>0.95</v>
      </c>
      <c r="S176" t="s">
        <v>293</v>
      </c>
      <c r="T176" t="s">
        <v>645</v>
      </c>
      <c r="U176">
        <v>1.67</v>
      </c>
      <c r="V176">
        <v>4.7300000000000004</v>
      </c>
      <c r="W176">
        <v>44619</v>
      </c>
      <c r="X176">
        <v>24392</v>
      </c>
      <c r="Y176">
        <v>1.83</v>
      </c>
      <c r="Z176">
        <v>1103</v>
      </c>
      <c r="AA176">
        <v>401</v>
      </c>
      <c r="AB176" t="s">
        <v>116</v>
      </c>
      <c r="AC176">
        <v>218000</v>
      </c>
      <c r="AD176">
        <v>0.01</v>
      </c>
      <c r="AE176" t="s">
        <v>116</v>
      </c>
      <c r="AF176" t="s">
        <v>116</v>
      </c>
      <c r="AG176">
        <v>7.68</v>
      </c>
      <c r="AH176" t="s">
        <v>1352</v>
      </c>
      <c r="AI176" t="s">
        <v>1353</v>
      </c>
      <c r="AJ176">
        <v>-0.99</v>
      </c>
      <c r="AK176">
        <v>1304</v>
      </c>
      <c r="AL176">
        <v>53</v>
      </c>
      <c r="AM176">
        <v>6.9999999999999999E-4</v>
      </c>
      <c r="AN176">
        <v>-1</v>
      </c>
      <c r="AO176">
        <v>0.44</v>
      </c>
      <c r="AP176">
        <v>4.91</v>
      </c>
      <c r="AQ176">
        <v>6.09</v>
      </c>
      <c r="AR176">
        <v>27.37</v>
      </c>
      <c r="AS176">
        <v>1.31</v>
      </c>
      <c r="AT176" t="s">
        <v>1354</v>
      </c>
      <c r="AU176">
        <v>1508.58</v>
      </c>
      <c r="AV176">
        <v>141.55000000000001</v>
      </c>
      <c r="AW176">
        <v>1.24</v>
      </c>
      <c r="BA176">
        <v>-0.21</v>
      </c>
      <c r="BB176">
        <v>-0.21</v>
      </c>
      <c r="BC176">
        <v>-1.88</v>
      </c>
      <c r="BD176">
        <v>-1.1200000000000001</v>
      </c>
      <c r="BE176">
        <v>-1.47</v>
      </c>
      <c r="BF176">
        <v>-1.47</v>
      </c>
      <c r="BG176">
        <v>0.21</v>
      </c>
      <c r="BH176">
        <v>-0.56000000000000005</v>
      </c>
      <c r="BI176">
        <v>20191031</v>
      </c>
      <c r="BJ176">
        <v>19960430</v>
      </c>
      <c r="BK176">
        <v>8.2899999999999991</v>
      </c>
      <c r="BL176" t="s">
        <v>116</v>
      </c>
      <c r="BM176" t="s">
        <v>116</v>
      </c>
      <c r="BN176">
        <v>96.29</v>
      </c>
      <c r="BO176">
        <v>37</v>
      </c>
      <c r="BP176">
        <v>1.6</v>
      </c>
      <c r="BQ176">
        <v>59.91</v>
      </c>
      <c r="BR176">
        <v>42.59</v>
      </c>
      <c r="BS176">
        <v>29.57</v>
      </c>
      <c r="BT176">
        <v>4.1500000000000004</v>
      </c>
      <c r="BU176">
        <v>41.57</v>
      </c>
      <c r="BV176">
        <v>13.84</v>
      </c>
      <c r="BW176">
        <v>9.3699999999999992</v>
      </c>
      <c r="BX176">
        <v>20.079999999999998</v>
      </c>
      <c r="BY176">
        <v>31.36</v>
      </c>
      <c r="BZ176">
        <v>27</v>
      </c>
      <c r="CA176">
        <v>0.27</v>
      </c>
      <c r="CB176">
        <v>0.6</v>
      </c>
      <c r="CC176">
        <v>0.22</v>
      </c>
      <c r="CD176">
        <v>0.18</v>
      </c>
      <c r="CE176">
        <v>0.28999999999999998</v>
      </c>
      <c r="CF176">
        <v>-0.74</v>
      </c>
      <c r="CG176">
        <v>8.43</v>
      </c>
      <c r="CH176">
        <v>-1.6</v>
      </c>
      <c r="CI176">
        <v>-1.75</v>
      </c>
      <c r="CJ176">
        <v>65631</v>
      </c>
      <c r="CK176">
        <v>8023</v>
      </c>
      <c r="CL176" t="s">
        <v>1355</v>
      </c>
      <c r="CM176">
        <v>-46.26</v>
      </c>
      <c r="CN176">
        <v>8.65</v>
      </c>
      <c r="CO176">
        <v>1.05</v>
      </c>
      <c r="CP176">
        <v>-24.37</v>
      </c>
      <c r="CQ176">
        <v>1.24</v>
      </c>
      <c r="CR176">
        <v>0.21</v>
      </c>
      <c r="CS176" t="s">
        <v>958</v>
      </c>
      <c r="CT176">
        <v>4.47</v>
      </c>
      <c r="CU176">
        <v>0</v>
      </c>
      <c r="CV176">
        <v>2.42</v>
      </c>
      <c r="CW176">
        <v>1.02</v>
      </c>
      <c r="CX176">
        <v>-0.19</v>
      </c>
      <c r="CY176">
        <v>38.42</v>
      </c>
      <c r="CZ176" t="s">
        <v>1356</v>
      </c>
      <c r="DA176">
        <v>13.89</v>
      </c>
      <c r="DB176">
        <v>0.87</v>
      </c>
      <c r="DC176">
        <v>0.92</v>
      </c>
      <c r="DD176">
        <v>0.86</v>
      </c>
      <c r="DE176">
        <v>4531</v>
      </c>
      <c r="DF176">
        <v>599</v>
      </c>
      <c r="DG176" t="s">
        <v>116</v>
      </c>
      <c r="DH176" t="s">
        <v>116</v>
      </c>
      <c r="DI176" t="s">
        <v>116</v>
      </c>
    </row>
    <row r="177" spans="1:113" x14ac:dyDescent="0.4">
      <c r="A177" t="str">
        <f>"000600"</f>
        <v>000600</v>
      </c>
      <c r="B177" t="s">
        <v>1357</v>
      </c>
      <c r="C177">
        <v>-0.82</v>
      </c>
      <c r="D177">
        <v>4.82</v>
      </c>
      <c r="E177">
        <v>-0.04</v>
      </c>
      <c r="F177">
        <v>4.82</v>
      </c>
      <c r="G177">
        <v>4.83</v>
      </c>
      <c r="H177">
        <v>92041</v>
      </c>
      <c r="I177">
        <v>73</v>
      </c>
      <c r="J177">
        <v>-0.2</v>
      </c>
      <c r="K177">
        <v>0.84</v>
      </c>
      <c r="L177">
        <v>4.8600000000000003</v>
      </c>
      <c r="M177">
        <v>4.91</v>
      </c>
      <c r="N177">
        <v>4.82</v>
      </c>
      <c r="O177">
        <v>4.8600000000000003</v>
      </c>
      <c r="P177">
        <v>13.96</v>
      </c>
      <c r="Q177">
        <v>44812888</v>
      </c>
      <c r="R177">
        <v>0.99</v>
      </c>
      <c r="S177" t="s">
        <v>271</v>
      </c>
      <c r="T177" t="s">
        <v>608</v>
      </c>
      <c r="U177">
        <v>1.85</v>
      </c>
      <c r="V177">
        <v>4.87</v>
      </c>
      <c r="W177">
        <v>53623</v>
      </c>
      <c r="X177">
        <v>38418</v>
      </c>
      <c r="Y177">
        <v>1.4</v>
      </c>
      <c r="Z177">
        <v>1756</v>
      </c>
      <c r="AA177">
        <v>176</v>
      </c>
      <c r="AB177" t="s">
        <v>116</v>
      </c>
      <c r="AC177">
        <v>98200</v>
      </c>
      <c r="AD177">
        <v>0</v>
      </c>
      <c r="AE177" t="s">
        <v>116</v>
      </c>
      <c r="AF177" t="s">
        <v>116</v>
      </c>
      <c r="AG177">
        <v>10.9</v>
      </c>
      <c r="AH177" t="s">
        <v>1358</v>
      </c>
      <c r="AI177" t="s">
        <v>1359</v>
      </c>
      <c r="AJ177">
        <v>-0.14000000000000001</v>
      </c>
      <c r="AK177">
        <v>1997</v>
      </c>
      <c r="AL177">
        <v>46</v>
      </c>
      <c r="AM177">
        <v>4.0000000000000002E-4</v>
      </c>
      <c r="AN177">
        <v>-1</v>
      </c>
      <c r="AO177">
        <v>-0.41</v>
      </c>
      <c r="AP177">
        <v>-0.21</v>
      </c>
      <c r="AQ177">
        <v>-11.07</v>
      </c>
      <c r="AR177">
        <v>-2.0299999999999998</v>
      </c>
      <c r="AS177">
        <v>1.5</v>
      </c>
      <c r="AT177" t="s">
        <v>1360</v>
      </c>
      <c r="AU177">
        <v>14.1</v>
      </c>
      <c r="AV177">
        <v>20</v>
      </c>
      <c r="AW177">
        <v>1.21</v>
      </c>
      <c r="BA177">
        <v>0</v>
      </c>
      <c r="BB177">
        <v>1.03</v>
      </c>
      <c r="BC177">
        <v>-0.82</v>
      </c>
      <c r="BD177">
        <v>0.18</v>
      </c>
      <c r="BE177">
        <v>-0.82</v>
      </c>
      <c r="BF177">
        <v>-1.83</v>
      </c>
      <c r="BG177">
        <v>0</v>
      </c>
      <c r="BH177">
        <v>-1</v>
      </c>
      <c r="BI177">
        <v>20191029</v>
      </c>
      <c r="BJ177">
        <v>19960606</v>
      </c>
      <c r="BK177">
        <v>17.920000000000002</v>
      </c>
      <c r="BL177" t="s">
        <v>116</v>
      </c>
      <c r="BM177" t="s">
        <v>116</v>
      </c>
      <c r="BN177">
        <v>318.54000000000002</v>
      </c>
      <c r="BO177">
        <v>112.64</v>
      </c>
      <c r="BP177">
        <v>25.37</v>
      </c>
      <c r="BQ177">
        <v>56.68</v>
      </c>
      <c r="BR177">
        <v>58.97</v>
      </c>
      <c r="BS177">
        <v>179.02</v>
      </c>
      <c r="BT177">
        <v>9.61</v>
      </c>
      <c r="BU177">
        <v>81.819999999999993</v>
      </c>
      <c r="BV177">
        <v>5.92</v>
      </c>
      <c r="BW177">
        <v>15.01</v>
      </c>
      <c r="BX177">
        <v>44.36</v>
      </c>
      <c r="BY177">
        <v>101.79</v>
      </c>
      <c r="BZ177">
        <v>83.52</v>
      </c>
      <c r="CA177">
        <v>8.24</v>
      </c>
      <c r="CB177">
        <v>0.24</v>
      </c>
      <c r="CC177">
        <v>8.34</v>
      </c>
      <c r="CD177">
        <v>6.39</v>
      </c>
      <c r="CE177">
        <v>4.6399999999999997</v>
      </c>
      <c r="CF177">
        <v>4.4000000000000004</v>
      </c>
      <c r="CG177">
        <v>43.15</v>
      </c>
      <c r="CH177">
        <v>13.01</v>
      </c>
      <c r="CI177">
        <v>-0.43</v>
      </c>
      <c r="CJ177">
        <v>65106</v>
      </c>
      <c r="CK177">
        <v>9456</v>
      </c>
      <c r="CL177" t="s">
        <v>349</v>
      </c>
      <c r="CM177">
        <v>63.85</v>
      </c>
      <c r="CN177">
        <v>-0.68</v>
      </c>
      <c r="CO177">
        <v>0.77</v>
      </c>
      <c r="CP177">
        <v>6.64</v>
      </c>
      <c r="CQ177">
        <v>0.85</v>
      </c>
      <c r="CR177">
        <v>2.0699999999999998</v>
      </c>
      <c r="CS177" t="s">
        <v>548</v>
      </c>
      <c r="CT177">
        <v>6.29</v>
      </c>
      <c r="CU177">
        <v>0</v>
      </c>
      <c r="CV177">
        <v>2.48</v>
      </c>
      <c r="CW177">
        <v>2.41</v>
      </c>
      <c r="CX177">
        <v>0.73</v>
      </c>
      <c r="CY177">
        <v>35.36</v>
      </c>
      <c r="CZ177" t="s">
        <v>1361</v>
      </c>
      <c r="DA177">
        <v>17.96</v>
      </c>
      <c r="DB177">
        <v>8.09</v>
      </c>
      <c r="DC177">
        <v>4.5599999999999996</v>
      </c>
      <c r="DD177">
        <v>0</v>
      </c>
      <c r="DE177">
        <v>4443</v>
      </c>
      <c r="DF177">
        <v>600</v>
      </c>
      <c r="DG177" t="s">
        <v>116</v>
      </c>
      <c r="DH177" t="s">
        <v>116</v>
      </c>
      <c r="DI177" t="s">
        <v>116</v>
      </c>
    </row>
    <row r="178" spans="1:113" x14ac:dyDescent="0.4">
      <c r="A178" t="str">
        <f>"000601"</f>
        <v>000601</v>
      </c>
      <c r="B178" t="s">
        <v>1362</v>
      </c>
      <c r="C178">
        <v>-2.76</v>
      </c>
      <c r="D178">
        <v>5.63</v>
      </c>
      <c r="E178">
        <v>-0.16</v>
      </c>
      <c r="F178">
        <v>5.63</v>
      </c>
      <c r="G178">
        <v>5.64</v>
      </c>
      <c r="H178">
        <v>172065</v>
      </c>
      <c r="I178">
        <v>2256</v>
      </c>
      <c r="J178">
        <v>0</v>
      </c>
      <c r="K178">
        <v>1.59</v>
      </c>
      <c r="L178">
        <v>5.77</v>
      </c>
      <c r="M178">
        <v>5.78</v>
      </c>
      <c r="N178">
        <v>5.62</v>
      </c>
      <c r="O178">
        <v>5.79</v>
      </c>
      <c r="P178">
        <v>9.5399999999999991</v>
      </c>
      <c r="Q178">
        <v>97786736</v>
      </c>
      <c r="R178">
        <v>1.76</v>
      </c>
      <c r="S178" t="s">
        <v>1363</v>
      </c>
      <c r="T178" t="s">
        <v>551</v>
      </c>
      <c r="U178">
        <v>2.76</v>
      </c>
      <c r="V178">
        <v>5.68</v>
      </c>
      <c r="W178">
        <v>105701</v>
      </c>
      <c r="X178">
        <v>66364</v>
      </c>
      <c r="Y178">
        <v>1.59</v>
      </c>
      <c r="Z178">
        <v>711</v>
      </c>
      <c r="AA178">
        <v>113</v>
      </c>
      <c r="AB178" t="s">
        <v>116</v>
      </c>
      <c r="AC178">
        <v>1003400</v>
      </c>
      <c r="AD178">
        <v>0.03</v>
      </c>
      <c r="AE178" t="s">
        <v>116</v>
      </c>
      <c r="AF178" t="s">
        <v>116</v>
      </c>
      <c r="AG178">
        <v>10.8</v>
      </c>
      <c r="AH178" t="s">
        <v>1364</v>
      </c>
      <c r="AI178" t="s">
        <v>1365</v>
      </c>
      <c r="AJ178">
        <v>-2.08</v>
      </c>
      <c r="AK178">
        <v>2475</v>
      </c>
      <c r="AL178">
        <v>70</v>
      </c>
      <c r="AM178">
        <v>5.9999999999999995E-4</v>
      </c>
      <c r="AN178">
        <v>-1</v>
      </c>
      <c r="AO178">
        <v>1.08</v>
      </c>
      <c r="AP178">
        <v>-7.55</v>
      </c>
      <c r="AQ178">
        <v>-6.32</v>
      </c>
      <c r="AR178">
        <v>57.7</v>
      </c>
      <c r="AS178">
        <v>2.75</v>
      </c>
      <c r="AT178" t="s">
        <v>1366</v>
      </c>
      <c r="AU178">
        <v>11.87</v>
      </c>
      <c r="AV178">
        <v>20.079999999999998</v>
      </c>
      <c r="AW178">
        <v>1.32</v>
      </c>
      <c r="BA178">
        <v>-0.35</v>
      </c>
      <c r="BB178">
        <v>-0.17</v>
      </c>
      <c r="BC178">
        <v>-2.94</v>
      </c>
      <c r="BD178">
        <v>-1.85</v>
      </c>
      <c r="BE178">
        <v>-2.4300000000000002</v>
      </c>
      <c r="BF178">
        <v>-2.6</v>
      </c>
      <c r="BG178">
        <v>0.18</v>
      </c>
      <c r="BH178">
        <v>-0.92</v>
      </c>
      <c r="BI178">
        <v>20191223</v>
      </c>
      <c r="BJ178">
        <v>19960830</v>
      </c>
      <c r="BK178">
        <v>10.81</v>
      </c>
      <c r="BL178" t="s">
        <v>116</v>
      </c>
      <c r="BM178" t="s">
        <v>116</v>
      </c>
      <c r="BN178">
        <v>107.33</v>
      </c>
      <c r="BO178">
        <v>48.35</v>
      </c>
      <c r="BP178">
        <v>3.51</v>
      </c>
      <c r="BQ178">
        <v>51.68</v>
      </c>
      <c r="BR178">
        <v>19.55</v>
      </c>
      <c r="BS178">
        <v>72.760000000000005</v>
      </c>
      <c r="BT178">
        <v>2.69</v>
      </c>
      <c r="BU178">
        <v>19.850000000000001</v>
      </c>
      <c r="BV178">
        <v>3.3</v>
      </c>
      <c r="BW178">
        <v>7.98</v>
      </c>
      <c r="BX178">
        <v>15.82</v>
      </c>
      <c r="BY178">
        <v>32.68</v>
      </c>
      <c r="BZ178">
        <v>22.76</v>
      </c>
      <c r="CA178">
        <v>6.41</v>
      </c>
      <c r="CB178">
        <v>0</v>
      </c>
      <c r="CC178">
        <v>6.54</v>
      </c>
      <c r="CD178">
        <v>4.93</v>
      </c>
      <c r="CE178">
        <v>4.78</v>
      </c>
      <c r="CF178">
        <v>4.47</v>
      </c>
      <c r="CG178">
        <v>14.4</v>
      </c>
      <c r="CH178">
        <v>5.76</v>
      </c>
      <c r="CI178">
        <v>-1.77</v>
      </c>
      <c r="CJ178">
        <v>58270</v>
      </c>
      <c r="CK178">
        <v>10727</v>
      </c>
      <c r="CL178" t="s">
        <v>1367</v>
      </c>
      <c r="CM178">
        <v>77.98</v>
      </c>
      <c r="CN178">
        <v>29.99</v>
      </c>
      <c r="CO178">
        <v>1.26</v>
      </c>
      <c r="CP178">
        <v>10.56</v>
      </c>
      <c r="CQ178">
        <v>1.86</v>
      </c>
      <c r="CR178">
        <v>2.66</v>
      </c>
      <c r="CS178" t="s">
        <v>1368</v>
      </c>
      <c r="CT178">
        <v>4.47</v>
      </c>
      <c r="CU178">
        <v>0</v>
      </c>
      <c r="CV178">
        <v>1.46</v>
      </c>
      <c r="CW178">
        <v>1.33</v>
      </c>
      <c r="CX178">
        <v>0.53</v>
      </c>
      <c r="CY178">
        <v>45.05</v>
      </c>
      <c r="CZ178" t="s">
        <v>186</v>
      </c>
      <c r="DA178">
        <v>30.35</v>
      </c>
      <c r="DB178">
        <v>19.62</v>
      </c>
      <c r="DC178">
        <v>14.63</v>
      </c>
      <c r="DD178">
        <v>0.3</v>
      </c>
      <c r="DE178">
        <v>5189</v>
      </c>
      <c r="DF178">
        <v>601</v>
      </c>
      <c r="DG178" t="s">
        <v>116</v>
      </c>
      <c r="DH178" t="s">
        <v>116</v>
      </c>
      <c r="DI178" t="s">
        <v>116</v>
      </c>
    </row>
    <row r="179" spans="1:113" x14ac:dyDescent="0.4">
      <c r="A179" t="str">
        <f>"000603"</f>
        <v>000603</v>
      </c>
      <c r="B179" t="s">
        <v>1369</v>
      </c>
      <c r="C179">
        <v>1.1100000000000001</v>
      </c>
      <c r="D179">
        <v>14.59</v>
      </c>
      <c r="E179">
        <v>0.16</v>
      </c>
      <c r="F179">
        <v>14.59</v>
      </c>
      <c r="G179">
        <v>14.6</v>
      </c>
      <c r="H179">
        <v>318413</v>
      </c>
      <c r="I179">
        <v>1978</v>
      </c>
      <c r="J179">
        <v>0.55000000000000004</v>
      </c>
      <c r="K179">
        <v>5.43</v>
      </c>
      <c r="L179">
        <v>14.38</v>
      </c>
      <c r="M179">
        <v>15.2</v>
      </c>
      <c r="N179">
        <v>14.31</v>
      </c>
      <c r="O179">
        <v>14.43</v>
      </c>
      <c r="P179">
        <v>22.19</v>
      </c>
      <c r="Q179">
        <v>468911520</v>
      </c>
      <c r="R179">
        <v>1.45</v>
      </c>
      <c r="S179" t="s">
        <v>441</v>
      </c>
      <c r="T179" t="s">
        <v>165</v>
      </c>
      <c r="U179">
        <v>6.17</v>
      </c>
      <c r="V179">
        <v>14.73</v>
      </c>
      <c r="W179">
        <v>160989</v>
      </c>
      <c r="X179">
        <v>157424</v>
      </c>
      <c r="Y179">
        <v>1.02</v>
      </c>
      <c r="Z179">
        <v>115</v>
      </c>
      <c r="AA179">
        <v>456</v>
      </c>
      <c r="AB179" t="s">
        <v>116</v>
      </c>
      <c r="AC179">
        <v>2661700</v>
      </c>
      <c r="AD179">
        <v>0.06</v>
      </c>
      <c r="AE179" t="s">
        <v>116</v>
      </c>
      <c r="AF179" t="s">
        <v>116</v>
      </c>
      <c r="AG179">
        <v>5.87</v>
      </c>
      <c r="AH179" t="s">
        <v>1370</v>
      </c>
      <c r="AI179" t="s">
        <v>1371</v>
      </c>
      <c r="AJ179">
        <v>1.79</v>
      </c>
      <c r="AK179">
        <v>3993</v>
      </c>
      <c r="AL179">
        <v>80</v>
      </c>
      <c r="AM179">
        <v>1.4E-3</v>
      </c>
      <c r="AN179">
        <v>5</v>
      </c>
      <c r="AO179">
        <v>3.92</v>
      </c>
      <c r="AP179">
        <v>22.09</v>
      </c>
      <c r="AQ179">
        <v>9.1199999999999992</v>
      </c>
      <c r="AR179">
        <v>45.9</v>
      </c>
      <c r="AS179">
        <v>10.210000000000001</v>
      </c>
      <c r="AT179" t="s">
        <v>1372</v>
      </c>
      <c r="AU179">
        <v>23.5</v>
      </c>
      <c r="AV179">
        <v>24.45</v>
      </c>
      <c r="AW179">
        <v>1.07</v>
      </c>
      <c r="BA179">
        <v>-0.35</v>
      </c>
      <c r="BB179">
        <v>5.34</v>
      </c>
      <c r="BC179">
        <v>-0.83</v>
      </c>
      <c r="BD179">
        <v>2.0499999999999998</v>
      </c>
      <c r="BE179">
        <v>1.46</v>
      </c>
      <c r="BF179">
        <v>-4.01</v>
      </c>
      <c r="BG179">
        <v>1.96</v>
      </c>
      <c r="BH179">
        <v>-0.95</v>
      </c>
      <c r="BI179">
        <v>20191118</v>
      </c>
      <c r="BJ179">
        <v>19960823</v>
      </c>
      <c r="BK179">
        <v>6.9</v>
      </c>
      <c r="BL179" t="s">
        <v>116</v>
      </c>
      <c r="BM179" t="s">
        <v>116</v>
      </c>
      <c r="BN179">
        <v>41.78</v>
      </c>
      <c r="BO179">
        <v>21.57</v>
      </c>
      <c r="BP179">
        <v>2.71</v>
      </c>
      <c r="BQ179">
        <v>41.91</v>
      </c>
      <c r="BR179">
        <v>16.850000000000001</v>
      </c>
      <c r="BS179">
        <v>9.25</v>
      </c>
      <c r="BT179">
        <v>3.78</v>
      </c>
      <c r="BU179">
        <v>9.99</v>
      </c>
      <c r="BV179">
        <v>2.2200000000000002</v>
      </c>
      <c r="BW179">
        <v>0.4</v>
      </c>
      <c r="BX179">
        <v>4.5199999999999996</v>
      </c>
      <c r="BY179">
        <v>19.57</v>
      </c>
      <c r="BZ179">
        <v>13.74</v>
      </c>
      <c r="CA179">
        <v>5</v>
      </c>
      <c r="CB179">
        <v>0</v>
      </c>
      <c r="CC179">
        <v>4.99</v>
      </c>
      <c r="CD179">
        <v>4.08</v>
      </c>
      <c r="CE179">
        <v>3.4</v>
      </c>
      <c r="CF179">
        <v>2.5299999999999998</v>
      </c>
      <c r="CG179">
        <v>15.75</v>
      </c>
      <c r="CH179">
        <v>2.4300000000000002</v>
      </c>
      <c r="CI179">
        <v>-1.31</v>
      </c>
      <c r="CJ179">
        <v>39771</v>
      </c>
      <c r="CK179">
        <v>7839</v>
      </c>
      <c r="CL179" t="s">
        <v>1373</v>
      </c>
      <c r="CM179">
        <v>5.14</v>
      </c>
      <c r="CN179">
        <v>1.46</v>
      </c>
      <c r="CO179">
        <v>4.67</v>
      </c>
      <c r="CP179">
        <v>41.37</v>
      </c>
      <c r="CQ179">
        <v>5.14</v>
      </c>
      <c r="CR179">
        <v>0</v>
      </c>
      <c r="CS179" t="s">
        <v>1374</v>
      </c>
      <c r="CT179">
        <v>3.13</v>
      </c>
      <c r="CU179">
        <v>0</v>
      </c>
      <c r="CV179">
        <v>0.66</v>
      </c>
      <c r="CW179">
        <v>2.2799999999999998</v>
      </c>
      <c r="CX179">
        <v>0.35</v>
      </c>
      <c r="CY179">
        <v>51.61</v>
      </c>
      <c r="CZ179" t="s">
        <v>1375</v>
      </c>
      <c r="DA179">
        <v>29.82</v>
      </c>
      <c r="DB179">
        <v>25.55</v>
      </c>
      <c r="DC179">
        <v>17.38</v>
      </c>
      <c r="DD179">
        <v>0</v>
      </c>
      <c r="DE179">
        <v>1214</v>
      </c>
      <c r="DF179">
        <v>603</v>
      </c>
      <c r="DG179" t="s">
        <v>116</v>
      </c>
      <c r="DH179" t="s">
        <v>116</v>
      </c>
      <c r="DI179" t="s">
        <v>116</v>
      </c>
    </row>
    <row r="180" spans="1:113" x14ac:dyDescent="0.4">
      <c r="A180" t="str">
        <f>"000605"</f>
        <v>000605</v>
      </c>
      <c r="B180" t="s">
        <v>1376</v>
      </c>
      <c r="C180">
        <v>0</v>
      </c>
      <c r="D180">
        <v>6.82</v>
      </c>
      <c r="E180">
        <v>0</v>
      </c>
      <c r="F180">
        <v>6.8</v>
      </c>
      <c r="G180">
        <v>6.82</v>
      </c>
      <c r="H180">
        <v>14657</v>
      </c>
      <c r="I180">
        <v>315</v>
      </c>
      <c r="J180">
        <v>0.44</v>
      </c>
      <c r="K180">
        <v>0.54</v>
      </c>
      <c r="L180">
        <v>6.88</v>
      </c>
      <c r="M180">
        <v>6.91</v>
      </c>
      <c r="N180">
        <v>6.77</v>
      </c>
      <c r="O180">
        <v>6.82</v>
      </c>
      <c r="P180">
        <v>56.48</v>
      </c>
      <c r="Q180">
        <v>10042398</v>
      </c>
      <c r="R180">
        <v>1.25</v>
      </c>
      <c r="S180" t="s">
        <v>1345</v>
      </c>
      <c r="T180" t="s">
        <v>165</v>
      </c>
      <c r="U180">
        <v>2.0499999999999998</v>
      </c>
      <c r="V180">
        <v>6.85</v>
      </c>
      <c r="W180">
        <v>9744</v>
      </c>
      <c r="X180">
        <v>4913</v>
      </c>
      <c r="Y180">
        <v>1.98</v>
      </c>
      <c r="Z180">
        <v>55</v>
      </c>
      <c r="AA180">
        <v>82</v>
      </c>
      <c r="AB180" t="s">
        <v>116</v>
      </c>
      <c r="AC180">
        <v>110800</v>
      </c>
      <c r="AD180">
        <v>0.01</v>
      </c>
      <c r="AE180" t="s">
        <v>116</v>
      </c>
      <c r="AF180" t="s">
        <v>116</v>
      </c>
      <c r="AG180">
        <v>2.73</v>
      </c>
      <c r="AH180" t="s">
        <v>1377</v>
      </c>
      <c r="AI180" t="s">
        <v>1378</v>
      </c>
      <c r="AJ180">
        <v>0.68</v>
      </c>
      <c r="AK180">
        <v>563</v>
      </c>
      <c r="AL180">
        <v>26</v>
      </c>
      <c r="AM180">
        <v>1E-3</v>
      </c>
      <c r="AN180">
        <v>0</v>
      </c>
      <c r="AO180">
        <v>0.6</v>
      </c>
      <c r="AP180">
        <v>3.33</v>
      </c>
      <c r="AQ180">
        <v>-5.28</v>
      </c>
      <c r="AR180">
        <v>-27.98</v>
      </c>
      <c r="AS180">
        <v>1.22</v>
      </c>
      <c r="AT180" t="s">
        <v>1379</v>
      </c>
      <c r="AU180">
        <v>43.74</v>
      </c>
      <c r="AV180">
        <v>40.17</v>
      </c>
      <c r="AW180">
        <v>0.78</v>
      </c>
      <c r="BA180">
        <v>0.88</v>
      </c>
      <c r="BB180">
        <v>1.32</v>
      </c>
      <c r="BC180">
        <v>-0.73</v>
      </c>
      <c r="BD180">
        <v>0.46</v>
      </c>
      <c r="BE180">
        <v>-0.87</v>
      </c>
      <c r="BF180">
        <v>-1.3</v>
      </c>
      <c r="BG180">
        <v>0.74</v>
      </c>
      <c r="BH180">
        <v>-0.46</v>
      </c>
      <c r="BI180">
        <v>20191031</v>
      </c>
      <c r="BJ180">
        <v>19960913</v>
      </c>
      <c r="BK180">
        <v>3.53</v>
      </c>
      <c r="BL180" t="s">
        <v>116</v>
      </c>
      <c r="BM180" t="s">
        <v>116</v>
      </c>
      <c r="BN180">
        <v>68.92</v>
      </c>
      <c r="BO180">
        <v>21.06</v>
      </c>
      <c r="BP180">
        <v>5.46</v>
      </c>
      <c r="BQ180">
        <v>61.51</v>
      </c>
      <c r="BR180">
        <v>26.03</v>
      </c>
      <c r="BS180">
        <v>9.92</v>
      </c>
      <c r="BT180">
        <v>21.14</v>
      </c>
      <c r="BU180">
        <v>28.7</v>
      </c>
      <c r="BV180">
        <v>10.25</v>
      </c>
      <c r="BW180">
        <v>6.29</v>
      </c>
      <c r="BX180">
        <v>12.11</v>
      </c>
      <c r="BY180">
        <v>11.55</v>
      </c>
      <c r="BZ180">
        <v>8.07</v>
      </c>
      <c r="CA180">
        <v>0.61</v>
      </c>
      <c r="CB180">
        <v>-0.02</v>
      </c>
      <c r="CC180">
        <v>0.6</v>
      </c>
      <c r="CD180">
        <v>0.37</v>
      </c>
      <c r="CE180">
        <v>0.32</v>
      </c>
      <c r="CF180">
        <v>0.27</v>
      </c>
      <c r="CG180">
        <v>4.9000000000000004</v>
      </c>
      <c r="CH180">
        <v>0.49</v>
      </c>
      <c r="CI180">
        <v>-0.79</v>
      </c>
      <c r="CJ180">
        <v>22157</v>
      </c>
      <c r="CK180">
        <v>5413</v>
      </c>
      <c r="CL180" t="s">
        <v>1380</v>
      </c>
      <c r="CM180">
        <v>-13.28</v>
      </c>
      <c r="CN180">
        <v>3.39</v>
      </c>
      <c r="CO180">
        <v>1.1399999999999999</v>
      </c>
      <c r="CP180">
        <v>48.67</v>
      </c>
      <c r="CQ180">
        <v>2.08</v>
      </c>
      <c r="CR180">
        <v>0.28999999999999998</v>
      </c>
      <c r="CS180" t="s">
        <v>1381</v>
      </c>
      <c r="CT180">
        <v>5.97</v>
      </c>
      <c r="CU180">
        <v>0</v>
      </c>
      <c r="CV180">
        <v>3.43</v>
      </c>
      <c r="CW180">
        <v>1.39</v>
      </c>
      <c r="CX180">
        <v>0.14000000000000001</v>
      </c>
      <c r="CY180">
        <v>30.56</v>
      </c>
      <c r="CZ180" t="s">
        <v>1382</v>
      </c>
      <c r="DA180">
        <v>30.15</v>
      </c>
      <c r="DB180">
        <v>5.28</v>
      </c>
      <c r="DC180">
        <v>2.76</v>
      </c>
      <c r="DD180">
        <v>0.15</v>
      </c>
      <c r="DE180">
        <v>1315</v>
      </c>
      <c r="DF180">
        <v>605</v>
      </c>
      <c r="DG180" t="s">
        <v>116</v>
      </c>
      <c r="DH180" t="s">
        <v>116</v>
      </c>
      <c r="DI180" t="s">
        <v>116</v>
      </c>
    </row>
    <row r="181" spans="1:113" x14ac:dyDescent="0.4">
      <c r="A181" t="str">
        <f>"000606"</f>
        <v>000606</v>
      </c>
      <c r="B181" t="s">
        <v>1383</v>
      </c>
      <c r="C181">
        <v>-1.08</v>
      </c>
      <c r="D181">
        <v>5.51</v>
      </c>
      <c r="E181">
        <v>-0.06</v>
      </c>
      <c r="F181">
        <v>5.51</v>
      </c>
      <c r="G181">
        <v>5.52</v>
      </c>
      <c r="H181">
        <v>78784</v>
      </c>
      <c r="I181">
        <v>785</v>
      </c>
      <c r="J181">
        <v>0</v>
      </c>
      <c r="K181">
        <v>1.1100000000000001</v>
      </c>
      <c r="L181">
        <v>5.61</v>
      </c>
      <c r="M181">
        <v>5.63</v>
      </c>
      <c r="N181">
        <v>5.5</v>
      </c>
      <c r="O181">
        <v>5.57</v>
      </c>
      <c r="P181">
        <v>29.07</v>
      </c>
      <c r="Q181">
        <v>43910196</v>
      </c>
      <c r="R181">
        <v>0.77</v>
      </c>
      <c r="S181" t="s">
        <v>1384</v>
      </c>
      <c r="T181" t="s">
        <v>698</v>
      </c>
      <c r="U181">
        <v>2.33</v>
      </c>
      <c r="V181">
        <v>5.57</v>
      </c>
      <c r="W181">
        <v>48864</v>
      </c>
      <c r="X181">
        <v>29920</v>
      </c>
      <c r="Y181">
        <v>1.63</v>
      </c>
      <c r="Z181">
        <v>1169</v>
      </c>
      <c r="AA181">
        <v>926</v>
      </c>
      <c r="AB181" t="s">
        <v>116</v>
      </c>
      <c r="AC181">
        <v>205900</v>
      </c>
      <c r="AD181">
        <v>0.01</v>
      </c>
      <c r="AE181" t="s">
        <v>116</v>
      </c>
      <c r="AF181" t="s">
        <v>116</v>
      </c>
      <c r="AG181">
        <v>7.07</v>
      </c>
      <c r="AH181" t="s">
        <v>1385</v>
      </c>
      <c r="AI181" t="s">
        <v>1386</v>
      </c>
      <c r="AJ181">
        <v>-0.4</v>
      </c>
      <c r="AK181">
        <v>1474</v>
      </c>
      <c r="AL181">
        <v>53</v>
      </c>
      <c r="AM181">
        <v>8.0000000000000004E-4</v>
      </c>
      <c r="AN181">
        <v>-1</v>
      </c>
      <c r="AO181">
        <v>0</v>
      </c>
      <c r="AP181">
        <v>-0.9</v>
      </c>
      <c r="AQ181">
        <v>-6.13</v>
      </c>
      <c r="AR181">
        <v>-7.39</v>
      </c>
      <c r="AS181">
        <v>1.66</v>
      </c>
      <c r="AT181" t="s">
        <v>1387</v>
      </c>
      <c r="AU181" t="s">
        <v>116</v>
      </c>
      <c r="AV181">
        <v>45.23</v>
      </c>
      <c r="AW181">
        <v>1.84</v>
      </c>
      <c r="BA181">
        <v>0.72</v>
      </c>
      <c r="BB181">
        <v>1.08</v>
      </c>
      <c r="BC181">
        <v>-1.26</v>
      </c>
      <c r="BD181">
        <v>0.06</v>
      </c>
      <c r="BE181">
        <v>-1.78</v>
      </c>
      <c r="BF181">
        <v>-2.13</v>
      </c>
      <c r="BG181">
        <v>0.18</v>
      </c>
      <c r="BH181">
        <v>-1.1399999999999999</v>
      </c>
      <c r="BI181">
        <v>20191031</v>
      </c>
      <c r="BJ181">
        <v>19961004</v>
      </c>
      <c r="BK181">
        <v>7.66</v>
      </c>
      <c r="BL181" t="s">
        <v>116</v>
      </c>
      <c r="BM181" t="s">
        <v>116</v>
      </c>
      <c r="BN181">
        <v>43.19</v>
      </c>
      <c r="BO181">
        <v>29</v>
      </c>
      <c r="BP181">
        <v>0.43</v>
      </c>
      <c r="BQ181">
        <v>31.86</v>
      </c>
      <c r="BR181">
        <v>7.4</v>
      </c>
      <c r="BS181">
        <v>0.32</v>
      </c>
      <c r="BT181">
        <v>1.5</v>
      </c>
      <c r="BU181">
        <v>13.24</v>
      </c>
      <c r="BV181">
        <v>0</v>
      </c>
      <c r="BW181">
        <v>1.29</v>
      </c>
      <c r="BX181">
        <v>20.47</v>
      </c>
      <c r="BY181">
        <v>12.43</v>
      </c>
      <c r="BZ181">
        <v>9.6199999999999992</v>
      </c>
      <c r="CA181">
        <v>1.45</v>
      </c>
      <c r="CB181">
        <v>0.18</v>
      </c>
      <c r="CC181">
        <v>1.44</v>
      </c>
      <c r="CD181">
        <v>1.1599999999999999</v>
      </c>
      <c r="CE181">
        <v>1.0900000000000001</v>
      </c>
      <c r="CF181">
        <v>1.1100000000000001</v>
      </c>
      <c r="CG181">
        <v>0.59</v>
      </c>
      <c r="CH181">
        <v>0.46</v>
      </c>
      <c r="CI181">
        <v>0.2</v>
      </c>
      <c r="CJ181">
        <v>36267</v>
      </c>
      <c r="CK181">
        <v>13099</v>
      </c>
      <c r="CL181" t="s">
        <v>245</v>
      </c>
      <c r="CM181">
        <v>-65.41</v>
      </c>
      <c r="CN181">
        <v>122.32</v>
      </c>
      <c r="CO181">
        <v>1.46</v>
      </c>
      <c r="CP181">
        <v>91.75</v>
      </c>
      <c r="CQ181">
        <v>3.39</v>
      </c>
      <c r="CR181">
        <v>0</v>
      </c>
      <c r="CS181" t="s">
        <v>1388</v>
      </c>
      <c r="CT181">
        <v>3.79</v>
      </c>
      <c r="CU181">
        <v>0</v>
      </c>
      <c r="CV181">
        <v>2.67</v>
      </c>
      <c r="CW181">
        <v>0.08</v>
      </c>
      <c r="CX181">
        <v>0.06</v>
      </c>
      <c r="CY181">
        <v>67.14</v>
      </c>
      <c r="CZ181" t="s">
        <v>1389</v>
      </c>
      <c r="DA181">
        <v>22.6</v>
      </c>
      <c r="DB181">
        <v>11.68</v>
      </c>
      <c r="DC181">
        <v>8.76</v>
      </c>
      <c r="DD181">
        <v>0.01</v>
      </c>
      <c r="DE181">
        <v>2880</v>
      </c>
      <c r="DF181">
        <v>606</v>
      </c>
      <c r="DG181" t="s">
        <v>116</v>
      </c>
      <c r="DH181" t="s">
        <v>116</v>
      </c>
      <c r="DI181" t="s">
        <v>116</v>
      </c>
    </row>
    <row r="182" spans="1:113" x14ac:dyDescent="0.4">
      <c r="A182" t="str">
        <f>"000607"</f>
        <v>000607</v>
      </c>
      <c r="B182" t="s">
        <v>1390</v>
      </c>
      <c r="C182">
        <v>-1.82</v>
      </c>
      <c r="D182">
        <v>4.8499999999999996</v>
      </c>
      <c r="E182">
        <v>-0.09</v>
      </c>
      <c r="F182">
        <v>4.84</v>
      </c>
      <c r="G182">
        <v>4.8499999999999996</v>
      </c>
      <c r="H182">
        <v>108954</v>
      </c>
      <c r="I182">
        <v>1835</v>
      </c>
      <c r="J182">
        <v>0.41</v>
      </c>
      <c r="K182">
        <v>1.23</v>
      </c>
      <c r="L182">
        <v>4.95</v>
      </c>
      <c r="M182">
        <v>5.09</v>
      </c>
      <c r="N182">
        <v>4.8</v>
      </c>
      <c r="O182">
        <v>4.9400000000000004</v>
      </c>
      <c r="P182">
        <v>52.46</v>
      </c>
      <c r="Q182">
        <v>54086024</v>
      </c>
      <c r="R182">
        <v>1.5</v>
      </c>
      <c r="S182" t="s">
        <v>345</v>
      </c>
      <c r="T182" t="s">
        <v>590</v>
      </c>
      <c r="U182">
        <v>5.87</v>
      </c>
      <c r="V182">
        <v>4.96</v>
      </c>
      <c r="W182">
        <v>60090</v>
      </c>
      <c r="X182">
        <v>48864</v>
      </c>
      <c r="Y182">
        <v>1.23</v>
      </c>
      <c r="Z182">
        <v>356</v>
      </c>
      <c r="AA182">
        <v>371</v>
      </c>
      <c r="AB182" t="s">
        <v>116</v>
      </c>
      <c r="AC182">
        <v>55900</v>
      </c>
      <c r="AD182">
        <v>0</v>
      </c>
      <c r="AE182" t="s">
        <v>116</v>
      </c>
      <c r="AF182" t="s">
        <v>116</v>
      </c>
      <c r="AG182">
        <v>8.85</v>
      </c>
      <c r="AH182" t="s">
        <v>1391</v>
      </c>
      <c r="AI182" t="s">
        <v>1392</v>
      </c>
      <c r="AJ182">
        <v>-1.1399999999999999</v>
      </c>
      <c r="AK182">
        <v>2189</v>
      </c>
      <c r="AL182">
        <v>50</v>
      </c>
      <c r="AM182">
        <v>5.9999999999999995E-4</v>
      </c>
      <c r="AN182">
        <v>-1</v>
      </c>
      <c r="AO182">
        <v>1.26</v>
      </c>
      <c r="AP182">
        <v>7.78</v>
      </c>
      <c r="AQ182">
        <v>-6.01</v>
      </c>
      <c r="AR182">
        <v>20.079999999999998</v>
      </c>
      <c r="AS182">
        <v>2.81</v>
      </c>
      <c r="AT182" t="s">
        <v>1393</v>
      </c>
      <c r="AU182">
        <v>42.68</v>
      </c>
      <c r="AV182">
        <v>46.93</v>
      </c>
      <c r="AW182">
        <v>1.53</v>
      </c>
      <c r="BA182">
        <v>0.2</v>
      </c>
      <c r="BB182">
        <v>3.04</v>
      </c>
      <c r="BC182">
        <v>-2.83</v>
      </c>
      <c r="BD182">
        <v>0.49</v>
      </c>
      <c r="BE182">
        <v>-2.02</v>
      </c>
      <c r="BF182">
        <v>-4.72</v>
      </c>
      <c r="BG182">
        <v>1.04</v>
      </c>
      <c r="BH182">
        <v>-2.31</v>
      </c>
      <c r="BI182">
        <v>20191206</v>
      </c>
      <c r="BJ182">
        <v>19960830</v>
      </c>
      <c r="BK182">
        <v>10.18</v>
      </c>
      <c r="BL182" t="s">
        <v>116</v>
      </c>
      <c r="BM182" t="s">
        <v>116</v>
      </c>
      <c r="BN182">
        <v>35.700000000000003</v>
      </c>
      <c r="BO182">
        <v>17.260000000000002</v>
      </c>
      <c r="BP182">
        <v>3.19</v>
      </c>
      <c r="BQ182">
        <v>42.74</v>
      </c>
      <c r="BR182">
        <v>18.920000000000002</v>
      </c>
      <c r="BS182">
        <v>1.8</v>
      </c>
      <c r="BT182">
        <v>0.84</v>
      </c>
      <c r="BU182">
        <v>13.05</v>
      </c>
      <c r="BV182">
        <v>2.74</v>
      </c>
      <c r="BW182">
        <v>4.8899999999999997</v>
      </c>
      <c r="BX182">
        <v>-2.34</v>
      </c>
      <c r="BY182">
        <v>12.69</v>
      </c>
      <c r="BZ182">
        <v>9.4700000000000006</v>
      </c>
      <c r="CA182">
        <v>1.04</v>
      </c>
      <c r="CB182">
        <v>0.18</v>
      </c>
      <c r="CC182">
        <v>1.06</v>
      </c>
      <c r="CD182">
        <v>1</v>
      </c>
      <c r="CE182">
        <v>0.71</v>
      </c>
      <c r="CF182">
        <v>0.51</v>
      </c>
      <c r="CG182">
        <v>9.4</v>
      </c>
      <c r="CH182">
        <v>-1.38</v>
      </c>
      <c r="CI182">
        <v>-0.93</v>
      </c>
      <c r="CJ182">
        <v>44253</v>
      </c>
      <c r="CK182">
        <v>8758</v>
      </c>
      <c r="CL182" t="s">
        <v>1394</v>
      </c>
      <c r="CM182">
        <v>17.41</v>
      </c>
      <c r="CN182">
        <v>8.0500000000000007</v>
      </c>
      <c r="CO182">
        <v>2.86</v>
      </c>
      <c r="CP182">
        <v>-35.85</v>
      </c>
      <c r="CQ182">
        <v>3.89</v>
      </c>
      <c r="CR182">
        <v>0.23</v>
      </c>
      <c r="CS182" t="s">
        <v>1395</v>
      </c>
      <c r="CT182">
        <v>1.7</v>
      </c>
      <c r="CU182">
        <v>0</v>
      </c>
      <c r="CV182">
        <v>-0.23</v>
      </c>
      <c r="CW182">
        <v>0.92</v>
      </c>
      <c r="CX182">
        <v>-0.14000000000000001</v>
      </c>
      <c r="CY182">
        <v>48.34</v>
      </c>
      <c r="CZ182" t="s">
        <v>1396</v>
      </c>
      <c r="DA182">
        <v>25.35</v>
      </c>
      <c r="DB182">
        <v>8.1999999999999993</v>
      </c>
      <c r="DC182">
        <v>5.56</v>
      </c>
      <c r="DD182">
        <v>0.05</v>
      </c>
      <c r="DE182">
        <v>3155</v>
      </c>
      <c r="DF182">
        <v>607</v>
      </c>
      <c r="DG182" t="s">
        <v>116</v>
      </c>
      <c r="DH182" t="s">
        <v>116</v>
      </c>
      <c r="DI182" t="s">
        <v>116</v>
      </c>
    </row>
    <row r="183" spans="1:113" x14ac:dyDescent="0.4">
      <c r="A183" t="str">
        <f>"000608"</f>
        <v>000608</v>
      </c>
      <c r="B183" t="s">
        <v>1397</v>
      </c>
      <c r="C183">
        <v>-1.94</v>
      </c>
      <c r="D183">
        <v>5.05</v>
      </c>
      <c r="E183">
        <v>-0.1</v>
      </c>
      <c r="F183">
        <v>5.05</v>
      </c>
      <c r="G183">
        <v>5.0599999999999996</v>
      </c>
      <c r="H183">
        <v>32390</v>
      </c>
      <c r="I183">
        <v>100</v>
      </c>
      <c r="J183">
        <v>0</v>
      </c>
      <c r="K183">
        <v>0.43</v>
      </c>
      <c r="L183">
        <v>5.12</v>
      </c>
      <c r="M183">
        <v>5.14</v>
      </c>
      <c r="N183">
        <v>5</v>
      </c>
      <c r="O183">
        <v>5.15</v>
      </c>
      <c r="P183" t="s">
        <v>116</v>
      </c>
      <c r="Q183">
        <v>16468508</v>
      </c>
      <c r="R183">
        <v>1.47</v>
      </c>
      <c r="S183" t="s">
        <v>148</v>
      </c>
      <c r="T183" t="s">
        <v>982</v>
      </c>
      <c r="U183">
        <v>2.72</v>
      </c>
      <c r="V183">
        <v>5.08</v>
      </c>
      <c r="W183">
        <v>21637</v>
      </c>
      <c r="X183">
        <v>10753</v>
      </c>
      <c r="Y183">
        <v>2.0099999999999998</v>
      </c>
      <c r="Z183">
        <v>393</v>
      </c>
      <c r="AA183">
        <v>777</v>
      </c>
      <c r="AB183" t="s">
        <v>116</v>
      </c>
      <c r="AC183">
        <v>0</v>
      </c>
      <c r="AD183">
        <v>0</v>
      </c>
      <c r="AE183" t="s">
        <v>116</v>
      </c>
      <c r="AF183" t="s">
        <v>116</v>
      </c>
      <c r="AG183">
        <v>7.5</v>
      </c>
      <c r="AH183" t="s">
        <v>1398</v>
      </c>
      <c r="AI183" t="s">
        <v>1399</v>
      </c>
      <c r="AJ183">
        <v>-1.26</v>
      </c>
      <c r="AK183">
        <v>489</v>
      </c>
      <c r="AL183">
        <v>66</v>
      </c>
      <c r="AM183">
        <v>8.9999999999999998E-4</v>
      </c>
      <c r="AN183">
        <v>-2</v>
      </c>
      <c r="AO183">
        <v>-1.94</v>
      </c>
      <c r="AP183">
        <v>-4.3600000000000003</v>
      </c>
      <c r="AQ183">
        <v>-3.81</v>
      </c>
      <c r="AR183">
        <v>3.06</v>
      </c>
      <c r="AS183">
        <v>0.81</v>
      </c>
      <c r="AT183" t="s">
        <v>1400</v>
      </c>
      <c r="AU183" t="s">
        <v>116</v>
      </c>
      <c r="AV183">
        <v>330.34</v>
      </c>
      <c r="AW183">
        <v>0.68</v>
      </c>
      <c r="BA183">
        <v>-0.57999999999999996</v>
      </c>
      <c r="BB183">
        <v>-0.19</v>
      </c>
      <c r="BC183">
        <v>-2.91</v>
      </c>
      <c r="BD183">
        <v>-1.27</v>
      </c>
      <c r="BE183">
        <v>-1.37</v>
      </c>
      <c r="BF183">
        <v>-1.75</v>
      </c>
      <c r="BG183">
        <v>1</v>
      </c>
      <c r="BH183">
        <v>-0.67</v>
      </c>
      <c r="BI183">
        <v>20191212</v>
      </c>
      <c r="BJ183">
        <v>19960919</v>
      </c>
      <c r="BK183">
        <v>7.5</v>
      </c>
      <c r="BL183" t="s">
        <v>116</v>
      </c>
      <c r="BM183" t="s">
        <v>116</v>
      </c>
      <c r="BN183">
        <v>58.9</v>
      </c>
      <c r="BO183">
        <v>29.22</v>
      </c>
      <c r="BP183">
        <v>6.34</v>
      </c>
      <c r="BQ183">
        <v>39.619999999999997</v>
      </c>
      <c r="BR183">
        <v>10.52</v>
      </c>
      <c r="BS183">
        <v>0.1</v>
      </c>
      <c r="BT183">
        <v>0.11</v>
      </c>
      <c r="BU183">
        <v>6.36</v>
      </c>
      <c r="BV183">
        <v>6.59</v>
      </c>
      <c r="BW183">
        <v>0.14000000000000001</v>
      </c>
      <c r="BX183">
        <v>5.1100000000000003</v>
      </c>
      <c r="BY183">
        <v>1.64</v>
      </c>
      <c r="BZ183">
        <v>0.16</v>
      </c>
      <c r="CA183">
        <v>-7.0000000000000007E-2</v>
      </c>
      <c r="CB183">
        <v>0.33</v>
      </c>
      <c r="CC183">
        <v>0.02</v>
      </c>
      <c r="CD183">
        <v>-0.2</v>
      </c>
      <c r="CE183">
        <v>-0.44</v>
      </c>
      <c r="CF183">
        <v>-0.64</v>
      </c>
      <c r="CG183">
        <v>13.72</v>
      </c>
      <c r="CH183">
        <v>2.15</v>
      </c>
      <c r="CI183">
        <v>-0.95</v>
      </c>
      <c r="CJ183">
        <v>21968</v>
      </c>
      <c r="CK183">
        <v>18118</v>
      </c>
      <c r="CL183" t="s">
        <v>1401</v>
      </c>
      <c r="CM183">
        <v>-650.75</v>
      </c>
      <c r="CN183">
        <v>-25.94</v>
      </c>
      <c r="CO183">
        <v>1.3</v>
      </c>
      <c r="CP183">
        <v>17.62</v>
      </c>
      <c r="CQ183">
        <v>23.05</v>
      </c>
      <c r="CR183">
        <v>0</v>
      </c>
      <c r="CS183" t="s">
        <v>1402</v>
      </c>
      <c r="CT183">
        <v>3.9</v>
      </c>
      <c r="CU183">
        <v>0</v>
      </c>
      <c r="CV183">
        <v>0.68</v>
      </c>
      <c r="CW183">
        <v>1.83</v>
      </c>
      <c r="CX183">
        <v>0.28999999999999998</v>
      </c>
      <c r="CY183">
        <v>49.61</v>
      </c>
      <c r="CZ183" t="s">
        <v>1403</v>
      </c>
      <c r="DA183">
        <v>90.19</v>
      </c>
      <c r="DB183">
        <v>-4.04</v>
      </c>
      <c r="DC183">
        <v>-26.97</v>
      </c>
      <c r="DD183">
        <v>0</v>
      </c>
      <c r="DE183">
        <v>147</v>
      </c>
      <c r="DF183">
        <v>608</v>
      </c>
      <c r="DG183" t="s">
        <v>116</v>
      </c>
      <c r="DH183" t="s">
        <v>116</v>
      </c>
      <c r="DI183" t="s">
        <v>116</v>
      </c>
    </row>
    <row r="184" spans="1:113" x14ac:dyDescent="0.4">
      <c r="A184" t="str">
        <f>"000609"</f>
        <v>000609</v>
      </c>
      <c r="B184" t="s">
        <v>1404</v>
      </c>
      <c r="C184">
        <v>-2.02</v>
      </c>
      <c r="D184">
        <v>4.8499999999999996</v>
      </c>
      <c r="E184">
        <v>-0.1</v>
      </c>
      <c r="F184">
        <v>4.8499999999999996</v>
      </c>
      <c r="G184">
        <v>4.8600000000000003</v>
      </c>
      <c r="H184">
        <v>104440</v>
      </c>
      <c r="I184">
        <v>1753</v>
      </c>
      <c r="J184">
        <v>0.21</v>
      </c>
      <c r="K184">
        <v>3.58</v>
      </c>
      <c r="L184">
        <v>4.9400000000000004</v>
      </c>
      <c r="M184">
        <v>5.01</v>
      </c>
      <c r="N184">
        <v>4.82</v>
      </c>
      <c r="O184">
        <v>4.95</v>
      </c>
      <c r="P184" t="s">
        <v>116</v>
      </c>
      <c r="Q184">
        <v>51426544</v>
      </c>
      <c r="R184">
        <v>0.97</v>
      </c>
      <c r="S184" t="s">
        <v>148</v>
      </c>
      <c r="T184" t="s">
        <v>165</v>
      </c>
      <c r="U184">
        <v>3.84</v>
      </c>
      <c r="V184">
        <v>4.92</v>
      </c>
      <c r="W184">
        <v>63077</v>
      </c>
      <c r="X184">
        <v>41363</v>
      </c>
      <c r="Y184">
        <v>1.52</v>
      </c>
      <c r="Z184">
        <v>157</v>
      </c>
      <c r="AA184">
        <v>1220</v>
      </c>
      <c r="AB184" t="s">
        <v>116</v>
      </c>
      <c r="AC184">
        <v>250000</v>
      </c>
      <c r="AD184">
        <v>0.02</v>
      </c>
      <c r="AE184" t="s">
        <v>116</v>
      </c>
      <c r="AF184" t="s">
        <v>116</v>
      </c>
      <c r="AG184">
        <v>2.92</v>
      </c>
      <c r="AH184" t="s">
        <v>1405</v>
      </c>
      <c r="AI184" t="s">
        <v>1406</v>
      </c>
      <c r="AJ184">
        <v>-1.34</v>
      </c>
      <c r="AK184">
        <v>1552</v>
      </c>
      <c r="AL184">
        <v>67</v>
      </c>
      <c r="AM184">
        <v>2.3E-3</v>
      </c>
      <c r="AN184">
        <v>-1</v>
      </c>
      <c r="AO184">
        <v>-2.41</v>
      </c>
      <c r="AP184">
        <v>-9.85</v>
      </c>
      <c r="AQ184">
        <v>4.9800000000000004</v>
      </c>
      <c r="AR184">
        <v>-7.62</v>
      </c>
      <c r="AS184">
        <v>5.04</v>
      </c>
      <c r="AT184" t="s">
        <v>1407</v>
      </c>
      <c r="AU184" t="s">
        <v>116</v>
      </c>
      <c r="AV184" t="s">
        <v>116</v>
      </c>
      <c r="AW184">
        <v>1.24</v>
      </c>
      <c r="BA184">
        <v>-0.2</v>
      </c>
      <c r="BB184">
        <v>1.21</v>
      </c>
      <c r="BC184">
        <v>-2.63</v>
      </c>
      <c r="BD184">
        <v>-0.52</v>
      </c>
      <c r="BE184">
        <v>-1.82</v>
      </c>
      <c r="BF184">
        <v>-3.19</v>
      </c>
      <c r="BG184">
        <v>0.62</v>
      </c>
      <c r="BH184">
        <v>-1.5</v>
      </c>
      <c r="BI184">
        <v>20191031</v>
      </c>
      <c r="BJ184">
        <v>19961010</v>
      </c>
      <c r="BK184">
        <v>2.99</v>
      </c>
      <c r="BL184" t="s">
        <v>116</v>
      </c>
      <c r="BM184" t="s">
        <v>116</v>
      </c>
      <c r="BN184">
        <v>37.08</v>
      </c>
      <c r="BO184">
        <v>14.37</v>
      </c>
      <c r="BP184">
        <v>-0.02</v>
      </c>
      <c r="BQ184">
        <v>61.31</v>
      </c>
      <c r="BR184">
        <v>34.74</v>
      </c>
      <c r="BS184">
        <v>0.08</v>
      </c>
      <c r="BT184">
        <v>0.01</v>
      </c>
      <c r="BU184">
        <v>13.17</v>
      </c>
      <c r="BV184">
        <v>29.59</v>
      </c>
      <c r="BW184">
        <v>0</v>
      </c>
      <c r="BX184">
        <v>0.49</v>
      </c>
      <c r="BY184">
        <v>0.22</v>
      </c>
      <c r="BZ184">
        <v>0.16</v>
      </c>
      <c r="CA184">
        <v>-0.93</v>
      </c>
      <c r="CB184">
        <v>0.06</v>
      </c>
      <c r="CC184">
        <v>-0.93</v>
      </c>
      <c r="CD184">
        <v>-0.81</v>
      </c>
      <c r="CE184">
        <v>-0.79</v>
      </c>
      <c r="CF184">
        <v>-0.79</v>
      </c>
      <c r="CG184">
        <v>9.49</v>
      </c>
      <c r="CH184">
        <v>-0.54</v>
      </c>
      <c r="CI184">
        <v>0.48</v>
      </c>
      <c r="CJ184">
        <v>26723</v>
      </c>
      <c r="CK184">
        <v>7754</v>
      </c>
      <c r="CL184" t="s">
        <v>1408</v>
      </c>
      <c r="CM184">
        <v>-1145.3900000000001</v>
      </c>
      <c r="CN184">
        <v>14.44</v>
      </c>
      <c r="CO184">
        <v>1.01</v>
      </c>
      <c r="CP184">
        <v>-27.04</v>
      </c>
      <c r="CQ184">
        <v>64.92</v>
      </c>
      <c r="CR184">
        <v>0</v>
      </c>
      <c r="CS184" t="s">
        <v>1409</v>
      </c>
      <c r="CT184">
        <v>4.8</v>
      </c>
      <c r="CU184">
        <v>0</v>
      </c>
      <c r="CV184">
        <v>0.16</v>
      </c>
      <c r="CW184">
        <v>3.17</v>
      </c>
      <c r="CX184">
        <v>-0.18</v>
      </c>
      <c r="CY184">
        <v>38.75</v>
      </c>
      <c r="CZ184" t="s">
        <v>1410</v>
      </c>
      <c r="DA184">
        <v>27.2</v>
      </c>
      <c r="DB184">
        <v>-415.45</v>
      </c>
      <c r="DC184">
        <v>-352.37</v>
      </c>
      <c r="DD184">
        <v>0</v>
      </c>
      <c r="DE184">
        <v>233</v>
      </c>
      <c r="DF184">
        <v>609</v>
      </c>
      <c r="DG184" t="s">
        <v>116</v>
      </c>
      <c r="DH184" t="s">
        <v>116</v>
      </c>
      <c r="DI184" t="s">
        <v>116</v>
      </c>
    </row>
    <row r="185" spans="1:113" x14ac:dyDescent="0.4">
      <c r="A185" t="str">
        <f>"000610"</f>
        <v>000610</v>
      </c>
      <c r="B185" t="s">
        <v>1411</v>
      </c>
      <c r="C185">
        <v>0.11</v>
      </c>
      <c r="D185">
        <v>9.1300000000000008</v>
      </c>
      <c r="E185">
        <v>0.01</v>
      </c>
      <c r="F185">
        <v>9.1199999999999992</v>
      </c>
      <c r="G185">
        <v>9.1300000000000008</v>
      </c>
      <c r="H185">
        <v>81471</v>
      </c>
      <c r="I185">
        <v>869</v>
      </c>
      <c r="J185">
        <v>0.11</v>
      </c>
      <c r="K185">
        <v>3.46</v>
      </c>
      <c r="L185">
        <v>9.1199999999999992</v>
      </c>
      <c r="M185">
        <v>9.3000000000000007</v>
      </c>
      <c r="N185">
        <v>9.07</v>
      </c>
      <c r="O185">
        <v>9.1199999999999992</v>
      </c>
      <c r="P185" t="s">
        <v>116</v>
      </c>
      <c r="Q185">
        <v>74690480</v>
      </c>
      <c r="R185">
        <v>1.05</v>
      </c>
      <c r="S185" t="s">
        <v>1412</v>
      </c>
      <c r="T185" t="s">
        <v>913</v>
      </c>
      <c r="U185">
        <v>2.52</v>
      </c>
      <c r="V185">
        <v>9.17</v>
      </c>
      <c r="W185">
        <v>42612</v>
      </c>
      <c r="X185">
        <v>38859</v>
      </c>
      <c r="Y185">
        <v>1.1000000000000001</v>
      </c>
      <c r="Z185">
        <v>639</v>
      </c>
      <c r="AA185">
        <v>624</v>
      </c>
      <c r="AB185" t="s">
        <v>116</v>
      </c>
      <c r="AC185">
        <v>83000</v>
      </c>
      <c r="AD185">
        <v>0.01</v>
      </c>
      <c r="AE185" t="s">
        <v>116</v>
      </c>
      <c r="AF185" t="s">
        <v>116</v>
      </c>
      <c r="AG185">
        <v>2.35</v>
      </c>
      <c r="AH185" t="s">
        <v>1413</v>
      </c>
      <c r="AI185" t="s">
        <v>1414</v>
      </c>
      <c r="AJ185">
        <v>0.79</v>
      </c>
      <c r="AK185">
        <v>1962</v>
      </c>
      <c r="AL185">
        <v>42</v>
      </c>
      <c r="AM185">
        <v>1.8E-3</v>
      </c>
      <c r="AN185">
        <v>2</v>
      </c>
      <c r="AO185">
        <v>-0.43</v>
      </c>
      <c r="AP185">
        <v>8.0500000000000007</v>
      </c>
      <c r="AQ185">
        <v>-10.58</v>
      </c>
      <c r="AR185">
        <v>22.27</v>
      </c>
      <c r="AS185">
        <v>4.7699999999999996</v>
      </c>
      <c r="AT185" t="s">
        <v>1415</v>
      </c>
      <c r="AU185">
        <v>21.13</v>
      </c>
      <c r="AV185">
        <v>22.45</v>
      </c>
      <c r="AW185">
        <v>1.03</v>
      </c>
      <c r="BA185">
        <v>0</v>
      </c>
      <c r="BB185">
        <v>1.97</v>
      </c>
      <c r="BC185">
        <v>-0.55000000000000004</v>
      </c>
      <c r="BD185">
        <v>0.52</v>
      </c>
      <c r="BE185">
        <v>0.11</v>
      </c>
      <c r="BF185">
        <v>-1.83</v>
      </c>
      <c r="BG185">
        <v>0.66</v>
      </c>
      <c r="BH185">
        <v>-0.41</v>
      </c>
      <c r="BI185">
        <v>20191019</v>
      </c>
      <c r="BJ185">
        <v>19960926</v>
      </c>
      <c r="BK185">
        <v>2.37</v>
      </c>
      <c r="BL185" t="s">
        <v>116</v>
      </c>
      <c r="BM185" t="s">
        <v>116</v>
      </c>
      <c r="BN185">
        <v>11.68</v>
      </c>
      <c r="BO185">
        <v>8.68</v>
      </c>
      <c r="BP185">
        <v>0.03</v>
      </c>
      <c r="BQ185">
        <v>25.42</v>
      </c>
      <c r="BR185">
        <v>5.64</v>
      </c>
      <c r="BS185">
        <v>2.0099999999999998</v>
      </c>
      <c r="BT185">
        <v>0.75</v>
      </c>
      <c r="BU185">
        <v>2.85</v>
      </c>
      <c r="BV185">
        <v>0.01</v>
      </c>
      <c r="BW185">
        <v>0.4</v>
      </c>
      <c r="BX185">
        <v>3.95</v>
      </c>
      <c r="BY185">
        <v>6.55</v>
      </c>
      <c r="BZ185">
        <v>6.21</v>
      </c>
      <c r="CA185">
        <v>-0.1</v>
      </c>
      <c r="CB185">
        <v>7.0000000000000007E-2</v>
      </c>
      <c r="CC185">
        <v>-7.0000000000000007E-2</v>
      </c>
      <c r="CD185">
        <v>-7.0000000000000007E-2</v>
      </c>
      <c r="CE185">
        <v>-0.05</v>
      </c>
      <c r="CF185">
        <v>-0.1</v>
      </c>
      <c r="CG185">
        <v>1.81</v>
      </c>
      <c r="CH185">
        <v>-0.47</v>
      </c>
      <c r="CI185">
        <v>-1.5</v>
      </c>
      <c r="CJ185">
        <v>57618</v>
      </c>
      <c r="CK185">
        <v>2962</v>
      </c>
      <c r="CL185" t="s">
        <v>1416</v>
      </c>
      <c r="CM185">
        <v>57.04</v>
      </c>
      <c r="CN185">
        <v>4.8899999999999997</v>
      </c>
      <c r="CO185">
        <v>2.4900000000000002</v>
      </c>
      <c r="CP185">
        <v>-45.9</v>
      </c>
      <c r="CQ185">
        <v>3.3</v>
      </c>
      <c r="CR185">
        <v>0.25</v>
      </c>
      <c r="CS185" t="s">
        <v>1417</v>
      </c>
      <c r="CT185">
        <v>3.67</v>
      </c>
      <c r="CU185">
        <v>0</v>
      </c>
      <c r="CV185">
        <v>1.67</v>
      </c>
      <c r="CW185">
        <v>0.77</v>
      </c>
      <c r="CX185">
        <v>-0.2</v>
      </c>
      <c r="CY185">
        <v>74.34</v>
      </c>
      <c r="CZ185" t="s">
        <v>1418</v>
      </c>
      <c r="DA185">
        <v>5.2</v>
      </c>
      <c r="DB185">
        <v>-1.55</v>
      </c>
      <c r="DC185">
        <v>-0.69</v>
      </c>
      <c r="DD185">
        <v>0</v>
      </c>
      <c r="DE185">
        <v>779</v>
      </c>
      <c r="DF185">
        <v>610</v>
      </c>
      <c r="DG185" t="s">
        <v>116</v>
      </c>
      <c r="DH185" t="s">
        <v>116</v>
      </c>
      <c r="DI185" t="s">
        <v>116</v>
      </c>
    </row>
    <row r="186" spans="1:113" x14ac:dyDescent="0.4">
      <c r="A186" t="str">
        <f>"000611"</f>
        <v>000611</v>
      </c>
      <c r="B186" t="s">
        <v>1419</v>
      </c>
      <c r="C186">
        <v>-0.75</v>
      </c>
      <c r="D186">
        <v>3.97</v>
      </c>
      <c r="E186">
        <v>-0.03</v>
      </c>
      <c r="F186">
        <v>3.96</v>
      </c>
      <c r="G186">
        <v>3.97</v>
      </c>
      <c r="H186">
        <v>21383</v>
      </c>
      <c r="I186">
        <v>207</v>
      </c>
      <c r="J186">
        <v>0</v>
      </c>
      <c r="K186">
        <v>0.67</v>
      </c>
      <c r="L186">
        <v>4.01</v>
      </c>
      <c r="M186">
        <v>4.0599999999999996</v>
      </c>
      <c r="N186">
        <v>3.97</v>
      </c>
      <c r="O186">
        <v>4</v>
      </c>
      <c r="P186" t="s">
        <v>116</v>
      </c>
      <c r="Q186">
        <v>8559751</v>
      </c>
      <c r="R186">
        <v>0.74</v>
      </c>
      <c r="S186" t="s">
        <v>1420</v>
      </c>
      <c r="T186" t="s">
        <v>796</v>
      </c>
      <c r="U186">
        <v>2.25</v>
      </c>
      <c r="V186">
        <v>4</v>
      </c>
      <c r="W186">
        <v>11845</v>
      </c>
      <c r="X186">
        <v>9538</v>
      </c>
      <c r="Y186">
        <v>1.24</v>
      </c>
      <c r="Z186">
        <v>553</v>
      </c>
      <c r="AA186">
        <v>238</v>
      </c>
      <c r="AB186" t="s">
        <v>116</v>
      </c>
      <c r="AC186">
        <v>0</v>
      </c>
      <c r="AD186">
        <v>0</v>
      </c>
      <c r="AE186" t="s">
        <v>116</v>
      </c>
      <c r="AF186" t="s">
        <v>116</v>
      </c>
      <c r="AG186">
        <v>3.19</v>
      </c>
      <c r="AH186" t="s">
        <v>1421</v>
      </c>
      <c r="AI186" t="s">
        <v>1422</v>
      </c>
      <c r="AJ186">
        <v>-7.0000000000000007E-2</v>
      </c>
      <c r="AK186">
        <v>247</v>
      </c>
      <c r="AL186">
        <v>87</v>
      </c>
      <c r="AM186">
        <v>2.7000000000000001E-3</v>
      </c>
      <c r="AN186">
        <v>-1</v>
      </c>
      <c r="AO186">
        <v>-2.4500000000000002</v>
      </c>
      <c r="AP186">
        <v>5.31</v>
      </c>
      <c r="AQ186">
        <v>12.15</v>
      </c>
      <c r="AR186">
        <v>-28.47</v>
      </c>
      <c r="AS186">
        <v>0.77</v>
      </c>
      <c r="AT186" t="s">
        <v>1423</v>
      </c>
      <c r="AU186" t="s">
        <v>116</v>
      </c>
      <c r="AV186" t="s">
        <v>116</v>
      </c>
      <c r="AW186">
        <v>0.12</v>
      </c>
      <c r="BA186">
        <v>0.25</v>
      </c>
      <c r="BB186">
        <v>1.5</v>
      </c>
      <c r="BC186">
        <v>-0.75</v>
      </c>
      <c r="BD186">
        <v>7.0000000000000007E-2</v>
      </c>
      <c r="BE186">
        <v>-1</v>
      </c>
      <c r="BF186">
        <v>-2.2200000000000002</v>
      </c>
      <c r="BG186">
        <v>0</v>
      </c>
      <c r="BH186">
        <v>-0.82</v>
      </c>
      <c r="BI186">
        <v>20191030</v>
      </c>
      <c r="BJ186">
        <v>19961008</v>
      </c>
      <c r="BK186">
        <v>3.38</v>
      </c>
      <c r="BL186" t="s">
        <v>116</v>
      </c>
      <c r="BM186" t="s">
        <v>116</v>
      </c>
      <c r="BN186">
        <v>16.760000000000002</v>
      </c>
      <c r="BO186">
        <v>3.82</v>
      </c>
      <c r="BP186">
        <v>2.2799999999999998</v>
      </c>
      <c r="BQ186">
        <v>63.6</v>
      </c>
      <c r="BR186">
        <v>0.95</v>
      </c>
      <c r="BS186">
        <v>0.12</v>
      </c>
      <c r="BT186">
        <v>10.65</v>
      </c>
      <c r="BU186">
        <v>10.15</v>
      </c>
      <c r="BV186">
        <v>0.01</v>
      </c>
      <c r="BW186">
        <v>7.0000000000000007E-2</v>
      </c>
      <c r="BX186">
        <v>5.54</v>
      </c>
      <c r="BY186">
        <v>0.31</v>
      </c>
      <c r="BZ186">
        <v>0.27</v>
      </c>
      <c r="CA186">
        <v>-0.22</v>
      </c>
      <c r="CB186">
        <v>0.2</v>
      </c>
      <c r="CC186">
        <v>-0.2</v>
      </c>
      <c r="CD186">
        <v>-0.2</v>
      </c>
      <c r="CE186">
        <v>-0.19</v>
      </c>
      <c r="CF186">
        <v>-0.42</v>
      </c>
      <c r="CG186">
        <v>-4.46</v>
      </c>
      <c r="CH186">
        <v>-0.2</v>
      </c>
      <c r="CI186">
        <v>0.02</v>
      </c>
      <c r="CJ186">
        <v>20158</v>
      </c>
      <c r="CK186">
        <v>13858</v>
      </c>
      <c r="CL186" t="s">
        <v>1424</v>
      </c>
      <c r="CM186">
        <v>60.25</v>
      </c>
      <c r="CN186">
        <v>74.569999999999993</v>
      </c>
      <c r="CO186">
        <v>3.51</v>
      </c>
      <c r="CP186">
        <v>-65.91</v>
      </c>
      <c r="CQ186">
        <v>42.73</v>
      </c>
      <c r="CR186">
        <v>0</v>
      </c>
      <c r="CS186" t="s">
        <v>1425</v>
      </c>
      <c r="CT186">
        <v>1.1299999999999999</v>
      </c>
      <c r="CU186">
        <v>0</v>
      </c>
      <c r="CV186">
        <v>1.64</v>
      </c>
      <c r="CW186">
        <v>-1.32</v>
      </c>
      <c r="CX186">
        <v>-0.06</v>
      </c>
      <c r="CY186">
        <v>22.81</v>
      </c>
      <c r="CZ186" t="s">
        <v>1426</v>
      </c>
      <c r="DA186">
        <v>15.39</v>
      </c>
      <c r="DB186">
        <v>-71.64</v>
      </c>
      <c r="DC186">
        <v>-61.09</v>
      </c>
      <c r="DD186">
        <v>0</v>
      </c>
      <c r="DE186">
        <v>35</v>
      </c>
      <c r="DF186">
        <v>611</v>
      </c>
      <c r="DG186" t="s">
        <v>116</v>
      </c>
      <c r="DH186" t="s">
        <v>116</v>
      </c>
      <c r="DI186" t="s">
        <v>116</v>
      </c>
    </row>
    <row r="187" spans="1:113" x14ac:dyDescent="0.4">
      <c r="A187" t="str">
        <f>"000612"</f>
        <v>000612</v>
      </c>
      <c r="B187" t="s">
        <v>1427</v>
      </c>
      <c r="C187">
        <v>0.7</v>
      </c>
      <c r="D187">
        <v>4.3</v>
      </c>
      <c r="E187">
        <v>0.03</v>
      </c>
      <c r="F187">
        <v>4.29</v>
      </c>
      <c r="G187">
        <v>4.3</v>
      </c>
      <c r="H187">
        <v>146964</v>
      </c>
      <c r="I187">
        <v>546</v>
      </c>
      <c r="J187">
        <v>0.47</v>
      </c>
      <c r="K187">
        <v>1.24</v>
      </c>
      <c r="L187">
        <v>4.26</v>
      </c>
      <c r="M187">
        <v>4.43</v>
      </c>
      <c r="N187">
        <v>4.25</v>
      </c>
      <c r="O187">
        <v>4.2699999999999996</v>
      </c>
      <c r="P187">
        <v>142.19</v>
      </c>
      <c r="Q187">
        <v>63870828</v>
      </c>
      <c r="R187">
        <v>2.46</v>
      </c>
      <c r="S187" t="s">
        <v>1428</v>
      </c>
      <c r="T187" t="s">
        <v>652</v>
      </c>
      <c r="U187">
        <v>4.22</v>
      </c>
      <c r="V187">
        <v>4.3499999999999996</v>
      </c>
      <c r="W187">
        <v>63017</v>
      </c>
      <c r="X187">
        <v>83947</v>
      </c>
      <c r="Y187">
        <v>0.75</v>
      </c>
      <c r="Z187">
        <v>708</v>
      </c>
      <c r="AA187">
        <v>2277</v>
      </c>
      <c r="AB187" t="s">
        <v>116</v>
      </c>
      <c r="AC187">
        <v>47300</v>
      </c>
      <c r="AD187">
        <v>0</v>
      </c>
      <c r="AE187" t="s">
        <v>116</v>
      </c>
      <c r="AF187" t="s">
        <v>116</v>
      </c>
      <c r="AG187">
        <v>11.89</v>
      </c>
      <c r="AH187" t="s">
        <v>1429</v>
      </c>
      <c r="AI187" t="s">
        <v>1430</v>
      </c>
      <c r="AJ187">
        <v>1.38</v>
      </c>
      <c r="AK187">
        <v>1682</v>
      </c>
      <c r="AL187">
        <v>87</v>
      </c>
      <c r="AM187">
        <v>6.9999999999999999E-4</v>
      </c>
      <c r="AN187">
        <v>2</v>
      </c>
      <c r="AO187">
        <v>0.46</v>
      </c>
      <c r="AP187">
        <v>6.7</v>
      </c>
      <c r="AQ187">
        <v>-2.27</v>
      </c>
      <c r="AR187">
        <v>8.59</v>
      </c>
      <c r="AS187">
        <v>2.4500000000000002</v>
      </c>
      <c r="AT187" t="s">
        <v>1431</v>
      </c>
      <c r="AU187" t="s">
        <v>116</v>
      </c>
      <c r="AV187" t="s">
        <v>116</v>
      </c>
      <c r="AW187">
        <v>0.79</v>
      </c>
      <c r="BA187">
        <v>-0.23</v>
      </c>
      <c r="BB187">
        <v>3.75</v>
      </c>
      <c r="BC187">
        <v>-0.47</v>
      </c>
      <c r="BD187">
        <v>1.78</v>
      </c>
      <c r="BE187">
        <v>0.94</v>
      </c>
      <c r="BF187">
        <v>-2.93</v>
      </c>
      <c r="BG187">
        <v>1.18</v>
      </c>
      <c r="BH187">
        <v>-1.08</v>
      </c>
      <c r="BI187">
        <v>20191226</v>
      </c>
      <c r="BJ187">
        <v>19960926</v>
      </c>
      <c r="BK187">
        <v>11.92</v>
      </c>
      <c r="BL187" t="s">
        <v>116</v>
      </c>
      <c r="BM187" t="s">
        <v>116</v>
      </c>
      <c r="BN187">
        <v>71.2</v>
      </c>
      <c r="BO187">
        <v>42.58</v>
      </c>
      <c r="BP187">
        <v>0</v>
      </c>
      <c r="BQ187">
        <v>40.200000000000003</v>
      </c>
      <c r="BR187">
        <v>12.98</v>
      </c>
      <c r="BS187">
        <v>26.88</v>
      </c>
      <c r="BT187">
        <v>0.24</v>
      </c>
      <c r="BU187">
        <v>23.27</v>
      </c>
      <c r="BV187">
        <v>4.32</v>
      </c>
      <c r="BW187">
        <v>0.22</v>
      </c>
      <c r="BX187">
        <v>16.399999999999999</v>
      </c>
      <c r="BY187">
        <v>35.549999999999997</v>
      </c>
      <c r="BZ187">
        <v>34.19</v>
      </c>
      <c r="CA187">
        <v>0.08</v>
      </c>
      <c r="CB187">
        <v>0.28999999999999998</v>
      </c>
      <c r="CC187">
        <v>7.0000000000000007E-2</v>
      </c>
      <c r="CD187">
        <v>0.27</v>
      </c>
      <c r="CE187">
        <v>0.27</v>
      </c>
      <c r="CF187">
        <v>0.19</v>
      </c>
      <c r="CG187">
        <v>10.09</v>
      </c>
      <c r="CH187">
        <v>5.54</v>
      </c>
      <c r="CI187">
        <v>-0.32</v>
      </c>
      <c r="CJ187">
        <v>58371</v>
      </c>
      <c r="CK187">
        <v>10293</v>
      </c>
      <c r="CL187" t="s">
        <v>305</v>
      </c>
      <c r="CM187">
        <v>118.87</v>
      </c>
      <c r="CN187">
        <v>0.79</v>
      </c>
      <c r="CO187">
        <v>1.2</v>
      </c>
      <c r="CP187">
        <v>9.25</v>
      </c>
      <c r="CQ187">
        <v>1.44</v>
      </c>
      <c r="CR187">
        <v>0</v>
      </c>
      <c r="CS187" t="s">
        <v>1432</v>
      </c>
      <c r="CT187">
        <v>3.57</v>
      </c>
      <c r="CU187">
        <v>0</v>
      </c>
      <c r="CV187">
        <v>1.38</v>
      </c>
      <c r="CW187">
        <v>0.85</v>
      </c>
      <c r="CX187">
        <v>0.46</v>
      </c>
      <c r="CY187">
        <v>59.8</v>
      </c>
      <c r="CZ187" t="s">
        <v>1433</v>
      </c>
      <c r="DA187">
        <v>3.83</v>
      </c>
      <c r="DB187">
        <v>0.23</v>
      </c>
      <c r="DC187">
        <v>0.76</v>
      </c>
      <c r="DD187">
        <v>0</v>
      </c>
      <c r="DE187">
        <v>2913</v>
      </c>
      <c r="DF187">
        <v>612</v>
      </c>
      <c r="DG187" t="s">
        <v>116</v>
      </c>
      <c r="DH187" t="s">
        <v>116</v>
      </c>
      <c r="DI187" t="s">
        <v>116</v>
      </c>
    </row>
    <row r="188" spans="1:113" x14ac:dyDescent="0.4">
      <c r="A188" t="str">
        <f>"000613"</f>
        <v>000613</v>
      </c>
      <c r="B188" t="s">
        <v>1434</v>
      </c>
      <c r="C188">
        <v>-1.86</v>
      </c>
      <c r="D188">
        <v>5.79</v>
      </c>
      <c r="E188">
        <v>-0.11</v>
      </c>
      <c r="F188">
        <v>5.79</v>
      </c>
      <c r="G188">
        <v>5.8</v>
      </c>
      <c r="H188">
        <v>100634</v>
      </c>
      <c r="I188">
        <v>4204</v>
      </c>
      <c r="J188">
        <v>-0.16</v>
      </c>
      <c r="K188">
        <v>3.78</v>
      </c>
      <c r="L188">
        <v>5.95</v>
      </c>
      <c r="M188">
        <v>5.95</v>
      </c>
      <c r="N188">
        <v>5.79</v>
      </c>
      <c r="O188">
        <v>5.9</v>
      </c>
      <c r="P188" t="s">
        <v>116</v>
      </c>
      <c r="Q188">
        <v>58894476</v>
      </c>
      <c r="R188">
        <v>0.52</v>
      </c>
      <c r="S188" t="s">
        <v>1412</v>
      </c>
      <c r="T188" t="s">
        <v>851</v>
      </c>
      <c r="U188">
        <v>2.71</v>
      </c>
      <c r="V188">
        <v>5.85</v>
      </c>
      <c r="W188">
        <v>61270</v>
      </c>
      <c r="X188">
        <v>39364</v>
      </c>
      <c r="Y188">
        <v>1.56</v>
      </c>
      <c r="Z188">
        <v>787</v>
      </c>
      <c r="AA188">
        <v>688</v>
      </c>
      <c r="AB188" t="s">
        <v>116</v>
      </c>
      <c r="AC188">
        <v>307600</v>
      </c>
      <c r="AD188">
        <v>0.03</v>
      </c>
      <c r="AE188" t="s">
        <v>116</v>
      </c>
      <c r="AF188" t="s">
        <v>116</v>
      </c>
      <c r="AG188">
        <v>2.66</v>
      </c>
      <c r="AH188" t="s">
        <v>1435</v>
      </c>
      <c r="AI188" t="s">
        <v>1436</v>
      </c>
      <c r="AJ188">
        <v>-1.19</v>
      </c>
      <c r="AK188">
        <v>1810</v>
      </c>
      <c r="AL188">
        <v>56</v>
      </c>
      <c r="AM188">
        <v>2.0999999999999999E-3</v>
      </c>
      <c r="AN188">
        <v>-3</v>
      </c>
      <c r="AO188">
        <v>-4.6100000000000003</v>
      </c>
      <c r="AP188">
        <v>7.62</v>
      </c>
      <c r="AQ188">
        <v>18.649999999999999</v>
      </c>
      <c r="AR188">
        <v>-22.49</v>
      </c>
      <c r="AS188">
        <v>5.19</v>
      </c>
      <c r="AT188" t="s">
        <v>1437</v>
      </c>
      <c r="AU188" t="s">
        <v>116</v>
      </c>
      <c r="AV188">
        <v>3227</v>
      </c>
      <c r="AW188">
        <v>0.61</v>
      </c>
      <c r="BA188">
        <v>0.85</v>
      </c>
      <c r="BB188">
        <v>0.85</v>
      </c>
      <c r="BC188">
        <v>-1.86</v>
      </c>
      <c r="BD188">
        <v>-0.81</v>
      </c>
      <c r="BE188">
        <v>-2.69</v>
      </c>
      <c r="BF188">
        <v>-2.69</v>
      </c>
      <c r="BG188">
        <v>0</v>
      </c>
      <c r="BH188">
        <v>-1.06</v>
      </c>
      <c r="BI188">
        <v>20191019</v>
      </c>
      <c r="BJ188">
        <v>19970128</v>
      </c>
      <c r="BK188">
        <v>3.64</v>
      </c>
      <c r="BL188">
        <v>0.88</v>
      </c>
      <c r="BM188" t="s">
        <v>116</v>
      </c>
      <c r="BN188">
        <v>0.86</v>
      </c>
      <c r="BO188">
        <v>0.77</v>
      </c>
      <c r="BP188">
        <v>0</v>
      </c>
      <c r="BQ188">
        <v>9.89</v>
      </c>
      <c r="BR188">
        <v>0.13</v>
      </c>
      <c r="BS188">
        <v>0.35</v>
      </c>
      <c r="BT188">
        <v>0.22</v>
      </c>
      <c r="BU188">
        <v>7.0000000000000007E-2</v>
      </c>
      <c r="BV188">
        <v>0</v>
      </c>
      <c r="BW188">
        <v>0</v>
      </c>
      <c r="BX188">
        <v>0.54</v>
      </c>
      <c r="BY188">
        <v>0.18</v>
      </c>
      <c r="BZ188">
        <v>0.08</v>
      </c>
      <c r="CA188">
        <v>-0.01</v>
      </c>
      <c r="CB188">
        <v>0</v>
      </c>
      <c r="CC188">
        <v>0</v>
      </c>
      <c r="CD188">
        <v>0</v>
      </c>
      <c r="CE188">
        <v>0</v>
      </c>
      <c r="CF188">
        <v>-0.02</v>
      </c>
      <c r="CG188">
        <v>-3.41</v>
      </c>
      <c r="CH188">
        <v>0.01</v>
      </c>
      <c r="CI188">
        <v>-0.08</v>
      </c>
      <c r="CJ188">
        <v>35412</v>
      </c>
      <c r="CK188">
        <v>7957</v>
      </c>
      <c r="CL188" t="s">
        <v>1438</v>
      </c>
      <c r="CM188">
        <v>-167.01</v>
      </c>
      <c r="CN188">
        <v>-18.57</v>
      </c>
      <c r="CO188">
        <v>27.24</v>
      </c>
      <c r="CP188">
        <v>2014.27</v>
      </c>
      <c r="CQ188">
        <v>117.82</v>
      </c>
      <c r="CR188">
        <v>0</v>
      </c>
      <c r="CS188" t="s">
        <v>1439</v>
      </c>
      <c r="CT188">
        <v>0.21</v>
      </c>
      <c r="CU188">
        <v>0</v>
      </c>
      <c r="CV188">
        <v>0.15</v>
      </c>
      <c r="CW188">
        <v>-0.94</v>
      </c>
      <c r="CX188">
        <v>0</v>
      </c>
      <c r="CY188">
        <v>90.11</v>
      </c>
      <c r="CZ188" t="s">
        <v>1418</v>
      </c>
      <c r="DA188">
        <v>56.7</v>
      </c>
      <c r="DB188">
        <v>-7.52</v>
      </c>
      <c r="DC188">
        <v>-2.23</v>
      </c>
      <c r="DD188">
        <v>0</v>
      </c>
      <c r="DE188">
        <v>143</v>
      </c>
      <c r="DF188">
        <v>613</v>
      </c>
      <c r="DG188" t="s">
        <v>116</v>
      </c>
      <c r="DH188" t="s">
        <v>116</v>
      </c>
      <c r="DI188" t="s">
        <v>116</v>
      </c>
    </row>
    <row r="189" spans="1:113" x14ac:dyDescent="0.4">
      <c r="A189" t="str">
        <f>"000615"</f>
        <v>000615</v>
      </c>
      <c r="B189" t="s">
        <v>1440</v>
      </c>
      <c r="C189">
        <v>0.23</v>
      </c>
      <c r="D189">
        <v>4.43</v>
      </c>
      <c r="E189">
        <v>0.01</v>
      </c>
      <c r="F189">
        <v>4.42</v>
      </c>
      <c r="G189">
        <v>4.43</v>
      </c>
      <c r="H189">
        <v>91460</v>
      </c>
      <c r="I189">
        <v>1584</v>
      </c>
      <c r="J189">
        <v>0</v>
      </c>
      <c r="K189">
        <v>1.22</v>
      </c>
      <c r="L189">
        <v>4.41</v>
      </c>
      <c r="M189">
        <v>4.46</v>
      </c>
      <c r="N189">
        <v>4.3899999999999997</v>
      </c>
      <c r="O189">
        <v>4.42</v>
      </c>
      <c r="P189" t="s">
        <v>116</v>
      </c>
      <c r="Q189">
        <v>40475092</v>
      </c>
      <c r="R189">
        <v>1.02</v>
      </c>
      <c r="S189" t="s">
        <v>124</v>
      </c>
      <c r="T189" t="s">
        <v>774</v>
      </c>
      <c r="U189">
        <v>1.58</v>
      </c>
      <c r="V189">
        <v>4.43</v>
      </c>
      <c r="W189">
        <v>41339</v>
      </c>
      <c r="X189">
        <v>50121</v>
      </c>
      <c r="Y189">
        <v>0.82</v>
      </c>
      <c r="Z189">
        <v>1538</v>
      </c>
      <c r="AA189">
        <v>474</v>
      </c>
      <c r="AB189" t="s">
        <v>116</v>
      </c>
      <c r="AC189">
        <v>235400</v>
      </c>
      <c r="AD189">
        <v>0.01</v>
      </c>
      <c r="AE189" t="s">
        <v>116</v>
      </c>
      <c r="AF189" t="s">
        <v>116</v>
      </c>
      <c r="AG189">
        <v>7.49</v>
      </c>
      <c r="AH189" t="s">
        <v>1441</v>
      </c>
      <c r="AI189" t="s">
        <v>1442</v>
      </c>
      <c r="AJ189">
        <v>0.91</v>
      </c>
      <c r="AK189">
        <v>1001</v>
      </c>
      <c r="AL189">
        <v>91</v>
      </c>
      <c r="AM189">
        <v>1.1999999999999999E-3</v>
      </c>
      <c r="AN189">
        <v>2</v>
      </c>
      <c r="AO189">
        <v>0.68</v>
      </c>
      <c r="AP189">
        <v>-4.7300000000000004</v>
      </c>
      <c r="AQ189">
        <v>-15.46</v>
      </c>
      <c r="AR189">
        <v>-16.57</v>
      </c>
      <c r="AS189">
        <v>2.2000000000000002</v>
      </c>
      <c r="AT189" t="s">
        <v>1443</v>
      </c>
      <c r="AU189">
        <v>31.84</v>
      </c>
      <c r="AV189">
        <v>22.03</v>
      </c>
      <c r="AW189">
        <v>0.43</v>
      </c>
      <c r="BA189">
        <v>-0.23</v>
      </c>
      <c r="BB189">
        <v>0.9</v>
      </c>
      <c r="BC189">
        <v>-0.68</v>
      </c>
      <c r="BD189">
        <v>0.12</v>
      </c>
      <c r="BE189">
        <v>0.45</v>
      </c>
      <c r="BF189">
        <v>-0.67</v>
      </c>
      <c r="BG189">
        <v>0.91</v>
      </c>
      <c r="BH189">
        <v>0.1</v>
      </c>
      <c r="BI189">
        <v>20191031</v>
      </c>
      <c r="BJ189">
        <v>19961016</v>
      </c>
      <c r="BK189">
        <v>7.82</v>
      </c>
      <c r="BL189" t="s">
        <v>116</v>
      </c>
      <c r="BM189" t="s">
        <v>116</v>
      </c>
      <c r="BN189">
        <v>133.63</v>
      </c>
      <c r="BO189">
        <v>17.8</v>
      </c>
      <c r="BP189">
        <v>11.09</v>
      </c>
      <c r="BQ189">
        <v>78.38</v>
      </c>
      <c r="BR189">
        <v>114.44</v>
      </c>
      <c r="BS189">
        <v>5.2</v>
      </c>
      <c r="BT189">
        <v>2.89</v>
      </c>
      <c r="BU189">
        <v>92.18</v>
      </c>
      <c r="BV189">
        <v>83.36</v>
      </c>
      <c r="BW189">
        <v>2</v>
      </c>
      <c r="BX189">
        <v>0</v>
      </c>
      <c r="BY189">
        <v>17.329999999999998</v>
      </c>
      <c r="BZ189">
        <v>12.29</v>
      </c>
      <c r="CA189">
        <v>0.22</v>
      </c>
      <c r="CB189">
        <v>0.06</v>
      </c>
      <c r="CC189">
        <v>0.2</v>
      </c>
      <c r="CD189">
        <v>7.0000000000000007E-2</v>
      </c>
      <c r="CE189">
        <v>-0.43</v>
      </c>
      <c r="CF189">
        <v>-0.51</v>
      </c>
      <c r="CG189">
        <v>10.68</v>
      </c>
      <c r="CH189">
        <v>5.41</v>
      </c>
      <c r="CI189">
        <v>-4.47</v>
      </c>
      <c r="CJ189">
        <v>54339</v>
      </c>
      <c r="CK189">
        <v>7654</v>
      </c>
      <c r="CL189" t="s">
        <v>1444</v>
      </c>
      <c r="CM189">
        <v>-829.98</v>
      </c>
      <c r="CN189">
        <v>7.14</v>
      </c>
      <c r="CO189">
        <v>1.95</v>
      </c>
      <c r="CP189">
        <v>6.4</v>
      </c>
      <c r="CQ189">
        <v>2</v>
      </c>
      <c r="CR189">
        <v>0</v>
      </c>
      <c r="CS189" t="s">
        <v>1445</v>
      </c>
      <c r="CT189">
        <v>2.2799999999999998</v>
      </c>
      <c r="CU189">
        <v>0</v>
      </c>
      <c r="CV189">
        <v>0</v>
      </c>
      <c r="CW189">
        <v>1.37</v>
      </c>
      <c r="CX189">
        <v>0.69</v>
      </c>
      <c r="CY189">
        <v>13.32</v>
      </c>
      <c r="CZ189" t="s">
        <v>1446</v>
      </c>
      <c r="DA189">
        <v>29.06</v>
      </c>
      <c r="DB189">
        <v>1.28</v>
      </c>
      <c r="DC189">
        <v>-2.46</v>
      </c>
      <c r="DD189">
        <v>0.23</v>
      </c>
      <c r="DE189">
        <v>3702</v>
      </c>
      <c r="DF189">
        <v>615</v>
      </c>
      <c r="DG189" t="s">
        <v>116</v>
      </c>
      <c r="DH189" t="s">
        <v>116</v>
      </c>
      <c r="DI189" t="s">
        <v>116</v>
      </c>
    </row>
    <row r="190" spans="1:113" x14ac:dyDescent="0.4">
      <c r="A190" t="str">
        <f>"000616"</f>
        <v>000616</v>
      </c>
      <c r="B190" t="s">
        <v>1447</v>
      </c>
      <c r="C190">
        <v>0</v>
      </c>
      <c r="D190">
        <v>2.42</v>
      </c>
      <c r="E190">
        <v>0</v>
      </c>
      <c r="F190">
        <v>2.42</v>
      </c>
      <c r="G190">
        <v>2.4300000000000002</v>
      </c>
      <c r="H190">
        <v>85490</v>
      </c>
      <c r="I190">
        <v>345</v>
      </c>
      <c r="J190">
        <v>0</v>
      </c>
      <c r="K190">
        <v>0.6</v>
      </c>
      <c r="L190">
        <v>2.42</v>
      </c>
      <c r="M190">
        <v>2.46</v>
      </c>
      <c r="N190">
        <v>2.42</v>
      </c>
      <c r="O190">
        <v>2.42</v>
      </c>
      <c r="P190" t="s">
        <v>116</v>
      </c>
      <c r="Q190">
        <v>20868778</v>
      </c>
      <c r="R190">
        <v>0.92</v>
      </c>
      <c r="S190" t="s">
        <v>124</v>
      </c>
      <c r="T190" t="s">
        <v>434</v>
      </c>
      <c r="U190">
        <v>1.65</v>
      </c>
      <c r="V190">
        <v>2.44</v>
      </c>
      <c r="W190">
        <v>41321</v>
      </c>
      <c r="X190">
        <v>44169</v>
      </c>
      <c r="Y190">
        <v>0.94</v>
      </c>
      <c r="Z190">
        <v>1371</v>
      </c>
      <c r="AA190">
        <v>3022</v>
      </c>
      <c r="AB190" t="s">
        <v>116</v>
      </c>
      <c r="AC190">
        <v>19400</v>
      </c>
      <c r="AD190">
        <v>0</v>
      </c>
      <c r="AE190" t="s">
        <v>116</v>
      </c>
      <c r="AF190" t="s">
        <v>116</v>
      </c>
      <c r="AG190">
        <v>14.3</v>
      </c>
      <c r="AH190" t="s">
        <v>1448</v>
      </c>
      <c r="AI190" t="s">
        <v>1448</v>
      </c>
      <c r="AJ190">
        <v>0.68</v>
      </c>
      <c r="AK190">
        <v>690</v>
      </c>
      <c r="AL190">
        <v>124</v>
      </c>
      <c r="AM190">
        <v>8.9999999999999998E-4</v>
      </c>
      <c r="AN190">
        <v>0</v>
      </c>
      <c r="AO190">
        <v>-0.82</v>
      </c>
      <c r="AP190">
        <v>3.86</v>
      </c>
      <c r="AQ190">
        <v>-3.97</v>
      </c>
      <c r="AR190">
        <v>0.41</v>
      </c>
      <c r="AS190">
        <v>0.75</v>
      </c>
      <c r="AT190" t="s">
        <v>1449</v>
      </c>
      <c r="AU190">
        <v>222.71</v>
      </c>
      <c r="AV190">
        <v>9.92</v>
      </c>
      <c r="AW190">
        <v>1.1499999999999999</v>
      </c>
      <c r="BA190">
        <v>0</v>
      </c>
      <c r="BB190">
        <v>1.65</v>
      </c>
      <c r="BC190">
        <v>0</v>
      </c>
      <c r="BD190">
        <v>0.87</v>
      </c>
      <c r="BE190">
        <v>0</v>
      </c>
      <c r="BF190">
        <v>-1.63</v>
      </c>
      <c r="BG190">
        <v>0</v>
      </c>
      <c r="BH190">
        <v>-0.87</v>
      </c>
      <c r="BI190">
        <v>20191206</v>
      </c>
      <c r="BJ190">
        <v>19961108</v>
      </c>
      <c r="BK190">
        <v>14.3</v>
      </c>
      <c r="BL190" t="s">
        <v>116</v>
      </c>
      <c r="BM190" t="s">
        <v>116</v>
      </c>
      <c r="BN190">
        <v>60.78</v>
      </c>
      <c r="BO190">
        <v>43.36</v>
      </c>
      <c r="BP190">
        <v>0</v>
      </c>
      <c r="BQ190">
        <v>28.66</v>
      </c>
      <c r="BR190">
        <v>41.75</v>
      </c>
      <c r="BS190">
        <v>0.05</v>
      </c>
      <c r="BT190">
        <v>0</v>
      </c>
      <c r="BU190">
        <v>5.93</v>
      </c>
      <c r="BV190">
        <v>12.99</v>
      </c>
      <c r="BW190">
        <v>0.21</v>
      </c>
      <c r="BX190">
        <v>2.02</v>
      </c>
      <c r="BY190">
        <v>1.74</v>
      </c>
      <c r="BZ190">
        <v>1.36</v>
      </c>
      <c r="CA190">
        <v>-0.06</v>
      </c>
      <c r="CB190">
        <v>7.0000000000000007E-2</v>
      </c>
      <c r="CC190">
        <v>-0.06</v>
      </c>
      <c r="CD190">
        <v>-0.06</v>
      </c>
      <c r="CE190">
        <v>-0.05</v>
      </c>
      <c r="CF190">
        <v>-0.02</v>
      </c>
      <c r="CG190">
        <v>23.29</v>
      </c>
      <c r="CH190">
        <v>1.37</v>
      </c>
      <c r="CI190">
        <v>0.06</v>
      </c>
      <c r="CJ190">
        <v>92646</v>
      </c>
      <c r="CK190">
        <v>12353</v>
      </c>
      <c r="CL190" t="s">
        <v>1450</v>
      </c>
      <c r="CM190">
        <v>-101.65</v>
      </c>
      <c r="CN190">
        <v>-5.48</v>
      </c>
      <c r="CO190">
        <v>0.8</v>
      </c>
      <c r="CP190">
        <v>25.19</v>
      </c>
      <c r="CQ190">
        <v>19.920000000000002</v>
      </c>
      <c r="CR190">
        <v>0</v>
      </c>
      <c r="CS190" t="s">
        <v>1451</v>
      </c>
      <c r="CT190">
        <v>3.03</v>
      </c>
      <c r="CU190">
        <v>0</v>
      </c>
      <c r="CV190">
        <v>0.14000000000000001</v>
      </c>
      <c r="CW190">
        <v>1.63</v>
      </c>
      <c r="CX190">
        <v>0.1</v>
      </c>
      <c r="CY190">
        <v>71.34</v>
      </c>
      <c r="CZ190" t="s">
        <v>1452</v>
      </c>
      <c r="DA190">
        <v>21.81</v>
      </c>
      <c r="DB190">
        <v>-3.25</v>
      </c>
      <c r="DC190">
        <v>-3.12</v>
      </c>
      <c r="DD190">
        <v>0</v>
      </c>
      <c r="DE190">
        <v>175</v>
      </c>
      <c r="DF190">
        <v>616</v>
      </c>
      <c r="DG190" t="s">
        <v>116</v>
      </c>
      <c r="DH190" t="s">
        <v>116</v>
      </c>
      <c r="DI190" t="s">
        <v>116</v>
      </c>
    </row>
    <row r="191" spans="1:113" x14ac:dyDescent="0.4">
      <c r="A191" t="str">
        <f>"000617"</f>
        <v>000617</v>
      </c>
      <c r="B191" t="s">
        <v>1453</v>
      </c>
      <c r="C191">
        <v>0.08</v>
      </c>
      <c r="D191">
        <v>11.84</v>
      </c>
      <c r="E191">
        <v>0.01</v>
      </c>
      <c r="F191">
        <v>11.84</v>
      </c>
      <c r="G191">
        <v>11.85</v>
      </c>
      <c r="H191">
        <v>23050</v>
      </c>
      <c r="I191">
        <v>81</v>
      </c>
      <c r="J191">
        <v>-7.0000000000000007E-2</v>
      </c>
      <c r="K191">
        <v>0.8</v>
      </c>
      <c r="L191">
        <v>11.81</v>
      </c>
      <c r="M191">
        <v>12.12</v>
      </c>
      <c r="N191">
        <v>11.81</v>
      </c>
      <c r="O191">
        <v>11.83</v>
      </c>
      <c r="P191">
        <v>13.3</v>
      </c>
      <c r="Q191">
        <v>27537730</v>
      </c>
      <c r="R191">
        <v>1.37</v>
      </c>
      <c r="S191" t="s">
        <v>732</v>
      </c>
      <c r="T191" t="s">
        <v>616</v>
      </c>
      <c r="U191">
        <v>2.62</v>
      </c>
      <c r="V191">
        <v>11.95</v>
      </c>
      <c r="W191">
        <v>11569</v>
      </c>
      <c r="X191">
        <v>11481</v>
      </c>
      <c r="Y191">
        <v>1.01</v>
      </c>
      <c r="Z191">
        <v>97</v>
      </c>
      <c r="AA191">
        <v>21</v>
      </c>
      <c r="AB191" t="s">
        <v>116</v>
      </c>
      <c r="AC191">
        <v>41300</v>
      </c>
      <c r="AD191">
        <v>0</v>
      </c>
      <c r="AE191" t="s">
        <v>116</v>
      </c>
      <c r="AF191" t="s">
        <v>116</v>
      </c>
      <c r="AG191">
        <v>2.88</v>
      </c>
      <c r="AH191" t="s">
        <v>1454</v>
      </c>
      <c r="AI191" t="s">
        <v>1455</v>
      </c>
      <c r="AJ191">
        <v>0.76</v>
      </c>
      <c r="AK191">
        <v>1341</v>
      </c>
      <c r="AL191">
        <v>17</v>
      </c>
      <c r="AM191">
        <v>5.9999999999999995E-4</v>
      </c>
      <c r="AN191">
        <v>2</v>
      </c>
      <c r="AO191">
        <v>-0.08</v>
      </c>
      <c r="AP191">
        <v>2.87</v>
      </c>
      <c r="AQ191">
        <v>-3.82</v>
      </c>
      <c r="AR191">
        <v>12.67</v>
      </c>
      <c r="AS191">
        <v>2</v>
      </c>
      <c r="AT191" t="s">
        <v>1456</v>
      </c>
      <c r="AU191">
        <v>14.25</v>
      </c>
      <c r="AV191">
        <v>14.77</v>
      </c>
      <c r="AW191">
        <v>0.84</v>
      </c>
      <c r="BA191">
        <v>-0.17</v>
      </c>
      <c r="BB191">
        <v>2.4500000000000002</v>
      </c>
      <c r="BC191">
        <v>-0.17</v>
      </c>
      <c r="BD191">
        <v>0.99</v>
      </c>
      <c r="BE191">
        <v>0.25</v>
      </c>
      <c r="BF191">
        <v>-2.31</v>
      </c>
      <c r="BG191">
        <v>0.25</v>
      </c>
      <c r="BH191">
        <v>-0.9</v>
      </c>
      <c r="BI191">
        <v>20191025</v>
      </c>
      <c r="BJ191">
        <v>19961022</v>
      </c>
      <c r="BK191">
        <v>90.3</v>
      </c>
      <c r="BL191" t="s">
        <v>116</v>
      </c>
      <c r="BM191" t="s">
        <v>116</v>
      </c>
      <c r="BN191">
        <v>8864.33</v>
      </c>
      <c r="BO191">
        <v>821.5</v>
      </c>
      <c r="BP191">
        <v>699.71</v>
      </c>
      <c r="BQ191">
        <v>82.84</v>
      </c>
      <c r="BR191">
        <v>4865.91</v>
      </c>
      <c r="BS191">
        <v>107.83</v>
      </c>
      <c r="BT191">
        <v>4.8099999999999996</v>
      </c>
      <c r="BU191">
        <v>6981.95</v>
      </c>
      <c r="BV191">
        <v>0</v>
      </c>
      <c r="BW191">
        <v>0.79</v>
      </c>
      <c r="BX191">
        <v>387.25</v>
      </c>
      <c r="BY191">
        <v>5.9</v>
      </c>
      <c r="BZ191">
        <v>4.25</v>
      </c>
      <c r="CA191">
        <v>139.29</v>
      </c>
      <c r="CB191">
        <v>31.25</v>
      </c>
      <c r="CC191">
        <v>139.9</v>
      </c>
      <c r="CD191">
        <v>114.88</v>
      </c>
      <c r="CE191">
        <v>60.28</v>
      </c>
      <c r="CF191">
        <v>58.85</v>
      </c>
      <c r="CG191">
        <v>215.19</v>
      </c>
      <c r="CH191">
        <v>-152.75</v>
      </c>
      <c r="CI191">
        <v>-297.61</v>
      </c>
      <c r="CJ191">
        <v>16600</v>
      </c>
      <c r="CK191">
        <v>6929</v>
      </c>
      <c r="CL191" t="s">
        <v>1457</v>
      </c>
      <c r="CM191">
        <v>4.62</v>
      </c>
      <c r="CN191">
        <v>36.409999999999997</v>
      </c>
      <c r="CO191">
        <v>1.3</v>
      </c>
      <c r="CP191">
        <v>-7</v>
      </c>
      <c r="CQ191">
        <v>181.26</v>
      </c>
      <c r="CR191">
        <v>2.04</v>
      </c>
      <c r="CS191" t="s">
        <v>1458</v>
      </c>
      <c r="CT191">
        <v>9.1</v>
      </c>
      <c r="CU191">
        <v>0</v>
      </c>
      <c r="CV191">
        <v>4.29</v>
      </c>
      <c r="CW191">
        <v>2.38</v>
      </c>
      <c r="CX191">
        <v>-1.69</v>
      </c>
      <c r="CY191">
        <v>9.27</v>
      </c>
      <c r="CZ191" t="s">
        <v>1459</v>
      </c>
      <c r="DA191">
        <v>27.93</v>
      </c>
      <c r="DB191">
        <v>2361.39</v>
      </c>
      <c r="DC191">
        <v>1022.02</v>
      </c>
      <c r="DD191">
        <v>0</v>
      </c>
      <c r="DE191">
        <v>4116</v>
      </c>
      <c r="DF191">
        <v>617</v>
      </c>
      <c r="DG191" t="s">
        <v>116</v>
      </c>
      <c r="DH191" t="s">
        <v>116</v>
      </c>
      <c r="DI191" t="s">
        <v>116</v>
      </c>
    </row>
    <row r="192" spans="1:113" x14ac:dyDescent="0.4">
      <c r="A192" t="str">
        <f>"000619"</f>
        <v>000619</v>
      </c>
      <c r="B192" t="s">
        <v>1460</v>
      </c>
      <c r="C192">
        <v>0.18</v>
      </c>
      <c r="D192">
        <v>5.68</v>
      </c>
      <c r="E192">
        <v>0.01</v>
      </c>
      <c r="F192">
        <v>5.68</v>
      </c>
      <c r="G192">
        <v>5.69</v>
      </c>
      <c r="H192">
        <v>37075</v>
      </c>
      <c r="I192">
        <v>334</v>
      </c>
      <c r="J192">
        <v>0.18</v>
      </c>
      <c r="K192">
        <v>1.03</v>
      </c>
      <c r="L192">
        <v>5.66</v>
      </c>
      <c r="M192">
        <v>5.71</v>
      </c>
      <c r="N192">
        <v>5.62</v>
      </c>
      <c r="O192">
        <v>5.67</v>
      </c>
      <c r="P192">
        <v>71.31</v>
      </c>
      <c r="Q192">
        <v>21032032</v>
      </c>
      <c r="R192">
        <v>1.4</v>
      </c>
      <c r="S192" t="s">
        <v>249</v>
      </c>
      <c r="T192" t="s">
        <v>575</v>
      </c>
      <c r="U192">
        <v>1.59</v>
      </c>
      <c r="V192">
        <v>5.67</v>
      </c>
      <c r="W192">
        <v>23060</v>
      </c>
      <c r="X192">
        <v>14015</v>
      </c>
      <c r="Y192">
        <v>1.65</v>
      </c>
      <c r="Z192">
        <v>265</v>
      </c>
      <c r="AA192">
        <v>890</v>
      </c>
      <c r="AB192" t="s">
        <v>116</v>
      </c>
      <c r="AC192">
        <v>7400</v>
      </c>
      <c r="AD192">
        <v>0</v>
      </c>
      <c r="AE192" t="s">
        <v>116</v>
      </c>
      <c r="AF192" t="s">
        <v>116</v>
      </c>
      <c r="AG192">
        <v>3.6</v>
      </c>
      <c r="AH192" t="s">
        <v>1461</v>
      </c>
      <c r="AI192" t="s">
        <v>1461</v>
      </c>
      <c r="AJ192">
        <v>0.86</v>
      </c>
      <c r="AK192">
        <v>850</v>
      </c>
      <c r="AL192">
        <v>44</v>
      </c>
      <c r="AM192">
        <v>1.1999999999999999E-3</v>
      </c>
      <c r="AN192">
        <v>2</v>
      </c>
      <c r="AO192">
        <v>2.16</v>
      </c>
      <c r="AP192">
        <v>4.99</v>
      </c>
      <c r="AQ192">
        <v>5.38</v>
      </c>
      <c r="AR192">
        <v>9.44</v>
      </c>
      <c r="AS192">
        <v>1.55</v>
      </c>
      <c r="AT192" t="s">
        <v>1462</v>
      </c>
      <c r="AU192">
        <v>76.739999999999995</v>
      </c>
      <c r="AV192">
        <v>210.74</v>
      </c>
      <c r="AW192">
        <v>0.67</v>
      </c>
      <c r="BA192">
        <v>-0.18</v>
      </c>
      <c r="BB192">
        <v>0.71</v>
      </c>
      <c r="BC192">
        <v>-0.88</v>
      </c>
      <c r="BD192">
        <v>0.05</v>
      </c>
      <c r="BE192">
        <v>0.35</v>
      </c>
      <c r="BF192">
        <v>-0.53</v>
      </c>
      <c r="BG192">
        <v>1.07</v>
      </c>
      <c r="BH192">
        <v>0.13</v>
      </c>
      <c r="BI192">
        <v>20191018</v>
      </c>
      <c r="BJ192">
        <v>19961023</v>
      </c>
      <c r="BK192">
        <v>3.6</v>
      </c>
      <c r="BL192" t="s">
        <v>116</v>
      </c>
      <c r="BM192" t="s">
        <v>116</v>
      </c>
      <c r="BN192">
        <v>39.71</v>
      </c>
      <c r="BO192">
        <v>24.73</v>
      </c>
      <c r="BP192">
        <v>2.1</v>
      </c>
      <c r="BQ192">
        <v>32.44</v>
      </c>
      <c r="BR192">
        <v>23.05</v>
      </c>
      <c r="BS192">
        <v>12.28</v>
      </c>
      <c r="BT192">
        <v>2.69</v>
      </c>
      <c r="BU192">
        <v>11.54</v>
      </c>
      <c r="BV192">
        <v>5.17</v>
      </c>
      <c r="BW192">
        <v>2.74</v>
      </c>
      <c r="BX192">
        <v>4.41</v>
      </c>
      <c r="BY192">
        <v>27.03</v>
      </c>
      <c r="BZ192">
        <v>23.74</v>
      </c>
      <c r="CA192">
        <v>0.33</v>
      </c>
      <c r="CB192">
        <v>0.22</v>
      </c>
      <c r="CC192">
        <v>0.33</v>
      </c>
      <c r="CD192">
        <v>0.23</v>
      </c>
      <c r="CE192">
        <v>0.22</v>
      </c>
      <c r="CF192">
        <v>-0.16</v>
      </c>
      <c r="CG192">
        <v>14.02</v>
      </c>
      <c r="CH192">
        <v>0.35</v>
      </c>
      <c r="CI192">
        <v>-0.87</v>
      </c>
      <c r="CJ192">
        <v>27425</v>
      </c>
      <c r="CK192">
        <v>8737</v>
      </c>
      <c r="CL192" t="s">
        <v>1463</v>
      </c>
      <c r="CM192">
        <v>371.46</v>
      </c>
      <c r="CN192">
        <v>16.41</v>
      </c>
      <c r="CO192">
        <v>0.83</v>
      </c>
      <c r="CP192">
        <v>58.81</v>
      </c>
      <c r="CQ192">
        <v>0.76</v>
      </c>
      <c r="CR192">
        <v>0</v>
      </c>
      <c r="CS192" t="s">
        <v>484</v>
      </c>
      <c r="CT192">
        <v>6.87</v>
      </c>
      <c r="CU192">
        <v>0</v>
      </c>
      <c r="CV192">
        <v>1.22</v>
      </c>
      <c r="CW192">
        <v>3.89</v>
      </c>
      <c r="CX192">
        <v>0.1</v>
      </c>
      <c r="CY192">
        <v>62.27</v>
      </c>
      <c r="CZ192" t="s">
        <v>1464</v>
      </c>
      <c r="DA192">
        <v>12.17</v>
      </c>
      <c r="DB192">
        <v>1.2</v>
      </c>
      <c r="DC192">
        <v>0.8</v>
      </c>
      <c r="DD192">
        <v>0.08</v>
      </c>
      <c r="DE192">
        <v>3622</v>
      </c>
      <c r="DF192">
        <v>619</v>
      </c>
      <c r="DG192" t="s">
        <v>116</v>
      </c>
      <c r="DH192" t="s">
        <v>116</v>
      </c>
      <c r="DI192" t="s">
        <v>116</v>
      </c>
    </row>
    <row r="193" spans="1:113" x14ac:dyDescent="0.4">
      <c r="A193" t="str">
        <f>"000620"</f>
        <v>000620</v>
      </c>
      <c r="B193" t="s">
        <v>1465</v>
      </c>
      <c r="C193">
        <v>-3.12</v>
      </c>
      <c r="D193">
        <v>4.04</v>
      </c>
      <c r="E193">
        <v>-0.13</v>
      </c>
      <c r="F193">
        <v>4.04</v>
      </c>
      <c r="G193">
        <v>4.05</v>
      </c>
      <c r="H193">
        <v>345576</v>
      </c>
      <c r="I193">
        <v>2543</v>
      </c>
      <c r="J193">
        <v>-0.24</v>
      </c>
      <c r="K193">
        <v>1.82</v>
      </c>
      <c r="L193">
        <v>4.1399999999999997</v>
      </c>
      <c r="M193">
        <v>4.16</v>
      </c>
      <c r="N193">
        <v>4</v>
      </c>
      <c r="O193">
        <v>4.17</v>
      </c>
      <c r="P193">
        <v>35.22</v>
      </c>
      <c r="Q193">
        <v>140512656</v>
      </c>
      <c r="R193">
        <v>1.55</v>
      </c>
      <c r="S193" t="s">
        <v>124</v>
      </c>
      <c r="T193" t="s">
        <v>165</v>
      </c>
      <c r="U193">
        <v>3.84</v>
      </c>
      <c r="V193">
        <v>4.07</v>
      </c>
      <c r="W193">
        <v>209942</v>
      </c>
      <c r="X193">
        <v>135634</v>
      </c>
      <c r="Y193">
        <v>1.55</v>
      </c>
      <c r="Z193">
        <v>5432</v>
      </c>
      <c r="AA193">
        <v>117</v>
      </c>
      <c r="AB193" t="s">
        <v>116</v>
      </c>
      <c r="AC193">
        <v>573800</v>
      </c>
      <c r="AD193">
        <v>0.02</v>
      </c>
      <c r="AE193" t="s">
        <v>116</v>
      </c>
      <c r="AF193" t="s">
        <v>116</v>
      </c>
      <c r="AG193">
        <v>18.97</v>
      </c>
      <c r="AH193" t="s">
        <v>1029</v>
      </c>
      <c r="AI193" t="s">
        <v>1466</v>
      </c>
      <c r="AJ193">
        <v>-2.44</v>
      </c>
      <c r="AK193">
        <v>3134</v>
      </c>
      <c r="AL193">
        <v>110</v>
      </c>
      <c r="AM193">
        <v>5.9999999999999995E-4</v>
      </c>
      <c r="AN193">
        <v>-8</v>
      </c>
      <c r="AO193">
        <v>-6.7</v>
      </c>
      <c r="AP193">
        <v>-22.61</v>
      </c>
      <c r="AQ193">
        <v>-8.39</v>
      </c>
      <c r="AR193">
        <v>8.89</v>
      </c>
      <c r="AS193">
        <v>4.6900000000000004</v>
      </c>
      <c r="AT193" t="s">
        <v>1467</v>
      </c>
      <c r="AU193">
        <v>7.34</v>
      </c>
      <c r="AV193">
        <v>6.46</v>
      </c>
      <c r="AW193">
        <v>0.32</v>
      </c>
      <c r="BA193">
        <v>-0.72</v>
      </c>
      <c r="BB193">
        <v>-0.24</v>
      </c>
      <c r="BC193">
        <v>-4.08</v>
      </c>
      <c r="BD193">
        <v>-2.4900000000000002</v>
      </c>
      <c r="BE193">
        <v>-2.42</v>
      </c>
      <c r="BF193">
        <v>-2.88</v>
      </c>
      <c r="BG193">
        <v>1</v>
      </c>
      <c r="BH193">
        <v>-0.62</v>
      </c>
      <c r="BI193">
        <v>20191030</v>
      </c>
      <c r="BJ193">
        <v>19961029</v>
      </c>
      <c r="BK193">
        <v>18.97</v>
      </c>
      <c r="BL193" t="s">
        <v>116</v>
      </c>
      <c r="BM193" t="s">
        <v>116</v>
      </c>
      <c r="BN193">
        <v>569.48</v>
      </c>
      <c r="BO193">
        <v>72.94</v>
      </c>
      <c r="BP193">
        <v>18.96</v>
      </c>
      <c r="BQ193">
        <v>83.86</v>
      </c>
      <c r="BR193">
        <v>344.02</v>
      </c>
      <c r="BS193">
        <v>78.5</v>
      </c>
      <c r="BT193">
        <v>16.52</v>
      </c>
      <c r="BU193">
        <v>283.95</v>
      </c>
      <c r="BV193">
        <v>252.8</v>
      </c>
      <c r="BW193">
        <v>4.3</v>
      </c>
      <c r="BX193">
        <v>20.18</v>
      </c>
      <c r="BY193">
        <v>56.25</v>
      </c>
      <c r="BZ193">
        <v>39.86</v>
      </c>
      <c r="CA193">
        <v>2.74</v>
      </c>
      <c r="CB193">
        <v>3.52</v>
      </c>
      <c r="CC193">
        <v>2.5299999999999998</v>
      </c>
      <c r="CD193">
        <v>1.59</v>
      </c>
      <c r="CE193">
        <v>1.63</v>
      </c>
      <c r="CF193">
        <v>0.38</v>
      </c>
      <c r="CG193">
        <v>43.94</v>
      </c>
      <c r="CH193">
        <v>17.2</v>
      </c>
      <c r="CI193">
        <v>0.61</v>
      </c>
      <c r="CJ193">
        <v>36740</v>
      </c>
      <c r="CK193">
        <v>20042</v>
      </c>
      <c r="CL193" t="s">
        <v>1468</v>
      </c>
      <c r="CM193">
        <v>-46.64</v>
      </c>
      <c r="CN193">
        <v>-8.8000000000000007</v>
      </c>
      <c r="CO193">
        <v>1.05</v>
      </c>
      <c r="CP193">
        <v>4.45</v>
      </c>
      <c r="CQ193">
        <v>1.36</v>
      </c>
      <c r="CR193">
        <v>4.95</v>
      </c>
      <c r="CS193" t="s">
        <v>1469</v>
      </c>
      <c r="CT193">
        <v>3.85</v>
      </c>
      <c r="CU193">
        <v>0</v>
      </c>
      <c r="CV193">
        <v>1.06</v>
      </c>
      <c r="CW193">
        <v>2.3199999999999998</v>
      </c>
      <c r="CX193">
        <v>0.91</v>
      </c>
      <c r="CY193">
        <v>12.81</v>
      </c>
      <c r="CZ193" t="s">
        <v>1470</v>
      </c>
      <c r="DA193">
        <v>29.14</v>
      </c>
      <c r="DB193">
        <v>4.87</v>
      </c>
      <c r="DC193">
        <v>2.9</v>
      </c>
      <c r="DD193">
        <v>0</v>
      </c>
      <c r="DE193">
        <v>7939</v>
      </c>
      <c r="DF193">
        <v>620</v>
      </c>
      <c r="DG193" t="s">
        <v>116</v>
      </c>
      <c r="DH193" t="s">
        <v>116</v>
      </c>
      <c r="DI193" t="s">
        <v>116</v>
      </c>
    </row>
    <row r="194" spans="1:113" x14ac:dyDescent="0.4">
      <c r="A194" t="str">
        <f>"000622"</f>
        <v>000622</v>
      </c>
      <c r="B194" t="s">
        <v>1471</v>
      </c>
      <c r="C194">
        <v>1.03</v>
      </c>
      <c r="D194">
        <v>4.9000000000000004</v>
      </c>
      <c r="E194">
        <v>0.05</v>
      </c>
      <c r="F194">
        <v>4.8899999999999997</v>
      </c>
      <c r="G194">
        <v>4.9000000000000004</v>
      </c>
      <c r="H194">
        <v>144343</v>
      </c>
      <c r="I194">
        <v>1897</v>
      </c>
      <c r="J194">
        <v>0.41</v>
      </c>
      <c r="K194">
        <v>3.39</v>
      </c>
      <c r="L194">
        <v>4.87</v>
      </c>
      <c r="M194">
        <v>5</v>
      </c>
      <c r="N194">
        <v>4.82</v>
      </c>
      <c r="O194">
        <v>4.8499999999999996</v>
      </c>
      <c r="P194">
        <v>102.17</v>
      </c>
      <c r="Q194">
        <v>70823184</v>
      </c>
      <c r="R194">
        <v>1.03</v>
      </c>
      <c r="S194" t="s">
        <v>293</v>
      </c>
      <c r="T194" t="s">
        <v>599</v>
      </c>
      <c r="U194">
        <v>3.71</v>
      </c>
      <c r="V194">
        <v>4.91</v>
      </c>
      <c r="W194">
        <v>65474</v>
      </c>
      <c r="X194">
        <v>78869</v>
      </c>
      <c r="Y194">
        <v>0.83</v>
      </c>
      <c r="Z194">
        <v>593</v>
      </c>
      <c r="AA194">
        <v>185</v>
      </c>
      <c r="AB194" t="s">
        <v>116</v>
      </c>
      <c r="AC194">
        <v>83300</v>
      </c>
      <c r="AD194">
        <v>0.01</v>
      </c>
      <c r="AE194" t="s">
        <v>116</v>
      </c>
      <c r="AF194" t="s">
        <v>116</v>
      </c>
      <c r="AG194">
        <v>4.25</v>
      </c>
      <c r="AH194" t="s">
        <v>1472</v>
      </c>
      <c r="AI194" t="s">
        <v>1472</v>
      </c>
      <c r="AJ194">
        <v>1.71</v>
      </c>
      <c r="AK194">
        <v>1876</v>
      </c>
      <c r="AL194">
        <v>77</v>
      </c>
      <c r="AM194">
        <v>1.8E-3</v>
      </c>
      <c r="AN194">
        <v>2</v>
      </c>
      <c r="AO194">
        <v>0.82</v>
      </c>
      <c r="AP194">
        <v>9.3699999999999992</v>
      </c>
      <c r="AQ194">
        <v>5.83</v>
      </c>
      <c r="AR194">
        <v>-34.75</v>
      </c>
      <c r="AS194">
        <v>6.06</v>
      </c>
      <c r="AT194" t="s">
        <v>1473</v>
      </c>
      <c r="AU194">
        <v>120.04</v>
      </c>
      <c r="AV194">
        <v>660.91</v>
      </c>
      <c r="AW194">
        <v>0.38</v>
      </c>
      <c r="BA194">
        <v>0.41</v>
      </c>
      <c r="BB194">
        <v>3.09</v>
      </c>
      <c r="BC194">
        <v>-0.62</v>
      </c>
      <c r="BD194">
        <v>1.17</v>
      </c>
      <c r="BE194">
        <v>0.62</v>
      </c>
      <c r="BF194">
        <v>-2</v>
      </c>
      <c r="BG194">
        <v>1.66</v>
      </c>
      <c r="BH194">
        <v>-0.14000000000000001</v>
      </c>
      <c r="BI194">
        <v>20191030</v>
      </c>
      <c r="BJ194">
        <v>19961107</v>
      </c>
      <c r="BK194">
        <v>4.25</v>
      </c>
      <c r="BL194" t="s">
        <v>116</v>
      </c>
      <c r="BM194" t="s">
        <v>116</v>
      </c>
      <c r="BN194">
        <v>3.17</v>
      </c>
      <c r="BO194">
        <v>2.06</v>
      </c>
      <c r="BP194">
        <v>0.13</v>
      </c>
      <c r="BQ194">
        <v>31.04</v>
      </c>
      <c r="BR194">
        <v>3</v>
      </c>
      <c r="BS194">
        <v>0.16</v>
      </c>
      <c r="BT194">
        <v>0</v>
      </c>
      <c r="BU194">
        <v>0.67</v>
      </c>
      <c r="BV194">
        <v>0.11</v>
      </c>
      <c r="BW194">
        <v>1.04</v>
      </c>
      <c r="BX194">
        <v>1.96</v>
      </c>
      <c r="BY194">
        <v>2.37</v>
      </c>
      <c r="BZ194">
        <v>2.27</v>
      </c>
      <c r="CA194">
        <v>-7.0000000000000007E-2</v>
      </c>
      <c r="CB194">
        <v>0</v>
      </c>
      <c r="CC194">
        <v>0.15</v>
      </c>
      <c r="CD194">
        <v>0.14000000000000001</v>
      </c>
      <c r="CE194">
        <v>0.15</v>
      </c>
      <c r="CF194">
        <v>-7.0000000000000007E-2</v>
      </c>
      <c r="CG194">
        <v>-4.17</v>
      </c>
      <c r="CH194">
        <v>-0.97</v>
      </c>
      <c r="CI194">
        <v>-1.07</v>
      </c>
      <c r="CJ194">
        <v>42732</v>
      </c>
      <c r="CK194">
        <v>5575</v>
      </c>
      <c r="CL194" t="s">
        <v>1474</v>
      </c>
      <c r="CM194">
        <v>1303.6500000000001</v>
      </c>
      <c r="CN194">
        <v>369.87</v>
      </c>
      <c r="CO194">
        <v>10.11</v>
      </c>
      <c r="CP194">
        <v>-21.49</v>
      </c>
      <c r="CQ194">
        <v>8.7799999999999994</v>
      </c>
      <c r="CR194">
        <v>0</v>
      </c>
      <c r="CS194" t="s">
        <v>1223</v>
      </c>
      <c r="CT194">
        <v>0.48</v>
      </c>
      <c r="CU194">
        <v>0</v>
      </c>
      <c r="CV194">
        <v>0.46</v>
      </c>
      <c r="CW194">
        <v>-0.98</v>
      </c>
      <c r="CX194">
        <v>-0.23</v>
      </c>
      <c r="CY194">
        <v>64.989999999999995</v>
      </c>
      <c r="CZ194" t="s">
        <v>1475</v>
      </c>
      <c r="DA194">
        <v>4.57</v>
      </c>
      <c r="DB194">
        <v>-2.94</v>
      </c>
      <c r="DC194">
        <v>6.44</v>
      </c>
      <c r="DD194">
        <v>0.01</v>
      </c>
      <c r="DE194">
        <v>148</v>
      </c>
      <c r="DF194">
        <v>622</v>
      </c>
      <c r="DG194" t="s">
        <v>116</v>
      </c>
      <c r="DH194" t="s">
        <v>116</v>
      </c>
      <c r="DI194" t="s">
        <v>116</v>
      </c>
    </row>
    <row r="195" spans="1:113" x14ac:dyDescent="0.4">
      <c r="A195" t="str">
        <f>"000623"</f>
        <v>000623</v>
      </c>
      <c r="B195" t="s">
        <v>1476</v>
      </c>
      <c r="C195">
        <v>-0.86</v>
      </c>
      <c r="D195">
        <v>16.059999999999999</v>
      </c>
      <c r="E195">
        <v>-0.14000000000000001</v>
      </c>
      <c r="F195">
        <v>16.059999999999999</v>
      </c>
      <c r="G195">
        <v>16.07</v>
      </c>
      <c r="H195">
        <v>81830</v>
      </c>
      <c r="I195">
        <v>463</v>
      </c>
      <c r="J195">
        <v>0</v>
      </c>
      <c r="K195">
        <v>0.72</v>
      </c>
      <c r="L195">
        <v>16.16</v>
      </c>
      <c r="M195">
        <v>16.34</v>
      </c>
      <c r="N195">
        <v>16.05</v>
      </c>
      <c r="O195">
        <v>16.2</v>
      </c>
      <c r="P195">
        <v>12.08</v>
      </c>
      <c r="Q195">
        <v>132651728</v>
      </c>
      <c r="R195">
        <v>1.2</v>
      </c>
      <c r="S195" t="s">
        <v>574</v>
      </c>
      <c r="T195" t="s">
        <v>294</v>
      </c>
      <c r="U195">
        <v>1.79</v>
      </c>
      <c r="V195">
        <v>16.21</v>
      </c>
      <c r="W195">
        <v>46672</v>
      </c>
      <c r="X195">
        <v>35158</v>
      </c>
      <c r="Y195">
        <v>1.33</v>
      </c>
      <c r="Z195">
        <v>676</v>
      </c>
      <c r="AA195">
        <v>63</v>
      </c>
      <c r="AB195" t="s">
        <v>116</v>
      </c>
      <c r="AC195">
        <v>817700</v>
      </c>
      <c r="AD195">
        <v>0.01</v>
      </c>
      <c r="AE195" t="s">
        <v>116</v>
      </c>
      <c r="AF195" t="s">
        <v>116</v>
      </c>
      <c r="AG195">
        <v>11.42</v>
      </c>
      <c r="AH195" t="s">
        <v>1477</v>
      </c>
      <c r="AI195" t="s">
        <v>1478</v>
      </c>
      <c r="AJ195">
        <v>-0.19</v>
      </c>
      <c r="AK195">
        <v>2376</v>
      </c>
      <c r="AL195">
        <v>34</v>
      </c>
      <c r="AM195">
        <v>2.9999999999999997E-4</v>
      </c>
      <c r="AN195">
        <v>-1</v>
      </c>
      <c r="AO195">
        <v>0.32</v>
      </c>
      <c r="AP195">
        <v>3.95</v>
      </c>
      <c r="AQ195">
        <v>3.41</v>
      </c>
      <c r="AR195">
        <v>12.86</v>
      </c>
      <c r="AS195">
        <v>1.03</v>
      </c>
      <c r="AT195" t="s">
        <v>1479</v>
      </c>
      <c r="AU195">
        <v>15.58</v>
      </c>
      <c r="AV195">
        <v>19.97</v>
      </c>
      <c r="AW195">
        <v>0.85</v>
      </c>
      <c r="BA195">
        <v>-0.25</v>
      </c>
      <c r="BB195">
        <v>0.86</v>
      </c>
      <c r="BC195">
        <v>-0.93</v>
      </c>
      <c r="BD195">
        <v>7.0000000000000007E-2</v>
      </c>
      <c r="BE195">
        <v>-0.62</v>
      </c>
      <c r="BF195">
        <v>-1.71</v>
      </c>
      <c r="BG195">
        <v>0.06</v>
      </c>
      <c r="BH195">
        <v>-0.93</v>
      </c>
      <c r="BI195">
        <v>20191031</v>
      </c>
      <c r="BJ195">
        <v>19961028</v>
      </c>
      <c r="BK195">
        <v>11.63</v>
      </c>
      <c r="BL195" t="s">
        <v>116</v>
      </c>
      <c r="BM195" t="s">
        <v>116</v>
      </c>
      <c r="BN195">
        <v>256.8</v>
      </c>
      <c r="BO195">
        <v>221.03</v>
      </c>
      <c r="BP195">
        <v>2.06</v>
      </c>
      <c r="BQ195">
        <v>13.12</v>
      </c>
      <c r="BR195">
        <v>61.53</v>
      </c>
      <c r="BS195">
        <v>20.67</v>
      </c>
      <c r="BT195">
        <v>3.15</v>
      </c>
      <c r="BU195">
        <v>10.85</v>
      </c>
      <c r="BV195">
        <v>5.76</v>
      </c>
      <c r="BW195">
        <v>7.49</v>
      </c>
      <c r="BX195">
        <v>40.770000000000003</v>
      </c>
      <c r="BY195">
        <v>23.59</v>
      </c>
      <c r="BZ195">
        <v>6.9</v>
      </c>
      <c r="CA195">
        <v>12.16</v>
      </c>
      <c r="CB195">
        <v>9.42</v>
      </c>
      <c r="CC195">
        <v>12.18</v>
      </c>
      <c r="CD195">
        <v>11.55</v>
      </c>
      <c r="CE195">
        <v>11.6</v>
      </c>
      <c r="CF195">
        <v>11.04</v>
      </c>
      <c r="CG195">
        <v>143.12</v>
      </c>
      <c r="CH195">
        <v>1.89</v>
      </c>
      <c r="CI195">
        <v>-0.18</v>
      </c>
      <c r="CJ195">
        <v>85690</v>
      </c>
      <c r="CK195">
        <v>9245</v>
      </c>
      <c r="CL195" t="s">
        <v>1480</v>
      </c>
      <c r="CM195">
        <v>29.45</v>
      </c>
      <c r="CN195">
        <v>-1.59</v>
      </c>
      <c r="CO195">
        <v>0.87</v>
      </c>
      <c r="CP195">
        <v>99.09</v>
      </c>
      <c r="CQ195">
        <v>7.92</v>
      </c>
      <c r="CR195">
        <v>1.25</v>
      </c>
      <c r="CS195" t="s">
        <v>1481</v>
      </c>
      <c r="CT195">
        <v>18.52</v>
      </c>
      <c r="CU195">
        <v>18.52</v>
      </c>
      <c r="CV195">
        <v>3.51</v>
      </c>
      <c r="CW195">
        <v>12.31</v>
      </c>
      <c r="CX195">
        <v>0.16</v>
      </c>
      <c r="CY195">
        <v>86.07</v>
      </c>
      <c r="CZ195" t="s">
        <v>1482</v>
      </c>
      <c r="DA195">
        <v>70.73</v>
      </c>
      <c r="DB195">
        <v>51.57</v>
      </c>
      <c r="DC195">
        <v>49.17</v>
      </c>
      <c r="DD195">
        <v>1.1100000000000001</v>
      </c>
      <c r="DE195">
        <v>3803</v>
      </c>
      <c r="DF195">
        <v>623</v>
      </c>
      <c r="DG195" t="s">
        <v>116</v>
      </c>
      <c r="DH195" t="s">
        <v>116</v>
      </c>
      <c r="DI195" t="s">
        <v>116</v>
      </c>
    </row>
    <row r="196" spans="1:113" x14ac:dyDescent="0.4">
      <c r="A196" t="str">
        <f>"000625"</f>
        <v>000625</v>
      </c>
      <c r="B196" t="s">
        <v>1483</v>
      </c>
      <c r="C196">
        <v>-1.34</v>
      </c>
      <c r="D196">
        <v>9.5399999999999991</v>
      </c>
      <c r="E196">
        <v>-0.13</v>
      </c>
      <c r="F196">
        <v>9.5399999999999991</v>
      </c>
      <c r="G196">
        <v>9.5500000000000007</v>
      </c>
      <c r="H196">
        <v>239238</v>
      </c>
      <c r="I196">
        <v>2503</v>
      </c>
      <c r="J196">
        <v>-0.09</v>
      </c>
      <c r="K196">
        <v>0.61</v>
      </c>
      <c r="L196">
        <v>9.66</v>
      </c>
      <c r="M196">
        <v>9.73</v>
      </c>
      <c r="N196">
        <v>9.5</v>
      </c>
      <c r="O196">
        <v>9.67</v>
      </c>
      <c r="P196" t="s">
        <v>116</v>
      </c>
      <c r="Q196">
        <v>229440368</v>
      </c>
      <c r="R196">
        <v>0.71</v>
      </c>
      <c r="S196" t="s">
        <v>1108</v>
      </c>
      <c r="T196" t="s">
        <v>906</v>
      </c>
      <c r="U196">
        <v>2.38</v>
      </c>
      <c r="V196">
        <v>9.59</v>
      </c>
      <c r="W196">
        <v>124104</v>
      </c>
      <c r="X196">
        <v>115134</v>
      </c>
      <c r="Y196">
        <v>1.08</v>
      </c>
      <c r="Z196">
        <v>269</v>
      </c>
      <c r="AA196">
        <v>450</v>
      </c>
      <c r="AB196" t="s">
        <v>116</v>
      </c>
      <c r="AC196">
        <v>1069400</v>
      </c>
      <c r="AD196">
        <v>0.01</v>
      </c>
      <c r="AE196" t="s">
        <v>116</v>
      </c>
      <c r="AF196" t="s">
        <v>116</v>
      </c>
      <c r="AG196">
        <v>39.01</v>
      </c>
      <c r="AH196" t="s">
        <v>1484</v>
      </c>
      <c r="AI196" t="s">
        <v>1485</v>
      </c>
      <c r="AJ196">
        <v>-0.67</v>
      </c>
      <c r="AK196">
        <v>4015</v>
      </c>
      <c r="AL196">
        <v>60</v>
      </c>
      <c r="AM196">
        <v>2.0000000000000001E-4</v>
      </c>
      <c r="AN196">
        <v>-2</v>
      </c>
      <c r="AO196">
        <v>-1.34</v>
      </c>
      <c r="AP196">
        <v>11.97</v>
      </c>
      <c r="AQ196">
        <v>29.09</v>
      </c>
      <c r="AR196">
        <v>45.16</v>
      </c>
      <c r="AS196">
        <v>1.23</v>
      </c>
      <c r="AT196" t="s">
        <v>1486</v>
      </c>
      <c r="AU196" t="s">
        <v>116</v>
      </c>
      <c r="AV196">
        <v>67.31</v>
      </c>
      <c r="AW196">
        <v>0.67</v>
      </c>
      <c r="BA196">
        <v>-0.1</v>
      </c>
      <c r="BB196">
        <v>0.62</v>
      </c>
      <c r="BC196">
        <v>-1.76</v>
      </c>
      <c r="BD196">
        <v>-0.82</v>
      </c>
      <c r="BE196">
        <v>-1.24</v>
      </c>
      <c r="BF196">
        <v>-1.95</v>
      </c>
      <c r="BG196">
        <v>0.42</v>
      </c>
      <c r="BH196">
        <v>-0.52</v>
      </c>
      <c r="BI196">
        <v>20191225</v>
      </c>
      <c r="BJ196">
        <v>19970610</v>
      </c>
      <c r="BK196">
        <v>48.03</v>
      </c>
      <c r="BL196">
        <v>9.02</v>
      </c>
      <c r="BM196" t="s">
        <v>116</v>
      </c>
      <c r="BN196">
        <v>929.47</v>
      </c>
      <c r="BO196">
        <v>435.68</v>
      </c>
      <c r="BP196">
        <v>-0.97</v>
      </c>
      <c r="BQ196">
        <v>53.23</v>
      </c>
      <c r="BR196">
        <v>444.86</v>
      </c>
      <c r="BS196">
        <v>230</v>
      </c>
      <c r="BT196">
        <v>53.71</v>
      </c>
      <c r="BU196">
        <v>412.81</v>
      </c>
      <c r="BV196">
        <v>57.96</v>
      </c>
      <c r="BW196">
        <v>20.63</v>
      </c>
      <c r="BX196">
        <v>50.57</v>
      </c>
      <c r="BY196">
        <v>451.15</v>
      </c>
      <c r="BZ196">
        <v>397.97</v>
      </c>
      <c r="CA196">
        <v>-25.16</v>
      </c>
      <c r="CB196">
        <v>-5.22</v>
      </c>
      <c r="CC196">
        <v>-25.25</v>
      </c>
      <c r="CD196">
        <v>-26.67</v>
      </c>
      <c r="CE196">
        <v>-26.62</v>
      </c>
      <c r="CF196">
        <v>-35.33</v>
      </c>
      <c r="CG196">
        <v>309.58999999999997</v>
      </c>
      <c r="CH196">
        <v>37.58</v>
      </c>
      <c r="CI196">
        <v>1.71</v>
      </c>
      <c r="CJ196">
        <v>158600</v>
      </c>
      <c r="CK196">
        <v>17902</v>
      </c>
      <c r="CL196" t="s">
        <v>1487</v>
      </c>
      <c r="CM196">
        <v>-328.83</v>
      </c>
      <c r="CN196">
        <v>-9.5</v>
      </c>
      <c r="CO196">
        <v>1.05</v>
      </c>
      <c r="CP196">
        <v>12.19</v>
      </c>
      <c r="CQ196">
        <v>1.02</v>
      </c>
      <c r="CR196">
        <v>0.19</v>
      </c>
      <c r="CS196" t="s">
        <v>1488</v>
      </c>
      <c r="CT196">
        <v>9.07</v>
      </c>
      <c r="CU196">
        <v>0</v>
      </c>
      <c r="CV196">
        <v>1.05</v>
      </c>
      <c r="CW196">
        <v>6.45</v>
      </c>
      <c r="CX196">
        <v>0.78</v>
      </c>
      <c r="CY196">
        <v>46.87</v>
      </c>
      <c r="CZ196" t="s">
        <v>1489</v>
      </c>
      <c r="DA196">
        <v>11.79</v>
      </c>
      <c r="DB196">
        <v>-5.58</v>
      </c>
      <c r="DC196">
        <v>-5.9</v>
      </c>
      <c r="DD196">
        <v>16.47</v>
      </c>
      <c r="DE196">
        <v>36029</v>
      </c>
      <c r="DF196">
        <v>625</v>
      </c>
      <c r="DG196" t="s">
        <v>116</v>
      </c>
      <c r="DH196" t="s">
        <v>116</v>
      </c>
      <c r="DI196" t="s">
        <v>116</v>
      </c>
    </row>
    <row r="197" spans="1:113" x14ac:dyDescent="0.4">
      <c r="A197" t="str">
        <f>"000626"</f>
        <v>000626</v>
      </c>
      <c r="B197" t="s">
        <v>1490</v>
      </c>
      <c r="C197">
        <v>-2.38</v>
      </c>
      <c r="D197">
        <v>7.37</v>
      </c>
      <c r="E197">
        <v>-0.18</v>
      </c>
      <c r="F197">
        <v>7.37</v>
      </c>
      <c r="G197">
        <v>7.38</v>
      </c>
      <c r="H197">
        <v>18523</v>
      </c>
      <c r="I197">
        <v>478</v>
      </c>
      <c r="J197">
        <v>-0.4</v>
      </c>
      <c r="K197">
        <v>0.4</v>
      </c>
      <c r="L197">
        <v>7.5</v>
      </c>
      <c r="M197">
        <v>7.61</v>
      </c>
      <c r="N197">
        <v>7.36</v>
      </c>
      <c r="O197">
        <v>7.55</v>
      </c>
      <c r="P197">
        <v>44.3</v>
      </c>
      <c r="Q197">
        <v>13873164</v>
      </c>
      <c r="R197">
        <v>0.83</v>
      </c>
      <c r="S197" t="s">
        <v>566</v>
      </c>
      <c r="T197" t="s">
        <v>323</v>
      </c>
      <c r="U197">
        <v>3.31</v>
      </c>
      <c r="V197">
        <v>7.49</v>
      </c>
      <c r="W197">
        <v>11888</v>
      </c>
      <c r="X197">
        <v>6635</v>
      </c>
      <c r="Y197">
        <v>1.79</v>
      </c>
      <c r="Z197">
        <v>65</v>
      </c>
      <c r="AA197">
        <v>91</v>
      </c>
      <c r="AB197" t="s">
        <v>116</v>
      </c>
      <c r="AC197">
        <v>26300</v>
      </c>
      <c r="AD197">
        <v>0</v>
      </c>
      <c r="AE197" t="s">
        <v>116</v>
      </c>
      <c r="AF197" t="s">
        <v>116</v>
      </c>
      <c r="AG197">
        <v>4.6399999999999997</v>
      </c>
      <c r="AH197" t="s">
        <v>1491</v>
      </c>
      <c r="AI197" t="s">
        <v>1492</v>
      </c>
      <c r="AJ197">
        <v>-1.71</v>
      </c>
      <c r="AK197">
        <v>573</v>
      </c>
      <c r="AL197">
        <v>32</v>
      </c>
      <c r="AM197">
        <v>6.9999999999999999E-4</v>
      </c>
      <c r="AN197">
        <v>-1</v>
      </c>
      <c r="AO197">
        <v>-2.12</v>
      </c>
      <c r="AP197">
        <v>2.08</v>
      </c>
      <c r="AQ197">
        <v>-0.14000000000000001</v>
      </c>
      <c r="AR197">
        <v>14.44</v>
      </c>
      <c r="AS197">
        <v>1.1100000000000001</v>
      </c>
      <c r="AT197" t="s">
        <v>1493</v>
      </c>
      <c r="AU197">
        <v>44.01</v>
      </c>
      <c r="AV197">
        <v>83.93</v>
      </c>
      <c r="AW197">
        <v>1.05</v>
      </c>
      <c r="BA197">
        <v>-0.66</v>
      </c>
      <c r="BB197">
        <v>0.79</v>
      </c>
      <c r="BC197">
        <v>-2.52</v>
      </c>
      <c r="BD197">
        <v>-0.8</v>
      </c>
      <c r="BE197">
        <v>-1.73</v>
      </c>
      <c r="BF197">
        <v>-3.15</v>
      </c>
      <c r="BG197">
        <v>0.14000000000000001</v>
      </c>
      <c r="BH197">
        <v>-1.59</v>
      </c>
      <c r="BI197">
        <v>20191031</v>
      </c>
      <c r="BJ197">
        <v>19961128</v>
      </c>
      <c r="BK197">
        <v>5.43</v>
      </c>
      <c r="BL197" t="s">
        <v>116</v>
      </c>
      <c r="BM197" t="s">
        <v>116</v>
      </c>
      <c r="BN197">
        <v>72.709999999999994</v>
      </c>
      <c r="BO197">
        <v>26.57</v>
      </c>
      <c r="BP197">
        <v>1.17</v>
      </c>
      <c r="BQ197">
        <v>61.85</v>
      </c>
      <c r="BR197">
        <v>67.19</v>
      </c>
      <c r="BS197">
        <v>1.28</v>
      </c>
      <c r="BT197">
        <v>0.6</v>
      </c>
      <c r="BU197">
        <v>38.869999999999997</v>
      </c>
      <c r="BV197">
        <v>11.25</v>
      </c>
      <c r="BW197">
        <v>5.61</v>
      </c>
      <c r="BX197">
        <v>13.02</v>
      </c>
      <c r="BY197">
        <v>502.01</v>
      </c>
      <c r="BZ197">
        <v>495.45</v>
      </c>
      <c r="CA197">
        <v>1.45</v>
      </c>
      <c r="CB197">
        <v>1.65</v>
      </c>
      <c r="CC197">
        <v>1.59</v>
      </c>
      <c r="CD197">
        <v>1.0900000000000001</v>
      </c>
      <c r="CE197">
        <v>0.68</v>
      </c>
      <c r="CF197">
        <v>0.43</v>
      </c>
      <c r="CG197">
        <v>8.49</v>
      </c>
      <c r="CH197">
        <v>-1.93</v>
      </c>
      <c r="CI197">
        <v>-4.83</v>
      </c>
      <c r="CJ197">
        <v>26617</v>
      </c>
      <c r="CK197">
        <v>6284</v>
      </c>
      <c r="CL197" t="s">
        <v>579</v>
      </c>
      <c r="CM197">
        <v>176.51</v>
      </c>
      <c r="CN197">
        <v>4.3899999999999997</v>
      </c>
      <c r="CO197">
        <v>1.51</v>
      </c>
      <c r="CP197">
        <v>-20.76</v>
      </c>
      <c r="CQ197">
        <v>0.08</v>
      </c>
      <c r="CR197">
        <v>0</v>
      </c>
      <c r="CS197" t="s">
        <v>1494</v>
      </c>
      <c r="CT197">
        <v>4.8899999999999997</v>
      </c>
      <c r="CU197">
        <v>0</v>
      </c>
      <c r="CV197">
        <v>2.4</v>
      </c>
      <c r="CW197">
        <v>1.56</v>
      </c>
      <c r="CX197">
        <v>-0.36</v>
      </c>
      <c r="CY197">
        <v>36.54</v>
      </c>
      <c r="CZ197" t="s">
        <v>1285</v>
      </c>
      <c r="DA197">
        <v>1.31</v>
      </c>
      <c r="DB197">
        <v>0.28999999999999998</v>
      </c>
      <c r="DC197">
        <v>0.13</v>
      </c>
      <c r="DD197">
        <v>0</v>
      </c>
      <c r="DE197">
        <v>560</v>
      </c>
      <c r="DF197">
        <v>626</v>
      </c>
      <c r="DG197" t="s">
        <v>116</v>
      </c>
      <c r="DH197" t="s">
        <v>116</v>
      </c>
      <c r="DI197" t="s">
        <v>116</v>
      </c>
    </row>
    <row r="198" spans="1:113" x14ac:dyDescent="0.4">
      <c r="A198" t="str">
        <f>"000627"</f>
        <v>000627</v>
      </c>
      <c r="B198" t="s">
        <v>1495</v>
      </c>
      <c r="C198">
        <v>-0.72</v>
      </c>
      <c r="D198">
        <v>6.88</v>
      </c>
      <c r="E198">
        <v>-0.05</v>
      </c>
      <c r="F198">
        <v>6.88</v>
      </c>
      <c r="G198">
        <v>6.89</v>
      </c>
      <c r="H198">
        <v>139979</v>
      </c>
      <c r="I198">
        <v>1600</v>
      </c>
      <c r="J198">
        <v>-0.28000000000000003</v>
      </c>
      <c r="K198">
        <v>0.33</v>
      </c>
      <c r="L198">
        <v>6.94</v>
      </c>
      <c r="M198">
        <v>7.03</v>
      </c>
      <c r="N198">
        <v>6.88</v>
      </c>
      <c r="O198">
        <v>6.93</v>
      </c>
      <c r="P198">
        <v>25.09</v>
      </c>
      <c r="Q198">
        <v>97644944</v>
      </c>
      <c r="R198">
        <v>1.05</v>
      </c>
      <c r="S198" t="s">
        <v>1496</v>
      </c>
      <c r="T198" t="s">
        <v>774</v>
      </c>
      <c r="U198">
        <v>2.16</v>
      </c>
      <c r="V198">
        <v>6.98</v>
      </c>
      <c r="W198">
        <v>71580</v>
      </c>
      <c r="X198">
        <v>68399</v>
      </c>
      <c r="Y198">
        <v>1.05</v>
      </c>
      <c r="Z198">
        <v>1259</v>
      </c>
      <c r="AA198">
        <v>1856</v>
      </c>
      <c r="AB198" t="s">
        <v>116</v>
      </c>
      <c r="AC198">
        <v>407400</v>
      </c>
      <c r="AD198">
        <v>0</v>
      </c>
      <c r="AE198" t="s">
        <v>116</v>
      </c>
      <c r="AF198" t="s">
        <v>116</v>
      </c>
      <c r="AG198">
        <v>43.03</v>
      </c>
      <c r="AH198" t="s">
        <v>1497</v>
      </c>
      <c r="AI198" t="s">
        <v>1498</v>
      </c>
      <c r="AJ198">
        <v>-0.04</v>
      </c>
      <c r="AK198">
        <v>2688</v>
      </c>
      <c r="AL198">
        <v>52</v>
      </c>
      <c r="AM198">
        <v>1E-4</v>
      </c>
      <c r="AN198">
        <v>-1</v>
      </c>
      <c r="AO198">
        <v>-0.28999999999999998</v>
      </c>
      <c r="AP198">
        <v>2.69</v>
      </c>
      <c r="AQ198">
        <v>-1.99</v>
      </c>
      <c r="AR198">
        <v>23.3</v>
      </c>
      <c r="AS198">
        <v>0.84</v>
      </c>
      <c r="AT198" t="s">
        <v>1499</v>
      </c>
      <c r="AU198">
        <v>25.55</v>
      </c>
      <c r="AV198">
        <v>25.62</v>
      </c>
      <c r="AW198">
        <v>0.67</v>
      </c>
      <c r="BA198">
        <v>0.14000000000000001</v>
      </c>
      <c r="BB198">
        <v>1.44</v>
      </c>
      <c r="BC198">
        <v>-0.72</v>
      </c>
      <c r="BD198">
        <v>0.66</v>
      </c>
      <c r="BE198">
        <v>-0.86</v>
      </c>
      <c r="BF198">
        <v>-2.13</v>
      </c>
      <c r="BG198">
        <v>0</v>
      </c>
      <c r="BH198">
        <v>-1.38</v>
      </c>
      <c r="BI198">
        <v>20191211</v>
      </c>
      <c r="BJ198">
        <v>19961112</v>
      </c>
      <c r="BK198">
        <v>49.41</v>
      </c>
      <c r="BL198" t="s">
        <v>116</v>
      </c>
      <c r="BM198" t="s">
        <v>116</v>
      </c>
      <c r="BN198">
        <v>1971</v>
      </c>
      <c r="BO198">
        <v>203.29</v>
      </c>
      <c r="BP198">
        <v>127.11</v>
      </c>
      <c r="BQ198">
        <v>83.24</v>
      </c>
      <c r="BR198">
        <v>302.02</v>
      </c>
      <c r="BS198">
        <v>3.27</v>
      </c>
      <c r="BT198">
        <v>0.8</v>
      </c>
      <c r="BU198">
        <v>56.11</v>
      </c>
      <c r="BV198">
        <v>36.549999999999997</v>
      </c>
      <c r="BW198">
        <v>0.13</v>
      </c>
      <c r="BX198">
        <v>110.98</v>
      </c>
      <c r="BY198">
        <v>4.13</v>
      </c>
      <c r="BZ198">
        <v>2.0499999999999998</v>
      </c>
      <c r="CA198">
        <v>22.04</v>
      </c>
      <c r="CB198">
        <v>0</v>
      </c>
      <c r="CC198">
        <v>24.01</v>
      </c>
      <c r="CD198">
        <v>18.71</v>
      </c>
      <c r="CE198">
        <v>10.16</v>
      </c>
      <c r="CF198">
        <v>7.73</v>
      </c>
      <c r="CG198">
        <v>51.31</v>
      </c>
      <c r="CH198">
        <v>263.38</v>
      </c>
      <c r="CI198">
        <v>-60.85</v>
      </c>
      <c r="CJ198">
        <v>79800</v>
      </c>
      <c r="CK198">
        <v>20876</v>
      </c>
      <c r="CL198" t="s">
        <v>1500</v>
      </c>
      <c r="CM198">
        <v>0.4</v>
      </c>
      <c r="CN198">
        <v>-4.41</v>
      </c>
      <c r="CO198">
        <v>1.67</v>
      </c>
      <c r="CP198">
        <v>1.29</v>
      </c>
      <c r="CQ198">
        <v>82.32</v>
      </c>
      <c r="CR198">
        <v>0.44</v>
      </c>
      <c r="CS198" t="s">
        <v>751</v>
      </c>
      <c r="CT198">
        <v>4.1100000000000003</v>
      </c>
      <c r="CU198">
        <v>0</v>
      </c>
      <c r="CV198">
        <v>2.25</v>
      </c>
      <c r="CW198">
        <v>1.04</v>
      </c>
      <c r="CX198">
        <v>5.33</v>
      </c>
      <c r="CY198">
        <v>10.31</v>
      </c>
      <c r="CZ198" t="s">
        <v>1501</v>
      </c>
      <c r="DA198">
        <v>50.38</v>
      </c>
      <c r="DB198">
        <v>533.79</v>
      </c>
      <c r="DC198">
        <v>246.07</v>
      </c>
      <c r="DD198">
        <v>0.06</v>
      </c>
      <c r="DE198">
        <v>3515</v>
      </c>
      <c r="DF198">
        <v>627</v>
      </c>
      <c r="DG198" t="s">
        <v>116</v>
      </c>
      <c r="DH198" t="s">
        <v>116</v>
      </c>
      <c r="DI198" t="s">
        <v>116</v>
      </c>
    </row>
    <row r="199" spans="1:113" x14ac:dyDescent="0.4">
      <c r="A199" t="str">
        <f>"000628"</f>
        <v>000628</v>
      </c>
      <c r="B199" t="s">
        <v>1502</v>
      </c>
      <c r="C199">
        <v>-0.62</v>
      </c>
      <c r="D199">
        <v>9.5500000000000007</v>
      </c>
      <c r="E199">
        <v>-0.06</v>
      </c>
      <c r="F199">
        <v>9.5500000000000007</v>
      </c>
      <c r="G199">
        <v>9.56</v>
      </c>
      <c r="H199">
        <v>30551</v>
      </c>
      <c r="I199">
        <v>474</v>
      </c>
      <c r="J199">
        <v>0</v>
      </c>
      <c r="K199">
        <v>1.63</v>
      </c>
      <c r="L199">
        <v>9.61</v>
      </c>
      <c r="M199">
        <v>9.75</v>
      </c>
      <c r="N199">
        <v>9.5399999999999991</v>
      </c>
      <c r="O199">
        <v>9.61</v>
      </c>
      <c r="P199">
        <v>50.32</v>
      </c>
      <c r="Q199">
        <v>29478430</v>
      </c>
      <c r="R199">
        <v>1.46</v>
      </c>
      <c r="S199" t="s">
        <v>1503</v>
      </c>
      <c r="T199" t="s">
        <v>582</v>
      </c>
      <c r="U199">
        <v>2.19</v>
      </c>
      <c r="V199">
        <v>9.65</v>
      </c>
      <c r="W199">
        <v>15702</v>
      </c>
      <c r="X199">
        <v>14849</v>
      </c>
      <c r="Y199">
        <v>1.06</v>
      </c>
      <c r="Z199">
        <v>872</v>
      </c>
      <c r="AA199">
        <v>10</v>
      </c>
      <c r="AB199" t="s">
        <v>116</v>
      </c>
      <c r="AC199">
        <v>0</v>
      </c>
      <c r="AD199">
        <v>0</v>
      </c>
      <c r="AE199" t="s">
        <v>116</v>
      </c>
      <c r="AF199" t="s">
        <v>116</v>
      </c>
      <c r="AG199">
        <v>1.88</v>
      </c>
      <c r="AH199" t="s">
        <v>1504</v>
      </c>
      <c r="AI199" t="s">
        <v>1467</v>
      </c>
      <c r="AJ199">
        <v>0.05</v>
      </c>
      <c r="AK199">
        <v>1323</v>
      </c>
      <c r="AL199">
        <v>23</v>
      </c>
      <c r="AM199">
        <v>1.1999999999999999E-3</v>
      </c>
      <c r="AN199">
        <v>-1</v>
      </c>
      <c r="AO199">
        <v>-0.73</v>
      </c>
      <c r="AP199">
        <v>1.81</v>
      </c>
      <c r="AQ199">
        <v>-2.0499999999999998</v>
      </c>
      <c r="AR199">
        <v>-3.24</v>
      </c>
      <c r="AS199">
        <v>1.9</v>
      </c>
      <c r="AT199" t="s">
        <v>1505</v>
      </c>
      <c r="AU199">
        <v>34.83</v>
      </c>
      <c r="AV199">
        <v>54.34</v>
      </c>
      <c r="AW199">
        <v>0.66</v>
      </c>
      <c r="BA199">
        <v>0</v>
      </c>
      <c r="BB199">
        <v>1.46</v>
      </c>
      <c r="BC199">
        <v>-0.73</v>
      </c>
      <c r="BD199">
        <v>0.41</v>
      </c>
      <c r="BE199">
        <v>-0.62</v>
      </c>
      <c r="BF199">
        <v>-2.0499999999999998</v>
      </c>
      <c r="BG199">
        <v>0.1</v>
      </c>
      <c r="BH199">
        <v>-1.03</v>
      </c>
      <c r="BI199">
        <v>20191226</v>
      </c>
      <c r="BJ199">
        <v>19961118</v>
      </c>
      <c r="BK199">
        <v>3.11</v>
      </c>
      <c r="BL199" t="s">
        <v>116</v>
      </c>
      <c r="BM199" t="s">
        <v>116</v>
      </c>
      <c r="BN199">
        <v>49.97</v>
      </c>
      <c r="BO199">
        <v>9.2899999999999991</v>
      </c>
      <c r="BP199">
        <v>0.79</v>
      </c>
      <c r="BQ199">
        <v>79.84</v>
      </c>
      <c r="BR199">
        <v>45.43</v>
      </c>
      <c r="BS199">
        <v>1.19</v>
      </c>
      <c r="BT199">
        <v>0.47</v>
      </c>
      <c r="BU199">
        <v>39.17</v>
      </c>
      <c r="BV199">
        <v>10.27</v>
      </c>
      <c r="BW199">
        <v>8.85</v>
      </c>
      <c r="BX199">
        <v>7.29</v>
      </c>
      <c r="BY199">
        <v>16.39</v>
      </c>
      <c r="BZ199">
        <v>14.31</v>
      </c>
      <c r="CA199">
        <v>0.66</v>
      </c>
      <c r="CB199">
        <v>7.0000000000000007E-2</v>
      </c>
      <c r="CC199">
        <v>0.67</v>
      </c>
      <c r="CD199">
        <v>0.47</v>
      </c>
      <c r="CE199">
        <v>0.44</v>
      </c>
      <c r="CF199">
        <v>0.44</v>
      </c>
      <c r="CG199">
        <v>-1.37</v>
      </c>
      <c r="CH199">
        <v>0.76</v>
      </c>
      <c r="CI199">
        <v>-0.03</v>
      </c>
      <c r="CJ199">
        <v>25595</v>
      </c>
      <c r="CK199">
        <v>6293</v>
      </c>
      <c r="CL199" t="s">
        <v>1506</v>
      </c>
      <c r="CM199">
        <v>224.2</v>
      </c>
      <c r="CN199">
        <v>217.99</v>
      </c>
      <c r="CO199">
        <v>3.2</v>
      </c>
      <c r="CP199">
        <v>39.29</v>
      </c>
      <c r="CQ199">
        <v>1.81</v>
      </c>
      <c r="CR199">
        <v>0</v>
      </c>
      <c r="CS199" t="s">
        <v>1388</v>
      </c>
      <c r="CT199">
        <v>2.98</v>
      </c>
      <c r="CU199">
        <v>0</v>
      </c>
      <c r="CV199">
        <v>2.34</v>
      </c>
      <c r="CW199">
        <v>-0.44</v>
      </c>
      <c r="CX199">
        <v>0.24</v>
      </c>
      <c r="CY199">
        <v>18.579999999999998</v>
      </c>
      <c r="CZ199" t="s">
        <v>1507</v>
      </c>
      <c r="DA199">
        <v>12.72</v>
      </c>
      <c r="DB199">
        <v>4.04</v>
      </c>
      <c r="DC199">
        <v>2.7</v>
      </c>
      <c r="DD199">
        <v>0</v>
      </c>
      <c r="DE199">
        <v>897</v>
      </c>
      <c r="DF199">
        <v>628</v>
      </c>
      <c r="DG199" t="s">
        <v>116</v>
      </c>
      <c r="DH199" t="s">
        <v>116</v>
      </c>
      <c r="DI199" t="s">
        <v>116</v>
      </c>
    </row>
    <row r="200" spans="1:113" x14ac:dyDescent="0.4">
      <c r="A200" t="str">
        <f>"000629"</f>
        <v>000629</v>
      </c>
      <c r="B200" t="s">
        <v>1508</v>
      </c>
      <c r="C200">
        <v>1.39</v>
      </c>
      <c r="D200">
        <v>2.92</v>
      </c>
      <c r="E200">
        <v>0.04</v>
      </c>
      <c r="F200">
        <v>2.92</v>
      </c>
      <c r="G200">
        <v>2.93</v>
      </c>
      <c r="H200">
        <v>608746</v>
      </c>
      <c r="I200">
        <v>5246</v>
      </c>
      <c r="J200">
        <v>0</v>
      </c>
      <c r="K200">
        <v>1.28</v>
      </c>
      <c r="L200">
        <v>2.88</v>
      </c>
      <c r="M200">
        <v>3.02</v>
      </c>
      <c r="N200">
        <v>2.87</v>
      </c>
      <c r="O200">
        <v>2.88</v>
      </c>
      <c r="P200">
        <v>13.34</v>
      </c>
      <c r="Q200">
        <v>179479984</v>
      </c>
      <c r="R200">
        <v>2.72</v>
      </c>
      <c r="S200" t="s">
        <v>1509</v>
      </c>
      <c r="T200" t="s">
        <v>582</v>
      </c>
      <c r="U200">
        <v>5.21</v>
      </c>
      <c r="V200">
        <v>2.95</v>
      </c>
      <c r="W200">
        <v>231325</v>
      </c>
      <c r="X200">
        <v>377421</v>
      </c>
      <c r="Y200">
        <v>0.61</v>
      </c>
      <c r="Z200">
        <v>971</v>
      </c>
      <c r="AA200">
        <v>8225</v>
      </c>
      <c r="AB200" t="s">
        <v>116</v>
      </c>
      <c r="AC200">
        <v>305600</v>
      </c>
      <c r="AD200">
        <v>0</v>
      </c>
      <c r="AE200" t="s">
        <v>116</v>
      </c>
      <c r="AF200" t="s">
        <v>116</v>
      </c>
      <c r="AG200">
        <v>47.67</v>
      </c>
      <c r="AH200" t="s">
        <v>1510</v>
      </c>
      <c r="AI200" t="s">
        <v>1511</v>
      </c>
      <c r="AJ200">
        <v>2.0699999999999998</v>
      </c>
      <c r="AK200">
        <v>3457</v>
      </c>
      <c r="AL200">
        <v>176</v>
      </c>
      <c r="AM200">
        <v>4.0000000000000002E-4</v>
      </c>
      <c r="AN200">
        <v>2</v>
      </c>
      <c r="AO200">
        <v>1.39</v>
      </c>
      <c r="AP200">
        <v>4.66</v>
      </c>
      <c r="AQ200">
        <v>-2.99</v>
      </c>
      <c r="AR200">
        <v>-2.67</v>
      </c>
      <c r="AS200">
        <v>1.72</v>
      </c>
      <c r="AT200" t="s">
        <v>1512</v>
      </c>
      <c r="AU200">
        <v>10.23</v>
      </c>
      <c r="AV200">
        <v>8.1199999999999992</v>
      </c>
      <c r="AW200">
        <v>0.33</v>
      </c>
      <c r="BA200">
        <v>0</v>
      </c>
      <c r="BB200">
        <v>4.8600000000000003</v>
      </c>
      <c r="BC200">
        <v>-0.35</v>
      </c>
      <c r="BD200">
        <v>2.37</v>
      </c>
      <c r="BE200">
        <v>1.39</v>
      </c>
      <c r="BF200">
        <v>-3.31</v>
      </c>
      <c r="BG200">
        <v>1.74</v>
      </c>
      <c r="BH200">
        <v>-0.98</v>
      </c>
      <c r="BI200">
        <v>20191212</v>
      </c>
      <c r="BJ200">
        <v>19961115</v>
      </c>
      <c r="BK200">
        <v>85.9</v>
      </c>
      <c r="BL200" t="s">
        <v>116</v>
      </c>
      <c r="BM200" t="s">
        <v>116</v>
      </c>
      <c r="BN200">
        <v>133.94</v>
      </c>
      <c r="BO200">
        <v>94.51</v>
      </c>
      <c r="BP200">
        <v>2.92</v>
      </c>
      <c r="BQ200">
        <v>27.25</v>
      </c>
      <c r="BR200">
        <v>66.209999999999994</v>
      </c>
      <c r="BS200">
        <v>42.73</v>
      </c>
      <c r="BT200">
        <v>3.13</v>
      </c>
      <c r="BU200">
        <v>31.33</v>
      </c>
      <c r="BV200">
        <v>8.1</v>
      </c>
      <c r="BW200">
        <v>1.6</v>
      </c>
      <c r="BX200">
        <v>56.67</v>
      </c>
      <c r="BY200">
        <v>103.8</v>
      </c>
      <c r="BZ200">
        <v>81.86</v>
      </c>
      <c r="CA200">
        <v>14.6</v>
      </c>
      <c r="CB200">
        <v>0.33</v>
      </c>
      <c r="CC200">
        <v>14.58</v>
      </c>
      <c r="CD200">
        <v>14.38</v>
      </c>
      <c r="CE200">
        <v>14.1</v>
      </c>
      <c r="CF200">
        <v>14.02</v>
      </c>
      <c r="CG200">
        <v>-67.69</v>
      </c>
      <c r="CH200">
        <v>19.96</v>
      </c>
      <c r="CI200">
        <v>14.96</v>
      </c>
      <c r="CJ200">
        <v>256000</v>
      </c>
      <c r="CK200">
        <v>13861</v>
      </c>
      <c r="CL200" t="s">
        <v>1513</v>
      </c>
      <c r="CM200">
        <v>-31.13</v>
      </c>
      <c r="CN200">
        <v>-2.69</v>
      </c>
      <c r="CO200">
        <v>2.65</v>
      </c>
      <c r="CP200">
        <v>12.57</v>
      </c>
      <c r="CQ200">
        <v>2.42</v>
      </c>
      <c r="CR200">
        <v>0</v>
      </c>
      <c r="CS200" t="s">
        <v>1514</v>
      </c>
      <c r="CT200">
        <v>1.1000000000000001</v>
      </c>
      <c r="CU200">
        <v>0</v>
      </c>
      <c r="CV200">
        <v>0.66</v>
      </c>
      <c r="CW200">
        <v>-0.79</v>
      </c>
      <c r="CX200">
        <v>0.23</v>
      </c>
      <c r="CY200">
        <v>70.56</v>
      </c>
      <c r="CZ200" t="s">
        <v>1515</v>
      </c>
      <c r="DA200">
        <v>21.14</v>
      </c>
      <c r="DB200">
        <v>14.07</v>
      </c>
      <c r="DC200">
        <v>13.59</v>
      </c>
      <c r="DD200">
        <v>2.5099999999999998</v>
      </c>
      <c r="DE200">
        <v>3391</v>
      </c>
      <c r="DF200">
        <v>629</v>
      </c>
      <c r="DG200" t="s">
        <v>116</v>
      </c>
      <c r="DH200" t="s">
        <v>116</v>
      </c>
      <c r="DI200" t="s">
        <v>116</v>
      </c>
    </row>
    <row r="201" spans="1:113" x14ac:dyDescent="0.4">
      <c r="A201" t="str">
        <f>"000630"</f>
        <v>000630</v>
      </c>
      <c r="B201" t="s">
        <v>1516</v>
      </c>
      <c r="C201">
        <v>3.1</v>
      </c>
      <c r="D201">
        <v>2.33</v>
      </c>
      <c r="E201">
        <v>7.0000000000000007E-2</v>
      </c>
      <c r="F201">
        <v>2.3199999999999998</v>
      </c>
      <c r="G201">
        <v>2.33</v>
      </c>
      <c r="H201">
        <v>2118094</v>
      </c>
      <c r="I201">
        <v>9455</v>
      </c>
      <c r="J201">
        <v>0</v>
      </c>
      <c r="K201">
        <v>2.2200000000000002</v>
      </c>
      <c r="L201">
        <v>2.25</v>
      </c>
      <c r="M201">
        <v>2.4</v>
      </c>
      <c r="N201">
        <v>2.25</v>
      </c>
      <c r="O201">
        <v>2.2599999999999998</v>
      </c>
      <c r="P201">
        <v>26.46</v>
      </c>
      <c r="Q201">
        <v>490484352</v>
      </c>
      <c r="R201">
        <v>2.5299999999999998</v>
      </c>
      <c r="S201" t="s">
        <v>1517</v>
      </c>
      <c r="T201" t="s">
        <v>575</v>
      </c>
      <c r="U201">
        <v>6.64</v>
      </c>
      <c r="V201">
        <v>2.3199999999999998</v>
      </c>
      <c r="W201">
        <v>856678</v>
      </c>
      <c r="X201">
        <v>1261416</v>
      </c>
      <c r="Y201">
        <v>0.68</v>
      </c>
      <c r="Z201">
        <v>8990</v>
      </c>
      <c r="AA201">
        <v>33957</v>
      </c>
      <c r="AB201" t="s">
        <v>116</v>
      </c>
      <c r="AC201">
        <v>4473300</v>
      </c>
      <c r="AD201">
        <v>0.03</v>
      </c>
      <c r="AE201" t="s">
        <v>116</v>
      </c>
      <c r="AF201" t="s">
        <v>116</v>
      </c>
      <c r="AG201">
        <v>95.61</v>
      </c>
      <c r="AH201" t="s">
        <v>1518</v>
      </c>
      <c r="AI201" t="s">
        <v>1519</v>
      </c>
      <c r="AJ201">
        <v>3.78</v>
      </c>
      <c r="AK201">
        <v>4138</v>
      </c>
      <c r="AL201">
        <v>512</v>
      </c>
      <c r="AM201">
        <v>5.0000000000000001E-4</v>
      </c>
      <c r="AN201">
        <v>2</v>
      </c>
      <c r="AO201">
        <v>3.56</v>
      </c>
      <c r="AP201">
        <v>9.39</v>
      </c>
      <c r="AQ201">
        <v>6.39</v>
      </c>
      <c r="AR201">
        <v>20.100000000000001</v>
      </c>
      <c r="AS201">
        <v>3.66</v>
      </c>
      <c r="AT201" t="s">
        <v>1520</v>
      </c>
      <c r="AU201">
        <v>33.08</v>
      </c>
      <c r="AV201">
        <v>34.6</v>
      </c>
      <c r="AW201">
        <v>0.46</v>
      </c>
      <c r="BA201">
        <v>-0.44</v>
      </c>
      <c r="BB201">
        <v>6.19</v>
      </c>
      <c r="BC201">
        <v>-0.44</v>
      </c>
      <c r="BD201">
        <v>2.46</v>
      </c>
      <c r="BE201">
        <v>3.56</v>
      </c>
      <c r="BF201">
        <v>-2.92</v>
      </c>
      <c r="BG201">
        <v>3.56</v>
      </c>
      <c r="BH201">
        <v>0.63</v>
      </c>
      <c r="BI201">
        <v>20191122</v>
      </c>
      <c r="BJ201">
        <v>19961120</v>
      </c>
      <c r="BK201">
        <v>105.27</v>
      </c>
      <c r="BL201" t="s">
        <v>116</v>
      </c>
      <c r="BM201" t="s">
        <v>116</v>
      </c>
      <c r="BN201">
        <v>484.71</v>
      </c>
      <c r="BO201">
        <v>181.55</v>
      </c>
      <c r="BP201">
        <v>16.36</v>
      </c>
      <c r="BQ201">
        <v>59.17</v>
      </c>
      <c r="BR201">
        <v>245.62</v>
      </c>
      <c r="BS201">
        <v>172.66</v>
      </c>
      <c r="BT201">
        <v>23.11</v>
      </c>
      <c r="BU201">
        <v>240.97</v>
      </c>
      <c r="BV201">
        <v>113.87</v>
      </c>
      <c r="BW201">
        <v>14.26</v>
      </c>
      <c r="BX201">
        <v>24.86</v>
      </c>
      <c r="BY201">
        <v>697.75</v>
      </c>
      <c r="BZ201">
        <v>667.71</v>
      </c>
      <c r="CA201">
        <v>11.12</v>
      </c>
      <c r="CB201">
        <v>1.44</v>
      </c>
      <c r="CC201">
        <v>11.06</v>
      </c>
      <c r="CD201">
        <v>8.33</v>
      </c>
      <c r="CE201">
        <v>6.95</v>
      </c>
      <c r="CF201">
        <v>6.19</v>
      </c>
      <c r="CG201">
        <v>39.58</v>
      </c>
      <c r="CH201">
        <v>25.63</v>
      </c>
      <c r="CI201">
        <v>-6.33</v>
      </c>
      <c r="CJ201">
        <v>392570</v>
      </c>
      <c r="CK201">
        <v>14723</v>
      </c>
      <c r="CL201" t="s">
        <v>1521</v>
      </c>
      <c r="CM201">
        <v>4.93</v>
      </c>
      <c r="CN201">
        <v>13.74</v>
      </c>
      <c r="CO201">
        <v>1.35</v>
      </c>
      <c r="CP201">
        <v>9.57</v>
      </c>
      <c r="CQ201">
        <v>0.35</v>
      </c>
      <c r="CR201">
        <v>1.29</v>
      </c>
      <c r="CS201" t="s">
        <v>1522</v>
      </c>
      <c r="CT201">
        <v>1.72</v>
      </c>
      <c r="CU201">
        <v>0</v>
      </c>
      <c r="CV201">
        <v>0.24</v>
      </c>
      <c r="CW201">
        <v>0.38</v>
      </c>
      <c r="CX201">
        <v>0.24</v>
      </c>
      <c r="CY201">
        <v>37.46</v>
      </c>
      <c r="CZ201" t="s">
        <v>1523</v>
      </c>
      <c r="DA201">
        <v>4.3</v>
      </c>
      <c r="DB201">
        <v>1.59</v>
      </c>
      <c r="DC201">
        <v>1</v>
      </c>
      <c r="DD201">
        <v>0.93</v>
      </c>
      <c r="DE201">
        <v>15795</v>
      </c>
      <c r="DF201">
        <v>630</v>
      </c>
      <c r="DG201" t="s">
        <v>116</v>
      </c>
      <c r="DH201" t="s">
        <v>116</v>
      </c>
      <c r="DI201" t="s">
        <v>116</v>
      </c>
    </row>
    <row r="202" spans="1:113" x14ac:dyDescent="0.4">
      <c r="A202" t="str">
        <f>"000631"</f>
        <v>000631</v>
      </c>
      <c r="B202" t="s">
        <v>1524</v>
      </c>
      <c r="C202">
        <v>0.73</v>
      </c>
      <c r="D202">
        <v>2.77</v>
      </c>
      <c r="E202">
        <v>0.02</v>
      </c>
      <c r="F202">
        <v>2.77</v>
      </c>
      <c r="G202">
        <v>2.78</v>
      </c>
      <c r="H202">
        <v>70378</v>
      </c>
      <c r="I202">
        <v>1393</v>
      </c>
      <c r="J202">
        <v>0.36</v>
      </c>
      <c r="K202">
        <v>0.28999999999999998</v>
      </c>
      <c r="L202">
        <v>2.75</v>
      </c>
      <c r="M202">
        <v>2.82</v>
      </c>
      <c r="N202">
        <v>2.74</v>
      </c>
      <c r="O202">
        <v>2.75</v>
      </c>
      <c r="P202">
        <v>9.42</v>
      </c>
      <c r="Q202">
        <v>19585746</v>
      </c>
      <c r="R202">
        <v>1.36</v>
      </c>
      <c r="S202" t="s">
        <v>148</v>
      </c>
      <c r="T202" t="s">
        <v>294</v>
      </c>
      <c r="U202">
        <v>2.91</v>
      </c>
      <c r="V202">
        <v>2.78</v>
      </c>
      <c r="W202">
        <v>31014</v>
      </c>
      <c r="X202">
        <v>39364</v>
      </c>
      <c r="Y202">
        <v>0.79</v>
      </c>
      <c r="Z202">
        <v>598</v>
      </c>
      <c r="AA202">
        <v>1361</v>
      </c>
      <c r="AB202" t="s">
        <v>116</v>
      </c>
      <c r="AC202">
        <v>10200</v>
      </c>
      <c r="AD202">
        <v>0</v>
      </c>
      <c r="AE202" t="s">
        <v>116</v>
      </c>
      <c r="AF202" t="s">
        <v>116</v>
      </c>
      <c r="AG202">
        <v>24.33</v>
      </c>
      <c r="AH202" t="s">
        <v>1525</v>
      </c>
      <c r="AI202" t="s">
        <v>1525</v>
      </c>
      <c r="AJ202">
        <v>1.41</v>
      </c>
      <c r="AK202">
        <v>496</v>
      </c>
      <c r="AL202">
        <v>142</v>
      </c>
      <c r="AM202">
        <v>5.9999999999999995E-4</v>
      </c>
      <c r="AN202">
        <v>2</v>
      </c>
      <c r="AO202">
        <v>1.1000000000000001</v>
      </c>
      <c r="AP202">
        <v>2.59</v>
      </c>
      <c r="AQ202">
        <v>0.73</v>
      </c>
      <c r="AR202">
        <v>0</v>
      </c>
      <c r="AS202">
        <v>1.04</v>
      </c>
      <c r="AT202" t="s">
        <v>1526</v>
      </c>
      <c r="AU202">
        <v>9.59</v>
      </c>
      <c r="AV202">
        <v>6.56</v>
      </c>
      <c r="AW202">
        <v>0.53</v>
      </c>
      <c r="BA202">
        <v>0</v>
      </c>
      <c r="BB202">
        <v>2.5499999999999998</v>
      </c>
      <c r="BC202">
        <v>-0.36</v>
      </c>
      <c r="BD202">
        <v>1.2</v>
      </c>
      <c r="BE202">
        <v>0.73</v>
      </c>
      <c r="BF202">
        <v>-1.77</v>
      </c>
      <c r="BG202">
        <v>1.0900000000000001</v>
      </c>
      <c r="BH202">
        <v>-0.47</v>
      </c>
      <c r="BI202">
        <v>20191223</v>
      </c>
      <c r="BJ202">
        <v>19961122</v>
      </c>
      <c r="BK202">
        <v>24.33</v>
      </c>
      <c r="BL202" t="s">
        <v>116</v>
      </c>
      <c r="BM202" t="s">
        <v>116</v>
      </c>
      <c r="BN202">
        <v>84.54</v>
      </c>
      <c r="BO202">
        <v>64.42</v>
      </c>
      <c r="BP202">
        <v>0.44</v>
      </c>
      <c r="BQ202">
        <v>23.28</v>
      </c>
      <c r="BR202">
        <v>74.150000000000006</v>
      </c>
      <c r="BS202">
        <v>0.57999999999999996</v>
      </c>
      <c r="BT202">
        <v>0</v>
      </c>
      <c r="BU202">
        <v>16.41</v>
      </c>
      <c r="BV202">
        <v>7.84</v>
      </c>
      <c r="BW202">
        <v>0.17</v>
      </c>
      <c r="BX202">
        <v>13.9</v>
      </c>
      <c r="BY202">
        <v>14.61</v>
      </c>
      <c r="BZ202">
        <v>8.99</v>
      </c>
      <c r="CA202">
        <v>7.07</v>
      </c>
      <c r="CB202">
        <v>2.2400000000000002</v>
      </c>
      <c r="CC202">
        <v>7.1</v>
      </c>
      <c r="CD202">
        <v>5.79</v>
      </c>
      <c r="CE202">
        <v>5.37</v>
      </c>
      <c r="CF202">
        <v>5.03</v>
      </c>
      <c r="CG202">
        <v>21.7</v>
      </c>
      <c r="CH202">
        <v>2.86</v>
      </c>
      <c r="CI202">
        <v>-34.17</v>
      </c>
      <c r="CJ202">
        <v>32178</v>
      </c>
      <c r="CK202">
        <v>20960</v>
      </c>
      <c r="CL202" t="s">
        <v>1527</v>
      </c>
      <c r="CM202">
        <v>-37.700000000000003</v>
      </c>
      <c r="CN202">
        <v>-22.58</v>
      </c>
      <c r="CO202">
        <v>1.05</v>
      </c>
      <c r="CP202">
        <v>23.53</v>
      </c>
      <c r="CQ202">
        <v>4.6100000000000003</v>
      </c>
      <c r="CR202">
        <v>7.22</v>
      </c>
      <c r="CS202" t="s">
        <v>1528</v>
      </c>
      <c r="CT202">
        <v>2.65</v>
      </c>
      <c r="CU202">
        <v>0</v>
      </c>
      <c r="CV202">
        <v>0.56999999999999995</v>
      </c>
      <c r="CW202">
        <v>0.89</v>
      </c>
      <c r="CX202">
        <v>0.12</v>
      </c>
      <c r="CY202">
        <v>76.2</v>
      </c>
      <c r="CZ202" t="s">
        <v>1529</v>
      </c>
      <c r="DA202">
        <v>38.46</v>
      </c>
      <c r="DB202">
        <v>48.42</v>
      </c>
      <c r="DC202">
        <v>36.74</v>
      </c>
      <c r="DD202">
        <v>0</v>
      </c>
      <c r="DE202">
        <v>760</v>
      </c>
      <c r="DF202">
        <v>631</v>
      </c>
      <c r="DG202" t="s">
        <v>116</v>
      </c>
      <c r="DH202" t="s">
        <v>116</v>
      </c>
      <c r="DI202" t="s">
        <v>116</v>
      </c>
    </row>
    <row r="203" spans="1:113" x14ac:dyDescent="0.4">
      <c r="A203" t="str">
        <f>"000632"</f>
        <v>000632</v>
      </c>
      <c r="B203" t="s">
        <v>1530</v>
      </c>
      <c r="C203">
        <v>-0.97</v>
      </c>
      <c r="D203">
        <v>6.15</v>
      </c>
      <c r="E203">
        <v>-0.06</v>
      </c>
      <c r="F203">
        <v>6.15</v>
      </c>
      <c r="G203">
        <v>6.17</v>
      </c>
      <c r="H203">
        <v>15610</v>
      </c>
      <c r="I203">
        <v>682</v>
      </c>
      <c r="J203">
        <v>-0.15</v>
      </c>
      <c r="K203">
        <v>0.34</v>
      </c>
      <c r="L203">
        <v>6.18</v>
      </c>
      <c r="M203">
        <v>6.23</v>
      </c>
      <c r="N203">
        <v>6.15</v>
      </c>
      <c r="O203">
        <v>6.21</v>
      </c>
      <c r="P203">
        <v>106.24</v>
      </c>
      <c r="Q203">
        <v>9658890</v>
      </c>
      <c r="R203">
        <v>1</v>
      </c>
      <c r="S203" t="s">
        <v>173</v>
      </c>
      <c r="T203" t="s">
        <v>975</v>
      </c>
      <c r="U203">
        <v>1.29</v>
      </c>
      <c r="V203">
        <v>6.19</v>
      </c>
      <c r="W203">
        <v>8546</v>
      </c>
      <c r="X203">
        <v>7064</v>
      </c>
      <c r="Y203">
        <v>1.21</v>
      </c>
      <c r="Z203">
        <v>358</v>
      </c>
      <c r="AA203">
        <v>17</v>
      </c>
      <c r="AB203" t="s">
        <v>116</v>
      </c>
      <c r="AC203">
        <v>17300</v>
      </c>
      <c r="AD203">
        <v>0</v>
      </c>
      <c r="AE203" t="s">
        <v>116</v>
      </c>
      <c r="AF203" t="s">
        <v>116</v>
      </c>
      <c r="AG203">
        <v>4.6500000000000004</v>
      </c>
      <c r="AH203" t="s">
        <v>1531</v>
      </c>
      <c r="AI203" t="s">
        <v>1531</v>
      </c>
      <c r="AJ203">
        <v>-0.28999999999999998</v>
      </c>
      <c r="AK203">
        <v>373</v>
      </c>
      <c r="AL203">
        <v>42</v>
      </c>
      <c r="AM203">
        <v>8.9999999999999998E-4</v>
      </c>
      <c r="AN203">
        <v>-5</v>
      </c>
      <c r="AO203">
        <v>-1.76</v>
      </c>
      <c r="AP203">
        <v>0.49</v>
      </c>
      <c r="AQ203">
        <v>-0.97</v>
      </c>
      <c r="AR203">
        <v>59.33</v>
      </c>
      <c r="AS203">
        <v>0.48</v>
      </c>
      <c r="AT203" t="s">
        <v>576</v>
      </c>
      <c r="AU203">
        <v>75.27</v>
      </c>
      <c r="AV203">
        <v>86.43</v>
      </c>
      <c r="AW203">
        <v>0.65</v>
      </c>
      <c r="BA203">
        <v>-0.48</v>
      </c>
      <c r="BB203">
        <v>0.32</v>
      </c>
      <c r="BC203">
        <v>-0.97</v>
      </c>
      <c r="BD203">
        <v>-0.36</v>
      </c>
      <c r="BE203">
        <v>-0.49</v>
      </c>
      <c r="BF203">
        <v>-1.28</v>
      </c>
      <c r="BG203">
        <v>0</v>
      </c>
      <c r="BH203">
        <v>-0.61</v>
      </c>
      <c r="BI203">
        <v>20191223</v>
      </c>
      <c r="BJ203">
        <v>19961121</v>
      </c>
      <c r="BK203">
        <v>4.66</v>
      </c>
      <c r="BL203" t="s">
        <v>116</v>
      </c>
      <c r="BM203" t="s">
        <v>116</v>
      </c>
      <c r="BN203">
        <v>83.37</v>
      </c>
      <c r="BO203">
        <v>13.25</v>
      </c>
      <c r="BP203">
        <v>3.6</v>
      </c>
      <c r="BQ203">
        <v>79.790000000000006</v>
      </c>
      <c r="BR203">
        <v>55.44</v>
      </c>
      <c r="BS203">
        <v>5.27</v>
      </c>
      <c r="BT203">
        <v>0.03</v>
      </c>
      <c r="BU203">
        <v>47.76</v>
      </c>
      <c r="BV203">
        <v>24.72</v>
      </c>
      <c r="BW203">
        <v>1.28</v>
      </c>
      <c r="BX203">
        <v>0</v>
      </c>
      <c r="BY203">
        <v>44.41</v>
      </c>
      <c r="BZ203">
        <v>40.51</v>
      </c>
      <c r="CA203">
        <v>0.9</v>
      </c>
      <c r="CB203">
        <v>-0.23</v>
      </c>
      <c r="CC203">
        <v>0.89</v>
      </c>
      <c r="CD203">
        <v>0.49</v>
      </c>
      <c r="CE203">
        <v>0.2</v>
      </c>
      <c r="CF203">
        <v>0.21</v>
      </c>
      <c r="CG203">
        <v>2.15</v>
      </c>
      <c r="CH203">
        <v>11.96</v>
      </c>
      <c r="CI203">
        <v>1</v>
      </c>
      <c r="CJ203">
        <v>24776</v>
      </c>
      <c r="CK203">
        <v>13019</v>
      </c>
      <c r="CL203" t="s">
        <v>1532</v>
      </c>
      <c r="CM203">
        <v>32.11</v>
      </c>
      <c r="CN203">
        <v>-15.2</v>
      </c>
      <c r="CO203">
        <v>2.16</v>
      </c>
      <c r="CP203">
        <v>2.39</v>
      </c>
      <c r="CQ203">
        <v>0.64</v>
      </c>
      <c r="CR203">
        <v>0</v>
      </c>
      <c r="CS203" t="s">
        <v>1533</v>
      </c>
      <c r="CT203">
        <v>2.85</v>
      </c>
      <c r="CU203">
        <v>0</v>
      </c>
      <c r="CV203">
        <v>0</v>
      </c>
      <c r="CW203">
        <v>0.46</v>
      </c>
      <c r="CX203">
        <v>2.57</v>
      </c>
      <c r="CY203">
        <v>15.89</v>
      </c>
      <c r="CZ203" t="s">
        <v>1534</v>
      </c>
      <c r="DA203">
        <v>8.7899999999999991</v>
      </c>
      <c r="DB203">
        <v>2.0299999999999998</v>
      </c>
      <c r="DC203">
        <v>0.46</v>
      </c>
      <c r="DD203">
        <v>0</v>
      </c>
      <c r="DE203">
        <v>651</v>
      </c>
      <c r="DF203">
        <v>632</v>
      </c>
      <c r="DG203" t="s">
        <v>116</v>
      </c>
      <c r="DH203" t="s">
        <v>116</v>
      </c>
      <c r="DI203" t="s">
        <v>116</v>
      </c>
    </row>
    <row r="204" spans="1:113" x14ac:dyDescent="0.4">
      <c r="A204" t="str">
        <f>"000633"</f>
        <v>000633</v>
      </c>
      <c r="B204" t="s">
        <v>1535</v>
      </c>
      <c r="C204">
        <v>0.72</v>
      </c>
      <c r="D204">
        <v>4.1900000000000004</v>
      </c>
      <c r="E204">
        <v>0.03</v>
      </c>
      <c r="F204">
        <v>4.1900000000000004</v>
      </c>
      <c r="G204">
        <v>4.2</v>
      </c>
      <c r="H204">
        <v>73697</v>
      </c>
      <c r="I204">
        <v>829</v>
      </c>
      <c r="J204">
        <v>0</v>
      </c>
      <c r="K204">
        <v>1.91</v>
      </c>
      <c r="L204">
        <v>4.16</v>
      </c>
      <c r="M204">
        <v>4.2699999999999996</v>
      </c>
      <c r="N204">
        <v>4.16</v>
      </c>
      <c r="O204">
        <v>4.16</v>
      </c>
      <c r="P204" t="s">
        <v>116</v>
      </c>
      <c r="Q204">
        <v>31027548</v>
      </c>
      <c r="R204">
        <v>1.7</v>
      </c>
      <c r="S204" t="s">
        <v>173</v>
      </c>
      <c r="T204" t="s">
        <v>616</v>
      </c>
      <c r="U204">
        <v>2.64</v>
      </c>
      <c r="V204">
        <v>4.21</v>
      </c>
      <c r="W204">
        <v>29206</v>
      </c>
      <c r="X204">
        <v>44491</v>
      </c>
      <c r="Y204">
        <v>0.66</v>
      </c>
      <c r="Z204">
        <v>80</v>
      </c>
      <c r="AA204">
        <v>1201</v>
      </c>
      <c r="AB204" t="s">
        <v>116</v>
      </c>
      <c r="AC204">
        <v>21600</v>
      </c>
      <c r="AD204">
        <v>0</v>
      </c>
      <c r="AE204" t="s">
        <v>116</v>
      </c>
      <c r="AF204" t="s">
        <v>116</v>
      </c>
      <c r="AG204">
        <v>3.85</v>
      </c>
      <c r="AH204" t="s">
        <v>1536</v>
      </c>
      <c r="AI204" t="s">
        <v>1536</v>
      </c>
      <c r="AJ204">
        <v>1.4</v>
      </c>
      <c r="AK204">
        <v>1026</v>
      </c>
      <c r="AL204">
        <v>72</v>
      </c>
      <c r="AM204">
        <v>1.9E-3</v>
      </c>
      <c r="AN204">
        <v>2</v>
      </c>
      <c r="AO204">
        <v>1.94</v>
      </c>
      <c r="AP204">
        <v>7.99</v>
      </c>
      <c r="AQ204">
        <v>0</v>
      </c>
      <c r="AR204">
        <v>-8.7100000000000009</v>
      </c>
      <c r="AS204">
        <v>2.91</v>
      </c>
      <c r="AT204" t="s">
        <v>1537</v>
      </c>
      <c r="AU204">
        <v>278.01</v>
      </c>
      <c r="AV204">
        <v>329.78</v>
      </c>
      <c r="AW204">
        <v>1.4</v>
      </c>
      <c r="BA204">
        <v>0</v>
      </c>
      <c r="BB204">
        <v>2.64</v>
      </c>
      <c r="BC204">
        <v>0</v>
      </c>
      <c r="BD204">
        <v>1.21</v>
      </c>
      <c r="BE204">
        <v>0.72</v>
      </c>
      <c r="BF204">
        <v>-1.87</v>
      </c>
      <c r="BG204">
        <v>0.72</v>
      </c>
      <c r="BH204">
        <v>-0.48</v>
      </c>
      <c r="BI204">
        <v>20191026</v>
      </c>
      <c r="BJ204">
        <v>19961112</v>
      </c>
      <c r="BK204">
        <v>3.85</v>
      </c>
      <c r="BL204" t="s">
        <v>116</v>
      </c>
      <c r="BM204" t="s">
        <v>116</v>
      </c>
      <c r="BN204">
        <v>11.01</v>
      </c>
      <c r="BO204">
        <v>1.55</v>
      </c>
      <c r="BP204">
        <v>0.24</v>
      </c>
      <c r="BQ204">
        <v>83.75</v>
      </c>
      <c r="BR204">
        <v>1.1599999999999999</v>
      </c>
      <c r="BS204">
        <v>0.97</v>
      </c>
      <c r="BT204">
        <v>0.14000000000000001</v>
      </c>
      <c r="BU204">
        <v>1.27</v>
      </c>
      <c r="BV204">
        <v>0.26</v>
      </c>
      <c r="BW204">
        <v>0.27</v>
      </c>
      <c r="BX204">
        <v>0.48</v>
      </c>
      <c r="BY204">
        <v>0.71</v>
      </c>
      <c r="BZ204">
        <v>0.56000000000000005</v>
      </c>
      <c r="CA204">
        <v>-0.13</v>
      </c>
      <c r="CB204">
        <v>0</v>
      </c>
      <c r="CC204">
        <v>-0.12</v>
      </c>
      <c r="CD204">
        <v>-0.12</v>
      </c>
      <c r="CE204">
        <v>-0.08</v>
      </c>
      <c r="CF204">
        <v>-0.1</v>
      </c>
      <c r="CG204">
        <v>-3.43</v>
      </c>
      <c r="CH204">
        <v>-0.52</v>
      </c>
      <c r="CI204">
        <v>-0.28000000000000003</v>
      </c>
      <c r="CJ204">
        <v>26271</v>
      </c>
      <c r="CK204">
        <v>9649</v>
      </c>
      <c r="CL204" t="s">
        <v>992</v>
      </c>
      <c r="CM204">
        <v>9.85</v>
      </c>
      <c r="CN204">
        <v>8.0299999999999994</v>
      </c>
      <c r="CO204">
        <v>10.41</v>
      </c>
      <c r="CP204">
        <v>-31.07</v>
      </c>
      <c r="CQ204">
        <v>22.66</v>
      </c>
      <c r="CR204">
        <v>0</v>
      </c>
      <c r="CS204" t="s">
        <v>1538</v>
      </c>
      <c r="CT204">
        <v>0.4</v>
      </c>
      <c r="CU204">
        <v>0</v>
      </c>
      <c r="CV204">
        <v>0.12</v>
      </c>
      <c r="CW204">
        <v>-0.89</v>
      </c>
      <c r="CX204">
        <v>-0.13</v>
      </c>
      <c r="CY204">
        <v>14.07</v>
      </c>
      <c r="CZ204" t="s">
        <v>1539</v>
      </c>
      <c r="DA204">
        <v>21.88</v>
      </c>
      <c r="DB204">
        <v>-18.420000000000002</v>
      </c>
      <c r="DC204">
        <v>-11.71</v>
      </c>
      <c r="DD204">
        <v>0</v>
      </c>
      <c r="DE204">
        <v>246</v>
      </c>
      <c r="DF204">
        <v>633</v>
      </c>
      <c r="DG204" t="s">
        <v>116</v>
      </c>
      <c r="DH204" t="s">
        <v>116</v>
      </c>
      <c r="DI204" t="s">
        <v>116</v>
      </c>
    </row>
    <row r="205" spans="1:113" x14ac:dyDescent="0.4">
      <c r="A205" t="str">
        <f>"000635"</f>
        <v>000635</v>
      </c>
      <c r="B205" t="s">
        <v>1540</v>
      </c>
      <c r="C205">
        <v>-3.18</v>
      </c>
      <c r="D205">
        <v>7.91</v>
      </c>
      <c r="E205">
        <v>-0.26</v>
      </c>
      <c r="F205">
        <v>7.9</v>
      </c>
      <c r="G205">
        <v>7.91</v>
      </c>
      <c r="H205">
        <v>121135</v>
      </c>
      <c r="I205">
        <v>1054</v>
      </c>
      <c r="J205">
        <v>0.13</v>
      </c>
      <c r="K205">
        <v>4</v>
      </c>
      <c r="L205">
        <v>7.93</v>
      </c>
      <c r="M205">
        <v>8.0500000000000007</v>
      </c>
      <c r="N205">
        <v>7.83</v>
      </c>
      <c r="O205">
        <v>8.17</v>
      </c>
      <c r="P205">
        <v>28.04</v>
      </c>
      <c r="Q205">
        <v>96049752</v>
      </c>
      <c r="R205">
        <v>2.5</v>
      </c>
      <c r="S205" t="s">
        <v>891</v>
      </c>
      <c r="T205" t="s">
        <v>1147</v>
      </c>
      <c r="U205">
        <v>2.69</v>
      </c>
      <c r="V205">
        <v>7.93</v>
      </c>
      <c r="W205">
        <v>66759</v>
      </c>
      <c r="X205">
        <v>54376</v>
      </c>
      <c r="Y205">
        <v>1.23</v>
      </c>
      <c r="Z205">
        <v>104</v>
      </c>
      <c r="AA205">
        <v>779</v>
      </c>
      <c r="AB205" t="s">
        <v>116</v>
      </c>
      <c r="AC205">
        <v>4206100</v>
      </c>
      <c r="AD205">
        <v>0.36</v>
      </c>
      <c r="AE205" t="s">
        <v>116</v>
      </c>
      <c r="AF205" t="s">
        <v>116</v>
      </c>
      <c r="AG205">
        <v>3.03</v>
      </c>
      <c r="AH205" t="s">
        <v>1541</v>
      </c>
      <c r="AI205" t="s">
        <v>1541</v>
      </c>
      <c r="AJ205">
        <v>-2.5</v>
      </c>
      <c r="AK205">
        <v>2005</v>
      </c>
      <c r="AL205">
        <v>60</v>
      </c>
      <c r="AM205">
        <v>2E-3</v>
      </c>
      <c r="AN205">
        <v>-1</v>
      </c>
      <c r="AO205">
        <v>4.08</v>
      </c>
      <c r="AP205">
        <v>8.36</v>
      </c>
      <c r="AQ205">
        <v>1.54</v>
      </c>
      <c r="AR205">
        <v>-6.06</v>
      </c>
      <c r="AS205">
        <v>8.1999999999999993</v>
      </c>
      <c r="AT205" t="s">
        <v>1542</v>
      </c>
      <c r="AU205">
        <v>1011.8</v>
      </c>
      <c r="AV205">
        <v>89.3</v>
      </c>
      <c r="AW205">
        <v>0.82</v>
      </c>
      <c r="BA205">
        <v>-2.94</v>
      </c>
      <c r="BB205">
        <v>-1.47</v>
      </c>
      <c r="BC205">
        <v>-4.16</v>
      </c>
      <c r="BD205">
        <v>-2.95</v>
      </c>
      <c r="BE205">
        <v>-0.25</v>
      </c>
      <c r="BF205">
        <v>-1.74</v>
      </c>
      <c r="BG205">
        <v>1.02</v>
      </c>
      <c r="BH205">
        <v>-0.23</v>
      </c>
      <c r="BI205">
        <v>20191209</v>
      </c>
      <c r="BJ205">
        <v>19961120</v>
      </c>
      <c r="BK205">
        <v>3.03</v>
      </c>
      <c r="BL205" t="s">
        <v>116</v>
      </c>
      <c r="BM205" t="s">
        <v>116</v>
      </c>
      <c r="BN205">
        <v>31.4</v>
      </c>
      <c r="BO205">
        <v>26.85</v>
      </c>
      <c r="BP205">
        <v>0</v>
      </c>
      <c r="BQ205">
        <v>14.49</v>
      </c>
      <c r="BR205">
        <v>14.04</v>
      </c>
      <c r="BS205">
        <v>16.149999999999999</v>
      </c>
      <c r="BT205">
        <v>0.75</v>
      </c>
      <c r="BU205">
        <v>4.3899999999999997</v>
      </c>
      <c r="BV205">
        <v>1.49</v>
      </c>
      <c r="BW205">
        <v>0.01</v>
      </c>
      <c r="BX205">
        <v>18.79</v>
      </c>
      <c r="BY205">
        <v>15.66</v>
      </c>
      <c r="BZ205">
        <v>13.56</v>
      </c>
      <c r="CA205">
        <v>0.86</v>
      </c>
      <c r="CB205">
        <v>0.05</v>
      </c>
      <c r="CC205">
        <v>0.86</v>
      </c>
      <c r="CD205">
        <v>0.64</v>
      </c>
      <c r="CE205">
        <v>0.64</v>
      </c>
      <c r="CF205">
        <v>0.61</v>
      </c>
      <c r="CG205">
        <v>3.95</v>
      </c>
      <c r="CH205">
        <v>0.57999999999999996</v>
      </c>
      <c r="CI205">
        <v>0.34</v>
      </c>
      <c r="CJ205">
        <v>25903</v>
      </c>
      <c r="CK205">
        <v>5705</v>
      </c>
      <c r="CL205" t="s">
        <v>1283</v>
      </c>
      <c r="CM205">
        <v>-27.63</v>
      </c>
      <c r="CN205">
        <v>6.83</v>
      </c>
      <c r="CO205">
        <v>0.89</v>
      </c>
      <c r="CP205">
        <v>41.52</v>
      </c>
      <c r="CQ205">
        <v>1.53</v>
      </c>
      <c r="CR205">
        <v>1.01</v>
      </c>
      <c r="CS205" t="s">
        <v>313</v>
      </c>
      <c r="CT205">
        <v>8.86</v>
      </c>
      <c r="CU205">
        <v>0</v>
      </c>
      <c r="CV205">
        <v>6.2</v>
      </c>
      <c r="CW205">
        <v>1.3</v>
      </c>
      <c r="CX205">
        <v>0.19</v>
      </c>
      <c r="CY205">
        <v>85.51</v>
      </c>
      <c r="CZ205" t="s">
        <v>1543</v>
      </c>
      <c r="DA205">
        <v>13.41</v>
      </c>
      <c r="DB205">
        <v>5.51</v>
      </c>
      <c r="DC205">
        <v>4.09</v>
      </c>
      <c r="DD205">
        <v>0</v>
      </c>
      <c r="DE205">
        <v>2172</v>
      </c>
      <c r="DF205">
        <v>635</v>
      </c>
      <c r="DG205" t="s">
        <v>116</v>
      </c>
      <c r="DH205" t="s">
        <v>116</v>
      </c>
      <c r="DI205" t="s">
        <v>116</v>
      </c>
    </row>
    <row r="206" spans="1:113" x14ac:dyDescent="0.4">
      <c r="A206" t="str">
        <f>"000636"</f>
        <v>000636</v>
      </c>
      <c r="B206" t="s">
        <v>1544</v>
      </c>
      <c r="C206">
        <v>-2.91</v>
      </c>
      <c r="D206">
        <v>14.67</v>
      </c>
      <c r="E206">
        <v>-0.44</v>
      </c>
      <c r="F206">
        <v>14.66</v>
      </c>
      <c r="G206">
        <v>14.67</v>
      </c>
      <c r="H206">
        <v>437779</v>
      </c>
      <c r="I206">
        <v>11727</v>
      </c>
      <c r="J206">
        <v>-0.53</v>
      </c>
      <c r="K206">
        <v>4.8899999999999997</v>
      </c>
      <c r="L206">
        <v>15.02</v>
      </c>
      <c r="M206">
        <v>15.32</v>
      </c>
      <c r="N206">
        <v>14.67</v>
      </c>
      <c r="O206">
        <v>15.11</v>
      </c>
      <c r="P206">
        <v>27.87</v>
      </c>
      <c r="Q206">
        <v>655843456</v>
      </c>
      <c r="R206">
        <v>0.97</v>
      </c>
      <c r="S206" t="s">
        <v>233</v>
      </c>
      <c r="T206" t="s">
        <v>551</v>
      </c>
      <c r="U206">
        <v>4.3</v>
      </c>
      <c r="V206">
        <v>14.98</v>
      </c>
      <c r="W206">
        <v>244513</v>
      </c>
      <c r="X206">
        <v>193266</v>
      </c>
      <c r="Y206">
        <v>1.27</v>
      </c>
      <c r="Z206">
        <v>428</v>
      </c>
      <c r="AA206">
        <v>839</v>
      </c>
      <c r="AB206" t="s">
        <v>116</v>
      </c>
      <c r="AC206">
        <v>3370500</v>
      </c>
      <c r="AD206">
        <v>0.03</v>
      </c>
      <c r="AE206" t="s">
        <v>116</v>
      </c>
      <c r="AF206" t="s">
        <v>116</v>
      </c>
      <c r="AG206">
        <v>8.9499999999999993</v>
      </c>
      <c r="AH206" t="s">
        <v>1545</v>
      </c>
      <c r="AI206" t="s">
        <v>1545</v>
      </c>
      <c r="AJ206">
        <v>-2.23</v>
      </c>
      <c r="AK206">
        <v>4067</v>
      </c>
      <c r="AL206">
        <v>108</v>
      </c>
      <c r="AM206">
        <v>1.1999999999999999E-3</v>
      </c>
      <c r="AN206">
        <v>-2</v>
      </c>
      <c r="AO206">
        <v>2.58</v>
      </c>
      <c r="AP206">
        <v>10.63</v>
      </c>
      <c r="AQ206">
        <v>2.59</v>
      </c>
      <c r="AR206">
        <v>40.520000000000003</v>
      </c>
      <c r="AS206">
        <v>6.12</v>
      </c>
      <c r="AT206" t="s">
        <v>1546</v>
      </c>
      <c r="AU206">
        <v>27.21</v>
      </c>
      <c r="AV206">
        <v>12.91</v>
      </c>
      <c r="AW206">
        <v>1.45</v>
      </c>
      <c r="BA206">
        <v>-0.6</v>
      </c>
      <c r="BB206">
        <v>1.39</v>
      </c>
      <c r="BC206">
        <v>-2.91</v>
      </c>
      <c r="BD206">
        <v>-0.85</v>
      </c>
      <c r="BE206">
        <v>-2.33</v>
      </c>
      <c r="BF206">
        <v>-4.24</v>
      </c>
      <c r="BG206">
        <v>0</v>
      </c>
      <c r="BH206">
        <v>-2.06</v>
      </c>
      <c r="BI206">
        <v>20191029</v>
      </c>
      <c r="BJ206">
        <v>19961129</v>
      </c>
      <c r="BK206">
        <v>8.9499999999999993</v>
      </c>
      <c r="BL206" t="s">
        <v>116</v>
      </c>
      <c r="BM206" t="s">
        <v>116</v>
      </c>
      <c r="BN206">
        <v>67.290000000000006</v>
      </c>
      <c r="BO206">
        <v>55.43</v>
      </c>
      <c r="BP206">
        <v>1.02</v>
      </c>
      <c r="BQ206">
        <v>16.12</v>
      </c>
      <c r="BR206">
        <v>30.77</v>
      </c>
      <c r="BS206">
        <v>21.39</v>
      </c>
      <c r="BT206">
        <v>1.06</v>
      </c>
      <c r="BU206">
        <v>9.25</v>
      </c>
      <c r="BV206">
        <v>4.59</v>
      </c>
      <c r="BW206">
        <v>5.75</v>
      </c>
      <c r="BX206">
        <v>24.07</v>
      </c>
      <c r="BY206">
        <v>23.87</v>
      </c>
      <c r="BZ206">
        <v>17.59</v>
      </c>
      <c r="CA206">
        <v>4.25</v>
      </c>
      <c r="CB206">
        <v>0.53</v>
      </c>
      <c r="CC206">
        <v>4.22</v>
      </c>
      <c r="CD206">
        <v>3.6</v>
      </c>
      <c r="CE206">
        <v>3.53</v>
      </c>
      <c r="CF206">
        <v>2.96</v>
      </c>
      <c r="CG206">
        <v>16.77</v>
      </c>
      <c r="CH206">
        <v>5</v>
      </c>
      <c r="CI206">
        <v>0.63</v>
      </c>
      <c r="CJ206">
        <v>102765</v>
      </c>
      <c r="CK206">
        <v>6966</v>
      </c>
      <c r="CL206" t="s">
        <v>1547</v>
      </c>
      <c r="CM206">
        <v>-60.2</v>
      </c>
      <c r="CN206">
        <v>-32.020000000000003</v>
      </c>
      <c r="CO206">
        <v>2.37</v>
      </c>
      <c r="CP206">
        <v>26.24</v>
      </c>
      <c r="CQ206">
        <v>5.5</v>
      </c>
      <c r="CR206">
        <v>2.04</v>
      </c>
      <c r="CS206" t="s">
        <v>1548</v>
      </c>
      <c r="CT206">
        <v>6.19</v>
      </c>
      <c r="CU206">
        <v>0</v>
      </c>
      <c r="CV206">
        <v>2.69</v>
      </c>
      <c r="CW206">
        <v>1.87</v>
      </c>
      <c r="CX206">
        <v>0.56000000000000005</v>
      </c>
      <c r="CY206">
        <v>82.37</v>
      </c>
      <c r="CZ206" t="s">
        <v>1549</v>
      </c>
      <c r="DA206">
        <v>26.3</v>
      </c>
      <c r="DB206">
        <v>17.82</v>
      </c>
      <c r="DC206">
        <v>14.8</v>
      </c>
      <c r="DD206">
        <v>0.89</v>
      </c>
      <c r="DE206">
        <v>6727</v>
      </c>
      <c r="DF206">
        <v>636</v>
      </c>
      <c r="DG206" t="s">
        <v>116</v>
      </c>
      <c r="DH206" t="s">
        <v>116</v>
      </c>
      <c r="DI206" t="s">
        <v>116</v>
      </c>
    </row>
    <row r="207" spans="1:113" x14ac:dyDescent="0.4">
      <c r="A207" t="str">
        <f>"000637"</f>
        <v>000637</v>
      </c>
      <c r="B207" t="s">
        <v>1550</v>
      </c>
      <c r="C207">
        <v>-1.1100000000000001</v>
      </c>
      <c r="D207">
        <v>4.4400000000000004</v>
      </c>
      <c r="E207">
        <v>-0.05</v>
      </c>
      <c r="F207">
        <v>4.4400000000000004</v>
      </c>
      <c r="G207">
        <v>4.45</v>
      </c>
      <c r="H207">
        <v>41474</v>
      </c>
      <c r="I207">
        <v>707</v>
      </c>
      <c r="J207">
        <v>0.23</v>
      </c>
      <c r="K207">
        <v>1.1299999999999999</v>
      </c>
      <c r="L207">
        <v>4.5199999999999996</v>
      </c>
      <c r="M207">
        <v>4.5199999999999996</v>
      </c>
      <c r="N207">
        <v>4.4000000000000004</v>
      </c>
      <c r="O207">
        <v>4.49</v>
      </c>
      <c r="P207">
        <v>18.98</v>
      </c>
      <c r="Q207">
        <v>18512292</v>
      </c>
      <c r="R207">
        <v>0.86</v>
      </c>
      <c r="S207" t="s">
        <v>433</v>
      </c>
      <c r="T207" t="s">
        <v>551</v>
      </c>
      <c r="U207">
        <v>2.67</v>
      </c>
      <c r="V207">
        <v>4.46</v>
      </c>
      <c r="W207">
        <v>25536</v>
      </c>
      <c r="X207">
        <v>15938</v>
      </c>
      <c r="Y207">
        <v>1.6</v>
      </c>
      <c r="Z207">
        <v>804</v>
      </c>
      <c r="AA207">
        <v>495</v>
      </c>
      <c r="AB207" t="s">
        <v>116</v>
      </c>
      <c r="AC207">
        <v>126100</v>
      </c>
      <c r="AD207">
        <v>0.01</v>
      </c>
      <c r="AE207" t="s">
        <v>116</v>
      </c>
      <c r="AF207" t="s">
        <v>116</v>
      </c>
      <c r="AG207">
        <v>3.66</v>
      </c>
      <c r="AH207" t="s">
        <v>1551</v>
      </c>
      <c r="AI207" t="s">
        <v>1552</v>
      </c>
      <c r="AJ207">
        <v>-0.43</v>
      </c>
      <c r="AK207">
        <v>805</v>
      </c>
      <c r="AL207">
        <v>52</v>
      </c>
      <c r="AM207">
        <v>1.4E-3</v>
      </c>
      <c r="AN207">
        <v>-1</v>
      </c>
      <c r="AO207">
        <v>2.5499999999999998</v>
      </c>
      <c r="AP207">
        <v>7.25</v>
      </c>
      <c r="AQ207">
        <v>-1.1100000000000001</v>
      </c>
      <c r="AR207">
        <v>20.329999999999998</v>
      </c>
      <c r="AS207">
        <v>1.43</v>
      </c>
      <c r="AT207" t="s">
        <v>1553</v>
      </c>
      <c r="AU207">
        <v>22.29</v>
      </c>
      <c r="AV207">
        <v>61.96</v>
      </c>
      <c r="AW207">
        <v>0.86</v>
      </c>
      <c r="BA207">
        <v>0.67</v>
      </c>
      <c r="BB207">
        <v>0.67</v>
      </c>
      <c r="BC207">
        <v>-2</v>
      </c>
      <c r="BD207">
        <v>-0.59</v>
      </c>
      <c r="BE207">
        <v>-1.77</v>
      </c>
      <c r="BF207">
        <v>-1.77</v>
      </c>
      <c r="BG207">
        <v>0.91</v>
      </c>
      <c r="BH207">
        <v>-0.53</v>
      </c>
      <c r="BI207">
        <v>20191031</v>
      </c>
      <c r="BJ207">
        <v>19961114</v>
      </c>
      <c r="BK207">
        <v>5.2</v>
      </c>
      <c r="BL207" t="s">
        <v>116</v>
      </c>
      <c r="BM207" t="s">
        <v>116</v>
      </c>
      <c r="BN207">
        <v>12.68</v>
      </c>
      <c r="BO207">
        <v>9.19</v>
      </c>
      <c r="BP207">
        <v>1.05</v>
      </c>
      <c r="BQ207">
        <v>19.22</v>
      </c>
      <c r="BR207">
        <v>8.16</v>
      </c>
      <c r="BS207">
        <v>3.37</v>
      </c>
      <c r="BT207">
        <v>0.26</v>
      </c>
      <c r="BU207">
        <v>1.81</v>
      </c>
      <c r="BV207">
        <v>1.9</v>
      </c>
      <c r="BW207">
        <v>0.46</v>
      </c>
      <c r="BX207">
        <v>7.0000000000000007E-2</v>
      </c>
      <c r="BY207">
        <v>30.47</v>
      </c>
      <c r="BZ207">
        <v>28.49</v>
      </c>
      <c r="CA207">
        <v>1.33</v>
      </c>
      <c r="CB207">
        <v>0.46</v>
      </c>
      <c r="CC207">
        <v>1.32</v>
      </c>
      <c r="CD207">
        <v>1.06</v>
      </c>
      <c r="CE207">
        <v>0.91</v>
      </c>
      <c r="CF207">
        <v>0.54</v>
      </c>
      <c r="CG207">
        <v>1.85</v>
      </c>
      <c r="CH207">
        <v>-0.22</v>
      </c>
      <c r="CI207">
        <v>-0.77</v>
      </c>
      <c r="CJ207">
        <v>37026</v>
      </c>
      <c r="CK207">
        <v>7828</v>
      </c>
      <c r="CL207" t="s">
        <v>805</v>
      </c>
      <c r="CM207">
        <v>265.81</v>
      </c>
      <c r="CN207">
        <v>-2.3199999999999998</v>
      </c>
      <c r="CO207">
        <v>2.5099999999999998</v>
      </c>
      <c r="CP207">
        <v>-104.9</v>
      </c>
      <c r="CQ207">
        <v>0.76</v>
      </c>
      <c r="CR207">
        <v>1.35</v>
      </c>
      <c r="CS207" t="s">
        <v>200</v>
      </c>
      <c r="CT207">
        <v>1.77</v>
      </c>
      <c r="CU207">
        <v>0</v>
      </c>
      <c r="CV207">
        <v>0.01</v>
      </c>
      <c r="CW207">
        <v>0.36</v>
      </c>
      <c r="CX207">
        <v>-0.04</v>
      </c>
      <c r="CY207">
        <v>72.47</v>
      </c>
      <c r="CZ207" t="s">
        <v>1093</v>
      </c>
      <c r="DA207">
        <v>6.48</v>
      </c>
      <c r="DB207">
        <v>4.3600000000000003</v>
      </c>
      <c r="DC207">
        <v>2.99</v>
      </c>
      <c r="DD207">
        <v>0.11</v>
      </c>
      <c r="DE207">
        <v>622</v>
      </c>
      <c r="DF207">
        <v>637</v>
      </c>
      <c r="DG207" t="s">
        <v>116</v>
      </c>
      <c r="DH207" t="s">
        <v>116</v>
      </c>
      <c r="DI207" t="s">
        <v>116</v>
      </c>
    </row>
    <row r="208" spans="1:113" x14ac:dyDescent="0.4">
      <c r="A208" t="str">
        <f>"000638"</f>
        <v>000638</v>
      </c>
      <c r="B208" t="s">
        <v>1554</v>
      </c>
      <c r="C208">
        <v>0.4</v>
      </c>
      <c r="D208">
        <v>4.99</v>
      </c>
      <c r="E208">
        <v>0.02</v>
      </c>
      <c r="F208">
        <v>4.99</v>
      </c>
      <c r="G208">
        <v>5</v>
      </c>
      <c r="H208">
        <v>37679</v>
      </c>
      <c r="I208">
        <v>595</v>
      </c>
      <c r="J208">
        <v>0.4</v>
      </c>
      <c r="K208">
        <v>1.22</v>
      </c>
      <c r="L208">
        <v>4.99</v>
      </c>
      <c r="M208">
        <v>5.04</v>
      </c>
      <c r="N208">
        <v>4.9400000000000004</v>
      </c>
      <c r="O208">
        <v>4.97</v>
      </c>
      <c r="P208" t="s">
        <v>116</v>
      </c>
      <c r="Q208">
        <v>18822616</v>
      </c>
      <c r="R208">
        <v>0.98</v>
      </c>
      <c r="S208" t="s">
        <v>607</v>
      </c>
      <c r="T208" t="s">
        <v>294</v>
      </c>
      <c r="U208">
        <v>2.0099999999999998</v>
      </c>
      <c r="V208">
        <v>5</v>
      </c>
      <c r="W208">
        <v>20164</v>
      </c>
      <c r="X208">
        <v>17515</v>
      </c>
      <c r="Y208">
        <v>1.1499999999999999</v>
      </c>
      <c r="Z208">
        <v>1053</v>
      </c>
      <c r="AA208">
        <v>957</v>
      </c>
      <c r="AB208" t="s">
        <v>116</v>
      </c>
      <c r="AC208">
        <v>105800</v>
      </c>
      <c r="AD208">
        <v>0.01</v>
      </c>
      <c r="AE208" t="s">
        <v>116</v>
      </c>
      <c r="AF208" t="s">
        <v>116</v>
      </c>
      <c r="AG208">
        <v>3.09</v>
      </c>
      <c r="AH208" t="s">
        <v>1555</v>
      </c>
      <c r="AI208" t="s">
        <v>1555</v>
      </c>
      <c r="AJ208">
        <v>1.08</v>
      </c>
      <c r="AK208">
        <v>1006</v>
      </c>
      <c r="AL208">
        <v>37</v>
      </c>
      <c r="AM208">
        <v>1.1999999999999999E-3</v>
      </c>
      <c r="AN208">
        <v>2</v>
      </c>
      <c r="AO208">
        <v>1.84</v>
      </c>
      <c r="AP208">
        <v>5.72</v>
      </c>
      <c r="AQ208">
        <v>1.63</v>
      </c>
      <c r="AR208">
        <v>-10.09</v>
      </c>
      <c r="AS208">
        <v>2.13</v>
      </c>
      <c r="AT208" t="s">
        <v>1556</v>
      </c>
      <c r="AU208" t="s">
        <v>116</v>
      </c>
      <c r="AV208" t="s">
        <v>116</v>
      </c>
      <c r="AW208">
        <v>1.63</v>
      </c>
      <c r="BA208">
        <v>0.4</v>
      </c>
      <c r="BB208">
        <v>1.41</v>
      </c>
      <c r="BC208">
        <v>-0.6</v>
      </c>
      <c r="BD208">
        <v>0.51</v>
      </c>
      <c r="BE208">
        <v>0</v>
      </c>
      <c r="BF208">
        <v>-0.99</v>
      </c>
      <c r="BG208">
        <v>1.01</v>
      </c>
      <c r="BH208">
        <v>-0.11</v>
      </c>
      <c r="BI208">
        <v>20191031</v>
      </c>
      <c r="BJ208">
        <v>19961126</v>
      </c>
      <c r="BK208">
        <v>3.09</v>
      </c>
      <c r="BL208" t="s">
        <v>116</v>
      </c>
      <c r="BM208" t="s">
        <v>116</v>
      </c>
      <c r="BN208">
        <v>7.37</v>
      </c>
      <c r="BO208">
        <v>1.4</v>
      </c>
      <c r="BP208">
        <v>0.71</v>
      </c>
      <c r="BQ208">
        <v>71.349999999999994</v>
      </c>
      <c r="BR208">
        <v>5.21</v>
      </c>
      <c r="BS208">
        <v>0.04</v>
      </c>
      <c r="BT208">
        <v>0.69</v>
      </c>
      <c r="BU208">
        <v>5.15</v>
      </c>
      <c r="BV208">
        <v>2.2200000000000002</v>
      </c>
      <c r="BW208">
        <v>0.82</v>
      </c>
      <c r="BX208">
        <v>1.54</v>
      </c>
      <c r="BY208">
        <v>0.93</v>
      </c>
      <c r="BZ208">
        <v>0.65</v>
      </c>
      <c r="CA208">
        <v>-0.08</v>
      </c>
      <c r="CB208">
        <v>0</v>
      </c>
      <c r="CC208">
        <v>-0.08</v>
      </c>
      <c r="CD208">
        <v>-0.09</v>
      </c>
      <c r="CE208">
        <v>-0.11</v>
      </c>
      <c r="CF208">
        <v>-0.12</v>
      </c>
      <c r="CG208">
        <v>-3.29</v>
      </c>
      <c r="CH208">
        <v>-0.08</v>
      </c>
      <c r="CI208">
        <v>-0.2</v>
      </c>
      <c r="CJ208">
        <v>40440</v>
      </c>
      <c r="CK208">
        <v>4372</v>
      </c>
      <c r="CL208" t="s">
        <v>1557</v>
      </c>
      <c r="CM208">
        <v>45.06</v>
      </c>
      <c r="CN208">
        <v>42.33</v>
      </c>
      <c r="CO208">
        <v>11.06</v>
      </c>
      <c r="CP208">
        <v>-186.1</v>
      </c>
      <c r="CQ208">
        <v>16.53</v>
      </c>
      <c r="CR208">
        <v>0</v>
      </c>
      <c r="CS208" t="s">
        <v>1558</v>
      </c>
      <c r="CT208">
        <v>0.45</v>
      </c>
      <c r="CU208">
        <v>0</v>
      </c>
      <c r="CV208">
        <v>0.5</v>
      </c>
      <c r="CW208">
        <v>-1.06</v>
      </c>
      <c r="CX208">
        <v>-0.03</v>
      </c>
      <c r="CY208">
        <v>18.95</v>
      </c>
      <c r="CZ208" t="s">
        <v>1559</v>
      </c>
      <c r="DA208">
        <v>30.12</v>
      </c>
      <c r="DB208">
        <v>-8.4499999999999993</v>
      </c>
      <c r="DC208">
        <v>-11.39</v>
      </c>
      <c r="DD208">
        <v>0.06</v>
      </c>
      <c r="DE208">
        <v>390</v>
      </c>
      <c r="DF208">
        <v>638</v>
      </c>
      <c r="DG208" t="s">
        <v>116</v>
      </c>
      <c r="DH208" t="s">
        <v>116</v>
      </c>
      <c r="DI208" t="s">
        <v>116</v>
      </c>
    </row>
    <row r="209" spans="1:113" x14ac:dyDescent="0.4">
      <c r="A209" t="str">
        <f>"000639"</f>
        <v>000639</v>
      </c>
      <c r="B209" t="s">
        <v>1560</v>
      </c>
      <c r="C209">
        <v>0.23</v>
      </c>
      <c r="D209">
        <v>4.4400000000000004</v>
      </c>
      <c r="E209">
        <v>0.01</v>
      </c>
      <c r="F209">
        <v>4.43</v>
      </c>
      <c r="G209">
        <v>4.4400000000000004</v>
      </c>
      <c r="H209">
        <v>69493</v>
      </c>
      <c r="I209">
        <v>662</v>
      </c>
      <c r="J209">
        <v>0.23</v>
      </c>
      <c r="K209">
        <v>0.65</v>
      </c>
      <c r="L209">
        <v>4.4400000000000004</v>
      </c>
      <c r="M209">
        <v>4.4800000000000004</v>
      </c>
      <c r="N209">
        <v>4.41</v>
      </c>
      <c r="O209">
        <v>4.43</v>
      </c>
      <c r="P209">
        <v>10.81</v>
      </c>
      <c r="Q209">
        <v>30903730</v>
      </c>
      <c r="R209">
        <v>0.88</v>
      </c>
      <c r="S209" t="s">
        <v>863</v>
      </c>
      <c r="T209" t="s">
        <v>645</v>
      </c>
      <c r="U209">
        <v>1.58</v>
      </c>
      <c r="V209">
        <v>4.45</v>
      </c>
      <c r="W209">
        <v>41334</v>
      </c>
      <c r="X209">
        <v>28159</v>
      </c>
      <c r="Y209">
        <v>1.47</v>
      </c>
      <c r="Z209">
        <v>1434</v>
      </c>
      <c r="AA209">
        <v>313</v>
      </c>
      <c r="AB209" t="s">
        <v>116</v>
      </c>
      <c r="AC209">
        <v>21800</v>
      </c>
      <c r="AD209">
        <v>0</v>
      </c>
      <c r="AE209" t="s">
        <v>116</v>
      </c>
      <c r="AF209" t="s">
        <v>116</v>
      </c>
      <c r="AG209">
        <v>10.76</v>
      </c>
      <c r="AH209" t="s">
        <v>1561</v>
      </c>
      <c r="AI209" t="s">
        <v>1562</v>
      </c>
      <c r="AJ209">
        <v>0.9</v>
      </c>
      <c r="AK209">
        <v>1229</v>
      </c>
      <c r="AL209">
        <v>57</v>
      </c>
      <c r="AM209">
        <v>5.0000000000000001E-4</v>
      </c>
      <c r="AN209">
        <v>1</v>
      </c>
      <c r="AO209">
        <v>-1.54</v>
      </c>
      <c r="AP209">
        <v>-4.5199999999999996</v>
      </c>
      <c r="AQ209">
        <v>-13.62</v>
      </c>
      <c r="AR209">
        <v>-1.8</v>
      </c>
      <c r="AS209">
        <v>1.36</v>
      </c>
      <c r="AT209" t="s">
        <v>1563</v>
      </c>
      <c r="AU209">
        <v>10.17</v>
      </c>
      <c r="AV209">
        <v>10.23</v>
      </c>
      <c r="AW209">
        <v>1.17</v>
      </c>
      <c r="BA209">
        <v>0.23</v>
      </c>
      <c r="BB209">
        <v>1.1299999999999999</v>
      </c>
      <c r="BC209">
        <v>-0.45</v>
      </c>
      <c r="BD209">
        <v>0.38</v>
      </c>
      <c r="BE209">
        <v>0</v>
      </c>
      <c r="BF209">
        <v>-0.89</v>
      </c>
      <c r="BG209">
        <v>0.68</v>
      </c>
      <c r="BH209">
        <v>-0.16</v>
      </c>
      <c r="BI209">
        <v>20191031</v>
      </c>
      <c r="BJ209">
        <v>19961126</v>
      </c>
      <c r="BK209">
        <v>10.79</v>
      </c>
      <c r="BL209" t="s">
        <v>116</v>
      </c>
      <c r="BM209" t="s">
        <v>116</v>
      </c>
      <c r="BN209">
        <v>99.18</v>
      </c>
      <c r="BO209">
        <v>47.3</v>
      </c>
      <c r="BP209">
        <v>7.77</v>
      </c>
      <c r="BQ209">
        <v>44.47</v>
      </c>
      <c r="BR209">
        <v>35.299999999999997</v>
      </c>
      <c r="BS209">
        <v>6.7</v>
      </c>
      <c r="BT209">
        <v>35.29</v>
      </c>
      <c r="BU209">
        <v>19.18</v>
      </c>
      <c r="BV209">
        <v>7.35</v>
      </c>
      <c r="BW209">
        <v>3.81</v>
      </c>
      <c r="BX209">
        <v>17.34</v>
      </c>
      <c r="BY209">
        <v>42.06</v>
      </c>
      <c r="BZ209">
        <v>27.8</v>
      </c>
      <c r="CA209">
        <v>4.24</v>
      </c>
      <c r="CB209">
        <v>0</v>
      </c>
      <c r="CC209">
        <v>4.37</v>
      </c>
      <c r="CD209">
        <v>3.78</v>
      </c>
      <c r="CE209">
        <v>3.33</v>
      </c>
      <c r="CF209">
        <v>3.22</v>
      </c>
      <c r="CG209">
        <v>16.61</v>
      </c>
      <c r="CH209">
        <v>3.79</v>
      </c>
      <c r="CI209">
        <v>-1.1000000000000001</v>
      </c>
      <c r="CJ209">
        <v>26778</v>
      </c>
      <c r="CK209">
        <v>19107</v>
      </c>
      <c r="CL209" t="s">
        <v>1564</v>
      </c>
      <c r="CM209">
        <v>0.88</v>
      </c>
      <c r="CN209">
        <v>-1.04</v>
      </c>
      <c r="CO209">
        <v>1.01</v>
      </c>
      <c r="CP209">
        <v>12.66</v>
      </c>
      <c r="CQ209">
        <v>1.1399999999999999</v>
      </c>
      <c r="CR209">
        <v>1.29</v>
      </c>
      <c r="CS209" t="s">
        <v>1565</v>
      </c>
      <c r="CT209">
        <v>4.38</v>
      </c>
      <c r="CU209">
        <v>0</v>
      </c>
      <c r="CV209">
        <v>1.61</v>
      </c>
      <c r="CW209">
        <v>1.54</v>
      </c>
      <c r="CX209">
        <v>0.35</v>
      </c>
      <c r="CY209">
        <v>47.69</v>
      </c>
      <c r="CZ209" t="s">
        <v>1566</v>
      </c>
      <c r="DA209">
        <v>33.909999999999997</v>
      </c>
      <c r="DB209">
        <v>10.07</v>
      </c>
      <c r="DC209">
        <v>7.91</v>
      </c>
      <c r="DD209">
        <v>0.47</v>
      </c>
      <c r="DE209">
        <v>2107</v>
      </c>
      <c r="DF209">
        <v>639</v>
      </c>
      <c r="DG209" t="s">
        <v>116</v>
      </c>
      <c r="DH209" t="s">
        <v>116</v>
      </c>
      <c r="DI209" t="s">
        <v>116</v>
      </c>
    </row>
    <row r="210" spans="1:113" x14ac:dyDescent="0.4">
      <c r="A210" t="str">
        <f>"000650"</f>
        <v>000650</v>
      </c>
      <c r="B210" t="s">
        <v>1567</v>
      </c>
      <c r="C210">
        <v>-0.65</v>
      </c>
      <c r="D210">
        <v>6.15</v>
      </c>
      <c r="E210">
        <v>-0.04</v>
      </c>
      <c r="F210">
        <v>6.15</v>
      </c>
      <c r="G210">
        <v>6.16</v>
      </c>
      <c r="H210">
        <v>163392</v>
      </c>
      <c r="I210">
        <v>1457</v>
      </c>
      <c r="J210">
        <v>-0.15</v>
      </c>
      <c r="K210">
        <v>1.38</v>
      </c>
      <c r="L210">
        <v>6.2</v>
      </c>
      <c r="M210">
        <v>6.22</v>
      </c>
      <c r="N210">
        <v>6.15</v>
      </c>
      <c r="O210">
        <v>6.19</v>
      </c>
      <c r="P210">
        <v>12.99</v>
      </c>
      <c r="Q210">
        <v>101036104</v>
      </c>
      <c r="R210">
        <v>0.89</v>
      </c>
      <c r="S210" t="s">
        <v>781</v>
      </c>
      <c r="T210" t="s">
        <v>683</v>
      </c>
      <c r="U210">
        <v>1.1299999999999999</v>
      </c>
      <c r="V210">
        <v>6.18</v>
      </c>
      <c r="W210">
        <v>95000</v>
      </c>
      <c r="X210">
        <v>68392</v>
      </c>
      <c r="Y210">
        <v>1.39</v>
      </c>
      <c r="Z210">
        <v>4336</v>
      </c>
      <c r="AA210">
        <v>790</v>
      </c>
      <c r="AB210" t="s">
        <v>116</v>
      </c>
      <c r="AC210">
        <v>956200</v>
      </c>
      <c r="AD210">
        <v>0.02</v>
      </c>
      <c r="AE210" t="s">
        <v>116</v>
      </c>
      <c r="AF210" t="s">
        <v>116</v>
      </c>
      <c r="AG210">
        <v>11.8</v>
      </c>
      <c r="AH210" t="s">
        <v>1568</v>
      </c>
      <c r="AI210" t="s">
        <v>1569</v>
      </c>
      <c r="AJ210">
        <v>0.03</v>
      </c>
      <c r="AK210">
        <v>1918</v>
      </c>
      <c r="AL210">
        <v>85</v>
      </c>
      <c r="AM210">
        <v>6.9999999999999999E-4</v>
      </c>
      <c r="AN210">
        <v>-1</v>
      </c>
      <c r="AO210">
        <v>-0.97</v>
      </c>
      <c r="AP210">
        <v>3.89</v>
      </c>
      <c r="AQ210">
        <v>-7.93</v>
      </c>
      <c r="AR210">
        <v>14.31</v>
      </c>
      <c r="AS210">
        <v>1.95</v>
      </c>
      <c r="AT210" t="s">
        <v>1570</v>
      </c>
      <c r="AU210">
        <v>13.76</v>
      </c>
      <c r="AV210">
        <v>15.04</v>
      </c>
      <c r="AW210">
        <v>1.18</v>
      </c>
      <c r="BA210">
        <v>0.16</v>
      </c>
      <c r="BB210">
        <v>0.48</v>
      </c>
      <c r="BC210">
        <v>-0.65</v>
      </c>
      <c r="BD210">
        <v>-0.1</v>
      </c>
      <c r="BE210">
        <v>-0.81</v>
      </c>
      <c r="BF210">
        <v>-1.1299999999999999</v>
      </c>
      <c r="BG210">
        <v>0</v>
      </c>
      <c r="BH210">
        <v>-0.54</v>
      </c>
      <c r="BI210">
        <v>20191030</v>
      </c>
      <c r="BJ210">
        <v>19961210</v>
      </c>
      <c r="BK210">
        <v>12.38</v>
      </c>
      <c r="BL210" t="s">
        <v>116</v>
      </c>
      <c r="BM210" t="s">
        <v>116</v>
      </c>
      <c r="BN210">
        <v>50.37</v>
      </c>
      <c r="BO210">
        <v>37.06</v>
      </c>
      <c r="BP210">
        <v>5.36</v>
      </c>
      <c r="BQ210">
        <v>15.77</v>
      </c>
      <c r="BR210">
        <v>33.9</v>
      </c>
      <c r="BS210">
        <v>5.88</v>
      </c>
      <c r="BT210">
        <v>3.66</v>
      </c>
      <c r="BU210">
        <v>7.84</v>
      </c>
      <c r="BV210">
        <v>5.04</v>
      </c>
      <c r="BW210">
        <v>7.44</v>
      </c>
      <c r="BX210">
        <v>2.94</v>
      </c>
      <c r="BY210">
        <v>35.549999999999997</v>
      </c>
      <c r="BZ210">
        <v>20.7</v>
      </c>
      <c r="CA210">
        <v>6.57</v>
      </c>
      <c r="CB210">
        <v>7.0000000000000007E-2</v>
      </c>
      <c r="CC210">
        <v>6.57</v>
      </c>
      <c r="CD210">
        <v>5.05</v>
      </c>
      <c r="CE210">
        <v>4.4000000000000004</v>
      </c>
      <c r="CF210">
        <v>4.3</v>
      </c>
      <c r="CG210">
        <v>19.23</v>
      </c>
      <c r="CH210">
        <v>2.96</v>
      </c>
      <c r="CI210">
        <v>1.56</v>
      </c>
      <c r="CJ210">
        <v>111319</v>
      </c>
      <c r="CK210">
        <v>7509</v>
      </c>
      <c r="CL210" t="s">
        <v>1571</v>
      </c>
      <c r="CM210">
        <v>11.94</v>
      </c>
      <c r="CN210">
        <v>6.54</v>
      </c>
      <c r="CO210">
        <v>2.0499999999999998</v>
      </c>
      <c r="CP210">
        <v>25.72</v>
      </c>
      <c r="CQ210">
        <v>2.14</v>
      </c>
      <c r="CR210">
        <v>1.63</v>
      </c>
      <c r="CS210" t="s">
        <v>965</v>
      </c>
      <c r="CT210">
        <v>2.99</v>
      </c>
      <c r="CU210">
        <v>0</v>
      </c>
      <c r="CV210">
        <v>0.24</v>
      </c>
      <c r="CW210">
        <v>1.55</v>
      </c>
      <c r="CX210">
        <v>0.24</v>
      </c>
      <c r="CY210">
        <v>73.59</v>
      </c>
      <c r="CZ210" t="s">
        <v>1572</v>
      </c>
      <c r="DA210">
        <v>41.78</v>
      </c>
      <c r="DB210">
        <v>18.47</v>
      </c>
      <c r="DC210">
        <v>12.37</v>
      </c>
      <c r="DD210">
        <v>0.26</v>
      </c>
      <c r="DE210">
        <v>7362</v>
      </c>
      <c r="DF210">
        <v>650</v>
      </c>
      <c r="DG210" t="s">
        <v>116</v>
      </c>
      <c r="DH210" t="s">
        <v>116</v>
      </c>
      <c r="DI210" t="s">
        <v>116</v>
      </c>
    </row>
    <row r="211" spans="1:113" x14ac:dyDescent="0.4">
      <c r="A211" t="str">
        <f>"000651"</f>
        <v>000651</v>
      </c>
      <c r="B211" t="s">
        <v>1573</v>
      </c>
      <c r="C211">
        <v>-0.39</v>
      </c>
      <c r="D211">
        <v>64.53</v>
      </c>
      <c r="E211">
        <v>-0.25</v>
      </c>
      <c r="F211">
        <v>64.53</v>
      </c>
      <c r="G211">
        <v>64.540000000000006</v>
      </c>
      <c r="H211">
        <v>249793</v>
      </c>
      <c r="I211">
        <v>1553</v>
      </c>
      <c r="J211">
        <v>-0.01</v>
      </c>
      <c r="K211">
        <v>0.42</v>
      </c>
      <c r="L211">
        <v>65.150000000000006</v>
      </c>
      <c r="M211">
        <v>65.760000000000005</v>
      </c>
      <c r="N211">
        <v>64.400000000000006</v>
      </c>
      <c r="O211">
        <v>64.78</v>
      </c>
      <c r="P211">
        <v>13.16</v>
      </c>
      <c r="Q211">
        <v>1624183424</v>
      </c>
      <c r="R211">
        <v>1.1100000000000001</v>
      </c>
      <c r="S211" t="s">
        <v>209</v>
      </c>
      <c r="T211" t="s">
        <v>551</v>
      </c>
      <c r="U211">
        <v>2.1</v>
      </c>
      <c r="V211">
        <v>65.02</v>
      </c>
      <c r="W211">
        <v>135127</v>
      </c>
      <c r="X211">
        <v>114666</v>
      </c>
      <c r="Y211">
        <v>1.18</v>
      </c>
      <c r="Z211">
        <v>314</v>
      </c>
      <c r="AA211">
        <v>35</v>
      </c>
      <c r="AB211" t="s">
        <v>116</v>
      </c>
      <c r="AC211">
        <v>9726900</v>
      </c>
      <c r="AD211">
        <v>0</v>
      </c>
      <c r="AE211" t="s">
        <v>116</v>
      </c>
      <c r="AF211" t="s">
        <v>116</v>
      </c>
      <c r="AG211">
        <v>59.7</v>
      </c>
      <c r="AH211" t="s">
        <v>1574</v>
      </c>
      <c r="AI211" t="s">
        <v>1575</v>
      </c>
      <c r="AJ211">
        <v>0.28999999999999998</v>
      </c>
      <c r="AK211">
        <v>4569</v>
      </c>
      <c r="AL211">
        <v>55</v>
      </c>
      <c r="AM211">
        <v>1E-4</v>
      </c>
      <c r="AN211">
        <v>-1</v>
      </c>
      <c r="AO211">
        <v>-0.75</v>
      </c>
      <c r="AP211">
        <v>11.82</v>
      </c>
      <c r="AQ211">
        <v>13.41</v>
      </c>
      <c r="AR211">
        <v>92.11</v>
      </c>
      <c r="AS211">
        <v>0.57999999999999996</v>
      </c>
      <c r="AT211" t="s">
        <v>1576</v>
      </c>
      <c r="AU211">
        <v>14.27</v>
      </c>
      <c r="AV211">
        <v>14.81</v>
      </c>
      <c r="AW211">
        <v>0.86</v>
      </c>
      <c r="BA211">
        <v>0.56999999999999995</v>
      </c>
      <c r="BB211">
        <v>1.51</v>
      </c>
      <c r="BC211">
        <v>-0.59</v>
      </c>
      <c r="BD211">
        <v>0.37</v>
      </c>
      <c r="BE211">
        <v>-0.95</v>
      </c>
      <c r="BF211">
        <v>-1.87</v>
      </c>
      <c r="BG211">
        <v>0.2</v>
      </c>
      <c r="BH211">
        <v>-0.76</v>
      </c>
      <c r="BI211">
        <v>20191031</v>
      </c>
      <c r="BJ211">
        <v>19961118</v>
      </c>
      <c r="BK211">
        <v>60.16</v>
      </c>
      <c r="BL211" t="s">
        <v>116</v>
      </c>
      <c r="BM211" t="s">
        <v>116</v>
      </c>
      <c r="BN211">
        <v>2918.36</v>
      </c>
      <c r="BO211">
        <v>1007.92</v>
      </c>
      <c r="BP211">
        <v>15.76</v>
      </c>
      <c r="BQ211">
        <v>64.92</v>
      </c>
      <c r="BR211">
        <v>2371.48</v>
      </c>
      <c r="BS211">
        <v>186.08</v>
      </c>
      <c r="BT211">
        <v>57.12</v>
      </c>
      <c r="BU211">
        <v>1885.12</v>
      </c>
      <c r="BV211">
        <v>195.25</v>
      </c>
      <c r="BW211">
        <v>83.26</v>
      </c>
      <c r="BX211">
        <v>0.93</v>
      </c>
      <c r="BY211">
        <v>1550.39</v>
      </c>
      <c r="BZ211">
        <v>1082.75</v>
      </c>
      <c r="CA211">
        <v>263.2</v>
      </c>
      <c r="CB211">
        <v>0</v>
      </c>
      <c r="CC211">
        <v>266.45999999999998</v>
      </c>
      <c r="CD211">
        <v>222.18</v>
      </c>
      <c r="CE211">
        <v>221.17</v>
      </c>
      <c r="CF211">
        <v>215.65</v>
      </c>
      <c r="CG211">
        <v>914.24</v>
      </c>
      <c r="CH211">
        <v>327.3</v>
      </c>
      <c r="CI211">
        <v>163.47999999999999</v>
      </c>
      <c r="CJ211">
        <v>333472</v>
      </c>
      <c r="CK211">
        <v>13008</v>
      </c>
      <c r="CL211" t="s">
        <v>1577</v>
      </c>
      <c r="CM211">
        <v>4.7300000000000004</v>
      </c>
      <c r="CN211">
        <v>4.26</v>
      </c>
      <c r="CO211">
        <v>3.85</v>
      </c>
      <c r="CP211">
        <v>11.86</v>
      </c>
      <c r="CQ211">
        <v>2.5</v>
      </c>
      <c r="CR211">
        <v>2.3199999999999998</v>
      </c>
      <c r="CS211" t="s">
        <v>1578</v>
      </c>
      <c r="CT211">
        <v>16.75</v>
      </c>
      <c r="CU211">
        <v>0</v>
      </c>
      <c r="CV211">
        <v>0.02</v>
      </c>
      <c r="CW211">
        <v>15.2</v>
      </c>
      <c r="CX211">
        <v>5.44</v>
      </c>
      <c r="CY211">
        <v>34.54</v>
      </c>
      <c r="CZ211" t="s">
        <v>1579</v>
      </c>
      <c r="DA211">
        <v>30.16</v>
      </c>
      <c r="DB211">
        <v>16.98</v>
      </c>
      <c r="DC211">
        <v>14.27</v>
      </c>
      <c r="DD211">
        <v>46.3</v>
      </c>
      <c r="DE211">
        <v>88800</v>
      </c>
      <c r="DF211">
        <v>651</v>
      </c>
      <c r="DG211" t="s">
        <v>116</v>
      </c>
      <c r="DH211" t="s">
        <v>116</v>
      </c>
      <c r="DI211" t="s">
        <v>116</v>
      </c>
    </row>
    <row r="212" spans="1:113" x14ac:dyDescent="0.4">
      <c r="A212" t="str">
        <f>"000652"</f>
        <v>000652</v>
      </c>
      <c r="B212" t="s">
        <v>1580</v>
      </c>
      <c r="C212">
        <v>0.28000000000000003</v>
      </c>
      <c r="D212">
        <v>3.58</v>
      </c>
      <c r="E212">
        <v>0.01</v>
      </c>
      <c r="F212">
        <v>3.58</v>
      </c>
      <c r="G212">
        <v>3.59</v>
      </c>
      <c r="H212">
        <v>124701</v>
      </c>
      <c r="I212">
        <v>633</v>
      </c>
      <c r="J212">
        <v>0</v>
      </c>
      <c r="K212">
        <v>0.85</v>
      </c>
      <c r="L212">
        <v>3.58</v>
      </c>
      <c r="M212">
        <v>3.65</v>
      </c>
      <c r="N212">
        <v>3.58</v>
      </c>
      <c r="O212">
        <v>3.57</v>
      </c>
      <c r="P212">
        <v>39.81</v>
      </c>
      <c r="Q212">
        <v>45143900</v>
      </c>
      <c r="R212">
        <v>1.51</v>
      </c>
      <c r="S212" t="s">
        <v>457</v>
      </c>
      <c r="T212" t="s">
        <v>1035</v>
      </c>
      <c r="U212">
        <v>1.96</v>
      </c>
      <c r="V212">
        <v>3.62</v>
      </c>
      <c r="W212">
        <v>67250</v>
      </c>
      <c r="X212">
        <v>57451</v>
      </c>
      <c r="Y212">
        <v>1.17</v>
      </c>
      <c r="Z212">
        <v>785</v>
      </c>
      <c r="AA212">
        <v>1386</v>
      </c>
      <c r="AB212" t="s">
        <v>116</v>
      </c>
      <c r="AC212">
        <v>340800</v>
      </c>
      <c r="AD212">
        <v>0.01</v>
      </c>
      <c r="AE212" t="s">
        <v>116</v>
      </c>
      <c r="AF212" t="s">
        <v>116</v>
      </c>
      <c r="AG212">
        <v>14.74</v>
      </c>
      <c r="AH212" t="s">
        <v>503</v>
      </c>
      <c r="AI212" t="s">
        <v>1581</v>
      </c>
      <c r="AJ212">
        <v>0.96</v>
      </c>
      <c r="AK212">
        <v>1366</v>
      </c>
      <c r="AL212">
        <v>91</v>
      </c>
      <c r="AM212">
        <v>5.9999999999999995E-4</v>
      </c>
      <c r="AN212">
        <v>2</v>
      </c>
      <c r="AO212">
        <v>1.42</v>
      </c>
      <c r="AP212">
        <v>7.19</v>
      </c>
      <c r="AQ212">
        <v>2.87</v>
      </c>
      <c r="AR212">
        <v>20.54</v>
      </c>
      <c r="AS212">
        <v>1.26</v>
      </c>
      <c r="AT212" t="s">
        <v>1582</v>
      </c>
      <c r="AU212">
        <v>15.69</v>
      </c>
      <c r="AV212">
        <v>17.07</v>
      </c>
      <c r="AW212">
        <v>1.05</v>
      </c>
      <c r="BA212">
        <v>0.28000000000000003</v>
      </c>
      <c r="BB212">
        <v>2.2400000000000002</v>
      </c>
      <c r="BC212">
        <v>0.28000000000000003</v>
      </c>
      <c r="BD212">
        <v>1.41</v>
      </c>
      <c r="BE212">
        <v>0</v>
      </c>
      <c r="BF212">
        <v>-1.92</v>
      </c>
      <c r="BG212">
        <v>0</v>
      </c>
      <c r="BH212">
        <v>-1.1299999999999999</v>
      </c>
      <c r="BI212">
        <v>20191031</v>
      </c>
      <c r="BJ212">
        <v>19961128</v>
      </c>
      <c r="BK212">
        <v>14.76</v>
      </c>
      <c r="BL212" t="s">
        <v>116</v>
      </c>
      <c r="BM212" t="s">
        <v>116</v>
      </c>
      <c r="BN212">
        <v>356.84</v>
      </c>
      <c r="BO212">
        <v>45.06</v>
      </c>
      <c r="BP212">
        <v>11.19</v>
      </c>
      <c r="BQ212">
        <v>84.24</v>
      </c>
      <c r="BR212">
        <v>264.20999999999998</v>
      </c>
      <c r="BS212">
        <v>4.18</v>
      </c>
      <c r="BT212">
        <v>27.64</v>
      </c>
      <c r="BU212">
        <v>249.89</v>
      </c>
      <c r="BV212">
        <v>152.79</v>
      </c>
      <c r="BW212">
        <v>53.19</v>
      </c>
      <c r="BX212">
        <v>6.86</v>
      </c>
      <c r="BY212">
        <v>107.02</v>
      </c>
      <c r="BZ212">
        <v>102.08</v>
      </c>
      <c r="CA212">
        <v>0.51</v>
      </c>
      <c r="CB212">
        <v>1.82</v>
      </c>
      <c r="CC212">
        <v>0.57999999999999996</v>
      </c>
      <c r="CD212">
        <v>0.67</v>
      </c>
      <c r="CE212">
        <v>1</v>
      </c>
      <c r="CF212">
        <v>0.69</v>
      </c>
      <c r="CG212">
        <v>18.13</v>
      </c>
      <c r="CH212">
        <v>26.42</v>
      </c>
      <c r="CI212">
        <v>0.12</v>
      </c>
      <c r="CJ212">
        <v>98597</v>
      </c>
      <c r="CK212">
        <v>10016</v>
      </c>
      <c r="CL212" t="s">
        <v>1583</v>
      </c>
      <c r="CM212">
        <v>37.54</v>
      </c>
      <c r="CN212">
        <v>0.14000000000000001</v>
      </c>
      <c r="CO212">
        <v>1.17</v>
      </c>
      <c r="CP212">
        <v>2</v>
      </c>
      <c r="CQ212">
        <v>0.49</v>
      </c>
      <c r="CR212">
        <v>1.1200000000000001</v>
      </c>
      <c r="CS212" t="s">
        <v>1584</v>
      </c>
      <c r="CT212">
        <v>3.05</v>
      </c>
      <c r="CU212">
        <v>0</v>
      </c>
      <c r="CV212">
        <v>0.46</v>
      </c>
      <c r="CW212">
        <v>1.23</v>
      </c>
      <c r="CX212">
        <v>1.79</v>
      </c>
      <c r="CY212">
        <v>12.63</v>
      </c>
      <c r="CZ212" t="s">
        <v>1585</v>
      </c>
      <c r="DA212">
        <v>4.62</v>
      </c>
      <c r="DB212">
        <v>0.48</v>
      </c>
      <c r="DC212">
        <v>0.93</v>
      </c>
      <c r="DD212">
        <v>0.03</v>
      </c>
      <c r="DE212">
        <v>1244</v>
      </c>
      <c r="DF212">
        <v>652</v>
      </c>
      <c r="DG212" t="s">
        <v>116</v>
      </c>
      <c r="DH212" t="s">
        <v>116</v>
      </c>
      <c r="DI212" t="s">
        <v>116</v>
      </c>
    </row>
    <row r="213" spans="1:113" x14ac:dyDescent="0.4">
      <c r="A213" t="str">
        <f>"000655"</f>
        <v>000655</v>
      </c>
      <c r="B213" t="s">
        <v>1586</v>
      </c>
      <c r="C213">
        <v>1.1200000000000001</v>
      </c>
      <c r="D213">
        <v>5.42</v>
      </c>
      <c r="E213">
        <v>0.06</v>
      </c>
      <c r="F213">
        <v>5.42</v>
      </c>
      <c r="G213">
        <v>5.43</v>
      </c>
      <c r="H213">
        <v>153306</v>
      </c>
      <c r="I213">
        <v>1244</v>
      </c>
      <c r="J213">
        <v>-0.17</v>
      </c>
      <c r="K213">
        <v>2.58</v>
      </c>
      <c r="L213">
        <v>5.37</v>
      </c>
      <c r="M213">
        <v>5.6</v>
      </c>
      <c r="N213">
        <v>5.34</v>
      </c>
      <c r="O213">
        <v>5.36</v>
      </c>
      <c r="P213">
        <v>13.9</v>
      </c>
      <c r="Q213">
        <v>83773416</v>
      </c>
      <c r="R213">
        <v>2.4500000000000002</v>
      </c>
      <c r="S213" t="s">
        <v>1587</v>
      </c>
      <c r="T213" t="s">
        <v>645</v>
      </c>
      <c r="U213">
        <v>4.8499999999999996</v>
      </c>
      <c r="V213">
        <v>5.46</v>
      </c>
      <c r="W213">
        <v>70987</v>
      </c>
      <c r="X213">
        <v>82319</v>
      </c>
      <c r="Y213">
        <v>0.86</v>
      </c>
      <c r="Z213">
        <v>922</v>
      </c>
      <c r="AA213">
        <v>738</v>
      </c>
      <c r="AB213" t="s">
        <v>116</v>
      </c>
      <c r="AC213">
        <v>21500</v>
      </c>
      <c r="AD213">
        <v>0</v>
      </c>
      <c r="AE213" t="s">
        <v>116</v>
      </c>
      <c r="AF213" t="s">
        <v>116</v>
      </c>
      <c r="AG213">
        <v>5.95</v>
      </c>
      <c r="AH213" t="s">
        <v>1588</v>
      </c>
      <c r="AI213" t="s">
        <v>1588</v>
      </c>
      <c r="AJ213">
        <v>1.8</v>
      </c>
      <c r="AK213">
        <v>2255</v>
      </c>
      <c r="AL213">
        <v>68</v>
      </c>
      <c r="AM213">
        <v>1.1000000000000001E-3</v>
      </c>
      <c r="AN213">
        <v>2</v>
      </c>
      <c r="AO213">
        <v>1.1200000000000001</v>
      </c>
      <c r="AP213">
        <v>5.45</v>
      </c>
      <c r="AQ213">
        <v>6.9</v>
      </c>
      <c r="AR213">
        <v>60.83</v>
      </c>
      <c r="AS213">
        <v>6.19</v>
      </c>
      <c r="AT213" t="s">
        <v>1589</v>
      </c>
      <c r="AU213">
        <v>16.07</v>
      </c>
      <c r="AV213">
        <v>32.11</v>
      </c>
      <c r="AW213">
        <v>0.54</v>
      </c>
      <c r="BA213">
        <v>0.19</v>
      </c>
      <c r="BB213">
        <v>4.4800000000000004</v>
      </c>
      <c r="BC213">
        <v>-0.37</v>
      </c>
      <c r="BD213">
        <v>1.95</v>
      </c>
      <c r="BE213">
        <v>0.93</v>
      </c>
      <c r="BF213">
        <v>-3.21</v>
      </c>
      <c r="BG213">
        <v>1.5</v>
      </c>
      <c r="BH213">
        <v>-0.83</v>
      </c>
      <c r="BI213">
        <v>20191026</v>
      </c>
      <c r="BJ213">
        <v>19961128</v>
      </c>
      <c r="BK213">
        <v>5.95</v>
      </c>
      <c r="BL213" t="s">
        <v>116</v>
      </c>
      <c r="BM213" t="s">
        <v>116</v>
      </c>
      <c r="BN213">
        <v>28.61</v>
      </c>
      <c r="BO213">
        <v>25.73</v>
      </c>
      <c r="BP213">
        <v>0.12</v>
      </c>
      <c r="BQ213">
        <v>9.6300000000000008</v>
      </c>
      <c r="BR213">
        <v>12.98</v>
      </c>
      <c r="BS213">
        <v>2.81</v>
      </c>
      <c r="BT213">
        <v>2.8</v>
      </c>
      <c r="BU213">
        <v>2.39</v>
      </c>
      <c r="BV213">
        <v>1.02</v>
      </c>
      <c r="BW213">
        <v>0.84</v>
      </c>
      <c r="BX213">
        <v>4.88</v>
      </c>
      <c r="BY213">
        <v>10.19</v>
      </c>
      <c r="BZ213">
        <v>7.31</v>
      </c>
      <c r="CA213">
        <v>2.19</v>
      </c>
      <c r="CB213">
        <v>0.35</v>
      </c>
      <c r="CC213">
        <v>2.19</v>
      </c>
      <c r="CD213">
        <v>1.75</v>
      </c>
      <c r="CE213">
        <v>1.74</v>
      </c>
      <c r="CF213">
        <v>1.73</v>
      </c>
      <c r="CG213">
        <v>11.7</v>
      </c>
      <c r="CH213">
        <v>3.39</v>
      </c>
      <c r="CI213">
        <v>3.59</v>
      </c>
      <c r="CJ213">
        <v>41985</v>
      </c>
      <c r="CK213">
        <v>5897</v>
      </c>
      <c r="CL213" t="s">
        <v>1590</v>
      </c>
      <c r="CM213">
        <v>135.86000000000001</v>
      </c>
      <c r="CN213">
        <v>30.63</v>
      </c>
      <c r="CO213">
        <v>1.25</v>
      </c>
      <c r="CP213">
        <v>9.52</v>
      </c>
      <c r="CQ213">
        <v>3.17</v>
      </c>
      <c r="CR213">
        <v>0</v>
      </c>
      <c r="CS213" t="s">
        <v>1591</v>
      </c>
      <c r="CT213">
        <v>4.32</v>
      </c>
      <c r="CU213">
        <v>0</v>
      </c>
      <c r="CV213">
        <v>0.82</v>
      </c>
      <c r="CW213">
        <v>1.97</v>
      </c>
      <c r="CX213">
        <v>0.56999999999999995</v>
      </c>
      <c r="CY213">
        <v>89.94</v>
      </c>
      <c r="CZ213" t="s">
        <v>1592</v>
      </c>
      <c r="DA213">
        <v>28.24</v>
      </c>
      <c r="DB213">
        <v>21.51</v>
      </c>
      <c r="DC213">
        <v>17.09</v>
      </c>
      <c r="DD213">
        <v>0.1</v>
      </c>
      <c r="DE213">
        <v>2792</v>
      </c>
      <c r="DF213">
        <v>655</v>
      </c>
      <c r="DG213" t="s">
        <v>116</v>
      </c>
      <c r="DH213" t="s">
        <v>116</v>
      </c>
      <c r="DI213" t="s">
        <v>116</v>
      </c>
    </row>
    <row r="214" spans="1:113" x14ac:dyDescent="0.4">
      <c r="A214" t="str">
        <f>"000656"</f>
        <v>000656</v>
      </c>
      <c r="B214" t="s">
        <v>1593</v>
      </c>
      <c r="C214">
        <v>-1.07</v>
      </c>
      <c r="D214">
        <v>7.42</v>
      </c>
      <c r="E214">
        <v>-0.08</v>
      </c>
      <c r="F214">
        <v>7.42</v>
      </c>
      <c r="G214">
        <v>7.43</v>
      </c>
      <c r="H214">
        <v>294575</v>
      </c>
      <c r="I214">
        <v>4175</v>
      </c>
      <c r="J214">
        <v>-0.12</v>
      </c>
      <c r="K214">
        <v>0.56000000000000005</v>
      </c>
      <c r="L214">
        <v>7.47</v>
      </c>
      <c r="M214">
        <v>7.57</v>
      </c>
      <c r="N214">
        <v>7.36</v>
      </c>
      <c r="O214">
        <v>7.5</v>
      </c>
      <c r="P214">
        <v>7.47</v>
      </c>
      <c r="Q214">
        <v>220028752</v>
      </c>
      <c r="R214">
        <v>1.02</v>
      </c>
      <c r="S214" t="s">
        <v>148</v>
      </c>
      <c r="T214" t="s">
        <v>906</v>
      </c>
      <c r="U214">
        <v>2.8</v>
      </c>
      <c r="V214">
        <v>7.47</v>
      </c>
      <c r="W214">
        <v>157053</v>
      </c>
      <c r="X214">
        <v>137522</v>
      </c>
      <c r="Y214">
        <v>1.1399999999999999</v>
      </c>
      <c r="Z214">
        <v>71</v>
      </c>
      <c r="AA214">
        <v>1573</v>
      </c>
      <c r="AB214" t="s">
        <v>116</v>
      </c>
      <c r="AC214">
        <v>824700</v>
      </c>
      <c r="AD214">
        <v>0.01</v>
      </c>
      <c r="AE214" t="s">
        <v>116</v>
      </c>
      <c r="AF214" t="s">
        <v>116</v>
      </c>
      <c r="AG214">
        <v>52.47</v>
      </c>
      <c r="AH214" t="s">
        <v>1594</v>
      </c>
      <c r="AI214" t="s">
        <v>1595</v>
      </c>
      <c r="AJ214">
        <v>-0.39</v>
      </c>
      <c r="AK214">
        <v>3722</v>
      </c>
      <c r="AL214">
        <v>79</v>
      </c>
      <c r="AM214">
        <v>2.0000000000000001E-4</v>
      </c>
      <c r="AN214">
        <v>-1</v>
      </c>
      <c r="AO214">
        <v>0.26</v>
      </c>
      <c r="AP214">
        <v>12.94</v>
      </c>
      <c r="AQ214">
        <v>13.8</v>
      </c>
      <c r="AR214">
        <v>27.27</v>
      </c>
      <c r="AS214">
        <v>1.42</v>
      </c>
      <c r="AT214" t="s">
        <v>1596</v>
      </c>
      <c r="AU214">
        <v>6.98</v>
      </c>
      <c r="AV214">
        <v>10.199999999999999</v>
      </c>
      <c r="AW214">
        <v>0.6</v>
      </c>
      <c r="BA214">
        <v>-0.4</v>
      </c>
      <c r="BB214">
        <v>0.93</v>
      </c>
      <c r="BC214">
        <v>-1.87</v>
      </c>
      <c r="BD214">
        <v>-0.41</v>
      </c>
      <c r="BE214">
        <v>-0.67</v>
      </c>
      <c r="BF214">
        <v>-1.98</v>
      </c>
      <c r="BG214">
        <v>0.82</v>
      </c>
      <c r="BH214">
        <v>-0.66</v>
      </c>
      <c r="BI214">
        <v>20191031</v>
      </c>
      <c r="BJ214">
        <v>19961128</v>
      </c>
      <c r="BK214">
        <v>53.4</v>
      </c>
      <c r="BL214" t="s">
        <v>116</v>
      </c>
      <c r="BM214" t="s">
        <v>116</v>
      </c>
      <c r="BN214">
        <v>2912.3</v>
      </c>
      <c r="BO214">
        <v>245.91</v>
      </c>
      <c r="BP214">
        <v>224.45</v>
      </c>
      <c r="BQ214">
        <v>83.85</v>
      </c>
      <c r="BR214">
        <v>2664.12</v>
      </c>
      <c r="BS214">
        <v>40.01</v>
      </c>
      <c r="BT214">
        <v>0.75</v>
      </c>
      <c r="BU214">
        <v>1722.01</v>
      </c>
      <c r="BV214">
        <v>2026.74</v>
      </c>
      <c r="BW214">
        <v>23.38</v>
      </c>
      <c r="BX214">
        <v>45.67</v>
      </c>
      <c r="BY214">
        <v>432.03</v>
      </c>
      <c r="BZ214">
        <v>302</v>
      </c>
      <c r="CA214">
        <v>63.29</v>
      </c>
      <c r="CB214">
        <v>-3.07</v>
      </c>
      <c r="CC214">
        <v>61.48</v>
      </c>
      <c r="CD214">
        <v>46.62</v>
      </c>
      <c r="CE214">
        <v>39.81</v>
      </c>
      <c r="CF214">
        <v>40.42</v>
      </c>
      <c r="CG214">
        <v>118.13</v>
      </c>
      <c r="CH214">
        <v>-54.57</v>
      </c>
      <c r="CI214">
        <v>4.03</v>
      </c>
      <c r="CJ214">
        <v>116474</v>
      </c>
      <c r="CK214">
        <v>17845</v>
      </c>
      <c r="CL214" t="s">
        <v>1597</v>
      </c>
      <c r="CM214">
        <v>81.650000000000006</v>
      </c>
      <c r="CN214">
        <v>60.65</v>
      </c>
      <c r="CO214">
        <v>1.61</v>
      </c>
      <c r="CP214">
        <v>-7.26</v>
      </c>
      <c r="CQ214">
        <v>0.92</v>
      </c>
      <c r="CR214">
        <v>4.8499999999999996</v>
      </c>
      <c r="CS214" t="s">
        <v>1598</v>
      </c>
      <c r="CT214">
        <v>4.6100000000000003</v>
      </c>
      <c r="CU214">
        <v>0</v>
      </c>
      <c r="CV214">
        <v>0.86</v>
      </c>
      <c r="CW214">
        <v>2.21</v>
      </c>
      <c r="CX214">
        <v>-1.02</v>
      </c>
      <c r="CY214">
        <v>8.44</v>
      </c>
      <c r="CZ214" t="s">
        <v>1599</v>
      </c>
      <c r="DA214">
        <v>30.1</v>
      </c>
      <c r="DB214">
        <v>14.65</v>
      </c>
      <c r="DC214">
        <v>9.2100000000000009</v>
      </c>
      <c r="DD214">
        <v>0.3</v>
      </c>
      <c r="DE214">
        <v>23941</v>
      </c>
      <c r="DF214">
        <v>656</v>
      </c>
      <c r="DG214" t="s">
        <v>116</v>
      </c>
      <c r="DH214" t="s">
        <v>116</v>
      </c>
      <c r="DI214" t="s">
        <v>116</v>
      </c>
    </row>
    <row r="215" spans="1:113" x14ac:dyDescent="0.4">
      <c r="A215" t="str">
        <f>"000657"</f>
        <v>000657</v>
      </c>
      <c r="B215" t="s">
        <v>1600</v>
      </c>
      <c r="C215">
        <v>0.6</v>
      </c>
      <c r="D215">
        <v>6.76</v>
      </c>
      <c r="E215">
        <v>0.04</v>
      </c>
      <c r="F215">
        <v>6.76</v>
      </c>
      <c r="G215">
        <v>6.78</v>
      </c>
      <c r="H215">
        <v>105531</v>
      </c>
      <c r="I215">
        <v>1370</v>
      </c>
      <c r="J215">
        <v>-0.14000000000000001</v>
      </c>
      <c r="K215">
        <v>1.36</v>
      </c>
      <c r="L215">
        <v>6.7</v>
      </c>
      <c r="M215">
        <v>6.98</v>
      </c>
      <c r="N215">
        <v>6.7</v>
      </c>
      <c r="O215">
        <v>6.72</v>
      </c>
      <c r="P215">
        <v>41.12</v>
      </c>
      <c r="Q215">
        <v>72307344</v>
      </c>
      <c r="R215">
        <v>1.86</v>
      </c>
      <c r="S215" t="s">
        <v>1509</v>
      </c>
      <c r="T215" t="s">
        <v>851</v>
      </c>
      <c r="U215">
        <v>4.17</v>
      </c>
      <c r="V215">
        <v>6.85</v>
      </c>
      <c r="W215">
        <v>43340</v>
      </c>
      <c r="X215">
        <v>62191</v>
      </c>
      <c r="Y215">
        <v>0.7</v>
      </c>
      <c r="Z215">
        <v>587</v>
      </c>
      <c r="AA215">
        <v>234</v>
      </c>
      <c r="AB215" t="s">
        <v>116</v>
      </c>
      <c r="AC215">
        <v>263600</v>
      </c>
      <c r="AD215">
        <v>0.01</v>
      </c>
      <c r="AE215" t="s">
        <v>116</v>
      </c>
      <c r="AF215" t="s">
        <v>116</v>
      </c>
      <c r="AG215">
        <v>7.74</v>
      </c>
      <c r="AH215" t="s">
        <v>1601</v>
      </c>
      <c r="AI215" t="s">
        <v>1602</v>
      </c>
      <c r="AJ215">
        <v>1.27</v>
      </c>
      <c r="AK215">
        <v>1924</v>
      </c>
      <c r="AL215">
        <v>55</v>
      </c>
      <c r="AM215">
        <v>6.9999999999999999E-4</v>
      </c>
      <c r="AN215">
        <v>2</v>
      </c>
      <c r="AO215">
        <v>-0.73</v>
      </c>
      <c r="AP215">
        <v>7.99</v>
      </c>
      <c r="AQ215">
        <v>-7.14</v>
      </c>
      <c r="AR215">
        <v>27.07</v>
      </c>
      <c r="AS215">
        <v>3.07</v>
      </c>
      <c r="AT215" t="s">
        <v>1603</v>
      </c>
      <c r="AU215">
        <v>43.55</v>
      </c>
      <c r="AV215">
        <v>43.79</v>
      </c>
      <c r="AW215">
        <v>0.61</v>
      </c>
      <c r="BA215">
        <v>-0.3</v>
      </c>
      <c r="BB215">
        <v>3.87</v>
      </c>
      <c r="BC215">
        <v>-0.3</v>
      </c>
      <c r="BD215">
        <v>1.96</v>
      </c>
      <c r="BE215">
        <v>0.9</v>
      </c>
      <c r="BF215">
        <v>-3.15</v>
      </c>
      <c r="BG215">
        <v>0.9</v>
      </c>
      <c r="BH215">
        <v>-1.37</v>
      </c>
      <c r="BI215">
        <v>20191111</v>
      </c>
      <c r="BJ215">
        <v>19961205</v>
      </c>
      <c r="BK215">
        <v>8.8000000000000007</v>
      </c>
      <c r="BL215" t="s">
        <v>116</v>
      </c>
      <c r="BM215" t="s">
        <v>116</v>
      </c>
      <c r="BN215">
        <v>75.81</v>
      </c>
      <c r="BO215">
        <v>32.909999999999997</v>
      </c>
      <c r="BP215">
        <v>6.43</v>
      </c>
      <c r="BQ215">
        <v>48.11</v>
      </c>
      <c r="BR215">
        <v>43.26</v>
      </c>
      <c r="BS215">
        <v>22.39</v>
      </c>
      <c r="BT215">
        <v>5.37</v>
      </c>
      <c r="BU215">
        <v>30.29</v>
      </c>
      <c r="BV215">
        <v>16.510000000000002</v>
      </c>
      <c r="BW215">
        <v>14.1</v>
      </c>
      <c r="BX215">
        <v>25.45</v>
      </c>
      <c r="BY215">
        <v>59.15</v>
      </c>
      <c r="BZ215">
        <v>47.25</v>
      </c>
      <c r="CA215">
        <v>2.1</v>
      </c>
      <c r="CB215">
        <v>0</v>
      </c>
      <c r="CC215">
        <v>2.06</v>
      </c>
      <c r="CD215">
        <v>1.59</v>
      </c>
      <c r="CE215">
        <v>1.0900000000000001</v>
      </c>
      <c r="CF215">
        <v>0.82</v>
      </c>
      <c r="CG215">
        <v>-0.72</v>
      </c>
      <c r="CH215">
        <v>1.66</v>
      </c>
      <c r="CI215">
        <v>-2.21</v>
      </c>
      <c r="CJ215">
        <v>33000</v>
      </c>
      <c r="CK215">
        <v>10418</v>
      </c>
      <c r="CL215" t="s">
        <v>1604</v>
      </c>
      <c r="CM215">
        <v>0.72</v>
      </c>
      <c r="CN215">
        <v>-2.38</v>
      </c>
      <c r="CO215">
        <v>1.81</v>
      </c>
      <c r="CP215">
        <v>35.79</v>
      </c>
      <c r="CQ215">
        <v>1.01</v>
      </c>
      <c r="CR215">
        <v>0</v>
      </c>
      <c r="CS215" t="s">
        <v>1605</v>
      </c>
      <c r="CT215">
        <v>3.74</v>
      </c>
      <c r="CU215">
        <v>0</v>
      </c>
      <c r="CV215">
        <v>2.89</v>
      </c>
      <c r="CW215">
        <v>-0.08</v>
      </c>
      <c r="CX215">
        <v>0.19</v>
      </c>
      <c r="CY215">
        <v>43.41</v>
      </c>
      <c r="CZ215" t="s">
        <v>1606</v>
      </c>
      <c r="DA215">
        <v>20.12</v>
      </c>
      <c r="DB215">
        <v>3.54</v>
      </c>
      <c r="DC215">
        <v>1.83</v>
      </c>
      <c r="DD215">
        <v>2.16</v>
      </c>
      <c r="DE215">
        <v>7889</v>
      </c>
      <c r="DF215">
        <v>657</v>
      </c>
      <c r="DG215" t="s">
        <v>116</v>
      </c>
      <c r="DH215" t="s">
        <v>116</v>
      </c>
      <c r="DI215" t="s">
        <v>116</v>
      </c>
    </row>
    <row r="216" spans="1:113" x14ac:dyDescent="0.4">
      <c r="A216" t="str">
        <f>"000659"</f>
        <v>000659</v>
      </c>
      <c r="B216" t="s">
        <v>1607</v>
      </c>
      <c r="C216">
        <v>-0.36</v>
      </c>
      <c r="D216">
        <v>2.73</v>
      </c>
      <c r="E216">
        <v>-0.01</v>
      </c>
      <c r="F216">
        <v>2.72</v>
      </c>
      <c r="G216">
        <v>2.73</v>
      </c>
      <c r="H216">
        <v>57511</v>
      </c>
      <c r="I216">
        <v>417</v>
      </c>
      <c r="J216">
        <v>0</v>
      </c>
      <c r="K216">
        <v>0.45</v>
      </c>
      <c r="L216">
        <v>2.74</v>
      </c>
      <c r="M216">
        <v>2.76</v>
      </c>
      <c r="N216">
        <v>2.72</v>
      </c>
      <c r="O216">
        <v>2.74</v>
      </c>
      <c r="P216" t="s">
        <v>116</v>
      </c>
      <c r="Q216">
        <v>15804165</v>
      </c>
      <c r="R216">
        <v>0.53</v>
      </c>
      <c r="S216" t="s">
        <v>345</v>
      </c>
      <c r="T216" t="s">
        <v>551</v>
      </c>
      <c r="U216">
        <v>1.46</v>
      </c>
      <c r="V216">
        <v>2.75</v>
      </c>
      <c r="W216">
        <v>33881</v>
      </c>
      <c r="X216">
        <v>23630</v>
      </c>
      <c r="Y216">
        <v>1.43</v>
      </c>
      <c r="Z216">
        <v>1552</v>
      </c>
      <c r="AA216">
        <v>22</v>
      </c>
      <c r="AB216" t="s">
        <v>116</v>
      </c>
      <c r="AC216">
        <v>42700</v>
      </c>
      <c r="AD216">
        <v>0</v>
      </c>
      <c r="AE216" t="s">
        <v>116</v>
      </c>
      <c r="AF216" t="s">
        <v>116</v>
      </c>
      <c r="AG216">
        <v>12.86</v>
      </c>
      <c r="AH216" t="s">
        <v>948</v>
      </c>
      <c r="AI216" t="s">
        <v>948</v>
      </c>
      <c r="AJ216">
        <v>0.31</v>
      </c>
      <c r="AK216">
        <v>604</v>
      </c>
      <c r="AL216">
        <v>95</v>
      </c>
      <c r="AM216">
        <v>6.9999999999999999E-4</v>
      </c>
      <c r="AN216">
        <v>-2</v>
      </c>
      <c r="AO216">
        <v>-0.72</v>
      </c>
      <c r="AP216">
        <v>4.2</v>
      </c>
      <c r="AQ216">
        <v>2.63</v>
      </c>
      <c r="AR216">
        <v>-33.409999999999997</v>
      </c>
      <c r="AS216">
        <v>0.61</v>
      </c>
      <c r="AT216" t="s">
        <v>1608</v>
      </c>
      <c r="AU216" t="s">
        <v>116</v>
      </c>
      <c r="AV216">
        <v>156.72</v>
      </c>
      <c r="AW216">
        <v>0.28000000000000003</v>
      </c>
      <c r="BA216">
        <v>0</v>
      </c>
      <c r="BB216">
        <v>0.73</v>
      </c>
      <c r="BC216">
        <v>-0.73</v>
      </c>
      <c r="BD216">
        <v>0.28999999999999998</v>
      </c>
      <c r="BE216">
        <v>-0.36</v>
      </c>
      <c r="BF216">
        <v>-1.0900000000000001</v>
      </c>
      <c r="BG216">
        <v>0.37</v>
      </c>
      <c r="BH216">
        <v>-0.66</v>
      </c>
      <c r="BI216">
        <v>20191023</v>
      </c>
      <c r="BJ216">
        <v>19961203</v>
      </c>
      <c r="BK216">
        <v>12.86</v>
      </c>
      <c r="BL216" t="s">
        <v>116</v>
      </c>
      <c r="BM216" t="s">
        <v>116</v>
      </c>
      <c r="BN216">
        <v>24.51</v>
      </c>
      <c r="BO216">
        <v>6.82</v>
      </c>
      <c r="BP216">
        <v>-0.78</v>
      </c>
      <c r="BQ216">
        <v>75.38</v>
      </c>
      <c r="BR216">
        <v>6.98</v>
      </c>
      <c r="BS216">
        <v>12.31</v>
      </c>
      <c r="BT216">
        <v>0.82</v>
      </c>
      <c r="BU216">
        <v>18.03</v>
      </c>
      <c r="BV216">
        <v>1.69</v>
      </c>
      <c r="BW216">
        <v>2.4</v>
      </c>
      <c r="BX216">
        <v>2.81</v>
      </c>
      <c r="BY216">
        <v>12.86</v>
      </c>
      <c r="BZ216">
        <v>10.08</v>
      </c>
      <c r="CA216">
        <v>0.39</v>
      </c>
      <c r="CB216">
        <v>0</v>
      </c>
      <c r="CC216">
        <v>0.17</v>
      </c>
      <c r="CD216">
        <v>-0.11</v>
      </c>
      <c r="CE216">
        <v>-0.09</v>
      </c>
      <c r="CF216">
        <v>0.11</v>
      </c>
      <c r="CG216">
        <v>-13.28</v>
      </c>
      <c r="CH216">
        <v>1.46</v>
      </c>
      <c r="CI216">
        <v>-0.08</v>
      </c>
      <c r="CJ216">
        <v>53819</v>
      </c>
      <c r="CK216">
        <v>17415</v>
      </c>
      <c r="CL216" t="s">
        <v>1609</v>
      </c>
      <c r="CM216">
        <v>-139.47999999999999</v>
      </c>
      <c r="CN216">
        <v>-6.66</v>
      </c>
      <c r="CO216">
        <v>5.15</v>
      </c>
      <c r="CP216">
        <v>24.08</v>
      </c>
      <c r="CQ216">
        <v>2.73</v>
      </c>
      <c r="CR216">
        <v>0</v>
      </c>
      <c r="CS216" t="s">
        <v>1610</v>
      </c>
      <c r="CT216">
        <v>0.53</v>
      </c>
      <c r="CU216">
        <v>0</v>
      </c>
      <c r="CV216">
        <v>0.22</v>
      </c>
      <c r="CW216">
        <v>-1.03</v>
      </c>
      <c r="CX216">
        <v>0.11</v>
      </c>
      <c r="CY216">
        <v>27.82</v>
      </c>
      <c r="CZ216" t="s">
        <v>1611</v>
      </c>
      <c r="DA216">
        <v>21.6</v>
      </c>
      <c r="DB216">
        <v>3.01</v>
      </c>
      <c r="DC216">
        <v>-0.74</v>
      </c>
      <c r="DD216">
        <v>0.03</v>
      </c>
      <c r="DE216">
        <v>2103</v>
      </c>
      <c r="DF216">
        <v>659</v>
      </c>
      <c r="DG216" t="s">
        <v>116</v>
      </c>
      <c r="DH216" t="s">
        <v>116</v>
      </c>
      <c r="DI216" t="s">
        <v>116</v>
      </c>
    </row>
    <row r="217" spans="1:113" x14ac:dyDescent="0.4">
      <c r="A217" t="str">
        <f>"000661"</f>
        <v>000661</v>
      </c>
      <c r="B217" t="s">
        <v>1612</v>
      </c>
      <c r="C217">
        <v>1.95</v>
      </c>
      <c r="D217">
        <v>435</v>
      </c>
      <c r="E217">
        <v>8.31</v>
      </c>
      <c r="F217">
        <v>434.98</v>
      </c>
      <c r="G217">
        <v>435</v>
      </c>
      <c r="H217">
        <v>30630</v>
      </c>
      <c r="I217">
        <v>91</v>
      </c>
      <c r="J217">
        <v>0</v>
      </c>
      <c r="K217">
        <v>1.8</v>
      </c>
      <c r="L217">
        <v>438</v>
      </c>
      <c r="M217">
        <v>443.33</v>
      </c>
      <c r="N217">
        <v>431.35</v>
      </c>
      <c r="O217">
        <v>426.69</v>
      </c>
      <c r="P217">
        <v>53.22</v>
      </c>
      <c r="Q217">
        <v>1345848320</v>
      </c>
      <c r="R217">
        <v>1.96</v>
      </c>
      <c r="S217" t="s">
        <v>132</v>
      </c>
      <c r="T217" t="s">
        <v>294</v>
      </c>
      <c r="U217">
        <v>2.81</v>
      </c>
      <c r="V217">
        <v>439.38</v>
      </c>
      <c r="W217">
        <v>15678</v>
      </c>
      <c r="X217">
        <v>14952</v>
      </c>
      <c r="Y217">
        <v>1.05</v>
      </c>
      <c r="Z217">
        <v>2</v>
      </c>
      <c r="AA217">
        <v>7</v>
      </c>
      <c r="AB217" t="s">
        <v>116</v>
      </c>
      <c r="AC217">
        <v>19534800</v>
      </c>
      <c r="AD217">
        <v>0.03</v>
      </c>
      <c r="AE217" t="s">
        <v>116</v>
      </c>
      <c r="AF217" t="s">
        <v>116</v>
      </c>
      <c r="AG217">
        <v>1.7</v>
      </c>
      <c r="AH217" t="s">
        <v>1613</v>
      </c>
      <c r="AI217" t="s">
        <v>1614</v>
      </c>
      <c r="AJ217">
        <v>2.63</v>
      </c>
      <c r="AK217">
        <v>3675</v>
      </c>
      <c r="AL217">
        <v>8</v>
      </c>
      <c r="AM217">
        <v>5.0000000000000001E-4</v>
      </c>
      <c r="AN217">
        <v>3</v>
      </c>
      <c r="AO217">
        <v>3.1</v>
      </c>
      <c r="AP217">
        <v>-0.91</v>
      </c>
      <c r="AQ217">
        <v>8.25</v>
      </c>
      <c r="AR217">
        <v>149.71</v>
      </c>
      <c r="AS217">
        <v>2.3199999999999998</v>
      </c>
      <c r="AT217" t="s">
        <v>1615</v>
      </c>
      <c r="AU217">
        <v>61.76</v>
      </c>
      <c r="AV217">
        <v>86.43</v>
      </c>
      <c r="AW217">
        <v>0.91</v>
      </c>
      <c r="BA217">
        <v>2.65</v>
      </c>
      <c r="BB217">
        <v>3.9</v>
      </c>
      <c r="BC217">
        <v>1.0900000000000001</v>
      </c>
      <c r="BD217">
        <v>2.97</v>
      </c>
      <c r="BE217">
        <v>-0.68</v>
      </c>
      <c r="BF217">
        <v>-1.88</v>
      </c>
      <c r="BG217">
        <v>0.85</v>
      </c>
      <c r="BH217">
        <v>-1.03</v>
      </c>
      <c r="BI217">
        <v>20191227</v>
      </c>
      <c r="BJ217">
        <v>19961218</v>
      </c>
      <c r="BK217">
        <v>2.02</v>
      </c>
      <c r="BL217" t="s">
        <v>116</v>
      </c>
      <c r="BM217" t="s">
        <v>116</v>
      </c>
      <c r="BN217">
        <v>110.54</v>
      </c>
      <c r="BO217">
        <v>64.13</v>
      </c>
      <c r="BP217">
        <v>12.29</v>
      </c>
      <c r="BQ217">
        <v>30.86</v>
      </c>
      <c r="BR217">
        <v>73.37</v>
      </c>
      <c r="BS217">
        <v>14.78</v>
      </c>
      <c r="BT217">
        <v>2.46</v>
      </c>
      <c r="BU217">
        <v>32.22</v>
      </c>
      <c r="BV217">
        <v>18.989999999999998</v>
      </c>
      <c r="BW217">
        <v>11.13</v>
      </c>
      <c r="BX217">
        <v>19.66</v>
      </c>
      <c r="BY217">
        <v>54.44</v>
      </c>
      <c r="BZ217">
        <v>7.65</v>
      </c>
      <c r="CA217">
        <v>21.74</v>
      </c>
      <c r="CB217">
        <v>0.16</v>
      </c>
      <c r="CC217">
        <v>21.36</v>
      </c>
      <c r="CD217">
        <v>17.79</v>
      </c>
      <c r="CE217">
        <v>12.41</v>
      </c>
      <c r="CF217">
        <v>12.32</v>
      </c>
      <c r="CG217">
        <v>38.36</v>
      </c>
      <c r="CH217">
        <v>15.76</v>
      </c>
      <c r="CI217">
        <v>2.59</v>
      </c>
      <c r="CJ217">
        <v>28257</v>
      </c>
      <c r="CK217">
        <v>4670</v>
      </c>
      <c r="CL217" t="s">
        <v>1616</v>
      </c>
      <c r="CM217">
        <v>47.93</v>
      </c>
      <c r="CN217">
        <v>31.5</v>
      </c>
      <c r="CO217">
        <v>11.54</v>
      </c>
      <c r="CP217">
        <v>55.85</v>
      </c>
      <c r="CQ217">
        <v>16.170000000000002</v>
      </c>
      <c r="CR217">
        <v>0.16</v>
      </c>
      <c r="CS217" t="s">
        <v>1617</v>
      </c>
      <c r="CT217">
        <v>37.700000000000003</v>
      </c>
      <c r="CU217">
        <v>37.700000000000003</v>
      </c>
      <c r="CV217">
        <v>9.7100000000000009</v>
      </c>
      <c r="CW217">
        <v>18.96</v>
      </c>
      <c r="CX217">
        <v>7.79</v>
      </c>
      <c r="CY217">
        <v>58.02</v>
      </c>
      <c r="CZ217" t="s">
        <v>1618</v>
      </c>
      <c r="DA217">
        <v>85.94</v>
      </c>
      <c r="DB217">
        <v>39.93</v>
      </c>
      <c r="DC217">
        <v>22.79</v>
      </c>
      <c r="DD217">
        <v>2.72</v>
      </c>
      <c r="DE217">
        <v>5072</v>
      </c>
      <c r="DF217">
        <v>661</v>
      </c>
      <c r="DG217" t="s">
        <v>116</v>
      </c>
      <c r="DH217" t="s">
        <v>116</v>
      </c>
      <c r="DI217" t="s">
        <v>116</v>
      </c>
    </row>
    <row r="218" spans="1:113" x14ac:dyDescent="0.4">
      <c r="A218" t="str">
        <f>"000662"</f>
        <v>000662</v>
      </c>
      <c r="B218" t="s">
        <v>1619</v>
      </c>
      <c r="C218">
        <v>-3.51</v>
      </c>
      <c r="D218">
        <v>5.5</v>
      </c>
      <c r="E218">
        <v>-0.2</v>
      </c>
      <c r="F218">
        <v>5.5</v>
      </c>
      <c r="G218">
        <v>5.51</v>
      </c>
      <c r="H218">
        <v>345558</v>
      </c>
      <c r="I218">
        <v>5097</v>
      </c>
      <c r="J218">
        <v>0</v>
      </c>
      <c r="K218">
        <v>3.16</v>
      </c>
      <c r="L218">
        <v>5.7</v>
      </c>
      <c r="M218">
        <v>5.72</v>
      </c>
      <c r="N218">
        <v>5.47</v>
      </c>
      <c r="O218">
        <v>5.7</v>
      </c>
      <c r="P218">
        <v>64.27</v>
      </c>
      <c r="Q218">
        <v>193271632</v>
      </c>
      <c r="R218">
        <v>0.94</v>
      </c>
      <c r="S218" t="s">
        <v>607</v>
      </c>
      <c r="T218" t="s">
        <v>982</v>
      </c>
      <c r="U218">
        <v>4.3899999999999997</v>
      </c>
      <c r="V218">
        <v>5.59</v>
      </c>
      <c r="W218">
        <v>212672</v>
      </c>
      <c r="X218">
        <v>132886</v>
      </c>
      <c r="Y218">
        <v>1.6</v>
      </c>
      <c r="Z218">
        <v>3737</v>
      </c>
      <c r="AA218">
        <v>1448</v>
      </c>
      <c r="AB218" t="s">
        <v>116</v>
      </c>
      <c r="AC218">
        <v>184100</v>
      </c>
      <c r="AD218">
        <v>0.01</v>
      </c>
      <c r="AE218" t="s">
        <v>116</v>
      </c>
      <c r="AF218" t="s">
        <v>116</v>
      </c>
      <c r="AG218">
        <v>10.93</v>
      </c>
      <c r="AH218" t="s">
        <v>1620</v>
      </c>
      <c r="AI218" t="s">
        <v>1621</v>
      </c>
      <c r="AJ218">
        <v>-2.83</v>
      </c>
      <c r="AK218">
        <v>3562</v>
      </c>
      <c r="AL218">
        <v>97</v>
      </c>
      <c r="AM218">
        <v>8.9999999999999998E-4</v>
      </c>
      <c r="AN218">
        <v>-1</v>
      </c>
      <c r="AO218">
        <v>-2.48</v>
      </c>
      <c r="AP218">
        <v>-12.14</v>
      </c>
      <c r="AQ218">
        <v>23.32</v>
      </c>
      <c r="AR218">
        <v>-11</v>
      </c>
      <c r="AS218">
        <v>6.51</v>
      </c>
      <c r="AT218" t="s">
        <v>1622</v>
      </c>
      <c r="AU218">
        <v>70.39</v>
      </c>
      <c r="AV218">
        <v>39.85</v>
      </c>
      <c r="AW218">
        <v>0.79</v>
      </c>
      <c r="BA218">
        <v>0</v>
      </c>
      <c r="BB218">
        <v>0.35</v>
      </c>
      <c r="BC218">
        <v>-4.04</v>
      </c>
      <c r="BD218">
        <v>-1.88</v>
      </c>
      <c r="BE218">
        <v>-3.51</v>
      </c>
      <c r="BF218">
        <v>-3.85</v>
      </c>
      <c r="BG218">
        <v>0.55000000000000004</v>
      </c>
      <c r="BH218">
        <v>-1.63</v>
      </c>
      <c r="BI218">
        <v>20191122</v>
      </c>
      <c r="BJ218">
        <v>19961216</v>
      </c>
      <c r="BK218">
        <v>10.93</v>
      </c>
      <c r="BL218" t="s">
        <v>116</v>
      </c>
      <c r="BM218" t="s">
        <v>116</v>
      </c>
      <c r="BN218">
        <v>74.05</v>
      </c>
      <c r="BO218">
        <v>57.3</v>
      </c>
      <c r="BP218">
        <v>0</v>
      </c>
      <c r="BQ218">
        <v>22.63</v>
      </c>
      <c r="BR218">
        <v>29.17</v>
      </c>
      <c r="BS218">
        <v>0.01</v>
      </c>
      <c r="BT218">
        <v>0.39</v>
      </c>
      <c r="BU218">
        <v>16.440000000000001</v>
      </c>
      <c r="BV218">
        <v>0.47</v>
      </c>
      <c r="BW218">
        <v>17.7</v>
      </c>
      <c r="BX218">
        <v>35.979999999999997</v>
      </c>
      <c r="BY218">
        <v>2.79</v>
      </c>
      <c r="BZ218">
        <v>1.1599999999999999</v>
      </c>
      <c r="CA218">
        <v>0.9</v>
      </c>
      <c r="CB218">
        <v>0</v>
      </c>
      <c r="CC218">
        <v>0.9</v>
      </c>
      <c r="CD218">
        <v>0.7</v>
      </c>
      <c r="CE218">
        <v>0.7</v>
      </c>
      <c r="CF218">
        <v>0.7</v>
      </c>
      <c r="CG218">
        <v>9.69</v>
      </c>
      <c r="CH218">
        <v>-1.78</v>
      </c>
      <c r="CI218">
        <v>-3.02</v>
      </c>
      <c r="CJ218">
        <v>40072</v>
      </c>
      <c r="CK218">
        <v>13243</v>
      </c>
      <c r="CL218" t="s">
        <v>1623</v>
      </c>
      <c r="CM218">
        <v>-48.27</v>
      </c>
      <c r="CN218">
        <v>-34.869999999999997</v>
      </c>
      <c r="CO218">
        <v>1.05</v>
      </c>
      <c r="CP218">
        <v>-33.69</v>
      </c>
      <c r="CQ218">
        <v>21.57</v>
      </c>
      <c r="CR218">
        <v>0</v>
      </c>
      <c r="CS218" t="s">
        <v>1322</v>
      </c>
      <c r="CT218">
        <v>5.24</v>
      </c>
      <c r="CU218">
        <v>0</v>
      </c>
      <c r="CV218">
        <v>3.29</v>
      </c>
      <c r="CW218">
        <v>0.89</v>
      </c>
      <c r="CX218">
        <v>-0.16</v>
      </c>
      <c r="CY218">
        <v>77.37</v>
      </c>
      <c r="CZ218" t="s">
        <v>1624</v>
      </c>
      <c r="DA218">
        <v>58.23</v>
      </c>
      <c r="DB218">
        <v>32.39</v>
      </c>
      <c r="DC218">
        <v>25.17</v>
      </c>
      <c r="DD218">
        <v>0.1</v>
      </c>
      <c r="DE218">
        <v>349</v>
      </c>
      <c r="DF218">
        <v>662</v>
      </c>
      <c r="DG218" t="s">
        <v>116</v>
      </c>
      <c r="DH218" t="s">
        <v>116</v>
      </c>
      <c r="DI218" t="s">
        <v>116</v>
      </c>
    </row>
    <row r="219" spans="1:113" x14ac:dyDescent="0.4">
      <c r="A219" t="str">
        <f>"000663"</f>
        <v>000663</v>
      </c>
      <c r="B219" t="s">
        <v>1625</v>
      </c>
      <c r="C219">
        <v>-0.63</v>
      </c>
      <c r="D219">
        <v>4.7699999999999996</v>
      </c>
      <c r="E219">
        <v>-0.03</v>
      </c>
      <c r="F219">
        <v>4.7699999999999996</v>
      </c>
      <c r="G219">
        <v>4.78</v>
      </c>
      <c r="H219">
        <v>15666</v>
      </c>
      <c r="I219">
        <v>226</v>
      </c>
      <c r="J219">
        <v>0</v>
      </c>
      <c r="K219">
        <v>0.61</v>
      </c>
      <c r="L219">
        <v>4.8099999999999996</v>
      </c>
      <c r="M219">
        <v>4.8499999999999996</v>
      </c>
      <c r="N219">
        <v>4.7699999999999996</v>
      </c>
      <c r="O219">
        <v>4.8</v>
      </c>
      <c r="P219" t="s">
        <v>116</v>
      </c>
      <c r="Q219">
        <v>7546585</v>
      </c>
      <c r="R219">
        <v>0.61</v>
      </c>
      <c r="S219" t="s">
        <v>1310</v>
      </c>
      <c r="T219" t="s">
        <v>975</v>
      </c>
      <c r="U219">
        <v>1.67</v>
      </c>
      <c r="V219">
        <v>4.82</v>
      </c>
      <c r="W219">
        <v>8806</v>
      </c>
      <c r="X219">
        <v>6860</v>
      </c>
      <c r="Y219">
        <v>1.28</v>
      </c>
      <c r="Z219">
        <v>137</v>
      </c>
      <c r="AA219">
        <v>313</v>
      </c>
      <c r="AB219" t="s">
        <v>116</v>
      </c>
      <c r="AC219">
        <v>28900</v>
      </c>
      <c r="AD219">
        <v>0</v>
      </c>
      <c r="AE219" t="s">
        <v>116</v>
      </c>
      <c r="AF219" t="s">
        <v>116</v>
      </c>
      <c r="AG219">
        <v>2.5499999999999998</v>
      </c>
      <c r="AH219" t="s">
        <v>1626</v>
      </c>
      <c r="AI219" t="s">
        <v>1627</v>
      </c>
      <c r="AJ219">
        <v>0.05</v>
      </c>
      <c r="AK219">
        <v>772</v>
      </c>
      <c r="AL219">
        <v>20</v>
      </c>
      <c r="AM219">
        <v>8.0000000000000004E-4</v>
      </c>
      <c r="AN219">
        <v>-1</v>
      </c>
      <c r="AO219">
        <v>-1.04</v>
      </c>
      <c r="AP219">
        <v>4.38</v>
      </c>
      <c r="AQ219">
        <v>-14.52</v>
      </c>
      <c r="AR219">
        <v>-19.97</v>
      </c>
      <c r="AS219">
        <v>0.77</v>
      </c>
      <c r="AT219" t="s">
        <v>1628</v>
      </c>
      <c r="AU219" t="s">
        <v>116</v>
      </c>
      <c r="AV219" t="s">
        <v>116</v>
      </c>
      <c r="AW219">
        <v>1.21</v>
      </c>
      <c r="BA219">
        <v>0.21</v>
      </c>
      <c r="BB219">
        <v>1.04</v>
      </c>
      <c r="BC219">
        <v>-0.63</v>
      </c>
      <c r="BD219">
        <v>0.36</v>
      </c>
      <c r="BE219">
        <v>-0.83</v>
      </c>
      <c r="BF219">
        <v>-1.65</v>
      </c>
      <c r="BG219">
        <v>0</v>
      </c>
      <c r="BH219">
        <v>-0.98</v>
      </c>
      <c r="BI219">
        <v>20191220</v>
      </c>
      <c r="BJ219">
        <v>19961206</v>
      </c>
      <c r="BK219">
        <v>3.37</v>
      </c>
      <c r="BL219" t="s">
        <v>116</v>
      </c>
      <c r="BM219" t="s">
        <v>116</v>
      </c>
      <c r="BN219">
        <v>27.22</v>
      </c>
      <c r="BO219">
        <v>7.73</v>
      </c>
      <c r="BP219">
        <v>0.26</v>
      </c>
      <c r="BQ219">
        <v>70.66</v>
      </c>
      <c r="BR219">
        <v>14.87</v>
      </c>
      <c r="BS219">
        <v>7.77</v>
      </c>
      <c r="BT219">
        <v>1.36</v>
      </c>
      <c r="BU219">
        <v>18.559999999999999</v>
      </c>
      <c r="BV219">
        <v>8.02</v>
      </c>
      <c r="BW219">
        <v>3.66</v>
      </c>
      <c r="BX219">
        <v>16.14</v>
      </c>
      <c r="BY219">
        <v>5.86</v>
      </c>
      <c r="BZ219">
        <v>4.6100000000000003</v>
      </c>
      <c r="CA219">
        <v>-0.41</v>
      </c>
      <c r="CB219">
        <v>0.01</v>
      </c>
      <c r="CC219">
        <v>-0.39</v>
      </c>
      <c r="CD219">
        <v>-0.39</v>
      </c>
      <c r="CE219">
        <v>-0.38</v>
      </c>
      <c r="CF219">
        <v>-0.55000000000000004</v>
      </c>
      <c r="CG219">
        <v>-12.04</v>
      </c>
      <c r="CH219">
        <v>0.22</v>
      </c>
      <c r="CI219">
        <v>-0.15</v>
      </c>
      <c r="CJ219">
        <v>18485</v>
      </c>
      <c r="CK219">
        <v>10977</v>
      </c>
      <c r="CL219" t="s">
        <v>1629</v>
      </c>
      <c r="CM219">
        <v>45.25</v>
      </c>
      <c r="CN219">
        <v>-2.2599999999999998</v>
      </c>
      <c r="CO219">
        <v>2.08</v>
      </c>
      <c r="CP219">
        <v>71.97</v>
      </c>
      <c r="CQ219">
        <v>2.74</v>
      </c>
      <c r="CR219">
        <v>0</v>
      </c>
      <c r="CS219" t="s">
        <v>1630</v>
      </c>
      <c r="CT219">
        <v>2.2999999999999998</v>
      </c>
      <c r="CU219">
        <v>0</v>
      </c>
      <c r="CV219">
        <v>4.79</v>
      </c>
      <c r="CW219">
        <v>-3.58</v>
      </c>
      <c r="CX219">
        <v>7.0000000000000007E-2</v>
      </c>
      <c r="CY219">
        <v>28.4</v>
      </c>
      <c r="CZ219" t="s">
        <v>1631</v>
      </c>
      <c r="DA219">
        <v>21.32</v>
      </c>
      <c r="DB219">
        <v>-7.07</v>
      </c>
      <c r="DC219">
        <v>-6.53</v>
      </c>
      <c r="DD219">
        <v>0</v>
      </c>
      <c r="DE219">
        <v>2278</v>
      </c>
      <c r="DF219">
        <v>663</v>
      </c>
      <c r="DG219" t="s">
        <v>116</v>
      </c>
      <c r="DH219" t="s">
        <v>116</v>
      </c>
      <c r="DI219" t="s">
        <v>116</v>
      </c>
    </row>
    <row r="220" spans="1:113" x14ac:dyDescent="0.4">
      <c r="A220" t="str">
        <f>"000665"</f>
        <v>000665</v>
      </c>
      <c r="B220" t="s">
        <v>1632</v>
      </c>
      <c r="C220">
        <v>-0.56000000000000005</v>
      </c>
      <c r="D220">
        <v>5.36</v>
      </c>
      <c r="E220">
        <v>-0.03</v>
      </c>
      <c r="F220">
        <v>5.35</v>
      </c>
      <c r="G220">
        <v>5.36</v>
      </c>
      <c r="H220">
        <v>87522</v>
      </c>
      <c r="I220">
        <v>395</v>
      </c>
      <c r="J220">
        <v>0</v>
      </c>
      <c r="K220">
        <v>0.91</v>
      </c>
      <c r="L220">
        <v>5.39</v>
      </c>
      <c r="M220">
        <v>5.49</v>
      </c>
      <c r="N220">
        <v>5.33</v>
      </c>
      <c r="O220">
        <v>5.39</v>
      </c>
      <c r="P220">
        <v>25.82</v>
      </c>
      <c r="Q220">
        <v>47399628</v>
      </c>
      <c r="R220">
        <v>0.88</v>
      </c>
      <c r="S220" t="s">
        <v>589</v>
      </c>
      <c r="T220" t="s">
        <v>774</v>
      </c>
      <c r="U220">
        <v>2.97</v>
      </c>
      <c r="V220">
        <v>5.42</v>
      </c>
      <c r="W220">
        <v>48943</v>
      </c>
      <c r="X220">
        <v>38579</v>
      </c>
      <c r="Y220">
        <v>1.27</v>
      </c>
      <c r="Z220">
        <v>566</v>
      </c>
      <c r="AA220">
        <v>807</v>
      </c>
      <c r="AB220" t="s">
        <v>116</v>
      </c>
      <c r="AC220">
        <v>227400</v>
      </c>
      <c r="AD220">
        <v>0.01</v>
      </c>
      <c r="AE220" t="s">
        <v>116</v>
      </c>
      <c r="AF220" t="s">
        <v>116</v>
      </c>
      <c r="AG220">
        <v>9.6300000000000008</v>
      </c>
      <c r="AH220" t="s">
        <v>832</v>
      </c>
      <c r="AI220" t="s">
        <v>1633</v>
      </c>
      <c r="AJ220">
        <v>0.12</v>
      </c>
      <c r="AK220">
        <v>1100</v>
      </c>
      <c r="AL220">
        <v>80</v>
      </c>
      <c r="AM220">
        <v>8.0000000000000004E-4</v>
      </c>
      <c r="AN220">
        <v>-1</v>
      </c>
      <c r="AO220">
        <v>0.76</v>
      </c>
      <c r="AP220">
        <v>7.63</v>
      </c>
      <c r="AQ220">
        <v>-3.42</v>
      </c>
      <c r="AR220">
        <v>5.69</v>
      </c>
      <c r="AS220">
        <v>2.0499999999999998</v>
      </c>
      <c r="AT220" t="s">
        <v>1634</v>
      </c>
      <c r="AU220">
        <v>40.549999999999997</v>
      </c>
      <c r="AV220">
        <v>28.17</v>
      </c>
      <c r="AW220">
        <v>1.1599999999999999</v>
      </c>
      <c r="BA220">
        <v>0</v>
      </c>
      <c r="BB220">
        <v>1.86</v>
      </c>
      <c r="BC220">
        <v>-1.1100000000000001</v>
      </c>
      <c r="BD220">
        <v>0.48</v>
      </c>
      <c r="BE220">
        <v>-0.56000000000000005</v>
      </c>
      <c r="BF220">
        <v>-2.37</v>
      </c>
      <c r="BG220">
        <v>0.56000000000000005</v>
      </c>
      <c r="BH220">
        <v>-1.03</v>
      </c>
      <c r="BI220">
        <v>20191119</v>
      </c>
      <c r="BJ220">
        <v>19961210</v>
      </c>
      <c r="BK220">
        <v>9.64</v>
      </c>
      <c r="BL220" t="s">
        <v>116</v>
      </c>
      <c r="BM220" t="s">
        <v>116</v>
      </c>
      <c r="BN220">
        <v>113.3</v>
      </c>
      <c r="BO220">
        <v>68.28</v>
      </c>
      <c r="BP220">
        <v>2.86</v>
      </c>
      <c r="BQ220">
        <v>37.21</v>
      </c>
      <c r="BR220">
        <v>20.77</v>
      </c>
      <c r="BS220">
        <v>57.35</v>
      </c>
      <c r="BT220">
        <v>1.39</v>
      </c>
      <c r="BU220">
        <v>30.85</v>
      </c>
      <c r="BV220">
        <v>0.04</v>
      </c>
      <c r="BW220">
        <v>6.13</v>
      </c>
      <c r="BX220">
        <v>35.67</v>
      </c>
      <c r="BY220">
        <v>18.649999999999999</v>
      </c>
      <c r="BZ220">
        <v>11.64</v>
      </c>
      <c r="CA220">
        <v>1.39</v>
      </c>
      <c r="CB220">
        <v>0.04</v>
      </c>
      <c r="CC220">
        <v>1.58</v>
      </c>
      <c r="CD220">
        <v>1.54</v>
      </c>
      <c r="CE220">
        <v>1.5</v>
      </c>
      <c r="CF220">
        <v>1.1499999999999999</v>
      </c>
      <c r="CG220">
        <v>18.84</v>
      </c>
      <c r="CH220">
        <v>0.8</v>
      </c>
      <c r="CI220">
        <v>-1.03</v>
      </c>
      <c r="CJ220">
        <v>26963</v>
      </c>
      <c r="CK220">
        <v>15798</v>
      </c>
      <c r="CL220" t="s">
        <v>1635</v>
      </c>
      <c r="CM220">
        <v>-27.18</v>
      </c>
      <c r="CN220">
        <v>-2.29</v>
      </c>
      <c r="CO220">
        <v>0.79</v>
      </c>
      <c r="CP220">
        <v>64.53</v>
      </c>
      <c r="CQ220">
        <v>2.77</v>
      </c>
      <c r="CR220">
        <v>0.8</v>
      </c>
      <c r="CS220" t="s">
        <v>1636</v>
      </c>
      <c r="CT220">
        <v>6.77</v>
      </c>
      <c r="CU220">
        <v>6.77</v>
      </c>
      <c r="CV220">
        <v>3.7</v>
      </c>
      <c r="CW220">
        <v>1.95</v>
      </c>
      <c r="CX220">
        <v>0.08</v>
      </c>
      <c r="CY220">
        <v>60.26</v>
      </c>
      <c r="CZ220" t="s">
        <v>1637</v>
      </c>
      <c r="DA220">
        <v>37.58</v>
      </c>
      <c r="DB220">
        <v>7.47</v>
      </c>
      <c r="DC220">
        <v>8.0399999999999991</v>
      </c>
      <c r="DD220">
        <v>0.61</v>
      </c>
      <c r="DE220">
        <v>8120</v>
      </c>
      <c r="DF220">
        <v>665</v>
      </c>
      <c r="DG220" t="s">
        <v>116</v>
      </c>
      <c r="DH220" t="s">
        <v>116</v>
      </c>
      <c r="DI220" t="s">
        <v>116</v>
      </c>
    </row>
    <row r="221" spans="1:113" x14ac:dyDescent="0.4">
      <c r="A221" t="str">
        <f>"000666"</f>
        <v>000666</v>
      </c>
      <c r="B221" t="s">
        <v>1638</v>
      </c>
      <c r="C221">
        <v>2.56</v>
      </c>
      <c r="D221">
        <v>11.22</v>
      </c>
      <c r="E221">
        <v>0.28000000000000003</v>
      </c>
      <c r="F221">
        <v>11.22</v>
      </c>
      <c r="G221">
        <v>11.23</v>
      </c>
      <c r="H221">
        <v>141717</v>
      </c>
      <c r="I221">
        <v>685</v>
      </c>
      <c r="J221">
        <v>-0.17</v>
      </c>
      <c r="K221">
        <v>4.83</v>
      </c>
      <c r="L221">
        <v>10.91</v>
      </c>
      <c r="M221">
        <v>11.57</v>
      </c>
      <c r="N221">
        <v>10.91</v>
      </c>
      <c r="O221">
        <v>10.94</v>
      </c>
      <c r="P221">
        <v>15.9</v>
      </c>
      <c r="Q221">
        <v>160621200</v>
      </c>
      <c r="R221">
        <v>2.91</v>
      </c>
      <c r="S221" t="s">
        <v>732</v>
      </c>
      <c r="T221" t="s">
        <v>165</v>
      </c>
      <c r="U221">
        <v>6.03</v>
      </c>
      <c r="V221">
        <v>11.33</v>
      </c>
      <c r="W221">
        <v>59278</v>
      </c>
      <c r="X221">
        <v>82439</v>
      </c>
      <c r="Y221">
        <v>0.72</v>
      </c>
      <c r="Z221">
        <v>235</v>
      </c>
      <c r="AA221">
        <v>366</v>
      </c>
      <c r="AB221" t="s">
        <v>116</v>
      </c>
      <c r="AC221">
        <v>484400</v>
      </c>
      <c r="AD221">
        <v>0.02</v>
      </c>
      <c r="AE221" t="s">
        <v>116</v>
      </c>
      <c r="AF221" t="s">
        <v>116</v>
      </c>
      <c r="AG221">
        <v>2.94</v>
      </c>
      <c r="AH221" t="s">
        <v>1639</v>
      </c>
      <c r="AI221" t="s">
        <v>1640</v>
      </c>
      <c r="AJ221">
        <v>3.24</v>
      </c>
      <c r="AK221">
        <v>2667</v>
      </c>
      <c r="AL221">
        <v>53</v>
      </c>
      <c r="AM221">
        <v>1.8E-3</v>
      </c>
      <c r="AN221">
        <v>2</v>
      </c>
      <c r="AO221">
        <v>2.94</v>
      </c>
      <c r="AP221">
        <v>6.86</v>
      </c>
      <c r="AQ221">
        <v>-9.08</v>
      </c>
      <c r="AR221">
        <v>4.57</v>
      </c>
      <c r="AS221">
        <v>4.97</v>
      </c>
      <c r="AT221" t="s">
        <v>1641</v>
      </c>
      <c r="AU221">
        <v>12.65</v>
      </c>
      <c r="AV221">
        <v>10.44</v>
      </c>
      <c r="AW221">
        <v>1.25</v>
      </c>
      <c r="BA221">
        <v>-0.27</v>
      </c>
      <c r="BB221">
        <v>5.76</v>
      </c>
      <c r="BC221">
        <v>-0.27</v>
      </c>
      <c r="BD221">
        <v>3.6</v>
      </c>
      <c r="BE221">
        <v>2.84</v>
      </c>
      <c r="BF221">
        <v>-3.03</v>
      </c>
      <c r="BG221">
        <v>2.84</v>
      </c>
      <c r="BH221">
        <v>-1.04</v>
      </c>
      <c r="BI221">
        <v>20191126</v>
      </c>
      <c r="BJ221">
        <v>19961210</v>
      </c>
      <c r="BK221">
        <v>7.04</v>
      </c>
      <c r="BL221" t="s">
        <v>116</v>
      </c>
      <c r="BM221" t="s">
        <v>116</v>
      </c>
      <c r="BN221">
        <v>348.47</v>
      </c>
      <c r="BO221">
        <v>86.68</v>
      </c>
      <c r="BP221">
        <v>129.63999999999999</v>
      </c>
      <c r="BQ221">
        <v>37.92</v>
      </c>
      <c r="BR221">
        <v>244.11</v>
      </c>
      <c r="BS221">
        <v>13.65</v>
      </c>
      <c r="BT221">
        <v>4.09</v>
      </c>
      <c r="BU221">
        <v>83.3</v>
      </c>
      <c r="BV221">
        <v>9.15</v>
      </c>
      <c r="BW221">
        <v>15.36</v>
      </c>
      <c r="BX221">
        <v>18.77</v>
      </c>
      <c r="BY221">
        <v>39</v>
      </c>
      <c r="BZ221">
        <v>28</v>
      </c>
      <c r="CA221">
        <v>15.54</v>
      </c>
      <c r="CB221">
        <v>2.2799999999999998</v>
      </c>
      <c r="CC221">
        <v>15.1</v>
      </c>
      <c r="CD221">
        <v>11.87</v>
      </c>
      <c r="CE221">
        <v>3.73</v>
      </c>
      <c r="CF221">
        <v>4.04</v>
      </c>
      <c r="CG221">
        <v>43.23</v>
      </c>
      <c r="CH221">
        <v>-39.89</v>
      </c>
      <c r="CI221">
        <v>-66.400000000000006</v>
      </c>
      <c r="CJ221">
        <v>37369</v>
      </c>
      <c r="CK221">
        <v>7624</v>
      </c>
      <c r="CL221" t="s">
        <v>1642</v>
      </c>
      <c r="CM221">
        <v>-26.24</v>
      </c>
      <c r="CN221">
        <v>-24.77</v>
      </c>
      <c r="CO221">
        <v>0.91</v>
      </c>
      <c r="CP221">
        <v>-1.98</v>
      </c>
      <c r="CQ221">
        <v>2.0299999999999998</v>
      </c>
      <c r="CR221">
        <v>0.45</v>
      </c>
      <c r="CS221" t="s">
        <v>1643</v>
      </c>
      <c r="CT221">
        <v>12.31</v>
      </c>
      <c r="CU221">
        <v>0</v>
      </c>
      <c r="CV221">
        <v>2.67</v>
      </c>
      <c r="CW221">
        <v>6.14</v>
      </c>
      <c r="CX221">
        <v>-5.67</v>
      </c>
      <c r="CY221">
        <v>24.88</v>
      </c>
      <c r="CZ221" t="s">
        <v>1644</v>
      </c>
      <c r="DA221">
        <v>28.21</v>
      </c>
      <c r="DB221">
        <v>39.85</v>
      </c>
      <c r="DC221">
        <v>9.5500000000000007</v>
      </c>
      <c r="DD221">
        <v>1.34</v>
      </c>
      <c r="DE221">
        <v>8684</v>
      </c>
      <c r="DF221">
        <v>666</v>
      </c>
      <c r="DG221" t="s">
        <v>116</v>
      </c>
      <c r="DH221" t="s">
        <v>116</v>
      </c>
      <c r="DI221" t="s">
        <v>116</v>
      </c>
    </row>
    <row r="222" spans="1:113" x14ac:dyDescent="0.4">
      <c r="A222" t="str">
        <f>"000667"</f>
        <v>000667</v>
      </c>
      <c r="B222" t="s">
        <v>1645</v>
      </c>
      <c r="C222">
        <v>-0.73</v>
      </c>
      <c r="D222">
        <v>2.71</v>
      </c>
      <c r="E222">
        <v>-0.02</v>
      </c>
      <c r="F222">
        <v>2.7</v>
      </c>
      <c r="G222">
        <v>2.71</v>
      </c>
      <c r="H222">
        <v>99260</v>
      </c>
      <c r="I222">
        <v>3788</v>
      </c>
      <c r="J222">
        <v>0.37</v>
      </c>
      <c r="K222">
        <v>0.41</v>
      </c>
      <c r="L222">
        <v>2.72</v>
      </c>
      <c r="M222">
        <v>2.73</v>
      </c>
      <c r="N222">
        <v>2.7</v>
      </c>
      <c r="O222">
        <v>2.73</v>
      </c>
      <c r="P222">
        <v>65.849999999999994</v>
      </c>
      <c r="Q222">
        <v>26924290</v>
      </c>
      <c r="R222">
        <v>0.81</v>
      </c>
      <c r="S222" t="s">
        <v>124</v>
      </c>
      <c r="T222" t="s">
        <v>1043</v>
      </c>
      <c r="U222">
        <v>1.1000000000000001</v>
      </c>
      <c r="V222">
        <v>2.71</v>
      </c>
      <c r="W222">
        <v>59375</v>
      </c>
      <c r="X222">
        <v>39885</v>
      </c>
      <c r="Y222">
        <v>1.49</v>
      </c>
      <c r="Z222">
        <v>8362</v>
      </c>
      <c r="AA222">
        <v>1778</v>
      </c>
      <c r="AB222" t="s">
        <v>116</v>
      </c>
      <c r="AC222">
        <v>55200</v>
      </c>
      <c r="AD222">
        <v>0</v>
      </c>
      <c r="AE222" t="s">
        <v>116</v>
      </c>
      <c r="AF222" t="s">
        <v>116</v>
      </c>
      <c r="AG222">
        <v>24.47</v>
      </c>
      <c r="AH222" t="s">
        <v>1646</v>
      </c>
      <c r="AI222" t="s">
        <v>1647</v>
      </c>
      <c r="AJ222">
        <v>-0.05</v>
      </c>
      <c r="AK222">
        <v>1419</v>
      </c>
      <c r="AL222">
        <v>70</v>
      </c>
      <c r="AM222">
        <v>2.9999999999999997E-4</v>
      </c>
      <c r="AN222">
        <v>-1</v>
      </c>
      <c r="AO222">
        <v>-0.73</v>
      </c>
      <c r="AP222">
        <v>-1.81</v>
      </c>
      <c r="AQ222">
        <v>-4.58</v>
      </c>
      <c r="AR222">
        <v>8.4</v>
      </c>
      <c r="AS222">
        <v>0.49</v>
      </c>
      <c r="AT222" t="s">
        <v>1648</v>
      </c>
      <c r="AU222">
        <v>205</v>
      </c>
      <c r="AV222">
        <v>26.87</v>
      </c>
      <c r="AW222">
        <v>0.39</v>
      </c>
      <c r="BA222">
        <v>-0.37</v>
      </c>
      <c r="BB222">
        <v>0</v>
      </c>
      <c r="BC222">
        <v>-1.1000000000000001</v>
      </c>
      <c r="BD222">
        <v>-0.64</v>
      </c>
      <c r="BE222">
        <v>-0.37</v>
      </c>
      <c r="BF222">
        <v>-0.73</v>
      </c>
      <c r="BG222">
        <v>0.37</v>
      </c>
      <c r="BH222">
        <v>-0.09</v>
      </c>
      <c r="BI222">
        <v>20191223</v>
      </c>
      <c r="BJ222">
        <v>19961205</v>
      </c>
      <c r="BK222">
        <v>24.67</v>
      </c>
      <c r="BL222" t="s">
        <v>116</v>
      </c>
      <c r="BM222" t="s">
        <v>116</v>
      </c>
      <c r="BN222">
        <v>257.36</v>
      </c>
      <c r="BO222">
        <v>70.98</v>
      </c>
      <c r="BP222">
        <v>4.01</v>
      </c>
      <c r="BQ222">
        <v>70.86</v>
      </c>
      <c r="BR222">
        <v>193.32</v>
      </c>
      <c r="BS222">
        <v>11.88</v>
      </c>
      <c r="BT222">
        <v>5.24</v>
      </c>
      <c r="BU222">
        <v>133.02000000000001</v>
      </c>
      <c r="BV222">
        <v>135.31</v>
      </c>
      <c r="BW222">
        <v>0.42</v>
      </c>
      <c r="BX222">
        <v>13.91</v>
      </c>
      <c r="BY222">
        <v>18.309999999999999</v>
      </c>
      <c r="BZ222">
        <v>12.19</v>
      </c>
      <c r="CA222">
        <v>1.65</v>
      </c>
      <c r="CB222">
        <v>0.11</v>
      </c>
      <c r="CC222">
        <v>1.54</v>
      </c>
      <c r="CD222">
        <v>0.4</v>
      </c>
      <c r="CE222">
        <v>0.76</v>
      </c>
      <c r="CF222">
        <v>0.82</v>
      </c>
      <c r="CG222">
        <v>28.82</v>
      </c>
      <c r="CH222">
        <v>-9.1999999999999993</v>
      </c>
      <c r="CI222">
        <v>-7.54</v>
      </c>
      <c r="CJ222">
        <v>165400</v>
      </c>
      <c r="CK222">
        <v>12315</v>
      </c>
      <c r="CL222" t="s">
        <v>1649</v>
      </c>
      <c r="CM222">
        <v>-73.95</v>
      </c>
      <c r="CN222">
        <v>233.32</v>
      </c>
      <c r="CO222">
        <v>0.94</v>
      </c>
      <c r="CP222">
        <v>-7.27</v>
      </c>
      <c r="CQ222">
        <v>3.65</v>
      </c>
      <c r="CR222">
        <v>0</v>
      </c>
      <c r="CS222" t="s">
        <v>1650</v>
      </c>
      <c r="CT222">
        <v>2.88</v>
      </c>
      <c r="CU222">
        <v>0</v>
      </c>
      <c r="CV222">
        <v>0.56000000000000005</v>
      </c>
      <c r="CW222">
        <v>1.17</v>
      </c>
      <c r="CX222">
        <v>-0.37</v>
      </c>
      <c r="CY222">
        <v>27.58</v>
      </c>
      <c r="CZ222" t="s">
        <v>1651</v>
      </c>
      <c r="DA222">
        <v>33.4</v>
      </c>
      <c r="DB222">
        <v>9.0299999999999994</v>
      </c>
      <c r="DC222">
        <v>4.16</v>
      </c>
      <c r="DD222">
        <v>0.11</v>
      </c>
      <c r="DE222">
        <v>3732</v>
      </c>
      <c r="DF222">
        <v>667</v>
      </c>
      <c r="DG222" t="s">
        <v>116</v>
      </c>
      <c r="DH222" t="s">
        <v>116</v>
      </c>
      <c r="DI222" t="s">
        <v>116</v>
      </c>
    </row>
    <row r="223" spans="1:113" x14ac:dyDescent="0.4">
      <c r="A223" t="str">
        <f>"000668"</f>
        <v>000668</v>
      </c>
      <c r="B223" t="s">
        <v>1652</v>
      </c>
      <c r="C223">
        <v>2.2200000000000002</v>
      </c>
      <c r="D223">
        <v>13.8</v>
      </c>
      <c r="E223">
        <v>0.3</v>
      </c>
      <c r="F223">
        <v>13.78</v>
      </c>
      <c r="G223">
        <v>13.8</v>
      </c>
      <c r="H223">
        <v>20246</v>
      </c>
      <c r="I223">
        <v>255</v>
      </c>
      <c r="J223">
        <v>0.36</v>
      </c>
      <c r="K223">
        <v>1.38</v>
      </c>
      <c r="L223">
        <v>13.52</v>
      </c>
      <c r="M223">
        <v>13.92</v>
      </c>
      <c r="N223">
        <v>13.51</v>
      </c>
      <c r="O223">
        <v>13.5</v>
      </c>
      <c r="P223">
        <v>23.21</v>
      </c>
      <c r="Q223">
        <v>27817758</v>
      </c>
      <c r="R223">
        <v>1.3</v>
      </c>
      <c r="S223" t="s">
        <v>148</v>
      </c>
      <c r="T223" t="s">
        <v>1653</v>
      </c>
      <c r="U223">
        <v>3.04</v>
      </c>
      <c r="V223">
        <v>13.74</v>
      </c>
      <c r="W223">
        <v>9508</v>
      </c>
      <c r="X223">
        <v>10738</v>
      </c>
      <c r="Y223">
        <v>0.89</v>
      </c>
      <c r="Z223">
        <v>106</v>
      </c>
      <c r="AA223">
        <v>3</v>
      </c>
      <c r="AB223" t="s">
        <v>116</v>
      </c>
      <c r="AC223">
        <v>28400</v>
      </c>
      <c r="AD223">
        <v>0</v>
      </c>
      <c r="AE223" t="s">
        <v>116</v>
      </c>
      <c r="AF223" t="s">
        <v>116</v>
      </c>
      <c r="AG223">
        <v>1.47</v>
      </c>
      <c r="AH223" t="s">
        <v>1654</v>
      </c>
      <c r="AI223" t="s">
        <v>1655</v>
      </c>
      <c r="AJ223">
        <v>2.9</v>
      </c>
      <c r="AK223">
        <v>1318</v>
      </c>
      <c r="AL223">
        <v>15</v>
      </c>
      <c r="AM223">
        <v>1E-3</v>
      </c>
      <c r="AN223">
        <v>1</v>
      </c>
      <c r="AO223">
        <v>0.36</v>
      </c>
      <c r="AP223">
        <v>-6.76</v>
      </c>
      <c r="AQ223">
        <v>-12.93</v>
      </c>
      <c r="AR223">
        <v>39.96</v>
      </c>
      <c r="AS223">
        <v>2.31</v>
      </c>
      <c r="AT223" t="s">
        <v>1656</v>
      </c>
      <c r="AU223">
        <v>29.09</v>
      </c>
      <c r="AV223">
        <v>229.54</v>
      </c>
      <c r="AW223">
        <v>0.75</v>
      </c>
      <c r="BA223">
        <v>0.15</v>
      </c>
      <c r="BB223">
        <v>3.11</v>
      </c>
      <c r="BC223">
        <v>7.0000000000000007E-2</v>
      </c>
      <c r="BD223">
        <v>1.77</v>
      </c>
      <c r="BE223">
        <v>2.0699999999999998</v>
      </c>
      <c r="BF223">
        <v>-0.86</v>
      </c>
      <c r="BG223">
        <v>2.15</v>
      </c>
      <c r="BH223">
        <v>0.45</v>
      </c>
      <c r="BI223">
        <v>20191224</v>
      </c>
      <c r="BJ223">
        <v>19961210</v>
      </c>
      <c r="BK223">
        <v>1.47</v>
      </c>
      <c r="BL223" t="s">
        <v>116</v>
      </c>
      <c r="BM223" t="s">
        <v>116</v>
      </c>
      <c r="BN223">
        <v>25.57</v>
      </c>
      <c r="BO223">
        <v>9.65</v>
      </c>
      <c r="BP223">
        <v>1.25</v>
      </c>
      <c r="BQ223">
        <v>57.39</v>
      </c>
      <c r="BR223">
        <v>19.309999999999999</v>
      </c>
      <c r="BS223">
        <v>0.04</v>
      </c>
      <c r="BT223">
        <v>0</v>
      </c>
      <c r="BU223">
        <v>13.64</v>
      </c>
      <c r="BV223">
        <v>17.7</v>
      </c>
      <c r="BW223">
        <v>0.02</v>
      </c>
      <c r="BX223">
        <v>0.8</v>
      </c>
      <c r="BY223">
        <v>3.73</v>
      </c>
      <c r="BZ223">
        <v>1.62</v>
      </c>
      <c r="CA223">
        <v>1.03</v>
      </c>
      <c r="CB223">
        <v>0.14000000000000001</v>
      </c>
      <c r="CC223">
        <v>0.99</v>
      </c>
      <c r="CD223">
        <v>0.75</v>
      </c>
      <c r="CE223">
        <v>0.65</v>
      </c>
      <c r="CF223">
        <v>0.55000000000000004</v>
      </c>
      <c r="CG223">
        <v>3.46</v>
      </c>
      <c r="CH223">
        <v>-1.6</v>
      </c>
      <c r="CI223">
        <v>-2.4900000000000002</v>
      </c>
      <c r="CJ223">
        <v>7802</v>
      </c>
      <c r="CK223">
        <v>11220</v>
      </c>
      <c r="CL223" t="s">
        <v>1657</v>
      </c>
      <c r="CM223">
        <v>1311.35</v>
      </c>
      <c r="CN223">
        <v>162.31</v>
      </c>
      <c r="CO223">
        <v>2.1</v>
      </c>
      <c r="CP223">
        <v>-12.7</v>
      </c>
      <c r="CQ223">
        <v>5.43</v>
      </c>
      <c r="CR223">
        <v>0.28999999999999998</v>
      </c>
      <c r="CS223" t="s">
        <v>1658</v>
      </c>
      <c r="CT223">
        <v>6.57</v>
      </c>
      <c r="CU223">
        <v>0</v>
      </c>
      <c r="CV223">
        <v>0.55000000000000004</v>
      </c>
      <c r="CW223">
        <v>2.36</v>
      </c>
      <c r="CX223">
        <v>-1.0900000000000001</v>
      </c>
      <c r="CY223">
        <v>37.72</v>
      </c>
      <c r="CZ223" t="s">
        <v>1659</v>
      </c>
      <c r="DA223">
        <v>56.7</v>
      </c>
      <c r="DB223">
        <v>27.67</v>
      </c>
      <c r="DC223">
        <v>17.54</v>
      </c>
      <c r="DD223">
        <v>0</v>
      </c>
      <c r="DE223">
        <v>160</v>
      </c>
      <c r="DF223">
        <v>668</v>
      </c>
      <c r="DG223" t="s">
        <v>116</v>
      </c>
      <c r="DH223" t="s">
        <v>116</v>
      </c>
      <c r="DI223" t="s">
        <v>116</v>
      </c>
    </row>
    <row r="224" spans="1:113" x14ac:dyDescent="0.4">
      <c r="A224" t="str">
        <f>"000669"</f>
        <v>000669</v>
      </c>
      <c r="B224" t="s">
        <v>1660</v>
      </c>
      <c r="C224">
        <v>-0.78</v>
      </c>
      <c r="D224">
        <v>3.8</v>
      </c>
      <c r="E224">
        <v>-0.03</v>
      </c>
      <c r="F224">
        <v>3.79</v>
      </c>
      <c r="G224">
        <v>3.8</v>
      </c>
      <c r="H224">
        <v>72252</v>
      </c>
      <c r="I224">
        <v>594</v>
      </c>
      <c r="J224">
        <v>0</v>
      </c>
      <c r="K224">
        <v>1.08</v>
      </c>
      <c r="L224">
        <v>3.82</v>
      </c>
      <c r="M224">
        <v>3.85</v>
      </c>
      <c r="N224">
        <v>3.79</v>
      </c>
      <c r="O224">
        <v>3.83</v>
      </c>
      <c r="P224" t="s">
        <v>116</v>
      </c>
      <c r="Q224">
        <v>27561262</v>
      </c>
      <c r="R224">
        <v>1.1200000000000001</v>
      </c>
      <c r="S224" t="s">
        <v>690</v>
      </c>
      <c r="T224" t="s">
        <v>294</v>
      </c>
      <c r="U224">
        <v>1.57</v>
      </c>
      <c r="V224">
        <v>3.81</v>
      </c>
      <c r="W224">
        <v>45066</v>
      </c>
      <c r="X224">
        <v>27186</v>
      </c>
      <c r="Y224">
        <v>1.66</v>
      </c>
      <c r="Z224">
        <v>3925</v>
      </c>
      <c r="AA224">
        <v>840</v>
      </c>
      <c r="AB224" t="s">
        <v>116</v>
      </c>
      <c r="AC224">
        <v>420200</v>
      </c>
      <c r="AD224">
        <v>0.03</v>
      </c>
      <c r="AE224" t="s">
        <v>116</v>
      </c>
      <c r="AF224" t="s">
        <v>116</v>
      </c>
      <c r="AG224">
        <v>6.66</v>
      </c>
      <c r="AH224" t="s">
        <v>340</v>
      </c>
      <c r="AI224" t="s">
        <v>1661</v>
      </c>
      <c r="AJ224">
        <v>-0.1</v>
      </c>
      <c r="AK224">
        <v>936</v>
      </c>
      <c r="AL224">
        <v>77</v>
      </c>
      <c r="AM224">
        <v>1.1999999999999999E-3</v>
      </c>
      <c r="AN224">
        <v>-2</v>
      </c>
      <c r="AO224">
        <v>-0.52</v>
      </c>
      <c r="AP224">
        <v>-1.55</v>
      </c>
      <c r="AQ224">
        <v>-7.54</v>
      </c>
      <c r="AR224">
        <v>-35.04</v>
      </c>
      <c r="AS224">
        <v>1.95</v>
      </c>
      <c r="AT224" t="s">
        <v>1662</v>
      </c>
      <c r="AU224" t="s">
        <v>116</v>
      </c>
      <c r="AV224" t="s">
        <v>116</v>
      </c>
      <c r="AW224">
        <v>0.74</v>
      </c>
      <c r="BA224">
        <v>-0.26</v>
      </c>
      <c r="BB224">
        <v>0.52</v>
      </c>
      <c r="BC224">
        <v>-1.04</v>
      </c>
      <c r="BD224">
        <v>-0.4</v>
      </c>
      <c r="BE224">
        <v>-0.52</v>
      </c>
      <c r="BF224">
        <v>-1.3</v>
      </c>
      <c r="BG224">
        <v>0.26</v>
      </c>
      <c r="BH224">
        <v>-0.38</v>
      </c>
      <c r="BI224">
        <v>20191031</v>
      </c>
      <c r="BJ224">
        <v>19961210</v>
      </c>
      <c r="BK224">
        <v>6.8</v>
      </c>
      <c r="BL224" t="s">
        <v>116</v>
      </c>
      <c r="BM224" t="s">
        <v>116</v>
      </c>
      <c r="BN224">
        <v>108.04</v>
      </c>
      <c r="BO224">
        <v>22.82</v>
      </c>
      <c r="BP224">
        <v>2.37</v>
      </c>
      <c r="BQ224">
        <v>76.69</v>
      </c>
      <c r="BR224">
        <v>20.329999999999998</v>
      </c>
      <c r="BS224">
        <v>58.46</v>
      </c>
      <c r="BT224">
        <v>5.7</v>
      </c>
      <c r="BU224">
        <v>65.989999999999995</v>
      </c>
      <c r="BV224">
        <v>1.27</v>
      </c>
      <c r="BW224">
        <v>4.76</v>
      </c>
      <c r="BX224">
        <v>15.9</v>
      </c>
      <c r="BY224">
        <v>28.28</v>
      </c>
      <c r="BZ224">
        <v>24.68</v>
      </c>
      <c r="CA224">
        <v>-2.14</v>
      </c>
      <c r="CB224">
        <v>0.11</v>
      </c>
      <c r="CC224">
        <v>-2.17</v>
      </c>
      <c r="CD224">
        <v>-2.69</v>
      </c>
      <c r="CE224">
        <v>-2.46</v>
      </c>
      <c r="CF224">
        <v>-2.63</v>
      </c>
      <c r="CG224">
        <v>-0.98</v>
      </c>
      <c r="CH224">
        <v>1.78</v>
      </c>
      <c r="CI224">
        <v>-0.5</v>
      </c>
      <c r="CJ224">
        <v>37955</v>
      </c>
      <c r="CK224">
        <v>9780</v>
      </c>
      <c r="CL224" t="s">
        <v>1663</v>
      </c>
      <c r="CM224">
        <v>-244.4</v>
      </c>
      <c r="CN224">
        <v>-7.29</v>
      </c>
      <c r="CO224">
        <v>1.1299999999999999</v>
      </c>
      <c r="CP224">
        <v>14.49</v>
      </c>
      <c r="CQ224">
        <v>0.91</v>
      </c>
      <c r="CR224">
        <v>0</v>
      </c>
      <c r="CS224" t="s">
        <v>1664</v>
      </c>
      <c r="CT224">
        <v>3.35</v>
      </c>
      <c r="CU224">
        <v>0</v>
      </c>
      <c r="CV224">
        <v>2.34</v>
      </c>
      <c r="CW224">
        <v>-0.14000000000000001</v>
      </c>
      <c r="CX224">
        <v>0.26</v>
      </c>
      <c r="CY224">
        <v>21.12</v>
      </c>
      <c r="CZ224" t="s">
        <v>1665</v>
      </c>
      <c r="DA224">
        <v>12.73</v>
      </c>
      <c r="DB224">
        <v>-7.58</v>
      </c>
      <c r="DC224">
        <v>-8.6999999999999993</v>
      </c>
      <c r="DD224">
        <v>7.0000000000000007E-2</v>
      </c>
      <c r="DE224">
        <v>4139</v>
      </c>
      <c r="DF224">
        <v>669</v>
      </c>
      <c r="DG224" t="s">
        <v>116</v>
      </c>
      <c r="DH224" t="s">
        <v>116</v>
      </c>
      <c r="DI224" t="s">
        <v>116</v>
      </c>
    </row>
    <row r="225" spans="1:113" x14ac:dyDescent="0.4">
      <c r="A225" t="str">
        <f>"000670"</f>
        <v>000670</v>
      </c>
      <c r="B225" t="s">
        <v>1666</v>
      </c>
      <c r="C225">
        <v>-3.08</v>
      </c>
      <c r="D225">
        <v>2.2000000000000002</v>
      </c>
      <c r="E225">
        <v>-7.0000000000000007E-2</v>
      </c>
      <c r="F225">
        <v>2.2000000000000002</v>
      </c>
      <c r="G225">
        <v>2.21</v>
      </c>
      <c r="H225">
        <v>240756</v>
      </c>
      <c r="I225">
        <v>2538</v>
      </c>
      <c r="J225">
        <v>0</v>
      </c>
      <c r="K225">
        <v>4.01</v>
      </c>
      <c r="L225">
        <v>2.2599999999999998</v>
      </c>
      <c r="M225">
        <v>2.27</v>
      </c>
      <c r="N225">
        <v>2.19</v>
      </c>
      <c r="O225">
        <v>2.27</v>
      </c>
      <c r="P225" t="s">
        <v>116</v>
      </c>
      <c r="Q225">
        <v>53620208</v>
      </c>
      <c r="R225">
        <v>0.96</v>
      </c>
      <c r="S225" t="s">
        <v>233</v>
      </c>
      <c r="T225" t="s">
        <v>774</v>
      </c>
      <c r="U225">
        <v>3.52</v>
      </c>
      <c r="V225">
        <v>2.23</v>
      </c>
      <c r="W225">
        <v>154123</v>
      </c>
      <c r="X225">
        <v>86633</v>
      </c>
      <c r="Y225">
        <v>1.78</v>
      </c>
      <c r="Z225">
        <v>3908</v>
      </c>
      <c r="AA225">
        <v>2227</v>
      </c>
      <c r="AB225" t="s">
        <v>116</v>
      </c>
      <c r="AC225">
        <v>398900</v>
      </c>
      <c r="AD225">
        <v>0.03</v>
      </c>
      <c r="AE225" t="s">
        <v>116</v>
      </c>
      <c r="AF225" t="s">
        <v>116</v>
      </c>
      <c r="AG225">
        <v>6</v>
      </c>
      <c r="AH225" t="s">
        <v>1667</v>
      </c>
      <c r="AI225" t="s">
        <v>1668</v>
      </c>
      <c r="AJ225">
        <v>-2.4</v>
      </c>
      <c r="AK225">
        <v>1760</v>
      </c>
      <c r="AL225">
        <v>137</v>
      </c>
      <c r="AM225">
        <v>2.3E-3</v>
      </c>
      <c r="AN225">
        <v>-3</v>
      </c>
      <c r="AO225">
        <v>-7.16</v>
      </c>
      <c r="AP225">
        <v>-5.58</v>
      </c>
      <c r="AQ225">
        <v>-5.58</v>
      </c>
      <c r="AR225">
        <v>-30.82</v>
      </c>
      <c r="AS225">
        <v>4.01</v>
      </c>
      <c r="AT225" t="s">
        <v>1667</v>
      </c>
      <c r="AU225" t="s">
        <v>116</v>
      </c>
      <c r="AV225" t="s">
        <v>116</v>
      </c>
      <c r="AW225">
        <v>0.76</v>
      </c>
      <c r="BA225">
        <v>-0.44</v>
      </c>
      <c r="BB225">
        <v>0</v>
      </c>
      <c r="BC225">
        <v>-3.52</v>
      </c>
      <c r="BD225">
        <v>-1.89</v>
      </c>
      <c r="BE225">
        <v>-2.65</v>
      </c>
      <c r="BF225">
        <v>-3.08</v>
      </c>
      <c r="BG225">
        <v>0.46</v>
      </c>
      <c r="BH225">
        <v>-1.2</v>
      </c>
      <c r="BI225">
        <v>20191031</v>
      </c>
      <c r="BJ225">
        <v>19961217</v>
      </c>
      <c r="BK225">
        <v>8.17</v>
      </c>
      <c r="BL225" t="s">
        <v>116</v>
      </c>
      <c r="BM225" t="s">
        <v>116</v>
      </c>
      <c r="BN225">
        <v>1.99</v>
      </c>
      <c r="BO225">
        <v>1.5</v>
      </c>
      <c r="BP225">
        <v>-0.01</v>
      </c>
      <c r="BQ225">
        <v>25.16</v>
      </c>
      <c r="BR225">
        <v>0.27</v>
      </c>
      <c r="BS225">
        <v>1.1299999999999999</v>
      </c>
      <c r="BT225">
        <v>0.37</v>
      </c>
      <c r="BU225">
        <v>0.5</v>
      </c>
      <c r="BV225">
        <v>0.02</v>
      </c>
      <c r="BW225">
        <v>0.09</v>
      </c>
      <c r="BX225">
        <v>2.95</v>
      </c>
      <c r="BY225">
        <v>0.04</v>
      </c>
      <c r="BZ225">
        <v>0.06</v>
      </c>
      <c r="CA225">
        <v>-0.5</v>
      </c>
      <c r="CB225">
        <v>0</v>
      </c>
      <c r="CC225">
        <v>-0.5</v>
      </c>
      <c r="CD225">
        <v>-0.5</v>
      </c>
      <c r="CE225">
        <v>-0.49</v>
      </c>
      <c r="CF225">
        <v>-0.5</v>
      </c>
      <c r="CG225">
        <v>-4.55</v>
      </c>
      <c r="CH225">
        <v>-0.28000000000000003</v>
      </c>
      <c r="CI225">
        <v>-0.25</v>
      </c>
      <c r="CJ225">
        <v>78683</v>
      </c>
      <c r="CK225">
        <v>7628</v>
      </c>
      <c r="CL225" t="s">
        <v>1669</v>
      </c>
      <c r="CM225">
        <v>14.25</v>
      </c>
      <c r="CN225">
        <v>-96.09</v>
      </c>
      <c r="CO225">
        <v>12.01</v>
      </c>
      <c r="CP225">
        <v>-65.12</v>
      </c>
      <c r="CQ225">
        <v>444.19</v>
      </c>
      <c r="CR225">
        <v>0</v>
      </c>
      <c r="CS225" t="s">
        <v>1670</v>
      </c>
      <c r="CT225">
        <v>0.18</v>
      </c>
      <c r="CU225">
        <v>0</v>
      </c>
      <c r="CV225">
        <v>0.36</v>
      </c>
      <c r="CW225">
        <v>-0.56000000000000005</v>
      </c>
      <c r="CX225">
        <v>-0.03</v>
      </c>
      <c r="CY225">
        <v>75.28</v>
      </c>
      <c r="CZ225" t="s">
        <v>1671</v>
      </c>
      <c r="DA225">
        <v>-38.51</v>
      </c>
      <c r="DB225">
        <v>-1238.32</v>
      </c>
      <c r="DC225">
        <v>-1219.71</v>
      </c>
      <c r="DD225">
        <v>0.08</v>
      </c>
      <c r="DE225">
        <v>104</v>
      </c>
      <c r="DF225">
        <v>670</v>
      </c>
      <c r="DG225" t="s">
        <v>116</v>
      </c>
      <c r="DH225" t="s">
        <v>116</v>
      </c>
      <c r="DI225" t="s">
        <v>116</v>
      </c>
    </row>
    <row r="226" spans="1:113" x14ac:dyDescent="0.4">
      <c r="A226" t="str">
        <f>"000671"</f>
        <v>000671</v>
      </c>
      <c r="B226" t="s">
        <v>1672</v>
      </c>
      <c r="C226">
        <v>0.72</v>
      </c>
      <c r="D226">
        <v>8.36</v>
      </c>
      <c r="E226">
        <v>0.06</v>
      </c>
      <c r="F226">
        <v>8.35</v>
      </c>
      <c r="G226">
        <v>8.36</v>
      </c>
      <c r="H226">
        <v>416497</v>
      </c>
      <c r="I226">
        <v>1899</v>
      </c>
      <c r="J226">
        <v>0.12</v>
      </c>
      <c r="K226">
        <v>1.05</v>
      </c>
      <c r="L226">
        <v>8.3000000000000007</v>
      </c>
      <c r="M226">
        <v>8.48</v>
      </c>
      <c r="N226">
        <v>8.1999999999999993</v>
      </c>
      <c r="O226">
        <v>8.3000000000000007</v>
      </c>
      <c r="P226">
        <v>11.27</v>
      </c>
      <c r="Q226">
        <v>348892736</v>
      </c>
      <c r="R226">
        <v>1.1599999999999999</v>
      </c>
      <c r="S226" t="s">
        <v>148</v>
      </c>
      <c r="T226" t="s">
        <v>975</v>
      </c>
      <c r="U226">
        <v>3.37</v>
      </c>
      <c r="V226">
        <v>8.3800000000000008</v>
      </c>
      <c r="W226">
        <v>184157</v>
      </c>
      <c r="X226">
        <v>232340</v>
      </c>
      <c r="Y226">
        <v>0.79</v>
      </c>
      <c r="Z226">
        <v>756</v>
      </c>
      <c r="AA226">
        <v>2317</v>
      </c>
      <c r="AB226" t="s">
        <v>116</v>
      </c>
      <c r="AC226">
        <v>3095900</v>
      </c>
      <c r="AD226">
        <v>0.02</v>
      </c>
      <c r="AE226" t="s">
        <v>116</v>
      </c>
      <c r="AF226" t="s">
        <v>116</v>
      </c>
      <c r="AG226">
        <v>39.729999999999997</v>
      </c>
      <c r="AH226" t="s">
        <v>1673</v>
      </c>
      <c r="AI226" t="s">
        <v>1674</v>
      </c>
      <c r="AJ226">
        <v>1.4</v>
      </c>
      <c r="AK226">
        <v>3798</v>
      </c>
      <c r="AL226">
        <v>110</v>
      </c>
      <c r="AM226">
        <v>2.9999999999999997E-4</v>
      </c>
      <c r="AN226">
        <v>2</v>
      </c>
      <c r="AO226">
        <v>6.9</v>
      </c>
      <c r="AP226">
        <v>20.81</v>
      </c>
      <c r="AQ226">
        <v>42.18</v>
      </c>
      <c r="AR226">
        <v>62.85</v>
      </c>
      <c r="AS226">
        <v>2.79</v>
      </c>
      <c r="AT226" t="s">
        <v>1675</v>
      </c>
      <c r="AU226">
        <v>9.17</v>
      </c>
      <c r="AV226">
        <v>11.22</v>
      </c>
      <c r="AW226">
        <v>0.86</v>
      </c>
      <c r="BA226">
        <v>0</v>
      </c>
      <c r="BB226">
        <v>2.17</v>
      </c>
      <c r="BC226">
        <v>-1.2</v>
      </c>
      <c r="BD226">
        <v>0.93</v>
      </c>
      <c r="BE226">
        <v>0.72</v>
      </c>
      <c r="BF226">
        <v>-1.42</v>
      </c>
      <c r="BG226">
        <v>1.95</v>
      </c>
      <c r="BH226">
        <v>-0.2</v>
      </c>
      <c r="BI226">
        <v>20191216</v>
      </c>
      <c r="BJ226">
        <v>19961218</v>
      </c>
      <c r="BK226">
        <v>40.51</v>
      </c>
      <c r="BL226" t="s">
        <v>116</v>
      </c>
      <c r="BM226" t="s">
        <v>116</v>
      </c>
      <c r="BN226">
        <v>3103.18</v>
      </c>
      <c r="BO226">
        <v>248.07</v>
      </c>
      <c r="BP226">
        <v>236.2</v>
      </c>
      <c r="BQ226">
        <v>84.39</v>
      </c>
      <c r="BR226">
        <v>2759.83</v>
      </c>
      <c r="BS226">
        <v>15.72</v>
      </c>
      <c r="BT226">
        <v>8.11</v>
      </c>
      <c r="BU226">
        <v>1788.01</v>
      </c>
      <c r="BV226">
        <v>1805.3</v>
      </c>
      <c r="BW226">
        <v>6.53</v>
      </c>
      <c r="BX226">
        <v>37.01</v>
      </c>
      <c r="BY226">
        <v>320.26</v>
      </c>
      <c r="BZ226">
        <v>229.38</v>
      </c>
      <c r="CA226">
        <v>40.42</v>
      </c>
      <c r="CB226">
        <v>7.9</v>
      </c>
      <c r="CC226">
        <v>39.83</v>
      </c>
      <c r="CD226">
        <v>25.15</v>
      </c>
      <c r="CE226">
        <v>22.54</v>
      </c>
      <c r="CF226">
        <v>20.66</v>
      </c>
      <c r="CG226">
        <v>110.2</v>
      </c>
      <c r="CH226">
        <v>113.07</v>
      </c>
      <c r="CI226">
        <v>59.36</v>
      </c>
      <c r="CJ226">
        <v>50343</v>
      </c>
      <c r="CK226">
        <v>29663</v>
      </c>
      <c r="CL226" t="s">
        <v>1676</v>
      </c>
      <c r="CM226">
        <v>42.56</v>
      </c>
      <c r="CN226">
        <v>23.47</v>
      </c>
      <c r="CO226">
        <v>1.71</v>
      </c>
      <c r="CP226">
        <v>3</v>
      </c>
      <c r="CQ226">
        <v>1.06</v>
      </c>
      <c r="CR226">
        <v>0.67</v>
      </c>
      <c r="CS226" t="s">
        <v>1677</v>
      </c>
      <c r="CT226">
        <v>4.8899999999999997</v>
      </c>
      <c r="CU226">
        <v>4.8899999999999997</v>
      </c>
      <c r="CV226">
        <v>0.91</v>
      </c>
      <c r="CW226">
        <v>2.72</v>
      </c>
      <c r="CX226">
        <v>2.79</v>
      </c>
      <c r="CY226">
        <v>7.99</v>
      </c>
      <c r="CZ226" t="s">
        <v>1678</v>
      </c>
      <c r="DA226">
        <v>28.38</v>
      </c>
      <c r="DB226">
        <v>12.62</v>
      </c>
      <c r="DC226">
        <v>7.04</v>
      </c>
      <c r="DD226">
        <v>0</v>
      </c>
      <c r="DE226">
        <v>9201</v>
      </c>
      <c r="DF226">
        <v>671</v>
      </c>
      <c r="DG226" t="s">
        <v>116</v>
      </c>
      <c r="DH226" t="s">
        <v>116</v>
      </c>
      <c r="DI226" t="s">
        <v>116</v>
      </c>
    </row>
    <row r="227" spans="1:113" x14ac:dyDescent="0.4">
      <c r="A227" t="str">
        <f>"000672"</f>
        <v>000672</v>
      </c>
      <c r="B227" t="s">
        <v>1679</v>
      </c>
      <c r="C227">
        <v>-1.86</v>
      </c>
      <c r="D227">
        <v>16.899999999999999</v>
      </c>
      <c r="E227">
        <v>-0.32</v>
      </c>
      <c r="F227">
        <v>16.899999999999999</v>
      </c>
      <c r="G227">
        <v>16.91</v>
      </c>
      <c r="H227">
        <v>218810</v>
      </c>
      <c r="I227">
        <v>1735</v>
      </c>
      <c r="J227">
        <v>0.06</v>
      </c>
      <c r="K227">
        <v>2.69</v>
      </c>
      <c r="L227">
        <v>17.239999999999998</v>
      </c>
      <c r="M227">
        <v>17.309999999999999</v>
      </c>
      <c r="N227">
        <v>16.75</v>
      </c>
      <c r="O227">
        <v>17.22</v>
      </c>
      <c r="P227">
        <v>6.69</v>
      </c>
      <c r="Q227">
        <v>372649888</v>
      </c>
      <c r="R227">
        <v>1.35</v>
      </c>
      <c r="S227" t="s">
        <v>660</v>
      </c>
      <c r="T227" t="s">
        <v>1122</v>
      </c>
      <c r="U227">
        <v>3.25</v>
      </c>
      <c r="V227">
        <v>17.03</v>
      </c>
      <c r="W227">
        <v>116517</v>
      </c>
      <c r="X227">
        <v>102293</v>
      </c>
      <c r="Y227">
        <v>1.1399999999999999</v>
      </c>
      <c r="Z227">
        <v>71</v>
      </c>
      <c r="AA227">
        <v>144</v>
      </c>
      <c r="AB227" t="s">
        <v>116</v>
      </c>
      <c r="AC227">
        <v>2615200</v>
      </c>
      <c r="AD227">
        <v>0.05</v>
      </c>
      <c r="AE227" t="s">
        <v>116</v>
      </c>
      <c r="AF227" t="s">
        <v>116</v>
      </c>
      <c r="AG227">
        <v>8.14</v>
      </c>
      <c r="AH227" t="s">
        <v>1680</v>
      </c>
      <c r="AI227" t="s">
        <v>1680</v>
      </c>
      <c r="AJ227">
        <v>-1.18</v>
      </c>
      <c r="AK227">
        <v>3736</v>
      </c>
      <c r="AL227">
        <v>59</v>
      </c>
      <c r="AM227">
        <v>6.9999999999999999E-4</v>
      </c>
      <c r="AN227">
        <v>-1</v>
      </c>
      <c r="AO227">
        <v>0</v>
      </c>
      <c r="AP227">
        <v>6.29</v>
      </c>
      <c r="AQ227">
        <v>24.26</v>
      </c>
      <c r="AR227">
        <v>110.2</v>
      </c>
      <c r="AS227">
        <v>7.22</v>
      </c>
      <c r="AT227" t="s">
        <v>1681</v>
      </c>
      <c r="AU227">
        <v>6.56</v>
      </c>
      <c r="AV227">
        <v>9.34</v>
      </c>
      <c r="AW227">
        <v>1.48</v>
      </c>
      <c r="BA227">
        <v>0.12</v>
      </c>
      <c r="BB227">
        <v>0.52</v>
      </c>
      <c r="BC227">
        <v>-2.73</v>
      </c>
      <c r="BD227">
        <v>-1.1000000000000001</v>
      </c>
      <c r="BE227">
        <v>-1.97</v>
      </c>
      <c r="BF227">
        <v>-2.37</v>
      </c>
      <c r="BG227">
        <v>0.9</v>
      </c>
      <c r="BH227">
        <v>-0.76</v>
      </c>
      <c r="BI227">
        <v>20191202</v>
      </c>
      <c r="BJ227">
        <v>19961218</v>
      </c>
      <c r="BK227">
        <v>8.14</v>
      </c>
      <c r="BL227" t="s">
        <v>116</v>
      </c>
      <c r="BM227" t="s">
        <v>116</v>
      </c>
      <c r="BN227">
        <v>84.08</v>
      </c>
      <c r="BO227">
        <v>45.99</v>
      </c>
      <c r="BP227">
        <v>1.52</v>
      </c>
      <c r="BQ227">
        <v>43.49</v>
      </c>
      <c r="BR227">
        <v>48.28</v>
      </c>
      <c r="BS227">
        <v>20.67</v>
      </c>
      <c r="BT227">
        <v>7.91</v>
      </c>
      <c r="BU227">
        <v>34.28</v>
      </c>
      <c r="BV227">
        <v>14.91</v>
      </c>
      <c r="BW227">
        <v>1.32</v>
      </c>
      <c r="BX227">
        <v>-9.9700000000000006</v>
      </c>
      <c r="BY227">
        <v>45.79</v>
      </c>
      <c r="BZ227">
        <v>22.4</v>
      </c>
      <c r="CA227">
        <v>21.1</v>
      </c>
      <c r="CB227">
        <v>0.27</v>
      </c>
      <c r="CC227">
        <v>21.04</v>
      </c>
      <c r="CD227">
        <v>15.72</v>
      </c>
      <c r="CE227">
        <v>15.41</v>
      </c>
      <c r="CF227">
        <v>14.4</v>
      </c>
      <c r="CG227">
        <v>46.56</v>
      </c>
      <c r="CH227">
        <v>17.78</v>
      </c>
      <c r="CI227">
        <v>1.22</v>
      </c>
      <c r="CJ227">
        <v>39960</v>
      </c>
      <c r="CK227">
        <v>7582</v>
      </c>
      <c r="CL227" t="s">
        <v>1682</v>
      </c>
      <c r="CM227">
        <v>67.760000000000005</v>
      </c>
      <c r="CN227">
        <v>26.32</v>
      </c>
      <c r="CO227">
        <v>2.99</v>
      </c>
      <c r="CP227">
        <v>7.73</v>
      </c>
      <c r="CQ227">
        <v>3</v>
      </c>
      <c r="CR227">
        <v>2.31</v>
      </c>
      <c r="CS227" t="s">
        <v>1683</v>
      </c>
      <c r="CT227">
        <v>5.65</v>
      </c>
      <c r="CU227">
        <v>0</v>
      </c>
      <c r="CV227">
        <v>-1.23</v>
      </c>
      <c r="CW227">
        <v>5.72</v>
      </c>
      <c r="CX227">
        <v>2.19</v>
      </c>
      <c r="CY227">
        <v>54.7</v>
      </c>
      <c r="CZ227" t="s">
        <v>1684</v>
      </c>
      <c r="DA227">
        <v>51.07</v>
      </c>
      <c r="DB227">
        <v>46.09</v>
      </c>
      <c r="DC227">
        <v>33.64</v>
      </c>
      <c r="DD227">
        <v>0</v>
      </c>
      <c r="DE227">
        <v>1993</v>
      </c>
      <c r="DF227">
        <v>672</v>
      </c>
      <c r="DG227" t="s">
        <v>116</v>
      </c>
      <c r="DH227" t="s">
        <v>116</v>
      </c>
      <c r="DI227" t="s">
        <v>116</v>
      </c>
    </row>
    <row r="228" spans="1:113" x14ac:dyDescent="0.4">
      <c r="A228" t="str">
        <f>"000673"</f>
        <v>000673</v>
      </c>
      <c r="B228" t="s">
        <v>1685</v>
      </c>
      <c r="C228">
        <v>-2.99</v>
      </c>
      <c r="D228">
        <v>5.2</v>
      </c>
      <c r="E228">
        <v>-0.16</v>
      </c>
      <c r="F228">
        <v>5.19</v>
      </c>
      <c r="G228">
        <v>5.2</v>
      </c>
      <c r="H228">
        <v>506310</v>
      </c>
      <c r="I228">
        <v>8434</v>
      </c>
      <c r="J228">
        <v>0.39</v>
      </c>
      <c r="K228">
        <v>6.41</v>
      </c>
      <c r="L228">
        <v>5.45</v>
      </c>
      <c r="M228">
        <v>5.45</v>
      </c>
      <c r="N228">
        <v>5.15</v>
      </c>
      <c r="O228">
        <v>5.36</v>
      </c>
      <c r="P228" t="s">
        <v>116</v>
      </c>
      <c r="Q228">
        <v>268274112</v>
      </c>
      <c r="R228">
        <v>0.78</v>
      </c>
      <c r="S228" t="s">
        <v>589</v>
      </c>
      <c r="T228" t="s">
        <v>675</v>
      </c>
      <c r="U228">
        <v>5.6</v>
      </c>
      <c r="V228">
        <v>5.3</v>
      </c>
      <c r="W228">
        <v>279006</v>
      </c>
      <c r="X228">
        <v>227304</v>
      </c>
      <c r="Y228">
        <v>1.23</v>
      </c>
      <c r="Z228">
        <v>3954</v>
      </c>
      <c r="AA228">
        <v>972</v>
      </c>
      <c r="AB228" t="s">
        <v>116</v>
      </c>
      <c r="AC228">
        <v>1839400</v>
      </c>
      <c r="AD228">
        <v>0.08</v>
      </c>
      <c r="AE228" t="s">
        <v>116</v>
      </c>
      <c r="AF228" t="s">
        <v>116</v>
      </c>
      <c r="AG228">
        <v>7.9</v>
      </c>
      <c r="AH228" t="s">
        <v>1686</v>
      </c>
      <c r="AI228" t="s">
        <v>1687</v>
      </c>
      <c r="AJ228">
        <v>-2.31</v>
      </c>
      <c r="AK228">
        <v>4073</v>
      </c>
      <c r="AL228">
        <v>124</v>
      </c>
      <c r="AM228">
        <v>1.6000000000000001E-3</v>
      </c>
      <c r="AN228">
        <v>-2</v>
      </c>
      <c r="AO228">
        <v>-2.4500000000000002</v>
      </c>
      <c r="AP228">
        <v>8.56</v>
      </c>
      <c r="AQ228">
        <v>72.760000000000005</v>
      </c>
      <c r="AR228">
        <v>10.87</v>
      </c>
      <c r="AS228">
        <v>12.29</v>
      </c>
      <c r="AT228" t="s">
        <v>429</v>
      </c>
      <c r="AU228" t="s">
        <v>116</v>
      </c>
      <c r="AV228" t="s">
        <v>116</v>
      </c>
      <c r="AW228">
        <v>2.78</v>
      </c>
      <c r="BA228">
        <v>1.68</v>
      </c>
      <c r="BB228">
        <v>1.68</v>
      </c>
      <c r="BC228">
        <v>-3.92</v>
      </c>
      <c r="BD228">
        <v>-1.1499999999999999</v>
      </c>
      <c r="BE228">
        <v>-4.59</v>
      </c>
      <c r="BF228">
        <v>-4.59</v>
      </c>
      <c r="BG228">
        <v>0.97</v>
      </c>
      <c r="BH228">
        <v>-1.84</v>
      </c>
      <c r="BI228">
        <v>20191031</v>
      </c>
      <c r="BJ228">
        <v>19970124</v>
      </c>
      <c r="BK228">
        <v>7.92</v>
      </c>
      <c r="BL228" t="s">
        <v>116</v>
      </c>
      <c r="BM228" t="s">
        <v>116</v>
      </c>
      <c r="BN228">
        <v>20.94</v>
      </c>
      <c r="BO228">
        <v>5.34</v>
      </c>
      <c r="BP228">
        <v>1.26</v>
      </c>
      <c r="BQ228">
        <v>68.459999999999994</v>
      </c>
      <c r="BR228">
        <v>17.27</v>
      </c>
      <c r="BS228">
        <v>0.66</v>
      </c>
      <c r="BT228">
        <v>0</v>
      </c>
      <c r="BU228">
        <v>13.61</v>
      </c>
      <c r="BV228">
        <v>2.5</v>
      </c>
      <c r="BW228">
        <v>4.87</v>
      </c>
      <c r="BX228">
        <v>14.55</v>
      </c>
      <c r="BY228">
        <v>3.64</v>
      </c>
      <c r="BZ228">
        <v>2.46</v>
      </c>
      <c r="CA228">
        <v>-0.32</v>
      </c>
      <c r="CB228">
        <v>0</v>
      </c>
      <c r="CC228">
        <v>-0.23</v>
      </c>
      <c r="CD228">
        <v>-0.04</v>
      </c>
      <c r="CE228">
        <v>-0.19</v>
      </c>
      <c r="CF228">
        <v>-0.2</v>
      </c>
      <c r="CG228">
        <v>-17.37</v>
      </c>
      <c r="CH228">
        <v>0.74</v>
      </c>
      <c r="CI228">
        <v>0.69</v>
      </c>
      <c r="CJ228">
        <v>46064</v>
      </c>
      <c r="CK228">
        <v>8942</v>
      </c>
      <c r="CL228" t="s">
        <v>1688</v>
      </c>
      <c r="CM228">
        <v>-132.53</v>
      </c>
      <c r="CN228">
        <v>-41.37</v>
      </c>
      <c r="CO228">
        <v>7.71</v>
      </c>
      <c r="CP228">
        <v>55.27</v>
      </c>
      <c r="CQ228">
        <v>11.29</v>
      </c>
      <c r="CR228">
        <v>0</v>
      </c>
      <c r="CS228" t="s">
        <v>1689</v>
      </c>
      <c r="CT228">
        <v>0.67</v>
      </c>
      <c r="CU228">
        <v>0</v>
      </c>
      <c r="CV228">
        <v>1.84</v>
      </c>
      <c r="CW228">
        <v>-2.19</v>
      </c>
      <c r="CX228">
        <v>0.09</v>
      </c>
      <c r="CY228">
        <v>25.51</v>
      </c>
      <c r="CZ228" t="s">
        <v>1690</v>
      </c>
      <c r="DA228">
        <v>32.58</v>
      </c>
      <c r="DB228">
        <v>-8.8800000000000008</v>
      </c>
      <c r="DC228">
        <v>-5.21</v>
      </c>
      <c r="DD228">
        <v>0</v>
      </c>
      <c r="DE228">
        <v>575</v>
      </c>
      <c r="DF228">
        <v>673</v>
      </c>
      <c r="DG228" t="s">
        <v>116</v>
      </c>
      <c r="DH228" t="s">
        <v>116</v>
      </c>
      <c r="DI228" t="s">
        <v>116</v>
      </c>
    </row>
    <row r="229" spans="1:113" x14ac:dyDescent="0.4">
      <c r="A229" t="str">
        <f>"000676"</f>
        <v>000676</v>
      </c>
      <c r="B229" t="s">
        <v>1691</v>
      </c>
      <c r="C229">
        <v>-1.46</v>
      </c>
      <c r="D229">
        <v>9.4600000000000009</v>
      </c>
      <c r="E229">
        <v>-0.14000000000000001</v>
      </c>
      <c r="F229">
        <v>9.4499999999999993</v>
      </c>
      <c r="G229">
        <v>9.4600000000000009</v>
      </c>
      <c r="H229">
        <v>431164</v>
      </c>
      <c r="I229">
        <v>4465</v>
      </c>
      <c r="J229">
        <v>-0.2</v>
      </c>
      <c r="K229">
        <v>6.59</v>
      </c>
      <c r="L229">
        <v>9.66</v>
      </c>
      <c r="M229">
        <v>9.93</v>
      </c>
      <c r="N229">
        <v>9.4</v>
      </c>
      <c r="O229">
        <v>9.6</v>
      </c>
      <c r="P229">
        <v>22.04</v>
      </c>
      <c r="Q229">
        <v>415830944</v>
      </c>
      <c r="R229">
        <v>0.99</v>
      </c>
      <c r="S229" t="s">
        <v>1384</v>
      </c>
      <c r="T229" t="s">
        <v>652</v>
      </c>
      <c r="U229">
        <v>5.52</v>
      </c>
      <c r="V229">
        <v>9.64</v>
      </c>
      <c r="W229">
        <v>236810</v>
      </c>
      <c r="X229">
        <v>194354</v>
      </c>
      <c r="Y229">
        <v>1.22</v>
      </c>
      <c r="Z229">
        <v>1177</v>
      </c>
      <c r="AA229">
        <v>1572</v>
      </c>
      <c r="AB229" t="s">
        <v>116</v>
      </c>
      <c r="AC229">
        <v>1672100</v>
      </c>
      <c r="AD229">
        <v>0.04</v>
      </c>
      <c r="AE229" t="s">
        <v>116</v>
      </c>
      <c r="AF229" t="s">
        <v>116</v>
      </c>
      <c r="AG229">
        <v>6.54</v>
      </c>
      <c r="AH229" t="s">
        <v>1692</v>
      </c>
      <c r="AI229" t="s">
        <v>1693</v>
      </c>
      <c r="AJ229">
        <v>-0.78</v>
      </c>
      <c r="AK229">
        <v>4086</v>
      </c>
      <c r="AL229">
        <v>106</v>
      </c>
      <c r="AM229">
        <v>1.6000000000000001E-3</v>
      </c>
      <c r="AN229">
        <v>-1</v>
      </c>
      <c r="AO229">
        <v>2.94</v>
      </c>
      <c r="AP229">
        <v>13.43</v>
      </c>
      <c r="AQ229">
        <v>56.88</v>
      </c>
      <c r="AR229">
        <v>30</v>
      </c>
      <c r="AS229">
        <v>9.36</v>
      </c>
      <c r="AT229" t="s">
        <v>1694</v>
      </c>
      <c r="AU229">
        <v>22.41</v>
      </c>
      <c r="AV229">
        <v>17.579999999999998</v>
      </c>
      <c r="AW229">
        <v>1.72</v>
      </c>
      <c r="BA229">
        <v>0.62</v>
      </c>
      <c r="BB229">
        <v>3.44</v>
      </c>
      <c r="BC229">
        <v>-2.08</v>
      </c>
      <c r="BD229">
        <v>0.46</v>
      </c>
      <c r="BE229">
        <v>-2.0699999999999998</v>
      </c>
      <c r="BF229">
        <v>-4.7300000000000004</v>
      </c>
      <c r="BG229">
        <v>0.64</v>
      </c>
      <c r="BH229">
        <v>-1.92</v>
      </c>
      <c r="BI229">
        <v>20191104</v>
      </c>
      <c r="BJ229">
        <v>19961224</v>
      </c>
      <c r="BK229">
        <v>13.26</v>
      </c>
      <c r="BL229" t="s">
        <v>116</v>
      </c>
      <c r="BM229" t="s">
        <v>116</v>
      </c>
      <c r="BN229">
        <v>88.35</v>
      </c>
      <c r="BO229">
        <v>64.77</v>
      </c>
      <c r="BP229">
        <v>0.01</v>
      </c>
      <c r="BQ229">
        <v>26.67</v>
      </c>
      <c r="BR229">
        <v>53.45</v>
      </c>
      <c r="BS229">
        <v>0.1</v>
      </c>
      <c r="BT229">
        <v>3.18</v>
      </c>
      <c r="BU229">
        <v>23.45</v>
      </c>
      <c r="BV229">
        <v>0.01</v>
      </c>
      <c r="BW229">
        <v>26.69</v>
      </c>
      <c r="BX229">
        <v>36.69</v>
      </c>
      <c r="BY229">
        <v>79.72</v>
      </c>
      <c r="BZ229">
        <v>70.349999999999994</v>
      </c>
      <c r="CA229">
        <v>4.66</v>
      </c>
      <c r="CB229">
        <v>0.28999999999999998</v>
      </c>
      <c r="CC229">
        <v>4.6500000000000004</v>
      </c>
      <c r="CD229">
        <v>4.2699999999999996</v>
      </c>
      <c r="CE229">
        <v>4.2699999999999996</v>
      </c>
      <c r="CF229">
        <v>3.75</v>
      </c>
      <c r="CG229">
        <v>15.32</v>
      </c>
      <c r="CH229">
        <v>0.05</v>
      </c>
      <c r="CI229">
        <v>-5.71</v>
      </c>
      <c r="CJ229">
        <v>39020</v>
      </c>
      <c r="CK229">
        <v>11811</v>
      </c>
      <c r="CL229" t="s">
        <v>1695</v>
      </c>
      <c r="CM229">
        <v>-26.46</v>
      </c>
      <c r="CN229">
        <v>41.15</v>
      </c>
      <c r="CO229">
        <v>1.94</v>
      </c>
      <c r="CP229">
        <v>2586.7600000000002</v>
      </c>
      <c r="CQ229">
        <v>1.57</v>
      </c>
      <c r="CR229">
        <v>0.24</v>
      </c>
      <c r="CS229" t="s">
        <v>1696</v>
      </c>
      <c r="CT229">
        <v>4.88</v>
      </c>
      <c r="CU229">
        <v>0</v>
      </c>
      <c r="CV229">
        <v>2.77</v>
      </c>
      <c r="CW229">
        <v>1.1599999999999999</v>
      </c>
      <c r="CX229">
        <v>0</v>
      </c>
      <c r="CY229">
        <v>73.31</v>
      </c>
      <c r="CZ229" t="s">
        <v>1697</v>
      </c>
      <c r="DA229">
        <v>11.76</v>
      </c>
      <c r="DB229">
        <v>5.84</v>
      </c>
      <c r="DC229">
        <v>5.35</v>
      </c>
      <c r="DD229">
        <v>1.1200000000000001</v>
      </c>
      <c r="DE229">
        <v>719</v>
      </c>
      <c r="DF229">
        <v>676</v>
      </c>
      <c r="DG229" t="s">
        <v>116</v>
      </c>
      <c r="DH229" t="s">
        <v>116</v>
      </c>
      <c r="DI229" t="s">
        <v>116</v>
      </c>
    </row>
    <row r="230" spans="1:113" x14ac:dyDescent="0.4">
      <c r="A230" t="str">
        <f>"000677"</f>
        <v>000677</v>
      </c>
      <c r="B230" t="s">
        <v>1698</v>
      </c>
      <c r="C230">
        <v>-0.8</v>
      </c>
      <c r="D230">
        <v>3.7</v>
      </c>
      <c r="E230">
        <v>-0.03</v>
      </c>
      <c r="F230">
        <v>3.7</v>
      </c>
      <c r="G230">
        <v>3.71</v>
      </c>
      <c r="H230">
        <v>114600</v>
      </c>
      <c r="I230">
        <v>3067</v>
      </c>
      <c r="J230">
        <v>-0.26</v>
      </c>
      <c r="K230">
        <v>1.33</v>
      </c>
      <c r="L230">
        <v>3.71</v>
      </c>
      <c r="M230">
        <v>3.79</v>
      </c>
      <c r="N230">
        <v>3.7</v>
      </c>
      <c r="O230">
        <v>3.73</v>
      </c>
      <c r="P230">
        <v>509.93</v>
      </c>
      <c r="Q230">
        <v>42760980</v>
      </c>
      <c r="R230">
        <v>0.68</v>
      </c>
      <c r="S230" t="s">
        <v>630</v>
      </c>
      <c r="T230" t="s">
        <v>645</v>
      </c>
      <c r="U230">
        <v>2.41</v>
      </c>
      <c r="V230">
        <v>3.73</v>
      </c>
      <c r="W230">
        <v>64413</v>
      </c>
      <c r="X230">
        <v>50187</v>
      </c>
      <c r="Y230">
        <v>1.28</v>
      </c>
      <c r="Z230">
        <v>1634</v>
      </c>
      <c r="AA230">
        <v>2322</v>
      </c>
      <c r="AB230" t="s">
        <v>116</v>
      </c>
      <c r="AC230">
        <v>172300</v>
      </c>
      <c r="AD230">
        <v>0.01</v>
      </c>
      <c r="AE230" t="s">
        <v>116</v>
      </c>
      <c r="AF230" t="s">
        <v>116</v>
      </c>
      <c r="AG230">
        <v>8.64</v>
      </c>
      <c r="AH230" t="s">
        <v>1641</v>
      </c>
      <c r="AI230" t="s">
        <v>1641</v>
      </c>
      <c r="AJ230">
        <v>-0.13</v>
      </c>
      <c r="AK230">
        <v>1686</v>
      </c>
      <c r="AL230">
        <v>68</v>
      </c>
      <c r="AM230">
        <v>8.0000000000000004E-4</v>
      </c>
      <c r="AN230">
        <v>-2</v>
      </c>
      <c r="AO230">
        <v>1.38</v>
      </c>
      <c r="AP230">
        <v>-2.63</v>
      </c>
      <c r="AQ230">
        <v>18.59</v>
      </c>
      <c r="AR230">
        <v>42.31</v>
      </c>
      <c r="AS230">
        <v>1.99</v>
      </c>
      <c r="AT230" t="s">
        <v>1699</v>
      </c>
      <c r="AU230">
        <v>1207.73</v>
      </c>
      <c r="AV230">
        <v>2402.08</v>
      </c>
      <c r="AW230">
        <v>0.11</v>
      </c>
      <c r="BA230">
        <v>-0.54</v>
      </c>
      <c r="BB230">
        <v>1.61</v>
      </c>
      <c r="BC230">
        <v>-0.8</v>
      </c>
      <c r="BD230">
        <v>0.04</v>
      </c>
      <c r="BE230">
        <v>-0.27</v>
      </c>
      <c r="BF230">
        <v>-2.37</v>
      </c>
      <c r="BG230">
        <v>0</v>
      </c>
      <c r="BH230">
        <v>-0.84</v>
      </c>
      <c r="BI230">
        <v>20191025</v>
      </c>
      <c r="BJ230">
        <v>19961226</v>
      </c>
      <c r="BK230">
        <v>8.64</v>
      </c>
      <c r="BL230" t="s">
        <v>116</v>
      </c>
      <c r="BM230" t="s">
        <v>116</v>
      </c>
      <c r="BN230">
        <v>9</v>
      </c>
      <c r="BO230">
        <v>2.78</v>
      </c>
      <c r="BP230">
        <v>3.91</v>
      </c>
      <c r="BQ230">
        <v>25.6</v>
      </c>
      <c r="BR230">
        <v>3.77</v>
      </c>
      <c r="BS230">
        <v>4.34</v>
      </c>
      <c r="BT230">
        <v>0.8</v>
      </c>
      <c r="BU230">
        <v>2.0499999999999998</v>
      </c>
      <c r="BV230">
        <v>0.82</v>
      </c>
      <c r="BW230">
        <v>1.57</v>
      </c>
      <c r="BX230">
        <v>6.98</v>
      </c>
      <c r="BY230">
        <v>6.02</v>
      </c>
      <c r="BZ230">
        <v>5.0199999999999996</v>
      </c>
      <c r="CA230">
        <v>0.2</v>
      </c>
      <c r="CB230">
        <v>0</v>
      </c>
      <c r="CC230">
        <v>0.2</v>
      </c>
      <c r="CD230">
        <v>0.12</v>
      </c>
      <c r="CE230">
        <v>0.05</v>
      </c>
      <c r="CF230">
        <v>0.04</v>
      </c>
      <c r="CG230">
        <v>-14.96</v>
      </c>
      <c r="CH230">
        <v>0.62</v>
      </c>
      <c r="CI230">
        <v>0.64</v>
      </c>
      <c r="CJ230">
        <v>62479</v>
      </c>
      <c r="CK230">
        <v>9218</v>
      </c>
      <c r="CL230" t="s">
        <v>1700</v>
      </c>
      <c r="CM230">
        <v>38.869999999999997</v>
      </c>
      <c r="CN230">
        <v>17.95</v>
      </c>
      <c r="CO230">
        <v>11.48</v>
      </c>
      <c r="CP230">
        <v>51.69</v>
      </c>
      <c r="CQ230">
        <v>5.31</v>
      </c>
      <c r="CR230">
        <v>0</v>
      </c>
      <c r="CS230" t="s">
        <v>1701</v>
      </c>
      <c r="CT230">
        <v>0.32</v>
      </c>
      <c r="CU230">
        <v>0</v>
      </c>
      <c r="CV230">
        <v>0.81</v>
      </c>
      <c r="CW230">
        <v>-1.73</v>
      </c>
      <c r="CX230">
        <v>7.0000000000000007E-2</v>
      </c>
      <c r="CY230">
        <v>30.94</v>
      </c>
      <c r="CZ230" t="s">
        <v>1702</v>
      </c>
      <c r="DA230">
        <v>16.559999999999999</v>
      </c>
      <c r="DB230">
        <v>3.33</v>
      </c>
      <c r="DC230">
        <v>0.78</v>
      </c>
      <c r="DD230">
        <v>0.03</v>
      </c>
      <c r="DE230">
        <v>932</v>
      </c>
      <c r="DF230">
        <v>677</v>
      </c>
      <c r="DG230" t="s">
        <v>116</v>
      </c>
      <c r="DH230" t="s">
        <v>116</v>
      </c>
      <c r="DI230" t="s">
        <v>116</v>
      </c>
    </row>
    <row r="231" spans="1:113" x14ac:dyDescent="0.4">
      <c r="A231" t="str">
        <f>"000678"</f>
        <v>000678</v>
      </c>
      <c r="B231" t="s">
        <v>1703</v>
      </c>
      <c r="C231">
        <v>-1.55</v>
      </c>
      <c r="D231">
        <v>6.99</v>
      </c>
      <c r="E231">
        <v>-0.11</v>
      </c>
      <c r="F231">
        <v>6.99</v>
      </c>
      <c r="G231">
        <v>7</v>
      </c>
      <c r="H231">
        <v>13059</v>
      </c>
      <c r="I231">
        <v>232</v>
      </c>
      <c r="J231">
        <v>-0.13</v>
      </c>
      <c r="K231">
        <v>0.28000000000000003</v>
      </c>
      <c r="L231">
        <v>7.1</v>
      </c>
      <c r="M231">
        <v>7.1</v>
      </c>
      <c r="N231">
        <v>6.99</v>
      </c>
      <c r="O231">
        <v>7.1</v>
      </c>
      <c r="P231" t="s">
        <v>116</v>
      </c>
      <c r="Q231">
        <v>9184259</v>
      </c>
      <c r="R231">
        <v>1.18</v>
      </c>
      <c r="S231" t="s">
        <v>996</v>
      </c>
      <c r="T231" t="s">
        <v>774</v>
      </c>
      <c r="U231">
        <v>1.55</v>
      </c>
      <c r="V231">
        <v>7.03</v>
      </c>
      <c r="W231">
        <v>9531</v>
      </c>
      <c r="X231">
        <v>3528</v>
      </c>
      <c r="Y231">
        <v>2.7</v>
      </c>
      <c r="Z231">
        <v>190</v>
      </c>
      <c r="AA231">
        <v>180</v>
      </c>
      <c r="AB231" t="s">
        <v>116</v>
      </c>
      <c r="AC231">
        <v>2100</v>
      </c>
      <c r="AD231">
        <v>0</v>
      </c>
      <c r="AE231" t="s">
        <v>116</v>
      </c>
      <c r="AF231" t="s">
        <v>116</v>
      </c>
      <c r="AG231">
        <v>4.5999999999999996</v>
      </c>
      <c r="AH231" t="s">
        <v>1704</v>
      </c>
      <c r="AI231" t="s">
        <v>1704</v>
      </c>
      <c r="AJ231">
        <v>-0.87</v>
      </c>
      <c r="AK231">
        <v>413</v>
      </c>
      <c r="AL231">
        <v>32</v>
      </c>
      <c r="AM231">
        <v>6.9999999999999999E-4</v>
      </c>
      <c r="AN231">
        <v>-2</v>
      </c>
      <c r="AO231">
        <v>-1.83</v>
      </c>
      <c r="AP231">
        <v>1.9</v>
      </c>
      <c r="AQ231">
        <v>1.45</v>
      </c>
      <c r="AR231">
        <v>39.799999999999997</v>
      </c>
      <c r="AS231">
        <v>0.53</v>
      </c>
      <c r="AT231" t="s">
        <v>1705</v>
      </c>
      <c r="AU231" t="s">
        <v>116</v>
      </c>
      <c r="AV231" t="s">
        <v>116</v>
      </c>
      <c r="AW231">
        <v>0.36</v>
      </c>
      <c r="BA231">
        <v>0</v>
      </c>
      <c r="BB231">
        <v>0</v>
      </c>
      <c r="BC231">
        <v>-1.55</v>
      </c>
      <c r="BD231">
        <v>-0.95</v>
      </c>
      <c r="BE231">
        <v>-1.55</v>
      </c>
      <c r="BF231">
        <v>-1.55</v>
      </c>
      <c r="BG231">
        <v>0</v>
      </c>
      <c r="BH231">
        <v>-0.6</v>
      </c>
      <c r="BI231">
        <v>20191031</v>
      </c>
      <c r="BJ231">
        <v>19970106</v>
      </c>
      <c r="BK231">
        <v>4.5999999999999996</v>
      </c>
      <c r="BL231" t="s">
        <v>116</v>
      </c>
      <c r="BM231" t="s">
        <v>116</v>
      </c>
      <c r="BN231">
        <v>26.03</v>
      </c>
      <c r="BO231">
        <v>11.55</v>
      </c>
      <c r="BP231">
        <v>0.67</v>
      </c>
      <c r="BQ231">
        <v>53.05</v>
      </c>
      <c r="BR231">
        <v>9.85</v>
      </c>
      <c r="BS231">
        <v>11.47</v>
      </c>
      <c r="BT231">
        <v>3.2</v>
      </c>
      <c r="BU231">
        <v>11.01</v>
      </c>
      <c r="BV231">
        <v>5.32</v>
      </c>
      <c r="BW231">
        <v>2.2999999999999998</v>
      </c>
      <c r="BX231">
        <v>7.7</v>
      </c>
      <c r="BY231">
        <v>9.56</v>
      </c>
      <c r="BZ231">
        <v>8.5500000000000007</v>
      </c>
      <c r="CA231">
        <v>-0.22</v>
      </c>
      <c r="CB231">
        <v>0</v>
      </c>
      <c r="CC231">
        <v>-0.21</v>
      </c>
      <c r="CD231">
        <v>-0.23</v>
      </c>
      <c r="CE231">
        <v>-0.24</v>
      </c>
      <c r="CF231">
        <v>-0.31</v>
      </c>
      <c r="CG231">
        <v>-1.42</v>
      </c>
      <c r="CH231">
        <v>-0.55000000000000004</v>
      </c>
      <c r="CI231">
        <v>-1.01</v>
      </c>
      <c r="CJ231">
        <v>25898</v>
      </c>
      <c r="CK231">
        <v>9578</v>
      </c>
      <c r="CL231" t="s">
        <v>1706</v>
      </c>
      <c r="CM231">
        <v>-27.17</v>
      </c>
      <c r="CN231">
        <v>-18.440000000000001</v>
      </c>
      <c r="CO231">
        <v>2.78</v>
      </c>
      <c r="CP231">
        <v>-58.63</v>
      </c>
      <c r="CQ231">
        <v>3.36</v>
      </c>
      <c r="CR231">
        <v>0</v>
      </c>
      <c r="CS231" t="s">
        <v>1707</v>
      </c>
      <c r="CT231">
        <v>2.5099999999999998</v>
      </c>
      <c r="CU231">
        <v>0</v>
      </c>
      <c r="CV231">
        <v>1.68</v>
      </c>
      <c r="CW231">
        <v>-0.31</v>
      </c>
      <c r="CX231">
        <v>-0.12</v>
      </c>
      <c r="CY231">
        <v>44.39</v>
      </c>
      <c r="CZ231" t="s">
        <v>1708</v>
      </c>
      <c r="DA231">
        <v>10.6</v>
      </c>
      <c r="DB231">
        <v>-2.27</v>
      </c>
      <c r="DC231">
        <v>-2.52</v>
      </c>
      <c r="DD231">
        <v>0.25</v>
      </c>
      <c r="DE231">
        <v>4464</v>
      </c>
      <c r="DF231">
        <v>678</v>
      </c>
      <c r="DG231" t="s">
        <v>116</v>
      </c>
      <c r="DH231" t="s">
        <v>116</v>
      </c>
      <c r="DI231" t="s">
        <v>116</v>
      </c>
    </row>
    <row r="232" spans="1:113" x14ac:dyDescent="0.4">
      <c r="A232" t="str">
        <f>"000679"</f>
        <v>000679</v>
      </c>
      <c r="B232" t="s">
        <v>1709</v>
      </c>
      <c r="C232">
        <v>-2.13</v>
      </c>
      <c r="D232">
        <v>3.68</v>
      </c>
      <c r="E232">
        <v>-0.08</v>
      </c>
      <c r="F232">
        <v>3.67</v>
      </c>
      <c r="G232">
        <v>3.68</v>
      </c>
      <c r="H232">
        <v>38203</v>
      </c>
      <c r="I232">
        <v>1530</v>
      </c>
      <c r="J232">
        <v>0</v>
      </c>
      <c r="K232">
        <v>1.07</v>
      </c>
      <c r="L232">
        <v>3.75</v>
      </c>
      <c r="M232">
        <v>3.77</v>
      </c>
      <c r="N232">
        <v>3.68</v>
      </c>
      <c r="O232">
        <v>3.76</v>
      </c>
      <c r="P232" t="s">
        <v>116</v>
      </c>
      <c r="Q232">
        <v>14238303</v>
      </c>
      <c r="R232">
        <v>0.99</v>
      </c>
      <c r="S232" t="s">
        <v>746</v>
      </c>
      <c r="T232" t="s">
        <v>434</v>
      </c>
      <c r="U232">
        <v>2.39</v>
      </c>
      <c r="V232">
        <v>3.73</v>
      </c>
      <c r="W232">
        <v>23600</v>
      </c>
      <c r="X232">
        <v>14603</v>
      </c>
      <c r="Y232">
        <v>1.62</v>
      </c>
      <c r="Z232">
        <v>625</v>
      </c>
      <c r="AA232">
        <v>970</v>
      </c>
      <c r="AB232" t="s">
        <v>116</v>
      </c>
      <c r="AC232">
        <v>30800</v>
      </c>
      <c r="AD232">
        <v>0</v>
      </c>
      <c r="AE232" t="s">
        <v>116</v>
      </c>
      <c r="AF232" t="s">
        <v>116</v>
      </c>
      <c r="AG232">
        <v>3.56</v>
      </c>
      <c r="AH232" t="s">
        <v>1710</v>
      </c>
      <c r="AI232" t="s">
        <v>1711</v>
      </c>
      <c r="AJ232">
        <v>-1.45</v>
      </c>
      <c r="AK232">
        <v>819</v>
      </c>
      <c r="AL232">
        <v>47</v>
      </c>
      <c r="AM232">
        <v>1.2999999999999999E-3</v>
      </c>
      <c r="AN232">
        <v>-1</v>
      </c>
      <c r="AO232">
        <v>-1.0900000000000001</v>
      </c>
      <c r="AP232">
        <v>-0.54</v>
      </c>
      <c r="AQ232">
        <v>-0.81</v>
      </c>
      <c r="AR232">
        <v>-4.42</v>
      </c>
      <c r="AS232">
        <v>1.5</v>
      </c>
      <c r="AT232" t="s">
        <v>1712</v>
      </c>
      <c r="AU232" t="s">
        <v>116</v>
      </c>
      <c r="AV232" t="s">
        <v>116</v>
      </c>
      <c r="AW232">
        <v>0.53</v>
      </c>
      <c r="BA232">
        <v>-0.27</v>
      </c>
      <c r="BB232">
        <v>0.27</v>
      </c>
      <c r="BC232">
        <v>-2.13</v>
      </c>
      <c r="BD232">
        <v>-0.88</v>
      </c>
      <c r="BE232">
        <v>-1.87</v>
      </c>
      <c r="BF232">
        <v>-2.39</v>
      </c>
      <c r="BG232">
        <v>0</v>
      </c>
      <c r="BH232">
        <v>-1.25</v>
      </c>
      <c r="BI232">
        <v>20191031</v>
      </c>
      <c r="BJ232">
        <v>19970124</v>
      </c>
      <c r="BK232">
        <v>3.56</v>
      </c>
      <c r="BL232" t="s">
        <v>116</v>
      </c>
      <c r="BM232" t="s">
        <v>116</v>
      </c>
      <c r="BN232">
        <v>48.95</v>
      </c>
      <c r="BO232">
        <v>7.94</v>
      </c>
      <c r="BP232">
        <v>0.69</v>
      </c>
      <c r="BQ232">
        <v>82.36</v>
      </c>
      <c r="BR232">
        <v>38.93</v>
      </c>
      <c r="BS232">
        <v>2.4300000000000002</v>
      </c>
      <c r="BT232">
        <v>1.47</v>
      </c>
      <c r="BU232">
        <v>36.35</v>
      </c>
      <c r="BV232">
        <v>27.4</v>
      </c>
      <c r="BW232">
        <v>0.11</v>
      </c>
      <c r="BX232">
        <v>0.69</v>
      </c>
      <c r="BY232">
        <v>5.8</v>
      </c>
      <c r="BZ232">
        <v>4.91</v>
      </c>
      <c r="CA232">
        <v>-1.93</v>
      </c>
      <c r="CB232">
        <v>0</v>
      </c>
      <c r="CC232">
        <v>-1.57</v>
      </c>
      <c r="CD232">
        <v>-1.57</v>
      </c>
      <c r="CE232">
        <v>-1.42</v>
      </c>
      <c r="CF232">
        <v>-1.65</v>
      </c>
      <c r="CG232">
        <v>1.71</v>
      </c>
      <c r="CH232">
        <v>1.21</v>
      </c>
      <c r="CI232">
        <v>-1.87</v>
      </c>
      <c r="CJ232">
        <v>23538</v>
      </c>
      <c r="CK232">
        <v>10829</v>
      </c>
      <c r="CL232" t="s">
        <v>1713</v>
      </c>
      <c r="CM232">
        <v>10.59</v>
      </c>
      <c r="CN232">
        <v>-29.09</v>
      </c>
      <c r="CO232">
        <v>1.65</v>
      </c>
      <c r="CP232">
        <v>10.84</v>
      </c>
      <c r="CQ232">
        <v>2.2599999999999998</v>
      </c>
      <c r="CR232">
        <v>0</v>
      </c>
      <c r="CS232" t="s">
        <v>1714</v>
      </c>
      <c r="CT232">
        <v>2.23</v>
      </c>
      <c r="CU232">
        <v>0</v>
      </c>
      <c r="CV232">
        <v>0.19</v>
      </c>
      <c r="CW232">
        <v>0.48</v>
      </c>
      <c r="CX232">
        <v>0.34</v>
      </c>
      <c r="CY232">
        <v>16.23</v>
      </c>
      <c r="CZ232" t="s">
        <v>1715</v>
      </c>
      <c r="DA232">
        <v>15.42</v>
      </c>
      <c r="DB232">
        <v>-33.18</v>
      </c>
      <c r="DC232">
        <v>-24.46</v>
      </c>
      <c r="DD232">
        <v>0</v>
      </c>
      <c r="DE232">
        <v>526</v>
      </c>
      <c r="DF232">
        <v>679</v>
      </c>
      <c r="DG232" t="s">
        <v>116</v>
      </c>
      <c r="DH232" t="s">
        <v>116</v>
      </c>
      <c r="DI232" t="s">
        <v>116</v>
      </c>
    </row>
    <row r="233" spans="1:113" x14ac:dyDescent="0.4">
      <c r="A233" t="str">
        <f>"000680"</f>
        <v>000680</v>
      </c>
      <c r="B233" t="s">
        <v>1716</v>
      </c>
      <c r="C233">
        <v>0.85</v>
      </c>
      <c r="D233">
        <v>3.55</v>
      </c>
      <c r="E233">
        <v>0.03</v>
      </c>
      <c r="F233">
        <v>3.55</v>
      </c>
      <c r="G233">
        <v>3.56</v>
      </c>
      <c r="H233">
        <v>200285</v>
      </c>
      <c r="I233">
        <v>1776</v>
      </c>
      <c r="J233">
        <v>0</v>
      </c>
      <c r="K233">
        <v>1.89</v>
      </c>
      <c r="L233">
        <v>3.53</v>
      </c>
      <c r="M233">
        <v>3.64</v>
      </c>
      <c r="N233">
        <v>3.51</v>
      </c>
      <c r="O233">
        <v>3.52</v>
      </c>
      <c r="P233">
        <v>36.58</v>
      </c>
      <c r="Q233">
        <v>71469872</v>
      </c>
      <c r="R233">
        <v>1.88</v>
      </c>
      <c r="S233" t="s">
        <v>598</v>
      </c>
      <c r="T233" t="s">
        <v>645</v>
      </c>
      <c r="U233">
        <v>3.69</v>
      </c>
      <c r="V233">
        <v>3.57</v>
      </c>
      <c r="W233">
        <v>90773</v>
      </c>
      <c r="X233">
        <v>109512</v>
      </c>
      <c r="Y233">
        <v>0.83</v>
      </c>
      <c r="Z233">
        <v>1077</v>
      </c>
      <c r="AA233">
        <v>1472</v>
      </c>
      <c r="AB233" t="s">
        <v>116</v>
      </c>
      <c r="AC233">
        <v>37800</v>
      </c>
      <c r="AD233">
        <v>0</v>
      </c>
      <c r="AE233" t="s">
        <v>116</v>
      </c>
      <c r="AF233" t="s">
        <v>116</v>
      </c>
      <c r="AG233">
        <v>10.57</v>
      </c>
      <c r="AH233" t="s">
        <v>1717</v>
      </c>
      <c r="AI233" t="s">
        <v>1718</v>
      </c>
      <c r="AJ233">
        <v>1.53</v>
      </c>
      <c r="AK233">
        <v>1474</v>
      </c>
      <c r="AL233">
        <v>136</v>
      </c>
      <c r="AM233">
        <v>1.2999999999999999E-3</v>
      </c>
      <c r="AN233">
        <v>1</v>
      </c>
      <c r="AO233">
        <v>2.02</v>
      </c>
      <c r="AP233">
        <v>5.03</v>
      </c>
      <c r="AQ233">
        <v>1.1399999999999999</v>
      </c>
      <c r="AR233">
        <v>9.23</v>
      </c>
      <c r="AS233">
        <v>2.29</v>
      </c>
      <c r="AT233" t="s">
        <v>1719</v>
      </c>
      <c r="AU233">
        <v>51.39</v>
      </c>
      <c r="AV233">
        <v>54.74</v>
      </c>
      <c r="AW233">
        <v>0.71</v>
      </c>
      <c r="BA233">
        <v>0.28000000000000003</v>
      </c>
      <c r="BB233">
        <v>3.41</v>
      </c>
      <c r="BC233">
        <v>-0.28000000000000003</v>
      </c>
      <c r="BD233">
        <v>1.38</v>
      </c>
      <c r="BE233">
        <v>0.56999999999999995</v>
      </c>
      <c r="BF233">
        <v>-2.4700000000000002</v>
      </c>
      <c r="BG233">
        <v>1.1399999999999999</v>
      </c>
      <c r="BH233">
        <v>-0.52</v>
      </c>
      <c r="BI233">
        <v>20191030</v>
      </c>
      <c r="BJ233">
        <v>19970122</v>
      </c>
      <c r="BK233">
        <v>12.41</v>
      </c>
      <c r="BL233" t="s">
        <v>116</v>
      </c>
      <c r="BM233" t="s">
        <v>116</v>
      </c>
      <c r="BN233">
        <v>90.73</v>
      </c>
      <c r="BO233">
        <v>34.33</v>
      </c>
      <c r="BP233">
        <v>3.13</v>
      </c>
      <c r="BQ233">
        <v>58.71</v>
      </c>
      <c r="BR233">
        <v>55.43</v>
      </c>
      <c r="BS233">
        <v>14.81</v>
      </c>
      <c r="BT233">
        <v>6.31</v>
      </c>
      <c r="BU233">
        <v>46.1</v>
      </c>
      <c r="BV233">
        <v>12.83</v>
      </c>
      <c r="BW233">
        <v>16.27</v>
      </c>
      <c r="BX233">
        <v>11.88</v>
      </c>
      <c r="BY233">
        <v>48.07</v>
      </c>
      <c r="BZ233">
        <v>40.86</v>
      </c>
      <c r="CA233">
        <v>0.53</v>
      </c>
      <c r="CB233">
        <v>0.81</v>
      </c>
      <c r="CC233">
        <v>1.08</v>
      </c>
      <c r="CD233">
        <v>1</v>
      </c>
      <c r="CE233">
        <v>0.9</v>
      </c>
      <c r="CF233">
        <v>0.33</v>
      </c>
      <c r="CG233">
        <v>6.41</v>
      </c>
      <c r="CH233">
        <v>5.56</v>
      </c>
      <c r="CI233">
        <v>3.02</v>
      </c>
      <c r="CJ233">
        <v>115024</v>
      </c>
      <c r="CK233">
        <v>7619</v>
      </c>
      <c r="CL233" t="s">
        <v>1416</v>
      </c>
      <c r="CM233">
        <v>6.15</v>
      </c>
      <c r="CN233">
        <v>-22.4</v>
      </c>
      <c r="CO233">
        <v>1.28</v>
      </c>
      <c r="CP233">
        <v>7.92</v>
      </c>
      <c r="CQ233">
        <v>0.92</v>
      </c>
      <c r="CR233">
        <v>0.56000000000000005</v>
      </c>
      <c r="CS233" t="s">
        <v>1012</v>
      </c>
      <c r="CT233">
        <v>2.77</v>
      </c>
      <c r="CU233">
        <v>0</v>
      </c>
      <c r="CV233">
        <v>0.96</v>
      </c>
      <c r="CW233">
        <v>0.52</v>
      </c>
      <c r="CX233">
        <v>0.45</v>
      </c>
      <c r="CY233">
        <v>37.83</v>
      </c>
      <c r="CZ233" t="s">
        <v>1720</v>
      </c>
      <c r="DA233">
        <v>15.01</v>
      </c>
      <c r="DB233">
        <v>1.1000000000000001</v>
      </c>
      <c r="DC233">
        <v>1.88</v>
      </c>
      <c r="DD233">
        <v>1.7</v>
      </c>
      <c r="DE233">
        <v>5390</v>
      </c>
      <c r="DF233">
        <v>680</v>
      </c>
      <c r="DG233" t="s">
        <v>116</v>
      </c>
      <c r="DH233" t="s">
        <v>116</v>
      </c>
      <c r="DI233" t="s">
        <v>116</v>
      </c>
    </row>
    <row r="234" spans="1:113" x14ac:dyDescent="0.4">
      <c r="A234" t="str">
        <f>"000681"</f>
        <v>000681</v>
      </c>
      <c r="B234" t="s">
        <v>1721</v>
      </c>
      <c r="C234">
        <v>-3.17</v>
      </c>
      <c r="D234">
        <v>16.48</v>
      </c>
      <c r="E234">
        <v>-0.54</v>
      </c>
      <c r="F234">
        <v>16.47</v>
      </c>
      <c r="G234">
        <v>16.48</v>
      </c>
      <c r="H234">
        <v>200863</v>
      </c>
      <c r="I234">
        <v>1793</v>
      </c>
      <c r="J234">
        <v>0.18</v>
      </c>
      <c r="K234">
        <v>3.04</v>
      </c>
      <c r="L234">
        <v>16.91</v>
      </c>
      <c r="M234">
        <v>17.13</v>
      </c>
      <c r="N234">
        <v>16.36</v>
      </c>
      <c r="O234">
        <v>17.02</v>
      </c>
      <c r="P234">
        <v>40.32</v>
      </c>
      <c r="Q234">
        <v>335192000</v>
      </c>
      <c r="R234">
        <v>1.64</v>
      </c>
      <c r="S234" t="s">
        <v>1384</v>
      </c>
      <c r="T234" t="s">
        <v>323</v>
      </c>
      <c r="U234">
        <v>4.5199999999999996</v>
      </c>
      <c r="V234">
        <v>16.690000000000001</v>
      </c>
      <c r="W234">
        <v>122694</v>
      </c>
      <c r="X234">
        <v>78169</v>
      </c>
      <c r="Y234">
        <v>1.57</v>
      </c>
      <c r="Z234">
        <v>221</v>
      </c>
      <c r="AA234">
        <v>57</v>
      </c>
      <c r="AB234" t="s">
        <v>116</v>
      </c>
      <c r="AC234">
        <v>3077600</v>
      </c>
      <c r="AD234">
        <v>0.05</v>
      </c>
      <c r="AE234" t="s">
        <v>116</v>
      </c>
      <c r="AF234" t="s">
        <v>116</v>
      </c>
      <c r="AG234">
        <v>6.61</v>
      </c>
      <c r="AH234" t="s">
        <v>1722</v>
      </c>
      <c r="AI234" t="s">
        <v>1723</v>
      </c>
      <c r="AJ234">
        <v>-2.4900000000000002</v>
      </c>
      <c r="AK234">
        <v>3765</v>
      </c>
      <c r="AL234">
        <v>53</v>
      </c>
      <c r="AM234">
        <v>8.0000000000000004E-4</v>
      </c>
      <c r="AN234">
        <v>-1</v>
      </c>
      <c r="AO234">
        <v>0.61</v>
      </c>
      <c r="AP234">
        <v>-17.14</v>
      </c>
      <c r="AQ234">
        <v>-21.97</v>
      </c>
      <c r="AR234">
        <v>-29.19</v>
      </c>
      <c r="AS234">
        <v>5.81</v>
      </c>
      <c r="AT234" t="s">
        <v>1724</v>
      </c>
      <c r="AU234">
        <v>36.54</v>
      </c>
      <c r="AV234">
        <v>35.94</v>
      </c>
      <c r="AW234">
        <v>0.98</v>
      </c>
      <c r="BA234">
        <v>-0.65</v>
      </c>
      <c r="BB234">
        <v>0.65</v>
      </c>
      <c r="BC234">
        <v>-3.88</v>
      </c>
      <c r="BD234">
        <v>-1.95</v>
      </c>
      <c r="BE234">
        <v>-2.54</v>
      </c>
      <c r="BF234">
        <v>-3.79</v>
      </c>
      <c r="BG234">
        <v>0.73</v>
      </c>
      <c r="BH234">
        <v>-1.22</v>
      </c>
      <c r="BI234">
        <v>20191030</v>
      </c>
      <c r="BJ234">
        <v>19970121</v>
      </c>
      <c r="BK234">
        <v>7.01</v>
      </c>
      <c r="BL234" t="s">
        <v>116</v>
      </c>
      <c r="BM234" t="s">
        <v>116</v>
      </c>
      <c r="BN234">
        <v>42.1</v>
      </c>
      <c r="BO234">
        <v>30.82</v>
      </c>
      <c r="BP234">
        <v>0</v>
      </c>
      <c r="BQ234">
        <v>26.78</v>
      </c>
      <c r="BR234">
        <v>10.66</v>
      </c>
      <c r="BS234">
        <v>0.03</v>
      </c>
      <c r="BT234">
        <v>1.02</v>
      </c>
      <c r="BU234">
        <v>8.8800000000000008</v>
      </c>
      <c r="BV234">
        <v>0</v>
      </c>
      <c r="BW234">
        <v>2.08</v>
      </c>
      <c r="BX234">
        <v>16.14</v>
      </c>
      <c r="BY234">
        <v>5.86</v>
      </c>
      <c r="BZ234">
        <v>2.06</v>
      </c>
      <c r="CA234">
        <v>2.54</v>
      </c>
      <c r="CB234">
        <v>0.43</v>
      </c>
      <c r="CC234">
        <v>2.54</v>
      </c>
      <c r="CD234">
        <v>2.13</v>
      </c>
      <c r="CE234">
        <v>2.15</v>
      </c>
      <c r="CF234">
        <v>2.13</v>
      </c>
      <c r="CG234">
        <v>13.41</v>
      </c>
      <c r="CH234">
        <v>0.87</v>
      </c>
      <c r="CI234">
        <v>-1.01</v>
      </c>
      <c r="CJ234">
        <v>33984</v>
      </c>
      <c r="CK234">
        <v>10167</v>
      </c>
      <c r="CL234" t="s">
        <v>1725</v>
      </c>
      <c r="CM234">
        <v>-2.4</v>
      </c>
      <c r="CN234">
        <v>-16.5</v>
      </c>
      <c r="CO234">
        <v>3.75</v>
      </c>
      <c r="CP234">
        <v>132</v>
      </c>
      <c r="CQ234">
        <v>19.72</v>
      </c>
      <c r="CR234">
        <v>0.28000000000000003</v>
      </c>
      <c r="CS234" t="s">
        <v>1726</v>
      </c>
      <c r="CT234">
        <v>4.4000000000000004</v>
      </c>
      <c r="CU234">
        <v>0</v>
      </c>
      <c r="CV234">
        <v>2.2999999999999998</v>
      </c>
      <c r="CW234">
        <v>1.91</v>
      </c>
      <c r="CX234">
        <v>0.12</v>
      </c>
      <c r="CY234">
        <v>73.22</v>
      </c>
      <c r="CZ234" t="s">
        <v>1727</v>
      </c>
      <c r="DA234">
        <v>64.77</v>
      </c>
      <c r="DB234">
        <v>43.41</v>
      </c>
      <c r="DC234">
        <v>36.68</v>
      </c>
      <c r="DD234">
        <v>0.27</v>
      </c>
      <c r="DE234">
        <v>591</v>
      </c>
      <c r="DF234">
        <v>681</v>
      </c>
      <c r="DG234" t="s">
        <v>116</v>
      </c>
      <c r="DH234" t="s">
        <v>116</v>
      </c>
      <c r="DI234" t="s">
        <v>116</v>
      </c>
    </row>
    <row r="235" spans="1:113" x14ac:dyDescent="0.4">
      <c r="A235" t="str">
        <f>"000682"</f>
        <v>000682</v>
      </c>
      <c r="B235" t="s">
        <v>1728</v>
      </c>
      <c r="C235">
        <v>-0.98</v>
      </c>
      <c r="D235">
        <v>5.05</v>
      </c>
      <c r="E235">
        <v>-0.05</v>
      </c>
      <c r="F235">
        <v>5.05</v>
      </c>
      <c r="G235">
        <v>5.0599999999999996</v>
      </c>
      <c r="H235">
        <v>118656</v>
      </c>
      <c r="I235">
        <v>1492</v>
      </c>
      <c r="J235">
        <v>0</v>
      </c>
      <c r="K235">
        <v>1.21</v>
      </c>
      <c r="L235">
        <v>5.1100000000000003</v>
      </c>
      <c r="M235">
        <v>5.15</v>
      </c>
      <c r="N235">
        <v>5.03</v>
      </c>
      <c r="O235">
        <v>5.0999999999999996</v>
      </c>
      <c r="P235">
        <v>28.54</v>
      </c>
      <c r="Q235">
        <v>60466128</v>
      </c>
      <c r="R235">
        <v>0.93</v>
      </c>
      <c r="S235" t="s">
        <v>607</v>
      </c>
      <c r="T235" t="s">
        <v>645</v>
      </c>
      <c r="U235">
        <v>2.35</v>
      </c>
      <c r="V235">
        <v>5.0999999999999996</v>
      </c>
      <c r="W235">
        <v>72878</v>
      </c>
      <c r="X235">
        <v>45778</v>
      </c>
      <c r="Y235">
        <v>1.59</v>
      </c>
      <c r="Z235">
        <v>154</v>
      </c>
      <c r="AA235">
        <v>1193</v>
      </c>
      <c r="AB235" t="s">
        <v>116</v>
      </c>
      <c r="AC235">
        <v>60800</v>
      </c>
      <c r="AD235">
        <v>0</v>
      </c>
      <c r="AE235" t="s">
        <v>116</v>
      </c>
      <c r="AF235" t="s">
        <v>116</v>
      </c>
      <c r="AG235">
        <v>9.7799999999999994</v>
      </c>
      <c r="AH235" t="s">
        <v>1729</v>
      </c>
      <c r="AI235" t="s">
        <v>1730</v>
      </c>
      <c r="AJ235">
        <v>-0.3</v>
      </c>
      <c r="AK235">
        <v>1931</v>
      </c>
      <c r="AL235">
        <v>61</v>
      </c>
      <c r="AM235">
        <v>5.9999999999999995E-4</v>
      </c>
      <c r="AN235">
        <v>-2</v>
      </c>
      <c r="AO235">
        <v>0</v>
      </c>
      <c r="AP235">
        <v>10.02</v>
      </c>
      <c r="AQ235">
        <v>3.27</v>
      </c>
      <c r="AR235">
        <v>52.57</v>
      </c>
      <c r="AS235">
        <v>1.51</v>
      </c>
      <c r="AT235" t="s">
        <v>1731</v>
      </c>
      <c r="AU235">
        <v>26.23</v>
      </c>
      <c r="AV235">
        <v>39.57</v>
      </c>
      <c r="AW235">
        <v>1.48</v>
      </c>
      <c r="BA235">
        <v>0.2</v>
      </c>
      <c r="BB235">
        <v>0.98</v>
      </c>
      <c r="BC235">
        <v>-1.37</v>
      </c>
      <c r="BD235">
        <v>-0.08</v>
      </c>
      <c r="BE235">
        <v>-1.17</v>
      </c>
      <c r="BF235">
        <v>-1.94</v>
      </c>
      <c r="BG235">
        <v>0.4</v>
      </c>
      <c r="BH235">
        <v>-0.9</v>
      </c>
      <c r="BI235">
        <v>20191203</v>
      </c>
      <c r="BJ235">
        <v>19970121</v>
      </c>
      <c r="BK235">
        <v>13.41</v>
      </c>
      <c r="BL235" t="s">
        <v>116</v>
      </c>
      <c r="BM235" t="s">
        <v>116</v>
      </c>
      <c r="BN235">
        <v>55.27</v>
      </c>
      <c r="BO235">
        <v>31.99</v>
      </c>
      <c r="BP235">
        <v>2.76</v>
      </c>
      <c r="BQ235">
        <v>37.14</v>
      </c>
      <c r="BR235">
        <v>45.52</v>
      </c>
      <c r="BS235">
        <v>5.96</v>
      </c>
      <c r="BT235">
        <v>0.9</v>
      </c>
      <c r="BU235">
        <v>19.559999999999999</v>
      </c>
      <c r="BV235">
        <v>12.99</v>
      </c>
      <c r="BW235">
        <v>14.59</v>
      </c>
      <c r="BX235">
        <v>11.99</v>
      </c>
      <c r="BY235">
        <v>21.53</v>
      </c>
      <c r="BZ235">
        <v>14.1</v>
      </c>
      <c r="CA235">
        <v>2.12</v>
      </c>
      <c r="CB235">
        <v>0.09</v>
      </c>
      <c r="CC235">
        <v>2.12</v>
      </c>
      <c r="CD235">
        <v>1.92</v>
      </c>
      <c r="CE235">
        <v>1.78</v>
      </c>
      <c r="CF235">
        <v>1.64</v>
      </c>
      <c r="CG235">
        <v>6.34</v>
      </c>
      <c r="CH235">
        <v>-2.72</v>
      </c>
      <c r="CI235">
        <v>-1.83</v>
      </c>
      <c r="CJ235">
        <v>126268</v>
      </c>
      <c r="CK235">
        <v>6217</v>
      </c>
      <c r="CL235" t="s">
        <v>1732</v>
      </c>
      <c r="CM235">
        <v>95.65</v>
      </c>
      <c r="CN235">
        <v>16.86</v>
      </c>
      <c r="CO235">
        <v>2.12</v>
      </c>
      <c r="CP235">
        <v>-24.93</v>
      </c>
      <c r="CQ235">
        <v>3.14</v>
      </c>
      <c r="CR235">
        <v>0</v>
      </c>
      <c r="CS235" t="s">
        <v>533</v>
      </c>
      <c r="CT235">
        <v>2.39</v>
      </c>
      <c r="CU235">
        <v>0</v>
      </c>
      <c r="CV235">
        <v>0.89</v>
      </c>
      <c r="CW235">
        <v>0.47</v>
      </c>
      <c r="CX235">
        <v>-0.2</v>
      </c>
      <c r="CY235">
        <v>57.87</v>
      </c>
      <c r="CZ235" t="s">
        <v>1733</v>
      </c>
      <c r="DA235">
        <v>34.53</v>
      </c>
      <c r="DB235">
        <v>9.86</v>
      </c>
      <c r="DC235">
        <v>8.26</v>
      </c>
      <c r="DD235">
        <v>1.79</v>
      </c>
      <c r="DE235">
        <v>4564</v>
      </c>
      <c r="DF235">
        <v>682</v>
      </c>
      <c r="DG235" t="s">
        <v>116</v>
      </c>
      <c r="DH235" t="s">
        <v>116</v>
      </c>
      <c r="DI235" t="s">
        <v>116</v>
      </c>
    </row>
    <row r="236" spans="1:113" x14ac:dyDescent="0.4">
      <c r="A236" t="str">
        <f>"000683"</f>
        <v>000683</v>
      </c>
      <c r="B236" t="s">
        <v>1734</v>
      </c>
      <c r="C236">
        <v>1.35</v>
      </c>
      <c r="D236">
        <v>2.25</v>
      </c>
      <c r="E236">
        <v>0.03</v>
      </c>
      <c r="F236">
        <v>2.25</v>
      </c>
      <c r="G236">
        <v>2.2599999999999998</v>
      </c>
      <c r="H236">
        <v>547192</v>
      </c>
      <c r="I236">
        <v>2344</v>
      </c>
      <c r="J236">
        <v>-0.43</v>
      </c>
      <c r="K236">
        <v>1.54</v>
      </c>
      <c r="L236">
        <v>2.21</v>
      </c>
      <c r="M236">
        <v>2.29</v>
      </c>
      <c r="N236">
        <v>2.21</v>
      </c>
      <c r="O236">
        <v>2.2200000000000002</v>
      </c>
      <c r="P236">
        <v>10.3</v>
      </c>
      <c r="Q236">
        <v>123319072</v>
      </c>
      <c r="R236">
        <v>2.36</v>
      </c>
      <c r="S236" t="s">
        <v>891</v>
      </c>
      <c r="T236" t="s">
        <v>796</v>
      </c>
      <c r="U236">
        <v>3.6</v>
      </c>
      <c r="V236">
        <v>2.25</v>
      </c>
      <c r="W236">
        <v>238005</v>
      </c>
      <c r="X236">
        <v>309186</v>
      </c>
      <c r="Y236">
        <v>0.77</v>
      </c>
      <c r="Z236">
        <v>1937</v>
      </c>
      <c r="AA236">
        <v>22574</v>
      </c>
      <c r="AB236" t="s">
        <v>116</v>
      </c>
      <c r="AC236">
        <v>146100</v>
      </c>
      <c r="AD236">
        <v>0</v>
      </c>
      <c r="AE236" t="s">
        <v>116</v>
      </c>
      <c r="AF236" t="s">
        <v>116</v>
      </c>
      <c r="AG236">
        <v>35.630000000000003</v>
      </c>
      <c r="AH236" t="s">
        <v>1735</v>
      </c>
      <c r="AI236" t="s">
        <v>1736</v>
      </c>
      <c r="AJ236">
        <v>2.0299999999999998</v>
      </c>
      <c r="AK236">
        <v>1974</v>
      </c>
      <c r="AL236">
        <v>277</v>
      </c>
      <c r="AM236">
        <v>8.0000000000000004E-4</v>
      </c>
      <c r="AN236">
        <v>2</v>
      </c>
      <c r="AO236">
        <v>1.35</v>
      </c>
      <c r="AP236">
        <v>4.17</v>
      </c>
      <c r="AQ236">
        <v>-2.6</v>
      </c>
      <c r="AR236">
        <v>-5.0599999999999996</v>
      </c>
      <c r="AS236">
        <v>2.34</v>
      </c>
      <c r="AT236" t="s">
        <v>1737</v>
      </c>
      <c r="AU236">
        <v>8.6</v>
      </c>
      <c r="AV236">
        <v>6.79</v>
      </c>
      <c r="AW236">
        <v>0.6</v>
      </c>
      <c r="BA236">
        <v>-0.45</v>
      </c>
      <c r="BB236">
        <v>3.15</v>
      </c>
      <c r="BC236">
        <v>-0.45</v>
      </c>
      <c r="BD236">
        <v>1.52</v>
      </c>
      <c r="BE236">
        <v>1.81</v>
      </c>
      <c r="BF236">
        <v>-1.75</v>
      </c>
      <c r="BG236">
        <v>1.81</v>
      </c>
      <c r="BH236">
        <v>-0.17</v>
      </c>
      <c r="BI236">
        <v>20191125</v>
      </c>
      <c r="BJ236">
        <v>19970131</v>
      </c>
      <c r="BK236">
        <v>39.24</v>
      </c>
      <c r="BL236" t="s">
        <v>116</v>
      </c>
      <c r="BM236" t="s">
        <v>116</v>
      </c>
      <c r="BN236">
        <v>252.79</v>
      </c>
      <c r="BO236">
        <v>101</v>
      </c>
      <c r="BP236">
        <v>19.46</v>
      </c>
      <c r="BQ236">
        <v>52.35</v>
      </c>
      <c r="BR236">
        <v>80.09</v>
      </c>
      <c r="BS236">
        <v>125.12</v>
      </c>
      <c r="BT236">
        <v>8.67</v>
      </c>
      <c r="BU236">
        <v>103.59</v>
      </c>
      <c r="BV236">
        <v>5.48</v>
      </c>
      <c r="BW236">
        <v>2.14</v>
      </c>
      <c r="BX236">
        <v>17.71</v>
      </c>
      <c r="BY236">
        <v>56.87</v>
      </c>
      <c r="BZ236">
        <v>35.020000000000003</v>
      </c>
      <c r="CA236">
        <v>10.52</v>
      </c>
      <c r="CB236">
        <v>1.81</v>
      </c>
      <c r="CC236">
        <v>10.36</v>
      </c>
      <c r="CD236">
        <v>8.25</v>
      </c>
      <c r="CE236">
        <v>6.43</v>
      </c>
      <c r="CF236">
        <v>6.52</v>
      </c>
      <c r="CG236">
        <v>47.03</v>
      </c>
      <c r="CH236">
        <v>12.49</v>
      </c>
      <c r="CI236">
        <v>7.15</v>
      </c>
      <c r="CJ236">
        <v>136101</v>
      </c>
      <c r="CK236">
        <v>17155</v>
      </c>
      <c r="CL236" t="s">
        <v>964</v>
      </c>
      <c r="CM236">
        <v>-29.88</v>
      </c>
      <c r="CN236">
        <v>-14.83</v>
      </c>
      <c r="CO236">
        <v>0.87</v>
      </c>
      <c r="CP236">
        <v>7.07</v>
      </c>
      <c r="CQ236">
        <v>1.55</v>
      </c>
      <c r="CR236">
        <v>0</v>
      </c>
      <c r="CS236" t="s">
        <v>1514</v>
      </c>
      <c r="CT236">
        <v>2.57</v>
      </c>
      <c r="CU236">
        <v>0</v>
      </c>
      <c r="CV236">
        <v>0.45</v>
      </c>
      <c r="CW236">
        <v>1.2</v>
      </c>
      <c r="CX236">
        <v>0.32</v>
      </c>
      <c r="CY236">
        <v>39.950000000000003</v>
      </c>
      <c r="CZ236" t="s">
        <v>1738</v>
      </c>
      <c r="DA236">
        <v>38.42</v>
      </c>
      <c r="DB236">
        <v>18.5</v>
      </c>
      <c r="DC236">
        <v>11.31</v>
      </c>
      <c r="DD236">
        <v>0.78</v>
      </c>
      <c r="DE236">
        <v>4794</v>
      </c>
      <c r="DF236">
        <v>683</v>
      </c>
      <c r="DG236" t="s">
        <v>116</v>
      </c>
      <c r="DH236" t="s">
        <v>116</v>
      </c>
      <c r="DI236" t="s">
        <v>116</v>
      </c>
    </row>
    <row r="237" spans="1:113" x14ac:dyDescent="0.4">
      <c r="A237" t="str">
        <f>"000685"</f>
        <v>000685</v>
      </c>
      <c r="B237" t="s">
        <v>1739</v>
      </c>
      <c r="C237">
        <v>-0.12</v>
      </c>
      <c r="D237">
        <v>8.1</v>
      </c>
      <c r="E237">
        <v>-0.01</v>
      </c>
      <c r="F237">
        <v>8.09</v>
      </c>
      <c r="G237">
        <v>8.1</v>
      </c>
      <c r="H237">
        <v>42219</v>
      </c>
      <c r="I237">
        <v>533</v>
      </c>
      <c r="J237">
        <v>0.25</v>
      </c>
      <c r="K237">
        <v>0.34</v>
      </c>
      <c r="L237">
        <v>8.1199999999999992</v>
      </c>
      <c r="M237">
        <v>8.16</v>
      </c>
      <c r="N237">
        <v>8.08</v>
      </c>
      <c r="O237">
        <v>8.11</v>
      </c>
      <c r="P237">
        <v>12.14</v>
      </c>
      <c r="Q237">
        <v>34315912</v>
      </c>
      <c r="R237">
        <v>1.37</v>
      </c>
      <c r="S237" t="s">
        <v>1345</v>
      </c>
      <c r="T237" t="s">
        <v>551</v>
      </c>
      <c r="U237">
        <v>0.99</v>
      </c>
      <c r="V237">
        <v>8.1300000000000008</v>
      </c>
      <c r="W237">
        <v>22255</v>
      </c>
      <c r="X237">
        <v>19964</v>
      </c>
      <c r="Y237">
        <v>1.1100000000000001</v>
      </c>
      <c r="Z237">
        <v>20</v>
      </c>
      <c r="AA237">
        <v>286</v>
      </c>
      <c r="AB237" t="s">
        <v>116</v>
      </c>
      <c r="AC237">
        <v>65800</v>
      </c>
      <c r="AD237">
        <v>0</v>
      </c>
      <c r="AE237" t="s">
        <v>116</v>
      </c>
      <c r="AF237" t="s">
        <v>116</v>
      </c>
      <c r="AG237">
        <v>12.53</v>
      </c>
      <c r="AH237" t="s">
        <v>1740</v>
      </c>
      <c r="AI237" t="s">
        <v>1741</v>
      </c>
      <c r="AJ237">
        <v>0.56000000000000005</v>
      </c>
      <c r="AK237">
        <v>1282</v>
      </c>
      <c r="AL237">
        <v>33</v>
      </c>
      <c r="AM237">
        <v>2.9999999999999997E-4</v>
      </c>
      <c r="AN237">
        <v>-1</v>
      </c>
      <c r="AO237">
        <v>0.38</v>
      </c>
      <c r="AP237">
        <v>3.32</v>
      </c>
      <c r="AQ237">
        <v>0.62</v>
      </c>
      <c r="AR237">
        <v>18.059999999999999</v>
      </c>
      <c r="AS237">
        <v>0.73</v>
      </c>
      <c r="AT237" t="s">
        <v>1742</v>
      </c>
      <c r="AU237">
        <v>14.18</v>
      </c>
      <c r="AV237">
        <v>17.41</v>
      </c>
      <c r="AW237">
        <v>0.84</v>
      </c>
      <c r="BA237">
        <v>0.12</v>
      </c>
      <c r="BB237">
        <v>0.62</v>
      </c>
      <c r="BC237">
        <v>-0.37</v>
      </c>
      <c r="BD237">
        <v>0.22</v>
      </c>
      <c r="BE237">
        <v>-0.25</v>
      </c>
      <c r="BF237">
        <v>-0.74</v>
      </c>
      <c r="BG237">
        <v>0.25</v>
      </c>
      <c r="BH237">
        <v>-0.35</v>
      </c>
      <c r="BI237">
        <v>20191031</v>
      </c>
      <c r="BJ237">
        <v>19970123</v>
      </c>
      <c r="BK237">
        <v>14.75</v>
      </c>
      <c r="BL237" t="s">
        <v>116</v>
      </c>
      <c r="BM237" t="s">
        <v>116</v>
      </c>
      <c r="BN237">
        <v>196.18</v>
      </c>
      <c r="BO237">
        <v>129.47</v>
      </c>
      <c r="BP237">
        <v>3.32</v>
      </c>
      <c r="BQ237">
        <v>32.31</v>
      </c>
      <c r="BR237">
        <v>30.24</v>
      </c>
      <c r="BS237">
        <v>19.62</v>
      </c>
      <c r="BT237">
        <v>8.07</v>
      </c>
      <c r="BU237">
        <v>39.270000000000003</v>
      </c>
      <c r="BV237">
        <v>2.04</v>
      </c>
      <c r="BW237">
        <v>3.9</v>
      </c>
      <c r="BX237">
        <v>19.11</v>
      </c>
      <c r="BY237">
        <v>13.75</v>
      </c>
      <c r="BZ237">
        <v>9.65</v>
      </c>
      <c r="CA237">
        <v>8.0500000000000007</v>
      </c>
      <c r="CB237">
        <v>6.48</v>
      </c>
      <c r="CC237">
        <v>8.01</v>
      </c>
      <c r="CD237">
        <v>7.54</v>
      </c>
      <c r="CE237">
        <v>7.38</v>
      </c>
      <c r="CF237">
        <v>7.3</v>
      </c>
      <c r="CG237">
        <v>78.56</v>
      </c>
      <c r="CH237">
        <v>3.83</v>
      </c>
      <c r="CI237">
        <v>-0.13</v>
      </c>
      <c r="CJ237">
        <v>40938</v>
      </c>
      <c r="CK237">
        <v>14166</v>
      </c>
      <c r="CL237" t="s">
        <v>1743</v>
      </c>
      <c r="CM237">
        <v>26.84</v>
      </c>
      <c r="CN237">
        <v>0.87</v>
      </c>
      <c r="CO237">
        <v>0.92</v>
      </c>
      <c r="CP237">
        <v>31.23</v>
      </c>
      <c r="CQ237">
        <v>8.69</v>
      </c>
      <c r="CR237">
        <v>1.72</v>
      </c>
      <c r="CS237" t="s">
        <v>1744</v>
      </c>
      <c r="CT237">
        <v>8.7799999999999994</v>
      </c>
      <c r="CU237">
        <v>0</v>
      </c>
      <c r="CV237">
        <v>1.3</v>
      </c>
      <c r="CW237">
        <v>5.33</v>
      </c>
      <c r="CX237">
        <v>0.26</v>
      </c>
      <c r="CY237">
        <v>66</v>
      </c>
      <c r="CZ237" t="s">
        <v>201</v>
      </c>
      <c r="DA237">
        <v>29.86</v>
      </c>
      <c r="DB237">
        <v>58.53</v>
      </c>
      <c r="DC237">
        <v>53.67</v>
      </c>
      <c r="DD237">
        <v>0.03</v>
      </c>
      <c r="DE237">
        <v>3940</v>
      </c>
      <c r="DF237">
        <v>685</v>
      </c>
      <c r="DG237" t="s">
        <v>116</v>
      </c>
      <c r="DH237" t="s">
        <v>116</v>
      </c>
      <c r="DI237" t="s">
        <v>116</v>
      </c>
    </row>
    <row r="238" spans="1:113" x14ac:dyDescent="0.4">
      <c r="A238" t="str">
        <f>"000686"</f>
        <v>000686</v>
      </c>
      <c r="B238" t="s">
        <v>1745</v>
      </c>
      <c r="C238">
        <v>-3.63</v>
      </c>
      <c r="D238">
        <v>8.76</v>
      </c>
      <c r="E238">
        <v>-0.33</v>
      </c>
      <c r="F238">
        <v>8.76</v>
      </c>
      <c r="G238">
        <v>8.77</v>
      </c>
      <c r="H238">
        <v>577669</v>
      </c>
      <c r="I238">
        <v>9033</v>
      </c>
      <c r="J238">
        <v>-0.33</v>
      </c>
      <c r="K238">
        <v>2.4700000000000002</v>
      </c>
      <c r="L238">
        <v>9.0500000000000007</v>
      </c>
      <c r="M238">
        <v>9.18</v>
      </c>
      <c r="N238">
        <v>8.75</v>
      </c>
      <c r="O238">
        <v>9.09</v>
      </c>
      <c r="P238">
        <v>17.72</v>
      </c>
      <c r="Q238">
        <v>519740224</v>
      </c>
      <c r="R238">
        <v>1.19</v>
      </c>
      <c r="S238" t="s">
        <v>623</v>
      </c>
      <c r="T238" t="s">
        <v>294</v>
      </c>
      <c r="U238">
        <v>4.7300000000000004</v>
      </c>
      <c r="V238">
        <v>9</v>
      </c>
      <c r="W238">
        <v>325426</v>
      </c>
      <c r="X238">
        <v>252243</v>
      </c>
      <c r="Y238">
        <v>1.29</v>
      </c>
      <c r="Z238">
        <v>495</v>
      </c>
      <c r="AA238">
        <v>3018</v>
      </c>
      <c r="AB238" t="s">
        <v>116</v>
      </c>
      <c r="AC238">
        <v>2905600</v>
      </c>
      <c r="AD238">
        <v>0.02</v>
      </c>
      <c r="AE238" t="s">
        <v>116</v>
      </c>
      <c r="AF238" t="s">
        <v>116</v>
      </c>
      <c r="AG238">
        <v>23.4</v>
      </c>
      <c r="AH238" t="s">
        <v>1746</v>
      </c>
      <c r="AI238" t="s">
        <v>1746</v>
      </c>
      <c r="AJ238">
        <v>-2.95</v>
      </c>
      <c r="AK238">
        <v>4039</v>
      </c>
      <c r="AL238">
        <v>143</v>
      </c>
      <c r="AM238">
        <v>5.9999999999999995E-4</v>
      </c>
      <c r="AN238">
        <v>-1</v>
      </c>
      <c r="AO238">
        <v>0.11</v>
      </c>
      <c r="AP238">
        <v>11.88</v>
      </c>
      <c r="AQ238">
        <v>6.31</v>
      </c>
      <c r="AR238">
        <v>42.21</v>
      </c>
      <c r="AS238">
        <v>4.3</v>
      </c>
      <c r="AT238" t="s">
        <v>1747</v>
      </c>
      <c r="AU238">
        <v>22.82</v>
      </c>
      <c r="AV238">
        <v>68.03</v>
      </c>
      <c r="AW238">
        <v>1.1200000000000001</v>
      </c>
      <c r="BA238">
        <v>-0.44</v>
      </c>
      <c r="BB238">
        <v>0.99</v>
      </c>
      <c r="BC238">
        <v>-3.74</v>
      </c>
      <c r="BD238">
        <v>-1.02</v>
      </c>
      <c r="BE238">
        <v>-3.2</v>
      </c>
      <c r="BF238">
        <v>-4.58</v>
      </c>
      <c r="BG238">
        <v>0.11</v>
      </c>
      <c r="BH238">
        <v>-2.61</v>
      </c>
      <c r="BI238">
        <v>20191122</v>
      </c>
      <c r="BJ238">
        <v>19970227</v>
      </c>
      <c r="BK238">
        <v>23.4</v>
      </c>
      <c r="BL238" t="s">
        <v>116</v>
      </c>
      <c r="BM238" t="s">
        <v>116</v>
      </c>
      <c r="BN238">
        <v>645.85</v>
      </c>
      <c r="BO238">
        <v>155.01</v>
      </c>
      <c r="BP238">
        <v>10.69</v>
      </c>
      <c r="BQ238">
        <v>74.34</v>
      </c>
      <c r="BR238">
        <v>0</v>
      </c>
      <c r="BS238">
        <v>6.86</v>
      </c>
      <c r="BT238">
        <v>2.34</v>
      </c>
      <c r="BU238">
        <v>0</v>
      </c>
      <c r="BV238">
        <v>0</v>
      </c>
      <c r="BW238">
        <v>0</v>
      </c>
      <c r="BX238">
        <v>57.5</v>
      </c>
      <c r="BY238">
        <v>62.47</v>
      </c>
      <c r="BZ238">
        <v>0</v>
      </c>
      <c r="CA238">
        <v>11.15</v>
      </c>
      <c r="CB238">
        <v>8.26</v>
      </c>
      <c r="CC238">
        <v>11.35</v>
      </c>
      <c r="CD238">
        <v>8.85</v>
      </c>
      <c r="CE238">
        <v>8.68</v>
      </c>
      <c r="CF238">
        <v>8.51</v>
      </c>
      <c r="CG238">
        <v>46.8</v>
      </c>
      <c r="CH238">
        <v>27.39</v>
      </c>
      <c r="CI238">
        <v>44.52</v>
      </c>
      <c r="CJ238">
        <v>119683</v>
      </c>
      <c r="CK238">
        <v>11223</v>
      </c>
      <c r="CL238" t="s">
        <v>1748</v>
      </c>
      <c r="CM238">
        <v>220.33</v>
      </c>
      <c r="CN238">
        <v>51</v>
      </c>
      <c r="CO238">
        <v>1.32</v>
      </c>
      <c r="CP238">
        <v>7.48</v>
      </c>
      <c r="CQ238">
        <v>3.28</v>
      </c>
      <c r="CR238">
        <v>1.1399999999999999</v>
      </c>
      <c r="CS238" t="s">
        <v>1749</v>
      </c>
      <c r="CT238">
        <v>6.62</v>
      </c>
      <c r="CU238">
        <v>0</v>
      </c>
      <c r="CV238">
        <v>2.46</v>
      </c>
      <c r="CW238">
        <v>2</v>
      </c>
      <c r="CX238">
        <v>1.17</v>
      </c>
      <c r="CY238">
        <v>24</v>
      </c>
      <c r="CZ238" t="s">
        <v>1750</v>
      </c>
      <c r="DA238" t="s">
        <v>116</v>
      </c>
      <c r="DB238">
        <v>17.850000000000001</v>
      </c>
      <c r="DC238">
        <v>13.89</v>
      </c>
      <c r="DD238">
        <v>0</v>
      </c>
      <c r="DE238">
        <v>3552</v>
      </c>
      <c r="DF238">
        <v>686</v>
      </c>
      <c r="DG238" t="s">
        <v>116</v>
      </c>
      <c r="DH238" t="s">
        <v>116</v>
      </c>
      <c r="DI238" t="s">
        <v>116</v>
      </c>
    </row>
    <row r="239" spans="1:113" x14ac:dyDescent="0.4">
      <c r="A239" t="str">
        <f>"000687"</f>
        <v>000687</v>
      </c>
      <c r="B239" t="s">
        <v>1751</v>
      </c>
      <c r="C239">
        <v>-0.6</v>
      </c>
      <c r="D239">
        <v>6.68</v>
      </c>
      <c r="E239">
        <v>-0.04</v>
      </c>
      <c r="F239">
        <v>6.68</v>
      </c>
      <c r="G239">
        <v>6.69</v>
      </c>
      <c r="H239">
        <v>53855</v>
      </c>
      <c r="I239">
        <v>733</v>
      </c>
      <c r="J239">
        <v>0</v>
      </c>
      <c r="K239">
        <v>0.72</v>
      </c>
      <c r="L239">
        <v>6.72</v>
      </c>
      <c r="M239">
        <v>6.76</v>
      </c>
      <c r="N239">
        <v>6.65</v>
      </c>
      <c r="O239">
        <v>6.72</v>
      </c>
      <c r="P239" t="s">
        <v>116</v>
      </c>
      <c r="Q239">
        <v>36185680</v>
      </c>
      <c r="R239">
        <v>0.84</v>
      </c>
      <c r="S239" t="s">
        <v>465</v>
      </c>
      <c r="T239" t="s">
        <v>608</v>
      </c>
      <c r="U239">
        <v>1.64</v>
      </c>
      <c r="V239">
        <v>6.72</v>
      </c>
      <c r="W239">
        <v>31638</v>
      </c>
      <c r="X239">
        <v>22217</v>
      </c>
      <c r="Y239">
        <v>1.42</v>
      </c>
      <c r="Z239">
        <v>16</v>
      </c>
      <c r="AA239">
        <v>288</v>
      </c>
      <c r="AB239" t="s">
        <v>116</v>
      </c>
      <c r="AC239">
        <v>125700</v>
      </c>
      <c r="AD239">
        <v>0</v>
      </c>
      <c r="AE239" t="s">
        <v>116</v>
      </c>
      <c r="AF239" t="s">
        <v>116</v>
      </c>
      <c r="AG239">
        <v>7.53</v>
      </c>
      <c r="AH239" t="s">
        <v>1752</v>
      </c>
      <c r="AI239" t="s">
        <v>1753</v>
      </c>
      <c r="AJ239">
        <v>0.08</v>
      </c>
      <c r="AK239">
        <v>1333</v>
      </c>
      <c r="AL239">
        <v>40</v>
      </c>
      <c r="AM239">
        <v>5.0000000000000001E-4</v>
      </c>
      <c r="AN239">
        <v>-2</v>
      </c>
      <c r="AO239">
        <v>-0.15</v>
      </c>
      <c r="AP239">
        <v>1.06</v>
      </c>
      <c r="AQ239">
        <v>-5.38</v>
      </c>
      <c r="AR239">
        <v>-5.92</v>
      </c>
      <c r="AS239">
        <v>1.32</v>
      </c>
      <c r="AT239" t="s">
        <v>1754</v>
      </c>
      <c r="AU239" t="s">
        <v>116</v>
      </c>
      <c r="AV239" t="s">
        <v>116</v>
      </c>
      <c r="AW239">
        <v>1.29</v>
      </c>
      <c r="BA239">
        <v>0</v>
      </c>
      <c r="BB239">
        <v>0.6</v>
      </c>
      <c r="BC239">
        <v>-1.04</v>
      </c>
      <c r="BD239">
        <v>-0.01</v>
      </c>
      <c r="BE239">
        <v>-0.6</v>
      </c>
      <c r="BF239">
        <v>-1.18</v>
      </c>
      <c r="BG239">
        <v>0.45</v>
      </c>
      <c r="BH239">
        <v>-0.57999999999999996</v>
      </c>
      <c r="BI239">
        <v>20191030</v>
      </c>
      <c r="BJ239">
        <v>19970221</v>
      </c>
      <c r="BK239">
        <v>7.66</v>
      </c>
      <c r="BL239" t="s">
        <v>116</v>
      </c>
      <c r="BM239" t="s">
        <v>116</v>
      </c>
      <c r="BN239">
        <v>33.51</v>
      </c>
      <c r="BO239">
        <v>8.58</v>
      </c>
      <c r="BP239">
        <v>0.32</v>
      </c>
      <c r="BQ239">
        <v>73.430000000000007</v>
      </c>
      <c r="BR239">
        <v>19.93</v>
      </c>
      <c r="BS239">
        <v>2.19</v>
      </c>
      <c r="BT239">
        <v>0.79</v>
      </c>
      <c r="BU239">
        <v>24.52</v>
      </c>
      <c r="BV239">
        <v>3.81</v>
      </c>
      <c r="BW239">
        <v>13.78</v>
      </c>
      <c r="BX239">
        <v>8.98</v>
      </c>
      <c r="BY239">
        <v>4.42</v>
      </c>
      <c r="BZ239">
        <v>3.82</v>
      </c>
      <c r="CA239">
        <v>-1.65</v>
      </c>
      <c r="CB239">
        <v>-0.02</v>
      </c>
      <c r="CC239">
        <v>-1.44</v>
      </c>
      <c r="CD239">
        <v>-1.44</v>
      </c>
      <c r="CE239">
        <v>-1.36</v>
      </c>
      <c r="CF239">
        <v>-1.53</v>
      </c>
      <c r="CG239">
        <v>-7.53</v>
      </c>
      <c r="CH239">
        <v>-1.36</v>
      </c>
      <c r="CI239">
        <v>-0.32</v>
      </c>
      <c r="CJ239">
        <v>62757</v>
      </c>
      <c r="CK239">
        <v>6495</v>
      </c>
      <c r="CL239" t="s">
        <v>430</v>
      </c>
      <c r="CM239">
        <v>-371.25</v>
      </c>
      <c r="CN239">
        <v>-69.67</v>
      </c>
      <c r="CO239">
        <v>5.96</v>
      </c>
      <c r="CP239">
        <v>-37.75</v>
      </c>
      <c r="CQ239">
        <v>11.59</v>
      </c>
      <c r="CR239">
        <v>0</v>
      </c>
      <c r="CS239" t="s">
        <v>1755</v>
      </c>
      <c r="CT239">
        <v>1.1200000000000001</v>
      </c>
      <c r="CU239">
        <v>0</v>
      </c>
      <c r="CV239">
        <v>1.17</v>
      </c>
      <c r="CW239">
        <v>-0.98</v>
      </c>
      <c r="CX239">
        <v>-0.18</v>
      </c>
      <c r="CY239">
        <v>25.61</v>
      </c>
      <c r="CZ239" t="s">
        <v>1756</v>
      </c>
      <c r="DA239">
        <v>13.58</v>
      </c>
      <c r="DB239">
        <v>-37.4</v>
      </c>
      <c r="DC239">
        <v>-30.83</v>
      </c>
      <c r="DD239">
        <v>0.66</v>
      </c>
      <c r="DE239">
        <v>894</v>
      </c>
      <c r="DF239">
        <v>687</v>
      </c>
      <c r="DG239" t="s">
        <v>116</v>
      </c>
      <c r="DH239" t="s">
        <v>116</v>
      </c>
      <c r="DI239" t="s">
        <v>116</v>
      </c>
    </row>
    <row r="240" spans="1:113" x14ac:dyDescent="0.4">
      <c r="A240" t="str">
        <f>"000688"</f>
        <v>000688</v>
      </c>
      <c r="B240" t="s">
        <v>1757</v>
      </c>
      <c r="C240">
        <v>1.84</v>
      </c>
      <c r="D240">
        <v>13.85</v>
      </c>
      <c r="E240">
        <v>0.25</v>
      </c>
      <c r="F240">
        <v>13.8</v>
      </c>
      <c r="G240">
        <v>13.85</v>
      </c>
      <c r="H240">
        <v>134517</v>
      </c>
      <c r="I240">
        <v>617</v>
      </c>
      <c r="J240">
        <v>0.57999999999999996</v>
      </c>
      <c r="K240">
        <v>1.18</v>
      </c>
      <c r="L240">
        <v>13.52</v>
      </c>
      <c r="M240">
        <v>14.45</v>
      </c>
      <c r="N240">
        <v>13.49</v>
      </c>
      <c r="O240">
        <v>13.6</v>
      </c>
      <c r="P240">
        <v>61.71</v>
      </c>
      <c r="Q240">
        <v>185913824</v>
      </c>
      <c r="R240">
        <v>1.51</v>
      </c>
      <c r="S240" t="s">
        <v>441</v>
      </c>
      <c r="T240" t="s">
        <v>906</v>
      </c>
      <c r="U240">
        <v>7.06</v>
      </c>
      <c r="V240">
        <v>13.82</v>
      </c>
      <c r="W240">
        <v>45765</v>
      </c>
      <c r="X240">
        <v>88752</v>
      </c>
      <c r="Y240">
        <v>0.52</v>
      </c>
      <c r="Z240">
        <v>340</v>
      </c>
      <c r="AA240">
        <v>33</v>
      </c>
      <c r="AB240" t="s">
        <v>116</v>
      </c>
      <c r="AC240">
        <v>301500</v>
      </c>
      <c r="AD240">
        <v>0.01</v>
      </c>
      <c r="AE240" t="s">
        <v>116</v>
      </c>
      <c r="AF240" t="s">
        <v>116</v>
      </c>
      <c r="AG240">
        <v>11.37</v>
      </c>
      <c r="AH240" t="s">
        <v>1758</v>
      </c>
      <c r="AI240" t="s">
        <v>1758</v>
      </c>
      <c r="AJ240">
        <v>2.52</v>
      </c>
      <c r="AK240">
        <v>1762</v>
      </c>
      <c r="AL240">
        <v>76</v>
      </c>
      <c r="AM240">
        <v>6.9999999999999999E-4</v>
      </c>
      <c r="AN240">
        <v>4</v>
      </c>
      <c r="AO240">
        <v>4.22</v>
      </c>
      <c r="AP240">
        <v>22.35</v>
      </c>
      <c r="AQ240">
        <v>35.520000000000003</v>
      </c>
      <c r="AR240">
        <v>20.02</v>
      </c>
      <c r="AS240">
        <v>4.54</v>
      </c>
      <c r="AT240" t="s">
        <v>1759</v>
      </c>
      <c r="AU240">
        <v>54.46</v>
      </c>
      <c r="AV240">
        <v>38.89</v>
      </c>
      <c r="AW240">
        <v>0.15</v>
      </c>
      <c r="BA240">
        <v>-0.59</v>
      </c>
      <c r="BB240">
        <v>6.25</v>
      </c>
      <c r="BC240">
        <v>-0.81</v>
      </c>
      <c r="BD240">
        <v>1.62</v>
      </c>
      <c r="BE240">
        <v>2.44</v>
      </c>
      <c r="BF240">
        <v>-4.1500000000000004</v>
      </c>
      <c r="BG240">
        <v>2.67</v>
      </c>
      <c r="BH240">
        <v>0.21</v>
      </c>
      <c r="BI240">
        <v>20191213</v>
      </c>
      <c r="BJ240">
        <v>19970120</v>
      </c>
      <c r="BK240">
        <v>11.37</v>
      </c>
      <c r="BL240" t="s">
        <v>116</v>
      </c>
      <c r="BM240" t="s">
        <v>116</v>
      </c>
      <c r="BN240">
        <v>26.48</v>
      </c>
      <c r="BO240">
        <v>21.82</v>
      </c>
      <c r="BP240">
        <v>0</v>
      </c>
      <c r="BQ240">
        <v>17.59</v>
      </c>
      <c r="BR240">
        <v>7.48</v>
      </c>
      <c r="BS240">
        <v>10.02</v>
      </c>
      <c r="BT240">
        <v>3.48</v>
      </c>
      <c r="BU240">
        <v>4.32</v>
      </c>
      <c r="BV240">
        <v>0.51</v>
      </c>
      <c r="BW240">
        <v>0.74</v>
      </c>
      <c r="BX240">
        <v>1.89</v>
      </c>
      <c r="BY240">
        <v>8.1</v>
      </c>
      <c r="BZ240">
        <v>4.8600000000000003</v>
      </c>
      <c r="CA240">
        <v>2.21</v>
      </c>
      <c r="CB240">
        <v>0.46</v>
      </c>
      <c r="CC240">
        <v>2.2200000000000002</v>
      </c>
      <c r="CD240">
        <v>1.91</v>
      </c>
      <c r="CE240">
        <v>1.91</v>
      </c>
      <c r="CF240">
        <v>1.29</v>
      </c>
      <c r="CG240">
        <v>10.87</v>
      </c>
      <c r="CH240">
        <v>2.65</v>
      </c>
      <c r="CI240">
        <v>0.75</v>
      </c>
      <c r="CJ240">
        <v>17350</v>
      </c>
      <c r="CK240">
        <v>17060</v>
      </c>
      <c r="CL240" t="s">
        <v>1760</v>
      </c>
      <c r="CM240">
        <v>-37.69</v>
      </c>
      <c r="CN240">
        <v>-9.61</v>
      </c>
      <c r="CO240">
        <v>7.22</v>
      </c>
      <c r="CP240">
        <v>59.42</v>
      </c>
      <c r="CQ240">
        <v>19.46</v>
      </c>
      <c r="CR240">
        <v>0</v>
      </c>
      <c r="CS240" t="s">
        <v>1127</v>
      </c>
      <c r="CT240">
        <v>1.92</v>
      </c>
      <c r="CU240">
        <v>0</v>
      </c>
      <c r="CV240">
        <v>0.17</v>
      </c>
      <c r="CW240">
        <v>0.96</v>
      </c>
      <c r="CX240">
        <v>0.23</v>
      </c>
      <c r="CY240">
        <v>82.41</v>
      </c>
      <c r="CZ240" t="s">
        <v>1761</v>
      </c>
      <c r="DA240">
        <v>39.97</v>
      </c>
      <c r="DB240">
        <v>27.34</v>
      </c>
      <c r="DC240">
        <v>23.65</v>
      </c>
      <c r="DD240">
        <v>0</v>
      </c>
      <c r="DE240">
        <v>1039</v>
      </c>
      <c r="DF240">
        <v>688</v>
      </c>
      <c r="DG240" t="s">
        <v>116</v>
      </c>
      <c r="DH240" t="s">
        <v>116</v>
      </c>
      <c r="DI240" t="s">
        <v>116</v>
      </c>
    </row>
    <row r="241" spans="1:113" x14ac:dyDescent="0.4">
      <c r="A241" t="str">
        <f>"000690"</f>
        <v>000690</v>
      </c>
      <c r="B241" t="s">
        <v>1762</v>
      </c>
      <c r="C241">
        <v>-0.18</v>
      </c>
      <c r="D241">
        <v>5.67</v>
      </c>
      <c r="E241">
        <v>-0.01</v>
      </c>
      <c r="F241">
        <v>5.66</v>
      </c>
      <c r="G241">
        <v>5.67</v>
      </c>
      <c r="H241">
        <v>51351</v>
      </c>
      <c r="I241">
        <v>664</v>
      </c>
      <c r="J241">
        <v>0.18</v>
      </c>
      <c r="K241">
        <v>0.25</v>
      </c>
      <c r="L241">
        <v>5.68</v>
      </c>
      <c r="M241">
        <v>5.71</v>
      </c>
      <c r="N241">
        <v>5.66</v>
      </c>
      <c r="O241">
        <v>5.68</v>
      </c>
      <c r="P241">
        <v>19.510000000000002</v>
      </c>
      <c r="Q241">
        <v>29169138</v>
      </c>
      <c r="R241">
        <v>0.71</v>
      </c>
      <c r="S241" t="s">
        <v>271</v>
      </c>
      <c r="T241" t="s">
        <v>551</v>
      </c>
      <c r="U241">
        <v>0.88</v>
      </c>
      <c r="V241">
        <v>5.68</v>
      </c>
      <c r="W241">
        <v>29040</v>
      </c>
      <c r="X241">
        <v>22311</v>
      </c>
      <c r="Y241">
        <v>1.3</v>
      </c>
      <c r="Z241">
        <v>1235</v>
      </c>
      <c r="AA241">
        <v>768</v>
      </c>
      <c r="AB241" t="s">
        <v>116</v>
      </c>
      <c r="AC241">
        <v>56800</v>
      </c>
      <c r="AD241">
        <v>0</v>
      </c>
      <c r="AE241" t="s">
        <v>116</v>
      </c>
      <c r="AF241" t="s">
        <v>116</v>
      </c>
      <c r="AG241">
        <v>20.84</v>
      </c>
      <c r="AH241" t="s">
        <v>1763</v>
      </c>
      <c r="AI241" t="s">
        <v>1764</v>
      </c>
      <c r="AJ241">
        <v>0.5</v>
      </c>
      <c r="AK241">
        <v>1769</v>
      </c>
      <c r="AL241">
        <v>29</v>
      </c>
      <c r="AM241">
        <v>1E-4</v>
      </c>
      <c r="AN241">
        <v>-3</v>
      </c>
      <c r="AO241">
        <v>-0.71</v>
      </c>
      <c r="AP241">
        <v>-1.05</v>
      </c>
      <c r="AQ241">
        <v>-4.87</v>
      </c>
      <c r="AR241">
        <v>-14.48</v>
      </c>
      <c r="AS241">
        <v>0.32</v>
      </c>
      <c r="AT241" t="s">
        <v>1765</v>
      </c>
      <c r="AU241">
        <v>38.08</v>
      </c>
      <c r="AV241">
        <v>26.65</v>
      </c>
      <c r="AW241">
        <v>0.5</v>
      </c>
      <c r="BA241">
        <v>0</v>
      </c>
      <c r="BB241">
        <v>0.53</v>
      </c>
      <c r="BC241">
        <v>-0.35</v>
      </c>
      <c r="BD241">
        <v>0.01</v>
      </c>
      <c r="BE241">
        <v>-0.18</v>
      </c>
      <c r="BF241">
        <v>-0.7</v>
      </c>
      <c r="BG241">
        <v>0.18</v>
      </c>
      <c r="BH241">
        <v>-0.18</v>
      </c>
      <c r="BI241">
        <v>20191031</v>
      </c>
      <c r="BJ241">
        <v>19970128</v>
      </c>
      <c r="BK241">
        <v>21.76</v>
      </c>
      <c r="BL241" t="s">
        <v>116</v>
      </c>
      <c r="BM241" t="s">
        <v>116</v>
      </c>
      <c r="BN241">
        <v>212.04</v>
      </c>
      <c r="BO241">
        <v>91.04</v>
      </c>
      <c r="BP241">
        <v>0.01</v>
      </c>
      <c r="BQ241">
        <v>57.06</v>
      </c>
      <c r="BR241">
        <v>70.180000000000007</v>
      </c>
      <c r="BS241">
        <v>100.71</v>
      </c>
      <c r="BT241">
        <v>5.81</v>
      </c>
      <c r="BU241">
        <v>62.46</v>
      </c>
      <c r="BV241">
        <v>3.22</v>
      </c>
      <c r="BW241">
        <v>6.15</v>
      </c>
      <c r="BX241">
        <v>29.37</v>
      </c>
      <c r="BY241">
        <v>37.97</v>
      </c>
      <c r="BZ241">
        <v>27.26</v>
      </c>
      <c r="CA241">
        <v>6.09</v>
      </c>
      <c r="CB241">
        <v>0.84</v>
      </c>
      <c r="CC241">
        <v>5.64</v>
      </c>
      <c r="CD241">
        <v>4.74</v>
      </c>
      <c r="CE241">
        <v>4.74</v>
      </c>
      <c r="CF241">
        <v>3.34</v>
      </c>
      <c r="CG241">
        <v>31.34</v>
      </c>
      <c r="CH241">
        <v>10.199999999999999</v>
      </c>
      <c r="CI241">
        <v>-4.62</v>
      </c>
      <c r="CJ241">
        <v>84484</v>
      </c>
      <c r="CK241">
        <v>18795</v>
      </c>
      <c r="CL241" t="s">
        <v>1766</v>
      </c>
      <c r="CM241">
        <v>-22.66</v>
      </c>
      <c r="CN241">
        <v>36.81</v>
      </c>
      <c r="CO241">
        <v>1.36</v>
      </c>
      <c r="CP241">
        <v>12.09</v>
      </c>
      <c r="CQ241">
        <v>3.25</v>
      </c>
      <c r="CR241">
        <v>1.76</v>
      </c>
      <c r="CS241" t="s">
        <v>1767</v>
      </c>
      <c r="CT241">
        <v>4.18</v>
      </c>
      <c r="CU241">
        <v>0</v>
      </c>
      <c r="CV241">
        <v>1.35</v>
      </c>
      <c r="CW241">
        <v>1.44</v>
      </c>
      <c r="CX241">
        <v>0.47</v>
      </c>
      <c r="CY241">
        <v>42.94</v>
      </c>
      <c r="CZ241" t="s">
        <v>1768</v>
      </c>
      <c r="DA241">
        <v>28.2</v>
      </c>
      <c r="DB241">
        <v>16.03</v>
      </c>
      <c r="DC241">
        <v>12.49</v>
      </c>
      <c r="DD241">
        <v>0</v>
      </c>
      <c r="DE241">
        <v>1390</v>
      </c>
      <c r="DF241">
        <v>690</v>
      </c>
      <c r="DG241" t="s">
        <v>116</v>
      </c>
      <c r="DH241" t="s">
        <v>116</v>
      </c>
      <c r="DI241" t="s">
        <v>116</v>
      </c>
    </row>
    <row r="242" spans="1:113" x14ac:dyDescent="0.4">
      <c r="A242" t="str">
        <f>"000691"</f>
        <v>000691</v>
      </c>
      <c r="B242" t="s">
        <v>1769</v>
      </c>
      <c r="C242">
        <v>-1.24</v>
      </c>
      <c r="D242">
        <v>3.99</v>
      </c>
      <c r="E242">
        <v>-0.05</v>
      </c>
      <c r="F242">
        <v>3.99</v>
      </c>
      <c r="G242">
        <v>4</v>
      </c>
      <c r="H242">
        <v>38103</v>
      </c>
      <c r="I242">
        <v>515</v>
      </c>
      <c r="J242">
        <v>0.5</v>
      </c>
      <c r="K242">
        <v>1.31</v>
      </c>
      <c r="L242">
        <v>4.04</v>
      </c>
      <c r="M242">
        <v>4.0599999999999996</v>
      </c>
      <c r="N242">
        <v>3.97</v>
      </c>
      <c r="O242">
        <v>4.04</v>
      </c>
      <c r="P242" t="s">
        <v>116</v>
      </c>
      <c r="Q242">
        <v>15332635</v>
      </c>
      <c r="R242">
        <v>0.84</v>
      </c>
      <c r="S242" t="s">
        <v>148</v>
      </c>
      <c r="T242" t="s">
        <v>1122</v>
      </c>
      <c r="U242">
        <v>2.23</v>
      </c>
      <c r="V242">
        <v>4.0199999999999996</v>
      </c>
      <c r="W242">
        <v>21063</v>
      </c>
      <c r="X242">
        <v>17040</v>
      </c>
      <c r="Y242">
        <v>1.24</v>
      </c>
      <c r="Z242">
        <v>7</v>
      </c>
      <c r="AA242">
        <v>787</v>
      </c>
      <c r="AB242" t="s">
        <v>116</v>
      </c>
      <c r="AC242">
        <v>46100</v>
      </c>
      <c r="AD242">
        <v>0</v>
      </c>
      <c r="AE242" t="s">
        <v>116</v>
      </c>
      <c r="AF242" t="s">
        <v>116</v>
      </c>
      <c r="AG242">
        <v>2.9</v>
      </c>
      <c r="AH242" t="s">
        <v>1770</v>
      </c>
      <c r="AI242" t="s">
        <v>1771</v>
      </c>
      <c r="AJ242">
        <v>-0.56000000000000005</v>
      </c>
      <c r="AK242">
        <v>704</v>
      </c>
      <c r="AL242">
        <v>54</v>
      </c>
      <c r="AM242">
        <v>1.9E-3</v>
      </c>
      <c r="AN242">
        <v>-1</v>
      </c>
      <c r="AO242">
        <v>1.01</v>
      </c>
      <c r="AP242">
        <v>7.26</v>
      </c>
      <c r="AQ242">
        <v>5.56</v>
      </c>
      <c r="AR242">
        <v>-12.88</v>
      </c>
      <c r="AS242">
        <v>1.61</v>
      </c>
      <c r="AT242" t="s">
        <v>1772</v>
      </c>
      <c r="AU242" t="s">
        <v>116</v>
      </c>
      <c r="AV242">
        <v>117.23</v>
      </c>
      <c r="AW242">
        <v>1.1000000000000001</v>
      </c>
      <c r="BA242">
        <v>0</v>
      </c>
      <c r="BB242">
        <v>0.5</v>
      </c>
      <c r="BC242">
        <v>-1.73</v>
      </c>
      <c r="BD242">
        <v>-0.4</v>
      </c>
      <c r="BE242">
        <v>-1.24</v>
      </c>
      <c r="BF242">
        <v>-1.72</v>
      </c>
      <c r="BG242">
        <v>0.5</v>
      </c>
      <c r="BH242">
        <v>-0.84</v>
      </c>
      <c r="BI242">
        <v>20191030</v>
      </c>
      <c r="BJ242">
        <v>19970228</v>
      </c>
      <c r="BK242">
        <v>3.23</v>
      </c>
      <c r="BL242" t="s">
        <v>116</v>
      </c>
      <c r="BM242" t="s">
        <v>116</v>
      </c>
      <c r="BN242">
        <v>1.91</v>
      </c>
      <c r="BO242">
        <v>0.79</v>
      </c>
      <c r="BP242">
        <v>0.13</v>
      </c>
      <c r="BQ242">
        <v>51.99</v>
      </c>
      <c r="BR242">
        <v>1.51</v>
      </c>
      <c r="BS242">
        <v>0.02</v>
      </c>
      <c r="BT242">
        <v>0.1</v>
      </c>
      <c r="BU242">
        <v>0.85</v>
      </c>
      <c r="BV242">
        <v>1.42</v>
      </c>
      <c r="BW242">
        <v>0</v>
      </c>
      <c r="BX242">
        <v>1.53</v>
      </c>
      <c r="BY242">
        <v>0.12</v>
      </c>
      <c r="BZ242">
        <v>0.12</v>
      </c>
      <c r="CA242">
        <v>-7.0000000000000007E-2</v>
      </c>
      <c r="CB242">
        <v>0</v>
      </c>
      <c r="CC242">
        <v>-7.0000000000000007E-2</v>
      </c>
      <c r="CD242">
        <v>-7.0000000000000007E-2</v>
      </c>
      <c r="CE242">
        <v>-7.0000000000000007E-2</v>
      </c>
      <c r="CF242">
        <v>-7.0000000000000007E-2</v>
      </c>
      <c r="CG242">
        <v>-4.12</v>
      </c>
      <c r="CH242">
        <v>-0.02</v>
      </c>
      <c r="CI242">
        <v>-0.02</v>
      </c>
      <c r="CJ242">
        <v>16938</v>
      </c>
      <c r="CK242">
        <v>13951</v>
      </c>
      <c r="CL242" t="s">
        <v>504</v>
      </c>
      <c r="CM242">
        <v>-156.57</v>
      </c>
      <c r="CN242">
        <v>-37.380000000000003</v>
      </c>
      <c r="CO242">
        <v>16.350000000000001</v>
      </c>
      <c r="CP242">
        <v>-773.52</v>
      </c>
      <c r="CQ242">
        <v>109.47</v>
      </c>
      <c r="CR242">
        <v>0</v>
      </c>
      <c r="CS242" t="s">
        <v>1773</v>
      </c>
      <c r="CT242">
        <v>0.24</v>
      </c>
      <c r="CU242">
        <v>0</v>
      </c>
      <c r="CV242">
        <v>0.47</v>
      </c>
      <c r="CW242">
        <v>-1.28</v>
      </c>
      <c r="CX242">
        <v>-0.01</v>
      </c>
      <c r="CY242">
        <v>41.31</v>
      </c>
      <c r="CZ242" t="s">
        <v>1774</v>
      </c>
      <c r="DA242">
        <v>-4.99</v>
      </c>
      <c r="DB242">
        <v>-60.6</v>
      </c>
      <c r="DC242">
        <v>-55.5</v>
      </c>
      <c r="DD242">
        <v>0</v>
      </c>
      <c r="DE242">
        <v>28</v>
      </c>
      <c r="DF242">
        <v>691</v>
      </c>
      <c r="DG242" t="s">
        <v>116</v>
      </c>
      <c r="DH242" t="s">
        <v>116</v>
      </c>
      <c r="DI242" t="s">
        <v>116</v>
      </c>
    </row>
    <row r="243" spans="1:113" x14ac:dyDescent="0.4">
      <c r="A243" t="str">
        <f>"000692"</f>
        <v>000692</v>
      </c>
      <c r="B243" t="s">
        <v>1775</v>
      </c>
      <c r="C243">
        <v>0.34</v>
      </c>
      <c r="D243">
        <v>2.97</v>
      </c>
      <c r="E243">
        <v>0.01</v>
      </c>
      <c r="F243">
        <v>2.97</v>
      </c>
      <c r="G243">
        <v>2.98</v>
      </c>
      <c r="H243">
        <v>70122</v>
      </c>
      <c r="I243">
        <v>498</v>
      </c>
      <c r="J243">
        <v>-0.33</v>
      </c>
      <c r="K243">
        <v>1.32</v>
      </c>
      <c r="L243">
        <v>2.95</v>
      </c>
      <c r="M243">
        <v>3.05</v>
      </c>
      <c r="N243">
        <v>2.94</v>
      </c>
      <c r="O243">
        <v>2.96</v>
      </c>
      <c r="P243" t="s">
        <v>116</v>
      </c>
      <c r="Q243">
        <v>21066016</v>
      </c>
      <c r="R243">
        <v>2.92</v>
      </c>
      <c r="S243" t="s">
        <v>690</v>
      </c>
      <c r="T243" t="s">
        <v>434</v>
      </c>
      <c r="U243">
        <v>3.72</v>
      </c>
      <c r="V243">
        <v>3</v>
      </c>
      <c r="W243">
        <v>27869</v>
      </c>
      <c r="X243">
        <v>42253</v>
      </c>
      <c r="Y243">
        <v>0.66</v>
      </c>
      <c r="Z243">
        <v>1097</v>
      </c>
      <c r="AA243">
        <v>766</v>
      </c>
      <c r="AB243" t="s">
        <v>116</v>
      </c>
      <c r="AC243">
        <v>49600</v>
      </c>
      <c r="AD243">
        <v>0</v>
      </c>
      <c r="AE243" t="s">
        <v>116</v>
      </c>
      <c r="AF243" t="s">
        <v>116</v>
      </c>
      <c r="AG243">
        <v>5.33</v>
      </c>
      <c r="AH243" t="s">
        <v>1776</v>
      </c>
      <c r="AI243" t="s">
        <v>1777</v>
      </c>
      <c r="AJ243">
        <v>1.02</v>
      </c>
      <c r="AK243">
        <v>666</v>
      </c>
      <c r="AL243">
        <v>105</v>
      </c>
      <c r="AM243">
        <v>2E-3</v>
      </c>
      <c r="AN243">
        <v>2</v>
      </c>
      <c r="AO243">
        <v>0.68</v>
      </c>
      <c r="AP243">
        <v>4.95</v>
      </c>
      <c r="AQ243">
        <v>2.41</v>
      </c>
      <c r="AR243">
        <v>16.02</v>
      </c>
      <c r="AS243">
        <v>2.0299999999999998</v>
      </c>
      <c r="AT243" t="s">
        <v>1778</v>
      </c>
      <c r="AU243">
        <v>217.56</v>
      </c>
      <c r="AV243">
        <v>264.72000000000003</v>
      </c>
      <c r="AW243">
        <v>0.81</v>
      </c>
      <c r="BA243">
        <v>-0.34</v>
      </c>
      <c r="BB243">
        <v>3.04</v>
      </c>
      <c r="BC243">
        <v>-0.68</v>
      </c>
      <c r="BD243">
        <v>1.49</v>
      </c>
      <c r="BE243">
        <v>0.68</v>
      </c>
      <c r="BF243">
        <v>-2.62</v>
      </c>
      <c r="BG243">
        <v>1.02</v>
      </c>
      <c r="BH243">
        <v>-1.1499999999999999</v>
      </c>
      <c r="BI243">
        <v>20191030</v>
      </c>
      <c r="BJ243">
        <v>19970227</v>
      </c>
      <c r="BK243">
        <v>5.33</v>
      </c>
      <c r="BL243" t="s">
        <v>116</v>
      </c>
      <c r="BM243" t="s">
        <v>116</v>
      </c>
      <c r="BN243">
        <v>55.43</v>
      </c>
      <c r="BO243">
        <v>11.08</v>
      </c>
      <c r="BP243">
        <v>0.56999999999999995</v>
      </c>
      <c r="BQ243">
        <v>78.97</v>
      </c>
      <c r="BR243">
        <v>19.29</v>
      </c>
      <c r="BS243">
        <v>25.71</v>
      </c>
      <c r="BT243">
        <v>2.06</v>
      </c>
      <c r="BU243">
        <v>35.96</v>
      </c>
      <c r="BV243">
        <v>2.4900000000000002</v>
      </c>
      <c r="BW243">
        <v>6</v>
      </c>
      <c r="BX243">
        <v>4.5599999999999996</v>
      </c>
      <c r="BY243">
        <v>10.28</v>
      </c>
      <c r="BZ243">
        <v>12.06</v>
      </c>
      <c r="CA243">
        <v>-3.89</v>
      </c>
      <c r="CB243">
        <v>-0.04</v>
      </c>
      <c r="CC243">
        <v>-3.89</v>
      </c>
      <c r="CD243">
        <v>-2.99</v>
      </c>
      <c r="CE243">
        <v>-3</v>
      </c>
      <c r="CF243">
        <v>-3.02</v>
      </c>
      <c r="CG243">
        <v>-0.33</v>
      </c>
      <c r="CH243">
        <v>-5.33</v>
      </c>
      <c r="CI243">
        <v>-2.75</v>
      </c>
      <c r="CJ243">
        <v>38572</v>
      </c>
      <c r="CK243">
        <v>8963</v>
      </c>
      <c r="CL243" t="s">
        <v>1779</v>
      </c>
      <c r="CM243">
        <v>0.43</v>
      </c>
      <c r="CN243">
        <v>-0.81</v>
      </c>
      <c r="CO243">
        <v>1.43</v>
      </c>
      <c r="CP243">
        <v>-2.97</v>
      </c>
      <c r="CQ243">
        <v>1.54</v>
      </c>
      <c r="CR243">
        <v>0</v>
      </c>
      <c r="CS243" t="s">
        <v>1780</v>
      </c>
      <c r="CT243">
        <v>2.08</v>
      </c>
      <c r="CU243">
        <v>0</v>
      </c>
      <c r="CV243">
        <v>0.86</v>
      </c>
      <c r="CW243">
        <v>-0.06</v>
      </c>
      <c r="CX243">
        <v>-1</v>
      </c>
      <c r="CY243">
        <v>20</v>
      </c>
      <c r="CZ243" t="s">
        <v>1781</v>
      </c>
      <c r="DA243">
        <v>-17.3</v>
      </c>
      <c r="DB243">
        <v>-37.89</v>
      </c>
      <c r="DC243">
        <v>-29.15</v>
      </c>
      <c r="DD243">
        <v>0</v>
      </c>
      <c r="DE243">
        <v>2606</v>
      </c>
      <c r="DF243">
        <v>692</v>
      </c>
      <c r="DG243" t="s">
        <v>116</v>
      </c>
      <c r="DH243" t="s">
        <v>116</v>
      </c>
      <c r="DI243" t="s">
        <v>116</v>
      </c>
    </row>
    <row r="244" spans="1:113" x14ac:dyDescent="0.4">
      <c r="A244" t="str">
        <f>"000695"</f>
        <v>000695</v>
      </c>
      <c r="B244" t="s">
        <v>1782</v>
      </c>
      <c r="C244">
        <v>-0.67</v>
      </c>
      <c r="D244">
        <v>7.46</v>
      </c>
      <c r="E244">
        <v>-0.05</v>
      </c>
      <c r="F244">
        <v>7.44</v>
      </c>
      <c r="G244">
        <v>7.46</v>
      </c>
      <c r="H244">
        <v>6962</v>
      </c>
      <c r="I244">
        <v>18</v>
      </c>
      <c r="J244">
        <v>0.13</v>
      </c>
      <c r="K244">
        <v>0.31</v>
      </c>
      <c r="L244">
        <v>7.51</v>
      </c>
      <c r="M244">
        <v>7.55</v>
      </c>
      <c r="N244">
        <v>7.43</v>
      </c>
      <c r="O244">
        <v>7.51</v>
      </c>
      <c r="P244">
        <v>192.27</v>
      </c>
      <c r="Q244">
        <v>5219684</v>
      </c>
      <c r="R244">
        <v>0.55000000000000004</v>
      </c>
      <c r="S244" t="s">
        <v>345</v>
      </c>
      <c r="T244" t="s">
        <v>1035</v>
      </c>
      <c r="U244">
        <v>1.6</v>
      </c>
      <c r="V244">
        <v>7.5</v>
      </c>
      <c r="W244">
        <v>3936</v>
      </c>
      <c r="X244">
        <v>3026</v>
      </c>
      <c r="Y244">
        <v>1.3</v>
      </c>
      <c r="Z244">
        <v>56</v>
      </c>
      <c r="AA244">
        <v>191</v>
      </c>
      <c r="AB244" t="s">
        <v>116</v>
      </c>
      <c r="AC244">
        <v>0</v>
      </c>
      <c r="AD244">
        <v>0</v>
      </c>
      <c r="AE244" t="s">
        <v>116</v>
      </c>
      <c r="AF244" t="s">
        <v>116</v>
      </c>
      <c r="AG244">
        <v>2.2200000000000002</v>
      </c>
      <c r="AH244" t="s">
        <v>1783</v>
      </c>
      <c r="AI244" t="s">
        <v>1784</v>
      </c>
      <c r="AJ244">
        <v>0.01</v>
      </c>
      <c r="AK244">
        <v>361</v>
      </c>
      <c r="AL244">
        <v>19</v>
      </c>
      <c r="AM244">
        <v>8.9999999999999998E-4</v>
      </c>
      <c r="AN244">
        <v>-1</v>
      </c>
      <c r="AO244">
        <v>-0.53</v>
      </c>
      <c r="AP244">
        <v>5.67</v>
      </c>
      <c r="AQ244">
        <v>-9.9</v>
      </c>
      <c r="AR244">
        <v>-17.11</v>
      </c>
      <c r="AS244">
        <v>0.49</v>
      </c>
      <c r="AT244" t="s">
        <v>1785</v>
      </c>
      <c r="AU244">
        <v>265.14</v>
      </c>
      <c r="AV244">
        <v>45.39</v>
      </c>
      <c r="AW244">
        <v>1.1299999999999999</v>
      </c>
      <c r="BA244">
        <v>0</v>
      </c>
      <c r="BB244">
        <v>0.53</v>
      </c>
      <c r="BC244">
        <v>-1.07</v>
      </c>
      <c r="BD244">
        <v>-0.17</v>
      </c>
      <c r="BE244">
        <v>-0.67</v>
      </c>
      <c r="BF244">
        <v>-1.19</v>
      </c>
      <c r="BG244">
        <v>0.4</v>
      </c>
      <c r="BH244">
        <v>-0.49</v>
      </c>
      <c r="BI244">
        <v>20191219</v>
      </c>
      <c r="BJ244">
        <v>19970218</v>
      </c>
      <c r="BK244">
        <v>2.2200000000000002</v>
      </c>
      <c r="BL244" t="s">
        <v>116</v>
      </c>
      <c r="BM244" t="s">
        <v>116</v>
      </c>
      <c r="BN244">
        <v>8.85</v>
      </c>
      <c r="BO244">
        <v>3.7</v>
      </c>
      <c r="BP244">
        <v>1.84</v>
      </c>
      <c r="BQ244">
        <v>37.42</v>
      </c>
      <c r="BR244">
        <v>6.03</v>
      </c>
      <c r="BS244">
        <v>1.49</v>
      </c>
      <c r="BT244">
        <v>7.0000000000000007E-2</v>
      </c>
      <c r="BU244">
        <v>2.15</v>
      </c>
      <c r="BV244">
        <v>0.89</v>
      </c>
      <c r="BW244">
        <v>2.4700000000000002</v>
      </c>
      <c r="BX244">
        <v>0.75</v>
      </c>
      <c r="BY244">
        <v>3.39</v>
      </c>
      <c r="BZ244">
        <v>2.64</v>
      </c>
      <c r="CA244">
        <v>0.22</v>
      </c>
      <c r="CB244">
        <v>0</v>
      </c>
      <c r="CC244">
        <v>0.22</v>
      </c>
      <c r="CD244">
        <v>0.17</v>
      </c>
      <c r="CE244">
        <v>0.06</v>
      </c>
      <c r="CF244">
        <v>0.06</v>
      </c>
      <c r="CG244">
        <v>0.6</v>
      </c>
      <c r="CH244">
        <v>0.1</v>
      </c>
      <c r="CI244">
        <v>-0.12</v>
      </c>
      <c r="CJ244">
        <v>13358</v>
      </c>
      <c r="CK244">
        <v>10729</v>
      </c>
      <c r="CL244" t="s">
        <v>1786</v>
      </c>
      <c r="CM244">
        <v>-82.4</v>
      </c>
      <c r="CN244">
        <v>-61.26</v>
      </c>
      <c r="CO244">
        <v>4.47</v>
      </c>
      <c r="CP244">
        <v>168.33</v>
      </c>
      <c r="CQ244">
        <v>4.8899999999999997</v>
      </c>
      <c r="CR244">
        <v>0</v>
      </c>
      <c r="CS244" t="s">
        <v>944</v>
      </c>
      <c r="CT244">
        <v>1.67</v>
      </c>
      <c r="CU244">
        <v>0</v>
      </c>
      <c r="CV244">
        <v>0.34</v>
      </c>
      <c r="CW244">
        <v>0.27</v>
      </c>
      <c r="CX244">
        <v>0.04</v>
      </c>
      <c r="CY244">
        <v>41.83</v>
      </c>
      <c r="CZ244" t="s">
        <v>1787</v>
      </c>
      <c r="DA244">
        <v>22.1</v>
      </c>
      <c r="DB244">
        <v>6.61</v>
      </c>
      <c r="DC244">
        <v>1.91</v>
      </c>
      <c r="DD244">
        <v>0.1</v>
      </c>
      <c r="DE244">
        <v>447</v>
      </c>
      <c r="DF244">
        <v>695</v>
      </c>
      <c r="DG244" t="s">
        <v>116</v>
      </c>
      <c r="DH244" t="s">
        <v>116</v>
      </c>
      <c r="DI244" t="s">
        <v>116</v>
      </c>
    </row>
    <row r="245" spans="1:113" x14ac:dyDescent="0.4">
      <c r="A245" t="str">
        <f>"000697"</f>
        <v>000697</v>
      </c>
      <c r="B245" t="s">
        <v>1788</v>
      </c>
      <c r="C245">
        <v>0.56999999999999995</v>
      </c>
      <c r="D245">
        <v>10.6</v>
      </c>
      <c r="E245">
        <v>0.06</v>
      </c>
      <c r="F245">
        <v>10.59</v>
      </c>
      <c r="G245">
        <v>10.6</v>
      </c>
      <c r="H245">
        <v>35483</v>
      </c>
      <c r="I245">
        <v>709</v>
      </c>
      <c r="J245">
        <v>0.19</v>
      </c>
      <c r="K245">
        <v>0.63</v>
      </c>
      <c r="L245">
        <v>10.54</v>
      </c>
      <c r="M245">
        <v>10.73</v>
      </c>
      <c r="N245">
        <v>10.51</v>
      </c>
      <c r="O245">
        <v>10.54</v>
      </c>
      <c r="P245" t="s">
        <v>116</v>
      </c>
      <c r="Q245">
        <v>37654076</v>
      </c>
      <c r="R245">
        <v>0.85</v>
      </c>
      <c r="S245" t="s">
        <v>1789</v>
      </c>
      <c r="T245" t="s">
        <v>913</v>
      </c>
      <c r="U245">
        <v>2.09</v>
      </c>
      <c r="V245">
        <v>10.61</v>
      </c>
      <c r="W245">
        <v>18352</v>
      </c>
      <c r="X245">
        <v>17131</v>
      </c>
      <c r="Y245">
        <v>1.07</v>
      </c>
      <c r="Z245">
        <v>145</v>
      </c>
      <c r="AA245">
        <v>246</v>
      </c>
      <c r="AB245" t="s">
        <v>116</v>
      </c>
      <c r="AC245">
        <v>12600</v>
      </c>
      <c r="AD245">
        <v>0</v>
      </c>
      <c r="AE245" t="s">
        <v>116</v>
      </c>
      <c r="AF245" t="s">
        <v>116</v>
      </c>
      <c r="AG245">
        <v>5.66</v>
      </c>
      <c r="AH245" t="s">
        <v>1790</v>
      </c>
      <c r="AI245" t="s">
        <v>1791</v>
      </c>
      <c r="AJ245">
        <v>1.25</v>
      </c>
      <c r="AK245">
        <v>1591</v>
      </c>
      <c r="AL245">
        <v>22</v>
      </c>
      <c r="AM245">
        <v>4.0000000000000002E-4</v>
      </c>
      <c r="AN245">
        <v>4</v>
      </c>
      <c r="AO245">
        <v>1.92</v>
      </c>
      <c r="AP245">
        <v>-4.76</v>
      </c>
      <c r="AQ245">
        <v>-19.39</v>
      </c>
      <c r="AR245">
        <v>-14.45</v>
      </c>
      <c r="AS245">
        <v>0.85</v>
      </c>
      <c r="AT245" t="s">
        <v>1792</v>
      </c>
      <c r="AU245">
        <v>42.38</v>
      </c>
      <c r="AV245">
        <v>289.95999999999998</v>
      </c>
      <c r="AW245">
        <v>0.19</v>
      </c>
      <c r="BA245">
        <v>0</v>
      </c>
      <c r="BB245">
        <v>1.8</v>
      </c>
      <c r="BC245">
        <v>-0.28000000000000003</v>
      </c>
      <c r="BD245">
        <v>0.68</v>
      </c>
      <c r="BE245">
        <v>0.56999999999999995</v>
      </c>
      <c r="BF245">
        <v>-1.21</v>
      </c>
      <c r="BG245">
        <v>0.86</v>
      </c>
      <c r="BH245">
        <v>-0.11</v>
      </c>
      <c r="BI245">
        <v>20191112</v>
      </c>
      <c r="BJ245">
        <v>19970325</v>
      </c>
      <c r="BK245">
        <v>6.72</v>
      </c>
      <c r="BL245" t="s">
        <v>116</v>
      </c>
      <c r="BM245" t="s">
        <v>116</v>
      </c>
      <c r="BN245">
        <v>50.83</v>
      </c>
      <c r="BO245">
        <v>29.93</v>
      </c>
      <c r="BP245">
        <v>0</v>
      </c>
      <c r="BQ245">
        <v>41.12</v>
      </c>
      <c r="BR245">
        <v>9.66</v>
      </c>
      <c r="BS245">
        <v>11.29</v>
      </c>
      <c r="BT245">
        <v>1.45</v>
      </c>
      <c r="BU245">
        <v>17.579999999999998</v>
      </c>
      <c r="BV245">
        <v>2.93</v>
      </c>
      <c r="BW245">
        <v>4.43</v>
      </c>
      <c r="BX245">
        <v>20.309999999999999</v>
      </c>
      <c r="BY245">
        <v>14.93</v>
      </c>
      <c r="BZ245">
        <v>12</v>
      </c>
      <c r="CA245">
        <v>-0.64</v>
      </c>
      <c r="CB245">
        <v>-0.02</v>
      </c>
      <c r="CC245">
        <v>-0.71</v>
      </c>
      <c r="CD245">
        <v>-0.71</v>
      </c>
      <c r="CE245">
        <v>-0.7</v>
      </c>
      <c r="CF245">
        <v>-0.68</v>
      </c>
      <c r="CG245">
        <v>2.64</v>
      </c>
      <c r="CH245">
        <v>-0.18</v>
      </c>
      <c r="CI245">
        <v>-1.62</v>
      </c>
      <c r="CJ245">
        <v>28809</v>
      </c>
      <c r="CK245">
        <v>14526</v>
      </c>
      <c r="CL245" t="s">
        <v>1793</v>
      </c>
      <c r="CM245">
        <v>67.319999999999993</v>
      </c>
      <c r="CN245">
        <v>37.39</v>
      </c>
      <c r="CO245">
        <v>2.38</v>
      </c>
      <c r="CP245">
        <v>-388.56</v>
      </c>
      <c r="CQ245">
        <v>4.7699999999999996</v>
      </c>
      <c r="CR245">
        <v>0</v>
      </c>
      <c r="CS245" t="s">
        <v>1794</v>
      </c>
      <c r="CT245">
        <v>4.46</v>
      </c>
      <c r="CU245">
        <v>0</v>
      </c>
      <c r="CV245">
        <v>3.02</v>
      </c>
      <c r="CW245">
        <v>0.39</v>
      </c>
      <c r="CX245">
        <v>-0.03</v>
      </c>
      <c r="CY245">
        <v>58.89</v>
      </c>
      <c r="CZ245" t="s">
        <v>1795</v>
      </c>
      <c r="DA245">
        <v>19.59</v>
      </c>
      <c r="DB245">
        <v>-4.3099999999999996</v>
      </c>
      <c r="DC245">
        <v>-4.66</v>
      </c>
      <c r="DD245">
        <v>0.21</v>
      </c>
      <c r="DE245">
        <v>2487</v>
      </c>
      <c r="DF245">
        <v>697</v>
      </c>
      <c r="DG245" t="s">
        <v>116</v>
      </c>
      <c r="DH245" t="s">
        <v>116</v>
      </c>
      <c r="DI245" t="s">
        <v>116</v>
      </c>
    </row>
    <row r="246" spans="1:113" x14ac:dyDescent="0.4">
      <c r="A246" t="str">
        <f>"000698"</f>
        <v>000698</v>
      </c>
      <c r="B246" t="s">
        <v>1796</v>
      </c>
      <c r="C246">
        <v>-0.3</v>
      </c>
      <c r="D246">
        <v>3.3</v>
      </c>
      <c r="E246">
        <v>-0.01</v>
      </c>
      <c r="F246">
        <v>3.3</v>
      </c>
      <c r="G246">
        <v>3.31</v>
      </c>
      <c r="H246">
        <v>44010</v>
      </c>
      <c r="I246">
        <v>931</v>
      </c>
      <c r="J246">
        <v>-0.28999999999999998</v>
      </c>
      <c r="K246">
        <v>0.56000000000000005</v>
      </c>
      <c r="L246">
        <v>3.29</v>
      </c>
      <c r="M246">
        <v>3.34</v>
      </c>
      <c r="N246">
        <v>3.29</v>
      </c>
      <c r="O246">
        <v>3.31</v>
      </c>
      <c r="P246" t="s">
        <v>116</v>
      </c>
      <c r="Q246">
        <v>14596976</v>
      </c>
      <c r="R246">
        <v>1.1299999999999999</v>
      </c>
      <c r="S246" t="s">
        <v>891</v>
      </c>
      <c r="T246" t="s">
        <v>434</v>
      </c>
      <c r="U246">
        <v>1.51</v>
      </c>
      <c r="V246">
        <v>3.32</v>
      </c>
      <c r="W246">
        <v>24529</v>
      </c>
      <c r="X246">
        <v>19481</v>
      </c>
      <c r="Y246">
        <v>1.26</v>
      </c>
      <c r="Z246">
        <v>27</v>
      </c>
      <c r="AA246">
        <v>1773</v>
      </c>
      <c r="AB246" t="s">
        <v>116</v>
      </c>
      <c r="AC246">
        <v>155000</v>
      </c>
      <c r="AD246">
        <v>0.01</v>
      </c>
      <c r="AE246" t="s">
        <v>116</v>
      </c>
      <c r="AF246" t="s">
        <v>116</v>
      </c>
      <c r="AG246">
        <v>7.86</v>
      </c>
      <c r="AH246" t="s">
        <v>1797</v>
      </c>
      <c r="AI246" t="s">
        <v>1798</v>
      </c>
      <c r="AJ246">
        <v>0.38</v>
      </c>
      <c r="AK246">
        <v>717</v>
      </c>
      <c r="AL246">
        <v>61</v>
      </c>
      <c r="AM246">
        <v>8.0000000000000004E-4</v>
      </c>
      <c r="AN246">
        <v>-1</v>
      </c>
      <c r="AO246">
        <v>0.61</v>
      </c>
      <c r="AP246">
        <v>3.77</v>
      </c>
      <c r="AQ246">
        <v>-17.29</v>
      </c>
      <c r="AR246">
        <v>-7.69</v>
      </c>
      <c r="AS246">
        <v>0.71</v>
      </c>
      <c r="AT246" t="s">
        <v>1799</v>
      </c>
      <c r="AU246" t="s">
        <v>116</v>
      </c>
      <c r="AV246">
        <v>22.94</v>
      </c>
      <c r="AW246">
        <v>1.1100000000000001</v>
      </c>
      <c r="BA246">
        <v>-0.6</v>
      </c>
      <c r="BB246">
        <v>0.91</v>
      </c>
      <c r="BC246">
        <v>-0.6</v>
      </c>
      <c r="BD246">
        <v>0.2</v>
      </c>
      <c r="BE246">
        <v>0.3</v>
      </c>
      <c r="BF246">
        <v>-1.2</v>
      </c>
      <c r="BG246">
        <v>0.3</v>
      </c>
      <c r="BH246">
        <v>-0.51</v>
      </c>
      <c r="BI246">
        <v>20191028</v>
      </c>
      <c r="BJ246">
        <v>19970220</v>
      </c>
      <c r="BK246">
        <v>8.1999999999999993</v>
      </c>
      <c r="BL246" t="s">
        <v>116</v>
      </c>
      <c r="BM246" t="s">
        <v>116</v>
      </c>
      <c r="BN246">
        <v>91.9</v>
      </c>
      <c r="BO246">
        <v>43.33</v>
      </c>
      <c r="BP246">
        <v>-0.08</v>
      </c>
      <c r="BQ246">
        <v>52.94</v>
      </c>
      <c r="BR246">
        <v>36.119999999999997</v>
      </c>
      <c r="BS246">
        <v>42.37</v>
      </c>
      <c r="BT246">
        <v>7.55</v>
      </c>
      <c r="BU246">
        <v>43.22</v>
      </c>
      <c r="BV246">
        <v>8.14</v>
      </c>
      <c r="BW246">
        <v>0.82</v>
      </c>
      <c r="BX246">
        <v>13.36</v>
      </c>
      <c r="BY246">
        <v>72.59</v>
      </c>
      <c r="BZ246">
        <v>68.650000000000006</v>
      </c>
      <c r="CA246">
        <v>-1.17</v>
      </c>
      <c r="CB246">
        <v>0</v>
      </c>
      <c r="CC246">
        <v>-1.18</v>
      </c>
      <c r="CD246">
        <v>-1.28</v>
      </c>
      <c r="CE246">
        <v>-1.28</v>
      </c>
      <c r="CF246">
        <v>-1.74</v>
      </c>
      <c r="CG246">
        <v>18.59</v>
      </c>
      <c r="CH246">
        <v>6.37</v>
      </c>
      <c r="CI246">
        <v>0.94</v>
      </c>
      <c r="CJ246">
        <v>53611</v>
      </c>
      <c r="CK246">
        <v>11513</v>
      </c>
      <c r="CL246" t="s">
        <v>1800</v>
      </c>
      <c r="CM246">
        <v>-226.05</v>
      </c>
      <c r="CN246">
        <v>1.35</v>
      </c>
      <c r="CO246">
        <v>0.62</v>
      </c>
      <c r="CP246">
        <v>4.24</v>
      </c>
      <c r="CQ246">
        <v>0.37</v>
      </c>
      <c r="CR246">
        <v>1.97</v>
      </c>
      <c r="CS246" t="s">
        <v>1801</v>
      </c>
      <c r="CT246">
        <v>5.29</v>
      </c>
      <c r="CU246">
        <v>0</v>
      </c>
      <c r="CV246">
        <v>1.63</v>
      </c>
      <c r="CW246">
        <v>2.27</v>
      </c>
      <c r="CX246">
        <v>0.78</v>
      </c>
      <c r="CY246">
        <v>47.15</v>
      </c>
      <c r="CZ246" t="s">
        <v>1802</v>
      </c>
      <c r="DA246">
        <v>5.43</v>
      </c>
      <c r="DB246">
        <v>-1.62</v>
      </c>
      <c r="DC246">
        <v>-1.77</v>
      </c>
      <c r="DD246">
        <v>1.0900000000000001</v>
      </c>
      <c r="DE246">
        <v>3056</v>
      </c>
      <c r="DF246">
        <v>698</v>
      </c>
      <c r="DG246" t="s">
        <v>116</v>
      </c>
      <c r="DH246" t="s">
        <v>116</v>
      </c>
      <c r="DI246" t="s">
        <v>116</v>
      </c>
    </row>
    <row r="247" spans="1:113" x14ac:dyDescent="0.4">
      <c r="A247" t="str">
        <f>"000700"</f>
        <v>000700</v>
      </c>
      <c r="B247" t="s">
        <v>1803</v>
      </c>
      <c r="C247">
        <v>-2.48</v>
      </c>
      <c r="D247">
        <v>3.94</v>
      </c>
      <c r="E247">
        <v>-0.1</v>
      </c>
      <c r="F247">
        <v>3.94</v>
      </c>
      <c r="G247">
        <v>3.95</v>
      </c>
      <c r="H247">
        <v>171820</v>
      </c>
      <c r="I247">
        <v>1745</v>
      </c>
      <c r="J247">
        <v>-0.24</v>
      </c>
      <c r="K247">
        <v>2.4</v>
      </c>
      <c r="L247">
        <v>4.05</v>
      </c>
      <c r="M247">
        <v>4.05</v>
      </c>
      <c r="N247">
        <v>3.93</v>
      </c>
      <c r="O247">
        <v>4.04</v>
      </c>
      <c r="P247">
        <v>27.34</v>
      </c>
      <c r="Q247">
        <v>68691544</v>
      </c>
      <c r="R247">
        <v>1.34</v>
      </c>
      <c r="S247" t="s">
        <v>293</v>
      </c>
      <c r="T247" t="s">
        <v>323</v>
      </c>
      <c r="U247">
        <v>2.97</v>
      </c>
      <c r="V247">
        <v>4</v>
      </c>
      <c r="W247">
        <v>105672</v>
      </c>
      <c r="X247">
        <v>66148</v>
      </c>
      <c r="Y247">
        <v>1.6</v>
      </c>
      <c r="Z247">
        <v>1016</v>
      </c>
      <c r="AA247">
        <v>2322</v>
      </c>
      <c r="AB247" t="s">
        <v>116</v>
      </c>
      <c r="AC247">
        <v>31600</v>
      </c>
      <c r="AD247">
        <v>0</v>
      </c>
      <c r="AE247" t="s">
        <v>116</v>
      </c>
      <c r="AF247" t="s">
        <v>116</v>
      </c>
      <c r="AG247">
        <v>7.17</v>
      </c>
      <c r="AH247" t="s">
        <v>1804</v>
      </c>
      <c r="AI247" t="s">
        <v>1805</v>
      </c>
      <c r="AJ247">
        <v>-1.8</v>
      </c>
      <c r="AK247">
        <v>1883</v>
      </c>
      <c r="AL247">
        <v>91</v>
      </c>
      <c r="AM247">
        <v>1.2999999999999999E-3</v>
      </c>
      <c r="AN247">
        <v>-2</v>
      </c>
      <c r="AO247">
        <v>-2.2400000000000002</v>
      </c>
      <c r="AP247">
        <v>2.6</v>
      </c>
      <c r="AQ247">
        <v>-1.75</v>
      </c>
      <c r="AR247">
        <v>39.72</v>
      </c>
      <c r="AS247">
        <v>3.61</v>
      </c>
      <c r="AT247" t="s">
        <v>1806</v>
      </c>
      <c r="AU247">
        <v>35.19</v>
      </c>
      <c r="AV247">
        <v>296.32</v>
      </c>
      <c r="AW247">
        <v>1.1399999999999999</v>
      </c>
      <c r="BA247">
        <v>0.25</v>
      </c>
      <c r="BB247">
        <v>0.25</v>
      </c>
      <c r="BC247">
        <v>-2.72</v>
      </c>
      <c r="BD247">
        <v>-1.04</v>
      </c>
      <c r="BE247">
        <v>-2.72</v>
      </c>
      <c r="BF247">
        <v>-2.72</v>
      </c>
      <c r="BG247">
        <v>0.25</v>
      </c>
      <c r="BH247">
        <v>-1.43</v>
      </c>
      <c r="BI247">
        <v>20191209</v>
      </c>
      <c r="BJ247">
        <v>19970228</v>
      </c>
      <c r="BK247">
        <v>8.27</v>
      </c>
      <c r="BL247" t="s">
        <v>116</v>
      </c>
      <c r="BM247" t="s">
        <v>116</v>
      </c>
      <c r="BN247">
        <v>78.790000000000006</v>
      </c>
      <c r="BO247">
        <v>23.47</v>
      </c>
      <c r="BP247">
        <v>7.0000000000000007E-2</v>
      </c>
      <c r="BQ247">
        <v>70.12</v>
      </c>
      <c r="BR247">
        <v>36.96</v>
      </c>
      <c r="BS247">
        <v>28.58</v>
      </c>
      <c r="BT247">
        <v>1.79</v>
      </c>
      <c r="BU247">
        <v>43.23</v>
      </c>
      <c r="BV247">
        <v>9.02</v>
      </c>
      <c r="BW247">
        <v>10.52</v>
      </c>
      <c r="BX247">
        <v>0</v>
      </c>
      <c r="BY247">
        <v>39.33</v>
      </c>
      <c r="BZ247">
        <v>32.049999999999997</v>
      </c>
      <c r="CA247">
        <v>1.1100000000000001</v>
      </c>
      <c r="CB247">
        <v>1.76</v>
      </c>
      <c r="CC247">
        <v>1.1200000000000001</v>
      </c>
      <c r="CD247">
        <v>0.89</v>
      </c>
      <c r="CE247">
        <v>0.89</v>
      </c>
      <c r="CF247">
        <v>0.39</v>
      </c>
      <c r="CG247">
        <v>13</v>
      </c>
      <c r="CH247">
        <v>0.51</v>
      </c>
      <c r="CI247">
        <v>-0.08</v>
      </c>
      <c r="CJ247">
        <v>42860</v>
      </c>
      <c r="CK247">
        <v>11111</v>
      </c>
      <c r="CL247" t="s">
        <v>1807</v>
      </c>
      <c r="CM247">
        <v>1049.3699999999999</v>
      </c>
      <c r="CN247">
        <v>9.2899999999999991</v>
      </c>
      <c r="CO247">
        <v>1.47</v>
      </c>
      <c r="CP247">
        <v>64.510000000000005</v>
      </c>
      <c r="CQ247">
        <v>0.83</v>
      </c>
      <c r="CR247">
        <v>3.3</v>
      </c>
      <c r="CS247" t="s">
        <v>1808</v>
      </c>
      <c r="CT247">
        <v>2.67</v>
      </c>
      <c r="CU247">
        <v>2.67</v>
      </c>
      <c r="CV247">
        <v>0</v>
      </c>
      <c r="CW247">
        <v>1.57</v>
      </c>
      <c r="CX247">
        <v>0.06</v>
      </c>
      <c r="CY247">
        <v>29.78</v>
      </c>
      <c r="CZ247" t="s">
        <v>1809</v>
      </c>
      <c r="DA247">
        <v>18.510000000000002</v>
      </c>
      <c r="DB247">
        <v>2.83</v>
      </c>
      <c r="DC247">
        <v>2.27</v>
      </c>
      <c r="DD247">
        <v>1.37</v>
      </c>
      <c r="DE247">
        <v>5146</v>
      </c>
      <c r="DF247">
        <v>700</v>
      </c>
      <c r="DG247" t="s">
        <v>116</v>
      </c>
      <c r="DH247" t="s">
        <v>116</v>
      </c>
      <c r="DI247" t="s">
        <v>116</v>
      </c>
    </row>
    <row r="248" spans="1:113" x14ac:dyDescent="0.4">
      <c r="A248" t="str">
        <f>"000701"</f>
        <v>000701</v>
      </c>
      <c r="B248" t="s">
        <v>1810</v>
      </c>
      <c r="C248">
        <v>0</v>
      </c>
      <c r="D248">
        <v>5.41</v>
      </c>
      <c r="E248">
        <v>0</v>
      </c>
      <c r="F248">
        <v>5.41</v>
      </c>
      <c r="G248">
        <v>5.42</v>
      </c>
      <c r="H248">
        <v>36415</v>
      </c>
      <c r="I248">
        <v>239</v>
      </c>
      <c r="J248">
        <v>0</v>
      </c>
      <c r="K248">
        <v>0.9</v>
      </c>
      <c r="L248">
        <v>5.43</v>
      </c>
      <c r="M248">
        <v>5.55</v>
      </c>
      <c r="N248">
        <v>5.4</v>
      </c>
      <c r="O248">
        <v>5.41</v>
      </c>
      <c r="P248" t="s">
        <v>116</v>
      </c>
      <c r="Q248">
        <v>19886796</v>
      </c>
      <c r="R248">
        <v>1.17</v>
      </c>
      <c r="S248" t="s">
        <v>173</v>
      </c>
      <c r="T248" t="s">
        <v>975</v>
      </c>
      <c r="U248">
        <v>2.77</v>
      </c>
      <c r="V248">
        <v>5.46</v>
      </c>
      <c r="W248">
        <v>17116</v>
      </c>
      <c r="X248">
        <v>19299</v>
      </c>
      <c r="Y248">
        <v>0.89</v>
      </c>
      <c r="Z248">
        <v>101</v>
      </c>
      <c r="AA248">
        <v>129</v>
      </c>
      <c r="AB248" t="s">
        <v>116</v>
      </c>
      <c r="AC248">
        <v>88500</v>
      </c>
      <c r="AD248">
        <v>0.01</v>
      </c>
      <c r="AE248" t="s">
        <v>116</v>
      </c>
      <c r="AF248" t="s">
        <v>116</v>
      </c>
      <c r="AG248">
        <v>4.07</v>
      </c>
      <c r="AH248" t="s">
        <v>1811</v>
      </c>
      <c r="AI248" t="s">
        <v>1811</v>
      </c>
      <c r="AJ248">
        <v>0.68</v>
      </c>
      <c r="AK248">
        <v>826</v>
      </c>
      <c r="AL248">
        <v>44</v>
      </c>
      <c r="AM248">
        <v>1.1000000000000001E-3</v>
      </c>
      <c r="AN248">
        <v>0</v>
      </c>
      <c r="AO248">
        <v>-1.0900000000000001</v>
      </c>
      <c r="AP248">
        <v>7.77</v>
      </c>
      <c r="AQ248">
        <v>-10.58</v>
      </c>
      <c r="AR248">
        <v>-10.53</v>
      </c>
      <c r="AS248">
        <v>1.28</v>
      </c>
      <c r="AT248" t="s">
        <v>1435</v>
      </c>
      <c r="AU248" t="s">
        <v>116</v>
      </c>
      <c r="AV248">
        <v>97.66</v>
      </c>
      <c r="AW248">
        <v>1.2</v>
      </c>
      <c r="BA248">
        <v>0.37</v>
      </c>
      <c r="BB248">
        <v>2.59</v>
      </c>
      <c r="BC248">
        <v>-0.18</v>
      </c>
      <c r="BD248">
        <v>0.95</v>
      </c>
      <c r="BE248">
        <v>-0.37</v>
      </c>
      <c r="BF248">
        <v>-2.52</v>
      </c>
      <c r="BG248">
        <v>0.19</v>
      </c>
      <c r="BH248">
        <v>-0.95</v>
      </c>
      <c r="BI248">
        <v>20191023</v>
      </c>
      <c r="BJ248">
        <v>19970226</v>
      </c>
      <c r="BK248">
        <v>4.07</v>
      </c>
      <c r="BL248" t="s">
        <v>116</v>
      </c>
      <c r="BM248" t="s">
        <v>116</v>
      </c>
      <c r="BN248">
        <v>289.3</v>
      </c>
      <c r="BO248">
        <v>41.89</v>
      </c>
      <c r="BP248">
        <v>8.59</v>
      </c>
      <c r="BQ248">
        <v>82.55</v>
      </c>
      <c r="BR248">
        <v>240.19</v>
      </c>
      <c r="BS248">
        <v>15.8</v>
      </c>
      <c r="BT248">
        <v>2.2799999999999998</v>
      </c>
      <c r="BU248">
        <v>225.43</v>
      </c>
      <c r="BV248">
        <v>67.680000000000007</v>
      </c>
      <c r="BW248">
        <v>70.709999999999994</v>
      </c>
      <c r="BX248">
        <v>17.440000000000001</v>
      </c>
      <c r="BY248">
        <v>629.11</v>
      </c>
      <c r="BZ248">
        <v>618.73</v>
      </c>
      <c r="CA248">
        <v>-1.79</v>
      </c>
      <c r="CB248">
        <v>0.52</v>
      </c>
      <c r="CC248">
        <v>-1.44</v>
      </c>
      <c r="CD248">
        <v>-1.34</v>
      </c>
      <c r="CE248">
        <v>-1.48</v>
      </c>
      <c r="CF248">
        <v>-2.91</v>
      </c>
      <c r="CG248">
        <v>2.78</v>
      </c>
      <c r="CH248">
        <v>-72.03</v>
      </c>
      <c r="CI248">
        <v>-7.28</v>
      </c>
      <c r="CJ248">
        <v>42830</v>
      </c>
      <c r="CK248">
        <v>6641</v>
      </c>
      <c r="CL248" t="s">
        <v>1583</v>
      </c>
      <c r="CM248">
        <v>-246.91</v>
      </c>
      <c r="CN248">
        <v>31.75</v>
      </c>
      <c r="CO248">
        <v>0.85</v>
      </c>
      <c r="CP248">
        <v>-0.31</v>
      </c>
      <c r="CQ248">
        <v>0.03</v>
      </c>
      <c r="CR248">
        <v>0.24</v>
      </c>
      <c r="CS248" t="s">
        <v>1812</v>
      </c>
      <c r="CT248">
        <v>6.37</v>
      </c>
      <c r="CU248">
        <v>6.37</v>
      </c>
      <c r="CV248">
        <v>4.29</v>
      </c>
      <c r="CW248">
        <v>0.68</v>
      </c>
      <c r="CX248">
        <v>-17.71</v>
      </c>
      <c r="CY248">
        <v>14.48</v>
      </c>
      <c r="CZ248" t="s">
        <v>1813</v>
      </c>
      <c r="DA248">
        <v>1.65</v>
      </c>
      <c r="DB248">
        <v>-0.28000000000000003</v>
      </c>
      <c r="DC248">
        <v>-0.23</v>
      </c>
      <c r="DD248">
        <v>0.51</v>
      </c>
      <c r="DE248">
        <v>6785</v>
      </c>
      <c r="DF248">
        <v>701</v>
      </c>
      <c r="DG248" t="s">
        <v>116</v>
      </c>
      <c r="DH248" t="s">
        <v>116</v>
      </c>
      <c r="DI248" t="s">
        <v>116</v>
      </c>
    </row>
    <row r="249" spans="1:113" x14ac:dyDescent="0.4">
      <c r="A249" t="str">
        <f>"000702"</f>
        <v>000702</v>
      </c>
      <c r="B249" t="s">
        <v>1814</v>
      </c>
      <c r="C249">
        <v>-0.35</v>
      </c>
      <c r="D249">
        <v>5.75</v>
      </c>
      <c r="E249">
        <v>-0.02</v>
      </c>
      <c r="F249">
        <v>5.75</v>
      </c>
      <c r="G249">
        <v>5.76</v>
      </c>
      <c r="H249">
        <v>56543</v>
      </c>
      <c r="I249">
        <v>257</v>
      </c>
      <c r="J249">
        <v>0.17</v>
      </c>
      <c r="K249">
        <v>2.12</v>
      </c>
      <c r="L249">
        <v>5.76</v>
      </c>
      <c r="M249">
        <v>5.82</v>
      </c>
      <c r="N249">
        <v>5.73</v>
      </c>
      <c r="O249">
        <v>5.77</v>
      </c>
      <c r="P249">
        <v>350.59</v>
      </c>
      <c r="Q249">
        <v>32666298</v>
      </c>
      <c r="R249">
        <v>1.03</v>
      </c>
      <c r="S249" t="s">
        <v>389</v>
      </c>
      <c r="T249" t="s">
        <v>599</v>
      </c>
      <c r="U249">
        <v>1.56</v>
      </c>
      <c r="V249">
        <v>5.78</v>
      </c>
      <c r="W249">
        <v>28712</v>
      </c>
      <c r="X249">
        <v>27831</v>
      </c>
      <c r="Y249">
        <v>1.03</v>
      </c>
      <c r="Z249">
        <v>674</v>
      </c>
      <c r="AA249">
        <v>341</v>
      </c>
      <c r="AB249" t="s">
        <v>116</v>
      </c>
      <c r="AC249">
        <v>54100</v>
      </c>
      <c r="AD249">
        <v>0</v>
      </c>
      <c r="AE249" t="s">
        <v>116</v>
      </c>
      <c r="AF249" t="s">
        <v>116</v>
      </c>
      <c r="AG249">
        <v>2.67</v>
      </c>
      <c r="AH249" t="s">
        <v>1815</v>
      </c>
      <c r="AI249" t="s">
        <v>1815</v>
      </c>
      <c r="AJ249">
        <v>0.33</v>
      </c>
      <c r="AK249">
        <v>1520</v>
      </c>
      <c r="AL249">
        <v>37</v>
      </c>
      <c r="AM249">
        <v>1.4E-3</v>
      </c>
      <c r="AN249">
        <v>-1</v>
      </c>
      <c r="AO249">
        <v>-0.52</v>
      </c>
      <c r="AP249">
        <v>2.68</v>
      </c>
      <c r="AQ249">
        <v>-5.89</v>
      </c>
      <c r="AR249">
        <v>3.42</v>
      </c>
      <c r="AS249">
        <v>2.83</v>
      </c>
      <c r="AT249" t="s">
        <v>1816</v>
      </c>
      <c r="AU249">
        <v>156.62</v>
      </c>
      <c r="AV249">
        <v>27.49</v>
      </c>
      <c r="AW249">
        <v>0.74</v>
      </c>
      <c r="BA249">
        <v>-0.17</v>
      </c>
      <c r="BB249">
        <v>0.87</v>
      </c>
      <c r="BC249">
        <v>-0.69</v>
      </c>
      <c r="BD249">
        <v>0.13</v>
      </c>
      <c r="BE249">
        <v>-0.17</v>
      </c>
      <c r="BF249">
        <v>-1.2</v>
      </c>
      <c r="BG249">
        <v>0.35</v>
      </c>
      <c r="BH249">
        <v>-0.47</v>
      </c>
      <c r="BI249">
        <v>20191025</v>
      </c>
      <c r="BJ249">
        <v>19970318</v>
      </c>
      <c r="BK249">
        <v>2.67</v>
      </c>
      <c r="BL249" t="s">
        <v>116</v>
      </c>
      <c r="BM249" t="s">
        <v>116</v>
      </c>
      <c r="BN249">
        <v>6.55</v>
      </c>
      <c r="BO249">
        <v>5.27</v>
      </c>
      <c r="BP249">
        <v>0.04</v>
      </c>
      <c r="BQ249">
        <v>18.93</v>
      </c>
      <c r="BR249">
        <v>2.67</v>
      </c>
      <c r="BS249">
        <v>2.14</v>
      </c>
      <c r="BT249">
        <v>0.2</v>
      </c>
      <c r="BU249">
        <v>1.1100000000000001</v>
      </c>
      <c r="BV249">
        <v>1.36</v>
      </c>
      <c r="BW249">
        <v>0</v>
      </c>
      <c r="BX249">
        <v>1.81</v>
      </c>
      <c r="BY249">
        <v>9.49</v>
      </c>
      <c r="BZ249">
        <v>8.5299999999999994</v>
      </c>
      <c r="CA249">
        <v>0.19</v>
      </c>
      <c r="CB249">
        <v>0.03</v>
      </c>
      <c r="CC249">
        <v>7.0000000000000007E-2</v>
      </c>
      <c r="CD249">
        <v>0.05</v>
      </c>
      <c r="CE249">
        <v>0.03</v>
      </c>
      <c r="CF249">
        <v>0.12</v>
      </c>
      <c r="CG249">
        <v>0.27</v>
      </c>
      <c r="CH249">
        <v>0.43</v>
      </c>
      <c r="CI249">
        <v>-0.16</v>
      </c>
      <c r="CJ249">
        <v>34865</v>
      </c>
      <c r="CK249">
        <v>5725</v>
      </c>
      <c r="CL249" t="s">
        <v>1817</v>
      </c>
      <c r="CM249">
        <v>-93.34</v>
      </c>
      <c r="CN249">
        <v>-9.36</v>
      </c>
      <c r="CO249">
        <v>2.91</v>
      </c>
      <c r="CP249">
        <v>35.39</v>
      </c>
      <c r="CQ249">
        <v>1.62</v>
      </c>
      <c r="CR249">
        <v>0</v>
      </c>
      <c r="CS249" t="s">
        <v>238</v>
      </c>
      <c r="CT249">
        <v>1.98</v>
      </c>
      <c r="CU249">
        <v>0</v>
      </c>
      <c r="CV249">
        <v>0.68</v>
      </c>
      <c r="CW249">
        <v>0.1</v>
      </c>
      <c r="CX249">
        <v>0.16</v>
      </c>
      <c r="CY249">
        <v>80.42</v>
      </c>
      <c r="CZ249" t="s">
        <v>1818</v>
      </c>
      <c r="DA249">
        <v>10.07</v>
      </c>
      <c r="DB249">
        <v>2.06</v>
      </c>
      <c r="DC249">
        <v>0.35</v>
      </c>
      <c r="DD249">
        <v>0.04</v>
      </c>
      <c r="DE249">
        <v>1152</v>
      </c>
      <c r="DF249">
        <v>702</v>
      </c>
      <c r="DG249" t="s">
        <v>116</v>
      </c>
      <c r="DH249" t="s">
        <v>116</v>
      </c>
      <c r="DI249" t="s">
        <v>116</v>
      </c>
    </row>
    <row r="250" spans="1:113" x14ac:dyDescent="0.4">
      <c r="A250" t="str">
        <f>"000703"</f>
        <v>000703</v>
      </c>
      <c r="B250" t="s">
        <v>1819</v>
      </c>
      <c r="C250">
        <v>2.27</v>
      </c>
      <c r="D250">
        <v>13.5</v>
      </c>
      <c r="E250">
        <v>0.3</v>
      </c>
      <c r="F250">
        <v>13.49</v>
      </c>
      <c r="G250">
        <v>13.5</v>
      </c>
      <c r="H250">
        <v>164301</v>
      </c>
      <c r="I250">
        <v>10257</v>
      </c>
      <c r="J250">
        <v>0</v>
      </c>
      <c r="K250">
        <v>0.72</v>
      </c>
      <c r="L250">
        <v>13.18</v>
      </c>
      <c r="M250">
        <v>13.52</v>
      </c>
      <c r="N250">
        <v>13.15</v>
      </c>
      <c r="O250">
        <v>13.2</v>
      </c>
      <c r="P250">
        <v>13</v>
      </c>
      <c r="Q250">
        <v>220186224</v>
      </c>
      <c r="R250">
        <v>2.2400000000000002</v>
      </c>
      <c r="S250" t="s">
        <v>630</v>
      </c>
      <c r="T250" t="s">
        <v>982</v>
      </c>
      <c r="U250">
        <v>2.8</v>
      </c>
      <c r="V250">
        <v>13.4</v>
      </c>
      <c r="W250">
        <v>64438</v>
      </c>
      <c r="X250">
        <v>99863</v>
      </c>
      <c r="Y250">
        <v>0.65</v>
      </c>
      <c r="Z250">
        <v>300</v>
      </c>
      <c r="AA250">
        <v>780</v>
      </c>
      <c r="AB250" t="s">
        <v>116</v>
      </c>
      <c r="AC250">
        <v>396700</v>
      </c>
      <c r="AD250">
        <v>0</v>
      </c>
      <c r="AE250" t="s">
        <v>116</v>
      </c>
      <c r="AF250" t="s">
        <v>116</v>
      </c>
      <c r="AG250">
        <v>22.83</v>
      </c>
      <c r="AH250" t="s">
        <v>1820</v>
      </c>
      <c r="AI250" t="s">
        <v>1821</v>
      </c>
      <c r="AJ250">
        <v>2.95</v>
      </c>
      <c r="AK250">
        <v>2954</v>
      </c>
      <c r="AL250">
        <v>56</v>
      </c>
      <c r="AM250">
        <v>2.0000000000000001E-4</v>
      </c>
      <c r="AN250">
        <v>5</v>
      </c>
      <c r="AO250">
        <v>4.08</v>
      </c>
      <c r="AP250">
        <v>-3.09</v>
      </c>
      <c r="AQ250">
        <v>8.9600000000000009</v>
      </c>
      <c r="AR250">
        <v>20.32</v>
      </c>
      <c r="AS250">
        <v>1.51</v>
      </c>
      <c r="AT250" t="s">
        <v>1822</v>
      </c>
      <c r="AU250">
        <v>22.1</v>
      </c>
      <c r="AV250">
        <v>19.55</v>
      </c>
      <c r="AW250">
        <v>7.0000000000000007E-2</v>
      </c>
      <c r="BA250">
        <v>-0.15</v>
      </c>
      <c r="BB250">
        <v>2.42</v>
      </c>
      <c r="BC250">
        <v>-0.38</v>
      </c>
      <c r="BD250">
        <v>1.53</v>
      </c>
      <c r="BE250">
        <v>2.4300000000000002</v>
      </c>
      <c r="BF250">
        <v>-0.15</v>
      </c>
      <c r="BG250">
        <v>2.66</v>
      </c>
      <c r="BH250">
        <v>0.75</v>
      </c>
      <c r="BI250">
        <v>20191018</v>
      </c>
      <c r="BJ250">
        <v>19970328</v>
      </c>
      <c r="BK250">
        <v>28.42</v>
      </c>
      <c r="BL250" t="s">
        <v>116</v>
      </c>
      <c r="BM250" t="s">
        <v>116</v>
      </c>
      <c r="BN250">
        <v>766.62</v>
      </c>
      <c r="BO250">
        <v>222.63</v>
      </c>
      <c r="BP250">
        <v>50.4</v>
      </c>
      <c r="BQ250">
        <v>64.38</v>
      </c>
      <c r="BR250">
        <v>185.7</v>
      </c>
      <c r="BS250">
        <v>136.01</v>
      </c>
      <c r="BT250">
        <v>11.74</v>
      </c>
      <c r="BU250">
        <v>317.43</v>
      </c>
      <c r="BV250">
        <v>42.21</v>
      </c>
      <c r="BW250">
        <v>13.17</v>
      </c>
      <c r="BX250">
        <v>98.41</v>
      </c>
      <c r="BY250">
        <v>622.04999999999995</v>
      </c>
      <c r="BZ250">
        <v>585.95000000000005</v>
      </c>
      <c r="CA250">
        <v>33.82</v>
      </c>
      <c r="CB250">
        <v>11.4</v>
      </c>
      <c r="CC250">
        <v>33.619999999999997</v>
      </c>
      <c r="CD250">
        <v>27.29</v>
      </c>
      <c r="CE250">
        <v>22.14</v>
      </c>
      <c r="CF250">
        <v>19.010000000000002</v>
      </c>
      <c r="CG250">
        <v>87.17</v>
      </c>
      <c r="CH250">
        <v>20.89</v>
      </c>
      <c r="CI250">
        <v>-24.54</v>
      </c>
      <c r="CJ250">
        <v>23416</v>
      </c>
      <c r="CK250">
        <v>46516</v>
      </c>
      <c r="CL250" t="s">
        <v>1823</v>
      </c>
      <c r="CM250">
        <v>-9.2799999999999994</v>
      </c>
      <c r="CN250">
        <v>-6.37</v>
      </c>
      <c r="CO250">
        <v>1.72</v>
      </c>
      <c r="CP250">
        <v>18.36</v>
      </c>
      <c r="CQ250">
        <v>0.62</v>
      </c>
      <c r="CR250">
        <v>2.2200000000000002</v>
      </c>
      <c r="CS250" t="s">
        <v>1824</v>
      </c>
      <c r="CT250">
        <v>7.83</v>
      </c>
      <c r="CU250">
        <v>0</v>
      </c>
      <c r="CV250">
        <v>3.46</v>
      </c>
      <c r="CW250">
        <v>3.07</v>
      </c>
      <c r="CX250">
        <v>0.74</v>
      </c>
      <c r="CY250">
        <v>29.04</v>
      </c>
      <c r="CZ250" t="s">
        <v>1825</v>
      </c>
      <c r="DA250">
        <v>5.8</v>
      </c>
      <c r="DB250">
        <v>5.44</v>
      </c>
      <c r="DC250">
        <v>3.56</v>
      </c>
      <c r="DD250">
        <v>3.9</v>
      </c>
      <c r="DE250">
        <v>13754</v>
      </c>
      <c r="DF250">
        <v>703</v>
      </c>
      <c r="DG250" t="s">
        <v>116</v>
      </c>
      <c r="DH250" t="s">
        <v>116</v>
      </c>
      <c r="DI250" t="s">
        <v>116</v>
      </c>
    </row>
    <row r="251" spans="1:113" x14ac:dyDescent="0.4">
      <c r="A251" t="str">
        <f>"000705"</f>
        <v>000705</v>
      </c>
      <c r="B251" t="s">
        <v>1826</v>
      </c>
      <c r="C251">
        <v>-1.79</v>
      </c>
      <c r="D251">
        <v>6.58</v>
      </c>
      <c r="E251">
        <v>-0.12</v>
      </c>
      <c r="F251">
        <v>6.58</v>
      </c>
      <c r="G251">
        <v>6.59</v>
      </c>
      <c r="H251">
        <v>55994</v>
      </c>
      <c r="I251">
        <v>571</v>
      </c>
      <c r="J251">
        <v>0</v>
      </c>
      <c r="K251">
        <v>1.99</v>
      </c>
      <c r="L251">
        <v>6.66</v>
      </c>
      <c r="M251">
        <v>6.78</v>
      </c>
      <c r="N251">
        <v>6.56</v>
      </c>
      <c r="O251">
        <v>6.7</v>
      </c>
      <c r="P251">
        <v>24.83</v>
      </c>
      <c r="Q251">
        <v>37165276</v>
      </c>
      <c r="R251">
        <v>1.37</v>
      </c>
      <c r="S251" t="s">
        <v>278</v>
      </c>
      <c r="T251" t="s">
        <v>590</v>
      </c>
      <c r="U251">
        <v>3.28</v>
      </c>
      <c r="V251">
        <v>6.64</v>
      </c>
      <c r="W251">
        <v>37809</v>
      </c>
      <c r="X251">
        <v>18185</v>
      </c>
      <c r="Y251">
        <v>2.08</v>
      </c>
      <c r="Z251">
        <v>21</v>
      </c>
      <c r="AA251">
        <v>164</v>
      </c>
      <c r="AB251" t="s">
        <v>116</v>
      </c>
      <c r="AC251">
        <v>263100</v>
      </c>
      <c r="AD251">
        <v>0.01</v>
      </c>
      <c r="AE251" t="s">
        <v>116</v>
      </c>
      <c r="AF251" t="s">
        <v>116</v>
      </c>
      <c r="AG251">
        <v>2.82</v>
      </c>
      <c r="AH251" t="s">
        <v>1827</v>
      </c>
      <c r="AI251" t="s">
        <v>1828</v>
      </c>
      <c r="AJ251">
        <v>-1.1100000000000001</v>
      </c>
      <c r="AK251">
        <v>1077</v>
      </c>
      <c r="AL251">
        <v>52</v>
      </c>
      <c r="AM251">
        <v>1.8E-3</v>
      </c>
      <c r="AN251">
        <v>-1</v>
      </c>
      <c r="AO251">
        <v>2.4900000000000002</v>
      </c>
      <c r="AP251">
        <v>5.79</v>
      </c>
      <c r="AQ251">
        <v>4.9400000000000004</v>
      </c>
      <c r="AR251">
        <v>9.1199999999999992</v>
      </c>
      <c r="AS251">
        <v>2.09</v>
      </c>
      <c r="AT251" t="s">
        <v>1829</v>
      </c>
      <c r="AU251">
        <v>27.03</v>
      </c>
      <c r="AV251">
        <v>31.02</v>
      </c>
      <c r="AW251">
        <v>1</v>
      </c>
      <c r="BA251">
        <v>-0.6</v>
      </c>
      <c r="BB251">
        <v>1.19</v>
      </c>
      <c r="BC251">
        <v>-2.09</v>
      </c>
      <c r="BD251">
        <v>-0.94</v>
      </c>
      <c r="BE251">
        <v>-1.2</v>
      </c>
      <c r="BF251">
        <v>-2.95</v>
      </c>
      <c r="BG251">
        <v>0.3</v>
      </c>
      <c r="BH251">
        <v>-0.86</v>
      </c>
      <c r="BI251">
        <v>20191026</v>
      </c>
      <c r="BJ251">
        <v>19970410</v>
      </c>
      <c r="BK251">
        <v>3.34</v>
      </c>
      <c r="BL251" t="s">
        <v>116</v>
      </c>
      <c r="BM251" t="s">
        <v>116</v>
      </c>
      <c r="BN251">
        <v>23.28</v>
      </c>
      <c r="BO251">
        <v>14.88</v>
      </c>
      <c r="BP251">
        <v>0.21</v>
      </c>
      <c r="BQ251">
        <v>35.18</v>
      </c>
      <c r="BR251">
        <v>14.12</v>
      </c>
      <c r="BS251">
        <v>5.27</v>
      </c>
      <c r="BT251">
        <v>0.68</v>
      </c>
      <c r="BU251">
        <v>7.96</v>
      </c>
      <c r="BV251">
        <v>5.08</v>
      </c>
      <c r="BW251">
        <v>5.25</v>
      </c>
      <c r="BX251">
        <v>5.37</v>
      </c>
      <c r="BY251">
        <v>23.78</v>
      </c>
      <c r="BZ251">
        <v>18.670000000000002</v>
      </c>
      <c r="CA251">
        <v>0.78</v>
      </c>
      <c r="CB251">
        <v>0.01</v>
      </c>
      <c r="CC251">
        <v>0.79</v>
      </c>
      <c r="CD251">
        <v>0.68</v>
      </c>
      <c r="CE251">
        <v>0.66</v>
      </c>
      <c r="CF251">
        <v>0.51</v>
      </c>
      <c r="CG251">
        <v>5.0999999999999996</v>
      </c>
      <c r="CH251">
        <v>-0.44</v>
      </c>
      <c r="CI251">
        <v>-0.09</v>
      </c>
      <c r="CJ251">
        <v>27175</v>
      </c>
      <c r="CK251">
        <v>9841</v>
      </c>
      <c r="CL251" t="s">
        <v>1830</v>
      </c>
      <c r="CM251">
        <v>18.649999999999999</v>
      </c>
      <c r="CN251">
        <v>15.75</v>
      </c>
      <c r="CO251">
        <v>1.48</v>
      </c>
      <c r="CP251">
        <v>-50.05</v>
      </c>
      <c r="CQ251">
        <v>0.92</v>
      </c>
      <c r="CR251">
        <v>0.46</v>
      </c>
      <c r="CS251" t="s">
        <v>1831</v>
      </c>
      <c r="CT251">
        <v>4.45</v>
      </c>
      <c r="CU251">
        <v>0</v>
      </c>
      <c r="CV251">
        <v>1.61</v>
      </c>
      <c r="CW251">
        <v>1.53</v>
      </c>
      <c r="CX251">
        <v>-0.13</v>
      </c>
      <c r="CY251">
        <v>63.91</v>
      </c>
      <c r="CZ251" t="s">
        <v>1832</v>
      </c>
      <c r="DA251">
        <v>21.52</v>
      </c>
      <c r="DB251">
        <v>3.27</v>
      </c>
      <c r="DC251">
        <v>2.79</v>
      </c>
      <c r="DD251">
        <v>0.26</v>
      </c>
      <c r="DE251">
        <v>1861</v>
      </c>
      <c r="DF251">
        <v>705</v>
      </c>
      <c r="DG251" t="s">
        <v>116</v>
      </c>
      <c r="DH251" t="s">
        <v>116</v>
      </c>
      <c r="DI251" t="s">
        <v>116</v>
      </c>
    </row>
    <row r="252" spans="1:113" x14ac:dyDescent="0.4">
      <c r="A252" t="str">
        <f>"000707"</f>
        <v>000707</v>
      </c>
      <c r="B252" t="s">
        <v>1833</v>
      </c>
      <c r="C252">
        <v>0.63</v>
      </c>
      <c r="D252">
        <v>3.19</v>
      </c>
      <c r="E252">
        <v>0.02</v>
      </c>
      <c r="F252">
        <v>3.19</v>
      </c>
      <c r="G252">
        <v>3.2</v>
      </c>
      <c r="H252">
        <v>34108</v>
      </c>
      <c r="I252">
        <v>686</v>
      </c>
      <c r="J252">
        <v>0</v>
      </c>
      <c r="K252">
        <v>0.73</v>
      </c>
      <c r="L252">
        <v>3.17</v>
      </c>
      <c r="M252">
        <v>3.21</v>
      </c>
      <c r="N252">
        <v>3.15</v>
      </c>
      <c r="O252">
        <v>3.17</v>
      </c>
      <c r="P252" t="s">
        <v>116</v>
      </c>
      <c r="Q252">
        <v>10846423</v>
      </c>
      <c r="R252">
        <v>0.77</v>
      </c>
      <c r="S252" t="s">
        <v>891</v>
      </c>
      <c r="T252" t="s">
        <v>774</v>
      </c>
      <c r="U252">
        <v>1.89</v>
      </c>
      <c r="V252">
        <v>3.18</v>
      </c>
      <c r="W252">
        <v>16179</v>
      </c>
      <c r="X252">
        <v>17929</v>
      </c>
      <c r="Y252">
        <v>0.9</v>
      </c>
      <c r="Z252">
        <v>920</v>
      </c>
      <c r="AA252">
        <v>672</v>
      </c>
      <c r="AB252" t="s">
        <v>116</v>
      </c>
      <c r="AC252">
        <v>31700</v>
      </c>
      <c r="AD252">
        <v>0</v>
      </c>
      <c r="AE252" t="s">
        <v>116</v>
      </c>
      <c r="AF252" t="s">
        <v>116</v>
      </c>
      <c r="AG252">
        <v>4.6399999999999997</v>
      </c>
      <c r="AH252" t="s">
        <v>1834</v>
      </c>
      <c r="AI252" t="s">
        <v>1834</v>
      </c>
      <c r="AJ252">
        <v>1.31</v>
      </c>
      <c r="AK252">
        <v>370</v>
      </c>
      <c r="AL252">
        <v>92</v>
      </c>
      <c r="AM252">
        <v>2E-3</v>
      </c>
      <c r="AN252">
        <v>1</v>
      </c>
      <c r="AO252">
        <v>-2.4500000000000002</v>
      </c>
      <c r="AP252">
        <v>-5.9</v>
      </c>
      <c r="AQ252">
        <v>13.12</v>
      </c>
      <c r="AR252">
        <v>10.38</v>
      </c>
      <c r="AS252">
        <v>0.98</v>
      </c>
      <c r="AT252" t="s">
        <v>1423</v>
      </c>
      <c r="AU252">
        <v>218.22</v>
      </c>
      <c r="AV252">
        <v>10.91</v>
      </c>
      <c r="AW252">
        <v>0.28999999999999998</v>
      </c>
      <c r="BA252">
        <v>0</v>
      </c>
      <c r="BB252">
        <v>1.26</v>
      </c>
      <c r="BC252">
        <v>-0.63</v>
      </c>
      <c r="BD252">
        <v>0.32</v>
      </c>
      <c r="BE252">
        <v>0.63</v>
      </c>
      <c r="BF252">
        <v>-0.62</v>
      </c>
      <c r="BG252">
        <v>1.27</v>
      </c>
      <c r="BH252">
        <v>0.31</v>
      </c>
      <c r="BI252">
        <v>20191028</v>
      </c>
      <c r="BJ252">
        <v>19970415</v>
      </c>
      <c r="BK252">
        <v>4.6399999999999997</v>
      </c>
      <c r="BL252" t="s">
        <v>116</v>
      </c>
      <c r="BM252" t="s">
        <v>116</v>
      </c>
      <c r="BN252">
        <v>37.869999999999997</v>
      </c>
      <c r="BO252">
        <v>1.64</v>
      </c>
      <c r="BP252">
        <v>-0.18</v>
      </c>
      <c r="BQ252">
        <v>96.15</v>
      </c>
      <c r="BR252">
        <v>9.42</v>
      </c>
      <c r="BS252">
        <v>21.56</v>
      </c>
      <c r="BT252">
        <v>1.1499999999999999</v>
      </c>
      <c r="BU252">
        <v>25.79</v>
      </c>
      <c r="BV252">
        <v>3.96</v>
      </c>
      <c r="BW252">
        <v>0.43</v>
      </c>
      <c r="BX252">
        <v>7.3</v>
      </c>
      <c r="BY252">
        <v>17.12</v>
      </c>
      <c r="BZ252">
        <v>14.3</v>
      </c>
      <c r="CA252">
        <v>-0.19</v>
      </c>
      <c r="CB252">
        <v>0.28000000000000003</v>
      </c>
      <c r="CC252">
        <v>-0.06</v>
      </c>
      <c r="CD252">
        <v>-0.13</v>
      </c>
      <c r="CE252">
        <v>-0.14000000000000001</v>
      </c>
      <c r="CF252">
        <v>-0.61</v>
      </c>
      <c r="CG252">
        <v>-12.4</v>
      </c>
      <c r="CH252">
        <v>0.64</v>
      </c>
      <c r="CI252">
        <v>-0.44</v>
      </c>
      <c r="CJ252">
        <v>37729</v>
      </c>
      <c r="CK252">
        <v>9213</v>
      </c>
      <c r="CL252" t="s">
        <v>1835</v>
      </c>
      <c r="CM252">
        <v>-112.52</v>
      </c>
      <c r="CN252">
        <v>-36.61</v>
      </c>
      <c r="CO252">
        <v>9.0299999999999994</v>
      </c>
      <c r="CP252">
        <v>22.98</v>
      </c>
      <c r="CQ252">
        <v>0.86</v>
      </c>
      <c r="CR252">
        <v>0</v>
      </c>
      <c r="CS252" t="s">
        <v>1836</v>
      </c>
      <c r="CT252">
        <v>0.35</v>
      </c>
      <c r="CU252">
        <v>0</v>
      </c>
      <c r="CV252">
        <v>1.57</v>
      </c>
      <c r="CW252">
        <v>-2.67</v>
      </c>
      <c r="CX252">
        <v>0.14000000000000001</v>
      </c>
      <c r="CY252">
        <v>4.33</v>
      </c>
      <c r="CZ252" t="s">
        <v>1837</v>
      </c>
      <c r="DA252">
        <v>16.489999999999998</v>
      </c>
      <c r="DB252">
        <v>-1.0900000000000001</v>
      </c>
      <c r="DC252">
        <v>-0.84</v>
      </c>
      <c r="DD252">
        <v>0.47</v>
      </c>
      <c r="DE252">
        <v>2031</v>
      </c>
      <c r="DF252">
        <v>707</v>
      </c>
      <c r="DG252" t="s">
        <v>116</v>
      </c>
      <c r="DH252" t="s">
        <v>116</v>
      </c>
      <c r="DI252" t="s">
        <v>116</v>
      </c>
    </row>
    <row r="253" spans="1:113" x14ac:dyDescent="0.4">
      <c r="A253" t="str">
        <f>"000708"</f>
        <v>000708</v>
      </c>
      <c r="B253" t="s">
        <v>1838</v>
      </c>
      <c r="C253">
        <v>-0.66</v>
      </c>
      <c r="D253">
        <v>22.53</v>
      </c>
      <c r="E253">
        <v>-0.15</v>
      </c>
      <c r="F253">
        <v>22.51</v>
      </c>
      <c r="G253">
        <v>22.53</v>
      </c>
      <c r="H253">
        <v>52681</v>
      </c>
      <c r="I253">
        <v>293</v>
      </c>
      <c r="J253">
        <v>-0.08</v>
      </c>
      <c r="K253">
        <v>1.17</v>
      </c>
      <c r="L253">
        <v>22.84</v>
      </c>
      <c r="M253">
        <v>23.05</v>
      </c>
      <c r="N253">
        <v>22.3</v>
      </c>
      <c r="O253">
        <v>22.68</v>
      </c>
      <c r="P253">
        <v>13.68</v>
      </c>
      <c r="Q253">
        <v>118981824</v>
      </c>
      <c r="R253">
        <v>0.91</v>
      </c>
      <c r="S253" t="s">
        <v>1839</v>
      </c>
      <c r="T253" t="s">
        <v>774</v>
      </c>
      <c r="U253">
        <v>3.31</v>
      </c>
      <c r="V253">
        <v>22.59</v>
      </c>
      <c r="W253">
        <v>28373</v>
      </c>
      <c r="X253">
        <v>24308</v>
      </c>
      <c r="Y253">
        <v>1.17</v>
      </c>
      <c r="Z253">
        <v>37</v>
      </c>
      <c r="AA253">
        <v>3</v>
      </c>
      <c r="AB253" t="s">
        <v>116</v>
      </c>
      <c r="AC253">
        <v>495600</v>
      </c>
      <c r="AD253">
        <v>0.01</v>
      </c>
      <c r="AE253" t="s">
        <v>116</v>
      </c>
      <c r="AF253" t="s">
        <v>116</v>
      </c>
      <c r="AG253">
        <v>4.49</v>
      </c>
      <c r="AH253" t="s">
        <v>1840</v>
      </c>
      <c r="AI253" t="s">
        <v>1841</v>
      </c>
      <c r="AJ253">
        <v>0.02</v>
      </c>
      <c r="AK253">
        <v>3668</v>
      </c>
      <c r="AL253">
        <v>14</v>
      </c>
      <c r="AM253">
        <v>2.9999999999999997E-4</v>
      </c>
      <c r="AN253">
        <v>-1</v>
      </c>
      <c r="AO253">
        <v>-0.79</v>
      </c>
      <c r="AP253">
        <v>-2.76</v>
      </c>
      <c r="AQ253">
        <v>41.88</v>
      </c>
      <c r="AR253">
        <v>182.69</v>
      </c>
      <c r="AS253">
        <v>2.8</v>
      </c>
      <c r="AT253" t="s">
        <v>1842</v>
      </c>
      <c r="AU253">
        <v>44.39</v>
      </c>
      <c r="AV253">
        <v>131.11000000000001</v>
      </c>
      <c r="AW253">
        <v>0.7</v>
      </c>
      <c r="BA253">
        <v>0.71</v>
      </c>
      <c r="BB253">
        <v>1.63</v>
      </c>
      <c r="BC253">
        <v>-1.68</v>
      </c>
      <c r="BD253">
        <v>-0.42</v>
      </c>
      <c r="BE253">
        <v>-1.36</v>
      </c>
      <c r="BF253">
        <v>-2.2599999999999998</v>
      </c>
      <c r="BG253">
        <v>1.03</v>
      </c>
      <c r="BH253">
        <v>-0.24</v>
      </c>
      <c r="BI253">
        <v>20191106</v>
      </c>
      <c r="BJ253">
        <v>19970326</v>
      </c>
      <c r="BK253">
        <v>29.69</v>
      </c>
      <c r="BL253" t="s">
        <v>116</v>
      </c>
      <c r="BM253" t="s">
        <v>116</v>
      </c>
      <c r="BN253">
        <v>682.79</v>
      </c>
      <c r="BO253">
        <v>245.88</v>
      </c>
      <c r="BP253">
        <v>31.65</v>
      </c>
      <c r="BQ253">
        <v>59.35</v>
      </c>
      <c r="BR253">
        <v>258.39</v>
      </c>
      <c r="BS253">
        <v>318.27</v>
      </c>
      <c r="BT253">
        <v>42.43</v>
      </c>
      <c r="BU253">
        <v>335.42</v>
      </c>
      <c r="BV253">
        <v>82.83</v>
      </c>
      <c r="BW253">
        <v>23.13</v>
      </c>
      <c r="BX253">
        <v>113.91</v>
      </c>
      <c r="BY253">
        <v>570.23</v>
      </c>
      <c r="BZ253">
        <v>471.82</v>
      </c>
      <c r="CA253">
        <v>50.25</v>
      </c>
      <c r="CB253">
        <v>0.05</v>
      </c>
      <c r="CC253">
        <v>50.47</v>
      </c>
      <c r="CD253">
        <v>41.72</v>
      </c>
      <c r="CE253">
        <v>36.659999999999997</v>
      </c>
      <c r="CF253">
        <v>35.64</v>
      </c>
      <c r="CG253">
        <v>99.97</v>
      </c>
      <c r="CH253">
        <v>62.58</v>
      </c>
      <c r="CI253">
        <v>-20.77</v>
      </c>
      <c r="CJ253">
        <v>16903</v>
      </c>
      <c r="CK253">
        <v>11132</v>
      </c>
      <c r="CL253" t="s">
        <v>1843</v>
      </c>
      <c r="CM253">
        <v>37.33</v>
      </c>
      <c r="CN253">
        <v>4.6500000000000004</v>
      </c>
      <c r="CO253">
        <v>2.72</v>
      </c>
      <c r="CP253">
        <v>10.69</v>
      </c>
      <c r="CQ253">
        <v>1.17</v>
      </c>
      <c r="CR253">
        <v>0.54</v>
      </c>
      <c r="CS253" t="s">
        <v>1844</v>
      </c>
      <c r="CT253">
        <v>8.2799999999999994</v>
      </c>
      <c r="CU253">
        <v>0</v>
      </c>
      <c r="CV253">
        <v>3.84</v>
      </c>
      <c r="CW253">
        <v>3.37</v>
      </c>
      <c r="CX253">
        <v>2.11</v>
      </c>
      <c r="CY253">
        <v>36.01</v>
      </c>
      <c r="CZ253" t="s">
        <v>1845</v>
      </c>
      <c r="DA253">
        <v>17.260000000000002</v>
      </c>
      <c r="DB253">
        <v>8.81</v>
      </c>
      <c r="DC253">
        <v>6.43</v>
      </c>
      <c r="DD253">
        <v>21.26</v>
      </c>
      <c r="DE253">
        <v>3736</v>
      </c>
      <c r="DF253">
        <v>708</v>
      </c>
      <c r="DG253" t="s">
        <v>116</v>
      </c>
      <c r="DH253" t="s">
        <v>116</v>
      </c>
      <c r="DI253" t="s">
        <v>116</v>
      </c>
    </row>
    <row r="254" spans="1:113" x14ac:dyDescent="0.4">
      <c r="A254" t="str">
        <f>"000709"</f>
        <v>000709</v>
      </c>
      <c r="B254" t="s">
        <v>1846</v>
      </c>
      <c r="C254">
        <v>0.4</v>
      </c>
      <c r="D254">
        <v>2.54</v>
      </c>
      <c r="E254">
        <v>0.01</v>
      </c>
      <c r="F254">
        <v>2.54</v>
      </c>
      <c r="G254">
        <v>2.5499999999999998</v>
      </c>
      <c r="H254">
        <v>331101</v>
      </c>
      <c r="I254">
        <v>1448</v>
      </c>
      <c r="J254">
        <v>-0.38</v>
      </c>
      <c r="K254">
        <v>0.31</v>
      </c>
      <c r="L254">
        <v>2.5299999999999998</v>
      </c>
      <c r="M254">
        <v>2.57</v>
      </c>
      <c r="N254">
        <v>2.5299999999999998</v>
      </c>
      <c r="O254">
        <v>2.5299999999999998</v>
      </c>
      <c r="P254">
        <v>11.34</v>
      </c>
      <c r="Q254">
        <v>84312296</v>
      </c>
      <c r="R254">
        <v>1.72</v>
      </c>
      <c r="S254" t="s">
        <v>1587</v>
      </c>
      <c r="T254" t="s">
        <v>608</v>
      </c>
      <c r="U254">
        <v>1.58</v>
      </c>
      <c r="V254">
        <v>2.5499999999999998</v>
      </c>
      <c r="W254">
        <v>145022</v>
      </c>
      <c r="X254">
        <v>186079</v>
      </c>
      <c r="Y254">
        <v>0.78</v>
      </c>
      <c r="Z254">
        <v>4897</v>
      </c>
      <c r="AA254">
        <v>5983</v>
      </c>
      <c r="AB254" t="s">
        <v>116</v>
      </c>
      <c r="AC254">
        <v>340500</v>
      </c>
      <c r="AD254">
        <v>0</v>
      </c>
      <c r="AE254" t="s">
        <v>116</v>
      </c>
      <c r="AF254" t="s">
        <v>116</v>
      </c>
      <c r="AG254">
        <v>106.17</v>
      </c>
      <c r="AH254" t="s">
        <v>1847</v>
      </c>
      <c r="AI254" t="s">
        <v>1848</v>
      </c>
      <c r="AJ254">
        <v>1.07</v>
      </c>
      <c r="AK254">
        <v>2828</v>
      </c>
      <c r="AL254">
        <v>117</v>
      </c>
      <c r="AM254">
        <v>1E-4</v>
      </c>
      <c r="AN254">
        <v>1</v>
      </c>
      <c r="AO254">
        <v>0.4</v>
      </c>
      <c r="AP254">
        <v>0.79</v>
      </c>
      <c r="AQ254">
        <v>0.4</v>
      </c>
      <c r="AR254">
        <v>-7.21</v>
      </c>
      <c r="AS254">
        <v>0.82</v>
      </c>
      <c r="AT254" t="s">
        <v>1849</v>
      </c>
      <c r="AU254">
        <v>13.23</v>
      </c>
      <c r="AV254">
        <v>7.44</v>
      </c>
      <c r="AW254">
        <v>0.4</v>
      </c>
      <c r="BA254">
        <v>0</v>
      </c>
      <c r="BB254">
        <v>1.58</v>
      </c>
      <c r="BC254">
        <v>0</v>
      </c>
      <c r="BD254">
        <v>0.65</v>
      </c>
      <c r="BE254">
        <v>0.4</v>
      </c>
      <c r="BF254">
        <v>-1.17</v>
      </c>
      <c r="BG254">
        <v>0.4</v>
      </c>
      <c r="BH254">
        <v>-0.25</v>
      </c>
      <c r="BI254">
        <v>20191202</v>
      </c>
      <c r="BJ254">
        <v>19970416</v>
      </c>
      <c r="BK254">
        <v>106.19</v>
      </c>
      <c r="BL254" t="s">
        <v>116</v>
      </c>
      <c r="BM254" t="s">
        <v>116</v>
      </c>
      <c r="BN254">
        <v>2097.54</v>
      </c>
      <c r="BO254">
        <v>558.37</v>
      </c>
      <c r="BP254">
        <v>28.53</v>
      </c>
      <c r="BQ254">
        <v>72.02</v>
      </c>
      <c r="BR254">
        <v>657.34</v>
      </c>
      <c r="BS254">
        <v>1171.81</v>
      </c>
      <c r="BT254">
        <v>2.38</v>
      </c>
      <c r="BU254">
        <v>1335.89</v>
      </c>
      <c r="BV254">
        <v>219.79</v>
      </c>
      <c r="BW254">
        <v>29.53</v>
      </c>
      <c r="BX254">
        <v>232.06</v>
      </c>
      <c r="BY254">
        <v>942.93</v>
      </c>
      <c r="BZ254">
        <v>842.14</v>
      </c>
      <c r="CA254">
        <v>26.47</v>
      </c>
      <c r="CB254">
        <v>1.76</v>
      </c>
      <c r="CC254">
        <v>26.52</v>
      </c>
      <c r="CD254">
        <v>20.61</v>
      </c>
      <c r="CE254">
        <v>17.829999999999998</v>
      </c>
      <c r="CF254">
        <v>17.63</v>
      </c>
      <c r="CG254">
        <v>121.73</v>
      </c>
      <c r="CH254">
        <v>52.18</v>
      </c>
      <c r="CI254">
        <v>-58.94</v>
      </c>
      <c r="CJ254">
        <v>356180</v>
      </c>
      <c r="CK254">
        <v>11288</v>
      </c>
      <c r="CL254" t="s">
        <v>1850</v>
      </c>
      <c r="CM254">
        <v>-47.1</v>
      </c>
      <c r="CN254">
        <v>4.07</v>
      </c>
      <c r="CO254">
        <v>0.56999999999999995</v>
      </c>
      <c r="CP254">
        <v>5.17</v>
      </c>
      <c r="CQ254">
        <v>0.28999999999999998</v>
      </c>
      <c r="CR254">
        <v>3.94</v>
      </c>
      <c r="CS254" t="s">
        <v>358</v>
      </c>
      <c r="CT254">
        <v>4.49</v>
      </c>
      <c r="CU254">
        <v>4.49</v>
      </c>
      <c r="CV254">
        <v>2.19</v>
      </c>
      <c r="CW254">
        <v>1.1499999999999999</v>
      </c>
      <c r="CX254">
        <v>0.49</v>
      </c>
      <c r="CY254">
        <v>26.62</v>
      </c>
      <c r="CZ254" t="s">
        <v>1851</v>
      </c>
      <c r="DA254">
        <v>10.69</v>
      </c>
      <c r="DB254">
        <v>2.81</v>
      </c>
      <c r="DC254">
        <v>1.89</v>
      </c>
      <c r="DD254">
        <v>11.75</v>
      </c>
      <c r="DE254">
        <v>35723</v>
      </c>
      <c r="DF254">
        <v>709</v>
      </c>
      <c r="DG254" t="s">
        <v>116</v>
      </c>
      <c r="DH254" t="s">
        <v>116</v>
      </c>
      <c r="DI254" t="s">
        <v>116</v>
      </c>
    </row>
    <row r="255" spans="1:113" x14ac:dyDescent="0.4">
      <c r="A255" t="str">
        <f>"000710"</f>
        <v>000710</v>
      </c>
      <c r="B255" t="s">
        <v>1852</v>
      </c>
      <c r="C255">
        <v>-1.04</v>
      </c>
      <c r="D255">
        <v>35.22</v>
      </c>
      <c r="E255">
        <v>-0.37</v>
      </c>
      <c r="F255">
        <v>35.22</v>
      </c>
      <c r="G255">
        <v>35.229999999999997</v>
      </c>
      <c r="H255">
        <v>32917</v>
      </c>
      <c r="I255">
        <v>435</v>
      </c>
      <c r="J255">
        <v>0.06</v>
      </c>
      <c r="K255">
        <v>1.43</v>
      </c>
      <c r="L255">
        <v>35.549999999999997</v>
      </c>
      <c r="M255">
        <v>35.880000000000003</v>
      </c>
      <c r="N255">
        <v>35</v>
      </c>
      <c r="O255">
        <v>35.590000000000003</v>
      </c>
      <c r="P255">
        <v>29.89</v>
      </c>
      <c r="Q255">
        <v>116471048</v>
      </c>
      <c r="R255">
        <v>0.95</v>
      </c>
      <c r="S255" t="s">
        <v>559</v>
      </c>
      <c r="T255" t="s">
        <v>582</v>
      </c>
      <c r="U255">
        <v>2.4700000000000002</v>
      </c>
      <c r="V255">
        <v>35.380000000000003</v>
      </c>
      <c r="W255">
        <v>18342</v>
      </c>
      <c r="X255">
        <v>14575</v>
      </c>
      <c r="Y255">
        <v>1.26</v>
      </c>
      <c r="Z255">
        <v>37</v>
      </c>
      <c r="AA255">
        <v>38</v>
      </c>
      <c r="AB255" t="s">
        <v>116</v>
      </c>
      <c r="AC255">
        <v>487000</v>
      </c>
      <c r="AD255">
        <v>0.01</v>
      </c>
      <c r="AE255" t="s">
        <v>116</v>
      </c>
      <c r="AF255" t="s">
        <v>116</v>
      </c>
      <c r="AG255">
        <v>2.31</v>
      </c>
      <c r="AH255" t="s">
        <v>1853</v>
      </c>
      <c r="AI255" t="s">
        <v>1854</v>
      </c>
      <c r="AJ255">
        <v>-0.36</v>
      </c>
      <c r="AK255">
        <v>2018</v>
      </c>
      <c r="AL255">
        <v>16</v>
      </c>
      <c r="AM255">
        <v>6.9999999999999999E-4</v>
      </c>
      <c r="AN255">
        <v>-4</v>
      </c>
      <c r="AO255">
        <v>-3.62</v>
      </c>
      <c r="AP255">
        <v>0.89</v>
      </c>
      <c r="AQ255">
        <v>13.94</v>
      </c>
      <c r="AR255">
        <v>10.41</v>
      </c>
      <c r="AS255">
        <v>1.63</v>
      </c>
      <c r="AT255" t="s">
        <v>1855</v>
      </c>
      <c r="AU255">
        <v>36.47</v>
      </c>
      <c r="AV255">
        <v>46.59</v>
      </c>
      <c r="AW255">
        <v>0.98</v>
      </c>
      <c r="BA255">
        <v>-0.11</v>
      </c>
      <c r="BB255">
        <v>0.81</v>
      </c>
      <c r="BC255">
        <v>-1.66</v>
      </c>
      <c r="BD255">
        <v>-0.57999999999999996</v>
      </c>
      <c r="BE255">
        <v>-0.93</v>
      </c>
      <c r="BF255">
        <v>-1.84</v>
      </c>
      <c r="BG255">
        <v>0.63</v>
      </c>
      <c r="BH255">
        <v>-0.46</v>
      </c>
      <c r="BI255">
        <v>20191223</v>
      </c>
      <c r="BJ255">
        <v>19970422</v>
      </c>
      <c r="BK255">
        <v>3.55</v>
      </c>
      <c r="BL255" t="s">
        <v>116</v>
      </c>
      <c r="BM255" t="s">
        <v>116</v>
      </c>
      <c r="BN255">
        <v>27.34</v>
      </c>
      <c r="BO255">
        <v>21.9</v>
      </c>
      <c r="BP255">
        <v>0.14000000000000001</v>
      </c>
      <c r="BQ255">
        <v>19.39</v>
      </c>
      <c r="BR255">
        <v>17.27</v>
      </c>
      <c r="BS255">
        <v>4.97</v>
      </c>
      <c r="BT255">
        <v>0.75</v>
      </c>
      <c r="BU255">
        <v>3.46</v>
      </c>
      <c r="BV255">
        <v>3.19</v>
      </c>
      <c r="BW255">
        <v>8.7799999999999994</v>
      </c>
      <c r="BX255">
        <v>9.4499999999999993</v>
      </c>
      <c r="BY255">
        <v>11.74</v>
      </c>
      <c r="BZ255">
        <v>4.8</v>
      </c>
      <c r="CA255">
        <v>3.57</v>
      </c>
      <c r="CB255">
        <v>0.5</v>
      </c>
      <c r="CC255">
        <v>3.61</v>
      </c>
      <c r="CD255">
        <v>3.11</v>
      </c>
      <c r="CE255">
        <v>3.13</v>
      </c>
      <c r="CF255">
        <v>2.16</v>
      </c>
      <c r="CG255">
        <v>8.26</v>
      </c>
      <c r="CH255">
        <v>0.87</v>
      </c>
      <c r="CI255">
        <v>-0.64</v>
      </c>
      <c r="CJ255">
        <v>22333</v>
      </c>
      <c r="CK255">
        <v>9019</v>
      </c>
      <c r="CL255" t="s">
        <v>1856</v>
      </c>
      <c r="CM255">
        <v>31.13</v>
      </c>
      <c r="CN255">
        <v>14.2</v>
      </c>
      <c r="CO255">
        <v>5.7</v>
      </c>
      <c r="CP255">
        <v>142.97</v>
      </c>
      <c r="CQ255">
        <v>10.64</v>
      </c>
      <c r="CR255">
        <v>0</v>
      </c>
      <c r="CS255" t="s">
        <v>1857</v>
      </c>
      <c r="CT255">
        <v>6.18</v>
      </c>
      <c r="CU255">
        <v>0</v>
      </c>
      <c r="CV255">
        <v>2.66</v>
      </c>
      <c r="CW255">
        <v>2.33</v>
      </c>
      <c r="CX255">
        <v>0.25</v>
      </c>
      <c r="CY255">
        <v>80.09</v>
      </c>
      <c r="CZ255" t="s">
        <v>1858</v>
      </c>
      <c r="DA255">
        <v>59.13</v>
      </c>
      <c r="DB255">
        <v>30.4</v>
      </c>
      <c r="DC255">
        <v>26.69</v>
      </c>
      <c r="DD255">
        <v>0.82</v>
      </c>
      <c r="DE255">
        <v>1608</v>
      </c>
      <c r="DF255">
        <v>710</v>
      </c>
      <c r="DG255" t="s">
        <v>116</v>
      </c>
      <c r="DH255" t="s">
        <v>116</v>
      </c>
      <c r="DI255" t="s">
        <v>116</v>
      </c>
    </row>
    <row r="256" spans="1:113" x14ac:dyDescent="0.4">
      <c r="A256" t="str">
        <f>"000711"</f>
        <v>000711</v>
      </c>
      <c r="B256" t="s">
        <v>1859</v>
      </c>
      <c r="C256">
        <v>-0.72</v>
      </c>
      <c r="D256">
        <v>5.51</v>
      </c>
      <c r="E256">
        <v>-0.04</v>
      </c>
      <c r="F256">
        <v>5.51</v>
      </c>
      <c r="G256">
        <v>5.52</v>
      </c>
      <c r="H256">
        <v>157898</v>
      </c>
      <c r="I256">
        <v>862</v>
      </c>
      <c r="J256">
        <v>0.73</v>
      </c>
      <c r="K256">
        <v>2.02</v>
      </c>
      <c r="L256">
        <v>5.55</v>
      </c>
      <c r="M256">
        <v>5.56</v>
      </c>
      <c r="N256">
        <v>5.41</v>
      </c>
      <c r="O256">
        <v>5.55</v>
      </c>
      <c r="P256">
        <v>126.41</v>
      </c>
      <c r="Q256">
        <v>87093736</v>
      </c>
      <c r="R256">
        <v>2.23</v>
      </c>
      <c r="S256" t="s">
        <v>607</v>
      </c>
      <c r="T256" t="s">
        <v>1287</v>
      </c>
      <c r="U256">
        <v>2.7</v>
      </c>
      <c r="V256">
        <v>5.52</v>
      </c>
      <c r="W256">
        <v>67877</v>
      </c>
      <c r="X256">
        <v>90021</v>
      </c>
      <c r="Y256">
        <v>0.75</v>
      </c>
      <c r="Z256">
        <v>72</v>
      </c>
      <c r="AA256">
        <v>351</v>
      </c>
      <c r="AB256" t="s">
        <v>116</v>
      </c>
      <c r="AC256">
        <v>215300</v>
      </c>
      <c r="AD256">
        <v>0.01</v>
      </c>
      <c r="AE256" t="s">
        <v>116</v>
      </c>
      <c r="AF256" t="s">
        <v>116</v>
      </c>
      <c r="AG256">
        <v>7.83</v>
      </c>
      <c r="AH256" t="s">
        <v>1860</v>
      </c>
      <c r="AI256" t="s">
        <v>1861</v>
      </c>
      <c r="AJ256">
        <v>-0.04</v>
      </c>
      <c r="AK256">
        <v>2474</v>
      </c>
      <c r="AL256">
        <v>64</v>
      </c>
      <c r="AM256">
        <v>8.0000000000000004E-4</v>
      </c>
      <c r="AN256">
        <v>-3</v>
      </c>
      <c r="AO256">
        <v>-1.26</v>
      </c>
      <c r="AP256">
        <v>-0.36</v>
      </c>
      <c r="AQ256">
        <v>11.54</v>
      </c>
      <c r="AR256">
        <v>-11.56</v>
      </c>
      <c r="AS256">
        <v>4.41</v>
      </c>
      <c r="AT256" t="s">
        <v>1862</v>
      </c>
      <c r="AU256" t="s">
        <v>116</v>
      </c>
      <c r="AV256">
        <v>55.01</v>
      </c>
      <c r="AW256">
        <v>1.05</v>
      </c>
      <c r="BA256">
        <v>0</v>
      </c>
      <c r="BB256">
        <v>0.18</v>
      </c>
      <c r="BC256">
        <v>-2.52</v>
      </c>
      <c r="BD256">
        <v>-0.62</v>
      </c>
      <c r="BE256">
        <v>-0.72</v>
      </c>
      <c r="BF256">
        <v>-0.9</v>
      </c>
      <c r="BG256">
        <v>1.85</v>
      </c>
      <c r="BH256">
        <v>-0.1</v>
      </c>
      <c r="BI256">
        <v>20191122</v>
      </c>
      <c r="BJ256">
        <v>19970411</v>
      </c>
      <c r="BK256">
        <v>10.24</v>
      </c>
      <c r="BL256" t="s">
        <v>116</v>
      </c>
      <c r="BM256" t="s">
        <v>116</v>
      </c>
      <c r="BN256">
        <v>125.23</v>
      </c>
      <c r="BO256">
        <v>52.48</v>
      </c>
      <c r="BP256">
        <v>2.4700000000000002</v>
      </c>
      <c r="BQ256">
        <v>56.12</v>
      </c>
      <c r="BR256">
        <v>76.94</v>
      </c>
      <c r="BS256">
        <v>3.59</v>
      </c>
      <c r="BT256">
        <v>1.1100000000000001</v>
      </c>
      <c r="BU256">
        <v>64.39</v>
      </c>
      <c r="BV256">
        <v>39.07</v>
      </c>
      <c r="BW256">
        <v>20.29</v>
      </c>
      <c r="BX256">
        <v>37.06</v>
      </c>
      <c r="BY256">
        <v>13.96</v>
      </c>
      <c r="BZ256">
        <v>9.77</v>
      </c>
      <c r="CA256">
        <v>0.74</v>
      </c>
      <c r="CB256">
        <v>0.16</v>
      </c>
      <c r="CC256">
        <v>0.72</v>
      </c>
      <c r="CD256">
        <v>0.49</v>
      </c>
      <c r="CE256">
        <v>0.33</v>
      </c>
      <c r="CF256">
        <v>0.06</v>
      </c>
      <c r="CG256">
        <v>4.88</v>
      </c>
      <c r="CH256">
        <v>-3.41</v>
      </c>
      <c r="CI256">
        <v>-1.17</v>
      </c>
      <c r="CJ256">
        <v>39099</v>
      </c>
      <c r="CK256">
        <v>9156</v>
      </c>
      <c r="CL256" t="s">
        <v>1863</v>
      </c>
      <c r="CM256">
        <v>-78.08</v>
      </c>
      <c r="CN256">
        <v>-16.46</v>
      </c>
      <c r="CO256">
        <v>1.07</v>
      </c>
      <c r="CP256">
        <v>-16.55</v>
      </c>
      <c r="CQ256">
        <v>4.04</v>
      </c>
      <c r="CR256">
        <v>0</v>
      </c>
      <c r="CS256" t="s">
        <v>379</v>
      </c>
      <c r="CT256">
        <v>5.13</v>
      </c>
      <c r="CU256">
        <v>0</v>
      </c>
      <c r="CV256">
        <v>3.62</v>
      </c>
      <c r="CW256">
        <v>0.48</v>
      </c>
      <c r="CX256">
        <v>-0.33</v>
      </c>
      <c r="CY256">
        <v>41.91</v>
      </c>
      <c r="CZ256" t="s">
        <v>1433</v>
      </c>
      <c r="DA256">
        <v>30.01</v>
      </c>
      <c r="DB256">
        <v>5.3</v>
      </c>
      <c r="DC256">
        <v>2.4</v>
      </c>
      <c r="DD256">
        <v>0.14000000000000001</v>
      </c>
      <c r="DE256">
        <v>1748</v>
      </c>
      <c r="DF256">
        <v>711</v>
      </c>
      <c r="DG256" t="s">
        <v>116</v>
      </c>
      <c r="DH256" t="s">
        <v>116</v>
      </c>
      <c r="DI256" t="s">
        <v>116</v>
      </c>
    </row>
    <row r="257" spans="1:113" x14ac:dyDescent="0.4">
      <c r="A257" t="str">
        <f>"000712"</f>
        <v>000712</v>
      </c>
      <c r="B257" t="s">
        <v>1864</v>
      </c>
      <c r="C257">
        <v>-4.21</v>
      </c>
      <c r="D257">
        <v>14.55</v>
      </c>
      <c r="E257">
        <v>-0.64</v>
      </c>
      <c r="F257">
        <v>14.54</v>
      </c>
      <c r="G257">
        <v>14.55</v>
      </c>
      <c r="H257">
        <v>334789</v>
      </c>
      <c r="I257">
        <v>2942</v>
      </c>
      <c r="J257">
        <v>-0.88</v>
      </c>
      <c r="K257">
        <v>4.21</v>
      </c>
      <c r="L257">
        <v>15.01</v>
      </c>
      <c r="M257">
        <v>15.26</v>
      </c>
      <c r="N257">
        <v>14.52</v>
      </c>
      <c r="O257">
        <v>15.19</v>
      </c>
      <c r="P257">
        <v>78.58</v>
      </c>
      <c r="Q257">
        <v>499120128</v>
      </c>
      <c r="R257">
        <v>1.19</v>
      </c>
      <c r="S257" t="s">
        <v>623</v>
      </c>
      <c r="T257" t="s">
        <v>551</v>
      </c>
      <c r="U257">
        <v>4.87</v>
      </c>
      <c r="V257">
        <v>14.91</v>
      </c>
      <c r="W257">
        <v>189977</v>
      </c>
      <c r="X257">
        <v>144812</v>
      </c>
      <c r="Y257">
        <v>1.31</v>
      </c>
      <c r="Z257">
        <v>49</v>
      </c>
      <c r="AA257">
        <v>379</v>
      </c>
      <c r="AB257" t="s">
        <v>116</v>
      </c>
      <c r="AC257">
        <v>2526200</v>
      </c>
      <c r="AD257">
        <v>0.04</v>
      </c>
      <c r="AE257" t="s">
        <v>116</v>
      </c>
      <c r="AF257" t="s">
        <v>116</v>
      </c>
      <c r="AG257">
        <v>7.96</v>
      </c>
      <c r="AH257" t="s">
        <v>1865</v>
      </c>
      <c r="AI257" t="s">
        <v>1866</v>
      </c>
      <c r="AJ257">
        <v>-3.53</v>
      </c>
      <c r="AK257">
        <v>4215</v>
      </c>
      <c r="AL257">
        <v>79</v>
      </c>
      <c r="AM257">
        <v>1E-3</v>
      </c>
      <c r="AN257">
        <v>-1</v>
      </c>
      <c r="AO257">
        <v>-0.34</v>
      </c>
      <c r="AP257">
        <v>9.56</v>
      </c>
      <c r="AQ257">
        <v>8.18</v>
      </c>
      <c r="AR257">
        <v>60.24</v>
      </c>
      <c r="AS257">
        <v>7.5</v>
      </c>
      <c r="AT257" t="s">
        <v>1867</v>
      </c>
      <c r="AU257">
        <v>599.37</v>
      </c>
      <c r="AV257" t="s">
        <v>116</v>
      </c>
      <c r="AW257">
        <v>1.55</v>
      </c>
      <c r="BA257">
        <v>-1.18</v>
      </c>
      <c r="BB257">
        <v>0.46</v>
      </c>
      <c r="BC257">
        <v>-4.41</v>
      </c>
      <c r="BD257">
        <v>-1.85</v>
      </c>
      <c r="BE257">
        <v>-3.06</v>
      </c>
      <c r="BF257">
        <v>-4.6500000000000004</v>
      </c>
      <c r="BG257">
        <v>0.21</v>
      </c>
      <c r="BH257">
        <v>-2.36</v>
      </c>
      <c r="BI257">
        <v>20191122</v>
      </c>
      <c r="BJ257">
        <v>19970415</v>
      </c>
      <c r="BK257">
        <v>8.9600000000000009</v>
      </c>
      <c r="BL257" t="s">
        <v>116</v>
      </c>
      <c r="BM257" t="s">
        <v>116</v>
      </c>
      <c r="BN257">
        <v>286.3</v>
      </c>
      <c r="BO257">
        <v>34</v>
      </c>
      <c r="BP257">
        <v>18.97</v>
      </c>
      <c r="BQ257">
        <v>81.5</v>
      </c>
      <c r="BR257">
        <v>0</v>
      </c>
      <c r="BS257">
        <v>1.0900000000000001</v>
      </c>
      <c r="BT257">
        <v>4.28</v>
      </c>
      <c r="BU257">
        <v>0</v>
      </c>
      <c r="BV257">
        <v>0</v>
      </c>
      <c r="BW257">
        <v>0</v>
      </c>
      <c r="BX257">
        <v>7.08</v>
      </c>
      <c r="BY257">
        <v>12.29</v>
      </c>
      <c r="BZ257">
        <v>0</v>
      </c>
      <c r="CA257">
        <v>2.64</v>
      </c>
      <c r="CB257">
        <v>8.15</v>
      </c>
      <c r="CC257">
        <v>2.65</v>
      </c>
      <c r="CD257">
        <v>1.98</v>
      </c>
      <c r="CE257">
        <v>1.24</v>
      </c>
      <c r="CF257">
        <v>0.47</v>
      </c>
      <c r="CG257">
        <v>15.73</v>
      </c>
      <c r="CH257">
        <v>14.62</v>
      </c>
      <c r="CI257">
        <v>14.52</v>
      </c>
      <c r="CJ257">
        <v>57747</v>
      </c>
      <c r="CK257">
        <v>7735</v>
      </c>
      <c r="CL257" t="s">
        <v>1868</v>
      </c>
      <c r="CM257">
        <v>258.52999999999997</v>
      </c>
      <c r="CN257">
        <v>33.840000000000003</v>
      </c>
      <c r="CO257">
        <v>3.83</v>
      </c>
      <c r="CP257">
        <v>8.92</v>
      </c>
      <c r="CQ257">
        <v>10.61</v>
      </c>
      <c r="CR257">
        <v>0</v>
      </c>
      <c r="CS257" t="s">
        <v>416</v>
      </c>
      <c r="CT257">
        <v>3.79</v>
      </c>
      <c r="CU257">
        <v>0</v>
      </c>
      <c r="CV257">
        <v>0.79</v>
      </c>
      <c r="CW257">
        <v>1.76</v>
      </c>
      <c r="CX257">
        <v>1.63</v>
      </c>
      <c r="CY257">
        <v>11.87</v>
      </c>
      <c r="CZ257" t="s">
        <v>1869</v>
      </c>
      <c r="DA257" t="s">
        <v>116</v>
      </c>
      <c r="DB257">
        <v>21.49</v>
      </c>
      <c r="DC257">
        <v>10.119999999999999</v>
      </c>
      <c r="DD257">
        <v>0</v>
      </c>
      <c r="DE257">
        <v>1444</v>
      </c>
      <c r="DF257">
        <v>712</v>
      </c>
      <c r="DG257" t="s">
        <v>116</v>
      </c>
      <c r="DH257" t="s">
        <v>116</v>
      </c>
      <c r="DI257" t="s">
        <v>116</v>
      </c>
    </row>
    <row r="258" spans="1:113" x14ac:dyDescent="0.4">
      <c r="A258" t="str">
        <f>"000713"</f>
        <v>000713</v>
      </c>
      <c r="B258" t="s">
        <v>1870</v>
      </c>
      <c r="C258">
        <v>0.74</v>
      </c>
      <c r="D258">
        <v>8.16</v>
      </c>
      <c r="E258">
        <v>0.06</v>
      </c>
      <c r="F258">
        <v>8.15</v>
      </c>
      <c r="G258">
        <v>8.16</v>
      </c>
      <c r="H258">
        <v>191754</v>
      </c>
      <c r="I258">
        <v>2088</v>
      </c>
      <c r="J258">
        <v>0.12</v>
      </c>
      <c r="K258">
        <v>4.9400000000000004</v>
      </c>
      <c r="L258">
        <v>8.1</v>
      </c>
      <c r="M258">
        <v>8.23</v>
      </c>
      <c r="N258">
        <v>8.06</v>
      </c>
      <c r="O258">
        <v>8.1</v>
      </c>
      <c r="P258">
        <v>446.04</v>
      </c>
      <c r="Q258">
        <v>156393472</v>
      </c>
      <c r="R258">
        <v>0.74</v>
      </c>
      <c r="S258" t="s">
        <v>1871</v>
      </c>
      <c r="T258" t="s">
        <v>575</v>
      </c>
      <c r="U258">
        <v>2.1</v>
      </c>
      <c r="V258">
        <v>8.16</v>
      </c>
      <c r="W258">
        <v>89580</v>
      </c>
      <c r="X258">
        <v>102174</v>
      </c>
      <c r="Y258">
        <v>0.88</v>
      </c>
      <c r="Z258">
        <v>817</v>
      </c>
      <c r="AA258">
        <v>18</v>
      </c>
      <c r="AB258" t="s">
        <v>116</v>
      </c>
      <c r="AC258">
        <v>280300</v>
      </c>
      <c r="AD258">
        <v>0.01</v>
      </c>
      <c r="AE258" t="s">
        <v>116</v>
      </c>
      <c r="AF258" t="s">
        <v>116</v>
      </c>
      <c r="AG258">
        <v>3.89</v>
      </c>
      <c r="AH258" t="s">
        <v>1872</v>
      </c>
      <c r="AI258" t="s">
        <v>1873</v>
      </c>
      <c r="AJ258">
        <v>1.42</v>
      </c>
      <c r="AK258">
        <v>2871</v>
      </c>
      <c r="AL258">
        <v>67</v>
      </c>
      <c r="AM258">
        <v>1.6999999999999999E-3</v>
      </c>
      <c r="AN258">
        <v>1</v>
      </c>
      <c r="AO258">
        <v>-0.86</v>
      </c>
      <c r="AP258">
        <v>1.87</v>
      </c>
      <c r="AQ258">
        <v>-5.56</v>
      </c>
      <c r="AR258">
        <v>132.63</v>
      </c>
      <c r="AS258">
        <v>7.37</v>
      </c>
      <c r="AT258" t="s">
        <v>1874</v>
      </c>
      <c r="AU258">
        <v>44.58</v>
      </c>
      <c r="AV258">
        <v>67.28</v>
      </c>
      <c r="AW258">
        <v>0.37</v>
      </c>
      <c r="BA258">
        <v>0</v>
      </c>
      <c r="BB258">
        <v>1.6</v>
      </c>
      <c r="BC258">
        <v>-0.49</v>
      </c>
      <c r="BD258">
        <v>0.69</v>
      </c>
      <c r="BE258">
        <v>0.74</v>
      </c>
      <c r="BF258">
        <v>-0.85</v>
      </c>
      <c r="BG258">
        <v>1.24</v>
      </c>
      <c r="BH258">
        <v>0.05</v>
      </c>
      <c r="BI258">
        <v>20191204</v>
      </c>
      <c r="BJ258">
        <v>19970422</v>
      </c>
      <c r="BK258">
        <v>4.3899999999999997</v>
      </c>
      <c r="BL258" t="s">
        <v>116</v>
      </c>
      <c r="BM258" t="s">
        <v>116</v>
      </c>
      <c r="BN258">
        <v>26.19</v>
      </c>
      <c r="BO258">
        <v>15.73</v>
      </c>
      <c r="BP258">
        <v>0.51</v>
      </c>
      <c r="BQ258">
        <v>38.020000000000003</v>
      </c>
      <c r="BR258">
        <v>16.13</v>
      </c>
      <c r="BS258">
        <v>4.7</v>
      </c>
      <c r="BT258">
        <v>2.14</v>
      </c>
      <c r="BU258">
        <v>9.4</v>
      </c>
      <c r="BV258">
        <v>7.34</v>
      </c>
      <c r="BW258">
        <v>3.06</v>
      </c>
      <c r="BX258">
        <v>5.64</v>
      </c>
      <c r="BY258">
        <v>16.440000000000001</v>
      </c>
      <c r="BZ258">
        <v>14.17</v>
      </c>
      <c r="CA258">
        <v>0.21</v>
      </c>
      <c r="CB258">
        <v>0.01</v>
      </c>
      <c r="CC258">
        <v>0.22</v>
      </c>
      <c r="CD258">
        <v>0.09</v>
      </c>
      <c r="CE258">
        <v>0.06</v>
      </c>
      <c r="CF258">
        <v>-0.01</v>
      </c>
      <c r="CG258">
        <v>4.7699999999999996</v>
      </c>
      <c r="CH258">
        <v>0.2</v>
      </c>
      <c r="CI258">
        <v>-0.32</v>
      </c>
      <c r="CJ258">
        <v>78677</v>
      </c>
      <c r="CK258">
        <v>3308</v>
      </c>
      <c r="CL258" t="s">
        <v>1416</v>
      </c>
      <c r="CM258">
        <v>128.55000000000001</v>
      </c>
      <c r="CN258">
        <v>48.08</v>
      </c>
      <c r="CO258">
        <v>2.2200000000000002</v>
      </c>
      <c r="CP258">
        <v>180.84</v>
      </c>
      <c r="CQ258">
        <v>2.1800000000000002</v>
      </c>
      <c r="CR258">
        <v>0.18</v>
      </c>
      <c r="CS258" t="s">
        <v>888</v>
      </c>
      <c r="CT258">
        <v>3.67</v>
      </c>
      <c r="CU258">
        <v>3.67</v>
      </c>
      <c r="CV258">
        <v>1.29</v>
      </c>
      <c r="CW258">
        <v>1.0900000000000001</v>
      </c>
      <c r="CX258">
        <v>0.05</v>
      </c>
      <c r="CY258">
        <v>60.05</v>
      </c>
      <c r="CZ258" t="s">
        <v>1875</v>
      </c>
      <c r="DA258">
        <v>13.77</v>
      </c>
      <c r="DB258">
        <v>1.25</v>
      </c>
      <c r="DC258">
        <v>0.37</v>
      </c>
      <c r="DD258">
        <v>0.17</v>
      </c>
      <c r="DE258">
        <v>1107</v>
      </c>
      <c r="DF258">
        <v>713</v>
      </c>
      <c r="DG258" t="s">
        <v>116</v>
      </c>
      <c r="DH258" t="s">
        <v>116</v>
      </c>
      <c r="DI258" t="s">
        <v>116</v>
      </c>
    </row>
    <row r="259" spans="1:113" x14ac:dyDescent="0.4">
      <c r="A259" t="str">
        <f>"000715"</f>
        <v>000715</v>
      </c>
      <c r="B259" t="s">
        <v>1876</v>
      </c>
      <c r="C259">
        <v>0.17</v>
      </c>
      <c r="D259">
        <v>6.02</v>
      </c>
      <c r="E259">
        <v>0.01</v>
      </c>
      <c r="F259">
        <v>6.02</v>
      </c>
      <c r="G259">
        <v>6.03</v>
      </c>
      <c r="H259">
        <v>12556</v>
      </c>
      <c r="I259">
        <v>167</v>
      </c>
      <c r="J259">
        <v>-0.16</v>
      </c>
      <c r="K259">
        <v>0.3</v>
      </c>
      <c r="L259">
        <v>6.05</v>
      </c>
      <c r="M259">
        <v>6.11</v>
      </c>
      <c r="N259">
        <v>6.01</v>
      </c>
      <c r="O259">
        <v>6.01</v>
      </c>
      <c r="P259">
        <v>15.91</v>
      </c>
      <c r="Q259">
        <v>7615408</v>
      </c>
      <c r="R259">
        <v>1.19</v>
      </c>
      <c r="S259" t="s">
        <v>746</v>
      </c>
      <c r="T259" t="s">
        <v>434</v>
      </c>
      <c r="U259">
        <v>1.66</v>
      </c>
      <c r="V259">
        <v>6.07</v>
      </c>
      <c r="W259">
        <v>7055</v>
      </c>
      <c r="X259">
        <v>5501</v>
      </c>
      <c r="Y259">
        <v>1.28</v>
      </c>
      <c r="Z259">
        <v>260</v>
      </c>
      <c r="AA259">
        <v>443</v>
      </c>
      <c r="AB259" t="s">
        <v>116</v>
      </c>
      <c r="AC259">
        <v>40500</v>
      </c>
      <c r="AD259">
        <v>0.01</v>
      </c>
      <c r="AE259" t="s">
        <v>116</v>
      </c>
      <c r="AF259" t="s">
        <v>116</v>
      </c>
      <c r="AG259">
        <v>4.1500000000000004</v>
      </c>
      <c r="AH259" t="s">
        <v>1877</v>
      </c>
      <c r="AI259" t="s">
        <v>1878</v>
      </c>
      <c r="AJ259">
        <v>0.85</v>
      </c>
      <c r="AK259">
        <v>584</v>
      </c>
      <c r="AL259">
        <v>21</v>
      </c>
      <c r="AM259">
        <v>5.0000000000000001E-4</v>
      </c>
      <c r="AN259">
        <v>2</v>
      </c>
      <c r="AO259">
        <v>0.17</v>
      </c>
      <c r="AP259">
        <v>6.55</v>
      </c>
      <c r="AQ259">
        <v>-15.92</v>
      </c>
      <c r="AR259">
        <v>56.54</v>
      </c>
      <c r="AS259">
        <v>1.04</v>
      </c>
      <c r="AT259" t="s">
        <v>1879</v>
      </c>
      <c r="AU259">
        <v>17.079999999999998</v>
      </c>
      <c r="AV259">
        <v>27.72</v>
      </c>
      <c r="AW259">
        <v>1.18</v>
      </c>
      <c r="BA259">
        <v>0.67</v>
      </c>
      <c r="BB259">
        <v>1.66</v>
      </c>
      <c r="BC259">
        <v>0</v>
      </c>
      <c r="BD259">
        <v>0.92</v>
      </c>
      <c r="BE259">
        <v>-0.5</v>
      </c>
      <c r="BF259">
        <v>-1.47</v>
      </c>
      <c r="BG259">
        <v>0.17</v>
      </c>
      <c r="BH259">
        <v>-0.75</v>
      </c>
      <c r="BI259">
        <v>20191024</v>
      </c>
      <c r="BJ259">
        <v>19970508</v>
      </c>
      <c r="BK259">
        <v>4.16</v>
      </c>
      <c r="BL259" t="s">
        <v>116</v>
      </c>
      <c r="BM259" t="s">
        <v>116</v>
      </c>
      <c r="BN259">
        <v>22.87</v>
      </c>
      <c r="BO259">
        <v>14.43</v>
      </c>
      <c r="BP259">
        <v>0</v>
      </c>
      <c r="BQ259">
        <v>36.909999999999997</v>
      </c>
      <c r="BR259">
        <v>11.62</v>
      </c>
      <c r="BS259">
        <v>7.12</v>
      </c>
      <c r="BT259">
        <v>2.09</v>
      </c>
      <c r="BU259">
        <v>6.48</v>
      </c>
      <c r="BV259">
        <v>0.56999999999999995</v>
      </c>
      <c r="BW259">
        <v>0.01</v>
      </c>
      <c r="BX259">
        <v>1.8</v>
      </c>
      <c r="BY259">
        <v>20.23</v>
      </c>
      <c r="BZ259">
        <v>16.260000000000002</v>
      </c>
      <c r="CA259">
        <v>1.57</v>
      </c>
      <c r="CB259">
        <v>0.03</v>
      </c>
      <c r="CC259">
        <v>1.56</v>
      </c>
      <c r="CD259">
        <v>1.18</v>
      </c>
      <c r="CE259">
        <v>1.18</v>
      </c>
      <c r="CF259">
        <v>0.85</v>
      </c>
      <c r="CG259">
        <v>6.95</v>
      </c>
      <c r="CH259">
        <v>1.82</v>
      </c>
      <c r="CI259">
        <v>1.19</v>
      </c>
      <c r="CJ259">
        <v>11624</v>
      </c>
      <c r="CK259">
        <v>10387</v>
      </c>
      <c r="CL259" t="s">
        <v>1880</v>
      </c>
      <c r="CM259">
        <v>90.97</v>
      </c>
      <c r="CN259">
        <v>6.16</v>
      </c>
      <c r="CO259">
        <v>1.73</v>
      </c>
      <c r="CP259">
        <v>13.77</v>
      </c>
      <c r="CQ259">
        <v>1.24</v>
      </c>
      <c r="CR259">
        <v>0.89</v>
      </c>
      <c r="CS259" t="s">
        <v>1881</v>
      </c>
      <c r="CT259">
        <v>3.47</v>
      </c>
      <c r="CU259">
        <v>0</v>
      </c>
      <c r="CV259">
        <v>0.43</v>
      </c>
      <c r="CW259">
        <v>1.67</v>
      </c>
      <c r="CX259">
        <v>0.44</v>
      </c>
      <c r="CY259">
        <v>63.09</v>
      </c>
      <c r="CZ259" t="s">
        <v>1164</v>
      </c>
      <c r="DA259">
        <v>19.59</v>
      </c>
      <c r="DB259">
        <v>7.74</v>
      </c>
      <c r="DC259">
        <v>5.83</v>
      </c>
      <c r="DD259">
        <v>0</v>
      </c>
      <c r="DE259">
        <v>1670</v>
      </c>
      <c r="DF259">
        <v>715</v>
      </c>
      <c r="DG259" t="s">
        <v>116</v>
      </c>
      <c r="DH259" t="s">
        <v>116</v>
      </c>
      <c r="DI259" t="s">
        <v>116</v>
      </c>
    </row>
    <row r="260" spans="1:113" x14ac:dyDescent="0.4">
      <c r="A260" t="str">
        <f>"000716"</f>
        <v>000716</v>
      </c>
      <c r="B260" t="s">
        <v>1882</v>
      </c>
      <c r="C260">
        <v>9.9</v>
      </c>
      <c r="D260">
        <v>3.44</v>
      </c>
      <c r="E260">
        <v>0.31</v>
      </c>
      <c r="F260">
        <v>3.44</v>
      </c>
      <c r="G260" t="s">
        <v>116</v>
      </c>
      <c r="H260">
        <v>189976</v>
      </c>
      <c r="I260">
        <v>906</v>
      </c>
      <c r="J260">
        <v>0</v>
      </c>
      <c r="K260">
        <v>2.86</v>
      </c>
      <c r="L260">
        <v>3.44</v>
      </c>
      <c r="M260">
        <v>3.44</v>
      </c>
      <c r="N260">
        <v>3.44</v>
      </c>
      <c r="O260">
        <v>3.13</v>
      </c>
      <c r="P260">
        <v>65.92</v>
      </c>
      <c r="Q260">
        <v>65351584</v>
      </c>
      <c r="R260">
        <v>2.02</v>
      </c>
      <c r="S260" t="s">
        <v>863</v>
      </c>
      <c r="T260" t="s">
        <v>982</v>
      </c>
      <c r="U260">
        <v>0</v>
      </c>
      <c r="V260">
        <v>3.44</v>
      </c>
      <c r="W260">
        <v>164566</v>
      </c>
      <c r="X260">
        <v>25410</v>
      </c>
      <c r="Y260">
        <v>6.48</v>
      </c>
      <c r="Z260">
        <v>89918</v>
      </c>
      <c r="AA260">
        <v>0</v>
      </c>
      <c r="AB260" t="s">
        <v>116</v>
      </c>
      <c r="AC260">
        <v>17170800</v>
      </c>
      <c r="AD260">
        <v>1.1399999999999999</v>
      </c>
      <c r="AE260">
        <v>0.47</v>
      </c>
      <c r="AF260">
        <v>30931792</v>
      </c>
      <c r="AG260">
        <v>6.65</v>
      </c>
      <c r="AH260" t="s">
        <v>1883</v>
      </c>
      <c r="AI260" t="s">
        <v>1884</v>
      </c>
      <c r="AJ260">
        <v>10.58</v>
      </c>
      <c r="AK260">
        <v>1369</v>
      </c>
      <c r="AL260">
        <v>139</v>
      </c>
      <c r="AM260">
        <v>2.0999999999999999E-3</v>
      </c>
      <c r="AN260">
        <v>2</v>
      </c>
      <c r="AO260">
        <v>11.69</v>
      </c>
      <c r="AP260">
        <v>16.22</v>
      </c>
      <c r="AQ260">
        <v>6.17</v>
      </c>
      <c r="AR260">
        <v>23.3</v>
      </c>
      <c r="AS260">
        <v>4.32</v>
      </c>
      <c r="AT260" t="s">
        <v>1885</v>
      </c>
      <c r="AU260">
        <v>64.430000000000007</v>
      </c>
      <c r="AV260">
        <v>42.86</v>
      </c>
      <c r="AW260">
        <v>1.1000000000000001</v>
      </c>
      <c r="BA260">
        <v>9.9</v>
      </c>
      <c r="BB260">
        <v>9.9</v>
      </c>
      <c r="BC260">
        <v>9.9</v>
      </c>
      <c r="BD260">
        <v>9.9</v>
      </c>
      <c r="BE260">
        <v>0</v>
      </c>
      <c r="BF260">
        <v>0</v>
      </c>
      <c r="BG260">
        <v>0</v>
      </c>
      <c r="BH260">
        <v>0</v>
      </c>
      <c r="BI260">
        <v>20191223</v>
      </c>
      <c r="BJ260">
        <v>19970418</v>
      </c>
      <c r="BK260">
        <v>7.46</v>
      </c>
      <c r="BL260" t="s">
        <v>116</v>
      </c>
      <c r="BM260" t="s">
        <v>116</v>
      </c>
      <c r="BN260">
        <v>52.22</v>
      </c>
      <c r="BO260">
        <v>27.5</v>
      </c>
      <c r="BP260">
        <v>1</v>
      </c>
      <c r="BQ260">
        <v>45.42</v>
      </c>
      <c r="BR260">
        <v>21.65</v>
      </c>
      <c r="BS260">
        <v>11.91</v>
      </c>
      <c r="BT260">
        <v>5.65</v>
      </c>
      <c r="BU260">
        <v>17.239999999999998</v>
      </c>
      <c r="BV260">
        <v>4.92</v>
      </c>
      <c r="BW260">
        <v>7.06</v>
      </c>
      <c r="BX260">
        <v>15.91</v>
      </c>
      <c r="BY260">
        <v>29.96</v>
      </c>
      <c r="BZ260">
        <v>24.24</v>
      </c>
      <c r="CA260">
        <v>0.42</v>
      </c>
      <c r="CB260">
        <v>0.01</v>
      </c>
      <c r="CC260">
        <v>0.44</v>
      </c>
      <c r="CD260">
        <v>0.24</v>
      </c>
      <c r="CE260">
        <v>0.28999999999999998</v>
      </c>
      <c r="CF260">
        <v>0.17</v>
      </c>
      <c r="CG260">
        <v>3.83</v>
      </c>
      <c r="CH260">
        <v>1.72</v>
      </c>
      <c r="CI260">
        <v>-2.62</v>
      </c>
      <c r="CJ260">
        <v>51560</v>
      </c>
      <c r="CK260">
        <v>8520</v>
      </c>
      <c r="CL260" t="s">
        <v>1886</v>
      </c>
      <c r="CM260">
        <v>-40.72</v>
      </c>
      <c r="CN260">
        <v>31.26</v>
      </c>
      <c r="CO260">
        <v>0.93</v>
      </c>
      <c r="CP260">
        <v>14.93</v>
      </c>
      <c r="CQ260">
        <v>0.86</v>
      </c>
      <c r="CR260">
        <v>0</v>
      </c>
      <c r="CS260" t="s">
        <v>1887</v>
      </c>
      <c r="CT260">
        <v>3.68</v>
      </c>
      <c r="CU260">
        <v>0</v>
      </c>
      <c r="CV260">
        <v>2.13</v>
      </c>
      <c r="CW260">
        <v>0.51</v>
      </c>
      <c r="CX260">
        <v>0.23</v>
      </c>
      <c r="CY260">
        <v>52.66</v>
      </c>
      <c r="CZ260" t="s">
        <v>1888</v>
      </c>
      <c r="DA260">
        <v>19.11</v>
      </c>
      <c r="DB260">
        <v>1.42</v>
      </c>
      <c r="DC260">
        <v>0.97</v>
      </c>
      <c r="DD260">
        <v>0.03</v>
      </c>
      <c r="DE260">
        <v>2630</v>
      </c>
      <c r="DF260">
        <v>716</v>
      </c>
      <c r="DG260" t="s">
        <v>116</v>
      </c>
      <c r="DH260" t="s">
        <v>116</v>
      </c>
      <c r="DI260" t="s">
        <v>116</v>
      </c>
    </row>
    <row r="261" spans="1:113" x14ac:dyDescent="0.4">
      <c r="A261" t="str">
        <f>"000717"</f>
        <v>000717</v>
      </c>
      <c r="B261" t="s">
        <v>1889</v>
      </c>
      <c r="C261">
        <v>1.0900000000000001</v>
      </c>
      <c r="D261">
        <v>4.6399999999999997</v>
      </c>
      <c r="E261">
        <v>0.05</v>
      </c>
      <c r="F261">
        <v>4.6399999999999997</v>
      </c>
      <c r="G261">
        <v>4.6500000000000004</v>
      </c>
      <c r="H261">
        <v>594696</v>
      </c>
      <c r="I261">
        <v>6150</v>
      </c>
      <c r="J261">
        <v>0.22</v>
      </c>
      <c r="K261">
        <v>2.46</v>
      </c>
      <c r="L261">
        <v>4.57</v>
      </c>
      <c r="M261">
        <v>4.75</v>
      </c>
      <c r="N261">
        <v>4.54</v>
      </c>
      <c r="O261">
        <v>4.59</v>
      </c>
      <c r="P261">
        <v>6.53</v>
      </c>
      <c r="Q261">
        <v>275736704</v>
      </c>
      <c r="R261">
        <v>1.23</v>
      </c>
      <c r="S261" t="s">
        <v>1587</v>
      </c>
      <c r="T261" t="s">
        <v>551</v>
      </c>
      <c r="U261">
        <v>4.58</v>
      </c>
      <c r="V261">
        <v>4.6399999999999997</v>
      </c>
      <c r="W261">
        <v>290237</v>
      </c>
      <c r="X261">
        <v>304459</v>
      </c>
      <c r="Y261">
        <v>0.95</v>
      </c>
      <c r="Z261">
        <v>2666</v>
      </c>
      <c r="AA261">
        <v>6440</v>
      </c>
      <c r="AB261" t="s">
        <v>116</v>
      </c>
      <c r="AC261">
        <v>1473900</v>
      </c>
      <c r="AD261">
        <v>0.03</v>
      </c>
      <c r="AE261" t="s">
        <v>116</v>
      </c>
      <c r="AF261" t="s">
        <v>116</v>
      </c>
      <c r="AG261">
        <v>24.2</v>
      </c>
      <c r="AH261" t="s">
        <v>1890</v>
      </c>
      <c r="AI261" t="s">
        <v>1890</v>
      </c>
      <c r="AJ261">
        <v>1.77</v>
      </c>
      <c r="AK261">
        <v>3038</v>
      </c>
      <c r="AL261">
        <v>196</v>
      </c>
      <c r="AM261">
        <v>8.0000000000000004E-4</v>
      </c>
      <c r="AN261">
        <v>2</v>
      </c>
      <c r="AO261">
        <v>2.65</v>
      </c>
      <c r="AP261">
        <v>3.34</v>
      </c>
      <c r="AQ261">
        <v>23.4</v>
      </c>
      <c r="AR261">
        <v>1.98</v>
      </c>
      <c r="AS261">
        <v>5.23</v>
      </c>
      <c r="AT261" t="s">
        <v>1891</v>
      </c>
      <c r="AU261">
        <v>6.11</v>
      </c>
      <c r="AV261">
        <v>3.4</v>
      </c>
      <c r="AW261">
        <v>0.47</v>
      </c>
      <c r="BA261">
        <v>-0.44</v>
      </c>
      <c r="BB261">
        <v>3.49</v>
      </c>
      <c r="BC261">
        <v>-1.0900000000000001</v>
      </c>
      <c r="BD261">
        <v>1.02</v>
      </c>
      <c r="BE261">
        <v>1.53</v>
      </c>
      <c r="BF261">
        <v>-2.3199999999999998</v>
      </c>
      <c r="BG261">
        <v>2.2000000000000002</v>
      </c>
      <c r="BH261">
        <v>7.0000000000000007E-2</v>
      </c>
      <c r="BI261">
        <v>20191031</v>
      </c>
      <c r="BJ261">
        <v>19970508</v>
      </c>
      <c r="BK261">
        <v>24.2</v>
      </c>
      <c r="BL261" t="s">
        <v>116</v>
      </c>
      <c r="BM261" t="s">
        <v>116</v>
      </c>
      <c r="BN261">
        <v>167.47</v>
      </c>
      <c r="BO261">
        <v>74.67</v>
      </c>
      <c r="BP261">
        <v>0</v>
      </c>
      <c r="BQ261">
        <v>55.41</v>
      </c>
      <c r="BR261">
        <v>54.05</v>
      </c>
      <c r="BS261">
        <v>98.75</v>
      </c>
      <c r="BT261">
        <v>1.98</v>
      </c>
      <c r="BU261">
        <v>88.64</v>
      </c>
      <c r="BV261">
        <v>20.91</v>
      </c>
      <c r="BW261">
        <v>0.19</v>
      </c>
      <c r="BX261">
        <v>32.090000000000003</v>
      </c>
      <c r="BY261">
        <v>216.51</v>
      </c>
      <c r="BZ261">
        <v>195.68</v>
      </c>
      <c r="CA261">
        <v>14.72</v>
      </c>
      <c r="CB261">
        <v>1.18</v>
      </c>
      <c r="CC261">
        <v>14.72</v>
      </c>
      <c r="CD261">
        <v>12.89</v>
      </c>
      <c r="CE261">
        <v>12.89</v>
      </c>
      <c r="CF261">
        <v>11.91</v>
      </c>
      <c r="CG261">
        <v>12.31</v>
      </c>
      <c r="CH261">
        <v>18.45</v>
      </c>
      <c r="CI261">
        <v>1.26</v>
      </c>
      <c r="CJ261">
        <v>119015</v>
      </c>
      <c r="CK261">
        <v>9545</v>
      </c>
      <c r="CL261" t="s">
        <v>305</v>
      </c>
      <c r="CM261">
        <v>-53.23</v>
      </c>
      <c r="CN261">
        <v>11.77</v>
      </c>
      <c r="CO261">
        <v>1.5</v>
      </c>
      <c r="CP261">
        <v>6.09</v>
      </c>
      <c r="CQ261">
        <v>0.52</v>
      </c>
      <c r="CR261">
        <v>0</v>
      </c>
      <c r="CS261" t="s">
        <v>1892</v>
      </c>
      <c r="CT261">
        <v>3.09</v>
      </c>
      <c r="CU261">
        <v>0</v>
      </c>
      <c r="CV261">
        <v>1.33</v>
      </c>
      <c r="CW261">
        <v>0.51</v>
      </c>
      <c r="CX261">
        <v>0.76</v>
      </c>
      <c r="CY261">
        <v>44.59</v>
      </c>
      <c r="CZ261" t="s">
        <v>1893</v>
      </c>
      <c r="DA261">
        <v>9.6199999999999992</v>
      </c>
      <c r="DB261">
        <v>6.8</v>
      </c>
      <c r="DC261">
        <v>5.96</v>
      </c>
      <c r="DD261">
        <v>3.16</v>
      </c>
      <c r="DE261">
        <v>6691</v>
      </c>
      <c r="DF261">
        <v>717</v>
      </c>
      <c r="DG261" t="s">
        <v>116</v>
      </c>
      <c r="DH261" t="s">
        <v>116</v>
      </c>
      <c r="DI261" t="s">
        <v>116</v>
      </c>
    </row>
    <row r="262" spans="1:113" x14ac:dyDescent="0.4">
      <c r="A262" t="str">
        <f>"000718"</f>
        <v>000718</v>
      </c>
      <c r="B262" t="s">
        <v>1894</v>
      </c>
      <c r="C262">
        <v>0.54</v>
      </c>
      <c r="D262">
        <v>3.73</v>
      </c>
      <c r="E262">
        <v>0.02</v>
      </c>
      <c r="F262">
        <v>3.72</v>
      </c>
      <c r="G262">
        <v>3.73</v>
      </c>
      <c r="H262">
        <v>72922</v>
      </c>
      <c r="I262">
        <v>807</v>
      </c>
      <c r="J262">
        <v>0</v>
      </c>
      <c r="K262">
        <v>0.32</v>
      </c>
      <c r="L262">
        <v>3.72</v>
      </c>
      <c r="M262">
        <v>3.77</v>
      </c>
      <c r="N262">
        <v>3.71</v>
      </c>
      <c r="O262">
        <v>3.71</v>
      </c>
      <c r="P262">
        <v>10.53</v>
      </c>
      <c r="Q262">
        <v>27298966</v>
      </c>
      <c r="R262">
        <v>1.1599999999999999</v>
      </c>
      <c r="S262" t="s">
        <v>148</v>
      </c>
      <c r="T262" t="s">
        <v>294</v>
      </c>
      <c r="U262">
        <v>1.62</v>
      </c>
      <c r="V262">
        <v>3.74</v>
      </c>
      <c r="W262">
        <v>36504</v>
      </c>
      <c r="X262">
        <v>36418</v>
      </c>
      <c r="Y262">
        <v>1</v>
      </c>
      <c r="Z262">
        <v>3506</v>
      </c>
      <c r="AA262">
        <v>375</v>
      </c>
      <c r="AB262" t="s">
        <v>116</v>
      </c>
      <c r="AC262">
        <v>26400</v>
      </c>
      <c r="AD262">
        <v>0</v>
      </c>
      <c r="AE262" t="s">
        <v>116</v>
      </c>
      <c r="AF262" t="s">
        <v>116</v>
      </c>
      <c r="AG262">
        <v>22.89</v>
      </c>
      <c r="AH262" t="s">
        <v>1895</v>
      </c>
      <c r="AI262" t="s">
        <v>1896</v>
      </c>
      <c r="AJ262">
        <v>1.22</v>
      </c>
      <c r="AK262">
        <v>1707</v>
      </c>
      <c r="AL262">
        <v>43</v>
      </c>
      <c r="AM262">
        <v>2.0000000000000001E-4</v>
      </c>
      <c r="AN262">
        <v>2</v>
      </c>
      <c r="AO262">
        <v>0.54</v>
      </c>
      <c r="AP262">
        <v>2.4700000000000002</v>
      </c>
      <c r="AQ262">
        <v>0.54</v>
      </c>
      <c r="AR262">
        <v>29.51</v>
      </c>
      <c r="AS262">
        <v>0.55000000000000004</v>
      </c>
      <c r="AT262" t="s">
        <v>1897</v>
      </c>
      <c r="AU262">
        <v>9.07</v>
      </c>
      <c r="AV262">
        <v>11.09</v>
      </c>
      <c r="AW262">
        <v>0.59</v>
      </c>
      <c r="BA262">
        <v>0.27</v>
      </c>
      <c r="BB262">
        <v>1.62</v>
      </c>
      <c r="BC262">
        <v>0</v>
      </c>
      <c r="BD262">
        <v>0.9</v>
      </c>
      <c r="BE262">
        <v>0.27</v>
      </c>
      <c r="BF262">
        <v>-1.06</v>
      </c>
      <c r="BG262">
        <v>0.54</v>
      </c>
      <c r="BH262">
        <v>-0.37</v>
      </c>
      <c r="BI262">
        <v>20191202</v>
      </c>
      <c r="BJ262">
        <v>19970408</v>
      </c>
      <c r="BK262">
        <v>30.35</v>
      </c>
      <c r="BL262" t="s">
        <v>116</v>
      </c>
      <c r="BM262" t="s">
        <v>116</v>
      </c>
      <c r="BN262">
        <v>184.93</v>
      </c>
      <c r="BO262">
        <v>77.91</v>
      </c>
      <c r="BP262">
        <v>3.16</v>
      </c>
      <c r="BQ262">
        <v>56.17</v>
      </c>
      <c r="BR262">
        <v>158.24</v>
      </c>
      <c r="BS262">
        <v>5.95</v>
      </c>
      <c r="BT262">
        <v>2.82</v>
      </c>
      <c r="BU262">
        <v>82.26</v>
      </c>
      <c r="BV262">
        <v>115.77</v>
      </c>
      <c r="BW262">
        <v>1.26</v>
      </c>
      <c r="BX262">
        <v>10.63</v>
      </c>
      <c r="BY262">
        <v>25.31</v>
      </c>
      <c r="BZ262">
        <v>9.2100000000000009</v>
      </c>
      <c r="CA262">
        <v>11.18</v>
      </c>
      <c r="CB262">
        <v>-0.03</v>
      </c>
      <c r="CC262">
        <v>11.2</v>
      </c>
      <c r="CD262">
        <v>7.99</v>
      </c>
      <c r="CE262">
        <v>8.06</v>
      </c>
      <c r="CF262">
        <v>7.89</v>
      </c>
      <c r="CG262">
        <v>41.61</v>
      </c>
      <c r="CH262">
        <v>-2.7</v>
      </c>
      <c r="CI262">
        <v>-5.86</v>
      </c>
      <c r="CJ262">
        <v>68557</v>
      </c>
      <c r="CK262">
        <v>19444</v>
      </c>
      <c r="CL262" t="s">
        <v>1898</v>
      </c>
      <c r="CM262">
        <v>39.31</v>
      </c>
      <c r="CN262">
        <v>22.82</v>
      </c>
      <c r="CO262">
        <v>1.45</v>
      </c>
      <c r="CP262">
        <v>-41.9</v>
      </c>
      <c r="CQ262">
        <v>4.47</v>
      </c>
      <c r="CR262">
        <v>7.6</v>
      </c>
      <c r="CS262" t="s">
        <v>1899</v>
      </c>
      <c r="CT262">
        <v>2.57</v>
      </c>
      <c r="CU262">
        <v>0</v>
      </c>
      <c r="CV262">
        <v>0.35</v>
      </c>
      <c r="CW262">
        <v>1.37</v>
      </c>
      <c r="CX262">
        <v>-0.09</v>
      </c>
      <c r="CY262">
        <v>42.13</v>
      </c>
      <c r="CZ262" t="s">
        <v>1900</v>
      </c>
      <c r="DA262">
        <v>63.62</v>
      </c>
      <c r="DB262">
        <v>44.18</v>
      </c>
      <c r="DC262">
        <v>31.85</v>
      </c>
      <c r="DD262">
        <v>0</v>
      </c>
      <c r="DE262">
        <v>787</v>
      </c>
      <c r="DF262">
        <v>718</v>
      </c>
      <c r="DG262" t="s">
        <v>116</v>
      </c>
      <c r="DH262" t="s">
        <v>116</v>
      </c>
      <c r="DI262" t="s">
        <v>116</v>
      </c>
    </row>
    <row r="263" spans="1:113" x14ac:dyDescent="0.4">
      <c r="A263" t="str">
        <f>"000719"</f>
        <v>000719</v>
      </c>
      <c r="B263" t="s">
        <v>1901</v>
      </c>
      <c r="C263">
        <v>0.14000000000000001</v>
      </c>
      <c r="D263">
        <v>7.07</v>
      </c>
      <c r="E263">
        <v>0.01</v>
      </c>
      <c r="F263">
        <v>7.07</v>
      </c>
      <c r="G263">
        <v>7.08</v>
      </c>
      <c r="H263">
        <v>38933</v>
      </c>
      <c r="I263">
        <v>276</v>
      </c>
      <c r="J263">
        <v>0</v>
      </c>
      <c r="K263">
        <v>0.57999999999999996</v>
      </c>
      <c r="L263">
        <v>7.07</v>
      </c>
      <c r="M263">
        <v>7.16</v>
      </c>
      <c r="N263">
        <v>7.05</v>
      </c>
      <c r="O263">
        <v>7.06</v>
      </c>
      <c r="P263">
        <v>10.220000000000001</v>
      </c>
      <c r="Q263">
        <v>27699110</v>
      </c>
      <c r="R263">
        <v>1.45</v>
      </c>
      <c r="S263" t="s">
        <v>1902</v>
      </c>
      <c r="T263" t="s">
        <v>652</v>
      </c>
      <c r="U263">
        <v>1.56</v>
      </c>
      <c r="V263">
        <v>7.11</v>
      </c>
      <c r="W263">
        <v>20398</v>
      </c>
      <c r="X263">
        <v>18535</v>
      </c>
      <c r="Y263">
        <v>1.1000000000000001</v>
      </c>
      <c r="Z263">
        <v>239</v>
      </c>
      <c r="AA263">
        <v>603</v>
      </c>
      <c r="AB263" t="s">
        <v>116</v>
      </c>
      <c r="AC263">
        <v>24000</v>
      </c>
      <c r="AD263">
        <v>0</v>
      </c>
      <c r="AE263" t="s">
        <v>116</v>
      </c>
      <c r="AF263" t="s">
        <v>116</v>
      </c>
      <c r="AG263">
        <v>6.67</v>
      </c>
      <c r="AH263" t="s">
        <v>1903</v>
      </c>
      <c r="AI263" t="s">
        <v>1904</v>
      </c>
      <c r="AJ263">
        <v>0.82</v>
      </c>
      <c r="AK263">
        <v>954</v>
      </c>
      <c r="AL263">
        <v>41</v>
      </c>
      <c r="AM263">
        <v>5.9999999999999995E-4</v>
      </c>
      <c r="AN263">
        <v>2</v>
      </c>
      <c r="AO263">
        <v>0.56999999999999995</v>
      </c>
      <c r="AP263">
        <v>3.51</v>
      </c>
      <c r="AQ263">
        <v>-1.1200000000000001</v>
      </c>
      <c r="AR263">
        <v>-7.22</v>
      </c>
      <c r="AS263">
        <v>1.66</v>
      </c>
      <c r="AT263" t="s">
        <v>1783</v>
      </c>
      <c r="AU263">
        <v>9.39</v>
      </c>
      <c r="AV263">
        <v>9.85</v>
      </c>
      <c r="AW263">
        <v>0.6</v>
      </c>
      <c r="BA263">
        <v>0.14000000000000001</v>
      </c>
      <c r="BB263">
        <v>1.42</v>
      </c>
      <c r="BC263">
        <v>-0.14000000000000001</v>
      </c>
      <c r="BD263">
        <v>0.77</v>
      </c>
      <c r="BE263">
        <v>0</v>
      </c>
      <c r="BF263">
        <v>-1.26</v>
      </c>
      <c r="BG263">
        <v>0.28000000000000003</v>
      </c>
      <c r="BH263">
        <v>-0.63</v>
      </c>
      <c r="BI263">
        <v>20191202</v>
      </c>
      <c r="BJ263">
        <v>19970331</v>
      </c>
      <c r="BK263">
        <v>10.23</v>
      </c>
      <c r="BL263" t="s">
        <v>116</v>
      </c>
      <c r="BM263" t="s">
        <v>116</v>
      </c>
      <c r="BN263">
        <v>119.75</v>
      </c>
      <c r="BO263">
        <v>79.8</v>
      </c>
      <c r="BP263">
        <v>0.48</v>
      </c>
      <c r="BQ263">
        <v>32.950000000000003</v>
      </c>
      <c r="BR263">
        <v>75.81</v>
      </c>
      <c r="BS263">
        <v>14.49</v>
      </c>
      <c r="BT263">
        <v>10.38</v>
      </c>
      <c r="BU263">
        <v>34.19</v>
      </c>
      <c r="BV263">
        <v>14.74</v>
      </c>
      <c r="BW263">
        <v>13.4</v>
      </c>
      <c r="BX263">
        <v>27.4</v>
      </c>
      <c r="BY263">
        <v>61.31</v>
      </c>
      <c r="BZ263">
        <v>42.9</v>
      </c>
      <c r="CA263">
        <v>5.36</v>
      </c>
      <c r="CB263">
        <v>0.45</v>
      </c>
      <c r="CC263">
        <v>5.41</v>
      </c>
      <c r="CD263">
        <v>5.28</v>
      </c>
      <c r="CE263">
        <v>5.31</v>
      </c>
      <c r="CF263">
        <v>5.03</v>
      </c>
      <c r="CG263">
        <v>40.03</v>
      </c>
      <c r="CH263">
        <v>-1.43</v>
      </c>
      <c r="CI263">
        <v>-17.5</v>
      </c>
      <c r="CJ263">
        <v>17073</v>
      </c>
      <c r="CK263">
        <v>13704</v>
      </c>
      <c r="CL263" t="s">
        <v>1905</v>
      </c>
      <c r="CM263">
        <v>7.37</v>
      </c>
      <c r="CN263">
        <v>1.83</v>
      </c>
      <c r="CO263">
        <v>0.91</v>
      </c>
      <c r="CP263">
        <v>-50.65</v>
      </c>
      <c r="CQ263">
        <v>1.18</v>
      </c>
      <c r="CR263">
        <v>3.54</v>
      </c>
      <c r="CS263" t="s">
        <v>1906</v>
      </c>
      <c r="CT263">
        <v>7.8</v>
      </c>
      <c r="CU263">
        <v>0</v>
      </c>
      <c r="CV263">
        <v>2.68</v>
      </c>
      <c r="CW263">
        <v>3.91</v>
      </c>
      <c r="CX263">
        <v>-0.14000000000000001</v>
      </c>
      <c r="CY263">
        <v>66.64</v>
      </c>
      <c r="CZ263" t="s">
        <v>1907</v>
      </c>
      <c r="DA263">
        <v>30.03</v>
      </c>
      <c r="DB263">
        <v>8.75</v>
      </c>
      <c r="DC263">
        <v>8.66</v>
      </c>
      <c r="DD263">
        <v>0.05</v>
      </c>
      <c r="DE263">
        <v>14747</v>
      </c>
      <c r="DF263">
        <v>719</v>
      </c>
      <c r="DG263" t="s">
        <v>116</v>
      </c>
      <c r="DH263" t="s">
        <v>116</v>
      </c>
      <c r="DI263" t="s">
        <v>116</v>
      </c>
    </row>
    <row r="264" spans="1:113" x14ac:dyDescent="0.4">
      <c r="A264" t="str">
        <f>"000720"</f>
        <v>000720</v>
      </c>
      <c r="B264" t="s">
        <v>1908</v>
      </c>
      <c r="C264">
        <v>-0.9</v>
      </c>
      <c r="D264">
        <v>5.53</v>
      </c>
      <c r="E264">
        <v>-0.05</v>
      </c>
      <c r="F264">
        <v>5.52</v>
      </c>
      <c r="G264">
        <v>5.53</v>
      </c>
      <c r="H264">
        <v>69147</v>
      </c>
      <c r="I264">
        <v>771</v>
      </c>
      <c r="J264">
        <v>-0.17</v>
      </c>
      <c r="K264">
        <v>0.8</v>
      </c>
      <c r="L264">
        <v>5.59</v>
      </c>
      <c r="M264">
        <v>5.63</v>
      </c>
      <c r="N264">
        <v>5.51</v>
      </c>
      <c r="O264">
        <v>5.58</v>
      </c>
      <c r="P264">
        <v>14.45</v>
      </c>
      <c r="Q264">
        <v>38552600</v>
      </c>
      <c r="R264">
        <v>0.8</v>
      </c>
      <c r="S264" t="s">
        <v>148</v>
      </c>
      <c r="T264" t="s">
        <v>645</v>
      </c>
      <c r="U264">
        <v>2.15</v>
      </c>
      <c r="V264">
        <v>5.58</v>
      </c>
      <c r="W264">
        <v>44081</v>
      </c>
      <c r="X264">
        <v>25066</v>
      </c>
      <c r="Y264">
        <v>1.76</v>
      </c>
      <c r="Z264">
        <v>280</v>
      </c>
      <c r="AA264">
        <v>1177</v>
      </c>
      <c r="AB264" t="s">
        <v>116</v>
      </c>
      <c r="AC264">
        <v>277800</v>
      </c>
      <c r="AD264">
        <v>0.01</v>
      </c>
      <c r="AE264" t="s">
        <v>116</v>
      </c>
      <c r="AF264" t="s">
        <v>116</v>
      </c>
      <c r="AG264">
        <v>8.6300000000000008</v>
      </c>
      <c r="AH264" t="s">
        <v>1909</v>
      </c>
      <c r="AI264" t="s">
        <v>1910</v>
      </c>
      <c r="AJ264">
        <v>-0.22</v>
      </c>
      <c r="AK264">
        <v>701</v>
      </c>
      <c r="AL264">
        <v>99</v>
      </c>
      <c r="AM264">
        <v>1.1000000000000001E-3</v>
      </c>
      <c r="AN264">
        <v>-6</v>
      </c>
      <c r="AO264">
        <v>-2.4700000000000002</v>
      </c>
      <c r="AP264">
        <v>-4.16</v>
      </c>
      <c r="AQ264">
        <v>19.7</v>
      </c>
      <c r="AR264">
        <v>59.37</v>
      </c>
      <c r="AS264">
        <v>1.02</v>
      </c>
      <c r="AT264" t="s">
        <v>1911</v>
      </c>
      <c r="AU264">
        <v>8.0299999999999994</v>
      </c>
      <c r="AV264">
        <v>6.65</v>
      </c>
      <c r="AW264">
        <v>0.49</v>
      </c>
      <c r="BA264">
        <v>0.18</v>
      </c>
      <c r="BB264">
        <v>0.9</v>
      </c>
      <c r="BC264">
        <v>-1.25</v>
      </c>
      <c r="BD264">
        <v>-0.08</v>
      </c>
      <c r="BE264">
        <v>-1.07</v>
      </c>
      <c r="BF264">
        <v>-1.78</v>
      </c>
      <c r="BG264">
        <v>0.36</v>
      </c>
      <c r="BH264">
        <v>-0.81</v>
      </c>
      <c r="BI264">
        <v>20191029</v>
      </c>
      <c r="BJ264">
        <v>19970509</v>
      </c>
      <c r="BK264">
        <v>12.9</v>
      </c>
      <c r="BL264" t="s">
        <v>116</v>
      </c>
      <c r="BM264" t="s">
        <v>116</v>
      </c>
      <c r="BN264">
        <v>50.25</v>
      </c>
      <c r="BO264">
        <v>24.04</v>
      </c>
      <c r="BP264">
        <v>0.89</v>
      </c>
      <c r="BQ264">
        <v>50.39</v>
      </c>
      <c r="BR264">
        <v>44.68</v>
      </c>
      <c r="BS264">
        <v>0.74</v>
      </c>
      <c r="BT264">
        <v>7.0000000000000007E-2</v>
      </c>
      <c r="BU264">
        <v>21.96</v>
      </c>
      <c r="BV264">
        <v>33.53</v>
      </c>
      <c r="BW264">
        <v>5.41</v>
      </c>
      <c r="BX264">
        <v>6.86</v>
      </c>
      <c r="BY264">
        <v>24.11</v>
      </c>
      <c r="BZ264">
        <v>17.239999999999998</v>
      </c>
      <c r="CA264">
        <v>5.09</v>
      </c>
      <c r="CB264">
        <v>0.01</v>
      </c>
      <c r="CC264">
        <v>5.09</v>
      </c>
      <c r="CD264">
        <v>3.73</v>
      </c>
      <c r="CE264">
        <v>3.7</v>
      </c>
      <c r="CF264">
        <v>3.7</v>
      </c>
      <c r="CG264">
        <v>4.3</v>
      </c>
      <c r="CH264">
        <v>-5.3</v>
      </c>
      <c r="CI264">
        <v>-4.74</v>
      </c>
      <c r="CJ264">
        <v>65511</v>
      </c>
      <c r="CK264">
        <v>10343</v>
      </c>
      <c r="CL264" t="s">
        <v>378</v>
      </c>
      <c r="CM264">
        <v>-33.35</v>
      </c>
      <c r="CN264">
        <v>117.36</v>
      </c>
      <c r="CO264">
        <v>2.97</v>
      </c>
      <c r="CP264">
        <v>-13.44</v>
      </c>
      <c r="CQ264">
        <v>2.96</v>
      </c>
      <c r="CR264">
        <v>0</v>
      </c>
      <c r="CS264" t="s">
        <v>1912</v>
      </c>
      <c r="CT264">
        <v>1.86</v>
      </c>
      <c r="CU264">
        <v>0</v>
      </c>
      <c r="CV264">
        <v>0.53</v>
      </c>
      <c r="CW264">
        <v>0.33</v>
      </c>
      <c r="CX264">
        <v>-0.41</v>
      </c>
      <c r="CY264">
        <v>47.84</v>
      </c>
      <c r="CZ264" t="s">
        <v>1913</v>
      </c>
      <c r="DA264">
        <v>28.48</v>
      </c>
      <c r="DB264">
        <v>21.13</v>
      </c>
      <c r="DC264">
        <v>15.35</v>
      </c>
      <c r="DD264">
        <v>0</v>
      </c>
      <c r="DE264">
        <v>851</v>
      </c>
      <c r="DF264">
        <v>720</v>
      </c>
      <c r="DG264" t="s">
        <v>116</v>
      </c>
      <c r="DH264" t="s">
        <v>116</v>
      </c>
      <c r="DI264" t="s">
        <v>116</v>
      </c>
    </row>
    <row r="265" spans="1:113" x14ac:dyDescent="0.4">
      <c r="A265" t="str">
        <f>"000721"</f>
        <v>000721</v>
      </c>
      <c r="B265" t="s">
        <v>1914</v>
      </c>
      <c r="C265">
        <v>1.49</v>
      </c>
      <c r="D265">
        <v>4.09</v>
      </c>
      <c r="E265">
        <v>0.06</v>
      </c>
      <c r="F265">
        <v>4.08</v>
      </c>
      <c r="G265">
        <v>4.09</v>
      </c>
      <c r="H265">
        <v>89049</v>
      </c>
      <c r="I265">
        <v>696</v>
      </c>
      <c r="J265">
        <v>0.25</v>
      </c>
      <c r="K265">
        <v>2.04</v>
      </c>
      <c r="L265">
        <v>4.03</v>
      </c>
      <c r="M265">
        <v>4.1500000000000004</v>
      </c>
      <c r="N265">
        <v>4.0199999999999996</v>
      </c>
      <c r="O265">
        <v>4.03</v>
      </c>
      <c r="P265" t="s">
        <v>116</v>
      </c>
      <c r="Q265">
        <v>36493400</v>
      </c>
      <c r="R265">
        <v>2.4300000000000002</v>
      </c>
      <c r="S265" t="s">
        <v>156</v>
      </c>
      <c r="T265" t="s">
        <v>913</v>
      </c>
      <c r="U265">
        <v>3.23</v>
      </c>
      <c r="V265">
        <v>4.0999999999999996</v>
      </c>
      <c r="W265">
        <v>39597</v>
      </c>
      <c r="X265">
        <v>49452</v>
      </c>
      <c r="Y265">
        <v>0.8</v>
      </c>
      <c r="Z265">
        <v>301</v>
      </c>
      <c r="AA265">
        <v>1667</v>
      </c>
      <c r="AB265" t="s">
        <v>116</v>
      </c>
      <c r="AC265">
        <v>5600</v>
      </c>
      <c r="AD265">
        <v>0</v>
      </c>
      <c r="AE265" t="s">
        <v>116</v>
      </c>
      <c r="AF265" t="s">
        <v>116</v>
      </c>
      <c r="AG265">
        <v>4.3600000000000003</v>
      </c>
      <c r="AH265" t="s">
        <v>1915</v>
      </c>
      <c r="AI265" t="s">
        <v>1916</v>
      </c>
      <c r="AJ265">
        <v>2.17</v>
      </c>
      <c r="AK265">
        <v>1088</v>
      </c>
      <c r="AL265">
        <v>82</v>
      </c>
      <c r="AM265">
        <v>1.9E-3</v>
      </c>
      <c r="AN265">
        <v>4</v>
      </c>
      <c r="AO265">
        <v>2.5099999999999998</v>
      </c>
      <c r="AP265">
        <v>7.35</v>
      </c>
      <c r="AQ265">
        <v>1.49</v>
      </c>
      <c r="AR265">
        <v>3.02</v>
      </c>
      <c r="AS265">
        <v>2.73</v>
      </c>
      <c r="AT265" t="s">
        <v>1917</v>
      </c>
      <c r="AU265" t="s">
        <v>116</v>
      </c>
      <c r="AV265">
        <v>215.54</v>
      </c>
      <c r="AW265">
        <v>0.73</v>
      </c>
      <c r="BA265">
        <v>0</v>
      </c>
      <c r="BB265">
        <v>2.98</v>
      </c>
      <c r="BC265">
        <v>-0.25</v>
      </c>
      <c r="BD265">
        <v>1.69</v>
      </c>
      <c r="BE265">
        <v>1.49</v>
      </c>
      <c r="BF265">
        <v>-1.45</v>
      </c>
      <c r="BG265">
        <v>1.74</v>
      </c>
      <c r="BH265">
        <v>-0.2</v>
      </c>
      <c r="BI265">
        <v>20191019</v>
      </c>
      <c r="BJ265">
        <v>19970430</v>
      </c>
      <c r="BK265">
        <v>4.99</v>
      </c>
      <c r="BL265" t="s">
        <v>116</v>
      </c>
      <c r="BM265" t="s">
        <v>116</v>
      </c>
      <c r="BN265">
        <v>11.29</v>
      </c>
      <c r="BO265">
        <v>6.41</v>
      </c>
      <c r="BP265">
        <v>0.05</v>
      </c>
      <c r="BQ265">
        <v>42.76</v>
      </c>
      <c r="BR265">
        <v>3.36</v>
      </c>
      <c r="BS265">
        <v>2.9</v>
      </c>
      <c r="BT265">
        <v>0.19</v>
      </c>
      <c r="BU265">
        <v>4.07</v>
      </c>
      <c r="BV265">
        <v>0.34</v>
      </c>
      <c r="BW265">
        <v>0.39</v>
      </c>
      <c r="BX265">
        <v>0.56000000000000005</v>
      </c>
      <c r="BY265">
        <v>3.94</v>
      </c>
      <c r="BZ265">
        <v>2.69</v>
      </c>
      <c r="CA265">
        <v>-0.25</v>
      </c>
      <c r="CB265">
        <v>0</v>
      </c>
      <c r="CC265">
        <v>-0.24</v>
      </c>
      <c r="CD265">
        <v>-0.24</v>
      </c>
      <c r="CE265">
        <v>-0.24</v>
      </c>
      <c r="CF265">
        <v>-0.24</v>
      </c>
      <c r="CG265">
        <v>0.33</v>
      </c>
      <c r="CH265">
        <v>-0.17</v>
      </c>
      <c r="CI265">
        <v>-1.52</v>
      </c>
      <c r="CJ265">
        <v>60647</v>
      </c>
      <c r="CK265">
        <v>5385</v>
      </c>
      <c r="CL265" t="s">
        <v>1918</v>
      </c>
      <c r="CM265">
        <v>-467.25</v>
      </c>
      <c r="CN265">
        <v>5.0999999999999996</v>
      </c>
      <c r="CO265">
        <v>3.18</v>
      </c>
      <c r="CP265">
        <v>-121.2</v>
      </c>
      <c r="CQ265">
        <v>5.18</v>
      </c>
      <c r="CR265">
        <v>0</v>
      </c>
      <c r="CS265" t="s">
        <v>1157</v>
      </c>
      <c r="CT265">
        <v>1.28</v>
      </c>
      <c r="CU265">
        <v>0</v>
      </c>
      <c r="CV265">
        <v>0.11</v>
      </c>
      <c r="CW265">
        <v>7.0000000000000007E-2</v>
      </c>
      <c r="CX265">
        <v>-0.03</v>
      </c>
      <c r="CY265">
        <v>56.78</v>
      </c>
      <c r="CZ265" t="s">
        <v>1919</v>
      </c>
      <c r="DA265">
        <v>31.79</v>
      </c>
      <c r="DB265">
        <v>-6.26</v>
      </c>
      <c r="DC265">
        <v>-6.01</v>
      </c>
      <c r="DD265">
        <v>0</v>
      </c>
      <c r="DE265">
        <v>3414</v>
      </c>
      <c r="DF265">
        <v>721</v>
      </c>
      <c r="DG265" t="s">
        <v>116</v>
      </c>
      <c r="DH265" t="s">
        <v>116</v>
      </c>
      <c r="DI265" t="s">
        <v>116</v>
      </c>
    </row>
    <row r="266" spans="1:113" x14ac:dyDescent="0.4">
      <c r="A266" t="str">
        <f>"000722"</f>
        <v>000722</v>
      </c>
      <c r="B266" t="s">
        <v>1920</v>
      </c>
      <c r="C266">
        <v>-0.89</v>
      </c>
      <c r="D266">
        <v>6.7</v>
      </c>
      <c r="E266">
        <v>-0.06</v>
      </c>
      <c r="F266">
        <v>6.7</v>
      </c>
      <c r="G266">
        <v>6.71</v>
      </c>
      <c r="H266">
        <v>24298</v>
      </c>
      <c r="I266">
        <v>167</v>
      </c>
      <c r="J266">
        <v>-0.14000000000000001</v>
      </c>
      <c r="K266">
        <v>0.52</v>
      </c>
      <c r="L266">
        <v>6.77</v>
      </c>
      <c r="M266">
        <v>6.78</v>
      </c>
      <c r="N266">
        <v>6.7</v>
      </c>
      <c r="O266">
        <v>6.76</v>
      </c>
      <c r="P266">
        <v>16.64</v>
      </c>
      <c r="Q266">
        <v>16401125</v>
      </c>
      <c r="R266">
        <v>1.07</v>
      </c>
      <c r="S266" t="s">
        <v>1363</v>
      </c>
      <c r="T266" t="s">
        <v>599</v>
      </c>
      <c r="U266">
        <v>1.18</v>
      </c>
      <c r="V266">
        <v>6.75</v>
      </c>
      <c r="W266">
        <v>15539</v>
      </c>
      <c r="X266">
        <v>8759</v>
      </c>
      <c r="Y266">
        <v>1.77</v>
      </c>
      <c r="Z266">
        <v>558</v>
      </c>
      <c r="AA266">
        <v>30</v>
      </c>
      <c r="AB266" t="s">
        <v>116</v>
      </c>
      <c r="AC266">
        <v>2700</v>
      </c>
      <c r="AD266">
        <v>0</v>
      </c>
      <c r="AE266" t="s">
        <v>116</v>
      </c>
      <c r="AF266" t="s">
        <v>116</v>
      </c>
      <c r="AG266">
        <v>4.6399999999999997</v>
      </c>
      <c r="AH266" t="s">
        <v>1921</v>
      </c>
      <c r="AI266" t="s">
        <v>1921</v>
      </c>
      <c r="AJ266">
        <v>-0.21</v>
      </c>
      <c r="AK266">
        <v>1001</v>
      </c>
      <c r="AL266">
        <v>24</v>
      </c>
      <c r="AM266">
        <v>5.0000000000000001E-4</v>
      </c>
      <c r="AN266">
        <v>-1</v>
      </c>
      <c r="AO266">
        <v>0</v>
      </c>
      <c r="AP266">
        <v>2.13</v>
      </c>
      <c r="AQ266">
        <v>-0.74</v>
      </c>
      <c r="AR266">
        <v>12.04</v>
      </c>
      <c r="AS266">
        <v>1.1399999999999999</v>
      </c>
      <c r="AT266" t="s">
        <v>1922</v>
      </c>
      <c r="AU266">
        <v>19.89</v>
      </c>
      <c r="AV266">
        <v>32.869999999999997</v>
      </c>
      <c r="AW266">
        <v>0.99</v>
      </c>
      <c r="BA266">
        <v>0.15</v>
      </c>
      <c r="BB266">
        <v>0.3</v>
      </c>
      <c r="BC266">
        <v>-0.89</v>
      </c>
      <c r="BD266">
        <v>-0.15</v>
      </c>
      <c r="BE266">
        <v>-1.03</v>
      </c>
      <c r="BF266">
        <v>-1.18</v>
      </c>
      <c r="BG266">
        <v>0</v>
      </c>
      <c r="BH266">
        <v>-0.74</v>
      </c>
      <c r="BI266">
        <v>20191216</v>
      </c>
      <c r="BJ266">
        <v>19970522</v>
      </c>
      <c r="BK266">
        <v>4.6399999999999997</v>
      </c>
      <c r="BL266" t="s">
        <v>116</v>
      </c>
      <c r="BM266" t="s">
        <v>116</v>
      </c>
      <c r="BN266">
        <v>32.11</v>
      </c>
      <c r="BO266">
        <v>29.69</v>
      </c>
      <c r="BP266">
        <v>0.44</v>
      </c>
      <c r="BQ266">
        <v>6.14</v>
      </c>
      <c r="BR266">
        <v>14.29</v>
      </c>
      <c r="BS266">
        <v>14.84</v>
      </c>
      <c r="BT266">
        <v>0.13</v>
      </c>
      <c r="BU266">
        <v>0.65</v>
      </c>
      <c r="BV266">
        <v>0.66</v>
      </c>
      <c r="BW266">
        <v>0.15</v>
      </c>
      <c r="BX266">
        <v>21.35</v>
      </c>
      <c r="BY266">
        <v>2.17</v>
      </c>
      <c r="BZ266">
        <v>1.06</v>
      </c>
      <c r="CA266">
        <v>1.68</v>
      </c>
      <c r="CB266">
        <v>0.76</v>
      </c>
      <c r="CC266">
        <v>1.69</v>
      </c>
      <c r="CD266">
        <v>1.34</v>
      </c>
      <c r="CE266">
        <v>1.4</v>
      </c>
      <c r="CF266">
        <v>1.04</v>
      </c>
      <c r="CG266">
        <v>3.28</v>
      </c>
      <c r="CH266">
        <v>1.26</v>
      </c>
      <c r="CI266">
        <v>1.39</v>
      </c>
      <c r="CJ266">
        <v>38427</v>
      </c>
      <c r="CK266">
        <v>5531</v>
      </c>
      <c r="CL266" t="s">
        <v>1923</v>
      </c>
      <c r="CM266">
        <v>78.64</v>
      </c>
      <c r="CN266">
        <v>12.31</v>
      </c>
      <c r="CO266">
        <v>1.05</v>
      </c>
      <c r="CP266">
        <v>24.69</v>
      </c>
      <c r="CQ266">
        <v>14.31</v>
      </c>
      <c r="CR266">
        <v>0.75</v>
      </c>
      <c r="CS266" t="s">
        <v>1924</v>
      </c>
      <c r="CT266">
        <v>6.4</v>
      </c>
      <c r="CU266">
        <v>0</v>
      </c>
      <c r="CV266">
        <v>4.5999999999999996</v>
      </c>
      <c r="CW266">
        <v>0.71</v>
      </c>
      <c r="CX266">
        <v>0.27</v>
      </c>
      <c r="CY266">
        <v>92.48</v>
      </c>
      <c r="CZ266" t="s">
        <v>1925</v>
      </c>
      <c r="DA266">
        <v>51.13</v>
      </c>
      <c r="DB266">
        <v>77.45</v>
      </c>
      <c r="DC266">
        <v>64.48</v>
      </c>
      <c r="DD266">
        <v>0</v>
      </c>
      <c r="DE266">
        <v>663</v>
      </c>
      <c r="DF266">
        <v>722</v>
      </c>
      <c r="DG266" t="s">
        <v>116</v>
      </c>
      <c r="DH266" t="s">
        <v>116</v>
      </c>
      <c r="DI266" t="s">
        <v>116</v>
      </c>
    </row>
    <row r="267" spans="1:113" x14ac:dyDescent="0.4">
      <c r="A267" t="str">
        <f>"000723"</f>
        <v>000723</v>
      </c>
      <c r="B267" t="s">
        <v>1926</v>
      </c>
      <c r="C267">
        <v>-3.44</v>
      </c>
      <c r="D267">
        <v>9.5500000000000007</v>
      </c>
      <c r="E267">
        <v>-0.34</v>
      </c>
      <c r="F267">
        <v>9.5399999999999991</v>
      </c>
      <c r="G267">
        <v>9.5500000000000007</v>
      </c>
      <c r="H267">
        <v>1263857</v>
      </c>
      <c r="I267">
        <v>13752</v>
      </c>
      <c r="J267">
        <v>-0.2</v>
      </c>
      <c r="K267">
        <v>3.35</v>
      </c>
      <c r="L267">
        <v>9.75</v>
      </c>
      <c r="M267">
        <v>9.85</v>
      </c>
      <c r="N267">
        <v>9.5</v>
      </c>
      <c r="O267">
        <v>9.89</v>
      </c>
      <c r="P267">
        <v>35.590000000000003</v>
      </c>
      <c r="Q267">
        <v>1222118784</v>
      </c>
      <c r="R267">
        <v>1.1100000000000001</v>
      </c>
      <c r="S267" t="s">
        <v>1927</v>
      </c>
      <c r="T267" t="s">
        <v>675</v>
      </c>
      <c r="U267">
        <v>3.54</v>
      </c>
      <c r="V267">
        <v>9.67</v>
      </c>
      <c r="W267">
        <v>717888</v>
      </c>
      <c r="X267">
        <v>545969</v>
      </c>
      <c r="Y267">
        <v>1.31</v>
      </c>
      <c r="Z267">
        <v>1531</v>
      </c>
      <c r="AA267">
        <v>4906</v>
      </c>
      <c r="AB267" t="s">
        <v>116</v>
      </c>
      <c r="AC267">
        <v>8989800</v>
      </c>
      <c r="AD267">
        <v>0.09</v>
      </c>
      <c r="AE267" t="s">
        <v>116</v>
      </c>
      <c r="AF267" t="s">
        <v>116</v>
      </c>
      <c r="AG267">
        <v>37.76</v>
      </c>
      <c r="AH267" t="s">
        <v>1928</v>
      </c>
      <c r="AI267" t="s">
        <v>1929</v>
      </c>
      <c r="AJ267">
        <v>-2.76</v>
      </c>
      <c r="AK267">
        <v>4636</v>
      </c>
      <c r="AL267">
        <v>273</v>
      </c>
      <c r="AM267">
        <v>6.9999999999999999E-4</v>
      </c>
      <c r="AN267">
        <v>-1</v>
      </c>
      <c r="AO267">
        <v>3.46</v>
      </c>
      <c r="AP267">
        <v>14.78</v>
      </c>
      <c r="AQ267">
        <v>2.8</v>
      </c>
      <c r="AR267">
        <v>197.51</v>
      </c>
      <c r="AS267">
        <v>12.26</v>
      </c>
      <c r="AT267" t="s">
        <v>1930</v>
      </c>
      <c r="AU267">
        <v>27.16</v>
      </c>
      <c r="AV267">
        <v>21.78</v>
      </c>
      <c r="AW267">
        <v>1.35</v>
      </c>
      <c r="BA267">
        <v>-1.42</v>
      </c>
      <c r="BB267">
        <v>-0.4</v>
      </c>
      <c r="BC267">
        <v>-3.94</v>
      </c>
      <c r="BD267">
        <v>-2.23</v>
      </c>
      <c r="BE267">
        <v>-2.0499999999999998</v>
      </c>
      <c r="BF267">
        <v>-3.05</v>
      </c>
      <c r="BG267">
        <v>0.53</v>
      </c>
      <c r="BH267">
        <v>-1.21</v>
      </c>
      <c r="BI267">
        <v>20191223</v>
      </c>
      <c r="BJ267">
        <v>19970515</v>
      </c>
      <c r="BK267">
        <v>40.99</v>
      </c>
      <c r="BL267" t="s">
        <v>116</v>
      </c>
      <c r="BM267" t="s">
        <v>116</v>
      </c>
      <c r="BN267">
        <v>187.02</v>
      </c>
      <c r="BO267">
        <v>80.11</v>
      </c>
      <c r="BP267">
        <v>10.98</v>
      </c>
      <c r="BQ267">
        <v>51.29</v>
      </c>
      <c r="BR267">
        <v>66.52</v>
      </c>
      <c r="BS267">
        <v>87.83</v>
      </c>
      <c r="BT267">
        <v>18.82</v>
      </c>
      <c r="BU267">
        <v>84.05</v>
      </c>
      <c r="BV267">
        <v>10.73</v>
      </c>
      <c r="BW267">
        <v>22.86</v>
      </c>
      <c r="BX267">
        <v>3.59</v>
      </c>
      <c r="BY267">
        <v>108</v>
      </c>
      <c r="BZ267">
        <v>81.88</v>
      </c>
      <c r="CA267">
        <v>12.59</v>
      </c>
      <c r="CB267">
        <v>7.0000000000000007E-2</v>
      </c>
      <c r="CC267">
        <v>12.49</v>
      </c>
      <c r="CD267">
        <v>9.36</v>
      </c>
      <c r="CE267">
        <v>8.25</v>
      </c>
      <c r="CF267">
        <v>8.32</v>
      </c>
      <c r="CG267">
        <v>34.11</v>
      </c>
      <c r="CH267">
        <v>12.65</v>
      </c>
      <c r="CI267">
        <v>-0.6</v>
      </c>
      <c r="CJ267">
        <v>173086</v>
      </c>
      <c r="CK267">
        <v>5957</v>
      </c>
      <c r="CL267" t="s">
        <v>1931</v>
      </c>
      <c r="CM267">
        <v>-30.14</v>
      </c>
      <c r="CN267">
        <v>2.96</v>
      </c>
      <c r="CO267">
        <v>4.8899999999999997</v>
      </c>
      <c r="CP267">
        <v>30.94</v>
      </c>
      <c r="CQ267">
        <v>3.62</v>
      </c>
      <c r="CR267">
        <v>0</v>
      </c>
      <c r="CS267" t="s">
        <v>1932</v>
      </c>
      <c r="CT267">
        <v>1.95</v>
      </c>
      <c r="CU267">
        <v>0</v>
      </c>
      <c r="CV267">
        <v>0.09</v>
      </c>
      <c r="CW267">
        <v>0.83</v>
      </c>
      <c r="CX267">
        <v>0.31</v>
      </c>
      <c r="CY267">
        <v>42.83</v>
      </c>
      <c r="CZ267" t="s">
        <v>1933</v>
      </c>
      <c r="DA267">
        <v>24.18</v>
      </c>
      <c r="DB267">
        <v>11.66</v>
      </c>
      <c r="DC267">
        <v>7.64</v>
      </c>
      <c r="DD267">
        <v>0.11</v>
      </c>
      <c r="DE267">
        <v>6906</v>
      </c>
      <c r="DF267">
        <v>723</v>
      </c>
      <c r="DG267" t="s">
        <v>116</v>
      </c>
      <c r="DH267" t="s">
        <v>116</v>
      </c>
      <c r="DI267" t="s">
        <v>116</v>
      </c>
    </row>
    <row r="268" spans="1:113" x14ac:dyDescent="0.4">
      <c r="A268" t="str">
        <f>"000725"</f>
        <v>000725</v>
      </c>
      <c r="B268" t="s">
        <v>1934</v>
      </c>
      <c r="C268">
        <v>-3.93</v>
      </c>
      <c r="D268">
        <v>4.6399999999999997</v>
      </c>
      <c r="E268">
        <v>-0.19</v>
      </c>
      <c r="F268">
        <v>4.6399999999999997</v>
      </c>
      <c r="G268">
        <v>4.6500000000000004</v>
      </c>
      <c r="H268">
        <v>11744059</v>
      </c>
      <c r="I268">
        <v>120339</v>
      </c>
      <c r="J268">
        <v>-0.21</v>
      </c>
      <c r="K268">
        <v>3.47</v>
      </c>
      <c r="L268">
        <v>4.8499999999999996</v>
      </c>
      <c r="M268">
        <v>4.8499999999999996</v>
      </c>
      <c r="N268">
        <v>4.6100000000000003</v>
      </c>
      <c r="O268">
        <v>4.83</v>
      </c>
      <c r="P268">
        <v>65.38</v>
      </c>
      <c r="Q268">
        <v>5535803904</v>
      </c>
      <c r="R268">
        <v>1.1599999999999999</v>
      </c>
      <c r="S268" t="s">
        <v>233</v>
      </c>
      <c r="T268" t="s">
        <v>165</v>
      </c>
      <c r="U268">
        <v>4.97</v>
      </c>
      <c r="V268">
        <v>4.71</v>
      </c>
      <c r="W268">
        <v>5622778</v>
      </c>
      <c r="X268">
        <v>6121281</v>
      </c>
      <c r="Y268">
        <v>0.92</v>
      </c>
      <c r="Z268">
        <v>963</v>
      </c>
      <c r="AA268">
        <v>39332</v>
      </c>
      <c r="AB268" t="s">
        <v>116</v>
      </c>
      <c r="AC268">
        <v>37036500</v>
      </c>
      <c r="AD268">
        <v>0.03</v>
      </c>
      <c r="AE268" t="s">
        <v>116</v>
      </c>
      <c r="AF268" t="s">
        <v>116</v>
      </c>
      <c r="AG268">
        <v>338.6</v>
      </c>
      <c r="AH268" t="s">
        <v>1935</v>
      </c>
      <c r="AI268" t="s">
        <v>1936</v>
      </c>
      <c r="AJ268">
        <v>-3.25</v>
      </c>
      <c r="AK268">
        <v>4740</v>
      </c>
      <c r="AL268">
        <v>2478</v>
      </c>
      <c r="AM268">
        <v>6.9999999999999999E-4</v>
      </c>
      <c r="AN268">
        <v>-1</v>
      </c>
      <c r="AO268">
        <v>-1.27</v>
      </c>
      <c r="AP268">
        <v>18.97</v>
      </c>
      <c r="AQ268">
        <v>23.4</v>
      </c>
      <c r="AR268">
        <v>78.459999999999994</v>
      </c>
      <c r="AS268">
        <v>4.99</v>
      </c>
      <c r="AT268" t="s">
        <v>1937</v>
      </c>
      <c r="AU268">
        <v>84.61</v>
      </c>
      <c r="AV268">
        <v>47</v>
      </c>
      <c r="AW268">
        <v>1.39</v>
      </c>
      <c r="BA268">
        <v>0.41</v>
      </c>
      <c r="BB268">
        <v>0.41</v>
      </c>
      <c r="BC268">
        <v>-4.55</v>
      </c>
      <c r="BD268">
        <v>-2.41</v>
      </c>
      <c r="BE268">
        <v>-4.33</v>
      </c>
      <c r="BF268">
        <v>-4.33</v>
      </c>
      <c r="BG268">
        <v>0.65</v>
      </c>
      <c r="BH268">
        <v>-1.53</v>
      </c>
      <c r="BI268">
        <v>20191224</v>
      </c>
      <c r="BJ268">
        <v>20010112</v>
      </c>
      <c r="BK268">
        <v>347.98</v>
      </c>
      <c r="BL268">
        <v>9.36</v>
      </c>
      <c r="BM268" t="s">
        <v>116</v>
      </c>
      <c r="BN268">
        <v>3244.01</v>
      </c>
      <c r="BO268">
        <v>867.63</v>
      </c>
      <c r="BP268">
        <v>423.27</v>
      </c>
      <c r="BQ268">
        <v>60.21</v>
      </c>
      <c r="BR268">
        <v>976.45</v>
      </c>
      <c r="BS268">
        <v>1273.6199999999999</v>
      </c>
      <c r="BT268">
        <v>69.61</v>
      </c>
      <c r="BU268">
        <v>728.01</v>
      </c>
      <c r="BV268">
        <v>122.76</v>
      </c>
      <c r="BW268">
        <v>203.94</v>
      </c>
      <c r="BX268">
        <v>382.41</v>
      </c>
      <c r="BY268">
        <v>857.22</v>
      </c>
      <c r="BZ268">
        <v>728.7</v>
      </c>
      <c r="CA268">
        <v>11.29</v>
      </c>
      <c r="CB268">
        <v>0.76</v>
      </c>
      <c r="CC268">
        <v>12.23</v>
      </c>
      <c r="CD268">
        <v>3.31</v>
      </c>
      <c r="CE268">
        <v>18.52</v>
      </c>
      <c r="CF268">
        <v>-1.89</v>
      </c>
      <c r="CG268">
        <v>128.27000000000001</v>
      </c>
      <c r="CH268">
        <v>165.27</v>
      </c>
      <c r="CI268">
        <v>-11.63</v>
      </c>
      <c r="CJ268">
        <v>1294693</v>
      </c>
      <c r="CK268">
        <v>18910</v>
      </c>
      <c r="CL268" t="s">
        <v>1938</v>
      </c>
      <c r="CM268">
        <v>-45.18</v>
      </c>
      <c r="CN268">
        <v>23.4</v>
      </c>
      <c r="CO268">
        <v>1.86</v>
      </c>
      <c r="CP268">
        <v>9.77</v>
      </c>
      <c r="CQ268">
        <v>1.88</v>
      </c>
      <c r="CR268">
        <v>0.65</v>
      </c>
      <c r="CS268" t="s">
        <v>170</v>
      </c>
      <c r="CT268">
        <v>2.4900000000000002</v>
      </c>
      <c r="CU268">
        <v>0</v>
      </c>
      <c r="CV268">
        <v>1.1000000000000001</v>
      </c>
      <c r="CW268">
        <v>0.37</v>
      </c>
      <c r="CX268">
        <v>0.47</v>
      </c>
      <c r="CY268">
        <v>26.75</v>
      </c>
      <c r="CZ268" t="s">
        <v>1939</v>
      </c>
      <c r="DA268">
        <v>14.99</v>
      </c>
      <c r="DB268">
        <v>1.32</v>
      </c>
      <c r="DC268">
        <v>2.16</v>
      </c>
      <c r="DD268">
        <v>45.32</v>
      </c>
      <c r="DE268">
        <v>68175</v>
      </c>
      <c r="DF268">
        <v>725</v>
      </c>
      <c r="DG268" t="s">
        <v>116</v>
      </c>
      <c r="DH268" t="s">
        <v>116</v>
      </c>
      <c r="DI268" t="s">
        <v>116</v>
      </c>
    </row>
    <row r="269" spans="1:113" x14ac:dyDescent="0.4">
      <c r="A269" t="str">
        <f>"000726"</f>
        <v>000726</v>
      </c>
      <c r="B269" t="s">
        <v>1940</v>
      </c>
      <c r="C269">
        <v>0.11</v>
      </c>
      <c r="D269">
        <v>9.02</v>
      </c>
      <c r="E269">
        <v>0.01</v>
      </c>
      <c r="F269">
        <v>9.01</v>
      </c>
      <c r="G269">
        <v>9.02</v>
      </c>
      <c r="H269">
        <v>20482</v>
      </c>
      <c r="I269">
        <v>203</v>
      </c>
      <c r="J269">
        <v>0</v>
      </c>
      <c r="K269">
        <v>0.37</v>
      </c>
      <c r="L269">
        <v>9.01</v>
      </c>
      <c r="M269">
        <v>9.0500000000000007</v>
      </c>
      <c r="N269">
        <v>9</v>
      </c>
      <c r="O269">
        <v>9.01</v>
      </c>
      <c r="P269">
        <v>9.8699999999999992</v>
      </c>
      <c r="Q269">
        <v>18491040</v>
      </c>
      <c r="R269">
        <v>1.33</v>
      </c>
      <c r="S269" t="s">
        <v>1420</v>
      </c>
      <c r="T269" t="s">
        <v>645</v>
      </c>
      <c r="U269">
        <v>0.55000000000000004</v>
      </c>
      <c r="V269">
        <v>9.0299999999999994</v>
      </c>
      <c r="W269">
        <v>11701</v>
      </c>
      <c r="X269">
        <v>8781</v>
      </c>
      <c r="Y269">
        <v>1.33</v>
      </c>
      <c r="Z269">
        <v>403</v>
      </c>
      <c r="AA269">
        <v>178</v>
      </c>
      <c r="AB269" t="s">
        <v>116</v>
      </c>
      <c r="AC269">
        <v>62200</v>
      </c>
      <c r="AD269">
        <v>0</v>
      </c>
      <c r="AE269" t="s">
        <v>116</v>
      </c>
      <c r="AF269" t="s">
        <v>116</v>
      </c>
      <c r="AG269">
        <v>5.61</v>
      </c>
      <c r="AH269" t="s">
        <v>1941</v>
      </c>
      <c r="AI269" t="s">
        <v>1942</v>
      </c>
      <c r="AJ269">
        <v>0.79</v>
      </c>
      <c r="AK269">
        <v>762</v>
      </c>
      <c r="AL269">
        <v>27</v>
      </c>
      <c r="AM269">
        <v>5.0000000000000001E-4</v>
      </c>
      <c r="AN269">
        <v>1</v>
      </c>
      <c r="AO269">
        <v>-0.11</v>
      </c>
      <c r="AP269">
        <v>1.35</v>
      </c>
      <c r="AQ269">
        <v>-2.38</v>
      </c>
      <c r="AR269">
        <v>-2.06</v>
      </c>
      <c r="AS269">
        <v>0.49</v>
      </c>
      <c r="AT269" t="s">
        <v>1943</v>
      </c>
      <c r="AU269">
        <v>9.5299999999999994</v>
      </c>
      <c r="AV269">
        <v>9.5399999999999991</v>
      </c>
      <c r="AW269">
        <v>0.48</v>
      </c>
      <c r="BA269">
        <v>0</v>
      </c>
      <c r="BB269">
        <v>0.44</v>
      </c>
      <c r="BC269">
        <v>-0.11</v>
      </c>
      <c r="BD269">
        <v>0.2</v>
      </c>
      <c r="BE269">
        <v>0.11</v>
      </c>
      <c r="BF269">
        <v>-0.33</v>
      </c>
      <c r="BG269">
        <v>0.22</v>
      </c>
      <c r="BH269">
        <v>-0.09</v>
      </c>
      <c r="BI269">
        <v>20191030</v>
      </c>
      <c r="BJ269">
        <v>20001225</v>
      </c>
      <c r="BK269">
        <v>8.58</v>
      </c>
      <c r="BL269">
        <v>2.96</v>
      </c>
      <c r="BM269" t="s">
        <v>116</v>
      </c>
      <c r="BN269">
        <v>113.48</v>
      </c>
      <c r="BO269">
        <v>73.52</v>
      </c>
      <c r="BP269">
        <v>5.83</v>
      </c>
      <c r="BQ269">
        <v>30.08</v>
      </c>
      <c r="BR269">
        <v>40.69</v>
      </c>
      <c r="BS269">
        <v>57.71</v>
      </c>
      <c r="BT269">
        <v>5.29</v>
      </c>
      <c r="BU269">
        <v>31.39</v>
      </c>
      <c r="BV269">
        <v>24.5</v>
      </c>
      <c r="BW269">
        <v>3.8</v>
      </c>
      <c r="BX269">
        <v>2.57</v>
      </c>
      <c r="BY269">
        <v>48.12</v>
      </c>
      <c r="BZ269">
        <v>33.46</v>
      </c>
      <c r="CA269">
        <v>7.15</v>
      </c>
      <c r="CB269">
        <v>0.17</v>
      </c>
      <c r="CC269">
        <v>7.09</v>
      </c>
      <c r="CD269">
        <v>6.05</v>
      </c>
      <c r="CE269">
        <v>5.88</v>
      </c>
      <c r="CF269">
        <v>5.49</v>
      </c>
      <c r="CG269">
        <v>51.02</v>
      </c>
      <c r="CH269">
        <v>4.82</v>
      </c>
      <c r="CI269">
        <v>0.81</v>
      </c>
      <c r="CJ269">
        <v>56184</v>
      </c>
      <c r="CK269">
        <v>12756</v>
      </c>
      <c r="CL269" t="s">
        <v>1944</v>
      </c>
      <c r="CM269">
        <v>0.17</v>
      </c>
      <c r="CN269">
        <v>-4.22</v>
      </c>
      <c r="CO269">
        <v>1.05</v>
      </c>
      <c r="CP269">
        <v>16.07</v>
      </c>
      <c r="CQ269">
        <v>1.61</v>
      </c>
      <c r="CR269">
        <v>5.54</v>
      </c>
      <c r="CS269" t="s">
        <v>1945</v>
      </c>
      <c r="CT269">
        <v>8.57</v>
      </c>
      <c r="CU269">
        <v>0</v>
      </c>
      <c r="CV269">
        <v>0.3</v>
      </c>
      <c r="CW269">
        <v>5.95</v>
      </c>
      <c r="CX269">
        <v>0.56000000000000005</v>
      </c>
      <c r="CY269">
        <v>64.78</v>
      </c>
      <c r="CZ269" t="s">
        <v>1946</v>
      </c>
      <c r="DA269">
        <v>30.46</v>
      </c>
      <c r="DB269">
        <v>14.85</v>
      </c>
      <c r="DC269">
        <v>12.22</v>
      </c>
      <c r="DD269">
        <v>2.36</v>
      </c>
      <c r="DE269">
        <v>25851</v>
      </c>
      <c r="DF269">
        <v>726</v>
      </c>
      <c r="DG269" t="s">
        <v>116</v>
      </c>
      <c r="DH269" t="s">
        <v>116</v>
      </c>
      <c r="DI269" t="s">
        <v>116</v>
      </c>
    </row>
    <row r="270" spans="1:113" x14ac:dyDescent="0.4">
      <c r="A270" t="str">
        <f>"000727"</f>
        <v>000727</v>
      </c>
      <c r="B270" t="s">
        <v>1947</v>
      </c>
      <c r="C270">
        <v>-0.46</v>
      </c>
      <c r="D270">
        <v>2.15</v>
      </c>
      <c r="E270">
        <v>-0.01</v>
      </c>
      <c r="F270">
        <v>2.14</v>
      </c>
      <c r="G270">
        <v>2.15</v>
      </c>
      <c r="H270">
        <v>241533</v>
      </c>
      <c r="I270">
        <v>6730</v>
      </c>
      <c r="J270">
        <v>0.47</v>
      </c>
      <c r="K270">
        <v>0.82</v>
      </c>
      <c r="L270">
        <v>2.16</v>
      </c>
      <c r="M270">
        <v>2.17</v>
      </c>
      <c r="N270">
        <v>2.14</v>
      </c>
      <c r="O270">
        <v>2.16</v>
      </c>
      <c r="P270" t="s">
        <v>116</v>
      </c>
      <c r="Q270">
        <v>52104360</v>
      </c>
      <c r="R270">
        <v>0.69</v>
      </c>
      <c r="S270" t="s">
        <v>233</v>
      </c>
      <c r="T270" t="s">
        <v>323</v>
      </c>
      <c r="U270">
        <v>1.39</v>
      </c>
      <c r="V270">
        <v>2.16</v>
      </c>
      <c r="W270">
        <v>167690</v>
      </c>
      <c r="X270">
        <v>73843</v>
      </c>
      <c r="Y270">
        <v>2.27</v>
      </c>
      <c r="Z270">
        <v>20580</v>
      </c>
      <c r="AA270">
        <v>1437</v>
      </c>
      <c r="AB270" t="s">
        <v>116</v>
      </c>
      <c r="AC270">
        <v>122000</v>
      </c>
      <c r="AD270">
        <v>0</v>
      </c>
      <c r="AE270" t="s">
        <v>116</v>
      </c>
      <c r="AF270" t="s">
        <v>116</v>
      </c>
      <c r="AG270">
        <v>29.31</v>
      </c>
      <c r="AH270" t="s">
        <v>1948</v>
      </c>
      <c r="AI270" t="s">
        <v>1949</v>
      </c>
      <c r="AJ270">
        <v>0.22</v>
      </c>
      <c r="AK270">
        <v>2542</v>
      </c>
      <c r="AL270">
        <v>95</v>
      </c>
      <c r="AM270">
        <v>2.9999999999999997E-4</v>
      </c>
      <c r="AN270">
        <v>-1</v>
      </c>
      <c r="AO270">
        <v>0.01</v>
      </c>
      <c r="AP270">
        <v>3.37</v>
      </c>
      <c r="AQ270">
        <v>-0.92</v>
      </c>
      <c r="AR270">
        <v>46.26</v>
      </c>
      <c r="AS270">
        <v>1.06</v>
      </c>
      <c r="AT270" t="s">
        <v>1950</v>
      </c>
      <c r="AU270" t="s">
        <v>116</v>
      </c>
      <c r="AV270" t="s">
        <v>116</v>
      </c>
      <c r="AW270">
        <v>0.94</v>
      </c>
      <c r="BA270">
        <v>0</v>
      </c>
      <c r="BB270">
        <v>0.46</v>
      </c>
      <c r="BC270">
        <v>-0.93</v>
      </c>
      <c r="BD270">
        <v>-0.13</v>
      </c>
      <c r="BE270">
        <v>-0.46</v>
      </c>
      <c r="BF270">
        <v>-0.92</v>
      </c>
      <c r="BG270">
        <v>0.47</v>
      </c>
      <c r="BH270">
        <v>-0.33</v>
      </c>
      <c r="BI270">
        <v>20191030</v>
      </c>
      <c r="BJ270">
        <v>19970520</v>
      </c>
      <c r="BK270">
        <v>45.3</v>
      </c>
      <c r="BL270" t="s">
        <v>116</v>
      </c>
      <c r="BM270" t="s">
        <v>116</v>
      </c>
      <c r="BN270">
        <v>292.92</v>
      </c>
      <c r="BO270">
        <v>79.94</v>
      </c>
      <c r="BP270">
        <v>56.86</v>
      </c>
      <c r="BQ270">
        <v>53.3</v>
      </c>
      <c r="BR270">
        <v>48.19</v>
      </c>
      <c r="BS270">
        <v>212.02</v>
      </c>
      <c r="BT270">
        <v>14.28</v>
      </c>
      <c r="BU270">
        <v>57.86</v>
      </c>
      <c r="BV270">
        <v>18.43</v>
      </c>
      <c r="BW270">
        <v>9</v>
      </c>
      <c r="BX270">
        <v>65.760000000000005</v>
      </c>
      <c r="BY270">
        <v>36.229999999999997</v>
      </c>
      <c r="BZ270">
        <v>47.04</v>
      </c>
      <c r="CA270">
        <v>-30.51</v>
      </c>
      <c r="CB270">
        <v>-0.62</v>
      </c>
      <c r="CC270">
        <v>-30.44</v>
      </c>
      <c r="CD270">
        <v>-30.47</v>
      </c>
      <c r="CE270">
        <v>-17.97</v>
      </c>
      <c r="CF270">
        <v>-18.34</v>
      </c>
      <c r="CG270">
        <v>-32.1</v>
      </c>
      <c r="CH270">
        <v>3.1</v>
      </c>
      <c r="CI270">
        <v>-4.3</v>
      </c>
      <c r="CJ270">
        <v>188650</v>
      </c>
      <c r="CK270">
        <v>12079</v>
      </c>
      <c r="CL270" t="s">
        <v>1951</v>
      </c>
      <c r="CM270">
        <v>-14.1</v>
      </c>
      <c r="CN270">
        <v>2.0099999999999998</v>
      </c>
      <c r="CO270">
        <v>1.22</v>
      </c>
      <c r="CP270">
        <v>31.4</v>
      </c>
      <c r="CQ270">
        <v>2.69</v>
      </c>
      <c r="CR270">
        <v>0</v>
      </c>
      <c r="CS270" t="s">
        <v>1952</v>
      </c>
      <c r="CT270">
        <v>1.76</v>
      </c>
      <c r="CU270">
        <v>0</v>
      </c>
      <c r="CV270">
        <v>1.45</v>
      </c>
      <c r="CW270">
        <v>-0.71</v>
      </c>
      <c r="CX270">
        <v>7.0000000000000007E-2</v>
      </c>
      <c r="CY270">
        <v>27.29</v>
      </c>
      <c r="CZ270" t="s">
        <v>1953</v>
      </c>
      <c r="DA270">
        <v>-29.81</v>
      </c>
      <c r="DB270">
        <v>-84.19</v>
      </c>
      <c r="DC270">
        <v>-49.6</v>
      </c>
      <c r="DD270">
        <v>0.95</v>
      </c>
      <c r="DE270">
        <v>6394</v>
      </c>
      <c r="DF270">
        <v>727</v>
      </c>
      <c r="DG270" t="s">
        <v>116</v>
      </c>
      <c r="DH270" t="s">
        <v>116</v>
      </c>
      <c r="DI270" t="s">
        <v>116</v>
      </c>
    </row>
    <row r="271" spans="1:113" x14ac:dyDescent="0.4">
      <c r="A271" t="str">
        <f>"000728"</f>
        <v>000728</v>
      </c>
      <c r="B271" t="s">
        <v>1954</v>
      </c>
      <c r="C271">
        <v>-2.29</v>
      </c>
      <c r="D271">
        <v>8.98</v>
      </c>
      <c r="E271">
        <v>-0.21</v>
      </c>
      <c r="F271">
        <v>8.98</v>
      </c>
      <c r="G271">
        <v>8.99</v>
      </c>
      <c r="H271">
        <v>334705</v>
      </c>
      <c r="I271">
        <v>2941</v>
      </c>
      <c r="J271">
        <v>-0.1</v>
      </c>
      <c r="K271">
        <v>1.1399999999999999</v>
      </c>
      <c r="L271">
        <v>9.18</v>
      </c>
      <c r="M271">
        <v>9.25</v>
      </c>
      <c r="N271">
        <v>8.9700000000000006</v>
      </c>
      <c r="O271">
        <v>9.19</v>
      </c>
      <c r="P271">
        <v>32.39</v>
      </c>
      <c r="Q271">
        <v>305359008</v>
      </c>
      <c r="R271">
        <v>1.4</v>
      </c>
      <c r="S271" t="s">
        <v>623</v>
      </c>
      <c r="T271" t="s">
        <v>575</v>
      </c>
      <c r="U271">
        <v>3.05</v>
      </c>
      <c r="V271">
        <v>9.1199999999999992</v>
      </c>
      <c r="W271">
        <v>181214</v>
      </c>
      <c r="X271">
        <v>153491</v>
      </c>
      <c r="Y271">
        <v>1.18</v>
      </c>
      <c r="Z271">
        <v>1154</v>
      </c>
      <c r="AA271">
        <v>1590</v>
      </c>
      <c r="AB271" t="s">
        <v>116</v>
      </c>
      <c r="AC271">
        <v>1510100</v>
      </c>
      <c r="AD271">
        <v>0.01</v>
      </c>
      <c r="AE271" t="s">
        <v>116</v>
      </c>
      <c r="AF271" t="s">
        <v>116</v>
      </c>
      <c r="AG271">
        <v>29.46</v>
      </c>
      <c r="AH271" t="s">
        <v>1955</v>
      </c>
      <c r="AI271" t="s">
        <v>1956</v>
      </c>
      <c r="AJ271">
        <v>-1.61</v>
      </c>
      <c r="AK271">
        <v>3526</v>
      </c>
      <c r="AL271">
        <v>95</v>
      </c>
      <c r="AM271">
        <v>2.9999999999999997E-4</v>
      </c>
      <c r="AN271">
        <v>-1</v>
      </c>
      <c r="AO271">
        <v>1.1200000000000001</v>
      </c>
      <c r="AP271">
        <v>7.42</v>
      </c>
      <c r="AQ271">
        <v>4.66</v>
      </c>
      <c r="AR271">
        <v>33.43</v>
      </c>
      <c r="AS271">
        <v>1.82</v>
      </c>
      <c r="AT271" t="s">
        <v>1957</v>
      </c>
      <c r="AU271">
        <v>29</v>
      </c>
      <c r="AV271">
        <v>45.08</v>
      </c>
      <c r="AW271">
        <v>0.93</v>
      </c>
      <c r="BA271">
        <v>-0.11</v>
      </c>
      <c r="BB271">
        <v>0.65</v>
      </c>
      <c r="BC271">
        <v>-2.39</v>
      </c>
      <c r="BD271">
        <v>-0.73</v>
      </c>
      <c r="BE271">
        <v>-2.1800000000000002</v>
      </c>
      <c r="BF271">
        <v>-2.92</v>
      </c>
      <c r="BG271">
        <v>0.11</v>
      </c>
      <c r="BH271">
        <v>-1.56</v>
      </c>
      <c r="BI271">
        <v>20191223</v>
      </c>
      <c r="BJ271">
        <v>19970616</v>
      </c>
      <c r="BK271">
        <v>33.65</v>
      </c>
      <c r="BL271" t="s">
        <v>116</v>
      </c>
      <c r="BM271" t="s">
        <v>116</v>
      </c>
      <c r="BN271">
        <v>809.36</v>
      </c>
      <c r="BO271">
        <v>249.03</v>
      </c>
      <c r="BP271">
        <v>0.12</v>
      </c>
      <c r="BQ271">
        <v>69.22</v>
      </c>
      <c r="BR271">
        <v>0</v>
      </c>
      <c r="BS271">
        <v>12.99</v>
      </c>
      <c r="BT271">
        <v>0.47</v>
      </c>
      <c r="BU271">
        <v>0</v>
      </c>
      <c r="BV271">
        <v>0</v>
      </c>
      <c r="BW271">
        <v>0</v>
      </c>
      <c r="BX271">
        <v>126.1</v>
      </c>
      <c r="BY271">
        <v>22.47</v>
      </c>
      <c r="BZ271">
        <v>0</v>
      </c>
      <c r="CA271">
        <v>8.67</v>
      </c>
      <c r="CB271">
        <v>6.02</v>
      </c>
      <c r="CC271">
        <v>8.75</v>
      </c>
      <c r="CD271">
        <v>7</v>
      </c>
      <c r="CE271">
        <v>7</v>
      </c>
      <c r="CF271">
        <v>6.87</v>
      </c>
      <c r="CG271">
        <v>48.47</v>
      </c>
      <c r="CH271">
        <v>49.44</v>
      </c>
      <c r="CI271">
        <v>19.8</v>
      </c>
      <c r="CJ271">
        <v>99325</v>
      </c>
      <c r="CK271">
        <v>18543</v>
      </c>
      <c r="CL271" t="s">
        <v>1958</v>
      </c>
      <c r="CM271">
        <v>113.25</v>
      </c>
      <c r="CN271">
        <v>38.130000000000003</v>
      </c>
      <c r="CO271">
        <v>1.21</v>
      </c>
      <c r="CP271">
        <v>6.11</v>
      </c>
      <c r="CQ271">
        <v>13.45</v>
      </c>
      <c r="CR271">
        <v>2.78</v>
      </c>
      <c r="CS271" t="s">
        <v>1959</v>
      </c>
      <c r="CT271">
        <v>7.4</v>
      </c>
      <c r="CU271">
        <v>0</v>
      </c>
      <c r="CV271">
        <v>3.75</v>
      </c>
      <c r="CW271">
        <v>1.44</v>
      </c>
      <c r="CX271">
        <v>1.47</v>
      </c>
      <c r="CY271">
        <v>30.77</v>
      </c>
      <c r="CZ271" t="s">
        <v>1960</v>
      </c>
      <c r="DA271" t="s">
        <v>116</v>
      </c>
      <c r="DB271">
        <v>38.57</v>
      </c>
      <c r="DC271">
        <v>31.15</v>
      </c>
      <c r="DD271">
        <v>0</v>
      </c>
      <c r="DE271">
        <v>3452</v>
      </c>
      <c r="DF271">
        <v>728</v>
      </c>
      <c r="DG271" t="s">
        <v>116</v>
      </c>
      <c r="DH271" t="s">
        <v>116</v>
      </c>
      <c r="DI271" t="s">
        <v>116</v>
      </c>
    </row>
    <row r="272" spans="1:113" x14ac:dyDescent="0.4">
      <c r="A272" t="str">
        <f>"000729"</f>
        <v>000729</v>
      </c>
      <c r="B272" t="s">
        <v>1961</v>
      </c>
      <c r="C272">
        <v>1.75</v>
      </c>
      <c r="D272">
        <v>6.39</v>
      </c>
      <c r="E272">
        <v>0.11</v>
      </c>
      <c r="F272">
        <v>6.39</v>
      </c>
      <c r="G272">
        <v>6.4</v>
      </c>
      <c r="H272">
        <v>170609</v>
      </c>
      <c r="I272">
        <v>1004</v>
      </c>
      <c r="J272">
        <v>-0.3</v>
      </c>
      <c r="K272">
        <v>0.68</v>
      </c>
      <c r="L272">
        <v>6.28</v>
      </c>
      <c r="M272">
        <v>6.43</v>
      </c>
      <c r="N272">
        <v>6.28</v>
      </c>
      <c r="O272">
        <v>6.28</v>
      </c>
      <c r="P272">
        <v>21.13</v>
      </c>
      <c r="Q272">
        <v>108887320</v>
      </c>
      <c r="R272">
        <v>1.87</v>
      </c>
      <c r="S272" t="s">
        <v>1962</v>
      </c>
      <c r="T272" t="s">
        <v>165</v>
      </c>
      <c r="U272">
        <v>2.39</v>
      </c>
      <c r="V272">
        <v>6.38</v>
      </c>
      <c r="W272">
        <v>63536</v>
      </c>
      <c r="X272">
        <v>107073</v>
      </c>
      <c r="Y272">
        <v>0.59</v>
      </c>
      <c r="Z272">
        <v>3036</v>
      </c>
      <c r="AA272">
        <v>1514</v>
      </c>
      <c r="AB272" t="s">
        <v>116</v>
      </c>
      <c r="AC272">
        <v>57300</v>
      </c>
      <c r="AD272">
        <v>0</v>
      </c>
      <c r="AE272" t="s">
        <v>116</v>
      </c>
      <c r="AF272" t="s">
        <v>116</v>
      </c>
      <c r="AG272">
        <v>25.09</v>
      </c>
      <c r="AH272" t="s">
        <v>1963</v>
      </c>
      <c r="AI272" t="s">
        <v>1964</v>
      </c>
      <c r="AJ272">
        <v>2.4300000000000002</v>
      </c>
      <c r="AK272">
        <v>3083</v>
      </c>
      <c r="AL272">
        <v>55</v>
      </c>
      <c r="AM272">
        <v>2.0000000000000001E-4</v>
      </c>
      <c r="AN272">
        <v>2</v>
      </c>
      <c r="AO272">
        <v>1.59</v>
      </c>
      <c r="AP272">
        <v>4.41</v>
      </c>
      <c r="AQ272">
        <v>9.23</v>
      </c>
      <c r="AR272">
        <v>13.74</v>
      </c>
      <c r="AS272">
        <v>1.49</v>
      </c>
      <c r="AT272" t="s">
        <v>1965</v>
      </c>
      <c r="AU272">
        <v>86.49</v>
      </c>
      <c r="AV272">
        <v>100.14</v>
      </c>
      <c r="AW272">
        <v>0.49</v>
      </c>
      <c r="BA272">
        <v>0</v>
      </c>
      <c r="BB272">
        <v>2.39</v>
      </c>
      <c r="BC272">
        <v>0</v>
      </c>
      <c r="BD272">
        <v>1.63</v>
      </c>
      <c r="BE272">
        <v>1.75</v>
      </c>
      <c r="BF272">
        <v>-0.62</v>
      </c>
      <c r="BG272">
        <v>1.75</v>
      </c>
      <c r="BH272">
        <v>0.12</v>
      </c>
      <c r="BI272">
        <v>20191029</v>
      </c>
      <c r="BJ272">
        <v>19970716</v>
      </c>
      <c r="BK272">
        <v>28.19</v>
      </c>
      <c r="BL272" t="s">
        <v>116</v>
      </c>
      <c r="BM272" t="s">
        <v>116</v>
      </c>
      <c r="BN272">
        <v>191.01</v>
      </c>
      <c r="BO272">
        <v>135.53</v>
      </c>
      <c r="BP272">
        <v>7.19</v>
      </c>
      <c r="BQ272">
        <v>25.29</v>
      </c>
      <c r="BR272">
        <v>79.349999999999994</v>
      </c>
      <c r="BS272">
        <v>93.47</v>
      </c>
      <c r="BT272">
        <v>9.31</v>
      </c>
      <c r="BU272">
        <v>47.73</v>
      </c>
      <c r="BV272">
        <v>39.450000000000003</v>
      </c>
      <c r="BW272">
        <v>2.68</v>
      </c>
      <c r="BX272">
        <v>45.97</v>
      </c>
      <c r="BY272">
        <v>103.7</v>
      </c>
      <c r="BZ272">
        <v>61.04</v>
      </c>
      <c r="CA272">
        <v>8.75</v>
      </c>
      <c r="CB272">
        <v>7.0000000000000007E-2</v>
      </c>
      <c r="CC272">
        <v>8.77</v>
      </c>
      <c r="CD272">
        <v>6.98</v>
      </c>
      <c r="CE272">
        <v>6.39</v>
      </c>
      <c r="CF272">
        <v>6.22</v>
      </c>
      <c r="CG272">
        <v>41.26</v>
      </c>
      <c r="CH272">
        <v>21.44</v>
      </c>
      <c r="CI272">
        <v>11.49</v>
      </c>
      <c r="CJ272">
        <v>79927</v>
      </c>
      <c r="CK272">
        <v>14362</v>
      </c>
      <c r="CL272" t="s">
        <v>1966</v>
      </c>
      <c r="CM272">
        <v>4.6500000000000004</v>
      </c>
      <c r="CN272">
        <v>1.34</v>
      </c>
      <c r="CO272">
        <v>1.33</v>
      </c>
      <c r="CP272">
        <v>8.4</v>
      </c>
      <c r="CQ272">
        <v>1.74</v>
      </c>
      <c r="CR272">
        <v>0.34</v>
      </c>
      <c r="CS272" t="s">
        <v>1967</v>
      </c>
      <c r="CT272">
        <v>4.8099999999999996</v>
      </c>
      <c r="CU272">
        <v>0</v>
      </c>
      <c r="CV272">
        <v>1.63</v>
      </c>
      <c r="CW272">
        <v>1.46</v>
      </c>
      <c r="CX272">
        <v>0.76</v>
      </c>
      <c r="CY272">
        <v>70.95</v>
      </c>
      <c r="CZ272" t="s">
        <v>1925</v>
      </c>
      <c r="DA272">
        <v>41.14</v>
      </c>
      <c r="DB272">
        <v>8.44</v>
      </c>
      <c r="DC272">
        <v>6.17</v>
      </c>
      <c r="DD272">
        <v>1.37</v>
      </c>
      <c r="DE272">
        <v>32447</v>
      </c>
      <c r="DF272">
        <v>729</v>
      </c>
      <c r="DG272" t="s">
        <v>116</v>
      </c>
      <c r="DH272" t="s">
        <v>116</v>
      </c>
      <c r="DI272" t="s">
        <v>116</v>
      </c>
    </row>
    <row r="273" spans="1:113" x14ac:dyDescent="0.4">
      <c r="A273" t="str">
        <f>"000731"</f>
        <v>000731</v>
      </c>
      <c r="B273" t="s">
        <v>1968</v>
      </c>
      <c r="C273">
        <v>-0.39</v>
      </c>
      <c r="D273">
        <v>5.12</v>
      </c>
      <c r="E273">
        <v>-0.02</v>
      </c>
      <c r="F273">
        <v>5.1100000000000003</v>
      </c>
      <c r="G273">
        <v>5.12</v>
      </c>
      <c r="H273">
        <v>41175</v>
      </c>
      <c r="I273">
        <v>146</v>
      </c>
      <c r="J273">
        <v>0.2</v>
      </c>
      <c r="K273">
        <v>0.7</v>
      </c>
      <c r="L273">
        <v>5.13</v>
      </c>
      <c r="M273">
        <v>5.18</v>
      </c>
      <c r="N273">
        <v>5.0999999999999996</v>
      </c>
      <c r="O273">
        <v>5.14</v>
      </c>
      <c r="P273">
        <v>21.35</v>
      </c>
      <c r="Q273">
        <v>21208738</v>
      </c>
      <c r="R273">
        <v>1.27</v>
      </c>
      <c r="S273" t="s">
        <v>697</v>
      </c>
      <c r="T273" t="s">
        <v>582</v>
      </c>
      <c r="U273">
        <v>1.56</v>
      </c>
      <c r="V273">
        <v>5.15</v>
      </c>
      <c r="W273">
        <v>24210</v>
      </c>
      <c r="X273">
        <v>16965</v>
      </c>
      <c r="Y273">
        <v>1.43</v>
      </c>
      <c r="Z273">
        <v>1791</v>
      </c>
      <c r="AA273">
        <v>123</v>
      </c>
      <c r="AB273" t="s">
        <v>116</v>
      </c>
      <c r="AC273">
        <v>33900</v>
      </c>
      <c r="AD273">
        <v>0</v>
      </c>
      <c r="AE273" t="s">
        <v>116</v>
      </c>
      <c r="AF273" t="s">
        <v>116</v>
      </c>
      <c r="AG273">
        <v>5.91</v>
      </c>
      <c r="AH273" t="s">
        <v>1969</v>
      </c>
      <c r="AI273" t="s">
        <v>1969</v>
      </c>
      <c r="AJ273">
        <v>0.28999999999999998</v>
      </c>
      <c r="AK273">
        <v>594</v>
      </c>
      <c r="AL273">
        <v>69</v>
      </c>
      <c r="AM273">
        <v>1.1999999999999999E-3</v>
      </c>
      <c r="AN273">
        <v>-1</v>
      </c>
      <c r="AO273">
        <v>0</v>
      </c>
      <c r="AP273">
        <v>0.39</v>
      </c>
      <c r="AQ273">
        <v>-2.66</v>
      </c>
      <c r="AR273">
        <v>5.13</v>
      </c>
      <c r="AS273">
        <v>0.79</v>
      </c>
      <c r="AT273" t="s">
        <v>803</v>
      </c>
      <c r="AU273">
        <v>26.82</v>
      </c>
      <c r="AV273">
        <v>13.79</v>
      </c>
      <c r="AW273">
        <v>0.71</v>
      </c>
      <c r="BA273">
        <v>-0.19</v>
      </c>
      <c r="BB273">
        <v>0.78</v>
      </c>
      <c r="BC273">
        <v>-0.78</v>
      </c>
      <c r="BD273">
        <v>0.21</v>
      </c>
      <c r="BE273">
        <v>-0.19</v>
      </c>
      <c r="BF273">
        <v>-1.1599999999999999</v>
      </c>
      <c r="BG273">
        <v>0.39</v>
      </c>
      <c r="BH273">
        <v>-0.6</v>
      </c>
      <c r="BI273">
        <v>20191203</v>
      </c>
      <c r="BJ273">
        <v>19970617</v>
      </c>
      <c r="BK273">
        <v>5.91</v>
      </c>
      <c r="BL273" t="s">
        <v>116</v>
      </c>
      <c r="BM273" t="s">
        <v>116</v>
      </c>
      <c r="BN273">
        <v>38.299999999999997</v>
      </c>
      <c r="BO273">
        <v>28.26</v>
      </c>
      <c r="BP273">
        <v>0.88</v>
      </c>
      <c r="BQ273">
        <v>23.91</v>
      </c>
      <c r="BR273">
        <v>12.35</v>
      </c>
      <c r="BS273">
        <v>22.16</v>
      </c>
      <c r="BT273">
        <v>2.88</v>
      </c>
      <c r="BU273">
        <v>5.76</v>
      </c>
      <c r="BV273">
        <v>2.36</v>
      </c>
      <c r="BW273">
        <v>0.53</v>
      </c>
      <c r="BX273">
        <v>6.4</v>
      </c>
      <c r="BY273">
        <v>23.12</v>
      </c>
      <c r="BZ273">
        <v>19.2</v>
      </c>
      <c r="CA273">
        <v>1.04</v>
      </c>
      <c r="CB273">
        <v>0.03</v>
      </c>
      <c r="CC273">
        <v>1.07</v>
      </c>
      <c r="CD273">
        <v>0.97</v>
      </c>
      <c r="CE273">
        <v>1.06</v>
      </c>
      <c r="CF273">
        <v>1.03</v>
      </c>
      <c r="CG273">
        <v>11.64</v>
      </c>
      <c r="CH273">
        <v>2.74</v>
      </c>
      <c r="CI273">
        <v>-0.79</v>
      </c>
      <c r="CJ273">
        <v>47191</v>
      </c>
      <c r="CK273">
        <v>11007</v>
      </c>
      <c r="CL273" t="s">
        <v>1970</v>
      </c>
      <c r="CM273">
        <v>-50.07</v>
      </c>
      <c r="CN273">
        <v>17.72</v>
      </c>
      <c r="CO273">
        <v>1.07</v>
      </c>
      <c r="CP273">
        <v>11.06</v>
      </c>
      <c r="CQ273">
        <v>1.31</v>
      </c>
      <c r="CR273">
        <v>2.93</v>
      </c>
      <c r="CS273" t="s">
        <v>1971</v>
      </c>
      <c r="CT273">
        <v>4.78</v>
      </c>
      <c r="CU273">
        <v>0</v>
      </c>
      <c r="CV273">
        <v>1.08</v>
      </c>
      <c r="CW273">
        <v>1.97</v>
      </c>
      <c r="CX273">
        <v>0.46</v>
      </c>
      <c r="CY273">
        <v>73.790000000000006</v>
      </c>
      <c r="CZ273" t="s">
        <v>1972</v>
      </c>
      <c r="DA273">
        <v>16.940000000000001</v>
      </c>
      <c r="DB273">
        <v>4.5</v>
      </c>
      <c r="DC273">
        <v>4.5999999999999996</v>
      </c>
      <c r="DD273">
        <v>0.02</v>
      </c>
      <c r="DE273">
        <v>2387</v>
      </c>
      <c r="DF273">
        <v>731</v>
      </c>
      <c r="DG273" t="s">
        <v>116</v>
      </c>
      <c r="DH273" t="s">
        <v>116</v>
      </c>
      <c r="DI273" t="s">
        <v>116</v>
      </c>
    </row>
    <row r="274" spans="1:113" x14ac:dyDescent="0.4">
      <c r="A274" t="str">
        <f>"000732"</f>
        <v>000732</v>
      </c>
      <c r="B274" t="s">
        <v>1973</v>
      </c>
      <c r="C274">
        <v>-0.98</v>
      </c>
      <c r="D274">
        <v>6.05</v>
      </c>
      <c r="E274">
        <v>-0.06</v>
      </c>
      <c r="F274">
        <v>6.05</v>
      </c>
      <c r="G274">
        <v>6.06</v>
      </c>
      <c r="H274">
        <v>354217</v>
      </c>
      <c r="I274">
        <v>3621</v>
      </c>
      <c r="J274">
        <v>0</v>
      </c>
      <c r="K274">
        <v>1.42</v>
      </c>
      <c r="L274">
        <v>6.09</v>
      </c>
      <c r="M274">
        <v>6.21</v>
      </c>
      <c r="N274">
        <v>6.03</v>
      </c>
      <c r="O274">
        <v>6.11</v>
      </c>
      <c r="P274">
        <v>5.32</v>
      </c>
      <c r="Q274">
        <v>216048800</v>
      </c>
      <c r="R274">
        <v>1.02</v>
      </c>
      <c r="S274" t="s">
        <v>148</v>
      </c>
      <c r="T274" t="s">
        <v>975</v>
      </c>
      <c r="U274">
        <v>2.95</v>
      </c>
      <c r="V274">
        <v>6.1</v>
      </c>
      <c r="W274">
        <v>168196</v>
      </c>
      <c r="X274">
        <v>186021</v>
      </c>
      <c r="Y274">
        <v>0.9</v>
      </c>
      <c r="Z274">
        <v>4491</v>
      </c>
      <c r="AA274">
        <v>457</v>
      </c>
      <c r="AB274" t="s">
        <v>116</v>
      </c>
      <c r="AC274">
        <v>1180200</v>
      </c>
      <c r="AD274">
        <v>0.02</v>
      </c>
      <c r="AE274" t="s">
        <v>116</v>
      </c>
      <c r="AF274" t="s">
        <v>116</v>
      </c>
      <c r="AG274">
        <v>24.86</v>
      </c>
      <c r="AH274" t="s">
        <v>1974</v>
      </c>
      <c r="AI274" t="s">
        <v>1975</v>
      </c>
      <c r="AJ274">
        <v>-0.3</v>
      </c>
      <c r="AK274">
        <v>3157</v>
      </c>
      <c r="AL274">
        <v>112</v>
      </c>
      <c r="AM274">
        <v>5.0000000000000001E-4</v>
      </c>
      <c r="AN274">
        <v>-1</v>
      </c>
      <c r="AO274">
        <v>2.0299999999999998</v>
      </c>
      <c r="AP274">
        <v>6.89</v>
      </c>
      <c r="AQ274">
        <v>-0.17</v>
      </c>
      <c r="AR274">
        <v>-12.32</v>
      </c>
      <c r="AS274">
        <v>3.81</v>
      </c>
      <c r="AT274" t="s">
        <v>1976</v>
      </c>
      <c r="AU274">
        <v>4.66</v>
      </c>
      <c r="AV274">
        <v>5.89</v>
      </c>
      <c r="AW274">
        <v>0.92</v>
      </c>
      <c r="BA274">
        <v>-0.33</v>
      </c>
      <c r="BB274">
        <v>1.64</v>
      </c>
      <c r="BC274">
        <v>-1.31</v>
      </c>
      <c r="BD274">
        <v>-0.17</v>
      </c>
      <c r="BE274">
        <v>-0.66</v>
      </c>
      <c r="BF274">
        <v>-2.58</v>
      </c>
      <c r="BG274">
        <v>0.33</v>
      </c>
      <c r="BH274">
        <v>-0.81</v>
      </c>
      <c r="BI274">
        <v>20191223</v>
      </c>
      <c r="BJ274">
        <v>19970704</v>
      </c>
      <c r="BK274">
        <v>24.89</v>
      </c>
      <c r="BL274" t="s">
        <v>116</v>
      </c>
      <c r="BM274" t="s">
        <v>116</v>
      </c>
      <c r="BN274">
        <v>2305.9</v>
      </c>
      <c r="BO274">
        <v>220.07</v>
      </c>
      <c r="BP274">
        <v>143.38999999999999</v>
      </c>
      <c r="BQ274">
        <v>84.24</v>
      </c>
      <c r="BR274">
        <v>1836.55</v>
      </c>
      <c r="BS274">
        <v>35.54</v>
      </c>
      <c r="BT274">
        <v>14</v>
      </c>
      <c r="BU274">
        <v>1194.7</v>
      </c>
      <c r="BV274">
        <v>1544.45</v>
      </c>
      <c r="BW274">
        <v>11.86</v>
      </c>
      <c r="BX274">
        <v>31.47</v>
      </c>
      <c r="BY274">
        <v>211.92</v>
      </c>
      <c r="BZ274">
        <v>150.58000000000001</v>
      </c>
      <c r="CA274">
        <v>32.5</v>
      </c>
      <c r="CB274">
        <v>9.26</v>
      </c>
      <c r="CC274">
        <v>31.36</v>
      </c>
      <c r="CD274">
        <v>22.97</v>
      </c>
      <c r="CE274">
        <v>21.21</v>
      </c>
      <c r="CF274">
        <v>15.35</v>
      </c>
      <c r="CG274">
        <v>107.76</v>
      </c>
      <c r="CH274">
        <v>226.15</v>
      </c>
      <c r="CI274">
        <v>11</v>
      </c>
      <c r="CJ274">
        <v>49608</v>
      </c>
      <c r="CK274">
        <v>18736</v>
      </c>
      <c r="CL274" t="s">
        <v>1977</v>
      </c>
      <c r="CM274">
        <v>46.85</v>
      </c>
      <c r="CN274">
        <v>8.2200000000000006</v>
      </c>
      <c r="CO274">
        <v>0.68</v>
      </c>
      <c r="CP274">
        <v>0.67</v>
      </c>
      <c r="CQ274">
        <v>0.71</v>
      </c>
      <c r="CR274">
        <v>1.82</v>
      </c>
      <c r="CS274" t="s">
        <v>1978</v>
      </c>
      <c r="CT274">
        <v>8.84</v>
      </c>
      <c r="CU274">
        <v>0</v>
      </c>
      <c r="CV274">
        <v>1.26</v>
      </c>
      <c r="CW274">
        <v>4.33</v>
      </c>
      <c r="CX274">
        <v>9.09</v>
      </c>
      <c r="CY274">
        <v>9.5399999999999991</v>
      </c>
      <c r="CZ274" t="s">
        <v>1979</v>
      </c>
      <c r="DA274">
        <v>28.95</v>
      </c>
      <c r="DB274">
        <v>15.34</v>
      </c>
      <c r="DC274">
        <v>10.01</v>
      </c>
      <c r="DD274">
        <v>0</v>
      </c>
      <c r="DE274">
        <v>11207</v>
      </c>
      <c r="DF274">
        <v>732</v>
      </c>
      <c r="DG274" t="s">
        <v>116</v>
      </c>
      <c r="DH274" t="s">
        <v>116</v>
      </c>
      <c r="DI274" t="s">
        <v>116</v>
      </c>
    </row>
    <row r="275" spans="1:113" x14ac:dyDescent="0.4">
      <c r="A275" t="str">
        <f>"000733"</f>
        <v>000733</v>
      </c>
      <c r="B275" t="s">
        <v>1980</v>
      </c>
      <c r="C275">
        <v>-0.86</v>
      </c>
      <c r="D275">
        <v>17.2</v>
      </c>
      <c r="E275">
        <v>-0.15</v>
      </c>
      <c r="F275">
        <v>17.190000000000001</v>
      </c>
      <c r="G275">
        <v>17.2</v>
      </c>
      <c r="H275">
        <v>156519</v>
      </c>
      <c r="I275">
        <v>1634</v>
      </c>
      <c r="J275">
        <v>-0.45</v>
      </c>
      <c r="K275">
        <v>3.33</v>
      </c>
      <c r="L275">
        <v>17.38</v>
      </c>
      <c r="M275">
        <v>17.670000000000002</v>
      </c>
      <c r="N275">
        <v>17.11</v>
      </c>
      <c r="O275">
        <v>17.350000000000001</v>
      </c>
      <c r="P275">
        <v>22.27</v>
      </c>
      <c r="Q275">
        <v>271521216</v>
      </c>
      <c r="R275">
        <v>1.22</v>
      </c>
      <c r="S275" t="s">
        <v>233</v>
      </c>
      <c r="T275" t="s">
        <v>1056</v>
      </c>
      <c r="U275">
        <v>3.23</v>
      </c>
      <c r="V275">
        <v>17.350000000000001</v>
      </c>
      <c r="W275">
        <v>79312</v>
      </c>
      <c r="X275">
        <v>77207</v>
      </c>
      <c r="Y275">
        <v>1.03</v>
      </c>
      <c r="Z275">
        <v>126</v>
      </c>
      <c r="AA275">
        <v>343</v>
      </c>
      <c r="AB275" t="s">
        <v>116</v>
      </c>
      <c r="AC275">
        <v>1340000</v>
      </c>
      <c r="AD275">
        <v>0.03</v>
      </c>
      <c r="AE275" t="s">
        <v>116</v>
      </c>
      <c r="AF275" t="s">
        <v>116</v>
      </c>
      <c r="AG275">
        <v>4.6900000000000004</v>
      </c>
      <c r="AH275" t="s">
        <v>1981</v>
      </c>
      <c r="AI275" t="s">
        <v>1982</v>
      </c>
      <c r="AJ275">
        <v>-0.19</v>
      </c>
      <c r="AK275">
        <v>3587</v>
      </c>
      <c r="AL275">
        <v>44</v>
      </c>
      <c r="AM275">
        <v>8.9999999999999998E-4</v>
      </c>
      <c r="AN275">
        <v>-1</v>
      </c>
      <c r="AO275">
        <v>8.4499999999999993</v>
      </c>
      <c r="AP275">
        <v>13.23</v>
      </c>
      <c r="AQ275">
        <v>5.46</v>
      </c>
      <c r="AR275">
        <v>57.94</v>
      </c>
      <c r="AS275">
        <v>5.22</v>
      </c>
      <c r="AT275" t="s">
        <v>1983</v>
      </c>
      <c r="AU275">
        <v>29.61</v>
      </c>
      <c r="AV275">
        <v>34.19</v>
      </c>
      <c r="AW275">
        <v>1.41</v>
      </c>
      <c r="BA275">
        <v>0.17</v>
      </c>
      <c r="BB275">
        <v>1.84</v>
      </c>
      <c r="BC275">
        <v>-1.38</v>
      </c>
      <c r="BD275">
        <v>-0.01</v>
      </c>
      <c r="BE275">
        <v>-1.04</v>
      </c>
      <c r="BF275">
        <v>-2.66</v>
      </c>
      <c r="BG275">
        <v>0.53</v>
      </c>
      <c r="BH275">
        <v>-0.85</v>
      </c>
      <c r="BI275">
        <v>20191031</v>
      </c>
      <c r="BJ275">
        <v>19970703</v>
      </c>
      <c r="BK275">
        <v>5.15</v>
      </c>
      <c r="BL275" t="s">
        <v>116</v>
      </c>
      <c r="BM275" t="s">
        <v>116</v>
      </c>
      <c r="BN275">
        <v>85.87</v>
      </c>
      <c r="BO275">
        <v>53.75</v>
      </c>
      <c r="BP275">
        <v>0.06</v>
      </c>
      <c r="BQ275">
        <v>37.340000000000003</v>
      </c>
      <c r="BR275">
        <v>58.46</v>
      </c>
      <c r="BS275">
        <v>12.59</v>
      </c>
      <c r="BT275">
        <v>1.87</v>
      </c>
      <c r="BU275">
        <v>16.52</v>
      </c>
      <c r="BV275">
        <v>8.9499999999999993</v>
      </c>
      <c r="BW275">
        <v>24.19</v>
      </c>
      <c r="BX275">
        <v>29.03</v>
      </c>
      <c r="BY275">
        <v>29.98</v>
      </c>
      <c r="BZ275">
        <v>17.02</v>
      </c>
      <c r="CA275">
        <v>3.56</v>
      </c>
      <c r="CB275">
        <v>-0.32</v>
      </c>
      <c r="CC275">
        <v>3.58</v>
      </c>
      <c r="CD275">
        <v>2.98</v>
      </c>
      <c r="CE275">
        <v>2.98</v>
      </c>
      <c r="CF275">
        <v>2.35</v>
      </c>
      <c r="CG275">
        <v>16.14</v>
      </c>
      <c r="CH275">
        <v>-2.72</v>
      </c>
      <c r="CI275">
        <v>-4.62</v>
      </c>
      <c r="CJ275">
        <v>42136</v>
      </c>
      <c r="CK275">
        <v>7114</v>
      </c>
      <c r="CL275" t="s">
        <v>1984</v>
      </c>
      <c r="CM275">
        <v>15.55</v>
      </c>
      <c r="CN275">
        <v>-30.23</v>
      </c>
      <c r="CO275">
        <v>1.65</v>
      </c>
      <c r="CP275">
        <v>-32.51</v>
      </c>
      <c r="CQ275">
        <v>2.95</v>
      </c>
      <c r="CR275">
        <v>0.28999999999999998</v>
      </c>
      <c r="CS275" t="s">
        <v>1985</v>
      </c>
      <c r="CT275">
        <v>10.44</v>
      </c>
      <c r="CU275">
        <v>0</v>
      </c>
      <c r="CV275">
        <v>5.64</v>
      </c>
      <c r="CW275">
        <v>3.13</v>
      </c>
      <c r="CX275">
        <v>-0.53</v>
      </c>
      <c r="CY275">
        <v>62.59</v>
      </c>
      <c r="CZ275" t="s">
        <v>1986</v>
      </c>
      <c r="DA275">
        <v>43.22</v>
      </c>
      <c r="DB275">
        <v>11.89</v>
      </c>
      <c r="DC275">
        <v>9.9499999999999993</v>
      </c>
      <c r="DD275">
        <v>1.97</v>
      </c>
      <c r="DE275">
        <v>7909</v>
      </c>
      <c r="DF275">
        <v>733</v>
      </c>
      <c r="DG275" t="s">
        <v>116</v>
      </c>
      <c r="DH275" t="s">
        <v>116</v>
      </c>
      <c r="DI275" t="s">
        <v>116</v>
      </c>
    </row>
    <row r="276" spans="1:113" x14ac:dyDescent="0.4">
      <c r="A276" t="str">
        <f>"000735"</f>
        <v>000735</v>
      </c>
      <c r="B276" t="s">
        <v>1987</v>
      </c>
      <c r="C276">
        <v>0.28999999999999998</v>
      </c>
      <c r="D276">
        <v>10.28</v>
      </c>
      <c r="E276">
        <v>0.03</v>
      </c>
      <c r="F276">
        <v>10.27</v>
      </c>
      <c r="G276">
        <v>10.28</v>
      </c>
      <c r="H276">
        <v>410901</v>
      </c>
      <c r="I276">
        <v>10873</v>
      </c>
      <c r="J276">
        <v>0.19</v>
      </c>
      <c r="K276">
        <v>3.57</v>
      </c>
      <c r="L276">
        <v>10.29</v>
      </c>
      <c r="M276">
        <v>10.38</v>
      </c>
      <c r="N276">
        <v>10.029999999999999</v>
      </c>
      <c r="O276">
        <v>10.25</v>
      </c>
      <c r="P276" t="s">
        <v>116</v>
      </c>
      <c r="Q276">
        <v>418116256</v>
      </c>
      <c r="R276">
        <v>0.66</v>
      </c>
      <c r="S276" t="s">
        <v>449</v>
      </c>
      <c r="T276" t="s">
        <v>851</v>
      </c>
      <c r="U276">
        <v>3.41</v>
      </c>
      <c r="V276">
        <v>10.18</v>
      </c>
      <c r="W276">
        <v>218675</v>
      </c>
      <c r="X276">
        <v>192226</v>
      </c>
      <c r="Y276">
        <v>1.1399999999999999</v>
      </c>
      <c r="Z276">
        <v>520</v>
      </c>
      <c r="AA276">
        <v>248</v>
      </c>
      <c r="AB276" t="s">
        <v>116</v>
      </c>
      <c r="AC276">
        <v>958000</v>
      </c>
      <c r="AD276">
        <v>0.01</v>
      </c>
      <c r="AE276" t="s">
        <v>116</v>
      </c>
      <c r="AF276" t="s">
        <v>116</v>
      </c>
      <c r="AG276">
        <v>11.51</v>
      </c>
      <c r="AH276" t="s">
        <v>1988</v>
      </c>
      <c r="AI276" t="s">
        <v>1989</v>
      </c>
      <c r="AJ276">
        <v>0.97</v>
      </c>
      <c r="AK276">
        <v>3861</v>
      </c>
      <c r="AL276">
        <v>106</v>
      </c>
      <c r="AM276">
        <v>8.9999999999999998E-4</v>
      </c>
      <c r="AN276">
        <v>2</v>
      </c>
      <c r="AO276">
        <v>-0.59</v>
      </c>
      <c r="AP276">
        <v>12.72</v>
      </c>
      <c r="AQ276">
        <v>12.23</v>
      </c>
      <c r="AR276">
        <v>6.64</v>
      </c>
      <c r="AS276">
        <v>4.54</v>
      </c>
      <c r="AT276" t="s">
        <v>1990</v>
      </c>
      <c r="AU276" t="s">
        <v>116</v>
      </c>
      <c r="AV276">
        <v>30.45</v>
      </c>
      <c r="AW276">
        <v>0.86</v>
      </c>
      <c r="BA276">
        <v>0.39</v>
      </c>
      <c r="BB276">
        <v>1.27</v>
      </c>
      <c r="BC276">
        <v>-2.15</v>
      </c>
      <c r="BD276">
        <v>-0.73</v>
      </c>
      <c r="BE276">
        <v>-0.1</v>
      </c>
      <c r="BF276">
        <v>-0.96</v>
      </c>
      <c r="BG276">
        <v>2.4900000000000002</v>
      </c>
      <c r="BH276">
        <v>1.02</v>
      </c>
      <c r="BI276">
        <v>20191227</v>
      </c>
      <c r="BJ276">
        <v>19970611</v>
      </c>
      <c r="BK276">
        <v>11.52</v>
      </c>
      <c r="BL276" t="s">
        <v>116</v>
      </c>
      <c r="BM276" t="s">
        <v>116</v>
      </c>
      <c r="BN276">
        <v>61.51</v>
      </c>
      <c r="BO276">
        <v>39.08</v>
      </c>
      <c r="BP276">
        <v>1.19</v>
      </c>
      <c r="BQ276">
        <v>34.54</v>
      </c>
      <c r="BR276">
        <v>14.85</v>
      </c>
      <c r="BS276">
        <v>24.87</v>
      </c>
      <c r="BT276">
        <v>3.29</v>
      </c>
      <c r="BU276">
        <v>11.44</v>
      </c>
      <c r="BV276">
        <v>8.0399999999999991</v>
      </c>
      <c r="BW276">
        <v>0.28999999999999998</v>
      </c>
      <c r="BX276">
        <v>15.89</v>
      </c>
      <c r="BY276">
        <v>6.82</v>
      </c>
      <c r="BZ276">
        <v>5.95</v>
      </c>
      <c r="CA276">
        <v>-0.42</v>
      </c>
      <c r="CB276">
        <v>0.57999999999999996</v>
      </c>
      <c r="CC276">
        <v>-0.36</v>
      </c>
      <c r="CD276">
        <v>-0.41</v>
      </c>
      <c r="CE276">
        <v>-0.41</v>
      </c>
      <c r="CF276">
        <v>-0.47</v>
      </c>
      <c r="CG276">
        <v>9.6300000000000008</v>
      </c>
      <c r="CH276">
        <v>0.14000000000000001</v>
      </c>
      <c r="CI276">
        <v>0.06</v>
      </c>
      <c r="CJ276">
        <v>137100</v>
      </c>
      <c r="CK276">
        <v>6595</v>
      </c>
      <c r="CL276" t="s">
        <v>1991</v>
      </c>
      <c r="CM276">
        <v>-110.58</v>
      </c>
      <c r="CN276">
        <v>-22.41</v>
      </c>
      <c r="CO276">
        <v>3.03</v>
      </c>
      <c r="CP276">
        <v>876.19</v>
      </c>
      <c r="CQ276">
        <v>17.36</v>
      </c>
      <c r="CR276">
        <v>0.19</v>
      </c>
      <c r="CS276" t="s">
        <v>1992</v>
      </c>
      <c r="CT276">
        <v>3.39</v>
      </c>
      <c r="CU276">
        <v>0</v>
      </c>
      <c r="CV276">
        <v>1.38</v>
      </c>
      <c r="CW276">
        <v>0.84</v>
      </c>
      <c r="CX276">
        <v>0.01</v>
      </c>
      <c r="CY276">
        <v>63.53</v>
      </c>
      <c r="CZ276" t="s">
        <v>1993</v>
      </c>
      <c r="DA276">
        <v>12.75</v>
      </c>
      <c r="DB276">
        <v>-6.13</v>
      </c>
      <c r="DC276">
        <v>-6.05</v>
      </c>
      <c r="DD276">
        <v>0.04</v>
      </c>
      <c r="DE276">
        <v>2232</v>
      </c>
      <c r="DF276">
        <v>735</v>
      </c>
      <c r="DG276" t="s">
        <v>116</v>
      </c>
      <c r="DH276" t="s">
        <v>116</v>
      </c>
      <c r="DI276" t="s">
        <v>116</v>
      </c>
    </row>
    <row r="277" spans="1:113" x14ac:dyDescent="0.4">
      <c r="A277" t="str">
        <f>"000736"</f>
        <v>000736</v>
      </c>
      <c r="B277" t="s">
        <v>1994</v>
      </c>
      <c r="C277">
        <v>-1.01</v>
      </c>
      <c r="D277">
        <v>6.89</v>
      </c>
      <c r="E277">
        <v>-7.0000000000000007E-2</v>
      </c>
      <c r="F277">
        <v>6.89</v>
      </c>
      <c r="G277">
        <v>6.9</v>
      </c>
      <c r="H277">
        <v>25040</v>
      </c>
      <c r="I277">
        <v>138</v>
      </c>
      <c r="J277">
        <v>-0.13</v>
      </c>
      <c r="K277">
        <v>0.47</v>
      </c>
      <c r="L277">
        <v>6.96</v>
      </c>
      <c r="M277">
        <v>7</v>
      </c>
      <c r="N277">
        <v>6.88</v>
      </c>
      <c r="O277">
        <v>6.96</v>
      </c>
      <c r="P277">
        <v>16.920000000000002</v>
      </c>
      <c r="Q277">
        <v>17329398</v>
      </c>
      <c r="R277">
        <v>0.98</v>
      </c>
      <c r="S277" t="s">
        <v>124</v>
      </c>
      <c r="T277" t="s">
        <v>906</v>
      </c>
      <c r="U277">
        <v>1.72</v>
      </c>
      <c r="V277">
        <v>6.92</v>
      </c>
      <c r="W277">
        <v>13844</v>
      </c>
      <c r="X277">
        <v>11196</v>
      </c>
      <c r="Y277">
        <v>1.24</v>
      </c>
      <c r="Z277">
        <v>282</v>
      </c>
      <c r="AA277">
        <v>23</v>
      </c>
      <c r="AB277" t="s">
        <v>116</v>
      </c>
      <c r="AC277">
        <v>144100</v>
      </c>
      <c r="AD277">
        <v>0.01</v>
      </c>
      <c r="AE277" t="s">
        <v>116</v>
      </c>
      <c r="AF277" t="s">
        <v>116</v>
      </c>
      <c r="AG277">
        <v>5.35</v>
      </c>
      <c r="AH277" t="s">
        <v>1995</v>
      </c>
      <c r="AI277" t="s">
        <v>1995</v>
      </c>
      <c r="AJ277">
        <v>-0.33</v>
      </c>
      <c r="AK277">
        <v>678</v>
      </c>
      <c r="AL277">
        <v>37</v>
      </c>
      <c r="AM277">
        <v>6.9999999999999999E-4</v>
      </c>
      <c r="AN277">
        <v>-1</v>
      </c>
      <c r="AO277">
        <v>1.92</v>
      </c>
      <c r="AP277">
        <v>6.99</v>
      </c>
      <c r="AQ277">
        <v>6.99</v>
      </c>
      <c r="AR277">
        <v>14.2</v>
      </c>
      <c r="AS277">
        <v>1.63</v>
      </c>
      <c r="AT277" t="s">
        <v>1537</v>
      </c>
      <c r="AU277">
        <v>8.5299999999999994</v>
      </c>
      <c r="AV277">
        <v>4.55</v>
      </c>
      <c r="AW277">
        <v>0.94</v>
      </c>
      <c r="BA277">
        <v>0</v>
      </c>
      <c r="BB277">
        <v>0.56999999999999995</v>
      </c>
      <c r="BC277">
        <v>-1.1499999999999999</v>
      </c>
      <c r="BD277">
        <v>-0.56999999999999995</v>
      </c>
      <c r="BE277">
        <v>-1.01</v>
      </c>
      <c r="BF277">
        <v>-1.57</v>
      </c>
      <c r="BG277">
        <v>0.15</v>
      </c>
      <c r="BH277">
        <v>-0.44</v>
      </c>
      <c r="BI277">
        <v>20191210</v>
      </c>
      <c r="BJ277">
        <v>19970425</v>
      </c>
      <c r="BK277">
        <v>5.35</v>
      </c>
      <c r="BL277" t="s">
        <v>116</v>
      </c>
      <c r="BM277" t="s">
        <v>116</v>
      </c>
      <c r="BN277">
        <v>474.46</v>
      </c>
      <c r="BO277">
        <v>23.58</v>
      </c>
      <c r="BP277">
        <v>22.72</v>
      </c>
      <c r="BQ277">
        <v>90.24</v>
      </c>
      <c r="BR277">
        <v>442.06</v>
      </c>
      <c r="BS277">
        <v>0.55000000000000004</v>
      </c>
      <c r="BT277">
        <v>0.06</v>
      </c>
      <c r="BU277">
        <v>269.58</v>
      </c>
      <c r="BV277">
        <v>327.94</v>
      </c>
      <c r="BW277">
        <v>0.85</v>
      </c>
      <c r="BX277">
        <v>2.21</v>
      </c>
      <c r="BY277">
        <v>45.92</v>
      </c>
      <c r="BZ277">
        <v>35.22</v>
      </c>
      <c r="CA277">
        <v>5.01</v>
      </c>
      <c r="CB277">
        <v>-0.62</v>
      </c>
      <c r="CC277">
        <v>4.99</v>
      </c>
      <c r="CD277">
        <v>3.56</v>
      </c>
      <c r="CE277">
        <v>1.63</v>
      </c>
      <c r="CF277">
        <v>0</v>
      </c>
      <c r="CG277">
        <v>15.49</v>
      </c>
      <c r="CH277">
        <v>-52.1</v>
      </c>
      <c r="CI277">
        <v>-8.5</v>
      </c>
      <c r="CJ277">
        <v>11418</v>
      </c>
      <c r="CK277">
        <v>13494</v>
      </c>
      <c r="CL277" t="s">
        <v>298</v>
      </c>
      <c r="CM277">
        <v>-69.8</v>
      </c>
      <c r="CN277">
        <v>-11.49</v>
      </c>
      <c r="CO277">
        <v>1.56</v>
      </c>
      <c r="CP277">
        <v>-0.71</v>
      </c>
      <c r="CQ277">
        <v>0.8</v>
      </c>
      <c r="CR277">
        <v>2.2999999999999998</v>
      </c>
      <c r="CS277" t="s">
        <v>1996</v>
      </c>
      <c r="CT277">
        <v>4.41</v>
      </c>
      <c r="CU277">
        <v>0</v>
      </c>
      <c r="CV277">
        <v>0.41</v>
      </c>
      <c r="CW277">
        <v>2.89</v>
      </c>
      <c r="CX277">
        <v>-9.74</v>
      </c>
      <c r="CY277">
        <v>4.97</v>
      </c>
      <c r="CZ277" t="s">
        <v>1997</v>
      </c>
      <c r="DA277">
        <v>23.3</v>
      </c>
      <c r="DB277">
        <v>10.91</v>
      </c>
      <c r="DC277">
        <v>3.56</v>
      </c>
      <c r="DD277">
        <v>0</v>
      </c>
      <c r="DE277">
        <v>929</v>
      </c>
      <c r="DF277">
        <v>736</v>
      </c>
      <c r="DG277" t="s">
        <v>116</v>
      </c>
      <c r="DH277" t="s">
        <v>116</v>
      </c>
      <c r="DI277" t="s">
        <v>116</v>
      </c>
    </row>
    <row r="278" spans="1:113" x14ac:dyDescent="0.4">
      <c r="A278" t="str">
        <f>"000737"</f>
        <v>000737</v>
      </c>
      <c r="B278" t="s">
        <v>1998</v>
      </c>
      <c r="C278">
        <v>-0.33</v>
      </c>
      <c r="D278">
        <v>3</v>
      </c>
      <c r="E278">
        <v>-0.01</v>
      </c>
      <c r="F278">
        <v>2.98</v>
      </c>
      <c r="G278">
        <v>3</v>
      </c>
      <c r="H278">
        <v>36605</v>
      </c>
      <c r="I278">
        <v>186</v>
      </c>
      <c r="J278">
        <v>1.01</v>
      </c>
      <c r="K278">
        <v>0.67</v>
      </c>
      <c r="L278">
        <v>3.02</v>
      </c>
      <c r="M278">
        <v>3.03</v>
      </c>
      <c r="N278">
        <v>2.94</v>
      </c>
      <c r="O278">
        <v>3.01</v>
      </c>
      <c r="P278">
        <v>583.37</v>
      </c>
      <c r="Q278">
        <v>10953020</v>
      </c>
      <c r="R278">
        <v>0.77</v>
      </c>
      <c r="S278" t="s">
        <v>953</v>
      </c>
      <c r="T278" t="s">
        <v>675</v>
      </c>
      <c r="U278">
        <v>2.99</v>
      </c>
      <c r="V278">
        <v>2.99</v>
      </c>
      <c r="W278">
        <v>24684</v>
      </c>
      <c r="X278">
        <v>11921</v>
      </c>
      <c r="Y278">
        <v>2.0699999999999998</v>
      </c>
      <c r="Z278">
        <v>13</v>
      </c>
      <c r="AA278">
        <v>572</v>
      </c>
      <c r="AB278" t="s">
        <v>116</v>
      </c>
      <c r="AC278">
        <v>30200</v>
      </c>
      <c r="AD278">
        <v>0</v>
      </c>
      <c r="AE278" t="s">
        <v>116</v>
      </c>
      <c r="AF278" t="s">
        <v>116</v>
      </c>
      <c r="AG278">
        <v>5.49</v>
      </c>
      <c r="AH278" t="s">
        <v>569</v>
      </c>
      <c r="AI278" t="s">
        <v>569</v>
      </c>
      <c r="AJ278">
        <v>0.35</v>
      </c>
      <c r="AK278">
        <v>439</v>
      </c>
      <c r="AL278">
        <v>83</v>
      </c>
      <c r="AM278">
        <v>1.5E-3</v>
      </c>
      <c r="AN278">
        <v>-1</v>
      </c>
      <c r="AO278">
        <v>-2.91</v>
      </c>
      <c r="AP278">
        <v>9.49</v>
      </c>
      <c r="AQ278">
        <v>1.69</v>
      </c>
      <c r="AR278">
        <v>6.01</v>
      </c>
      <c r="AS278">
        <v>0.98</v>
      </c>
      <c r="AT278" t="s">
        <v>1999</v>
      </c>
      <c r="AU278">
        <v>3.81</v>
      </c>
      <c r="AV278">
        <v>6.16</v>
      </c>
      <c r="AW278">
        <v>0.37</v>
      </c>
      <c r="BA278">
        <v>0.33</v>
      </c>
      <c r="BB278">
        <v>0.66</v>
      </c>
      <c r="BC278">
        <v>-2.33</v>
      </c>
      <c r="BD278">
        <v>-0.59</v>
      </c>
      <c r="BE278">
        <v>-0.66</v>
      </c>
      <c r="BF278">
        <v>-0.99</v>
      </c>
      <c r="BG278">
        <v>2.04</v>
      </c>
      <c r="BH278">
        <v>0.26</v>
      </c>
      <c r="BI278">
        <v>20191024</v>
      </c>
      <c r="BJ278">
        <v>19970428</v>
      </c>
      <c r="BK278">
        <v>5.49</v>
      </c>
      <c r="BL278" t="s">
        <v>116</v>
      </c>
      <c r="BM278" t="s">
        <v>116</v>
      </c>
      <c r="BN278">
        <v>15.68</v>
      </c>
      <c r="BO278">
        <v>3.83</v>
      </c>
      <c r="BP278">
        <v>0.09</v>
      </c>
      <c r="BQ278">
        <v>74.959999999999994</v>
      </c>
      <c r="BR278">
        <v>7.77</v>
      </c>
      <c r="BS278">
        <v>4.4000000000000004</v>
      </c>
      <c r="BT278">
        <v>2.06</v>
      </c>
      <c r="BU278">
        <v>11.28</v>
      </c>
      <c r="BV278">
        <v>2.3199999999999998</v>
      </c>
      <c r="BW278">
        <v>1.31</v>
      </c>
      <c r="BX278">
        <v>9.91</v>
      </c>
      <c r="BY278">
        <v>9.25</v>
      </c>
      <c r="BZ278">
        <v>7.37</v>
      </c>
      <c r="CA278">
        <v>0.14000000000000001</v>
      </c>
      <c r="CB278">
        <v>0</v>
      </c>
      <c r="CC278">
        <v>0.14000000000000001</v>
      </c>
      <c r="CD278">
        <v>0.03</v>
      </c>
      <c r="CE278">
        <v>0.02</v>
      </c>
      <c r="CF278">
        <v>-0.15</v>
      </c>
      <c r="CG278">
        <v>-12.45</v>
      </c>
      <c r="CH278">
        <v>0</v>
      </c>
      <c r="CI278">
        <v>-2.69</v>
      </c>
      <c r="CJ278">
        <v>39349</v>
      </c>
      <c r="CK278">
        <v>9512</v>
      </c>
      <c r="CL278" t="s">
        <v>2000</v>
      </c>
      <c r="CM278">
        <v>101.3</v>
      </c>
      <c r="CN278">
        <v>-39.130000000000003</v>
      </c>
      <c r="CO278">
        <v>4.3</v>
      </c>
      <c r="CP278">
        <v>-15131.25</v>
      </c>
      <c r="CQ278">
        <v>1.78</v>
      </c>
      <c r="CR278">
        <v>0</v>
      </c>
      <c r="CS278" t="s">
        <v>2001</v>
      </c>
      <c r="CT278">
        <v>0.7</v>
      </c>
      <c r="CU278">
        <v>0</v>
      </c>
      <c r="CV278">
        <v>1.81</v>
      </c>
      <c r="CW278">
        <v>-2.27</v>
      </c>
      <c r="CX278">
        <v>0</v>
      </c>
      <c r="CY278">
        <v>24.44</v>
      </c>
      <c r="CZ278" t="s">
        <v>2002</v>
      </c>
      <c r="DA278">
        <v>20.329999999999998</v>
      </c>
      <c r="DB278">
        <v>1.51</v>
      </c>
      <c r="DC278">
        <v>0.23</v>
      </c>
      <c r="DD278">
        <v>0.05</v>
      </c>
      <c r="DE278">
        <v>1761</v>
      </c>
      <c r="DF278">
        <v>737</v>
      </c>
      <c r="DG278" t="s">
        <v>116</v>
      </c>
      <c r="DH278" t="s">
        <v>116</v>
      </c>
      <c r="DI278" t="s">
        <v>116</v>
      </c>
    </row>
    <row r="279" spans="1:113" x14ac:dyDescent="0.4">
      <c r="A279" t="str">
        <f>"000738"</f>
        <v>000738</v>
      </c>
      <c r="B279" t="s">
        <v>2003</v>
      </c>
      <c r="C279">
        <v>-0.46</v>
      </c>
      <c r="D279">
        <v>13.03</v>
      </c>
      <c r="E279">
        <v>-0.06</v>
      </c>
      <c r="F279">
        <v>13.03</v>
      </c>
      <c r="G279">
        <v>13.04</v>
      </c>
      <c r="H279">
        <v>60428</v>
      </c>
      <c r="I279">
        <v>434</v>
      </c>
      <c r="J279">
        <v>0</v>
      </c>
      <c r="K279">
        <v>0.53</v>
      </c>
      <c r="L279">
        <v>13.15</v>
      </c>
      <c r="M279">
        <v>13.22</v>
      </c>
      <c r="N279">
        <v>12.99</v>
      </c>
      <c r="O279">
        <v>13.09</v>
      </c>
      <c r="P279">
        <v>44.36</v>
      </c>
      <c r="Q279">
        <v>79404512</v>
      </c>
      <c r="R279">
        <v>1.35</v>
      </c>
      <c r="S279" t="s">
        <v>1789</v>
      </c>
      <c r="T279" t="s">
        <v>323</v>
      </c>
      <c r="U279">
        <v>1.76</v>
      </c>
      <c r="V279">
        <v>13.14</v>
      </c>
      <c r="W279">
        <v>28186</v>
      </c>
      <c r="X279">
        <v>32242</v>
      </c>
      <c r="Y279">
        <v>0.87</v>
      </c>
      <c r="Z279">
        <v>25</v>
      </c>
      <c r="AA279">
        <v>438</v>
      </c>
      <c r="AB279" t="s">
        <v>116</v>
      </c>
      <c r="AC279">
        <v>385300</v>
      </c>
      <c r="AD279">
        <v>0.01</v>
      </c>
      <c r="AE279" t="s">
        <v>116</v>
      </c>
      <c r="AF279" t="s">
        <v>116</v>
      </c>
      <c r="AG279">
        <v>11.46</v>
      </c>
      <c r="AH279" t="s">
        <v>2004</v>
      </c>
      <c r="AI279" t="s">
        <v>2004</v>
      </c>
      <c r="AJ279">
        <v>0.22</v>
      </c>
      <c r="AK279">
        <v>2439</v>
      </c>
      <c r="AL279">
        <v>25</v>
      </c>
      <c r="AM279">
        <v>2.0000000000000001E-4</v>
      </c>
      <c r="AN279">
        <v>-1</v>
      </c>
      <c r="AO279">
        <v>-0.15</v>
      </c>
      <c r="AP279">
        <v>1.72</v>
      </c>
      <c r="AQ279">
        <v>-5.44</v>
      </c>
      <c r="AR279">
        <v>8.4</v>
      </c>
      <c r="AS279">
        <v>1.1100000000000001</v>
      </c>
      <c r="AT279" t="s">
        <v>2005</v>
      </c>
      <c r="AU279">
        <v>53.64</v>
      </c>
      <c r="AV279">
        <v>57.57</v>
      </c>
      <c r="AW279">
        <v>0.62</v>
      </c>
      <c r="BA279">
        <v>0.46</v>
      </c>
      <c r="BB279">
        <v>0.99</v>
      </c>
      <c r="BC279">
        <v>-0.76</v>
      </c>
      <c r="BD279">
        <v>0.38</v>
      </c>
      <c r="BE279">
        <v>-0.91</v>
      </c>
      <c r="BF279">
        <v>-1.44</v>
      </c>
      <c r="BG279">
        <v>0.31</v>
      </c>
      <c r="BH279">
        <v>-0.84</v>
      </c>
      <c r="BI279">
        <v>20191223</v>
      </c>
      <c r="BJ279">
        <v>19970626</v>
      </c>
      <c r="BK279">
        <v>11.46</v>
      </c>
      <c r="BL279" t="s">
        <v>116</v>
      </c>
      <c r="BM279" t="s">
        <v>116</v>
      </c>
      <c r="BN279">
        <v>78.239999999999995</v>
      </c>
      <c r="BO279">
        <v>55.73</v>
      </c>
      <c r="BP279">
        <v>3.12</v>
      </c>
      <c r="BQ279">
        <v>24.78</v>
      </c>
      <c r="BR279">
        <v>47.06</v>
      </c>
      <c r="BS279">
        <v>21.8</v>
      </c>
      <c r="BT279">
        <v>5.09</v>
      </c>
      <c r="BU279">
        <v>16.8</v>
      </c>
      <c r="BV279">
        <v>10.210000000000001</v>
      </c>
      <c r="BW279">
        <v>17.350000000000001</v>
      </c>
      <c r="BX279">
        <v>26.67</v>
      </c>
      <c r="BY279">
        <v>20.78</v>
      </c>
      <c r="BZ279">
        <v>14.82</v>
      </c>
      <c r="CA279">
        <v>2.87</v>
      </c>
      <c r="CB279">
        <v>0</v>
      </c>
      <c r="CC279">
        <v>2.87</v>
      </c>
      <c r="CD279">
        <v>2.52</v>
      </c>
      <c r="CE279">
        <v>2.52</v>
      </c>
      <c r="CF279">
        <v>2.12</v>
      </c>
      <c r="CG279">
        <v>16.55</v>
      </c>
      <c r="CH279">
        <v>0.68</v>
      </c>
      <c r="CI279">
        <v>-1.52</v>
      </c>
      <c r="CJ279">
        <v>78240</v>
      </c>
      <c r="CK279">
        <v>6949</v>
      </c>
      <c r="CL279" t="s">
        <v>2006</v>
      </c>
      <c r="CM279">
        <v>8.14</v>
      </c>
      <c r="CN279">
        <v>11.33</v>
      </c>
      <c r="CO279">
        <v>2.68</v>
      </c>
      <c r="CP279">
        <v>217.97</v>
      </c>
      <c r="CQ279">
        <v>7.18</v>
      </c>
      <c r="CR279">
        <v>0.31</v>
      </c>
      <c r="CS279" t="s">
        <v>1244</v>
      </c>
      <c r="CT279">
        <v>4.8600000000000003</v>
      </c>
      <c r="CU279">
        <v>0</v>
      </c>
      <c r="CV279">
        <v>2.33</v>
      </c>
      <c r="CW279">
        <v>1.44</v>
      </c>
      <c r="CX279">
        <v>0.06</v>
      </c>
      <c r="CY279">
        <v>71.23</v>
      </c>
      <c r="CZ279" t="s">
        <v>2007</v>
      </c>
      <c r="DA279">
        <v>28.66</v>
      </c>
      <c r="DB279">
        <v>13.8</v>
      </c>
      <c r="DC279">
        <v>12.15</v>
      </c>
      <c r="DD279">
        <v>1.03</v>
      </c>
      <c r="DE279">
        <v>7745</v>
      </c>
      <c r="DF279">
        <v>738</v>
      </c>
      <c r="DG279" t="s">
        <v>116</v>
      </c>
      <c r="DH279" t="s">
        <v>116</v>
      </c>
      <c r="DI279" t="s">
        <v>116</v>
      </c>
    </row>
    <row r="280" spans="1:113" x14ac:dyDescent="0.4">
      <c r="A280" t="str">
        <f>"000739"</f>
        <v>000739</v>
      </c>
      <c r="B280" t="s">
        <v>2008</v>
      </c>
      <c r="C280">
        <v>-1.43</v>
      </c>
      <c r="D280">
        <v>13.06</v>
      </c>
      <c r="E280">
        <v>-0.19</v>
      </c>
      <c r="F280">
        <v>13.06</v>
      </c>
      <c r="G280">
        <v>13.07</v>
      </c>
      <c r="H280">
        <v>80502</v>
      </c>
      <c r="I280">
        <v>1762</v>
      </c>
      <c r="J280">
        <v>-7.0000000000000007E-2</v>
      </c>
      <c r="K280">
        <v>0.7</v>
      </c>
      <c r="L280">
        <v>13.3</v>
      </c>
      <c r="M280">
        <v>13.3</v>
      </c>
      <c r="N280">
        <v>12.82</v>
      </c>
      <c r="O280">
        <v>13.25</v>
      </c>
      <c r="P280">
        <v>26.75</v>
      </c>
      <c r="Q280">
        <v>105057240</v>
      </c>
      <c r="R280">
        <v>0.95</v>
      </c>
      <c r="S280" t="s">
        <v>574</v>
      </c>
      <c r="T280" t="s">
        <v>590</v>
      </c>
      <c r="U280">
        <v>3.62</v>
      </c>
      <c r="V280">
        <v>13.05</v>
      </c>
      <c r="W280">
        <v>51037</v>
      </c>
      <c r="X280">
        <v>29465</v>
      </c>
      <c r="Y280">
        <v>1.73</v>
      </c>
      <c r="Z280">
        <v>190</v>
      </c>
      <c r="AA280">
        <v>153</v>
      </c>
      <c r="AB280" t="s">
        <v>116</v>
      </c>
      <c r="AC280">
        <v>190200</v>
      </c>
      <c r="AD280">
        <v>0</v>
      </c>
      <c r="AE280" t="s">
        <v>116</v>
      </c>
      <c r="AF280" t="s">
        <v>116</v>
      </c>
      <c r="AG280">
        <v>11.47</v>
      </c>
      <c r="AH280" t="s">
        <v>2009</v>
      </c>
      <c r="AI280" t="s">
        <v>2010</v>
      </c>
      <c r="AJ280">
        <v>-0.76</v>
      </c>
      <c r="AK280">
        <v>2230</v>
      </c>
      <c r="AL280">
        <v>36</v>
      </c>
      <c r="AM280">
        <v>2.9999999999999997E-4</v>
      </c>
      <c r="AN280">
        <v>-1</v>
      </c>
      <c r="AO280">
        <v>2.11</v>
      </c>
      <c r="AP280">
        <v>-4.5999999999999996</v>
      </c>
      <c r="AQ280">
        <v>5.75</v>
      </c>
      <c r="AR280">
        <v>78.17</v>
      </c>
      <c r="AS280">
        <v>1.37</v>
      </c>
      <c r="AT280" t="s">
        <v>1029</v>
      </c>
      <c r="AU280">
        <v>29.11</v>
      </c>
      <c r="AV280">
        <v>41.54</v>
      </c>
      <c r="AW280">
        <v>0.86</v>
      </c>
      <c r="BA280">
        <v>0.38</v>
      </c>
      <c r="BB280">
        <v>0.38</v>
      </c>
      <c r="BC280">
        <v>-3.25</v>
      </c>
      <c r="BD280">
        <v>-1.51</v>
      </c>
      <c r="BE280">
        <v>-1.8</v>
      </c>
      <c r="BF280">
        <v>-1.8</v>
      </c>
      <c r="BG280">
        <v>1.87</v>
      </c>
      <c r="BH280">
        <v>7.0000000000000007E-2</v>
      </c>
      <c r="BI280">
        <v>20191018</v>
      </c>
      <c r="BJ280">
        <v>19970509</v>
      </c>
      <c r="BK280">
        <v>11.79</v>
      </c>
      <c r="BL280" t="s">
        <v>116</v>
      </c>
      <c r="BM280" t="s">
        <v>116</v>
      </c>
      <c r="BN280">
        <v>63.23</v>
      </c>
      <c r="BO280">
        <v>36.46</v>
      </c>
      <c r="BP280">
        <v>0</v>
      </c>
      <c r="BQ280">
        <v>42.34</v>
      </c>
      <c r="BR280">
        <v>37.72</v>
      </c>
      <c r="BS280">
        <v>18.87</v>
      </c>
      <c r="BT280">
        <v>3.34</v>
      </c>
      <c r="BU280">
        <v>24.85</v>
      </c>
      <c r="BV280">
        <v>8.69</v>
      </c>
      <c r="BW280">
        <v>11.22</v>
      </c>
      <c r="BX280">
        <v>4.34</v>
      </c>
      <c r="BY280">
        <v>54.15</v>
      </c>
      <c r="BZ280">
        <v>36.81</v>
      </c>
      <c r="CA280">
        <v>5.19</v>
      </c>
      <c r="CB280">
        <v>0.04</v>
      </c>
      <c r="CC280">
        <v>5.16</v>
      </c>
      <c r="CD280">
        <v>4.32</v>
      </c>
      <c r="CE280">
        <v>4.32</v>
      </c>
      <c r="CF280">
        <v>4.2699999999999996</v>
      </c>
      <c r="CG280">
        <v>19.22</v>
      </c>
      <c r="CH280">
        <v>10.83</v>
      </c>
      <c r="CI280">
        <v>0.02</v>
      </c>
      <c r="CJ280">
        <v>35564</v>
      </c>
      <c r="CK280">
        <v>16496</v>
      </c>
      <c r="CL280" t="s">
        <v>2011</v>
      </c>
      <c r="CM280">
        <v>57.87</v>
      </c>
      <c r="CN280">
        <v>15.99</v>
      </c>
      <c r="CO280">
        <v>4.22</v>
      </c>
      <c r="CP280">
        <v>14.21</v>
      </c>
      <c r="CQ280">
        <v>2.84</v>
      </c>
      <c r="CR280">
        <v>0.84</v>
      </c>
      <c r="CS280" t="s">
        <v>2012</v>
      </c>
      <c r="CT280">
        <v>3.09</v>
      </c>
      <c r="CU280">
        <v>0</v>
      </c>
      <c r="CV280">
        <v>0.37</v>
      </c>
      <c r="CW280">
        <v>1.63</v>
      </c>
      <c r="CX280">
        <v>0.92</v>
      </c>
      <c r="CY280">
        <v>57.66</v>
      </c>
      <c r="CZ280" t="s">
        <v>2013</v>
      </c>
      <c r="DA280">
        <v>32.020000000000003</v>
      </c>
      <c r="DB280">
        <v>9.58</v>
      </c>
      <c r="DC280">
        <v>7.97</v>
      </c>
      <c r="DD280">
        <v>2.76</v>
      </c>
      <c r="DE280">
        <v>5761</v>
      </c>
      <c r="DF280">
        <v>739</v>
      </c>
      <c r="DG280" t="s">
        <v>116</v>
      </c>
      <c r="DH280" t="s">
        <v>116</v>
      </c>
      <c r="DI280" t="s">
        <v>116</v>
      </c>
    </row>
    <row r="281" spans="1:113" x14ac:dyDescent="0.4">
      <c r="A281" t="str">
        <f>"000750"</f>
        <v>000750</v>
      </c>
      <c r="B281" t="s">
        <v>2014</v>
      </c>
      <c r="C281">
        <v>-4.43</v>
      </c>
      <c r="D281">
        <v>5.18</v>
      </c>
      <c r="E281">
        <v>-0.24</v>
      </c>
      <c r="F281">
        <v>5.18</v>
      </c>
      <c r="G281">
        <v>5.19</v>
      </c>
      <c r="H281">
        <v>1903879</v>
      </c>
      <c r="I281">
        <v>16820</v>
      </c>
      <c r="J281">
        <v>-0.18</v>
      </c>
      <c r="K281">
        <v>4.5199999999999996</v>
      </c>
      <c r="L281">
        <v>5.37</v>
      </c>
      <c r="M281">
        <v>5.41</v>
      </c>
      <c r="N281">
        <v>5.16</v>
      </c>
      <c r="O281">
        <v>5.42</v>
      </c>
      <c r="P281">
        <v>28.12</v>
      </c>
      <c r="Q281">
        <v>1010234752</v>
      </c>
      <c r="R281">
        <v>1.56</v>
      </c>
      <c r="S281" t="s">
        <v>623</v>
      </c>
      <c r="T281" t="s">
        <v>982</v>
      </c>
      <c r="U281">
        <v>4.6100000000000003</v>
      </c>
      <c r="V281">
        <v>5.31</v>
      </c>
      <c r="W281">
        <v>979472</v>
      </c>
      <c r="X281">
        <v>924407</v>
      </c>
      <c r="Y281">
        <v>1.06</v>
      </c>
      <c r="Z281">
        <v>11835</v>
      </c>
      <c r="AA281">
        <v>3004</v>
      </c>
      <c r="AB281" t="s">
        <v>116</v>
      </c>
      <c r="AC281">
        <v>9443700</v>
      </c>
      <c r="AD281">
        <v>7.0000000000000007E-2</v>
      </c>
      <c r="AE281" t="s">
        <v>116</v>
      </c>
      <c r="AF281" t="s">
        <v>116</v>
      </c>
      <c r="AG281">
        <v>42.16</v>
      </c>
      <c r="AH281" t="s">
        <v>2015</v>
      </c>
      <c r="AI281" t="s">
        <v>2016</v>
      </c>
      <c r="AJ281">
        <v>-3.75</v>
      </c>
      <c r="AK281">
        <v>4524</v>
      </c>
      <c r="AL281">
        <v>421</v>
      </c>
      <c r="AM281">
        <v>1E-3</v>
      </c>
      <c r="AN281">
        <v>-1</v>
      </c>
      <c r="AO281">
        <v>1.17</v>
      </c>
      <c r="AP281">
        <v>11.88</v>
      </c>
      <c r="AQ281">
        <v>3.19</v>
      </c>
      <c r="AR281">
        <v>19.350000000000001</v>
      </c>
      <c r="AS281">
        <v>7.11</v>
      </c>
      <c r="AT281" t="s">
        <v>2017</v>
      </c>
      <c r="AU281">
        <v>41.4</v>
      </c>
      <c r="AV281">
        <v>298.55</v>
      </c>
      <c r="AW281">
        <v>1.02</v>
      </c>
      <c r="BA281">
        <v>-0.92</v>
      </c>
      <c r="BB281">
        <v>-0.18</v>
      </c>
      <c r="BC281">
        <v>-4.8</v>
      </c>
      <c r="BD281">
        <v>-2.1</v>
      </c>
      <c r="BE281">
        <v>-3.54</v>
      </c>
      <c r="BF281">
        <v>-4.25</v>
      </c>
      <c r="BG281">
        <v>0.39</v>
      </c>
      <c r="BH281">
        <v>-2.33</v>
      </c>
      <c r="BI281">
        <v>20191118</v>
      </c>
      <c r="BJ281">
        <v>19970709</v>
      </c>
      <c r="BK281">
        <v>42.16</v>
      </c>
      <c r="BL281" t="s">
        <v>116</v>
      </c>
      <c r="BM281" t="s">
        <v>116</v>
      </c>
      <c r="BN281">
        <v>693.58</v>
      </c>
      <c r="BO281">
        <v>140.82</v>
      </c>
      <c r="BP281">
        <v>4.84</v>
      </c>
      <c r="BQ281">
        <v>79</v>
      </c>
      <c r="BR281">
        <v>0</v>
      </c>
      <c r="BS281">
        <v>1.48</v>
      </c>
      <c r="BT281">
        <v>1.27</v>
      </c>
      <c r="BU281">
        <v>0</v>
      </c>
      <c r="BV281">
        <v>0</v>
      </c>
      <c r="BW281">
        <v>0</v>
      </c>
      <c r="BX281">
        <v>62.76</v>
      </c>
      <c r="BY281">
        <v>27.67</v>
      </c>
      <c r="BZ281">
        <v>0</v>
      </c>
      <c r="CA281">
        <v>8.2899999999999991</v>
      </c>
      <c r="CB281">
        <v>4.82</v>
      </c>
      <c r="CC281">
        <v>8.2799999999999994</v>
      </c>
      <c r="CD281">
        <v>6.21</v>
      </c>
      <c r="CE281">
        <v>5.82</v>
      </c>
      <c r="CF281">
        <v>5.76</v>
      </c>
      <c r="CG281">
        <v>15.56</v>
      </c>
      <c r="CH281">
        <v>26.07</v>
      </c>
      <c r="CI281">
        <v>15.4</v>
      </c>
      <c r="CJ281">
        <v>187870</v>
      </c>
      <c r="CK281">
        <v>14259</v>
      </c>
      <c r="CL281" t="s">
        <v>2018</v>
      </c>
      <c r="CM281">
        <v>354.63</v>
      </c>
      <c r="CN281">
        <v>86.05</v>
      </c>
      <c r="CO281">
        <v>1.55</v>
      </c>
      <c r="CP281">
        <v>8.3800000000000008</v>
      </c>
      <c r="CQ281">
        <v>7.89</v>
      </c>
      <c r="CR281">
        <v>0.39</v>
      </c>
      <c r="CS281" t="s">
        <v>2019</v>
      </c>
      <c r="CT281">
        <v>3.34</v>
      </c>
      <c r="CU281">
        <v>0</v>
      </c>
      <c r="CV281">
        <v>1.49</v>
      </c>
      <c r="CW281">
        <v>0.37</v>
      </c>
      <c r="CX281">
        <v>0.62</v>
      </c>
      <c r="CY281">
        <v>20.3</v>
      </c>
      <c r="CZ281" t="s">
        <v>2020</v>
      </c>
      <c r="DA281" t="s">
        <v>116</v>
      </c>
      <c r="DB281">
        <v>29.98</v>
      </c>
      <c r="DC281">
        <v>21.05</v>
      </c>
      <c r="DD281">
        <v>0</v>
      </c>
      <c r="DE281">
        <v>2551</v>
      </c>
      <c r="DF281">
        <v>750</v>
      </c>
      <c r="DG281" t="s">
        <v>116</v>
      </c>
      <c r="DH281" t="s">
        <v>116</v>
      </c>
      <c r="DI281" t="s">
        <v>116</v>
      </c>
    </row>
    <row r="282" spans="1:113" x14ac:dyDescent="0.4">
      <c r="A282" t="str">
        <f>"000751"</f>
        <v>000751</v>
      </c>
      <c r="B282" t="s">
        <v>2021</v>
      </c>
      <c r="C282">
        <v>2.57</v>
      </c>
      <c r="D282">
        <v>3.19</v>
      </c>
      <c r="E282">
        <v>0.08</v>
      </c>
      <c r="F282">
        <v>3.19</v>
      </c>
      <c r="G282">
        <v>3.2</v>
      </c>
      <c r="H282">
        <v>355757</v>
      </c>
      <c r="I282">
        <v>4051</v>
      </c>
      <c r="J282">
        <v>0.31</v>
      </c>
      <c r="K282">
        <v>2.52</v>
      </c>
      <c r="L282">
        <v>3.14</v>
      </c>
      <c r="M282">
        <v>3.28</v>
      </c>
      <c r="N282">
        <v>3.12</v>
      </c>
      <c r="O282">
        <v>3.11</v>
      </c>
      <c r="P282">
        <v>24.98</v>
      </c>
      <c r="Q282">
        <v>114055976</v>
      </c>
      <c r="R282">
        <v>3.82</v>
      </c>
      <c r="S282" t="s">
        <v>441</v>
      </c>
      <c r="T282" t="s">
        <v>434</v>
      </c>
      <c r="U282">
        <v>5.14</v>
      </c>
      <c r="V282">
        <v>3.21</v>
      </c>
      <c r="W282">
        <v>163980</v>
      </c>
      <c r="X282">
        <v>191777</v>
      </c>
      <c r="Y282">
        <v>0.86</v>
      </c>
      <c r="Z282">
        <v>398</v>
      </c>
      <c r="AA282">
        <v>2854</v>
      </c>
      <c r="AB282" t="s">
        <v>116</v>
      </c>
      <c r="AC282">
        <v>357300</v>
      </c>
      <c r="AD282">
        <v>0.01</v>
      </c>
      <c r="AE282" t="s">
        <v>116</v>
      </c>
      <c r="AF282" t="s">
        <v>116</v>
      </c>
      <c r="AG282">
        <v>14.1</v>
      </c>
      <c r="AH282" t="s">
        <v>2022</v>
      </c>
      <c r="AI282" t="s">
        <v>2022</v>
      </c>
      <c r="AJ282">
        <v>3.25</v>
      </c>
      <c r="AK282">
        <v>2671</v>
      </c>
      <c r="AL282">
        <v>133</v>
      </c>
      <c r="AM282">
        <v>8.9999999999999998E-4</v>
      </c>
      <c r="AN282">
        <v>2</v>
      </c>
      <c r="AO282">
        <v>2.25</v>
      </c>
      <c r="AP282">
        <v>5.98</v>
      </c>
      <c r="AQ282">
        <v>3.57</v>
      </c>
      <c r="AR282">
        <v>11.93</v>
      </c>
      <c r="AS282">
        <v>3.3</v>
      </c>
      <c r="AT282" t="s">
        <v>2023</v>
      </c>
      <c r="AU282">
        <v>33.65</v>
      </c>
      <c r="AV282">
        <v>84.74</v>
      </c>
      <c r="AW282">
        <v>0.59</v>
      </c>
      <c r="BA282">
        <v>0.96</v>
      </c>
      <c r="BB282">
        <v>5.47</v>
      </c>
      <c r="BC282">
        <v>0.32</v>
      </c>
      <c r="BD282">
        <v>3.09</v>
      </c>
      <c r="BE282">
        <v>1.59</v>
      </c>
      <c r="BF282">
        <v>-2.74</v>
      </c>
      <c r="BG282">
        <v>2.2400000000000002</v>
      </c>
      <c r="BH282">
        <v>-0.51</v>
      </c>
      <c r="BI282">
        <v>20191024</v>
      </c>
      <c r="BJ282">
        <v>19970626</v>
      </c>
      <c r="BK282">
        <v>14.1</v>
      </c>
      <c r="BL282" t="s">
        <v>116</v>
      </c>
      <c r="BM282" t="s">
        <v>116</v>
      </c>
      <c r="BN282">
        <v>47.93</v>
      </c>
      <c r="BO282">
        <v>25.64</v>
      </c>
      <c r="BP282">
        <v>0</v>
      </c>
      <c r="BQ282">
        <v>46.51</v>
      </c>
      <c r="BR282">
        <v>27.18</v>
      </c>
      <c r="BS282">
        <v>10.35</v>
      </c>
      <c r="BT282">
        <v>8.24</v>
      </c>
      <c r="BU282">
        <v>21.44</v>
      </c>
      <c r="BV282">
        <v>15.13</v>
      </c>
      <c r="BW282">
        <v>1.96</v>
      </c>
      <c r="BX282">
        <v>13.16</v>
      </c>
      <c r="BY282">
        <v>57.5</v>
      </c>
      <c r="BZ282">
        <v>53.03</v>
      </c>
      <c r="CA282">
        <v>1.25</v>
      </c>
      <c r="CB282">
        <v>-7.0000000000000007E-2</v>
      </c>
      <c r="CC282">
        <v>1.35</v>
      </c>
      <c r="CD282">
        <v>1.35</v>
      </c>
      <c r="CE282">
        <v>1.35</v>
      </c>
      <c r="CF282">
        <v>1.1299999999999999</v>
      </c>
      <c r="CG282">
        <v>-5.34</v>
      </c>
      <c r="CH282">
        <v>7.19</v>
      </c>
      <c r="CI282">
        <v>0.92</v>
      </c>
      <c r="CJ282">
        <v>158553</v>
      </c>
      <c r="CK282">
        <v>6794</v>
      </c>
      <c r="CL282" t="s">
        <v>2024</v>
      </c>
      <c r="CM282">
        <v>148.02000000000001</v>
      </c>
      <c r="CN282">
        <v>-3.12</v>
      </c>
      <c r="CO282">
        <v>1.75</v>
      </c>
      <c r="CP282">
        <v>6.26</v>
      </c>
      <c r="CQ282">
        <v>0.78</v>
      </c>
      <c r="CR282">
        <v>0</v>
      </c>
      <c r="CS282" t="s">
        <v>2025</v>
      </c>
      <c r="CT282">
        <v>1.82</v>
      </c>
      <c r="CU282">
        <v>0</v>
      </c>
      <c r="CV282">
        <v>0.93</v>
      </c>
      <c r="CW282">
        <v>-0.38</v>
      </c>
      <c r="CX282">
        <v>0.51</v>
      </c>
      <c r="CY282">
        <v>53.49</v>
      </c>
      <c r="CZ282" t="s">
        <v>2026</v>
      </c>
      <c r="DA282">
        <v>7.78</v>
      </c>
      <c r="DB282">
        <v>2.1800000000000002</v>
      </c>
      <c r="DC282">
        <v>2.35</v>
      </c>
      <c r="DD282">
        <v>0.04</v>
      </c>
      <c r="DE282">
        <v>6073</v>
      </c>
      <c r="DF282">
        <v>751</v>
      </c>
      <c r="DG282" t="s">
        <v>116</v>
      </c>
      <c r="DH282" t="s">
        <v>116</v>
      </c>
      <c r="DI282" t="s">
        <v>116</v>
      </c>
    </row>
    <row r="283" spans="1:113" x14ac:dyDescent="0.4">
      <c r="A283" t="str">
        <f>"000752"</f>
        <v>000752</v>
      </c>
      <c r="B283" t="s">
        <v>2027</v>
      </c>
      <c r="C283">
        <v>-5.03</v>
      </c>
      <c r="D283">
        <v>4.72</v>
      </c>
      <c r="E283">
        <v>-0.25</v>
      </c>
      <c r="F283">
        <v>4.72</v>
      </c>
      <c r="G283">
        <v>4.7300000000000004</v>
      </c>
      <c r="H283">
        <v>71328</v>
      </c>
      <c r="I283">
        <v>83</v>
      </c>
      <c r="J283">
        <v>0</v>
      </c>
      <c r="K283">
        <v>2.7</v>
      </c>
      <c r="L283">
        <v>4.92</v>
      </c>
      <c r="M283">
        <v>4.96</v>
      </c>
      <c r="N283">
        <v>4.72</v>
      </c>
      <c r="O283">
        <v>4.97</v>
      </c>
      <c r="P283" t="s">
        <v>116</v>
      </c>
      <c r="Q283">
        <v>34284064</v>
      </c>
      <c r="R283">
        <v>1.49</v>
      </c>
      <c r="S283" t="s">
        <v>1962</v>
      </c>
      <c r="T283" t="s">
        <v>2028</v>
      </c>
      <c r="U283">
        <v>4.83</v>
      </c>
      <c r="V283">
        <v>4.8099999999999996</v>
      </c>
      <c r="W283">
        <v>50526</v>
      </c>
      <c r="X283">
        <v>20802</v>
      </c>
      <c r="Y283">
        <v>2.4300000000000002</v>
      </c>
      <c r="Z283">
        <v>2722</v>
      </c>
      <c r="AA283">
        <v>207</v>
      </c>
      <c r="AB283" t="s">
        <v>116</v>
      </c>
      <c r="AC283">
        <v>160900</v>
      </c>
      <c r="AD283">
        <v>0.02</v>
      </c>
      <c r="AE283" t="s">
        <v>116</v>
      </c>
      <c r="AF283" t="s">
        <v>116</v>
      </c>
      <c r="AG283">
        <v>2.64</v>
      </c>
      <c r="AH283" t="s">
        <v>2029</v>
      </c>
      <c r="AI283" t="s">
        <v>2029</v>
      </c>
      <c r="AJ283">
        <v>-4.3499999999999996</v>
      </c>
      <c r="AK283">
        <v>978</v>
      </c>
      <c r="AL283">
        <v>73</v>
      </c>
      <c r="AM283">
        <v>2.8E-3</v>
      </c>
      <c r="AN283">
        <v>-1</v>
      </c>
      <c r="AO283">
        <v>-7.45</v>
      </c>
      <c r="AP283">
        <v>28.96</v>
      </c>
      <c r="AQ283">
        <v>19.190000000000001</v>
      </c>
      <c r="AR283">
        <v>-33.049999999999997</v>
      </c>
      <c r="AS283">
        <v>3.9</v>
      </c>
      <c r="AT283" t="s">
        <v>2030</v>
      </c>
      <c r="AU283" t="s">
        <v>116</v>
      </c>
      <c r="AV283" t="s">
        <v>116</v>
      </c>
      <c r="AW283">
        <v>0.56000000000000005</v>
      </c>
      <c r="BA283">
        <v>-1.01</v>
      </c>
      <c r="BB283">
        <v>-0.2</v>
      </c>
      <c r="BC283">
        <v>-5.03</v>
      </c>
      <c r="BD283">
        <v>-3.29</v>
      </c>
      <c r="BE283">
        <v>-4.07</v>
      </c>
      <c r="BF283">
        <v>-4.84</v>
      </c>
      <c r="BG283">
        <v>0</v>
      </c>
      <c r="BH283">
        <v>-1.74</v>
      </c>
      <c r="BI283">
        <v>20191223</v>
      </c>
      <c r="BJ283">
        <v>19970625</v>
      </c>
      <c r="BK283">
        <v>2.64</v>
      </c>
      <c r="BL283" t="s">
        <v>116</v>
      </c>
      <c r="BM283" t="s">
        <v>116</v>
      </c>
      <c r="BN283">
        <v>11.93</v>
      </c>
      <c r="BO283">
        <v>3.2</v>
      </c>
      <c r="BP283">
        <v>2.71</v>
      </c>
      <c r="BQ283">
        <v>50.49</v>
      </c>
      <c r="BR283">
        <v>5.38</v>
      </c>
      <c r="BS283">
        <v>1.21</v>
      </c>
      <c r="BT283">
        <v>0.05</v>
      </c>
      <c r="BU283">
        <v>5.44</v>
      </c>
      <c r="BV283">
        <v>0.22</v>
      </c>
      <c r="BW283">
        <v>0.14000000000000001</v>
      </c>
      <c r="BX283">
        <v>0.24</v>
      </c>
      <c r="BY283">
        <v>2.33</v>
      </c>
      <c r="BZ283">
        <v>1.66</v>
      </c>
      <c r="CA283">
        <v>-0.24</v>
      </c>
      <c r="CB283">
        <v>-0.1</v>
      </c>
      <c r="CC283">
        <v>-0.3</v>
      </c>
      <c r="CD283">
        <v>-0.34</v>
      </c>
      <c r="CE283">
        <v>-0.54</v>
      </c>
      <c r="CF283">
        <v>-0.49</v>
      </c>
      <c r="CG283">
        <v>-0.37</v>
      </c>
      <c r="CH283">
        <v>0.91</v>
      </c>
      <c r="CI283">
        <v>-0.11</v>
      </c>
      <c r="CJ283">
        <v>29696</v>
      </c>
      <c r="CK283">
        <v>6156</v>
      </c>
      <c r="CL283" t="s">
        <v>2031</v>
      </c>
      <c r="CM283">
        <v>-9905.89</v>
      </c>
      <c r="CN283">
        <v>-10.78</v>
      </c>
      <c r="CO283">
        <v>3.89</v>
      </c>
      <c r="CP283">
        <v>13.75</v>
      </c>
      <c r="CQ283">
        <v>5.34</v>
      </c>
      <c r="CR283">
        <v>0</v>
      </c>
      <c r="CS283" t="s">
        <v>2032</v>
      </c>
      <c r="CT283">
        <v>1.21</v>
      </c>
      <c r="CU283">
        <v>0</v>
      </c>
      <c r="CV283">
        <v>0.09</v>
      </c>
      <c r="CW283">
        <v>-0.14000000000000001</v>
      </c>
      <c r="CX283">
        <v>0.34</v>
      </c>
      <c r="CY283">
        <v>26.8</v>
      </c>
      <c r="CZ283" t="s">
        <v>2033</v>
      </c>
      <c r="DA283">
        <v>28.68</v>
      </c>
      <c r="DB283">
        <v>-10.34</v>
      </c>
      <c r="DC283">
        <v>-23.34</v>
      </c>
      <c r="DD283">
        <v>0</v>
      </c>
      <c r="DE283">
        <v>284</v>
      </c>
      <c r="DF283">
        <v>752</v>
      </c>
      <c r="DG283" t="s">
        <v>116</v>
      </c>
      <c r="DH283" t="s">
        <v>116</v>
      </c>
      <c r="DI283" t="s">
        <v>116</v>
      </c>
    </row>
    <row r="284" spans="1:113" x14ac:dyDescent="0.4">
      <c r="A284" t="str">
        <f>"000753"</f>
        <v>000753</v>
      </c>
      <c r="B284" t="s">
        <v>2034</v>
      </c>
      <c r="C284">
        <v>0</v>
      </c>
      <c r="D284">
        <v>2.91</v>
      </c>
      <c r="E284">
        <v>0</v>
      </c>
      <c r="F284">
        <v>2.9</v>
      </c>
      <c r="G284">
        <v>2.91</v>
      </c>
      <c r="H284">
        <v>56820</v>
      </c>
      <c r="I284">
        <v>233</v>
      </c>
      <c r="J284">
        <v>0</v>
      </c>
      <c r="K284">
        <v>0.64</v>
      </c>
      <c r="L284">
        <v>2.9</v>
      </c>
      <c r="M284">
        <v>2.94</v>
      </c>
      <c r="N284">
        <v>2.9</v>
      </c>
      <c r="O284">
        <v>2.91</v>
      </c>
      <c r="P284">
        <v>38.619999999999997</v>
      </c>
      <c r="Q284">
        <v>16579378</v>
      </c>
      <c r="R284">
        <v>1.38</v>
      </c>
      <c r="S284" t="s">
        <v>256</v>
      </c>
      <c r="T284" t="s">
        <v>975</v>
      </c>
      <c r="U284">
        <v>1.37</v>
      </c>
      <c r="V284">
        <v>2.92</v>
      </c>
      <c r="W284">
        <v>34887</v>
      </c>
      <c r="X284">
        <v>21933</v>
      </c>
      <c r="Y284">
        <v>1.59</v>
      </c>
      <c r="Z284">
        <v>2542</v>
      </c>
      <c r="AA284">
        <v>1977</v>
      </c>
      <c r="AB284" t="s">
        <v>116</v>
      </c>
      <c r="AC284">
        <v>3800</v>
      </c>
      <c r="AD284">
        <v>0</v>
      </c>
      <c r="AE284" t="s">
        <v>116</v>
      </c>
      <c r="AF284" t="s">
        <v>116</v>
      </c>
      <c r="AG284">
        <v>8.84</v>
      </c>
      <c r="AH284" t="s">
        <v>2035</v>
      </c>
      <c r="AI284" t="s">
        <v>2036</v>
      </c>
      <c r="AJ284">
        <v>0.68</v>
      </c>
      <c r="AK284">
        <v>482</v>
      </c>
      <c r="AL284">
        <v>118</v>
      </c>
      <c r="AM284">
        <v>1.2999999999999999E-3</v>
      </c>
      <c r="AN284">
        <v>0</v>
      </c>
      <c r="AO284">
        <v>-0.68</v>
      </c>
      <c r="AP284">
        <v>3.19</v>
      </c>
      <c r="AQ284">
        <v>0.34</v>
      </c>
      <c r="AR284">
        <v>0</v>
      </c>
      <c r="AS284">
        <v>0.97</v>
      </c>
      <c r="AT284" t="s">
        <v>2037</v>
      </c>
      <c r="AU284">
        <v>35.43</v>
      </c>
      <c r="AV284">
        <v>31.32</v>
      </c>
      <c r="AW284">
        <v>0.74</v>
      </c>
      <c r="BA284">
        <v>-0.34</v>
      </c>
      <c r="BB284">
        <v>1.03</v>
      </c>
      <c r="BC284">
        <v>-0.34</v>
      </c>
      <c r="BD284">
        <v>0.27</v>
      </c>
      <c r="BE284">
        <v>0.34</v>
      </c>
      <c r="BF284">
        <v>-1.02</v>
      </c>
      <c r="BG284">
        <v>0.34</v>
      </c>
      <c r="BH284">
        <v>-0.27</v>
      </c>
      <c r="BI284">
        <v>20191022</v>
      </c>
      <c r="BJ284">
        <v>19970626</v>
      </c>
      <c r="BK284">
        <v>9.91</v>
      </c>
      <c r="BL284" t="s">
        <v>116</v>
      </c>
      <c r="BM284" t="s">
        <v>116</v>
      </c>
      <c r="BN284">
        <v>56.47</v>
      </c>
      <c r="BO284">
        <v>22.79</v>
      </c>
      <c r="BP284">
        <v>0.36</v>
      </c>
      <c r="BQ284">
        <v>59.01</v>
      </c>
      <c r="BR284">
        <v>39.17</v>
      </c>
      <c r="BS284">
        <v>2.88</v>
      </c>
      <c r="BT284">
        <v>4.3099999999999996</v>
      </c>
      <c r="BU284">
        <v>25.19</v>
      </c>
      <c r="BV284">
        <v>16.27</v>
      </c>
      <c r="BW284">
        <v>1.61</v>
      </c>
      <c r="BX284">
        <v>6.31</v>
      </c>
      <c r="BY284">
        <v>18.79</v>
      </c>
      <c r="BZ284">
        <v>15.37</v>
      </c>
      <c r="CA284">
        <v>0.89</v>
      </c>
      <c r="CB284">
        <v>-0.04</v>
      </c>
      <c r="CC284">
        <v>0.89</v>
      </c>
      <c r="CD284">
        <v>0.53</v>
      </c>
      <c r="CE284">
        <v>0.56000000000000005</v>
      </c>
      <c r="CF284">
        <v>0.47</v>
      </c>
      <c r="CG284">
        <v>5.78</v>
      </c>
      <c r="CH284">
        <v>6.65</v>
      </c>
      <c r="CI284">
        <v>4.74</v>
      </c>
      <c r="CJ284">
        <v>70047</v>
      </c>
      <c r="CK284">
        <v>8359</v>
      </c>
      <c r="CL284" t="s">
        <v>2038</v>
      </c>
      <c r="CM284">
        <v>-16.04</v>
      </c>
      <c r="CN284">
        <v>-0.31</v>
      </c>
      <c r="CO284">
        <v>1.27</v>
      </c>
      <c r="CP284">
        <v>4.34</v>
      </c>
      <c r="CQ284">
        <v>1.54</v>
      </c>
      <c r="CR284">
        <v>1.03</v>
      </c>
      <c r="CS284" t="s">
        <v>2039</v>
      </c>
      <c r="CT284">
        <v>2.2999999999999998</v>
      </c>
      <c r="CU284">
        <v>0</v>
      </c>
      <c r="CV284">
        <v>0.64</v>
      </c>
      <c r="CW284">
        <v>0.57999999999999996</v>
      </c>
      <c r="CX284">
        <v>0.67</v>
      </c>
      <c r="CY284">
        <v>40.36</v>
      </c>
      <c r="CZ284" t="s">
        <v>822</v>
      </c>
      <c r="DA284">
        <v>18.190000000000001</v>
      </c>
      <c r="DB284">
        <v>4.71</v>
      </c>
      <c r="DC284">
        <v>2.98</v>
      </c>
      <c r="DD284">
        <v>0</v>
      </c>
      <c r="DE284">
        <v>1990</v>
      </c>
      <c r="DF284">
        <v>753</v>
      </c>
      <c r="DG284" t="s">
        <v>116</v>
      </c>
      <c r="DH284" t="s">
        <v>116</v>
      </c>
      <c r="DI284" t="s">
        <v>116</v>
      </c>
    </row>
    <row r="285" spans="1:113" x14ac:dyDescent="0.4">
      <c r="A285" t="str">
        <f>"000755"</f>
        <v>000755</v>
      </c>
      <c r="B285" t="s">
        <v>2040</v>
      </c>
      <c r="C285">
        <v>-0.77</v>
      </c>
      <c r="D285">
        <v>3.86</v>
      </c>
      <c r="E285">
        <v>-0.03</v>
      </c>
      <c r="F285">
        <v>3.86</v>
      </c>
      <c r="G285">
        <v>3.87</v>
      </c>
      <c r="H285">
        <v>41624</v>
      </c>
      <c r="I285">
        <v>893</v>
      </c>
      <c r="J285">
        <v>0</v>
      </c>
      <c r="K285">
        <v>0.89</v>
      </c>
      <c r="L285">
        <v>3.91</v>
      </c>
      <c r="M285">
        <v>3.92</v>
      </c>
      <c r="N285">
        <v>3.86</v>
      </c>
      <c r="O285">
        <v>3.89</v>
      </c>
      <c r="P285">
        <v>12.19</v>
      </c>
      <c r="Q285">
        <v>16192759</v>
      </c>
      <c r="R285">
        <v>1.1599999999999999</v>
      </c>
      <c r="S285" t="s">
        <v>2041</v>
      </c>
      <c r="T285" t="s">
        <v>675</v>
      </c>
      <c r="U285">
        <v>1.54</v>
      </c>
      <c r="V285">
        <v>3.89</v>
      </c>
      <c r="W285">
        <v>26730</v>
      </c>
      <c r="X285">
        <v>14894</v>
      </c>
      <c r="Y285">
        <v>1.79</v>
      </c>
      <c r="Z285">
        <v>203</v>
      </c>
      <c r="AA285">
        <v>575</v>
      </c>
      <c r="AB285" t="s">
        <v>116</v>
      </c>
      <c r="AC285">
        <v>163800</v>
      </c>
      <c r="AD285">
        <v>0.01</v>
      </c>
      <c r="AE285" t="s">
        <v>116</v>
      </c>
      <c r="AF285" t="s">
        <v>116</v>
      </c>
      <c r="AG285">
        <v>4.6900000000000004</v>
      </c>
      <c r="AH285" t="s">
        <v>2042</v>
      </c>
      <c r="AI285" t="s">
        <v>2042</v>
      </c>
      <c r="AJ285">
        <v>-0.09</v>
      </c>
      <c r="AK285">
        <v>933</v>
      </c>
      <c r="AL285">
        <v>45</v>
      </c>
      <c r="AM285">
        <v>1E-3</v>
      </c>
      <c r="AN285">
        <v>-1</v>
      </c>
      <c r="AO285">
        <v>-0.26</v>
      </c>
      <c r="AP285">
        <v>2.12</v>
      </c>
      <c r="AQ285">
        <v>-3.5</v>
      </c>
      <c r="AR285">
        <v>-3.02</v>
      </c>
      <c r="AS285">
        <v>1.35</v>
      </c>
      <c r="AT285" t="s">
        <v>2043</v>
      </c>
      <c r="AU285">
        <v>6.93</v>
      </c>
      <c r="AV285">
        <v>37.340000000000003</v>
      </c>
      <c r="AW285">
        <v>0.93</v>
      </c>
      <c r="BA285">
        <v>0.51</v>
      </c>
      <c r="BB285">
        <v>0.77</v>
      </c>
      <c r="BC285">
        <v>-0.77</v>
      </c>
      <c r="BD285">
        <v>0.01</v>
      </c>
      <c r="BE285">
        <v>-1.28</v>
      </c>
      <c r="BF285">
        <v>-1.53</v>
      </c>
      <c r="BG285">
        <v>0</v>
      </c>
      <c r="BH285">
        <v>-0.78</v>
      </c>
      <c r="BI285">
        <v>20191206</v>
      </c>
      <c r="BJ285">
        <v>19970627</v>
      </c>
      <c r="BK285">
        <v>4.6900000000000004</v>
      </c>
      <c r="BL285" t="s">
        <v>116</v>
      </c>
      <c r="BM285" t="s">
        <v>116</v>
      </c>
      <c r="BN285">
        <v>88.39</v>
      </c>
      <c r="BO285">
        <v>11.77</v>
      </c>
      <c r="BP285">
        <v>0</v>
      </c>
      <c r="BQ285">
        <v>86.69</v>
      </c>
      <c r="BR285">
        <v>8.27</v>
      </c>
      <c r="BS285">
        <v>0.1</v>
      </c>
      <c r="BT285">
        <v>79.709999999999994</v>
      </c>
      <c r="BU285">
        <v>23.44</v>
      </c>
      <c r="BV285">
        <v>0.01</v>
      </c>
      <c r="BW285">
        <v>1.39</v>
      </c>
      <c r="BX285">
        <v>12.95</v>
      </c>
      <c r="BY285">
        <v>6.65</v>
      </c>
      <c r="BZ285">
        <v>2.6</v>
      </c>
      <c r="CA285">
        <v>1.39</v>
      </c>
      <c r="CB285">
        <v>0</v>
      </c>
      <c r="CC285">
        <v>1.31</v>
      </c>
      <c r="CD285">
        <v>1.1100000000000001</v>
      </c>
      <c r="CE285">
        <v>1.1100000000000001</v>
      </c>
      <c r="CF285">
        <v>1.19</v>
      </c>
      <c r="CG285">
        <v>-7.47</v>
      </c>
      <c r="CH285">
        <v>4.4400000000000004</v>
      </c>
      <c r="CI285">
        <v>-2.23</v>
      </c>
      <c r="CJ285">
        <v>40150</v>
      </c>
      <c r="CK285">
        <v>7675</v>
      </c>
      <c r="CL285" t="s">
        <v>2044</v>
      </c>
      <c r="CM285">
        <v>209.75</v>
      </c>
      <c r="CN285">
        <v>-48.7</v>
      </c>
      <c r="CO285">
        <v>1.54</v>
      </c>
      <c r="CP285">
        <v>4.08</v>
      </c>
      <c r="CQ285">
        <v>2.73</v>
      </c>
      <c r="CR285">
        <v>0</v>
      </c>
      <c r="CS285" t="s">
        <v>2045</v>
      </c>
      <c r="CT285">
        <v>2.5099999999999998</v>
      </c>
      <c r="CU285">
        <v>0</v>
      </c>
      <c r="CV285">
        <v>2.76</v>
      </c>
      <c r="CW285">
        <v>-1.59</v>
      </c>
      <c r="CX285">
        <v>0.95</v>
      </c>
      <c r="CY285">
        <v>13.31</v>
      </c>
      <c r="CZ285" t="s">
        <v>1048</v>
      </c>
      <c r="DA285">
        <v>60.92</v>
      </c>
      <c r="DB285">
        <v>20.87</v>
      </c>
      <c r="DC285">
        <v>16.760000000000002</v>
      </c>
      <c r="DD285">
        <v>0</v>
      </c>
      <c r="DE285">
        <v>463</v>
      </c>
      <c r="DF285">
        <v>755</v>
      </c>
      <c r="DG285" t="s">
        <v>116</v>
      </c>
      <c r="DH285" t="s">
        <v>116</v>
      </c>
      <c r="DI285" t="s">
        <v>116</v>
      </c>
    </row>
    <row r="286" spans="1:113" x14ac:dyDescent="0.4">
      <c r="A286" t="str">
        <f>"000756"</f>
        <v>000756</v>
      </c>
      <c r="B286" t="s">
        <v>2046</v>
      </c>
      <c r="C286">
        <v>-0.42</v>
      </c>
      <c r="D286">
        <v>7.1</v>
      </c>
      <c r="E286">
        <v>-0.03</v>
      </c>
      <c r="F286">
        <v>7.1</v>
      </c>
      <c r="G286">
        <v>7.11</v>
      </c>
      <c r="H286">
        <v>30995</v>
      </c>
      <c r="I286">
        <v>106</v>
      </c>
      <c r="J286">
        <v>-0.27</v>
      </c>
      <c r="K286">
        <v>0.78</v>
      </c>
      <c r="L286">
        <v>7.15</v>
      </c>
      <c r="M286">
        <v>7.17</v>
      </c>
      <c r="N286">
        <v>7.08</v>
      </c>
      <c r="O286">
        <v>7.13</v>
      </c>
      <c r="P286">
        <v>13.88</v>
      </c>
      <c r="Q286">
        <v>22062432</v>
      </c>
      <c r="R286">
        <v>0.99</v>
      </c>
      <c r="S286" t="s">
        <v>574</v>
      </c>
      <c r="T286" t="s">
        <v>645</v>
      </c>
      <c r="U286">
        <v>1.26</v>
      </c>
      <c r="V286">
        <v>7.12</v>
      </c>
      <c r="W286">
        <v>17503</v>
      </c>
      <c r="X286">
        <v>13492</v>
      </c>
      <c r="Y286">
        <v>1.3</v>
      </c>
      <c r="Z286">
        <v>1383</v>
      </c>
      <c r="AA286">
        <v>10</v>
      </c>
      <c r="AB286" t="s">
        <v>116</v>
      </c>
      <c r="AC286">
        <v>0</v>
      </c>
      <c r="AD286">
        <v>0</v>
      </c>
      <c r="AE286" t="s">
        <v>116</v>
      </c>
      <c r="AF286" t="s">
        <v>116</v>
      </c>
      <c r="AG286">
        <v>3.99</v>
      </c>
      <c r="AH286" t="s">
        <v>2047</v>
      </c>
      <c r="AI286" t="s">
        <v>157</v>
      </c>
      <c r="AJ286">
        <v>0.26</v>
      </c>
      <c r="AK286">
        <v>1502</v>
      </c>
      <c r="AL286">
        <v>21</v>
      </c>
      <c r="AM286">
        <v>5.0000000000000001E-4</v>
      </c>
      <c r="AN286">
        <v>-1</v>
      </c>
      <c r="AO286">
        <v>0.56999999999999995</v>
      </c>
      <c r="AP286">
        <v>2.75</v>
      </c>
      <c r="AQ286">
        <v>5.5</v>
      </c>
      <c r="AR286">
        <v>30.28</v>
      </c>
      <c r="AS286">
        <v>1.63</v>
      </c>
      <c r="AT286" t="s">
        <v>2048</v>
      </c>
      <c r="AU286">
        <v>14.91</v>
      </c>
      <c r="AV286">
        <v>17.600000000000001</v>
      </c>
      <c r="AW286">
        <v>0.81</v>
      </c>
      <c r="BA286">
        <v>0.28000000000000003</v>
      </c>
      <c r="BB286">
        <v>0.56000000000000005</v>
      </c>
      <c r="BC286">
        <v>-0.7</v>
      </c>
      <c r="BD286">
        <v>-0.17</v>
      </c>
      <c r="BE286">
        <v>-0.7</v>
      </c>
      <c r="BF286">
        <v>-0.98</v>
      </c>
      <c r="BG286">
        <v>0.28000000000000003</v>
      </c>
      <c r="BH286">
        <v>-0.25</v>
      </c>
      <c r="BI286">
        <v>20191029</v>
      </c>
      <c r="BJ286">
        <v>19970806</v>
      </c>
      <c r="BK286">
        <v>6.22</v>
      </c>
      <c r="BL286" t="s">
        <v>116</v>
      </c>
      <c r="BM286">
        <v>1.95</v>
      </c>
      <c r="BN286">
        <v>60.49</v>
      </c>
      <c r="BO286">
        <v>28.93</v>
      </c>
      <c r="BP286">
        <v>1.25</v>
      </c>
      <c r="BQ286">
        <v>50.1</v>
      </c>
      <c r="BR286">
        <v>21.54</v>
      </c>
      <c r="BS286">
        <v>24.88</v>
      </c>
      <c r="BT286">
        <v>4.0999999999999996</v>
      </c>
      <c r="BU286">
        <v>21.13</v>
      </c>
      <c r="BV286">
        <v>7.54</v>
      </c>
      <c r="BW286">
        <v>5.5</v>
      </c>
      <c r="BX286">
        <v>6.29</v>
      </c>
      <c r="BY286">
        <v>43.99</v>
      </c>
      <c r="BZ286">
        <v>30.15</v>
      </c>
      <c r="CA286">
        <v>3.14</v>
      </c>
      <c r="CB286">
        <v>0.05</v>
      </c>
      <c r="CC286">
        <v>3.1</v>
      </c>
      <c r="CD286">
        <v>2.5499999999999998</v>
      </c>
      <c r="CE286">
        <v>2.39</v>
      </c>
      <c r="CF286">
        <v>2.1</v>
      </c>
      <c r="CG286">
        <v>12.17</v>
      </c>
      <c r="CH286">
        <v>2.93</v>
      </c>
      <c r="CI286">
        <v>-1.36</v>
      </c>
      <c r="CJ286">
        <v>31317</v>
      </c>
      <c r="CK286">
        <v>6083</v>
      </c>
      <c r="CL286" t="s">
        <v>2049</v>
      </c>
      <c r="CM286">
        <v>23.42</v>
      </c>
      <c r="CN286">
        <v>11.1</v>
      </c>
      <c r="CO286">
        <v>1.53</v>
      </c>
      <c r="CP286">
        <v>15.05</v>
      </c>
      <c r="CQ286">
        <v>1</v>
      </c>
      <c r="CR286">
        <v>1.41</v>
      </c>
      <c r="CS286" t="s">
        <v>2050</v>
      </c>
      <c r="CT286">
        <v>4.6500000000000004</v>
      </c>
      <c r="CU286">
        <v>0</v>
      </c>
      <c r="CV286">
        <v>1.01</v>
      </c>
      <c r="CW286">
        <v>1.96</v>
      </c>
      <c r="CX286">
        <v>0.47</v>
      </c>
      <c r="CY286">
        <v>47.83</v>
      </c>
      <c r="CZ286" t="s">
        <v>2051</v>
      </c>
      <c r="DA286">
        <v>31.47</v>
      </c>
      <c r="DB286">
        <v>7.13</v>
      </c>
      <c r="DC286">
        <v>5.42</v>
      </c>
      <c r="DD286">
        <v>1.82</v>
      </c>
      <c r="DE286">
        <v>6240</v>
      </c>
      <c r="DF286">
        <v>756</v>
      </c>
      <c r="DG286" t="s">
        <v>116</v>
      </c>
      <c r="DH286" t="s">
        <v>116</v>
      </c>
      <c r="DI286" t="s">
        <v>116</v>
      </c>
    </row>
    <row r="287" spans="1:113" x14ac:dyDescent="0.4">
      <c r="A287" t="str">
        <f>"000757"</f>
        <v>000757</v>
      </c>
      <c r="B287" t="s">
        <v>2052</v>
      </c>
      <c r="C287">
        <v>-1.49</v>
      </c>
      <c r="D287">
        <v>4.62</v>
      </c>
      <c r="E287">
        <v>-7.0000000000000007E-2</v>
      </c>
      <c r="F287">
        <v>4.62</v>
      </c>
      <c r="G287">
        <v>4.63</v>
      </c>
      <c r="H287">
        <v>42586</v>
      </c>
      <c r="I287">
        <v>712</v>
      </c>
      <c r="J287">
        <v>-0.42</v>
      </c>
      <c r="K287">
        <v>0.94</v>
      </c>
      <c r="L287">
        <v>4.7</v>
      </c>
      <c r="M287">
        <v>4.7</v>
      </c>
      <c r="N287">
        <v>4.62</v>
      </c>
      <c r="O287">
        <v>4.6900000000000004</v>
      </c>
      <c r="P287">
        <v>20.61</v>
      </c>
      <c r="Q287">
        <v>19807734</v>
      </c>
      <c r="R287">
        <v>0.5</v>
      </c>
      <c r="S287" t="s">
        <v>293</v>
      </c>
      <c r="T287" t="s">
        <v>582</v>
      </c>
      <c r="U287">
        <v>1.71</v>
      </c>
      <c r="V287">
        <v>4.6500000000000004</v>
      </c>
      <c r="W287">
        <v>27948</v>
      </c>
      <c r="X287">
        <v>14638</v>
      </c>
      <c r="Y287">
        <v>1.91</v>
      </c>
      <c r="Z287">
        <v>1483</v>
      </c>
      <c r="AA287">
        <v>210</v>
      </c>
      <c r="AB287" t="s">
        <v>116</v>
      </c>
      <c r="AC287">
        <v>13200</v>
      </c>
      <c r="AD287">
        <v>0</v>
      </c>
      <c r="AE287" t="s">
        <v>116</v>
      </c>
      <c r="AF287" t="s">
        <v>116</v>
      </c>
      <c r="AG287">
        <v>4.5199999999999996</v>
      </c>
      <c r="AH287" t="s">
        <v>2053</v>
      </c>
      <c r="AI287" t="s">
        <v>2054</v>
      </c>
      <c r="AJ287">
        <v>-0.81</v>
      </c>
      <c r="AK287">
        <v>845</v>
      </c>
      <c r="AL287">
        <v>50</v>
      </c>
      <c r="AM287">
        <v>1.1000000000000001E-3</v>
      </c>
      <c r="AN287">
        <v>-2</v>
      </c>
      <c r="AO287">
        <v>0.44</v>
      </c>
      <c r="AP287">
        <v>5.48</v>
      </c>
      <c r="AQ287">
        <v>-9.59</v>
      </c>
      <c r="AR287">
        <v>-12.17</v>
      </c>
      <c r="AS287">
        <v>1.4</v>
      </c>
      <c r="AT287" t="s">
        <v>1207</v>
      </c>
      <c r="AU287">
        <v>38.770000000000003</v>
      </c>
      <c r="AV287">
        <v>35.32</v>
      </c>
      <c r="AW287">
        <v>0.63</v>
      </c>
      <c r="BA287">
        <v>0.21</v>
      </c>
      <c r="BB287">
        <v>0.21</v>
      </c>
      <c r="BC287">
        <v>-1.49</v>
      </c>
      <c r="BD287">
        <v>-0.83</v>
      </c>
      <c r="BE287">
        <v>-1.7</v>
      </c>
      <c r="BF287">
        <v>-1.7</v>
      </c>
      <c r="BG287">
        <v>0</v>
      </c>
      <c r="BH287">
        <v>-0.67</v>
      </c>
      <c r="BI287">
        <v>20191223</v>
      </c>
      <c r="BJ287">
        <v>19970627</v>
      </c>
      <c r="BK287">
        <v>6.05</v>
      </c>
      <c r="BL287" t="s">
        <v>116</v>
      </c>
      <c r="BM287" t="s">
        <v>116</v>
      </c>
      <c r="BN287">
        <v>30.49</v>
      </c>
      <c r="BO287">
        <v>13.91</v>
      </c>
      <c r="BP287">
        <v>0.08</v>
      </c>
      <c r="BQ287">
        <v>54.12</v>
      </c>
      <c r="BR287">
        <v>20.58</v>
      </c>
      <c r="BS287">
        <v>6.12</v>
      </c>
      <c r="BT287">
        <v>0.3</v>
      </c>
      <c r="BU287">
        <v>15.27</v>
      </c>
      <c r="BV287">
        <v>7.26</v>
      </c>
      <c r="BW287">
        <v>1.52</v>
      </c>
      <c r="BX287">
        <v>11.87</v>
      </c>
      <c r="BY287">
        <v>30.1</v>
      </c>
      <c r="BZ287">
        <v>26.92</v>
      </c>
      <c r="CA287">
        <v>1.1000000000000001</v>
      </c>
      <c r="CB287">
        <v>-0.01</v>
      </c>
      <c r="CC287">
        <v>1.23</v>
      </c>
      <c r="CD287">
        <v>1.03</v>
      </c>
      <c r="CE287">
        <v>1.02</v>
      </c>
      <c r="CF287">
        <v>0.09</v>
      </c>
      <c r="CG287">
        <v>-4.6900000000000004</v>
      </c>
      <c r="CH287">
        <v>-1.22</v>
      </c>
      <c r="CI287">
        <v>-2.56</v>
      </c>
      <c r="CJ287">
        <v>31948</v>
      </c>
      <c r="CK287">
        <v>9512</v>
      </c>
      <c r="CL287" t="s">
        <v>2055</v>
      </c>
      <c r="CM287">
        <v>-6.48</v>
      </c>
      <c r="CN287">
        <v>-9.16</v>
      </c>
      <c r="CO287">
        <v>2.0099999999999998</v>
      </c>
      <c r="CP287">
        <v>-22.96</v>
      </c>
      <c r="CQ287">
        <v>0.93</v>
      </c>
      <c r="CR287">
        <v>0</v>
      </c>
      <c r="CS287" t="s">
        <v>1127</v>
      </c>
      <c r="CT287">
        <v>2.2999999999999998</v>
      </c>
      <c r="CU287">
        <v>0</v>
      </c>
      <c r="CV287">
        <v>1.96</v>
      </c>
      <c r="CW287">
        <v>-0.78</v>
      </c>
      <c r="CX287">
        <v>-0.2</v>
      </c>
      <c r="CY287">
        <v>45.63</v>
      </c>
      <c r="CZ287" t="s">
        <v>2056</v>
      </c>
      <c r="DA287">
        <v>10.58</v>
      </c>
      <c r="DB287">
        <v>3.64</v>
      </c>
      <c r="DC287">
        <v>3.38</v>
      </c>
      <c r="DD287">
        <v>0.16</v>
      </c>
      <c r="DE287">
        <v>1286</v>
      </c>
      <c r="DF287">
        <v>757</v>
      </c>
      <c r="DG287" t="s">
        <v>116</v>
      </c>
      <c r="DH287" t="s">
        <v>116</v>
      </c>
      <c r="DI287" t="s">
        <v>116</v>
      </c>
    </row>
    <row r="288" spans="1:113" x14ac:dyDescent="0.4">
      <c r="A288" t="str">
        <f>"000758"</f>
        <v>000758</v>
      </c>
      <c r="B288" t="s">
        <v>2057</v>
      </c>
      <c r="C288">
        <v>2.63</v>
      </c>
      <c r="D288">
        <v>4.29</v>
      </c>
      <c r="E288">
        <v>0.11</v>
      </c>
      <c r="F288">
        <v>4.29</v>
      </c>
      <c r="G288">
        <v>4.3</v>
      </c>
      <c r="H288">
        <v>356108</v>
      </c>
      <c r="I288">
        <v>2433</v>
      </c>
      <c r="J288">
        <v>0</v>
      </c>
      <c r="K288">
        <v>1.81</v>
      </c>
      <c r="L288">
        <v>4.18</v>
      </c>
      <c r="M288">
        <v>4.4400000000000004</v>
      </c>
      <c r="N288">
        <v>4.17</v>
      </c>
      <c r="O288">
        <v>4.18</v>
      </c>
      <c r="P288" t="s">
        <v>116</v>
      </c>
      <c r="Q288">
        <v>154005824</v>
      </c>
      <c r="R288">
        <v>3.52</v>
      </c>
      <c r="S288" t="s">
        <v>441</v>
      </c>
      <c r="T288" t="s">
        <v>165</v>
      </c>
      <c r="U288">
        <v>6.46</v>
      </c>
      <c r="V288">
        <v>4.32</v>
      </c>
      <c r="W288">
        <v>143041</v>
      </c>
      <c r="X288">
        <v>213067</v>
      </c>
      <c r="Y288">
        <v>0.67</v>
      </c>
      <c r="Z288">
        <v>4034</v>
      </c>
      <c r="AA288">
        <v>3599</v>
      </c>
      <c r="AB288" t="s">
        <v>116</v>
      </c>
      <c r="AC288">
        <v>119100</v>
      </c>
      <c r="AD288">
        <v>0</v>
      </c>
      <c r="AE288" t="s">
        <v>116</v>
      </c>
      <c r="AF288" t="s">
        <v>116</v>
      </c>
      <c r="AG288">
        <v>19.690000000000001</v>
      </c>
      <c r="AH288" t="s">
        <v>2058</v>
      </c>
      <c r="AI288" t="s">
        <v>2059</v>
      </c>
      <c r="AJ288">
        <v>3.31</v>
      </c>
      <c r="AK288">
        <v>2895</v>
      </c>
      <c r="AL288">
        <v>123</v>
      </c>
      <c r="AM288">
        <v>5.9999999999999995E-4</v>
      </c>
      <c r="AN288">
        <v>2</v>
      </c>
      <c r="AO288">
        <v>2.62</v>
      </c>
      <c r="AP288">
        <v>5.93</v>
      </c>
      <c r="AQ288">
        <v>-2.2799999999999998</v>
      </c>
      <c r="AR288">
        <v>18.02</v>
      </c>
      <c r="AS288">
        <v>2.73</v>
      </c>
      <c r="AT288" t="s">
        <v>2060</v>
      </c>
      <c r="AU288" t="s">
        <v>116</v>
      </c>
      <c r="AV288">
        <v>70.569999999999993</v>
      </c>
      <c r="AW288">
        <v>0.86</v>
      </c>
      <c r="BA288">
        <v>0</v>
      </c>
      <c r="BB288">
        <v>6.22</v>
      </c>
      <c r="BC288">
        <v>-0.24</v>
      </c>
      <c r="BD288">
        <v>3.46</v>
      </c>
      <c r="BE288">
        <v>2.63</v>
      </c>
      <c r="BF288">
        <v>-3.38</v>
      </c>
      <c r="BG288">
        <v>2.88</v>
      </c>
      <c r="BH288">
        <v>-0.83</v>
      </c>
      <c r="BI288">
        <v>20191030</v>
      </c>
      <c r="BJ288">
        <v>19970416</v>
      </c>
      <c r="BK288">
        <v>19.690000000000001</v>
      </c>
      <c r="BL288" t="s">
        <v>116</v>
      </c>
      <c r="BM288" t="s">
        <v>116</v>
      </c>
      <c r="BN288">
        <v>251.05</v>
      </c>
      <c r="BO288">
        <v>51.92</v>
      </c>
      <c r="BP288">
        <v>41.11</v>
      </c>
      <c r="BQ288">
        <v>62.94</v>
      </c>
      <c r="BR288">
        <v>146.71</v>
      </c>
      <c r="BS288">
        <v>32.479999999999997</v>
      </c>
      <c r="BT288">
        <v>35.07</v>
      </c>
      <c r="BU288">
        <v>107.92</v>
      </c>
      <c r="BV288">
        <v>46.42</v>
      </c>
      <c r="BW288">
        <v>30.99</v>
      </c>
      <c r="BX288">
        <v>9.5500000000000007</v>
      </c>
      <c r="BY288">
        <v>86.7</v>
      </c>
      <c r="BZ288">
        <v>75.56</v>
      </c>
      <c r="CA288">
        <v>1.25</v>
      </c>
      <c r="CB288">
        <v>0.47</v>
      </c>
      <c r="CC288">
        <v>1.35</v>
      </c>
      <c r="CD288">
        <v>0.37</v>
      </c>
      <c r="CE288">
        <v>-1.1200000000000001</v>
      </c>
      <c r="CF288">
        <v>-1.35</v>
      </c>
      <c r="CG288">
        <v>20.7</v>
      </c>
      <c r="CH288">
        <v>6.16</v>
      </c>
      <c r="CI288">
        <v>-1.85</v>
      </c>
      <c r="CJ288">
        <v>127288</v>
      </c>
      <c r="CK288">
        <v>10249</v>
      </c>
      <c r="CL288" t="s">
        <v>2061</v>
      </c>
      <c r="CM288">
        <v>-165.81</v>
      </c>
      <c r="CN288">
        <v>-19.29</v>
      </c>
      <c r="CO288">
        <v>1.63</v>
      </c>
      <c r="CP288">
        <v>13.71</v>
      </c>
      <c r="CQ288">
        <v>0.97</v>
      </c>
      <c r="CR288">
        <v>0.35</v>
      </c>
      <c r="CS288" t="s">
        <v>1425</v>
      </c>
      <c r="CT288">
        <v>2.64</v>
      </c>
      <c r="CU288">
        <v>0</v>
      </c>
      <c r="CV288">
        <v>0.48</v>
      </c>
      <c r="CW288">
        <v>1.05</v>
      </c>
      <c r="CX288">
        <v>0.31</v>
      </c>
      <c r="CY288">
        <v>20.68</v>
      </c>
      <c r="CZ288" t="s">
        <v>2062</v>
      </c>
      <c r="DA288">
        <v>12.85</v>
      </c>
      <c r="DB288">
        <v>1.44</v>
      </c>
      <c r="DC288">
        <v>-1.29</v>
      </c>
      <c r="DD288">
        <v>0.05</v>
      </c>
      <c r="DE288">
        <v>6855</v>
      </c>
      <c r="DF288">
        <v>758</v>
      </c>
      <c r="DG288" t="s">
        <v>116</v>
      </c>
      <c r="DH288" t="s">
        <v>116</v>
      </c>
      <c r="DI288" t="s">
        <v>116</v>
      </c>
    </row>
    <row r="289" spans="1:113" x14ac:dyDescent="0.4">
      <c r="A289" t="str">
        <f>"000759"</f>
        <v>000759</v>
      </c>
      <c r="B289" t="s">
        <v>2063</v>
      </c>
      <c r="C289">
        <v>0</v>
      </c>
      <c r="D289">
        <v>7.26</v>
      </c>
      <c r="E289">
        <v>0</v>
      </c>
      <c r="F289">
        <v>7.25</v>
      </c>
      <c r="G289">
        <v>7.26</v>
      </c>
      <c r="H289">
        <v>31269</v>
      </c>
      <c r="I289">
        <v>335</v>
      </c>
      <c r="J289">
        <v>0</v>
      </c>
      <c r="K289">
        <v>0.46</v>
      </c>
      <c r="L289">
        <v>7.26</v>
      </c>
      <c r="M289">
        <v>7.35</v>
      </c>
      <c r="N289">
        <v>7.15</v>
      </c>
      <c r="O289">
        <v>7.26</v>
      </c>
      <c r="P289">
        <v>98.92</v>
      </c>
      <c r="Q289">
        <v>22707560</v>
      </c>
      <c r="R289">
        <v>0.55000000000000004</v>
      </c>
      <c r="S289" t="s">
        <v>2064</v>
      </c>
      <c r="T289" t="s">
        <v>774</v>
      </c>
      <c r="U289">
        <v>2.75</v>
      </c>
      <c r="V289">
        <v>7.26</v>
      </c>
      <c r="W289">
        <v>17984</v>
      </c>
      <c r="X289">
        <v>13285</v>
      </c>
      <c r="Y289">
        <v>1.35</v>
      </c>
      <c r="Z289">
        <v>54</v>
      </c>
      <c r="AA289">
        <v>155</v>
      </c>
      <c r="AB289" t="s">
        <v>116</v>
      </c>
      <c r="AC289">
        <v>0</v>
      </c>
      <c r="AD289">
        <v>0</v>
      </c>
      <c r="AE289" t="s">
        <v>116</v>
      </c>
      <c r="AF289" t="s">
        <v>116</v>
      </c>
      <c r="AG289">
        <v>6.81</v>
      </c>
      <c r="AH289" t="s">
        <v>2065</v>
      </c>
      <c r="AI289" t="s">
        <v>2066</v>
      </c>
      <c r="AJ289">
        <v>0.68</v>
      </c>
      <c r="AK289">
        <v>1028</v>
      </c>
      <c r="AL289">
        <v>30</v>
      </c>
      <c r="AM289">
        <v>4.0000000000000002E-4</v>
      </c>
      <c r="AN289">
        <v>0</v>
      </c>
      <c r="AO289">
        <v>1.83</v>
      </c>
      <c r="AP289">
        <v>10.5</v>
      </c>
      <c r="AQ289">
        <v>-1.49</v>
      </c>
      <c r="AR289">
        <v>38.81</v>
      </c>
      <c r="AS289">
        <v>1.52</v>
      </c>
      <c r="AT289" t="s">
        <v>2067</v>
      </c>
      <c r="AU289">
        <v>14712.17</v>
      </c>
      <c r="AV289">
        <v>11.47</v>
      </c>
      <c r="AW289">
        <v>0.56999999999999995</v>
      </c>
      <c r="BA289">
        <v>0</v>
      </c>
      <c r="BB289">
        <v>1.24</v>
      </c>
      <c r="BC289">
        <v>-1.52</v>
      </c>
      <c r="BD289">
        <v>0.03</v>
      </c>
      <c r="BE289">
        <v>0</v>
      </c>
      <c r="BF289">
        <v>-1.22</v>
      </c>
      <c r="BG289">
        <v>1.54</v>
      </c>
      <c r="BH289">
        <v>-0.03</v>
      </c>
      <c r="BI289">
        <v>20191225</v>
      </c>
      <c r="BJ289">
        <v>19970519</v>
      </c>
      <c r="BK289">
        <v>6.81</v>
      </c>
      <c r="BL289" t="s">
        <v>116</v>
      </c>
      <c r="BM289" t="s">
        <v>116</v>
      </c>
      <c r="BN289">
        <v>90.09</v>
      </c>
      <c r="BO289">
        <v>33.96</v>
      </c>
      <c r="BP289">
        <v>2.21</v>
      </c>
      <c r="BQ289">
        <v>59.86</v>
      </c>
      <c r="BR289">
        <v>32.619999999999997</v>
      </c>
      <c r="BS289">
        <v>43.87</v>
      </c>
      <c r="BT289">
        <v>3.8</v>
      </c>
      <c r="BU289">
        <v>53.83</v>
      </c>
      <c r="BV289">
        <v>12.26</v>
      </c>
      <c r="BW289">
        <v>1.51</v>
      </c>
      <c r="BX289">
        <v>10.81</v>
      </c>
      <c r="BY289">
        <v>117.38</v>
      </c>
      <c r="BZ289">
        <v>91.57</v>
      </c>
      <c r="CA289">
        <v>0.73</v>
      </c>
      <c r="CB289">
        <v>0.04</v>
      </c>
      <c r="CC289">
        <v>0.68</v>
      </c>
      <c r="CD289">
        <v>0.42</v>
      </c>
      <c r="CE289">
        <v>0.37</v>
      </c>
      <c r="CF289">
        <v>0.38</v>
      </c>
      <c r="CG289">
        <v>12.31</v>
      </c>
      <c r="CH289">
        <v>6.84</v>
      </c>
      <c r="CI289">
        <v>1.79</v>
      </c>
      <c r="CJ289">
        <v>21795</v>
      </c>
      <c r="CK289">
        <v>9418</v>
      </c>
      <c r="CL289" t="s">
        <v>2068</v>
      </c>
      <c r="CM289">
        <v>-91.99</v>
      </c>
      <c r="CN289">
        <v>1.98</v>
      </c>
      <c r="CO289">
        <v>1.46</v>
      </c>
      <c r="CP289">
        <v>7.22</v>
      </c>
      <c r="CQ289">
        <v>0.42</v>
      </c>
      <c r="CR289">
        <v>0.69</v>
      </c>
      <c r="CS289" t="s">
        <v>2069</v>
      </c>
      <c r="CT289">
        <v>4.99</v>
      </c>
      <c r="CU289">
        <v>0</v>
      </c>
      <c r="CV289">
        <v>1.59</v>
      </c>
      <c r="CW289">
        <v>1.81</v>
      </c>
      <c r="CX289">
        <v>1</v>
      </c>
      <c r="CY289">
        <v>37.69</v>
      </c>
      <c r="CZ289" t="s">
        <v>2070</v>
      </c>
      <c r="DA289">
        <v>21.98</v>
      </c>
      <c r="DB289">
        <v>0.62</v>
      </c>
      <c r="DC289">
        <v>0.32</v>
      </c>
      <c r="DD289">
        <v>0.02</v>
      </c>
      <c r="DE289">
        <v>22236</v>
      </c>
      <c r="DF289">
        <v>759</v>
      </c>
      <c r="DG289" t="s">
        <v>116</v>
      </c>
      <c r="DH289" t="s">
        <v>116</v>
      </c>
      <c r="DI289" t="s">
        <v>116</v>
      </c>
    </row>
    <row r="290" spans="1:113" x14ac:dyDescent="0.4">
      <c r="A290" t="str">
        <f>"000760"</f>
        <v>000760</v>
      </c>
      <c r="B290" t="s">
        <v>2071</v>
      </c>
      <c r="C290">
        <v>-4.8499999999999996</v>
      </c>
      <c r="D290">
        <v>1.57</v>
      </c>
      <c r="E290">
        <v>-0.08</v>
      </c>
      <c r="F290" t="s">
        <v>116</v>
      </c>
      <c r="G290">
        <v>1.57</v>
      </c>
      <c r="H290">
        <v>401731</v>
      </c>
      <c r="I290">
        <v>1952</v>
      </c>
      <c r="J290">
        <v>0</v>
      </c>
      <c r="K290">
        <v>6.14</v>
      </c>
      <c r="L290">
        <v>1.6</v>
      </c>
      <c r="M290">
        <v>1.68</v>
      </c>
      <c r="N290">
        <v>1.57</v>
      </c>
      <c r="O290">
        <v>1.65</v>
      </c>
      <c r="P290" t="s">
        <v>116</v>
      </c>
      <c r="Q290">
        <v>64000244</v>
      </c>
      <c r="R290">
        <v>1.1000000000000001</v>
      </c>
      <c r="S290" t="s">
        <v>293</v>
      </c>
      <c r="T290" t="s">
        <v>774</v>
      </c>
      <c r="U290">
        <v>6.67</v>
      </c>
      <c r="V290">
        <v>1.59</v>
      </c>
      <c r="W290">
        <v>219303</v>
      </c>
      <c r="X290">
        <v>182428</v>
      </c>
      <c r="Y290">
        <v>1.2</v>
      </c>
      <c r="Z290">
        <v>0</v>
      </c>
      <c r="AA290">
        <v>2719</v>
      </c>
      <c r="AB290" t="s">
        <v>116</v>
      </c>
      <c r="AC290">
        <v>793800</v>
      </c>
      <c r="AD290">
        <v>0.11</v>
      </c>
      <c r="AE290">
        <v>0.01</v>
      </c>
      <c r="AF290">
        <v>426883</v>
      </c>
      <c r="AG290">
        <v>6.54</v>
      </c>
      <c r="AH290" t="s">
        <v>1778</v>
      </c>
      <c r="AI290" t="s">
        <v>2072</v>
      </c>
      <c r="AJ290">
        <v>-4.17</v>
      </c>
      <c r="AK290">
        <v>1545</v>
      </c>
      <c r="AL290">
        <v>260</v>
      </c>
      <c r="AM290">
        <v>4.0000000000000001E-3</v>
      </c>
      <c r="AN290">
        <v>-1</v>
      </c>
      <c r="AO290">
        <v>-7.65</v>
      </c>
      <c r="AP290">
        <v>5.37</v>
      </c>
      <c r="AQ290">
        <v>12.14</v>
      </c>
      <c r="AR290">
        <v>-52.28</v>
      </c>
      <c r="AS290">
        <v>8.5299999999999994</v>
      </c>
      <c r="AT290" t="s">
        <v>2073</v>
      </c>
      <c r="AU290" t="s">
        <v>116</v>
      </c>
      <c r="AV290" t="s">
        <v>116</v>
      </c>
      <c r="AW290">
        <v>0.35</v>
      </c>
      <c r="BA290">
        <v>-3.03</v>
      </c>
      <c r="BB290">
        <v>1.82</v>
      </c>
      <c r="BC290">
        <v>-4.8499999999999996</v>
      </c>
      <c r="BD290">
        <v>-3.45</v>
      </c>
      <c r="BE290">
        <v>-1.87</v>
      </c>
      <c r="BF290">
        <v>-6.55</v>
      </c>
      <c r="BG290">
        <v>0</v>
      </c>
      <c r="BH290">
        <v>-1.4</v>
      </c>
      <c r="BI290">
        <v>20191030</v>
      </c>
      <c r="BJ290">
        <v>19970627</v>
      </c>
      <c r="BK290">
        <v>7.72</v>
      </c>
      <c r="BL290" t="s">
        <v>116</v>
      </c>
      <c r="BM290" t="s">
        <v>116</v>
      </c>
      <c r="BN290">
        <v>7.28</v>
      </c>
      <c r="BO290">
        <v>4.8600000000000003</v>
      </c>
      <c r="BP290">
        <v>0</v>
      </c>
      <c r="BQ290">
        <v>33.14</v>
      </c>
      <c r="BR290">
        <v>2.52</v>
      </c>
      <c r="BS290">
        <v>1.1100000000000001</v>
      </c>
      <c r="BT290">
        <v>1.24</v>
      </c>
      <c r="BU290">
        <v>2.41</v>
      </c>
      <c r="BV290">
        <v>0.28000000000000003</v>
      </c>
      <c r="BW290">
        <v>0.02</v>
      </c>
      <c r="BX290">
        <v>14.26</v>
      </c>
      <c r="BY290">
        <v>0.08</v>
      </c>
      <c r="BZ290">
        <v>7.0000000000000007E-2</v>
      </c>
      <c r="CA290">
        <v>-0.5</v>
      </c>
      <c r="CB290">
        <v>0</v>
      </c>
      <c r="CC290">
        <v>-0.5</v>
      </c>
      <c r="CD290">
        <v>-0.5</v>
      </c>
      <c r="CE290">
        <v>-0.5</v>
      </c>
      <c r="CF290">
        <v>-0.5</v>
      </c>
      <c r="CG290">
        <v>-17.3</v>
      </c>
      <c r="CH290">
        <v>-1.33</v>
      </c>
      <c r="CI290">
        <v>-1.34</v>
      </c>
      <c r="CJ290">
        <v>56119</v>
      </c>
      <c r="CK290">
        <v>8388</v>
      </c>
      <c r="CL290" t="s">
        <v>2074</v>
      </c>
      <c r="CM290">
        <v>85.3</v>
      </c>
      <c r="CN290">
        <v>-95.7</v>
      </c>
      <c r="CO290">
        <v>2.4900000000000002</v>
      </c>
      <c r="CP290">
        <v>-9.11</v>
      </c>
      <c r="CQ290">
        <v>154.63999999999999</v>
      </c>
      <c r="CR290">
        <v>0</v>
      </c>
      <c r="CS290" t="s">
        <v>2075</v>
      </c>
      <c r="CT290">
        <v>0.63</v>
      </c>
      <c r="CU290">
        <v>0</v>
      </c>
      <c r="CV290">
        <v>1.85</v>
      </c>
      <c r="CW290">
        <v>-2.2400000000000002</v>
      </c>
      <c r="CX290">
        <v>-0.17</v>
      </c>
      <c r="CY290">
        <v>66.86</v>
      </c>
      <c r="CZ290" t="s">
        <v>2076</v>
      </c>
      <c r="DA290">
        <v>12.88</v>
      </c>
      <c r="DB290">
        <v>-632.79999999999995</v>
      </c>
      <c r="DC290">
        <v>-639.53</v>
      </c>
      <c r="DD290">
        <v>0.17</v>
      </c>
      <c r="DE290">
        <v>101</v>
      </c>
      <c r="DF290">
        <v>760</v>
      </c>
      <c r="DG290" t="s">
        <v>116</v>
      </c>
      <c r="DH290" t="s">
        <v>116</v>
      </c>
      <c r="DI290" t="s">
        <v>116</v>
      </c>
    </row>
    <row r="291" spans="1:113" x14ac:dyDescent="0.4">
      <c r="A291" t="str">
        <f>"000761"</f>
        <v>000761</v>
      </c>
      <c r="B291" t="s">
        <v>2077</v>
      </c>
      <c r="C291">
        <v>1.54</v>
      </c>
      <c r="D291">
        <v>3.96</v>
      </c>
      <c r="E291">
        <v>0.06</v>
      </c>
      <c r="F291">
        <v>3.94</v>
      </c>
      <c r="G291">
        <v>3.96</v>
      </c>
      <c r="H291">
        <v>38317</v>
      </c>
      <c r="I291">
        <v>839</v>
      </c>
      <c r="J291">
        <v>0.76</v>
      </c>
      <c r="K291">
        <v>0.11</v>
      </c>
      <c r="L291">
        <v>3.9</v>
      </c>
      <c r="M291">
        <v>3.96</v>
      </c>
      <c r="N291">
        <v>3.85</v>
      </c>
      <c r="O291">
        <v>3.9</v>
      </c>
      <c r="P291">
        <v>23.61</v>
      </c>
      <c r="Q291">
        <v>14998891</v>
      </c>
      <c r="R291">
        <v>1.04</v>
      </c>
      <c r="S291" t="s">
        <v>1587</v>
      </c>
      <c r="T291" t="s">
        <v>434</v>
      </c>
      <c r="U291">
        <v>2.82</v>
      </c>
      <c r="V291">
        <v>3.91</v>
      </c>
      <c r="W291">
        <v>17674</v>
      </c>
      <c r="X291">
        <v>20643</v>
      </c>
      <c r="Y291">
        <v>0.86</v>
      </c>
      <c r="Z291">
        <v>729</v>
      </c>
      <c r="AA291">
        <v>523</v>
      </c>
      <c r="AB291" t="s">
        <v>116</v>
      </c>
      <c r="AC291">
        <v>0</v>
      </c>
      <c r="AD291">
        <v>0</v>
      </c>
      <c r="AE291" t="s">
        <v>116</v>
      </c>
      <c r="AF291" t="s">
        <v>116</v>
      </c>
      <c r="AG291">
        <v>34.75</v>
      </c>
      <c r="AH291" t="s">
        <v>2078</v>
      </c>
      <c r="AI291" t="s">
        <v>2079</v>
      </c>
      <c r="AJ291">
        <v>2.2200000000000002</v>
      </c>
      <c r="AK291">
        <v>986</v>
      </c>
      <c r="AL291">
        <v>39</v>
      </c>
      <c r="AM291">
        <v>1E-4</v>
      </c>
      <c r="AN291">
        <v>2</v>
      </c>
      <c r="AO291">
        <v>1.02</v>
      </c>
      <c r="AP291">
        <v>9.09</v>
      </c>
      <c r="AQ291">
        <v>4.49</v>
      </c>
      <c r="AR291">
        <v>19.64</v>
      </c>
      <c r="AS291">
        <v>0.35</v>
      </c>
      <c r="AT291" t="s">
        <v>2080</v>
      </c>
      <c r="AU291">
        <v>21.96</v>
      </c>
      <c r="AV291">
        <v>14.81</v>
      </c>
      <c r="AW291">
        <v>0.47</v>
      </c>
      <c r="BA291">
        <v>0</v>
      </c>
      <c r="BB291">
        <v>1.54</v>
      </c>
      <c r="BC291">
        <v>-1.28</v>
      </c>
      <c r="BD291">
        <v>0.37</v>
      </c>
      <c r="BE291">
        <v>1.54</v>
      </c>
      <c r="BF291">
        <v>0</v>
      </c>
      <c r="BG291">
        <v>2.86</v>
      </c>
      <c r="BH291">
        <v>1.17</v>
      </c>
      <c r="BI291">
        <v>20191209</v>
      </c>
      <c r="BJ291">
        <v>19980115</v>
      </c>
      <c r="BK291">
        <v>38.75</v>
      </c>
      <c r="BL291">
        <v>4</v>
      </c>
      <c r="BM291" t="s">
        <v>116</v>
      </c>
      <c r="BN291">
        <v>637.59</v>
      </c>
      <c r="BO291">
        <v>194.4</v>
      </c>
      <c r="BP291">
        <v>5.25</v>
      </c>
      <c r="BQ291">
        <v>68.69</v>
      </c>
      <c r="BR291">
        <v>346.96</v>
      </c>
      <c r="BS291">
        <v>257.22000000000003</v>
      </c>
      <c r="BT291">
        <v>2.73</v>
      </c>
      <c r="BU291">
        <v>385.18</v>
      </c>
      <c r="BV291">
        <v>96.49</v>
      </c>
      <c r="BW291">
        <v>5.92</v>
      </c>
      <c r="BX291">
        <v>123.43</v>
      </c>
      <c r="BY291">
        <v>385.44</v>
      </c>
      <c r="BZ291">
        <v>358.07</v>
      </c>
      <c r="CA291">
        <v>5.73</v>
      </c>
      <c r="CB291">
        <v>0</v>
      </c>
      <c r="CC291">
        <v>5.18</v>
      </c>
      <c r="CD291">
        <v>4.87</v>
      </c>
      <c r="CE291">
        <v>4.87</v>
      </c>
      <c r="CF291">
        <v>4.8</v>
      </c>
      <c r="CG291">
        <v>22.4</v>
      </c>
      <c r="CH291">
        <v>82.25</v>
      </c>
      <c r="CI291">
        <v>25.62</v>
      </c>
      <c r="CJ291">
        <v>53531</v>
      </c>
      <c r="CK291">
        <v>27914</v>
      </c>
      <c r="CL291" t="s">
        <v>2081</v>
      </c>
      <c r="CM291">
        <v>-40.93</v>
      </c>
      <c r="CN291">
        <v>4.87</v>
      </c>
      <c r="CO291">
        <v>0.79</v>
      </c>
      <c r="CP291">
        <v>1.87</v>
      </c>
      <c r="CQ291">
        <v>0.4</v>
      </c>
      <c r="CR291">
        <v>1.26</v>
      </c>
      <c r="CS291" t="s">
        <v>2082</v>
      </c>
      <c r="CT291">
        <v>5.0199999999999996</v>
      </c>
      <c r="CU291">
        <v>0</v>
      </c>
      <c r="CV291">
        <v>3.19</v>
      </c>
      <c r="CW291">
        <v>0.57999999999999996</v>
      </c>
      <c r="CX291">
        <v>2.12</v>
      </c>
      <c r="CY291">
        <v>30.49</v>
      </c>
      <c r="CZ291" t="s">
        <v>2083</v>
      </c>
      <c r="DA291">
        <v>7.1</v>
      </c>
      <c r="DB291">
        <v>1.49</v>
      </c>
      <c r="DC291">
        <v>1.26</v>
      </c>
      <c r="DD291">
        <v>0.23</v>
      </c>
      <c r="DE291">
        <v>18436</v>
      </c>
      <c r="DF291">
        <v>761</v>
      </c>
      <c r="DG291" t="s">
        <v>116</v>
      </c>
      <c r="DH291" t="s">
        <v>116</v>
      </c>
      <c r="DI291" t="s">
        <v>116</v>
      </c>
    </row>
    <row r="292" spans="1:113" x14ac:dyDescent="0.4">
      <c r="A292" t="str">
        <f>"000762"</f>
        <v>000762</v>
      </c>
      <c r="B292" t="s">
        <v>2084</v>
      </c>
      <c r="C292">
        <v>2.91</v>
      </c>
      <c r="D292">
        <v>7.43</v>
      </c>
      <c r="E292">
        <v>0.21</v>
      </c>
      <c r="F292">
        <v>7.43</v>
      </c>
      <c r="G292">
        <v>7.44</v>
      </c>
      <c r="H292">
        <v>204613</v>
      </c>
      <c r="I292">
        <v>1003</v>
      </c>
      <c r="J292">
        <v>0.81</v>
      </c>
      <c r="K292">
        <v>3.93</v>
      </c>
      <c r="L292">
        <v>7.29</v>
      </c>
      <c r="M292">
        <v>7.81</v>
      </c>
      <c r="N292">
        <v>7.14</v>
      </c>
      <c r="O292">
        <v>7.22</v>
      </c>
      <c r="P292" t="s">
        <v>116</v>
      </c>
      <c r="Q292">
        <v>151378976</v>
      </c>
      <c r="R292">
        <v>3.36</v>
      </c>
      <c r="S292" t="s">
        <v>1509</v>
      </c>
      <c r="T292" t="s">
        <v>2028</v>
      </c>
      <c r="U292">
        <v>9.2799999999999994</v>
      </c>
      <c r="V292">
        <v>7.4</v>
      </c>
      <c r="W292">
        <v>91953</v>
      </c>
      <c r="X292">
        <v>112660</v>
      </c>
      <c r="Y292">
        <v>0.82</v>
      </c>
      <c r="Z292">
        <v>61</v>
      </c>
      <c r="AA292">
        <v>69</v>
      </c>
      <c r="AB292" t="s">
        <v>116</v>
      </c>
      <c r="AC292">
        <v>401700</v>
      </c>
      <c r="AD292">
        <v>0.01</v>
      </c>
      <c r="AE292" t="s">
        <v>116</v>
      </c>
      <c r="AF292" t="s">
        <v>116</v>
      </c>
      <c r="AG292">
        <v>5.21</v>
      </c>
      <c r="AH292" t="s">
        <v>2085</v>
      </c>
      <c r="AI292" t="s">
        <v>2085</v>
      </c>
      <c r="AJ292">
        <v>3.59</v>
      </c>
      <c r="AK292">
        <v>2575</v>
      </c>
      <c r="AL292">
        <v>79</v>
      </c>
      <c r="AM292">
        <v>1.5E-3</v>
      </c>
      <c r="AN292">
        <v>4</v>
      </c>
      <c r="AO292">
        <v>4.6500000000000004</v>
      </c>
      <c r="AP292">
        <v>5.09</v>
      </c>
      <c r="AQ292">
        <v>5.39</v>
      </c>
      <c r="AR292">
        <v>10.24</v>
      </c>
      <c r="AS292">
        <v>5.05</v>
      </c>
      <c r="AT292" t="s">
        <v>2086</v>
      </c>
      <c r="AU292" t="s">
        <v>116</v>
      </c>
      <c r="AV292" t="s">
        <v>116</v>
      </c>
      <c r="AW292">
        <v>0.83</v>
      </c>
      <c r="BA292">
        <v>0.97</v>
      </c>
      <c r="BB292">
        <v>8.17</v>
      </c>
      <c r="BC292">
        <v>-1.1100000000000001</v>
      </c>
      <c r="BD292">
        <v>2.4700000000000002</v>
      </c>
      <c r="BE292">
        <v>1.92</v>
      </c>
      <c r="BF292">
        <v>-4.87</v>
      </c>
      <c r="BG292">
        <v>4.0599999999999996</v>
      </c>
      <c r="BH292">
        <v>0.44</v>
      </c>
      <c r="BI292">
        <v>20191223</v>
      </c>
      <c r="BJ292">
        <v>19970708</v>
      </c>
      <c r="BK292">
        <v>5.21</v>
      </c>
      <c r="BL292" t="s">
        <v>116</v>
      </c>
      <c r="BM292" t="s">
        <v>116</v>
      </c>
      <c r="BN292">
        <v>27.66</v>
      </c>
      <c r="BO292">
        <v>19.55</v>
      </c>
      <c r="BP292">
        <v>4.1399999999999997</v>
      </c>
      <c r="BQ292">
        <v>14.34</v>
      </c>
      <c r="BR292">
        <v>16.29</v>
      </c>
      <c r="BS292">
        <v>3.27</v>
      </c>
      <c r="BT292">
        <v>3.6</v>
      </c>
      <c r="BU292">
        <v>3.45</v>
      </c>
      <c r="BV292">
        <v>2.0499999999999998</v>
      </c>
      <c r="BW292">
        <v>1.41</v>
      </c>
      <c r="BX292">
        <v>15.83</v>
      </c>
      <c r="BY292">
        <v>4.4000000000000004</v>
      </c>
      <c r="BZ292">
        <v>3.91</v>
      </c>
      <c r="CA292">
        <v>-0.27</v>
      </c>
      <c r="CB292">
        <v>0</v>
      </c>
      <c r="CC292">
        <v>-0.28999999999999998</v>
      </c>
      <c r="CD292">
        <v>-0.28999999999999998</v>
      </c>
      <c r="CE292">
        <v>-0.21</v>
      </c>
      <c r="CF292">
        <v>-0.21</v>
      </c>
      <c r="CG292">
        <v>-2.06</v>
      </c>
      <c r="CH292">
        <v>-0.59</v>
      </c>
      <c r="CI292">
        <v>-1.27</v>
      </c>
      <c r="CJ292">
        <v>69228</v>
      </c>
      <c r="CK292">
        <v>5847</v>
      </c>
      <c r="CL292" t="s">
        <v>430</v>
      </c>
      <c r="CM292">
        <v>71.98</v>
      </c>
      <c r="CN292">
        <v>22.37</v>
      </c>
      <c r="CO292">
        <v>1.98</v>
      </c>
      <c r="CP292">
        <v>-65.349999999999994</v>
      </c>
      <c r="CQ292">
        <v>8.7899999999999991</v>
      </c>
      <c r="CR292">
        <v>0</v>
      </c>
      <c r="CS292" t="s">
        <v>2087</v>
      </c>
      <c r="CT292">
        <v>3.75</v>
      </c>
      <c r="CU292">
        <v>0</v>
      </c>
      <c r="CV292">
        <v>3.04</v>
      </c>
      <c r="CW292">
        <v>-0.39</v>
      </c>
      <c r="CX292">
        <v>-0.11</v>
      </c>
      <c r="CY292">
        <v>70.69</v>
      </c>
      <c r="CZ292" t="s">
        <v>2088</v>
      </c>
      <c r="DA292">
        <v>11.13</v>
      </c>
      <c r="DB292">
        <v>-6.15</v>
      </c>
      <c r="DC292">
        <v>-4.8099999999999996</v>
      </c>
      <c r="DD292">
        <v>0</v>
      </c>
      <c r="DE292">
        <v>929</v>
      </c>
      <c r="DF292">
        <v>762</v>
      </c>
      <c r="DG292" t="s">
        <v>116</v>
      </c>
      <c r="DH292" t="s">
        <v>116</v>
      </c>
      <c r="DI292" t="s">
        <v>116</v>
      </c>
    </row>
    <row r="293" spans="1:113" x14ac:dyDescent="0.4">
      <c r="A293" t="str">
        <f>"000766"</f>
        <v>000766</v>
      </c>
      <c r="B293" t="s">
        <v>2089</v>
      </c>
      <c r="C293">
        <v>0.16</v>
      </c>
      <c r="D293">
        <v>6.33</v>
      </c>
      <c r="E293">
        <v>0.01</v>
      </c>
      <c r="F293">
        <v>6.32</v>
      </c>
      <c r="G293">
        <v>6.33</v>
      </c>
      <c r="H293">
        <v>79683</v>
      </c>
      <c r="I293">
        <v>1035</v>
      </c>
      <c r="J293">
        <v>0</v>
      </c>
      <c r="K293">
        <v>1.1299999999999999</v>
      </c>
      <c r="L293">
        <v>6.34</v>
      </c>
      <c r="M293">
        <v>6.45</v>
      </c>
      <c r="N293">
        <v>6.32</v>
      </c>
      <c r="O293">
        <v>6.32</v>
      </c>
      <c r="P293">
        <v>28.99</v>
      </c>
      <c r="Q293">
        <v>50816244</v>
      </c>
      <c r="R293">
        <v>1.1000000000000001</v>
      </c>
      <c r="S293" t="s">
        <v>574</v>
      </c>
      <c r="T293" t="s">
        <v>294</v>
      </c>
      <c r="U293">
        <v>2.06</v>
      </c>
      <c r="V293">
        <v>6.38</v>
      </c>
      <c r="W293">
        <v>39555</v>
      </c>
      <c r="X293">
        <v>40128</v>
      </c>
      <c r="Y293">
        <v>0.99</v>
      </c>
      <c r="Z293">
        <v>2150</v>
      </c>
      <c r="AA293">
        <v>915</v>
      </c>
      <c r="AB293" t="s">
        <v>116</v>
      </c>
      <c r="AC293">
        <v>70400</v>
      </c>
      <c r="AD293">
        <v>0</v>
      </c>
      <c r="AE293" t="s">
        <v>116</v>
      </c>
      <c r="AF293" t="s">
        <v>116</v>
      </c>
      <c r="AG293">
        <v>7.07</v>
      </c>
      <c r="AH293" t="s">
        <v>1022</v>
      </c>
      <c r="AI293" t="s">
        <v>2090</v>
      </c>
      <c r="AJ293">
        <v>0.84</v>
      </c>
      <c r="AK293">
        <v>1552</v>
      </c>
      <c r="AL293">
        <v>51</v>
      </c>
      <c r="AM293">
        <v>6.9999999999999999E-4</v>
      </c>
      <c r="AN293">
        <v>1</v>
      </c>
      <c r="AO293">
        <v>0</v>
      </c>
      <c r="AP293">
        <v>-2.0099999999999998</v>
      </c>
      <c r="AQ293">
        <v>-13.05</v>
      </c>
      <c r="AR293">
        <v>-7.73</v>
      </c>
      <c r="AS293">
        <v>1.63</v>
      </c>
      <c r="AT293" t="s">
        <v>2091</v>
      </c>
      <c r="AU293">
        <v>19.75</v>
      </c>
      <c r="AV293">
        <v>18.489999999999998</v>
      </c>
      <c r="AW293">
        <v>0.96</v>
      </c>
      <c r="BA293">
        <v>0.32</v>
      </c>
      <c r="BB293">
        <v>2.06</v>
      </c>
      <c r="BC293">
        <v>0</v>
      </c>
      <c r="BD293">
        <v>0.91</v>
      </c>
      <c r="BE293">
        <v>-0.16</v>
      </c>
      <c r="BF293">
        <v>-1.86</v>
      </c>
      <c r="BG293">
        <v>0.16</v>
      </c>
      <c r="BH293">
        <v>-0.75</v>
      </c>
      <c r="BI293">
        <v>20191105</v>
      </c>
      <c r="BJ293">
        <v>19970430</v>
      </c>
      <c r="BK293">
        <v>9.66</v>
      </c>
      <c r="BL293" t="s">
        <v>116</v>
      </c>
      <c r="BM293" t="s">
        <v>116</v>
      </c>
      <c r="BN293">
        <v>63.76</v>
      </c>
      <c r="BO293">
        <v>48.7</v>
      </c>
      <c r="BP293">
        <v>0.35</v>
      </c>
      <c r="BQ293">
        <v>23.07</v>
      </c>
      <c r="BR293">
        <v>16.66</v>
      </c>
      <c r="BS293">
        <v>7.88</v>
      </c>
      <c r="BT293">
        <v>2.91</v>
      </c>
      <c r="BU293">
        <v>6.53</v>
      </c>
      <c r="BV293">
        <v>4.7699999999999996</v>
      </c>
      <c r="BW293">
        <v>7.11</v>
      </c>
      <c r="BX293">
        <v>36.42</v>
      </c>
      <c r="BY293">
        <v>14.04</v>
      </c>
      <c r="BZ293">
        <v>2.12</v>
      </c>
      <c r="CA293">
        <v>1.93</v>
      </c>
      <c r="CB293">
        <v>0.22</v>
      </c>
      <c r="CC293">
        <v>1.92</v>
      </c>
      <c r="CD293">
        <v>1.58</v>
      </c>
      <c r="CE293">
        <v>1.58</v>
      </c>
      <c r="CF293">
        <v>1.33</v>
      </c>
      <c r="CG293">
        <v>1.52</v>
      </c>
      <c r="CH293">
        <v>0.64</v>
      </c>
      <c r="CI293">
        <v>-1.29</v>
      </c>
      <c r="CJ293">
        <v>46624</v>
      </c>
      <c r="CK293">
        <v>10461</v>
      </c>
      <c r="CL293" t="s">
        <v>2092</v>
      </c>
      <c r="CM293">
        <v>-11.79</v>
      </c>
      <c r="CN293">
        <v>2.27</v>
      </c>
      <c r="CO293">
        <v>1.26</v>
      </c>
      <c r="CP293">
        <v>95.25</v>
      </c>
      <c r="CQ293">
        <v>4.3600000000000003</v>
      </c>
      <c r="CR293">
        <v>0</v>
      </c>
      <c r="CS293" t="s">
        <v>1514</v>
      </c>
      <c r="CT293">
        <v>5.04</v>
      </c>
      <c r="CU293">
        <v>0</v>
      </c>
      <c r="CV293">
        <v>3.77</v>
      </c>
      <c r="CW293">
        <v>0.16</v>
      </c>
      <c r="CX293">
        <v>7.0000000000000007E-2</v>
      </c>
      <c r="CY293">
        <v>76.38</v>
      </c>
      <c r="CZ293" t="s">
        <v>455</v>
      </c>
      <c r="DA293">
        <v>84.87</v>
      </c>
      <c r="DB293">
        <v>13.72</v>
      </c>
      <c r="DC293">
        <v>11.27</v>
      </c>
      <c r="DD293">
        <v>0.43</v>
      </c>
      <c r="DE293">
        <v>2130</v>
      </c>
      <c r="DF293">
        <v>766</v>
      </c>
      <c r="DG293" t="s">
        <v>116</v>
      </c>
      <c r="DH293" t="s">
        <v>116</v>
      </c>
      <c r="DI293" t="s">
        <v>116</v>
      </c>
    </row>
    <row r="294" spans="1:113" x14ac:dyDescent="0.4">
      <c r="A294" t="str">
        <f>"000767"</f>
        <v>000767</v>
      </c>
      <c r="B294" t="s">
        <v>2093</v>
      </c>
      <c r="C294">
        <v>-0.41</v>
      </c>
      <c r="D294">
        <v>2.42</v>
      </c>
      <c r="E294">
        <v>-0.01</v>
      </c>
      <c r="F294">
        <v>2.42</v>
      </c>
      <c r="G294">
        <v>2.4300000000000002</v>
      </c>
      <c r="H294">
        <v>41297</v>
      </c>
      <c r="I294">
        <v>221</v>
      </c>
      <c r="J294">
        <v>0</v>
      </c>
      <c r="K294">
        <v>0.14000000000000001</v>
      </c>
      <c r="L294">
        <v>2.4300000000000002</v>
      </c>
      <c r="M294">
        <v>2.4500000000000002</v>
      </c>
      <c r="N294">
        <v>2.42</v>
      </c>
      <c r="O294">
        <v>2.4300000000000002</v>
      </c>
      <c r="P294">
        <v>97.06</v>
      </c>
      <c r="Q294">
        <v>10041632</v>
      </c>
      <c r="R294">
        <v>1.35</v>
      </c>
      <c r="S294" t="s">
        <v>271</v>
      </c>
      <c r="T294" t="s">
        <v>675</v>
      </c>
      <c r="U294">
        <v>1.23</v>
      </c>
      <c r="V294">
        <v>2.4300000000000002</v>
      </c>
      <c r="W294">
        <v>26252</v>
      </c>
      <c r="X294">
        <v>15045</v>
      </c>
      <c r="Y294">
        <v>1.74</v>
      </c>
      <c r="Z294">
        <v>4033</v>
      </c>
      <c r="AA294">
        <v>1179</v>
      </c>
      <c r="AB294" t="s">
        <v>116</v>
      </c>
      <c r="AC294">
        <v>16300</v>
      </c>
      <c r="AD294">
        <v>0</v>
      </c>
      <c r="AE294" t="s">
        <v>116</v>
      </c>
      <c r="AF294" t="s">
        <v>116</v>
      </c>
      <c r="AG294">
        <v>29.12</v>
      </c>
      <c r="AH294" t="s">
        <v>2094</v>
      </c>
      <c r="AI294" t="s">
        <v>2095</v>
      </c>
      <c r="AJ294">
        <v>0.27</v>
      </c>
      <c r="AK294">
        <v>350</v>
      </c>
      <c r="AL294">
        <v>118</v>
      </c>
      <c r="AM294">
        <v>4.0000000000000002E-4</v>
      </c>
      <c r="AN294">
        <v>-1</v>
      </c>
      <c r="AO294">
        <v>-0.82</v>
      </c>
      <c r="AP294">
        <v>2.11</v>
      </c>
      <c r="AQ294">
        <v>-3.97</v>
      </c>
      <c r="AR294">
        <v>-2.02</v>
      </c>
      <c r="AS294">
        <v>0.26</v>
      </c>
      <c r="AT294" t="s">
        <v>2096</v>
      </c>
      <c r="AU294">
        <v>39.869999999999997</v>
      </c>
      <c r="AV294">
        <v>23.31</v>
      </c>
      <c r="AW294">
        <v>0.6</v>
      </c>
      <c r="BA294">
        <v>0</v>
      </c>
      <c r="BB294">
        <v>0.82</v>
      </c>
      <c r="BC294">
        <v>-0.41</v>
      </c>
      <c r="BD294">
        <v>0.06</v>
      </c>
      <c r="BE294">
        <v>-0.41</v>
      </c>
      <c r="BF294">
        <v>-1.22</v>
      </c>
      <c r="BG294">
        <v>0</v>
      </c>
      <c r="BH294">
        <v>-0.48</v>
      </c>
      <c r="BI294">
        <v>20191025</v>
      </c>
      <c r="BJ294">
        <v>19970609</v>
      </c>
      <c r="BK294">
        <v>30.77</v>
      </c>
      <c r="BL294" t="s">
        <v>116</v>
      </c>
      <c r="BM294" t="s">
        <v>116</v>
      </c>
      <c r="BN294">
        <v>484.75</v>
      </c>
      <c r="BO294">
        <v>76.03</v>
      </c>
      <c r="BP294">
        <v>4.42</v>
      </c>
      <c r="BQ294">
        <v>83.4</v>
      </c>
      <c r="BR294">
        <v>103.4</v>
      </c>
      <c r="BS294">
        <v>275.08</v>
      </c>
      <c r="BT294">
        <v>10.4</v>
      </c>
      <c r="BU294">
        <v>210.12</v>
      </c>
      <c r="BV294">
        <v>9.64</v>
      </c>
      <c r="BW294">
        <v>34.76</v>
      </c>
      <c r="BX294">
        <v>43.84</v>
      </c>
      <c r="BY294">
        <v>88.54</v>
      </c>
      <c r="BZ294">
        <v>74.3</v>
      </c>
      <c r="CA294">
        <v>-0.24</v>
      </c>
      <c r="CB294">
        <v>0.5</v>
      </c>
      <c r="CC294">
        <v>0.4</v>
      </c>
      <c r="CD294">
        <v>0.28000000000000003</v>
      </c>
      <c r="CE294">
        <v>0.57999999999999996</v>
      </c>
      <c r="CF294">
        <v>0.03</v>
      </c>
      <c r="CG294">
        <v>-0.53</v>
      </c>
      <c r="CH294">
        <v>2.3199999999999998</v>
      </c>
      <c r="CI294">
        <v>-9.85</v>
      </c>
      <c r="CJ294">
        <v>128394</v>
      </c>
      <c r="CK294">
        <v>12402</v>
      </c>
      <c r="CL294" t="s">
        <v>2097</v>
      </c>
      <c r="CM294">
        <v>-69.739999999999995</v>
      </c>
      <c r="CN294">
        <v>9.41</v>
      </c>
      <c r="CO294">
        <v>0.98</v>
      </c>
      <c r="CP294">
        <v>32.049999999999997</v>
      </c>
      <c r="CQ294">
        <v>0.84</v>
      </c>
      <c r="CR294">
        <v>0</v>
      </c>
      <c r="CS294" t="s">
        <v>2098</v>
      </c>
      <c r="CT294">
        <v>2.4700000000000002</v>
      </c>
      <c r="CU294">
        <v>0</v>
      </c>
      <c r="CV294">
        <v>1.42</v>
      </c>
      <c r="CW294">
        <v>-0.02</v>
      </c>
      <c r="CX294">
        <v>0.08</v>
      </c>
      <c r="CY294">
        <v>15.69</v>
      </c>
      <c r="CZ294" t="s">
        <v>2099</v>
      </c>
      <c r="DA294">
        <v>16.079999999999998</v>
      </c>
      <c r="DB294">
        <v>-0.27</v>
      </c>
      <c r="DC294">
        <v>0.65</v>
      </c>
      <c r="DD294">
        <v>0</v>
      </c>
      <c r="DE294">
        <v>8457</v>
      </c>
      <c r="DF294">
        <v>767</v>
      </c>
      <c r="DG294" t="s">
        <v>116</v>
      </c>
      <c r="DH294" t="s">
        <v>116</v>
      </c>
      <c r="DI294" t="s">
        <v>116</v>
      </c>
    </row>
    <row r="295" spans="1:113" x14ac:dyDescent="0.4">
      <c r="A295" t="str">
        <f>"000768"</f>
        <v>000768</v>
      </c>
      <c r="B295" t="s">
        <v>2100</v>
      </c>
      <c r="C295">
        <v>-0.92</v>
      </c>
      <c r="D295">
        <v>16.12</v>
      </c>
      <c r="E295">
        <v>-0.15</v>
      </c>
      <c r="F295">
        <v>16.11</v>
      </c>
      <c r="G295">
        <v>16.12</v>
      </c>
      <c r="H295">
        <v>158382</v>
      </c>
      <c r="I295">
        <v>1428</v>
      </c>
      <c r="J295">
        <v>-0.11</v>
      </c>
      <c r="K295">
        <v>0.56999999999999995</v>
      </c>
      <c r="L295">
        <v>16.27</v>
      </c>
      <c r="M295">
        <v>16.43</v>
      </c>
      <c r="N295">
        <v>16.09</v>
      </c>
      <c r="O295">
        <v>16.27</v>
      </c>
      <c r="P295">
        <v>97.62</v>
      </c>
      <c r="Q295">
        <v>258186144</v>
      </c>
      <c r="R295">
        <v>1.3</v>
      </c>
      <c r="S295" t="s">
        <v>1789</v>
      </c>
      <c r="T295" t="s">
        <v>913</v>
      </c>
      <c r="U295">
        <v>2.09</v>
      </c>
      <c r="V295">
        <v>16.3</v>
      </c>
      <c r="W295">
        <v>80213</v>
      </c>
      <c r="X295">
        <v>78169</v>
      </c>
      <c r="Y295">
        <v>1.03</v>
      </c>
      <c r="Z295">
        <v>768</v>
      </c>
      <c r="AA295">
        <v>7</v>
      </c>
      <c r="AB295" t="s">
        <v>116</v>
      </c>
      <c r="AC295">
        <v>605200</v>
      </c>
      <c r="AD295">
        <v>0</v>
      </c>
      <c r="AE295" t="s">
        <v>116</v>
      </c>
      <c r="AF295" t="s">
        <v>116</v>
      </c>
      <c r="AG295">
        <v>27.69</v>
      </c>
      <c r="AH295" t="s">
        <v>2101</v>
      </c>
      <c r="AI295" t="s">
        <v>2102</v>
      </c>
      <c r="AJ295">
        <v>-0.24</v>
      </c>
      <c r="AK295">
        <v>3217</v>
      </c>
      <c r="AL295">
        <v>49</v>
      </c>
      <c r="AM295">
        <v>2.0000000000000001E-4</v>
      </c>
      <c r="AN295">
        <v>-1</v>
      </c>
      <c r="AO295">
        <v>-0.37</v>
      </c>
      <c r="AP295">
        <v>1.38</v>
      </c>
      <c r="AQ295">
        <v>2.54</v>
      </c>
      <c r="AR295">
        <v>22.68</v>
      </c>
      <c r="AS295">
        <v>1.27</v>
      </c>
      <c r="AT295" t="s">
        <v>2103</v>
      </c>
      <c r="AU295">
        <v>66.75</v>
      </c>
      <c r="AV295">
        <v>79.98</v>
      </c>
      <c r="AW295">
        <v>0.6</v>
      </c>
      <c r="BA295">
        <v>0</v>
      </c>
      <c r="BB295">
        <v>0.98</v>
      </c>
      <c r="BC295">
        <v>-1.1100000000000001</v>
      </c>
      <c r="BD295">
        <v>0.19</v>
      </c>
      <c r="BE295">
        <v>-0.92</v>
      </c>
      <c r="BF295">
        <v>-1.89</v>
      </c>
      <c r="BG295">
        <v>0.19</v>
      </c>
      <c r="BH295">
        <v>-1.1200000000000001</v>
      </c>
      <c r="BI295">
        <v>20191223</v>
      </c>
      <c r="BJ295">
        <v>19970626</v>
      </c>
      <c r="BK295">
        <v>27.69</v>
      </c>
      <c r="BL295" t="s">
        <v>116</v>
      </c>
      <c r="BM295" t="s">
        <v>116</v>
      </c>
      <c r="BN295">
        <v>506.27</v>
      </c>
      <c r="BO295">
        <v>163.52000000000001</v>
      </c>
      <c r="BP295">
        <v>0.31</v>
      </c>
      <c r="BQ295">
        <v>67.64</v>
      </c>
      <c r="BR295">
        <v>424.48</v>
      </c>
      <c r="BS295">
        <v>38.619999999999997</v>
      </c>
      <c r="BT295">
        <v>2.73</v>
      </c>
      <c r="BU295">
        <v>325.85000000000002</v>
      </c>
      <c r="BV295">
        <v>184.06</v>
      </c>
      <c r="BW295">
        <v>147.85</v>
      </c>
      <c r="BX295">
        <v>101.61</v>
      </c>
      <c r="BY295">
        <v>196.78</v>
      </c>
      <c r="BZ295">
        <v>184.4</v>
      </c>
      <c r="CA295">
        <v>4.01</v>
      </c>
      <c r="CB295">
        <v>0.16</v>
      </c>
      <c r="CC295">
        <v>4.0199999999999996</v>
      </c>
      <c r="CD295">
        <v>3.39</v>
      </c>
      <c r="CE295">
        <v>3.43</v>
      </c>
      <c r="CF295">
        <v>2.64</v>
      </c>
      <c r="CG295">
        <v>20.260000000000002</v>
      </c>
      <c r="CH295">
        <v>-37.18</v>
      </c>
      <c r="CI295">
        <v>-55.09</v>
      </c>
      <c r="CJ295">
        <v>154607</v>
      </c>
      <c r="CK295">
        <v>8073</v>
      </c>
      <c r="CL295" t="s">
        <v>2104</v>
      </c>
      <c r="CM295">
        <v>47.61</v>
      </c>
      <c r="CN295">
        <v>-3.57</v>
      </c>
      <c r="CO295">
        <v>2.73</v>
      </c>
      <c r="CP295">
        <v>-12</v>
      </c>
      <c r="CQ295">
        <v>2.27</v>
      </c>
      <c r="CR295">
        <v>0.62</v>
      </c>
      <c r="CS295" t="s">
        <v>868</v>
      </c>
      <c r="CT295">
        <v>5.91</v>
      </c>
      <c r="CU295">
        <v>0</v>
      </c>
      <c r="CV295">
        <v>3.67</v>
      </c>
      <c r="CW295">
        <v>0.73</v>
      </c>
      <c r="CX295">
        <v>-1.34</v>
      </c>
      <c r="CY295">
        <v>32.299999999999997</v>
      </c>
      <c r="CZ295" t="s">
        <v>2105</v>
      </c>
      <c r="DA295">
        <v>6.29</v>
      </c>
      <c r="DB295">
        <v>2.04</v>
      </c>
      <c r="DC295">
        <v>1.74</v>
      </c>
      <c r="DD295">
        <v>0.73</v>
      </c>
      <c r="DE295">
        <v>32599</v>
      </c>
      <c r="DF295">
        <v>768</v>
      </c>
      <c r="DG295" t="s">
        <v>116</v>
      </c>
      <c r="DH295" t="s">
        <v>116</v>
      </c>
      <c r="DI295" t="s">
        <v>116</v>
      </c>
    </row>
    <row r="296" spans="1:113" x14ac:dyDescent="0.4">
      <c r="A296" t="str">
        <f>"000776"</f>
        <v>000776</v>
      </c>
      <c r="B296" t="s">
        <v>2106</v>
      </c>
      <c r="C296">
        <v>-2.16</v>
      </c>
      <c r="D296">
        <v>14.5</v>
      </c>
      <c r="E296">
        <v>-0.32</v>
      </c>
      <c r="F296">
        <v>14.5</v>
      </c>
      <c r="G296">
        <v>14.51</v>
      </c>
      <c r="H296">
        <v>653186</v>
      </c>
      <c r="I296">
        <v>9072</v>
      </c>
      <c r="J296">
        <v>-0.2</v>
      </c>
      <c r="K296">
        <v>1.1000000000000001</v>
      </c>
      <c r="L296">
        <v>14.82</v>
      </c>
      <c r="M296">
        <v>15.02</v>
      </c>
      <c r="N296">
        <v>14.5</v>
      </c>
      <c r="O296">
        <v>14.82</v>
      </c>
      <c r="P296">
        <v>14.76</v>
      </c>
      <c r="Q296">
        <v>966866624</v>
      </c>
      <c r="R296">
        <v>1.43</v>
      </c>
      <c r="S296" t="s">
        <v>623</v>
      </c>
      <c r="T296" t="s">
        <v>551</v>
      </c>
      <c r="U296">
        <v>3.51</v>
      </c>
      <c r="V296">
        <v>14.8</v>
      </c>
      <c r="W296">
        <v>333913</v>
      </c>
      <c r="X296">
        <v>319273</v>
      </c>
      <c r="Y296">
        <v>1.05</v>
      </c>
      <c r="Z296">
        <v>3671</v>
      </c>
      <c r="AA296">
        <v>953</v>
      </c>
      <c r="AB296" t="s">
        <v>116</v>
      </c>
      <c r="AC296">
        <v>9621100</v>
      </c>
      <c r="AD296">
        <v>0.02</v>
      </c>
      <c r="AE296" t="s">
        <v>116</v>
      </c>
      <c r="AF296" t="s">
        <v>116</v>
      </c>
      <c r="AG296">
        <v>59.19</v>
      </c>
      <c r="AH296" t="s">
        <v>2107</v>
      </c>
      <c r="AI296" t="s">
        <v>2107</v>
      </c>
      <c r="AJ296">
        <v>-1.48</v>
      </c>
      <c r="AK296">
        <v>4345</v>
      </c>
      <c r="AL296">
        <v>150</v>
      </c>
      <c r="AM296">
        <v>2.9999999999999997E-4</v>
      </c>
      <c r="AN296">
        <v>-1</v>
      </c>
      <c r="AO296">
        <v>0.62</v>
      </c>
      <c r="AP296">
        <v>10.35</v>
      </c>
      <c r="AQ296">
        <v>6.54</v>
      </c>
      <c r="AR296">
        <v>16.190000000000001</v>
      </c>
      <c r="AS296">
        <v>2.39</v>
      </c>
      <c r="AT296" t="s">
        <v>2108</v>
      </c>
      <c r="AU296">
        <v>19.05</v>
      </c>
      <c r="AV296">
        <v>25.7</v>
      </c>
      <c r="AW296">
        <v>1.23</v>
      </c>
      <c r="BA296">
        <v>0</v>
      </c>
      <c r="BB296">
        <v>1.35</v>
      </c>
      <c r="BC296">
        <v>-2.16</v>
      </c>
      <c r="BD296">
        <v>-0.12</v>
      </c>
      <c r="BE296">
        <v>-2.16</v>
      </c>
      <c r="BF296">
        <v>-3.46</v>
      </c>
      <c r="BG296">
        <v>0</v>
      </c>
      <c r="BH296">
        <v>-2.04</v>
      </c>
      <c r="BI296">
        <v>20191118</v>
      </c>
      <c r="BJ296">
        <v>19970611</v>
      </c>
      <c r="BK296">
        <v>76.209999999999994</v>
      </c>
      <c r="BL296" t="s">
        <v>116</v>
      </c>
      <c r="BM296">
        <v>17.02</v>
      </c>
      <c r="BN296">
        <v>3832.2</v>
      </c>
      <c r="BO296">
        <v>914.22</v>
      </c>
      <c r="BP296">
        <v>35.92</v>
      </c>
      <c r="BQ296">
        <v>75.209999999999994</v>
      </c>
      <c r="BR296">
        <v>0</v>
      </c>
      <c r="BS296">
        <v>19.63</v>
      </c>
      <c r="BT296">
        <v>3.79</v>
      </c>
      <c r="BU296">
        <v>0</v>
      </c>
      <c r="BV296">
        <v>0</v>
      </c>
      <c r="BW296">
        <v>0</v>
      </c>
      <c r="BX296">
        <v>318.64999999999998</v>
      </c>
      <c r="BY296">
        <v>173.58</v>
      </c>
      <c r="BZ296">
        <v>0</v>
      </c>
      <c r="CA296">
        <v>81.650000000000006</v>
      </c>
      <c r="CB296">
        <v>44.33</v>
      </c>
      <c r="CC296">
        <v>77.569999999999993</v>
      </c>
      <c r="CD296">
        <v>60.64</v>
      </c>
      <c r="CE296">
        <v>56.16</v>
      </c>
      <c r="CF296">
        <v>52.99</v>
      </c>
      <c r="CG296">
        <v>314.33999999999997</v>
      </c>
      <c r="CH296">
        <v>240.39</v>
      </c>
      <c r="CI296">
        <v>173.42</v>
      </c>
      <c r="CJ296">
        <v>168305</v>
      </c>
      <c r="CK296">
        <v>16221</v>
      </c>
      <c r="CL296" t="s">
        <v>2109</v>
      </c>
      <c r="CM296">
        <v>36.51</v>
      </c>
      <c r="CN296">
        <v>52.8</v>
      </c>
      <c r="CO296">
        <v>1.21</v>
      </c>
      <c r="CP296">
        <v>4.5999999999999996</v>
      </c>
      <c r="CQ296">
        <v>6.37</v>
      </c>
      <c r="CR296">
        <v>1.07</v>
      </c>
      <c r="CS296" t="s">
        <v>2110</v>
      </c>
      <c r="CT296">
        <v>12</v>
      </c>
      <c r="CU296">
        <v>0</v>
      </c>
      <c r="CV296">
        <v>4.18</v>
      </c>
      <c r="CW296">
        <v>4.12</v>
      </c>
      <c r="CX296">
        <v>3.15</v>
      </c>
      <c r="CY296">
        <v>23.86</v>
      </c>
      <c r="CZ296" t="s">
        <v>2111</v>
      </c>
      <c r="DA296" t="s">
        <v>116</v>
      </c>
      <c r="DB296">
        <v>47.04</v>
      </c>
      <c r="DC296">
        <v>32.35</v>
      </c>
      <c r="DD296">
        <v>0</v>
      </c>
      <c r="DE296">
        <v>12179</v>
      </c>
      <c r="DF296">
        <v>776</v>
      </c>
      <c r="DG296" t="s">
        <v>116</v>
      </c>
      <c r="DH296" t="s">
        <v>116</v>
      </c>
      <c r="DI296" t="s">
        <v>116</v>
      </c>
    </row>
    <row r="297" spans="1:113" x14ac:dyDescent="0.4">
      <c r="A297" t="str">
        <f>"000777"</f>
        <v>000777</v>
      </c>
      <c r="B297" t="s">
        <v>2112</v>
      </c>
      <c r="C297">
        <v>-0.57999999999999996</v>
      </c>
      <c r="D297">
        <v>11.97</v>
      </c>
      <c r="E297">
        <v>-7.0000000000000007E-2</v>
      </c>
      <c r="F297">
        <v>11.97</v>
      </c>
      <c r="G297">
        <v>11.98</v>
      </c>
      <c r="H297">
        <v>32807</v>
      </c>
      <c r="I297">
        <v>263</v>
      </c>
      <c r="J297">
        <v>-0.24</v>
      </c>
      <c r="K297">
        <v>0.86</v>
      </c>
      <c r="L297">
        <v>12.1</v>
      </c>
      <c r="M297">
        <v>12.18</v>
      </c>
      <c r="N297">
        <v>11.97</v>
      </c>
      <c r="O297">
        <v>12.04</v>
      </c>
      <c r="P297">
        <v>38.04</v>
      </c>
      <c r="Q297">
        <v>39649460</v>
      </c>
      <c r="R297">
        <v>1.52</v>
      </c>
      <c r="S297" t="s">
        <v>996</v>
      </c>
      <c r="T297" t="s">
        <v>323</v>
      </c>
      <c r="U297">
        <v>1.74</v>
      </c>
      <c r="V297">
        <v>12.09</v>
      </c>
      <c r="W297">
        <v>18610</v>
      </c>
      <c r="X297">
        <v>14197</v>
      </c>
      <c r="Y297">
        <v>1.31</v>
      </c>
      <c r="Z297">
        <v>166</v>
      </c>
      <c r="AA297">
        <v>247</v>
      </c>
      <c r="AB297" t="s">
        <v>116</v>
      </c>
      <c r="AC297">
        <v>255300</v>
      </c>
      <c r="AD297">
        <v>0.01</v>
      </c>
      <c r="AE297" t="s">
        <v>116</v>
      </c>
      <c r="AF297" t="s">
        <v>116</v>
      </c>
      <c r="AG297">
        <v>3.83</v>
      </c>
      <c r="AH297" t="s">
        <v>2113</v>
      </c>
      <c r="AI297" t="s">
        <v>2114</v>
      </c>
      <c r="AJ297">
        <v>0.1</v>
      </c>
      <c r="AK297">
        <v>1166</v>
      </c>
      <c r="AL297">
        <v>28</v>
      </c>
      <c r="AM297">
        <v>6.9999999999999999E-4</v>
      </c>
      <c r="AN297">
        <v>-1</v>
      </c>
      <c r="AO297">
        <v>-0.57999999999999996</v>
      </c>
      <c r="AP297">
        <v>3.55</v>
      </c>
      <c r="AQ297">
        <v>-5</v>
      </c>
      <c r="AR297">
        <v>20.420000000000002</v>
      </c>
      <c r="AS297">
        <v>1.18</v>
      </c>
      <c r="AT297" t="s">
        <v>2115</v>
      </c>
      <c r="AU297">
        <v>32.85</v>
      </c>
      <c r="AV297">
        <v>44.56</v>
      </c>
      <c r="AW297">
        <v>0.88</v>
      </c>
      <c r="BA297">
        <v>0.5</v>
      </c>
      <c r="BB297">
        <v>1.1599999999999999</v>
      </c>
      <c r="BC297">
        <v>-0.57999999999999996</v>
      </c>
      <c r="BD297">
        <v>0.38</v>
      </c>
      <c r="BE297">
        <v>-1.07</v>
      </c>
      <c r="BF297">
        <v>-1.72</v>
      </c>
      <c r="BG297">
        <v>0</v>
      </c>
      <c r="BH297">
        <v>-0.96</v>
      </c>
      <c r="BI297">
        <v>20191211</v>
      </c>
      <c r="BJ297">
        <v>19970710</v>
      </c>
      <c r="BK297">
        <v>3.83</v>
      </c>
      <c r="BL297" t="s">
        <v>116</v>
      </c>
      <c r="BM297" t="s">
        <v>116</v>
      </c>
      <c r="BN297">
        <v>23.48</v>
      </c>
      <c r="BO297">
        <v>14.2</v>
      </c>
      <c r="BP297">
        <v>0</v>
      </c>
      <c r="BQ297">
        <v>39.51</v>
      </c>
      <c r="BR297">
        <v>15.4</v>
      </c>
      <c r="BS297">
        <v>2.42</v>
      </c>
      <c r="BT297">
        <v>0.51</v>
      </c>
      <c r="BU297">
        <v>8.61</v>
      </c>
      <c r="BV297">
        <v>4.01</v>
      </c>
      <c r="BW297">
        <v>9.02</v>
      </c>
      <c r="BX297">
        <v>2.54</v>
      </c>
      <c r="BY297">
        <v>9.51</v>
      </c>
      <c r="BZ297">
        <v>7.33</v>
      </c>
      <c r="CA297">
        <v>0.87</v>
      </c>
      <c r="CB297">
        <v>0.83</v>
      </c>
      <c r="CC297">
        <v>0.89</v>
      </c>
      <c r="CD297">
        <v>0.9</v>
      </c>
      <c r="CE297">
        <v>0.9</v>
      </c>
      <c r="CF297">
        <v>0.82</v>
      </c>
      <c r="CG297">
        <v>6.19</v>
      </c>
      <c r="CH297">
        <v>-2.02</v>
      </c>
      <c r="CI297">
        <v>-1.36</v>
      </c>
      <c r="CJ297">
        <v>75833</v>
      </c>
      <c r="CK297">
        <v>3678</v>
      </c>
      <c r="CL297" t="s">
        <v>2061</v>
      </c>
      <c r="CM297">
        <v>68.25</v>
      </c>
      <c r="CN297">
        <v>14.3</v>
      </c>
      <c r="CO297">
        <v>3.23</v>
      </c>
      <c r="CP297">
        <v>-22.75</v>
      </c>
      <c r="CQ297">
        <v>4.83</v>
      </c>
      <c r="CR297">
        <v>0.75</v>
      </c>
      <c r="CS297" t="s">
        <v>2116</v>
      </c>
      <c r="CT297">
        <v>3.7</v>
      </c>
      <c r="CU297">
        <v>0</v>
      </c>
      <c r="CV297">
        <v>0.66</v>
      </c>
      <c r="CW297">
        <v>1.62</v>
      </c>
      <c r="CX297">
        <v>-0.53</v>
      </c>
      <c r="CY297">
        <v>60.49</v>
      </c>
      <c r="CZ297" t="s">
        <v>1738</v>
      </c>
      <c r="DA297">
        <v>22.95</v>
      </c>
      <c r="DB297">
        <v>9.19</v>
      </c>
      <c r="DC297">
        <v>9.52</v>
      </c>
      <c r="DD297">
        <v>0.28000000000000003</v>
      </c>
      <c r="DE297">
        <v>1126</v>
      </c>
      <c r="DF297">
        <v>777</v>
      </c>
      <c r="DG297" t="s">
        <v>116</v>
      </c>
      <c r="DH297" t="s">
        <v>116</v>
      </c>
      <c r="DI297" t="s">
        <v>116</v>
      </c>
    </row>
    <row r="298" spans="1:113" x14ac:dyDescent="0.4">
      <c r="A298" t="str">
        <f>"000778"</f>
        <v>000778</v>
      </c>
      <c r="B298" t="s">
        <v>2117</v>
      </c>
      <c r="C298">
        <v>0.25</v>
      </c>
      <c r="D298">
        <v>4.09</v>
      </c>
      <c r="E298">
        <v>0.01</v>
      </c>
      <c r="F298">
        <v>4.09</v>
      </c>
      <c r="G298">
        <v>4.0999999999999996</v>
      </c>
      <c r="H298">
        <v>152067</v>
      </c>
      <c r="I298">
        <v>1034</v>
      </c>
      <c r="J298">
        <v>0.25</v>
      </c>
      <c r="K298">
        <v>0.39</v>
      </c>
      <c r="L298">
        <v>4.07</v>
      </c>
      <c r="M298">
        <v>4.12</v>
      </c>
      <c r="N298">
        <v>4.0599999999999996</v>
      </c>
      <c r="O298">
        <v>4.08</v>
      </c>
      <c r="P298">
        <v>9.3699999999999992</v>
      </c>
      <c r="Q298">
        <v>62217792</v>
      </c>
      <c r="R298">
        <v>0.9</v>
      </c>
      <c r="S298" t="s">
        <v>2118</v>
      </c>
      <c r="T298" t="s">
        <v>608</v>
      </c>
      <c r="U298">
        <v>1.47</v>
      </c>
      <c r="V298">
        <v>4.09</v>
      </c>
      <c r="W298">
        <v>54846</v>
      </c>
      <c r="X298">
        <v>97221</v>
      </c>
      <c r="Y298">
        <v>0.56000000000000005</v>
      </c>
      <c r="Z298">
        <v>1120</v>
      </c>
      <c r="AA298">
        <v>2716</v>
      </c>
      <c r="AB298" t="s">
        <v>116</v>
      </c>
      <c r="AC298">
        <v>468500</v>
      </c>
      <c r="AD298">
        <v>0</v>
      </c>
      <c r="AE298" t="s">
        <v>116</v>
      </c>
      <c r="AF298" t="s">
        <v>116</v>
      </c>
      <c r="AG298">
        <v>39.21</v>
      </c>
      <c r="AH298" t="s">
        <v>2119</v>
      </c>
      <c r="AI298" t="s">
        <v>2120</v>
      </c>
      <c r="AJ298">
        <v>0.92</v>
      </c>
      <c r="AK298">
        <v>3037</v>
      </c>
      <c r="AL298">
        <v>50</v>
      </c>
      <c r="AM298">
        <v>1E-4</v>
      </c>
      <c r="AN298">
        <v>2</v>
      </c>
      <c r="AO298">
        <v>0.25</v>
      </c>
      <c r="AP298">
        <v>2.76</v>
      </c>
      <c r="AQ298">
        <v>4.34</v>
      </c>
      <c r="AR298">
        <v>-0.49</v>
      </c>
      <c r="AS298">
        <v>0.63</v>
      </c>
      <c r="AT298" t="s">
        <v>2121</v>
      </c>
      <c r="AU298">
        <v>10.220000000000001</v>
      </c>
      <c r="AV298">
        <v>7.77</v>
      </c>
      <c r="AW298">
        <v>0.32</v>
      </c>
      <c r="BA298">
        <v>-0.25</v>
      </c>
      <c r="BB298">
        <v>0.98</v>
      </c>
      <c r="BC298">
        <v>-0.49</v>
      </c>
      <c r="BD298">
        <v>0.28000000000000003</v>
      </c>
      <c r="BE298">
        <v>0.49</v>
      </c>
      <c r="BF298">
        <v>-0.73</v>
      </c>
      <c r="BG298">
        <v>0.74</v>
      </c>
      <c r="BH298">
        <v>-0.04</v>
      </c>
      <c r="BI298">
        <v>20191029</v>
      </c>
      <c r="BJ298">
        <v>19970606</v>
      </c>
      <c r="BK298">
        <v>39.909999999999997</v>
      </c>
      <c r="BL298" t="s">
        <v>116</v>
      </c>
      <c r="BM298" t="s">
        <v>116</v>
      </c>
      <c r="BN298">
        <v>512.25</v>
      </c>
      <c r="BO298">
        <v>210.69</v>
      </c>
      <c r="BP298">
        <v>12.67</v>
      </c>
      <c r="BQ298">
        <v>56.4</v>
      </c>
      <c r="BR298">
        <v>255.22</v>
      </c>
      <c r="BS298">
        <v>156.83000000000001</v>
      </c>
      <c r="BT298">
        <v>19.670000000000002</v>
      </c>
      <c r="BU298">
        <v>208.07</v>
      </c>
      <c r="BV298">
        <v>54.17</v>
      </c>
      <c r="BW298">
        <v>21.99</v>
      </c>
      <c r="BX298">
        <v>85.96</v>
      </c>
      <c r="BY298">
        <v>320.91000000000003</v>
      </c>
      <c r="BZ298">
        <v>281.07</v>
      </c>
      <c r="CA298">
        <v>18.11</v>
      </c>
      <c r="CB298">
        <v>1.72</v>
      </c>
      <c r="CC298">
        <v>18.05</v>
      </c>
      <c r="CD298">
        <v>14.67</v>
      </c>
      <c r="CE298">
        <v>13.06</v>
      </c>
      <c r="CF298">
        <v>12.05</v>
      </c>
      <c r="CG298">
        <v>79.650000000000006</v>
      </c>
      <c r="CH298">
        <v>21.7</v>
      </c>
      <c r="CI298">
        <v>1.18</v>
      </c>
      <c r="CJ298">
        <v>173525</v>
      </c>
      <c r="CK298">
        <v>13807</v>
      </c>
      <c r="CL298" t="s">
        <v>847</v>
      </c>
      <c r="CM298">
        <v>-27.86</v>
      </c>
      <c r="CN298">
        <v>1.1200000000000001</v>
      </c>
      <c r="CO298">
        <v>0.77</v>
      </c>
      <c r="CP298">
        <v>7.52</v>
      </c>
      <c r="CQ298">
        <v>0.51</v>
      </c>
      <c r="CR298">
        <v>4.8899999999999997</v>
      </c>
      <c r="CS298" t="s">
        <v>2122</v>
      </c>
      <c r="CT298">
        <v>5.28</v>
      </c>
      <c r="CU298">
        <v>0</v>
      </c>
      <c r="CV298">
        <v>2.15</v>
      </c>
      <c r="CW298">
        <v>2</v>
      </c>
      <c r="CX298">
        <v>0.54</v>
      </c>
      <c r="CY298">
        <v>41.13</v>
      </c>
      <c r="CZ298" t="s">
        <v>2123</v>
      </c>
      <c r="DA298">
        <v>12.42</v>
      </c>
      <c r="DB298">
        <v>5.64</v>
      </c>
      <c r="DC298">
        <v>4.07</v>
      </c>
      <c r="DD298">
        <v>2.11</v>
      </c>
      <c r="DE298">
        <v>15809</v>
      </c>
      <c r="DF298">
        <v>778</v>
      </c>
      <c r="DG298" t="s">
        <v>116</v>
      </c>
      <c r="DH298" t="s">
        <v>116</v>
      </c>
      <c r="DI298" t="s">
        <v>116</v>
      </c>
    </row>
    <row r="299" spans="1:113" x14ac:dyDescent="0.4">
      <c r="A299" t="str">
        <f>"000779"</f>
        <v>000779</v>
      </c>
      <c r="B299" t="s">
        <v>2124</v>
      </c>
      <c r="C299">
        <v>-0.86</v>
      </c>
      <c r="D299">
        <v>10.36</v>
      </c>
      <c r="E299">
        <v>-0.09</v>
      </c>
      <c r="F299">
        <v>10.32</v>
      </c>
      <c r="G299">
        <v>10.36</v>
      </c>
      <c r="H299">
        <v>25670</v>
      </c>
      <c r="I299">
        <v>262</v>
      </c>
      <c r="J299">
        <v>0.97</v>
      </c>
      <c r="K299">
        <v>1.46</v>
      </c>
      <c r="L299">
        <v>10.52</v>
      </c>
      <c r="M299">
        <v>10.53</v>
      </c>
      <c r="N299">
        <v>10.25</v>
      </c>
      <c r="O299">
        <v>10.45</v>
      </c>
      <c r="P299">
        <v>12.25</v>
      </c>
      <c r="Q299">
        <v>26550768</v>
      </c>
      <c r="R299">
        <v>1.67</v>
      </c>
      <c r="S299" t="s">
        <v>181</v>
      </c>
      <c r="T299" t="s">
        <v>1122</v>
      </c>
      <c r="U299">
        <v>2.68</v>
      </c>
      <c r="V299">
        <v>10.34</v>
      </c>
      <c r="W299">
        <v>14114</v>
      </c>
      <c r="X299">
        <v>11556</v>
      </c>
      <c r="Y299">
        <v>1.22</v>
      </c>
      <c r="Z299">
        <v>29</v>
      </c>
      <c r="AA299">
        <v>42</v>
      </c>
      <c r="AB299" t="s">
        <v>116</v>
      </c>
      <c r="AC299">
        <v>137800</v>
      </c>
      <c r="AD299">
        <v>0.01</v>
      </c>
      <c r="AE299" t="s">
        <v>116</v>
      </c>
      <c r="AF299" t="s">
        <v>116</v>
      </c>
      <c r="AG299">
        <v>1.76</v>
      </c>
      <c r="AH299" t="s">
        <v>2125</v>
      </c>
      <c r="AI299" t="s">
        <v>2126</v>
      </c>
      <c r="AJ299">
        <v>-0.18</v>
      </c>
      <c r="AK299">
        <v>866</v>
      </c>
      <c r="AL299">
        <v>30</v>
      </c>
      <c r="AM299">
        <v>1.6999999999999999E-3</v>
      </c>
      <c r="AN299">
        <v>-1</v>
      </c>
      <c r="AO299">
        <v>2.0699999999999998</v>
      </c>
      <c r="AP299">
        <v>5.18</v>
      </c>
      <c r="AQ299">
        <v>-11.15</v>
      </c>
      <c r="AR299">
        <v>19.489999999999998</v>
      </c>
      <c r="AS299">
        <v>2.19</v>
      </c>
      <c r="AT299" t="s">
        <v>2127</v>
      </c>
      <c r="AU299">
        <v>14.03</v>
      </c>
      <c r="AV299">
        <v>16.600000000000001</v>
      </c>
      <c r="AW299">
        <v>0.97</v>
      </c>
      <c r="BA299">
        <v>0.67</v>
      </c>
      <c r="BB299">
        <v>0.77</v>
      </c>
      <c r="BC299">
        <v>-1.91</v>
      </c>
      <c r="BD299">
        <v>-1.02</v>
      </c>
      <c r="BE299">
        <v>-1.52</v>
      </c>
      <c r="BF299">
        <v>-1.61</v>
      </c>
      <c r="BG299">
        <v>1.07</v>
      </c>
      <c r="BH299">
        <v>0.16</v>
      </c>
      <c r="BI299">
        <v>20191210</v>
      </c>
      <c r="BJ299">
        <v>19970528</v>
      </c>
      <c r="BK299">
        <v>3.8</v>
      </c>
      <c r="BL299" t="s">
        <v>116</v>
      </c>
      <c r="BM299" t="s">
        <v>116</v>
      </c>
      <c r="BN299">
        <v>30.13</v>
      </c>
      <c r="BO299">
        <v>17.52</v>
      </c>
      <c r="BP299">
        <v>0.1</v>
      </c>
      <c r="BQ299">
        <v>41.52</v>
      </c>
      <c r="BR299">
        <v>18</v>
      </c>
      <c r="BS299">
        <v>6.63</v>
      </c>
      <c r="BT299">
        <v>2.63</v>
      </c>
      <c r="BU299">
        <v>10.7</v>
      </c>
      <c r="BV299">
        <v>0.04</v>
      </c>
      <c r="BW299">
        <v>6.95</v>
      </c>
      <c r="BX299">
        <v>10.92</v>
      </c>
      <c r="BY299">
        <v>14.15</v>
      </c>
      <c r="BZ299">
        <v>9.42</v>
      </c>
      <c r="CA299">
        <v>2.87</v>
      </c>
      <c r="CB299">
        <v>0.63</v>
      </c>
      <c r="CC299">
        <v>2.82</v>
      </c>
      <c r="CD299">
        <v>2.42</v>
      </c>
      <c r="CE299">
        <v>2.41</v>
      </c>
      <c r="CF299">
        <v>1.79</v>
      </c>
      <c r="CG299">
        <v>3.88</v>
      </c>
      <c r="CH299">
        <v>-2.0099999999999998</v>
      </c>
      <c r="CI299">
        <v>-8.5299999999999994</v>
      </c>
      <c r="CJ299">
        <v>13917</v>
      </c>
      <c r="CK299">
        <v>8419</v>
      </c>
      <c r="CL299" t="s">
        <v>2128</v>
      </c>
      <c r="CM299">
        <v>21.99</v>
      </c>
      <c r="CN299">
        <v>-7.63</v>
      </c>
      <c r="CO299">
        <v>2.25</v>
      </c>
      <c r="CP299">
        <v>-19.61</v>
      </c>
      <c r="CQ299">
        <v>2.78</v>
      </c>
      <c r="CR299">
        <v>0</v>
      </c>
      <c r="CS299" t="s">
        <v>2129</v>
      </c>
      <c r="CT299">
        <v>4.6100000000000003</v>
      </c>
      <c r="CU299">
        <v>0</v>
      </c>
      <c r="CV299">
        <v>2.87</v>
      </c>
      <c r="CW299">
        <v>1.02</v>
      </c>
      <c r="CX299">
        <v>-0.53</v>
      </c>
      <c r="CY299">
        <v>58.16</v>
      </c>
      <c r="CZ299" t="s">
        <v>2130</v>
      </c>
      <c r="DA299">
        <v>33.450000000000003</v>
      </c>
      <c r="DB299">
        <v>20.260000000000002</v>
      </c>
      <c r="DC299">
        <v>17.04</v>
      </c>
      <c r="DD299">
        <v>0.24</v>
      </c>
      <c r="DE299">
        <v>4698</v>
      </c>
      <c r="DF299">
        <v>779</v>
      </c>
      <c r="DG299" t="s">
        <v>116</v>
      </c>
      <c r="DH299" t="s">
        <v>116</v>
      </c>
      <c r="DI299" t="s">
        <v>116</v>
      </c>
    </row>
    <row r="300" spans="1:113" x14ac:dyDescent="0.4">
      <c r="A300" t="str">
        <f>"000780"</f>
        <v>000780</v>
      </c>
      <c r="B300" t="s">
        <v>2131</v>
      </c>
      <c r="C300">
        <v>0</v>
      </c>
      <c r="D300">
        <v>2.96</v>
      </c>
      <c r="E300">
        <v>0</v>
      </c>
      <c r="F300">
        <v>2.96</v>
      </c>
      <c r="G300">
        <v>2.97</v>
      </c>
      <c r="H300">
        <v>35309</v>
      </c>
      <c r="I300">
        <v>164</v>
      </c>
      <c r="J300">
        <v>-0.33</v>
      </c>
      <c r="K300">
        <v>0.35</v>
      </c>
      <c r="L300">
        <v>2.97</v>
      </c>
      <c r="M300">
        <v>3.03</v>
      </c>
      <c r="N300">
        <v>2.94</v>
      </c>
      <c r="O300">
        <v>2.96</v>
      </c>
      <c r="P300" t="s">
        <v>116</v>
      </c>
      <c r="Q300">
        <v>10523756</v>
      </c>
      <c r="R300">
        <v>1.53</v>
      </c>
      <c r="S300" t="s">
        <v>1121</v>
      </c>
      <c r="T300" t="s">
        <v>796</v>
      </c>
      <c r="U300">
        <v>3.04</v>
      </c>
      <c r="V300">
        <v>2.98</v>
      </c>
      <c r="W300">
        <v>14546</v>
      </c>
      <c r="X300">
        <v>20763</v>
      </c>
      <c r="Y300">
        <v>0.7</v>
      </c>
      <c r="Z300">
        <v>1571</v>
      </c>
      <c r="AA300">
        <v>3360</v>
      </c>
      <c r="AB300" t="s">
        <v>116</v>
      </c>
      <c r="AC300">
        <v>35900</v>
      </c>
      <c r="AD300">
        <v>0</v>
      </c>
      <c r="AE300" t="s">
        <v>116</v>
      </c>
      <c r="AF300" t="s">
        <v>116</v>
      </c>
      <c r="AG300">
        <v>10.14</v>
      </c>
      <c r="AH300" t="s">
        <v>2132</v>
      </c>
      <c r="AI300" t="s">
        <v>2132</v>
      </c>
      <c r="AJ300">
        <v>0.68</v>
      </c>
      <c r="AK300">
        <v>447</v>
      </c>
      <c r="AL300">
        <v>79</v>
      </c>
      <c r="AM300">
        <v>8.0000000000000004E-4</v>
      </c>
      <c r="AN300">
        <v>0</v>
      </c>
      <c r="AO300">
        <v>-0.34</v>
      </c>
      <c r="AP300">
        <v>0.68</v>
      </c>
      <c r="AQ300">
        <v>-2.95</v>
      </c>
      <c r="AR300">
        <v>5.71</v>
      </c>
      <c r="AS300">
        <v>0.9</v>
      </c>
      <c r="AT300" t="s">
        <v>2133</v>
      </c>
      <c r="AU300" t="s">
        <v>116</v>
      </c>
      <c r="AV300" t="s">
        <v>116</v>
      </c>
      <c r="AW300">
        <v>0.63</v>
      </c>
      <c r="BA300">
        <v>0.34</v>
      </c>
      <c r="BB300">
        <v>2.36</v>
      </c>
      <c r="BC300">
        <v>-0.68</v>
      </c>
      <c r="BD300">
        <v>0.69</v>
      </c>
      <c r="BE300">
        <v>-0.34</v>
      </c>
      <c r="BF300">
        <v>-2.31</v>
      </c>
      <c r="BG300">
        <v>0.68</v>
      </c>
      <c r="BH300">
        <v>-0.69</v>
      </c>
      <c r="BI300">
        <v>20191224</v>
      </c>
      <c r="BJ300">
        <v>19970606</v>
      </c>
      <c r="BK300">
        <v>10.14</v>
      </c>
      <c r="BL300" t="s">
        <v>116</v>
      </c>
      <c r="BM300" t="s">
        <v>116</v>
      </c>
      <c r="BN300">
        <v>50.02</v>
      </c>
      <c r="BO300">
        <v>38.200000000000003</v>
      </c>
      <c r="BP300">
        <v>0</v>
      </c>
      <c r="BQ300">
        <v>23.62</v>
      </c>
      <c r="BR300">
        <v>33.18</v>
      </c>
      <c r="BS300">
        <v>6.84</v>
      </c>
      <c r="BT300">
        <v>6.33</v>
      </c>
      <c r="BU300">
        <v>9.3800000000000008</v>
      </c>
      <c r="BV300">
        <v>0.6</v>
      </c>
      <c r="BW300">
        <v>7.87</v>
      </c>
      <c r="BX300">
        <v>14.39</v>
      </c>
      <c r="BY300">
        <v>15.6</v>
      </c>
      <c r="BZ300">
        <v>11.81</v>
      </c>
      <c r="CA300">
        <v>-1.73</v>
      </c>
      <c r="CB300">
        <v>0</v>
      </c>
      <c r="CC300">
        <v>-1.75</v>
      </c>
      <c r="CD300">
        <v>-1.72</v>
      </c>
      <c r="CE300">
        <v>-1.72</v>
      </c>
      <c r="CF300">
        <v>-2.4900000000000002</v>
      </c>
      <c r="CG300">
        <v>4.93</v>
      </c>
      <c r="CH300">
        <v>-2.59</v>
      </c>
      <c r="CI300">
        <v>-5.68</v>
      </c>
      <c r="CJ300">
        <v>43914</v>
      </c>
      <c r="CK300">
        <v>8912</v>
      </c>
      <c r="CL300" t="s">
        <v>2134</v>
      </c>
      <c r="CM300">
        <v>-231.46</v>
      </c>
      <c r="CN300">
        <v>3.11</v>
      </c>
      <c r="CO300">
        <v>0.79</v>
      </c>
      <c r="CP300">
        <v>-11.61</v>
      </c>
      <c r="CQ300">
        <v>1.92</v>
      </c>
      <c r="CR300">
        <v>6.76</v>
      </c>
      <c r="CS300" t="s">
        <v>2135</v>
      </c>
      <c r="CT300">
        <v>3.77</v>
      </c>
      <c r="CU300">
        <v>0</v>
      </c>
      <c r="CV300">
        <v>1.42</v>
      </c>
      <c r="CW300">
        <v>0.49</v>
      </c>
      <c r="CX300">
        <v>-0.25</v>
      </c>
      <c r="CY300">
        <v>76.38</v>
      </c>
      <c r="CZ300" t="s">
        <v>2136</v>
      </c>
      <c r="DA300">
        <v>24.25</v>
      </c>
      <c r="DB300">
        <v>-11.11</v>
      </c>
      <c r="DC300">
        <v>-11.05</v>
      </c>
      <c r="DD300">
        <v>0</v>
      </c>
      <c r="DE300">
        <v>8239</v>
      </c>
      <c r="DF300">
        <v>780</v>
      </c>
      <c r="DG300" t="s">
        <v>116</v>
      </c>
      <c r="DH300" t="s">
        <v>116</v>
      </c>
      <c r="DI300" t="s">
        <v>116</v>
      </c>
    </row>
    <row r="301" spans="1:113" x14ac:dyDescent="0.4">
      <c r="A301" t="str">
        <f>"000782"</f>
        <v>000782</v>
      </c>
      <c r="B301" t="s">
        <v>2137</v>
      </c>
      <c r="C301">
        <v>-1.1499999999999999</v>
      </c>
      <c r="D301">
        <v>3.45</v>
      </c>
      <c r="E301">
        <v>-0.04</v>
      </c>
      <c r="F301">
        <v>3.45</v>
      </c>
      <c r="G301">
        <v>3.46</v>
      </c>
      <c r="H301">
        <v>64123</v>
      </c>
      <c r="I301">
        <v>692</v>
      </c>
      <c r="J301">
        <v>-0.28000000000000003</v>
      </c>
      <c r="K301">
        <v>1.44</v>
      </c>
      <c r="L301">
        <v>3.5</v>
      </c>
      <c r="M301">
        <v>3.52</v>
      </c>
      <c r="N301">
        <v>3.44</v>
      </c>
      <c r="O301">
        <v>3.49</v>
      </c>
      <c r="P301" t="s">
        <v>116</v>
      </c>
      <c r="Q301">
        <v>22351028</v>
      </c>
      <c r="R301">
        <v>1.1299999999999999</v>
      </c>
      <c r="S301" t="s">
        <v>630</v>
      </c>
      <c r="T301" t="s">
        <v>551</v>
      </c>
      <c r="U301">
        <v>2.29</v>
      </c>
      <c r="V301">
        <v>3.49</v>
      </c>
      <c r="W301">
        <v>36309</v>
      </c>
      <c r="X301">
        <v>27814</v>
      </c>
      <c r="Y301">
        <v>1.31</v>
      </c>
      <c r="Z301">
        <v>363</v>
      </c>
      <c r="AA301">
        <v>780</v>
      </c>
      <c r="AB301" t="s">
        <v>116</v>
      </c>
      <c r="AC301">
        <v>34300</v>
      </c>
      <c r="AD301">
        <v>0</v>
      </c>
      <c r="AE301" t="s">
        <v>116</v>
      </c>
      <c r="AF301" t="s">
        <v>116</v>
      </c>
      <c r="AG301">
        <v>4.46</v>
      </c>
      <c r="AH301" t="s">
        <v>866</v>
      </c>
      <c r="AI301" t="s">
        <v>2138</v>
      </c>
      <c r="AJ301">
        <v>-0.47</v>
      </c>
      <c r="AK301">
        <v>690</v>
      </c>
      <c r="AL301">
        <v>93</v>
      </c>
      <c r="AM301">
        <v>2.0999999999999999E-3</v>
      </c>
      <c r="AN301">
        <v>-1</v>
      </c>
      <c r="AO301">
        <v>-1.99</v>
      </c>
      <c r="AP301">
        <v>-13.32</v>
      </c>
      <c r="AQ301">
        <v>-6.76</v>
      </c>
      <c r="AR301">
        <v>-18.82</v>
      </c>
      <c r="AS301">
        <v>1.72</v>
      </c>
      <c r="AT301" t="s">
        <v>2139</v>
      </c>
      <c r="AU301" t="s">
        <v>116</v>
      </c>
      <c r="AV301">
        <v>48.86</v>
      </c>
      <c r="AW301">
        <v>0.87</v>
      </c>
      <c r="BA301">
        <v>0.28999999999999998</v>
      </c>
      <c r="BB301">
        <v>0.86</v>
      </c>
      <c r="BC301">
        <v>-1.43</v>
      </c>
      <c r="BD301">
        <v>-0.12</v>
      </c>
      <c r="BE301">
        <v>-1.43</v>
      </c>
      <c r="BF301">
        <v>-1.99</v>
      </c>
      <c r="BG301">
        <v>0.28999999999999998</v>
      </c>
      <c r="BH301">
        <v>-1.02</v>
      </c>
      <c r="BI301">
        <v>20191030</v>
      </c>
      <c r="BJ301">
        <v>19970619</v>
      </c>
      <c r="BK301">
        <v>5.28</v>
      </c>
      <c r="BL301" t="s">
        <v>116</v>
      </c>
      <c r="BM301" t="s">
        <v>116</v>
      </c>
      <c r="BN301">
        <v>30.68</v>
      </c>
      <c r="BO301">
        <v>13.88</v>
      </c>
      <c r="BP301">
        <v>0.4</v>
      </c>
      <c r="BQ301">
        <v>53.46</v>
      </c>
      <c r="BR301">
        <v>17.440000000000001</v>
      </c>
      <c r="BS301">
        <v>8.0299999999999994</v>
      </c>
      <c r="BT301">
        <v>0.46</v>
      </c>
      <c r="BU301">
        <v>13.19</v>
      </c>
      <c r="BV301">
        <v>3.9</v>
      </c>
      <c r="BW301">
        <v>1.61</v>
      </c>
      <c r="BX301">
        <v>6.38</v>
      </c>
      <c r="BY301">
        <v>22.88</v>
      </c>
      <c r="BZ301">
        <v>21.71</v>
      </c>
      <c r="CA301">
        <v>-0.4</v>
      </c>
      <c r="CB301">
        <v>0.16</v>
      </c>
      <c r="CC301">
        <v>-0.38</v>
      </c>
      <c r="CD301">
        <v>-0.39</v>
      </c>
      <c r="CE301">
        <v>-0.37</v>
      </c>
      <c r="CF301">
        <v>-0.46</v>
      </c>
      <c r="CG301">
        <v>0.46</v>
      </c>
      <c r="CH301">
        <v>1.63</v>
      </c>
      <c r="CI301">
        <v>0.11</v>
      </c>
      <c r="CJ301">
        <v>38154</v>
      </c>
      <c r="CK301">
        <v>9782</v>
      </c>
      <c r="CL301" t="s">
        <v>882</v>
      </c>
      <c r="CM301">
        <v>-195.21</v>
      </c>
      <c r="CN301">
        <v>-22.52</v>
      </c>
      <c r="CO301">
        <v>1.31</v>
      </c>
      <c r="CP301">
        <v>11.2</v>
      </c>
      <c r="CQ301">
        <v>0.8</v>
      </c>
      <c r="CR301">
        <v>0.57999999999999996</v>
      </c>
      <c r="CS301" t="s">
        <v>2140</v>
      </c>
      <c r="CT301">
        <v>2.63</v>
      </c>
      <c r="CU301">
        <v>0</v>
      </c>
      <c r="CV301">
        <v>1.21</v>
      </c>
      <c r="CW301">
        <v>0.09</v>
      </c>
      <c r="CX301">
        <v>0.31</v>
      </c>
      <c r="CY301">
        <v>45.25</v>
      </c>
      <c r="CZ301" t="s">
        <v>2141</v>
      </c>
      <c r="DA301">
        <v>5.13</v>
      </c>
      <c r="DB301">
        <v>-1.76</v>
      </c>
      <c r="DC301">
        <v>-1.6</v>
      </c>
      <c r="DD301">
        <v>0.04</v>
      </c>
      <c r="DE301">
        <v>2862</v>
      </c>
      <c r="DF301">
        <v>782</v>
      </c>
      <c r="DG301" t="s">
        <v>116</v>
      </c>
      <c r="DH301" t="s">
        <v>116</v>
      </c>
      <c r="DI301" t="s">
        <v>116</v>
      </c>
    </row>
    <row r="302" spans="1:113" x14ac:dyDescent="0.4">
      <c r="A302" t="str">
        <f>"000783"</f>
        <v>000783</v>
      </c>
      <c r="B302" t="s">
        <v>2142</v>
      </c>
      <c r="C302">
        <v>-2.4300000000000002</v>
      </c>
      <c r="D302">
        <v>6.83</v>
      </c>
      <c r="E302">
        <v>-0.17</v>
      </c>
      <c r="F302">
        <v>6.82</v>
      </c>
      <c r="G302">
        <v>6.83</v>
      </c>
      <c r="H302">
        <v>790241</v>
      </c>
      <c r="I302">
        <v>8081</v>
      </c>
      <c r="J302">
        <v>0</v>
      </c>
      <c r="K302">
        <v>1.43</v>
      </c>
      <c r="L302">
        <v>6.99</v>
      </c>
      <c r="M302">
        <v>7.07</v>
      </c>
      <c r="N302">
        <v>6.81</v>
      </c>
      <c r="O302">
        <v>7</v>
      </c>
      <c r="P302">
        <v>19.36</v>
      </c>
      <c r="Q302">
        <v>550081344</v>
      </c>
      <c r="R302">
        <v>1.2</v>
      </c>
      <c r="S302" t="s">
        <v>623</v>
      </c>
      <c r="T302" t="s">
        <v>774</v>
      </c>
      <c r="U302">
        <v>3.71</v>
      </c>
      <c r="V302">
        <v>6.96</v>
      </c>
      <c r="W302">
        <v>427853</v>
      </c>
      <c r="X302">
        <v>362388</v>
      </c>
      <c r="Y302">
        <v>1.18</v>
      </c>
      <c r="Z302">
        <v>4283</v>
      </c>
      <c r="AA302">
        <v>2683</v>
      </c>
      <c r="AB302" t="s">
        <v>116</v>
      </c>
      <c r="AC302">
        <v>3560700</v>
      </c>
      <c r="AD302">
        <v>0.01</v>
      </c>
      <c r="AE302" t="s">
        <v>116</v>
      </c>
      <c r="AF302" t="s">
        <v>116</v>
      </c>
      <c r="AG302">
        <v>55.29</v>
      </c>
      <c r="AH302" t="s">
        <v>2143</v>
      </c>
      <c r="AI302" t="s">
        <v>2144</v>
      </c>
      <c r="AJ302">
        <v>-1.75</v>
      </c>
      <c r="AK302">
        <v>4032</v>
      </c>
      <c r="AL302">
        <v>196</v>
      </c>
      <c r="AM302">
        <v>4.0000000000000002E-4</v>
      </c>
      <c r="AN302">
        <v>-1</v>
      </c>
      <c r="AO302">
        <v>1.33</v>
      </c>
      <c r="AP302">
        <v>9.4600000000000009</v>
      </c>
      <c r="AQ302">
        <v>-3.53</v>
      </c>
      <c r="AR302">
        <v>33.14</v>
      </c>
      <c r="AS302">
        <v>2.2400000000000002</v>
      </c>
      <c r="AT302" t="s">
        <v>2145</v>
      </c>
      <c r="AU302">
        <v>32.880000000000003</v>
      </c>
      <c r="AV302">
        <v>146.84</v>
      </c>
      <c r="AW302">
        <v>1.01</v>
      </c>
      <c r="BA302">
        <v>-0.14000000000000001</v>
      </c>
      <c r="BB302">
        <v>1</v>
      </c>
      <c r="BC302">
        <v>-2.71</v>
      </c>
      <c r="BD302">
        <v>-0.56000000000000005</v>
      </c>
      <c r="BE302">
        <v>-2.29</v>
      </c>
      <c r="BF302">
        <v>-3.39</v>
      </c>
      <c r="BG302">
        <v>0.28999999999999998</v>
      </c>
      <c r="BH302">
        <v>-1.87</v>
      </c>
      <c r="BI302">
        <v>20191026</v>
      </c>
      <c r="BJ302">
        <v>19970731</v>
      </c>
      <c r="BK302">
        <v>55.3</v>
      </c>
      <c r="BL302" t="s">
        <v>116</v>
      </c>
      <c r="BM302" t="s">
        <v>116</v>
      </c>
      <c r="BN302">
        <v>1082.96</v>
      </c>
      <c r="BO302">
        <v>277.94</v>
      </c>
      <c r="BP302">
        <v>2.14</v>
      </c>
      <c r="BQ302">
        <v>74.14</v>
      </c>
      <c r="BR302">
        <v>0</v>
      </c>
      <c r="BS302">
        <v>2.68</v>
      </c>
      <c r="BT302">
        <v>1.34</v>
      </c>
      <c r="BU302">
        <v>0</v>
      </c>
      <c r="BV302">
        <v>0</v>
      </c>
      <c r="BW302">
        <v>0</v>
      </c>
      <c r="BX302">
        <v>104.65</v>
      </c>
      <c r="BY302">
        <v>52.18</v>
      </c>
      <c r="BZ302">
        <v>0</v>
      </c>
      <c r="CA302">
        <v>18.78</v>
      </c>
      <c r="CB302">
        <v>14.65</v>
      </c>
      <c r="CC302">
        <v>18.78</v>
      </c>
      <c r="CD302">
        <v>14.18</v>
      </c>
      <c r="CE302">
        <v>14.63</v>
      </c>
      <c r="CF302">
        <v>14.57</v>
      </c>
      <c r="CG302">
        <v>56.17</v>
      </c>
      <c r="CH302">
        <v>-20.32</v>
      </c>
      <c r="CI302">
        <v>53.85</v>
      </c>
      <c r="CJ302">
        <v>192856</v>
      </c>
      <c r="CK302">
        <v>18331</v>
      </c>
      <c r="CL302" t="s">
        <v>2146</v>
      </c>
      <c r="CM302">
        <v>156.11000000000001</v>
      </c>
      <c r="CN302">
        <v>45.57</v>
      </c>
      <c r="CO302">
        <v>1.41</v>
      </c>
      <c r="CP302">
        <v>-18.579999999999998</v>
      </c>
      <c r="CQ302">
        <v>7.24</v>
      </c>
      <c r="CR302">
        <v>0.28999999999999998</v>
      </c>
      <c r="CS302" t="s">
        <v>2147</v>
      </c>
      <c r="CT302">
        <v>4.8600000000000003</v>
      </c>
      <c r="CU302">
        <v>4.8600000000000003</v>
      </c>
      <c r="CV302">
        <v>1.89</v>
      </c>
      <c r="CW302">
        <v>1.02</v>
      </c>
      <c r="CX302">
        <v>-0.37</v>
      </c>
      <c r="CY302">
        <v>25.66</v>
      </c>
      <c r="CZ302" t="s">
        <v>2148</v>
      </c>
      <c r="DA302" t="s">
        <v>116</v>
      </c>
      <c r="DB302">
        <v>35.99</v>
      </c>
      <c r="DC302">
        <v>28.03</v>
      </c>
      <c r="DD302">
        <v>0</v>
      </c>
      <c r="DE302">
        <v>6262</v>
      </c>
      <c r="DF302">
        <v>783</v>
      </c>
      <c r="DG302" t="s">
        <v>116</v>
      </c>
      <c r="DH302" t="s">
        <v>116</v>
      </c>
      <c r="DI302" t="s">
        <v>116</v>
      </c>
    </row>
    <row r="303" spans="1:113" x14ac:dyDescent="0.4">
      <c r="A303" t="str">
        <f>"000785"</f>
        <v>000785</v>
      </c>
      <c r="B303" t="s">
        <v>2149</v>
      </c>
      <c r="C303">
        <v>-1.53</v>
      </c>
      <c r="D303">
        <v>10.31</v>
      </c>
      <c r="E303">
        <v>-0.16</v>
      </c>
      <c r="F303">
        <v>10.31</v>
      </c>
      <c r="G303">
        <v>10.32</v>
      </c>
      <c r="H303">
        <v>109558</v>
      </c>
      <c r="I303">
        <v>1159</v>
      </c>
      <c r="J303">
        <v>0</v>
      </c>
      <c r="K303">
        <v>7.43</v>
      </c>
      <c r="L303">
        <v>10.58</v>
      </c>
      <c r="M303">
        <v>10.68</v>
      </c>
      <c r="N303">
        <v>10.31</v>
      </c>
      <c r="O303">
        <v>10.47</v>
      </c>
      <c r="P303">
        <v>343.07</v>
      </c>
      <c r="Q303">
        <v>114596920</v>
      </c>
      <c r="R303">
        <v>0.85</v>
      </c>
      <c r="S303" t="s">
        <v>746</v>
      </c>
      <c r="T303" t="s">
        <v>774</v>
      </c>
      <c r="U303">
        <v>3.53</v>
      </c>
      <c r="V303">
        <v>10.46</v>
      </c>
      <c r="W303">
        <v>61984</v>
      </c>
      <c r="X303">
        <v>47574</v>
      </c>
      <c r="Y303">
        <v>1.3</v>
      </c>
      <c r="Z303">
        <v>1483</v>
      </c>
      <c r="AA303">
        <v>578</v>
      </c>
      <c r="AB303" t="s">
        <v>116</v>
      </c>
      <c r="AC303">
        <v>1489700</v>
      </c>
      <c r="AD303">
        <v>0.32</v>
      </c>
      <c r="AE303" t="s">
        <v>116</v>
      </c>
      <c r="AF303" t="s">
        <v>116</v>
      </c>
      <c r="AG303">
        <v>1.47</v>
      </c>
      <c r="AH303" t="s">
        <v>2150</v>
      </c>
      <c r="AI303" t="s">
        <v>2151</v>
      </c>
      <c r="AJ303">
        <v>-0.85</v>
      </c>
      <c r="AK303">
        <v>2582</v>
      </c>
      <c r="AL303">
        <v>42</v>
      </c>
      <c r="AM303">
        <v>2.8999999999999998E-3</v>
      </c>
      <c r="AN303">
        <v>-2</v>
      </c>
      <c r="AO303">
        <v>-1.71</v>
      </c>
      <c r="AP303">
        <v>3.31</v>
      </c>
      <c r="AQ303">
        <v>4.3499999999999996</v>
      </c>
      <c r="AR303">
        <v>57.89</v>
      </c>
      <c r="AS303">
        <v>24.99</v>
      </c>
      <c r="AT303" t="s">
        <v>2152</v>
      </c>
      <c r="AU303">
        <v>577.49</v>
      </c>
      <c r="AV303">
        <v>935.24</v>
      </c>
      <c r="AW303">
        <v>0.72</v>
      </c>
      <c r="BA303">
        <v>1.05</v>
      </c>
      <c r="BB303">
        <v>2.0099999999999998</v>
      </c>
      <c r="BC303">
        <v>-1.53</v>
      </c>
      <c r="BD303">
        <v>-0.1</v>
      </c>
      <c r="BE303">
        <v>-2.5499999999999998</v>
      </c>
      <c r="BF303">
        <v>-3.46</v>
      </c>
      <c r="BG303">
        <v>0</v>
      </c>
      <c r="BH303">
        <v>-1.43</v>
      </c>
      <c r="BI303">
        <v>20191226</v>
      </c>
      <c r="BJ303">
        <v>19970711</v>
      </c>
      <c r="BK303">
        <v>60.2</v>
      </c>
      <c r="BL303" t="s">
        <v>116</v>
      </c>
      <c r="BM303" t="s">
        <v>116</v>
      </c>
      <c r="BN303">
        <v>27.3</v>
      </c>
      <c r="BO303">
        <v>13.31</v>
      </c>
      <c r="BP303">
        <v>1.63</v>
      </c>
      <c r="BQ303">
        <v>45.29</v>
      </c>
      <c r="BR303">
        <v>12.71</v>
      </c>
      <c r="BS303">
        <v>5.83</v>
      </c>
      <c r="BT303">
        <v>0.39</v>
      </c>
      <c r="BU303">
        <v>9.58</v>
      </c>
      <c r="BV303">
        <v>2.4700000000000002</v>
      </c>
      <c r="BW303">
        <v>0.91</v>
      </c>
      <c r="BX303">
        <v>0.74</v>
      </c>
      <c r="BY303">
        <v>29.44</v>
      </c>
      <c r="BZ303">
        <v>21.97</v>
      </c>
      <c r="CA303">
        <v>2.19</v>
      </c>
      <c r="CB303">
        <v>0.06</v>
      </c>
      <c r="CC303">
        <v>2.19</v>
      </c>
      <c r="CD303">
        <v>1.71</v>
      </c>
      <c r="CE303">
        <v>1.36</v>
      </c>
      <c r="CF303">
        <v>1.31</v>
      </c>
      <c r="CG303">
        <v>7.62</v>
      </c>
      <c r="CH303">
        <v>-0.02</v>
      </c>
      <c r="CI303">
        <v>-4.62</v>
      </c>
      <c r="CJ303">
        <v>23098</v>
      </c>
      <c r="CK303">
        <v>1898</v>
      </c>
      <c r="CL303" t="s">
        <v>2153</v>
      </c>
      <c r="CM303">
        <v>43.47</v>
      </c>
      <c r="CN303">
        <v>-0.18</v>
      </c>
      <c r="CO303">
        <v>1.95</v>
      </c>
      <c r="CP303">
        <v>-35299.99</v>
      </c>
      <c r="CQ303">
        <v>21.08</v>
      </c>
      <c r="CR303">
        <v>0</v>
      </c>
      <c r="CS303" t="s">
        <v>2154</v>
      </c>
      <c r="CT303">
        <v>5.3</v>
      </c>
      <c r="CU303">
        <v>5.3</v>
      </c>
      <c r="CV303">
        <v>0.01</v>
      </c>
      <c r="CW303">
        <v>0.13</v>
      </c>
      <c r="CX303">
        <v>0</v>
      </c>
      <c r="CY303">
        <v>48.75</v>
      </c>
      <c r="CZ303" t="s">
        <v>2155</v>
      </c>
      <c r="DA303">
        <v>25.37</v>
      </c>
      <c r="DB303">
        <v>7.43</v>
      </c>
      <c r="DC303">
        <v>4.6100000000000003</v>
      </c>
      <c r="DD303">
        <v>0</v>
      </c>
      <c r="DE303">
        <v>5044</v>
      </c>
      <c r="DF303">
        <v>785</v>
      </c>
      <c r="DG303" t="s">
        <v>116</v>
      </c>
      <c r="DH303" t="s">
        <v>116</v>
      </c>
      <c r="DI303" t="s">
        <v>116</v>
      </c>
    </row>
    <row r="304" spans="1:113" x14ac:dyDescent="0.4">
      <c r="A304" t="str">
        <f>"000786"</f>
        <v>000786</v>
      </c>
      <c r="B304" t="s">
        <v>2156</v>
      </c>
      <c r="C304">
        <v>2.06</v>
      </c>
      <c r="D304">
        <v>25.21</v>
      </c>
      <c r="E304">
        <v>0.51</v>
      </c>
      <c r="F304">
        <v>25.2</v>
      </c>
      <c r="G304">
        <v>25.21</v>
      </c>
      <c r="H304">
        <v>88640</v>
      </c>
      <c r="I304">
        <v>572</v>
      </c>
      <c r="J304">
        <v>-0.11</v>
      </c>
      <c r="K304">
        <v>0.52</v>
      </c>
      <c r="L304">
        <v>25.01</v>
      </c>
      <c r="M304">
        <v>25.67</v>
      </c>
      <c r="N304">
        <v>25.01</v>
      </c>
      <c r="O304">
        <v>24.7</v>
      </c>
      <c r="P304" t="s">
        <v>116</v>
      </c>
      <c r="Q304">
        <v>224634832</v>
      </c>
      <c r="R304">
        <v>1.26</v>
      </c>
      <c r="S304" t="s">
        <v>249</v>
      </c>
      <c r="T304" t="s">
        <v>165</v>
      </c>
      <c r="U304">
        <v>2.67</v>
      </c>
      <c r="V304">
        <v>25.34</v>
      </c>
      <c r="W304">
        <v>43475</v>
      </c>
      <c r="X304">
        <v>45165</v>
      </c>
      <c r="Y304">
        <v>0.96</v>
      </c>
      <c r="Z304">
        <v>242</v>
      </c>
      <c r="AA304">
        <v>460</v>
      </c>
      <c r="AB304" t="s">
        <v>116</v>
      </c>
      <c r="AC304">
        <v>595200</v>
      </c>
      <c r="AD304">
        <v>0</v>
      </c>
      <c r="AE304" t="s">
        <v>116</v>
      </c>
      <c r="AF304" t="s">
        <v>116</v>
      </c>
      <c r="AG304">
        <v>16.899999999999999</v>
      </c>
      <c r="AH304" t="s">
        <v>2157</v>
      </c>
      <c r="AI304" t="s">
        <v>2157</v>
      </c>
      <c r="AJ304">
        <v>2.74</v>
      </c>
      <c r="AK304">
        <v>3036</v>
      </c>
      <c r="AL304">
        <v>29</v>
      </c>
      <c r="AM304">
        <v>2.0000000000000001E-4</v>
      </c>
      <c r="AN304">
        <v>2</v>
      </c>
      <c r="AO304">
        <v>3.36</v>
      </c>
      <c r="AP304">
        <v>12.95</v>
      </c>
      <c r="AQ304">
        <v>40.76</v>
      </c>
      <c r="AR304">
        <v>89.55</v>
      </c>
      <c r="AS304">
        <v>1.06</v>
      </c>
      <c r="AT304" t="s">
        <v>2158</v>
      </c>
      <c r="AU304">
        <v>103.36</v>
      </c>
      <c r="AV304">
        <v>17.27</v>
      </c>
      <c r="AW304">
        <v>0.23</v>
      </c>
      <c r="BA304">
        <v>1.26</v>
      </c>
      <c r="BB304">
        <v>3.93</v>
      </c>
      <c r="BC304">
        <v>1.26</v>
      </c>
      <c r="BD304">
        <v>2.6</v>
      </c>
      <c r="BE304">
        <v>0.8</v>
      </c>
      <c r="BF304">
        <v>-1.79</v>
      </c>
      <c r="BG304">
        <v>0.8</v>
      </c>
      <c r="BH304">
        <v>-0.54</v>
      </c>
      <c r="BI304">
        <v>20191224</v>
      </c>
      <c r="BJ304">
        <v>19970606</v>
      </c>
      <c r="BK304">
        <v>16.899999999999999</v>
      </c>
      <c r="BL304" t="s">
        <v>116</v>
      </c>
      <c r="BM304" t="s">
        <v>116</v>
      </c>
      <c r="BN304">
        <v>188.92</v>
      </c>
      <c r="BO304">
        <v>135</v>
      </c>
      <c r="BP304">
        <v>1.65</v>
      </c>
      <c r="BQ304">
        <v>27.66</v>
      </c>
      <c r="BR304">
        <v>51.01</v>
      </c>
      <c r="BS304">
        <v>83.22</v>
      </c>
      <c r="BT304">
        <v>17.899999999999999</v>
      </c>
      <c r="BU304">
        <v>45.04</v>
      </c>
      <c r="BV304">
        <v>15.84</v>
      </c>
      <c r="BW304">
        <v>3.89</v>
      </c>
      <c r="BX304">
        <v>31.41</v>
      </c>
      <c r="BY304">
        <v>98.17</v>
      </c>
      <c r="BZ304">
        <v>64.22</v>
      </c>
      <c r="CA304">
        <v>21.21</v>
      </c>
      <c r="CB304">
        <v>0.45</v>
      </c>
      <c r="CC304">
        <v>1.99</v>
      </c>
      <c r="CD304">
        <v>-0.01</v>
      </c>
      <c r="CE304">
        <v>-0.11</v>
      </c>
      <c r="CF304">
        <v>18.420000000000002</v>
      </c>
      <c r="CG304">
        <v>80.89</v>
      </c>
      <c r="CH304">
        <v>13.86</v>
      </c>
      <c r="CI304">
        <v>-0.23</v>
      </c>
      <c r="CJ304">
        <v>30882</v>
      </c>
      <c r="CK304">
        <v>27040</v>
      </c>
      <c r="CL304" t="s">
        <v>2159</v>
      </c>
      <c r="CM304">
        <v>-100.53</v>
      </c>
      <c r="CN304">
        <v>3.2</v>
      </c>
      <c r="CO304">
        <v>3.15</v>
      </c>
      <c r="CP304">
        <v>30.73</v>
      </c>
      <c r="CQ304">
        <v>4.34</v>
      </c>
      <c r="CR304">
        <v>1.82</v>
      </c>
      <c r="CS304" t="s">
        <v>1278</v>
      </c>
      <c r="CT304">
        <v>7.99</v>
      </c>
      <c r="CU304">
        <v>0</v>
      </c>
      <c r="CV304">
        <v>1.86</v>
      </c>
      <c r="CW304">
        <v>4.79</v>
      </c>
      <c r="CX304">
        <v>0.82</v>
      </c>
      <c r="CY304">
        <v>71.459999999999994</v>
      </c>
      <c r="CZ304" t="s">
        <v>2160</v>
      </c>
      <c r="DA304">
        <v>34.590000000000003</v>
      </c>
      <c r="DB304">
        <v>21.61</v>
      </c>
      <c r="DC304">
        <v>-0.11</v>
      </c>
      <c r="DD304">
        <v>2.93</v>
      </c>
      <c r="DE304">
        <v>10624</v>
      </c>
      <c r="DF304">
        <v>786</v>
      </c>
      <c r="DG304" t="s">
        <v>116</v>
      </c>
      <c r="DH304" t="s">
        <v>116</v>
      </c>
      <c r="DI304" t="s">
        <v>116</v>
      </c>
    </row>
    <row r="305" spans="1:113" x14ac:dyDescent="0.4">
      <c r="A305" t="str">
        <f>"000788"</f>
        <v>000788</v>
      </c>
      <c r="B305" t="s">
        <v>2161</v>
      </c>
      <c r="C305">
        <v>-0.62</v>
      </c>
      <c r="D305">
        <v>6.44</v>
      </c>
      <c r="E305">
        <v>-0.04</v>
      </c>
      <c r="F305">
        <v>6.43</v>
      </c>
      <c r="G305">
        <v>6.44</v>
      </c>
      <c r="H305">
        <v>70123</v>
      </c>
      <c r="I305">
        <v>1027</v>
      </c>
      <c r="J305">
        <v>-0.15</v>
      </c>
      <c r="K305">
        <v>1.18</v>
      </c>
      <c r="L305">
        <v>6.47</v>
      </c>
      <c r="M305">
        <v>6.53</v>
      </c>
      <c r="N305">
        <v>6.44</v>
      </c>
      <c r="O305">
        <v>6.48</v>
      </c>
      <c r="P305">
        <v>66.37</v>
      </c>
      <c r="Q305">
        <v>45592500</v>
      </c>
      <c r="R305">
        <v>1.06</v>
      </c>
      <c r="S305" t="s">
        <v>574</v>
      </c>
      <c r="T305" t="s">
        <v>906</v>
      </c>
      <c r="U305">
        <v>1.39</v>
      </c>
      <c r="V305">
        <v>6.5</v>
      </c>
      <c r="W305">
        <v>36020</v>
      </c>
      <c r="X305">
        <v>34103</v>
      </c>
      <c r="Y305">
        <v>1.06</v>
      </c>
      <c r="Z305">
        <v>278</v>
      </c>
      <c r="AA305">
        <v>568</v>
      </c>
      <c r="AB305" t="s">
        <v>116</v>
      </c>
      <c r="AC305">
        <v>112600</v>
      </c>
      <c r="AD305">
        <v>0</v>
      </c>
      <c r="AE305" t="s">
        <v>116</v>
      </c>
      <c r="AF305" t="s">
        <v>116</v>
      </c>
      <c r="AG305">
        <v>5.96</v>
      </c>
      <c r="AH305" t="s">
        <v>2162</v>
      </c>
      <c r="AI305" t="s">
        <v>2162</v>
      </c>
      <c r="AJ305">
        <v>0.06</v>
      </c>
      <c r="AK305">
        <v>1475</v>
      </c>
      <c r="AL305">
        <v>48</v>
      </c>
      <c r="AM305">
        <v>8.0000000000000004E-4</v>
      </c>
      <c r="AN305">
        <v>-1</v>
      </c>
      <c r="AO305">
        <v>-0.93</v>
      </c>
      <c r="AP305">
        <v>-1.98</v>
      </c>
      <c r="AQ305">
        <v>3.54</v>
      </c>
      <c r="AR305">
        <v>23.85</v>
      </c>
      <c r="AS305">
        <v>1.99</v>
      </c>
      <c r="AT305" t="s">
        <v>2163</v>
      </c>
      <c r="AU305">
        <v>75.86</v>
      </c>
      <c r="AV305">
        <v>84.96</v>
      </c>
      <c r="AW305">
        <v>1.06</v>
      </c>
      <c r="BA305">
        <v>-0.15</v>
      </c>
      <c r="BB305">
        <v>0.77</v>
      </c>
      <c r="BC305">
        <v>-0.62</v>
      </c>
      <c r="BD305">
        <v>0.34</v>
      </c>
      <c r="BE305">
        <v>-0.46</v>
      </c>
      <c r="BF305">
        <v>-1.38</v>
      </c>
      <c r="BG305">
        <v>0</v>
      </c>
      <c r="BH305">
        <v>-0.95</v>
      </c>
      <c r="BI305">
        <v>20191202</v>
      </c>
      <c r="BJ305">
        <v>19970616</v>
      </c>
      <c r="BK305">
        <v>5.96</v>
      </c>
      <c r="BL305" t="s">
        <v>116</v>
      </c>
      <c r="BM305" t="s">
        <v>116</v>
      </c>
      <c r="BN305">
        <v>23.72</v>
      </c>
      <c r="BO305">
        <v>12.46</v>
      </c>
      <c r="BP305">
        <v>-0.05</v>
      </c>
      <c r="BQ305">
        <v>47.71</v>
      </c>
      <c r="BR305">
        <v>21.18</v>
      </c>
      <c r="BS305">
        <v>1.47</v>
      </c>
      <c r="BT305">
        <v>0.03</v>
      </c>
      <c r="BU305">
        <v>11.28</v>
      </c>
      <c r="BV305">
        <v>2.93</v>
      </c>
      <c r="BW305">
        <v>9.35</v>
      </c>
      <c r="BX305">
        <v>1.99</v>
      </c>
      <c r="BY305">
        <v>17.63</v>
      </c>
      <c r="BZ305">
        <v>10.73</v>
      </c>
      <c r="CA305">
        <v>0.6</v>
      </c>
      <c r="CB305">
        <v>-0.05</v>
      </c>
      <c r="CC305">
        <v>0.57999999999999996</v>
      </c>
      <c r="CD305">
        <v>0.43</v>
      </c>
      <c r="CE305">
        <v>0.43</v>
      </c>
      <c r="CF305">
        <v>0.45</v>
      </c>
      <c r="CG305">
        <v>4.09</v>
      </c>
      <c r="CH305">
        <v>-0.21</v>
      </c>
      <c r="CI305">
        <v>0.69</v>
      </c>
      <c r="CJ305">
        <v>48916</v>
      </c>
      <c r="CK305">
        <v>7198</v>
      </c>
      <c r="CL305" t="s">
        <v>2164</v>
      </c>
      <c r="CM305">
        <v>14.28</v>
      </c>
      <c r="CN305">
        <v>9</v>
      </c>
      <c r="CO305">
        <v>3.08</v>
      </c>
      <c r="CP305">
        <v>-186.4</v>
      </c>
      <c r="CQ305">
        <v>2.1800000000000002</v>
      </c>
      <c r="CR305">
        <v>0.31</v>
      </c>
      <c r="CS305" t="s">
        <v>1012</v>
      </c>
      <c r="CT305">
        <v>2.09</v>
      </c>
      <c r="CU305">
        <v>0</v>
      </c>
      <c r="CV305">
        <v>0.33</v>
      </c>
      <c r="CW305">
        <v>0.69</v>
      </c>
      <c r="CX305">
        <v>-0.03</v>
      </c>
      <c r="CY305">
        <v>52.51</v>
      </c>
      <c r="CZ305" t="s">
        <v>2165</v>
      </c>
      <c r="DA305">
        <v>39.119999999999997</v>
      </c>
      <c r="DB305">
        <v>3.39</v>
      </c>
      <c r="DC305">
        <v>2.46</v>
      </c>
      <c r="DD305">
        <v>0.09</v>
      </c>
      <c r="DE305">
        <v>805</v>
      </c>
      <c r="DF305">
        <v>788</v>
      </c>
      <c r="DG305" t="s">
        <v>116</v>
      </c>
      <c r="DH305" t="s">
        <v>116</v>
      </c>
      <c r="DI305" t="s">
        <v>116</v>
      </c>
    </row>
    <row r="306" spans="1:113" x14ac:dyDescent="0.4">
      <c r="A306" t="str">
        <f>"000789"</f>
        <v>000789</v>
      </c>
      <c r="B306" t="s">
        <v>2166</v>
      </c>
      <c r="C306">
        <v>-1.52</v>
      </c>
      <c r="D306">
        <v>11.02</v>
      </c>
      <c r="E306">
        <v>-0.17</v>
      </c>
      <c r="F306">
        <v>11.02</v>
      </c>
      <c r="G306">
        <v>11.03</v>
      </c>
      <c r="H306">
        <v>194688</v>
      </c>
      <c r="I306">
        <v>3363</v>
      </c>
      <c r="J306">
        <v>-0.08</v>
      </c>
      <c r="K306">
        <v>2.44</v>
      </c>
      <c r="L306">
        <v>11.21</v>
      </c>
      <c r="M306">
        <v>11.28</v>
      </c>
      <c r="N306">
        <v>11.02</v>
      </c>
      <c r="O306">
        <v>11.19</v>
      </c>
      <c r="P306">
        <v>7.25</v>
      </c>
      <c r="Q306">
        <v>217108864</v>
      </c>
      <c r="R306">
        <v>0.86</v>
      </c>
      <c r="S306" t="s">
        <v>660</v>
      </c>
      <c r="T306" t="s">
        <v>683</v>
      </c>
      <c r="U306">
        <v>2.3199999999999998</v>
      </c>
      <c r="V306">
        <v>11.15</v>
      </c>
      <c r="W306">
        <v>124074</v>
      </c>
      <c r="X306">
        <v>70614</v>
      </c>
      <c r="Y306">
        <v>1.76</v>
      </c>
      <c r="Z306">
        <v>721</v>
      </c>
      <c r="AA306">
        <v>977</v>
      </c>
      <c r="AB306" t="s">
        <v>116</v>
      </c>
      <c r="AC306">
        <v>630000</v>
      </c>
      <c r="AD306">
        <v>0.01</v>
      </c>
      <c r="AE306" t="s">
        <v>116</v>
      </c>
      <c r="AF306" t="s">
        <v>116</v>
      </c>
      <c r="AG306">
        <v>7.97</v>
      </c>
      <c r="AH306" t="s">
        <v>2167</v>
      </c>
      <c r="AI306" t="s">
        <v>2167</v>
      </c>
      <c r="AJ306">
        <v>-0.84</v>
      </c>
      <c r="AK306">
        <v>2812</v>
      </c>
      <c r="AL306">
        <v>69</v>
      </c>
      <c r="AM306">
        <v>8.9999999999999998E-4</v>
      </c>
      <c r="AN306">
        <v>-1</v>
      </c>
      <c r="AO306">
        <v>-1.08</v>
      </c>
      <c r="AP306">
        <v>9</v>
      </c>
      <c r="AQ306">
        <v>17.61</v>
      </c>
      <c r="AR306">
        <v>41.98</v>
      </c>
      <c r="AS306">
        <v>4.6500000000000004</v>
      </c>
      <c r="AT306" t="s">
        <v>2168</v>
      </c>
      <c r="AU306">
        <v>7.48</v>
      </c>
      <c r="AV306">
        <v>7.72</v>
      </c>
      <c r="AW306">
        <v>1.02</v>
      </c>
      <c r="BA306">
        <v>0.18</v>
      </c>
      <c r="BB306">
        <v>0.8</v>
      </c>
      <c r="BC306">
        <v>-1.52</v>
      </c>
      <c r="BD306">
        <v>-0.34</v>
      </c>
      <c r="BE306">
        <v>-1.69</v>
      </c>
      <c r="BF306">
        <v>-2.2999999999999998</v>
      </c>
      <c r="BG306">
        <v>0</v>
      </c>
      <c r="BH306">
        <v>-1.18</v>
      </c>
      <c r="BI306">
        <v>20191117</v>
      </c>
      <c r="BJ306">
        <v>19970923</v>
      </c>
      <c r="BK306">
        <v>7.97</v>
      </c>
      <c r="BL306" t="s">
        <v>116</v>
      </c>
      <c r="BM306" t="s">
        <v>116</v>
      </c>
      <c r="BN306">
        <v>100.64</v>
      </c>
      <c r="BO306">
        <v>44.22</v>
      </c>
      <c r="BP306">
        <v>22.72</v>
      </c>
      <c r="BQ306">
        <v>33.479999999999997</v>
      </c>
      <c r="BR306">
        <v>41.23</v>
      </c>
      <c r="BS306">
        <v>36.9</v>
      </c>
      <c r="BT306">
        <v>10.44</v>
      </c>
      <c r="BU306">
        <v>29.98</v>
      </c>
      <c r="BV306">
        <v>5.9</v>
      </c>
      <c r="BW306">
        <v>8.41</v>
      </c>
      <c r="BX306">
        <v>0.56999999999999995</v>
      </c>
      <c r="BY306">
        <v>73.41</v>
      </c>
      <c r="BZ306">
        <v>51.15</v>
      </c>
      <c r="CA306">
        <v>17.82</v>
      </c>
      <c r="CB306">
        <v>0.61</v>
      </c>
      <c r="CC306">
        <v>17.73</v>
      </c>
      <c r="CD306">
        <v>13.9</v>
      </c>
      <c r="CE306">
        <v>9.09</v>
      </c>
      <c r="CF306">
        <v>9.06</v>
      </c>
      <c r="CG306">
        <v>33.049999999999997</v>
      </c>
      <c r="CH306">
        <v>10.02</v>
      </c>
      <c r="CI306">
        <v>-7.88</v>
      </c>
      <c r="CJ306">
        <v>50819</v>
      </c>
      <c r="CK306">
        <v>8241</v>
      </c>
      <c r="CL306" t="s">
        <v>2169</v>
      </c>
      <c r="CM306">
        <v>4.24</v>
      </c>
      <c r="CN306">
        <v>4.6100000000000003</v>
      </c>
      <c r="CO306">
        <v>1.99</v>
      </c>
      <c r="CP306">
        <v>8.77</v>
      </c>
      <c r="CQ306">
        <v>1.2</v>
      </c>
      <c r="CR306">
        <v>5.58</v>
      </c>
      <c r="CS306" t="s">
        <v>2170</v>
      </c>
      <c r="CT306">
        <v>5.55</v>
      </c>
      <c r="CU306">
        <v>0</v>
      </c>
      <c r="CV306">
        <v>7.0000000000000007E-2</v>
      </c>
      <c r="CW306">
        <v>4.1399999999999997</v>
      </c>
      <c r="CX306">
        <v>1.26</v>
      </c>
      <c r="CY306">
        <v>43.94</v>
      </c>
      <c r="CZ306" t="s">
        <v>2171</v>
      </c>
      <c r="DA306">
        <v>30.32</v>
      </c>
      <c r="DB306">
        <v>24.28</v>
      </c>
      <c r="DC306">
        <v>12.38</v>
      </c>
      <c r="DD306">
        <v>0.04</v>
      </c>
      <c r="DE306">
        <v>7154</v>
      </c>
      <c r="DF306">
        <v>789</v>
      </c>
      <c r="DG306" t="s">
        <v>116</v>
      </c>
      <c r="DH306" t="s">
        <v>116</v>
      </c>
      <c r="DI306" t="s">
        <v>116</v>
      </c>
    </row>
    <row r="307" spans="1:113" x14ac:dyDescent="0.4">
      <c r="A307" t="str">
        <f>"000790"</f>
        <v>000790</v>
      </c>
      <c r="B307" t="s">
        <v>2172</v>
      </c>
      <c r="C307">
        <v>0.23</v>
      </c>
      <c r="D307">
        <v>4.41</v>
      </c>
      <c r="E307">
        <v>0.01</v>
      </c>
      <c r="F307">
        <v>4.41</v>
      </c>
      <c r="G307">
        <v>4.42</v>
      </c>
      <c r="H307">
        <v>97120</v>
      </c>
      <c r="I307">
        <v>206</v>
      </c>
      <c r="J307">
        <v>-0.22</v>
      </c>
      <c r="K307">
        <v>1.58</v>
      </c>
      <c r="L307">
        <v>4.4000000000000004</v>
      </c>
      <c r="M307">
        <v>4.4800000000000004</v>
      </c>
      <c r="N307">
        <v>4.38</v>
      </c>
      <c r="O307">
        <v>4.4000000000000004</v>
      </c>
      <c r="P307">
        <v>38.47</v>
      </c>
      <c r="Q307">
        <v>42984996</v>
      </c>
      <c r="R307">
        <v>1.93</v>
      </c>
      <c r="S307" t="s">
        <v>781</v>
      </c>
      <c r="T307" t="s">
        <v>582</v>
      </c>
      <c r="U307">
        <v>2.27</v>
      </c>
      <c r="V307">
        <v>4.43</v>
      </c>
      <c r="W307">
        <v>46466</v>
      </c>
      <c r="X307">
        <v>50654</v>
      </c>
      <c r="Y307">
        <v>0.92</v>
      </c>
      <c r="Z307">
        <v>481</v>
      </c>
      <c r="AA307">
        <v>717</v>
      </c>
      <c r="AB307" t="s">
        <v>116</v>
      </c>
      <c r="AC307">
        <v>15000</v>
      </c>
      <c r="AD307">
        <v>0</v>
      </c>
      <c r="AE307" t="s">
        <v>116</v>
      </c>
      <c r="AF307" t="s">
        <v>116</v>
      </c>
      <c r="AG307">
        <v>6.16</v>
      </c>
      <c r="AH307" t="s">
        <v>2173</v>
      </c>
      <c r="AI307" t="s">
        <v>2174</v>
      </c>
      <c r="AJ307">
        <v>0.91</v>
      </c>
      <c r="AK307">
        <v>884</v>
      </c>
      <c r="AL307">
        <v>110</v>
      </c>
      <c r="AM307">
        <v>1.8E-3</v>
      </c>
      <c r="AN307">
        <v>4</v>
      </c>
      <c r="AO307">
        <v>0.92</v>
      </c>
      <c r="AP307">
        <v>5.5</v>
      </c>
      <c r="AQ307">
        <v>4.75</v>
      </c>
      <c r="AR307">
        <v>20.37</v>
      </c>
      <c r="AS307">
        <v>2.0499999999999998</v>
      </c>
      <c r="AT307" t="s">
        <v>2175</v>
      </c>
      <c r="AU307">
        <v>39.78</v>
      </c>
      <c r="AV307">
        <v>87.21</v>
      </c>
      <c r="AW307">
        <v>0.74</v>
      </c>
      <c r="BA307">
        <v>0</v>
      </c>
      <c r="BB307">
        <v>1.82</v>
      </c>
      <c r="BC307">
        <v>-0.45</v>
      </c>
      <c r="BD307">
        <v>0.59</v>
      </c>
      <c r="BE307">
        <v>0.23</v>
      </c>
      <c r="BF307">
        <v>-1.56</v>
      </c>
      <c r="BG307">
        <v>0.68</v>
      </c>
      <c r="BH307">
        <v>-0.36</v>
      </c>
      <c r="BI307">
        <v>20191024</v>
      </c>
      <c r="BJ307">
        <v>19980327</v>
      </c>
      <c r="BK307">
        <v>6.16</v>
      </c>
      <c r="BL307" t="s">
        <v>116</v>
      </c>
      <c r="BM307" t="s">
        <v>116</v>
      </c>
      <c r="BN307">
        <v>11.32</v>
      </c>
      <c r="BO307">
        <v>8.7200000000000006</v>
      </c>
      <c r="BP307">
        <v>0</v>
      </c>
      <c r="BQ307">
        <v>23.02</v>
      </c>
      <c r="BR307">
        <v>8.4700000000000006</v>
      </c>
      <c r="BS307">
        <v>1.78</v>
      </c>
      <c r="BT307">
        <v>0.18</v>
      </c>
      <c r="BU307">
        <v>2.4700000000000002</v>
      </c>
      <c r="BV307">
        <v>0.99</v>
      </c>
      <c r="BW307">
        <v>2.92</v>
      </c>
      <c r="BX307">
        <v>0.4</v>
      </c>
      <c r="BY307">
        <v>5.24</v>
      </c>
      <c r="BZ307">
        <v>1.67</v>
      </c>
      <c r="CA307">
        <v>0.65</v>
      </c>
      <c r="CB307">
        <v>-0.02</v>
      </c>
      <c r="CC307">
        <v>0.65</v>
      </c>
      <c r="CD307">
        <v>0.53</v>
      </c>
      <c r="CE307">
        <v>0.53</v>
      </c>
      <c r="CF307">
        <v>0.53</v>
      </c>
      <c r="CG307">
        <v>1.1000000000000001</v>
      </c>
      <c r="CH307">
        <v>0.2</v>
      </c>
      <c r="CI307">
        <v>0.08</v>
      </c>
      <c r="CJ307">
        <v>43578</v>
      </c>
      <c r="CK307">
        <v>10866</v>
      </c>
      <c r="CL307" t="s">
        <v>2176</v>
      </c>
      <c r="CM307">
        <v>234.66</v>
      </c>
      <c r="CN307">
        <v>21.7</v>
      </c>
      <c r="CO307">
        <v>3.12</v>
      </c>
      <c r="CP307">
        <v>136.32</v>
      </c>
      <c r="CQ307">
        <v>5.18</v>
      </c>
      <c r="CR307">
        <v>0.62</v>
      </c>
      <c r="CS307" t="s">
        <v>1469</v>
      </c>
      <c r="CT307">
        <v>1.41</v>
      </c>
      <c r="CU307">
        <v>0</v>
      </c>
      <c r="CV307">
        <v>0.06</v>
      </c>
      <c r="CW307">
        <v>0.18</v>
      </c>
      <c r="CX307">
        <v>0.03</v>
      </c>
      <c r="CY307">
        <v>76.98</v>
      </c>
      <c r="CZ307" t="s">
        <v>2177</v>
      </c>
      <c r="DA307">
        <v>68.22</v>
      </c>
      <c r="DB307">
        <v>12.37</v>
      </c>
      <c r="DC307">
        <v>10.11</v>
      </c>
      <c r="DD307">
        <v>0.15</v>
      </c>
      <c r="DE307">
        <v>702</v>
      </c>
      <c r="DF307">
        <v>790</v>
      </c>
      <c r="DG307" t="s">
        <v>116</v>
      </c>
      <c r="DH307" t="s">
        <v>116</v>
      </c>
      <c r="DI307" t="s">
        <v>116</v>
      </c>
    </row>
    <row r="308" spans="1:113" x14ac:dyDescent="0.4">
      <c r="A308" t="str">
        <f>"000791"</f>
        <v>000791</v>
      </c>
      <c r="B308" t="s">
        <v>2178</v>
      </c>
      <c r="C308">
        <v>-0.55000000000000004</v>
      </c>
      <c r="D308">
        <v>3.64</v>
      </c>
      <c r="E308">
        <v>-0.02</v>
      </c>
      <c r="F308">
        <v>3.64</v>
      </c>
      <c r="G308">
        <v>3.65</v>
      </c>
      <c r="H308">
        <v>75687</v>
      </c>
      <c r="I308">
        <v>1291</v>
      </c>
      <c r="J308">
        <v>-0.26</v>
      </c>
      <c r="K308">
        <v>0.56000000000000005</v>
      </c>
      <c r="L308">
        <v>3.65</v>
      </c>
      <c r="M308">
        <v>3.69</v>
      </c>
      <c r="N308">
        <v>3.64</v>
      </c>
      <c r="O308">
        <v>3.66</v>
      </c>
      <c r="P308">
        <v>7.6</v>
      </c>
      <c r="Q308">
        <v>27750032</v>
      </c>
      <c r="R308">
        <v>1.21</v>
      </c>
      <c r="S308" t="s">
        <v>1363</v>
      </c>
      <c r="T308" t="s">
        <v>1122</v>
      </c>
      <c r="U308">
        <v>1.37</v>
      </c>
      <c r="V308">
        <v>3.67</v>
      </c>
      <c r="W308">
        <v>45888</v>
      </c>
      <c r="X308">
        <v>29799</v>
      </c>
      <c r="Y308">
        <v>1.54</v>
      </c>
      <c r="Z308">
        <v>520</v>
      </c>
      <c r="AA308">
        <v>955</v>
      </c>
      <c r="AB308" t="s">
        <v>116</v>
      </c>
      <c r="AC308">
        <v>0</v>
      </c>
      <c r="AD308">
        <v>0</v>
      </c>
      <c r="AE308" t="s">
        <v>116</v>
      </c>
      <c r="AF308" t="s">
        <v>116</v>
      </c>
      <c r="AG308">
        <v>13.6</v>
      </c>
      <c r="AH308" t="s">
        <v>2179</v>
      </c>
      <c r="AI308" t="s">
        <v>2179</v>
      </c>
      <c r="AJ308">
        <v>0.13</v>
      </c>
      <c r="AK308">
        <v>846</v>
      </c>
      <c r="AL308">
        <v>89</v>
      </c>
      <c r="AM308">
        <v>6.9999999999999999E-4</v>
      </c>
      <c r="AN308">
        <v>-1</v>
      </c>
      <c r="AO308">
        <v>-0.28000000000000003</v>
      </c>
      <c r="AP308">
        <v>1.96</v>
      </c>
      <c r="AQ308">
        <v>-1.89</v>
      </c>
      <c r="AR308">
        <v>3.79</v>
      </c>
      <c r="AS308">
        <v>1.49</v>
      </c>
      <c r="AT308" t="s">
        <v>2180</v>
      </c>
      <c r="AU308">
        <v>10.52</v>
      </c>
      <c r="AV308">
        <v>10.199999999999999</v>
      </c>
      <c r="AW308">
        <v>0.56000000000000005</v>
      </c>
      <c r="BA308">
        <v>-0.27</v>
      </c>
      <c r="BB308">
        <v>0.82</v>
      </c>
      <c r="BC308">
        <v>-0.55000000000000004</v>
      </c>
      <c r="BD308">
        <v>0.17</v>
      </c>
      <c r="BE308">
        <v>-0.27</v>
      </c>
      <c r="BF308">
        <v>-1.36</v>
      </c>
      <c r="BG308">
        <v>0</v>
      </c>
      <c r="BH308">
        <v>-0.72</v>
      </c>
      <c r="BI308">
        <v>20191225</v>
      </c>
      <c r="BJ308">
        <v>19971014</v>
      </c>
      <c r="BK308">
        <v>13.6</v>
      </c>
      <c r="BL308" t="s">
        <v>116</v>
      </c>
      <c r="BM308" t="s">
        <v>116</v>
      </c>
      <c r="BN308">
        <v>189.3</v>
      </c>
      <c r="BO308">
        <v>64.67</v>
      </c>
      <c r="BP308">
        <v>7.31</v>
      </c>
      <c r="BQ308">
        <v>61.98</v>
      </c>
      <c r="BR308">
        <v>23.08</v>
      </c>
      <c r="BS308">
        <v>143.81</v>
      </c>
      <c r="BT308">
        <v>2.11</v>
      </c>
      <c r="BU308">
        <v>15.17</v>
      </c>
      <c r="BV308">
        <v>0.05</v>
      </c>
      <c r="BW308">
        <v>12.82</v>
      </c>
      <c r="BX308">
        <v>35.96</v>
      </c>
      <c r="BY308">
        <v>17.91</v>
      </c>
      <c r="BZ308">
        <v>8.41</v>
      </c>
      <c r="CA308">
        <v>6.17</v>
      </c>
      <c r="CB308">
        <v>1.05</v>
      </c>
      <c r="CC308">
        <v>6.18</v>
      </c>
      <c r="CD308">
        <v>5.46</v>
      </c>
      <c r="CE308">
        <v>4.88</v>
      </c>
      <c r="CF308">
        <v>4.87</v>
      </c>
      <c r="CG308">
        <v>13.88</v>
      </c>
      <c r="CH308">
        <v>11.4</v>
      </c>
      <c r="CI308">
        <v>0.12</v>
      </c>
      <c r="CJ308">
        <v>53818</v>
      </c>
      <c r="CK308">
        <v>9461</v>
      </c>
      <c r="CL308" t="s">
        <v>2181</v>
      </c>
      <c r="CM308">
        <v>-2.9</v>
      </c>
      <c r="CN308">
        <v>-0.43</v>
      </c>
      <c r="CO308">
        <v>0.77</v>
      </c>
      <c r="CP308">
        <v>4.34</v>
      </c>
      <c r="CQ308">
        <v>2.76</v>
      </c>
      <c r="CR308">
        <v>2.94</v>
      </c>
      <c r="CS308" t="s">
        <v>2182</v>
      </c>
      <c r="CT308">
        <v>4.76</v>
      </c>
      <c r="CU308">
        <v>0</v>
      </c>
      <c r="CV308">
        <v>2.65</v>
      </c>
      <c r="CW308">
        <v>1.02</v>
      </c>
      <c r="CX308">
        <v>0.84</v>
      </c>
      <c r="CY308">
        <v>34.159999999999997</v>
      </c>
      <c r="CZ308" t="s">
        <v>2183</v>
      </c>
      <c r="DA308">
        <v>53.05</v>
      </c>
      <c r="DB308">
        <v>34.43</v>
      </c>
      <c r="DC308">
        <v>27.26</v>
      </c>
      <c r="DD308">
        <v>0</v>
      </c>
      <c r="DE308">
        <v>2081</v>
      </c>
      <c r="DF308">
        <v>791</v>
      </c>
      <c r="DG308" t="s">
        <v>116</v>
      </c>
      <c r="DH308" t="s">
        <v>116</v>
      </c>
      <c r="DI308" t="s">
        <v>116</v>
      </c>
    </row>
    <row r="309" spans="1:113" x14ac:dyDescent="0.4">
      <c r="A309" t="str">
        <f>"000792"</f>
        <v>000792</v>
      </c>
      <c r="B309" t="s">
        <v>2184</v>
      </c>
      <c r="C309">
        <v>0.38</v>
      </c>
      <c r="D309">
        <v>7.98</v>
      </c>
      <c r="E309">
        <v>0.03</v>
      </c>
      <c r="F309">
        <v>7.98</v>
      </c>
      <c r="G309">
        <v>7.99</v>
      </c>
      <c r="H309">
        <v>116402</v>
      </c>
      <c r="I309">
        <v>809</v>
      </c>
      <c r="J309">
        <v>0.25</v>
      </c>
      <c r="K309">
        <v>0.42</v>
      </c>
      <c r="L309">
        <v>7.95</v>
      </c>
      <c r="M309">
        <v>8.09</v>
      </c>
      <c r="N309">
        <v>7.93</v>
      </c>
      <c r="O309">
        <v>7.95</v>
      </c>
      <c r="P309" t="s">
        <v>116</v>
      </c>
      <c r="Q309">
        <v>93139048</v>
      </c>
      <c r="R309">
        <v>0.86</v>
      </c>
      <c r="S309" t="s">
        <v>891</v>
      </c>
      <c r="T309" t="s">
        <v>698</v>
      </c>
      <c r="U309">
        <v>2.0099999999999998</v>
      </c>
      <c r="V309">
        <v>8</v>
      </c>
      <c r="W309">
        <v>58874</v>
      </c>
      <c r="X309">
        <v>57528</v>
      </c>
      <c r="Y309">
        <v>1.02</v>
      </c>
      <c r="Z309">
        <v>1950</v>
      </c>
      <c r="AA309">
        <v>2430</v>
      </c>
      <c r="AB309" t="s">
        <v>116</v>
      </c>
      <c r="AC309">
        <v>246500</v>
      </c>
      <c r="AD309">
        <v>0</v>
      </c>
      <c r="AE309" t="s">
        <v>116</v>
      </c>
      <c r="AF309" t="s">
        <v>116</v>
      </c>
      <c r="AG309">
        <v>27.5</v>
      </c>
      <c r="AH309" t="s">
        <v>2185</v>
      </c>
      <c r="AI309" t="s">
        <v>2186</v>
      </c>
      <c r="AJ309">
        <v>1.06</v>
      </c>
      <c r="AK309">
        <v>1348</v>
      </c>
      <c r="AL309">
        <v>86</v>
      </c>
      <c r="AM309">
        <v>2.9999999999999997E-4</v>
      </c>
      <c r="AN309">
        <v>1</v>
      </c>
      <c r="AO309">
        <v>-1.1100000000000001</v>
      </c>
      <c r="AP309">
        <v>-7.21</v>
      </c>
      <c r="AQ309">
        <v>7.4</v>
      </c>
      <c r="AR309">
        <v>14.33</v>
      </c>
      <c r="AS309">
        <v>0.93</v>
      </c>
      <c r="AT309" t="s">
        <v>2187</v>
      </c>
      <c r="AU309" t="s">
        <v>116</v>
      </c>
      <c r="AV309" t="s">
        <v>116</v>
      </c>
      <c r="AW309">
        <v>0</v>
      </c>
      <c r="BA309">
        <v>0</v>
      </c>
      <c r="BB309">
        <v>1.76</v>
      </c>
      <c r="BC309">
        <v>-0.25</v>
      </c>
      <c r="BD309">
        <v>0.65</v>
      </c>
      <c r="BE309">
        <v>0.38</v>
      </c>
      <c r="BF309">
        <v>-1.36</v>
      </c>
      <c r="BG309">
        <v>0.63</v>
      </c>
      <c r="BH309">
        <v>-0.27</v>
      </c>
      <c r="BI309">
        <v>20191224</v>
      </c>
      <c r="BJ309">
        <v>19970904</v>
      </c>
      <c r="BK309">
        <v>27.86</v>
      </c>
      <c r="BL309" t="s">
        <v>116</v>
      </c>
      <c r="BM309" t="s">
        <v>116</v>
      </c>
      <c r="BN309">
        <v>727.07</v>
      </c>
      <c r="BO309">
        <v>161.06</v>
      </c>
      <c r="BP309">
        <v>20.53</v>
      </c>
      <c r="BQ309">
        <v>75.02</v>
      </c>
      <c r="BR309">
        <v>105.83</v>
      </c>
      <c r="BS309">
        <v>492.64</v>
      </c>
      <c r="BT309">
        <v>15.61</v>
      </c>
      <c r="BU309">
        <v>339.94</v>
      </c>
      <c r="BV309">
        <v>32.270000000000003</v>
      </c>
      <c r="BW309">
        <v>7.25</v>
      </c>
      <c r="BX309">
        <v>94.78</v>
      </c>
      <c r="BY309">
        <v>154.78</v>
      </c>
      <c r="BZ309">
        <v>113.61</v>
      </c>
      <c r="CA309">
        <v>0.2</v>
      </c>
      <c r="CB309">
        <v>-0.06</v>
      </c>
      <c r="CC309">
        <v>0.19</v>
      </c>
      <c r="CD309">
        <v>-5.13</v>
      </c>
      <c r="CE309">
        <v>-5.04</v>
      </c>
      <c r="CF309">
        <v>-5.75</v>
      </c>
      <c r="CG309">
        <v>2.58</v>
      </c>
      <c r="CH309">
        <v>18.420000000000002</v>
      </c>
      <c r="CI309">
        <v>-26.96</v>
      </c>
      <c r="CJ309">
        <v>68278</v>
      </c>
      <c r="CK309">
        <v>18332</v>
      </c>
      <c r="CL309" t="s">
        <v>2188</v>
      </c>
      <c r="CM309">
        <v>58.49</v>
      </c>
      <c r="CN309">
        <v>22.55</v>
      </c>
      <c r="CO309">
        <v>1.52</v>
      </c>
      <c r="CP309">
        <v>12.07</v>
      </c>
      <c r="CQ309">
        <v>1.44</v>
      </c>
      <c r="CR309">
        <v>0</v>
      </c>
      <c r="CS309" t="s">
        <v>2189</v>
      </c>
      <c r="CT309">
        <v>5.25</v>
      </c>
      <c r="CU309">
        <v>5.25</v>
      </c>
      <c r="CV309">
        <v>3.4</v>
      </c>
      <c r="CW309">
        <v>0.09</v>
      </c>
      <c r="CX309">
        <v>0.66</v>
      </c>
      <c r="CY309">
        <v>22.15</v>
      </c>
      <c r="CZ309" t="s">
        <v>2190</v>
      </c>
      <c r="DA309">
        <v>26.6</v>
      </c>
      <c r="DB309">
        <v>0.13</v>
      </c>
      <c r="DC309">
        <v>-3.25</v>
      </c>
      <c r="DD309">
        <v>0.65</v>
      </c>
      <c r="DE309">
        <v>16995</v>
      </c>
      <c r="DF309">
        <v>792</v>
      </c>
      <c r="DG309" t="s">
        <v>116</v>
      </c>
      <c r="DH309" t="s">
        <v>116</v>
      </c>
      <c r="DI309" t="s">
        <v>116</v>
      </c>
    </row>
    <row r="310" spans="1:113" x14ac:dyDescent="0.4">
      <c r="A310" t="str">
        <f>"000793"</f>
        <v>000793</v>
      </c>
      <c r="B310" t="s">
        <v>2191</v>
      </c>
      <c r="C310">
        <v>0.91</v>
      </c>
      <c r="D310">
        <v>3.33</v>
      </c>
      <c r="E310">
        <v>0.03</v>
      </c>
      <c r="F310">
        <v>3.32</v>
      </c>
      <c r="G310">
        <v>3.33</v>
      </c>
      <c r="H310">
        <v>756308</v>
      </c>
      <c r="I310">
        <v>6704</v>
      </c>
      <c r="J310">
        <v>0.3</v>
      </c>
      <c r="K310">
        <v>3.89</v>
      </c>
      <c r="L310">
        <v>3.31</v>
      </c>
      <c r="M310">
        <v>3.51</v>
      </c>
      <c r="N310">
        <v>3.27</v>
      </c>
      <c r="O310">
        <v>3.3</v>
      </c>
      <c r="P310">
        <v>94.62</v>
      </c>
      <c r="Q310">
        <v>255063056</v>
      </c>
      <c r="R310">
        <v>1.58</v>
      </c>
      <c r="S310" t="s">
        <v>1902</v>
      </c>
      <c r="T310" t="s">
        <v>851</v>
      </c>
      <c r="U310">
        <v>7.27</v>
      </c>
      <c r="V310">
        <v>3.37</v>
      </c>
      <c r="W310">
        <v>359632</v>
      </c>
      <c r="X310">
        <v>396676</v>
      </c>
      <c r="Y310">
        <v>0.91</v>
      </c>
      <c r="Z310">
        <v>3449</v>
      </c>
      <c r="AA310">
        <v>829</v>
      </c>
      <c r="AB310" t="s">
        <v>116</v>
      </c>
      <c r="AC310">
        <v>3945900</v>
      </c>
      <c r="AD310">
        <v>0.08</v>
      </c>
      <c r="AE310" t="s">
        <v>116</v>
      </c>
      <c r="AF310" t="s">
        <v>116</v>
      </c>
      <c r="AG310">
        <v>19.43</v>
      </c>
      <c r="AH310" t="s">
        <v>2192</v>
      </c>
      <c r="AI310" t="s">
        <v>2193</v>
      </c>
      <c r="AJ310">
        <v>1.59</v>
      </c>
      <c r="AK310">
        <v>3153</v>
      </c>
      <c r="AL310">
        <v>240</v>
      </c>
      <c r="AM310">
        <v>1.1999999999999999E-3</v>
      </c>
      <c r="AN310">
        <v>2</v>
      </c>
      <c r="AO310">
        <v>3.09</v>
      </c>
      <c r="AP310">
        <v>14.83</v>
      </c>
      <c r="AQ310">
        <v>12.12</v>
      </c>
      <c r="AR310">
        <v>12.12</v>
      </c>
      <c r="AS310">
        <v>5.24</v>
      </c>
      <c r="AT310" t="s">
        <v>2194</v>
      </c>
      <c r="AU310" t="s">
        <v>116</v>
      </c>
      <c r="AV310" t="s">
        <v>116</v>
      </c>
      <c r="AW310">
        <v>1.59</v>
      </c>
      <c r="BA310">
        <v>0.3</v>
      </c>
      <c r="BB310">
        <v>6.36</v>
      </c>
      <c r="BC310">
        <v>-0.91</v>
      </c>
      <c r="BD310">
        <v>2.2000000000000002</v>
      </c>
      <c r="BE310">
        <v>0.6</v>
      </c>
      <c r="BF310">
        <v>-5.13</v>
      </c>
      <c r="BG310">
        <v>1.83</v>
      </c>
      <c r="BH310">
        <v>-1.29</v>
      </c>
      <c r="BI310">
        <v>20191226</v>
      </c>
      <c r="BJ310">
        <v>19970729</v>
      </c>
      <c r="BK310">
        <v>19.97</v>
      </c>
      <c r="BL310" t="s">
        <v>116</v>
      </c>
      <c r="BM310" t="s">
        <v>116</v>
      </c>
      <c r="BN310">
        <v>122.46</v>
      </c>
      <c r="BO310">
        <v>48.88</v>
      </c>
      <c r="BP310">
        <v>7.73</v>
      </c>
      <c r="BQ310">
        <v>53.78</v>
      </c>
      <c r="BR310">
        <v>34.61</v>
      </c>
      <c r="BS310">
        <v>5.35</v>
      </c>
      <c r="BT310">
        <v>1.1100000000000001</v>
      </c>
      <c r="BU310">
        <v>17.5</v>
      </c>
      <c r="BV310">
        <v>2.83</v>
      </c>
      <c r="BW310">
        <v>11.12</v>
      </c>
      <c r="BX310">
        <v>37.68</v>
      </c>
      <c r="BY310">
        <v>27.91</v>
      </c>
      <c r="BZ310">
        <v>21.71</v>
      </c>
      <c r="CA310">
        <v>3.89</v>
      </c>
      <c r="CB310">
        <v>0.46</v>
      </c>
      <c r="CC310">
        <v>3.87</v>
      </c>
      <c r="CD310">
        <v>2.5499999999999998</v>
      </c>
      <c r="CE310">
        <v>0.53</v>
      </c>
      <c r="CF310">
        <v>-1.66</v>
      </c>
      <c r="CG310">
        <v>-13.08</v>
      </c>
      <c r="CH310">
        <v>-3.62</v>
      </c>
      <c r="CI310">
        <v>-4.12</v>
      </c>
      <c r="CJ310">
        <v>88353</v>
      </c>
      <c r="CK310">
        <v>16350</v>
      </c>
      <c r="CL310" t="s">
        <v>2195</v>
      </c>
      <c r="CM310">
        <v>129.74</v>
      </c>
      <c r="CN310">
        <v>14.6</v>
      </c>
      <c r="CO310">
        <v>1.36</v>
      </c>
      <c r="CP310">
        <v>-18.36</v>
      </c>
      <c r="CQ310">
        <v>2.38</v>
      </c>
      <c r="CR310">
        <v>0</v>
      </c>
      <c r="CS310" t="s">
        <v>613</v>
      </c>
      <c r="CT310">
        <v>2.4500000000000002</v>
      </c>
      <c r="CU310">
        <v>0</v>
      </c>
      <c r="CV310">
        <v>1.89</v>
      </c>
      <c r="CW310">
        <v>-0.65</v>
      </c>
      <c r="CX310">
        <v>-0.18</v>
      </c>
      <c r="CY310">
        <v>39.909999999999997</v>
      </c>
      <c r="CZ310" t="s">
        <v>2196</v>
      </c>
      <c r="DA310">
        <v>22.22</v>
      </c>
      <c r="DB310">
        <v>13.92</v>
      </c>
      <c r="DC310">
        <v>1.89</v>
      </c>
      <c r="DD310">
        <v>0.22</v>
      </c>
      <c r="DE310">
        <v>5247</v>
      </c>
      <c r="DF310">
        <v>793</v>
      </c>
      <c r="DG310" t="s">
        <v>116</v>
      </c>
      <c r="DH310" t="s">
        <v>116</v>
      </c>
      <c r="DI310" t="s">
        <v>116</v>
      </c>
    </row>
    <row r="311" spans="1:113" x14ac:dyDescent="0.4">
      <c r="A311" t="str">
        <f>"000795"</f>
        <v>000795</v>
      </c>
      <c r="B311" t="s">
        <v>2197</v>
      </c>
      <c r="C311">
        <v>2.0099999999999998</v>
      </c>
      <c r="D311">
        <v>6.09</v>
      </c>
      <c r="E311">
        <v>0.12</v>
      </c>
      <c r="F311">
        <v>6.08</v>
      </c>
      <c r="G311">
        <v>6.09</v>
      </c>
      <c r="H311">
        <v>697811</v>
      </c>
      <c r="I311">
        <v>5771</v>
      </c>
      <c r="J311">
        <v>0</v>
      </c>
      <c r="K311">
        <v>6.17</v>
      </c>
      <c r="L311">
        <v>5.98</v>
      </c>
      <c r="M311">
        <v>6.38</v>
      </c>
      <c r="N311">
        <v>5.97</v>
      </c>
      <c r="O311">
        <v>5.97</v>
      </c>
      <c r="P311">
        <v>52.21</v>
      </c>
      <c r="Q311">
        <v>428163136</v>
      </c>
      <c r="R311">
        <v>2.66</v>
      </c>
      <c r="S311" t="s">
        <v>933</v>
      </c>
      <c r="T311" t="s">
        <v>675</v>
      </c>
      <c r="U311">
        <v>6.87</v>
      </c>
      <c r="V311">
        <v>6.14</v>
      </c>
      <c r="W311">
        <v>303397</v>
      </c>
      <c r="X311">
        <v>394414</v>
      </c>
      <c r="Y311">
        <v>0.77</v>
      </c>
      <c r="Z311">
        <v>3090</v>
      </c>
      <c r="AA311">
        <v>1060</v>
      </c>
      <c r="AB311" t="s">
        <v>116</v>
      </c>
      <c r="AC311">
        <v>495100</v>
      </c>
      <c r="AD311">
        <v>0.01</v>
      </c>
      <c r="AE311" t="s">
        <v>116</v>
      </c>
      <c r="AF311" t="s">
        <v>116</v>
      </c>
      <c r="AG311">
        <v>11.31</v>
      </c>
      <c r="AH311" t="s">
        <v>2198</v>
      </c>
      <c r="AI311" t="s">
        <v>2199</v>
      </c>
      <c r="AJ311">
        <v>2.69</v>
      </c>
      <c r="AK311">
        <v>4199</v>
      </c>
      <c r="AL311">
        <v>166</v>
      </c>
      <c r="AM311">
        <v>1.5E-3</v>
      </c>
      <c r="AN311">
        <v>4</v>
      </c>
      <c r="AO311">
        <v>3.05</v>
      </c>
      <c r="AP311">
        <v>8.94</v>
      </c>
      <c r="AQ311">
        <v>-0.65</v>
      </c>
      <c r="AR311">
        <v>70.59</v>
      </c>
      <c r="AS311">
        <v>12.29</v>
      </c>
      <c r="AT311" t="s">
        <v>2200</v>
      </c>
      <c r="AU311">
        <v>49.73</v>
      </c>
      <c r="AV311">
        <v>61.56</v>
      </c>
      <c r="AW311">
        <v>0.68</v>
      </c>
      <c r="BA311">
        <v>0.17</v>
      </c>
      <c r="BB311">
        <v>6.87</v>
      </c>
      <c r="BC311">
        <v>0</v>
      </c>
      <c r="BD311">
        <v>2.78</v>
      </c>
      <c r="BE311">
        <v>1.84</v>
      </c>
      <c r="BF311">
        <v>-4.55</v>
      </c>
      <c r="BG311">
        <v>2.0099999999999998</v>
      </c>
      <c r="BH311">
        <v>-0.77</v>
      </c>
      <c r="BI311">
        <v>20191029</v>
      </c>
      <c r="BJ311">
        <v>19970808</v>
      </c>
      <c r="BK311">
        <v>11.34</v>
      </c>
      <c r="BL311" t="s">
        <v>116</v>
      </c>
      <c r="BM311" t="s">
        <v>116</v>
      </c>
      <c r="BN311">
        <v>33.17</v>
      </c>
      <c r="BO311">
        <v>22.25</v>
      </c>
      <c r="BP311">
        <v>0.68</v>
      </c>
      <c r="BQ311">
        <v>30.86</v>
      </c>
      <c r="BR311">
        <v>25.12</v>
      </c>
      <c r="BS311">
        <v>5.52</v>
      </c>
      <c r="BT311">
        <v>1.25</v>
      </c>
      <c r="BU311">
        <v>9.69</v>
      </c>
      <c r="BV311">
        <v>5.89</v>
      </c>
      <c r="BW311">
        <v>7.39</v>
      </c>
      <c r="BX311">
        <v>10.07</v>
      </c>
      <c r="BY311">
        <v>17.86</v>
      </c>
      <c r="BZ311">
        <v>14.06</v>
      </c>
      <c r="CA311">
        <v>1.23</v>
      </c>
      <c r="CB311">
        <v>0.16</v>
      </c>
      <c r="CC311">
        <v>1.24</v>
      </c>
      <c r="CD311">
        <v>1</v>
      </c>
      <c r="CE311">
        <v>0.99</v>
      </c>
      <c r="CF311">
        <v>0.76</v>
      </c>
      <c r="CG311">
        <v>0.37</v>
      </c>
      <c r="CH311">
        <v>2.82</v>
      </c>
      <c r="CI311">
        <v>0.15</v>
      </c>
      <c r="CJ311">
        <v>117321</v>
      </c>
      <c r="CK311">
        <v>4841</v>
      </c>
      <c r="CL311" t="s">
        <v>875</v>
      </c>
      <c r="CM311">
        <v>36.76</v>
      </c>
      <c r="CN311">
        <v>13.39</v>
      </c>
      <c r="CO311">
        <v>3.1</v>
      </c>
      <c r="CP311">
        <v>24.45</v>
      </c>
      <c r="CQ311">
        <v>3.86</v>
      </c>
      <c r="CR311">
        <v>0</v>
      </c>
      <c r="CS311" t="s">
        <v>2201</v>
      </c>
      <c r="CT311">
        <v>1.96</v>
      </c>
      <c r="CU311">
        <v>0</v>
      </c>
      <c r="CV311">
        <v>0.89</v>
      </c>
      <c r="CW311">
        <v>0.03</v>
      </c>
      <c r="CX311">
        <v>0.25</v>
      </c>
      <c r="CY311">
        <v>67.09</v>
      </c>
      <c r="CZ311" t="s">
        <v>1832</v>
      </c>
      <c r="DA311">
        <v>21.3</v>
      </c>
      <c r="DB311">
        <v>6.87</v>
      </c>
      <c r="DC311">
        <v>5.55</v>
      </c>
      <c r="DD311">
        <v>0.89</v>
      </c>
      <c r="DE311">
        <v>3084</v>
      </c>
      <c r="DF311">
        <v>795</v>
      </c>
      <c r="DG311" t="s">
        <v>116</v>
      </c>
      <c r="DH311" t="s">
        <v>116</v>
      </c>
      <c r="DI311" t="s">
        <v>116</v>
      </c>
    </row>
    <row r="312" spans="1:113" x14ac:dyDescent="0.4">
      <c r="A312" t="str">
        <f>"000796"</f>
        <v>000796</v>
      </c>
      <c r="B312" t="s">
        <v>2202</v>
      </c>
      <c r="C312">
        <v>2.83</v>
      </c>
      <c r="D312">
        <v>9.09</v>
      </c>
      <c r="E312">
        <v>0.25</v>
      </c>
      <c r="F312">
        <v>9.08</v>
      </c>
      <c r="G312">
        <v>9.09</v>
      </c>
      <c r="H312">
        <v>142375</v>
      </c>
      <c r="I312">
        <v>870</v>
      </c>
      <c r="J312">
        <v>0.11</v>
      </c>
      <c r="K312">
        <v>1.77</v>
      </c>
      <c r="L312">
        <v>8.84</v>
      </c>
      <c r="M312">
        <v>9.35</v>
      </c>
      <c r="N312">
        <v>8.61</v>
      </c>
      <c r="O312">
        <v>8.84</v>
      </c>
      <c r="P312">
        <v>25.33</v>
      </c>
      <c r="Q312">
        <v>127588952</v>
      </c>
      <c r="R312">
        <v>1.18</v>
      </c>
      <c r="S312" t="s">
        <v>1412</v>
      </c>
      <c r="T312" t="s">
        <v>913</v>
      </c>
      <c r="U312">
        <v>8.3699999999999992</v>
      </c>
      <c r="V312">
        <v>8.9600000000000009</v>
      </c>
      <c r="W312">
        <v>70717</v>
      </c>
      <c r="X312">
        <v>71658</v>
      </c>
      <c r="Y312">
        <v>0.99</v>
      </c>
      <c r="Z312">
        <v>867</v>
      </c>
      <c r="AA312">
        <v>146</v>
      </c>
      <c r="AB312" t="s">
        <v>116</v>
      </c>
      <c r="AC312">
        <v>267900</v>
      </c>
      <c r="AD312">
        <v>0.01</v>
      </c>
      <c r="AE312" t="s">
        <v>116</v>
      </c>
      <c r="AF312" t="s">
        <v>116</v>
      </c>
      <c r="AG312">
        <v>8.0299999999999994</v>
      </c>
      <c r="AH312" t="s">
        <v>2203</v>
      </c>
      <c r="AI312" t="s">
        <v>2204</v>
      </c>
      <c r="AJ312">
        <v>3.51</v>
      </c>
      <c r="AK312">
        <v>2509</v>
      </c>
      <c r="AL312">
        <v>57</v>
      </c>
      <c r="AM312">
        <v>6.9999999999999999E-4</v>
      </c>
      <c r="AN312">
        <v>2</v>
      </c>
      <c r="AO312">
        <v>4.37</v>
      </c>
      <c r="AP312">
        <v>15.06</v>
      </c>
      <c r="AQ312">
        <v>21.2</v>
      </c>
      <c r="AR312">
        <v>36.9</v>
      </c>
      <c r="AS312">
        <v>5.34</v>
      </c>
      <c r="AT312" t="s">
        <v>2205</v>
      </c>
      <c r="AU312">
        <v>74.03</v>
      </c>
      <c r="AV312">
        <v>37.6</v>
      </c>
      <c r="AW312">
        <v>0.54</v>
      </c>
      <c r="BA312">
        <v>0</v>
      </c>
      <c r="BB312">
        <v>5.77</v>
      </c>
      <c r="BC312">
        <v>-2.6</v>
      </c>
      <c r="BD312">
        <v>1.37</v>
      </c>
      <c r="BE312">
        <v>2.83</v>
      </c>
      <c r="BF312">
        <v>-2.78</v>
      </c>
      <c r="BG312">
        <v>5.57</v>
      </c>
      <c r="BH312">
        <v>1.45</v>
      </c>
      <c r="BI312">
        <v>20191220</v>
      </c>
      <c r="BJ312">
        <v>19970703</v>
      </c>
      <c r="BK312">
        <v>8.0299999999999994</v>
      </c>
      <c r="BL312" t="s">
        <v>116</v>
      </c>
      <c r="BM312" t="s">
        <v>116</v>
      </c>
      <c r="BN312">
        <v>60.43</v>
      </c>
      <c r="BO312">
        <v>24.32</v>
      </c>
      <c r="BP312">
        <v>2.14</v>
      </c>
      <c r="BQ312">
        <v>56.21</v>
      </c>
      <c r="BR312">
        <v>38.03</v>
      </c>
      <c r="BS312">
        <v>2.2400000000000002</v>
      </c>
      <c r="BT312">
        <v>1.35</v>
      </c>
      <c r="BU312">
        <v>26.09</v>
      </c>
      <c r="BV312">
        <v>0.35</v>
      </c>
      <c r="BW312">
        <v>12.4</v>
      </c>
      <c r="BX312">
        <v>6.34</v>
      </c>
      <c r="BY312">
        <v>59.47</v>
      </c>
      <c r="BZ312">
        <v>49.71</v>
      </c>
      <c r="CA312">
        <v>2.78</v>
      </c>
      <c r="CB312">
        <v>0.78</v>
      </c>
      <c r="CC312">
        <v>2.88</v>
      </c>
      <c r="CD312">
        <v>2.4900000000000002</v>
      </c>
      <c r="CE312">
        <v>2.16</v>
      </c>
      <c r="CF312">
        <v>1.63</v>
      </c>
      <c r="CG312">
        <v>9.1300000000000008</v>
      </c>
      <c r="CH312">
        <v>-9.49</v>
      </c>
      <c r="CI312">
        <v>-7.88</v>
      </c>
      <c r="CJ312">
        <v>37835</v>
      </c>
      <c r="CK312">
        <v>7049</v>
      </c>
      <c r="CL312" t="s">
        <v>2206</v>
      </c>
      <c r="CM312">
        <v>-30.65</v>
      </c>
      <c r="CN312">
        <v>-14.15</v>
      </c>
      <c r="CO312">
        <v>3</v>
      </c>
      <c r="CP312">
        <v>-7.69</v>
      </c>
      <c r="CQ312">
        <v>1.23</v>
      </c>
      <c r="CR312">
        <v>0</v>
      </c>
      <c r="CS312" t="s">
        <v>2207</v>
      </c>
      <c r="CT312">
        <v>3.03</v>
      </c>
      <c r="CU312">
        <v>0</v>
      </c>
      <c r="CV312">
        <v>0.79</v>
      </c>
      <c r="CW312">
        <v>1.1399999999999999</v>
      </c>
      <c r="CX312">
        <v>-1.18</v>
      </c>
      <c r="CY312">
        <v>40.24</v>
      </c>
      <c r="CZ312" t="s">
        <v>2208</v>
      </c>
      <c r="DA312">
        <v>16.420000000000002</v>
      </c>
      <c r="DB312">
        <v>4.68</v>
      </c>
      <c r="DC312">
        <v>3.63</v>
      </c>
      <c r="DD312">
        <v>0</v>
      </c>
      <c r="DE312">
        <v>6859</v>
      </c>
      <c r="DF312">
        <v>796</v>
      </c>
      <c r="DG312" t="s">
        <v>116</v>
      </c>
      <c r="DH312" t="s">
        <v>116</v>
      </c>
      <c r="DI312" t="s">
        <v>116</v>
      </c>
    </row>
    <row r="313" spans="1:113" x14ac:dyDescent="0.4">
      <c r="A313" t="str">
        <f>"000797"</f>
        <v>000797</v>
      </c>
      <c r="B313" t="s">
        <v>2209</v>
      </c>
      <c r="C313">
        <v>0</v>
      </c>
      <c r="D313">
        <v>3.45</v>
      </c>
      <c r="E313">
        <v>0</v>
      </c>
      <c r="F313">
        <v>3.45</v>
      </c>
      <c r="G313">
        <v>3.46</v>
      </c>
      <c r="H313">
        <v>66513</v>
      </c>
      <c r="I313">
        <v>467</v>
      </c>
      <c r="J313">
        <v>0</v>
      </c>
      <c r="K313">
        <v>0.43</v>
      </c>
      <c r="L313">
        <v>3.44</v>
      </c>
      <c r="M313">
        <v>3.48</v>
      </c>
      <c r="N313">
        <v>3.43</v>
      </c>
      <c r="O313">
        <v>3.45</v>
      </c>
      <c r="P313">
        <v>22.51</v>
      </c>
      <c r="Q313">
        <v>22950434</v>
      </c>
      <c r="R313">
        <v>1.57</v>
      </c>
      <c r="S313" t="s">
        <v>124</v>
      </c>
      <c r="T313" t="s">
        <v>975</v>
      </c>
      <c r="U313">
        <v>1.45</v>
      </c>
      <c r="V313">
        <v>3.45</v>
      </c>
      <c r="W313">
        <v>38280</v>
      </c>
      <c r="X313">
        <v>28233</v>
      </c>
      <c r="Y313">
        <v>1.36</v>
      </c>
      <c r="Z313">
        <v>679</v>
      </c>
      <c r="AA313">
        <v>2733</v>
      </c>
      <c r="AB313" t="s">
        <v>116</v>
      </c>
      <c r="AC313">
        <v>56400</v>
      </c>
      <c r="AD313">
        <v>0</v>
      </c>
      <c r="AE313" t="s">
        <v>116</v>
      </c>
      <c r="AF313" t="s">
        <v>116</v>
      </c>
      <c r="AG313">
        <v>15.62</v>
      </c>
      <c r="AH313" t="s">
        <v>2210</v>
      </c>
      <c r="AI313" t="s">
        <v>2211</v>
      </c>
      <c r="AJ313">
        <v>0.68</v>
      </c>
      <c r="AK313">
        <v>758</v>
      </c>
      <c r="AL313">
        <v>88</v>
      </c>
      <c r="AM313">
        <v>5.9999999999999995E-4</v>
      </c>
      <c r="AN313">
        <v>0</v>
      </c>
      <c r="AO313">
        <v>1.18</v>
      </c>
      <c r="AP313">
        <v>5.83</v>
      </c>
      <c r="AQ313">
        <v>3.6</v>
      </c>
      <c r="AR313">
        <v>-7.8</v>
      </c>
      <c r="AS313">
        <v>0.92</v>
      </c>
      <c r="AT313" t="s">
        <v>2212</v>
      </c>
      <c r="AU313">
        <v>17.690000000000001</v>
      </c>
      <c r="AV313">
        <v>17.77</v>
      </c>
      <c r="AW313">
        <v>0.76</v>
      </c>
      <c r="BA313">
        <v>-0.28999999999999998</v>
      </c>
      <c r="BB313">
        <v>0.87</v>
      </c>
      <c r="BC313">
        <v>-0.57999999999999996</v>
      </c>
      <c r="BD313">
        <v>0.02</v>
      </c>
      <c r="BE313">
        <v>0.28999999999999998</v>
      </c>
      <c r="BF313">
        <v>-0.86</v>
      </c>
      <c r="BG313">
        <v>0.57999999999999996</v>
      </c>
      <c r="BH313">
        <v>-0.02</v>
      </c>
      <c r="BI313">
        <v>20191220</v>
      </c>
      <c r="BJ313">
        <v>19970715</v>
      </c>
      <c r="BK313">
        <v>15.72</v>
      </c>
      <c r="BL313" t="s">
        <v>116</v>
      </c>
      <c r="BM313" t="s">
        <v>116</v>
      </c>
      <c r="BN313">
        <v>179.74</v>
      </c>
      <c r="BO313">
        <v>57.06</v>
      </c>
      <c r="BP313">
        <v>3.08</v>
      </c>
      <c r="BQ313">
        <v>66.540000000000006</v>
      </c>
      <c r="BR313">
        <v>163.98</v>
      </c>
      <c r="BS313">
        <v>8.0299999999999994</v>
      </c>
      <c r="BT313">
        <v>1.06</v>
      </c>
      <c r="BU313">
        <v>97.93</v>
      </c>
      <c r="BV313">
        <v>119.23</v>
      </c>
      <c r="BW313">
        <v>13.22</v>
      </c>
      <c r="BX313">
        <v>22.33</v>
      </c>
      <c r="BY313">
        <v>28.58</v>
      </c>
      <c r="BZ313">
        <v>23.7</v>
      </c>
      <c r="CA313">
        <v>2.6</v>
      </c>
      <c r="CB313">
        <v>0.03</v>
      </c>
      <c r="CC313">
        <v>2.56</v>
      </c>
      <c r="CD313">
        <v>1.79</v>
      </c>
      <c r="CE313">
        <v>1.81</v>
      </c>
      <c r="CF313">
        <v>1.79</v>
      </c>
      <c r="CG313">
        <v>10.33</v>
      </c>
      <c r="CH313">
        <v>-9.89</v>
      </c>
      <c r="CI313">
        <v>0.15</v>
      </c>
      <c r="CJ313">
        <v>28631</v>
      </c>
      <c r="CK313">
        <v>25368</v>
      </c>
      <c r="CL313" t="s">
        <v>2213</v>
      </c>
      <c r="CM313">
        <v>0.7</v>
      </c>
      <c r="CN313">
        <v>34.58</v>
      </c>
      <c r="CO313">
        <v>1.06</v>
      </c>
      <c r="CP313">
        <v>-5.48</v>
      </c>
      <c r="CQ313">
        <v>1.9</v>
      </c>
      <c r="CR313">
        <v>1.45</v>
      </c>
      <c r="CS313" t="s">
        <v>505</v>
      </c>
      <c r="CT313">
        <v>3.25</v>
      </c>
      <c r="CU313">
        <v>3.25</v>
      </c>
      <c r="CV313">
        <v>1.42</v>
      </c>
      <c r="CW313">
        <v>0.66</v>
      </c>
      <c r="CX313">
        <v>-0.63</v>
      </c>
      <c r="CY313">
        <v>31.75</v>
      </c>
      <c r="CZ313" t="s">
        <v>2214</v>
      </c>
      <c r="DA313">
        <v>17.07</v>
      </c>
      <c r="DB313">
        <v>9.11</v>
      </c>
      <c r="DC313">
        <v>6.32</v>
      </c>
      <c r="DD313">
        <v>0</v>
      </c>
      <c r="DE313">
        <v>3819</v>
      </c>
      <c r="DF313">
        <v>797</v>
      </c>
      <c r="DG313" t="s">
        <v>116</v>
      </c>
      <c r="DH313" t="s">
        <v>116</v>
      </c>
      <c r="DI313" t="s">
        <v>116</v>
      </c>
    </row>
    <row r="314" spans="1:113" x14ac:dyDescent="0.4">
      <c r="A314" t="str">
        <f>"000798"</f>
        <v>000798</v>
      </c>
      <c r="B314" t="s">
        <v>2215</v>
      </c>
      <c r="C314">
        <v>-1.3</v>
      </c>
      <c r="D314">
        <v>6.09</v>
      </c>
      <c r="E314">
        <v>-0.08</v>
      </c>
      <c r="F314">
        <v>6.09</v>
      </c>
      <c r="G314">
        <v>6.1</v>
      </c>
      <c r="H314">
        <v>12236</v>
      </c>
      <c r="I314">
        <v>109</v>
      </c>
      <c r="J314">
        <v>0</v>
      </c>
      <c r="K314">
        <v>0.38</v>
      </c>
      <c r="L314">
        <v>6.18</v>
      </c>
      <c r="M314">
        <v>6.18</v>
      </c>
      <c r="N314">
        <v>6.09</v>
      </c>
      <c r="O314">
        <v>6.17</v>
      </c>
      <c r="P314">
        <v>117.38</v>
      </c>
      <c r="Q314">
        <v>7489433</v>
      </c>
      <c r="R314">
        <v>0.85</v>
      </c>
      <c r="S314" t="s">
        <v>2216</v>
      </c>
      <c r="T314" t="s">
        <v>165</v>
      </c>
      <c r="U314">
        <v>1.46</v>
      </c>
      <c r="V314">
        <v>6.12</v>
      </c>
      <c r="W314">
        <v>8888</v>
      </c>
      <c r="X314">
        <v>3348</v>
      </c>
      <c r="Y314">
        <v>2.65</v>
      </c>
      <c r="Z314">
        <v>278</v>
      </c>
      <c r="AA314">
        <v>159</v>
      </c>
      <c r="AB314" t="s">
        <v>116</v>
      </c>
      <c r="AC314">
        <v>8000</v>
      </c>
      <c r="AD314">
        <v>0</v>
      </c>
      <c r="AE314" t="s">
        <v>116</v>
      </c>
      <c r="AF314" t="s">
        <v>116</v>
      </c>
      <c r="AG314">
        <v>3.19</v>
      </c>
      <c r="AH314" t="s">
        <v>2217</v>
      </c>
      <c r="AI314" t="s">
        <v>2217</v>
      </c>
      <c r="AJ314">
        <v>-0.62</v>
      </c>
      <c r="AK314">
        <v>669</v>
      </c>
      <c r="AL314">
        <v>18</v>
      </c>
      <c r="AM314">
        <v>5.9999999999999995E-4</v>
      </c>
      <c r="AN314">
        <v>-1</v>
      </c>
      <c r="AO314">
        <v>0.16</v>
      </c>
      <c r="AP314">
        <v>5</v>
      </c>
      <c r="AQ314">
        <v>5</v>
      </c>
      <c r="AR314">
        <v>17.12</v>
      </c>
      <c r="AS314">
        <v>0.94</v>
      </c>
      <c r="AT314" t="s">
        <v>2218</v>
      </c>
      <c r="AU314">
        <v>208.89</v>
      </c>
      <c r="AV314">
        <v>33.99</v>
      </c>
      <c r="AW314">
        <v>0.92</v>
      </c>
      <c r="BA314">
        <v>0.16</v>
      </c>
      <c r="BB314">
        <v>0.16</v>
      </c>
      <c r="BC314">
        <v>-1.3</v>
      </c>
      <c r="BD314">
        <v>-0.8</v>
      </c>
      <c r="BE314">
        <v>-1.46</v>
      </c>
      <c r="BF314">
        <v>-1.46</v>
      </c>
      <c r="BG314">
        <v>0</v>
      </c>
      <c r="BH314">
        <v>-0.5</v>
      </c>
      <c r="BI314">
        <v>20191203</v>
      </c>
      <c r="BJ314">
        <v>19980212</v>
      </c>
      <c r="BK314">
        <v>3.19</v>
      </c>
      <c r="BL314" t="s">
        <v>116</v>
      </c>
      <c r="BM314" t="s">
        <v>116</v>
      </c>
      <c r="BN314">
        <v>10.23</v>
      </c>
      <c r="BO314">
        <v>7.52</v>
      </c>
      <c r="BP314">
        <v>0.45</v>
      </c>
      <c r="BQ314">
        <v>22.03</v>
      </c>
      <c r="BR314">
        <v>4.22</v>
      </c>
      <c r="BS314">
        <v>3.05</v>
      </c>
      <c r="BT314">
        <v>0.15</v>
      </c>
      <c r="BU314">
        <v>1.77</v>
      </c>
      <c r="BV314">
        <v>1.65</v>
      </c>
      <c r="BW314">
        <v>0.24</v>
      </c>
      <c r="BX314">
        <v>4.38</v>
      </c>
      <c r="BY314">
        <v>4.46</v>
      </c>
      <c r="BZ314">
        <v>4.13</v>
      </c>
      <c r="CA314">
        <v>0.08</v>
      </c>
      <c r="CB314">
        <v>-0.24</v>
      </c>
      <c r="CC314">
        <v>0.09</v>
      </c>
      <c r="CD314">
        <v>0.09</v>
      </c>
      <c r="CE314">
        <v>0.12</v>
      </c>
      <c r="CF314">
        <v>7.0000000000000007E-2</v>
      </c>
      <c r="CG314">
        <v>-0.55000000000000004</v>
      </c>
      <c r="CH314">
        <v>0.44</v>
      </c>
      <c r="CI314">
        <v>0.06</v>
      </c>
      <c r="CJ314">
        <v>18163</v>
      </c>
      <c r="CK314">
        <v>7176</v>
      </c>
      <c r="CL314" t="s">
        <v>2219</v>
      </c>
      <c r="CM314">
        <v>-79.41</v>
      </c>
      <c r="CN314">
        <v>3.85</v>
      </c>
      <c r="CO314">
        <v>2.59</v>
      </c>
      <c r="CP314">
        <v>43.83</v>
      </c>
      <c r="CQ314">
        <v>4.3600000000000003</v>
      </c>
      <c r="CR314">
        <v>0</v>
      </c>
      <c r="CS314" t="s">
        <v>1887</v>
      </c>
      <c r="CT314">
        <v>2.35</v>
      </c>
      <c r="CU314">
        <v>0</v>
      </c>
      <c r="CV314">
        <v>1.37</v>
      </c>
      <c r="CW314">
        <v>-0.17</v>
      </c>
      <c r="CX314">
        <v>0.14000000000000001</v>
      </c>
      <c r="CY314">
        <v>73.55</v>
      </c>
      <c r="CZ314" t="s">
        <v>2220</v>
      </c>
      <c r="DA314">
        <v>7.47</v>
      </c>
      <c r="DB314">
        <v>1.9</v>
      </c>
      <c r="DC314">
        <v>2.79</v>
      </c>
      <c r="DD314">
        <v>0</v>
      </c>
      <c r="DE314">
        <v>1331</v>
      </c>
      <c r="DF314">
        <v>798</v>
      </c>
      <c r="DG314" t="s">
        <v>116</v>
      </c>
      <c r="DH314" t="s">
        <v>116</v>
      </c>
      <c r="DI314" t="s">
        <v>116</v>
      </c>
    </row>
    <row r="315" spans="1:113" x14ac:dyDescent="0.4">
      <c r="A315" t="str">
        <f>"000799"</f>
        <v>000799</v>
      </c>
      <c r="B315" t="s">
        <v>2221</v>
      </c>
      <c r="C315">
        <v>-0.65</v>
      </c>
      <c r="D315">
        <v>36.479999999999997</v>
      </c>
      <c r="E315">
        <v>-0.24</v>
      </c>
      <c r="F315">
        <v>36.479999999999997</v>
      </c>
      <c r="G315">
        <v>36.49</v>
      </c>
      <c r="H315">
        <v>212101</v>
      </c>
      <c r="I315">
        <v>1800</v>
      </c>
      <c r="J315">
        <v>0.41</v>
      </c>
      <c r="K315">
        <v>6.53</v>
      </c>
      <c r="L315">
        <v>36.799999999999997</v>
      </c>
      <c r="M315">
        <v>38.200000000000003</v>
      </c>
      <c r="N315">
        <v>36.22</v>
      </c>
      <c r="O315">
        <v>36.72</v>
      </c>
      <c r="P315">
        <v>48.31</v>
      </c>
      <c r="Q315">
        <v>787226880</v>
      </c>
      <c r="R315">
        <v>1.06</v>
      </c>
      <c r="S315" t="s">
        <v>1212</v>
      </c>
      <c r="T315" t="s">
        <v>599</v>
      </c>
      <c r="U315">
        <v>5.39</v>
      </c>
      <c r="V315">
        <v>37.119999999999997</v>
      </c>
      <c r="W315">
        <v>110275</v>
      </c>
      <c r="X315">
        <v>101826</v>
      </c>
      <c r="Y315">
        <v>1.08</v>
      </c>
      <c r="Z315">
        <v>314</v>
      </c>
      <c r="AA315">
        <v>99</v>
      </c>
      <c r="AB315" t="s">
        <v>116</v>
      </c>
      <c r="AC315">
        <v>10112600</v>
      </c>
      <c r="AD315">
        <v>0.12</v>
      </c>
      <c r="AE315" t="s">
        <v>116</v>
      </c>
      <c r="AF315" t="s">
        <v>116</v>
      </c>
      <c r="AG315">
        <v>3.25</v>
      </c>
      <c r="AH315" t="s">
        <v>2222</v>
      </c>
      <c r="AI315" t="s">
        <v>2222</v>
      </c>
      <c r="AJ315">
        <v>0.03</v>
      </c>
      <c r="AK315">
        <v>4333</v>
      </c>
      <c r="AL315">
        <v>49</v>
      </c>
      <c r="AM315">
        <v>1.5E-3</v>
      </c>
      <c r="AN315">
        <v>-1</v>
      </c>
      <c r="AO315">
        <v>2.44</v>
      </c>
      <c r="AP315">
        <v>-3.67</v>
      </c>
      <c r="AQ315">
        <v>-8.64</v>
      </c>
      <c r="AR315">
        <v>130.44999999999999</v>
      </c>
      <c r="AS315">
        <v>9.4600000000000009</v>
      </c>
      <c r="AT315" t="s">
        <v>2223</v>
      </c>
      <c r="AU315">
        <v>48.26</v>
      </c>
      <c r="AV315">
        <v>53.23</v>
      </c>
      <c r="AW315">
        <v>1.34</v>
      </c>
      <c r="BA315">
        <v>0.22</v>
      </c>
      <c r="BB315">
        <v>4.03</v>
      </c>
      <c r="BC315">
        <v>-1.36</v>
      </c>
      <c r="BD315">
        <v>1.08</v>
      </c>
      <c r="BE315">
        <v>-0.87</v>
      </c>
      <c r="BF315">
        <v>-4.5</v>
      </c>
      <c r="BG315">
        <v>0.72</v>
      </c>
      <c r="BH315">
        <v>-1.73</v>
      </c>
      <c r="BI315">
        <v>20191018</v>
      </c>
      <c r="BJ315">
        <v>19970718</v>
      </c>
      <c r="BK315">
        <v>3.25</v>
      </c>
      <c r="BL315" t="s">
        <v>116</v>
      </c>
      <c r="BM315" t="s">
        <v>116</v>
      </c>
      <c r="BN315">
        <v>29.5</v>
      </c>
      <c r="BO315">
        <v>23.15</v>
      </c>
      <c r="BP315">
        <v>0</v>
      </c>
      <c r="BQ315">
        <v>21.52</v>
      </c>
      <c r="BR315">
        <v>21.85</v>
      </c>
      <c r="BS315">
        <v>4.6399999999999997</v>
      </c>
      <c r="BT315">
        <v>2</v>
      </c>
      <c r="BU315">
        <v>6.23</v>
      </c>
      <c r="BV315">
        <v>9.0500000000000007</v>
      </c>
      <c r="BW315">
        <v>7.0000000000000007E-2</v>
      </c>
      <c r="BX315">
        <v>11.61</v>
      </c>
      <c r="BY315">
        <v>9.68</v>
      </c>
      <c r="BZ315">
        <v>2.17</v>
      </c>
      <c r="CA315">
        <v>2.4500000000000002</v>
      </c>
      <c r="CB315">
        <v>0</v>
      </c>
      <c r="CC315">
        <v>2.46</v>
      </c>
      <c r="CD315">
        <v>1.84</v>
      </c>
      <c r="CE315">
        <v>1.84</v>
      </c>
      <c r="CF315">
        <v>1.83</v>
      </c>
      <c r="CG315">
        <v>6.02</v>
      </c>
      <c r="CH315">
        <v>1.79</v>
      </c>
      <c r="CI315">
        <v>3.04</v>
      </c>
      <c r="CJ315">
        <v>67510</v>
      </c>
      <c r="CK315">
        <v>3321</v>
      </c>
      <c r="CL315" t="s">
        <v>2224</v>
      </c>
      <c r="CM315">
        <v>14.26</v>
      </c>
      <c r="CN315">
        <v>27.34</v>
      </c>
      <c r="CO315">
        <v>5.12</v>
      </c>
      <c r="CP315">
        <v>66.400000000000006</v>
      </c>
      <c r="CQ315">
        <v>12.25</v>
      </c>
      <c r="CR315">
        <v>0.41</v>
      </c>
      <c r="CS315" t="s">
        <v>2225</v>
      </c>
      <c r="CT315">
        <v>7.12</v>
      </c>
      <c r="CU315">
        <v>0</v>
      </c>
      <c r="CV315">
        <v>3.57</v>
      </c>
      <c r="CW315">
        <v>1.85</v>
      </c>
      <c r="CX315">
        <v>0.55000000000000004</v>
      </c>
      <c r="CY315">
        <v>78.48</v>
      </c>
      <c r="CZ315" t="s">
        <v>2226</v>
      </c>
      <c r="DA315">
        <v>77.58</v>
      </c>
      <c r="DB315">
        <v>25.31</v>
      </c>
      <c r="DC315">
        <v>19.010000000000002</v>
      </c>
      <c r="DD315">
        <v>0</v>
      </c>
      <c r="DE315">
        <v>1409</v>
      </c>
      <c r="DF315">
        <v>799</v>
      </c>
      <c r="DG315" t="s">
        <v>116</v>
      </c>
      <c r="DH315" t="s">
        <v>116</v>
      </c>
      <c r="DI315" t="s">
        <v>116</v>
      </c>
    </row>
    <row r="316" spans="1:113" x14ac:dyDescent="0.4">
      <c r="A316" t="str">
        <f>"000800"</f>
        <v>000800</v>
      </c>
      <c r="B316" t="s">
        <v>2227</v>
      </c>
      <c r="C316">
        <v>-0.78</v>
      </c>
      <c r="D316">
        <v>10.16</v>
      </c>
      <c r="E316">
        <v>-0.08</v>
      </c>
      <c r="F316">
        <v>10.16</v>
      </c>
      <c r="G316">
        <v>10.17</v>
      </c>
      <c r="H316">
        <v>135879</v>
      </c>
      <c r="I316">
        <v>1822</v>
      </c>
      <c r="J316">
        <v>-0.09</v>
      </c>
      <c r="K316">
        <v>0.96</v>
      </c>
      <c r="L316">
        <v>10.34</v>
      </c>
      <c r="M316">
        <v>10.5</v>
      </c>
      <c r="N316">
        <v>10.15</v>
      </c>
      <c r="O316">
        <v>10.24</v>
      </c>
      <c r="P316" t="s">
        <v>116</v>
      </c>
      <c r="Q316">
        <v>140176176</v>
      </c>
      <c r="R316">
        <v>0.65</v>
      </c>
      <c r="S316" t="s">
        <v>1108</v>
      </c>
      <c r="T316" t="s">
        <v>294</v>
      </c>
      <c r="U316">
        <v>3.42</v>
      </c>
      <c r="V316">
        <v>10.32</v>
      </c>
      <c r="W316">
        <v>68528</v>
      </c>
      <c r="X316">
        <v>67351</v>
      </c>
      <c r="Y316">
        <v>1.02</v>
      </c>
      <c r="Z316">
        <v>878</v>
      </c>
      <c r="AA316">
        <v>1463</v>
      </c>
      <c r="AB316" t="s">
        <v>116</v>
      </c>
      <c r="AC316">
        <v>1319400</v>
      </c>
      <c r="AD316">
        <v>0.02</v>
      </c>
      <c r="AE316" t="s">
        <v>116</v>
      </c>
      <c r="AF316" t="s">
        <v>116</v>
      </c>
      <c r="AG316">
        <v>14.12</v>
      </c>
      <c r="AH316" t="s">
        <v>2228</v>
      </c>
      <c r="AI316" t="s">
        <v>2229</v>
      </c>
      <c r="AJ316">
        <v>-0.1</v>
      </c>
      <c r="AK316">
        <v>2320</v>
      </c>
      <c r="AL316">
        <v>59</v>
      </c>
      <c r="AM316">
        <v>4.0000000000000002E-4</v>
      </c>
      <c r="AN316">
        <v>-1</v>
      </c>
      <c r="AO316">
        <v>-1.56</v>
      </c>
      <c r="AP316">
        <v>-3.33</v>
      </c>
      <c r="AQ316">
        <v>24.66</v>
      </c>
      <c r="AR316">
        <v>54.17</v>
      </c>
      <c r="AS316">
        <v>1.78</v>
      </c>
      <c r="AT316" t="s">
        <v>2230</v>
      </c>
      <c r="AU316" t="s">
        <v>116</v>
      </c>
      <c r="AV316">
        <v>106.66</v>
      </c>
      <c r="AW316">
        <v>0</v>
      </c>
      <c r="BA316">
        <v>0.98</v>
      </c>
      <c r="BB316">
        <v>2.54</v>
      </c>
      <c r="BC316">
        <v>-0.88</v>
      </c>
      <c r="BD316">
        <v>0.74</v>
      </c>
      <c r="BE316">
        <v>-1.74</v>
      </c>
      <c r="BF316">
        <v>-3.24</v>
      </c>
      <c r="BG316">
        <v>0.1</v>
      </c>
      <c r="BH316">
        <v>-1.53</v>
      </c>
      <c r="BI316">
        <v>20191224</v>
      </c>
      <c r="BJ316">
        <v>19970618</v>
      </c>
      <c r="BK316">
        <v>16.28</v>
      </c>
      <c r="BL316" t="s">
        <v>116</v>
      </c>
      <c r="BM316" t="s">
        <v>116</v>
      </c>
      <c r="BN316">
        <v>206.28</v>
      </c>
      <c r="BO316">
        <v>77.349999999999994</v>
      </c>
      <c r="BP316">
        <v>0.75</v>
      </c>
      <c r="BQ316">
        <v>62.14</v>
      </c>
      <c r="BR316">
        <v>113.6</v>
      </c>
      <c r="BS316">
        <v>41.66</v>
      </c>
      <c r="BT316">
        <v>5.86</v>
      </c>
      <c r="BU316">
        <v>120.39</v>
      </c>
      <c r="BV316">
        <v>26.56</v>
      </c>
      <c r="BW316">
        <v>9.94</v>
      </c>
      <c r="BX316">
        <v>24.89</v>
      </c>
      <c r="BY316">
        <v>172.92</v>
      </c>
      <c r="BZ316">
        <v>144.24</v>
      </c>
      <c r="CA316">
        <v>-3.81</v>
      </c>
      <c r="CB316">
        <v>3.99</v>
      </c>
      <c r="CC316">
        <v>-2.92</v>
      </c>
      <c r="CD316">
        <v>-2.75</v>
      </c>
      <c r="CE316">
        <v>-2.67</v>
      </c>
      <c r="CF316">
        <v>-3.7</v>
      </c>
      <c r="CG316">
        <v>26.15</v>
      </c>
      <c r="CH316">
        <v>10.49</v>
      </c>
      <c r="CI316">
        <v>0.76</v>
      </c>
      <c r="CJ316">
        <v>76742</v>
      </c>
      <c r="CK316">
        <v>9962</v>
      </c>
      <c r="CL316" t="s">
        <v>2231</v>
      </c>
      <c r="CM316">
        <v>-297.33</v>
      </c>
      <c r="CN316">
        <v>-9.15</v>
      </c>
      <c r="CO316">
        <v>2.14</v>
      </c>
      <c r="CP316">
        <v>15.76</v>
      </c>
      <c r="CQ316">
        <v>0.96</v>
      </c>
      <c r="CR316">
        <v>0.3</v>
      </c>
      <c r="CS316" t="s">
        <v>2232</v>
      </c>
      <c r="CT316">
        <v>4.75</v>
      </c>
      <c r="CU316">
        <v>0</v>
      </c>
      <c r="CV316">
        <v>1.53</v>
      </c>
      <c r="CW316">
        <v>1.61</v>
      </c>
      <c r="CX316">
        <v>0.64</v>
      </c>
      <c r="CY316">
        <v>37.5</v>
      </c>
      <c r="CZ316" t="s">
        <v>2233</v>
      </c>
      <c r="DA316">
        <v>16.579999999999998</v>
      </c>
      <c r="DB316">
        <v>-2.2000000000000002</v>
      </c>
      <c r="DC316">
        <v>-1.54</v>
      </c>
      <c r="DD316">
        <v>4.0599999999999996</v>
      </c>
      <c r="DE316">
        <v>6871</v>
      </c>
      <c r="DF316">
        <v>800</v>
      </c>
      <c r="DG316" t="s">
        <v>116</v>
      </c>
      <c r="DH316" t="s">
        <v>116</v>
      </c>
      <c r="DI316" t="s">
        <v>116</v>
      </c>
    </row>
    <row r="317" spans="1:113" x14ac:dyDescent="0.4">
      <c r="A317" t="str">
        <f>"000801"</f>
        <v>000801</v>
      </c>
      <c r="B317" t="s">
        <v>2234</v>
      </c>
      <c r="C317">
        <v>-0.74</v>
      </c>
      <c r="D317">
        <v>5.38</v>
      </c>
      <c r="E317">
        <v>-0.04</v>
      </c>
      <c r="F317">
        <v>5.37</v>
      </c>
      <c r="G317">
        <v>5.38</v>
      </c>
      <c r="H317">
        <v>38397</v>
      </c>
      <c r="I317">
        <v>1016</v>
      </c>
      <c r="J317">
        <v>-0.18</v>
      </c>
      <c r="K317">
        <v>0.38</v>
      </c>
      <c r="L317">
        <v>5.41</v>
      </c>
      <c r="M317">
        <v>5.47</v>
      </c>
      <c r="N317">
        <v>5.38</v>
      </c>
      <c r="O317">
        <v>5.42</v>
      </c>
      <c r="P317" t="s">
        <v>116</v>
      </c>
      <c r="Q317">
        <v>20802620</v>
      </c>
      <c r="R317">
        <v>1.1399999999999999</v>
      </c>
      <c r="S317" t="s">
        <v>465</v>
      </c>
      <c r="T317" t="s">
        <v>582</v>
      </c>
      <c r="U317">
        <v>1.66</v>
      </c>
      <c r="V317">
        <v>5.42</v>
      </c>
      <c r="W317">
        <v>21203</v>
      </c>
      <c r="X317">
        <v>17194</v>
      </c>
      <c r="Y317">
        <v>1.23</v>
      </c>
      <c r="Z317">
        <v>304</v>
      </c>
      <c r="AA317">
        <v>122</v>
      </c>
      <c r="AB317" t="s">
        <v>116</v>
      </c>
      <c r="AC317">
        <v>30300</v>
      </c>
      <c r="AD317">
        <v>0</v>
      </c>
      <c r="AE317" t="s">
        <v>116</v>
      </c>
      <c r="AF317" t="s">
        <v>116</v>
      </c>
      <c r="AG317">
        <v>10.23</v>
      </c>
      <c r="AH317" t="s">
        <v>2235</v>
      </c>
      <c r="AI317" t="s">
        <v>2235</v>
      </c>
      <c r="AJ317">
        <v>-0.06</v>
      </c>
      <c r="AK317">
        <v>841</v>
      </c>
      <c r="AL317">
        <v>46</v>
      </c>
      <c r="AM317">
        <v>4.0000000000000002E-4</v>
      </c>
      <c r="AN317">
        <v>-3</v>
      </c>
      <c r="AO317">
        <v>-1.1000000000000001</v>
      </c>
      <c r="AP317">
        <v>0</v>
      </c>
      <c r="AQ317">
        <v>-9.1199999999999992</v>
      </c>
      <c r="AR317">
        <v>24.83</v>
      </c>
      <c r="AS317">
        <v>0.73</v>
      </c>
      <c r="AT317" t="s">
        <v>2236</v>
      </c>
      <c r="AU317">
        <v>92.02</v>
      </c>
      <c r="AV317">
        <v>61.98</v>
      </c>
      <c r="AW317">
        <v>0.96</v>
      </c>
      <c r="BA317">
        <v>-0.18</v>
      </c>
      <c r="BB317">
        <v>0.92</v>
      </c>
      <c r="BC317">
        <v>-0.74</v>
      </c>
      <c r="BD317">
        <v>-0.04</v>
      </c>
      <c r="BE317">
        <v>-0.55000000000000004</v>
      </c>
      <c r="BF317">
        <v>-1.65</v>
      </c>
      <c r="BG317">
        <v>0</v>
      </c>
      <c r="BH317">
        <v>-0.7</v>
      </c>
      <c r="BI317">
        <v>20191031</v>
      </c>
      <c r="BJ317">
        <v>19980506</v>
      </c>
      <c r="BK317">
        <v>10.23</v>
      </c>
      <c r="BL317" t="s">
        <v>116</v>
      </c>
      <c r="BM317" t="s">
        <v>116</v>
      </c>
      <c r="BN317">
        <v>52.85</v>
      </c>
      <c r="BO317">
        <v>23.79</v>
      </c>
      <c r="BP317">
        <v>0.23</v>
      </c>
      <c r="BQ317">
        <v>54.55</v>
      </c>
      <c r="BR317">
        <v>46.97</v>
      </c>
      <c r="BS317">
        <v>3.22</v>
      </c>
      <c r="BT317">
        <v>0.28999999999999998</v>
      </c>
      <c r="BU317">
        <v>26.91</v>
      </c>
      <c r="BV317">
        <v>7.69</v>
      </c>
      <c r="BW317">
        <v>25.95</v>
      </c>
      <c r="BX317">
        <v>2.77</v>
      </c>
      <c r="BY317">
        <v>19.440000000000001</v>
      </c>
      <c r="BZ317">
        <v>15.55</v>
      </c>
      <c r="CA317">
        <v>0.05</v>
      </c>
      <c r="CB317">
        <v>-0.02</v>
      </c>
      <c r="CC317">
        <v>0.04</v>
      </c>
      <c r="CD317">
        <v>-0.08</v>
      </c>
      <c r="CE317">
        <v>-0.06</v>
      </c>
      <c r="CF317">
        <v>-0.41</v>
      </c>
      <c r="CG317">
        <v>10.14</v>
      </c>
      <c r="CH317">
        <v>-2.0699999999999998</v>
      </c>
      <c r="CI317">
        <v>-1.76</v>
      </c>
      <c r="CJ317">
        <v>48082</v>
      </c>
      <c r="CK317">
        <v>11004</v>
      </c>
      <c r="CL317" t="s">
        <v>2237</v>
      </c>
      <c r="CM317">
        <v>-125.98</v>
      </c>
      <c r="CN317">
        <v>-22.19</v>
      </c>
      <c r="CO317">
        <v>2.31</v>
      </c>
      <c r="CP317">
        <v>-26.62</v>
      </c>
      <c r="CQ317">
        <v>2.83</v>
      </c>
      <c r="CR317">
        <v>0.37</v>
      </c>
      <c r="CS317" t="s">
        <v>1278</v>
      </c>
      <c r="CT317">
        <v>2.33</v>
      </c>
      <c r="CU317">
        <v>0</v>
      </c>
      <c r="CV317">
        <v>0.27</v>
      </c>
      <c r="CW317">
        <v>0.99</v>
      </c>
      <c r="CX317">
        <v>-0.2</v>
      </c>
      <c r="CY317">
        <v>45.02</v>
      </c>
      <c r="CZ317" t="s">
        <v>2238</v>
      </c>
      <c r="DA317">
        <v>20</v>
      </c>
      <c r="DB317">
        <v>0.23</v>
      </c>
      <c r="DC317">
        <v>-0.31</v>
      </c>
      <c r="DD317">
        <v>1.73</v>
      </c>
      <c r="DE317">
        <v>4574</v>
      </c>
      <c r="DF317">
        <v>801</v>
      </c>
      <c r="DG317" t="s">
        <v>116</v>
      </c>
      <c r="DH317" t="s">
        <v>116</v>
      </c>
      <c r="DI317" t="s">
        <v>116</v>
      </c>
    </row>
    <row r="318" spans="1:113" x14ac:dyDescent="0.4">
      <c r="A318" t="str">
        <f>"000802"</f>
        <v>000802</v>
      </c>
      <c r="B318" t="s">
        <v>2239</v>
      </c>
      <c r="C318">
        <v>-1.41</v>
      </c>
      <c r="D318">
        <v>9.76</v>
      </c>
      <c r="E318">
        <v>-0.14000000000000001</v>
      </c>
      <c r="F318">
        <v>9.75</v>
      </c>
      <c r="G318">
        <v>9.76</v>
      </c>
      <c r="H318">
        <v>153597</v>
      </c>
      <c r="I318">
        <v>1924</v>
      </c>
      <c r="J318">
        <v>-0.4</v>
      </c>
      <c r="K318">
        <v>2.16</v>
      </c>
      <c r="L318">
        <v>9.85</v>
      </c>
      <c r="M318">
        <v>9.9700000000000006</v>
      </c>
      <c r="N318">
        <v>9.76</v>
      </c>
      <c r="O318">
        <v>9.9</v>
      </c>
      <c r="P318">
        <v>44.82</v>
      </c>
      <c r="Q318">
        <v>151237104</v>
      </c>
      <c r="R318">
        <v>0.65</v>
      </c>
      <c r="S318" t="s">
        <v>589</v>
      </c>
      <c r="T318" t="s">
        <v>165</v>
      </c>
      <c r="U318">
        <v>2.12</v>
      </c>
      <c r="V318">
        <v>9.85</v>
      </c>
      <c r="W318">
        <v>78502</v>
      </c>
      <c r="X318">
        <v>75095</v>
      </c>
      <c r="Y318">
        <v>1.05</v>
      </c>
      <c r="Z318">
        <v>756</v>
      </c>
      <c r="AA318">
        <v>152</v>
      </c>
      <c r="AB318" t="s">
        <v>116</v>
      </c>
      <c r="AC318">
        <v>200900</v>
      </c>
      <c r="AD318">
        <v>0.01</v>
      </c>
      <c r="AE318" t="s">
        <v>116</v>
      </c>
      <c r="AF318" t="s">
        <v>116</v>
      </c>
      <c r="AG318">
        <v>7.11</v>
      </c>
      <c r="AH318" t="s">
        <v>2240</v>
      </c>
      <c r="AI318" t="s">
        <v>2241</v>
      </c>
      <c r="AJ318">
        <v>-0.74</v>
      </c>
      <c r="AK318">
        <v>2883</v>
      </c>
      <c r="AL318">
        <v>53</v>
      </c>
      <c r="AM318">
        <v>6.9999999999999999E-4</v>
      </c>
      <c r="AN318">
        <v>-2</v>
      </c>
      <c r="AO318">
        <v>-0.72</v>
      </c>
      <c r="AP318">
        <v>20.2</v>
      </c>
      <c r="AQ318">
        <v>-4.3099999999999996</v>
      </c>
      <c r="AR318">
        <v>-11.35</v>
      </c>
      <c r="AS318">
        <v>4.3</v>
      </c>
      <c r="AT318" t="s">
        <v>2242</v>
      </c>
      <c r="AU318">
        <v>17.62</v>
      </c>
      <c r="AV318">
        <v>21.45</v>
      </c>
      <c r="AW318">
        <v>1.1399999999999999</v>
      </c>
      <c r="BA318">
        <v>-0.51</v>
      </c>
      <c r="BB318">
        <v>0.71</v>
      </c>
      <c r="BC318">
        <v>-1.41</v>
      </c>
      <c r="BD318">
        <v>-0.54</v>
      </c>
      <c r="BE318">
        <v>-0.91</v>
      </c>
      <c r="BF318">
        <v>-2.11</v>
      </c>
      <c r="BG318">
        <v>0</v>
      </c>
      <c r="BH318">
        <v>-0.87</v>
      </c>
      <c r="BI318">
        <v>20191220</v>
      </c>
      <c r="BJ318">
        <v>19980108</v>
      </c>
      <c r="BK318">
        <v>7.16</v>
      </c>
      <c r="BL318" t="s">
        <v>116</v>
      </c>
      <c r="BM318" t="s">
        <v>116</v>
      </c>
      <c r="BN318">
        <v>71.650000000000006</v>
      </c>
      <c r="BO318">
        <v>51.63</v>
      </c>
      <c r="BP318">
        <v>0.04</v>
      </c>
      <c r="BQ318">
        <v>27.89</v>
      </c>
      <c r="BR318">
        <v>46.43</v>
      </c>
      <c r="BS318">
        <v>0.03</v>
      </c>
      <c r="BT318">
        <v>0.41</v>
      </c>
      <c r="BU318">
        <v>19.14</v>
      </c>
      <c r="BV318">
        <v>10.01</v>
      </c>
      <c r="BW318">
        <v>10.49</v>
      </c>
      <c r="BX318">
        <v>31.76</v>
      </c>
      <c r="BY318">
        <v>7.05</v>
      </c>
      <c r="BZ318">
        <v>4.1900000000000004</v>
      </c>
      <c r="CA318">
        <v>1.17</v>
      </c>
      <c r="CB318">
        <v>0</v>
      </c>
      <c r="CC318">
        <v>1.1499999999999999</v>
      </c>
      <c r="CD318">
        <v>1.1299999999999999</v>
      </c>
      <c r="CE318">
        <v>1.17</v>
      </c>
      <c r="CF318">
        <v>1.19</v>
      </c>
      <c r="CG318">
        <v>11.87</v>
      </c>
      <c r="CH318">
        <v>-5.61</v>
      </c>
      <c r="CI318">
        <v>-5.54</v>
      </c>
      <c r="CJ318">
        <v>62716</v>
      </c>
      <c r="CK318">
        <v>5691</v>
      </c>
      <c r="CL318" t="s">
        <v>937</v>
      </c>
      <c r="CM318">
        <v>152.76</v>
      </c>
      <c r="CN318">
        <v>99.55</v>
      </c>
      <c r="CO318">
        <v>1.35</v>
      </c>
      <c r="CP318">
        <v>-12.45</v>
      </c>
      <c r="CQ318">
        <v>9.92</v>
      </c>
      <c r="CR318">
        <v>0.61</v>
      </c>
      <c r="CS318" t="s">
        <v>2243</v>
      </c>
      <c r="CT318">
        <v>7.21</v>
      </c>
      <c r="CU318">
        <v>0</v>
      </c>
      <c r="CV318">
        <v>4.4400000000000004</v>
      </c>
      <c r="CW318">
        <v>1.66</v>
      </c>
      <c r="CX318">
        <v>-0.78</v>
      </c>
      <c r="CY318">
        <v>72.05</v>
      </c>
      <c r="CZ318" t="s">
        <v>2244</v>
      </c>
      <c r="DA318">
        <v>40.520000000000003</v>
      </c>
      <c r="DB318">
        <v>16.57</v>
      </c>
      <c r="DC318">
        <v>16.59</v>
      </c>
      <c r="DD318">
        <v>0</v>
      </c>
      <c r="DE318">
        <v>671</v>
      </c>
      <c r="DF318">
        <v>802</v>
      </c>
      <c r="DG318" t="s">
        <v>116</v>
      </c>
      <c r="DH318" t="s">
        <v>116</v>
      </c>
      <c r="DI318" t="s">
        <v>116</v>
      </c>
    </row>
    <row r="319" spans="1:113" x14ac:dyDescent="0.4">
      <c r="A319" t="str">
        <f>"000803"</f>
        <v>000803</v>
      </c>
      <c r="B319" t="s">
        <v>2245</v>
      </c>
      <c r="C319">
        <v>-4.12</v>
      </c>
      <c r="D319">
        <v>14.21</v>
      </c>
      <c r="E319">
        <v>-0.61</v>
      </c>
      <c r="F319">
        <v>14.21</v>
      </c>
      <c r="G319">
        <v>14.22</v>
      </c>
      <c r="H319">
        <v>16423</v>
      </c>
      <c r="I319">
        <v>774</v>
      </c>
      <c r="J319">
        <v>-0.69</v>
      </c>
      <c r="K319">
        <v>1.29</v>
      </c>
      <c r="L319">
        <v>14.8</v>
      </c>
      <c r="M319">
        <v>14.93</v>
      </c>
      <c r="N319">
        <v>14.17</v>
      </c>
      <c r="O319">
        <v>14.82</v>
      </c>
      <c r="P319" t="s">
        <v>116</v>
      </c>
      <c r="Q319">
        <v>23846234</v>
      </c>
      <c r="R319">
        <v>0.76</v>
      </c>
      <c r="S319" t="s">
        <v>397</v>
      </c>
      <c r="T319" t="s">
        <v>582</v>
      </c>
      <c r="U319">
        <v>5.13</v>
      </c>
      <c r="V319">
        <v>14.52</v>
      </c>
      <c r="W319">
        <v>10856</v>
      </c>
      <c r="X319">
        <v>5567</v>
      </c>
      <c r="Y319">
        <v>1.95</v>
      </c>
      <c r="Z319">
        <v>59</v>
      </c>
      <c r="AA319">
        <v>13</v>
      </c>
      <c r="AB319" t="s">
        <v>116</v>
      </c>
      <c r="AC319">
        <v>118400</v>
      </c>
      <c r="AD319">
        <v>0.02</v>
      </c>
      <c r="AE319" t="s">
        <v>116</v>
      </c>
      <c r="AF319" t="s">
        <v>116</v>
      </c>
      <c r="AG319">
        <v>1.28</v>
      </c>
      <c r="AH319" t="s">
        <v>2246</v>
      </c>
      <c r="AI319" t="s">
        <v>2246</v>
      </c>
      <c r="AJ319">
        <v>-3.44</v>
      </c>
      <c r="AK319">
        <v>1040</v>
      </c>
      <c r="AL319">
        <v>16</v>
      </c>
      <c r="AM319">
        <v>1.1999999999999999E-3</v>
      </c>
      <c r="AN319">
        <v>-5</v>
      </c>
      <c r="AO319">
        <v>-6.03</v>
      </c>
      <c r="AP319">
        <v>6.04</v>
      </c>
      <c r="AQ319">
        <v>-4.3099999999999996</v>
      </c>
      <c r="AR319">
        <v>16.38</v>
      </c>
      <c r="AS319">
        <v>3.85</v>
      </c>
      <c r="AT319" t="s">
        <v>2247</v>
      </c>
      <c r="AU319" t="s">
        <v>116</v>
      </c>
      <c r="AV319">
        <v>222.99</v>
      </c>
      <c r="AW319">
        <v>1.04</v>
      </c>
      <c r="BA319">
        <v>-0.13</v>
      </c>
      <c r="BB319">
        <v>0.74</v>
      </c>
      <c r="BC319">
        <v>-4.3899999999999997</v>
      </c>
      <c r="BD319">
        <v>-2.0299999999999998</v>
      </c>
      <c r="BE319">
        <v>-3.99</v>
      </c>
      <c r="BF319">
        <v>-4.82</v>
      </c>
      <c r="BG319">
        <v>0.28000000000000003</v>
      </c>
      <c r="BH319">
        <v>-2.09</v>
      </c>
      <c r="BI319">
        <v>20191031</v>
      </c>
      <c r="BJ319">
        <v>19980303</v>
      </c>
      <c r="BK319">
        <v>1.28</v>
      </c>
      <c r="BL319" t="s">
        <v>116</v>
      </c>
      <c r="BM319" t="s">
        <v>116</v>
      </c>
      <c r="BN319">
        <v>10.26</v>
      </c>
      <c r="BO319">
        <v>0.23</v>
      </c>
      <c r="BP319">
        <v>0.61</v>
      </c>
      <c r="BQ319">
        <v>91.78</v>
      </c>
      <c r="BR319">
        <v>4.97</v>
      </c>
      <c r="BS319">
        <v>0.61</v>
      </c>
      <c r="BT319">
        <v>0.53</v>
      </c>
      <c r="BU319">
        <v>8.49</v>
      </c>
      <c r="BV319">
        <v>1.1599999999999999</v>
      </c>
      <c r="BW319">
        <v>2.08</v>
      </c>
      <c r="BX319">
        <v>0.2</v>
      </c>
      <c r="BY319">
        <v>0.17</v>
      </c>
      <c r="BZ319">
        <v>0.11</v>
      </c>
      <c r="CA319">
        <v>-0.68</v>
      </c>
      <c r="CB319">
        <v>-0.01</v>
      </c>
      <c r="CC319">
        <v>-0.86</v>
      </c>
      <c r="CD319">
        <v>-0.78</v>
      </c>
      <c r="CE319">
        <v>-0.63</v>
      </c>
      <c r="CF319">
        <v>-0.43</v>
      </c>
      <c r="CG319">
        <v>-1.54</v>
      </c>
      <c r="CH319">
        <v>0.55000000000000004</v>
      </c>
      <c r="CI319">
        <v>-1</v>
      </c>
      <c r="CJ319">
        <v>4949</v>
      </c>
      <c r="CK319">
        <v>8630</v>
      </c>
      <c r="CL319" t="s">
        <v>2248</v>
      </c>
      <c r="CM319">
        <v>-642.27</v>
      </c>
      <c r="CN319">
        <v>-91.41</v>
      </c>
      <c r="CO319">
        <v>78.27</v>
      </c>
      <c r="CP319">
        <v>33.1</v>
      </c>
      <c r="CQ319">
        <v>104.77</v>
      </c>
      <c r="CR319">
        <v>0</v>
      </c>
      <c r="CS319" t="s">
        <v>2249</v>
      </c>
      <c r="CT319">
        <v>0.18</v>
      </c>
      <c r="CU319">
        <v>0</v>
      </c>
      <c r="CV319">
        <v>0.16</v>
      </c>
      <c r="CW319">
        <v>-1.21</v>
      </c>
      <c r="CX319">
        <v>0.43</v>
      </c>
      <c r="CY319">
        <v>2.2599999999999998</v>
      </c>
      <c r="CZ319" t="s">
        <v>2250</v>
      </c>
      <c r="DA319">
        <v>34.090000000000003</v>
      </c>
      <c r="DB319">
        <v>-390.76</v>
      </c>
      <c r="DC319">
        <v>-362.82</v>
      </c>
      <c r="DD319">
        <v>0.01</v>
      </c>
      <c r="DE319">
        <v>251</v>
      </c>
      <c r="DF319">
        <v>803</v>
      </c>
      <c r="DG319" t="s">
        <v>116</v>
      </c>
      <c r="DH319" t="s">
        <v>116</v>
      </c>
      <c r="DI319" t="s">
        <v>116</v>
      </c>
    </row>
    <row r="320" spans="1:113" x14ac:dyDescent="0.4">
      <c r="A320" t="str">
        <f>"000806"</f>
        <v>000806</v>
      </c>
      <c r="B320" t="s">
        <v>2251</v>
      </c>
      <c r="C320">
        <v>-1.71</v>
      </c>
      <c r="D320">
        <v>2.2999999999999998</v>
      </c>
      <c r="E320">
        <v>-0.04</v>
      </c>
      <c r="F320">
        <v>2.29</v>
      </c>
      <c r="G320">
        <v>2.2999999999999998</v>
      </c>
      <c r="H320">
        <v>100070</v>
      </c>
      <c r="I320">
        <v>931</v>
      </c>
      <c r="J320">
        <v>0</v>
      </c>
      <c r="K320">
        <v>1.43</v>
      </c>
      <c r="L320">
        <v>2.3199999999999998</v>
      </c>
      <c r="M320">
        <v>2.4</v>
      </c>
      <c r="N320">
        <v>2.29</v>
      </c>
      <c r="O320">
        <v>2.34</v>
      </c>
      <c r="P320" t="s">
        <v>116</v>
      </c>
      <c r="Q320">
        <v>23364240</v>
      </c>
      <c r="R320">
        <v>0.56999999999999995</v>
      </c>
      <c r="S320" t="s">
        <v>132</v>
      </c>
      <c r="T320" t="s">
        <v>982</v>
      </c>
      <c r="U320">
        <v>4.7</v>
      </c>
      <c r="V320">
        <v>2.33</v>
      </c>
      <c r="W320">
        <v>63593</v>
      </c>
      <c r="X320">
        <v>36477</v>
      </c>
      <c r="Y320">
        <v>1.74</v>
      </c>
      <c r="Z320">
        <v>1380</v>
      </c>
      <c r="AA320">
        <v>542</v>
      </c>
      <c r="AB320" t="s">
        <v>116</v>
      </c>
      <c r="AC320">
        <v>328000</v>
      </c>
      <c r="AD320">
        <v>0.02</v>
      </c>
      <c r="AE320" t="s">
        <v>116</v>
      </c>
      <c r="AF320" t="s">
        <v>116</v>
      </c>
      <c r="AG320">
        <v>6.98</v>
      </c>
      <c r="AH320" t="s">
        <v>1627</v>
      </c>
      <c r="AI320" t="s">
        <v>414</v>
      </c>
      <c r="AJ320">
        <v>-1.03</v>
      </c>
      <c r="AK320">
        <v>929</v>
      </c>
      <c r="AL320">
        <v>108</v>
      </c>
      <c r="AM320">
        <v>1.5E-3</v>
      </c>
      <c r="AN320">
        <v>-1</v>
      </c>
      <c r="AO320">
        <v>-3.77</v>
      </c>
      <c r="AP320">
        <v>9</v>
      </c>
      <c r="AQ320">
        <v>-2.13</v>
      </c>
      <c r="AR320">
        <v>-40.72</v>
      </c>
      <c r="AS320">
        <v>1.72</v>
      </c>
      <c r="AT320" t="s">
        <v>2252</v>
      </c>
      <c r="AU320" t="s">
        <v>116</v>
      </c>
      <c r="AV320" t="s">
        <v>116</v>
      </c>
      <c r="AW320">
        <v>0.79</v>
      </c>
      <c r="BA320">
        <v>-0.85</v>
      </c>
      <c r="BB320">
        <v>2.56</v>
      </c>
      <c r="BC320">
        <v>-2.14</v>
      </c>
      <c r="BD320">
        <v>-0.22</v>
      </c>
      <c r="BE320">
        <v>-0.86</v>
      </c>
      <c r="BF320">
        <v>-4.17</v>
      </c>
      <c r="BG320">
        <v>0.44</v>
      </c>
      <c r="BH320">
        <v>-1.49</v>
      </c>
      <c r="BI320">
        <v>20191031</v>
      </c>
      <c r="BJ320">
        <v>19980416</v>
      </c>
      <c r="BK320">
        <v>11</v>
      </c>
      <c r="BL320" t="s">
        <v>116</v>
      </c>
      <c r="BM320" t="s">
        <v>116</v>
      </c>
      <c r="BN320">
        <v>23.75</v>
      </c>
      <c r="BO320">
        <v>12.78</v>
      </c>
      <c r="BP320">
        <v>0.05</v>
      </c>
      <c r="BQ320">
        <v>45.97</v>
      </c>
      <c r="BR320">
        <v>16.43</v>
      </c>
      <c r="BS320">
        <v>2.86</v>
      </c>
      <c r="BT320">
        <v>1.25</v>
      </c>
      <c r="BU320">
        <v>10.36</v>
      </c>
      <c r="BV320">
        <v>2.7</v>
      </c>
      <c r="BW320">
        <v>4.76</v>
      </c>
      <c r="BX320">
        <v>10.93</v>
      </c>
      <c r="BY320">
        <v>4.78</v>
      </c>
      <c r="BZ320">
        <v>3.18</v>
      </c>
      <c r="CA320">
        <v>-1.1599999999999999</v>
      </c>
      <c r="CB320">
        <v>0.05</v>
      </c>
      <c r="CC320">
        <v>-1.1499999999999999</v>
      </c>
      <c r="CD320">
        <v>-1.1599999999999999</v>
      </c>
      <c r="CE320">
        <v>-1.08</v>
      </c>
      <c r="CF320">
        <v>-1.1499999999999999</v>
      </c>
      <c r="CG320">
        <v>-10.19</v>
      </c>
      <c r="CH320">
        <v>0.24</v>
      </c>
      <c r="CI320">
        <v>-0.15</v>
      </c>
      <c r="CJ320">
        <v>82858</v>
      </c>
      <c r="CK320">
        <v>7024</v>
      </c>
      <c r="CL320" t="s">
        <v>2253</v>
      </c>
      <c r="CM320">
        <v>6.88</v>
      </c>
      <c r="CN320">
        <v>-17.34</v>
      </c>
      <c r="CO320">
        <v>1.98</v>
      </c>
      <c r="CP320">
        <v>104.35</v>
      </c>
      <c r="CQ320">
        <v>5.29</v>
      </c>
      <c r="CR320">
        <v>0</v>
      </c>
      <c r="CS320" t="s">
        <v>2254</v>
      </c>
      <c r="CT320">
        <v>1.1599999999999999</v>
      </c>
      <c r="CU320">
        <v>0</v>
      </c>
      <c r="CV320">
        <v>0.99</v>
      </c>
      <c r="CW320">
        <v>-0.93</v>
      </c>
      <c r="CX320">
        <v>0.02</v>
      </c>
      <c r="CY320">
        <v>53.83</v>
      </c>
      <c r="CZ320" t="s">
        <v>2255</v>
      </c>
      <c r="DA320">
        <v>33.520000000000003</v>
      </c>
      <c r="DB320">
        <v>-24.22</v>
      </c>
      <c r="DC320">
        <v>-22.65</v>
      </c>
      <c r="DD320">
        <v>0.21</v>
      </c>
      <c r="DE320">
        <v>2189</v>
      </c>
      <c r="DF320">
        <v>806</v>
      </c>
      <c r="DG320" t="s">
        <v>116</v>
      </c>
      <c r="DH320" t="s">
        <v>116</v>
      </c>
      <c r="DI320" t="s">
        <v>116</v>
      </c>
    </row>
    <row r="321" spans="1:113" x14ac:dyDescent="0.4">
      <c r="A321" t="str">
        <f>"000807"</f>
        <v>000807</v>
      </c>
      <c r="B321" t="s">
        <v>2256</v>
      </c>
      <c r="C321">
        <v>1.94</v>
      </c>
      <c r="D321">
        <v>5.25</v>
      </c>
      <c r="E321">
        <v>0.1</v>
      </c>
      <c r="F321">
        <v>5.24</v>
      </c>
      <c r="G321">
        <v>5.25</v>
      </c>
      <c r="H321">
        <v>976283</v>
      </c>
      <c r="I321">
        <v>5072</v>
      </c>
      <c r="J321">
        <v>0.77</v>
      </c>
      <c r="K321">
        <v>3.75</v>
      </c>
      <c r="L321">
        <v>5.14</v>
      </c>
      <c r="M321">
        <v>5.44</v>
      </c>
      <c r="N321">
        <v>5.07</v>
      </c>
      <c r="O321">
        <v>5.15</v>
      </c>
      <c r="P321">
        <v>35.130000000000003</v>
      </c>
      <c r="Q321">
        <v>514165088</v>
      </c>
      <c r="R321">
        <v>1.99</v>
      </c>
      <c r="S321" t="s">
        <v>1428</v>
      </c>
      <c r="T321" t="s">
        <v>1043</v>
      </c>
      <c r="U321">
        <v>7.18</v>
      </c>
      <c r="V321">
        <v>5.27</v>
      </c>
      <c r="W321">
        <v>501507</v>
      </c>
      <c r="X321">
        <v>474776</v>
      </c>
      <c r="Y321">
        <v>1.06</v>
      </c>
      <c r="Z321">
        <v>153</v>
      </c>
      <c r="AA321">
        <v>466</v>
      </c>
      <c r="AB321" t="s">
        <v>116</v>
      </c>
      <c r="AC321">
        <v>717500</v>
      </c>
      <c r="AD321">
        <v>0.01</v>
      </c>
      <c r="AE321" t="s">
        <v>116</v>
      </c>
      <c r="AF321" t="s">
        <v>116</v>
      </c>
      <c r="AG321">
        <v>26.07</v>
      </c>
      <c r="AH321" t="s">
        <v>2257</v>
      </c>
      <c r="AI321" t="s">
        <v>2258</v>
      </c>
      <c r="AJ321">
        <v>2.62</v>
      </c>
      <c r="AK321">
        <v>4257</v>
      </c>
      <c r="AL321">
        <v>229</v>
      </c>
      <c r="AM321">
        <v>8.9999999999999998E-4</v>
      </c>
      <c r="AN321">
        <v>1</v>
      </c>
      <c r="AO321">
        <v>0</v>
      </c>
      <c r="AP321">
        <v>17.98</v>
      </c>
      <c r="AQ321">
        <v>14.88</v>
      </c>
      <c r="AR321">
        <v>35.31</v>
      </c>
      <c r="AS321">
        <v>6.52</v>
      </c>
      <c r="AT321" t="s">
        <v>2259</v>
      </c>
      <c r="AU321" t="s">
        <v>116</v>
      </c>
      <c r="AV321" t="s">
        <v>116</v>
      </c>
      <c r="AW321">
        <v>1.1399999999999999</v>
      </c>
      <c r="BA321">
        <v>-0.19</v>
      </c>
      <c r="BB321">
        <v>5.63</v>
      </c>
      <c r="BC321">
        <v>-1.55</v>
      </c>
      <c r="BD321">
        <v>2.2599999999999998</v>
      </c>
      <c r="BE321">
        <v>2.14</v>
      </c>
      <c r="BF321">
        <v>-3.49</v>
      </c>
      <c r="BG321">
        <v>3.55</v>
      </c>
      <c r="BH321">
        <v>-0.32</v>
      </c>
      <c r="BI321">
        <v>20191121</v>
      </c>
      <c r="BJ321">
        <v>19980408</v>
      </c>
      <c r="BK321">
        <v>26.07</v>
      </c>
      <c r="BL321" t="s">
        <v>116</v>
      </c>
      <c r="BM321" t="s">
        <v>116</v>
      </c>
      <c r="BN321">
        <v>383.04</v>
      </c>
      <c r="BO321">
        <v>85.82</v>
      </c>
      <c r="BP321">
        <v>7.89</v>
      </c>
      <c r="BQ321">
        <v>75.540000000000006</v>
      </c>
      <c r="BR321">
        <v>83.42</v>
      </c>
      <c r="BS321">
        <v>212.15</v>
      </c>
      <c r="BT321">
        <v>24.09</v>
      </c>
      <c r="BU321">
        <v>202.85</v>
      </c>
      <c r="BV321">
        <v>38.409999999999997</v>
      </c>
      <c r="BW321">
        <v>2.9</v>
      </c>
      <c r="BX321">
        <v>64.36</v>
      </c>
      <c r="BY321">
        <v>179.39</v>
      </c>
      <c r="BZ321">
        <v>158.6</v>
      </c>
      <c r="CA321">
        <v>3.43</v>
      </c>
      <c r="CB321">
        <v>0.01</v>
      </c>
      <c r="CC321">
        <v>3.77</v>
      </c>
      <c r="CD321">
        <v>3.26</v>
      </c>
      <c r="CE321">
        <v>2.92</v>
      </c>
      <c r="CF321">
        <v>1.85</v>
      </c>
      <c r="CG321">
        <v>-8.4700000000000006</v>
      </c>
      <c r="CH321">
        <v>25.62</v>
      </c>
      <c r="CI321">
        <v>-9.66</v>
      </c>
      <c r="CJ321">
        <v>142289</v>
      </c>
      <c r="CK321">
        <v>10520</v>
      </c>
      <c r="CL321" t="s">
        <v>2260</v>
      </c>
      <c r="CM321">
        <v>164.37</v>
      </c>
      <c r="CN321">
        <v>12.8</v>
      </c>
      <c r="CO321">
        <v>1.59</v>
      </c>
      <c r="CP321">
        <v>5.34</v>
      </c>
      <c r="CQ321">
        <v>0.76</v>
      </c>
      <c r="CR321">
        <v>0</v>
      </c>
      <c r="CS321" t="s">
        <v>2261</v>
      </c>
      <c r="CT321">
        <v>3.29</v>
      </c>
      <c r="CU321">
        <v>0</v>
      </c>
      <c r="CV321">
        <v>2.4700000000000002</v>
      </c>
      <c r="CW321">
        <v>-0.32</v>
      </c>
      <c r="CX321">
        <v>0.98</v>
      </c>
      <c r="CY321">
        <v>22.4</v>
      </c>
      <c r="CZ321" t="s">
        <v>2262</v>
      </c>
      <c r="DA321">
        <v>11.59</v>
      </c>
      <c r="DB321">
        <v>1.91</v>
      </c>
      <c r="DC321">
        <v>1.63</v>
      </c>
      <c r="DD321">
        <v>0.05</v>
      </c>
      <c r="DE321">
        <v>12477</v>
      </c>
      <c r="DF321">
        <v>807</v>
      </c>
      <c r="DG321" t="s">
        <v>116</v>
      </c>
      <c r="DH321" t="s">
        <v>116</v>
      </c>
      <c r="DI321" t="s">
        <v>116</v>
      </c>
    </row>
    <row r="322" spans="1:113" x14ac:dyDescent="0.4">
      <c r="A322" t="str">
        <f>"000809"</f>
        <v>000809</v>
      </c>
      <c r="B322" t="s">
        <v>2263</v>
      </c>
      <c r="C322">
        <v>-0.42</v>
      </c>
      <c r="D322">
        <v>2.35</v>
      </c>
      <c r="E322">
        <v>-0.01</v>
      </c>
      <c r="F322">
        <v>2.34</v>
      </c>
      <c r="G322">
        <v>2.35</v>
      </c>
      <c r="H322">
        <v>35852</v>
      </c>
      <c r="I322">
        <v>209</v>
      </c>
      <c r="J322">
        <v>0.43</v>
      </c>
      <c r="K322">
        <v>0.43</v>
      </c>
      <c r="L322">
        <v>2.37</v>
      </c>
      <c r="M322">
        <v>2.38</v>
      </c>
      <c r="N322">
        <v>2.34</v>
      </c>
      <c r="O322">
        <v>2.36</v>
      </c>
      <c r="P322" t="s">
        <v>116</v>
      </c>
      <c r="Q322">
        <v>8465454</v>
      </c>
      <c r="R322">
        <v>0.87</v>
      </c>
      <c r="S322" t="s">
        <v>148</v>
      </c>
      <c r="T322" t="s">
        <v>434</v>
      </c>
      <c r="U322">
        <v>1.69</v>
      </c>
      <c r="V322">
        <v>2.36</v>
      </c>
      <c r="W322">
        <v>21428</v>
      </c>
      <c r="X322">
        <v>14424</v>
      </c>
      <c r="Y322">
        <v>1.49</v>
      </c>
      <c r="Z322">
        <v>2373</v>
      </c>
      <c r="AA322">
        <v>1601</v>
      </c>
      <c r="AB322" t="s">
        <v>116</v>
      </c>
      <c r="AC322">
        <v>0</v>
      </c>
      <c r="AD322">
        <v>0</v>
      </c>
      <c r="AE322" t="s">
        <v>116</v>
      </c>
      <c r="AF322" t="s">
        <v>116</v>
      </c>
      <c r="AG322">
        <v>8.25</v>
      </c>
      <c r="AH322" t="s">
        <v>2264</v>
      </c>
      <c r="AI322" t="s">
        <v>2264</v>
      </c>
      <c r="AJ322">
        <v>0.26</v>
      </c>
      <c r="AK322">
        <v>381</v>
      </c>
      <c r="AL322">
        <v>94</v>
      </c>
      <c r="AM322">
        <v>1.1000000000000001E-3</v>
      </c>
      <c r="AN322">
        <v>-1</v>
      </c>
      <c r="AO322">
        <v>0.87</v>
      </c>
      <c r="AP322">
        <v>-1.67</v>
      </c>
      <c r="AQ322">
        <v>0.86</v>
      </c>
      <c r="AR322">
        <v>0</v>
      </c>
      <c r="AS322">
        <v>0.66</v>
      </c>
      <c r="AT322" t="s">
        <v>2265</v>
      </c>
      <c r="AU322">
        <v>56.26</v>
      </c>
      <c r="AV322">
        <v>20.05</v>
      </c>
      <c r="AW322">
        <v>0.74</v>
      </c>
      <c r="BA322">
        <v>0.42</v>
      </c>
      <c r="BB322">
        <v>0.85</v>
      </c>
      <c r="BC322">
        <v>-0.85</v>
      </c>
      <c r="BD322">
        <v>0.05</v>
      </c>
      <c r="BE322">
        <v>-0.84</v>
      </c>
      <c r="BF322">
        <v>-1.26</v>
      </c>
      <c r="BG322">
        <v>0.43</v>
      </c>
      <c r="BH322">
        <v>-0.47</v>
      </c>
      <c r="BI322">
        <v>20191029</v>
      </c>
      <c r="BJ322">
        <v>19980616</v>
      </c>
      <c r="BK322">
        <v>8.25</v>
      </c>
      <c r="BL322" t="s">
        <v>116</v>
      </c>
      <c r="BM322" t="s">
        <v>116</v>
      </c>
      <c r="BN322">
        <v>57.16</v>
      </c>
      <c r="BO322">
        <v>31.51</v>
      </c>
      <c r="BP322">
        <v>0</v>
      </c>
      <c r="BQ322">
        <v>44.88</v>
      </c>
      <c r="BR322">
        <v>42.22</v>
      </c>
      <c r="BS322">
        <v>1.89</v>
      </c>
      <c r="BT322">
        <v>0.26</v>
      </c>
      <c r="BU322">
        <v>12.39</v>
      </c>
      <c r="BV322">
        <v>40.5</v>
      </c>
      <c r="BW322">
        <v>0.95</v>
      </c>
      <c r="BX322">
        <v>0.32</v>
      </c>
      <c r="BY322">
        <v>0.78</v>
      </c>
      <c r="BZ322">
        <v>0.64</v>
      </c>
      <c r="CA322">
        <v>-0.51</v>
      </c>
      <c r="CB322">
        <v>0</v>
      </c>
      <c r="CC322">
        <v>-0.51</v>
      </c>
      <c r="CD322">
        <v>-0.51</v>
      </c>
      <c r="CE322">
        <v>-0.51</v>
      </c>
      <c r="CF322">
        <v>-0.56999999999999995</v>
      </c>
      <c r="CG322">
        <v>20.97</v>
      </c>
      <c r="CH322">
        <v>1.1399999999999999</v>
      </c>
      <c r="CI322">
        <v>-0.31</v>
      </c>
      <c r="CJ322">
        <v>28026</v>
      </c>
      <c r="CK322">
        <v>19337</v>
      </c>
      <c r="CL322" t="s">
        <v>2266</v>
      </c>
      <c r="CM322">
        <v>-544.66999999999996</v>
      </c>
      <c r="CN322">
        <v>-25.2</v>
      </c>
      <c r="CO322">
        <v>0.62</v>
      </c>
      <c r="CP322">
        <v>17.02</v>
      </c>
      <c r="CQ322">
        <v>24.94</v>
      </c>
      <c r="CR322">
        <v>0</v>
      </c>
      <c r="CS322" t="s">
        <v>2267</v>
      </c>
      <c r="CT322">
        <v>3.82</v>
      </c>
      <c r="CU322">
        <v>0</v>
      </c>
      <c r="CV322">
        <v>0.04</v>
      </c>
      <c r="CW322">
        <v>2.54</v>
      </c>
      <c r="CX322">
        <v>0.14000000000000001</v>
      </c>
      <c r="CY322">
        <v>55.12</v>
      </c>
      <c r="CZ322" t="s">
        <v>2268</v>
      </c>
      <c r="DA322">
        <v>18.29</v>
      </c>
      <c r="DB322">
        <v>-65.64</v>
      </c>
      <c r="DC322">
        <v>-65.34</v>
      </c>
      <c r="DD322">
        <v>0</v>
      </c>
      <c r="DE322">
        <v>159</v>
      </c>
      <c r="DF322">
        <v>809</v>
      </c>
      <c r="DG322" t="s">
        <v>116</v>
      </c>
      <c r="DH322" t="s">
        <v>116</v>
      </c>
      <c r="DI322" t="s">
        <v>116</v>
      </c>
    </row>
    <row r="323" spans="1:113" x14ac:dyDescent="0.4">
      <c r="A323" t="str">
        <f>"000810"</f>
        <v>000810</v>
      </c>
      <c r="B323" t="s">
        <v>2269</v>
      </c>
      <c r="C323">
        <v>-1.93</v>
      </c>
      <c r="D323">
        <v>11.66</v>
      </c>
      <c r="E323">
        <v>-0.23</v>
      </c>
      <c r="F323">
        <v>11.66</v>
      </c>
      <c r="G323">
        <v>11.67</v>
      </c>
      <c r="H323">
        <v>179435</v>
      </c>
      <c r="I323">
        <v>3550</v>
      </c>
      <c r="J323">
        <v>-0.08</v>
      </c>
      <c r="K323">
        <v>1.83</v>
      </c>
      <c r="L323">
        <v>11.88</v>
      </c>
      <c r="M323">
        <v>12.01</v>
      </c>
      <c r="N323">
        <v>11.62</v>
      </c>
      <c r="O323">
        <v>11.89</v>
      </c>
      <c r="P323">
        <v>18.600000000000001</v>
      </c>
      <c r="Q323">
        <v>212095312</v>
      </c>
      <c r="R323">
        <v>0.65</v>
      </c>
      <c r="S323" t="s">
        <v>209</v>
      </c>
      <c r="T323" t="s">
        <v>582</v>
      </c>
      <c r="U323">
        <v>3.28</v>
      </c>
      <c r="V323">
        <v>11.82</v>
      </c>
      <c r="W323">
        <v>95162</v>
      </c>
      <c r="X323">
        <v>84273</v>
      </c>
      <c r="Y323">
        <v>1.1299999999999999</v>
      </c>
      <c r="Z323">
        <v>775</v>
      </c>
      <c r="AA323">
        <v>266</v>
      </c>
      <c r="AB323" t="s">
        <v>116</v>
      </c>
      <c r="AC323">
        <v>1062100</v>
      </c>
      <c r="AD323">
        <v>0.02</v>
      </c>
      <c r="AE323" t="s">
        <v>116</v>
      </c>
      <c r="AF323" t="s">
        <v>116</v>
      </c>
      <c r="AG323">
        <v>9.82</v>
      </c>
      <c r="AH323" t="s">
        <v>2270</v>
      </c>
      <c r="AI323" t="s">
        <v>2271</v>
      </c>
      <c r="AJ323">
        <v>-1.26</v>
      </c>
      <c r="AK323">
        <v>3639</v>
      </c>
      <c r="AL323">
        <v>49</v>
      </c>
      <c r="AM323">
        <v>5.0000000000000001E-4</v>
      </c>
      <c r="AN323">
        <v>-1</v>
      </c>
      <c r="AO323">
        <v>1.57</v>
      </c>
      <c r="AP323">
        <v>12.01</v>
      </c>
      <c r="AQ323">
        <v>33.26</v>
      </c>
      <c r="AR323">
        <v>112.77</v>
      </c>
      <c r="AS323">
        <v>4.5199999999999996</v>
      </c>
      <c r="AT323" t="s">
        <v>2272</v>
      </c>
      <c r="AU323">
        <v>20.78</v>
      </c>
      <c r="AV323">
        <v>37.630000000000003</v>
      </c>
      <c r="AW323">
        <v>2.19</v>
      </c>
      <c r="BA323">
        <v>-0.08</v>
      </c>
      <c r="BB323">
        <v>1.01</v>
      </c>
      <c r="BC323">
        <v>-2.27</v>
      </c>
      <c r="BD323">
        <v>-0.59</v>
      </c>
      <c r="BE323">
        <v>-1.85</v>
      </c>
      <c r="BF323">
        <v>-2.91</v>
      </c>
      <c r="BG323">
        <v>0.34</v>
      </c>
      <c r="BH323">
        <v>-1.35</v>
      </c>
      <c r="BI323">
        <v>20191223</v>
      </c>
      <c r="BJ323">
        <v>19980602</v>
      </c>
      <c r="BK323">
        <v>10.58</v>
      </c>
      <c r="BL323" t="s">
        <v>116</v>
      </c>
      <c r="BM323" t="s">
        <v>116</v>
      </c>
      <c r="BN323">
        <v>106.77</v>
      </c>
      <c r="BO323">
        <v>35.69</v>
      </c>
      <c r="BP323">
        <v>1.52</v>
      </c>
      <c r="BQ323">
        <v>65.150000000000006</v>
      </c>
      <c r="BR323">
        <v>91.59</v>
      </c>
      <c r="BS323">
        <v>7.6</v>
      </c>
      <c r="BT323">
        <v>1.73</v>
      </c>
      <c r="BU323">
        <v>58.73</v>
      </c>
      <c r="BV323">
        <v>13.65</v>
      </c>
      <c r="BW323">
        <v>49.57</v>
      </c>
      <c r="BX323">
        <v>4.5</v>
      </c>
      <c r="BY323">
        <v>62.82</v>
      </c>
      <c r="BZ323">
        <v>48.75</v>
      </c>
      <c r="CA323">
        <v>5.4</v>
      </c>
      <c r="CB323">
        <v>0.08</v>
      </c>
      <c r="CC323">
        <v>5.44</v>
      </c>
      <c r="CD323">
        <v>4.87</v>
      </c>
      <c r="CE323">
        <v>4.97</v>
      </c>
      <c r="CF323">
        <v>4.41</v>
      </c>
      <c r="CG323">
        <v>20.190000000000001</v>
      </c>
      <c r="CH323">
        <v>0.92</v>
      </c>
      <c r="CI323">
        <v>10.82</v>
      </c>
      <c r="CJ323">
        <v>48727</v>
      </c>
      <c r="CK323">
        <v>8154</v>
      </c>
      <c r="CL323" t="s">
        <v>2273</v>
      </c>
      <c r="CM323">
        <v>114.92</v>
      </c>
      <c r="CN323">
        <v>8.9700000000000006</v>
      </c>
      <c r="CO323">
        <v>3.6</v>
      </c>
      <c r="CP323">
        <v>134.33000000000001</v>
      </c>
      <c r="CQ323">
        <v>1.96</v>
      </c>
      <c r="CR323">
        <v>0.69</v>
      </c>
      <c r="CS323" t="s">
        <v>386</v>
      </c>
      <c r="CT323">
        <v>3.24</v>
      </c>
      <c r="CU323">
        <v>3.24</v>
      </c>
      <c r="CV323">
        <v>0.42</v>
      </c>
      <c r="CW323">
        <v>1.91</v>
      </c>
      <c r="CX323">
        <v>0.09</v>
      </c>
      <c r="CY323">
        <v>33.43</v>
      </c>
      <c r="CZ323" t="s">
        <v>2274</v>
      </c>
      <c r="DA323">
        <v>22.4</v>
      </c>
      <c r="DB323">
        <v>8.6</v>
      </c>
      <c r="DC323">
        <v>7.92</v>
      </c>
      <c r="DD323">
        <v>3.44</v>
      </c>
      <c r="DE323">
        <v>5954</v>
      </c>
      <c r="DF323">
        <v>810</v>
      </c>
      <c r="DG323" t="s">
        <v>116</v>
      </c>
      <c r="DH323" t="s">
        <v>116</v>
      </c>
      <c r="DI323" t="s">
        <v>116</v>
      </c>
    </row>
    <row r="324" spans="1:113" x14ac:dyDescent="0.4">
      <c r="A324" t="str">
        <f>"000811"</f>
        <v>000811</v>
      </c>
      <c r="B324" t="s">
        <v>2275</v>
      </c>
      <c r="C324">
        <v>-1</v>
      </c>
      <c r="D324">
        <v>6.92</v>
      </c>
      <c r="E324">
        <v>-7.0000000000000007E-2</v>
      </c>
      <c r="F324">
        <v>6.91</v>
      </c>
      <c r="G324">
        <v>6.92</v>
      </c>
      <c r="H324">
        <v>56978</v>
      </c>
      <c r="I324">
        <v>317</v>
      </c>
      <c r="J324">
        <v>0.14000000000000001</v>
      </c>
      <c r="K324">
        <v>0.76</v>
      </c>
      <c r="L324">
        <v>6.98</v>
      </c>
      <c r="M324">
        <v>7.05</v>
      </c>
      <c r="N324">
        <v>6.91</v>
      </c>
      <c r="O324">
        <v>6.99</v>
      </c>
      <c r="P324">
        <v>13.11</v>
      </c>
      <c r="Q324">
        <v>39777784</v>
      </c>
      <c r="R324">
        <v>1.04</v>
      </c>
      <c r="S324" t="s">
        <v>598</v>
      </c>
      <c r="T324" t="s">
        <v>645</v>
      </c>
      <c r="U324">
        <v>2</v>
      </c>
      <c r="V324">
        <v>6.98</v>
      </c>
      <c r="W324">
        <v>37411</v>
      </c>
      <c r="X324">
        <v>19567</v>
      </c>
      <c r="Y324">
        <v>1.91</v>
      </c>
      <c r="Z324">
        <v>354</v>
      </c>
      <c r="AA324">
        <v>1889</v>
      </c>
      <c r="AB324" t="s">
        <v>116</v>
      </c>
      <c r="AC324">
        <v>7000</v>
      </c>
      <c r="AD324">
        <v>0</v>
      </c>
      <c r="AE324" t="s">
        <v>116</v>
      </c>
      <c r="AF324" t="s">
        <v>116</v>
      </c>
      <c r="AG324">
        <v>7.46</v>
      </c>
      <c r="AH324" t="s">
        <v>2276</v>
      </c>
      <c r="AI324" t="s">
        <v>2276</v>
      </c>
      <c r="AJ324">
        <v>-0.32</v>
      </c>
      <c r="AK324">
        <v>1076</v>
      </c>
      <c r="AL324">
        <v>53</v>
      </c>
      <c r="AM324">
        <v>6.9999999999999999E-4</v>
      </c>
      <c r="AN324">
        <v>-1</v>
      </c>
      <c r="AO324">
        <v>-1.56</v>
      </c>
      <c r="AP324">
        <v>4.22</v>
      </c>
      <c r="AQ324">
        <v>-1.56</v>
      </c>
      <c r="AR324">
        <v>35.159999999999997</v>
      </c>
      <c r="AS324">
        <v>1.35</v>
      </c>
      <c r="AT324" t="s">
        <v>2277</v>
      </c>
      <c r="AU324">
        <v>13.52</v>
      </c>
      <c r="AV324">
        <v>18.28</v>
      </c>
      <c r="AW324">
        <v>0.6</v>
      </c>
      <c r="BA324">
        <v>-0.14000000000000001</v>
      </c>
      <c r="BB324">
        <v>0.86</v>
      </c>
      <c r="BC324">
        <v>-1.1399999999999999</v>
      </c>
      <c r="BD324">
        <v>-0.12</v>
      </c>
      <c r="BE324">
        <v>-0.86</v>
      </c>
      <c r="BF324">
        <v>-1.84</v>
      </c>
      <c r="BG324">
        <v>0.14000000000000001</v>
      </c>
      <c r="BH324">
        <v>-0.88</v>
      </c>
      <c r="BI324">
        <v>20191030</v>
      </c>
      <c r="BJ324">
        <v>19980528</v>
      </c>
      <c r="BK324">
        <v>7.46</v>
      </c>
      <c r="BL324" t="s">
        <v>116</v>
      </c>
      <c r="BM324" t="s">
        <v>116</v>
      </c>
      <c r="BN324">
        <v>66.2</v>
      </c>
      <c r="BO324">
        <v>35.159999999999997</v>
      </c>
      <c r="BP324">
        <v>1.55</v>
      </c>
      <c r="BQ324">
        <v>44.55</v>
      </c>
      <c r="BR324">
        <v>36.9</v>
      </c>
      <c r="BS324">
        <v>6.55</v>
      </c>
      <c r="BT324">
        <v>2.1</v>
      </c>
      <c r="BU324">
        <v>23.02</v>
      </c>
      <c r="BV324">
        <v>7.25</v>
      </c>
      <c r="BW324">
        <v>12.96</v>
      </c>
      <c r="BX324">
        <v>3.71</v>
      </c>
      <c r="BY324">
        <v>26.69</v>
      </c>
      <c r="BZ324">
        <v>18.72</v>
      </c>
      <c r="CA324">
        <v>3.58</v>
      </c>
      <c r="CB324">
        <v>0.32</v>
      </c>
      <c r="CC324">
        <v>3.57</v>
      </c>
      <c r="CD324">
        <v>3.02</v>
      </c>
      <c r="CE324">
        <v>2.95</v>
      </c>
      <c r="CF324">
        <v>1.52</v>
      </c>
      <c r="CG324">
        <v>22.53</v>
      </c>
      <c r="CH324">
        <v>0.56000000000000005</v>
      </c>
      <c r="CI324">
        <v>-0.38</v>
      </c>
      <c r="CJ324">
        <v>33882</v>
      </c>
      <c r="CK324">
        <v>12444</v>
      </c>
      <c r="CL324" t="s">
        <v>2278</v>
      </c>
      <c r="CM324">
        <v>50.84</v>
      </c>
      <c r="CN324">
        <v>9.25</v>
      </c>
      <c r="CO324">
        <v>1.44</v>
      </c>
      <c r="CP324">
        <v>91.48</v>
      </c>
      <c r="CQ324">
        <v>1.93</v>
      </c>
      <c r="CR324">
        <v>0.63</v>
      </c>
      <c r="CS324" t="s">
        <v>2279</v>
      </c>
      <c r="CT324">
        <v>4.82</v>
      </c>
      <c r="CU324">
        <v>4.82</v>
      </c>
      <c r="CV324">
        <v>0.5</v>
      </c>
      <c r="CW324">
        <v>3.02</v>
      </c>
      <c r="CX324">
        <v>0.08</v>
      </c>
      <c r="CY324">
        <v>53.12</v>
      </c>
      <c r="CZ324" t="s">
        <v>2280</v>
      </c>
      <c r="DA324">
        <v>29.86</v>
      </c>
      <c r="DB324">
        <v>13.42</v>
      </c>
      <c r="DC324">
        <v>11.06</v>
      </c>
      <c r="DD324">
        <v>0.76</v>
      </c>
      <c r="DE324">
        <v>1338</v>
      </c>
      <c r="DF324">
        <v>811</v>
      </c>
      <c r="DG324" t="s">
        <v>116</v>
      </c>
      <c r="DH324" t="s">
        <v>116</v>
      </c>
      <c r="DI324" t="s">
        <v>116</v>
      </c>
    </row>
    <row r="325" spans="1:113" x14ac:dyDescent="0.4">
      <c r="A325" t="str">
        <f>"000812"</f>
        <v>000812</v>
      </c>
      <c r="B325" t="s">
        <v>2281</v>
      </c>
      <c r="C325">
        <v>-0.61</v>
      </c>
      <c r="D325">
        <v>3.27</v>
      </c>
      <c r="E325">
        <v>-0.02</v>
      </c>
      <c r="F325">
        <v>3.27</v>
      </c>
      <c r="G325">
        <v>3.28</v>
      </c>
      <c r="H325">
        <v>106325</v>
      </c>
      <c r="I325">
        <v>1066</v>
      </c>
      <c r="J325">
        <v>0</v>
      </c>
      <c r="K325">
        <v>1.59</v>
      </c>
      <c r="L325">
        <v>3.29</v>
      </c>
      <c r="M325">
        <v>3.33</v>
      </c>
      <c r="N325">
        <v>3.26</v>
      </c>
      <c r="O325">
        <v>3.29</v>
      </c>
      <c r="P325">
        <v>73.930000000000007</v>
      </c>
      <c r="Q325">
        <v>35024728</v>
      </c>
      <c r="R325">
        <v>1.23</v>
      </c>
      <c r="S325" t="s">
        <v>345</v>
      </c>
      <c r="T325" t="s">
        <v>913</v>
      </c>
      <c r="U325">
        <v>2.13</v>
      </c>
      <c r="V325">
        <v>3.29</v>
      </c>
      <c r="W325">
        <v>58941</v>
      </c>
      <c r="X325">
        <v>47384</v>
      </c>
      <c r="Y325">
        <v>1.24</v>
      </c>
      <c r="Z325">
        <v>1471</v>
      </c>
      <c r="AA325">
        <v>2605</v>
      </c>
      <c r="AB325" t="s">
        <v>116</v>
      </c>
      <c r="AC325">
        <v>19100</v>
      </c>
      <c r="AD325">
        <v>0</v>
      </c>
      <c r="AE325" t="s">
        <v>116</v>
      </c>
      <c r="AF325" t="s">
        <v>116</v>
      </c>
      <c r="AG325">
        <v>6.7</v>
      </c>
      <c r="AH325" t="s">
        <v>2282</v>
      </c>
      <c r="AI325" t="s">
        <v>2283</v>
      </c>
      <c r="AJ325">
        <v>7.0000000000000007E-2</v>
      </c>
      <c r="AK325">
        <v>1382</v>
      </c>
      <c r="AL325">
        <v>77</v>
      </c>
      <c r="AM325">
        <v>1.1000000000000001E-3</v>
      </c>
      <c r="AN325">
        <v>-1</v>
      </c>
      <c r="AO325">
        <v>-0.01</v>
      </c>
      <c r="AP325">
        <v>6.51</v>
      </c>
      <c r="AQ325">
        <v>-2.1</v>
      </c>
      <c r="AR325">
        <v>-5.49</v>
      </c>
      <c r="AS325">
        <v>1.9</v>
      </c>
      <c r="AT325" t="s">
        <v>2284</v>
      </c>
      <c r="AU325">
        <v>110.07</v>
      </c>
      <c r="AV325">
        <v>112.5</v>
      </c>
      <c r="AW325">
        <v>1.1399999999999999</v>
      </c>
      <c r="BA325">
        <v>0</v>
      </c>
      <c r="BB325">
        <v>1.22</v>
      </c>
      <c r="BC325">
        <v>-0.91</v>
      </c>
      <c r="BD325">
        <v>0.13</v>
      </c>
      <c r="BE325">
        <v>-0.61</v>
      </c>
      <c r="BF325">
        <v>-1.8</v>
      </c>
      <c r="BG325">
        <v>0.31</v>
      </c>
      <c r="BH325">
        <v>-0.73</v>
      </c>
      <c r="BI325">
        <v>20191022</v>
      </c>
      <c r="BJ325">
        <v>19980623</v>
      </c>
      <c r="BK325">
        <v>7.69</v>
      </c>
      <c r="BL325" t="s">
        <v>116</v>
      </c>
      <c r="BM325" t="s">
        <v>116</v>
      </c>
      <c r="BN325">
        <v>28.54</v>
      </c>
      <c r="BO325">
        <v>13.86</v>
      </c>
      <c r="BP325">
        <v>0.48</v>
      </c>
      <c r="BQ325">
        <v>49.76</v>
      </c>
      <c r="BR325">
        <v>9.94</v>
      </c>
      <c r="BS325">
        <v>7.41</v>
      </c>
      <c r="BT325">
        <v>0.87</v>
      </c>
      <c r="BU325">
        <v>12.11</v>
      </c>
      <c r="BV325">
        <v>2.33</v>
      </c>
      <c r="BW325">
        <v>2.73</v>
      </c>
      <c r="BX325">
        <v>1.93</v>
      </c>
      <c r="BY325">
        <v>6.86</v>
      </c>
      <c r="BZ325">
        <v>4.47</v>
      </c>
      <c r="CA325">
        <v>0.49</v>
      </c>
      <c r="CB325">
        <v>0.04</v>
      </c>
      <c r="CC325">
        <v>0.51</v>
      </c>
      <c r="CD325">
        <v>0.32</v>
      </c>
      <c r="CE325">
        <v>0.25</v>
      </c>
      <c r="CF325">
        <v>0.22</v>
      </c>
      <c r="CG325">
        <v>3.08</v>
      </c>
      <c r="CH325">
        <v>0.06</v>
      </c>
      <c r="CI325">
        <v>0.5</v>
      </c>
      <c r="CJ325">
        <v>52680</v>
      </c>
      <c r="CK325">
        <v>10608</v>
      </c>
      <c r="CL325" t="s">
        <v>1222</v>
      </c>
      <c r="CM325">
        <v>1.97</v>
      </c>
      <c r="CN325">
        <v>2.58</v>
      </c>
      <c r="CO325">
        <v>1.81</v>
      </c>
      <c r="CP325">
        <v>427.7</v>
      </c>
      <c r="CQ325">
        <v>3.66</v>
      </c>
      <c r="CR325">
        <v>0</v>
      </c>
      <c r="CS325" t="s">
        <v>379</v>
      </c>
      <c r="CT325">
        <v>1.8</v>
      </c>
      <c r="CU325">
        <v>0</v>
      </c>
      <c r="CV325">
        <v>0.25</v>
      </c>
      <c r="CW325">
        <v>0.4</v>
      </c>
      <c r="CX325">
        <v>0.01</v>
      </c>
      <c r="CY325">
        <v>48.56</v>
      </c>
      <c r="CZ325" t="s">
        <v>2285</v>
      </c>
      <c r="DA325">
        <v>34.869999999999997</v>
      </c>
      <c r="DB325">
        <v>7.1</v>
      </c>
      <c r="DC325">
        <v>3.72</v>
      </c>
      <c r="DD325">
        <v>0.18</v>
      </c>
      <c r="DE325">
        <v>1616</v>
      </c>
      <c r="DF325">
        <v>812</v>
      </c>
      <c r="DG325" t="s">
        <v>116</v>
      </c>
      <c r="DH325" t="s">
        <v>116</v>
      </c>
      <c r="DI325" t="s">
        <v>116</v>
      </c>
    </row>
    <row r="326" spans="1:113" x14ac:dyDescent="0.4">
      <c r="A326" t="str">
        <f>"000813"</f>
        <v>000813</v>
      </c>
      <c r="B326" t="s">
        <v>2286</v>
      </c>
      <c r="C326">
        <v>-1.72</v>
      </c>
      <c r="D326">
        <v>6.27</v>
      </c>
      <c r="E326">
        <v>-0.11</v>
      </c>
      <c r="F326">
        <v>6.27</v>
      </c>
      <c r="G326">
        <v>6.28</v>
      </c>
      <c r="H326">
        <v>163262</v>
      </c>
      <c r="I326">
        <v>1220</v>
      </c>
      <c r="J326">
        <v>0</v>
      </c>
      <c r="K326">
        <v>0.81</v>
      </c>
      <c r="L326">
        <v>6.4</v>
      </c>
      <c r="M326">
        <v>6.4</v>
      </c>
      <c r="N326">
        <v>6.23</v>
      </c>
      <c r="O326">
        <v>6.38</v>
      </c>
      <c r="P326">
        <v>31.16</v>
      </c>
      <c r="Q326">
        <v>103031712</v>
      </c>
      <c r="R326">
        <v>0.57999999999999996</v>
      </c>
      <c r="S326" t="s">
        <v>574</v>
      </c>
      <c r="T326" t="s">
        <v>616</v>
      </c>
      <c r="U326">
        <v>2.66</v>
      </c>
      <c r="V326">
        <v>6.31</v>
      </c>
      <c r="W326">
        <v>98220</v>
      </c>
      <c r="X326">
        <v>65042</v>
      </c>
      <c r="Y326">
        <v>1.51</v>
      </c>
      <c r="Z326">
        <v>128</v>
      </c>
      <c r="AA326">
        <v>1281</v>
      </c>
      <c r="AB326" t="s">
        <v>116</v>
      </c>
      <c r="AC326">
        <v>121600</v>
      </c>
      <c r="AD326">
        <v>0</v>
      </c>
      <c r="AE326" t="s">
        <v>116</v>
      </c>
      <c r="AF326" t="s">
        <v>116</v>
      </c>
      <c r="AG326">
        <v>20.14</v>
      </c>
      <c r="AH326" t="s">
        <v>2287</v>
      </c>
      <c r="AI326" t="s">
        <v>2288</v>
      </c>
      <c r="AJ326">
        <v>-1.05</v>
      </c>
      <c r="AK326">
        <v>2186</v>
      </c>
      <c r="AL326">
        <v>75</v>
      </c>
      <c r="AM326">
        <v>4.0000000000000002E-4</v>
      </c>
      <c r="AN326">
        <v>-2</v>
      </c>
      <c r="AO326">
        <v>0.16</v>
      </c>
      <c r="AP326">
        <v>3.29</v>
      </c>
      <c r="AQ326">
        <v>-21.53</v>
      </c>
      <c r="AR326">
        <v>-31.7</v>
      </c>
      <c r="AS326">
        <v>2.62</v>
      </c>
      <c r="AT326" t="s">
        <v>2289</v>
      </c>
      <c r="AU326">
        <v>26.09</v>
      </c>
      <c r="AV326">
        <v>15.1</v>
      </c>
      <c r="AW326">
        <v>0.72</v>
      </c>
      <c r="BA326">
        <v>0.31</v>
      </c>
      <c r="BB326">
        <v>0.31</v>
      </c>
      <c r="BC326">
        <v>-2.35</v>
      </c>
      <c r="BD326">
        <v>-1.08</v>
      </c>
      <c r="BE326">
        <v>-2.0299999999999998</v>
      </c>
      <c r="BF326">
        <v>-2.0299999999999998</v>
      </c>
      <c r="BG326">
        <v>0.64</v>
      </c>
      <c r="BH326">
        <v>-0.64</v>
      </c>
      <c r="BI326">
        <v>20191118</v>
      </c>
      <c r="BJ326">
        <v>19980519</v>
      </c>
      <c r="BK326">
        <v>22.41</v>
      </c>
      <c r="BL326" t="s">
        <v>116</v>
      </c>
      <c r="BM326" t="s">
        <v>116</v>
      </c>
      <c r="BN326">
        <v>58.89</v>
      </c>
      <c r="BO326">
        <v>56.14</v>
      </c>
      <c r="BP326">
        <v>-0.01</v>
      </c>
      <c r="BQ326">
        <v>4.67</v>
      </c>
      <c r="BR326">
        <v>51.02</v>
      </c>
      <c r="BS326">
        <v>5.43</v>
      </c>
      <c r="BT326">
        <v>0.51</v>
      </c>
      <c r="BU326">
        <v>2.56</v>
      </c>
      <c r="BV326">
        <v>3.7</v>
      </c>
      <c r="BW326">
        <v>3.71</v>
      </c>
      <c r="BX326">
        <v>7.07</v>
      </c>
      <c r="BY326">
        <v>14.04</v>
      </c>
      <c r="BZ326">
        <v>2.38</v>
      </c>
      <c r="CA326">
        <v>3.98</v>
      </c>
      <c r="CB326">
        <v>0.15</v>
      </c>
      <c r="CC326">
        <v>4.0599999999999996</v>
      </c>
      <c r="CD326">
        <v>3.38</v>
      </c>
      <c r="CE326">
        <v>3.38</v>
      </c>
      <c r="CF326">
        <v>3.09</v>
      </c>
      <c r="CG326">
        <v>41.38</v>
      </c>
      <c r="CH326">
        <v>14.33</v>
      </c>
      <c r="CI326">
        <v>-6.79</v>
      </c>
      <c r="CJ326">
        <v>33628</v>
      </c>
      <c r="CK326">
        <v>18495</v>
      </c>
      <c r="CL326" t="s">
        <v>2290</v>
      </c>
      <c r="CM326">
        <v>-53.67</v>
      </c>
      <c r="CN326">
        <v>-46.95</v>
      </c>
      <c r="CO326">
        <v>2.5</v>
      </c>
      <c r="CP326">
        <v>9.81</v>
      </c>
      <c r="CQ326">
        <v>10.01</v>
      </c>
      <c r="CR326">
        <v>0</v>
      </c>
      <c r="CS326" t="s">
        <v>1163</v>
      </c>
      <c r="CT326">
        <v>2.5</v>
      </c>
      <c r="CU326">
        <v>0</v>
      </c>
      <c r="CV326">
        <v>0.32</v>
      </c>
      <c r="CW326">
        <v>1.85</v>
      </c>
      <c r="CX326">
        <v>0.64</v>
      </c>
      <c r="CY326">
        <v>95.34</v>
      </c>
      <c r="CZ326" t="s">
        <v>2291</v>
      </c>
      <c r="DA326">
        <v>83.06</v>
      </c>
      <c r="DB326">
        <v>28.37</v>
      </c>
      <c r="DC326">
        <v>24.08</v>
      </c>
      <c r="DD326">
        <v>0.9</v>
      </c>
      <c r="DE326">
        <v>900</v>
      </c>
      <c r="DF326">
        <v>813</v>
      </c>
      <c r="DG326" t="s">
        <v>116</v>
      </c>
      <c r="DH326" t="s">
        <v>116</v>
      </c>
      <c r="DI326" t="s">
        <v>116</v>
      </c>
    </row>
    <row r="327" spans="1:113" x14ac:dyDescent="0.4">
      <c r="A327" t="str">
        <f>"000815"</f>
        <v>000815</v>
      </c>
      <c r="B327" t="s">
        <v>2292</v>
      </c>
      <c r="C327">
        <v>-0.59</v>
      </c>
      <c r="D327">
        <v>6.79</v>
      </c>
      <c r="E327">
        <v>-0.04</v>
      </c>
      <c r="F327">
        <v>6.78</v>
      </c>
      <c r="G327">
        <v>6.79</v>
      </c>
      <c r="H327">
        <v>154994</v>
      </c>
      <c r="I327">
        <v>1827</v>
      </c>
      <c r="J327">
        <v>-0.14000000000000001</v>
      </c>
      <c r="K327">
        <v>2.23</v>
      </c>
      <c r="L327">
        <v>6.83</v>
      </c>
      <c r="M327">
        <v>6.99</v>
      </c>
      <c r="N327">
        <v>6.76</v>
      </c>
      <c r="O327">
        <v>6.83</v>
      </c>
      <c r="P327">
        <v>184.89</v>
      </c>
      <c r="Q327">
        <v>106479384</v>
      </c>
      <c r="R327">
        <v>1.23</v>
      </c>
      <c r="S327" t="s">
        <v>824</v>
      </c>
      <c r="T327" t="s">
        <v>1147</v>
      </c>
      <c r="U327">
        <v>3.37</v>
      </c>
      <c r="V327">
        <v>6.87</v>
      </c>
      <c r="W327">
        <v>82749</v>
      </c>
      <c r="X327">
        <v>72245</v>
      </c>
      <c r="Y327">
        <v>1.1499999999999999</v>
      </c>
      <c r="Z327">
        <v>516</v>
      </c>
      <c r="AA327">
        <v>109</v>
      </c>
      <c r="AB327" t="s">
        <v>116</v>
      </c>
      <c r="AC327">
        <v>233600</v>
      </c>
      <c r="AD327">
        <v>0.01</v>
      </c>
      <c r="AE327" t="s">
        <v>116</v>
      </c>
      <c r="AF327" t="s">
        <v>116</v>
      </c>
      <c r="AG327">
        <v>6.95</v>
      </c>
      <c r="AH327" t="s">
        <v>2293</v>
      </c>
      <c r="AI327" t="s">
        <v>2293</v>
      </c>
      <c r="AJ327">
        <v>0.09</v>
      </c>
      <c r="AK327">
        <v>2210</v>
      </c>
      <c r="AL327">
        <v>70</v>
      </c>
      <c r="AM327">
        <v>1E-3</v>
      </c>
      <c r="AN327">
        <v>-3</v>
      </c>
      <c r="AO327">
        <v>-2.4500000000000002</v>
      </c>
      <c r="AP327">
        <v>8.99</v>
      </c>
      <c r="AQ327">
        <v>-17.3</v>
      </c>
      <c r="AR327">
        <v>0.59</v>
      </c>
      <c r="AS327">
        <v>5.48</v>
      </c>
      <c r="AT327" t="s">
        <v>2294</v>
      </c>
      <c r="AU327">
        <v>155.19</v>
      </c>
      <c r="AV327">
        <v>106.7</v>
      </c>
      <c r="AW327">
        <v>1.68</v>
      </c>
      <c r="BA327">
        <v>0</v>
      </c>
      <c r="BB327">
        <v>2.34</v>
      </c>
      <c r="BC327">
        <v>-1.02</v>
      </c>
      <c r="BD327">
        <v>0.57999999999999996</v>
      </c>
      <c r="BE327">
        <v>-0.59</v>
      </c>
      <c r="BF327">
        <v>-2.86</v>
      </c>
      <c r="BG327">
        <v>0.44</v>
      </c>
      <c r="BH327">
        <v>-1.17</v>
      </c>
      <c r="BI327">
        <v>20191031</v>
      </c>
      <c r="BJ327">
        <v>19980609</v>
      </c>
      <c r="BK327">
        <v>6.95</v>
      </c>
      <c r="BL327" t="s">
        <v>116</v>
      </c>
      <c r="BM327" t="s">
        <v>116</v>
      </c>
      <c r="BN327">
        <v>31.44</v>
      </c>
      <c r="BO327">
        <v>20.54</v>
      </c>
      <c r="BP327">
        <v>0.32</v>
      </c>
      <c r="BQ327">
        <v>33.65</v>
      </c>
      <c r="BR327">
        <v>16.77</v>
      </c>
      <c r="BS327">
        <v>8.59</v>
      </c>
      <c r="BT327">
        <v>0.22</v>
      </c>
      <c r="BU327">
        <v>8.1</v>
      </c>
      <c r="BV327">
        <v>6.22</v>
      </c>
      <c r="BW327">
        <v>1.05</v>
      </c>
      <c r="BX327">
        <v>19.59</v>
      </c>
      <c r="BY327">
        <v>7.35</v>
      </c>
      <c r="BZ327">
        <v>6.56</v>
      </c>
      <c r="CA327">
        <v>0.2</v>
      </c>
      <c r="CB327">
        <v>0.01</v>
      </c>
      <c r="CC327">
        <v>0.2</v>
      </c>
      <c r="CD327">
        <v>0.2</v>
      </c>
      <c r="CE327">
        <v>0.19</v>
      </c>
      <c r="CF327">
        <v>0.16</v>
      </c>
      <c r="CG327">
        <v>-6.7</v>
      </c>
      <c r="CH327">
        <v>-0.67</v>
      </c>
      <c r="CI327">
        <v>-0.13</v>
      </c>
      <c r="CJ327">
        <v>31524</v>
      </c>
      <c r="CK327">
        <v>8975</v>
      </c>
      <c r="CL327" t="s">
        <v>1005</v>
      </c>
      <c r="CM327">
        <v>-41.92</v>
      </c>
      <c r="CN327">
        <v>-5.79</v>
      </c>
      <c r="CO327">
        <v>2.2999999999999998</v>
      </c>
      <c r="CP327">
        <v>-70.290000000000006</v>
      </c>
      <c r="CQ327">
        <v>6.43</v>
      </c>
      <c r="CR327">
        <v>0</v>
      </c>
      <c r="CS327" t="s">
        <v>2295</v>
      </c>
      <c r="CT327">
        <v>2.95</v>
      </c>
      <c r="CU327">
        <v>0</v>
      </c>
      <c r="CV327">
        <v>2.82</v>
      </c>
      <c r="CW327">
        <v>-0.96</v>
      </c>
      <c r="CX327">
        <v>-0.1</v>
      </c>
      <c r="CY327">
        <v>65.34</v>
      </c>
      <c r="CZ327" t="s">
        <v>2296</v>
      </c>
      <c r="DA327">
        <v>10.76</v>
      </c>
      <c r="DB327">
        <v>2.74</v>
      </c>
      <c r="DC327">
        <v>2.61</v>
      </c>
      <c r="DD327">
        <v>0.11</v>
      </c>
      <c r="DE327">
        <v>1134</v>
      </c>
      <c r="DF327">
        <v>815</v>
      </c>
      <c r="DG327" t="s">
        <v>116</v>
      </c>
      <c r="DH327" t="s">
        <v>116</v>
      </c>
      <c r="DI327" t="s">
        <v>116</v>
      </c>
    </row>
    <row r="328" spans="1:113" x14ac:dyDescent="0.4">
      <c r="A328" t="str">
        <f>"000816"</f>
        <v>000816</v>
      </c>
      <c r="B328" t="s">
        <v>2297</v>
      </c>
      <c r="C328">
        <v>-3.23</v>
      </c>
      <c r="D328">
        <v>1.5</v>
      </c>
      <c r="E328">
        <v>-0.05</v>
      </c>
      <c r="F328">
        <v>1.5</v>
      </c>
      <c r="G328">
        <v>1.51</v>
      </c>
      <c r="H328">
        <v>176355</v>
      </c>
      <c r="I328">
        <v>1990</v>
      </c>
      <c r="J328">
        <v>-0.65</v>
      </c>
      <c r="K328">
        <v>1.32</v>
      </c>
      <c r="L328">
        <v>1.54</v>
      </c>
      <c r="M328">
        <v>1.55</v>
      </c>
      <c r="N328">
        <v>1.49</v>
      </c>
      <c r="O328">
        <v>1.55</v>
      </c>
      <c r="P328" t="s">
        <v>116</v>
      </c>
      <c r="Q328">
        <v>26927836</v>
      </c>
      <c r="R328">
        <v>0.48</v>
      </c>
      <c r="S328" t="s">
        <v>2298</v>
      </c>
      <c r="T328" t="s">
        <v>323</v>
      </c>
      <c r="U328">
        <v>3.87</v>
      </c>
      <c r="V328">
        <v>1.53</v>
      </c>
      <c r="W328">
        <v>107718</v>
      </c>
      <c r="X328">
        <v>68637</v>
      </c>
      <c r="Y328">
        <v>1.57</v>
      </c>
      <c r="Z328">
        <v>4217</v>
      </c>
      <c r="AA328">
        <v>3818</v>
      </c>
      <c r="AB328" t="s">
        <v>116</v>
      </c>
      <c r="AC328">
        <v>459200</v>
      </c>
      <c r="AD328">
        <v>0.03</v>
      </c>
      <c r="AE328" t="s">
        <v>116</v>
      </c>
      <c r="AF328" t="s">
        <v>116</v>
      </c>
      <c r="AG328">
        <v>13.36</v>
      </c>
      <c r="AH328" t="s">
        <v>705</v>
      </c>
      <c r="AI328" t="s">
        <v>2299</v>
      </c>
      <c r="AJ328">
        <v>-2.5499999999999998</v>
      </c>
      <c r="AK328">
        <v>993</v>
      </c>
      <c r="AL328">
        <v>178</v>
      </c>
      <c r="AM328">
        <v>1.2999999999999999E-3</v>
      </c>
      <c r="AN328">
        <v>-1</v>
      </c>
      <c r="AO328">
        <v>-5.0599999999999996</v>
      </c>
      <c r="AP328">
        <v>7.14</v>
      </c>
      <c r="AQ328">
        <v>2.04</v>
      </c>
      <c r="AR328">
        <v>-1.32</v>
      </c>
      <c r="AS328">
        <v>1.68</v>
      </c>
      <c r="AT328" t="s">
        <v>2300</v>
      </c>
      <c r="AU328">
        <v>121.26</v>
      </c>
      <c r="AV328">
        <v>51.7</v>
      </c>
      <c r="AW328">
        <v>0.71</v>
      </c>
      <c r="BA328">
        <v>-0.65</v>
      </c>
      <c r="BB328">
        <v>0</v>
      </c>
      <c r="BC328">
        <v>-3.87</v>
      </c>
      <c r="BD328">
        <v>-1.49</v>
      </c>
      <c r="BE328">
        <v>-2.6</v>
      </c>
      <c r="BF328">
        <v>-3.23</v>
      </c>
      <c r="BG328">
        <v>0.67</v>
      </c>
      <c r="BH328">
        <v>-1.74</v>
      </c>
      <c r="BI328">
        <v>20191029</v>
      </c>
      <c r="BJ328">
        <v>19970818</v>
      </c>
      <c r="BK328">
        <v>14.19</v>
      </c>
      <c r="BL328" t="s">
        <v>116</v>
      </c>
      <c r="BM328" t="s">
        <v>116</v>
      </c>
      <c r="BN328">
        <v>50.73</v>
      </c>
      <c r="BO328">
        <v>29.8</v>
      </c>
      <c r="BP328">
        <v>2.64</v>
      </c>
      <c r="BQ328">
        <v>36.06</v>
      </c>
      <c r="BR328">
        <v>20.86</v>
      </c>
      <c r="BS328">
        <v>10.07</v>
      </c>
      <c r="BT328">
        <v>14.06</v>
      </c>
      <c r="BU328">
        <v>17.21</v>
      </c>
      <c r="BV328">
        <v>3.02</v>
      </c>
      <c r="BW328">
        <v>2.2200000000000002</v>
      </c>
      <c r="BX328">
        <v>14.14</v>
      </c>
      <c r="BY328">
        <v>10.61</v>
      </c>
      <c r="BZ328">
        <v>9.74</v>
      </c>
      <c r="CA328">
        <v>-1.6</v>
      </c>
      <c r="CB328">
        <v>0.02</v>
      </c>
      <c r="CC328">
        <v>-1.61</v>
      </c>
      <c r="CD328">
        <v>-1.4</v>
      </c>
      <c r="CE328">
        <v>-1.1299999999999999</v>
      </c>
      <c r="CF328">
        <v>-1.17</v>
      </c>
      <c r="CG328">
        <v>0.54</v>
      </c>
      <c r="CH328">
        <v>-0.67</v>
      </c>
      <c r="CI328">
        <v>-3.81</v>
      </c>
      <c r="CJ328">
        <v>105422</v>
      </c>
      <c r="CK328">
        <v>9951</v>
      </c>
      <c r="CL328" t="s">
        <v>2301</v>
      </c>
      <c r="CM328">
        <v>-26.32</v>
      </c>
      <c r="CN328">
        <v>-4.21</v>
      </c>
      <c r="CO328">
        <v>0.71</v>
      </c>
      <c r="CP328">
        <v>-31.55</v>
      </c>
      <c r="CQ328">
        <v>2.0099999999999998</v>
      </c>
      <c r="CR328">
        <v>0.67</v>
      </c>
      <c r="CS328" t="s">
        <v>2302</v>
      </c>
      <c r="CT328">
        <v>2.1</v>
      </c>
      <c r="CU328">
        <v>0</v>
      </c>
      <c r="CV328">
        <v>1</v>
      </c>
      <c r="CW328">
        <v>0.04</v>
      </c>
      <c r="CX328">
        <v>-0.05</v>
      </c>
      <c r="CY328">
        <v>58.73</v>
      </c>
      <c r="CZ328" t="s">
        <v>2303</v>
      </c>
      <c r="DA328">
        <v>8.26</v>
      </c>
      <c r="DB328">
        <v>-15.04</v>
      </c>
      <c r="DC328">
        <v>-10.68</v>
      </c>
      <c r="DD328">
        <v>0.46</v>
      </c>
      <c r="DE328">
        <v>2337</v>
      </c>
      <c r="DF328">
        <v>816</v>
      </c>
      <c r="DG328" t="s">
        <v>116</v>
      </c>
      <c r="DH328" t="s">
        <v>116</v>
      </c>
      <c r="DI328" t="s">
        <v>116</v>
      </c>
    </row>
    <row r="329" spans="1:113" x14ac:dyDescent="0.4">
      <c r="A329" t="str">
        <f>"000818"</f>
        <v>000818</v>
      </c>
      <c r="B329" t="s">
        <v>2304</v>
      </c>
      <c r="C329">
        <v>5.57</v>
      </c>
      <c r="D329">
        <v>19.89</v>
      </c>
      <c r="E329">
        <v>1.05</v>
      </c>
      <c r="F329">
        <v>19.89</v>
      </c>
      <c r="G329">
        <v>19.899999999999999</v>
      </c>
      <c r="H329">
        <v>990684</v>
      </c>
      <c r="I329">
        <v>8117</v>
      </c>
      <c r="J329">
        <v>-0.28999999999999998</v>
      </c>
      <c r="K329">
        <v>14.61</v>
      </c>
      <c r="L329">
        <v>19.579999999999998</v>
      </c>
      <c r="M329">
        <v>20.72</v>
      </c>
      <c r="N329">
        <v>18.920000000000002</v>
      </c>
      <c r="O329">
        <v>18.84</v>
      </c>
      <c r="P329">
        <v>42.78</v>
      </c>
      <c r="Q329">
        <v>1978197760</v>
      </c>
      <c r="R329">
        <v>1.94</v>
      </c>
      <c r="S329" t="s">
        <v>891</v>
      </c>
      <c r="T329" t="s">
        <v>434</v>
      </c>
      <c r="U329">
        <v>9.5500000000000007</v>
      </c>
      <c r="V329">
        <v>19.97</v>
      </c>
      <c r="W329">
        <v>458377</v>
      </c>
      <c r="X329">
        <v>532307</v>
      </c>
      <c r="Y329">
        <v>0.86</v>
      </c>
      <c r="Z329">
        <v>98</v>
      </c>
      <c r="AA329">
        <v>3092</v>
      </c>
      <c r="AB329" t="s">
        <v>116</v>
      </c>
      <c r="AC329">
        <v>48424500</v>
      </c>
      <c r="AD329">
        <v>0.52</v>
      </c>
      <c r="AE329" t="s">
        <v>116</v>
      </c>
      <c r="AF329" t="s">
        <v>116</v>
      </c>
      <c r="AG329">
        <v>6.78</v>
      </c>
      <c r="AH329" t="s">
        <v>2305</v>
      </c>
      <c r="AI329" t="s">
        <v>2306</v>
      </c>
      <c r="AJ329">
        <v>6.25</v>
      </c>
      <c r="AK329">
        <v>4469</v>
      </c>
      <c r="AL329">
        <v>222</v>
      </c>
      <c r="AM329">
        <v>3.3E-3</v>
      </c>
      <c r="AN329">
        <v>6</v>
      </c>
      <c r="AO329">
        <v>19.02</v>
      </c>
      <c r="AP329">
        <v>87.46</v>
      </c>
      <c r="AQ329">
        <v>115.49</v>
      </c>
      <c r="AR329">
        <v>119.05</v>
      </c>
      <c r="AS329">
        <v>20.65</v>
      </c>
      <c r="AT329" t="s">
        <v>2307</v>
      </c>
      <c r="AU329">
        <v>33.200000000000003</v>
      </c>
      <c r="AV329">
        <v>27.27</v>
      </c>
      <c r="AW329">
        <v>1.31</v>
      </c>
      <c r="BA329">
        <v>3.93</v>
      </c>
      <c r="BB329">
        <v>9.98</v>
      </c>
      <c r="BC329">
        <v>0.42</v>
      </c>
      <c r="BD329">
        <v>5.99</v>
      </c>
      <c r="BE329">
        <v>1.58</v>
      </c>
      <c r="BF329">
        <v>-4.01</v>
      </c>
      <c r="BG329">
        <v>5.13</v>
      </c>
      <c r="BH329">
        <v>-0.41</v>
      </c>
      <c r="BI329">
        <v>20191025</v>
      </c>
      <c r="BJ329">
        <v>19971017</v>
      </c>
      <c r="BK329">
        <v>6.9</v>
      </c>
      <c r="BL329" t="s">
        <v>116</v>
      </c>
      <c r="BM329" t="s">
        <v>116</v>
      </c>
      <c r="BN329">
        <v>42.65</v>
      </c>
      <c r="BO329">
        <v>25.7</v>
      </c>
      <c r="BP329">
        <v>0.65</v>
      </c>
      <c r="BQ329">
        <v>38.229999999999997</v>
      </c>
      <c r="BR329">
        <v>14.55</v>
      </c>
      <c r="BS329">
        <v>12.48</v>
      </c>
      <c r="BT329">
        <v>5.18</v>
      </c>
      <c r="BU329">
        <v>16.07</v>
      </c>
      <c r="BV329">
        <v>3.26</v>
      </c>
      <c r="BW329">
        <v>4.9400000000000004</v>
      </c>
      <c r="BX329">
        <v>8.9499999999999993</v>
      </c>
      <c r="BY329">
        <v>27.32</v>
      </c>
      <c r="BZ329">
        <v>21.54</v>
      </c>
      <c r="CA329">
        <v>2.81</v>
      </c>
      <c r="CB329">
        <v>0</v>
      </c>
      <c r="CC329">
        <v>2.82</v>
      </c>
      <c r="CD329">
        <v>2.38</v>
      </c>
      <c r="CE329">
        <v>2.41</v>
      </c>
      <c r="CF329">
        <v>2.3199999999999998</v>
      </c>
      <c r="CG329">
        <v>9.77</v>
      </c>
      <c r="CH329">
        <v>1.66</v>
      </c>
      <c r="CI329">
        <v>-1.1499999999999999</v>
      </c>
      <c r="CJ329">
        <v>42502</v>
      </c>
      <c r="CK329">
        <v>11287</v>
      </c>
      <c r="CL329" t="s">
        <v>2308</v>
      </c>
      <c r="CM329">
        <v>-27.21</v>
      </c>
      <c r="CN329">
        <v>-2.58</v>
      </c>
      <c r="CO329">
        <v>5.34</v>
      </c>
      <c r="CP329">
        <v>82.91</v>
      </c>
      <c r="CQ329">
        <v>5.0199999999999996</v>
      </c>
      <c r="CR329">
        <v>0.75</v>
      </c>
      <c r="CS329" t="s">
        <v>2309</v>
      </c>
      <c r="CT329">
        <v>3.72</v>
      </c>
      <c r="CU329">
        <v>0</v>
      </c>
      <c r="CV329">
        <v>1.3</v>
      </c>
      <c r="CW329">
        <v>1.42</v>
      </c>
      <c r="CX329">
        <v>0.24</v>
      </c>
      <c r="CY329">
        <v>60.26</v>
      </c>
      <c r="CZ329" t="s">
        <v>2310</v>
      </c>
      <c r="DA329">
        <v>21.18</v>
      </c>
      <c r="DB329">
        <v>10.29</v>
      </c>
      <c r="DC329">
        <v>8.81</v>
      </c>
      <c r="DD329">
        <v>0.39</v>
      </c>
      <c r="DE329">
        <v>4562</v>
      </c>
      <c r="DF329">
        <v>818</v>
      </c>
      <c r="DG329" t="s">
        <v>116</v>
      </c>
      <c r="DH329" t="s">
        <v>116</v>
      </c>
      <c r="DI329" t="s">
        <v>116</v>
      </c>
    </row>
    <row r="330" spans="1:113" x14ac:dyDescent="0.4">
      <c r="A330" t="str">
        <f>"000819"</f>
        <v>000819</v>
      </c>
      <c r="B330" t="s">
        <v>2311</v>
      </c>
      <c r="C330">
        <v>1.63</v>
      </c>
      <c r="D330">
        <v>8.11</v>
      </c>
      <c r="E330">
        <v>0.13</v>
      </c>
      <c r="F330">
        <v>8.1</v>
      </c>
      <c r="G330">
        <v>8.11</v>
      </c>
      <c r="H330">
        <v>45731</v>
      </c>
      <c r="I330">
        <v>580</v>
      </c>
      <c r="J330">
        <v>0.25</v>
      </c>
      <c r="K330">
        <v>1.61</v>
      </c>
      <c r="L330">
        <v>7.98</v>
      </c>
      <c r="M330">
        <v>8.2799999999999994</v>
      </c>
      <c r="N330">
        <v>7.95</v>
      </c>
      <c r="O330">
        <v>7.98</v>
      </c>
      <c r="P330">
        <v>35.94</v>
      </c>
      <c r="Q330">
        <v>37212376</v>
      </c>
      <c r="R330">
        <v>2.54</v>
      </c>
      <c r="S330" t="s">
        <v>433</v>
      </c>
      <c r="T330" t="s">
        <v>599</v>
      </c>
      <c r="U330">
        <v>4.1399999999999997</v>
      </c>
      <c r="V330">
        <v>8.14</v>
      </c>
      <c r="W330">
        <v>22098</v>
      </c>
      <c r="X330">
        <v>23633</v>
      </c>
      <c r="Y330">
        <v>0.94</v>
      </c>
      <c r="Z330">
        <v>32</v>
      </c>
      <c r="AA330">
        <v>72</v>
      </c>
      <c r="AB330" t="s">
        <v>116</v>
      </c>
      <c r="AC330">
        <v>0</v>
      </c>
      <c r="AD330">
        <v>0</v>
      </c>
      <c r="AE330" t="s">
        <v>116</v>
      </c>
      <c r="AF330" t="s">
        <v>116</v>
      </c>
      <c r="AG330">
        <v>2.85</v>
      </c>
      <c r="AH330" t="s">
        <v>2312</v>
      </c>
      <c r="AI330" t="s">
        <v>2313</v>
      </c>
      <c r="AJ330">
        <v>2.31</v>
      </c>
      <c r="AK330">
        <v>1286</v>
      </c>
      <c r="AL330">
        <v>36</v>
      </c>
      <c r="AM330">
        <v>1.1999999999999999E-3</v>
      </c>
      <c r="AN330">
        <v>2</v>
      </c>
      <c r="AO330">
        <v>2.4</v>
      </c>
      <c r="AP330">
        <v>5.46</v>
      </c>
      <c r="AQ330">
        <v>-2.17</v>
      </c>
      <c r="AR330">
        <v>-3.34</v>
      </c>
      <c r="AS330">
        <v>2.61</v>
      </c>
      <c r="AT330" t="s">
        <v>2314</v>
      </c>
      <c r="AU330">
        <v>39.43</v>
      </c>
      <c r="AV330">
        <v>44.37</v>
      </c>
      <c r="AW330">
        <v>0.75</v>
      </c>
      <c r="BA330">
        <v>0</v>
      </c>
      <c r="BB330">
        <v>3.76</v>
      </c>
      <c r="BC330">
        <v>-0.38</v>
      </c>
      <c r="BD330">
        <v>1.97</v>
      </c>
      <c r="BE330">
        <v>1.63</v>
      </c>
      <c r="BF330">
        <v>-2.0499999999999998</v>
      </c>
      <c r="BG330">
        <v>2.0099999999999998</v>
      </c>
      <c r="BH330">
        <v>-0.34</v>
      </c>
      <c r="BI330">
        <v>20191018</v>
      </c>
      <c r="BJ330">
        <v>19970625</v>
      </c>
      <c r="BK330">
        <v>2.85</v>
      </c>
      <c r="BL330" t="s">
        <v>116</v>
      </c>
      <c r="BM330" t="s">
        <v>116</v>
      </c>
      <c r="BN330">
        <v>9.75</v>
      </c>
      <c r="BO330">
        <v>8</v>
      </c>
      <c r="BP330">
        <v>0.24</v>
      </c>
      <c r="BQ330">
        <v>15.45</v>
      </c>
      <c r="BR330">
        <v>7.37</v>
      </c>
      <c r="BS330">
        <v>1.51</v>
      </c>
      <c r="BT330">
        <v>0.27</v>
      </c>
      <c r="BU330">
        <v>1.45</v>
      </c>
      <c r="BV330">
        <v>0.49</v>
      </c>
      <c r="BW330">
        <v>0.21</v>
      </c>
      <c r="BX330">
        <v>0.7</v>
      </c>
      <c r="BY330">
        <v>12.65</v>
      </c>
      <c r="BZ330">
        <v>11.27</v>
      </c>
      <c r="CA330">
        <v>0.65</v>
      </c>
      <c r="CB330">
        <v>0.03</v>
      </c>
      <c r="CC330">
        <v>0.65</v>
      </c>
      <c r="CD330">
        <v>0.48</v>
      </c>
      <c r="CE330">
        <v>0.48</v>
      </c>
      <c r="CF330">
        <v>0.48</v>
      </c>
      <c r="CG330">
        <v>2.78</v>
      </c>
      <c r="CH330">
        <v>0.62</v>
      </c>
      <c r="CI330">
        <v>0.62</v>
      </c>
      <c r="CJ330">
        <v>29843</v>
      </c>
      <c r="CK330">
        <v>5871</v>
      </c>
      <c r="CL330" t="s">
        <v>2315</v>
      </c>
      <c r="CM330">
        <v>15.64</v>
      </c>
      <c r="CN330">
        <v>-14.41</v>
      </c>
      <c r="CO330">
        <v>2.89</v>
      </c>
      <c r="CP330">
        <v>37.33</v>
      </c>
      <c r="CQ330">
        <v>1.83</v>
      </c>
      <c r="CR330">
        <v>0.23</v>
      </c>
      <c r="CS330" t="s">
        <v>2316</v>
      </c>
      <c r="CT330">
        <v>2.81</v>
      </c>
      <c r="CU330">
        <v>0</v>
      </c>
      <c r="CV330">
        <v>0.25</v>
      </c>
      <c r="CW330">
        <v>0.98</v>
      </c>
      <c r="CX330">
        <v>0.22</v>
      </c>
      <c r="CY330">
        <v>82.14</v>
      </c>
      <c r="CZ330" t="s">
        <v>2291</v>
      </c>
      <c r="DA330">
        <v>10.87</v>
      </c>
      <c r="DB330">
        <v>5.1100000000000003</v>
      </c>
      <c r="DC330">
        <v>3.81</v>
      </c>
      <c r="DD330">
        <v>0.04</v>
      </c>
      <c r="DE330">
        <v>665</v>
      </c>
      <c r="DF330">
        <v>819</v>
      </c>
      <c r="DG330" t="s">
        <v>116</v>
      </c>
      <c r="DH330" t="s">
        <v>116</v>
      </c>
      <c r="DI330" t="s">
        <v>116</v>
      </c>
    </row>
    <row r="331" spans="1:113" x14ac:dyDescent="0.4">
      <c r="A331" t="str">
        <f>"000820"</f>
        <v>000820</v>
      </c>
      <c r="B331" t="s">
        <v>2317</v>
      </c>
      <c r="C331">
        <v>-4.92</v>
      </c>
      <c r="D331">
        <v>1.74</v>
      </c>
      <c r="E331">
        <v>-0.09</v>
      </c>
      <c r="F331" t="s">
        <v>116</v>
      </c>
      <c r="G331">
        <v>1.74</v>
      </c>
      <c r="H331">
        <v>149253</v>
      </c>
      <c r="I331">
        <v>1356</v>
      </c>
      <c r="J331">
        <v>-0.56000000000000005</v>
      </c>
      <c r="K331">
        <v>5.19</v>
      </c>
      <c r="L331">
        <v>1.83</v>
      </c>
      <c r="M331">
        <v>1.84</v>
      </c>
      <c r="N331">
        <v>1.74</v>
      </c>
      <c r="O331">
        <v>1.83</v>
      </c>
      <c r="P331" t="s">
        <v>116</v>
      </c>
      <c r="Q331">
        <v>26653544</v>
      </c>
      <c r="R331">
        <v>0.69</v>
      </c>
      <c r="S331" t="s">
        <v>140</v>
      </c>
      <c r="T331" t="s">
        <v>434</v>
      </c>
      <c r="U331">
        <v>5.46</v>
      </c>
      <c r="V331">
        <v>1.79</v>
      </c>
      <c r="W331">
        <v>90854</v>
      </c>
      <c r="X331">
        <v>58399</v>
      </c>
      <c r="Y331">
        <v>1.56</v>
      </c>
      <c r="Z331">
        <v>0</v>
      </c>
      <c r="AA331">
        <v>1218</v>
      </c>
      <c r="AB331" t="s">
        <v>116</v>
      </c>
      <c r="AC331">
        <v>265500</v>
      </c>
      <c r="AD331">
        <v>0.05</v>
      </c>
      <c r="AE331">
        <v>0.01</v>
      </c>
      <c r="AF331">
        <v>211932</v>
      </c>
      <c r="AG331">
        <v>2.88</v>
      </c>
      <c r="AH331" t="s">
        <v>2318</v>
      </c>
      <c r="AI331" t="s">
        <v>1423</v>
      </c>
      <c r="AJ331">
        <v>-4.24</v>
      </c>
      <c r="AK331">
        <v>1010</v>
      </c>
      <c r="AL331">
        <v>148</v>
      </c>
      <c r="AM331">
        <v>5.1000000000000004E-3</v>
      </c>
      <c r="AN331">
        <v>-1</v>
      </c>
      <c r="AO331">
        <v>-5.94</v>
      </c>
      <c r="AP331">
        <v>16</v>
      </c>
      <c r="AQ331">
        <v>10.83</v>
      </c>
      <c r="AR331">
        <v>-68.87</v>
      </c>
      <c r="AS331">
        <v>5.42</v>
      </c>
      <c r="AT331" t="s">
        <v>2319</v>
      </c>
      <c r="AU331" t="s">
        <v>116</v>
      </c>
      <c r="AV331" t="s">
        <v>116</v>
      </c>
      <c r="AW331">
        <v>0.75</v>
      </c>
      <c r="BA331">
        <v>0</v>
      </c>
      <c r="BB331">
        <v>0.55000000000000004</v>
      </c>
      <c r="BC331">
        <v>-4.92</v>
      </c>
      <c r="BD331">
        <v>-2.42</v>
      </c>
      <c r="BE331">
        <v>-4.92</v>
      </c>
      <c r="BF331">
        <v>-5.43</v>
      </c>
      <c r="BG331">
        <v>0</v>
      </c>
      <c r="BH331">
        <v>-2.5</v>
      </c>
      <c r="BI331">
        <v>20191031</v>
      </c>
      <c r="BJ331">
        <v>19980630</v>
      </c>
      <c r="BK331">
        <v>6.37</v>
      </c>
      <c r="BL331" t="s">
        <v>116</v>
      </c>
      <c r="BM331" t="s">
        <v>116</v>
      </c>
      <c r="BN331">
        <v>17.3</v>
      </c>
      <c r="BO331">
        <v>0.47</v>
      </c>
      <c r="BP331">
        <v>0</v>
      </c>
      <c r="BQ331">
        <v>97.3</v>
      </c>
      <c r="BR331">
        <v>17.02</v>
      </c>
      <c r="BS331">
        <v>0.03</v>
      </c>
      <c r="BT331">
        <v>0.23</v>
      </c>
      <c r="BU331">
        <v>14.8</v>
      </c>
      <c r="BV331">
        <v>2.27</v>
      </c>
      <c r="BW331">
        <v>3.49</v>
      </c>
      <c r="BX331">
        <v>0.09</v>
      </c>
      <c r="BY331">
        <v>0.15</v>
      </c>
      <c r="BZ331">
        <v>0.05</v>
      </c>
      <c r="CA331">
        <v>-1.43</v>
      </c>
      <c r="CB331">
        <v>0</v>
      </c>
      <c r="CC331">
        <v>-1.44</v>
      </c>
      <c r="CD331">
        <v>-1.44</v>
      </c>
      <c r="CE331">
        <v>-1.44</v>
      </c>
      <c r="CF331">
        <v>-1.43</v>
      </c>
      <c r="CG331">
        <v>-0.94</v>
      </c>
      <c r="CH331">
        <v>-0.46</v>
      </c>
      <c r="CI331">
        <v>-0.03</v>
      </c>
      <c r="CJ331">
        <v>36381</v>
      </c>
      <c r="CK331">
        <v>7576</v>
      </c>
      <c r="CL331" t="s">
        <v>2074</v>
      </c>
      <c r="CM331">
        <v>-13.35</v>
      </c>
      <c r="CN331">
        <v>236.83</v>
      </c>
      <c r="CO331">
        <v>23.74</v>
      </c>
      <c r="CP331">
        <v>-24.3</v>
      </c>
      <c r="CQ331">
        <v>75.8</v>
      </c>
      <c r="CR331">
        <v>0</v>
      </c>
      <c r="CS331" t="s">
        <v>2320</v>
      </c>
      <c r="CT331">
        <v>7.0000000000000007E-2</v>
      </c>
      <c r="CU331">
        <v>0</v>
      </c>
      <c r="CV331">
        <v>0.01</v>
      </c>
      <c r="CW331">
        <v>-0.15</v>
      </c>
      <c r="CX331">
        <v>-7.0000000000000007E-2</v>
      </c>
      <c r="CY331">
        <v>2.7</v>
      </c>
      <c r="CZ331" t="s">
        <v>2321</v>
      </c>
      <c r="DA331">
        <v>65.63</v>
      </c>
      <c r="DB331">
        <v>-976.89</v>
      </c>
      <c r="DC331">
        <v>-985.67</v>
      </c>
      <c r="DD331">
        <v>0.15</v>
      </c>
      <c r="DE331">
        <v>671</v>
      </c>
      <c r="DF331">
        <v>820</v>
      </c>
      <c r="DG331" t="s">
        <v>116</v>
      </c>
      <c r="DH331" t="s">
        <v>116</v>
      </c>
      <c r="DI331" t="s">
        <v>116</v>
      </c>
    </row>
    <row r="332" spans="1:113" x14ac:dyDescent="0.4">
      <c r="A332" t="str">
        <f>"000821"</f>
        <v>000821</v>
      </c>
      <c r="B332" t="s">
        <v>2322</v>
      </c>
      <c r="C332">
        <v>-1.53</v>
      </c>
      <c r="D332">
        <v>6.44</v>
      </c>
      <c r="E332">
        <v>-0.1</v>
      </c>
      <c r="F332">
        <v>6.44</v>
      </c>
      <c r="G332">
        <v>6.45</v>
      </c>
      <c r="H332">
        <v>48105</v>
      </c>
      <c r="I332">
        <v>320</v>
      </c>
      <c r="J332">
        <v>0</v>
      </c>
      <c r="K332">
        <v>1.06</v>
      </c>
      <c r="L332">
        <v>6.52</v>
      </c>
      <c r="M332">
        <v>6.59</v>
      </c>
      <c r="N332">
        <v>6.42</v>
      </c>
      <c r="O332">
        <v>6.54</v>
      </c>
      <c r="P332">
        <v>18.260000000000002</v>
      </c>
      <c r="Q332">
        <v>31357588</v>
      </c>
      <c r="R332">
        <v>1.43</v>
      </c>
      <c r="S332" t="s">
        <v>353</v>
      </c>
      <c r="T332" t="s">
        <v>774</v>
      </c>
      <c r="U332">
        <v>2.6</v>
      </c>
      <c r="V332">
        <v>6.52</v>
      </c>
      <c r="W332">
        <v>30718</v>
      </c>
      <c r="X332">
        <v>17387</v>
      </c>
      <c r="Y332">
        <v>1.77</v>
      </c>
      <c r="Z332">
        <v>347</v>
      </c>
      <c r="AA332">
        <v>147</v>
      </c>
      <c r="AB332" t="s">
        <v>116</v>
      </c>
      <c r="AC332">
        <v>56700</v>
      </c>
      <c r="AD332">
        <v>0</v>
      </c>
      <c r="AE332" t="s">
        <v>116</v>
      </c>
      <c r="AF332" t="s">
        <v>116</v>
      </c>
      <c r="AG332">
        <v>4.5199999999999996</v>
      </c>
      <c r="AH332" t="s">
        <v>2323</v>
      </c>
      <c r="AI332" t="s">
        <v>1442</v>
      </c>
      <c r="AJ332">
        <v>-0.85</v>
      </c>
      <c r="AK332">
        <v>1171</v>
      </c>
      <c r="AL332">
        <v>41</v>
      </c>
      <c r="AM332">
        <v>8.9999999999999998E-4</v>
      </c>
      <c r="AN332">
        <v>-1</v>
      </c>
      <c r="AO332">
        <v>-0.47</v>
      </c>
      <c r="AP332">
        <v>3.7</v>
      </c>
      <c r="AQ332">
        <v>-10.93</v>
      </c>
      <c r="AR332">
        <v>-15.93</v>
      </c>
      <c r="AS332">
        <v>1.64</v>
      </c>
      <c r="AT332" t="s">
        <v>2324</v>
      </c>
      <c r="AU332">
        <v>195.11</v>
      </c>
      <c r="AV332">
        <v>24.09</v>
      </c>
      <c r="AW332">
        <v>0.99</v>
      </c>
      <c r="BA332">
        <v>-0.31</v>
      </c>
      <c r="BB332">
        <v>0.76</v>
      </c>
      <c r="BC332">
        <v>-1.83</v>
      </c>
      <c r="BD332">
        <v>-0.33</v>
      </c>
      <c r="BE332">
        <v>-1.23</v>
      </c>
      <c r="BF332">
        <v>-2.2799999999999998</v>
      </c>
      <c r="BG332">
        <v>0.31</v>
      </c>
      <c r="BH332">
        <v>-1.2</v>
      </c>
      <c r="BI332">
        <v>20191031</v>
      </c>
      <c r="BJ332">
        <v>19980626</v>
      </c>
      <c r="BK332">
        <v>5.38</v>
      </c>
      <c r="BL332" t="s">
        <v>116</v>
      </c>
      <c r="BM332" t="s">
        <v>116</v>
      </c>
      <c r="BN332">
        <v>53.02</v>
      </c>
      <c r="BO332">
        <v>29.1</v>
      </c>
      <c r="BP332">
        <v>1.33</v>
      </c>
      <c r="BQ332">
        <v>42.61</v>
      </c>
      <c r="BR332">
        <v>32.03</v>
      </c>
      <c r="BS332">
        <v>3.78</v>
      </c>
      <c r="BT332">
        <v>1.01</v>
      </c>
      <c r="BU332">
        <v>20.43</v>
      </c>
      <c r="BV332">
        <v>11.94</v>
      </c>
      <c r="BW332">
        <v>10.14</v>
      </c>
      <c r="BX332">
        <v>15.91</v>
      </c>
      <c r="BY332">
        <v>16.690000000000001</v>
      </c>
      <c r="BZ332">
        <v>12.48</v>
      </c>
      <c r="CA332">
        <v>1.53</v>
      </c>
      <c r="CB332">
        <v>0.03</v>
      </c>
      <c r="CC332">
        <v>1.56</v>
      </c>
      <c r="CD332">
        <v>1.38</v>
      </c>
      <c r="CE332">
        <v>1.42</v>
      </c>
      <c r="CF332">
        <v>1.1000000000000001</v>
      </c>
      <c r="CG332">
        <v>6.77</v>
      </c>
      <c r="CH332">
        <v>-1.62</v>
      </c>
      <c r="CI332">
        <v>-2.79</v>
      </c>
      <c r="CJ332">
        <v>36252</v>
      </c>
      <c r="CK332">
        <v>8088</v>
      </c>
      <c r="CL332" t="s">
        <v>2325</v>
      </c>
      <c r="CM332">
        <v>-46.97</v>
      </c>
      <c r="CN332">
        <v>-2.21</v>
      </c>
      <c r="CO332">
        <v>1.19</v>
      </c>
      <c r="CP332">
        <v>-21.34</v>
      </c>
      <c r="CQ332">
        <v>2.08</v>
      </c>
      <c r="CR332">
        <v>0</v>
      </c>
      <c r="CS332" t="s">
        <v>2326</v>
      </c>
      <c r="CT332">
        <v>5.41</v>
      </c>
      <c r="CU332">
        <v>0</v>
      </c>
      <c r="CV332">
        <v>2.96</v>
      </c>
      <c r="CW332">
        <v>1.26</v>
      </c>
      <c r="CX332">
        <v>-0.3</v>
      </c>
      <c r="CY332">
        <v>54.88</v>
      </c>
      <c r="CZ332" t="s">
        <v>2327</v>
      </c>
      <c r="DA332">
        <v>25.24</v>
      </c>
      <c r="DB332">
        <v>9.14</v>
      </c>
      <c r="DC332">
        <v>8.5299999999999994</v>
      </c>
      <c r="DD332">
        <v>0.74</v>
      </c>
      <c r="DE332">
        <v>2858</v>
      </c>
      <c r="DF332">
        <v>821</v>
      </c>
      <c r="DG332" t="s">
        <v>116</v>
      </c>
      <c r="DH332" t="s">
        <v>116</v>
      </c>
      <c r="DI332" t="s">
        <v>116</v>
      </c>
    </row>
    <row r="333" spans="1:113" x14ac:dyDescent="0.4">
      <c r="A333" t="str">
        <f>"000822"</f>
        <v>000822</v>
      </c>
      <c r="B333" t="s">
        <v>2328</v>
      </c>
      <c r="C333">
        <v>0.42</v>
      </c>
      <c r="D333">
        <v>4.76</v>
      </c>
      <c r="E333">
        <v>0.02</v>
      </c>
      <c r="F333">
        <v>4.75</v>
      </c>
      <c r="G333">
        <v>4.76</v>
      </c>
      <c r="H333">
        <v>104721</v>
      </c>
      <c r="I333">
        <v>1392</v>
      </c>
      <c r="J333">
        <v>0</v>
      </c>
      <c r="K333">
        <v>1.17</v>
      </c>
      <c r="L333">
        <v>4.76</v>
      </c>
      <c r="M333">
        <v>4.82</v>
      </c>
      <c r="N333">
        <v>4.72</v>
      </c>
      <c r="O333">
        <v>4.74</v>
      </c>
      <c r="P333">
        <v>13.06</v>
      </c>
      <c r="Q333">
        <v>49967248</v>
      </c>
      <c r="R333">
        <v>1.52</v>
      </c>
      <c r="S333" t="s">
        <v>891</v>
      </c>
      <c r="T333" t="s">
        <v>645</v>
      </c>
      <c r="U333">
        <v>2.11</v>
      </c>
      <c r="V333">
        <v>4.7699999999999996</v>
      </c>
      <c r="W333">
        <v>51072</v>
      </c>
      <c r="X333">
        <v>53649</v>
      </c>
      <c r="Y333">
        <v>0.95</v>
      </c>
      <c r="Z333">
        <v>573</v>
      </c>
      <c r="AA333">
        <v>513</v>
      </c>
      <c r="AB333" t="s">
        <v>116</v>
      </c>
      <c r="AC333">
        <v>209900</v>
      </c>
      <c r="AD333">
        <v>0.01</v>
      </c>
      <c r="AE333" t="s">
        <v>116</v>
      </c>
      <c r="AF333" t="s">
        <v>116</v>
      </c>
      <c r="AG333">
        <v>8.9499999999999993</v>
      </c>
      <c r="AH333" t="s">
        <v>2329</v>
      </c>
      <c r="AI333" t="s">
        <v>2329</v>
      </c>
      <c r="AJ333">
        <v>1.1000000000000001</v>
      </c>
      <c r="AK333">
        <v>1507</v>
      </c>
      <c r="AL333">
        <v>69</v>
      </c>
      <c r="AM333">
        <v>8.0000000000000004E-4</v>
      </c>
      <c r="AN333">
        <v>2</v>
      </c>
      <c r="AO333">
        <v>3.48</v>
      </c>
      <c r="AP333">
        <v>5.78</v>
      </c>
      <c r="AQ333">
        <v>3.93</v>
      </c>
      <c r="AR333">
        <v>2.37</v>
      </c>
      <c r="AS333">
        <v>1.96</v>
      </c>
      <c r="AT333" t="s">
        <v>2330</v>
      </c>
      <c r="AU333">
        <v>11.9</v>
      </c>
      <c r="AV333">
        <v>7.26</v>
      </c>
      <c r="AW333">
        <v>0.88</v>
      </c>
      <c r="BA333">
        <v>0.42</v>
      </c>
      <c r="BB333">
        <v>1.69</v>
      </c>
      <c r="BC333">
        <v>-0.42</v>
      </c>
      <c r="BD333">
        <v>0.66</v>
      </c>
      <c r="BE333">
        <v>0</v>
      </c>
      <c r="BF333">
        <v>-1.24</v>
      </c>
      <c r="BG333">
        <v>0.85</v>
      </c>
      <c r="BH333">
        <v>-0.24</v>
      </c>
      <c r="BI333">
        <v>20191025</v>
      </c>
      <c r="BJ333">
        <v>19980703</v>
      </c>
      <c r="BK333">
        <v>8.9499999999999993</v>
      </c>
      <c r="BL333" t="s">
        <v>116</v>
      </c>
      <c r="BM333" t="s">
        <v>116</v>
      </c>
      <c r="BN333">
        <v>45.38</v>
      </c>
      <c r="BO333">
        <v>34.409999999999997</v>
      </c>
      <c r="BP333">
        <v>-0.3</v>
      </c>
      <c r="BQ333">
        <v>24.83</v>
      </c>
      <c r="BR333">
        <v>21.81</v>
      </c>
      <c r="BS333">
        <v>19</v>
      </c>
      <c r="BT333">
        <v>0.84</v>
      </c>
      <c r="BU333">
        <v>8.92</v>
      </c>
      <c r="BV333">
        <v>3.41</v>
      </c>
      <c r="BW333">
        <v>1.55</v>
      </c>
      <c r="BX333">
        <v>15.07</v>
      </c>
      <c r="BY333">
        <v>34.380000000000003</v>
      </c>
      <c r="BZ333">
        <v>28.99</v>
      </c>
      <c r="CA333">
        <v>3.16</v>
      </c>
      <c r="CB333">
        <v>0.05</v>
      </c>
      <c r="CC333">
        <v>3.28</v>
      </c>
      <c r="CD333">
        <v>2.4500000000000002</v>
      </c>
      <c r="CE333">
        <v>2.4500000000000002</v>
      </c>
      <c r="CF333">
        <v>1.9</v>
      </c>
      <c r="CG333">
        <v>6.49</v>
      </c>
      <c r="CH333">
        <v>4.5</v>
      </c>
      <c r="CI333">
        <v>2.75</v>
      </c>
      <c r="CJ333">
        <v>68940</v>
      </c>
      <c r="CK333">
        <v>7746</v>
      </c>
      <c r="CL333" t="s">
        <v>1380</v>
      </c>
      <c r="CM333">
        <v>-48.3</v>
      </c>
      <c r="CN333">
        <v>-10.58</v>
      </c>
      <c r="CO333">
        <v>1.24</v>
      </c>
      <c r="CP333">
        <v>9.48</v>
      </c>
      <c r="CQ333">
        <v>1.24</v>
      </c>
      <c r="CR333">
        <v>4.2</v>
      </c>
      <c r="CS333" t="s">
        <v>2331</v>
      </c>
      <c r="CT333">
        <v>3.84</v>
      </c>
      <c r="CU333">
        <v>0</v>
      </c>
      <c r="CV333">
        <v>1.68</v>
      </c>
      <c r="CW333">
        <v>0.73</v>
      </c>
      <c r="CX333">
        <v>0.5</v>
      </c>
      <c r="CY333">
        <v>75.83</v>
      </c>
      <c r="CZ333" t="s">
        <v>2332</v>
      </c>
      <c r="DA333">
        <v>15.68</v>
      </c>
      <c r="DB333">
        <v>9.19</v>
      </c>
      <c r="DC333">
        <v>7.11</v>
      </c>
      <c r="DD333">
        <v>0</v>
      </c>
      <c r="DE333">
        <v>4816</v>
      </c>
      <c r="DF333">
        <v>822</v>
      </c>
      <c r="DG333" t="s">
        <v>116</v>
      </c>
      <c r="DH333" t="s">
        <v>116</v>
      </c>
      <c r="DI333" t="s">
        <v>116</v>
      </c>
    </row>
    <row r="334" spans="1:113" x14ac:dyDescent="0.4">
      <c r="A334" t="str">
        <f>"000823"</f>
        <v>000823</v>
      </c>
      <c r="B334" t="s">
        <v>2333</v>
      </c>
      <c r="C334">
        <v>-3.45</v>
      </c>
      <c r="D334">
        <v>13.98</v>
      </c>
      <c r="E334">
        <v>-0.5</v>
      </c>
      <c r="F334">
        <v>13.98</v>
      </c>
      <c r="G334">
        <v>13.99</v>
      </c>
      <c r="H334">
        <v>663170</v>
      </c>
      <c r="I334">
        <v>12394</v>
      </c>
      <c r="J334">
        <v>-0.7</v>
      </c>
      <c r="K334">
        <v>12.35</v>
      </c>
      <c r="L334">
        <v>15.34</v>
      </c>
      <c r="M334">
        <v>15.69</v>
      </c>
      <c r="N334">
        <v>13.95</v>
      </c>
      <c r="O334">
        <v>14.48</v>
      </c>
      <c r="P334">
        <v>27.45</v>
      </c>
      <c r="Q334">
        <v>978196736</v>
      </c>
      <c r="R334">
        <v>1.03</v>
      </c>
      <c r="S334" t="s">
        <v>233</v>
      </c>
      <c r="T334" t="s">
        <v>551</v>
      </c>
      <c r="U334">
        <v>12.02</v>
      </c>
      <c r="V334">
        <v>14.75</v>
      </c>
      <c r="W334">
        <v>366667</v>
      </c>
      <c r="X334">
        <v>296503</v>
      </c>
      <c r="Y334">
        <v>1.24</v>
      </c>
      <c r="Z334">
        <v>2321</v>
      </c>
      <c r="AA334">
        <v>253</v>
      </c>
      <c r="AB334" t="s">
        <v>116</v>
      </c>
      <c r="AC334">
        <v>17845000</v>
      </c>
      <c r="AD334">
        <v>0.31</v>
      </c>
      <c r="AE334" t="s">
        <v>116</v>
      </c>
      <c r="AF334" t="s">
        <v>116</v>
      </c>
      <c r="AG334">
        <v>5.37</v>
      </c>
      <c r="AH334" t="s">
        <v>2334</v>
      </c>
      <c r="AI334" t="s">
        <v>2335</v>
      </c>
      <c r="AJ334">
        <v>-2.77</v>
      </c>
      <c r="AK334">
        <v>4469</v>
      </c>
      <c r="AL334">
        <v>148</v>
      </c>
      <c r="AM334">
        <v>2.8E-3</v>
      </c>
      <c r="AN334">
        <v>-2</v>
      </c>
      <c r="AO334">
        <v>-0.28000000000000003</v>
      </c>
      <c r="AP334">
        <v>39.380000000000003</v>
      </c>
      <c r="AQ334">
        <v>28.61</v>
      </c>
      <c r="AR334">
        <v>81.56</v>
      </c>
      <c r="AS334">
        <v>17.72</v>
      </c>
      <c r="AT334" t="s">
        <v>2336</v>
      </c>
      <c r="AU334">
        <v>25.62</v>
      </c>
      <c r="AV334">
        <v>27.82</v>
      </c>
      <c r="AW334">
        <v>1.83</v>
      </c>
      <c r="BA334">
        <v>5.94</v>
      </c>
      <c r="BB334">
        <v>8.36</v>
      </c>
      <c r="BC334">
        <v>-3.66</v>
      </c>
      <c r="BD334">
        <v>1.87</v>
      </c>
      <c r="BE334">
        <v>-8.8699999999999992</v>
      </c>
      <c r="BF334">
        <v>-10.9</v>
      </c>
      <c r="BG334">
        <v>0.22</v>
      </c>
      <c r="BH334">
        <v>-5.32</v>
      </c>
      <c r="BI334">
        <v>20191030</v>
      </c>
      <c r="BJ334">
        <v>19971008</v>
      </c>
      <c r="BK334">
        <v>5.37</v>
      </c>
      <c r="BL334" t="s">
        <v>116</v>
      </c>
      <c r="BM334" t="s">
        <v>116</v>
      </c>
      <c r="BN334">
        <v>55.17</v>
      </c>
      <c r="BO334">
        <v>34.6</v>
      </c>
      <c r="BP334">
        <v>4.0199999999999996</v>
      </c>
      <c r="BQ334">
        <v>29.98</v>
      </c>
      <c r="BR334">
        <v>33.14</v>
      </c>
      <c r="BS334">
        <v>18.100000000000001</v>
      </c>
      <c r="BT334">
        <v>1.1100000000000001</v>
      </c>
      <c r="BU334">
        <v>16.170000000000002</v>
      </c>
      <c r="BV334">
        <v>6.97</v>
      </c>
      <c r="BW334">
        <v>14.6</v>
      </c>
      <c r="BX334">
        <v>14.25</v>
      </c>
      <c r="BY334">
        <v>35.51</v>
      </c>
      <c r="BZ334">
        <v>27.65</v>
      </c>
      <c r="CA334">
        <v>3.05</v>
      </c>
      <c r="CB334">
        <v>0.03</v>
      </c>
      <c r="CC334">
        <v>3.03</v>
      </c>
      <c r="CD334">
        <v>2.5099999999999998</v>
      </c>
      <c r="CE334">
        <v>2.0499999999999998</v>
      </c>
      <c r="CF334">
        <v>1.92</v>
      </c>
      <c r="CG334">
        <v>12.63</v>
      </c>
      <c r="CH334">
        <v>5.62</v>
      </c>
      <c r="CI334">
        <v>1.02</v>
      </c>
      <c r="CJ334">
        <v>52590</v>
      </c>
      <c r="CK334">
        <v>7115</v>
      </c>
      <c r="CL334" t="s">
        <v>722</v>
      </c>
      <c r="CM334">
        <v>12.76</v>
      </c>
      <c r="CN334">
        <v>-2.2999999999999998</v>
      </c>
      <c r="CO334">
        <v>2.17</v>
      </c>
      <c r="CP334">
        <v>13.35</v>
      </c>
      <c r="CQ334">
        <v>2.11</v>
      </c>
      <c r="CR334">
        <v>0.72</v>
      </c>
      <c r="CS334" t="s">
        <v>2337</v>
      </c>
      <c r="CT334">
        <v>6.44</v>
      </c>
      <c r="CU334">
        <v>0</v>
      </c>
      <c r="CV334">
        <v>2.65</v>
      </c>
      <c r="CW334">
        <v>2.35</v>
      </c>
      <c r="CX334">
        <v>1.05</v>
      </c>
      <c r="CY334">
        <v>62.73</v>
      </c>
      <c r="CZ334" t="s">
        <v>447</v>
      </c>
      <c r="DA334">
        <v>22.16</v>
      </c>
      <c r="DB334">
        <v>8.58</v>
      </c>
      <c r="DC334">
        <v>5.78</v>
      </c>
      <c r="DD334">
        <v>1.56</v>
      </c>
      <c r="DE334">
        <v>6811</v>
      </c>
      <c r="DF334">
        <v>823</v>
      </c>
      <c r="DG334" t="s">
        <v>116</v>
      </c>
      <c r="DH334" t="s">
        <v>116</v>
      </c>
      <c r="DI334" t="s">
        <v>116</v>
      </c>
    </row>
    <row r="335" spans="1:113" x14ac:dyDescent="0.4">
      <c r="A335" t="str">
        <f>"000825"</f>
        <v>000825</v>
      </c>
      <c r="B335" t="s">
        <v>2338</v>
      </c>
      <c r="C335">
        <v>0.75</v>
      </c>
      <c r="D335">
        <v>4.03</v>
      </c>
      <c r="E335">
        <v>0.03</v>
      </c>
      <c r="F335">
        <v>4.03</v>
      </c>
      <c r="G335">
        <v>4.04</v>
      </c>
      <c r="H335">
        <v>205423</v>
      </c>
      <c r="I335">
        <v>1734</v>
      </c>
      <c r="J335">
        <v>0</v>
      </c>
      <c r="K335">
        <v>0.36</v>
      </c>
      <c r="L335">
        <v>4</v>
      </c>
      <c r="M335">
        <v>4.07</v>
      </c>
      <c r="N335">
        <v>3.99</v>
      </c>
      <c r="O335">
        <v>4</v>
      </c>
      <c r="P335">
        <v>9.32</v>
      </c>
      <c r="Q335">
        <v>82846576</v>
      </c>
      <c r="R335">
        <v>1.64</v>
      </c>
      <c r="S335" t="s">
        <v>1839</v>
      </c>
      <c r="T335" t="s">
        <v>675</v>
      </c>
      <c r="U335">
        <v>2</v>
      </c>
      <c r="V335">
        <v>4.03</v>
      </c>
      <c r="W335">
        <v>95730</v>
      </c>
      <c r="X335">
        <v>109693</v>
      </c>
      <c r="Y335">
        <v>0.87</v>
      </c>
      <c r="Z335">
        <v>673</v>
      </c>
      <c r="AA335">
        <v>7940</v>
      </c>
      <c r="AB335" t="s">
        <v>116</v>
      </c>
      <c r="AC335">
        <v>166400</v>
      </c>
      <c r="AD335">
        <v>0</v>
      </c>
      <c r="AE335" t="s">
        <v>116</v>
      </c>
      <c r="AF335" t="s">
        <v>116</v>
      </c>
      <c r="AG335">
        <v>56.96</v>
      </c>
      <c r="AH335" t="s">
        <v>2339</v>
      </c>
      <c r="AI335" t="s">
        <v>2340</v>
      </c>
      <c r="AJ335">
        <v>1.43</v>
      </c>
      <c r="AK335">
        <v>2077</v>
      </c>
      <c r="AL335">
        <v>99</v>
      </c>
      <c r="AM335">
        <v>2.0000000000000001E-4</v>
      </c>
      <c r="AN335">
        <v>2</v>
      </c>
      <c r="AO335">
        <v>1.01</v>
      </c>
      <c r="AP335">
        <v>2.54</v>
      </c>
      <c r="AQ335">
        <v>5.22</v>
      </c>
      <c r="AR335">
        <v>-0.25</v>
      </c>
      <c r="AS335">
        <v>0.99</v>
      </c>
      <c r="AT335" t="s">
        <v>2341</v>
      </c>
      <c r="AU335">
        <v>8.31</v>
      </c>
      <c r="AV335">
        <v>4.6100000000000003</v>
      </c>
      <c r="AW335">
        <v>0.59</v>
      </c>
      <c r="BA335">
        <v>0</v>
      </c>
      <c r="BB335">
        <v>1.75</v>
      </c>
      <c r="BC335">
        <v>-0.25</v>
      </c>
      <c r="BD335">
        <v>0.82</v>
      </c>
      <c r="BE335">
        <v>0.75</v>
      </c>
      <c r="BF335">
        <v>-0.98</v>
      </c>
      <c r="BG335">
        <v>1</v>
      </c>
      <c r="BH335">
        <v>-7.0000000000000007E-2</v>
      </c>
      <c r="BI335">
        <v>20191019</v>
      </c>
      <c r="BJ335">
        <v>19981021</v>
      </c>
      <c r="BK335">
        <v>56.96</v>
      </c>
      <c r="BL335" t="s">
        <v>116</v>
      </c>
      <c r="BM335" t="s">
        <v>116</v>
      </c>
      <c r="BN335">
        <v>685.54</v>
      </c>
      <c r="BO335">
        <v>316.82</v>
      </c>
      <c r="BP335">
        <v>3.23</v>
      </c>
      <c r="BQ335">
        <v>53.31</v>
      </c>
      <c r="BR335">
        <v>207.75</v>
      </c>
      <c r="BS335">
        <v>441.02</v>
      </c>
      <c r="BT335">
        <v>2.46</v>
      </c>
      <c r="BU335">
        <v>279.3</v>
      </c>
      <c r="BV335">
        <v>78.349999999999994</v>
      </c>
      <c r="BW335">
        <v>14.31</v>
      </c>
      <c r="BX335">
        <v>67.72</v>
      </c>
      <c r="BY335">
        <v>533.19000000000005</v>
      </c>
      <c r="BZ335">
        <v>469.95</v>
      </c>
      <c r="CA335">
        <v>19.09</v>
      </c>
      <c r="CB335">
        <v>1.4</v>
      </c>
      <c r="CC335">
        <v>19.22</v>
      </c>
      <c r="CD335">
        <v>18.059999999999999</v>
      </c>
      <c r="CE335">
        <v>18.46</v>
      </c>
      <c r="CF335">
        <v>17.98</v>
      </c>
      <c r="CG335">
        <v>162.71</v>
      </c>
      <c r="CH335">
        <v>9.75</v>
      </c>
      <c r="CI335">
        <v>-16.600000000000001</v>
      </c>
      <c r="CJ335">
        <v>187174</v>
      </c>
      <c r="CK335">
        <v>11110</v>
      </c>
      <c r="CL335" t="s">
        <v>2342</v>
      </c>
      <c r="CM335">
        <v>-54.53</v>
      </c>
      <c r="CN335">
        <v>-3.17</v>
      </c>
      <c r="CO335">
        <v>0.72</v>
      </c>
      <c r="CP335">
        <v>23.54</v>
      </c>
      <c r="CQ335">
        <v>0.43</v>
      </c>
      <c r="CR335">
        <v>2.48</v>
      </c>
      <c r="CS335" t="s">
        <v>2343</v>
      </c>
      <c r="CT335">
        <v>5.56</v>
      </c>
      <c r="CU335">
        <v>0</v>
      </c>
      <c r="CV335">
        <v>1.19</v>
      </c>
      <c r="CW335">
        <v>2.86</v>
      </c>
      <c r="CX335">
        <v>0.17</v>
      </c>
      <c r="CY335">
        <v>46.21</v>
      </c>
      <c r="CZ335" t="s">
        <v>2344</v>
      </c>
      <c r="DA335">
        <v>11.86</v>
      </c>
      <c r="DB335">
        <v>3.58</v>
      </c>
      <c r="DC335">
        <v>3.46</v>
      </c>
      <c r="DD335">
        <v>16.54</v>
      </c>
      <c r="DE335">
        <v>19468</v>
      </c>
      <c r="DF335">
        <v>825</v>
      </c>
      <c r="DG335" t="s">
        <v>116</v>
      </c>
      <c r="DH335" t="s">
        <v>116</v>
      </c>
      <c r="DI335" t="s">
        <v>116</v>
      </c>
    </row>
    <row r="336" spans="1:113" x14ac:dyDescent="0.4">
      <c r="A336" t="str">
        <f>"000826"</f>
        <v>000826</v>
      </c>
      <c r="B336" t="s">
        <v>2345</v>
      </c>
      <c r="C336">
        <v>1.23</v>
      </c>
      <c r="D336">
        <v>9.0299999999999994</v>
      </c>
      <c r="E336">
        <v>0.11</v>
      </c>
      <c r="F336">
        <v>9.0299999999999994</v>
      </c>
      <c r="G336">
        <v>9.0399999999999991</v>
      </c>
      <c r="H336">
        <v>169595</v>
      </c>
      <c r="I336">
        <v>1787</v>
      </c>
      <c r="J336">
        <v>-0.21</v>
      </c>
      <c r="K336">
        <v>1.42</v>
      </c>
      <c r="L336">
        <v>8.94</v>
      </c>
      <c r="M336">
        <v>9.16</v>
      </c>
      <c r="N336">
        <v>8.92</v>
      </c>
      <c r="O336">
        <v>8.92</v>
      </c>
      <c r="P336">
        <v>22.08</v>
      </c>
      <c r="Q336">
        <v>153797824</v>
      </c>
      <c r="R336">
        <v>1.58</v>
      </c>
      <c r="S336" t="s">
        <v>140</v>
      </c>
      <c r="T336" t="s">
        <v>774</v>
      </c>
      <c r="U336">
        <v>2.69</v>
      </c>
      <c r="V336">
        <v>9.07</v>
      </c>
      <c r="W336">
        <v>76228</v>
      </c>
      <c r="X336">
        <v>93367</v>
      </c>
      <c r="Y336">
        <v>0.82</v>
      </c>
      <c r="Z336">
        <v>1794</v>
      </c>
      <c r="AA336">
        <v>289</v>
      </c>
      <c r="AB336" t="s">
        <v>116</v>
      </c>
      <c r="AC336">
        <v>412100</v>
      </c>
      <c r="AD336">
        <v>0.01</v>
      </c>
      <c r="AE336" t="s">
        <v>116</v>
      </c>
      <c r="AF336" t="s">
        <v>116</v>
      </c>
      <c r="AG336">
        <v>11.91</v>
      </c>
      <c r="AH336" t="s">
        <v>2346</v>
      </c>
      <c r="AI336" t="s">
        <v>2347</v>
      </c>
      <c r="AJ336">
        <v>1.91</v>
      </c>
      <c r="AK336">
        <v>2944</v>
      </c>
      <c r="AL336">
        <v>58</v>
      </c>
      <c r="AM336">
        <v>5.0000000000000001E-4</v>
      </c>
      <c r="AN336">
        <v>1</v>
      </c>
      <c r="AO336">
        <v>3.08</v>
      </c>
      <c r="AP336">
        <v>5.49</v>
      </c>
      <c r="AQ336">
        <v>-5.84</v>
      </c>
      <c r="AR336">
        <v>-12.84</v>
      </c>
      <c r="AS336">
        <v>2.54</v>
      </c>
      <c r="AT336" t="s">
        <v>2348</v>
      </c>
      <c r="AU336">
        <v>55.07</v>
      </c>
      <c r="AV336">
        <v>20.059999999999999</v>
      </c>
      <c r="AW336">
        <v>0.71</v>
      </c>
      <c r="BA336">
        <v>0.22</v>
      </c>
      <c r="BB336">
        <v>2.69</v>
      </c>
      <c r="BC336">
        <v>0</v>
      </c>
      <c r="BD336">
        <v>1.67</v>
      </c>
      <c r="BE336">
        <v>1.01</v>
      </c>
      <c r="BF336">
        <v>-1.42</v>
      </c>
      <c r="BG336">
        <v>1.23</v>
      </c>
      <c r="BH336">
        <v>-0.43</v>
      </c>
      <c r="BI336">
        <v>20191226</v>
      </c>
      <c r="BJ336">
        <v>19980225</v>
      </c>
      <c r="BK336">
        <v>14.31</v>
      </c>
      <c r="BL336" t="s">
        <v>116</v>
      </c>
      <c r="BM336" t="s">
        <v>116</v>
      </c>
      <c r="BN336">
        <v>428.55</v>
      </c>
      <c r="BO336">
        <v>152.46</v>
      </c>
      <c r="BP336">
        <v>5.63</v>
      </c>
      <c r="BQ336">
        <v>63.11</v>
      </c>
      <c r="BR336">
        <v>127.08</v>
      </c>
      <c r="BS336">
        <v>30.8</v>
      </c>
      <c r="BT336">
        <v>81.19</v>
      </c>
      <c r="BU336">
        <v>153.47999999999999</v>
      </c>
      <c r="BV336">
        <v>7.73</v>
      </c>
      <c r="BW336">
        <v>71.25</v>
      </c>
      <c r="BX336">
        <v>61.98</v>
      </c>
      <c r="BY336">
        <v>73.599999999999994</v>
      </c>
      <c r="BZ336">
        <v>55.45</v>
      </c>
      <c r="CA336">
        <v>6.28</v>
      </c>
      <c r="CB336">
        <v>0.27</v>
      </c>
      <c r="CC336">
        <v>6.35</v>
      </c>
      <c r="CD336">
        <v>4.9000000000000004</v>
      </c>
      <c r="CE336">
        <v>4.3899999999999997</v>
      </c>
      <c r="CF336">
        <v>2.69</v>
      </c>
      <c r="CG336">
        <v>51.46</v>
      </c>
      <c r="CH336">
        <v>-0.85</v>
      </c>
      <c r="CI336">
        <v>-6</v>
      </c>
      <c r="CJ336">
        <v>57794</v>
      </c>
      <c r="CK336">
        <v>11571</v>
      </c>
      <c r="CL336" t="s">
        <v>2349</v>
      </c>
      <c r="CM336">
        <v>-48.27</v>
      </c>
      <c r="CN336">
        <v>-13.19</v>
      </c>
      <c r="CO336">
        <v>0.97</v>
      </c>
      <c r="CP336">
        <v>-151.80000000000001</v>
      </c>
      <c r="CQ336">
        <v>1.76</v>
      </c>
      <c r="CR336">
        <v>0.33</v>
      </c>
      <c r="CS336" t="s">
        <v>2326</v>
      </c>
      <c r="CT336">
        <v>9.26</v>
      </c>
      <c r="CU336">
        <v>9.26</v>
      </c>
      <c r="CV336">
        <v>4.33</v>
      </c>
      <c r="CW336">
        <v>3.6</v>
      </c>
      <c r="CX336">
        <v>-0.06</v>
      </c>
      <c r="CY336">
        <v>35.58</v>
      </c>
      <c r="CZ336" t="s">
        <v>2350</v>
      </c>
      <c r="DA336">
        <v>24.65</v>
      </c>
      <c r="DB336">
        <v>8.5399999999999991</v>
      </c>
      <c r="DC336">
        <v>5.96</v>
      </c>
      <c r="DD336">
        <v>0.69</v>
      </c>
      <c r="DE336">
        <v>89660</v>
      </c>
      <c r="DF336">
        <v>826</v>
      </c>
      <c r="DG336" t="s">
        <v>116</v>
      </c>
      <c r="DH336" t="s">
        <v>116</v>
      </c>
      <c r="DI336" t="s">
        <v>116</v>
      </c>
    </row>
    <row r="337" spans="1:113" x14ac:dyDescent="0.4">
      <c r="A337" t="str">
        <f>"000828"</f>
        <v>000828</v>
      </c>
      <c r="B337" t="s">
        <v>2351</v>
      </c>
      <c r="C337">
        <v>0.12</v>
      </c>
      <c r="D337">
        <v>8.09</v>
      </c>
      <c r="E337">
        <v>0.01</v>
      </c>
      <c r="F337">
        <v>8.08</v>
      </c>
      <c r="G337">
        <v>8.09</v>
      </c>
      <c r="H337">
        <v>29231</v>
      </c>
      <c r="I337">
        <v>138</v>
      </c>
      <c r="J337">
        <v>0</v>
      </c>
      <c r="K337">
        <v>0.28000000000000003</v>
      </c>
      <c r="L337">
        <v>8.07</v>
      </c>
      <c r="M337">
        <v>8.17</v>
      </c>
      <c r="N337">
        <v>8.0399999999999991</v>
      </c>
      <c r="O337">
        <v>8.08</v>
      </c>
      <c r="P337">
        <v>7.57</v>
      </c>
      <c r="Q337">
        <v>23704966</v>
      </c>
      <c r="R337">
        <v>1.32</v>
      </c>
      <c r="S337" t="s">
        <v>809</v>
      </c>
      <c r="T337" t="s">
        <v>551</v>
      </c>
      <c r="U337">
        <v>1.61</v>
      </c>
      <c r="V337">
        <v>8.11</v>
      </c>
      <c r="W337">
        <v>16222</v>
      </c>
      <c r="X337">
        <v>13009</v>
      </c>
      <c r="Y337">
        <v>1.25</v>
      </c>
      <c r="Z337">
        <v>161</v>
      </c>
      <c r="AA337">
        <v>30</v>
      </c>
      <c r="AB337" t="s">
        <v>116</v>
      </c>
      <c r="AC337">
        <v>25800</v>
      </c>
      <c r="AD337">
        <v>0</v>
      </c>
      <c r="AE337" t="s">
        <v>116</v>
      </c>
      <c r="AF337" t="s">
        <v>116</v>
      </c>
      <c r="AG337">
        <v>10.4</v>
      </c>
      <c r="AH337" t="s">
        <v>2352</v>
      </c>
      <c r="AI337" t="s">
        <v>2352</v>
      </c>
      <c r="AJ337">
        <v>0.8</v>
      </c>
      <c r="AK337">
        <v>852</v>
      </c>
      <c r="AL337">
        <v>34</v>
      </c>
      <c r="AM337">
        <v>2.9999999999999997E-4</v>
      </c>
      <c r="AN337">
        <v>2</v>
      </c>
      <c r="AO337">
        <v>0.62</v>
      </c>
      <c r="AP337">
        <v>3.32</v>
      </c>
      <c r="AQ337">
        <v>-1.7</v>
      </c>
      <c r="AR337">
        <v>12.36</v>
      </c>
      <c r="AS337">
        <v>0.93</v>
      </c>
      <c r="AT337" t="s">
        <v>2353</v>
      </c>
      <c r="AU337">
        <v>7.18</v>
      </c>
      <c r="AV337">
        <v>8.02</v>
      </c>
      <c r="AW337">
        <v>0.76</v>
      </c>
      <c r="BA337">
        <v>-0.12</v>
      </c>
      <c r="BB337">
        <v>1.1100000000000001</v>
      </c>
      <c r="BC337">
        <v>-0.5</v>
      </c>
      <c r="BD337">
        <v>0.37</v>
      </c>
      <c r="BE337">
        <v>0.25</v>
      </c>
      <c r="BF337">
        <v>-0.98</v>
      </c>
      <c r="BG337">
        <v>0.62</v>
      </c>
      <c r="BH337">
        <v>-0.24</v>
      </c>
      <c r="BI337">
        <v>20191029</v>
      </c>
      <c r="BJ337">
        <v>19970617</v>
      </c>
      <c r="BK337">
        <v>10.4</v>
      </c>
      <c r="BL337" t="s">
        <v>116</v>
      </c>
      <c r="BM337" t="s">
        <v>116</v>
      </c>
      <c r="BN337">
        <v>121.45</v>
      </c>
      <c r="BO337">
        <v>69.709999999999994</v>
      </c>
      <c r="BP337">
        <v>1.62</v>
      </c>
      <c r="BQ337">
        <v>41.26</v>
      </c>
      <c r="BR337">
        <v>45.91</v>
      </c>
      <c r="BS337">
        <v>13.74</v>
      </c>
      <c r="BT337">
        <v>2.4900000000000002</v>
      </c>
      <c r="BU337">
        <v>26.89</v>
      </c>
      <c r="BV337">
        <v>0</v>
      </c>
      <c r="BW337">
        <v>0.24</v>
      </c>
      <c r="BX337">
        <v>11.39</v>
      </c>
      <c r="BY337">
        <v>12.27</v>
      </c>
      <c r="BZ337">
        <v>3.86</v>
      </c>
      <c r="CA337">
        <v>10.37</v>
      </c>
      <c r="CB337">
        <v>2.21</v>
      </c>
      <c r="CC337">
        <v>10.39</v>
      </c>
      <c r="CD337">
        <v>8.35</v>
      </c>
      <c r="CE337">
        <v>8.33</v>
      </c>
      <c r="CF337">
        <v>8.3000000000000007</v>
      </c>
      <c r="CG337">
        <v>40.18</v>
      </c>
      <c r="CH337">
        <v>15.88</v>
      </c>
      <c r="CI337">
        <v>19.059999999999999</v>
      </c>
      <c r="CJ337">
        <v>31082</v>
      </c>
      <c r="CK337">
        <v>10092</v>
      </c>
      <c r="CL337" t="s">
        <v>2354</v>
      </c>
      <c r="CM337">
        <v>17.27</v>
      </c>
      <c r="CN337">
        <v>0.28999999999999998</v>
      </c>
      <c r="CO337">
        <v>1.21</v>
      </c>
      <c r="CP337">
        <v>5.3</v>
      </c>
      <c r="CQ337">
        <v>6.86</v>
      </c>
      <c r="CR337">
        <v>3.34</v>
      </c>
      <c r="CS337" t="s">
        <v>2355</v>
      </c>
      <c r="CT337">
        <v>6.71</v>
      </c>
      <c r="CU337">
        <v>0</v>
      </c>
      <c r="CV337">
        <v>1.1000000000000001</v>
      </c>
      <c r="CW337">
        <v>3.87</v>
      </c>
      <c r="CX337">
        <v>1.53</v>
      </c>
      <c r="CY337">
        <v>57.4</v>
      </c>
      <c r="CZ337" t="s">
        <v>2356</v>
      </c>
      <c r="DA337">
        <v>68.569999999999993</v>
      </c>
      <c r="DB337">
        <v>84.54</v>
      </c>
      <c r="DC337">
        <v>67.94</v>
      </c>
      <c r="DD337">
        <v>0</v>
      </c>
      <c r="DE337">
        <v>870</v>
      </c>
      <c r="DF337">
        <v>828</v>
      </c>
      <c r="DG337" t="s">
        <v>116</v>
      </c>
      <c r="DH337" t="s">
        <v>116</v>
      </c>
      <c r="DI337" t="s">
        <v>116</v>
      </c>
    </row>
    <row r="338" spans="1:113" x14ac:dyDescent="0.4">
      <c r="A338" t="str">
        <f>"000829"</f>
        <v>000829</v>
      </c>
      <c r="B338" t="s">
        <v>2357</v>
      </c>
      <c r="C338">
        <v>0.92</v>
      </c>
      <c r="D338">
        <v>6.56</v>
      </c>
      <c r="E338">
        <v>0.06</v>
      </c>
      <c r="F338">
        <v>6.56</v>
      </c>
      <c r="G338">
        <v>6.57</v>
      </c>
      <c r="H338">
        <v>248530</v>
      </c>
      <c r="I338">
        <v>5699</v>
      </c>
      <c r="J338">
        <v>0.15</v>
      </c>
      <c r="K338">
        <v>2.67</v>
      </c>
      <c r="L338">
        <v>6.46</v>
      </c>
      <c r="M338">
        <v>6.72</v>
      </c>
      <c r="N338">
        <v>6.4</v>
      </c>
      <c r="O338">
        <v>6.5</v>
      </c>
      <c r="P338">
        <v>167.06</v>
      </c>
      <c r="Q338">
        <v>163460224</v>
      </c>
      <c r="R338">
        <v>1.49</v>
      </c>
      <c r="S338" t="s">
        <v>225</v>
      </c>
      <c r="T338" t="s">
        <v>683</v>
      </c>
      <c r="U338">
        <v>4.92</v>
      </c>
      <c r="V338">
        <v>6.58</v>
      </c>
      <c r="W338">
        <v>116101</v>
      </c>
      <c r="X338">
        <v>132429</v>
      </c>
      <c r="Y338">
        <v>0.88</v>
      </c>
      <c r="Z338">
        <v>896</v>
      </c>
      <c r="AA338">
        <v>820</v>
      </c>
      <c r="AB338" t="s">
        <v>116</v>
      </c>
      <c r="AC338">
        <v>244200</v>
      </c>
      <c r="AD338">
        <v>0.01</v>
      </c>
      <c r="AE338" t="s">
        <v>116</v>
      </c>
      <c r="AF338" t="s">
        <v>116</v>
      </c>
      <c r="AG338">
        <v>9.3000000000000007</v>
      </c>
      <c r="AH338" t="s">
        <v>2358</v>
      </c>
      <c r="AI338" t="s">
        <v>2359</v>
      </c>
      <c r="AJ338">
        <v>1.6</v>
      </c>
      <c r="AK338">
        <v>2473</v>
      </c>
      <c r="AL338">
        <v>100</v>
      </c>
      <c r="AM338">
        <v>1.1000000000000001E-3</v>
      </c>
      <c r="AN338">
        <v>1</v>
      </c>
      <c r="AO338">
        <v>4.79</v>
      </c>
      <c r="AP338">
        <v>12.14</v>
      </c>
      <c r="AQ338">
        <v>11.56</v>
      </c>
      <c r="AR338">
        <v>16.93</v>
      </c>
      <c r="AS338">
        <v>4.4400000000000004</v>
      </c>
      <c r="AT338" t="s">
        <v>2360</v>
      </c>
      <c r="AU338" t="s">
        <v>116</v>
      </c>
      <c r="AV338" t="s">
        <v>116</v>
      </c>
      <c r="AW338">
        <v>0.8</v>
      </c>
      <c r="BA338">
        <v>-0.62</v>
      </c>
      <c r="BB338">
        <v>3.38</v>
      </c>
      <c r="BC338">
        <v>-1.54</v>
      </c>
      <c r="BD338">
        <v>1.19</v>
      </c>
      <c r="BE338">
        <v>1.55</v>
      </c>
      <c r="BF338">
        <v>-2.38</v>
      </c>
      <c r="BG338">
        <v>2.5</v>
      </c>
      <c r="BH338">
        <v>-0.26</v>
      </c>
      <c r="BI338">
        <v>20191030</v>
      </c>
      <c r="BJ338">
        <v>19971202</v>
      </c>
      <c r="BK338">
        <v>10.37</v>
      </c>
      <c r="BL338" t="s">
        <v>116</v>
      </c>
      <c r="BM338" t="s">
        <v>116</v>
      </c>
      <c r="BN338">
        <v>158.99</v>
      </c>
      <c r="BO338">
        <v>25.22</v>
      </c>
      <c r="BP338">
        <v>0.16</v>
      </c>
      <c r="BQ338">
        <v>84.03</v>
      </c>
      <c r="BR338">
        <v>121.35</v>
      </c>
      <c r="BS338">
        <v>2.5499999999999998</v>
      </c>
      <c r="BT338">
        <v>14.06</v>
      </c>
      <c r="BU338">
        <v>124.48</v>
      </c>
      <c r="BV338">
        <v>43.78</v>
      </c>
      <c r="BW338">
        <v>11.78</v>
      </c>
      <c r="BX338">
        <v>4.68</v>
      </c>
      <c r="BY338">
        <v>372.97</v>
      </c>
      <c r="BZ338">
        <v>359.76</v>
      </c>
      <c r="CA338">
        <v>0.55000000000000004</v>
      </c>
      <c r="CB338">
        <v>-0.05</v>
      </c>
      <c r="CC338">
        <v>0.55000000000000004</v>
      </c>
      <c r="CD338">
        <v>0.46</v>
      </c>
      <c r="CE338">
        <v>0.31</v>
      </c>
      <c r="CF338">
        <v>0.31</v>
      </c>
      <c r="CG338">
        <v>8.9600000000000009</v>
      </c>
      <c r="CH338">
        <v>9.43</v>
      </c>
      <c r="CI338">
        <v>0.26</v>
      </c>
      <c r="CJ338">
        <v>60513</v>
      </c>
      <c r="CK338">
        <v>9243</v>
      </c>
      <c r="CL338" t="s">
        <v>634</v>
      </c>
      <c r="CM338">
        <v>257.27</v>
      </c>
      <c r="CN338">
        <v>21.19</v>
      </c>
      <c r="CO338">
        <v>2.69</v>
      </c>
      <c r="CP338">
        <v>7.22</v>
      </c>
      <c r="CQ338">
        <v>0.18</v>
      </c>
      <c r="CR338">
        <v>0</v>
      </c>
      <c r="CS338" t="s">
        <v>944</v>
      </c>
      <c r="CT338">
        <v>2.44</v>
      </c>
      <c r="CU338">
        <v>2.44</v>
      </c>
      <c r="CV338">
        <v>0.45</v>
      </c>
      <c r="CW338">
        <v>0.86</v>
      </c>
      <c r="CX338">
        <v>0.91</v>
      </c>
      <c r="CY338">
        <v>15.86</v>
      </c>
      <c r="CZ338" t="s">
        <v>2361</v>
      </c>
      <c r="DA338">
        <v>3.54</v>
      </c>
      <c r="DB338">
        <v>0.15</v>
      </c>
      <c r="DC338">
        <v>0.08</v>
      </c>
      <c r="DD338">
        <v>0.41</v>
      </c>
      <c r="DE338">
        <v>3425</v>
      </c>
      <c r="DF338">
        <v>829</v>
      </c>
      <c r="DG338" t="s">
        <v>116</v>
      </c>
      <c r="DH338" t="s">
        <v>116</v>
      </c>
      <c r="DI338" t="s">
        <v>116</v>
      </c>
    </row>
    <row r="339" spans="1:113" x14ac:dyDescent="0.4">
      <c r="A339" t="str">
        <f>"000830"</f>
        <v>000830</v>
      </c>
      <c r="B339" t="s">
        <v>2362</v>
      </c>
      <c r="C339">
        <v>-1.1599999999999999</v>
      </c>
      <c r="D339">
        <v>10.220000000000001</v>
      </c>
      <c r="E339">
        <v>-0.12</v>
      </c>
      <c r="F339">
        <v>10.210000000000001</v>
      </c>
      <c r="G339">
        <v>10.220000000000001</v>
      </c>
      <c r="H339">
        <v>286885</v>
      </c>
      <c r="I339">
        <v>4439</v>
      </c>
      <c r="J339">
        <v>-0.19</v>
      </c>
      <c r="K339">
        <v>1.96</v>
      </c>
      <c r="L339">
        <v>10.31</v>
      </c>
      <c r="M339">
        <v>10.4</v>
      </c>
      <c r="N339">
        <v>10.199999999999999</v>
      </c>
      <c r="O339">
        <v>10.34</v>
      </c>
      <c r="P339">
        <v>12.99</v>
      </c>
      <c r="Q339">
        <v>294497856</v>
      </c>
      <c r="R339">
        <v>1.1100000000000001</v>
      </c>
      <c r="S339" t="s">
        <v>697</v>
      </c>
      <c r="T339" t="s">
        <v>645</v>
      </c>
      <c r="U339">
        <v>1.93</v>
      </c>
      <c r="V339">
        <v>10.27</v>
      </c>
      <c r="W339">
        <v>172979</v>
      </c>
      <c r="X339">
        <v>113906</v>
      </c>
      <c r="Y339">
        <v>1.52</v>
      </c>
      <c r="Z339">
        <v>2335</v>
      </c>
      <c r="AA339">
        <v>2124</v>
      </c>
      <c r="AB339" t="s">
        <v>116</v>
      </c>
      <c r="AC339">
        <v>1691900</v>
      </c>
      <c r="AD339">
        <v>0.02</v>
      </c>
      <c r="AE339" t="s">
        <v>116</v>
      </c>
      <c r="AF339" t="s">
        <v>116</v>
      </c>
      <c r="AG339">
        <v>14.64</v>
      </c>
      <c r="AH339" t="s">
        <v>2363</v>
      </c>
      <c r="AI339" t="s">
        <v>2364</v>
      </c>
      <c r="AJ339">
        <v>-0.48</v>
      </c>
      <c r="AK339">
        <v>3506</v>
      </c>
      <c r="AL339">
        <v>82</v>
      </c>
      <c r="AM339">
        <v>5.9999999999999995E-4</v>
      </c>
      <c r="AN339">
        <v>-1</v>
      </c>
      <c r="AO339">
        <v>2.91</v>
      </c>
      <c r="AP339">
        <v>11.33</v>
      </c>
      <c r="AQ339">
        <v>3.55</v>
      </c>
      <c r="AR339">
        <v>9.89</v>
      </c>
      <c r="AS339">
        <v>2.95</v>
      </c>
      <c r="AT339" t="s">
        <v>2365</v>
      </c>
      <c r="AU339">
        <v>9.48</v>
      </c>
      <c r="AV339">
        <v>4.88</v>
      </c>
      <c r="AW339">
        <v>0.77</v>
      </c>
      <c r="BA339">
        <v>-0.28999999999999998</v>
      </c>
      <c r="BB339">
        <v>0.57999999999999996</v>
      </c>
      <c r="BC339">
        <v>-1.35</v>
      </c>
      <c r="BD339">
        <v>-0.72</v>
      </c>
      <c r="BE339">
        <v>-0.87</v>
      </c>
      <c r="BF339">
        <v>-1.73</v>
      </c>
      <c r="BG339">
        <v>0.2</v>
      </c>
      <c r="BH339">
        <v>-0.44</v>
      </c>
      <c r="BI339">
        <v>20191029</v>
      </c>
      <c r="BJ339">
        <v>19980807</v>
      </c>
      <c r="BK339">
        <v>14.65</v>
      </c>
      <c r="BL339" t="s">
        <v>116</v>
      </c>
      <c r="BM339" t="s">
        <v>116</v>
      </c>
      <c r="BN339">
        <v>283.35000000000002</v>
      </c>
      <c r="BO339">
        <v>103.66</v>
      </c>
      <c r="BP339">
        <v>1.26</v>
      </c>
      <c r="BQ339">
        <v>62.97</v>
      </c>
      <c r="BR339">
        <v>21.84</v>
      </c>
      <c r="BS339">
        <v>212.81</v>
      </c>
      <c r="BT339">
        <v>14.7</v>
      </c>
      <c r="BU339">
        <v>139.18</v>
      </c>
      <c r="BV339">
        <v>11.18</v>
      </c>
      <c r="BW339">
        <v>1.24</v>
      </c>
      <c r="BX339">
        <v>21.8</v>
      </c>
      <c r="BY339">
        <v>136.41999999999999</v>
      </c>
      <c r="BZ339">
        <v>109.12</v>
      </c>
      <c r="CA339">
        <v>10.9</v>
      </c>
      <c r="CB339">
        <v>-0.02</v>
      </c>
      <c r="CC339">
        <v>11.18</v>
      </c>
      <c r="CD339">
        <v>8.64</v>
      </c>
      <c r="CE339">
        <v>8.64</v>
      </c>
      <c r="CF339">
        <v>8.31</v>
      </c>
      <c r="CG339">
        <v>61.84</v>
      </c>
      <c r="CH339">
        <v>21.17</v>
      </c>
      <c r="CI339">
        <v>-2.16</v>
      </c>
      <c r="CJ339">
        <v>138972</v>
      </c>
      <c r="CK339">
        <v>6993</v>
      </c>
      <c r="CL339" t="s">
        <v>2366</v>
      </c>
      <c r="CM339">
        <v>-63.25</v>
      </c>
      <c r="CN339">
        <v>-13.5</v>
      </c>
      <c r="CO339">
        <v>1.44</v>
      </c>
      <c r="CP339">
        <v>7.07</v>
      </c>
      <c r="CQ339">
        <v>1.1000000000000001</v>
      </c>
      <c r="CR339">
        <v>4.8899999999999997</v>
      </c>
      <c r="CS339" t="s">
        <v>2367</v>
      </c>
      <c r="CT339">
        <v>7.08</v>
      </c>
      <c r="CU339">
        <v>0</v>
      </c>
      <c r="CV339">
        <v>1.49</v>
      </c>
      <c r="CW339">
        <v>4.22</v>
      </c>
      <c r="CX339">
        <v>1.45</v>
      </c>
      <c r="CY339">
        <v>36.58</v>
      </c>
      <c r="CZ339" t="s">
        <v>2368</v>
      </c>
      <c r="DA339">
        <v>20.02</v>
      </c>
      <c r="DB339">
        <v>7.99</v>
      </c>
      <c r="DC339">
        <v>6.33</v>
      </c>
      <c r="DD339">
        <v>4.72</v>
      </c>
      <c r="DE339">
        <v>11980</v>
      </c>
      <c r="DF339">
        <v>830</v>
      </c>
      <c r="DG339" t="s">
        <v>116</v>
      </c>
      <c r="DH339" t="s">
        <v>116</v>
      </c>
      <c r="DI339" t="s">
        <v>116</v>
      </c>
    </row>
    <row r="340" spans="1:113" x14ac:dyDescent="0.4">
      <c r="A340" t="str">
        <f>"000831"</f>
        <v>000831</v>
      </c>
      <c r="B340" t="s">
        <v>2369</v>
      </c>
      <c r="C340">
        <v>4.33</v>
      </c>
      <c r="D340">
        <v>13.02</v>
      </c>
      <c r="E340">
        <v>0.54</v>
      </c>
      <c r="F340">
        <v>13.01</v>
      </c>
      <c r="G340">
        <v>13.02</v>
      </c>
      <c r="H340">
        <v>636680</v>
      </c>
      <c r="I340">
        <v>8278</v>
      </c>
      <c r="J340">
        <v>0.08</v>
      </c>
      <c r="K340">
        <v>6.49</v>
      </c>
      <c r="L340">
        <v>12.5</v>
      </c>
      <c r="M340">
        <v>13.49</v>
      </c>
      <c r="N340">
        <v>12.5</v>
      </c>
      <c r="O340">
        <v>12.48</v>
      </c>
      <c r="P340">
        <v>155.66</v>
      </c>
      <c r="Q340">
        <v>828217024</v>
      </c>
      <c r="R340">
        <v>2.67</v>
      </c>
      <c r="S340" t="s">
        <v>1509</v>
      </c>
      <c r="T340" t="s">
        <v>675</v>
      </c>
      <c r="U340">
        <v>7.93</v>
      </c>
      <c r="V340">
        <v>13.01</v>
      </c>
      <c r="W340">
        <v>272589</v>
      </c>
      <c r="X340">
        <v>364091</v>
      </c>
      <c r="Y340">
        <v>0.75</v>
      </c>
      <c r="Z340">
        <v>537</v>
      </c>
      <c r="AA340">
        <v>3929</v>
      </c>
      <c r="AB340" t="s">
        <v>116</v>
      </c>
      <c r="AC340">
        <v>965000</v>
      </c>
      <c r="AD340">
        <v>0.01</v>
      </c>
      <c r="AE340" t="s">
        <v>116</v>
      </c>
      <c r="AF340" t="s">
        <v>116</v>
      </c>
      <c r="AG340">
        <v>9.81</v>
      </c>
      <c r="AH340" t="s">
        <v>2370</v>
      </c>
      <c r="AI340" t="s">
        <v>2370</v>
      </c>
      <c r="AJ340">
        <v>5.01</v>
      </c>
      <c r="AK340">
        <v>4311</v>
      </c>
      <c r="AL340">
        <v>148</v>
      </c>
      <c r="AM340">
        <v>1.5E-3</v>
      </c>
      <c r="AN340">
        <v>1</v>
      </c>
      <c r="AO340">
        <v>4.33</v>
      </c>
      <c r="AP340">
        <v>13.12</v>
      </c>
      <c r="AQ340">
        <v>3.09</v>
      </c>
      <c r="AR340">
        <v>55.56</v>
      </c>
      <c r="AS340">
        <v>10.83</v>
      </c>
      <c r="AT340" t="s">
        <v>2371</v>
      </c>
      <c r="AU340">
        <v>153.25</v>
      </c>
      <c r="AV340">
        <v>125.47</v>
      </c>
      <c r="AW340">
        <v>0.56000000000000005</v>
      </c>
      <c r="BA340">
        <v>0.16</v>
      </c>
      <c r="BB340">
        <v>8.09</v>
      </c>
      <c r="BC340">
        <v>0.16</v>
      </c>
      <c r="BD340">
        <v>4.2300000000000004</v>
      </c>
      <c r="BE340">
        <v>4.16</v>
      </c>
      <c r="BF340">
        <v>-3.48</v>
      </c>
      <c r="BG340">
        <v>4.16</v>
      </c>
      <c r="BH340">
        <v>0.09</v>
      </c>
      <c r="BI340">
        <v>20191224</v>
      </c>
      <c r="BJ340">
        <v>19980911</v>
      </c>
      <c r="BK340">
        <v>9.81</v>
      </c>
      <c r="BL340" t="s">
        <v>116</v>
      </c>
      <c r="BM340" t="s">
        <v>116</v>
      </c>
      <c r="BN340">
        <v>28.06</v>
      </c>
      <c r="BO340">
        <v>21.87</v>
      </c>
      <c r="BP340">
        <v>0.78</v>
      </c>
      <c r="BQ340">
        <v>19.260000000000002</v>
      </c>
      <c r="BR340">
        <v>22.96</v>
      </c>
      <c r="BS340">
        <v>1.06</v>
      </c>
      <c r="BT340">
        <v>0.13</v>
      </c>
      <c r="BU340">
        <v>4.6900000000000004</v>
      </c>
      <c r="BV340">
        <v>15.7</v>
      </c>
      <c r="BW340">
        <v>1.29</v>
      </c>
      <c r="BX340">
        <v>7.4</v>
      </c>
      <c r="BY340">
        <v>12.94</v>
      </c>
      <c r="BZ340">
        <v>11.82</v>
      </c>
      <c r="CA340">
        <v>0.56000000000000005</v>
      </c>
      <c r="CB340">
        <v>0.01</v>
      </c>
      <c r="CC340">
        <v>0.55000000000000004</v>
      </c>
      <c r="CD340">
        <v>0.64</v>
      </c>
      <c r="CE340">
        <v>0.62</v>
      </c>
      <c r="CF340">
        <v>0.6</v>
      </c>
      <c r="CG340">
        <v>2.71</v>
      </c>
      <c r="CH340">
        <v>-1.52</v>
      </c>
      <c r="CI340">
        <v>0.36</v>
      </c>
      <c r="CJ340">
        <v>120645</v>
      </c>
      <c r="CK340">
        <v>4872</v>
      </c>
      <c r="CL340" t="s">
        <v>2372</v>
      </c>
      <c r="CM340">
        <v>-23.07</v>
      </c>
      <c r="CN340">
        <v>119.33</v>
      </c>
      <c r="CO340">
        <v>5.84</v>
      </c>
      <c r="CP340">
        <v>-83.91</v>
      </c>
      <c r="CQ340">
        <v>9.8699999999999992</v>
      </c>
      <c r="CR340">
        <v>0</v>
      </c>
      <c r="CS340" t="s">
        <v>2373</v>
      </c>
      <c r="CT340">
        <v>2.23</v>
      </c>
      <c r="CU340">
        <v>0</v>
      </c>
      <c r="CV340">
        <v>0.75</v>
      </c>
      <c r="CW340">
        <v>0.28000000000000003</v>
      </c>
      <c r="CX340">
        <v>-0.16</v>
      </c>
      <c r="CY340">
        <v>77.959999999999994</v>
      </c>
      <c r="CZ340" t="s">
        <v>1960</v>
      </c>
      <c r="DA340">
        <v>8.66</v>
      </c>
      <c r="DB340">
        <v>4.34</v>
      </c>
      <c r="DC340">
        <v>4.76</v>
      </c>
      <c r="DD340">
        <v>0.09</v>
      </c>
      <c r="DE340">
        <v>761</v>
      </c>
      <c r="DF340">
        <v>831</v>
      </c>
      <c r="DG340" t="s">
        <v>116</v>
      </c>
      <c r="DH340" t="s">
        <v>116</v>
      </c>
      <c r="DI340" t="s">
        <v>116</v>
      </c>
    </row>
    <row r="341" spans="1:113" x14ac:dyDescent="0.4">
      <c r="A341" t="str">
        <f>"000833"</f>
        <v>000833</v>
      </c>
      <c r="B341" t="s">
        <v>2374</v>
      </c>
      <c r="C341">
        <v>0.81</v>
      </c>
      <c r="D341">
        <v>4.95</v>
      </c>
      <c r="E341">
        <v>0.04</v>
      </c>
      <c r="F341">
        <v>4.9400000000000004</v>
      </c>
      <c r="G341">
        <v>4.95</v>
      </c>
      <c r="H341">
        <v>26519</v>
      </c>
      <c r="I341">
        <v>934</v>
      </c>
      <c r="J341">
        <v>0</v>
      </c>
      <c r="K341">
        <v>0.7</v>
      </c>
      <c r="L341">
        <v>4.91</v>
      </c>
      <c r="M341">
        <v>4.99</v>
      </c>
      <c r="N341">
        <v>4.91</v>
      </c>
      <c r="O341">
        <v>4.91</v>
      </c>
      <c r="P341">
        <v>47.94</v>
      </c>
      <c r="Q341">
        <v>13148498</v>
      </c>
      <c r="R341">
        <v>1.45</v>
      </c>
      <c r="S341" t="s">
        <v>824</v>
      </c>
      <c r="T341" t="s">
        <v>982</v>
      </c>
      <c r="U341">
        <v>1.63</v>
      </c>
      <c r="V341">
        <v>4.96</v>
      </c>
      <c r="W341">
        <v>12368</v>
      </c>
      <c r="X341">
        <v>14151</v>
      </c>
      <c r="Y341">
        <v>0.87</v>
      </c>
      <c r="Z341">
        <v>415</v>
      </c>
      <c r="AA341">
        <v>6</v>
      </c>
      <c r="AB341" t="s">
        <v>116</v>
      </c>
      <c r="AC341">
        <v>22100</v>
      </c>
      <c r="AD341">
        <v>0</v>
      </c>
      <c r="AE341" t="s">
        <v>116</v>
      </c>
      <c r="AF341" t="s">
        <v>116</v>
      </c>
      <c r="AG341">
        <v>3.78</v>
      </c>
      <c r="AH341" t="s">
        <v>2375</v>
      </c>
      <c r="AI341" t="s">
        <v>2376</v>
      </c>
      <c r="AJ341">
        <v>1.49</v>
      </c>
      <c r="AK341">
        <v>643</v>
      </c>
      <c r="AL341">
        <v>41</v>
      </c>
      <c r="AM341">
        <v>1.1000000000000001E-3</v>
      </c>
      <c r="AN341">
        <v>2</v>
      </c>
      <c r="AO341">
        <v>1.02</v>
      </c>
      <c r="AP341">
        <v>4.21</v>
      </c>
      <c r="AQ341">
        <v>-8.5</v>
      </c>
      <c r="AR341">
        <v>8.91</v>
      </c>
      <c r="AS341">
        <v>0.88</v>
      </c>
      <c r="AT341" t="s">
        <v>2377</v>
      </c>
      <c r="AU341">
        <v>78.17</v>
      </c>
      <c r="AV341">
        <v>37.4</v>
      </c>
      <c r="AW341">
        <v>0.65</v>
      </c>
      <c r="BA341">
        <v>0</v>
      </c>
      <c r="BB341">
        <v>1.63</v>
      </c>
      <c r="BC341">
        <v>0</v>
      </c>
      <c r="BD341">
        <v>0.98</v>
      </c>
      <c r="BE341">
        <v>0.81</v>
      </c>
      <c r="BF341">
        <v>-0.8</v>
      </c>
      <c r="BG341">
        <v>0.81</v>
      </c>
      <c r="BH341">
        <v>-0.17</v>
      </c>
      <c r="BI341">
        <v>20191030</v>
      </c>
      <c r="BJ341">
        <v>19981111</v>
      </c>
      <c r="BK341">
        <v>6.68</v>
      </c>
      <c r="BL341" t="s">
        <v>116</v>
      </c>
      <c r="BM341" t="s">
        <v>116</v>
      </c>
      <c r="BN341">
        <v>36.119999999999997</v>
      </c>
      <c r="BO341">
        <v>27.71</v>
      </c>
      <c r="BP341">
        <v>-0.09</v>
      </c>
      <c r="BQ341">
        <v>23.52</v>
      </c>
      <c r="BR341">
        <v>15.48</v>
      </c>
      <c r="BS341">
        <v>8.0500000000000007</v>
      </c>
      <c r="BT341">
        <v>9.69</v>
      </c>
      <c r="BU341">
        <v>7.09</v>
      </c>
      <c r="BV341">
        <v>3.47</v>
      </c>
      <c r="BW341">
        <v>0.54</v>
      </c>
      <c r="BX341">
        <v>13.86</v>
      </c>
      <c r="BY341">
        <v>31.13</v>
      </c>
      <c r="BZ341">
        <v>28.99</v>
      </c>
      <c r="CA341">
        <v>0.52</v>
      </c>
      <c r="CB341">
        <v>0.02</v>
      </c>
      <c r="CC341">
        <v>0.46</v>
      </c>
      <c r="CD341">
        <v>0.48</v>
      </c>
      <c r="CE341">
        <v>0.52</v>
      </c>
      <c r="CF341">
        <v>0.47</v>
      </c>
      <c r="CG341">
        <v>6.27</v>
      </c>
      <c r="CH341">
        <v>1.06</v>
      </c>
      <c r="CI341">
        <v>-2.82</v>
      </c>
      <c r="CJ341">
        <v>49195</v>
      </c>
      <c r="CK341">
        <v>6145</v>
      </c>
      <c r="CL341" t="s">
        <v>2378</v>
      </c>
      <c r="CM341">
        <v>-47.13</v>
      </c>
      <c r="CN341">
        <v>27.96</v>
      </c>
      <c r="CO341">
        <v>1.19</v>
      </c>
      <c r="CP341">
        <v>31.31</v>
      </c>
      <c r="CQ341">
        <v>1.06</v>
      </c>
      <c r="CR341">
        <v>0.3</v>
      </c>
      <c r="CS341" t="s">
        <v>896</v>
      </c>
      <c r="CT341">
        <v>4.1500000000000004</v>
      </c>
      <c r="CU341">
        <v>0</v>
      </c>
      <c r="CV341">
        <v>2.0699999999999998</v>
      </c>
      <c r="CW341">
        <v>0.94</v>
      </c>
      <c r="CX341">
        <v>0.16</v>
      </c>
      <c r="CY341">
        <v>76.72</v>
      </c>
      <c r="CZ341" t="s">
        <v>2379</v>
      </c>
      <c r="DA341">
        <v>6.89</v>
      </c>
      <c r="DB341">
        <v>1.67</v>
      </c>
      <c r="DC341">
        <v>1.66</v>
      </c>
      <c r="DD341">
        <v>0.22</v>
      </c>
      <c r="DE341">
        <v>4241</v>
      </c>
      <c r="DF341">
        <v>833</v>
      </c>
      <c r="DG341" t="s">
        <v>116</v>
      </c>
      <c r="DH341" t="s">
        <v>116</v>
      </c>
      <c r="DI341" t="s">
        <v>116</v>
      </c>
    </row>
    <row r="342" spans="1:113" x14ac:dyDescent="0.4">
      <c r="A342" t="str">
        <f>"000835"</f>
        <v>000835</v>
      </c>
      <c r="B342" t="s">
        <v>2380</v>
      </c>
      <c r="C342">
        <v>-6.81</v>
      </c>
      <c r="D342">
        <v>5.2</v>
      </c>
      <c r="E342">
        <v>-0.38</v>
      </c>
      <c r="F342">
        <v>5.2</v>
      </c>
      <c r="G342">
        <v>5.21</v>
      </c>
      <c r="H342">
        <v>550838</v>
      </c>
      <c r="I342">
        <v>4797</v>
      </c>
      <c r="J342">
        <v>0.78</v>
      </c>
      <c r="K342">
        <v>18.190000000000001</v>
      </c>
      <c r="L342">
        <v>5.53</v>
      </c>
      <c r="M342">
        <v>5.62</v>
      </c>
      <c r="N342">
        <v>5.13</v>
      </c>
      <c r="O342">
        <v>5.58</v>
      </c>
      <c r="P342" t="s">
        <v>116</v>
      </c>
      <c r="Q342">
        <v>295500352</v>
      </c>
      <c r="R342">
        <v>1.33</v>
      </c>
      <c r="S342" t="s">
        <v>589</v>
      </c>
      <c r="T342" t="s">
        <v>582</v>
      </c>
      <c r="U342">
        <v>8.7799999999999994</v>
      </c>
      <c r="V342">
        <v>5.36</v>
      </c>
      <c r="W342">
        <v>294184</v>
      </c>
      <c r="X342">
        <v>256654</v>
      </c>
      <c r="Y342">
        <v>1.1499999999999999</v>
      </c>
      <c r="Z342">
        <v>753</v>
      </c>
      <c r="AA342">
        <v>433</v>
      </c>
      <c r="AB342" t="s">
        <v>116</v>
      </c>
      <c r="AC342">
        <v>7038600</v>
      </c>
      <c r="AD342">
        <v>0.59</v>
      </c>
      <c r="AE342" t="s">
        <v>116</v>
      </c>
      <c r="AF342" t="s">
        <v>116</v>
      </c>
      <c r="AG342">
        <v>3.03</v>
      </c>
      <c r="AH342" t="s">
        <v>2381</v>
      </c>
      <c r="AI342" t="s">
        <v>2382</v>
      </c>
      <c r="AJ342">
        <v>-6.13</v>
      </c>
      <c r="AK342">
        <v>4084</v>
      </c>
      <c r="AL342">
        <v>135</v>
      </c>
      <c r="AM342">
        <v>4.4999999999999997E-3</v>
      </c>
      <c r="AN342">
        <v>-1</v>
      </c>
      <c r="AO342">
        <v>4.84</v>
      </c>
      <c r="AP342">
        <v>5.26</v>
      </c>
      <c r="AQ342">
        <v>30.65</v>
      </c>
      <c r="AR342">
        <v>25</v>
      </c>
      <c r="AS342">
        <v>25.38</v>
      </c>
      <c r="AT342" t="s">
        <v>2383</v>
      </c>
      <c r="AU342" t="s">
        <v>116</v>
      </c>
      <c r="AV342" t="s">
        <v>116</v>
      </c>
      <c r="AW342">
        <v>1.27</v>
      </c>
      <c r="BA342">
        <v>-0.9</v>
      </c>
      <c r="BB342">
        <v>0.72</v>
      </c>
      <c r="BC342">
        <v>-8.06</v>
      </c>
      <c r="BD342">
        <v>-3.86</v>
      </c>
      <c r="BE342">
        <v>-5.97</v>
      </c>
      <c r="BF342">
        <v>-7.47</v>
      </c>
      <c r="BG342">
        <v>1.36</v>
      </c>
      <c r="BH342">
        <v>-2.95</v>
      </c>
      <c r="BI342">
        <v>20191101</v>
      </c>
      <c r="BJ342">
        <v>19990625</v>
      </c>
      <c r="BK342">
        <v>3.27</v>
      </c>
      <c r="BL342" t="s">
        <v>116</v>
      </c>
      <c r="BM342" t="s">
        <v>116</v>
      </c>
      <c r="BN342">
        <v>8.2200000000000006</v>
      </c>
      <c r="BO342">
        <v>-0.19</v>
      </c>
      <c r="BP342">
        <v>0</v>
      </c>
      <c r="BQ342">
        <v>102.34</v>
      </c>
      <c r="BR342">
        <v>1.21</v>
      </c>
      <c r="BS342">
        <v>1.5</v>
      </c>
      <c r="BT342">
        <v>2.5</v>
      </c>
      <c r="BU342">
        <v>3.74</v>
      </c>
      <c r="BV342">
        <v>0.14000000000000001</v>
      </c>
      <c r="BW342">
        <v>0.26</v>
      </c>
      <c r="BX342">
        <v>0.95</v>
      </c>
      <c r="BY342">
        <v>0.54</v>
      </c>
      <c r="BZ342">
        <v>0.44</v>
      </c>
      <c r="CA342">
        <v>-0.68</v>
      </c>
      <c r="CB342">
        <v>0</v>
      </c>
      <c r="CC342">
        <v>-0.39</v>
      </c>
      <c r="CD342">
        <v>-0.39</v>
      </c>
      <c r="CE342">
        <v>-0.39</v>
      </c>
      <c r="CF342">
        <v>-0.42</v>
      </c>
      <c r="CG342">
        <v>-4.41</v>
      </c>
      <c r="CH342">
        <v>-0.14000000000000001</v>
      </c>
      <c r="CI342">
        <v>-0.15</v>
      </c>
      <c r="CJ342">
        <v>20000</v>
      </c>
      <c r="CK342">
        <v>10850</v>
      </c>
      <c r="CL342" t="s">
        <v>1970</v>
      </c>
      <c r="CM342">
        <v>-99.28</v>
      </c>
      <c r="CN342">
        <v>-30.4</v>
      </c>
      <c r="CO342">
        <v>-90.59</v>
      </c>
      <c r="CP342">
        <v>-117.6</v>
      </c>
      <c r="CQ342">
        <v>31.69</v>
      </c>
      <c r="CR342">
        <v>0</v>
      </c>
      <c r="CS342" t="s">
        <v>2384</v>
      </c>
      <c r="CT342">
        <v>-0.06</v>
      </c>
      <c r="CU342">
        <v>0</v>
      </c>
      <c r="CV342">
        <v>0.28999999999999998</v>
      </c>
      <c r="CW342">
        <v>-1.35</v>
      </c>
      <c r="CX342">
        <v>-0.04</v>
      </c>
      <c r="CY342">
        <v>-2.2799999999999998</v>
      </c>
      <c r="CZ342" t="s">
        <v>116</v>
      </c>
      <c r="DA342">
        <v>18.64</v>
      </c>
      <c r="DB342">
        <v>-127.36</v>
      </c>
      <c r="DC342">
        <v>-72.930000000000007</v>
      </c>
      <c r="DD342">
        <v>0.03</v>
      </c>
      <c r="DE342">
        <v>173</v>
      </c>
      <c r="DF342">
        <v>835</v>
      </c>
      <c r="DG342" t="s">
        <v>116</v>
      </c>
      <c r="DH342" t="s">
        <v>116</v>
      </c>
      <c r="DI342" t="s">
        <v>116</v>
      </c>
    </row>
    <row r="343" spans="1:113" x14ac:dyDescent="0.4">
      <c r="A343" t="str">
        <f>"000836"</f>
        <v>000836</v>
      </c>
      <c r="B343" t="s">
        <v>2385</v>
      </c>
      <c r="C343">
        <v>-1.07</v>
      </c>
      <c r="D343">
        <v>3.69</v>
      </c>
      <c r="E343">
        <v>-0.04</v>
      </c>
      <c r="F343">
        <v>3.69</v>
      </c>
      <c r="G343">
        <v>3.7</v>
      </c>
      <c r="H343">
        <v>215827</v>
      </c>
      <c r="I343">
        <v>3798</v>
      </c>
      <c r="J343">
        <v>-0.26</v>
      </c>
      <c r="K343">
        <v>1.79</v>
      </c>
      <c r="L343">
        <v>3.73</v>
      </c>
      <c r="M343">
        <v>3.75</v>
      </c>
      <c r="N343">
        <v>3.68</v>
      </c>
      <c r="O343">
        <v>3.73</v>
      </c>
      <c r="P343">
        <v>80.47</v>
      </c>
      <c r="Q343">
        <v>80206664</v>
      </c>
      <c r="R343">
        <v>1.01</v>
      </c>
      <c r="S343" t="s">
        <v>465</v>
      </c>
      <c r="T343" t="s">
        <v>1035</v>
      </c>
      <c r="U343">
        <v>1.88</v>
      </c>
      <c r="V343">
        <v>3.72</v>
      </c>
      <c r="W343">
        <v>125102</v>
      </c>
      <c r="X343">
        <v>90725</v>
      </c>
      <c r="Y343">
        <v>1.38</v>
      </c>
      <c r="Z343">
        <v>8892</v>
      </c>
      <c r="AA343">
        <v>1150</v>
      </c>
      <c r="AB343" t="s">
        <v>116</v>
      </c>
      <c r="AC343">
        <v>104400</v>
      </c>
      <c r="AD343">
        <v>0</v>
      </c>
      <c r="AE343" t="s">
        <v>116</v>
      </c>
      <c r="AF343" t="s">
        <v>116</v>
      </c>
      <c r="AG343">
        <v>12.08</v>
      </c>
      <c r="AH343" t="s">
        <v>2386</v>
      </c>
      <c r="AI343" t="s">
        <v>2386</v>
      </c>
      <c r="AJ343">
        <v>-0.39</v>
      </c>
      <c r="AK343">
        <v>1945</v>
      </c>
      <c r="AL343">
        <v>111</v>
      </c>
      <c r="AM343">
        <v>8.9999999999999998E-4</v>
      </c>
      <c r="AN343">
        <v>-1</v>
      </c>
      <c r="AO343">
        <v>-0.54</v>
      </c>
      <c r="AP343">
        <v>-0.81</v>
      </c>
      <c r="AQ343">
        <v>-7.75</v>
      </c>
      <c r="AR343">
        <v>-5.14</v>
      </c>
      <c r="AS343">
        <v>2.2200000000000002</v>
      </c>
      <c r="AT343" t="s">
        <v>2387</v>
      </c>
      <c r="AU343">
        <v>156.32</v>
      </c>
      <c r="AV343">
        <v>66.89</v>
      </c>
      <c r="AW343">
        <v>0.98</v>
      </c>
      <c r="BA343">
        <v>0</v>
      </c>
      <c r="BB343">
        <v>0.54</v>
      </c>
      <c r="BC343">
        <v>-1.34</v>
      </c>
      <c r="BD343">
        <v>-0.37</v>
      </c>
      <c r="BE343">
        <v>-1.07</v>
      </c>
      <c r="BF343">
        <v>-1.6</v>
      </c>
      <c r="BG343">
        <v>0.27</v>
      </c>
      <c r="BH343">
        <v>-0.7</v>
      </c>
      <c r="BI343">
        <v>20191105</v>
      </c>
      <c r="BJ343">
        <v>19970929</v>
      </c>
      <c r="BK343">
        <v>12.08</v>
      </c>
      <c r="BL343" t="s">
        <v>116</v>
      </c>
      <c r="BM343" t="s">
        <v>116</v>
      </c>
      <c r="BN343">
        <v>25.97</v>
      </c>
      <c r="BO343">
        <v>12.53</v>
      </c>
      <c r="BP343">
        <v>0.51</v>
      </c>
      <c r="BQ343">
        <v>49.79</v>
      </c>
      <c r="BR343">
        <v>13.47</v>
      </c>
      <c r="BS343">
        <v>4.12</v>
      </c>
      <c r="BT343">
        <v>0.83</v>
      </c>
      <c r="BU343">
        <v>9.2200000000000006</v>
      </c>
      <c r="BV343">
        <v>3.61</v>
      </c>
      <c r="BW343">
        <v>4.66</v>
      </c>
      <c r="BX343">
        <v>1.25</v>
      </c>
      <c r="BY343">
        <v>8.75</v>
      </c>
      <c r="BZ343">
        <v>7.01</v>
      </c>
      <c r="CA343">
        <v>0.53</v>
      </c>
      <c r="CB343">
        <v>0</v>
      </c>
      <c r="CC343">
        <v>0.53</v>
      </c>
      <c r="CD343">
        <v>0.47</v>
      </c>
      <c r="CE343">
        <v>0.42</v>
      </c>
      <c r="CF343">
        <v>0.28000000000000003</v>
      </c>
      <c r="CG343">
        <v>-0.69</v>
      </c>
      <c r="CH343">
        <v>-0.09</v>
      </c>
      <c r="CI343">
        <v>-1.78</v>
      </c>
      <c r="CJ343">
        <v>67664</v>
      </c>
      <c r="CK343">
        <v>14344</v>
      </c>
      <c r="CL343" t="s">
        <v>289</v>
      </c>
      <c r="CM343">
        <v>-47.86</v>
      </c>
      <c r="CN343">
        <v>-52.96</v>
      </c>
      <c r="CO343">
        <v>3.56</v>
      </c>
      <c r="CP343">
        <v>-509.1</v>
      </c>
      <c r="CQ343">
        <v>5.09</v>
      </c>
      <c r="CR343">
        <v>0</v>
      </c>
      <c r="CS343" t="s">
        <v>2388</v>
      </c>
      <c r="CT343">
        <v>1.04</v>
      </c>
      <c r="CU343">
        <v>0</v>
      </c>
      <c r="CV343">
        <v>0.1</v>
      </c>
      <c r="CW343">
        <v>-0.06</v>
      </c>
      <c r="CX343">
        <v>-0.01</v>
      </c>
      <c r="CY343">
        <v>48.24</v>
      </c>
      <c r="CZ343" t="s">
        <v>2389</v>
      </c>
      <c r="DA343">
        <v>19.88</v>
      </c>
      <c r="DB343">
        <v>6.02</v>
      </c>
      <c r="DC343">
        <v>4.75</v>
      </c>
      <c r="DD343">
        <v>0.42</v>
      </c>
      <c r="DE343">
        <v>1425</v>
      </c>
      <c r="DF343">
        <v>836</v>
      </c>
      <c r="DG343" t="s">
        <v>116</v>
      </c>
      <c r="DH343" t="s">
        <v>116</v>
      </c>
      <c r="DI343" t="s">
        <v>116</v>
      </c>
    </row>
    <row r="344" spans="1:113" x14ac:dyDescent="0.4">
      <c r="A344" t="str">
        <f>"000837"</f>
        <v>000837</v>
      </c>
      <c r="B344" t="s">
        <v>2390</v>
      </c>
      <c r="C344">
        <v>-0.47</v>
      </c>
      <c r="D344">
        <v>4.25</v>
      </c>
      <c r="E344">
        <v>-0.02</v>
      </c>
      <c r="F344">
        <v>4.25</v>
      </c>
      <c r="G344">
        <v>4.26</v>
      </c>
      <c r="H344">
        <v>46303</v>
      </c>
      <c r="I344">
        <v>295</v>
      </c>
      <c r="J344">
        <v>-0.22</v>
      </c>
      <c r="K344">
        <v>0.79</v>
      </c>
      <c r="L344">
        <v>4.28</v>
      </c>
      <c r="M344">
        <v>4.3099999999999996</v>
      </c>
      <c r="N344">
        <v>4.25</v>
      </c>
      <c r="O344">
        <v>4.2699999999999996</v>
      </c>
      <c r="P344" t="s">
        <v>116</v>
      </c>
      <c r="Q344">
        <v>19860304</v>
      </c>
      <c r="R344">
        <v>1.21</v>
      </c>
      <c r="S344" t="s">
        <v>712</v>
      </c>
      <c r="T344" t="s">
        <v>913</v>
      </c>
      <c r="U344">
        <v>1.41</v>
      </c>
      <c r="V344">
        <v>4.29</v>
      </c>
      <c r="W344">
        <v>25626</v>
      </c>
      <c r="X344">
        <v>20677</v>
      </c>
      <c r="Y344">
        <v>1.24</v>
      </c>
      <c r="Z344">
        <v>502</v>
      </c>
      <c r="AA344">
        <v>502</v>
      </c>
      <c r="AB344" t="s">
        <v>116</v>
      </c>
      <c r="AC344">
        <v>25300</v>
      </c>
      <c r="AD344">
        <v>0</v>
      </c>
      <c r="AE344" t="s">
        <v>116</v>
      </c>
      <c r="AF344" t="s">
        <v>116</v>
      </c>
      <c r="AG344">
        <v>5.83</v>
      </c>
      <c r="AH344" t="s">
        <v>1326</v>
      </c>
      <c r="AI344" t="s">
        <v>2391</v>
      </c>
      <c r="AJ344">
        <v>0.21</v>
      </c>
      <c r="AK344">
        <v>769</v>
      </c>
      <c r="AL344">
        <v>60</v>
      </c>
      <c r="AM344">
        <v>1E-3</v>
      </c>
      <c r="AN344">
        <v>-1</v>
      </c>
      <c r="AO344">
        <v>-0.46</v>
      </c>
      <c r="AP344">
        <v>0.71</v>
      </c>
      <c r="AQ344">
        <v>1.43</v>
      </c>
      <c r="AR344">
        <v>8.14</v>
      </c>
      <c r="AS344">
        <v>0.96</v>
      </c>
      <c r="AT344" t="s">
        <v>2392</v>
      </c>
      <c r="AU344" t="s">
        <v>116</v>
      </c>
      <c r="AV344" t="s">
        <v>116</v>
      </c>
      <c r="AW344">
        <v>0.91</v>
      </c>
      <c r="BA344">
        <v>0.23</v>
      </c>
      <c r="BB344">
        <v>0.94</v>
      </c>
      <c r="BC344">
        <v>-0.47</v>
      </c>
      <c r="BD344">
        <v>0.45</v>
      </c>
      <c r="BE344">
        <v>-0.7</v>
      </c>
      <c r="BF344">
        <v>-1.39</v>
      </c>
      <c r="BG344">
        <v>0</v>
      </c>
      <c r="BH344">
        <v>-0.92</v>
      </c>
      <c r="BI344">
        <v>20191223</v>
      </c>
      <c r="BJ344">
        <v>19980928</v>
      </c>
      <c r="BK344">
        <v>6.93</v>
      </c>
      <c r="BL344" t="s">
        <v>116</v>
      </c>
      <c r="BM344" t="s">
        <v>116</v>
      </c>
      <c r="BN344">
        <v>91.49</v>
      </c>
      <c r="BO344">
        <v>25.51</v>
      </c>
      <c r="BP344">
        <v>7.57</v>
      </c>
      <c r="BQ344">
        <v>63.84</v>
      </c>
      <c r="BR344">
        <v>55.49</v>
      </c>
      <c r="BS344">
        <v>20.49</v>
      </c>
      <c r="BT344">
        <v>3.01</v>
      </c>
      <c r="BU344">
        <v>39.6</v>
      </c>
      <c r="BV344">
        <v>18.38</v>
      </c>
      <c r="BW344">
        <v>8.17</v>
      </c>
      <c r="BX344">
        <v>14.6</v>
      </c>
      <c r="BY344">
        <v>23.32</v>
      </c>
      <c r="BZ344">
        <v>18.95</v>
      </c>
      <c r="CA344">
        <v>0.15</v>
      </c>
      <c r="CB344">
        <v>0.15</v>
      </c>
      <c r="CC344">
        <v>0.28999999999999998</v>
      </c>
      <c r="CD344">
        <v>0.14000000000000001</v>
      </c>
      <c r="CE344">
        <v>-0.06</v>
      </c>
      <c r="CF344">
        <v>-0.49</v>
      </c>
      <c r="CG344">
        <v>2.96</v>
      </c>
      <c r="CH344">
        <v>-0.93</v>
      </c>
      <c r="CI344">
        <v>-0.32</v>
      </c>
      <c r="CJ344">
        <v>59691</v>
      </c>
      <c r="CK344">
        <v>8065</v>
      </c>
      <c r="CL344" t="s">
        <v>1521</v>
      </c>
      <c r="CM344">
        <v>73.44</v>
      </c>
      <c r="CN344">
        <v>-4.58</v>
      </c>
      <c r="CO344">
        <v>1.1599999999999999</v>
      </c>
      <c r="CP344">
        <v>-31.62</v>
      </c>
      <c r="CQ344">
        <v>1.26</v>
      </c>
      <c r="CR344">
        <v>0</v>
      </c>
      <c r="CS344" t="s">
        <v>2393</v>
      </c>
      <c r="CT344">
        <v>3.68</v>
      </c>
      <c r="CU344">
        <v>0</v>
      </c>
      <c r="CV344">
        <v>2.1</v>
      </c>
      <c r="CW344">
        <v>0.43</v>
      </c>
      <c r="CX344">
        <v>-0.13</v>
      </c>
      <c r="CY344">
        <v>27.89</v>
      </c>
      <c r="CZ344" t="s">
        <v>2394</v>
      </c>
      <c r="DA344">
        <v>18.73</v>
      </c>
      <c r="DB344">
        <v>0.63</v>
      </c>
      <c r="DC344">
        <v>-0.25</v>
      </c>
      <c r="DD344">
        <v>0.55000000000000004</v>
      </c>
      <c r="DE344">
        <v>9328</v>
      </c>
      <c r="DF344">
        <v>837</v>
      </c>
      <c r="DG344" t="s">
        <v>116</v>
      </c>
      <c r="DH344" t="s">
        <v>116</v>
      </c>
      <c r="DI344" t="s">
        <v>116</v>
      </c>
    </row>
    <row r="345" spans="1:113" x14ac:dyDescent="0.4">
      <c r="A345" t="str">
        <f>"000838"</f>
        <v>000838</v>
      </c>
      <c r="B345" t="s">
        <v>2395</v>
      </c>
      <c r="C345">
        <v>-0.32</v>
      </c>
      <c r="D345">
        <v>3.14</v>
      </c>
      <c r="E345">
        <v>-0.01</v>
      </c>
      <c r="F345">
        <v>3.14</v>
      </c>
      <c r="G345">
        <v>3.15</v>
      </c>
      <c r="H345">
        <v>49909</v>
      </c>
      <c r="I345">
        <v>309</v>
      </c>
      <c r="J345">
        <v>0</v>
      </c>
      <c r="K345">
        <v>0.59</v>
      </c>
      <c r="L345">
        <v>3.15</v>
      </c>
      <c r="M345">
        <v>3.18</v>
      </c>
      <c r="N345">
        <v>3.13</v>
      </c>
      <c r="O345">
        <v>3.15</v>
      </c>
      <c r="P345">
        <v>85.62</v>
      </c>
      <c r="Q345">
        <v>15746921</v>
      </c>
      <c r="R345">
        <v>1.35</v>
      </c>
      <c r="S345" t="s">
        <v>148</v>
      </c>
      <c r="T345" t="s">
        <v>906</v>
      </c>
      <c r="U345">
        <v>1.59</v>
      </c>
      <c r="V345">
        <v>3.16</v>
      </c>
      <c r="W345">
        <v>26079</v>
      </c>
      <c r="X345">
        <v>23830</v>
      </c>
      <c r="Y345">
        <v>1.0900000000000001</v>
      </c>
      <c r="Z345">
        <v>1829</v>
      </c>
      <c r="AA345">
        <v>734</v>
      </c>
      <c r="AB345" t="s">
        <v>116</v>
      </c>
      <c r="AC345">
        <v>23100</v>
      </c>
      <c r="AD345">
        <v>0</v>
      </c>
      <c r="AE345" t="s">
        <v>116</v>
      </c>
      <c r="AF345" t="s">
        <v>116</v>
      </c>
      <c r="AG345">
        <v>8.4600000000000009</v>
      </c>
      <c r="AH345" t="s">
        <v>2396</v>
      </c>
      <c r="AI345" t="s">
        <v>2397</v>
      </c>
      <c r="AJ345">
        <v>0.36</v>
      </c>
      <c r="AK345">
        <v>849</v>
      </c>
      <c r="AL345">
        <v>59</v>
      </c>
      <c r="AM345">
        <v>6.9999999999999999E-4</v>
      </c>
      <c r="AN345">
        <v>-1</v>
      </c>
      <c r="AO345">
        <v>-0.01</v>
      </c>
      <c r="AP345">
        <v>2.95</v>
      </c>
      <c r="AQ345">
        <v>1.29</v>
      </c>
      <c r="AR345">
        <v>7.94</v>
      </c>
      <c r="AS345">
        <v>1.18</v>
      </c>
      <c r="AT345" t="s">
        <v>2398</v>
      </c>
      <c r="AU345">
        <v>28.64</v>
      </c>
      <c r="AV345">
        <v>30.38</v>
      </c>
      <c r="AW345">
        <v>0.66</v>
      </c>
      <c r="BA345">
        <v>0</v>
      </c>
      <c r="BB345">
        <v>0.95</v>
      </c>
      <c r="BC345">
        <v>-0.63</v>
      </c>
      <c r="BD345">
        <v>0.16</v>
      </c>
      <c r="BE345">
        <v>-0.32</v>
      </c>
      <c r="BF345">
        <v>-1.26</v>
      </c>
      <c r="BG345">
        <v>0.32</v>
      </c>
      <c r="BH345">
        <v>-0.48</v>
      </c>
      <c r="BI345">
        <v>20191029</v>
      </c>
      <c r="BJ345">
        <v>19970626</v>
      </c>
      <c r="BK345">
        <v>11</v>
      </c>
      <c r="BL345" t="s">
        <v>116</v>
      </c>
      <c r="BM345" t="s">
        <v>116</v>
      </c>
      <c r="BN345">
        <v>166.94</v>
      </c>
      <c r="BO345">
        <v>18.82</v>
      </c>
      <c r="BP345">
        <v>7.09</v>
      </c>
      <c r="BQ345">
        <v>84.48</v>
      </c>
      <c r="BR345">
        <v>163.9</v>
      </c>
      <c r="BS345">
        <v>1.39</v>
      </c>
      <c r="BT345">
        <v>0.1</v>
      </c>
      <c r="BU345">
        <v>112.29</v>
      </c>
      <c r="BV345">
        <v>128.61000000000001</v>
      </c>
      <c r="BW345">
        <v>1.06</v>
      </c>
      <c r="BX345">
        <v>2.48</v>
      </c>
      <c r="BY345">
        <v>9.34</v>
      </c>
      <c r="BZ345">
        <v>6.93</v>
      </c>
      <c r="CA345">
        <v>0.02</v>
      </c>
      <c r="CB345">
        <v>0.03</v>
      </c>
      <c r="CC345">
        <v>0.21</v>
      </c>
      <c r="CD345">
        <v>-0.01</v>
      </c>
      <c r="CE345">
        <v>0.3</v>
      </c>
      <c r="CF345">
        <v>0.13</v>
      </c>
      <c r="CG345">
        <v>5.0999999999999996</v>
      </c>
      <c r="CH345">
        <v>12.5</v>
      </c>
      <c r="CI345">
        <v>-4.29</v>
      </c>
      <c r="CJ345">
        <v>65786</v>
      </c>
      <c r="CK345">
        <v>6402</v>
      </c>
      <c r="CL345" t="s">
        <v>2399</v>
      </c>
      <c r="CM345">
        <v>29.74</v>
      </c>
      <c r="CN345">
        <v>9.4700000000000006</v>
      </c>
      <c r="CO345">
        <v>1.84</v>
      </c>
      <c r="CP345">
        <v>2.77</v>
      </c>
      <c r="CQ345">
        <v>3.7</v>
      </c>
      <c r="CR345">
        <v>0.67</v>
      </c>
      <c r="CS345" t="s">
        <v>2295</v>
      </c>
      <c r="CT345">
        <v>1.71</v>
      </c>
      <c r="CU345">
        <v>0</v>
      </c>
      <c r="CV345">
        <v>0.23</v>
      </c>
      <c r="CW345">
        <v>0.46</v>
      </c>
      <c r="CX345">
        <v>1.1399999999999999</v>
      </c>
      <c r="CY345">
        <v>11.28</v>
      </c>
      <c r="CZ345" t="s">
        <v>951</v>
      </c>
      <c r="DA345">
        <v>25.78</v>
      </c>
      <c r="DB345">
        <v>0.16</v>
      </c>
      <c r="DC345">
        <v>3.24</v>
      </c>
      <c r="DD345">
        <v>0.01</v>
      </c>
      <c r="DE345">
        <v>851</v>
      </c>
      <c r="DF345">
        <v>838</v>
      </c>
      <c r="DG345" t="s">
        <v>116</v>
      </c>
      <c r="DH345" t="s">
        <v>116</v>
      </c>
      <c r="DI345" t="s">
        <v>116</v>
      </c>
    </row>
    <row r="346" spans="1:113" x14ac:dyDescent="0.4">
      <c r="A346" t="str">
        <f>"000839"</f>
        <v>000839</v>
      </c>
      <c r="B346" t="s">
        <v>2400</v>
      </c>
      <c r="C346">
        <v>1.17</v>
      </c>
      <c r="D346">
        <v>3.47</v>
      </c>
      <c r="E346">
        <v>0.04</v>
      </c>
      <c r="F346">
        <v>3.46</v>
      </c>
      <c r="G346">
        <v>3.47</v>
      </c>
      <c r="H346">
        <v>755499</v>
      </c>
      <c r="I346">
        <v>5858</v>
      </c>
      <c r="J346">
        <v>0.28999999999999998</v>
      </c>
      <c r="K346">
        <v>1.93</v>
      </c>
      <c r="L346">
        <v>3.41</v>
      </c>
      <c r="M346">
        <v>3.56</v>
      </c>
      <c r="N346">
        <v>3.4</v>
      </c>
      <c r="O346">
        <v>3.43</v>
      </c>
      <c r="P346">
        <v>125.22</v>
      </c>
      <c r="Q346">
        <v>263406336</v>
      </c>
      <c r="R346">
        <v>2.21</v>
      </c>
      <c r="S346" t="s">
        <v>173</v>
      </c>
      <c r="T346" t="s">
        <v>165</v>
      </c>
      <c r="U346">
        <v>4.66</v>
      </c>
      <c r="V346">
        <v>3.49</v>
      </c>
      <c r="W346">
        <v>374214</v>
      </c>
      <c r="X346">
        <v>381285</v>
      </c>
      <c r="Y346">
        <v>0.98</v>
      </c>
      <c r="Z346">
        <v>10695</v>
      </c>
      <c r="AA346">
        <v>1633</v>
      </c>
      <c r="AB346" t="s">
        <v>116</v>
      </c>
      <c r="AC346">
        <v>855100</v>
      </c>
      <c r="AD346">
        <v>0.01</v>
      </c>
      <c r="AE346" t="s">
        <v>116</v>
      </c>
      <c r="AF346" t="s">
        <v>116</v>
      </c>
      <c r="AG346">
        <v>39.19</v>
      </c>
      <c r="AH346" t="s">
        <v>2401</v>
      </c>
      <c r="AI346" t="s">
        <v>2402</v>
      </c>
      <c r="AJ346">
        <v>1.85</v>
      </c>
      <c r="AK346">
        <v>2956</v>
      </c>
      <c r="AL346">
        <v>256</v>
      </c>
      <c r="AM346">
        <v>6.9999999999999999E-4</v>
      </c>
      <c r="AN346">
        <v>2</v>
      </c>
      <c r="AO346">
        <v>2.66</v>
      </c>
      <c r="AP346">
        <v>4.2</v>
      </c>
      <c r="AQ346">
        <v>-3.88</v>
      </c>
      <c r="AR346">
        <v>2.97</v>
      </c>
      <c r="AS346">
        <v>3.03</v>
      </c>
      <c r="AT346" t="s">
        <v>2403</v>
      </c>
      <c r="AU346">
        <v>6.53</v>
      </c>
      <c r="AV346">
        <v>6.78</v>
      </c>
      <c r="AW346">
        <v>1.25</v>
      </c>
      <c r="BA346">
        <v>-0.57999999999999996</v>
      </c>
      <c r="BB346">
        <v>3.79</v>
      </c>
      <c r="BC346">
        <v>-0.87</v>
      </c>
      <c r="BD346">
        <v>1.65</v>
      </c>
      <c r="BE346">
        <v>1.76</v>
      </c>
      <c r="BF346">
        <v>-2.5299999999999998</v>
      </c>
      <c r="BG346">
        <v>2.06</v>
      </c>
      <c r="BH346">
        <v>-0.48</v>
      </c>
      <c r="BI346">
        <v>20191129</v>
      </c>
      <c r="BJ346">
        <v>19971031</v>
      </c>
      <c r="BK346">
        <v>39.200000000000003</v>
      </c>
      <c r="BL346" t="s">
        <v>116</v>
      </c>
      <c r="BM346" t="s">
        <v>116</v>
      </c>
      <c r="BN346">
        <v>171.96</v>
      </c>
      <c r="BO346">
        <v>91.12</v>
      </c>
      <c r="BP346">
        <v>-0.23</v>
      </c>
      <c r="BQ346">
        <v>47.14</v>
      </c>
      <c r="BR346">
        <v>37.15</v>
      </c>
      <c r="BS346">
        <v>3.31</v>
      </c>
      <c r="BT346">
        <v>5.64</v>
      </c>
      <c r="BU346">
        <v>62.18</v>
      </c>
      <c r="BV346">
        <v>21.49</v>
      </c>
      <c r="BW346">
        <v>8.5299999999999994</v>
      </c>
      <c r="BX346">
        <v>10.61</v>
      </c>
      <c r="BY346">
        <v>24.41</v>
      </c>
      <c r="BZ346">
        <v>21.79</v>
      </c>
      <c r="CA346">
        <v>1.53</v>
      </c>
      <c r="CB346">
        <v>3.92</v>
      </c>
      <c r="CC346">
        <v>1.55</v>
      </c>
      <c r="CD346">
        <v>0.57999999999999996</v>
      </c>
      <c r="CE346">
        <v>0.81</v>
      </c>
      <c r="CF346">
        <v>-1.6</v>
      </c>
      <c r="CG346">
        <v>32.5</v>
      </c>
      <c r="CH346">
        <v>-1.9</v>
      </c>
      <c r="CI346">
        <v>-2.92</v>
      </c>
      <c r="CJ346">
        <v>223081</v>
      </c>
      <c r="CK346">
        <v>11164</v>
      </c>
      <c r="CL346" t="s">
        <v>1176</v>
      </c>
      <c r="CM346">
        <v>1396.25</v>
      </c>
      <c r="CN346">
        <v>-18.02</v>
      </c>
      <c r="CO346">
        <v>1.49</v>
      </c>
      <c r="CP346">
        <v>-71.760000000000005</v>
      </c>
      <c r="CQ346">
        <v>5.57</v>
      </c>
      <c r="CR346">
        <v>0</v>
      </c>
      <c r="CS346" t="s">
        <v>2404</v>
      </c>
      <c r="CT346">
        <v>2.3199999999999998</v>
      </c>
      <c r="CU346">
        <v>0</v>
      </c>
      <c r="CV346">
        <v>0.27</v>
      </c>
      <c r="CW346">
        <v>0.83</v>
      </c>
      <c r="CX346">
        <v>-0.05</v>
      </c>
      <c r="CY346">
        <v>52.99</v>
      </c>
      <c r="CZ346" t="s">
        <v>2405</v>
      </c>
      <c r="DA346">
        <v>10.77</v>
      </c>
      <c r="DB346">
        <v>6.25</v>
      </c>
      <c r="DC346">
        <v>3.34</v>
      </c>
      <c r="DD346">
        <v>0.38</v>
      </c>
      <c r="DE346">
        <v>20185</v>
      </c>
      <c r="DF346">
        <v>839</v>
      </c>
      <c r="DG346" t="s">
        <v>116</v>
      </c>
      <c r="DH346" t="s">
        <v>116</v>
      </c>
      <c r="DI346" t="s">
        <v>116</v>
      </c>
    </row>
    <row r="347" spans="1:113" x14ac:dyDescent="0.4">
      <c r="A347" t="str">
        <f>"000848"</f>
        <v>000848</v>
      </c>
      <c r="B347" t="s">
        <v>2406</v>
      </c>
      <c r="C347">
        <v>0.78</v>
      </c>
      <c r="D347">
        <v>7.72</v>
      </c>
      <c r="E347">
        <v>0.06</v>
      </c>
      <c r="F347">
        <v>7.71</v>
      </c>
      <c r="G347">
        <v>7.72</v>
      </c>
      <c r="H347">
        <v>74783</v>
      </c>
      <c r="I347">
        <v>1170</v>
      </c>
      <c r="J347">
        <v>0</v>
      </c>
      <c r="K347">
        <v>0.76</v>
      </c>
      <c r="L347">
        <v>7.67</v>
      </c>
      <c r="M347">
        <v>7.75</v>
      </c>
      <c r="N347">
        <v>7.66</v>
      </c>
      <c r="O347">
        <v>7.66</v>
      </c>
      <c r="P347">
        <v>15.62</v>
      </c>
      <c r="Q347">
        <v>57721460</v>
      </c>
      <c r="R347">
        <v>1.49</v>
      </c>
      <c r="S347" t="s">
        <v>2407</v>
      </c>
      <c r="T347" t="s">
        <v>608</v>
      </c>
      <c r="U347">
        <v>1.17</v>
      </c>
      <c r="V347">
        <v>7.72</v>
      </c>
      <c r="W347">
        <v>30590</v>
      </c>
      <c r="X347">
        <v>44193</v>
      </c>
      <c r="Y347">
        <v>0.69</v>
      </c>
      <c r="Z347">
        <v>621</v>
      </c>
      <c r="AA347">
        <v>2647</v>
      </c>
      <c r="AB347" t="s">
        <v>116</v>
      </c>
      <c r="AC347">
        <v>50600</v>
      </c>
      <c r="AD347">
        <v>0</v>
      </c>
      <c r="AE347" t="s">
        <v>116</v>
      </c>
      <c r="AF347" t="s">
        <v>116</v>
      </c>
      <c r="AG347">
        <v>9.7799999999999994</v>
      </c>
      <c r="AH347" t="s">
        <v>2408</v>
      </c>
      <c r="AI347" t="s">
        <v>2409</v>
      </c>
      <c r="AJ347">
        <v>1.46</v>
      </c>
      <c r="AK347">
        <v>1966</v>
      </c>
      <c r="AL347">
        <v>38</v>
      </c>
      <c r="AM347">
        <v>4.0000000000000002E-4</v>
      </c>
      <c r="AN347">
        <v>2</v>
      </c>
      <c r="AO347">
        <v>0.78</v>
      </c>
      <c r="AP347">
        <v>2.25</v>
      </c>
      <c r="AQ347">
        <v>2.66</v>
      </c>
      <c r="AR347">
        <v>1.05</v>
      </c>
      <c r="AS347">
        <v>1.41</v>
      </c>
      <c r="AT347" t="s">
        <v>2410</v>
      </c>
      <c r="AU347">
        <v>17.75</v>
      </c>
      <c r="AV347">
        <v>18.29</v>
      </c>
      <c r="AW347">
        <v>0.51</v>
      </c>
      <c r="BA347">
        <v>0.13</v>
      </c>
      <c r="BB347">
        <v>1.17</v>
      </c>
      <c r="BC347">
        <v>0</v>
      </c>
      <c r="BD347">
        <v>0.76</v>
      </c>
      <c r="BE347">
        <v>0.65</v>
      </c>
      <c r="BF347">
        <v>-0.39</v>
      </c>
      <c r="BG347">
        <v>0.78</v>
      </c>
      <c r="BH347">
        <v>0.02</v>
      </c>
      <c r="BI347">
        <v>20191224</v>
      </c>
      <c r="BJ347">
        <v>19971113</v>
      </c>
      <c r="BK347">
        <v>9.7899999999999991</v>
      </c>
      <c r="BL347" t="s">
        <v>116</v>
      </c>
      <c r="BM347" t="s">
        <v>116</v>
      </c>
      <c r="BN347">
        <v>23.47</v>
      </c>
      <c r="BO347">
        <v>18.940000000000001</v>
      </c>
      <c r="BP347">
        <v>0.34</v>
      </c>
      <c r="BQ347">
        <v>17.88</v>
      </c>
      <c r="BR347">
        <v>17.77</v>
      </c>
      <c r="BS347">
        <v>2.34</v>
      </c>
      <c r="BT347">
        <v>3</v>
      </c>
      <c r="BU347">
        <v>3.7</v>
      </c>
      <c r="BV347">
        <v>1.2</v>
      </c>
      <c r="BW347">
        <v>0</v>
      </c>
      <c r="BX347">
        <v>0.17</v>
      </c>
      <c r="BY347">
        <v>17.72</v>
      </c>
      <c r="BZ347">
        <v>8.3699999999999992</v>
      </c>
      <c r="CA347">
        <v>4.82</v>
      </c>
      <c r="CB347">
        <v>-0.02</v>
      </c>
      <c r="CC347">
        <v>4.82</v>
      </c>
      <c r="CD347">
        <v>3.63</v>
      </c>
      <c r="CE347">
        <v>3.63</v>
      </c>
      <c r="CF347">
        <v>3.63</v>
      </c>
      <c r="CG347">
        <v>4.97</v>
      </c>
      <c r="CH347">
        <v>1.1000000000000001</v>
      </c>
      <c r="CI347">
        <v>-2.84</v>
      </c>
      <c r="CJ347">
        <v>52982</v>
      </c>
      <c r="CK347">
        <v>10010</v>
      </c>
      <c r="CL347" t="s">
        <v>2411</v>
      </c>
      <c r="CM347">
        <v>3.6</v>
      </c>
      <c r="CN347">
        <v>5.88</v>
      </c>
      <c r="CO347">
        <v>3.99</v>
      </c>
      <c r="CP347">
        <v>68.569999999999993</v>
      </c>
      <c r="CQ347">
        <v>4.26</v>
      </c>
      <c r="CR347">
        <v>5.18</v>
      </c>
      <c r="CS347" t="s">
        <v>1749</v>
      </c>
      <c r="CT347">
        <v>1.94</v>
      </c>
      <c r="CU347">
        <v>0</v>
      </c>
      <c r="CV347">
        <v>0.02</v>
      </c>
      <c r="CW347">
        <v>0.51</v>
      </c>
      <c r="CX347">
        <v>0.11</v>
      </c>
      <c r="CY347">
        <v>80.67</v>
      </c>
      <c r="CZ347" t="s">
        <v>2412</v>
      </c>
      <c r="DA347">
        <v>52.8</v>
      </c>
      <c r="DB347">
        <v>27.22</v>
      </c>
      <c r="DC347">
        <v>20.47</v>
      </c>
      <c r="DD347">
        <v>0.12</v>
      </c>
      <c r="DE347">
        <v>1250</v>
      </c>
      <c r="DF347">
        <v>848</v>
      </c>
      <c r="DG347" t="s">
        <v>116</v>
      </c>
      <c r="DH347" t="s">
        <v>116</v>
      </c>
      <c r="DI347" t="s">
        <v>116</v>
      </c>
    </row>
    <row r="348" spans="1:113" x14ac:dyDescent="0.4">
      <c r="A348" t="str">
        <f>"000850"</f>
        <v>000850</v>
      </c>
      <c r="B348" t="s">
        <v>2413</v>
      </c>
      <c r="C348">
        <v>-0.51</v>
      </c>
      <c r="D348">
        <v>3.94</v>
      </c>
      <c r="E348">
        <v>-0.02</v>
      </c>
      <c r="F348">
        <v>3.94</v>
      </c>
      <c r="G348">
        <v>3.95</v>
      </c>
      <c r="H348">
        <v>70545</v>
      </c>
      <c r="I348">
        <v>232</v>
      </c>
      <c r="J348">
        <v>0</v>
      </c>
      <c r="K348">
        <v>0.75</v>
      </c>
      <c r="L348">
        <v>3.96</v>
      </c>
      <c r="M348">
        <v>4.01</v>
      </c>
      <c r="N348">
        <v>3.94</v>
      </c>
      <c r="O348">
        <v>3.96</v>
      </c>
      <c r="P348">
        <v>10.08</v>
      </c>
      <c r="Q348">
        <v>28044664</v>
      </c>
      <c r="R348">
        <v>1.4</v>
      </c>
      <c r="S348" t="s">
        <v>1420</v>
      </c>
      <c r="T348" t="s">
        <v>575</v>
      </c>
      <c r="U348">
        <v>1.77</v>
      </c>
      <c r="V348">
        <v>3.98</v>
      </c>
      <c r="W348">
        <v>37689</v>
      </c>
      <c r="X348">
        <v>32856</v>
      </c>
      <c r="Y348">
        <v>1.1499999999999999</v>
      </c>
      <c r="Z348">
        <v>373</v>
      </c>
      <c r="AA348">
        <v>725</v>
      </c>
      <c r="AB348" t="s">
        <v>116</v>
      </c>
      <c r="AC348">
        <v>24900</v>
      </c>
      <c r="AD348">
        <v>0</v>
      </c>
      <c r="AE348" t="s">
        <v>116</v>
      </c>
      <c r="AF348" t="s">
        <v>116</v>
      </c>
      <c r="AG348">
        <v>9.43</v>
      </c>
      <c r="AH348" t="s">
        <v>2414</v>
      </c>
      <c r="AI348" t="s">
        <v>2415</v>
      </c>
      <c r="AJ348">
        <v>0.17</v>
      </c>
      <c r="AK348">
        <v>774</v>
      </c>
      <c r="AL348">
        <v>91</v>
      </c>
      <c r="AM348">
        <v>1E-3</v>
      </c>
      <c r="AN348">
        <v>-1</v>
      </c>
      <c r="AO348">
        <v>0.25</v>
      </c>
      <c r="AP348">
        <v>4.79</v>
      </c>
      <c r="AQ348">
        <v>0.77</v>
      </c>
      <c r="AR348">
        <v>25.08</v>
      </c>
      <c r="AS348">
        <v>1.4</v>
      </c>
      <c r="AT348" t="s">
        <v>2416</v>
      </c>
      <c r="AU348">
        <v>14.22</v>
      </c>
      <c r="AV348">
        <v>31.33</v>
      </c>
      <c r="AW348">
        <v>1.02</v>
      </c>
      <c r="BA348">
        <v>0</v>
      </c>
      <c r="BB348">
        <v>1.26</v>
      </c>
      <c r="BC348">
        <v>-0.51</v>
      </c>
      <c r="BD348">
        <v>0.39</v>
      </c>
      <c r="BE348">
        <v>-0.51</v>
      </c>
      <c r="BF348">
        <v>-1.75</v>
      </c>
      <c r="BG348">
        <v>0</v>
      </c>
      <c r="BH348">
        <v>-0.89</v>
      </c>
      <c r="BI348">
        <v>20191029</v>
      </c>
      <c r="BJ348">
        <v>19981007</v>
      </c>
      <c r="BK348">
        <v>9.44</v>
      </c>
      <c r="BL348" t="s">
        <v>116</v>
      </c>
      <c r="BM348" t="s">
        <v>116</v>
      </c>
      <c r="BN348">
        <v>76.12</v>
      </c>
      <c r="BO348">
        <v>43.4</v>
      </c>
      <c r="BP348">
        <v>1.31</v>
      </c>
      <c r="BQ348">
        <v>41.27</v>
      </c>
      <c r="BR348">
        <v>32.28</v>
      </c>
      <c r="BS348">
        <v>18.850000000000001</v>
      </c>
      <c r="BT348">
        <v>4.34</v>
      </c>
      <c r="BU348">
        <v>20.16</v>
      </c>
      <c r="BV348">
        <v>7.06</v>
      </c>
      <c r="BW348">
        <v>3.3</v>
      </c>
      <c r="BX348">
        <v>0.25</v>
      </c>
      <c r="BY348">
        <v>20.96</v>
      </c>
      <c r="BZ348">
        <v>18.399999999999999</v>
      </c>
      <c r="CA348">
        <v>3.27</v>
      </c>
      <c r="CB348">
        <v>1.44</v>
      </c>
      <c r="CC348">
        <v>3.19</v>
      </c>
      <c r="CD348">
        <v>2.66</v>
      </c>
      <c r="CE348">
        <v>2.77</v>
      </c>
      <c r="CF348">
        <v>-0.25</v>
      </c>
      <c r="CG348">
        <v>29.29</v>
      </c>
      <c r="CH348">
        <v>0.48</v>
      </c>
      <c r="CI348">
        <v>0.11</v>
      </c>
      <c r="CJ348">
        <v>49974</v>
      </c>
      <c r="CK348">
        <v>10116</v>
      </c>
      <c r="CL348" t="s">
        <v>2417</v>
      </c>
      <c r="CM348">
        <v>106.76</v>
      </c>
      <c r="CN348">
        <v>5.46</v>
      </c>
      <c r="CO348">
        <v>0.86</v>
      </c>
      <c r="CP348">
        <v>77.349999999999994</v>
      </c>
      <c r="CQ348">
        <v>1.77</v>
      </c>
      <c r="CR348">
        <v>1.27</v>
      </c>
      <c r="CS348" t="s">
        <v>2418</v>
      </c>
      <c r="CT348">
        <v>4.5999999999999996</v>
      </c>
      <c r="CU348">
        <v>0</v>
      </c>
      <c r="CV348">
        <v>0.03</v>
      </c>
      <c r="CW348">
        <v>3.1</v>
      </c>
      <c r="CX348">
        <v>0.05</v>
      </c>
      <c r="CY348">
        <v>57.01</v>
      </c>
      <c r="CZ348" t="s">
        <v>1549</v>
      </c>
      <c r="DA348">
        <v>12.22</v>
      </c>
      <c r="DB348">
        <v>15.61</v>
      </c>
      <c r="DC348">
        <v>13.2</v>
      </c>
      <c r="DD348">
        <v>0.71</v>
      </c>
      <c r="DE348">
        <v>5187</v>
      </c>
      <c r="DF348">
        <v>850</v>
      </c>
      <c r="DG348" t="s">
        <v>116</v>
      </c>
      <c r="DH348" t="s">
        <v>116</v>
      </c>
      <c r="DI348" t="s">
        <v>116</v>
      </c>
    </row>
    <row r="349" spans="1:113" x14ac:dyDescent="0.4">
      <c r="A349" t="str">
        <f>"000851"</f>
        <v>000851</v>
      </c>
      <c r="B349" t="s">
        <v>2419</v>
      </c>
      <c r="C349">
        <v>-2.35</v>
      </c>
      <c r="D349">
        <v>5.82</v>
      </c>
      <c r="E349">
        <v>-0.14000000000000001</v>
      </c>
      <c r="F349">
        <v>5.82</v>
      </c>
      <c r="G349">
        <v>5.83</v>
      </c>
      <c r="H349">
        <v>258289</v>
      </c>
      <c r="I349">
        <v>2841</v>
      </c>
      <c r="J349">
        <v>0</v>
      </c>
      <c r="K349">
        <v>2.97</v>
      </c>
      <c r="L349">
        <v>5.97</v>
      </c>
      <c r="M349">
        <v>6.01</v>
      </c>
      <c r="N349">
        <v>5.8</v>
      </c>
      <c r="O349">
        <v>5.96</v>
      </c>
      <c r="P349">
        <v>150.06</v>
      </c>
      <c r="Q349">
        <v>152900592</v>
      </c>
      <c r="R349">
        <v>1.35</v>
      </c>
      <c r="S349" t="s">
        <v>607</v>
      </c>
      <c r="T349" t="s">
        <v>1056</v>
      </c>
      <c r="U349">
        <v>3.52</v>
      </c>
      <c r="V349">
        <v>5.92</v>
      </c>
      <c r="W349">
        <v>154097</v>
      </c>
      <c r="X349">
        <v>104192</v>
      </c>
      <c r="Y349">
        <v>1.48</v>
      </c>
      <c r="Z349">
        <v>1670</v>
      </c>
      <c r="AA349">
        <v>1215</v>
      </c>
      <c r="AB349" t="s">
        <v>116</v>
      </c>
      <c r="AC349">
        <v>419100</v>
      </c>
      <c r="AD349">
        <v>0.01</v>
      </c>
      <c r="AE349" t="s">
        <v>116</v>
      </c>
      <c r="AF349" t="s">
        <v>116</v>
      </c>
      <c r="AG349">
        <v>8.7100000000000009</v>
      </c>
      <c r="AH349" t="s">
        <v>2420</v>
      </c>
      <c r="AI349" t="s">
        <v>2421</v>
      </c>
      <c r="AJ349">
        <v>-1.67</v>
      </c>
      <c r="AK349">
        <v>2698</v>
      </c>
      <c r="AL349">
        <v>96</v>
      </c>
      <c r="AM349">
        <v>1.1000000000000001E-3</v>
      </c>
      <c r="AN349">
        <v>-1</v>
      </c>
      <c r="AO349">
        <v>0.7</v>
      </c>
      <c r="AP349">
        <v>6.79</v>
      </c>
      <c r="AQ349">
        <v>10.02</v>
      </c>
      <c r="AR349">
        <v>22.27</v>
      </c>
      <c r="AS349">
        <v>3.42</v>
      </c>
      <c r="AT349" t="s">
        <v>2422</v>
      </c>
      <c r="AU349">
        <v>214.44</v>
      </c>
      <c r="AV349">
        <v>155.53</v>
      </c>
      <c r="AW349">
        <v>1.58</v>
      </c>
      <c r="BA349">
        <v>0.17</v>
      </c>
      <c r="BB349">
        <v>0.84</v>
      </c>
      <c r="BC349">
        <v>-2.68</v>
      </c>
      <c r="BD349">
        <v>-0.68</v>
      </c>
      <c r="BE349">
        <v>-2.5099999999999998</v>
      </c>
      <c r="BF349">
        <v>-3.16</v>
      </c>
      <c r="BG349">
        <v>0.34</v>
      </c>
      <c r="BH349">
        <v>-1.67</v>
      </c>
      <c r="BI349">
        <v>20191220</v>
      </c>
      <c r="BJ349">
        <v>19980609</v>
      </c>
      <c r="BK349">
        <v>9.08</v>
      </c>
      <c r="BL349" t="s">
        <v>116</v>
      </c>
      <c r="BM349" t="s">
        <v>116</v>
      </c>
      <c r="BN349">
        <v>96.57</v>
      </c>
      <c r="BO349">
        <v>33.61</v>
      </c>
      <c r="BP349">
        <v>5.84</v>
      </c>
      <c r="BQ349">
        <v>59.15</v>
      </c>
      <c r="BR349">
        <v>72.66</v>
      </c>
      <c r="BS349">
        <v>1.05</v>
      </c>
      <c r="BT349">
        <v>3.63</v>
      </c>
      <c r="BU349">
        <v>53.94</v>
      </c>
      <c r="BV349">
        <v>15.05</v>
      </c>
      <c r="BW349">
        <v>27.79</v>
      </c>
      <c r="BX349">
        <v>19.7</v>
      </c>
      <c r="BY349">
        <v>75.489999999999995</v>
      </c>
      <c r="BZ349">
        <v>71.44</v>
      </c>
      <c r="CA349">
        <v>0.23</v>
      </c>
      <c r="CB349">
        <v>0.03</v>
      </c>
      <c r="CC349">
        <v>0.25</v>
      </c>
      <c r="CD349">
        <v>0.18</v>
      </c>
      <c r="CE349">
        <v>0.26</v>
      </c>
      <c r="CF349">
        <v>0.22</v>
      </c>
      <c r="CG349">
        <v>5.41</v>
      </c>
      <c r="CH349">
        <v>-7.08</v>
      </c>
      <c r="CI349">
        <v>-12.71</v>
      </c>
      <c r="CJ349">
        <v>69000</v>
      </c>
      <c r="CK349">
        <v>10935</v>
      </c>
      <c r="CL349" t="s">
        <v>2423</v>
      </c>
      <c r="CM349">
        <v>-26.11</v>
      </c>
      <c r="CN349">
        <v>-6.59</v>
      </c>
      <c r="CO349">
        <v>1.57</v>
      </c>
      <c r="CP349">
        <v>-7.46</v>
      </c>
      <c r="CQ349">
        <v>0.7</v>
      </c>
      <c r="CR349">
        <v>0</v>
      </c>
      <c r="CS349" t="s">
        <v>944</v>
      </c>
      <c r="CT349">
        <v>3.7</v>
      </c>
      <c r="CU349">
        <v>0</v>
      </c>
      <c r="CV349">
        <v>2.17</v>
      </c>
      <c r="CW349">
        <v>0.6</v>
      </c>
      <c r="CX349">
        <v>-0.78</v>
      </c>
      <c r="CY349">
        <v>34.81</v>
      </c>
      <c r="CZ349" t="s">
        <v>2424</v>
      </c>
      <c r="DA349">
        <v>5.37</v>
      </c>
      <c r="DB349">
        <v>0.3</v>
      </c>
      <c r="DC349">
        <v>0.35</v>
      </c>
      <c r="DD349">
        <v>0.4</v>
      </c>
      <c r="DE349">
        <v>1797</v>
      </c>
      <c r="DF349">
        <v>851</v>
      </c>
      <c r="DG349" t="s">
        <v>116</v>
      </c>
      <c r="DH349" t="s">
        <v>116</v>
      </c>
      <c r="DI349" t="s">
        <v>116</v>
      </c>
    </row>
    <row r="350" spans="1:113" x14ac:dyDescent="0.4">
      <c r="A350" t="str">
        <f>"000852"</f>
        <v>000852</v>
      </c>
      <c r="B350" t="s">
        <v>2425</v>
      </c>
      <c r="C350">
        <v>-0.32</v>
      </c>
      <c r="D350">
        <v>6.28</v>
      </c>
      <c r="E350">
        <v>-0.02</v>
      </c>
      <c r="F350">
        <v>6.28</v>
      </c>
      <c r="G350">
        <v>6.29</v>
      </c>
      <c r="H350">
        <v>100802</v>
      </c>
      <c r="I350">
        <v>2333</v>
      </c>
      <c r="J350">
        <v>-0.31</v>
      </c>
      <c r="K350">
        <v>1.3</v>
      </c>
      <c r="L350">
        <v>6.31</v>
      </c>
      <c r="M350">
        <v>6.39</v>
      </c>
      <c r="N350">
        <v>6.28</v>
      </c>
      <c r="O350">
        <v>6.3</v>
      </c>
      <c r="P350">
        <v>105.68</v>
      </c>
      <c r="Q350">
        <v>63892328</v>
      </c>
      <c r="R350">
        <v>1.3</v>
      </c>
      <c r="S350" t="s">
        <v>2426</v>
      </c>
      <c r="T350" t="s">
        <v>774</v>
      </c>
      <c r="U350">
        <v>1.75</v>
      </c>
      <c r="V350">
        <v>6.34</v>
      </c>
      <c r="W350">
        <v>54160</v>
      </c>
      <c r="X350">
        <v>46642</v>
      </c>
      <c r="Y350">
        <v>1.1599999999999999</v>
      </c>
      <c r="Z350">
        <v>255</v>
      </c>
      <c r="AA350">
        <v>590</v>
      </c>
      <c r="AB350" t="s">
        <v>116</v>
      </c>
      <c r="AC350">
        <v>75700</v>
      </c>
      <c r="AD350">
        <v>0</v>
      </c>
      <c r="AE350" t="s">
        <v>116</v>
      </c>
      <c r="AF350" t="s">
        <v>116</v>
      </c>
      <c r="AG350">
        <v>7.78</v>
      </c>
      <c r="AH350" t="s">
        <v>2427</v>
      </c>
      <c r="AI350" t="s">
        <v>2427</v>
      </c>
      <c r="AJ350">
        <v>0.36</v>
      </c>
      <c r="AK350">
        <v>1901</v>
      </c>
      <c r="AL350">
        <v>53</v>
      </c>
      <c r="AM350">
        <v>6.9999999999999999E-4</v>
      </c>
      <c r="AN350">
        <v>-1</v>
      </c>
      <c r="AO350">
        <v>1.1299999999999999</v>
      </c>
      <c r="AP350">
        <v>0.8</v>
      </c>
      <c r="AQ350">
        <v>-0.63</v>
      </c>
      <c r="AR350">
        <v>14.02</v>
      </c>
      <c r="AS350">
        <v>3.14</v>
      </c>
      <c r="AT350" t="s">
        <v>961</v>
      </c>
      <c r="AU350">
        <v>57.65</v>
      </c>
      <c r="AV350">
        <v>360.79</v>
      </c>
      <c r="AW350">
        <v>0.85</v>
      </c>
      <c r="BA350">
        <v>0.16</v>
      </c>
      <c r="BB350">
        <v>1.43</v>
      </c>
      <c r="BC350">
        <v>-0.32</v>
      </c>
      <c r="BD350">
        <v>0.61</v>
      </c>
      <c r="BE350">
        <v>-0.48</v>
      </c>
      <c r="BF350">
        <v>-1.72</v>
      </c>
      <c r="BG350">
        <v>0</v>
      </c>
      <c r="BH350">
        <v>-0.93</v>
      </c>
      <c r="BI350">
        <v>20191223</v>
      </c>
      <c r="BJ350">
        <v>19981126</v>
      </c>
      <c r="BK350">
        <v>7.78</v>
      </c>
      <c r="BL350" t="s">
        <v>116</v>
      </c>
      <c r="BM350" t="s">
        <v>116</v>
      </c>
      <c r="BN350">
        <v>95.14</v>
      </c>
      <c r="BO350">
        <v>18.16</v>
      </c>
      <c r="BP350">
        <v>1.48</v>
      </c>
      <c r="BQ350">
        <v>79.37</v>
      </c>
      <c r="BR350">
        <v>78.38</v>
      </c>
      <c r="BS350">
        <v>11.82</v>
      </c>
      <c r="BT350">
        <v>0.93</v>
      </c>
      <c r="BU350">
        <v>74.459999999999994</v>
      </c>
      <c r="BV350">
        <v>42.17</v>
      </c>
      <c r="BW350">
        <v>23.19</v>
      </c>
      <c r="BX350">
        <v>8.09</v>
      </c>
      <c r="BY350">
        <v>49.02</v>
      </c>
      <c r="BZ350">
        <v>41.3</v>
      </c>
      <c r="CA350">
        <v>0.53</v>
      </c>
      <c r="CB350">
        <v>0.03</v>
      </c>
      <c r="CC350">
        <v>0.54</v>
      </c>
      <c r="CD350">
        <v>0.5</v>
      </c>
      <c r="CE350">
        <v>0.35</v>
      </c>
      <c r="CF350">
        <v>0.13</v>
      </c>
      <c r="CG350">
        <v>0.28999999999999998</v>
      </c>
      <c r="CH350">
        <v>-10.49</v>
      </c>
      <c r="CI350">
        <v>-0.63</v>
      </c>
      <c r="CJ350">
        <v>38776</v>
      </c>
      <c r="CK350">
        <v>8274</v>
      </c>
      <c r="CL350" t="s">
        <v>518</v>
      </c>
      <c r="CM350">
        <v>194.91</v>
      </c>
      <c r="CN350">
        <v>55.78</v>
      </c>
      <c r="CO350">
        <v>2.69</v>
      </c>
      <c r="CP350">
        <v>-4.66</v>
      </c>
      <c r="CQ350">
        <v>1</v>
      </c>
      <c r="CR350">
        <v>0</v>
      </c>
      <c r="CS350" t="s">
        <v>2428</v>
      </c>
      <c r="CT350">
        <v>2.33</v>
      </c>
      <c r="CU350">
        <v>0</v>
      </c>
      <c r="CV350">
        <v>1.04</v>
      </c>
      <c r="CW350">
        <v>0.04</v>
      </c>
      <c r="CX350">
        <v>-1.35</v>
      </c>
      <c r="CY350">
        <v>19.079999999999998</v>
      </c>
      <c r="CZ350" t="s">
        <v>2429</v>
      </c>
      <c r="DA350">
        <v>15.75</v>
      </c>
      <c r="DB350">
        <v>1.07</v>
      </c>
      <c r="DC350">
        <v>0.71</v>
      </c>
      <c r="DD350">
        <v>2.08</v>
      </c>
      <c r="DE350">
        <v>5443</v>
      </c>
      <c r="DF350">
        <v>852</v>
      </c>
      <c r="DG350" t="s">
        <v>116</v>
      </c>
      <c r="DH350" t="s">
        <v>116</v>
      </c>
      <c r="DI350" t="s">
        <v>116</v>
      </c>
    </row>
    <row r="351" spans="1:113" x14ac:dyDescent="0.4">
      <c r="A351" t="str">
        <f>"000856"</f>
        <v>000856</v>
      </c>
      <c r="B351" t="s">
        <v>2430</v>
      </c>
      <c r="C351">
        <v>-1.02</v>
      </c>
      <c r="D351">
        <v>10.72</v>
      </c>
      <c r="E351">
        <v>-0.11</v>
      </c>
      <c r="F351">
        <v>10.72</v>
      </c>
      <c r="G351">
        <v>10.73</v>
      </c>
      <c r="H351">
        <v>39514</v>
      </c>
      <c r="I351">
        <v>563</v>
      </c>
      <c r="J351">
        <v>0</v>
      </c>
      <c r="K351">
        <v>1.74</v>
      </c>
      <c r="L351">
        <v>10.83</v>
      </c>
      <c r="M351">
        <v>10.88</v>
      </c>
      <c r="N351">
        <v>10.72</v>
      </c>
      <c r="O351">
        <v>10.83</v>
      </c>
      <c r="P351">
        <v>296.56</v>
      </c>
      <c r="Q351">
        <v>42699896</v>
      </c>
      <c r="R351">
        <v>0.99</v>
      </c>
      <c r="S351" t="s">
        <v>996</v>
      </c>
      <c r="T351" t="s">
        <v>608</v>
      </c>
      <c r="U351">
        <v>1.48</v>
      </c>
      <c r="V351">
        <v>10.81</v>
      </c>
      <c r="W351">
        <v>20097</v>
      </c>
      <c r="X351">
        <v>19417</v>
      </c>
      <c r="Y351">
        <v>1.04</v>
      </c>
      <c r="Z351">
        <v>86</v>
      </c>
      <c r="AA351">
        <v>657</v>
      </c>
      <c r="AB351" t="s">
        <v>116</v>
      </c>
      <c r="AC351">
        <v>191700</v>
      </c>
      <c r="AD351">
        <v>0.01</v>
      </c>
      <c r="AE351" t="s">
        <v>116</v>
      </c>
      <c r="AF351" t="s">
        <v>116</v>
      </c>
      <c r="AG351">
        <v>2.27</v>
      </c>
      <c r="AH351" t="s">
        <v>2431</v>
      </c>
      <c r="AI351" t="s">
        <v>2431</v>
      </c>
      <c r="AJ351">
        <v>-0.34</v>
      </c>
      <c r="AK351">
        <v>1590</v>
      </c>
      <c r="AL351">
        <v>25</v>
      </c>
      <c r="AM351">
        <v>1.1000000000000001E-3</v>
      </c>
      <c r="AN351">
        <v>-1</v>
      </c>
      <c r="AO351">
        <v>1.41</v>
      </c>
      <c r="AP351">
        <v>3.68</v>
      </c>
      <c r="AQ351">
        <v>2.1</v>
      </c>
      <c r="AR351">
        <v>-25.56</v>
      </c>
      <c r="AS351">
        <v>2.4900000000000002</v>
      </c>
      <c r="AT351" t="s">
        <v>2432</v>
      </c>
      <c r="AU351">
        <v>183.65</v>
      </c>
      <c r="AV351">
        <v>105.63</v>
      </c>
      <c r="AW351">
        <v>1.08</v>
      </c>
      <c r="BA351">
        <v>0</v>
      </c>
      <c r="BB351">
        <v>0.46</v>
      </c>
      <c r="BC351">
        <v>-1.02</v>
      </c>
      <c r="BD351">
        <v>-0.22</v>
      </c>
      <c r="BE351">
        <v>-1.02</v>
      </c>
      <c r="BF351">
        <v>-1.47</v>
      </c>
      <c r="BG351">
        <v>0</v>
      </c>
      <c r="BH351">
        <v>-0.8</v>
      </c>
      <c r="BI351">
        <v>20191024</v>
      </c>
      <c r="BJ351">
        <v>19980813</v>
      </c>
      <c r="BK351">
        <v>2.27</v>
      </c>
      <c r="BL351" t="s">
        <v>116</v>
      </c>
      <c r="BM351" t="s">
        <v>116</v>
      </c>
      <c r="BN351">
        <v>21.47</v>
      </c>
      <c r="BO351">
        <v>3.23</v>
      </c>
      <c r="BP351">
        <v>1.21</v>
      </c>
      <c r="BQ351">
        <v>79.290000000000006</v>
      </c>
      <c r="BR351">
        <v>15.99</v>
      </c>
      <c r="BS351">
        <v>2.75</v>
      </c>
      <c r="BT351">
        <v>0.96</v>
      </c>
      <c r="BU351">
        <v>16.739999999999998</v>
      </c>
      <c r="BV351">
        <v>2.04</v>
      </c>
      <c r="BW351">
        <v>7.04</v>
      </c>
      <c r="BX351">
        <v>3.89</v>
      </c>
      <c r="BY351">
        <v>18.59</v>
      </c>
      <c r="BZ351">
        <v>17.59</v>
      </c>
      <c r="CA351">
        <v>-0.02</v>
      </c>
      <c r="CB351">
        <v>0</v>
      </c>
      <c r="CC351">
        <v>0.09</v>
      </c>
      <c r="CD351">
        <v>0.08</v>
      </c>
      <c r="CE351">
        <v>0.06</v>
      </c>
      <c r="CF351">
        <v>-0.02</v>
      </c>
      <c r="CG351">
        <v>-3.28</v>
      </c>
      <c r="CH351">
        <v>-0.96</v>
      </c>
      <c r="CI351">
        <v>-0.65</v>
      </c>
      <c r="CJ351">
        <v>44757</v>
      </c>
      <c r="CK351">
        <v>3550</v>
      </c>
      <c r="CL351" t="s">
        <v>2433</v>
      </c>
      <c r="CM351">
        <v>-61.4</v>
      </c>
      <c r="CN351">
        <v>50.12</v>
      </c>
      <c r="CO351">
        <v>7.53</v>
      </c>
      <c r="CP351">
        <v>-25.4</v>
      </c>
      <c r="CQ351">
        <v>1.31</v>
      </c>
      <c r="CR351">
        <v>0</v>
      </c>
      <c r="CS351" t="s">
        <v>2434</v>
      </c>
      <c r="CT351">
        <v>1.42</v>
      </c>
      <c r="CU351">
        <v>0</v>
      </c>
      <c r="CV351">
        <v>1.71</v>
      </c>
      <c r="CW351">
        <v>-1.45</v>
      </c>
      <c r="CX351">
        <v>-0.42</v>
      </c>
      <c r="CY351">
        <v>15.05</v>
      </c>
      <c r="CZ351" t="s">
        <v>2435</v>
      </c>
      <c r="DA351">
        <v>5.39</v>
      </c>
      <c r="DB351">
        <v>-0.12</v>
      </c>
      <c r="DC351">
        <v>0.33</v>
      </c>
      <c r="DD351">
        <v>0.2</v>
      </c>
      <c r="DE351">
        <v>1806</v>
      </c>
      <c r="DF351">
        <v>856</v>
      </c>
      <c r="DG351" t="s">
        <v>116</v>
      </c>
      <c r="DH351" t="s">
        <v>116</v>
      </c>
      <c r="DI351" t="s">
        <v>116</v>
      </c>
    </row>
    <row r="352" spans="1:113" x14ac:dyDescent="0.4">
      <c r="A352" t="str">
        <f>"000858"</f>
        <v>000858</v>
      </c>
      <c r="B352" t="s">
        <v>2436</v>
      </c>
      <c r="C352">
        <v>0.66</v>
      </c>
      <c r="D352">
        <v>129</v>
      </c>
      <c r="E352">
        <v>0.85</v>
      </c>
      <c r="F352">
        <v>129</v>
      </c>
      <c r="G352">
        <v>129.02000000000001</v>
      </c>
      <c r="H352">
        <v>196530</v>
      </c>
      <c r="I352">
        <v>1484</v>
      </c>
      <c r="J352">
        <v>0.03</v>
      </c>
      <c r="K352">
        <v>0.52</v>
      </c>
      <c r="L352">
        <v>128.97999999999999</v>
      </c>
      <c r="M352">
        <v>130.25</v>
      </c>
      <c r="N352">
        <v>128.82</v>
      </c>
      <c r="O352">
        <v>128.15</v>
      </c>
      <c r="P352">
        <v>29.94</v>
      </c>
      <c r="Q352">
        <v>2547996928</v>
      </c>
      <c r="R352">
        <v>1.69</v>
      </c>
      <c r="S352" t="s">
        <v>1212</v>
      </c>
      <c r="T352" t="s">
        <v>582</v>
      </c>
      <c r="U352">
        <v>1.1200000000000001</v>
      </c>
      <c r="V352">
        <v>129.65</v>
      </c>
      <c r="W352">
        <v>94130</v>
      </c>
      <c r="X352">
        <v>102400</v>
      </c>
      <c r="Y352">
        <v>0.92</v>
      </c>
      <c r="Z352">
        <v>87</v>
      </c>
      <c r="AA352">
        <v>39</v>
      </c>
      <c r="AB352" t="s">
        <v>116</v>
      </c>
      <c r="AC352">
        <v>21372000</v>
      </c>
      <c r="AD352">
        <v>0.01</v>
      </c>
      <c r="AE352" t="s">
        <v>116</v>
      </c>
      <c r="AF352" t="s">
        <v>116</v>
      </c>
      <c r="AG352">
        <v>37.96</v>
      </c>
      <c r="AH352" t="s">
        <v>2437</v>
      </c>
      <c r="AI352" t="s">
        <v>2438</v>
      </c>
      <c r="AJ352">
        <v>1.34</v>
      </c>
      <c r="AK352">
        <v>4606</v>
      </c>
      <c r="AL352">
        <v>43</v>
      </c>
      <c r="AM352">
        <v>1E-4</v>
      </c>
      <c r="AN352">
        <v>2</v>
      </c>
      <c r="AO352">
        <v>0.23</v>
      </c>
      <c r="AP352">
        <v>1.1399999999999999</v>
      </c>
      <c r="AQ352">
        <v>-3.59</v>
      </c>
      <c r="AR352">
        <v>162.30000000000001</v>
      </c>
      <c r="AS352">
        <v>1.18</v>
      </c>
      <c r="AT352" t="s">
        <v>2439</v>
      </c>
      <c r="AU352">
        <v>30.47</v>
      </c>
      <c r="AV352">
        <v>37.409999999999997</v>
      </c>
      <c r="AW352">
        <v>0.7</v>
      </c>
      <c r="BA352">
        <v>0.65</v>
      </c>
      <c r="BB352">
        <v>1.64</v>
      </c>
      <c r="BC352">
        <v>0.52</v>
      </c>
      <c r="BD352">
        <v>1.17</v>
      </c>
      <c r="BE352">
        <v>0.02</v>
      </c>
      <c r="BF352">
        <v>-0.96</v>
      </c>
      <c r="BG352">
        <v>0.14000000000000001</v>
      </c>
      <c r="BH352">
        <v>-0.51</v>
      </c>
      <c r="BI352">
        <v>20191031</v>
      </c>
      <c r="BJ352">
        <v>19980427</v>
      </c>
      <c r="BK352">
        <v>38.82</v>
      </c>
      <c r="BL352" t="s">
        <v>116</v>
      </c>
      <c r="BM352" t="s">
        <v>116</v>
      </c>
      <c r="BN352">
        <v>927.57</v>
      </c>
      <c r="BO352">
        <v>694.32</v>
      </c>
      <c r="BP352">
        <v>15.69</v>
      </c>
      <c r="BQ352">
        <v>23.46</v>
      </c>
      <c r="BR352">
        <v>832.97</v>
      </c>
      <c r="BS352">
        <v>61.88</v>
      </c>
      <c r="BT352">
        <v>4.05</v>
      </c>
      <c r="BU352">
        <v>214.98</v>
      </c>
      <c r="BV352">
        <v>123.44</v>
      </c>
      <c r="BW352">
        <v>1.83</v>
      </c>
      <c r="BX352">
        <v>26.83</v>
      </c>
      <c r="BY352">
        <v>371.02</v>
      </c>
      <c r="BZ352">
        <v>97.17</v>
      </c>
      <c r="CA352">
        <v>174.79</v>
      </c>
      <c r="CB352">
        <v>0.52</v>
      </c>
      <c r="CC352">
        <v>173.54</v>
      </c>
      <c r="CD352">
        <v>131.26</v>
      </c>
      <c r="CE352">
        <v>125.44</v>
      </c>
      <c r="CF352">
        <v>126.06</v>
      </c>
      <c r="CG352">
        <v>497.47</v>
      </c>
      <c r="CH352">
        <v>161.91</v>
      </c>
      <c r="CI352">
        <v>74.92</v>
      </c>
      <c r="CJ352">
        <v>306084</v>
      </c>
      <c r="CK352">
        <v>5448</v>
      </c>
      <c r="CL352" t="s">
        <v>2440</v>
      </c>
      <c r="CM352">
        <v>32.11</v>
      </c>
      <c r="CN352">
        <v>26.84</v>
      </c>
      <c r="CO352">
        <v>7.21</v>
      </c>
      <c r="CP352">
        <v>30.93</v>
      </c>
      <c r="CQ352">
        <v>13.5</v>
      </c>
      <c r="CR352">
        <v>1.32</v>
      </c>
      <c r="CS352" t="s">
        <v>2441</v>
      </c>
      <c r="CT352">
        <v>17.89</v>
      </c>
      <c r="CU352">
        <v>0</v>
      </c>
      <c r="CV352">
        <v>0.69</v>
      </c>
      <c r="CW352">
        <v>12.82</v>
      </c>
      <c r="CX352">
        <v>4.17</v>
      </c>
      <c r="CY352">
        <v>74.849999999999994</v>
      </c>
      <c r="CZ352" t="s">
        <v>2442</v>
      </c>
      <c r="DA352">
        <v>73.81</v>
      </c>
      <c r="DB352">
        <v>47.11</v>
      </c>
      <c r="DC352">
        <v>33.81</v>
      </c>
      <c r="DD352">
        <v>0.6</v>
      </c>
      <c r="DE352">
        <v>26291</v>
      </c>
      <c r="DF352">
        <v>858</v>
      </c>
      <c r="DG352" t="s">
        <v>116</v>
      </c>
      <c r="DH352" t="s">
        <v>116</v>
      </c>
      <c r="DI352" t="s">
        <v>116</v>
      </c>
    </row>
    <row r="353" spans="1:113" x14ac:dyDescent="0.4">
      <c r="A353" t="str">
        <f>"000859"</f>
        <v>000859</v>
      </c>
      <c r="B353" t="s">
        <v>2443</v>
      </c>
      <c r="C353">
        <v>-2.71</v>
      </c>
      <c r="D353">
        <v>6.11</v>
      </c>
      <c r="E353">
        <v>-0.17</v>
      </c>
      <c r="F353">
        <v>6.11</v>
      </c>
      <c r="G353">
        <v>6.12</v>
      </c>
      <c r="H353">
        <v>443654</v>
      </c>
      <c r="I353">
        <v>6444</v>
      </c>
      <c r="J353">
        <v>-0.32</v>
      </c>
      <c r="K353">
        <v>6</v>
      </c>
      <c r="L353">
        <v>6.24</v>
      </c>
      <c r="M353">
        <v>6.33</v>
      </c>
      <c r="N353">
        <v>6.11</v>
      </c>
      <c r="O353">
        <v>6.28</v>
      </c>
      <c r="P353">
        <v>45.92</v>
      </c>
      <c r="Q353">
        <v>274250176</v>
      </c>
      <c r="R353">
        <v>0.71</v>
      </c>
      <c r="S353" t="s">
        <v>2444</v>
      </c>
      <c r="T353" t="s">
        <v>575</v>
      </c>
      <c r="U353">
        <v>3.5</v>
      </c>
      <c r="V353">
        <v>6.18</v>
      </c>
      <c r="W353">
        <v>264979</v>
      </c>
      <c r="X353">
        <v>178675</v>
      </c>
      <c r="Y353">
        <v>1.48</v>
      </c>
      <c r="Z353">
        <v>1227</v>
      </c>
      <c r="AA353">
        <v>1713</v>
      </c>
      <c r="AB353" t="s">
        <v>116</v>
      </c>
      <c r="AC353">
        <v>725700</v>
      </c>
      <c r="AD353">
        <v>0.02</v>
      </c>
      <c r="AE353" t="s">
        <v>116</v>
      </c>
      <c r="AF353" t="s">
        <v>116</v>
      </c>
      <c r="AG353">
        <v>7.39</v>
      </c>
      <c r="AH353" t="s">
        <v>2445</v>
      </c>
      <c r="AI353" t="s">
        <v>2446</v>
      </c>
      <c r="AJ353">
        <v>-2.0299999999999998</v>
      </c>
      <c r="AK353">
        <v>3769</v>
      </c>
      <c r="AL353">
        <v>118</v>
      </c>
      <c r="AM353">
        <v>1.6000000000000001E-3</v>
      </c>
      <c r="AN353">
        <v>-1</v>
      </c>
      <c r="AO353">
        <v>-0.49</v>
      </c>
      <c r="AP353">
        <v>11.29</v>
      </c>
      <c r="AQ353">
        <v>34.58</v>
      </c>
      <c r="AR353">
        <v>115.9</v>
      </c>
      <c r="AS353">
        <v>8.3000000000000007</v>
      </c>
      <c r="AT353" t="s">
        <v>2447</v>
      </c>
      <c r="AU353">
        <v>44.61</v>
      </c>
      <c r="AV353">
        <v>44.25</v>
      </c>
      <c r="AW353">
        <v>1.98</v>
      </c>
      <c r="BA353">
        <v>-0.64</v>
      </c>
      <c r="BB353">
        <v>0.8</v>
      </c>
      <c r="BC353">
        <v>-2.71</v>
      </c>
      <c r="BD353">
        <v>-1.57</v>
      </c>
      <c r="BE353">
        <v>-2.08</v>
      </c>
      <c r="BF353">
        <v>-3.48</v>
      </c>
      <c r="BG353">
        <v>0</v>
      </c>
      <c r="BH353">
        <v>-1.1399999999999999</v>
      </c>
      <c r="BI353">
        <v>20191025</v>
      </c>
      <c r="BJ353">
        <v>19981119</v>
      </c>
      <c r="BK353">
        <v>7.39</v>
      </c>
      <c r="BL353" t="s">
        <v>116</v>
      </c>
      <c r="BM353" t="s">
        <v>116</v>
      </c>
      <c r="BN353">
        <v>21.01</v>
      </c>
      <c r="BO353">
        <v>16.309999999999999</v>
      </c>
      <c r="BP353">
        <v>0.2</v>
      </c>
      <c r="BQ353">
        <v>21.41</v>
      </c>
      <c r="BR353">
        <v>8.69</v>
      </c>
      <c r="BS353">
        <v>7.7</v>
      </c>
      <c r="BT353">
        <v>1.1599999999999999</v>
      </c>
      <c r="BU353">
        <v>2.99</v>
      </c>
      <c r="BV353">
        <v>1.84</v>
      </c>
      <c r="BW353">
        <v>1.73</v>
      </c>
      <c r="BX353">
        <v>5.9</v>
      </c>
      <c r="BY353">
        <v>10.02</v>
      </c>
      <c r="BZ353">
        <v>8.7899999999999991</v>
      </c>
      <c r="CA353">
        <v>0.79</v>
      </c>
      <c r="CB353">
        <v>0.04</v>
      </c>
      <c r="CC353">
        <v>0.79</v>
      </c>
      <c r="CD353">
        <v>0.7</v>
      </c>
      <c r="CE353">
        <v>0.74</v>
      </c>
      <c r="CF353">
        <v>0.13</v>
      </c>
      <c r="CG353">
        <v>2.2799999999999998</v>
      </c>
      <c r="CH353">
        <v>0.22</v>
      </c>
      <c r="CI353">
        <v>-2.7</v>
      </c>
      <c r="CJ353">
        <v>72854</v>
      </c>
      <c r="CK353">
        <v>7333</v>
      </c>
      <c r="CL353" t="s">
        <v>2342</v>
      </c>
      <c r="CM353">
        <v>-1.1100000000000001</v>
      </c>
      <c r="CN353">
        <v>14.62</v>
      </c>
      <c r="CO353">
        <v>2.77</v>
      </c>
      <c r="CP353">
        <v>206.4</v>
      </c>
      <c r="CQ353">
        <v>4.51</v>
      </c>
      <c r="CR353">
        <v>0.16</v>
      </c>
      <c r="CS353" t="s">
        <v>2448</v>
      </c>
      <c r="CT353">
        <v>2.21</v>
      </c>
      <c r="CU353">
        <v>0</v>
      </c>
      <c r="CV353">
        <v>0.8</v>
      </c>
      <c r="CW353">
        <v>0.31</v>
      </c>
      <c r="CX353">
        <v>0.03</v>
      </c>
      <c r="CY353">
        <v>77.64</v>
      </c>
      <c r="CZ353" t="s">
        <v>2449</v>
      </c>
      <c r="DA353">
        <v>12.34</v>
      </c>
      <c r="DB353">
        <v>7.89</v>
      </c>
      <c r="DC353">
        <v>7.36</v>
      </c>
      <c r="DD353">
        <v>0.36</v>
      </c>
      <c r="DE353">
        <v>1122</v>
      </c>
      <c r="DF353">
        <v>859</v>
      </c>
      <c r="DG353" t="s">
        <v>116</v>
      </c>
      <c r="DH353" t="s">
        <v>116</v>
      </c>
      <c r="DI353" t="s">
        <v>116</v>
      </c>
    </row>
    <row r="354" spans="1:113" x14ac:dyDescent="0.4">
      <c r="A354" t="str">
        <f>"000860"</f>
        <v>000860</v>
      </c>
      <c r="B354" t="s">
        <v>2450</v>
      </c>
      <c r="C354">
        <v>-0.86</v>
      </c>
      <c r="D354">
        <v>49.76</v>
      </c>
      <c r="E354">
        <v>-0.43</v>
      </c>
      <c r="F354">
        <v>49.76</v>
      </c>
      <c r="G354">
        <v>49.77</v>
      </c>
      <c r="H354">
        <v>54759</v>
      </c>
      <c r="I354">
        <v>552</v>
      </c>
      <c r="J354">
        <v>0.14000000000000001</v>
      </c>
      <c r="K354">
        <v>0.74</v>
      </c>
      <c r="L354">
        <v>50.31</v>
      </c>
      <c r="M354">
        <v>50.92</v>
      </c>
      <c r="N354">
        <v>49.61</v>
      </c>
      <c r="O354">
        <v>50.19</v>
      </c>
      <c r="P354">
        <v>41.65</v>
      </c>
      <c r="Q354">
        <v>275370528</v>
      </c>
      <c r="R354">
        <v>0.94</v>
      </c>
      <c r="S354" t="s">
        <v>1212</v>
      </c>
      <c r="T354" t="s">
        <v>165</v>
      </c>
      <c r="U354">
        <v>2.61</v>
      </c>
      <c r="V354">
        <v>50.29</v>
      </c>
      <c r="W354">
        <v>30181</v>
      </c>
      <c r="X354">
        <v>24578</v>
      </c>
      <c r="Y354">
        <v>1.23</v>
      </c>
      <c r="Z354">
        <v>493</v>
      </c>
      <c r="AA354">
        <v>52</v>
      </c>
      <c r="AB354" t="s">
        <v>116</v>
      </c>
      <c r="AC354">
        <v>477400</v>
      </c>
      <c r="AD354">
        <v>0</v>
      </c>
      <c r="AE354" t="s">
        <v>116</v>
      </c>
      <c r="AF354" t="s">
        <v>116</v>
      </c>
      <c r="AG354">
        <v>7.42</v>
      </c>
      <c r="AH354" t="s">
        <v>2451</v>
      </c>
      <c r="AI354" t="s">
        <v>2451</v>
      </c>
      <c r="AJ354">
        <v>-0.18</v>
      </c>
      <c r="AK354">
        <v>3348</v>
      </c>
      <c r="AL354">
        <v>16</v>
      </c>
      <c r="AM354">
        <v>2.0000000000000001E-4</v>
      </c>
      <c r="AN354">
        <v>-1</v>
      </c>
      <c r="AO354">
        <v>0.73</v>
      </c>
      <c r="AP354">
        <v>-0.57999999999999996</v>
      </c>
      <c r="AQ354">
        <v>-5.58</v>
      </c>
      <c r="AR354">
        <v>103.81</v>
      </c>
      <c r="AS354">
        <v>1.2</v>
      </c>
      <c r="AT354" t="s">
        <v>2452</v>
      </c>
      <c r="AU354">
        <v>42.3</v>
      </c>
      <c r="AV354">
        <v>49.59</v>
      </c>
      <c r="AW354">
        <v>0.77</v>
      </c>
      <c r="BA354">
        <v>0.24</v>
      </c>
      <c r="BB354">
        <v>1.45</v>
      </c>
      <c r="BC354">
        <v>-1.1599999999999999</v>
      </c>
      <c r="BD354">
        <v>0.19</v>
      </c>
      <c r="BE354">
        <v>-1.0900000000000001</v>
      </c>
      <c r="BF354">
        <v>-2.2799999999999998</v>
      </c>
      <c r="BG354">
        <v>0.3</v>
      </c>
      <c r="BH354">
        <v>-1.05</v>
      </c>
      <c r="BI354">
        <v>20191026</v>
      </c>
      <c r="BJ354">
        <v>19981104</v>
      </c>
      <c r="BK354">
        <v>7.42</v>
      </c>
      <c r="BL354" t="s">
        <v>116</v>
      </c>
      <c r="BM354" t="s">
        <v>116</v>
      </c>
      <c r="BN354">
        <v>204.09</v>
      </c>
      <c r="BO354">
        <v>72.88</v>
      </c>
      <c r="BP354">
        <v>0.25</v>
      </c>
      <c r="BQ354">
        <v>64.17</v>
      </c>
      <c r="BR354">
        <v>158.99</v>
      </c>
      <c r="BS354">
        <v>30.46</v>
      </c>
      <c r="BT354">
        <v>7.36</v>
      </c>
      <c r="BU354">
        <v>103.14</v>
      </c>
      <c r="BV354">
        <v>80.89</v>
      </c>
      <c r="BW354">
        <v>0.95</v>
      </c>
      <c r="BX354">
        <v>26.27</v>
      </c>
      <c r="BY354">
        <v>110.62</v>
      </c>
      <c r="BZ354">
        <v>72</v>
      </c>
      <c r="CA354">
        <v>9.3699999999999992</v>
      </c>
      <c r="CB354">
        <v>0.01</v>
      </c>
      <c r="CC354">
        <v>9.3699999999999992</v>
      </c>
      <c r="CD354">
        <v>6.71</v>
      </c>
      <c r="CE354">
        <v>6.65</v>
      </c>
      <c r="CF354">
        <v>6.66</v>
      </c>
      <c r="CG354">
        <v>33.049999999999997</v>
      </c>
      <c r="CH354">
        <v>-2.2999999999999998</v>
      </c>
      <c r="CI354">
        <v>6.88</v>
      </c>
      <c r="CJ354">
        <v>32014</v>
      </c>
      <c r="CK354">
        <v>14261</v>
      </c>
      <c r="CL354" t="s">
        <v>2453</v>
      </c>
      <c r="CM354">
        <v>23.93</v>
      </c>
      <c r="CN354">
        <v>20.190000000000001</v>
      </c>
      <c r="CO354">
        <v>5.0599999999999996</v>
      </c>
      <c r="CP354">
        <v>-160.38</v>
      </c>
      <c r="CQ354">
        <v>3.34</v>
      </c>
      <c r="CR354">
        <v>0.23</v>
      </c>
      <c r="CS354" t="s">
        <v>2454</v>
      </c>
      <c r="CT354">
        <v>9.83</v>
      </c>
      <c r="CU354">
        <v>0</v>
      </c>
      <c r="CV354">
        <v>3.54</v>
      </c>
      <c r="CW354">
        <v>4.46</v>
      </c>
      <c r="CX354">
        <v>-0.31</v>
      </c>
      <c r="CY354">
        <v>35.71</v>
      </c>
      <c r="CZ354" t="s">
        <v>2455</v>
      </c>
      <c r="DA354">
        <v>34.909999999999997</v>
      </c>
      <c r="DB354">
        <v>8.4700000000000006</v>
      </c>
      <c r="DC354">
        <v>6.01</v>
      </c>
      <c r="DD354">
        <v>0.12</v>
      </c>
      <c r="DE354">
        <v>5063</v>
      </c>
      <c r="DF354">
        <v>860</v>
      </c>
      <c r="DG354" t="s">
        <v>116</v>
      </c>
      <c r="DH354" t="s">
        <v>116</v>
      </c>
      <c r="DI354" t="s">
        <v>116</v>
      </c>
    </row>
    <row r="355" spans="1:113" x14ac:dyDescent="0.4">
      <c r="A355" t="str">
        <f>"000861"</f>
        <v>000861</v>
      </c>
      <c r="B355" t="s">
        <v>2456</v>
      </c>
      <c r="C355">
        <v>-1.18</v>
      </c>
      <c r="D355">
        <v>2.5099999999999998</v>
      </c>
      <c r="E355">
        <v>-0.03</v>
      </c>
      <c r="F355">
        <v>2.5</v>
      </c>
      <c r="G355">
        <v>2.5099999999999998</v>
      </c>
      <c r="H355">
        <v>449442</v>
      </c>
      <c r="I355">
        <v>4268</v>
      </c>
      <c r="J355">
        <v>-0.78</v>
      </c>
      <c r="K355">
        <v>2.2000000000000002</v>
      </c>
      <c r="L355">
        <v>2.54</v>
      </c>
      <c r="M355">
        <v>2.57</v>
      </c>
      <c r="N355">
        <v>2.5</v>
      </c>
      <c r="O355">
        <v>2.54</v>
      </c>
      <c r="P355">
        <v>35.369999999999997</v>
      </c>
      <c r="Q355">
        <v>113634344</v>
      </c>
      <c r="R355">
        <v>4.1399999999999997</v>
      </c>
      <c r="S355" t="s">
        <v>419</v>
      </c>
      <c r="T355" t="s">
        <v>551</v>
      </c>
      <c r="U355">
        <v>2.76</v>
      </c>
      <c r="V355">
        <v>2.5299999999999998</v>
      </c>
      <c r="W355">
        <v>299024</v>
      </c>
      <c r="X355">
        <v>150418</v>
      </c>
      <c r="Y355">
        <v>1.99</v>
      </c>
      <c r="Z355">
        <v>6455</v>
      </c>
      <c r="AA355">
        <v>288</v>
      </c>
      <c r="AB355" t="s">
        <v>116</v>
      </c>
      <c r="AC355">
        <v>52600</v>
      </c>
      <c r="AD355">
        <v>0</v>
      </c>
      <c r="AE355" t="s">
        <v>116</v>
      </c>
      <c r="AF355" t="s">
        <v>116</v>
      </c>
      <c r="AG355">
        <v>20.45</v>
      </c>
      <c r="AH355" t="s">
        <v>2457</v>
      </c>
      <c r="AI355" t="s">
        <v>2458</v>
      </c>
      <c r="AJ355">
        <v>-0.5</v>
      </c>
      <c r="AK355">
        <v>1544</v>
      </c>
      <c r="AL355">
        <v>291</v>
      </c>
      <c r="AM355">
        <v>1.4E-3</v>
      </c>
      <c r="AN355">
        <v>-1</v>
      </c>
      <c r="AO355">
        <v>-1.95</v>
      </c>
      <c r="AP355">
        <v>-3.46</v>
      </c>
      <c r="AQ355">
        <v>-13.75</v>
      </c>
      <c r="AR355">
        <v>0.67</v>
      </c>
      <c r="AS355">
        <v>4.8499999999999996</v>
      </c>
      <c r="AT355" t="s">
        <v>2459</v>
      </c>
      <c r="AU355">
        <v>44.54</v>
      </c>
      <c r="AV355">
        <v>40.76</v>
      </c>
      <c r="AW355">
        <v>0.76</v>
      </c>
      <c r="BA355">
        <v>0</v>
      </c>
      <c r="BB355">
        <v>1.18</v>
      </c>
      <c r="BC355">
        <v>-1.57</v>
      </c>
      <c r="BD355">
        <v>-0.46</v>
      </c>
      <c r="BE355">
        <v>-1.18</v>
      </c>
      <c r="BF355">
        <v>-2.33</v>
      </c>
      <c r="BG355">
        <v>0.4</v>
      </c>
      <c r="BH355">
        <v>-0.72</v>
      </c>
      <c r="BI355">
        <v>20191031</v>
      </c>
      <c r="BJ355">
        <v>19981028</v>
      </c>
      <c r="BK355">
        <v>22.36</v>
      </c>
      <c r="BL355" t="s">
        <v>116</v>
      </c>
      <c r="BM355" t="s">
        <v>116</v>
      </c>
      <c r="BN355">
        <v>108.93</v>
      </c>
      <c r="BO355">
        <v>36.869999999999997</v>
      </c>
      <c r="BP355">
        <v>2.14</v>
      </c>
      <c r="BQ355">
        <v>64.19</v>
      </c>
      <c r="BR355">
        <v>58.03</v>
      </c>
      <c r="BS355">
        <v>0.82</v>
      </c>
      <c r="BT355">
        <v>0.18</v>
      </c>
      <c r="BU355">
        <v>28.44</v>
      </c>
      <c r="BV355">
        <v>42.3</v>
      </c>
      <c r="BW355">
        <v>2.29</v>
      </c>
      <c r="BX355">
        <v>1.47</v>
      </c>
      <c r="BY355">
        <v>17.05</v>
      </c>
      <c r="BZ355">
        <v>10.07</v>
      </c>
      <c r="CA355">
        <v>2.33</v>
      </c>
      <c r="CB355">
        <v>0.13</v>
      </c>
      <c r="CC355">
        <v>2.29</v>
      </c>
      <c r="CD355">
        <v>1.28</v>
      </c>
      <c r="CE355">
        <v>1.19</v>
      </c>
      <c r="CF355">
        <v>0.88</v>
      </c>
      <c r="CG355">
        <v>9.74</v>
      </c>
      <c r="CH355">
        <v>5.85</v>
      </c>
      <c r="CI355">
        <v>-5.01</v>
      </c>
      <c r="CJ355">
        <v>81196</v>
      </c>
      <c r="CK355">
        <v>11423</v>
      </c>
      <c r="CL355" t="s">
        <v>1850</v>
      </c>
      <c r="CM355">
        <v>-8.94</v>
      </c>
      <c r="CN355">
        <v>-9.1199999999999992</v>
      </c>
      <c r="CO355">
        <v>1.6</v>
      </c>
      <c r="CP355">
        <v>9.59</v>
      </c>
      <c r="CQ355">
        <v>3.29</v>
      </c>
      <c r="CR355">
        <v>0.66</v>
      </c>
      <c r="CS355" t="s">
        <v>170</v>
      </c>
      <c r="CT355">
        <v>1.57</v>
      </c>
      <c r="CU355">
        <v>1.57</v>
      </c>
      <c r="CV355">
        <v>7.0000000000000007E-2</v>
      </c>
      <c r="CW355">
        <v>0.44</v>
      </c>
      <c r="CX355">
        <v>0.26</v>
      </c>
      <c r="CY355">
        <v>33.840000000000003</v>
      </c>
      <c r="CZ355" t="s">
        <v>2460</v>
      </c>
      <c r="DA355">
        <v>40.950000000000003</v>
      </c>
      <c r="DB355">
        <v>13.68</v>
      </c>
      <c r="DC355">
        <v>6.98</v>
      </c>
      <c r="DD355">
        <v>0</v>
      </c>
      <c r="DE355">
        <v>1095</v>
      </c>
      <c r="DF355">
        <v>861</v>
      </c>
      <c r="DG355" t="s">
        <v>116</v>
      </c>
      <c r="DH355" t="s">
        <v>116</v>
      </c>
      <c r="DI355" t="s">
        <v>116</v>
      </c>
    </row>
    <row r="356" spans="1:113" x14ac:dyDescent="0.4">
      <c r="A356" t="str">
        <f>"000862"</f>
        <v>000862</v>
      </c>
      <c r="B356" t="s">
        <v>2461</v>
      </c>
      <c r="C356">
        <v>-0.59</v>
      </c>
      <c r="D356">
        <v>5.05</v>
      </c>
      <c r="E356">
        <v>-0.03</v>
      </c>
      <c r="F356">
        <v>5.05</v>
      </c>
      <c r="G356">
        <v>5.0599999999999996</v>
      </c>
      <c r="H356">
        <v>81136</v>
      </c>
      <c r="I356">
        <v>1025</v>
      </c>
      <c r="J356">
        <v>0</v>
      </c>
      <c r="K356">
        <v>1.62</v>
      </c>
      <c r="L356">
        <v>5.08</v>
      </c>
      <c r="M356">
        <v>5.12</v>
      </c>
      <c r="N356">
        <v>5.04</v>
      </c>
      <c r="O356">
        <v>5.08</v>
      </c>
      <c r="P356">
        <v>114.43</v>
      </c>
      <c r="Q356">
        <v>41208604</v>
      </c>
      <c r="R356">
        <v>0.95</v>
      </c>
      <c r="S356" t="s">
        <v>361</v>
      </c>
      <c r="T356" t="s">
        <v>1147</v>
      </c>
      <c r="U356">
        <v>1.57</v>
      </c>
      <c r="V356">
        <v>5.08</v>
      </c>
      <c r="W356">
        <v>43914</v>
      </c>
      <c r="X356">
        <v>37222</v>
      </c>
      <c r="Y356">
        <v>1.18</v>
      </c>
      <c r="Z356">
        <v>1194</v>
      </c>
      <c r="AA356">
        <v>1580</v>
      </c>
      <c r="AB356" t="s">
        <v>116</v>
      </c>
      <c r="AC356">
        <v>110200</v>
      </c>
      <c r="AD356">
        <v>0.01</v>
      </c>
      <c r="AE356" t="s">
        <v>116</v>
      </c>
      <c r="AF356" t="s">
        <v>116</v>
      </c>
      <c r="AG356">
        <v>5.01</v>
      </c>
      <c r="AH356" t="s">
        <v>340</v>
      </c>
      <c r="AI356" t="s">
        <v>2462</v>
      </c>
      <c r="AJ356">
        <v>0.09</v>
      </c>
      <c r="AK356">
        <v>1307</v>
      </c>
      <c r="AL356">
        <v>62</v>
      </c>
      <c r="AM356">
        <v>1.1999999999999999E-3</v>
      </c>
      <c r="AN356">
        <v>-1</v>
      </c>
      <c r="AO356">
        <v>-0.59</v>
      </c>
      <c r="AP356">
        <v>1.61</v>
      </c>
      <c r="AQ356">
        <v>-10.62</v>
      </c>
      <c r="AR356">
        <v>70.61</v>
      </c>
      <c r="AS356">
        <v>1.92</v>
      </c>
      <c r="AT356" t="s">
        <v>1699</v>
      </c>
      <c r="AU356">
        <v>2976.91</v>
      </c>
      <c r="AV356">
        <v>67.09</v>
      </c>
      <c r="AW356">
        <v>0.94</v>
      </c>
      <c r="BA356">
        <v>0</v>
      </c>
      <c r="BB356">
        <v>0.79</v>
      </c>
      <c r="BC356">
        <v>-0.79</v>
      </c>
      <c r="BD356">
        <v>-0.02</v>
      </c>
      <c r="BE356">
        <v>-0.59</v>
      </c>
      <c r="BF356">
        <v>-1.37</v>
      </c>
      <c r="BG356">
        <v>0.2</v>
      </c>
      <c r="BH356">
        <v>-0.56999999999999995</v>
      </c>
      <c r="BI356">
        <v>20191029</v>
      </c>
      <c r="BJ356">
        <v>19980915</v>
      </c>
      <c r="BK356">
        <v>7.06</v>
      </c>
      <c r="BL356" t="s">
        <v>116</v>
      </c>
      <c r="BM356" t="s">
        <v>116</v>
      </c>
      <c r="BN356">
        <v>94.4</v>
      </c>
      <c r="BO356">
        <v>26.21</v>
      </c>
      <c r="BP356">
        <v>0.38</v>
      </c>
      <c r="BQ356">
        <v>71.84</v>
      </c>
      <c r="BR356">
        <v>20.010000000000002</v>
      </c>
      <c r="BS356">
        <v>70.78</v>
      </c>
      <c r="BT356">
        <v>0.82</v>
      </c>
      <c r="BU356">
        <v>15.25</v>
      </c>
      <c r="BV356">
        <v>1.05</v>
      </c>
      <c r="BW356">
        <v>14.29</v>
      </c>
      <c r="BX356">
        <v>26.79</v>
      </c>
      <c r="BY356">
        <v>9.86</v>
      </c>
      <c r="BZ356">
        <v>6.75</v>
      </c>
      <c r="CA356">
        <v>0.4</v>
      </c>
      <c r="CB356">
        <v>0.01</v>
      </c>
      <c r="CC356">
        <v>0.27</v>
      </c>
      <c r="CD356">
        <v>0.22</v>
      </c>
      <c r="CE356">
        <v>0.23</v>
      </c>
      <c r="CF356">
        <v>0.27</v>
      </c>
      <c r="CG356">
        <v>-7.88</v>
      </c>
      <c r="CH356">
        <v>3.81</v>
      </c>
      <c r="CI356">
        <v>-1.1599999999999999</v>
      </c>
      <c r="CJ356">
        <v>73241</v>
      </c>
      <c r="CK356">
        <v>5762</v>
      </c>
      <c r="CL356" t="s">
        <v>2031</v>
      </c>
      <c r="CM356">
        <v>-68.97</v>
      </c>
      <c r="CN356">
        <v>9.9700000000000006</v>
      </c>
      <c r="CO356">
        <v>1.36</v>
      </c>
      <c r="CP356">
        <v>9.3699999999999992</v>
      </c>
      <c r="CQ356">
        <v>3.62</v>
      </c>
      <c r="CR356">
        <v>0</v>
      </c>
      <c r="CS356" t="s">
        <v>379</v>
      </c>
      <c r="CT356">
        <v>3.71</v>
      </c>
      <c r="CU356">
        <v>0</v>
      </c>
      <c r="CV356">
        <v>3.79</v>
      </c>
      <c r="CW356">
        <v>-1.1200000000000001</v>
      </c>
      <c r="CX356">
        <v>0.54</v>
      </c>
      <c r="CY356">
        <v>27.77</v>
      </c>
      <c r="CZ356" t="s">
        <v>2405</v>
      </c>
      <c r="DA356">
        <v>31.47</v>
      </c>
      <c r="DB356">
        <v>4.09</v>
      </c>
      <c r="DC356">
        <v>2.37</v>
      </c>
      <c r="DD356">
        <v>0</v>
      </c>
      <c r="DE356">
        <v>634</v>
      </c>
      <c r="DF356">
        <v>862</v>
      </c>
      <c r="DG356" t="s">
        <v>116</v>
      </c>
      <c r="DH356" t="s">
        <v>116</v>
      </c>
      <c r="DI356" t="s">
        <v>116</v>
      </c>
    </row>
    <row r="357" spans="1:113" x14ac:dyDescent="0.4">
      <c r="A357" t="str">
        <f>"000863"</f>
        <v>000863</v>
      </c>
      <c r="B357" t="s">
        <v>2463</v>
      </c>
      <c r="C357">
        <v>0.22</v>
      </c>
      <c r="D357">
        <v>4.55</v>
      </c>
      <c r="E357">
        <v>0.01</v>
      </c>
      <c r="F357">
        <v>4.54</v>
      </c>
      <c r="G357">
        <v>4.55</v>
      </c>
      <c r="H357">
        <v>18090</v>
      </c>
      <c r="I357">
        <v>185</v>
      </c>
      <c r="J357">
        <v>0</v>
      </c>
      <c r="K357">
        <v>0.15</v>
      </c>
      <c r="L357">
        <v>4.57</v>
      </c>
      <c r="M357">
        <v>4.58</v>
      </c>
      <c r="N357">
        <v>4.53</v>
      </c>
      <c r="O357">
        <v>4.54</v>
      </c>
      <c r="P357">
        <v>13.54</v>
      </c>
      <c r="Q357">
        <v>8223996</v>
      </c>
      <c r="R357">
        <v>0.94</v>
      </c>
      <c r="S357" t="s">
        <v>148</v>
      </c>
      <c r="T357" t="s">
        <v>1653</v>
      </c>
      <c r="U357">
        <v>1.1000000000000001</v>
      </c>
      <c r="V357">
        <v>4.55</v>
      </c>
      <c r="W357">
        <v>11028</v>
      </c>
      <c r="X357">
        <v>7062</v>
      </c>
      <c r="Y357">
        <v>1.56</v>
      </c>
      <c r="Z357">
        <v>28</v>
      </c>
      <c r="AA357">
        <v>785</v>
      </c>
      <c r="AB357" t="s">
        <v>116</v>
      </c>
      <c r="AC357">
        <v>0</v>
      </c>
      <c r="AD357">
        <v>0</v>
      </c>
      <c r="AE357" t="s">
        <v>116</v>
      </c>
      <c r="AF357" t="s">
        <v>116</v>
      </c>
      <c r="AG357">
        <v>11.8</v>
      </c>
      <c r="AH357" t="s">
        <v>2464</v>
      </c>
      <c r="AI357" t="s">
        <v>2465</v>
      </c>
      <c r="AJ357">
        <v>0.9</v>
      </c>
      <c r="AK357">
        <v>562</v>
      </c>
      <c r="AL357">
        <v>32</v>
      </c>
      <c r="AM357">
        <v>2.9999999999999997E-4</v>
      </c>
      <c r="AN357">
        <v>2</v>
      </c>
      <c r="AO357">
        <v>0.22</v>
      </c>
      <c r="AP357">
        <v>-0.22</v>
      </c>
      <c r="AQ357">
        <v>-10.43</v>
      </c>
      <c r="AR357">
        <v>16.37</v>
      </c>
      <c r="AS357">
        <v>0.32</v>
      </c>
      <c r="AT357" t="s">
        <v>1661</v>
      </c>
      <c r="AU357" t="s">
        <v>116</v>
      </c>
      <c r="AV357" t="s">
        <v>116</v>
      </c>
      <c r="AW357">
        <v>0.42</v>
      </c>
      <c r="BA357">
        <v>0.66</v>
      </c>
      <c r="BB357">
        <v>0.88</v>
      </c>
      <c r="BC357">
        <v>-0.22</v>
      </c>
      <c r="BD357">
        <v>0.14000000000000001</v>
      </c>
      <c r="BE357">
        <v>-0.44</v>
      </c>
      <c r="BF357">
        <v>-0.66</v>
      </c>
      <c r="BG357">
        <v>0.44</v>
      </c>
      <c r="BH357">
        <v>0.08</v>
      </c>
      <c r="BI357">
        <v>20191025</v>
      </c>
      <c r="BJ357">
        <v>19970925</v>
      </c>
      <c r="BK357">
        <v>13.71</v>
      </c>
      <c r="BL357" t="s">
        <v>116</v>
      </c>
      <c r="BM357" t="s">
        <v>116</v>
      </c>
      <c r="BN357">
        <v>132.25</v>
      </c>
      <c r="BO357">
        <v>59.14</v>
      </c>
      <c r="BP357">
        <v>-1.28</v>
      </c>
      <c r="BQ357">
        <v>56.25</v>
      </c>
      <c r="BR357">
        <v>112.81</v>
      </c>
      <c r="BS357">
        <v>0.37</v>
      </c>
      <c r="BT357">
        <v>1.98</v>
      </c>
      <c r="BU357">
        <v>42.16</v>
      </c>
      <c r="BV357">
        <v>90.96</v>
      </c>
      <c r="BW357">
        <v>1.08</v>
      </c>
      <c r="BX357">
        <v>32.07</v>
      </c>
      <c r="BY357">
        <v>16.27</v>
      </c>
      <c r="BZ357">
        <v>10.36</v>
      </c>
      <c r="CA357">
        <v>4.0999999999999996</v>
      </c>
      <c r="CB357">
        <v>0.24</v>
      </c>
      <c r="CC357">
        <v>4.5</v>
      </c>
      <c r="CD357">
        <v>2.96</v>
      </c>
      <c r="CE357">
        <v>3.46</v>
      </c>
      <c r="CF357">
        <v>1.77</v>
      </c>
      <c r="CG357">
        <v>17.420000000000002</v>
      </c>
      <c r="CH357">
        <v>18.88</v>
      </c>
      <c r="CI357">
        <v>3.74</v>
      </c>
      <c r="CJ357">
        <v>24140</v>
      </c>
      <c r="CK357">
        <v>23547</v>
      </c>
      <c r="CL357" t="s">
        <v>2466</v>
      </c>
      <c r="CM357">
        <v>212.23</v>
      </c>
      <c r="CN357">
        <v>17.93</v>
      </c>
      <c r="CO357">
        <v>1.05</v>
      </c>
      <c r="CP357">
        <v>3.31</v>
      </c>
      <c r="CQ357">
        <v>3.84</v>
      </c>
      <c r="CR357">
        <v>0</v>
      </c>
      <c r="CS357" t="s">
        <v>2467</v>
      </c>
      <c r="CT357">
        <v>4.3099999999999996</v>
      </c>
      <c r="CU357">
        <v>0</v>
      </c>
      <c r="CV357">
        <v>2.34</v>
      </c>
      <c r="CW357">
        <v>1.27</v>
      </c>
      <c r="CX357">
        <v>1.38</v>
      </c>
      <c r="CY357">
        <v>44.72</v>
      </c>
      <c r="CZ357" t="s">
        <v>2468</v>
      </c>
      <c r="DA357">
        <v>36.32</v>
      </c>
      <c r="DB357">
        <v>25.2</v>
      </c>
      <c r="DC357">
        <v>21.24</v>
      </c>
      <c r="DD357">
        <v>0</v>
      </c>
      <c r="DE357">
        <v>658</v>
      </c>
      <c r="DF357">
        <v>863</v>
      </c>
      <c r="DG357" t="s">
        <v>116</v>
      </c>
      <c r="DH357" t="s">
        <v>116</v>
      </c>
      <c r="DI357" t="s">
        <v>116</v>
      </c>
    </row>
    <row r="358" spans="1:113" x14ac:dyDescent="0.4">
      <c r="A358" t="str">
        <f>"000868"</f>
        <v>000868</v>
      </c>
      <c r="B358" t="s">
        <v>2469</v>
      </c>
      <c r="C358">
        <v>2.64</v>
      </c>
      <c r="D358">
        <v>5.05</v>
      </c>
      <c r="E358">
        <v>0.13</v>
      </c>
      <c r="F358">
        <v>5.04</v>
      </c>
      <c r="G358">
        <v>5.05</v>
      </c>
      <c r="H358">
        <v>232692</v>
      </c>
      <c r="I358">
        <v>2757</v>
      </c>
      <c r="J358">
        <v>0.2</v>
      </c>
      <c r="K358">
        <v>3.35</v>
      </c>
      <c r="L358">
        <v>4.91</v>
      </c>
      <c r="M358">
        <v>5.13</v>
      </c>
      <c r="N358">
        <v>4.8499999999999996</v>
      </c>
      <c r="O358">
        <v>4.92</v>
      </c>
      <c r="P358">
        <v>20.58</v>
      </c>
      <c r="Q358">
        <v>116082864</v>
      </c>
      <c r="R358">
        <v>1.29</v>
      </c>
      <c r="S358" t="s">
        <v>1108</v>
      </c>
      <c r="T358" t="s">
        <v>575</v>
      </c>
      <c r="U358">
        <v>5.69</v>
      </c>
      <c r="V358">
        <v>4.99</v>
      </c>
      <c r="W358">
        <v>117550</v>
      </c>
      <c r="X358">
        <v>115142</v>
      </c>
      <c r="Y358">
        <v>1.02</v>
      </c>
      <c r="Z358">
        <v>704</v>
      </c>
      <c r="AA358">
        <v>2422</v>
      </c>
      <c r="AB358" t="s">
        <v>116</v>
      </c>
      <c r="AC358">
        <v>1795600</v>
      </c>
      <c r="AD358">
        <v>0.09</v>
      </c>
      <c r="AE358" t="s">
        <v>116</v>
      </c>
      <c r="AF358" t="s">
        <v>116</v>
      </c>
      <c r="AG358">
        <v>6.96</v>
      </c>
      <c r="AH358" t="s">
        <v>2470</v>
      </c>
      <c r="AI358" t="s">
        <v>2471</v>
      </c>
      <c r="AJ358">
        <v>3.32</v>
      </c>
      <c r="AK358">
        <v>2184</v>
      </c>
      <c r="AL358">
        <v>107</v>
      </c>
      <c r="AM358">
        <v>1.5E-3</v>
      </c>
      <c r="AN358">
        <v>4</v>
      </c>
      <c r="AO358">
        <v>7.89</v>
      </c>
      <c r="AP358">
        <v>7.68</v>
      </c>
      <c r="AQ358">
        <v>41.46</v>
      </c>
      <c r="AR358">
        <v>36.49</v>
      </c>
      <c r="AS358">
        <v>5.45</v>
      </c>
      <c r="AT358" t="s">
        <v>2472</v>
      </c>
      <c r="AU358" t="s">
        <v>116</v>
      </c>
      <c r="AV358" t="s">
        <v>116</v>
      </c>
      <c r="AW358">
        <v>0.56000000000000005</v>
      </c>
      <c r="BA358">
        <v>-0.2</v>
      </c>
      <c r="BB358">
        <v>4.2699999999999996</v>
      </c>
      <c r="BC358">
        <v>-1.42</v>
      </c>
      <c r="BD358">
        <v>1.4</v>
      </c>
      <c r="BE358">
        <v>2.85</v>
      </c>
      <c r="BF358">
        <v>-1.56</v>
      </c>
      <c r="BG358">
        <v>4.12</v>
      </c>
      <c r="BH358">
        <v>1.25</v>
      </c>
      <c r="BI358">
        <v>20191029</v>
      </c>
      <c r="BJ358">
        <v>19970725</v>
      </c>
      <c r="BK358">
        <v>7.33</v>
      </c>
      <c r="BL358" t="s">
        <v>116</v>
      </c>
      <c r="BM358" t="s">
        <v>116</v>
      </c>
      <c r="BN358">
        <v>65</v>
      </c>
      <c r="BO358">
        <v>5.27</v>
      </c>
      <c r="BP358">
        <v>0.78</v>
      </c>
      <c r="BQ358">
        <v>90.7</v>
      </c>
      <c r="BR358">
        <v>50.43</v>
      </c>
      <c r="BS358">
        <v>8.23</v>
      </c>
      <c r="BT358">
        <v>2.2200000000000002</v>
      </c>
      <c r="BU358">
        <v>52.48</v>
      </c>
      <c r="BV358">
        <v>2.0699999999999998</v>
      </c>
      <c r="BW358">
        <v>16.04</v>
      </c>
      <c r="BX358">
        <v>5.3</v>
      </c>
      <c r="BY358">
        <v>25.76</v>
      </c>
      <c r="BZ358">
        <v>21.74</v>
      </c>
      <c r="CA358">
        <v>1.53</v>
      </c>
      <c r="CB358">
        <v>0.7</v>
      </c>
      <c r="CC358">
        <v>1.51</v>
      </c>
      <c r="CD358">
        <v>1.47</v>
      </c>
      <c r="CE358">
        <v>1.35</v>
      </c>
      <c r="CF358">
        <v>0.44</v>
      </c>
      <c r="CG358">
        <v>-8.02</v>
      </c>
      <c r="CH358">
        <v>-0.69</v>
      </c>
      <c r="CI358">
        <v>-1.1100000000000001</v>
      </c>
      <c r="CJ358">
        <v>59473</v>
      </c>
      <c r="CK358">
        <v>7180</v>
      </c>
      <c r="CL358" t="s">
        <v>2473</v>
      </c>
      <c r="CM358">
        <v>152.31</v>
      </c>
      <c r="CN358">
        <v>26.31</v>
      </c>
      <c r="CO358">
        <v>7.03</v>
      </c>
      <c r="CP358">
        <v>-53.93</v>
      </c>
      <c r="CQ358">
        <v>1.44</v>
      </c>
      <c r="CR358">
        <v>0</v>
      </c>
      <c r="CS358" t="s">
        <v>2474</v>
      </c>
      <c r="CT358">
        <v>0.72</v>
      </c>
      <c r="CU358">
        <v>0</v>
      </c>
      <c r="CV358">
        <v>0.72</v>
      </c>
      <c r="CW358">
        <v>-1.0900000000000001</v>
      </c>
      <c r="CX358">
        <v>-0.09</v>
      </c>
      <c r="CY358">
        <v>8.1</v>
      </c>
      <c r="CZ358" t="s">
        <v>2475</v>
      </c>
      <c r="DA358">
        <v>15.61</v>
      </c>
      <c r="DB358">
        <v>5.95</v>
      </c>
      <c r="DC358">
        <v>5.24</v>
      </c>
      <c r="DD358">
        <v>0.75</v>
      </c>
      <c r="DE358">
        <v>2967</v>
      </c>
      <c r="DF358">
        <v>868</v>
      </c>
      <c r="DG358" t="s">
        <v>116</v>
      </c>
      <c r="DH358" t="s">
        <v>116</v>
      </c>
      <c r="DI358" t="s">
        <v>116</v>
      </c>
    </row>
    <row r="359" spans="1:113" x14ac:dyDescent="0.4">
      <c r="A359" t="str">
        <f>"000869"</f>
        <v>000869</v>
      </c>
      <c r="B359" t="s">
        <v>2476</v>
      </c>
      <c r="C359">
        <v>-0.14000000000000001</v>
      </c>
      <c r="D359">
        <v>28.14</v>
      </c>
      <c r="E359">
        <v>-0.04</v>
      </c>
      <c r="F359">
        <v>28.13</v>
      </c>
      <c r="G359">
        <v>28.14</v>
      </c>
      <c r="H359">
        <v>12905</v>
      </c>
      <c r="I359">
        <v>86</v>
      </c>
      <c r="J359">
        <v>0.04</v>
      </c>
      <c r="K359">
        <v>0.28000000000000003</v>
      </c>
      <c r="L359">
        <v>28.18</v>
      </c>
      <c r="M359">
        <v>28.45</v>
      </c>
      <c r="N359">
        <v>28.11</v>
      </c>
      <c r="O359">
        <v>28.18</v>
      </c>
      <c r="P359">
        <v>19.850000000000001</v>
      </c>
      <c r="Q359">
        <v>36526344</v>
      </c>
      <c r="R359">
        <v>1.34</v>
      </c>
      <c r="S359" t="s">
        <v>2477</v>
      </c>
      <c r="T359" t="s">
        <v>645</v>
      </c>
      <c r="U359">
        <v>1.21</v>
      </c>
      <c r="V359">
        <v>28.3</v>
      </c>
      <c r="W359">
        <v>6600</v>
      </c>
      <c r="X359">
        <v>6305</v>
      </c>
      <c r="Y359">
        <v>1.05</v>
      </c>
      <c r="Z359">
        <v>19</v>
      </c>
      <c r="AA359">
        <v>26</v>
      </c>
      <c r="AB359" t="s">
        <v>116</v>
      </c>
      <c r="AC359">
        <v>78900</v>
      </c>
      <c r="AD359">
        <v>0</v>
      </c>
      <c r="AE359" t="s">
        <v>116</v>
      </c>
      <c r="AF359" t="s">
        <v>116</v>
      </c>
      <c r="AG359">
        <v>4.53</v>
      </c>
      <c r="AH359" t="s">
        <v>2478</v>
      </c>
      <c r="AI359" t="s">
        <v>2479</v>
      </c>
      <c r="AJ359">
        <v>0.54</v>
      </c>
      <c r="AK359">
        <v>1221</v>
      </c>
      <c r="AL359">
        <v>11</v>
      </c>
      <c r="AM359">
        <v>2.0000000000000001E-4</v>
      </c>
      <c r="AN359">
        <v>-1</v>
      </c>
      <c r="AO359">
        <v>0.4</v>
      </c>
      <c r="AP359">
        <v>2.89</v>
      </c>
      <c r="AQ359">
        <v>-8.1</v>
      </c>
      <c r="AR359">
        <v>10.79</v>
      </c>
      <c r="AS359">
        <v>1.2</v>
      </c>
      <c r="AT359" t="s">
        <v>584</v>
      </c>
      <c r="AU359">
        <v>19.25</v>
      </c>
      <c r="AV359">
        <v>18.5</v>
      </c>
      <c r="AW359">
        <v>0.65</v>
      </c>
      <c r="BA359">
        <v>0</v>
      </c>
      <c r="BB359">
        <v>0.96</v>
      </c>
      <c r="BC359">
        <v>-0.25</v>
      </c>
      <c r="BD359">
        <v>0.44</v>
      </c>
      <c r="BE359">
        <v>-0.14000000000000001</v>
      </c>
      <c r="BF359">
        <v>-1.0900000000000001</v>
      </c>
      <c r="BG359">
        <v>0.11</v>
      </c>
      <c r="BH359">
        <v>-0.57999999999999996</v>
      </c>
      <c r="BI359">
        <v>20191030</v>
      </c>
      <c r="BJ359">
        <v>20001026</v>
      </c>
      <c r="BK359">
        <v>6.85</v>
      </c>
      <c r="BL359">
        <v>2.3199999999999998</v>
      </c>
      <c r="BM359" t="s">
        <v>116</v>
      </c>
      <c r="BN359">
        <v>131.91</v>
      </c>
      <c r="BO359">
        <v>99.01</v>
      </c>
      <c r="BP359">
        <v>2.72</v>
      </c>
      <c r="BQ359">
        <v>22.88</v>
      </c>
      <c r="BR359">
        <v>50.96</v>
      </c>
      <c r="BS359">
        <v>56.12</v>
      </c>
      <c r="BT359">
        <v>6.51</v>
      </c>
      <c r="BU359">
        <v>25.75</v>
      </c>
      <c r="BV359">
        <v>29.08</v>
      </c>
      <c r="BW359">
        <v>1.98</v>
      </c>
      <c r="BX359">
        <v>5.66</v>
      </c>
      <c r="BY359">
        <v>35.26</v>
      </c>
      <c r="BZ359">
        <v>12.85</v>
      </c>
      <c r="CA359">
        <v>9.76</v>
      </c>
      <c r="CB359">
        <v>0</v>
      </c>
      <c r="CC359">
        <v>9.82</v>
      </c>
      <c r="CD359">
        <v>7.28</v>
      </c>
      <c r="CE359">
        <v>7.29</v>
      </c>
      <c r="CF359">
        <v>6.72</v>
      </c>
      <c r="CG359">
        <v>83.23</v>
      </c>
      <c r="CH359">
        <v>6.45</v>
      </c>
      <c r="CI359">
        <v>0.55000000000000004</v>
      </c>
      <c r="CJ359">
        <v>42639</v>
      </c>
      <c r="CK359">
        <v>7974</v>
      </c>
      <c r="CL359" t="s">
        <v>2480</v>
      </c>
      <c r="CM359">
        <v>-5.3</v>
      </c>
      <c r="CN359">
        <v>-8.66</v>
      </c>
      <c r="CO359">
        <v>1.95</v>
      </c>
      <c r="CP359">
        <v>29.89</v>
      </c>
      <c r="CQ359">
        <v>5.47</v>
      </c>
      <c r="CR359">
        <v>2.13</v>
      </c>
      <c r="CS359" t="s">
        <v>2481</v>
      </c>
      <c r="CT359">
        <v>14.44</v>
      </c>
      <c r="CU359">
        <v>0</v>
      </c>
      <c r="CV359">
        <v>0.83</v>
      </c>
      <c r="CW359">
        <v>12.14</v>
      </c>
      <c r="CX359">
        <v>0.94</v>
      </c>
      <c r="CY359">
        <v>75.06</v>
      </c>
      <c r="CZ359" t="s">
        <v>2482</v>
      </c>
      <c r="DA359">
        <v>63.57</v>
      </c>
      <c r="DB359">
        <v>27.69</v>
      </c>
      <c r="DC359">
        <v>20.67</v>
      </c>
      <c r="DD359">
        <v>0.04</v>
      </c>
      <c r="DE359">
        <v>3233</v>
      </c>
      <c r="DF359">
        <v>869</v>
      </c>
      <c r="DG359" t="s">
        <v>116</v>
      </c>
      <c r="DH359" t="s">
        <v>116</v>
      </c>
      <c r="DI359" t="s">
        <v>116</v>
      </c>
    </row>
    <row r="360" spans="1:113" x14ac:dyDescent="0.4">
      <c r="A360" t="str">
        <f>"000875"</f>
        <v>000875</v>
      </c>
      <c r="B360" t="s">
        <v>2483</v>
      </c>
      <c r="C360">
        <v>0.32</v>
      </c>
      <c r="D360">
        <v>3.1</v>
      </c>
      <c r="E360">
        <v>0.01</v>
      </c>
      <c r="F360">
        <v>3.09</v>
      </c>
      <c r="G360">
        <v>3.1</v>
      </c>
      <c r="H360">
        <v>143107</v>
      </c>
      <c r="I360">
        <v>418</v>
      </c>
      <c r="J360">
        <v>0.32</v>
      </c>
      <c r="K360">
        <v>0.73</v>
      </c>
      <c r="L360">
        <v>3.09</v>
      </c>
      <c r="M360">
        <v>3.13</v>
      </c>
      <c r="N360">
        <v>3.07</v>
      </c>
      <c r="O360">
        <v>3.09</v>
      </c>
      <c r="P360">
        <v>16.850000000000001</v>
      </c>
      <c r="Q360">
        <v>44384204</v>
      </c>
      <c r="R360">
        <v>1.51</v>
      </c>
      <c r="S360" t="s">
        <v>271</v>
      </c>
      <c r="T360" t="s">
        <v>294</v>
      </c>
      <c r="U360">
        <v>1.94</v>
      </c>
      <c r="V360">
        <v>3.1</v>
      </c>
      <c r="W360">
        <v>79061</v>
      </c>
      <c r="X360">
        <v>64046</v>
      </c>
      <c r="Y360">
        <v>1.23</v>
      </c>
      <c r="Z360">
        <v>1478</v>
      </c>
      <c r="AA360">
        <v>2644</v>
      </c>
      <c r="AB360" t="s">
        <v>116</v>
      </c>
      <c r="AC360">
        <v>84000</v>
      </c>
      <c r="AD360">
        <v>0</v>
      </c>
      <c r="AE360" t="s">
        <v>116</v>
      </c>
      <c r="AF360" t="s">
        <v>116</v>
      </c>
      <c r="AG360">
        <v>19.54</v>
      </c>
      <c r="AH360" t="s">
        <v>2484</v>
      </c>
      <c r="AI360" t="s">
        <v>2485</v>
      </c>
      <c r="AJ360">
        <v>1</v>
      </c>
      <c r="AK360">
        <v>1288</v>
      </c>
      <c r="AL360">
        <v>111</v>
      </c>
      <c r="AM360">
        <v>5.9999999999999995E-4</v>
      </c>
      <c r="AN360">
        <v>2</v>
      </c>
      <c r="AO360">
        <v>-0.33</v>
      </c>
      <c r="AP360">
        <v>-1.27</v>
      </c>
      <c r="AQ360">
        <v>1.97</v>
      </c>
      <c r="AR360">
        <v>26.53</v>
      </c>
      <c r="AS360">
        <v>0.93</v>
      </c>
      <c r="AT360" t="s">
        <v>2486</v>
      </c>
      <c r="AU360">
        <v>16.239999999999998</v>
      </c>
      <c r="AV360">
        <v>58.05</v>
      </c>
      <c r="AW360">
        <v>0.7</v>
      </c>
      <c r="BA360">
        <v>0</v>
      </c>
      <c r="BB360">
        <v>1.29</v>
      </c>
      <c r="BC360">
        <v>-0.65</v>
      </c>
      <c r="BD360">
        <v>0.37</v>
      </c>
      <c r="BE360">
        <v>0.32</v>
      </c>
      <c r="BF360">
        <v>-0.96</v>
      </c>
      <c r="BG360">
        <v>0.98</v>
      </c>
      <c r="BH360">
        <v>-0.05</v>
      </c>
      <c r="BI360">
        <v>20191223</v>
      </c>
      <c r="BJ360">
        <v>20020926</v>
      </c>
      <c r="BK360">
        <v>21.46</v>
      </c>
      <c r="BL360" t="s">
        <v>116</v>
      </c>
      <c r="BM360" t="s">
        <v>116</v>
      </c>
      <c r="BN360">
        <v>402.4</v>
      </c>
      <c r="BO360">
        <v>75.69</v>
      </c>
      <c r="BP360">
        <v>31.31</v>
      </c>
      <c r="BQ360">
        <v>73.41</v>
      </c>
      <c r="BR360">
        <v>59.46</v>
      </c>
      <c r="BS360">
        <v>295.63</v>
      </c>
      <c r="BT360">
        <v>3.82</v>
      </c>
      <c r="BU360">
        <v>114.76</v>
      </c>
      <c r="BV360">
        <v>1.44</v>
      </c>
      <c r="BW360">
        <v>44.11</v>
      </c>
      <c r="BX360">
        <v>56.23</v>
      </c>
      <c r="BY360">
        <v>60.87</v>
      </c>
      <c r="BZ360">
        <v>46.51</v>
      </c>
      <c r="CA360">
        <v>4.2300000000000004</v>
      </c>
      <c r="CB360">
        <v>-7.0000000000000007E-2</v>
      </c>
      <c r="CC360">
        <v>5.85</v>
      </c>
      <c r="CD360">
        <v>5.12</v>
      </c>
      <c r="CE360">
        <v>2.96</v>
      </c>
      <c r="CF360">
        <v>1.56</v>
      </c>
      <c r="CG360">
        <v>-1.31</v>
      </c>
      <c r="CH360">
        <v>15.08</v>
      </c>
      <c r="CI360">
        <v>-5.24</v>
      </c>
      <c r="CJ360">
        <v>176338</v>
      </c>
      <c r="CK360">
        <v>8745</v>
      </c>
      <c r="CL360" t="s">
        <v>2487</v>
      </c>
      <c r="CM360">
        <v>31478.43</v>
      </c>
      <c r="CN360">
        <v>21.79</v>
      </c>
      <c r="CO360">
        <v>0.88</v>
      </c>
      <c r="CP360">
        <v>4.41</v>
      </c>
      <c r="CQ360">
        <v>1.0900000000000001</v>
      </c>
      <c r="CR360">
        <v>0</v>
      </c>
      <c r="CS360" t="s">
        <v>2019</v>
      </c>
      <c r="CT360">
        <v>3.53</v>
      </c>
      <c r="CU360">
        <v>0</v>
      </c>
      <c r="CV360">
        <v>2.62</v>
      </c>
      <c r="CW360">
        <v>-0.06</v>
      </c>
      <c r="CX360">
        <v>0.7</v>
      </c>
      <c r="CY360">
        <v>18.809999999999999</v>
      </c>
      <c r="CZ360" t="s">
        <v>2488</v>
      </c>
      <c r="DA360">
        <v>23.59</v>
      </c>
      <c r="DB360">
        <v>6.95</v>
      </c>
      <c r="DC360">
        <v>4.8600000000000003</v>
      </c>
      <c r="DD360">
        <v>0</v>
      </c>
      <c r="DE360">
        <v>3347</v>
      </c>
      <c r="DF360">
        <v>875</v>
      </c>
      <c r="DG360" t="s">
        <v>116</v>
      </c>
      <c r="DH360" t="s">
        <v>116</v>
      </c>
      <c r="DI360" t="s">
        <v>116</v>
      </c>
    </row>
    <row r="361" spans="1:113" x14ac:dyDescent="0.4">
      <c r="A361" t="str">
        <f>"000876"</f>
        <v>000876</v>
      </c>
      <c r="B361" t="s">
        <v>2489</v>
      </c>
      <c r="C361">
        <v>3.66</v>
      </c>
      <c r="D361">
        <v>19.28</v>
      </c>
      <c r="E361">
        <v>0.68</v>
      </c>
      <c r="F361">
        <v>19.27</v>
      </c>
      <c r="G361">
        <v>19.28</v>
      </c>
      <c r="H361">
        <v>504215</v>
      </c>
      <c r="I361">
        <v>3778</v>
      </c>
      <c r="J361">
        <v>-0.09</v>
      </c>
      <c r="K361">
        <v>1.2</v>
      </c>
      <c r="L361">
        <v>18.739999999999998</v>
      </c>
      <c r="M361">
        <v>19.43</v>
      </c>
      <c r="N361">
        <v>18.579999999999998</v>
      </c>
      <c r="O361">
        <v>18.600000000000001</v>
      </c>
      <c r="P361">
        <v>19.850000000000001</v>
      </c>
      <c r="Q361">
        <v>966173824</v>
      </c>
      <c r="R361">
        <v>1.53</v>
      </c>
      <c r="S361" t="s">
        <v>389</v>
      </c>
      <c r="T361" t="s">
        <v>582</v>
      </c>
      <c r="U361">
        <v>4.57</v>
      </c>
      <c r="V361">
        <v>19.16</v>
      </c>
      <c r="W361">
        <v>214182</v>
      </c>
      <c r="X361">
        <v>290033</v>
      </c>
      <c r="Y361">
        <v>0.74</v>
      </c>
      <c r="Z361">
        <v>558</v>
      </c>
      <c r="AA361">
        <v>948</v>
      </c>
      <c r="AB361" t="s">
        <v>116</v>
      </c>
      <c r="AC361">
        <v>3371300</v>
      </c>
      <c r="AD361">
        <v>0.01</v>
      </c>
      <c r="AE361" t="s">
        <v>116</v>
      </c>
      <c r="AF361" t="s">
        <v>116</v>
      </c>
      <c r="AG361">
        <v>42</v>
      </c>
      <c r="AH361" t="s">
        <v>2490</v>
      </c>
      <c r="AI361" t="s">
        <v>2491</v>
      </c>
      <c r="AJ361">
        <v>4.33</v>
      </c>
      <c r="AK361">
        <v>4581</v>
      </c>
      <c r="AL361">
        <v>110</v>
      </c>
      <c r="AM361">
        <v>2.9999999999999997E-4</v>
      </c>
      <c r="AN361">
        <v>1</v>
      </c>
      <c r="AO361">
        <v>4.05</v>
      </c>
      <c r="AP361">
        <v>-6.27</v>
      </c>
      <c r="AQ361">
        <v>18.059999999999999</v>
      </c>
      <c r="AR361">
        <v>165.93</v>
      </c>
      <c r="AS361">
        <v>2.63</v>
      </c>
      <c r="AT361" t="s">
        <v>2492</v>
      </c>
      <c r="AU361">
        <v>24.44</v>
      </c>
      <c r="AV361">
        <v>47.68</v>
      </c>
      <c r="AW361">
        <v>1.05</v>
      </c>
      <c r="BA361">
        <v>0.75</v>
      </c>
      <c r="BB361">
        <v>4.46</v>
      </c>
      <c r="BC361">
        <v>-0.11</v>
      </c>
      <c r="BD361">
        <v>3.02</v>
      </c>
      <c r="BE361">
        <v>2.88</v>
      </c>
      <c r="BF361">
        <v>-0.77</v>
      </c>
      <c r="BG361">
        <v>3.77</v>
      </c>
      <c r="BH361">
        <v>0.63</v>
      </c>
      <c r="BI361">
        <v>20191224</v>
      </c>
      <c r="BJ361">
        <v>19980311</v>
      </c>
      <c r="BK361">
        <v>42.16</v>
      </c>
      <c r="BL361" t="s">
        <v>116</v>
      </c>
      <c r="BM361" t="s">
        <v>116</v>
      </c>
      <c r="BN361">
        <v>575.11</v>
      </c>
      <c r="BO361">
        <v>240.73</v>
      </c>
      <c r="BP361">
        <v>63.37</v>
      </c>
      <c r="BQ361">
        <v>47.12</v>
      </c>
      <c r="BR361">
        <v>163.84</v>
      </c>
      <c r="BS361">
        <v>111.05</v>
      </c>
      <c r="BT361">
        <v>13.9</v>
      </c>
      <c r="BU361">
        <v>239.06</v>
      </c>
      <c r="BV361">
        <v>78.23</v>
      </c>
      <c r="BW361">
        <v>11.33</v>
      </c>
      <c r="BX361">
        <v>24.43</v>
      </c>
      <c r="BY361">
        <v>569.16999999999996</v>
      </c>
      <c r="BZ361">
        <v>509.7</v>
      </c>
      <c r="CA361">
        <v>42.9</v>
      </c>
      <c r="CB361">
        <v>20.03</v>
      </c>
      <c r="CC361">
        <v>41.08</v>
      </c>
      <c r="CD361">
        <v>38.78</v>
      </c>
      <c r="CE361">
        <v>30.72</v>
      </c>
      <c r="CF361">
        <v>32.42</v>
      </c>
      <c r="CG361">
        <v>158.30000000000001</v>
      </c>
      <c r="CH361">
        <v>21.64</v>
      </c>
      <c r="CI361">
        <v>2.1</v>
      </c>
      <c r="CJ361">
        <v>92000</v>
      </c>
      <c r="CK361">
        <v>20868</v>
      </c>
      <c r="CL361" t="s">
        <v>2493</v>
      </c>
      <c r="CM361">
        <v>111.73</v>
      </c>
      <c r="CN361">
        <v>12.01</v>
      </c>
      <c r="CO361">
        <v>3.38</v>
      </c>
      <c r="CP361">
        <v>37.56</v>
      </c>
      <c r="CQ361">
        <v>1.43</v>
      </c>
      <c r="CR361">
        <v>0.15</v>
      </c>
      <c r="CS361" t="s">
        <v>1598</v>
      </c>
      <c r="CT361">
        <v>5.71</v>
      </c>
      <c r="CU361">
        <v>0</v>
      </c>
      <c r="CV361">
        <v>0.57999999999999996</v>
      </c>
      <c r="CW361">
        <v>3.75</v>
      </c>
      <c r="CX361">
        <v>0.51</v>
      </c>
      <c r="CY361">
        <v>41.86</v>
      </c>
      <c r="CZ361" t="s">
        <v>2494</v>
      </c>
      <c r="DA361">
        <v>10.45</v>
      </c>
      <c r="DB361">
        <v>7.54</v>
      </c>
      <c r="DC361">
        <v>5.4</v>
      </c>
      <c r="DD361">
        <v>1.1100000000000001</v>
      </c>
      <c r="DE361">
        <v>61918</v>
      </c>
      <c r="DF361">
        <v>876</v>
      </c>
      <c r="DG361" t="s">
        <v>116</v>
      </c>
      <c r="DH361" t="s">
        <v>116</v>
      </c>
      <c r="DI361" t="s">
        <v>116</v>
      </c>
    </row>
    <row r="362" spans="1:113" x14ac:dyDescent="0.4">
      <c r="A362" t="str">
        <f>"000877"</f>
        <v>000877</v>
      </c>
      <c r="B362" t="s">
        <v>2495</v>
      </c>
      <c r="C362">
        <v>-1.06</v>
      </c>
      <c r="D362">
        <v>11.15</v>
      </c>
      <c r="E362">
        <v>-0.12</v>
      </c>
      <c r="F362">
        <v>11.14</v>
      </c>
      <c r="G362">
        <v>11.15</v>
      </c>
      <c r="H362">
        <v>188038</v>
      </c>
      <c r="I362">
        <v>2738</v>
      </c>
      <c r="J362">
        <v>-0.08</v>
      </c>
      <c r="K362">
        <v>2.14</v>
      </c>
      <c r="L362">
        <v>11.28</v>
      </c>
      <c r="M362">
        <v>11.37</v>
      </c>
      <c r="N362">
        <v>11.13</v>
      </c>
      <c r="O362">
        <v>11.27</v>
      </c>
      <c r="P362">
        <v>7.43</v>
      </c>
      <c r="Q362">
        <v>211422336</v>
      </c>
      <c r="R362">
        <v>1</v>
      </c>
      <c r="S362" t="s">
        <v>660</v>
      </c>
      <c r="T362" t="s">
        <v>616</v>
      </c>
      <c r="U362">
        <v>2.13</v>
      </c>
      <c r="V362">
        <v>11.24</v>
      </c>
      <c r="W362">
        <v>100574</v>
      </c>
      <c r="X362">
        <v>87464</v>
      </c>
      <c r="Y362">
        <v>1.1499999999999999</v>
      </c>
      <c r="Z362">
        <v>1013</v>
      </c>
      <c r="AA362">
        <v>411</v>
      </c>
      <c r="AB362" t="s">
        <v>116</v>
      </c>
      <c r="AC362">
        <v>831300</v>
      </c>
      <c r="AD362">
        <v>0.01</v>
      </c>
      <c r="AE362" t="s">
        <v>116</v>
      </c>
      <c r="AF362" t="s">
        <v>116</v>
      </c>
      <c r="AG362">
        <v>8.8000000000000007</v>
      </c>
      <c r="AH362" t="s">
        <v>2496</v>
      </c>
      <c r="AI362" t="s">
        <v>2497</v>
      </c>
      <c r="AJ362">
        <v>-0.39</v>
      </c>
      <c r="AK362">
        <v>3482</v>
      </c>
      <c r="AL362">
        <v>54</v>
      </c>
      <c r="AM362">
        <v>5.9999999999999995E-4</v>
      </c>
      <c r="AN362">
        <v>-1</v>
      </c>
      <c r="AO362">
        <v>1.55</v>
      </c>
      <c r="AP362">
        <v>6.09</v>
      </c>
      <c r="AQ362">
        <v>3.34</v>
      </c>
      <c r="AR362">
        <v>65.680000000000007</v>
      </c>
      <c r="AS362">
        <v>3.31</v>
      </c>
      <c r="AT362" t="s">
        <v>2498</v>
      </c>
      <c r="AU362">
        <v>7.06</v>
      </c>
      <c r="AV362">
        <v>9.42</v>
      </c>
      <c r="AW362">
        <v>1.07</v>
      </c>
      <c r="BA362">
        <v>0.09</v>
      </c>
      <c r="BB362">
        <v>0.89</v>
      </c>
      <c r="BC362">
        <v>-1.24</v>
      </c>
      <c r="BD362">
        <v>-0.23</v>
      </c>
      <c r="BE362">
        <v>-1.1499999999999999</v>
      </c>
      <c r="BF362">
        <v>-1.93</v>
      </c>
      <c r="BG362">
        <v>0.18</v>
      </c>
      <c r="BH362">
        <v>-0.83</v>
      </c>
      <c r="BI362">
        <v>20191111</v>
      </c>
      <c r="BJ362">
        <v>19990107</v>
      </c>
      <c r="BK362">
        <v>10.49</v>
      </c>
      <c r="BL362" t="s">
        <v>116</v>
      </c>
      <c r="BM362" t="s">
        <v>116</v>
      </c>
      <c r="BN362">
        <v>167.4</v>
      </c>
      <c r="BO362">
        <v>91.93</v>
      </c>
      <c r="BP362">
        <v>8.1</v>
      </c>
      <c r="BQ362">
        <v>40.25</v>
      </c>
      <c r="BR362">
        <v>41.12</v>
      </c>
      <c r="BS362">
        <v>112.69</v>
      </c>
      <c r="BT362">
        <v>5.8</v>
      </c>
      <c r="BU362">
        <v>48.88</v>
      </c>
      <c r="BV362">
        <v>3.99</v>
      </c>
      <c r="BW362">
        <v>7.6</v>
      </c>
      <c r="BX362">
        <v>40.729999999999997</v>
      </c>
      <c r="BY362">
        <v>72.38</v>
      </c>
      <c r="BZ362">
        <v>47.78</v>
      </c>
      <c r="CA362">
        <v>17.07</v>
      </c>
      <c r="CB362">
        <v>0.06</v>
      </c>
      <c r="CC362">
        <v>16.87</v>
      </c>
      <c r="CD362">
        <v>13.33</v>
      </c>
      <c r="CE362">
        <v>11.81</v>
      </c>
      <c r="CF362">
        <v>11.54</v>
      </c>
      <c r="CG362">
        <v>36.659999999999997</v>
      </c>
      <c r="CH362">
        <v>22.76</v>
      </c>
      <c r="CI362">
        <v>0.85</v>
      </c>
      <c r="CJ362">
        <v>89858</v>
      </c>
      <c r="CK362">
        <v>6318</v>
      </c>
      <c r="CL362" t="s">
        <v>1604</v>
      </c>
      <c r="CM362">
        <v>54.29</v>
      </c>
      <c r="CN362">
        <v>28.57</v>
      </c>
      <c r="CO362">
        <v>1.27</v>
      </c>
      <c r="CP362">
        <v>5.14</v>
      </c>
      <c r="CQ362">
        <v>1.62</v>
      </c>
      <c r="CR362">
        <v>3.41</v>
      </c>
      <c r="CS362" t="s">
        <v>2499</v>
      </c>
      <c r="CT362">
        <v>8.77</v>
      </c>
      <c r="CU362">
        <v>0</v>
      </c>
      <c r="CV362">
        <v>3.88</v>
      </c>
      <c r="CW362">
        <v>3.5</v>
      </c>
      <c r="CX362">
        <v>2.17</v>
      </c>
      <c r="CY362">
        <v>54.92</v>
      </c>
      <c r="CZ362" t="s">
        <v>2500</v>
      </c>
      <c r="DA362">
        <v>33.99</v>
      </c>
      <c r="DB362">
        <v>23.58</v>
      </c>
      <c r="DC362">
        <v>16.32</v>
      </c>
      <c r="DD362">
        <v>0.09</v>
      </c>
      <c r="DE362">
        <v>7594</v>
      </c>
      <c r="DF362">
        <v>877</v>
      </c>
      <c r="DG362" t="s">
        <v>116</v>
      </c>
      <c r="DH362" t="s">
        <v>116</v>
      </c>
      <c r="DI362" t="s">
        <v>116</v>
      </c>
    </row>
    <row r="363" spans="1:113" x14ac:dyDescent="0.4">
      <c r="A363" t="str">
        <f>"000878"</f>
        <v>000878</v>
      </c>
      <c r="B363" t="s">
        <v>2501</v>
      </c>
      <c r="C363">
        <v>2.41</v>
      </c>
      <c r="D363">
        <v>13.17</v>
      </c>
      <c r="E363">
        <v>0.31</v>
      </c>
      <c r="F363">
        <v>13.16</v>
      </c>
      <c r="G363">
        <v>13.17</v>
      </c>
      <c r="H363">
        <v>575298</v>
      </c>
      <c r="I363">
        <v>4034</v>
      </c>
      <c r="J363">
        <v>-7.0000000000000007E-2</v>
      </c>
      <c r="K363">
        <v>4.0599999999999996</v>
      </c>
      <c r="L363">
        <v>12.95</v>
      </c>
      <c r="M363">
        <v>13.77</v>
      </c>
      <c r="N363">
        <v>12.75</v>
      </c>
      <c r="O363">
        <v>12.86</v>
      </c>
      <c r="P363">
        <v>27.21</v>
      </c>
      <c r="Q363">
        <v>761259136</v>
      </c>
      <c r="R363">
        <v>1.65</v>
      </c>
      <c r="S363" t="s">
        <v>1517</v>
      </c>
      <c r="T363" t="s">
        <v>1043</v>
      </c>
      <c r="U363">
        <v>7.93</v>
      </c>
      <c r="V363">
        <v>13.23</v>
      </c>
      <c r="W363">
        <v>283017</v>
      </c>
      <c r="X363">
        <v>292281</v>
      </c>
      <c r="Y363">
        <v>0.97</v>
      </c>
      <c r="Z363">
        <v>281</v>
      </c>
      <c r="AA363">
        <v>1028</v>
      </c>
      <c r="AB363" t="s">
        <v>116</v>
      </c>
      <c r="AC363">
        <v>4782400</v>
      </c>
      <c r="AD363">
        <v>0.05</v>
      </c>
      <c r="AE363" t="s">
        <v>116</v>
      </c>
      <c r="AF363" t="s">
        <v>116</v>
      </c>
      <c r="AG363">
        <v>14.16</v>
      </c>
      <c r="AH363" t="s">
        <v>2502</v>
      </c>
      <c r="AI363" t="s">
        <v>2503</v>
      </c>
      <c r="AJ363">
        <v>3.09</v>
      </c>
      <c r="AK363">
        <v>4551</v>
      </c>
      <c r="AL363">
        <v>126</v>
      </c>
      <c r="AM363">
        <v>8.9999999999999998E-4</v>
      </c>
      <c r="AN363">
        <v>1</v>
      </c>
      <c r="AO363">
        <v>3.7</v>
      </c>
      <c r="AP363">
        <v>17.38</v>
      </c>
      <c r="AQ363">
        <v>31.04</v>
      </c>
      <c r="AR363">
        <v>66.08</v>
      </c>
      <c r="AS363">
        <v>7.39</v>
      </c>
      <c r="AT363" t="s">
        <v>2504</v>
      </c>
      <c r="AU363">
        <v>70.930000000000007</v>
      </c>
      <c r="AV363">
        <v>179.41</v>
      </c>
      <c r="AW363">
        <v>1.02</v>
      </c>
      <c r="BA363">
        <v>0.7</v>
      </c>
      <c r="BB363">
        <v>7.08</v>
      </c>
      <c r="BC363">
        <v>-0.86</v>
      </c>
      <c r="BD363">
        <v>2.9</v>
      </c>
      <c r="BE363">
        <v>1.7</v>
      </c>
      <c r="BF363">
        <v>-4.3600000000000003</v>
      </c>
      <c r="BG363">
        <v>3.29</v>
      </c>
      <c r="BH363">
        <v>-0.49</v>
      </c>
      <c r="BI363">
        <v>20191225</v>
      </c>
      <c r="BJ363">
        <v>19980602</v>
      </c>
      <c r="BK363">
        <v>17</v>
      </c>
      <c r="BL363" t="s">
        <v>116</v>
      </c>
      <c r="BM363" t="s">
        <v>116</v>
      </c>
      <c r="BN363">
        <v>411.74</v>
      </c>
      <c r="BO363">
        <v>83.46</v>
      </c>
      <c r="BP363">
        <v>38.17</v>
      </c>
      <c r="BQ363">
        <v>70.459999999999994</v>
      </c>
      <c r="BR363">
        <v>186.15</v>
      </c>
      <c r="BS363">
        <v>169.07</v>
      </c>
      <c r="BT363">
        <v>18.04</v>
      </c>
      <c r="BU363">
        <v>167.21</v>
      </c>
      <c r="BV363">
        <v>108.07</v>
      </c>
      <c r="BW363">
        <v>4.0999999999999996</v>
      </c>
      <c r="BX363">
        <v>58.46</v>
      </c>
      <c r="BY363">
        <v>444.19</v>
      </c>
      <c r="BZ363">
        <v>413.14</v>
      </c>
      <c r="CA363">
        <v>10.24</v>
      </c>
      <c r="CB363">
        <v>1.61</v>
      </c>
      <c r="CC363">
        <v>10.29</v>
      </c>
      <c r="CD363">
        <v>9</v>
      </c>
      <c r="CE363">
        <v>6.17</v>
      </c>
      <c r="CF363">
        <v>5.45</v>
      </c>
      <c r="CG363">
        <v>2.72</v>
      </c>
      <c r="CH363">
        <v>16.149999999999999</v>
      </c>
      <c r="CI363">
        <v>6.78</v>
      </c>
      <c r="CJ363">
        <v>113326</v>
      </c>
      <c r="CK363">
        <v>6873</v>
      </c>
      <c r="CL363" t="s">
        <v>2006</v>
      </c>
      <c r="CM363">
        <v>44.78</v>
      </c>
      <c r="CN363">
        <v>42.57</v>
      </c>
      <c r="CO363">
        <v>2.68</v>
      </c>
      <c r="CP363">
        <v>13.86</v>
      </c>
      <c r="CQ363">
        <v>0.5</v>
      </c>
      <c r="CR363">
        <v>0</v>
      </c>
      <c r="CS363" t="s">
        <v>2505</v>
      </c>
      <c r="CT363">
        <v>4.91</v>
      </c>
      <c r="CU363">
        <v>0</v>
      </c>
      <c r="CV363">
        <v>3.44</v>
      </c>
      <c r="CW363">
        <v>0.16</v>
      </c>
      <c r="CX363">
        <v>0.95</v>
      </c>
      <c r="CY363">
        <v>20.27</v>
      </c>
      <c r="CZ363" t="s">
        <v>2506</v>
      </c>
      <c r="DA363">
        <v>6.99</v>
      </c>
      <c r="DB363">
        <v>2.2999999999999998</v>
      </c>
      <c r="DC363">
        <v>1.39</v>
      </c>
      <c r="DD363">
        <v>0.48</v>
      </c>
      <c r="DE363">
        <v>12291</v>
      </c>
      <c r="DF363">
        <v>878</v>
      </c>
      <c r="DG363" t="s">
        <v>116</v>
      </c>
      <c r="DH363" t="s">
        <v>116</v>
      </c>
      <c r="DI363" t="s">
        <v>116</v>
      </c>
    </row>
    <row r="364" spans="1:113" x14ac:dyDescent="0.4">
      <c r="A364" t="str">
        <f>"000880"</f>
        <v>000880</v>
      </c>
      <c r="B364" t="s">
        <v>2507</v>
      </c>
      <c r="C364">
        <v>0.13</v>
      </c>
      <c r="D364">
        <v>7.72</v>
      </c>
      <c r="E364">
        <v>0.01</v>
      </c>
      <c r="F364">
        <v>7.71</v>
      </c>
      <c r="G364">
        <v>7.72</v>
      </c>
      <c r="H364">
        <v>9666</v>
      </c>
      <c r="I364">
        <v>73</v>
      </c>
      <c r="J364">
        <v>0.13</v>
      </c>
      <c r="K364">
        <v>0.72</v>
      </c>
      <c r="L364">
        <v>7.71</v>
      </c>
      <c r="M364">
        <v>7.78</v>
      </c>
      <c r="N364">
        <v>7.66</v>
      </c>
      <c r="O364">
        <v>7.71</v>
      </c>
      <c r="P364">
        <v>25.4</v>
      </c>
      <c r="Q364">
        <v>7467087</v>
      </c>
      <c r="R364">
        <v>0.96</v>
      </c>
      <c r="S364" t="s">
        <v>996</v>
      </c>
      <c r="T364" t="s">
        <v>645</v>
      </c>
      <c r="U364">
        <v>1.56</v>
      </c>
      <c r="V364">
        <v>7.73</v>
      </c>
      <c r="W364">
        <v>5204</v>
      </c>
      <c r="X364">
        <v>4462</v>
      </c>
      <c r="Y364">
        <v>1.17</v>
      </c>
      <c r="Z364">
        <v>249</v>
      </c>
      <c r="AA364">
        <v>5</v>
      </c>
      <c r="AB364" t="s">
        <v>116</v>
      </c>
      <c r="AC364">
        <v>0</v>
      </c>
      <c r="AD364">
        <v>0</v>
      </c>
      <c r="AE364" t="s">
        <v>116</v>
      </c>
      <c r="AF364" t="s">
        <v>116</v>
      </c>
      <c r="AG364">
        <v>1.35</v>
      </c>
      <c r="AH364" t="s">
        <v>2508</v>
      </c>
      <c r="AI364" t="s">
        <v>1699</v>
      </c>
      <c r="AJ364">
        <v>0.81</v>
      </c>
      <c r="AK364">
        <v>438</v>
      </c>
      <c r="AL364">
        <v>22</v>
      </c>
      <c r="AM364">
        <v>1.6000000000000001E-3</v>
      </c>
      <c r="AN364">
        <v>4</v>
      </c>
      <c r="AO364">
        <v>0.39</v>
      </c>
      <c r="AP364">
        <v>5.9</v>
      </c>
      <c r="AQ364">
        <v>-2.15</v>
      </c>
      <c r="AR364">
        <v>7.52</v>
      </c>
      <c r="AS364">
        <v>0.72</v>
      </c>
      <c r="AT364" t="s">
        <v>2508</v>
      </c>
      <c r="AU364">
        <v>48.77</v>
      </c>
      <c r="AV364">
        <v>51.28</v>
      </c>
      <c r="AW364">
        <v>0.71</v>
      </c>
      <c r="BA364">
        <v>0</v>
      </c>
      <c r="BB364">
        <v>0.91</v>
      </c>
      <c r="BC364">
        <v>-0.65</v>
      </c>
      <c r="BD364">
        <v>0.2</v>
      </c>
      <c r="BE364">
        <v>0.13</v>
      </c>
      <c r="BF364">
        <v>-0.77</v>
      </c>
      <c r="BG364">
        <v>0.78</v>
      </c>
      <c r="BH364">
        <v>-7.0000000000000007E-2</v>
      </c>
      <c r="BI364">
        <v>20191031</v>
      </c>
      <c r="BJ364">
        <v>19980402</v>
      </c>
      <c r="BK364">
        <v>2.76</v>
      </c>
      <c r="BL364" t="s">
        <v>116</v>
      </c>
      <c r="BM364" t="s">
        <v>116</v>
      </c>
      <c r="BN364">
        <v>41.33</v>
      </c>
      <c r="BO364">
        <v>14.3</v>
      </c>
      <c r="BP364">
        <v>0</v>
      </c>
      <c r="BQ364">
        <v>65.400000000000006</v>
      </c>
      <c r="BR364">
        <v>19.54</v>
      </c>
      <c r="BS364">
        <v>10.95</v>
      </c>
      <c r="BT364">
        <v>1.64</v>
      </c>
      <c r="BU364">
        <v>24.94</v>
      </c>
      <c r="BV364">
        <v>3.96</v>
      </c>
      <c r="BW364">
        <v>1.41</v>
      </c>
      <c r="BX364">
        <v>6.05</v>
      </c>
      <c r="BY364">
        <v>19.809999999999999</v>
      </c>
      <c r="BZ364">
        <v>16.71</v>
      </c>
      <c r="CA364">
        <v>0.67</v>
      </c>
      <c r="CB364">
        <v>0.42</v>
      </c>
      <c r="CC364">
        <v>0.7</v>
      </c>
      <c r="CD364">
        <v>0.63</v>
      </c>
      <c r="CE364">
        <v>0.63</v>
      </c>
      <c r="CF364">
        <v>0.53</v>
      </c>
      <c r="CG364">
        <v>4.6500000000000004</v>
      </c>
      <c r="CH364">
        <v>1.44</v>
      </c>
      <c r="CI364">
        <v>0.95</v>
      </c>
      <c r="CJ364">
        <v>19082</v>
      </c>
      <c r="CK364">
        <v>7082</v>
      </c>
      <c r="CL364" t="s">
        <v>260</v>
      </c>
      <c r="CM364">
        <v>3.52</v>
      </c>
      <c r="CN364">
        <v>8.84</v>
      </c>
      <c r="CO364">
        <v>1.49</v>
      </c>
      <c r="CP364">
        <v>14.8</v>
      </c>
      <c r="CQ364">
        <v>1.08</v>
      </c>
      <c r="CR364">
        <v>0.26</v>
      </c>
      <c r="CS364" t="s">
        <v>2509</v>
      </c>
      <c r="CT364">
        <v>5.18</v>
      </c>
      <c r="CU364">
        <v>0</v>
      </c>
      <c r="CV364">
        <v>2.19</v>
      </c>
      <c r="CW364">
        <v>1.68</v>
      </c>
      <c r="CX364">
        <v>0.52</v>
      </c>
      <c r="CY364">
        <v>34.6</v>
      </c>
      <c r="CZ364" t="s">
        <v>2510</v>
      </c>
      <c r="DA364">
        <v>15.65</v>
      </c>
      <c r="DB364">
        <v>3.39</v>
      </c>
      <c r="DC364">
        <v>3.18</v>
      </c>
      <c r="DD364">
        <v>1.18</v>
      </c>
      <c r="DE364">
        <v>2836</v>
      </c>
      <c r="DF364">
        <v>880</v>
      </c>
      <c r="DG364" t="s">
        <v>116</v>
      </c>
      <c r="DH364" t="s">
        <v>116</v>
      </c>
      <c r="DI364" t="s">
        <v>116</v>
      </c>
    </row>
    <row r="365" spans="1:113" x14ac:dyDescent="0.4">
      <c r="A365" t="str">
        <f>"000881"</f>
        <v>000881</v>
      </c>
      <c r="B365" t="s">
        <v>2511</v>
      </c>
      <c r="C365">
        <v>0.15</v>
      </c>
      <c r="D365">
        <v>6.88</v>
      </c>
      <c r="E365">
        <v>0.01</v>
      </c>
      <c r="F365">
        <v>6.87</v>
      </c>
      <c r="G365">
        <v>6.88</v>
      </c>
      <c r="H365">
        <v>20806</v>
      </c>
      <c r="I365">
        <v>179</v>
      </c>
      <c r="J365">
        <v>0</v>
      </c>
      <c r="K365">
        <v>0.68</v>
      </c>
      <c r="L365">
        <v>6.88</v>
      </c>
      <c r="M365">
        <v>6.98</v>
      </c>
      <c r="N365">
        <v>6.86</v>
      </c>
      <c r="O365">
        <v>6.87</v>
      </c>
      <c r="P365">
        <v>64.52</v>
      </c>
      <c r="Q365">
        <v>14428492</v>
      </c>
      <c r="R365">
        <v>1.1399999999999999</v>
      </c>
      <c r="S365" t="s">
        <v>173</v>
      </c>
      <c r="T365" t="s">
        <v>434</v>
      </c>
      <c r="U365">
        <v>1.75</v>
      </c>
      <c r="V365">
        <v>6.93</v>
      </c>
      <c r="W365">
        <v>8910</v>
      </c>
      <c r="X365">
        <v>11896</v>
      </c>
      <c r="Y365">
        <v>0.75</v>
      </c>
      <c r="Z365">
        <v>50</v>
      </c>
      <c r="AA365">
        <v>139</v>
      </c>
      <c r="AB365" t="s">
        <v>116</v>
      </c>
      <c r="AC365">
        <v>112100</v>
      </c>
      <c r="AD365">
        <v>0.01</v>
      </c>
      <c r="AE365" t="s">
        <v>116</v>
      </c>
      <c r="AF365" t="s">
        <v>116</v>
      </c>
      <c r="AG365">
        <v>3.08</v>
      </c>
      <c r="AH365" t="s">
        <v>2512</v>
      </c>
      <c r="AI365" t="s">
        <v>2513</v>
      </c>
      <c r="AJ365">
        <v>0.82</v>
      </c>
      <c r="AK365">
        <v>912</v>
      </c>
      <c r="AL365">
        <v>23</v>
      </c>
      <c r="AM365">
        <v>6.9999999999999999E-4</v>
      </c>
      <c r="AN365">
        <v>4</v>
      </c>
      <c r="AO365">
        <v>0.73</v>
      </c>
      <c r="AP365">
        <v>6.34</v>
      </c>
      <c r="AQ365">
        <v>-2.8</v>
      </c>
      <c r="AR365">
        <v>2.87</v>
      </c>
      <c r="AS365">
        <v>0.85</v>
      </c>
      <c r="AT365" t="s">
        <v>2514</v>
      </c>
      <c r="AU365">
        <v>31.47</v>
      </c>
      <c r="AV365">
        <v>20.350000000000001</v>
      </c>
      <c r="AW365">
        <v>0.74</v>
      </c>
      <c r="BA365">
        <v>0.15</v>
      </c>
      <c r="BB365">
        <v>1.6</v>
      </c>
      <c r="BC365">
        <v>-0.15</v>
      </c>
      <c r="BD365">
        <v>0.94</v>
      </c>
      <c r="BE365">
        <v>0</v>
      </c>
      <c r="BF365">
        <v>-1.43</v>
      </c>
      <c r="BG365">
        <v>0.28999999999999998</v>
      </c>
      <c r="BH365">
        <v>-0.8</v>
      </c>
      <c r="BI365">
        <v>20191226</v>
      </c>
      <c r="BJ365">
        <v>19980902</v>
      </c>
      <c r="BK365">
        <v>9.4499999999999993</v>
      </c>
      <c r="BL365" t="s">
        <v>116</v>
      </c>
      <c r="BM365" t="s">
        <v>116</v>
      </c>
      <c r="BN365">
        <v>116.63</v>
      </c>
      <c r="BO365">
        <v>57.23</v>
      </c>
      <c r="BP365">
        <v>4.2300000000000004</v>
      </c>
      <c r="BQ365">
        <v>47.31</v>
      </c>
      <c r="BR365">
        <v>77.88</v>
      </c>
      <c r="BS365">
        <v>22.9</v>
      </c>
      <c r="BT365">
        <v>3.59</v>
      </c>
      <c r="BU365">
        <v>47.36</v>
      </c>
      <c r="BV365">
        <v>13.48</v>
      </c>
      <c r="BW365">
        <v>22.46</v>
      </c>
      <c r="BX365">
        <v>31.37</v>
      </c>
      <c r="BY365">
        <v>46.59</v>
      </c>
      <c r="BZ365">
        <v>39.03</v>
      </c>
      <c r="CA365">
        <v>1.1100000000000001</v>
      </c>
      <c r="CB365">
        <v>0.32</v>
      </c>
      <c r="CC365">
        <v>1.2</v>
      </c>
      <c r="CD365">
        <v>0.99</v>
      </c>
      <c r="CE365">
        <v>0.76</v>
      </c>
      <c r="CF365">
        <v>0.18</v>
      </c>
      <c r="CG365">
        <v>14.93</v>
      </c>
      <c r="CH365">
        <v>0.38</v>
      </c>
      <c r="CI365">
        <v>-0.36</v>
      </c>
      <c r="CJ365">
        <v>30000</v>
      </c>
      <c r="CK365">
        <v>8114</v>
      </c>
      <c r="CL365" t="s">
        <v>2515</v>
      </c>
      <c r="CM365">
        <v>-59.91</v>
      </c>
      <c r="CN365">
        <v>-2.63</v>
      </c>
      <c r="CO365">
        <v>1.1399999999999999</v>
      </c>
      <c r="CP365">
        <v>173.32</v>
      </c>
      <c r="CQ365">
        <v>1.4</v>
      </c>
      <c r="CR365">
        <v>0.5</v>
      </c>
      <c r="CS365" t="s">
        <v>2516</v>
      </c>
      <c r="CT365">
        <v>6.05</v>
      </c>
      <c r="CU365">
        <v>0</v>
      </c>
      <c r="CV365">
        <v>3.32</v>
      </c>
      <c r="CW365">
        <v>1.58</v>
      </c>
      <c r="CX365">
        <v>0.04</v>
      </c>
      <c r="CY365">
        <v>49.07</v>
      </c>
      <c r="CZ365" t="s">
        <v>2517</v>
      </c>
      <c r="DA365">
        <v>16.23</v>
      </c>
      <c r="DB365">
        <v>2.39</v>
      </c>
      <c r="DC365">
        <v>1.62</v>
      </c>
      <c r="DD365">
        <v>1.41</v>
      </c>
      <c r="DE365">
        <v>5550</v>
      </c>
      <c r="DF365">
        <v>881</v>
      </c>
      <c r="DG365" t="s">
        <v>116</v>
      </c>
      <c r="DH365" t="s">
        <v>116</v>
      </c>
      <c r="DI365" t="s">
        <v>116</v>
      </c>
    </row>
    <row r="366" spans="1:113" x14ac:dyDescent="0.4">
      <c r="A366" t="str">
        <f>"000882"</f>
        <v>000882</v>
      </c>
      <c r="B366" t="s">
        <v>2518</v>
      </c>
      <c r="C366">
        <v>-0.88</v>
      </c>
      <c r="D366">
        <v>2.25</v>
      </c>
      <c r="E366">
        <v>-0.02</v>
      </c>
      <c r="F366">
        <v>2.2400000000000002</v>
      </c>
      <c r="G366">
        <v>2.25</v>
      </c>
      <c r="H366">
        <v>397519</v>
      </c>
      <c r="I366">
        <v>3696</v>
      </c>
      <c r="J366">
        <v>0</v>
      </c>
      <c r="K366">
        <v>1.6</v>
      </c>
      <c r="L366">
        <v>2.2599999999999998</v>
      </c>
      <c r="M366">
        <v>2.2999999999999998</v>
      </c>
      <c r="N366">
        <v>2.2400000000000002</v>
      </c>
      <c r="O366">
        <v>2.27</v>
      </c>
      <c r="P366">
        <v>21.22</v>
      </c>
      <c r="Q366">
        <v>90134768</v>
      </c>
      <c r="R366">
        <v>1.34</v>
      </c>
      <c r="S366" t="s">
        <v>746</v>
      </c>
      <c r="T366" t="s">
        <v>165</v>
      </c>
      <c r="U366">
        <v>2.64</v>
      </c>
      <c r="V366">
        <v>2.27</v>
      </c>
      <c r="W366">
        <v>219995</v>
      </c>
      <c r="X366">
        <v>177524</v>
      </c>
      <c r="Y366">
        <v>1.24</v>
      </c>
      <c r="Z366">
        <v>11981</v>
      </c>
      <c r="AA366">
        <v>701</v>
      </c>
      <c r="AB366" t="s">
        <v>116</v>
      </c>
      <c r="AC366">
        <v>560900</v>
      </c>
      <c r="AD366">
        <v>0.02</v>
      </c>
      <c r="AE366" t="s">
        <v>116</v>
      </c>
      <c r="AF366" t="s">
        <v>116</v>
      </c>
      <c r="AG366">
        <v>24.82</v>
      </c>
      <c r="AH366" t="s">
        <v>2519</v>
      </c>
      <c r="AI366" t="s">
        <v>2520</v>
      </c>
      <c r="AJ366">
        <v>-0.2</v>
      </c>
      <c r="AK366">
        <v>2072</v>
      </c>
      <c r="AL366">
        <v>192</v>
      </c>
      <c r="AM366">
        <v>8.0000000000000004E-4</v>
      </c>
      <c r="AN366">
        <v>-1</v>
      </c>
      <c r="AO366">
        <v>1.35</v>
      </c>
      <c r="AP366">
        <v>3.69</v>
      </c>
      <c r="AQ366">
        <v>-2.6</v>
      </c>
      <c r="AR366">
        <v>1.08</v>
      </c>
      <c r="AS366">
        <v>2.56</v>
      </c>
      <c r="AT366" t="s">
        <v>2521</v>
      </c>
      <c r="AU366" t="s">
        <v>116</v>
      </c>
      <c r="AV366">
        <v>187.78</v>
      </c>
      <c r="AW366">
        <v>1.56</v>
      </c>
      <c r="BA366">
        <v>-0.44</v>
      </c>
      <c r="BB366">
        <v>1.32</v>
      </c>
      <c r="BC366">
        <v>-1.32</v>
      </c>
      <c r="BD366">
        <v>-0.11</v>
      </c>
      <c r="BE366">
        <v>-0.44</v>
      </c>
      <c r="BF366">
        <v>-2.17</v>
      </c>
      <c r="BG366">
        <v>0.45</v>
      </c>
      <c r="BH366">
        <v>-0.77</v>
      </c>
      <c r="BI366">
        <v>20191031</v>
      </c>
      <c r="BJ366">
        <v>19980616</v>
      </c>
      <c r="BK366">
        <v>27.37</v>
      </c>
      <c r="BL366" t="s">
        <v>116</v>
      </c>
      <c r="BM366" t="s">
        <v>116</v>
      </c>
      <c r="BN366">
        <v>127.33</v>
      </c>
      <c r="BO366">
        <v>80.84</v>
      </c>
      <c r="BP366">
        <v>2.1</v>
      </c>
      <c r="BQ366">
        <v>34.86</v>
      </c>
      <c r="BR366">
        <v>65.88</v>
      </c>
      <c r="BS366">
        <v>0.51</v>
      </c>
      <c r="BT366">
        <v>3.05</v>
      </c>
      <c r="BU366">
        <v>36.51</v>
      </c>
      <c r="BV366">
        <v>8.7200000000000006</v>
      </c>
      <c r="BW366">
        <v>3.36</v>
      </c>
      <c r="BX366">
        <v>46.77</v>
      </c>
      <c r="BY366">
        <v>9.27</v>
      </c>
      <c r="BZ366">
        <v>4.8</v>
      </c>
      <c r="CA366">
        <v>2.3199999999999998</v>
      </c>
      <c r="CB366">
        <v>2.84</v>
      </c>
      <c r="CC366">
        <v>2.29</v>
      </c>
      <c r="CD366">
        <v>2.14</v>
      </c>
      <c r="CE366">
        <v>2.1800000000000002</v>
      </c>
      <c r="CF366">
        <v>0.86</v>
      </c>
      <c r="CG366">
        <v>4.04</v>
      </c>
      <c r="CH366">
        <v>1.95</v>
      </c>
      <c r="CI366">
        <v>4.7</v>
      </c>
      <c r="CJ366">
        <v>122072</v>
      </c>
      <c r="CK366">
        <v>12737</v>
      </c>
      <c r="CL366" t="s">
        <v>1850</v>
      </c>
      <c r="CM366">
        <v>-29.98</v>
      </c>
      <c r="CN366">
        <v>0.51</v>
      </c>
      <c r="CO366">
        <v>0.76</v>
      </c>
      <c r="CP366">
        <v>31.52</v>
      </c>
      <c r="CQ366">
        <v>6.64</v>
      </c>
      <c r="CR366">
        <v>0.18</v>
      </c>
      <c r="CS366" t="s">
        <v>2516</v>
      </c>
      <c r="CT366">
        <v>2.95</v>
      </c>
      <c r="CU366">
        <v>0</v>
      </c>
      <c r="CV366">
        <v>1.71</v>
      </c>
      <c r="CW366">
        <v>0.15</v>
      </c>
      <c r="CX366">
        <v>7.0000000000000007E-2</v>
      </c>
      <c r="CY366">
        <v>63.49</v>
      </c>
      <c r="CZ366" t="s">
        <v>2522</v>
      </c>
      <c r="DA366">
        <v>48.27</v>
      </c>
      <c r="DB366">
        <v>24.96</v>
      </c>
      <c r="DC366">
        <v>23.46</v>
      </c>
      <c r="DD366">
        <v>0</v>
      </c>
      <c r="DE366">
        <v>1182</v>
      </c>
      <c r="DF366">
        <v>882</v>
      </c>
      <c r="DG366" t="s">
        <v>116</v>
      </c>
      <c r="DH366" t="s">
        <v>116</v>
      </c>
      <c r="DI366" t="s">
        <v>116</v>
      </c>
    </row>
    <row r="367" spans="1:113" x14ac:dyDescent="0.4">
      <c r="A367" t="str">
        <f>"000883"</f>
        <v>000883</v>
      </c>
      <c r="B367" t="s">
        <v>2523</v>
      </c>
      <c r="C367">
        <v>0.24</v>
      </c>
      <c r="D367">
        <v>4.1399999999999997</v>
      </c>
      <c r="E367">
        <v>0.01</v>
      </c>
      <c r="F367">
        <v>4.13</v>
      </c>
      <c r="G367">
        <v>4.1399999999999997</v>
      </c>
      <c r="H367">
        <v>45543</v>
      </c>
      <c r="I367">
        <v>451</v>
      </c>
      <c r="J367">
        <v>0</v>
      </c>
      <c r="K367">
        <v>7.0000000000000007E-2</v>
      </c>
      <c r="L367">
        <v>4.1399999999999997</v>
      </c>
      <c r="M367">
        <v>4.16</v>
      </c>
      <c r="N367">
        <v>4.13</v>
      </c>
      <c r="O367">
        <v>4.13</v>
      </c>
      <c r="P367">
        <v>13.34</v>
      </c>
      <c r="Q367">
        <v>18874940</v>
      </c>
      <c r="R367">
        <v>0.76</v>
      </c>
      <c r="S367" t="s">
        <v>271</v>
      </c>
      <c r="T367" t="s">
        <v>774</v>
      </c>
      <c r="U367">
        <v>0.73</v>
      </c>
      <c r="V367">
        <v>4.1399999999999997</v>
      </c>
      <c r="W367">
        <v>23941</v>
      </c>
      <c r="X367">
        <v>21602</v>
      </c>
      <c r="Y367">
        <v>1.1100000000000001</v>
      </c>
      <c r="Z367">
        <v>1468</v>
      </c>
      <c r="AA367">
        <v>18</v>
      </c>
      <c r="AB367" t="s">
        <v>116</v>
      </c>
      <c r="AC367">
        <v>29000</v>
      </c>
      <c r="AD367">
        <v>0</v>
      </c>
      <c r="AE367" t="s">
        <v>116</v>
      </c>
      <c r="AF367" t="s">
        <v>116</v>
      </c>
      <c r="AG367">
        <v>65.040000000000006</v>
      </c>
      <c r="AH367" t="s">
        <v>2524</v>
      </c>
      <c r="AI367" t="s">
        <v>2525</v>
      </c>
      <c r="AJ367">
        <v>0.92</v>
      </c>
      <c r="AK367">
        <v>1751</v>
      </c>
      <c r="AL367">
        <v>26</v>
      </c>
      <c r="AM367">
        <v>0</v>
      </c>
      <c r="AN367">
        <v>2</v>
      </c>
      <c r="AO367">
        <v>0.48</v>
      </c>
      <c r="AP367">
        <v>0.24</v>
      </c>
      <c r="AQ367">
        <v>0</v>
      </c>
      <c r="AR367">
        <v>16.29</v>
      </c>
      <c r="AS367">
        <v>0.25</v>
      </c>
      <c r="AT367" t="s">
        <v>2526</v>
      </c>
      <c r="AU367">
        <v>16.989999999999998</v>
      </c>
      <c r="AV367">
        <v>14.88</v>
      </c>
      <c r="AW367">
        <v>0.42</v>
      </c>
      <c r="BA367">
        <v>0.24</v>
      </c>
      <c r="BB367">
        <v>0.73</v>
      </c>
      <c r="BC367">
        <v>0</v>
      </c>
      <c r="BD367">
        <v>0.35</v>
      </c>
      <c r="BE367">
        <v>0</v>
      </c>
      <c r="BF367">
        <v>-0.48</v>
      </c>
      <c r="BG367">
        <v>0.24</v>
      </c>
      <c r="BH367">
        <v>-0.11</v>
      </c>
      <c r="BI367">
        <v>20191030</v>
      </c>
      <c r="BJ367">
        <v>19980519</v>
      </c>
      <c r="BK367">
        <v>65.069999999999993</v>
      </c>
      <c r="BL367" t="s">
        <v>116</v>
      </c>
      <c r="BM367" t="s">
        <v>116</v>
      </c>
      <c r="BN367">
        <v>584.76</v>
      </c>
      <c r="BO367">
        <v>272.95999999999998</v>
      </c>
      <c r="BP367">
        <v>64.28</v>
      </c>
      <c r="BQ367">
        <v>42.33</v>
      </c>
      <c r="BR367">
        <v>56.62</v>
      </c>
      <c r="BS367">
        <v>374.28</v>
      </c>
      <c r="BT367">
        <v>7.79</v>
      </c>
      <c r="BU367">
        <v>103.17</v>
      </c>
      <c r="BV367">
        <v>4.43</v>
      </c>
      <c r="BW367">
        <v>20.28</v>
      </c>
      <c r="BX367">
        <v>106.62</v>
      </c>
      <c r="BY367">
        <v>120.68</v>
      </c>
      <c r="BZ367">
        <v>92.53</v>
      </c>
      <c r="CA367">
        <v>23.74</v>
      </c>
      <c r="CB367">
        <v>3.45</v>
      </c>
      <c r="CC367">
        <v>23.75</v>
      </c>
      <c r="CD367">
        <v>17.71</v>
      </c>
      <c r="CE367">
        <v>15.14</v>
      </c>
      <c r="CF367">
        <v>14.63</v>
      </c>
      <c r="CG367">
        <v>89.14</v>
      </c>
      <c r="CH367">
        <v>29.22</v>
      </c>
      <c r="CI367">
        <v>3.91</v>
      </c>
      <c r="CJ367">
        <v>99409</v>
      </c>
      <c r="CK367">
        <v>18152</v>
      </c>
      <c r="CL367" t="s">
        <v>2527</v>
      </c>
      <c r="CM367">
        <v>-12.95</v>
      </c>
      <c r="CN367">
        <v>33.5</v>
      </c>
      <c r="CO367">
        <v>0.99</v>
      </c>
      <c r="CP367">
        <v>9.2200000000000006</v>
      </c>
      <c r="CQ367">
        <v>2.23</v>
      </c>
      <c r="CR367">
        <v>2.66</v>
      </c>
      <c r="CS367" t="s">
        <v>2528</v>
      </c>
      <c r="CT367">
        <v>4.1900000000000004</v>
      </c>
      <c r="CU367">
        <v>0</v>
      </c>
      <c r="CV367">
        <v>1.64</v>
      </c>
      <c r="CW367">
        <v>1.37</v>
      </c>
      <c r="CX367">
        <v>0.45</v>
      </c>
      <c r="CY367">
        <v>46.68</v>
      </c>
      <c r="CZ367" t="s">
        <v>1986</v>
      </c>
      <c r="DA367">
        <v>23.33</v>
      </c>
      <c r="DB367">
        <v>19.670000000000002</v>
      </c>
      <c r="DC367">
        <v>12.55</v>
      </c>
      <c r="DD367">
        <v>0</v>
      </c>
      <c r="DE367">
        <v>4120</v>
      </c>
      <c r="DF367">
        <v>883</v>
      </c>
      <c r="DG367" t="s">
        <v>116</v>
      </c>
      <c r="DH367" t="s">
        <v>116</v>
      </c>
      <c r="DI367" t="s">
        <v>116</v>
      </c>
    </row>
    <row r="368" spans="1:113" x14ac:dyDescent="0.4">
      <c r="A368" t="str">
        <f>"000885"</f>
        <v>000885</v>
      </c>
      <c r="B368" t="s">
        <v>2529</v>
      </c>
      <c r="C368">
        <v>-1.1200000000000001</v>
      </c>
      <c r="D368">
        <v>10.56</v>
      </c>
      <c r="E368">
        <v>-0.12</v>
      </c>
      <c r="F368">
        <v>10.54</v>
      </c>
      <c r="G368">
        <v>10.56</v>
      </c>
      <c r="H368">
        <v>30600</v>
      </c>
      <c r="I368">
        <v>55</v>
      </c>
      <c r="J368">
        <v>0.28000000000000003</v>
      </c>
      <c r="K368">
        <v>0.62</v>
      </c>
      <c r="L368">
        <v>10.7</v>
      </c>
      <c r="M368">
        <v>10.7</v>
      </c>
      <c r="N368">
        <v>10.52</v>
      </c>
      <c r="O368">
        <v>10.68</v>
      </c>
      <c r="P368">
        <v>7.06</v>
      </c>
      <c r="Q368">
        <v>32497870</v>
      </c>
      <c r="R368">
        <v>0.84</v>
      </c>
      <c r="S368" t="s">
        <v>2041</v>
      </c>
      <c r="T368" t="s">
        <v>652</v>
      </c>
      <c r="U368">
        <v>1.69</v>
      </c>
      <c r="V368">
        <v>10.62</v>
      </c>
      <c r="W368">
        <v>19803</v>
      </c>
      <c r="X368">
        <v>10797</v>
      </c>
      <c r="Y368">
        <v>1.83</v>
      </c>
      <c r="Z368">
        <v>32</v>
      </c>
      <c r="AA368">
        <v>63</v>
      </c>
      <c r="AB368" t="s">
        <v>116</v>
      </c>
      <c r="AC368">
        <v>154100</v>
      </c>
      <c r="AD368">
        <v>0.01</v>
      </c>
      <c r="AE368" t="s">
        <v>116</v>
      </c>
      <c r="AF368" t="s">
        <v>116</v>
      </c>
      <c r="AG368">
        <v>4.96</v>
      </c>
      <c r="AH368" t="s">
        <v>2530</v>
      </c>
      <c r="AI368" t="s">
        <v>2530</v>
      </c>
      <c r="AJ368">
        <v>-0.44</v>
      </c>
      <c r="AK368">
        <v>1340</v>
      </c>
      <c r="AL368">
        <v>23</v>
      </c>
      <c r="AM368">
        <v>5.0000000000000001E-4</v>
      </c>
      <c r="AN368">
        <v>-1</v>
      </c>
      <c r="AO368">
        <v>0.19</v>
      </c>
      <c r="AP368">
        <v>3.43</v>
      </c>
      <c r="AQ368">
        <v>2.92</v>
      </c>
      <c r="AR368">
        <v>52.16</v>
      </c>
      <c r="AS368">
        <v>1.81</v>
      </c>
      <c r="AT368" t="s">
        <v>2531</v>
      </c>
      <c r="AU368">
        <v>7.46</v>
      </c>
      <c r="AV368">
        <v>9</v>
      </c>
      <c r="AW368">
        <v>0.62</v>
      </c>
      <c r="BA368">
        <v>0.19</v>
      </c>
      <c r="BB368">
        <v>0.19</v>
      </c>
      <c r="BC368">
        <v>-1.5</v>
      </c>
      <c r="BD368">
        <v>-0.56000000000000005</v>
      </c>
      <c r="BE368">
        <v>-1.31</v>
      </c>
      <c r="BF368">
        <v>-1.31</v>
      </c>
      <c r="BG368">
        <v>0.38</v>
      </c>
      <c r="BH368">
        <v>-0.56999999999999995</v>
      </c>
      <c r="BI368">
        <v>20191030</v>
      </c>
      <c r="BJ368">
        <v>19990319</v>
      </c>
      <c r="BK368">
        <v>4.96</v>
      </c>
      <c r="BL368" t="s">
        <v>116</v>
      </c>
      <c r="BM368" t="s">
        <v>116</v>
      </c>
      <c r="BN368">
        <v>83.38</v>
      </c>
      <c r="BO368">
        <v>29.28</v>
      </c>
      <c r="BP368">
        <v>2.99</v>
      </c>
      <c r="BQ368">
        <v>61.3</v>
      </c>
      <c r="BR368">
        <v>12.57</v>
      </c>
      <c r="BS368">
        <v>55.67</v>
      </c>
      <c r="BT368">
        <v>1.01</v>
      </c>
      <c r="BU368">
        <v>22.06</v>
      </c>
      <c r="BV368">
        <v>0.25</v>
      </c>
      <c r="BW368">
        <v>1.35</v>
      </c>
      <c r="BX368">
        <v>0.55000000000000004</v>
      </c>
      <c r="BY368">
        <v>16.940000000000001</v>
      </c>
      <c r="BZ368">
        <v>6.56</v>
      </c>
      <c r="CA368">
        <v>7.85</v>
      </c>
      <c r="CB368">
        <v>0.09</v>
      </c>
      <c r="CC368">
        <v>7.6</v>
      </c>
      <c r="CD368">
        <v>5.68</v>
      </c>
      <c r="CE368">
        <v>5.56</v>
      </c>
      <c r="CF368">
        <v>5.75</v>
      </c>
      <c r="CG368">
        <v>19.71</v>
      </c>
      <c r="CH368">
        <v>9.49</v>
      </c>
      <c r="CI368">
        <v>-0.45</v>
      </c>
      <c r="CJ368">
        <v>37242</v>
      </c>
      <c r="CK368">
        <v>4551</v>
      </c>
      <c r="CL368" t="s">
        <v>2532</v>
      </c>
      <c r="CM368">
        <v>27.46</v>
      </c>
      <c r="CN368">
        <v>20.29</v>
      </c>
      <c r="CO368">
        <v>1.79</v>
      </c>
      <c r="CP368">
        <v>5.52</v>
      </c>
      <c r="CQ368">
        <v>3.09</v>
      </c>
      <c r="CR368">
        <v>2.1800000000000002</v>
      </c>
      <c r="CS368" t="s">
        <v>2533</v>
      </c>
      <c r="CT368">
        <v>5.9</v>
      </c>
      <c r="CU368">
        <v>0</v>
      </c>
      <c r="CV368">
        <v>0.11</v>
      </c>
      <c r="CW368">
        <v>3.97</v>
      </c>
      <c r="CX368">
        <v>1.91</v>
      </c>
      <c r="CY368">
        <v>35.11</v>
      </c>
      <c r="CZ368" t="s">
        <v>2534</v>
      </c>
      <c r="DA368">
        <v>61.26</v>
      </c>
      <c r="DB368">
        <v>46.34</v>
      </c>
      <c r="DC368">
        <v>32.85</v>
      </c>
      <c r="DD368">
        <v>0</v>
      </c>
      <c r="DE368">
        <v>1399</v>
      </c>
      <c r="DF368">
        <v>885</v>
      </c>
      <c r="DG368" t="s">
        <v>116</v>
      </c>
      <c r="DH368" t="s">
        <v>116</v>
      </c>
      <c r="DI368" t="s">
        <v>116</v>
      </c>
    </row>
    <row r="369" spans="1:113" x14ac:dyDescent="0.4">
      <c r="A369" t="str">
        <f>"000886"</f>
        <v>000886</v>
      </c>
      <c r="B369" t="s">
        <v>2535</v>
      </c>
      <c r="C369">
        <v>-0.24</v>
      </c>
      <c r="D369">
        <v>4.1100000000000003</v>
      </c>
      <c r="E369">
        <v>-0.01</v>
      </c>
      <c r="F369">
        <v>4.1100000000000003</v>
      </c>
      <c r="G369">
        <v>4.12</v>
      </c>
      <c r="H369">
        <v>205819</v>
      </c>
      <c r="I369">
        <v>2301</v>
      </c>
      <c r="J369">
        <v>0.49</v>
      </c>
      <c r="K369">
        <v>2.13</v>
      </c>
      <c r="L369">
        <v>4.1500000000000004</v>
      </c>
      <c r="M369">
        <v>4.2300000000000004</v>
      </c>
      <c r="N369">
        <v>4.08</v>
      </c>
      <c r="O369">
        <v>4.12</v>
      </c>
      <c r="P369">
        <v>55.91</v>
      </c>
      <c r="Q369">
        <v>85605192</v>
      </c>
      <c r="R369">
        <v>0.63</v>
      </c>
      <c r="S369" t="s">
        <v>809</v>
      </c>
      <c r="T369" t="s">
        <v>851</v>
      </c>
      <c r="U369">
        <v>3.64</v>
      </c>
      <c r="V369">
        <v>4.16</v>
      </c>
      <c r="W369">
        <v>110435</v>
      </c>
      <c r="X369">
        <v>95384</v>
      </c>
      <c r="Y369">
        <v>1.1599999999999999</v>
      </c>
      <c r="Z369">
        <v>73</v>
      </c>
      <c r="AA369">
        <v>303</v>
      </c>
      <c r="AB369" t="s">
        <v>116</v>
      </c>
      <c r="AC369">
        <v>829600</v>
      </c>
      <c r="AD369">
        <v>0.03</v>
      </c>
      <c r="AE369" t="s">
        <v>116</v>
      </c>
      <c r="AF369" t="s">
        <v>116</v>
      </c>
      <c r="AG369">
        <v>9.68</v>
      </c>
      <c r="AH369" t="s">
        <v>2536</v>
      </c>
      <c r="AI369" t="s">
        <v>2537</v>
      </c>
      <c r="AJ369">
        <v>0.44</v>
      </c>
      <c r="AK369">
        <v>2151</v>
      </c>
      <c r="AL369">
        <v>96</v>
      </c>
      <c r="AM369">
        <v>1E-3</v>
      </c>
      <c r="AN369">
        <v>-1</v>
      </c>
      <c r="AO369">
        <v>-2.37</v>
      </c>
      <c r="AP369">
        <v>15.13</v>
      </c>
      <c r="AQ369">
        <v>15.45</v>
      </c>
      <c r="AR369">
        <v>11.08</v>
      </c>
      <c r="AS369">
        <v>2.87</v>
      </c>
      <c r="AT369" t="s">
        <v>740</v>
      </c>
      <c r="AU369">
        <v>62.87</v>
      </c>
      <c r="AV369">
        <v>24.47</v>
      </c>
      <c r="AW369">
        <v>0.85</v>
      </c>
      <c r="BA369">
        <v>0.73</v>
      </c>
      <c r="BB369">
        <v>2.67</v>
      </c>
      <c r="BC369">
        <v>-0.97</v>
      </c>
      <c r="BD369">
        <v>0.95</v>
      </c>
      <c r="BE369">
        <v>-0.96</v>
      </c>
      <c r="BF369">
        <v>-2.84</v>
      </c>
      <c r="BG369">
        <v>0.74</v>
      </c>
      <c r="BH369">
        <v>-1.2</v>
      </c>
      <c r="BI369">
        <v>20191226</v>
      </c>
      <c r="BJ369">
        <v>19980123</v>
      </c>
      <c r="BK369">
        <v>9.89</v>
      </c>
      <c r="BL369" t="s">
        <v>116</v>
      </c>
      <c r="BM369" t="s">
        <v>116</v>
      </c>
      <c r="BN369">
        <v>32.15</v>
      </c>
      <c r="BO369">
        <v>27.8</v>
      </c>
      <c r="BP369">
        <v>0.06</v>
      </c>
      <c r="BQ369">
        <v>13.35</v>
      </c>
      <c r="BR369">
        <v>22.34</v>
      </c>
      <c r="BS369">
        <v>1</v>
      </c>
      <c r="BT369">
        <v>1.1000000000000001</v>
      </c>
      <c r="BU369">
        <v>3.67</v>
      </c>
      <c r="BV369">
        <v>3.66</v>
      </c>
      <c r="BW369">
        <v>0.09</v>
      </c>
      <c r="BX369">
        <v>9.44</v>
      </c>
      <c r="BY369">
        <v>1.39</v>
      </c>
      <c r="BZ369">
        <v>0.48</v>
      </c>
      <c r="CA369">
        <v>0.77</v>
      </c>
      <c r="CB369">
        <v>0.5</v>
      </c>
      <c r="CC369">
        <v>0.75</v>
      </c>
      <c r="CD369">
        <v>0.55000000000000004</v>
      </c>
      <c r="CE369">
        <v>0.55000000000000004</v>
      </c>
      <c r="CF369">
        <v>0.24</v>
      </c>
      <c r="CG369">
        <v>4.62</v>
      </c>
      <c r="CH369">
        <v>-0.32</v>
      </c>
      <c r="CI369">
        <v>2.92</v>
      </c>
      <c r="CJ369">
        <v>81800</v>
      </c>
      <c r="CK369">
        <v>8780</v>
      </c>
      <c r="CL369" t="s">
        <v>2538</v>
      </c>
      <c r="CM369">
        <v>-65.040000000000006</v>
      </c>
      <c r="CN369">
        <v>-62.81</v>
      </c>
      <c r="CO369">
        <v>1.46</v>
      </c>
      <c r="CP369">
        <v>-125.56</v>
      </c>
      <c r="CQ369">
        <v>29.19</v>
      </c>
      <c r="CR369">
        <v>1.22</v>
      </c>
      <c r="CS369" t="s">
        <v>2069</v>
      </c>
      <c r="CT369">
        <v>2.81</v>
      </c>
      <c r="CU369">
        <v>0</v>
      </c>
      <c r="CV369">
        <v>0.95</v>
      </c>
      <c r="CW369">
        <v>0.47</v>
      </c>
      <c r="CX369">
        <v>-0.03</v>
      </c>
      <c r="CY369">
        <v>86.47</v>
      </c>
      <c r="CZ369" t="s">
        <v>2539</v>
      </c>
      <c r="DA369">
        <v>65.36</v>
      </c>
      <c r="DB369">
        <v>55.48</v>
      </c>
      <c r="DC369">
        <v>39.15</v>
      </c>
      <c r="DD369">
        <v>0</v>
      </c>
      <c r="DE369">
        <v>510</v>
      </c>
      <c r="DF369">
        <v>886</v>
      </c>
      <c r="DG369" t="s">
        <v>116</v>
      </c>
      <c r="DH369" t="s">
        <v>116</v>
      </c>
      <c r="DI369" t="s">
        <v>116</v>
      </c>
    </row>
    <row r="370" spans="1:113" x14ac:dyDescent="0.4">
      <c r="A370" t="str">
        <f>"000887"</f>
        <v>000887</v>
      </c>
      <c r="B370" t="s">
        <v>2540</v>
      </c>
      <c r="C370">
        <v>-1.61</v>
      </c>
      <c r="D370">
        <v>8.5399999999999991</v>
      </c>
      <c r="E370">
        <v>-0.14000000000000001</v>
      </c>
      <c r="F370">
        <v>8.5399999999999991</v>
      </c>
      <c r="G370">
        <v>8.5500000000000007</v>
      </c>
      <c r="H370">
        <v>78970</v>
      </c>
      <c r="I370">
        <v>1422</v>
      </c>
      <c r="J370">
        <v>-0.46</v>
      </c>
      <c r="K370">
        <v>0.65</v>
      </c>
      <c r="L370">
        <v>8.65</v>
      </c>
      <c r="M370">
        <v>8.77</v>
      </c>
      <c r="N370">
        <v>8.5399999999999991</v>
      </c>
      <c r="O370">
        <v>8.68</v>
      </c>
      <c r="P370">
        <v>13.03</v>
      </c>
      <c r="Q370">
        <v>68518904</v>
      </c>
      <c r="R370">
        <v>1.02</v>
      </c>
      <c r="S370" t="s">
        <v>2541</v>
      </c>
      <c r="T370" t="s">
        <v>575</v>
      </c>
      <c r="U370">
        <v>2.65</v>
      </c>
      <c r="V370">
        <v>8.68</v>
      </c>
      <c r="W370">
        <v>45266</v>
      </c>
      <c r="X370">
        <v>33704</v>
      </c>
      <c r="Y370">
        <v>1.34</v>
      </c>
      <c r="Z370">
        <v>498</v>
      </c>
      <c r="AA370">
        <v>31</v>
      </c>
      <c r="AB370" t="s">
        <v>116</v>
      </c>
      <c r="AC370">
        <v>128900</v>
      </c>
      <c r="AD370">
        <v>0</v>
      </c>
      <c r="AE370" t="s">
        <v>116</v>
      </c>
      <c r="AF370" t="s">
        <v>116</v>
      </c>
      <c r="AG370">
        <v>12.18</v>
      </c>
      <c r="AH370" t="s">
        <v>2542</v>
      </c>
      <c r="AI370" t="s">
        <v>2543</v>
      </c>
      <c r="AJ370">
        <v>-0.93</v>
      </c>
      <c r="AK370">
        <v>1988</v>
      </c>
      <c r="AL370">
        <v>40</v>
      </c>
      <c r="AM370">
        <v>2.9999999999999997E-4</v>
      </c>
      <c r="AN370">
        <v>-1</v>
      </c>
      <c r="AO370">
        <v>-2.39</v>
      </c>
      <c r="AP370">
        <v>5.69</v>
      </c>
      <c r="AQ370">
        <v>-2.5099999999999998</v>
      </c>
      <c r="AR370">
        <v>-13.91</v>
      </c>
      <c r="AS370">
        <v>1.22</v>
      </c>
      <c r="AT370" t="s">
        <v>2544</v>
      </c>
      <c r="AU370">
        <v>15.65</v>
      </c>
      <c r="AV370">
        <v>9.34</v>
      </c>
      <c r="AW370">
        <v>0.82</v>
      </c>
      <c r="BA370">
        <v>-0.35</v>
      </c>
      <c r="BB370">
        <v>1.04</v>
      </c>
      <c r="BC370">
        <v>-1.61</v>
      </c>
      <c r="BD370">
        <v>-0.04</v>
      </c>
      <c r="BE370">
        <v>-1.27</v>
      </c>
      <c r="BF370">
        <v>-2.62</v>
      </c>
      <c r="BG370">
        <v>0</v>
      </c>
      <c r="BH370">
        <v>-1.57</v>
      </c>
      <c r="BI370">
        <v>20191030</v>
      </c>
      <c r="BJ370">
        <v>19981203</v>
      </c>
      <c r="BK370">
        <v>12.21</v>
      </c>
      <c r="BL370" t="s">
        <v>116</v>
      </c>
      <c r="BM370" t="s">
        <v>116</v>
      </c>
      <c r="BN370">
        <v>175.35</v>
      </c>
      <c r="BO370">
        <v>87.89</v>
      </c>
      <c r="BP370">
        <v>1.53</v>
      </c>
      <c r="BQ370">
        <v>49</v>
      </c>
      <c r="BR370">
        <v>90.51</v>
      </c>
      <c r="BS370">
        <v>35.46</v>
      </c>
      <c r="BT370">
        <v>6.32</v>
      </c>
      <c r="BU370">
        <v>48.08</v>
      </c>
      <c r="BV370">
        <v>22.21</v>
      </c>
      <c r="BW370">
        <v>27.46</v>
      </c>
      <c r="BX370">
        <v>22.92</v>
      </c>
      <c r="BY370">
        <v>81.819999999999993</v>
      </c>
      <c r="BZ370">
        <v>59.9</v>
      </c>
      <c r="CA370">
        <v>7.34</v>
      </c>
      <c r="CB370">
        <v>0.26</v>
      </c>
      <c r="CC370">
        <v>7.33</v>
      </c>
      <c r="CD370">
        <v>6.03</v>
      </c>
      <c r="CE370">
        <v>6</v>
      </c>
      <c r="CF370">
        <v>5.46</v>
      </c>
      <c r="CG370">
        <v>46.95</v>
      </c>
      <c r="CH370">
        <v>6.54</v>
      </c>
      <c r="CI370">
        <v>0.2</v>
      </c>
      <c r="CJ370">
        <v>41571</v>
      </c>
      <c r="CK370">
        <v>15592</v>
      </c>
      <c r="CL370" t="s">
        <v>2545</v>
      </c>
      <c r="CM370">
        <v>-42.86</v>
      </c>
      <c r="CN370">
        <v>-6.5</v>
      </c>
      <c r="CO370">
        <v>1.21</v>
      </c>
      <c r="CP370">
        <v>15.94</v>
      </c>
      <c r="CQ370">
        <v>1.27</v>
      </c>
      <c r="CR370">
        <v>2.33</v>
      </c>
      <c r="CS370" t="s">
        <v>2546</v>
      </c>
      <c r="CT370">
        <v>7.03</v>
      </c>
      <c r="CU370">
        <v>7.03</v>
      </c>
      <c r="CV370">
        <v>1.88</v>
      </c>
      <c r="CW370">
        <v>3.85</v>
      </c>
      <c r="CX370">
        <v>0.54</v>
      </c>
      <c r="CY370">
        <v>50.13</v>
      </c>
      <c r="CZ370" t="s">
        <v>2547</v>
      </c>
      <c r="DA370">
        <v>26.79</v>
      </c>
      <c r="DB370">
        <v>8.9700000000000006</v>
      </c>
      <c r="DC370">
        <v>7.34</v>
      </c>
      <c r="DD370">
        <v>4.8099999999999996</v>
      </c>
      <c r="DE370">
        <v>20015</v>
      </c>
      <c r="DF370">
        <v>887</v>
      </c>
      <c r="DG370" t="s">
        <v>116</v>
      </c>
      <c r="DH370" t="s">
        <v>116</v>
      </c>
      <c r="DI370" t="s">
        <v>116</v>
      </c>
    </row>
    <row r="371" spans="1:113" x14ac:dyDescent="0.4">
      <c r="A371" t="str">
        <f>"000888"</f>
        <v>000888</v>
      </c>
      <c r="B371" t="s">
        <v>2548</v>
      </c>
      <c r="C371">
        <v>-0.91</v>
      </c>
      <c r="D371">
        <v>6.51</v>
      </c>
      <c r="E371">
        <v>-0.06</v>
      </c>
      <c r="F371">
        <v>6.51</v>
      </c>
      <c r="G371">
        <v>6.52</v>
      </c>
      <c r="H371">
        <v>43522</v>
      </c>
      <c r="I371">
        <v>101</v>
      </c>
      <c r="J371">
        <v>0</v>
      </c>
      <c r="K371">
        <v>0.83</v>
      </c>
      <c r="L371">
        <v>6.57</v>
      </c>
      <c r="M371">
        <v>6.63</v>
      </c>
      <c r="N371">
        <v>6.5</v>
      </c>
      <c r="O371">
        <v>6.57</v>
      </c>
      <c r="P371">
        <v>13.81</v>
      </c>
      <c r="Q371">
        <v>28544506</v>
      </c>
      <c r="R371">
        <v>0.96</v>
      </c>
      <c r="S371" t="s">
        <v>493</v>
      </c>
      <c r="T371" t="s">
        <v>582</v>
      </c>
      <c r="U371">
        <v>1.98</v>
      </c>
      <c r="V371">
        <v>6.56</v>
      </c>
      <c r="W371">
        <v>23697</v>
      </c>
      <c r="X371">
        <v>19825</v>
      </c>
      <c r="Y371">
        <v>1.2</v>
      </c>
      <c r="Z371">
        <v>649</v>
      </c>
      <c r="AA371">
        <v>1093</v>
      </c>
      <c r="AB371" t="s">
        <v>116</v>
      </c>
      <c r="AC371">
        <v>197100</v>
      </c>
      <c r="AD371">
        <v>0.01</v>
      </c>
      <c r="AE371" t="s">
        <v>116</v>
      </c>
      <c r="AF371" t="s">
        <v>116</v>
      </c>
      <c r="AG371">
        <v>5.27</v>
      </c>
      <c r="AH371" t="s">
        <v>2549</v>
      </c>
      <c r="AI371" t="s">
        <v>2549</v>
      </c>
      <c r="AJ371">
        <v>-0.23</v>
      </c>
      <c r="AK371">
        <v>1478</v>
      </c>
      <c r="AL371">
        <v>29</v>
      </c>
      <c r="AM371">
        <v>5.9999999999999995E-4</v>
      </c>
      <c r="AN371">
        <v>-1</v>
      </c>
      <c r="AO371">
        <v>0.93</v>
      </c>
      <c r="AP371">
        <v>4.16</v>
      </c>
      <c r="AQ371">
        <v>7.96</v>
      </c>
      <c r="AR371">
        <v>17.09</v>
      </c>
      <c r="AS371">
        <v>1.37</v>
      </c>
      <c r="AT371" t="s">
        <v>2550</v>
      </c>
      <c r="AU371">
        <v>15.13</v>
      </c>
      <c r="AV371">
        <v>16.39</v>
      </c>
      <c r="AW371">
        <v>0.73</v>
      </c>
      <c r="BA371">
        <v>0</v>
      </c>
      <c r="BB371">
        <v>0.91</v>
      </c>
      <c r="BC371">
        <v>-1.07</v>
      </c>
      <c r="BD371">
        <v>-0.17</v>
      </c>
      <c r="BE371">
        <v>-0.91</v>
      </c>
      <c r="BF371">
        <v>-1.81</v>
      </c>
      <c r="BG371">
        <v>0.15</v>
      </c>
      <c r="BH371">
        <v>-0.74</v>
      </c>
      <c r="BI371">
        <v>20191026</v>
      </c>
      <c r="BJ371">
        <v>19971021</v>
      </c>
      <c r="BK371">
        <v>5.27</v>
      </c>
      <c r="BL371" t="s">
        <v>116</v>
      </c>
      <c r="BM371" t="s">
        <v>116</v>
      </c>
      <c r="BN371">
        <v>30.28</v>
      </c>
      <c r="BO371">
        <v>24.95</v>
      </c>
      <c r="BP371">
        <v>0.13</v>
      </c>
      <c r="BQ371">
        <v>17.16</v>
      </c>
      <c r="BR371">
        <v>14.1</v>
      </c>
      <c r="BS371">
        <v>13</v>
      </c>
      <c r="BT371">
        <v>1.58</v>
      </c>
      <c r="BU371">
        <v>3.05</v>
      </c>
      <c r="BV371">
        <v>0.4</v>
      </c>
      <c r="BW371">
        <v>0.34</v>
      </c>
      <c r="BX371">
        <v>4.2699999999999996</v>
      </c>
      <c r="BY371">
        <v>8.73</v>
      </c>
      <c r="BZ371">
        <v>4.96</v>
      </c>
      <c r="CA371">
        <v>2.21</v>
      </c>
      <c r="CB371">
        <v>-0.02</v>
      </c>
      <c r="CC371">
        <v>2.21</v>
      </c>
      <c r="CD371">
        <v>1.86</v>
      </c>
      <c r="CE371">
        <v>1.86</v>
      </c>
      <c r="CF371">
        <v>1.82</v>
      </c>
      <c r="CG371">
        <v>13.28</v>
      </c>
      <c r="CH371">
        <v>3.43</v>
      </c>
      <c r="CI371">
        <v>2.5</v>
      </c>
      <c r="CJ371">
        <v>36860</v>
      </c>
      <c r="CK371">
        <v>8634</v>
      </c>
      <c r="CL371" t="s">
        <v>2551</v>
      </c>
      <c r="CM371">
        <v>10.34</v>
      </c>
      <c r="CN371">
        <v>3.04</v>
      </c>
      <c r="CO371">
        <v>1.37</v>
      </c>
      <c r="CP371">
        <v>10</v>
      </c>
      <c r="CQ371">
        <v>3.93</v>
      </c>
      <c r="CR371">
        <v>1.54</v>
      </c>
      <c r="CS371" t="s">
        <v>2552</v>
      </c>
      <c r="CT371">
        <v>4.74</v>
      </c>
      <c r="CU371">
        <v>0</v>
      </c>
      <c r="CV371">
        <v>0.81</v>
      </c>
      <c r="CW371">
        <v>2.52</v>
      </c>
      <c r="CX371">
        <v>0.65</v>
      </c>
      <c r="CY371">
        <v>82.41</v>
      </c>
      <c r="CZ371" t="s">
        <v>2553</v>
      </c>
      <c r="DA371">
        <v>43.21</v>
      </c>
      <c r="DB371">
        <v>25.28</v>
      </c>
      <c r="DC371">
        <v>21.34</v>
      </c>
      <c r="DD371">
        <v>0</v>
      </c>
      <c r="DE371">
        <v>2015</v>
      </c>
      <c r="DF371">
        <v>888</v>
      </c>
      <c r="DG371" t="s">
        <v>116</v>
      </c>
      <c r="DH371" t="s">
        <v>116</v>
      </c>
      <c r="DI371" t="s">
        <v>116</v>
      </c>
    </row>
    <row r="372" spans="1:113" x14ac:dyDescent="0.4">
      <c r="A372" t="str">
        <f>"000889"</f>
        <v>000889</v>
      </c>
      <c r="B372" t="s">
        <v>2554</v>
      </c>
      <c r="C372">
        <v>-2.39</v>
      </c>
      <c r="D372">
        <v>9.4</v>
      </c>
      <c r="E372">
        <v>-0.23</v>
      </c>
      <c r="F372">
        <v>9.4</v>
      </c>
      <c r="G372">
        <v>9.41</v>
      </c>
      <c r="H372">
        <v>39344</v>
      </c>
      <c r="I372">
        <v>284</v>
      </c>
      <c r="J372">
        <v>-0.1</v>
      </c>
      <c r="K372">
        <v>0.63</v>
      </c>
      <c r="L372">
        <v>9.58</v>
      </c>
      <c r="M372">
        <v>9.7799999999999994</v>
      </c>
      <c r="N372">
        <v>9.34</v>
      </c>
      <c r="O372">
        <v>9.6300000000000008</v>
      </c>
      <c r="P372">
        <v>42.51</v>
      </c>
      <c r="Q372">
        <v>37490040</v>
      </c>
      <c r="R372">
        <v>1.04</v>
      </c>
      <c r="S372" t="s">
        <v>465</v>
      </c>
      <c r="T372" t="s">
        <v>608</v>
      </c>
      <c r="U372">
        <v>4.57</v>
      </c>
      <c r="V372">
        <v>9.5299999999999994</v>
      </c>
      <c r="W372">
        <v>21688</v>
      </c>
      <c r="X372">
        <v>17656</v>
      </c>
      <c r="Y372">
        <v>1.23</v>
      </c>
      <c r="Z372">
        <v>103</v>
      </c>
      <c r="AA372">
        <v>1885</v>
      </c>
      <c r="AB372" t="s">
        <v>116</v>
      </c>
      <c r="AC372">
        <v>176900</v>
      </c>
      <c r="AD372">
        <v>0.01</v>
      </c>
      <c r="AE372" t="s">
        <v>116</v>
      </c>
      <c r="AF372" t="s">
        <v>116</v>
      </c>
      <c r="AG372">
        <v>6.22</v>
      </c>
      <c r="AH372" t="s">
        <v>310</v>
      </c>
      <c r="AI372" t="s">
        <v>2555</v>
      </c>
      <c r="AJ372">
        <v>-1.71</v>
      </c>
      <c r="AK372">
        <v>1649</v>
      </c>
      <c r="AL372">
        <v>24</v>
      </c>
      <c r="AM372">
        <v>4.0000000000000002E-4</v>
      </c>
      <c r="AN372">
        <v>-1</v>
      </c>
      <c r="AO372">
        <v>-2.08</v>
      </c>
      <c r="AP372">
        <v>10.33</v>
      </c>
      <c r="AQ372">
        <v>-6</v>
      </c>
      <c r="AR372">
        <v>-7.5</v>
      </c>
      <c r="AS372">
        <v>1.87</v>
      </c>
      <c r="AT372" t="s">
        <v>2556</v>
      </c>
      <c r="AU372">
        <v>31.08</v>
      </c>
      <c r="AV372">
        <v>24.87</v>
      </c>
      <c r="AW372">
        <v>1.56</v>
      </c>
      <c r="BA372">
        <v>-0.52</v>
      </c>
      <c r="BB372">
        <v>1.56</v>
      </c>
      <c r="BC372">
        <v>-3.01</v>
      </c>
      <c r="BD372">
        <v>-1.05</v>
      </c>
      <c r="BE372">
        <v>-1.88</v>
      </c>
      <c r="BF372">
        <v>-3.89</v>
      </c>
      <c r="BG372">
        <v>0.64</v>
      </c>
      <c r="BH372">
        <v>-1.34</v>
      </c>
      <c r="BI372">
        <v>20191029</v>
      </c>
      <c r="BJ372">
        <v>19971218</v>
      </c>
      <c r="BK372">
        <v>6.69</v>
      </c>
      <c r="BL372" t="s">
        <v>116</v>
      </c>
      <c r="BM372" t="s">
        <v>116</v>
      </c>
      <c r="BN372">
        <v>52.61</v>
      </c>
      <c r="BO372">
        <v>36.74</v>
      </c>
      <c r="BP372">
        <v>0</v>
      </c>
      <c r="BQ372">
        <v>30.17</v>
      </c>
      <c r="BR372">
        <v>20.51</v>
      </c>
      <c r="BS372">
        <v>0.86</v>
      </c>
      <c r="BT372">
        <v>0.71</v>
      </c>
      <c r="BU372">
        <v>14.53</v>
      </c>
      <c r="BV372">
        <v>0.84</v>
      </c>
      <c r="BW372">
        <v>11.39</v>
      </c>
      <c r="BX372">
        <v>17.690000000000001</v>
      </c>
      <c r="BY372">
        <v>23.34</v>
      </c>
      <c r="BZ372">
        <v>19.850000000000001</v>
      </c>
      <c r="CA372">
        <v>1.31</v>
      </c>
      <c r="CB372">
        <v>0</v>
      </c>
      <c r="CC372">
        <v>1.36</v>
      </c>
      <c r="CD372">
        <v>1.1100000000000001</v>
      </c>
      <c r="CE372">
        <v>1.1100000000000001</v>
      </c>
      <c r="CF372">
        <v>1.06</v>
      </c>
      <c r="CG372">
        <v>11.46</v>
      </c>
      <c r="CH372">
        <v>-0.27</v>
      </c>
      <c r="CI372">
        <v>-2.5499999999999998</v>
      </c>
      <c r="CJ372">
        <v>26072</v>
      </c>
      <c r="CK372">
        <v>8053</v>
      </c>
      <c r="CL372" t="s">
        <v>2557</v>
      </c>
      <c r="CM372">
        <v>-31.28</v>
      </c>
      <c r="CN372">
        <v>5.36</v>
      </c>
      <c r="CO372">
        <v>1.71</v>
      </c>
      <c r="CP372">
        <v>-232.24</v>
      </c>
      <c r="CQ372">
        <v>2.7</v>
      </c>
      <c r="CR372">
        <v>0.4</v>
      </c>
      <c r="CS372" t="s">
        <v>1297</v>
      </c>
      <c r="CT372">
        <v>5.49</v>
      </c>
      <c r="CU372">
        <v>0</v>
      </c>
      <c r="CV372">
        <v>2.64</v>
      </c>
      <c r="CW372">
        <v>1.71</v>
      </c>
      <c r="CX372">
        <v>-0.04</v>
      </c>
      <c r="CY372">
        <v>69.83</v>
      </c>
      <c r="CZ372" t="s">
        <v>2558</v>
      </c>
      <c r="DA372">
        <v>14.93</v>
      </c>
      <c r="DB372">
        <v>5.62</v>
      </c>
      <c r="DC372">
        <v>4.75</v>
      </c>
      <c r="DD372">
        <v>0.66</v>
      </c>
      <c r="DE372">
        <v>9197</v>
      </c>
      <c r="DF372">
        <v>889</v>
      </c>
      <c r="DG372" t="s">
        <v>116</v>
      </c>
      <c r="DH372" t="s">
        <v>116</v>
      </c>
      <c r="DI372" t="s">
        <v>116</v>
      </c>
    </row>
    <row r="373" spans="1:113" x14ac:dyDescent="0.4">
      <c r="A373" t="str">
        <f>"000890"</f>
        <v>000890</v>
      </c>
      <c r="B373" t="s">
        <v>2559</v>
      </c>
      <c r="C373">
        <v>-0.54</v>
      </c>
      <c r="D373">
        <v>5.52</v>
      </c>
      <c r="E373">
        <v>-0.03</v>
      </c>
      <c r="F373">
        <v>5.52</v>
      </c>
      <c r="G373">
        <v>5.53</v>
      </c>
      <c r="H373">
        <v>115708</v>
      </c>
      <c r="I373">
        <v>998</v>
      </c>
      <c r="J373">
        <v>-0.17</v>
      </c>
      <c r="K373">
        <v>3.05</v>
      </c>
      <c r="L373">
        <v>5.51</v>
      </c>
      <c r="M373">
        <v>5.66</v>
      </c>
      <c r="N373">
        <v>5.51</v>
      </c>
      <c r="O373">
        <v>5.55</v>
      </c>
      <c r="P373" t="s">
        <v>116</v>
      </c>
      <c r="Q373">
        <v>64465324</v>
      </c>
      <c r="R373">
        <v>1.1599999999999999</v>
      </c>
      <c r="S373" t="s">
        <v>732</v>
      </c>
      <c r="T373" t="s">
        <v>323</v>
      </c>
      <c r="U373">
        <v>2.7</v>
      </c>
      <c r="V373">
        <v>5.57</v>
      </c>
      <c r="W373">
        <v>62750</v>
      </c>
      <c r="X373">
        <v>52958</v>
      </c>
      <c r="Y373">
        <v>1.18</v>
      </c>
      <c r="Z373">
        <v>991</v>
      </c>
      <c r="AA373">
        <v>621</v>
      </c>
      <c r="AB373" t="s">
        <v>116</v>
      </c>
      <c r="AC373">
        <v>139400</v>
      </c>
      <c r="AD373">
        <v>0.01</v>
      </c>
      <c r="AE373" t="s">
        <v>116</v>
      </c>
      <c r="AF373" t="s">
        <v>116</v>
      </c>
      <c r="AG373">
        <v>3.8</v>
      </c>
      <c r="AH373" t="s">
        <v>2560</v>
      </c>
      <c r="AI373" t="s">
        <v>2560</v>
      </c>
      <c r="AJ373">
        <v>0.14000000000000001</v>
      </c>
      <c r="AK373">
        <v>1745</v>
      </c>
      <c r="AL373">
        <v>66</v>
      </c>
      <c r="AM373">
        <v>1.6999999999999999E-3</v>
      </c>
      <c r="AN373">
        <v>-1</v>
      </c>
      <c r="AO373">
        <v>0.18</v>
      </c>
      <c r="AP373">
        <v>4.9400000000000004</v>
      </c>
      <c r="AQ373">
        <v>-6.6</v>
      </c>
      <c r="AR373">
        <v>25.45</v>
      </c>
      <c r="AS373">
        <v>4.79</v>
      </c>
      <c r="AT373" t="s">
        <v>2561</v>
      </c>
      <c r="AU373" t="s">
        <v>116</v>
      </c>
      <c r="AV373" t="s">
        <v>116</v>
      </c>
      <c r="AW373">
        <v>1.61</v>
      </c>
      <c r="BA373">
        <v>-0.72</v>
      </c>
      <c r="BB373">
        <v>1.98</v>
      </c>
      <c r="BC373">
        <v>-0.72</v>
      </c>
      <c r="BD373">
        <v>0.39</v>
      </c>
      <c r="BE373">
        <v>0.18</v>
      </c>
      <c r="BF373">
        <v>-2.4700000000000002</v>
      </c>
      <c r="BG373">
        <v>0.18</v>
      </c>
      <c r="BH373">
        <v>-0.93</v>
      </c>
      <c r="BI373">
        <v>20191218</v>
      </c>
      <c r="BJ373">
        <v>19990119</v>
      </c>
      <c r="BK373">
        <v>3.8</v>
      </c>
      <c r="BL373" t="s">
        <v>116</v>
      </c>
      <c r="BM373" t="s">
        <v>116</v>
      </c>
      <c r="BN373">
        <v>70.010000000000005</v>
      </c>
      <c r="BO373">
        <v>5.31</v>
      </c>
      <c r="BP373">
        <v>0</v>
      </c>
      <c r="BQ373">
        <v>92.41</v>
      </c>
      <c r="BR373">
        <v>62.55</v>
      </c>
      <c r="BS373">
        <v>1.66</v>
      </c>
      <c r="BT373">
        <v>0.37</v>
      </c>
      <c r="BU373">
        <v>60.56</v>
      </c>
      <c r="BV373">
        <v>0.49</v>
      </c>
      <c r="BW373">
        <v>27.96</v>
      </c>
      <c r="BX373">
        <v>0.43</v>
      </c>
      <c r="BY373">
        <v>11.29</v>
      </c>
      <c r="BZ373">
        <v>10.88</v>
      </c>
      <c r="CA373">
        <v>-1.53</v>
      </c>
      <c r="CB373">
        <v>0.1</v>
      </c>
      <c r="CC373">
        <v>-1.53</v>
      </c>
      <c r="CD373">
        <v>-1.55</v>
      </c>
      <c r="CE373">
        <v>-1.55</v>
      </c>
      <c r="CF373">
        <v>-1.55</v>
      </c>
      <c r="CG373">
        <v>1.08</v>
      </c>
      <c r="CH373">
        <v>3.63</v>
      </c>
      <c r="CI373">
        <v>0.31</v>
      </c>
      <c r="CJ373">
        <v>49426</v>
      </c>
      <c r="CK373">
        <v>4889</v>
      </c>
      <c r="CL373" t="s">
        <v>1416</v>
      </c>
      <c r="CM373">
        <v>-493.23</v>
      </c>
      <c r="CN373">
        <v>-17.559999999999999</v>
      </c>
      <c r="CO373">
        <v>3.95</v>
      </c>
      <c r="CP373">
        <v>5.78</v>
      </c>
      <c r="CQ373">
        <v>1.86</v>
      </c>
      <c r="CR373">
        <v>0</v>
      </c>
      <c r="CS373" t="s">
        <v>2562</v>
      </c>
      <c r="CT373">
        <v>1.4</v>
      </c>
      <c r="CU373">
        <v>0</v>
      </c>
      <c r="CV373">
        <v>0.11</v>
      </c>
      <c r="CW373">
        <v>0.28000000000000003</v>
      </c>
      <c r="CX373">
        <v>0.95</v>
      </c>
      <c r="CY373">
        <v>7.59</v>
      </c>
      <c r="CZ373" t="s">
        <v>2563</v>
      </c>
      <c r="DA373">
        <v>3.66</v>
      </c>
      <c r="DB373">
        <v>-13.58</v>
      </c>
      <c r="DC373">
        <v>-13.74</v>
      </c>
      <c r="DD373">
        <v>0</v>
      </c>
      <c r="DE373">
        <v>470</v>
      </c>
      <c r="DF373">
        <v>890</v>
      </c>
      <c r="DG373" t="s">
        <v>116</v>
      </c>
      <c r="DH373" t="s">
        <v>116</v>
      </c>
      <c r="DI373" t="s">
        <v>116</v>
      </c>
    </row>
    <row r="374" spans="1:113" x14ac:dyDescent="0.4">
      <c r="A374" t="str">
        <f>"000892"</f>
        <v>000892</v>
      </c>
      <c r="B374" t="s">
        <v>2564</v>
      </c>
      <c r="C374">
        <v>-2.27</v>
      </c>
      <c r="D374">
        <v>5.17</v>
      </c>
      <c r="E374">
        <v>-0.12</v>
      </c>
      <c r="F374">
        <v>5.16</v>
      </c>
      <c r="G374">
        <v>5.17</v>
      </c>
      <c r="H374">
        <v>55347</v>
      </c>
      <c r="I374">
        <v>488</v>
      </c>
      <c r="J374">
        <v>0.19</v>
      </c>
      <c r="K374">
        <v>1.03</v>
      </c>
      <c r="L374">
        <v>5.32</v>
      </c>
      <c r="M374">
        <v>5.33</v>
      </c>
      <c r="N374">
        <v>5.15</v>
      </c>
      <c r="O374">
        <v>5.29</v>
      </c>
      <c r="P374">
        <v>671.03</v>
      </c>
      <c r="Q374">
        <v>29009480</v>
      </c>
      <c r="R374">
        <v>0.67</v>
      </c>
      <c r="S374" t="s">
        <v>589</v>
      </c>
      <c r="T374" t="s">
        <v>906</v>
      </c>
      <c r="U374">
        <v>3.4</v>
      </c>
      <c r="V374">
        <v>5.24</v>
      </c>
      <c r="W374">
        <v>34268</v>
      </c>
      <c r="X374">
        <v>21079</v>
      </c>
      <c r="Y374">
        <v>1.63</v>
      </c>
      <c r="Z374">
        <v>694</v>
      </c>
      <c r="AA374">
        <v>651</v>
      </c>
      <c r="AB374" t="s">
        <v>116</v>
      </c>
      <c r="AC374">
        <v>67600</v>
      </c>
      <c r="AD374">
        <v>0</v>
      </c>
      <c r="AE374" t="s">
        <v>116</v>
      </c>
      <c r="AF374" t="s">
        <v>116</v>
      </c>
      <c r="AG374">
        <v>5.38</v>
      </c>
      <c r="AH374" t="s">
        <v>2565</v>
      </c>
      <c r="AI374" t="s">
        <v>2566</v>
      </c>
      <c r="AJ374">
        <v>-1.59</v>
      </c>
      <c r="AK374">
        <v>1010</v>
      </c>
      <c r="AL374">
        <v>55</v>
      </c>
      <c r="AM374">
        <v>1E-3</v>
      </c>
      <c r="AN374">
        <v>-2</v>
      </c>
      <c r="AO374">
        <v>-4.62</v>
      </c>
      <c r="AP374">
        <v>-0.96</v>
      </c>
      <c r="AQ374">
        <v>16.18</v>
      </c>
      <c r="AR374">
        <v>8.61</v>
      </c>
      <c r="AS374">
        <v>1.1299999999999999</v>
      </c>
      <c r="AT374" t="s">
        <v>2567</v>
      </c>
      <c r="AU374">
        <v>32.18</v>
      </c>
      <c r="AV374">
        <v>15.62</v>
      </c>
      <c r="AW374">
        <v>0.55000000000000004</v>
      </c>
      <c r="BA374">
        <v>0.56999999999999995</v>
      </c>
      <c r="BB374">
        <v>0.76</v>
      </c>
      <c r="BC374">
        <v>-2.65</v>
      </c>
      <c r="BD374">
        <v>-0.92</v>
      </c>
      <c r="BE374">
        <v>-2.82</v>
      </c>
      <c r="BF374">
        <v>-3</v>
      </c>
      <c r="BG374">
        <v>0.39</v>
      </c>
      <c r="BH374">
        <v>-1.35</v>
      </c>
      <c r="BI374">
        <v>20191223</v>
      </c>
      <c r="BJ374">
        <v>19990115</v>
      </c>
      <c r="BK374">
        <v>9.81</v>
      </c>
      <c r="BL374" t="s">
        <v>116</v>
      </c>
      <c r="BM374" t="s">
        <v>116</v>
      </c>
      <c r="BN374">
        <v>42.88</v>
      </c>
      <c r="BO374">
        <v>34.520000000000003</v>
      </c>
      <c r="BP374">
        <v>0</v>
      </c>
      <c r="BQ374">
        <v>19.5</v>
      </c>
      <c r="BR374">
        <v>41.17</v>
      </c>
      <c r="BS374">
        <v>0.33</v>
      </c>
      <c r="BT374">
        <v>0.03</v>
      </c>
      <c r="BU374">
        <v>8.26</v>
      </c>
      <c r="BV374">
        <v>14.82</v>
      </c>
      <c r="BW374">
        <v>16.41</v>
      </c>
      <c r="BX374">
        <v>11.32</v>
      </c>
      <c r="BY374">
        <v>1.37</v>
      </c>
      <c r="BZ374">
        <v>0.16</v>
      </c>
      <c r="CA374">
        <v>0.25</v>
      </c>
      <c r="CB374">
        <v>0</v>
      </c>
      <c r="CC374">
        <v>0.21</v>
      </c>
      <c r="CD374">
        <v>0.06</v>
      </c>
      <c r="CE374">
        <v>0.06</v>
      </c>
      <c r="CF374">
        <v>0.04</v>
      </c>
      <c r="CG374">
        <v>13.08</v>
      </c>
      <c r="CH374">
        <v>-0.88</v>
      </c>
      <c r="CI374">
        <v>-4.21</v>
      </c>
      <c r="CJ374">
        <v>20557</v>
      </c>
      <c r="CK374">
        <v>23796</v>
      </c>
      <c r="CL374" t="s">
        <v>2568</v>
      </c>
      <c r="CM374">
        <v>-96.72</v>
      </c>
      <c r="CN374">
        <v>-73.94</v>
      </c>
      <c r="CO374">
        <v>1.47</v>
      </c>
      <c r="CP374">
        <v>-57.79</v>
      </c>
      <c r="CQ374">
        <v>36.909999999999997</v>
      </c>
      <c r="CR374">
        <v>0</v>
      </c>
      <c r="CS374" t="s">
        <v>1177</v>
      </c>
      <c r="CT374">
        <v>3.52</v>
      </c>
      <c r="CU374">
        <v>0</v>
      </c>
      <c r="CV374">
        <v>1.1499999999999999</v>
      </c>
      <c r="CW374">
        <v>1.33</v>
      </c>
      <c r="CX374">
        <v>-0.09</v>
      </c>
      <c r="CY374">
        <v>80.510000000000005</v>
      </c>
      <c r="CZ374" t="s">
        <v>2569</v>
      </c>
      <c r="DA374">
        <v>88.61</v>
      </c>
      <c r="DB374">
        <v>18.3</v>
      </c>
      <c r="DC374">
        <v>4.13</v>
      </c>
      <c r="DD374">
        <v>0</v>
      </c>
      <c r="DE374">
        <v>205</v>
      </c>
      <c r="DF374">
        <v>892</v>
      </c>
      <c r="DG374" t="s">
        <v>116</v>
      </c>
      <c r="DH374" t="s">
        <v>116</v>
      </c>
      <c r="DI374" t="s">
        <v>116</v>
      </c>
    </row>
    <row r="375" spans="1:113" x14ac:dyDescent="0.4">
      <c r="A375" t="str">
        <f>"000893"</f>
        <v>000893</v>
      </c>
      <c r="B375" t="s">
        <v>2570</v>
      </c>
      <c r="C375">
        <v>-0.33</v>
      </c>
      <c r="D375">
        <v>6.03</v>
      </c>
      <c r="E375">
        <v>-0.02</v>
      </c>
      <c r="F375">
        <v>6.02</v>
      </c>
      <c r="G375">
        <v>6.03</v>
      </c>
      <c r="H375">
        <v>20917</v>
      </c>
      <c r="I375">
        <v>80</v>
      </c>
      <c r="J375">
        <v>0.17</v>
      </c>
      <c r="K375">
        <v>0.52</v>
      </c>
      <c r="L375">
        <v>6.07</v>
      </c>
      <c r="M375">
        <v>6.07</v>
      </c>
      <c r="N375">
        <v>6</v>
      </c>
      <c r="O375">
        <v>6.05</v>
      </c>
      <c r="P375">
        <v>99.97</v>
      </c>
      <c r="Q375">
        <v>12610286</v>
      </c>
      <c r="R375">
        <v>0.91</v>
      </c>
      <c r="S375" t="s">
        <v>863</v>
      </c>
      <c r="T375" t="s">
        <v>551</v>
      </c>
      <c r="U375">
        <v>1.1599999999999999</v>
      </c>
      <c r="V375">
        <v>6.03</v>
      </c>
      <c r="W375">
        <v>14615</v>
      </c>
      <c r="X375">
        <v>6302</v>
      </c>
      <c r="Y375">
        <v>2.3199999999999998</v>
      </c>
      <c r="Z375">
        <v>148</v>
      </c>
      <c r="AA375">
        <v>45</v>
      </c>
      <c r="AB375" t="s">
        <v>116</v>
      </c>
      <c r="AC375">
        <v>37600</v>
      </c>
      <c r="AD375">
        <v>0</v>
      </c>
      <c r="AE375" t="s">
        <v>116</v>
      </c>
      <c r="AF375" t="s">
        <v>116</v>
      </c>
      <c r="AG375">
        <v>4.01</v>
      </c>
      <c r="AH375" t="s">
        <v>2571</v>
      </c>
      <c r="AI375" t="s">
        <v>954</v>
      </c>
      <c r="AJ375">
        <v>0.35</v>
      </c>
      <c r="AK375">
        <v>410</v>
      </c>
      <c r="AL375">
        <v>51</v>
      </c>
      <c r="AM375">
        <v>1.2999999999999999E-3</v>
      </c>
      <c r="AN375">
        <v>-3</v>
      </c>
      <c r="AO375">
        <v>-1.96</v>
      </c>
      <c r="AP375">
        <v>-1.95</v>
      </c>
      <c r="AQ375">
        <v>-18.510000000000002</v>
      </c>
      <c r="AR375">
        <v>39.909999999999997</v>
      </c>
      <c r="AS375">
        <v>0.9</v>
      </c>
      <c r="AT375" t="s">
        <v>2572</v>
      </c>
      <c r="AU375">
        <v>116.99</v>
      </c>
      <c r="AV375">
        <v>1140.19</v>
      </c>
      <c r="AW375">
        <v>0.42</v>
      </c>
      <c r="BA375">
        <v>0.33</v>
      </c>
      <c r="BB375">
        <v>0.33</v>
      </c>
      <c r="BC375">
        <v>-0.83</v>
      </c>
      <c r="BD375">
        <v>-0.35</v>
      </c>
      <c r="BE375">
        <v>-0.66</v>
      </c>
      <c r="BF375">
        <v>-0.66</v>
      </c>
      <c r="BG375">
        <v>0.5</v>
      </c>
      <c r="BH375">
        <v>0.02</v>
      </c>
      <c r="BI375">
        <v>20191029</v>
      </c>
      <c r="BJ375">
        <v>19981224</v>
      </c>
      <c r="BK375">
        <v>7.57</v>
      </c>
      <c r="BL375" t="s">
        <v>116</v>
      </c>
      <c r="BM375" t="s">
        <v>116</v>
      </c>
      <c r="BN375">
        <v>42.21</v>
      </c>
      <c r="BO375">
        <v>36.46</v>
      </c>
      <c r="BP375">
        <v>2.71</v>
      </c>
      <c r="BQ375">
        <v>7.19</v>
      </c>
      <c r="BR375">
        <v>6.26</v>
      </c>
      <c r="BS375">
        <v>7.7</v>
      </c>
      <c r="BT375">
        <v>27.69</v>
      </c>
      <c r="BU375">
        <v>3.03</v>
      </c>
      <c r="BV375">
        <v>0.69</v>
      </c>
      <c r="BW375">
        <v>0.35</v>
      </c>
      <c r="BX375">
        <v>37.65</v>
      </c>
      <c r="BY375">
        <v>4.62</v>
      </c>
      <c r="BZ375">
        <v>2.91</v>
      </c>
      <c r="CA375">
        <v>0.74</v>
      </c>
      <c r="CB375">
        <v>0.08</v>
      </c>
      <c r="CC375">
        <v>0.74</v>
      </c>
      <c r="CD375">
        <v>0.39</v>
      </c>
      <c r="CE375">
        <v>0.34</v>
      </c>
      <c r="CF375">
        <v>0.27</v>
      </c>
      <c r="CG375">
        <v>-9.1</v>
      </c>
      <c r="CH375">
        <v>0.57999999999999996</v>
      </c>
      <c r="CI375">
        <v>3.54</v>
      </c>
      <c r="CJ375">
        <v>13359</v>
      </c>
      <c r="CK375">
        <v>17475</v>
      </c>
      <c r="CL375" t="s">
        <v>2573</v>
      </c>
      <c r="CM375">
        <v>4547.1099999999997</v>
      </c>
      <c r="CN375">
        <v>51.61</v>
      </c>
      <c r="CO375">
        <v>1.25</v>
      </c>
      <c r="CP375">
        <v>79.16</v>
      </c>
      <c r="CQ375">
        <v>9.89</v>
      </c>
      <c r="CR375">
        <v>0</v>
      </c>
      <c r="CS375" t="s">
        <v>2428</v>
      </c>
      <c r="CT375">
        <v>4.82</v>
      </c>
      <c r="CU375">
        <v>0</v>
      </c>
      <c r="CV375">
        <v>4.97</v>
      </c>
      <c r="CW375">
        <v>-1.2</v>
      </c>
      <c r="CX375">
        <v>0.08</v>
      </c>
      <c r="CY375">
        <v>86.38</v>
      </c>
      <c r="CZ375" t="s">
        <v>1316</v>
      </c>
      <c r="DA375">
        <v>36.97</v>
      </c>
      <c r="DB375">
        <v>16.12</v>
      </c>
      <c r="DC375">
        <v>7.42</v>
      </c>
      <c r="DD375">
        <v>0</v>
      </c>
      <c r="DE375">
        <v>474</v>
      </c>
      <c r="DF375">
        <v>893</v>
      </c>
      <c r="DG375" t="s">
        <v>116</v>
      </c>
      <c r="DH375" t="s">
        <v>116</v>
      </c>
      <c r="DI375" t="s">
        <v>116</v>
      </c>
    </row>
    <row r="376" spans="1:113" x14ac:dyDescent="0.4">
      <c r="A376" t="str">
        <f>"000895"</f>
        <v>000895</v>
      </c>
      <c r="B376" t="s">
        <v>2574</v>
      </c>
      <c r="C376">
        <v>0.88</v>
      </c>
      <c r="D376">
        <v>28.7</v>
      </c>
      <c r="E376">
        <v>0.25</v>
      </c>
      <c r="F376">
        <v>28.69</v>
      </c>
      <c r="G376">
        <v>28.7</v>
      </c>
      <c r="H376">
        <v>154733</v>
      </c>
      <c r="I376">
        <v>621</v>
      </c>
      <c r="J376">
        <v>0.03</v>
      </c>
      <c r="K376">
        <v>1.75</v>
      </c>
      <c r="L376">
        <v>28.51</v>
      </c>
      <c r="M376">
        <v>29.05</v>
      </c>
      <c r="N376">
        <v>28.49</v>
      </c>
      <c r="O376">
        <v>28.45</v>
      </c>
      <c r="P376">
        <v>18.12</v>
      </c>
      <c r="Q376">
        <v>445306816</v>
      </c>
      <c r="R376">
        <v>1.03</v>
      </c>
      <c r="S376" t="s">
        <v>863</v>
      </c>
      <c r="T376" t="s">
        <v>652</v>
      </c>
      <c r="U376">
        <v>1.97</v>
      </c>
      <c r="V376">
        <v>28.78</v>
      </c>
      <c r="W376">
        <v>70745</v>
      </c>
      <c r="X376">
        <v>83988</v>
      </c>
      <c r="Y376">
        <v>0.84</v>
      </c>
      <c r="Z376">
        <v>153</v>
      </c>
      <c r="AA376">
        <v>319</v>
      </c>
      <c r="AB376" t="s">
        <v>116</v>
      </c>
      <c r="AC376">
        <v>1472500</v>
      </c>
      <c r="AD376">
        <v>0.01</v>
      </c>
      <c r="AE376" t="s">
        <v>116</v>
      </c>
      <c r="AF376" t="s">
        <v>116</v>
      </c>
      <c r="AG376">
        <v>8.83</v>
      </c>
      <c r="AH376" t="s">
        <v>2575</v>
      </c>
      <c r="AI376" t="s">
        <v>2576</v>
      </c>
      <c r="AJ376">
        <v>1.56</v>
      </c>
      <c r="AK376">
        <v>4141</v>
      </c>
      <c r="AL376">
        <v>37</v>
      </c>
      <c r="AM376">
        <v>4.0000000000000002E-4</v>
      </c>
      <c r="AN376">
        <v>2</v>
      </c>
      <c r="AO376">
        <v>-1.03</v>
      </c>
      <c r="AP376">
        <v>-7.39</v>
      </c>
      <c r="AQ376">
        <v>19.239999999999998</v>
      </c>
      <c r="AR376">
        <v>24.57</v>
      </c>
      <c r="AS376">
        <v>3.67</v>
      </c>
      <c r="AT376" t="s">
        <v>2577</v>
      </c>
      <c r="AU376">
        <v>18.309999999999999</v>
      </c>
      <c r="AV376">
        <v>19.38</v>
      </c>
      <c r="AW376">
        <v>0.4</v>
      </c>
      <c r="BA376">
        <v>0.21</v>
      </c>
      <c r="BB376">
        <v>2.11</v>
      </c>
      <c r="BC376">
        <v>0.14000000000000001</v>
      </c>
      <c r="BD376">
        <v>1.1599999999999999</v>
      </c>
      <c r="BE376">
        <v>0.67</v>
      </c>
      <c r="BF376">
        <v>-1.2</v>
      </c>
      <c r="BG376">
        <v>0.74</v>
      </c>
      <c r="BH376">
        <v>-0.28000000000000003</v>
      </c>
      <c r="BI376">
        <v>20191223</v>
      </c>
      <c r="BJ376">
        <v>19981210</v>
      </c>
      <c r="BK376">
        <v>33.19</v>
      </c>
      <c r="BL376" t="s">
        <v>116</v>
      </c>
      <c r="BM376" t="s">
        <v>116</v>
      </c>
      <c r="BN376">
        <v>265.38</v>
      </c>
      <c r="BO376">
        <v>151.9</v>
      </c>
      <c r="BP376">
        <v>7.79</v>
      </c>
      <c r="BQ376">
        <v>39.83</v>
      </c>
      <c r="BR376">
        <v>143.81</v>
      </c>
      <c r="BS376">
        <v>106.84</v>
      </c>
      <c r="BT376">
        <v>8.31</v>
      </c>
      <c r="BU376">
        <v>103.05</v>
      </c>
      <c r="BV376">
        <v>77.61</v>
      </c>
      <c r="BW376">
        <v>1.26</v>
      </c>
      <c r="BX376">
        <v>12.51</v>
      </c>
      <c r="BY376">
        <v>419.68</v>
      </c>
      <c r="BZ376">
        <v>337.95</v>
      </c>
      <c r="CA376">
        <v>50.02</v>
      </c>
      <c r="CB376">
        <v>1.1100000000000001</v>
      </c>
      <c r="CC376">
        <v>49.97</v>
      </c>
      <c r="CD376">
        <v>41.1</v>
      </c>
      <c r="CE376">
        <v>39.43</v>
      </c>
      <c r="CF376">
        <v>37.49</v>
      </c>
      <c r="CG376">
        <v>87.45</v>
      </c>
      <c r="CH376">
        <v>26.84</v>
      </c>
      <c r="CI376">
        <v>-5.67</v>
      </c>
      <c r="CJ376">
        <v>60085</v>
      </c>
      <c r="CK376">
        <v>7009</v>
      </c>
      <c r="CL376" t="s">
        <v>2578</v>
      </c>
      <c r="CM376">
        <v>7.86</v>
      </c>
      <c r="CN376">
        <v>14.99</v>
      </c>
      <c r="CO376">
        <v>6.27</v>
      </c>
      <c r="CP376">
        <v>35.49</v>
      </c>
      <c r="CQ376">
        <v>2.27</v>
      </c>
      <c r="CR376">
        <v>1.9</v>
      </c>
      <c r="CS376" t="s">
        <v>2579</v>
      </c>
      <c r="CT376">
        <v>4.58</v>
      </c>
      <c r="CU376">
        <v>0</v>
      </c>
      <c r="CV376">
        <v>0.38</v>
      </c>
      <c r="CW376">
        <v>2.63</v>
      </c>
      <c r="CX376">
        <v>0.81</v>
      </c>
      <c r="CY376">
        <v>57.24</v>
      </c>
      <c r="CZ376" t="s">
        <v>2580</v>
      </c>
      <c r="DA376">
        <v>19.48</v>
      </c>
      <c r="DB376">
        <v>11.92</v>
      </c>
      <c r="DC376">
        <v>9.4</v>
      </c>
      <c r="DD376">
        <v>0.56999999999999995</v>
      </c>
      <c r="DE376">
        <v>54046</v>
      </c>
      <c r="DF376">
        <v>895</v>
      </c>
      <c r="DG376" t="s">
        <v>116</v>
      </c>
      <c r="DH376" t="s">
        <v>116</v>
      </c>
      <c r="DI376" t="s">
        <v>116</v>
      </c>
    </row>
    <row r="377" spans="1:113" x14ac:dyDescent="0.4">
      <c r="A377" t="str">
        <f>"000897"</f>
        <v>000897</v>
      </c>
      <c r="B377" t="s">
        <v>2581</v>
      </c>
      <c r="C377">
        <v>-1.4</v>
      </c>
      <c r="D377">
        <v>2.11</v>
      </c>
      <c r="E377">
        <v>-0.03</v>
      </c>
      <c r="F377">
        <v>2.1</v>
      </c>
      <c r="G377">
        <v>2.11</v>
      </c>
      <c r="H377">
        <v>77368</v>
      </c>
      <c r="I377">
        <v>439</v>
      </c>
      <c r="J377">
        <v>0.96</v>
      </c>
      <c r="K377">
        <v>0.48</v>
      </c>
      <c r="L377">
        <v>2.12</v>
      </c>
      <c r="M377">
        <v>2.14</v>
      </c>
      <c r="N377">
        <v>2.09</v>
      </c>
      <c r="O377">
        <v>2.14</v>
      </c>
      <c r="P377" t="s">
        <v>116</v>
      </c>
      <c r="Q377">
        <v>16400951</v>
      </c>
      <c r="R377">
        <v>0.56000000000000005</v>
      </c>
      <c r="S377" t="s">
        <v>148</v>
      </c>
      <c r="T377" t="s">
        <v>1035</v>
      </c>
      <c r="U377">
        <v>2.34</v>
      </c>
      <c r="V377">
        <v>2.12</v>
      </c>
      <c r="W377">
        <v>55459</v>
      </c>
      <c r="X377">
        <v>21909</v>
      </c>
      <c r="Y377">
        <v>2.5299999999999998</v>
      </c>
      <c r="Z377">
        <v>1710</v>
      </c>
      <c r="AA377">
        <v>1898</v>
      </c>
      <c r="AB377" t="s">
        <v>116</v>
      </c>
      <c r="AC377">
        <v>45400</v>
      </c>
      <c r="AD377">
        <v>0</v>
      </c>
      <c r="AE377" t="s">
        <v>116</v>
      </c>
      <c r="AF377" t="s">
        <v>116</v>
      </c>
      <c r="AG377">
        <v>16.170000000000002</v>
      </c>
      <c r="AH377" t="s">
        <v>2582</v>
      </c>
      <c r="AI377" t="s">
        <v>2582</v>
      </c>
      <c r="AJ377">
        <v>-0.72</v>
      </c>
      <c r="AK377">
        <v>516</v>
      </c>
      <c r="AL377">
        <v>150</v>
      </c>
      <c r="AM377">
        <v>8.9999999999999998E-4</v>
      </c>
      <c r="AN377">
        <v>-1</v>
      </c>
      <c r="AO377">
        <v>-3.65</v>
      </c>
      <c r="AP377">
        <v>11.05</v>
      </c>
      <c r="AQ377">
        <v>-4.5199999999999996</v>
      </c>
      <c r="AR377">
        <v>-9.44</v>
      </c>
      <c r="AS377">
        <v>0.62</v>
      </c>
      <c r="AT377" t="s">
        <v>2583</v>
      </c>
      <c r="AU377" t="s">
        <v>116</v>
      </c>
      <c r="AV377" t="s">
        <v>116</v>
      </c>
      <c r="AW377">
        <v>0.61</v>
      </c>
      <c r="BA377">
        <v>-0.93</v>
      </c>
      <c r="BB377">
        <v>0</v>
      </c>
      <c r="BC377">
        <v>-2.34</v>
      </c>
      <c r="BD377">
        <v>-0.94</v>
      </c>
      <c r="BE377">
        <v>-0.47</v>
      </c>
      <c r="BF377">
        <v>-1.4</v>
      </c>
      <c r="BG377">
        <v>0.96</v>
      </c>
      <c r="BH377">
        <v>-0.46</v>
      </c>
      <c r="BI377">
        <v>20191031</v>
      </c>
      <c r="BJ377">
        <v>19990422</v>
      </c>
      <c r="BK377">
        <v>16.170000000000002</v>
      </c>
      <c r="BL377" t="s">
        <v>116</v>
      </c>
      <c r="BM377" t="s">
        <v>116</v>
      </c>
      <c r="BN377">
        <v>71.349999999999994</v>
      </c>
      <c r="BO377">
        <v>10.17</v>
      </c>
      <c r="BP377">
        <v>1.42</v>
      </c>
      <c r="BQ377">
        <v>83.76</v>
      </c>
      <c r="BR377">
        <v>69.239999999999995</v>
      </c>
      <c r="BS377">
        <v>0.08</v>
      </c>
      <c r="BT377">
        <v>0.01</v>
      </c>
      <c r="BU377">
        <v>59.69</v>
      </c>
      <c r="BV377">
        <v>56</v>
      </c>
      <c r="BW377">
        <v>0.76</v>
      </c>
      <c r="BX377">
        <v>3.1</v>
      </c>
      <c r="BY377">
        <v>1.61</v>
      </c>
      <c r="BZ377">
        <v>1.1299999999999999</v>
      </c>
      <c r="CA377">
        <v>-0.36</v>
      </c>
      <c r="CB377">
        <v>0</v>
      </c>
      <c r="CC377">
        <v>-0.39</v>
      </c>
      <c r="CD377">
        <v>-0.4</v>
      </c>
      <c r="CE377">
        <v>-0.33</v>
      </c>
      <c r="CF377">
        <v>-0.33</v>
      </c>
      <c r="CG377">
        <v>-9.75</v>
      </c>
      <c r="CH377">
        <v>4.9800000000000004</v>
      </c>
      <c r="CI377">
        <v>-1.67</v>
      </c>
      <c r="CJ377">
        <v>117229</v>
      </c>
      <c r="CK377">
        <v>10633</v>
      </c>
      <c r="CL377" t="s">
        <v>909</v>
      </c>
      <c r="CM377">
        <v>9.08</v>
      </c>
      <c r="CN377">
        <v>43.41</v>
      </c>
      <c r="CO377">
        <v>3.36</v>
      </c>
      <c r="CP377">
        <v>6.85</v>
      </c>
      <c r="CQ377">
        <v>21.21</v>
      </c>
      <c r="CR377">
        <v>0</v>
      </c>
      <c r="CS377" t="s">
        <v>2584</v>
      </c>
      <c r="CT377">
        <v>0.63</v>
      </c>
      <c r="CU377">
        <v>0</v>
      </c>
      <c r="CV377">
        <v>0.19</v>
      </c>
      <c r="CW377">
        <v>-0.6</v>
      </c>
      <c r="CX377">
        <v>0.31</v>
      </c>
      <c r="CY377">
        <v>14.25</v>
      </c>
      <c r="CZ377" t="s">
        <v>2585</v>
      </c>
      <c r="DA377">
        <v>29.81</v>
      </c>
      <c r="DB377">
        <v>-22.23</v>
      </c>
      <c r="DC377">
        <v>-20.82</v>
      </c>
      <c r="DD377">
        <v>0</v>
      </c>
      <c r="DE377">
        <v>623</v>
      </c>
      <c r="DF377">
        <v>897</v>
      </c>
      <c r="DG377" t="s">
        <v>116</v>
      </c>
      <c r="DH377" t="s">
        <v>116</v>
      </c>
      <c r="DI377" t="s">
        <v>116</v>
      </c>
    </row>
    <row r="378" spans="1:113" x14ac:dyDescent="0.4">
      <c r="A378" t="str">
        <f>"000898"</f>
        <v>000898</v>
      </c>
      <c r="B378" t="s">
        <v>2586</v>
      </c>
      <c r="C378">
        <v>0.62</v>
      </c>
      <c r="D378">
        <v>3.22</v>
      </c>
      <c r="E378">
        <v>0.02</v>
      </c>
      <c r="F378">
        <v>3.22</v>
      </c>
      <c r="G378">
        <v>3.23</v>
      </c>
      <c r="H378">
        <v>208811</v>
      </c>
      <c r="I378">
        <v>2943</v>
      </c>
      <c r="J378">
        <v>0</v>
      </c>
      <c r="K378">
        <v>0.26</v>
      </c>
      <c r="L378">
        <v>3.21</v>
      </c>
      <c r="M378">
        <v>3.26</v>
      </c>
      <c r="N378">
        <v>3.2</v>
      </c>
      <c r="O378">
        <v>3.2</v>
      </c>
      <c r="P378">
        <v>13.19</v>
      </c>
      <c r="Q378">
        <v>67614456</v>
      </c>
      <c r="R378">
        <v>1.59</v>
      </c>
      <c r="S378" t="s">
        <v>1587</v>
      </c>
      <c r="T378" t="s">
        <v>434</v>
      </c>
      <c r="U378">
        <v>1.87</v>
      </c>
      <c r="V378">
        <v>3.24</v>
      </c>
      <c r="W378">
        <v>73723</v>
      </c>
      <c r="X378">
        <v>135088</v>
      </c>
      <c r="Y378">
        <v>0.55000000000000004</v>
      </c>
      <c r="Z378">
        <v>60</v>
      </c>
      <c r="AA378">
        <v>7314</v>
      </c>
      <c r="AB378" t="s">
        <v>116</v>
      </c>
      <c r="AC378">
        <v>263200</v>
      </c>
      <c r="AD378">
        <v>0</v>
      </c>
      <c r="AE378" t="s">
        <v>116</v>
      </c>
      <c r="AF378" t="s">
        <v>116</v>
      </c>
      <c r="AG378">
        <v>79.94</v>
      </c>
      <c r="AH378" t="s">
        <v>2587</v>
      </c>
      <c r="AI378" t="s">
        <v>2587</v>
      </c>
      <c r="AJ378">
        <v>1.3</v>
      </c>
      <c r="AK378">
        <v>2808</v>
      </c>
      <c r="AL378">
        <v>74</v>
      </c>
      <c r="AM378">
        <v>1E-4</v>
      </c>
      <c r="AN378">
        <v>4</v>
      </c>
      <c r="AO378">
        <v>1.91</v>
      </c>
      <c r="AP378">
        <v>2.2200000000000002</v>
      </c>
      <c r="AQ378">
        <v>3.54</v>
      </c>
      <c r="AR378">
        <v>-14.75</v>
      </c>
      <c r="AS378">
        <v>0.98</v>
      </c>
      <c r="AT378" t="s">
        <v>2588</v>
      </c>
      <c r="AU378">
        <v>10.74</v>
      </c>
      <c r="AV378">
        <v>3.81</v>
      </c>
      <c r="AW378">
        <v>0.35</v>
      </c>
      <c r="BA378">
        <v>0.31</v>
      </c>
      <c r="BB378">
        <v>1.87</v>
      </c>
      <c r="BC378">
        <v>0</v>
      </c>
      <c r="BD378">
        <v>1.19</v>
      </c>
      <c r="BE378">
        <v>0.31</v>
      </c>
      <c r="BF378">
        <v>-1.23</v>
      </c>
      <c r="BG378">
        <v>0.62</v>
      </c>
      <c r="BH378">
        <v>-0.56000000000000005</v>
      </c>
      <c r="BI378">
        <v>20191030</v>
      </c>
      <c r="BJ378">
        <v>19971225</v>
      </c>
      <c r="BK378">
        <v>94.05</v>
      </c>
      <c r="BL378" t="s">
        <v>116</v>
      </c>
      <c r="BM378">
        <v>14.12</v>
      </c>
      <c r="BN378">
        <v>896.49</v>
      </c>
      <c r="BO378">
        <v>520.64</v>
      </c>
      <c r="BP378">
        <v>5.0199999999999996</v>
      </c>
      <c r="BQ378">
        <v>41.36</v>
      </c>
      <c r="BR378">
        <v>260.89</v>
      </c>
      <c r="BS378">
        <v>489.28</v>
      </c>
      <c r="BT378">
        <v>61.96</v>
      </c>
      <c r="BU378">
        <v>310.27</v>
      </c>
      <c r="BV378">
        <v>137.06</v>
      </c>
      <c r="BW378">
        <v>33.729999999999997</v>
      </c>
      <c r="BX378">
        <v>334.85</v>
      </c>
      <c r="BY378">
        <v>776.23</v>
      </c>
      <c r="BZ378">
        <v>706.16</v>
      </c>
      <c r="CA378">
        <v>22.4</v>
      </c>
      <c r="CB378">
        <v>0.93</v>
      </c>
      <c r="CC378">
        <v>22.1</v>
      </c>
      <c r="CD378">
        <v>17.2</v>
      </c>
      <c r="CE378">
        <v>17.22</v>
      </c>
      <c r="CF378">
        <v>16.55</v>
      </c>
      <c r="CG378">
        <v>55.82</v>
      </c>
      <c r="CH378">
        <v>63.48</v>
      </c>
      <c r="CI378">
        <v>16.48</v>
      </c>
      <c r="CJ378">
        <v>105756</v>
      </c>
      <c r="CK378">
        <v>20165</v>
      </c>
      <c r="CL378" t="s">
        <v>2589</v>
      </c>
      <c r="CM378">
        <v>-74.88</v>
      </c>
      <c r="CN378">
        <v>-0.24</v>
      </c>
      <c r="CO378">
        <v>0.57999999999999996</v>
      </c>
      <c r="CP378">
        <v>4.7699999999999996</v>
      </c>
      <c r="CQ378">
        <v>0.39</v>
      </c>
      <c r="CR378">
        <v>5.26</v>
      </c>
      <c r="CS378" t="s">
        <v>1113</v>
      </c>
      <c r="CT378">
        <v>5.54</v>
      </c>
      <c r="CU378">
        <v>0</v>
      </c>
      <c r="CV378">
        <v>3.56</v>
      </c>
      <c r="CW378">
        <v>0.59</v>
      </c>
      <c r="CX378">
        <v>0.67</v>
      </c>
      <c r="CY378">
        <v>58.08</v>
      </c>
      <c r="CZ378" t="s">
        <v>2590</v>
      </c>
      <c r="DA378">
        <v>9.0299999999999994</v>
      </c>
      <c r="DB378">
        <v>2.89</v>
      </c>
      <c r="DC378">
        <v>2.2200000000000002</v>
      </c>
      <c r="DD378">
        <v>2.97</v>
      </c>
      <c r="DE378">
        <v>34596</v>
      </c>
      <c r="DF378">
        <v>898</v>
      </c>
      <c r="DG378" t="s">
        <v>116</v>
      </c>
      <c r="DH378" t="s">
        <v>116</v>
      </c>
      <c r="DI378" t="s">
        <v>116</v>
      </c>
    </row>
    <row r="379" spans="1:113" x14ac:dyDescent="0.4">
      <c r="A379" t="str">
        <f>"000899"</f>
        <v>000899</v>
      </c>
      <c r="B379" t="s">
        <v>2591</v>
      </c>
      <c r="C379">
        <v>0.41</v>
      </c>
      <c r="D379">
        <v>4.84</v>
      </c>
      <c r="E379">
        <v>0.02</v>
      </c>
      <c r="F379">
        <v>4.83</v>
      </c>
      <c r="G379">
        <v>4.84</v>
      </c>
      <c r="H379">
        <v>19364</v>
      </c>
      <c r="I379">
        <v>117</v>
      </c>
      <c r="J379">
        <v>0</v>
      </c>
      <c r="K379">
        <v>0.2</v>
      </c>
      <c r="L379">
        <v>4.83</v>
      </c>
      <c r="M379">
        <v>4.8499999999999996</v>
      </c>
      <c r="N379">
        <v>4.8</v>
      </c>
      <c r="O379">
        <v>4.82</v>
      </c>
      <c r="P379">
        <v>12.58</v>
      </c>
      <c r="Q379">
        <v>9342707</v>
      </c>
      <c r="R379">
        <v>1.47</v>
      </c>
      <c r="S379" t="s">
        <v>271</v>
      </c>
      <c r="T379" t="s">
        <v>683</v>
      </c>
      <c r="U379">
        <v>1.04</v>
      </c>
      <c r="V379">
        <v>4.82</v>
      </c>
      <c r="W379">
        <v>7553</v>
      </c>
      <c r="X379">
        <v>11811</v>
      </c>
      <c r="Y379">
        <v>0.64</v>
      </c>
      <c r="Z379">
        <v>779</v>
      </c>
      <c r="AA379">
        <v>722</v>
      </c>
      <c r="AB379" t="s">
        <v>116</v>
      </c>
      <c r="AC379">
        <v>26100</v>
      </c>
      <c r="AD379">
        <v>0</v>
      </c>
      <c r="AE379" t="s">
        <v>116</v>
      </c>
      <c r="AF379" t="s">
        <v>116</v>
      </c>
      <c r="AG379">
        <v>9.76</v>
      </c>
      <c r="AH379" t="s">
        <v>2592</v>
      </c>
      <c r="AI379" t="s">
        <v>2592</v>
      </c>
      <c r="AJ379">
        <v>1.0900000000000001</v>
      </c>
      <c r="AK379">
        <v>405</v>
      </c>
      <c r="AL379">
        <v>48</v>
      </c>
      <c r="AM379">
        <v>5.0000000000000001E-4</v>
      </c>
      <c r="AN379">
        <v>4</v>
      </c>
      <c r="AO379">
        <v>1.68</v>
      </c>
      <c r="AP379">
        <v>3.42</v>
      </c>
      <c r="AQ379">
        <v>-1.22</v>
      </c>
      <c r="AR379">
        <v>13.62</v>
      </c>
      <c r="AS379">
        <v>0.75</v>
      </c>
      <c r="AT379" t="s">
        <v>2593</v>
      </c>
      <c r="AU379">
        <v>16.690000000000001</v>
      </c>
      <c r="AV379">
        <v>25.05</v>
      </c>
      <c r="AW379">
        <v>0.57999999999999996</v>
      </c>
      <c r="BA379">
        <v>0.21</v>
      </c>
      <c r="BB379">
        <v>0.62</v>
      </c>
      <c r="BC379">
        <v>-0.41</v>
      </c>
      <c r="BD379">
        <v>0.1</v>
      </c>
      <c r="BE379">
        <v>0.21</v>
      </c>
      <c r="BF379">
        <v>-0.21</v>
      </c>
      <c r="BG379">
        <v>0.83</v>
      </c>
      <c r="BH379">
        <v>0.32</v>
      </c>
      <c r="BI379">
        <v>20191028</v>
      </c>
      <c r="BJ379">
        <v>19971126</v>
      </c>
      <c r="BK379">
        <v>9.76</v>
      </c>
      <c r="BL379" t="s">
        <v>116</v>
      </c>
      <c r="BM379" t="s">
        <v>116</v>
      </c>
      <c r="BN379">
        <v>72.23</v>
      </c>
      <c r="BO379">
        <v>48.22</v>
      </c>
      <c r="BP379">
        <v>0.12</v>
      </c>
      <c r="BQ379">
        <v>33.07</v>
      </c>
      <c r="BR379">
        <v>12.84</v>
      </c>
      <c r="BS379">
        <v>30.48</v>
      </c>
      <c r="BT379">
        <v>0.41</v>
      </c>
      <c r="BU379">
        <v>18.82</v>
      </c>
      <c r="BV379">
        <v>1.67</v>
      </c>
      <c r="BW379">
        <v>2.87</v>
      </c>
      <c r="BX379">
        <v>24.34</v>
      </c>
      <c r="BY379">
        <v>19.670000000000002</v>
      </c>
      <c r="BZ379">
        <v>15.53</v>
      </c>
      <c r="CA379">
        <v>3.46</v>
      </c>
      <c r="CB379">
        <v>0.8</v>
      </c>
      <c r="CC379">
        <v>3.47</v>
      </c>
      <c r="CD379">
        <v>2.81</v>
      </c>
      <c r="CE379">
        <v>2.82</v>
      </c>
      <c r="CF379">
        <v>2.72</v>
      </c>
      <c r="CG379">
        <v>10.89</v>
      </c>
      <c r="CH379">
        <v>4.71</v>
      </c>
      <c r="CI379">
        <v>-9.26</v>
      </c>
      <c r="CJ379">
        <v>37246</v>
      </c>
      <c r="CK379">
        <v>6959</v>
      </c>
      <c r="CL379" t="s">
        <v>882</v>
      </c>
      <c r="CM379">
        <v>50.45</v>
      </c>
      <c r="CN379">
        <v>6.74</v>
      </c>
      <c r="CO379">
        <v>0.98</v>
      </c>
      <c r="CP379">
        <v>10.039999999999999</v>
      </c>
      <c r="CQ379">
        <v>2.4</v>
      </c>
      <c r="CR379">
        <v>2.48</v>
      </c>
      <c r="CS379" t="s">
        <v>2594</v>
      </c>
      <c r="CT379">
        <v>4.9400000000000004</v>
      </c>
      <c r="CU379">
        <v>0</v>
      </c>
      <c r="CV379">
        <v>2.4900000000000002</v>
      </c>
      <c r="CW379">
        <v>1.1200000000000001</v>
      </c>
      <c r="CX379">
        <v>0.48</v>
      </c>
      <c r="CY379">
        <v>66.75</v>
      </c>
      <c r="CZ379" t="s">
        <v>2468</v>
      </c>
      <c r="DA379">
        <v>21.05</v>
      </c>
      <c r="DB379">
        <v>17.59</v>
      </c>
      <c r="DC379">
        <v>14.32</v>
      </c>
      <c r="DD379">
        <v>0</v>
      </c>
      <c r="DE379">
        <v>616</v>
      </c>
      <c r="DF379">
        <v>899</v>
      </c>
      <c r="DG379" t="s">
        <v>116</v>
      </c>
      <c r="DH379" t="s">
        <v>116</v>
      </c>
      <c r="DI379" t="s">
        <v>116</v>
      </c>
    </row>
    <row r="380" spans="1:113" x14ac:dyDescent="0.4">
      <c r="A380" t="str">
        <f>"000900"</f>
        <v>000900</v>
      </c>
      <c r="B380" t="s">
        <v>2595</v>
      </c>
      <c r="C380">
        <v>-0.23</v>
      </c>
      <c r="D380">
        <v>4.25</v>
      </c>
      <c r="E380">
        <v>-0.01</v>
      </c>
      <c r="F380">
        <v>4.25</v>
      </c>
      <c r="G380">
        <v>4.26</v>
      </c>
      <c r="H380">
        <v>72518</v>
      </c>
      <c r="I380">
        <v>1792</v>
      </c>
      <c r="J380">
        <v>-0.22</v>
      </c>
      <c r="K380">
        <v>0.48</v>
      </c>
      <c r="L380">
        <v>4.2699999999999996</v>
      </c>
      <c r="M380">
        <v>4.3099999999999996</v>
      </c>
      <c r="N380">
        <v>4.25</v>
      </c>
      <c r="O380">
        <v>4.26</v>
      </c>
      <c r="P380">
        <v>5.89</v>
      </c>
      <c r="Q380">
        <v>31003452</v>
      </c>
      <c r="R380">
        <v>1.36</v>
      </c>
      <c r="S380" t="s">
        <v>809</v>
      </c>
      <c r="T380" t="s">
        <v>599</v>
      </c>
      <c r="U380">
        <v>1.41</v>
      </c>
      <c r="V380">
        <v>4.28</v>
      </c>
      <c r="W380">
        <v>31181</v>
      </c>
      <c r="X380">
        <v>41337</v>
      </c>
      <c r="Y380">
        <v>0.75</v>
      </c>
      <c r="Z380">
        <v>704</v>
      </c>
      <c r="AA380">
        <v>705</v>
      </c>
      <c r="AB380" t="s">
        <v>116</v>
      </c>
      <c r="AC380">
        <v>66600</v>
      </c>
      <c r="AD380">
        <v>0</v>
      </c>
      <c r="AE380" t="s">
        <v>116</v>
      </c>
      <c r="AF380" t="s">
        <v>116</v>
      </c>
      <c r="AG380">
        <v>15.17</v>
      </c>
      <c r="AH380" t="s">
        <v>2596</v>
      </c>
      <c r="AI380" t="s">
        <v>2597</v>
      </c>
      <c r="AJ380">
        <v>0.44</v>
      </c>
      <c r="AK380">
        <v>1100</v>
      </c>
      <c r="AL380">
        <v>66</v>
      </c>
      <c r="AM380">
        <v>4.0000000000000002E-4</v>
      </c>
      <c r="AN380">
        <v>-1</v>
      </c>
      <c r="AO380">
        <v>0</v>
      </c>
      <c r="AP380">
        <v>2.16</v>
      </c>
      <c r="AQ380">
        <v>-6.39</v>
      </c>
      <c r="AR380">
        <v>13.64</v>
      </c>
      <c r="AS380">
        <v>0.73</v>
      </c>
      <c r="AT380" t="s">
        <v>2598</v>
      </c>
      <c r="AU380">
        <v>6.55</v>
      </c>
      <c r="AV380">
        <v>6.69</v>
      </c>
      <c r="AW380">
        <v>0.93</v>
      </c>
      <c r="BA380">
        <v>0.23</v>
      </c>
      <c r="BB380">
        <v>1.17</v>
      </c>
      <c r="BC380">
        <v>-0.23</v>
      </c>
      <c r="BD380">
        <v>0.36</v>
      </c>
      <c r="BE380">
        <v>-0.47</v>
      </c>
      <c r="BF380">
        <v>-1.39</v>
      </c>
      <c r="BG380">
        <v>0</v>
      </c>
      <c r="BH380">
        <v>-0.59</v>
      </c>
      <c r="BI380">
        <v>20191030</v>
      </c>
      <c r="BJ380">
        <v>19990128</v>
      </c>
      <c r="BK380">
        <v>15.18</v>
      </c>
      <c r="BL380" t="s">
        <v>116</v>
      </c>
      <c r="BM380" t="s">
        <v>116</v>
      </c>
      <c r="BN380">
        <v>349.18</v>
      </c>
      <c r="BO380">
        <v>99.17</v>
      </c>
      <c r="BP380">
        <v>8</v>
      </c>
      <c r="BQ380">
        <v>69.31</v>
      </c>
      <c r="BR380">
        <v>98.95</v>
      </c>
      <c r="BS380">
        <v>19.54</v>
      </c>
      <c r="BT380">
        <v>112.03</v>
      </c>
      <c r="BU380">
        <v>147.69999999999999</v>
      </c>
      <c r="BV380">
        <v>4.22</v>
      </c>
      <c r="BW380">
        <v>5.03</v>
      </c>
      <c r="BX380">
        <v>4.4800000000000004</v>
      </c>
      <c r="BY380">
        <v>97.86</v>
      </c>
      <c r="BZ380">
        <v>82.41</v>
      </c>
      <c r="CA380">
        <v>10.7</v>
      </c>
      <c r="CB380">
        <v>3.59</v>
      </c>
      <c r="CC380">
        <v>10.83</v>
      </c>
      <c r="CD380">
        <v>8.1999999999999993</v>
      </c>
      <c r="CE380">
        <v>8.2200000000000006</v>
      </c>
      <c r="CF380">
        <v>7.9</v>
      </c>
      <c r="CG380">
        <v>68.48</v>
      </c>
      <c r="CH380">
        <v>10.27</v>
      </c>
      <c r="CI380">
        <v>-9.09</v>
      </c>
      <c r="CJ380">
        <v>62550</v>
      </c>
      <c r="CK380">
        <v>15948</v>
      </c>
      <c r="CL380" t="s">
        <v>1991</v>
      </c>
      <c r="CM380">
        <v>2.72</v>
      </c>
      <c r="CN380">
        <v>8.83</v>
      </c>
      <c r="CO380">
        <v>0.65</v>
      </c>
      <c r="CP380">
        <v>6.28</v>
      </c>
      <c r="CQ380">
        <v>0.66</v>
      </c>
      <c r="CR380">
        <v>3.53</v>
      </c>
      <c r="CS380" t="s">
        <v>2599</v>
      </c>
      <c r="CT380">
        <v>6.53</v>
      </c>
      <c r="CU380">
        <v>0</v>
      </c>
      <c r="CV380">
        <v>0.3</v>
      </c>
      <c r="CW380">
        <v>4.51</v>
      </c>
      <c r="CX380">
        <v>0.68</v>
      </c>
      <c r="CY380">
        <v>28.4</v>
      </c>
      <c r="CZ380" t="s">
        <v>2600</v>
      </c>
      <c r="DA380">
        <v>15.78</v>
      </c>
      <c r="DB380">
        <v>10.94</v>
      </c>
      <c r="DC380">
        <v>8.4</v>
      </c>
      <c r="DD380">
        <v>0.03</v>
      </c>
      <c r="DE380">
        <v>3074</v>
      </c>
      <c r="DF380">
        <v>900</v>
      </c>
      <c r="DG380" t="s">
        <v>116</v>
      </c>
      <c r="DH380" t="s">
        <v>116</v>
      </c>
      <c r="DI380" t="s">
        <v>116</v>
      </c>
    </row>
    <row r="381" spans="1:113" x14ac:dyDescent="0.4">
      <c r="A381" t="str">
        <f>"000901"</f>
        <v>000901</v>
      </c>
      <c r="B381" t="s">
        <v>2601</v>
      </c>
      <c r="C381">
        <v>0.09</v>
      </c>
      <c r="D381">
        <v>11.25</v>
      </c>
      <c r="E381">
        <v>0.01</v>
      </c>
      <c r="F381">
        <v>11.25</v>
      </c>
      <c r="G381">
        <v>11.26</v>
      </c>
      <c r="H381">
        <v>105288</v>
      </c>
      <c r="I381">
        <v>841</v>
      </c>
      <c r="J381">
        <v>0.09</v>
      </c>
      <c r="K381">
        <v>1.86</v>
      </c>
      <c r="L381">
        <v>11.45</v>
      </c>
      <c r="M381">
        <v>11.6</v>
      </c>
      <c r="N381">
        <v>11.2</v>
      </c>
      <c r="O381">
        <v>11.24</v>
      </c>
      <c r="P381">
        <v>85.98</v>
      </c>
      <c r="Q381">
        <v>120155480</v>
      </c>
      <c r="R381">
        <v>1.53</v>
      </c>
      <c r="S381" t="s">
        <v>1789</v>
      </c>
      <c r="T381" t="s">
        <v>1287</v>
      </c>
      <c r="U381">
        <v>3.56</v>
      </c>
      <c r="V381">
        <v>11.41</v>
      </c>
      <c r="W381">
        <v>49222</v>
      </c>
      <c r="X381">
        <v>56066</v>
      </c>
      <c r="Y381">
        <v>0.88</v>
      </c>
      <c r="Z381">
        <v>161</v>
      </c>
      <c r="AA381">
        <v>888</v>
      </c>
      <c r="AB381" t="s">
        <v>116</v>
      </c>
      <c r="AC381">
        <v>1628200</v>
      </c>
      <c r="AD381">
        <v>0.04</v>
      </c>
      <c r="AE381" t="s">
        <v>116</v>
      </c>
      <c r="AF381" t="s">
        <v>116</v>
      </c>
      <c r="AG381">
        <v>5.67</v>
      </c>
      <c r="AH381" t="s">
        <v>2602</v>
      </c>
      <c r="AI381" t="s">
        <v>2603</v>
      </c>
      <c r="AJ381">
        <v>0.77</v>
      </c>
      <c r="AK381">
        <v>2329</v>
      </c>
      <c r="AL381">
        <v>45</v>
      </c>
      <c r="AM381">
        <v>8.0000000000000004E-4</v>
      </c>
      <c r="AN381">
        <v>2</v>
      </c>
      <c r="AO381">
        <v>1.08</v>
      </c>
      <c r="AP381">
        <v>9.33</v>
      </c>
      <c r="AQ381">
        <v>-2.6</v>
      </c>
      <c r="AR381">
        <v>28.28</v>
      </c>
      <c r="AS381">
        <v>2.67</v>
      </c>
      <c r="AT381" t="s">
        <v>2604</v>
      </c>
      <c r="AU381">
        <v>42.99</v>
      </c>
      <c r="AV381">
        <v>44</v>
      </c>
      <c r="AW381">
        <v>1.1499999999999999</v>
      </c>
      <c r="BA381">
        <v>1.87</v>
      </c>
      <c r="BB381">
        <v>3.2</v>
      </c>
      <c r="BC381">
        <v>-0.36</v>
      </c>
      <c r="BD381">
        <v>1.53</v>
      </c>
      <c r="BE381">
        <v>-1.75</v>
      </c>
      <c r="BF381">
        <v>-3.02</v>
      </c>
      <c r="BG381">
        <v>0.45</v>
      </c>
      <c r="BH381">
        <v>-1.44</v>
      </c>
      <c r="BI381">
        <v>20191031</v>
      </c>
      <c r="BJ381">
        <v>19990401</v>
      </c>
      <c r="BK381">
        <v>6.14</v>
      </c>
      <c r="BL381" t="s">
        <v>116</v>
      </c>
      <c r="BM381" t="s">
        <v>116</v>
      </c>
      <c r="BN381">
        <v>67.180000000000007</v>
      </c>
      <c r="BO381">
        <v>40.14</v>
      </c>
      <c r="BP381">
        <v>1.8</v>
      </c>
      <c r="BQ381">
        <v>37.58</v>
      </c>
      <c r="BR381">
        <v>37.659999999999997</v>
      </c>
      <c r="BS381">
        <v>12.75</v>
      </c>
      <c r="BT381">
        <v>3.38</v>
      </c>
      <c r="BU381">
        <v>17.64</v>
      </c>
      <c r="BV381">
        <v>11.97</v>
      </c>
      <c r="BW381">
        <v>11.66</v>
      </c>
      <c r="BX381">
        <v>24.05</v>
      </c>
      <c r="BY381">
        <v>41.28</v>
      </c>
      <c r="BZ381">
        <v>33.61</v>
      </c>
      <c r="CA381">
        <v>0.69</v>
      </c>
      <c r="CB381">
        <v>0.12</v>
      </c>
      <c r="CC381">
        <v>0.74</v>
      </c>
      <c r="CD381">
        <v>0.68</v>
      </c>
      <c r="CE381">
        <v>0.6</v>
      </c>
      <c r="CF381">
        <v>0.48</v>
      </c>
      <c r="CG381">
        <v>8.64</v>
      </c>
      <c r="CH381">
        <v>0.3</v>
      </c>
      <c r="CI381">
        <v>-2.86</v>
      </c>
      <c r="CJ381">
        <v>72871</v>
      </c>
      <c r="CK381">
        <v>5418</v>
      </c>
      <c r="CL381" t="s">
        <v>2605</v>
      </c>
      <c r="CM381">
        <v>6.49</v>
      </c>
      <c r="CN381">
        <v>-1.49</v>
      </c>
      <c r="CO381">
        <v>1.72</v>
      </c>
      <c r="CP381">
        <v>230.94</v>
      </c>
      <c r="CQ381">
        <v>1.67</v>
      </c>
      <c r="CR381">
        <v>0.62</v>
      </c>
      <c r="CS381" t="s">
        <v>821</v>
      </c>
      <c r="CT381">
        <v>6.54</v>
      </c>
      <c r="CU381">
        <v>0</v>
      </c>
      <c r="CV381">
        <v>3.92</v>
      </c>
      <c r="CW381">
        <v>1.41</v>
      </c>
      <c r="CX381">
        <v>0.05</v>
      </c>
      <c r="CY381">
        <v>59.74</v>
      </c>
      <c r="CZ381" t="s">
        <v>1114</v>
      </c>
      <c r="DA381">
        <v>18.579999999999998</v>
      </c>
      <c r="DB381">
        <v>1.68</v>
      </c>
      <c r="DC381">
        <v>1.46</v>
      </c>
      <c r="DD381">
        <v>2.16</v>
      </c>
      <c r="DE381">
        <v>6384</v>
      </c>
      <c r="DF381">
        <v>901</v>
      </c>
      <c r="DG381" t="s">
        <v>116</v>
      </c>
      <c r="DH381" t="s">
        <v>116</v>
      </c>
      <c r="DI381" t="s">
        <v>116</v>
      </c>
    </row>
    <row r="382" spans="1:113" x14ac:dyDescent="0.4">
      <c r="A382" t="str">
        <f>"000902"</f>
        <v>000902</v>
      </c>
      <c r="B382" t="s">
        <v>2606</v>
      </c>
      <c r="C382">
        <v>-0.63</v>
      </c>
      <c r="D382">
        <v>7.88</v>
      </c>
      <c r="E382">
        <v>-0.05</v>
      </c>
      <c r="F382">
        <v>7.87</v>
      </c>
      <c r="G382">
        <v>7.88</v>
      </c>
      <c r="H382">
        <v>90057</v>
      </c>
      <c r="I382">
        <v>985</v>
      </c>
      <c r="J382">
        <v>0</v>
      </c>
      <c r="K382">
        <v>0.77</v>
      </c>
      <c r="L382">
        <v>7.93</v>
      </c>
      <c r="M382">
        <v>8.02</v>
      </c>
      <c r="N382">
        <v>7.86</v>
      </c>
      <c r="O382">
        <v>7.93</v>
      </c>
      <c r="P382">
        <v>12</v>
      </c>
      <c r="Q382">
        <v>71481336</v>
      </c>
      <c r="R382">
        <v>1.07</v>
      </c>
      <c r="S382" t="s">
        <v>697</v>
      </c>
      <c r="T382" t="s">
        <v>774</v>
      </c>
      <c r="U382">
        <v>2.02</v>
      </c>
      <c r="V382">
        <v>7.94</v>
      </c>
      <c r="W382">
        <v>57610</v>
      </c>
      <c r="X382">
        <v>32447</v>
      </c>
      <c r="Y382">
        <v>1.78</v>
      </c>
      <c r="Z382">
        <v>888</v>
      </c>
      <c r="AA382">
        <v>281</v>
      </c>
      <c r="AB382" t="s">
        <v>116</v>
      </c>
      <c r="AC382">
        <v>141200</v>
      </c>
      <c r="AD382">
        <v>0</v>
      </c>
      <c r="AE382" t="s">
        <v>116</v>
      </c>
      <c r="AF382" t="s">
        <v>116</v>
      </c>
      <c r="AG382">
        <v>11.73</v>
      </c>
      <c r="AH382" t="s">
        <v>2607</v>
      </c>
      <c r="AI382" t="s">
        <v>2608</v>
      </c>
      <c r="AJ382">
        <v>0.05</v>
      </c>
      <c r="AK382">
        <v>1477</v>
      </c>
      <c r="AL382">
        <v>61</v>
      </c>
      <c r="AM382">
        <v>5.0000000000000001E-4</v>
      </c>
      <c r="AN382">
        <v>-1</v>
      </c>
      <c r="AO382">
        <v>-0.38</v>
      </c>
      <c r="AP382">
        <v>-0.63</v>
      </c>
      <c r="AQ382">
        <v>-22.21</v>
      </c>
      <c r="AR382">
        <v>-10.050000000000001</v>
      </c>
      <c r="AS382">
        <v>1.51</v>
      </c>
      <c r="AT382" t="s">
        <v>2609</v>
      </c>
      <c r="AU382">
        <v>14.17</v>
      </c>
      <c r="AV382">
        <v>12.55</v>
      </c>
      <c r="AW382">
        <v>0.83</v>
      </c>
      <c r="BA382">
        <v>0</v>
      </c>
      <c r="BB382">
        <v>1.1299999999999999</v>
      </c>
      <c r="BC382">
        <v>-0.88</v>
      </c>
      <c r="BD382">
        <v>0.09</v>
      </c>
      <c r="BE382">
        <v>-0.63</v>
      </c>
      <c r="BF382">
        <v>-1.75</v>
      </c>
      <c r="BG382">
        <v>0.25</v>
      </c>
      <c r="BH382">
        <v>-0.72</v>
      </c>
      <c r="BI382">
        <v>20191110</v>
      </c>
      <c r="BJ382">
        <v>19990408</v>
      </c>
      <c r="BK382">
        <v>13.05</v>
      </c>
      <c r="BL382" t="s">
        <v>116</v>
      </c>
      <c r="BM382" t="s">
        <v>116</v>
      </c>
      <c r="BN382">
        <v>90.27</v>
      </c>
      <c r="BO382">
        <v>65.56</v>
      </c>
      <c r="BP382">
        <v>1.84</v>
      </c>
      <c r="BQ382">
        <v>25.34</v>
      </c>
      <c r="BR382">
        <v>52.09</v>
      </c>
      <c r="BS382">
        <v>27.48</v>
      </c>
      <c r="BT382">
        <v>5.84</v>
      </c>
      <c r="BU382">
        <v>21.5</v>
      </c>
      <c r="BV382">
        <v>21.64</v>
      </c>
      <c r="BW382">
        <v>2.2999999999999998</v>
      </c>
      <c r="BX382">
        <v>4.82</v>
      </c>
      <c r="BY382">
        <v>81.209999999999994</v>
      </c>
      <c r="BZ382">
        <v>65.900000000000006</v>
      </c>
      <c r="CA382">
        <v>7.94</v>
      </c>
      <c r="CB382">
        <v>0.02</v>
      </c>
      <c r="CC382">
        <v>7.95</v>
      </c>
      <c r="CD382">
        <v>6.51</v>
      </c>
      <c r="CE382">
        <v>6.42</v>
      </c>
      <c r="CF382">
        <v>6.32</v>
      </c>
      <c r="CG382">
        <v>43.26</v>
      </c>
      <c r="CH382">
        <v>11.29</v>
      </c>
      <c r="CI382">
        <v>4.72</v>
      </c>
      <c r="CJ382">
        <v>23438</v>
      </c>
      <c r="CK382">
        <v>25430</v>
      </c>
      <c r="CL382" t="s">
        <v>2610</v>
      </c>
      <c r="CM382">
        <v>-12.71</v>
      </c>
      <c r="CN382">
        <v>-3.3</v>
      </c>
      <c r="CO382">
        <v>1.57</v>
      </c>
      <c r="CP382">
        <v>9.11</v>
      </c>
      <c r="CQ382">
        <v>1.27</v>
      </c>
      <c r="CR382">
        <v>2.5099999999999998</v>
      </c>
      <c r="CS382" t="s">
        <v>2546</v>
      </c>
      <c r="CT382">
        <v>5.03</v>
      </c>
      <c r="CU382">
        <v>0</v>
      </c>
      <c r="CV382">
        <v>0.37</v>
      </c>
      <c r="CW382">
        <v>3.32</v>
      </c>
      <c r="CX382">
        <v>0.87</v>
      </c>
      <c r="CY382">
        <v>72.62</v>
      </c>
      <c r="CZ382" t="s">
        <v>2611</v>
      </c>
      <c r="DA382">
        <v>18.850000000000001</v>
      </c>
      <c r="DB382">
        <v>9.77</v>
      </c>
      <c r="DC382">
        <v>7.91</v>
      </c>
      <c r="DD382">
        <v>0.33</v>
      </c>
      <c r="DE382">
        <v>6774</v>
      </c>
      <c r="DF382">
        <v>902</v>
      </c>
      <c r="DG382" t="s">
        <v>116</v>
      </c>
      <c r="DH382" t="s">
        <v>116</v>
      </c>
      <c r="DI382" t="s">
        <v>116</v>
      </c>
    </row>
    <row r="383" spans="1:113" x14ac:dyDescent="0.4">
      <c r="A383" t="str">
        <f>"000903"</f>
        <v>000903</v>
      </c>
      <c r="B383" t="s">
        <v>2612</v>
      </c>
      <c r="C383">
        <v>0.4</v>
      </c>
      <c r="D383">
        <v>2.54</v>
      </c>
      <c r="E383">
        <v>0.01</v>
      </c>
      <c r="F383">
        <v>2.5299999999999998</v>
      </c>
      <c r="G383">
        <v>2.54</v>
      </c>
      <c r="H383">
        <v>61505</v>
      </c>
      <c r="I383">
        <v>196</v>
      </c>
      <c r="J383">
        <v>0</v>
      </c>
      <c r="K383">
        <v>0.35</v>
      </c>
      <c r="L383">
        <v>2.5299999999999998</v>
      </c>
      <c r="M383">
        <v>2.56</v>
      </c>
      <c r="N383">
        <v>2.52</v>
      </c>
      <c r="O383">
        <v>2.5299999999999998</v>
      </c>
      <c r="P383">
        <v>26.6</v>
      </c>
      <c r="Q383">
        <v>15643515</v>
      </c>
      <c r="R383">
        <v>1.34</v>
      </c>
      <c r="S383" t="s">
        <v>996</v>
      </c>
      <c r="T383" t="s">
        <v>1043</v>
      </c>
      <c r="U383">
        <v>1.58</v>
      </c>
      <c r="V383">
        <v>2.54</v>
      </c>
      <c r="W383">
        <v>31840</v>
      </c>
      <c r="X383">
        <v>29665</v>
      </c>
      <c r="Y383">
        <v>1.07</v>
      </c>
      <c r="Z383">
        <v>665</v>
      </c>
      <c r="AA383">
        <v>3027</v>
      </c>
      <c r="AB383" t="s">
        <v>116</v>
      </c>
      <c r="AC383">
        <v>19000</v>
      </c>
      <c r="AD383">
        <v>0</v>
      </c>
      <c r="AE383" t="s">
        <v>116</v>
      </c>
      <c r="AF383" t="s">
        <v>116</v>
      </c>
      <c r="AG383">
        <v>17.670000000000002</v>
      </c>
      <c r="AH383" t="s">
        <v>2613</v>
      </c>
      <c r="AI383" t="s">
        <v>2614</v>
      </c>
      <c r="AJ383">
        <v>1.07</v>
      </c>
      <c r="AK383">
        <v>590</v>
      </c>
      <c r="AL383">
        <v>104</v>
      </c>
      <c r="AM383">
        <v>5.9999999999999995E-4</v>
      </c>
      <c r="AN383">
        <v>1</v>
      </c>
      <c r="AO383">
        <v>0.01</v>
      </c>
      <c r="AP383">
        <v>-1.55</v>
      </c>
      <c r="AQ383">
        <v>1.2</v>
      </c>
      <c r="AR383">
        <v>7.86</v>
      </c>
      <c r="AS383">
        <v>0.52</v>
      </c>
      <c r="AT383" t="s">
        <v>2615</v>
      </c>
      <c r="AU383">
        <v>27.35</v>
      </c>
      <c r="AV383">
        <v>21.56</v>
      </c>
      <c r="AW383">
        <v>0.47</v>
      </c>
      <c r="BA383">
        <v>0</v>
      </c>
      <c r="BB383">
        <v>1.19</v>
      </c>
      <c r="BC383">
        <v>-0.4</v>
      </c>
      <c r="BD383">
        <v>0.53</v>
      </c>
      <c r="BE383">
        <v>0.4</v>
      </c>
      <c r="BF383">
        <v>-0.78</v>
      </c>
      <c r="BG383">
        <v>0.79</v>
      </c>
      <c r="BH383">
        <v>-0.14000000000000001</v>
      </c>
      <c r="BI383">
        <v>20191129</v>
      </c>
      <c r="BJ383">
        <v>19990415</v>
      </c>
      <c r="BK383">
        <v>19.71</v>
      </c>
      <c r="BL383" t="s">
        <v>116</v>
      </c>
      <c r="BM383" t="s">
        <v>116</v>
      </c>
      <c r="BN383">
        <v>119.4</v>
      </c>
      <c r="BO383">
        <v>55.37</v>
      </c>
      <c r="BP383">
        <v>0.02</v>
      </c>
      <c r="BQ383">
        <v>53.61</v>
      </c>
      <c r="BR383">
        <v>66.59</v>
      </c>
      <c r="BS383">
        <v>25.81</v>
      </c>
      <c r="BT383">
        <v>6.77</v>
      </c>
      <c r="BU383">
        <v>61.62</v>
      </c>
      <c r="BV383">
        <v>14.19</v>
      </c>
      <c r="BW383">
        <v>20.84</v>
      </c>
      <c r="BX383">
        <v>23.43</v>
      </c>
      <c r="BY383">
        <v>45.75</v>
      </c>
      <c r="BZ383">
        <v>40.18</v>
      </c>
      <c r="CA383">
        <v>1.55</v>
      </c>
      <c r="CB383">
        <v>0.01</v>
      </c>
      <c r="CC383">
        <v>1.55</v>
      </c>
      <c r="CD383">
        <v>1.38</v>
      </c>
      <c r="CE383">
        <v>1.41</v>
      </c>
      <c r="CF383">
        <v>1.01</v>
      </c>
      <c r="CG383">
        <v>9.7899999999999991</v>
      </c>
      <c r="CH383">
        <v>11.69</v>
      </c>
      <c r="CI383">
        <v>3.08</v>
      </c>
      <c r="CJ383">
        <v>69444</v>
      </c>
      <c r="CK383">
        <v>17083</v>
      </c>
      <c r="CL383" t="s">
        <v>430</v>
      </c>
      <c r="CM383">
        <v>-25.85</v>
      </c>
      <c r="CN383">
        <v>3.42</v>
      </c>
      <c r="CO383">
        <v>0.9</v>
      </c>
      <c r="CP383">
        <v>4.28</v>
      </c>
      <c r="CQ383">
        <v>1.0900000000000001</v>
      </c>
      <c r="CR383">
        <v>1.74</v>
      </c>
      <c r="CS383" t="s">
        <v>1303</v>
      </c>
      <c r="CT383">
        <v>2.81</v>
      </c>
      <c r="CU383">
        <v>0</v>
      </c>
      <c r="CV383">
        <v>1.19</v>
      </c>
      <c r="CW383">
        <v>0.5</v>
      </c>
      <c r="CX383">
        <v>0.59</v>
      </c>
      <c r="CY383">
        <v>46.37</v>
      </c>
      <c r="CZ383" t="s">
        <v>1285</v>
      </c>
      <c r="DA383">
        <v>12.18</v>
      </c>
      <c r="DB383">
        <v>3.4</v>
      </c>
      <c r="DC383">
        <v>3.09</v>
      </c>
      <c r="DD383">
        <v>0.46</v>
      </c>
      <c r="DE383">
        <v>2637</v>
      </c>
      <c r="DF383">
        <v>903</v>
      </c>
      <c r="DG383" t="s">
        <v>116</v>
      </c>
      <c r="DH383" t="s">
        <v>116</v>
      </c>
      <c r="DI383" t="s">
        <v>116</v>
      </c>
    </row>
    <row r="384" spans="1:113" x14ac:dyDescent="0.4">
      <c r="A384" t="str">
        <f>"000905"</f>
        <v>000905</v>
      </c>
      <c r="B384" t="s">
        <v>2616</v>
      </c>
      <c r="C384">
        <v>0.83</v>
      </c>
      <c r="D384">
        <v>7.25</v>
      </c>
      <c r="E384">
        <v>0.06</v>
      </c>
      <c r="F384">
        <v>7.25</v>
      </c>
      <c r="G384">
        <v>7.26</v>
      </c>
      <c r="H384">
        <v>39669</v>
      </c>
      <c r="I384">
        <v>1257</v>
      </c>
      <c r="J384">
        <v>0.14000000000000001</v>
      </c>
      <c r="K384">
        <v>0.75</v>
      </c>
      <c r="L384">
        <v>7.2</v>
      </c>
      <c r="M384">
        <v>7.27</v>
      </c>
      <c r="N384">
        <v>7.16</v>
      </c>
      <c r="O384">
        <v>7.19</v>
      </c>
      <c r="P384">
        <v>40.51</v>
      </c>
      <c r="Q384">
        <v>28646890</v>
      </c>
      <c r="R384">
        <v>1.52</v>
      </c>
      <c r="S384" t="s">
        <v>515</v>
      </c>
      <c r="T384" t="s">
        <v>975</v>
      </c>
      <c r="U384">
        <v>1.53</v>
      </c>
      <c r="V384">
        <v>7.22</v>
      </c>
      <c r="W384">
        <v>19522</v>
      </c>
      <c r="X384">
        <v>20147</v>
      </c>
      <c r="Y384">
        <v>0.97</v>
      </c>
      <c r="Z384">
        <v>16</v>
      </c>
      <c r="AA384">
        <v>1097</v>
      </c>
      <c r="AB384" t="s">
        <v>116</v>
      </c>
      <c r="AC384">
        <v>34600</v>
      </c>
      <c r="AD384">
        <v>0</v>
      </c>
      <c r="AE384" t="s">
        <v>116</v>
      </c>
      <c r="AF384" t="s">
        <v>116</v>
      </c>
      <c r="AG384">
        <v>5.31</v>
      </c>
      <c r="AH384" t="s">
        <v>2617</v>
      </c>
      <c r="AI384" t="s">
        <v>2617</v>
      </c>
      <c r="AJ384">
        <v>1.51</v>
      </c>
      <c r="AK384">
        <v>936</v>
      </c>
      <c r="AL384">
        <v>42</v>
      </c>
      <c r="AM384">
        <v>8.0000000000000004E-4</v>
      </c>
      <c r="AN384">
        <v>2</v>
      </c>
      <c r="AO384">
        <v>0.55000000000000004</v>
      </c>
      <c r="AP384">
        <v>5.53</v>
      </c>
      <c r="AQ384">
        <v>0.69</v>
      </c>
      <c r="AR384">
        <v>19.829999999999998</v>
      </c>
      <c r="AS384">
        <v>1.66</v>
      </c>
      <c r="AT384" t="s">
        <v>2618</v>
      </c>
      <c r="AU384">
        <v>52.24</v>
      </c>
      <c r="AV384">
        <v>152.77000000000001</v>
      </c>
      <c r="AW384">
        <v>0.85</v>
      </c>
      <c r="BA384">
        <v>0.14000000000000001</v>
      </c>
      <c r="BB384">
        <v>1.1100000000000001</v>
      </c>
      <c r="BC384">
        <v>-0.42</v>
      </c>
      <c r="BD384">
        <v>0.44</v>
      </c>
      <c r="BE384">
        <v>0.69</v>
      </c>
      <c r="BF384">
        <v>-0.28000000000000003</v>
      </c>
      <c r="BG384">
        <v>1.26</v>
      </c>
      <c r="BH384">
        <v>0.4</v>
      </c>
      <c r="BI384">
        <v>20191031</v>
      </c>
      <c r="BJ384">
        <v>19990429</v>
      </c>
      <c r="BK384">
        <v>5.31</v>
      </c>
      <c r="BL384" t="s">
        <v>116</v>
      </c>
      <c r="BM384" t="s">
        <v>116</v>
      </c>
      <c r="BN384">
        <v>97.14</v>
      </c>
      <c r="BO384">
        <v>27.67</v>
      </c>
      <c r="BP384">
        <v>10.050000000000001</v>
      </c>
      <c r="BQ384">
        <v>61.17</v>
      </c>
      <c r="BR384">
        <v>38.200000000000003</v>
      </c>
      <c r="BS384">
        <v>33.1</v>
      </c>
      <c r="BT384">
        <v>10.28</v>
      </c>
      <c r="BU384">
        <v>46.43</v>
      </c>
      <c r="BV384">
        <v>15.43</v>
      </c>
      <c r="BW384">
        <v>10.75</v>
      </c>
      <c r="BX384">
        <v>0.08</v>
      </c>
      <c r="BY384">
        <v>105.6</v>
      </c>
      <c r="BZ384">
        <v>101.54</v>
      </c>
      <c r="CA384">
        <v>2.14</v>
      </c>
      <c r="CB384">
        <v>0.41</v>
      </c>
      <c r="CC384">
        <v>2.1800000000000002</v>
      </c>
      <c r="CD384">
        <v>1.51</v>
      </c>
      <c r="CE384">
        <v>0.71</v>
      </c>
      <c r="CF384">
        <v>0.04</v>
      </c>
      <c r="CG384">
        <v>20.25</v>
      </c>
      <c r="CH384">
        <v>1.44</v>
      </c>
      <c r="CI384">
        <v>0.46</v>
      </c>
      <c r="CJ384">
        <v>51471</v>
      </c>
      <c r="CK384">
        <v>4629</v>
      </c>
      <c r="CL384" t="s">
        <v>2619</v>
      </c>
      <c r="CM384">
        <v>212.98</v>
      </c>
      <c r="CN384">
        <v>7.61</v>
      </c>
      <c r="CO384">
        <v>1.39</v>
      </c>
      <c r="CP384">
        <v>26.74</v>
      </c>
      <c r="CQ384">
        <v>0.36</v>
      </c>
      <c r="CR384">
        <v>0.14000000000000001</v>
      </c>
      <c r="CS384" t="s">
        <v>2620</v>
      </c>
      <c r="CT384">
        <v>5.21</v>
      </c>
      <c r="CU384">
        <v>0</v>
      </c>
      <c r="CV384">
        <v>0.02</v>
      </c>
      <c r="CW384">
        <v>3.81</v>
      </c>
      <c r="CX384">
        <v>0.27</v>
      </c>
      <c r="CY384">
        <v>28.48</v>
      </c>
      <c r="CZ384" t="s">
        <v>2621</v>
      </c>
      <c r="DA384">
        <v>3.84</v>
      </c>
      <c r="DB384">
        <v>2.0299999999999998</v>
      </c>
      <c r="DC384">
        <v>0.67</v>
      </c>
      <c r="DD384">
        <v>0</v>
      </c>
      <c r="DE384">
        <v>4971</v>
      </c>
      <c r="DF384">
        <v>905</v>
      </c>
      <c r="DG384" t="s">
        <v>116</v>
      </c>
      <c r="DH384" t="s">
        <v>116</v>
      </c>
      <c r="DI384" t="s">
        <v>116</v>
      </c>
    </row>
    <row r="385" spans="1:113" x14ac:dyDescent="0.4">
      <c r="A385" t="str">
        <f>"000906"</f>
        <v>000906</v>
      </c>
      <c r="B385" t="s">
        <v>2622</v>
      </c>
      <c r="C385">
        <v>-1.02</v>
      </c>
      <c r="D385">
        <v>5.8</v>
      </c>
      <c r="E385">
        <v>-0.06</v>
      </c>
      <c r="F385">
        <v>5.8</v>
      </c>
      <c r="G385">
        <v>5.81</v>
      </c>
      <c r="H385">
        <v>28831</v>
      </c>
      <c r="I385">
        <v>208</v>
      </c>
      <c r="J385">
        <v>-0.16</v>
      </c>
      <c r="K385">
        <v>0.44</v>
      </c>
      <c r="L385">
        <v>5.87</v>
      </c>
      <c r="M385">
        <v>5.91</v>
      </c>
      <c r="N385">
        <v>5.8</v>
      </c>
      <c r="O385">
        <v>5.86</v>
      </c>
      <c r="P385">
        <v>7.42</v>
      </c>
      <c r="Q385">
        <v>16931746</v>
      </c>
      <c r="R385">
        <v>0.8</v>
      </c>
      <c r="S385" t="s">
        <v>457</v>
      </c>
      <c r="T385" t="s">
        <v>590</v>
      </c>
      <c r="U385">
        <v>1.88</v>
      </c>
      <c r="V385">
        <v>5.87</v>
      </c>
      <c r="W385">
        <v>15818</v>
      </c>
      <c r="X385">
        <v>13013</v>
      </c>
      <c r="Y385">
        <v>1.22</v>
      </c>
      <c r="Z385">
        <v>705</v>
      </c>
      <c r="AA385">
        <v>607</v>
      </c>
      <c r="AB385" t="s">
        <v>116</v>
      </c>
      <c r="AC385">
        <v>1800</v>
      </c>
      <c r="AD385">
        <v>0</v>
      </c>
      <c r="AE385" t="s">
        <v>116</v>
      </c>
      <c r="AF385" t="s">
        <v>116</v>
      </c>
      <c r="AG385">
        <v>6.55</v>
      </c>
      <c r="AH385" t="s">
        <v>2623</v>
      </c>
      <c r="AI385" t="s">
        <v>2624</v>
      </c>
      <c r="AJ385">
        <v>-0.35</v>
      </c>
      <c r="AK385">
        <v>709</v>
      </c>
      <c r="AL385">
        <v>41</v>
      </c>
      <c r="AM385">
        <v>5.9999999999999995E-4</v>
      </c>
      <c r="AN385">
        <v>-1</v>
      </c>
      <c r="AO385">
        <v>0</v>
      </c>
      <c r="AP385">
        <v>4.5</v>
      </c>
      <c r="AQ385">
        <v>-1.53</v>
      </c>
      <c r="AR385">
        <v>22.37</v>
      </c>
      <c r="AS385">
        <v>0.93</v>
      </c>
      <c r="AT385" t="s">
        <v>1504</v>
      </c>
      <c r="AU385">
        <v>7.94</v>
      </c>
      <c r="AV385">
        <v>12.79</v>
      </c>
      <c r="AW385">
        <v>1.06</v>
      </c>
      <c r="BA385">
        <v>0.17</v>
      </c>
      <c r="BB385">
        <v>0.85</v>
      </c>
      <c r="BC385">
        <v>-1.02</v>
      </c>
      <c r="BD385">
        <v>0.22</v>
      </c>
      <c r="BE385">
        <v>-1.19</v>
      </c>
      <c r="BF385">
        <v>-1.86</v>
      </c>
      <c r="BG385">
        <v>0</v>
      </c>
      <c r="BH385">
        <v>-1.24</v>
      </c>
      <c r="BI385">
        <v>20191026</v>
      </c>
      <c r="BJ385">
        <v>19990707</v>
      </c>
      <c r="BK385">
        <v>6.75</v>
      </c>
      <c r="BL385" t="s">
        <v>116</v>
      </c>
      <c r="BM385" t="s">
        <v>116</v>
      </c>
      <c r="BN385">
        <v>176.59</v>
      </c>
      <c r="BO385">
        <v>31.03</v>
      </c>
      <c r="BP385">
        <v>1.77</v>
      </c>
      <c r="BQ385">
        <v>81.42</v>
      </c>
      <c r="BR385">
        <v>163.89</v>
      </c>
      <c r="BS385">
        <v>3.37</v>
      </c>
      <c r="BT385">
        <v>1.28</v>
      </c>
      <c r="BU385">
        <v>142.58000000000001</v>
      </c>
      <c r="BV385">
        <v>44.9</v>
      </c>
      <c r="BW385">
        <v>40.590000000000003</v>
      </c>
      <c r="BX385">
        <v>6.28</v>
      </c>
      <c r="BY385">
        <v>494.18</v>
      </c>
      <c r="BZ385">
        <v>482.54</v>
      </c>
      <c r="CA385">
        <v>5.63</v>
      </c>
      <c r="CB385">
        <v>1.82</v>
      </c>
      <c r="CC385">
        <v>5.64</v>
      </c>
      <c r="CD385">
        <v>4.3099999999999996</v>
      </c>
      <c r="CE385">
        <v>3.95</v>
      </c>
      <c r="CF385">
        <v>2.58</v>
      </c>
      <c r="CG385">
        <v>10.119999999999999</v>
      </c>
      <c r="CH385">
        <v>-32.770000000000003</v>
      </c>
      <c r="CI385">
        <v>-0.84</v>
      </c>
      <c r="CJ385">
        <v>21901</v>
      </c>
      <c r="CK385">
        <v>14134</v>
      </c>
      <c r="CL385" t="s">
        <v>1457</v>
      </c>
      <c r="CM385">
        <v>89.51</v>
      </c>
      <c r="CN385">
        <v>7.95</v>
      </c>
      <c r="CO385">
        <v>1.66</v>
      </c>
      <c r="CP385">
        <v>-1.19</v>
      </c>
      <c r="CQ385">
        <v>0.08</v>
      </c>
      <c r="CR385">
        <v>2.59</v>
      </c>
      <c r="CS385" t="s">
        <v>2154</v>
      </c>
      <c r="CT385">
        <v>3.49</v>
      </c>
      <c r="CU385">
        <v>3.49</v>
      </c>
      <c r="CV385">
        <v>0.93</v>
      </c>
      <c r="CW385">
        <v>1.5</v>
      </c>
      <c r="CX385">
        <v>-4.8600000000000003</v>
      </c>
      <c r="CY385">
        <v>17.57</v>
      </c>
      <c r="CZ385" t="s">
        <v>2625</v>
      </c>
      <c r="DA385">
        <v>2.36</v>
      </c>
      <c r="DB385">
        <v>1.1399999999999999</v>
      </c>
      <c r="DC385">
        <v>0.8</v>
      </c>
      <c r="DD385">
        <v>0</v>
      </c>
      <c r="DE385">
        <v>1769</v>
      </c>
      <c r="DF385">
        <v>906</v>
      </c>
      <c r="DG385" t="s">
        <v>116</v>
      </c>
      <c r="DH385" t="s">
        <v>116</v>
      </c>
      <c r="DI385" t="s">
        <v>116</v>
      </c>
    </row>
    <row r="386" spans="1:113" x14ac:dyDescent="0.4">
      <c r="A386" t="str">
        <f>"000908"</f>
        <v>000908</v>
      </c>
      <c r="B386" t="s">
        <v>2626</v>
      </c>
      <c r="C386">
        <v>-0.82</v>
      </c>
      <c r="D386">
        <v>3.65</v>
      </c>
      <c r="E386">
        <v>-0.03</v>
      </c>
      <c r="F386">
        <v>3.65</v>
      </c>
      <c r="G386">
        <v>3.66</v>
      </c>
      <c r="H386">
        <v>105531</v>
      </c>
      <c r="I386">
        <v>2201</v>
      </c>
      <c r="J386">
        <v>-0.53</v>
      </c>
      <c r="K386">
        <v>1.49</v>
      </c>
      <c r="L386">
        <v>3.67</v>
      </c>
      <c r="M386">
        <v>3.7</v>
      </c>
      <c r="N386">
        <v>3.65</v>
      </c>
      <c r="O386">
        <v>3.68</v>
      </c>
      <c r="P386" t="s">
        <v>116</v>
      </c>
      <c r="Q386">
        <v>38829988</v>
      </c>
      <c r="R386">
        <v>0.75</v>
      </c>
      <c r="S386" t="s">
        <v>574</v>
      </c>
      <c r="T386" t="s">
        <v>599</v>
      </c>
      <c r="U386">
        <v>1.36</v>
      </c>
      <c r="V386">
        <v>3.68</v>
      </c>
      <c r="W386">
        <v>58886</v>
      </c>
      <c r="X386">
        <v>46645</v>
      </c>
      <c r="Y386">
        <v>1.26</v>
      </c>
      <c r="Z386">
        <v>3494</v>
      </c>
      <c r="AA386">
        <v>388</v>
      </c>
      <c r="AB386" t="s">
        <v>116</v>
      </c>
      <c r="AC386">
        <v>56500</v>
      </c>
      <c r="AD386">
        <v>0</v>
      </c>
      <c r="AE386" t="s">
        <v>116</v>
      </c>
      <c r="AF386" t="s">
        <v>116</v>
      </c>
      <c r="AG386">
        <v>7.08</v>
      </c>
      <c r="AH386" t="s">
        <v>2627</v>
      </c>
      <c r="AI386" t="s">
        <v>2628</v>
      </c>
      <c r="AJ386">
        <v>-0.14000000000000001</v>
      </c>
      <c r="AK386">
        <v>1000</v>
      </c>
      <c r="AL386">
        <v>106</v>
      </c>
      <c r="AM386">
        <v>1.5E-3</v>
      </c>
      <c r="AN386">
        <v>-1</v>
      </c>
      <c r="AO386">
        <v>-0.82</v>
      </c>
      <c r="AP386">
        <v>-1.08</v>
      </c>
      <c r="AQ386">
        <v>-16.09</v>
      </c>
      <c r="AR386">
        <v>-17.79</v>
      </c>
      <c r="AS386">
        <v>2.04</v>
      </c>
      <c r="AT386" t="s">
        <v>2629</v>
      </c>
      <c r="AU386" t="s">
        <v>116</v>
      </c>
      <c r="AV386">
        <v>17.190000000000001</v>
      </c>
      <c r="AW386">
        <v>0.94</v>
      </c>
      <c r="BA386">
        <v>-0.27</v>
      </c>
      <c r="BB386">
        <v>0.54</v>
      </c>
      <c r="BC386">
        <v>-0.82</v>
      </c>
      <c r="BD386">
        <v>-0.01</v>
      </c>
      <c r="BE386">
        <v>-0.54</v>
      </c>
      <c r="BF386">
        <v>-1.35</v>
      </c>
      <c r="BG386">
        <v>0</v>
      </c>
      <c r="BH386">
        <v>-0.8</v>
      </c>
      <c r="BI386">
        <v>20191105</v>
      </c>
      <c r="BJ386">
        <v>19990203</v>
      </c>
      <c r="BK386">
        <v>8.8000000000000007</v>
      </c>
      <c r="BL386" t="s">
        <v>116</v>
      </c>
      <c r="BM386" t="s">
        <v>116</v>
      </c>
      <c r="BN386">
        <v>57.43</v>
      </c>
      <c r="BO386">
        <v>23.28</v>
      </c>
      <c r="BP386">
        <v>3.71</v>
      </c>
      <c r="BQ386">
        <v>52.99</v>
      </c>
      <c r="BR386">
        <v>28.82</v>
      </c>
      <c r="BS386">
        <v>9.52</v>
      </c>
      <c r="BT386">
        <v>1.29</v>
      </c>
      <c r="BU386">
        <v>18.12</v>
      </c>
      <c r="BV386">
        <v>3.21</v>
      </c>
      <c r="BW386">
        <v>7.15</v>
      </c>
      <c r="BX386">
        <v>6.48</v>
      </c>
      <c r="BY386">
        <v>10.33</v>
      </c>
      <c r="BZ386">
        <v>3.59</v>
      </c>
      <c r="CA386">
        <v>-1.43</v>
      </c>
      <c r="CB386">
        <v>0.78</v>
      </c>
      <c r="CC386">
        <v>-1.47</v>
      </c>
      <c r="CD386">
        <v>-1.64</v>
      </c>
      <c r="CE386">
        <v>-1.43</v>
      </c>
      <c r="CF386">
        <v>-2.31</v>
      </c>
      <c r="CG386">
        <v>11.53</v>
      </c>
      <c r="CH386">
        <v>0.44</v>
      </c>
      <c r="CI386">
        <v>6.05</v>
      </c>
      <c r="CJ386">
        <v>35089</v>
      </c>
      <c r="CK386">
        <v>14737</v>
      </c>
      <c r="CL386" t="s">
        <v>2630</v>
      </c>
      <c r="CM386">
        <v>-222.48</v>
      </c>
      <c r="CN386">
        <v>-30.76</v>
      </c>
      <c r="CO386">
        <v>1.38</v>
      </c>
      <c r="CP386">
        <v>72.72</v>
      </c>
      <c r="CQ386">
        <v>3.11</v>
      </c>
      <c r="CR386">
        <v>0</v>
      </c>
      <c r="CS386" t="s">
        <v>2631</v>
      </c>
      <c r="CT386">
        <v>2.65</v>
      </c>
      <c r="CU386">
        <v>0</v>
      </c>
      <c r="CV386">
        <v>0.74</v>
      </c>
      <c r="CW386">
        <v>1.31</v>
      </c>
      <c r="CX386">
        <v>0.05</v>
      </c>
      <c r="CY386">
        <v>40.54</v>
      </c>
      <c r="CZ386" t="s">
        <v>2632</v>
      </c>
      <c r="DA386">
        <v>65.290000000000006</v>
      </c>
      <c r="DB386">
        <v>-13.88</v>
      </c>
      <c r="DC386">
        <v>-13.84</v>
      </c>
      <c r="DD386">
        <v>1.01</v>
      </c>
      <c r="DE386">
        <v>3110</v>
      </c>
      <c r="DF386">
        <v>908</v>
      </c>
      <c r="DG386" t="s">
        <v>116</v>
      </c>
      <c r="DH386" t="s">
        <v>116</v>
      </c>
      <c r="DI386" t="s">
        <v>116</v>
      </c>
    </row>
    <row r="387" spans="1:113" x14ac:dyDescent="0.4">
      <c r="A387" t="str">
        <f>"000909"</f>
        <v>000909</v>
      </c>
      <c r="B387" t="s">
        <v>2633</v>
      </c>
      <c r="C387">
        <v>-2.99</v>
      </c>
      <c r="D387">
        <v>7.78</v>
      </c>
      <c r="E387">
        <v>-0.24</v>
      </c>
      <c r="F387">
        <v>7.78</v>
      </c>
      <c r="G387">
        <v>7.79</v>
      </c>
      <c r="H387">
        <v>68398</v>
      </c>
      <c r="I387">
        <v>520</v>
      </c>
      <c r="J387">
        <v>-0.12</v>
      </c>
      <c r="K387">
        <v>2.2000000000000002</v>
      </c>
      <c r="L387">
        <v>8.0500000000000007</v>
      </c>
      <c r="M387">
        <v>8.0500000000000007</v>
      </c>
      <c r="N387">
        <v>7.78</v>
      </c>
      <c r="O387">
        <v>8.02</v>
      </c>
      <c r="P387">
        <v>90.01</v>
      </c>
      <c r="Q387">
        <v>54124624</v>
      </c>
      <c r="R387">
        <v>1.06</v>
      </c>
      <c r="S387" t="s">
        <v>173</v>
      </c>
      <c r="T387" t="s">
        <v>590</v>
      </c>
      <c r="U387">
        <v>3.37</v>
      </c>
      <c r="V387">
        <v>7.91</v>
      </c>
      <c r="W387">
        <v>38933</v>
      </c>
      <c r="X387">
        <v>29465</v>
      </c>
      <c r="Y387">
        <v>1.32</v>
      </c>
      <c r="Z387">
        <v>558</v>
      </c>
      <c r="AA387">
        <v>200</v>
      </c>
      <c r="AB387" t="s">
        <v>116</v>
      </c>
      <c r="AC387">
        <v>117500</v>
      </c>
      <c r="AD387">
        <v>0.01</v>
      </c>
      <c r="AE387" t="s">
        <v>116</v>
      </c>
      <c r="AF387" t="s">
        <v>116</v>
      </c>
      <c r="AG387">
        <v>3.11</v>
      </c>
      <c r="AH387" t="s">
        <v>2634</v>
      </c>
      <c r="AI387" t="s">
        <v>2635</v>
      </c>
      <c r="AJ387">
        <v>-2.31</v>
      </c>
      <c r="AK387">
        <v>1692</v>
      </c>
      <c r="AL387">
        <v>40</v>
      </c>
      <c r="AM387">
        <v>1.2999999999999999E-3</v>
      </c>
      <c r="AN387">
        <v>-1</v>
      </c>
      <c r="AO387">
        <v>-2.14</v>
      </c>
      <c r="AP387">
        <v>7.31</v>
      </c>
      <c r="AQ387">
        <v>-10.88</v>
      </c>
      <c r="AR387">
        <v>17.52</v>
      </c>
      <c r="AS387">
        <v>4.01</v>
      </c>
      <c r="AT387" t="s">
        <v>2636</v>
      </c>
      <c r="AU387">
        <v>82.91</v>
      </c>
      <c r="AV387">
        <v>65.819999999999993</v>
      </c>
      <c r="AW387">
        <v>1.69</v>
      </c>
      <c r="BA387">
        <v>0.37</v>
      </c>
      <c r="BB387">
        <v>0.37</v>
      </c>
      <c r="BC387">
        <v>-2.99</v>
      </c>
      <c r="BD387">
        <v>-1.33</v>
      </c>
      <c r="BE387">
        <v>-3.35</v>
      </c>
      <c r="BF387">
        <v>-3.35</v>
      </c>
      <c r="BG387">
        <v>0</v>
      </c>
      <c r="BH387">
        <v>-1.66</v>
      </c>
      <c r="BI387">
        <v>20191031</v>
      </c>
      <c r="BJ387">
        <v>19990507</v>
      </c>
      <c r="BK387">
        <v>3.12</v>
      </c>
      <c r="BL387" t="s">
        <v>116</v>
      </c>
      <c r="BM387" t="s">
        <v>116</v>
      </c>
      <c r="BN387">
        <v>34.270000000000003</v>
      </c>
      <c r="BO387">
        <v>10.65</v>
      </c>
      <c r="BP387">
        <v>2.04</v>
      </c>
      <c r="BQ387">
        <v>62.97</v>
      </c>
      <c r="BR387">
        <v>24.88</v>
      </c>
      <c r="BS387">
        <v>0.2</v>
      </c>
      <c r="BT387">
        <v>0.06</v>
      </c>
      <c r="BU387">
        <v>20.12</v>
      </c>
      <c r="BV387">
        <v>8.3800000000000008</v>
      </c>
      <c r="BW387">
        <v>1.9</v>
      </c>
      <c r="BX387">
        <v>4.72</v>
      </c>
      <c r="BY387">
        <v>7.79</v>
      </c>
      <c r="BZ387">
        <v>6.09</v>
      </c>
      <c r="CA387">
        <v>0.38</v>
      </c>
      <c r="CB387">
        <v>-0.02</v>
      </c>
      <c r="CC387">
        <v>0.36</v>
      </c>
      <c r="CD387">
        <v>0.27</v>
      </c>
      <c r="CE387">
        <v>0.2</v>
      </c>
      <c r="CF387">
        <v>0.11</v>
      </c>
      <c r="CG387">
        <v>2.61</v>
      </c>
      <c r="CH387">
        <v>-0.49</v>
      </c>
      <c r="CI387">
        <v>0.51</v>
      </c>
      <c r="CJ387">
        <v>38886</v>
      </c>
      <c r="CK387">
        <v>4391</v>
      </c>
      <c r="CL387" t="s">
        <v>2637</v>
      </c>
      <c r="CM387">
        <v>-27.31</v>
      </c>
      <c r="CN387">
        <v>-39.130000000000003</v>
      </c>
      <c r="CO387">
        <v>2.2799999999999998</v>
      </c>
      <c r="CP387">
        <v>-49.45</v>
      </c>
      <c r="CQ387">
        <v>3.12</v>
      </c>
      <c r="CR387">
        <v>0</v>
      </c>
      <c r="CS387" t="s">
        <v>2638</v>
      </c>
      <c r="CT387">
        <v>3.41</v>
      </c>
      <c r="CU387">
        <v>0</v>
      </c>
      <c r="CV387">
        <v>1.51</v>
      </c>
      <c r="CW387">
        <v>0.83</v>
      </c>
      <c r="CX387">
        <v>-0.16</v>
      </c>
      <c r="CY387">
        <v>31.07</v>
      </c>
      <c r="CZ387" t="s">
        <v>2435</v>
      </c>
      <c r="DA387">
        <v>21.79</v>
      </c>
      <c r="DB387">
        <v>4.84</v>
      </c>
      <c r="DC387">
        <v>2.6</v>
      </c>
      <c r="DD387">
        <v>0.27</v>
      </c>
      <c r="DE387">
        <v>457</v>
      </c>
      <c r="DF387">
        <v>909</v>
      </c>
      <c r="DG387" t="s">
        <v>116</v>
      </c>
      <c r="DH387" t="s">
        <v>116</v>
      </c>
      <c r="DI387" t="s">
        <v>116</v>
      </c>
    </row>
    <row r="388" spans="1:113" x14ac:dyDescent="0.4">
      <c r="A388" t="str">
        <f>"000910"</f>
        <v>000910</v>
      </c>
      <c r="B388" t="s">
        <v>2639</v>
      </c>
      <c r="C388">
        <v>0.22</v>
      </c>
      <c r="D388">
        <v>13.41</v>
      </c>
      <c r="E388">
        <v>0.03</v>
      </c>
      <c r="F388">
        <v>13.41</v>
      </c>
      <c r="G388">
        <v>13.42</v>
      </c>
      <c r="H388">
        <v>75174</v>
      </c>
      <c r="I388">
        <v>432</v>
      </c>
      <c r="J388">
        <v>-0.44</v>
      </c>
      <c r="K388">
        <v>1.39</v>
      </c>
      <c r="L388">
        <v>13.41</v>
      </c>
      <c r="M388">
        <v>13.67</v>
      </c>
      <c r="N388">
        <v>13.32</v>
      </c>
      <c r="O388">
        <v>13.38</v>
      </c>
      <c r="P388">
        <v>11.91</v>
      </c>
      <c r="Q388">
        <v>101488536</v>
      </c>
      <c r="R388">
        <v>0.96</v>
      </c>
      <c r="S388" t="s">
        <v>2640</v>
      </c>
      <c r="T388" t="s">
        <v>323</v>
      </c>
      <c r="U388">
        <v>2.62</v>
      </c>
      <c r="V388">
        <v>13.5</v>
      </c>
      <c r="W388">
        <v>30094</v>
      </c>
      <c r="X388">
        <v>45080</v>
      </c>
      <c r="Y388">
        <v>0.67</v>
      </c>
      <c r="Z388">
        <v>44</v>
      </c>
      <c r="AA388">
        <v>101</v>
      </c>
      <c r="AB388" t="s">
        <v>116</v>
      </c>
      <c r="AC388">
        <v>104600</v>
      </c>
      <c r="AD388">
        <v>0</v>
      </c>
      <c r="AE388" t="s">
        <v>116</v>
      </c>
      <c r="AF388" t="s">
        <v>116</v>
      </c>
      <c r="AG388">
        <v>5.41</v>
      </c>
      <c r="AH388" t="s">
        <v>2641</v>
      </c>
      <c r="AI388" t="s">
        <v>2642</v>
      </c>
      <c r="AJ388">
        <v>0.9</v>
      </c>
      <c r="AK388">
        <v>2940</v>
      </c>
      <c r="AL388">
        <v>26</v>
      </c>
      <c r="AM388">
        <v>5.0000000000000001E-4</v>
      </c>
      <c r="AN388">
        <v>2</v>
      </c>
      <c r="AO388">
        <v>0.44</v>
      </c>
      <c r="AP388">
        <v>9.74</v>
      </c>
      <c r="AQ388">
        <v>25.68</v>
      </c>
      <c r="AR388">
        <v>31.73</v>
      </c>
      <c r="AS388">
        <v>2.62</v>
      </c>
      <c r="AT388" t="s">
        <v>2643</v>
      </c>
      <c r="AU388">
        <v>9.89</v>
      </c>
      <c r="AV388">
        <v>10.24</v>
      </c>
      <c r="AW388">
        <v>1.22</v>
      </c>
      <c r="BA388">
        <v>0.22</v>
      </c>
      <c r="BB388">
        <v>2.17</v>
      </c>
      <c r="BC388">
        <v>-0.45</v>
      </c>
      <c r="BD388">
        <v>0.9</v>
      </c>
      <c r="BE388">
        <v>0</v>
      </c>
      <c r="BF388">
        <v>-1.9</v>
      </c>
      <c r="BG388">
        <v>0.68</v>
      </c>
      <c r="BH388">
        <v>-0.68</v>
      </c>
      <c r="BI388">
        <v>20191226</v>
      </c>
      <c r="BJ388">
        <v>19990630</v>
      </c>
      <c r="BK388">
        <v>5.54</v>
      </c>
      <c r="BL388" t="s">
        <v>116</v>
      </c>
      <c r="BM388" t="s">
        <v>116</v>
      </c>
      <c r="BN388">
        <v>77.23</v>
      </c>
      <c r="BO388">
        <v>47.36</v>
      </c>
      <c r="BP388">
        <v>1.83</v>
      </c>
      <c r="BQ388">
        <v>36.31</v>
      </c>
      <c r="BR388">
        <v>50.17</v>
      </c>
      <c r="BS388">
        <v>13.33</v>
      </c>
      <c r="BT388">
        <v>5.72</v>
      </c>
      <c r="BU388">
        <v>27.73</v>
      </c>
      <c r="BV388">
        <v>21.18</v>
      </c>
      <c r="BW388">
        <v>10.85</v>
      </c>
      <c r="BX388">
        <v>3.11</v>
      </c>
      <c r="BY388">
        <v>51.14</v>
      </c>
      <c r="BZ388">
        <v>32.56</v>
      </c>
      <c r="CA388">
        <v>5.86</v>
      </c>
      <c r="CB388">
        <v>0.02</v>
      </c>
      <c r="CC388">
        <v>5.86</v>
      </c>
      <c r="CD388">
        <v>4.8099999999999996</v>
      </c>
      <c r="CE388">
        <v>4.68</v>
      </c>
      <c r="CF388">
        <v>4.59</v>
      </c>
      <c r="CG388">
        <v>36.950000000000003</v>
      </c>
      <c r="CH388">
        <v>1.37</v>
      </c>
      <c r="CI388">
        <v>-1.68</v>
      </c>
      <c r="CJ388">
        <v>16976</v>
      </c>
      <c r="CK388">
        <v>16885</v>
      </c>
      <c r="CL388" t="s">
        <v>2644</v>
      </c>
      <c r="CM388">
        <v>5.81</v>
      </c>
      <c r="CN388">
        <v>7.0000000000000007E-2</v>
      </c>
      <c r="CO388">
        <v>1.57</v>
      </c>
      <c r="CP388">
        <v>54.37</v>
      </c>
      <c r="CQ388">
        <v>1.45</v>
      </c>
      <c r="CR388">
        <v>0.97</v>
      </c>
      <c r="CS388" t="s">
        <v>2645</v>
      </c>
      <c r="CT388">
        <v>8.5500000000000007</v>
      </c>
      <c r="CU388">
        <v>0</v>
      </c>
      <c r="CV388">
        <v>0.56000000000000005</v>
      </c>
      <c r="CW388">
        <v>6.67</v>
      </c>
      <c r="CX388">
        <v>0.25</v>
      </c>
      <c r="CY388">
        <v>61.32</v>
      </c>
      <c r="CZ388" t="s">
        <v>2646</v>
      </c>
      <c r="DA388">
        <v>36.33</v>
      </c>
      <c r="DB388">
        <v>11.47</v>
      </c>
      <c r="DC388">
        <v>9.15</v>
      </c>
      <c r="DD388">
        <v>1.1399999999999999</v>
      </c>
      <c r="DE388">
        <v>5241</v>
      </c>
      <c r="DF388">
        <v>910</v>
      </c>
      <c r="DG388" t="s">
        <v>116</v>
      </c>
      <c r="DH388" t="s">
        <v>116</v>
      </c>
      <c r="DI388" t="s">
        <v>116</v>
      </c>
    </row>
    <row r="389" spans="1:113" x14ac:dyDescent="0.4">
      <c r="A389" t="str">
        <f>"000911"</f>
        <v>000911</v>
      </c>
      <c r="B389" t="s">
        <v>2647</v>
      </c>
      <c r="C389">
        <v>-1.32</v>
      </c>
      <c r="D389">
        <v>6</v>
      </c>
      <c r="E389">
        <v>-0.08</v>
      </c>
      <c r="F389">
        <v>6</v>
      </c>
      <c r="G389">
        <v>6.01</v>
      </c>
      <c r="H389">
        <v>34216</v>
      </c>
      <c r="I389">
        <v>635</v>
      </c>
      <c r="J389">
        <v>-0.16</v>
      </c>
      <c r="K389">
        <v>1.06</v>
      </c>
      <c r="L389">
        <v>6.05</v>
      </c>
      <c r="M389">
        <v>6.23</v>
      </c>
      <c r="N389">
        <v>6</v>
      </c>
      <c r="O389">
        <v>6.08</v>
      </c>
      <c r="P389" t="s">
        <v>116</v>
      </c>
      <c r="Q389">
        <v>20803976</v>
      </c>
      <c r="R389">
        <v>0.52</v>
      </c>
      <c r="S389" t="s">
        <v>863</v>
      </c>
      <c r="T389" t="s">
        <v>982</v>
      </c>
      <c r="U389">
        <v>3.78</v>
      </c>
      <c r="V389">
        <v>6.08</v>
      </c>
      <c r="W389">
        <v>19196</v>
      </c>
      <c r="X389">
        <v>15020</v>
      </c>
      <c r="Y389">
        <v>1.28</v>
      </c>
      <c r="Z389">
        <v>134</v>
      </c>
      <c r="AA389">
        <v>73</v>
      </c>
      <c r="AB389" t="s">
        <v>116</v>
      </c>
      <c r="AC389">
        <v>98600</v>
      </c>
      <c r="AD389">
        <v>0.01</v>
      </c>
      <c r="AE389" t="s">
        <v>116</v>
      </c>
      <c r="AF389" t="s">
        <v>116</v>
      </c>
      <c r="AG389">
        <v>3.24</v>
      </c>
      <c r="AH389" t="s">
        <v>2648</v>
      </c>
      <c r="AI389" t="s">
        <v>2648</v>
      </c>
      <c r="AJ389">
        <v>-0.64</v>
      </c>
      <c r="AK389">
        <v>785</v>
      </c>
      <c r="AL389">
        <v>44</v>
      </c>
      <c r="AM389">
        <v>1.2999999999999999E-3</v>
      </c>
      <c r="AN389">
        <v>-1</v>
      </c>
      <c r="AO389">
        <v>0.67</v>
      </c>
      <c r="AP389">
        <v>19.760000000000002</v>
      </c>
      <c r="AQ389">
        <v>8.6999999999999993</v>
      </c>
      <c r="AR389">
        <v>9.69</v>
      </c>
      <c r="AS389">
        <v>1.83</v>
      </c>
      <c r="AT389" t="s">
        <v>721</v>
      </c>
      <c r="AU389" t="s">
        <v>116</v>
      </c>
      <c r="AV389" t="s">
        <v>116</v>
      </c>
      <c r="AW389">
        <v>0.41</v>
      </c>
      <c r="BA389">
        <v>-0.49</v>
      </c>
      <c r="BB389">
        <v>2.4700000000000002</v>
      </c>
      <c r="BC389">
        <v>-1.32</v>
      </c>
      <c r="BD389">
        <v>0</v>
      </c>
      <c r="BE389">
        <v>-0.83</v>
      </c>
      <c r="BF389">
        <v>-3.69</v>
      </c>
      <c r="BG389">
        <v>0</v>
      </c>
      <c r="BH389">
        <v>-1.32</v>
      </c>
      <c r="BI389">
        <v>20191111</v>
      </c>
      <c r="BJ389">
        <v>19990527</v>
      </c>
      <c r="BK389">
        <v>3.24</v>
      </c>
      <c r="BL389" t="s">
        <v>116</v>
      </c>
      <c r="BM389" t="s">
        <v>116</v>
      </c>
      <c r="BN389">
        <v>55.71</v>
      </c>
      <c r="BO389">
        <v>-5</v>
      </c>
      <c r="BP389">
        <v>-0.15</v>
      </c>
      <c r="BQ389">
        <v>109.26</v>
      </c>
      <c r="BR389">
        <v>24.04</v>
      </c>
      <c r="BS389">
        <v>14.99</v>
      </c>
      <c r="BT389">
        <v>5.53</v>
      </c>
      <c r="BU389">
        <v>47.11</v>
      </c>
      <c r="BV389">
        <v>6.42</v>
      </c>
      <c r="BW389">
        <v>3.59</v>
      </c>
      <c r="BX389">
        <v>14.4</v>
      </c>
      <c r="BY389">
        <v>25.41</v>
      </c>
      <c r="BZ389">
        <v>25.05</v>
      </c>
      <c r="CA389">
        <v>-5.45</v>
      </c>
      <c r="CB389">
        <v>0.32</v>
      </c>
      <c r="CC389">
        <v>-5.45</v>
      </c>
      <c r="CD389">
        <v>-5.49</v>
      </c>
      <c r="CE389">
        <v>-5.39</v>
      </c>
      <c r="CF389">
        <v>-6.07</v>
      </c>
      <c r="CG389">
        <v>-24.16</v>
      </c>
      <c r="CH389">
        <v>-6.69</v>
      </c>
      <c r="CI389">
        <v>-1.91</v>
      </c>
      <c r="CJ389">
        <v>40000</v>
      </c>
      <c r="CK389">
        <v>4683</v>
      </c>
      <c r="CL389" t="s">
        <v>2649</v>
      </c>
      <c r="CM389">
        <v>16.829999999999998</v>
      </c>
      <c r="CN389">
        <v>-10.73</v>
      </c>
      <c r="CO389">
        <v>-3.89</v>
      </c>
      <c r="CP389">
        <v>-2.91</v>
      </c>
      <c r="CQ389">
        <v>0.77</v>
      </c>
      <c r="CR389">
        <v>0</v>
      </c>
      <c r="CS389" t="s">
        <v>2650</v>
      </c>
      <c r="CT389">
        <v>-1.54</v>
      </c>
      <c r="CU389">
        <v>0</v>
      </c>
      <c r="CV389">
        <v>4.4400000000000004</v>
      </c>
      <c r="CW389">
        <v>-7.45</v>
      </c>
      <c r="CX389">
        <v>-2.06</v>
      </c>
      <c r="CY389">
        <v>-8.98</v>
      </c>
      <c r="CZ389" t="s">
        <v>116</v>
      </c>
      <c r="DA389">
        <v>1.43</v>
      </c>
      <c r="DB389">
        <v>-21.44</v>
      </c>
      <c r="DC389">
        <v>-21.2</v>
      </c>
      <c r="DD389">
        <v>0.03</v>
      </c>
      <c r="DE389">
        <v>4534</v>
      </c>
      <c r="DF389">
        <v>911</v>
      </c>
      <c r="DG389" t="s">
        <v>116</v>
      </c>
      <c r="DH389" t="s">
        <v>116</v>
      </c>
      <c r="DI389" t="s">
        <v>116</v>
      </c>
    </row>
    <row r="390" spans="1:113" x14ac:dyDescent="0.4">
      <c r="A390" t="str">
        <f>"000912"</f>
        <v>000912</v>
      </c>
      <c r="B390" t="s">
        <v>2651</v>
      </c>
      <c r="C390">
        <v>-1.65</v>
      </c>
      <c r="D390">
        <v>4.78</v>
      </c>
      <c r="E390">
        <v>-0.08</v>
      </c>
      <c r="F390">
        <v>4.7699999999999996</v>
      </c>
      <c r="G390">
        <v>4.78</v>
      </c>
      <c r="H390">
        <v>61111</v>
      </c>
      <c r="I390">
        <v>849</v>
      </c>
      <c r="J390">
        <v>0</v>
      </c>
      <c r="K390">
        <v>0.39</v>
      </c>
      <c r="L390">
        <v>4.87</v>
      </c>
      <c r="M390">
        <v>4.88</v>
      </c>
      <c r="N390">
        <v>4.76</v>
      </c>
      <c r="O390">
        <v>4.8600000000000003</v>
      </c>
      <c r="P390">
        <v>27.53</v>
      </c>
      <c r="Q390">
        <v>29537784</v>
      </c>
      <c r="R390">
        <v>1.05</v>
      </c>
      <c r="S390" t="s">
        <v>697</v>
      </c>
      <c r="T390" t="s">
        <v>582</v>
      </c>
      <c r="U390">
        <v>2.4700000000000002</v>
      </c>
      <c r="V390">
        <v>4.83</v>
      </c>
      <c r="W390">
        <v>35887</v>
      </c>
      <c r="X390">
        <v>25224</v>
      </c>
      <c r="Y390">
        <v>1.42</v>
      </c>
      <c r="Z390">
        <v>1146</v>
      </c>
      <c r="AA390">
        <v>2869</v>
      </c>
      <c r="AB390" t="s">
        <v>116</v>
      </c>
      <c r="AC390">
        <v>58900</v>
      </c>
      <c r="AD390">
        <v>0</v>
      </c>
      <c r="AE390" t="s">
        <v>116</v>
      </c>
      <c r="AF390" t="s">
        <v>116</v>
      </c>
      <c r="AG390">
        <v>15.68</v>
      </c>
      <c r="AH390" t="s">
        <v>2652</v>
      </c>
      <c r="AI390" t="s">
        <v>2652</v>
      </c>
      <c r="AJ390">
        <v>-0.97</v>
      </c>
      <c r="AK390">
        <v>1127</v>
      </c>
      <c r="AL390">
        <v>54</v>
      </c>
      <c r="AM390">
        <v>2.9999999999999997E-4</v>
      </c>
      <c r="AN390">
        <v>-1</v>
      </c>
      <c r="AO390">
        <v>0</v>
      </c>
      <c r="AP390">
        <v>3.91</v>
      </c>
      <c r="AQ390">
        <v>-6.09</v>
      </c>
      <c r="AR390">
        <v>0.84</v>
      </c>
      <c r="AS390">
        <v>0.95</v>
      </c>
      <c r="AT390" t="s">
        <v>2653</v>
      </c>
      <c r="AU390">
        <v>42.24</v>
      </c>
      <c r="AV390">
        <v>21.32</v>
      </c>
      <c r="AW390">
        <v>1.07</v>
      </c>
      <c r="BA390">
        <v>0.21</v>
      </c>
      <c r="BB390">
        <v>0.41</v>
      </c>
      <c r="BC390">
        <v>-2.06</v>
      </c>
      <c r="BD390">
        <v>-0.55000000000000004</v>
      </c>
      <c r="BE390">
        <v>-1.85</v>
      </c>
      <c r="BF390">
        <v>-2.0499999999999998</v>
      </c>
      <c r="BG390">
        <v>0.42</v>
      </c>
      <c r="BH390">
        <v>-1.1000000000000001</v>
      </c>
      <c r="BI390">
        <v>20191031</v>
      </c>
      <c r="BJ390">
        <v>19990603</v>
      </c>
      <c r="BK390">
        <v>15.68</v>
      </c>
      <c r="BL390" t="s">
        <v>116</v>
      </c>
      <c r="BM390" t="s">
        <v>116</v>
      </c>
      <c r="BN390">
        <v>71.739999999999995</v>
      </c>
      <c r="BO390">
        <v>49.61</v>
      </c>
      <c r="BP390">
        <v>-0.03</v>
      </c>
      <c r="BQ390">
        <v>30.88</v>
      </c>
      <c r="BR390">
        <v>23.82</v>
      </c>
      <c r="BS390">
        <v>43.12</v>
      </c>
      <c r="BT390">
        <v>1.97</v>
      </c>
      <c r="BU390">
        <v>11.96</v>
      </c>
      <c r="BV390">
        <v>4.97</v>
      </c>
      <c r="BW390">
        <v>0.48</v>
      </c>
      <c r="BX390">
        <v>57.6</v>
      </c>
      <c r="BY390">
        <v>42.4</v>
      </c>
      <c r="BZ390">
        <v>37.5</v>
      </c>
      <c r="CA390">
        <v>1.83</v>
      </c>
      <c r="CB390">
        <v>0.06</v>
      </c>
      <c r="CC390">
        <v>2.04</v>
      </c>
      <c r="CD390">
        <v>2.02</v>
      </c>
      <c r="CE390">
        <v>2.04</v>
      </c>
      <c r="CF390">
        <v>1.73</v>
      </c>
      <c r="CG390">
        <v>-28.63</v>
      </c>
      <c r="CH390">
        <v>-0.19</v>
      </c>
      <c r="CI390">
        <v>-7.9</v>
      </c>
      <c r="CJ390">
        <v>53753</v>
      </c>
      <c r="CK390">
        <v>12006</v>
      </c>
      <c r="CL390" t="s">
        <v>2654</v>
      </c>
      <c r="CM390">
        <v>-46.03</v>
      </c>
      <c r="CN390">
        <v>28.91</v>
      </c>
      <c r="CO390">
        <v>1.51</v>
      </c>
      <c r="CP390">
        <v>-387.02</v>
      </c>
      <c r="CQ390">
        <v>1.77</v>
      </c>
      <c r="CR390">
        <v>0</v>
      </c>
      <c r="CS390" t="s">
        <v>2655</v>
      </c>
      <c r="CT390">
        <v>3.16</v>
      </c>
      <c r="CU390">
        <v>0</v>
      </c>
      <c r="CV390">
        <v>3.67</v>
      </c>
      <c r="CW390">
        <v>-1.83</v>
      </c>
      <c r="CX390">
        <v>-0.01</v>
      </c>
      <c r="CY390">
        <v>69.150000000000006</v>
      </c>
      <c r="CZ390" t="s">
        <v>1361</v>
      </c>
      <c r="DA390">
        <v>11.55</v>
      </c>
      <c r="DB390">
        <v>4.3099999999999996</v>
      </c>
      <c r="DC390">
        <v>4.82</v>
      </c>
      <c r="DD390">
        <v>0.02</v>
      </c>
      <c r="DE390">
        <v>3398</v>
      </c>
      <c r="DF390">
        <v>912</v>
      </c>
      <c r="DG390" t="s">
        <v>116</v>
      </c>
      <c r="DH390" t="s">
        <v>116</v>
      </c>
      <c r="DI390" t="s">
        <v>116</v>
      </c>
    </row>
    <row r="391" spans="1:113" x14ac:dyDescent="0.4">
      <c r="A391" t="str">
        <f>"000913"</f>
        <v>000913</v>
      </c>
      <c r="B391" t="s">
        <v>2656</v>
      </c>
      <c r="C391">
        <v>-2.72</v>
      </c>
      <c r="D391">
        <v>10.71</v>
      </c>
      <c r="E391">
        <v>-0.3</v>
      </c>
      <c r="F391">
        <v>10.71</v>
      </c>
      <c r="G391">
        <v>10.72</v>
      </c>
      <c r="H391">
        <v>38832</v>
      </c>
      <c r="I391">
        <v>422</v>
      </c>
      <c r="J391">
        <v>-0.08</v>
      </c>
      <c r="K391">
        <v>0.86</v>
      </c>
      <c r="L391">
        <v>11</v>
      </c>
      <c r="M391">
        <v>11.09</v>
      </c>
      <c r="N391">
        <v>10.7</v>
      </c>
      <c r="O391">
        <v>11.01</v>
      </c>
      <c r="P391">
        <v>12.17</v>
      </c>
      <c r="Q391">
        <v>42145736</v>
      </c>
      <c r="R391">
        <v>1.0900000000000001</v>
      </c>
      <c r="S391" t="s">
        <v>2657</v>
      </c>
      <c r="T391" t="s">
        <v>590</v>
      </c>
      <c r="U391">
        <v>3.54</v>
      </c>
      <c r="V391">
        <v>10.85</v>
      </c>
      <c r="W391">
        <v>25010</v>
      </c>
      <c r="X391">
        <v>13822</v>
      </c>
      <c r="Y391">
        <v>1.81</v>
      </c>
      <c r="Z391">
        <v>373</v>
      </c>
      <c r="AA391">
        <v>50</v>
      </c>
      <c r="AB391" t="s">
        <v>116</v>
      </c>
      <c r="AC391">
        <v>345400</v>
      </c>
      <c r="AD391">
        <v>0.01</v>
      </c>
      <c r="AE391" t="s">
        <v>116</v>
      </c>
      <c r="AF391" t="s">
        <v>116</v>
      </c>
      <c r="AG391">
        <v>4.54</v>
      </c>
      <c r="AH391" t="s">
        <v>2658</v>
      </c>
      <c r="AI391" t="s">
        <v>2658</v>
      </c>
      <c r="AJ391">
        <v>-2.0499999999999998</v>
      </c>
      <c r="AK391">
        <v>1661</v>
      </c>
      <c r="AL391">
        <v>23</v>
      </c>
      <c r="AM391">
        <v>5.0000000000000001E-4</v>
      </c>
      <c r="AN391">
        <v>-1</v>
      </c>
      <c r="AO391">
        <v>-3.86</v>
      </c>
      <c r="AP391">
        <v>-1.29</v>
      </c>
      <c r="AQ391">
        <v>14.06</v>
      </c>
      <c r="AR391">
        <v>16.920000000000002</v>
      </c>
      <c r="AS391">
        <v>1.46</v>
      </c>
      <c r="AT391" t="s">
        <v>2659</v>
      </c>
      <c r="AU391">
        <v>16.8</v>
      </c>
      <c r="AV391">
        <v>76.67</v>
      </c>
      <c r="AW391">
        <v>0.78</v>
      </c>
      <c r="BA391">
        <v>-0.09</v>
      </c>
      <c r="BB391">
        <v>0.73</v>
      </c>
      <c r="BC391">
        <v>-2.82</v>
      </c>
      <c r="BD391">
        <v>-1.42</v>
      </c>
      <c r="BE391">
        <v>-2.64</v>
      </c>
      <c r="BF391">
        <v>-3.43</v>
      </c>
      <c r="BG391">
        <v>0.09</v>
      </c>
      <c r="BH391">
        <v>-1.3</v>
      </c>
      <c r="BI391">
        <v>20191225</v>
      </c>
      <c r="BJ391">
        <v>19990514</v>
      </c>
      <c r="BK391">
        <v>4.54</v>
      </c>
      <c r="BL391" t="s">
        <v>116</v>
      </c>
      <c r="BM391" t="s">
        <v>116</v>
      </c>
      <c r="BN391">
        <v>47.27</v>
      </c>
      <c r="BO391">
        <v>27.95</v>
      </c>
      <c r="BP391">
        <v>0.17</v>
      </c>
      <c r="BQ391">
        <v>40.51</v>
      </c>
      <c r="BR391">
        <v>31.92</v>
      </c>
      <c r="BS391">
        <v>7.91</v>
      </c>
      <c r="BT391">
        <v>1.23</v>
      </c>
      <c r="BU391">
        <v>17.59</v>
      </c>
      <c r="BV391">
        <v>8.4499999999999993</v>
      </c>
      <c r="BW391">
        <v>6.07</v>
      </c>
      <c r="BX391">
        <v>13.71</v>
      </c>
      <c r="BY391">
        <v>29.12</v>
      </c>
      <c r="BZ391">
        <v>22.27</v>
      </c>
      <c r="CA391">
        <v>3.71</v>
      </c>
      <c r="CB391">
        <v>0.86</v>
      </c>
      <c r="CC391">
        <v>3.77</v>
      </c>
      <c r="CD391">
        <v>2.86</v>
      </c>
      <c r="CE391">
        <v>2.99</v>
      </c>
      <c r="CF391">
        <v>1.03</v>
      </c>
      <c r="CG391">
        <v>7.36</v>
      </c>
      <c r="CH391">
        <v>5.48</v>
      </c>
      <c r="CI391">
        <v>7.2</v>
      </c>
      <c r="CJ391">
        <v>16033</v>
      </c>
      <c r="CK391">
        <v>16564</v>
      </c>
      <c r="CL391" t="s">
        <v>2660</v>
      </c>
      <c r="CM391">
        <v>307.16000000000003</v>
      </c>
      <c r="CN391">
        <v>11.14</v>
      </c>
      <c r="CO391">
        <v>1.74</v>
      </c>
      <c r="CP391">
        <v>8.8699999999999992</v>
      </c>
      <c r="CQ391">
        <v>1.67</v>
      </c>
      <c r="CR391">
        <v>0</v>
      </c>
      <c r="CS391" t="s">
        <v>2661</v>
      </c>
      <c r="CT391">
        <v>6.16</v>
      </c>
      <c r="CU391">
        <v>0</v>
      </c>
      <c r="CV391">
        <v>3.02</v>
      </c>
      <c r="CW391">
        <v>1.62</v>
      </c>
      <c r="CX391">
        <v>1.21</v>
      </c>
      <c r="CY391">
        <v>59.14</v>
      </c>
      <c r="CZ391" t="s">
        <v>2662</v>
      </c>
      <c r="DA391">
        <v>23.51</v>
      </c>
      <c r="DB391">
        <v>12.74</v>
      </c>
      <c r="DC391">
        <v>10.28</v>
      </c>
      <c r="DD391">
        <v>1.03</v>
      </c>
      <c r="DE391">
        <v>4362</v>
      </c>
      <c r="DF391">
        <v>913</v>
      </c>
      <c r="DG391" t="s">
        <v>116</v>
      </c>
      <c r="DH391" t="s">
        <v>116</v>
      </c>
      <c r="DI391" t="s">
        <v>116</v>
      </c>
    </row>
    <row r="392" spans="1:113" x14ac:dyDescent="0.4">
      <c r="A392" t="str">
        <f>"000915"</f>
        <v>000915</v>
      </c>
      <c r="B392" t="s">
        <v>2663</v>
      </c>
      <c r="C392">
        <v>0.15</v>
      </c>
      <c r="D392">
        <v>27.02</v>
      </c>
      <c r="E392">
        <v>0.04</v>
      </c>
      <c r="F392">
        <v>27.01</v>
      </c>
      <c r="G392">
        <v>27.02</v>
      </c>
      <c r="H392">
        <v>37647</v>
      </c>
      <c r="I392">
        <v>637</v>
      </c>
      <c r="J392">
        <v>0.15</v>
      </c>
      <c r="K392">
        <v>1.61</v>
      </c>
      <c r="L392">
        <v>26.99</v>
      </c>
      <c r="M392">
        <v>27.28</v>
      </c>
      <c r="N392">
        <v>26.55</v>
      </c>
      <c r="O392">
        <v>26.98</v>
      </c>
      <c r="P392">
        <v>30.74</v>
      </c>
      <c r="Q392">
        <v>101498648</v>
      </c>
      <c r="R392">
        <v>0.89</v>
      </c>
      <c r="S392" t="s">
        <v>574</v>
      </c>
      <c r="T392" t="s">
        <v>645</v>
      </c>
      <c r="U392">
        <v>2.71</v>
      </c>
      <c r="V392">
        <v>26.96</v>
      </c>
      <c r="W392">
        <v>19504</v>
      </c>
      <c r="X392">
        <v>18143</v>
      </c>
      <c r="Y392">
        <v>1.08</v>
      </c>
      <c r="Z392">
        <v>16</v>
      </c>
      <c r="AA392">
        <v>458</v>
      </c>
      <c r="AB392" t="s">
        <v>116</v>
      </c>
      <c r="AC392">
        <v>235400</v>
      </c>
      <c r="AD392">
        <v>0</v>
      </c>
      <c r="AE392" t="s">
        <v>116</v>
      </c>
      <c r="AF392" t="s">
        <v>116</v>
      </c>
      <c r="AG392">
        <v>2.33</v>
      </c>
      <c r="AH392" t="s">
        <v>2664</v>
      </c>
      <c r="AI392" t="s">
        <v>2665</v>
      </c>
      <c r="AJ392">
        <v>0.83</v>
      </c>
      <c r="AK392">
        <v>1566</v>
      </c>
      <c r="AL392">
        <v>24</v>
      </c>
      <c r="AM392">
        <v>1E-3</v>
      </c>
      <c r="AN392">
        <v>5</v>
      </c>
      <c r="AO392">
        <v>5.35</v>
      </c>
      <c r="AP392">
        <v>31.42</v>
      </c>
      <c r="AQ392">
        <v>27.21</v>
      </c>
      <c r="AR392">
        <v>86.34</v>
      </c>
      <c r="AS392">
        <v>2.04</v>
      </c>
      <c r="AT392" t="s">
        <v>2666</v>
      </c>
      <c r="AU392">
        <v>44.94</v>
      </c>
      <c r="AV392">
        <v>48.82</v>
      </c>
      <c r="AW392">
        <v>0.09</v>
      </c>
      <c r="BA392">
        <v>0.04</v>
      </c>
      <c r="BB392">
        <v>1.1100000000000001</v>
      </c>
      <c r="BC392">
        <v>-1.59</v>
      </c>
      <c r="BD392">
        <v>-7.0000000000000007E-2</v>
      </c>
      <c r="BE392">
        <v>0.11</v>
      </c>
      <c r="BF392">
        <v>-0.95</v>
      </c>
      <c r="BG392">
        <v>1.77</v>
      </c>
      <c r="BH392">
        <v>0.22</v>
      </c>
      <c r="BI392">
        <v>20191026</v>
      </c>
      <c r="BJ392">
        <v>19990609</v>
      </c>
      <c r="BK392">
        <v>2.34</v>
      </c>
      <c r="BL392" t="s">
        <v>116</v>
      </c>
      <c r="BM392" t="s">
        <v>116</v>
      </c>
      <c r="BN392">
        <v>30.87</v>
      </c>
      <c r="BO392">
        <v>16.82</v>
      </c>
      <c r="BP392">
        <v>8.61</v>
      </c>
      <c r="BQ392">
        <v>17.61</v>
      </c>
      <c r="BR392">
        <v>17.52</v>
      </c>
      <c r="BS392">
        <v>6.93</v>
      </c>
      <c r="BT392">
        <v>1.61</v>
      </c>
      <c r="BU392">
        <v>4.67</v>
      </c>
      <c r="BV392">
        <v>1.46</v>
      </c>
      <c r="BW392">
        <v>2.5</v>
      </c>
      <c r="BX392">
        <v>0.62</v>
      </c>
      <c r="BY392">
        <v>13.15</v>
      </c>
      <c r="BZ392">
        <v>5.08</v>
      </c>
      <c r="CA392">
        <v>3.22</v>
      </c>
      <c r="CB392">
        <v>0.08</v>
      </c>
      <c r="CC392">
        <v>3.2</v>
      </c>
      <c r="CD392">
        <v>2.73</v>
      </c>
      <c r="CE392">
        <v>1.54</v>
      </c>
      <c r="CF392">
        <v>1.51</v>
      </c>
      <c r="CG392">
        <v>13.03</v>
      </c>
      <c r="CH392">
        <v>0.97</v>
      </c>
      <c r="CI392">
        <v>-5.2</v>
      </c>
      <c r="CJ392">
        <v>17354</v>
      </c>
      <c r="CK392">
        <v>10654</v>
      </c>
      <c r="CL392" t="s">
        <v>2667</v>
      </c>
      <c r="CM392">
        <v>7.82</v>
      </c>
      <c r="CN392">
        <v>2.8</v>
      </c>
      <c r="CO392">
        <v>3.76</v>
      </c>
      <c r="CP392">
        <v>65.59</v>
      </c>
      <c r="CQ392">
        <v>4.82</v>
      </c>
      <c r="CR392">
        <v>1.1100000000000001</v>
      </c>
      <c r="CS392" t="s">
        <v>2668</v>
      </c>
      <c r="CT392">
        <v>7.18</v>
      </c>
      <c r="CU392">
        <v>0</v>
      </c>
      <c r="CV392">
        <v>0.27</v>
      </c>
      <c r="CW392">
        <v>5.56</v>
      </c>
      <c r="CX392">
        <v>0.41</v>
      </c>
      <c r="CY392">
        <v>54.49</v>
      </c>
      <c r="CZ392" t="s">
        <v>605</v>
      </c>
      <c r="DA392">
        <v>61.36</v>
      </c>
      <c r="DB392">
        <v>24.46</v>
      </c>
      <c r="DC392">
        <v>11.75</v>
      </c>
      <c r="DD392">
        <v>0.42</v>
      </c>
      <c r="DE392">
        <v>2878</v>
      </c>
      <c r="DF392">
        <v>915</v>
      </c>
      <c r="DG392" t="s">
        <v>116</v>
      </c>
      <c r="DH392" t="s">
        <v>116</v>
      </c>
      <c r="DI392" t="s">
        <v>116</v>
      </c>
    </row>
    <row r="393" spans="1:113" x14ac:dyDescent="0.4">
      <c r="A393" t="str">
        <f>"000917"</f>
        <v>000917</v>
      </c>
      <c r="B393" t="s">
        <v>2669</v>
      </c>
      <c r="C393">
        <v>-1.67</v>
      </c>
      <c r="D393">
        <v>6.46</v>
      </c>
      <c r="E393">
        <v>-0.11</v>
      </c>
      <c r="F393">
        <v>6.45</v>
      </c>
      <c r="G393">
        <v>6.46</v>
      </c>
      <c r="H393">
        <v>214648</v>
      </c>
      <c r="I393">
        <v>2183</v>
      </c>
      <c r="J393">
        <v>-0.3</v>
      </c>
      <c r="K393">
        <v>1.66</v>
      </c>
      <c r="L393">
        <v>6.56</v>
      </c>
      <c r="M393">
        <v>6.65</v>
      </c>
      <c r="N393">
        <v>6.43</v>
      </c>
      <c r="O393">
        <v>6.57</v>
      </c>
      <c r="P393">
        <v>100.58</v>
      </c>
      <c r="Q393">
        <v>140921056</v>
      </c>
      <c r="R393">
        <v>0.99</v>
      </c>
      <c r="S393" t="s">
        <v>589</v>
      </c>
      <c r="T393" t="s">
        <v>599</v>
      </c>
      <c r="U393">
        <v>3.35</v>
      </c>
      <c r="V393">
        <v>6.57</v>
      </c>
      <c r="W393">
        <v>106546</v>
      </c>
      <c r="X393">
        <v>108102</v>
      </c>
      <c r="Y393">
        <v>0.99</v>
      </c>
      <c r="Z393">
        <v>494</v>
      </c>
      <c r="AA393">
        <v>525</v>
      </c>
      <c r="AB393" t="s">
        <v>116</v>
      </c>
      <c r="AC393">
        <v>448700</v>
      </c>
      <c r="AD393">
        <v>0.01</v>
      </c>
      <c r="AE393" t="s">
        <v>116</v>
      </c>
      <c r="AF393" t="s">
        <v>116</v>
      </c>
      <c r="AG393">
        <v>12.95</v>
      </c>
      <c r="AH393" t="s">
        <v>2670</v>
      </c>
      <c r="AI393" t="s">
        <v>2671</v>
      </c>
      <c r="AJ393">
        <v>-1</v>
      </c>
      <c r="AK393">
        <v>3022</v>
      </c>
      <c r="AL393">
        <v>71</v>
      </c>
      <c r="AM393">
        <v>5.0000000000000001E-4</v>
      </c>
      <c r="AN393">
        <v>-1</v>
      </c>
      <c r="AO393">
        <v>0.31</v>
      </c>
      <c r="AP393">
        <v>8.2100000000000009</v>
      </c>
      <c r="AQ393">
        <v>8.75</v>
      </c>
      <c r="AR393">
        <v>-6.4</v>
      </c>
      <c r="AS393">
        <v>2.0299999999999998</v>
      </c>
      <c r="AT393" t="s">
        <v>2672</v>
      </c>
      <c r="AU393">
        <v>31.45</v>
      </c>
      <c r="AV393">
        <v>104.56</v>
      </c>
      <c r="AW393">
        <v>1.37</v>
      </c>
      <c r="BA393">
        <v>-0.15</v>
      </c>
      <c r="BB393">
        <v>1.22</v>
      </c>
      <c r="BC393">
        <v>-2.13</v>
      </c>
      <c r="BD393">
        <v>-7.0000000000000007E-2</v>
      </c>
      <c r="BE393">
        <v>-1.52</v>
      </c>
      <c r="BF393">
        <v>-2.86</v>
      </c>
      <c r="BG393">
        <v>0.47</v>
      </c>
      <c r="BH393">
        <v>-1.6</v>
      </c>
      <c r="BI393">
        <v>20191031</v>
      </c>
      <c r="BJ393">
        <v>19990325</v>
      </c>
      <c r="BK393">
        <v>14.18</v>
      </c>
      <c r="BL393" t="s">
        <v>116</v>
      </c>
      <c r="BM393" t="s">
        <v>116</v>
      </c>
      <c r="BN393">
        <v>219.8</v>
      </c>
      <c r="BO393">
        <v>104.59</v>
      </c>
      <c r="BP393">
        <v>10.67</v>
      </c>
      <c r="BQ393">
        <v>47.56</v>
      </c>
      <c r="BR393">
        <v>74.760000000000005</v>
      </c>
      <c r="BS393">
        <v>63.37</v>
      </c>
      <c r="BT393">
        <v>8.09</v>
      </c>
      <c r="BU393">
        <v>45.12</v>
      </c>
      <c r="BV393">
        <v>22.79</v>
      </c>
      <c r="BW393">
        <v>10.6</v>
      </c>
      <c r="BX393">
        <v>64.430000000000007</v>
      </c>
      <c r="BY393">
        <v>47.85</v>
      </c>
      <c r="BZ393">
        <v>35.93</v>
      </c>
      <c r="CA393">
        <v>-0.33</v>
      </c>
      <c r="CB393">
        <v>2.0499999999999998</v>
      </c>
      <c r="CC393">
        <v>1.88</v>
      </c>
      <c r="CD393">
        <v>1.21</v>
      </c>
      <c r="CE393">
        <v>0.68</v>
      </c>
      <c r="CF393">
        <v>-1.77</v>
      </c>
      <c r="CG393">
        <v>21.55</v>
      </c>
      <c r="CH393">
        <v>6.34</v>
      </c>
      <c r="CI393">
        <v>-8.19</v>
      </c>
      <c r="CJ393">
        <v>116076</v>
      </c>
      <c r="CK393">
        <v>9119</v>
      </c>
      <c r="CL393" t="s">
        <v>2673</v>
      </c>
      <c r="CM393">
        <v>150.47</v>
      </c>
      <c r="CN393">
        <v>-34.86</v>
      </c>
      <c r="CO393">
        <v>0.88</v>
      </c>
      <c r="CP393">
        <v>14.44</v>
      </c>
      <c r="CQ393">
        <v>1.91</v>
      </c>
      <c r="CR393">
        <v>0.28000000000000003</v>
      </c>
      <c r="CS393" t="s">
        <v>2674</v>
      </c>
      <c r="CT393">
        <v>7.38</v>
      </c>
      <c r="CU393">
        <v>0</v>
      </c>
      <c r="CV393">
        <v>4.55</v>
      </c>
      <c r="CW393">
        <v>1.52</v>
      </c>
      <c r="CX393">
        <v>0.45</v>
      </c>
      <c r="CY393">
        <v>47.59</v>
      </c>
      <c r="CZ393" t="s">
        <v>380</v>
      </c>
      <c r="DA393">
        <v>24.9</v>
      </c>
      <c r="DB393">
        <v>-0.7</v>
      </c>
      <c r="DC393">
        <v>1.43</v>
      </c>
      <c r="DD393">
        <v>0.55000000000000004</v>
      </c>
      <c r="DE393">
        <v>12284</v>
      </c>
      <c r="DF393">
        <v>917</v>
      </c>
      <c r="DG393" t="s">
        <v>116</v>
      </c>
      <c r="DH393" t="s">
        <v>116</v>
      </c>
      <c r="DI393" t="s">
        <v>116</v>
      </c>
    </row>
    <row r="394" spans="1:113" x14ac:dyDescent="0.4">
      <c r="A394" t="str">
        <f>"000918"</f>
        <v>000918</v>
      </c>
      <c r="B394" t="s">
        <v>2675</v>
      </c>
      <c r="C394">
        <v>-1.1299999999999999</v>
      </c>
      <c r="D394">
        <v>6.14</v>
      </c>
      <c r="E394">
        <v>-7.0000000000000007E-2</v>
      </c>
      <c r="F394">
        <v>6.14</v>
      </c>
      <c r="G394">
        <v>6.15</v>
      </c>
      <c r="H394">
        <v>70108</v>
      </c>
      <c r="I394">
        <v>630</v>
      </c>
      <c r="J394">
        <v>-0.15</v>
      </c>
      <c r="K394">
        <v>0.39</v>
      </c>
      <c r="L394">
        <v>6.19</v>
      </c>
      <c r="M394">
        <v>6.22</v>
      </c>
      <c r="N394">
        <v>6.12</v>
      </c>
      <c r="O394">
        <v>6.21</v>
      </c>
      <c r="P394" t="s">
        <v>116</v>
      </c>
      <c r="Q394">
        <v>43211748</v>
      </c>
      <c r="R394">
        <v>1.22</v>
      </c>
      <c r="S394" t="s">
        <v>124</v>
      </c>
      <c r="T394" t="s">
        <v>590</v>
      </c>
      <c r="U394">
        <v>1.61</v>
      </c>
      <c r="V394">
        <v>6.16</v>
      </c>
      <c r="W394">
        <v>43587</v>
      </c>
      <c r="X394">
        <v>26521</v>
      </c>
      <c r="Y394">
        <v>1.64</v>
      </c>
      <c r="Z394">
        <v>688</v>
      </c>
      <c r="AA394">
        <v>313</v>
      </c>
      <c r="AB394" t="s">
        <v>116</v>
      </c>
      <c r="AC394">
        <v>79200</v>
      </c>
      <c r="AD394">
        <v>0</v>
      </c>
      <c r="AE394" t="s">
        <v>116</v>
      </c>
      <c r="AF394" t="s">
        <v>116</v>
      </c>
      <c r="AG394">
        <v>18.04</v>
      </c>
      <c r="AH394" t="s">
        <v>2676</v>
      </c>
      <c r="AI394" t="s">
        <v>2676</v>
      </c>
      <c r="AJ394">
        <v>-0.45</v>
      </c>
      <c r="AK394">
        <v>1126</v>
      </c>
      <c r="AL394">
        <v>62</v>
      </c>
      <c r="AM394">
        <v>2.9999999999999997E-4</v>
      </c>
      <c r="AN394">
        <v>-1</v>
      </c>
      <c r="AO394">
        <v>-2.5499999999999998</v>
      </c>
      <c r="AP394">
        <v>-5.54</v>
      </c>
      <c r="AQ394">
        <v>-6.12</v>
      </c>
      <c r="AR394">
        <v>-19.420000000000002</v>
      </c>
      <c r="AS394">
        <v>1.1200000000000001</v>
      </c>
      <c r="AT394" t="s">
        <v>2096</v>
      </c>
      <c r="AU394" t="s">
        <v>116</v>
      </c>
      <c r="AV394" t="s">
        <v>116</v>
      </c>
      <c r="AW394">
        <v>0.68</v>
      </c>
      <c r="BA394">
        <v>-0.32</v>
      </c>
      <c r="BB394">
        <v>0.16</v>
      </c>
      <c r="BC394">
        <v>-1.45</v>
      </c>
      <c r="BD394">
        <v>-0.75</v>
      </c>
      <c r="BE394">
        <v>-0.81</v>
      </c>
      <c r="BF394">
        <v>-1.29</v>
      </c>
      <c r="BG394">
        <v>0.33</v>
      </c>
      <c r="BH394">
        <v>-0.38</v>
      </c>
      <c r="BI394">
        <v>20191031</v>
      </c>
      <c r="BJ394">
        <v>19990720</v>
      </c>
      <c r="BK394">
        <v>18.04</v>
      </c>
      <c r="BL394" t="s">
        <v>116</v>
      </c>
      <c r="BM394" t="s">
        <v>116</v>
      </c>
      <c r="BN394">
        <v>191.09</v>
      </c>
      <c r="BO394">
        <v>30.16</v>
      </c>
      <c r="BP394">
        <v>0.4</v>
      </c>
      <c r="BQ394">
        <v>84</v>
      </c>
      <c r="BR394">
        <v>131.36000000000001</v>
      </c>
      <c r="BS394">
        <v>8.64</v>
      </c>
      <c r="BT394">
        <v>0.04</v>
      </c>
      <c r="BU394">
        <v>110.22</v>
      </c>
      <c r="BV394">
        <v>89.51</v>
      </c>
      <c r="BW394">
        <v>1.1200000000000001</v>
      </c>
      <c r="BX394">
        <v>-8.91</v>
      </c>
      <c r="BY394">
        <v>13.12</v>
      </c>
      <c r="BZ394">
        <v>9.91</v>
      </c>
      <c r="CA394">
        <v>-2.6</v>
      </c>
      <c r="CB394">
        <v>1.92</v>
      </c>
      <c r="CC394">
        <v>-4.22</v>
      </c>
      <c r="CD394">
        <v>-4.5999999999999996</v>
      </c>
      <c r="CE394">
        <v>-4.4000000000000004</v>
      </c>
      <c r="CF394">
        <v>-4.84</v>
      </c>
      <c r="CG394">
        <v>11.27</v>
      </c>
      <c r="CH394">
        <v>3.16</v>
      </c>
      <c r="CI394">
        <v>-4.5599999999999996</v>
      </c>
      <c r="CJ394">
        <v>44887</v>
      </c>
      <c r="CK394">
        <v>13984</v>
      </c>
      <c r="CL394" t="s">
        <v>2677</v>
      </c>
      <c r="CM394">
        <v>18.41</v>
      </c>
      <c r="CN394">
        <v>70.3</v>
      </c>
      <c r="CO394">
        <v>3.67</v>
      </c>
      <c r="CP394">
        <v>35.03</v>
      </c>
      <c r="CQ394">
        <v>8.44</v>
      </c>
      <c r="CR394">
        <v>0</v>
      </c>
      <c r="CS394" t="s">
        <v>2678</v>
      </c>
      <c r="CT394">
        <v>1.67</v>
      </c>
      <c r="CU394">
        <v>0</v>
      </c>
      <c r="CV394">
        <v>-0.49</v>
      </c>
      <c r="CW394">
        <v>0.62</v>
      </c>
      <c r="CX394">
        <v>0.18</v>
      </c>
      <c r="CY394">
        <v>15.79</v>
      </c>
      <c r="CZ394" t="s">
        <v>2679</v>
      </c>
      <c r="DA394">
        <v>24.46</v>
      </c>
      <c r="DB394">
        <v>-19.850000000000001</v>
      </c>
      <c r="DC394">
        <v>-33.53</v>
      </c>
      <c r="DD394">
        <v>0</v>
      </c>
      <c r="DE394">
        <v>2290</v>
      </c>
      <c r="DF394">
        <v>918</v>
      </c>
      <c r="DG394" t="s">
        <v>116</v>
      </c>
      <c r="DH394" t="s">
        <v>116</v>
      </c>
      <c r="DI394" t="s">
        <v>116</v>
      </c>
    </row>
    <row r="395" spans="1:113" x14ac:dyDescent="0.4">
      <c r="A395" t="str">
        <f>"000919"</f>
        <v>000919</v>
      </c>
      <c r="B395" t="s">
        <v>2680</v>
      </c>
      <c r="C395">
        <v>0</v>
      </c>
      <c r="D395">
        <v>7.15</v>
      </c>
      <c r="E395">
        <v>0</v>
      </c>
      <c r="F395">
        <v>7.14</v>
      </c>
      <c r="G395">
        <v>7.15</v>
      </c>
      <c r="H395">
        <v>20683</v>
      </c>
      <c r="I395">
        <v>104</v>
      </c>
      <c r="J395">
        <v>0.14000000000000001</v>
      </c>
      <c r="K395">
        <v>0.41</v>
      </c>
      <c r="L395">
        <v>7.15</v>
      </c>
      <c r="M395">
        <v>7.2</v>
      </c>
      <c r="N395">
        <v>7.14</v>
      </c>
      <c r="O395">
        <v>7.15</v>
      </c>
      <c r="P395">
        <v>11.43</v>
      </c>
      <c r="Q395">
        <v>14832688</v>
      </c>
      <c r="R395">
        <v>1.29</v>
      </c>
      <c r="S395" t="s">
        <v>574</v>
      </c>
      <c r="T395" t="s">
        <v>323</v>
      </c>
      <c r="U395">
        <v>0.84</v>
      </c>
      <c r="V395">
        <v>7.17</v>
      </c>
      <c r="W395">
        <v>10530</v>
      </c>
      <c r="X395">
        <v>10153</v>
      </c>
      <c r="Y395">
        <v>1.04</v>
      </c>
      <c r="Z395">
        <v>402</v>
      </c>
      <c r="AA395">
        <v>398</v>
      </c>
      <c r="AB395" t="s">
        <v>116</v>
      </c>
      <c r="AC395">
        <v>28600</v>
      </c>
      <c r="AD395">
        <v>0</v>
      </c>
      <c r="AE395" t="s">
        <v>116</v>
      </c>
      <c r="AF395" t="s">
        <v>116</v>
      </c>
      <c r="AG395">
        <v>5.03</v>
      </c>
      <c r="AH395" t="s">
        <v>2681</v>
      </c>
      <c r="AI395" t="s">
        <v>2682</v>
      </c>
      <c r="AJ395">
        <v>0.68</v>
      </c>
      <c r="AK395">
        <v>653</v>
      </c>
      <c r="AL395">
        <v>32</v>
      </c>
      <c r="AM395">
        <v>5.9999999999999995E-4</v>
      </c>
      <c r="AN395">
        <v>0</v>
      </c>
      <c r="AO395">
        <v>0.14000000000000001</v>
      </c>
      <c r="AP395">
        <v>-0.28000000000000003</v>
      </c>
      <c r="AQ395">
        <v>-3.12</v>
      </c>
      <c r="AR395">
        <v>17.21</v>
      </c>
      <c r="AS395">
        <v>0.75</v>
      </c>
      <c r="AT395" t="s">
        <v>2683</v>
      </c>
      <c r="AU395">
        <v>10.039999999999999</v>
      </c>
      <c r="AV395">
        <v>14.9</v>
      </c>
      <c r="AW395">
        <v>0.92</v>
      </c>
      <c r="BA395">
        <v>0</v>
      </c>
      <c r="BB395">
        <v>0.7</v>
      </c>
      <c r="BC395">
        <v>-0.14000000000000001</v>
      </c>
      <c r="BD395">
        <v>0.3</v>
      </c>
      <c r="BE395">
        <v>0</v>
      </c>
      <c r="BF395">
        <v>-0.69</v>
      </c>
      <c r="BG395">
        <v>0.14000000000000001</v>
      </c>
      <c r="BH395">
        <v>-0.3</v>
      </c>
      <c r="BI395">
        <v>20191029</v>
      </c>
      <c r="BJ395">
        <v>19991118</v>
      </c>
      <c r="BK395">
        <v>5.04</v>
      </c>
      <c r="BL395" t="s">
        <v>116</v>
      </c>
      <c r="BM395" t="s">
        <v>116</v>
      </c>
      <c r="BN395">
        <v>42.26</v>
      </c>
      <c r="BO395">
        <v>29.66</v>
      </c>
      <c r="BP395">
        <v>5.42</v>
      </c>
      <c r="BQ395">
        <v>16.989999999999998</v>
      </c>
      <c r="BR395">
        <v>22.3</v>
      </c>
      <c r="BS395">
        <v>9.69</v>
      </c>
      <c r="BT395">
        <v>1.62</v>
      </c>
      <c r="BU395">
        <v>6.58</v>
      </c>
      <c r="BV395">
        <v>2.14</v>
      </c>
      <c r="BW395">
        <v>3.23</v>
      </c>
      <c r="BX395">
        <v>4.62</v>
      </c>
      <c r="BY395">
        <v>19.399999999999999</v>
      </c>
      <c r="BZ395">
        <v>14.37</v>
      </c>
      <c r="CA395">
        <v>3.42</v>
      </c>
      <c r="CB395">
        <v>0.27</v>
      </c>
      <c r="CC395">
        <v>3.39</v>
      </c>
      <c r="CD395">
        <v>2.73</v>
      </c>
      <c r="CE395">
        <v>2.36</v>
      </c>
      <c r="CF395">
        <v>1.31</v>
      </c>
      <c r="CG395">
        <v>16.36</v>
      </c>
      <c r="CH395">
        <v>3.03</v>
      </c>
      <c r="CI395">
        <v>-1.04</v>
      </c>
      <c r="CJ395">
        <v>32656</v>
      </c>
      <c r="CK395">
        <v>8416</v>
      </c>
      <c r="CL395" t="s">
        <v>274</v>
      </c>
      <c r="CM395">
        <v>98.09</v>
      </c>
      <c r="CN395">
        <v>-15.9</v>
      </c>
      <c r="CO395">
        <v>1.21</v>
      </c>
      <c r="CP395">
        <v>11.88</v>
      </c>
      <c r="CQ395">
        <v>1.86</v>
      </c>
      <c r="CR395">
        <v>2.38</v>
      </c>
      <c r="CS395" t="s">
        <v>2684</v>
      </c>
      <c r="CT395">
        <v>5.89</v>
      </c>
      <c r="CU395">
        <v>0</v>
      </c>
      <c r="CV395">
        <v>0.92</v>
      </c>
      <c r="CW395">
        <v>3.25</v>
      </c>
      <c r="CX395">
        <v>0.6</v>
      </c>
      <c r="CY395">
        <v>70.19</v>
      </c>
      <c r="CZ395" t="s">
        <v>2685</v>
      </c>
      <c r="DA395">
        <v>25.93</v>
      </c>
      <c r="DB395">
        <v>17.64</v>
      </c>
      <c r="DC395">
        <v>12.18</v>
      </c>
      <c r="DD395">
        <v>0.27</v>
      </c>
      <c r="DE395">
        <v>4956</v>
      </c>
      <c r="DF395">
        <v>919</v>
      </c>
      <c r="DG395" t="s">
        <v>116</v>
      </c>
      <c r="DH395" t="s">
        <v>116</v>
      </c>
      <c r="DI395" t="s">
        <v>116</v>
      </c>
    </row>
    <row r="396" spans="1:113" x14ac:dyDescent="0.4">
      <c r="A396" t="str">
        <f>"000920"</f>
        <v>000920</v>
      </c>
      <c r="B396" t="s">
        <v>2686</v>
      </c>
      <c r="C396">
        <v>-0.75</v>
      </c>
      <c r="D396">
        <v>6.64</v>
      </c>
      <c r="E396">
        <v>-0.05</v>
      </c>
      <c r="F396">
        <v>6.63</v>
      </c>
      <c r="G396">
        <v>6.64</v>
      </c>
      <c r="H396">
        <v>19088</v>
      </c>
      <c r="I396">
        <v>60</v>
      </c>
      <c r="J396">
        <v>0.15</v>
      </c>
      <c r="K396">
        <v>0.45</v>
      </c>
      <c r="L396">
        <v>6.69</v>
      </c>
      <c r="M396">
        <v>6.71</v>
      </c>
      <c r="N396">
        <v>6.63</v>
      </c>
      <c r="O396">
        <v>6.69</v>
      </c>
      <c r="P396">
        <v>30.17</v>
      </c>
      <c r="Q396">
        <v>12725156</v>
      </c>
      <c r="R396">
        <v>1.07</v>
      </c>
      <c r="S396" t="s">
        <v>140</v>
      </c>
      <c r="T396" t="s">
        <v>1056</v>
      </c>
      <c r="U396">
        <v>1.2</v>
      </c>
      <c r="V396">
        <v>6.67</v>
      </c>
      <c r="W396">
        <v>12578</v>
      </c>
      <c r="X396">
        <v>6510</v>
      </c>
      <c r="Y396">
        <v>1.93</v>
      </c>
      <c r="Z396">
        <v>136</v>
      </c>
      <c r="AA396">
        <v>48</v>
      </c>
      <c r="AB396" t="s">
        <v>116</v>
      </c>
      <c r="AC396">
        <v>36800</v>
      </c>
      <c r="AD396">
        <v>0</v>
      </c>
      <c r="AE396" t="s">
        <v>116</v>
      </c>
      <c r="AF396" t="s">
        <v>116</v>
      </c>
      <c r="AG396">
        <v>4.22</v>
      </c>
      <c r="AH396" t="s">
        <v>2687</v>
      </c>
      <c r="AI396" t="s">
        <v>2688</v>
      </c>
      <c r="AJ396">
        <v>-7.0000000000000007E-2</v>
      </c>
      <c r="AK396">
        <v>447</v>
      </c>
      <c r="AL396">
        <v>43</v>
      </c>
      <c r="AM396">
        <v>1E-3</v>
      </c>
      <c r="AN396">
        <v>-1</v>
      </c>
      <c r="AO396">
        <v>-0.16</v>
      </c>
      <c r="AP396">
        <v>2.95</v>
      </c>
      <c r="AQ396">
        <v>-1.04</v>
      </c>
      <c r="AR396">
        <v>28.93</v>
      </c>
      <c r="AS396">
        <v>0.83</v>
      </c>
      <c r="AT396" t="s">
        <v>2689</v>
      </c>
      <c r="AU396">
        <v>30.77</v>
      </c>
      <c r="AV396">
        <v>31.83</v>
      </c>
      <c r="AW396">
        <v>1.05</v>
      </c>
      <c r="BA396">
        <v>0</v>
      </c>
      <c r="BB396">
        <v>0.3</v>
      </c>
      <c r="BC396">
        <v>-0.9</v>
      </c>
      <c r="BD396">
        <v>-0.35</v>
      </c>
      <c r="BE396">
        <v>-0.75</v>
      </c>
      <c r="BF396">
        <v>-1.04</v>
      </c>
      <c r="BG396">
        <v>0.15</v>
      </c>
      <c r="BH396">
        <v>-0.4</v>
      </c>
      <c r="BI396">
        <v>20191212</v>
      </c>
      <c r="BJ396">
        <v>19990616</v>
      </c>
      <c r="BK396">
        <v>4.22</v>
      </c>
      <c r="BL396" t="s">
        <v>116</v>
      </c>
      <c r="BM396" t="s">
        <v>116</v>
      </c>
      <c r="BN396">
        <v>24.28</v>
      </c>
      <c r="BO396">
        <v>11.03</v>
      </c>
      <c r="BP396">
        <v>1.66</v>
      </c>
      <c r="BQ396">
        <v>47.73</v>
      </c>
      <c r="BR396">
        <v>11.21</v>
      </c>
      <c r="BS396">
        <v>5.92</v>
      </c>
      <c r="BT396">
        <v>0.83</v>
      </c>
      <c r="BU396">
        <v>6.57</v>
      </c>
      <c r="BV396">
        <v>1.81</v>
      </c>
      <c r="BW396">
        <v>1.39</v>
      </c>
      <c r="BX396">
        <v>0</v>
      </c>
      <c r="BY396">
        <v>7.53</v>
      </c>
      <c r="BZ396">
        <v>5.1100000000000003</v>
      </c>
      <c r="CA396">
        <v>0.95</v>
      </c>
      <c r="CB396">
        <v>0.2</v>
      </c>
      <c r="CC396">
        <v>0.94</v>
      </c>
      <c r="CD396">
        <v>0.8</v>
      </c>
      <c r="CE396">
        <v>0.7</v>
      </c>
      <c r="CF396">
        <v>0.39</v>
      </c>
      <c r="CG396">
        <v>5.89</v>
      </c>
      <c r="CH396">
        <v>0.54</v>
      </c>
      <c r="CI396">
        <v>2.37</v>
      </c>
      <c r="CJ396">
        <v>26495</v>
      </c>
      <c r="CK396">
        <v>8679</v>
      </c>
      <c r="CL396" t="s">
        <v>2690</v>
      </c>
      <c r="CM396">
        <v>4.54</v>
      </c>
      <c r="CN396">
        <v>3.1</v>
      </c>
      <c r="CO396">
        <v>2.54</v>
      </c>
      <c r="CP396">
        <v>51.45</v>
      </c>
      <c r="CQ396">
        <v>3.72</v>
      </c>
      <c r="CR396">
        <v>0.45</v>
      </c>
      <c r="CS396" t="s">
        <v>1025</v>
      </c>
      <c r="CT396">
        <v>2.61</v>
      </c>
      <c r="CU396">
        <v>0</v>
      </c>
      <c r="CV396">
        <v>0</v>
      </c>
      <c r="CW396">
        <v>1.4</v>
      </c>
      <c r="CX396">
        <v>0.13</v>
      </c>
      <c r="CY396">
        <v>45.44</v>
      </c>
      <c r="CZ396" t="s">
        <v>2691</v>
      </c>
      <c r="DA396">
        <v>32.08</v>
      </c>
      <c r="DB396">
        <v>12.55</v>
      </c>
      <c r="DC396">
        <v>9.25</v>
      </c>
      <c r="DD396">
        <v>0.39</v>
      </c>
      <c r="DE396">
        <v>1257</v>
      </c>
      <c r="DF396">
        <v>920</v>
      </c>
      <c r="DG396" t="s">
        <v>116</v>
      </c>
      <c r="DH396" t="s">
        <v>116</v>
      </c>
      <c r="DI396" t="s">
        <v>116</v>
      </c>
    </row>
    <row r="397" spans="1:113" x14ac:dyDescent="0.4">
      <c r="A397" t="str">
        <f>"000921"</f>
        <v>000921</v>
      </c>
      <c r="B397" t="s">
        <v>2692</v>
      </c>
      <c r="C397">
        <v>-0.09</v>
      </c>
      <c r="D397">
        <v>11.61</v>
      </c>
      <c r="E397">
        <v>-0.01</v>
      </c>
      <c r="F397">
        <v>11.6</v>
      </c>
      <c r="G397">
        <v>11.61</v>
      </c>
      <c r="H397">
        <v>50932</v>
      </c>
      <c r="I397">
        <v>485</v>
      </c>
      <c r="J397">
        <v>-0.08</v>
      </c>
      <c r="K397">
        <v>0.56000000000000005</v>
      </c>
      <c r="L397">
        <v>11.62</v>
      </c>
      <c r="M397">
        <v>11.75</v>
      </c>
      <c r="N397">
        <v>11.57</v>
      </c>
      <c r="O397">
        <v>11.62</v>
      </c>
      <c r="P397">
        <v>8.8000000000000007</v>
      </c>
      <c r="Q397">
        <v>59438836</v>
      </c>
      <c r="R397">
        <v>0.65</v>
      </c>
      <c r="S397" t="s">
        <v>209</v>
      </c>
      <c r="T397" t="s">
        <v>551</v>
      </c>
      <c r="U397">
        <v>1.55</v>
      </c>
      <c r="V397">
        <v>11.67</v>
      </c>
      <c r="W397">
        <v>27158</v>
      </c>
      <c r="X397">
        <v>23774</v>
      </c>
      <c r="Y397">
        <v>1.1399999999999999</v>
      </c>
      <c r="Z397">
        <v>360</v>
      </c>
      <c r="AA397">
        <v>136</v>
      </c>
      <c r="AB397" t="s">
        <v>116</v>
      </c>
      <c r="AC397">
        <v>338100</v>
      </c>
      <c r="AD397">
        <v>0.01</v>
      </c>
      <c r="AE397" t="s">
        <v>116</v>
      </c>
      <c r="AF397" t="s">
        <v>116</v>
      </c>
      <c r="AG397">
        <v>9.02</v>
      </c>
      <c r="AH397" t="s">
        <v>2693</v>
      </c>
      <c r="AI397" t="s">
        <v>2694</v>
      </c>
      <c r="AJ397">
        <v>0.59</v>
      </c>
      <c r="AK397">
        <v>2016</v>
      </c>
      <c r="AL397">
        <v>25</v>
      </c>
      <c r="AM397">
        <v>2.9999999999999997E-4</v>
      </c>
      <c r="AN397">
        <v>-2</v>
      </c>
      <c r="AO397">
        <v>0.69</v>
      </c>
      <c r="AP397">
        <v>13.49</v>
      </c>
      <c r="AQ397">
        <v>2.83</v>
      </c>
      <c r="AR397">
        <v>71.569999999999993</v>
      </c>
      <c r="AS397">
        <v>1.32</v>
      </c>
      <c r="AT397" t="s">
        <v>2695</v>
      </c>
      <c r="AU397">
        <v>10.02</v>
      </c>
      <c r="AV397">
        <v>11.49</v>
      </c>
      <c r="AW397">
        <v>1.23</v>
      </c>
      <c r="BA397">
        <v>0</v>
      </c>
      <c r="BB397">
        <v>1.1200000000000001</v>
      </c>
      <c r="BC397">
        <v>-0.43</v>
      </c>
      <c r="BD397">
        <v>0.43</v>
      </c>
      <c r="BE397">
        <v>-0.09</v>
      </c>
      <c r="BF397">
        <v>-1.19</v>
      </c>
      <c r="BG397">
        <v>0.35</v>
      </c>
      <c r="BH397">
        <v>-0.52</v>
      </c>
      <c r="BI397">
        <v>20191029</v>
      </c>
      <c r="BJ397">
        <v>19990713</v>
      </c>
      <c r="BK397">
        <v>13.63</v>
      </c>
      <c r="BL397" t="s">
        <v>116</v>
      </c>
      <c r="BM397">
        <v>4.5999999999999996</v>
      </c>
      <c r="BN397">
        <v>331.8</v>
      </c>
      <c r="BO397">
        <v>82.81</v>
      </c>
      <c r="BP397">
        <v>33.979999999999997</v>
      </c>
      <c r="BQ397">
        <v>64.8</v>
      </c>
      <c r="BR397">
        <v>253.59</v>
      </c>
      <c r="BS397">
        <v>34.47</v>
      </c>
      <c r="BT397">
        <v>18.62</v>
      </c>
      <c r="BU397">
        <v>208.45</v>
      </c>
      <c r="BV397">
        <v>30.06</v>
      </c>
      <c r="BW397">
        <v>40.75</v>
      </c>
      <c r="BX397">
        <v>20.62</v>
      </c>
      <c r="BY397">
        <v>270.10000000000002</v>
      </c>
      <c r="BZ397">
        <v>214.97</v>
      </c>
      <c r="CA397">
        <v>14.64</v>
      </c>
      <c r="CB397">
        <v>7.76</v>
      </c>
      <c r="CC397">
        <v>15.18</v>
      </c>
      <c r="CD397">
        <v>13.8</v>
      </c>
      <c r="CE397">
        <v>13.49</v>
      </c>
      <c r="CF397">
        <v>10.98</v>
      </c>
      <c r="CG397">
        <v>42.76</v>
      </c>
      <c r="CH397">
        <v>24.84</v>
      </c>
      <c r="CI397">
        <v>36</v>
      </c>
      <c r="CJ397">
        <v>30858</v>
      </c>
      <c r="CK397">
        <v>12488</v>
      </c>
      <c r="CL397" t="s">
        <v>2696</v>
      </c>
      <c r="CM397">
        <v>17.62</v>
      </c>
      <c r="CN397">
        <v>-6.24</v>
      </c>
      <c r="CO397">
        <v>1.91</v>
      </c>
      <c r="CP397">
        <v>6.37</v>
      </c>
      <c r="CQ397">
        <v>0.59</v>
      </c>
      <c r="CR397">
        <v>2.61</v>
      </c>
      <c r="CS397" t="s">
        <v>2697</v>
      </c>
      <c r="CT397">
        <v>6.08</v>
      </c>
      <c r="CU397">
        <v>0</v>
      </c>
      <c r="CV397">
        <v>1.51</v>
      </c>
      <c r="CW397">
        <v>3.14</v>
      </c>
      <c r="CX397">
        <v>1.82</v>
      </c>
      <c r="CY397">
        <v>24.96</v>
      </c>
      <c r="CZ397" t="s">
        <v>2698</v>
      </c>
      <c r="DA397">
        <v>20.41</v>
      </c>
      <c r="DB397">
        <v>5.42</v>
      </c>
      <c r="DC397">
        <v>4.99</v>
      </c>
      <c r="DD397">
        <v>5.77</v>
      </c>
      <c r="DE397">
        <v>32858</v>
      </c>
      <c r="DF397">
        <v>921</v>
      </c>
      <c r="DG397" t="s">
        <v>116</v>
      </c>
      <c r="DH397" t="s">
        <v>116</v>
      </c>
      <c r="DI397" t="s">
        <v>116</v>
      </c>
    </row>
    <row r="398" spans="1:113" x14ac:dyDescent="0.4">
      <c r="A398" t="str">
        <f>"000922"</f>
        <v>000922</v>
      </c>
      <c r="B398" t="s">
        <v>2699</v>
      </c>
      <c r="C398">
        <v>-1.03</v>
      </c>
      <c r="D398">
        <v>7.72</v>
      </c>
      <c r="E398">
        <v>-0.08</v>
      </c>
      <c r="F398">
        <v>7.71</v>
      </c>
      <c r="G398">
        <v>7.72</v>
      </c>
      <c r="H398">
        <v>55247</v>
      </c>
      <c r="I398">
        <v>567</v>
      </c>
      <c r="J398">
        <v>0</v>
      </c>
      <c r="K398">
        <v>1.1399999999999999</v>
      </c>
      <c r="L398">
        <v>7.8</v>
      </c>
      <c r="M398">
        <v>7.87</v>
      </c>
      <c r="N398">
        <v>7.69</v>
      </c>
      <c r="O398">
        <v>7.8</v>
      </c>
      <c r="P398">
        <v>10.37</v>
      </c>
      <c r="Q398">
        <v>42972388</v>
      </c>
      <c r="R398">
        <v>1.1000000000000001</v>
      </c>
      <c r="S398" t="s">
        <v>397</v>
      </c>
      <c r="T398" t="s">
        <v>1287</v>
      </c>
      <c r="U398">
        <v>2.31</v>
      </c>
      <c r="V398">
        <v>7.78</v>
      </c>
      <c r="W398">
        <v>33217</v>
      </c>
      <c r="X398">
        <v>22030</v>
      </c>
      <c r="Y398">
        <v>1.51</v>
      </c>
      <c r="Z398">
        <v>376</v>
      </c>
      <c r="AA398">
        <v>93</v>
      </c>
      <c r="AB398" t="s">
        <v>116</v>
      </c>
      <c r="AC398">
        <v>173200</v>
      </c>
      <c r="AD398">
        <v>0.01</v>
      </c>
      <c r="AE398" t="s">
        <v>116</v>
      </c>
      <c r="AF398" t="s">
        <v>116</v>
      </c>
      <c r="AG398">
        <v>4.8499999999999996</v>
      </c>
      <c r="AH398" t="s">
        <v>1911</v>
      </c>
      <c r="AI398" t="s">
        <v>2700</v>
      </c>
      <c r="AJ398">
        <v>-0.35</v>
      </c>
      <c r="AK398">
        <v>1357</v>
      </c>
      <c r="AL398">
        <v>41</v>
      </c>
      <c r="AM398">
        <v>8.0000000000000004E-4</v>
      </c>
      <c r="AN398">
        <v>-1</v>
      </c>
      <c r="AO398">
        <v>-0.26</v>
      </c>
      <c r="AP398">
        <v>9.82</v>
      </c>
      <c r="AQ398">
        <v>-1.78</v>
      </c>
      <c r="AR398">
        <v>15.05</v>
      </c>
      <c r="AS398">
        <v>1.97</v>
      </c>
      <c r="AT398" t="s">
        <v>2701</v>
      </c>
      <c r="AU398">
        <v>12.86</v>
      </c>
      <c r="AV398">
        <v>13.57</v>
      </c>
      <c r="AW398">
        <v>1.27</v>
      </c>
      <c r="BA398">
        <v>0</v>
      </c>
      <c r="BB398">
        <v>0.9</v>
      </c>
      <c r="BC398">
        <v>-1.41</v>
      </c>
      <c r="BD398">
        <v>-0.28000000000000003</v>
      </c>
      <c r="BE398">
        <v>-1.03</v>
      </c>
      <c r="BF398">
        <v>-1.91</v>
      </c>
      <c r="BG398">
        <v>0.39</v>
      </c>
      <c r="BH398">
        <v>-0.75</v>
      </c>
      <c r="BI398">
        <v>20191227</v>
      </c>
      <c r="BJ398">
        <v>19990618</v>
      </c>
      <c r="BK398">
        <v>4.9000000000000004</v>
      </c>
      <c r="BL398" t="s">
        <v>116</v>
      </c>
      <c r="BM398" t="s">
        <v>116</v>
      </c>
      <c r="BN398">
        <v>33.83</v>
      </c>
      <c r="BO398">
        <v>21.08</v>
      </c>
      <c r="BP398">
        <v>0</v>
      </c>
      <c r="BQ398">
        <v>37.67</v>
      </c>
      <c r="BR398">
        <v>27.43</v>
      </c>
      <c r="BS398">
        <v>4.26</v>
      </c>
      <c r="BT398">
        <v>0.97</v>
      </c>
      <c r="BU398">
        <v>10.69</v>
      </c>
      <c r="BV398">
        <v>6.24</v>
      </c>
      <c r="BW398">
        <v>5.85</v>
      </c>
      <c r="BX398">
        <v>11.96</v>
      </c>
      <c r="BY398">
        <v>16.34</v>
      </c>
      <c r="BZ398">
        <v>10.77</v>
      </c>
      <c r="CA398">
        <v>3.12</v>
      </c>
      <c r="CB398">
        <v>0.11</v>
      </c>
      <c r="CC398">
        <v>3.16</v>
      </c>
      <c r="CD398">
        <v>2.74</v>
      </c>
      <c r="CE398">
        <v>2.74</v>
      </c>
      <c r="CF398">
        <v>2.5</v>
      </c>
      <c r="CG398">
        <v>2.76</v>
      </c>
      <c r="CH398">
        <v>2.5499999999999998</v>
      </c>
      <c r="CI398">
        <v>0.76</v>
      </c>
      <c r="CJ398">
        <v>30556</v>
      </c>
      <c r="CK398">
        <v>9175</v>
      </c>
      <c r="CL398" t="s">
        <v>2702</v>
      </c>
      <c r="CM398">
        <v>5.93</v>
      </c>
      <c r="CN398">
        <v>19.739999999999998</v>
      </c>
      <c r="CO398">
        <v>1.79</v>
      </c>
      <c r="CP398">
        <v>14.84</v>
      </c>
      <c r="CQ398">
        <v>2.3199999999999998</v>
      </c>
      <c r="CR398">
        <v>0</v>
      </c>
      <c r="CS398" t="s">
        <v>2703</v>
      </c>
      <c r="CT398">
        <v>4.3</v>
      </c>
      <c r="CU398">
        <v>0</v>
      </c>
      <c r="CV398">
        <v>2.44</v>
      </c>
      <c r="CW398">
        <v>0.56000000000000005</v>
      </c>
      <c r="CX398">
        <v>0.52</v>
      </c>
      <c r="CY398">
        <v>62.33</v>
      </c>
      <c r="CZ398" t="s">
        <v>2704</v>
      </c>
      <c r="DA398">
        <v>34.07</v>
      </c>
      <c r="DB398">
        <v>19.11</v>
      </c>
      <c r="DC398">
        <v>16.75</v>
      </c>
      <c r="DD398">
        <v>0.19</v>
      </c>
      <c r="DE398">
        <v>1805</v>
      </c>
      <c r="DF398">
        <v>922</v>
      </c>
      <c r="DG398" t="s">
        <v>116</v>
      </c>
      <c r="DH398" t="s">
        <v>116</v>
      </c>
      <c r="DI398" t="s">
        <v>116</v>
      </c>
    </row>
    <row r="399" spans="1:113" x14ac:dyDescent="0.4">
      <c r="A399" t="str">
        <f>"000923"</f>
        <v>000923</v>
      </c>
      <c r="B399" t="s">
        <v>2705</v>
      </c>
      <c r="C399">
        <v>-0.6</v>
      </c>
      <c r="D399">
        <v>14.84</v>
      </c>
      <c r="E399">
        <v>-0.09</v>
      </c>
      <c r="F399">
        <v>14.84</v>
      </c>
      <c r="G399">
        <v>14.85</v>
      </c>
      <c r="H399">
        <v>26964</v>
      </c>
      <c r="I399">
        <v>273</v>
      </c>
      <c r="J399">
        <v>7.0000000000000007E-2</v>
      </c>
      <c r="K399">
        <v>1.36</v>
      </c>
      <c r="L399">
        <v>14.99</v>
      </c>
      <c r="M399">
        <v>15.13</v>
      </c>
      <c r="N399">
        <v>14.83</v>
      </c>
      <c r="O399">
        <v>14.93</v>
      </c>
      <c r="P399">
        <v>17.84</v>
      </c>
      <c r="Q399">
        <v>40335528</v>
      </c>
      <c r="R399">
        <v>1.5</v>
      </c>
      <c r="S399" t="s">
        <v>1587</v>
      </c>
      <c r="T399" t="s">
        <v>608</v>
      </c>
      <c r="U399">
        <v>2.0099999999999998</v>
      </c>
      <c r="V399">
        <v>14.96</v>
      </c>
      <c r="W399">
        <v>13681</v>
      </c>
      <c r="X399">
        <v>13283</v>
      </c>
      <c r="Y399">
        <v>1.03</v>
      </c>
      <c r="Z399">
        <v>59</v>
      </c>
      <c r="AA399">
        <v>85</v>
      </c>
      <c r="AB399" t="s">
        <v>116</v>
      </c>
      <c r="AC399">
        <v>332800</v>
      </c>
      <c r="AD399">
        <v>0.02</v>
      </c>
      <c r="AE399" t="s">
        <v>116</v>
      </c>
      <c r="AF399" t="s">
        <v>116</v>
      </c>
      <c r="AG399">
        <v>1.98</v>
      </c>
      <c r="AH399" t="s">
        <v>2706</v>
      </c>
      <c r="AI399" t="s">
        <v>2707</v>
      </c>
      <c r="AJ399">
        <v>0.08</v>
      </c>
      <c r="AK399">
        <v>1651</v>
      </c>
      <c r="AL399">
        <v>16</v>
      </c>
      <c r="AM399">
        <v>8.0000000000000004E-4</v>
      </c>
      <c r="AN399">
        <v>-1</v>
      </c>
      <c r="AO399">
        <v>1.0900000000000001</v>
      </c>
      <c r="AP399">
        <v>4.21</v>
      </c>
      <c r="AQ399">
        <v>-1.4</v>
      </c>
      <c r="AR399">
        <v>9.1999999999999993</v>
      </c>
      <c r="AS399">
        <v>2.1800000000000002</v>
      </c>
      <c r="AT399" t="s">
        <v>2708</v>
      </c>
      <c r="AU399">
        <v>20.63</v>
      </c>
      <c r="AV399">
        <v>72.209999999999994</v>
      </c>
      <c r="AW399">
        <v>0.95</v>
      </c>
      <c r="BA399">
        <v>0.4</v>
      </c>
      <c r="BB399">
        <v>1.34</v>
      </c>
      <c r="BC399">
        <v>-0.67</v>
      </c>
      <c r="BD399">
        <v>0.2</v>
      </c>
      <c r="BE399">
        <v>-1</v>
      </c>
      <c r="BF399">
        <v>-1.92</v>
      </c>
      <c r="BG399">
        <v>7.0000000000000007E-2</v>
      </c>
      <c r="BH399">
        <v>-0.8</v>
      </c>
      <c r="BI399">
        <v>20191224</v>
      </c>
      <c r="BJ399">
        <v>19990714</v>
      </c>
      <c r="BK399">
        <v>6.53</v>
      </c>
      <c r="BL399" t="s">
        <v>116</v>
      </c>
      <c r="BM399" t="s">
        <v>116</v>
      </c>
      <c r="BN399">
        <v>131.54</v>
      </c>
      <c r="BO399">
        <v>68.67</v>
      </c>
      <c r="BP399">
        <v>22.62</v>
      </c>
      <c r="BQ399">
        <v>30.6</v>
      </c>
      <c r="BR399">
        <v>53.5</v>
      </c>
      <c r="BS399">
        <v>10.06</v>
      </c>
      <c r="BT399">
        <v>9.09</v>
      </c>
      <c r="BU399">
        <v>17.57</v>
      </c>
      <c r="BV399">
        <v>11.39</v>
      </c>
      <c r="BW399">
        <v>11.98</v>
      </c>
      <c r="BX399">
        <v>47.48</v>
      </c>
      <c r="BY399">
        <v>41.02</v>
      </c>
      <c r="BZ399">
        <v>14.69</v>
      </c>
      <c r="CA399">
        <v>9.1</v>
      </c>
      <c r="CB399">
        <v>0.08</v>
      </c>
      <c r="CC399">
        <v>9.09</v>
      </c>
      <c r="CD399">
        <v>6.62</v>
      </c>
      <c r="CE399">
        <v>4.07</v>
      </c>
      <c r="CF399">
        <v>4.0599999999999996</v>
      </c>
      <c r="CG399">
        <v>18.93</v>
      </c>
      <c r="CH399">
        <v>9.24</v>
      </c>
      <c r="CI399">
        <v>-0.11</v>
      </c>
      <c r="CJ399">
        <v>26405</v>
      </c>
      <c r="CK399">
        <v>4682</v>
      </c>
      <c r="CL399" t="s">
        <v>2709</v>
      </c>
      <c r="CM399">
        <v>466.21</v>
      </c>
      <c r="CN399">
        <v>16.100000000000001</v>
      </c>
      <c r="CO399">
        <v>1.41</v>
      </c>
      <c r="CP399">
        <v>10.48</v>
      </c>
      <c r="CQ399">
        <v>2.36</v>
      </c>
      <c r="CR399">
        <v>7.0000000000000007E-2</v>
      </c>
      <c r="CS399" t="s">
        <v>2710</v>
      </c>
      <c r="CT399">
        <v>10.52</v>
      </c>
      <c r="CU399">
        <v>0</v>
      </c>
      <c r="CV399">
        <v>7.27</v>
      </c>
      <c r="CW399">
        <v>2.9</v>
      </c>
      <c r="CX399">
        <v>1.42</v>
      </c>
      <c r="CY399">
        <v>52.2</v>
      </c>
      <c r="CZ399" t="s">
        <v>447</v>
      </c>
      <c r="DA399">
        <v>64.19</v>
      </c>
      <c r="DB399">
        <v>22.17</v>
      </c>
      <c r="DC399">
        <v>9.93</v>
      </c>
      <c r="DD399">
        <v>0.09</v>
      </c>
      <c r="DE399">
        <v>4036</v>
      </c>
      <c r="DF399">
        <v>923</v>
      </c>
      <c r="DG399" t="s">
        <v>116</v>
      </c>
      <c r="DH399" t="s">
        <v>116</v>
      </c>
      <c r="DI399" t="s">
        <v>116</v>
      </c>
    </row>
    <row r="400" spans="1:113" x14ac:dyDescent="0.4">
      <c r="A400" t="str">
        <f>"000925"</f>
        <v>000925</v>
      </c>
      <c r="B400" t="s">
        <v>2711</v>
      </c>
      <c r="C400">
        <v>-0.15</v>
      </c>
      <c r="D400">
        <v>6.75</v>
      </c>
      <c r="E400">
        <v>-0.01</v>
      </c>
      <c r="F400">
        <v>6.74</v>
      </c>
      <c r="G400">
        <v>6.75</v>
      </c>
      <c r="H400">
        <v>83451</v>
      </c>
      <c r="I400">
        <v>550</v>
      </c>
      <c r="J400">
        <v>0.15</v>
      </c>
      <c r="K400">
        <v>1.84</v>
      </c>
      <c r="L400">
        <v>6.85</v>
      </c>
      <c r="M400">
        <v>7.06</v>
      </c>
      <c r="N400">
        <v>6.73</v>
      </c>
      <c r="O400">
        <v>6.76</v>
      </c>
      <c r="P400">
        <v>33.17</v>
      </c>
      <c r="Q400">
        <v>57493552</v>
      </c>
      <c r="R400">
        <v>2.52</v>
      </c>
      <c r="S400" t="s">
        <v>682</v>
      </c>
      <c r="T400" t="s">
        <v>590</v>
      </c>
      <c r="U400">
        <v>4.88</v>
      </c>
      <c r="V400">
        <v>6.89</v>
      </c>
      <c r="W400">
        <v>41092</v>
      </c>
      <c r="X400">
        <v>42359</v>
      </c>
      <c r="Y400">
        <v>0.97</v>
      </c>
      <c r="Z400">
        <v>223</v>
      </c>
      <c r="AA400">
        <v>395</v>
      </c>
      <c r="AB400" t="s">
        <v>116</v>
      </c>
      <c r="AC400">
        <v>297600</v>
      </c>
      <c r="AD400">
        <v>0.01</v>
      </c>
      <c r="AE400" t="s">
        <v>116</v>
      </c>
      <c r="AF400" t="s">
        <v>116</v>
      </c>
      <c r="AG400">
        <v>4.53</v>
      </c>
      <c r="AH400" t="s">
        <v>2712</v>
      </c>
      <c r="AI400" t="s">
        <v>2713</v>
      </c>
      <c r="AJ400">
        <v>0.53</v>
      </c>
      <c r="AK400">
        <v>2162</v>
      </c>
      <c r="AL400">
        <v>39</v>
      </c>
      <c r="AM400">
        <v>8.9999999999999998E-4</v>
      </c>
      <c r="AN400">
        <v>-1</v>
      </c>
      <c r="AO400">
        <v>-0.59</v>
      </c>
      <c r="AP400">
        <v>6.8</v>
      </c>
      <c r="AQ400">
        <v>3.05</v>
      </c>
      <c r="AR400">
        <v>15.38</v>
      </c>
      <c r="AS400">
        <v>2.39</v>
      </c>
      <c r="AT400" t="s">
        <v>2714</v>
      </c>
      <c r="AU400">
        <v>53.01</v>
      </c>
      <c r="AV400">
        <v>137.34</v>
      </c>
      <c r="AW400">
        <v>0.97</v>
      </c>
      <c r="BA400">
        <v>1.33</v>
      </c>
      <c r="BB400">
        <v>4.4400000000000004</v>
      </c>
      <c r="BC400">
        <v>-0.44</v>
      </c>
      <c r="BD400">
        <v>1.92</v>
      </c>
      <c r="BE400">
        <v>-1.46</v>
      </c>
      <c r="BF400">
        <v>-4.3899999999999997</v>
      </c>
      <c r="BG400">
        <v>0.3</v>
      </c>
      <c r="BH400">
        <v>-2.06</v>
      </c>
      <c r="BI400">
        <v>20191029</v>
      </c>
      <c r="BJ400">
        <v>19990611</v>
      </c>
      <c r="BK400">
        <v>5.5</v>
      </c>
      <c r="BL400" t="s">
        <v>116</v>
      </c>
      <c r="BM400" t="s">
        <v>116</v>
      </c>
      <c r="BN400">
        <v>69.430000000000007</v>
      </c>
      <c r="BO400">
        <v>23.77</v>
      </c>
      <c r="BP400">
        <v>1.01</v>
      </c>
      <c r="BQ400">
        <v>64.31</v>
      </c>
      <c r="BR400">
        <v>33.950000000000003</v>
      </c>
      <c r="BS400">
        <v>3.34</v>
      </c>
      <c r="BT400">
        <v>9.51</v>
      </c>
      <c r="BU400">
        <v>35.909999999999997</v>
      </c>
      <c r="BV400">
        <v>5.39</v>
      </c>
      <c r="BW400">
        <v>18.8</v>
      </c>
      <c r="BX400">
        <v>18.59</v>
      </c>
      <c r="BY400">
        <v>16.8</v>
      </c>
      <c r="BZ400">
        <v>11.76</v>
      </c>
      <c r="CA400">
        <v>1.1000000000000001</v>
      </c>
      <c r="CB400">
        <v>0.47</v>
      </c>
      <c r="CC400">
        <v>1.0900000000000001</v>
      </c>
      <c r="CD400">
        <v>0.83</v>
      </c>
      <c r="CE400">
        <v>0.84</v>
      </c>
      <c r="CF400">
        <v>0.28999999999999998</v>
      </c>
      <c r="CG400">
        <v>0.04</v>
      </c>
      <c r="CH400">
        <v>-2.11</v>
      </c>
      <c r="CI400">
        <v>-3.09</v>
      </c>
      <c r="CJ400">
        <v>31705</v>
      </c>
      <c r="CK400">
        <v>10999</v>
      </c>
      <c r="CL400" t="s">
        <v>2715</v>
      </c>
      <c r="CM400">
        <v>105.01</v>
      </c>
      <c r="CN400">
        <v>42.54</v>
      </c>
      <c r="CO400">
        <v>1.56</v>
      </c>
      <c r="CP400">
        <v>-17.59</v>
      </c>
      <c r="CQ400">
        <v>2.21</v>
      </c>
      <c r="CR400">
        <v>0</v>
      </c>
      <c r="CS400" t="s">
        <v>2716</v>
      </c>
      <c r="CT400">
        <v>4.32</v>
      </c>
      <c r="CU400">
        <v>0</v>
      </c>
      <c r="CV400">
        <v>3.38</v>
      </c>
      <c r="CW400">
        <v>0.01</v>
      </c>
      <c r="CX400">
        <v>-0.38</v>
      </c>
      <c r="CY400">
        <v>34.229999999999997</v>
      </c>
      <c r="CZ400" t="s">
        <v>2717</v>
      </c>
      <c r="DA400">
        <v>30.01</v>
      </c>
      <c r="DB400">
        <v>6.52</v>
      </c>
      <c r="DC400">
        <v>4.99</v>
      </c>
      <c r="DD400">
        <v>1.08</v>
      </c>
      <c r="DE400">
        <v>1399</v>
      </c>
      <c r="DF400">
        <v>925</v>
      </c>
      <c r="DG400" t="s">
        <v>116</v>
      </c>
      <c r="DH400" t="s">
        <v>116</v>
      </c>
      <c r="DI400" t="s">
        <v>116</v>
      </c>
    </row>
    <row r="401" spans="1:113" x14ac:dyDescent="0.4">
      <c r="A401" t="str">
        <f>"000926"</f>
        <v>000926</v>
      </c>
      <c r="B401" t="s">
        <v>2718</v>
      </c>
      <c r="C401">
        <v>-0.31</v>
      </c>
      <c r="D401">
        <v>6.42</v>
      </c>
      <c r="E401">
        <v>-0.02</v>
      </c>
      <c r="F401">
        <v>6.42</v>
      </c>
      <c r="G401">
        <v>6.43</v>
      </c>
      <c r="H401">
        <v>84776</v>
      </c>
      <c r="I401">
        <v>655</v>
      </c>
      <c r="J401">
        <v>0</v>
      </c>
      <c r="K401">
        <v>0.9</v>
      </c>
      <c r="L401">
        <v>6.45</v>
      </c>
      <c r="M401">
        <v>6.49</v>
      </c>
      <c r="N401">
        <v>6.41</v>
      </c>
      <c r="O401">
        <v>6.44</v>
      </c>
      <c r="P401">
        <v>11.4</v>
      </c>
      <c r="Q401">
        <v>54712372</v>
      </c>
      <c r="R401">
        <v>1.08</v>
      </c>
      <c r="S401" t="s">
        <v>148</v>
      </c>
      <c r="T401" t="s">
        <v>774</v>
      </c>
      <c r="U401">
        <v>1.24</v>
      </c>
      <c r="V401">
        <v>6.45</v>
      </c>
      <c r="W401">
        <v>47526</v>
      </c>
      <c r="X401">
        <v>37250</v>
      </c>
      <c r="Y401">
        <v>1.28</v>
      </c>
      <c r="Z401">
        <v>750</v>
      </c>
      <c r="AA401">
        <v>8657</v>
      </c>
      <c r="AB401" t="s">
        <v>116</v>
      </c>
      <c r="AC401">
        <v>512100</v>
      </c>
      <c r="AD401">
        <v>0.01</v>
      </c>
      <c r="AE401" t="s">
        <v>116</v>
      </c>
      <c r="AF401" t="s">
        <v>116</v>
      </c>
      <c r="AG401">
        <v>9.4600000000000009</v>
      </c>
      <c r="AH401" t="s">
        <v>2719</v>
      </c>
      <c r="AI401" t="s">
        <v>2720</v>
      </c>
      <c r="AJ401">
        <v>0.37</v>
      </c>
      <c r="AK401">
        <v>1373</v>
      </c>
      <c r="AL401">
        <v>62</v>
      </c>
      <c r="AM401">
        <v>6.9999999999999999E-4</v>
      </c>
      <c r="AN401">
        <v>-1</v>
      </c>
      <c r="AO401">
        <v>0.47</v>
      </c>
      <c r="AP401">
        <v>1.1000000000000001</v>
      </c>
      <c r="AQ401">
        <v>1.1000000000000001</v>
      </c>
      <c r="AR401">
        <v>6.64</v>
      </c>
      <c r="AS401">
        <v>1.21</v>
      </c>
      <c r="AT401" t="s">
        <v>1200</v>
      </c>
      <c r="AU401">
        <v>7.1</v>
      </c>
      <c r="AV401">
        <v>5.45</v>
      </c>
      <c r="AW401">
        <v>0.65</v>
      </c>
      <c r="BA401">
        <v>0.16</v>
      </c>
      <c r="BB401">
        <v>0.78</v>
      </c>
      <c r="BC401">
        <v>-0.47</v>
      </c>
      <c r="BD401">
        <v>0.21</v>
      </c>
      <c r="BE401">
        <v>-0.47</v>
      </c>
      <c r="BF401">
        <v>-1.08</v>
      </c>
      <c r="BG401">
        <v>0.16</v>
      </c>
      <c r="BH401">
        <v>-0.52</v>
      </c>
      <c r="BI401">
        <v>20191101</v>
      </c>
      <c r="BJ401">
        <v>19990618</v>
      </c>
      <c r="BK401">
        <v>9.6199999999999992</v>
      </c>
      <c r="BL401" t="s">
        <v>116</v>
      </c>
      <c r="BM401" t="s">
        <v>116</v>
      </c>
      <c r="BN401">
        <v>521.79999999999995</v>
      </c>
      <c r="BO401">
        <v>112.07</v>
      </c>
      <c r="BP401">
        <v>11.78</v>
      </c>
      <c r="BQ401">
        <v>76.27</v>
      </c>
      <c r="BR401">
        <v>412.07</v>
      </c>
      <c r="BS401">
        <v>10.24</v>
      </c>
      <c r="BT401">
        <v>0.56999999999999995</v>
      </c>
      <c r="BU401">
        <v>228.44</v>
      </c>
      <c r="BV401">
        <v>293.17</v>
      </c>
      <c r="BW401">
        <v>5.86</v>
      </c>
      <c r="BX401">
        <v>26.29</v>
      </c>
      <c r="BY401">
        <v>57.16</v>
      </c>
      <c r="BZ401">
        <v>40.82</v>
      </c>
      <c r="CA401">
        <v>7.21</v>
      </c>
      <c r="CB401">
        <v>0.79</v>
      </c>
      <c r="CC401">
        <v>7.13</v>
      </c>
      <c r="CD401">
        <v>4.63</v>
      </c>
      <c r="CE401">
        <v>4.0599999999999996</v>
      </c>
      <c r="CF401">
        <v>4.1900000000000004</v>
      </c>
      <c r="CG401">
        <v>61.75</v>
      </c>
      <c r="CH401">
        <v>36.85</v>
      </c>
      <c r="CI401">
        <v>15.04</v>
      </c>
      <c r="CJ401">
        <v>44000</v>
      </c>
      <c r="CK401">
        <v>15904</v>
      </c>
      <c r="CL401" t="s">
        <v>2721</v>
      </c>
      <c r="CM401">
        <v>-39.42</v>
      </c>
      <c r="CN401">
        <v>-20.09</v>
      </c>
      <c r="CO401">
        <v>0.55000000000000004</v>
      </c>
      <c r="CP401">
        <v>1.68</v>
      </c>
      <c r="CQ401">
        <v>1.08</v>
      </c>
      <c r="CR401">
        <v>1.56</v>
      </c>
      <c r="CS401" t="s">
        <v>2722</v>
      </c>
      <c r="CT401">
        <v>11.64</v>
      </c>
      <c r="CU401">
        <v>0</v>
      </c>
      <c r="CV401">
        <v>2.73</v>
      </c>
      <c r="CW401">
        <v>6.42</v>
      </c>
      <c r="CX401">
        <v>3.83</v>
      </c>
      <c r="CY401">
        <v>21.48</v>
      </c>
      <c r="CZ401" t="s">
        <v>2723</v>
      </c>
      <c r="DA401">
        <v>28.58</v>
      </c>
      <c r="DB401">
        <v>12.62</v>
      </c>
      <c r="DC401">
        <v>7.11</v>
      </c>
      <c r="DD401">
        <v>0.38</v>
      </c>
      <c r="DE401">
        <v>3681</v>
      </c>
      <c r="DF401">
        <v>926</v>
      </c>
      <c r="DG401" t="s">
        <v>116</v>
      </c>
      <c r="DH401" t="s">
        <v>116</v>
      </c>
      <c r="DI401" t="s">
        <v>116</v>
      </c>
    </row>
    <row r="402" spans="1:113" x14ac:dyDescent="0.4">
      <c r="A402" t="str">
        <f>"000927"</f>
        <v>000927</v>
      </c>
      <c r="B402" t="s">
        <v>2724</v>
      </c>
      <c r="C402">
        <v>10</v>
      </c>
      <c r="D402">
        <v>5.83</v>
      </c>
      <c r="E402">
        <v>0.53</v>
      </c>
      <c r="F402">
        <v>5.83</v>
      </c>
      <c r="G402" t="s">
        <v>116</v>
      </c>
      <c r="H402">
        <v>87616</v>
      </c>
      <c r="I402">
        <v>704</v>
      </c>
      <c r="J402">
        <v>0</v>
      </c>
      <c r="K402">
        <v>0.55000000000000004</v>
      </c>
      <c r="L402">
        <v>5.83</v>
      </c>
      <c r="M402">
        <v>5.83</v>
      </c>
      <c r="N402">
        <v>5.83</v>
      </c>
      <c r="O402">
        <v>5.3</v>
      </c>
      <c r="P402" t="s">
        <v>116</v>
      </c>
      <c r="Q402">
        <v>51080264</v>
      </c>
      <c r="R402">
        <v>1.85</v>
      </c>
      <c r="S402" t="s">
        <v>1108</v>
      </c>
      <c r="T402" t="s">
        <v>1035</v>
      </c>
      <c r="U402">
        <v>0</v>
      </c>
      <c r="V402">
        <v>5.83</v>
      </c>
      <c r="W402">
        <v>84989</v>
      </c>
      <c r="X402">
        <v>2627</v>
      </c>
      <c r="Y402">
        <v>32.35</v>
      </c>
      <c r="Z402">
        <v>226490</v>
      </c>
      <c r="AA402">
        <v>0</v>
      </c>
      <c r="AB402" t="s">
        <v>116</v>
      </c>
      <c r="AC402">
        <v>2652700</v>
      </c>
      <c r="AD402">
        <v>0.09</v>
      </c>
      <c r="AE402">
        <v>2.59</v>
      </c>
      <c r="AF402">
        <v>132043672</v>
      </c>
      <c r="AG402">
        <v>15.95</v>
      </c>
      <c r="AH402" t="s">
        <v>2725</v>
      </c>
      <c r="AI402" t="s">
        <v>2725</v>
      </c>
      <c r="AJ402">
        <v>10.68</v>
      </c>
      <c r="AK402">
        <v>860</v>
      </c>
      <c r="AL402">
        <v>102</v>
      </c>
      <c r="AM402">
        <v>5.9999999999999995E-4</v>
      </c>
      <c r="AN402">
        <v>5</v>
      </c>
      <c r="AO402">
        <v>33.11</v>
      </c>
      <c r="AP402">
        <v>68.010000000000005</v>
      </c>
      <c r="AQ402">
        <v>68.010000000000005</v>
      </c>
      <c r="AR402">
        <v>85.08</v>
      </c>
      <c r="AS402">
        <v>1.68</v>
      </c>
      <c r="AT402" t="s">
        <v>2726</v>
      </c>
      <c r="AU402">
        <v>27.37</v>
      </c>
      <c r="AV402">
        <v>249.27</v>
      </c>
      <c r="AW402">
        <v>1.46</v>
      </c>
      <c r="BA402">
        <v>10</v>
      </c>
      <c r="BB402">
        <v>10</v>
      </c>
      <c r="BC402">
        <v>10</v>
      </c>
      <c r="BD402">
        <v>10</v>
      </c>
      <c r="BE402">
        <v>0</v>
      </c>
      <c r="BF402">
        <v>0</v>
      </c>
      <c r="BG402">
        <v>0</v>
      </c>
      <c r="BH402">
        <v>0</v>
      </c>
      <c r="BI402">
        <v>20191219</v>
      </c>
      <c r="BJ402">
        <v>19990727</v>
      </c>
      <c r="BK402">
        <v>15.95</v>
      </c>
      <c r="BL402" t="s">
        <v>116</v>
      </c>
      <c r="BM402" t="s">
        <v>116</v>
      </c>
      <c r="BN402">
        <v>28.04</v>
      </c>
      <c r="BO402">
        <v>-6.07</v>
      </c>
      <c r="BP402">
        <v>0.27</v>
      </c>
      <c r="BQ402">
        <v>120.68</v>
      </c>
      <c r="BR402">
        <v>11.9</v>
      </c>
      <c r="BS402">
        <v>11.77</v>
      </c>
      <c r="BT402">
        <v>1.72</v>
      </c>
      <c r="BU402">
        <v>30.57</v>
      </c>
      <c r="BV402">
        <v>0.67</v>
      </c>
      <c r="BW402">
        <v>0.12</v>
      </c>
      <c r="BX402">
        <v>13.4</v>
      </c>
      <c r="BY402">
        <v>3.53</v>
      </c>
      <c r="BZ402">
        <v>5.69</v>
      </c>
      <c r="CA402">
        <v>-6.99</v>
      </c>
      <c r="CB402">
        <v>0.18</v>
      </c>
      <c r="CC402">
        <v>-7</v>
      </c>
      <c r="CD402">
        <v>-7</v>
      </c>
      <c r="CE402">
        <v>-7.01</v>
      </c>
      <c r="CF402">
        <v>-8.06</v>
      </c>
      <c r="CG402">
        <v>-40.92</v>
      </c>
      <c r="CH402">
        <v>-3.56</v>
      </c>
      <c r="CI402">
        <v>-9.0299999999999994</v>
      </c>
      <c r="CJ402">
        <v>59683</v>
      </c>
      <c r="CK402">
        <v>8718</v>
      </c>
      <c r="CL402" t="s">
        <v>2727</v>
      </c>
      <c r="CM402">
        <v>30.15</v>
      </c>
      <c r="CN402">
        <v>-62.52</v>
      </c>
      <c r="CO402">
        <v>-15.33</v>
      </c>
      <c r="CP402">
        <v>-26.13</v>
      </c>
      <c r="CQ402">
        <v>26.33</v>
      </c>
      <c r="CR402">
        <v>0</v>
      </c>
      <c r="CS402" t="s">
        <v>2728</v>
      </c>
      <c r="CT402">
        <v>-0.38</v>
      </c>
      <c r="CU402">
        <v>0</v>
      </c>
      <c r="CV402">
        <v>0.84</v>
      </c>
      <c r="CW402">
        <v>-2.57</v>
      </c>
      <c r="CX402">
        <v>-0.22</v>
      </c>
      <c r="CY402">
        <v>-21.64</v>
      </c>
      <c r="CZ402" t="s">
        <v>116</v>
      </c>
      <c r="DA402">
        <v>-61.21</v>
      </c>
      <c r="DB402">
        <v>-197.99</v>
      </c>
      <c r="DC402">
        <v>-198.31</v>
      </c>
      <c r="DD402">
        <v>0</v>
      </c>
      <c r="DE402">
        <v>3860</v>
      </c>
      <c r="DF402">
        <v>927</v>
      </c>
      <c r="DG402" t="s">
        <v>116</v>
      </c>
      <c r="DH402" t="s">
        <v>116</v>
      </c>
      <c r="DI402" t="s">
        <v>116</v>
      </c>
    </row>
    <row r="403" spans="1:113" x14ac:dyDescent="0.4">
      <c r="A403" t="str">
        <f>"000928"</f>
        <v>000928</v>
      </c>
      <c r="B403" t="s">
        <v>2729</v>
      </c>
      <c r="C403">
        <v>0</v>
      </c>
      <c r="D403">
        <v>4.67</v>
      </c>
      <c r="E403">
        <v>0</v>
      </c>
      <c r="F403">
        <v>4.67</v>
      </c>
      <c r="G403">
        <v>4.68</v>
      </c>
      <c r="H403">
        <v>55318</v>
      </c>
      <c r="I403">
        <v>182</v>
      </c>
      <c r="J403">
        <v>-0.2</v>
      </c>
      <c r="K403">
        <v>0.69</v>
      </c>
      <c r="L403">
        <v>4.67</v>
      </c>
      <c r="M403">
        <v>4.74</v>
      </c>
      <c r="N403">
        <v>4.66</v>
      </c>
      <c r="O403">
        <v>4.67</v>
      </c>
      <c r="P403">
        <v>14.56</v>
      </c>
      <c r="Q403">
        <v>25990934</v>
      </c>
      <c r="R403">
        <v>1.31</v>
      </c>
      <c r="S403" t="s">
        <v>181</v>
      </c>
      <c r="T403" t="s">
        <v>294</v>
      </c>
      <c r="U403">
        <v>1.71</v>
      </c>
      <c r="V403">
        <v>4.7</v>
      </c>
      <c r="W403">
        <v>25016</v>
      </c>
      <c r="X403">
        <v>30302</v>
      </c>
      <c r="Y403">
        <v>0.83</v>
      </c>
      <c r="Z403">
        <v>148</v>
      </c>
      <c r="AA403">
        <v>623</v>
      </c>
      <c r="AB403" t="s">
        <v>116</v>
      </c>
      <c r="AC403">
        <v>56000</v>
      </c>
      <c r="AD403">
        <v>0</v>
      </c>
      <c r="AE403" t="s">
        <v>116</v>
      </c>
      <c r="AF403" t="s">
        <v>116</v>
      </c>
      <c r="AG403">
        <v>8.06</v>
      </c>
      <c r="AH403" t="s">
        <v>2730</v>
      </c>
      <c r="AI403" t="s">
        <v>2731</v>
      </c>
      <c r="AJ403">
        <v>0.68</v>
      </c>
      <c r="AK403">
        <v>1006</v>
      </c>
      <c r="AL403">
        <v>55</v>
      </c>
      <c r="AM403">
        <v>6.9999999999999999E-4</v>
      </c>
      <c r="AN403">
        <v>0</v>
      </c>
      <c r="AO403">
        <v>-0.64</v>
      </c>
      <c r="AP403">
        <v>1.08</v>
      </c>
      <c r="AQ403">
        <v>-9.5</v>
      </c>
      <c r="AR403">
        <v>10.4</v>
      </c>
      <c r="AS403">
        <v>1</v>
      </c>
      <c r="AT403" t="s">
        <v>2732</v>
      </c>
      <c r="AU403">
        <v>12.7</v>
      </c>
      <c r="AV403">
        <v>13.31</v>
      </c>
      <c r="AW403">
        <v>0.9</v>
      </c>
      <c r="BA403">
        <v>0</v>
      </c>
      <c r="BB403">
        <v>1.5</v>
      </c>
      <c r="BC403">
        <v>-0.21</v>
      </c>
      <c r="BD403">
        <v>0.61</v>
      </c>
      <c r="BE403">
        <v>0</v>
      </c>
      <c r="BF403">
        <v>-1.48</v>
      </c>
      <c r="BG403">
        <v>0.21</v>
      </c>
      <c r="BH403">
        <v>-0.61</v>
      </c>
      <c r="BI403">
        <v>20191219</v>
      </c>
      <c r="BJ403">
        <v>19990312</v>
      </c>
      <c r="BK403">
        <v>12.57</v>
      </c>
      <c r="BL403" t="s">
        <v>116</v>
      </c>
      <c r="BM403" t="s">
        <v>116</v>
      </c>
      <c r="BN403">
        <v>178.46</v>
      </c>
      <c r="BO403">
        <v>46.86</v>
      </c>
      <c r="BP403">
        <v>0.45</v>
      </c>
      <c r="BQ403">
        <v>73.489999999999995</v>
      </c>
      <c r="BR403">
        <v>152.69</v>
      </c>
      <c r="BS403">
        <v>2.52</v>
      </c>
      <c r="BT403">
        <v>2.64</v>
      </c>
      <c r="BU403">
        <v>128.58000000000001</v>
      </c>
      <c r="BV403">
        <v>21.68</v>
      </c>
      <c r="BW403">
        <v>54.96</v>
      </c>
      <c r="BX403">
        <v>17.71</v>
      </c>
      <c r="BY403">
        <v>89.58</v>
      </c>
      <c r="BZ403">
        <v>79.540000000000006</v>
      </c>
      <c r="CA403">
        <v>3.9</v>
      </c>
      <c r="CB403">
        <v>0.22</v>
      </c>
      <c r="CC403">
        <v>4.09</v>
      </c>
      <c r="CD403">
        <v>3.04</v>
      </c>
      <c r="CE403">
        <v>3.02</v>
      </c>
      <c r="CF403">
        <v>2.95</v>
      </c>
      <c r="CG403">
        <v>15.68</v>
      </c>
      <c r="CH403">
        <v>-1.71</v>
      </c>
      <c r="CI403">
        <v>-8.2799999999999994</v>
      </c>
      <c r="CJ403">
        <v>46770</v>
      </c>
      <c r="CK403">
        <v>11788</v>
      </c>
      <c r="CL403" t="s">
        <v>2733</v>
      </c>
      <c r="CM403">
        <v>7.45</v>
      </c>
      <c r="CN403">
        <v>98.1</v>
      </c>
      <c r="CO403">
        <v>1.25</v>
      </c>
      <c r="CP403">
        <v>-34.369999999999997</v>
      </c>
      <c r="CQ403">
        <v>0.66</v>
      </c>
      <c r="CR403">
        <v>2.57</v>
      </c>
      <c r="CS403" t="s">
        <v>580</v>
      </c>
      <c r="CT403">
        <v>3.73</v>
      </c>
      <c r="CU403">
        <v>0</v>
      </c>
      <c r="CV403">
        <v>1.41</v>
      </c>
      <c r="CW403">
        <v>1.25</v>
      </c>
      <c r="CX403">
        <v>-0.14000000000000001</v>
      </c>
      <c r="CY403">
        <v>26.26</v>
      </c>
      <c r="CZ403" t="s">
        <v>2734</v>
      </c>
      <c r="DA403">
        <v>11.2</v>
      </c>
      <c r="DB403">
        <v>4.3499999999999996</v>
      </c>
      <c r="DC403">
        <v>3.38</v>
      </c>
      <c r="DD403">
        <v>0.16</v>
      </c>
      <c r="DE403">
        <v>1854</v>
      </c>
      <c r="DF403">
        <v>928</v>
      </c>
      <c r="DG403" t="s">
        <v>116</v>
      </c>
      <c r="DH403" t="s">
        <v>116</v>
      </c>
      <c r="DI403" t="s">
        <v>116</v>
      </c>
    </row>
    <row r="404" spans="1:113" x14ac:dyDescent="0.4">
      <c r="A404" t="str">
        <f>"000929"</f>
        <v>000929</v>
      </c>
      <c r="B404" t="s">
        <v>2735</v>
      </c>
      <c r="C404">
        <v>-0.43</v>
      </c>
      <c r="D404">
        <v>6.95</v>
      </c>
      <c r="E404">
        <v>-0.03</v>
      </c>
      <c r="F404">
        <v>6.95</v>
      </c>
      <c r="G404">
        <v>6.96</v>
      </c>
      <c r="H404">
        <v>12953</v>
      </c>
      <c r="I404">
        <v>160</v>
      </c>
      <c r="J404">
        <v>0</v>
      </c>
      <c r="K404">
        <v>0.7</v>
      </c>
      <c r="L404">
        <v>6.96</v>
      </c>
      <c r="M404">
        <v>7.1</v>
      </c>
      <c r="N404">
        <v>6.95</v>
      </c>
      <c r="O404">
        <v>6.98</v>
      </c>
      <c r="P404">
        <v>58.16</v>
      </c>
      <c r="Q404">
        <v>9081037</v>
      </c>
      <c r="R404">
        <v>0.88</v>
      </c>
      <c r="S404" t="s">
        <v>1962</v>
      </c>
      <c r="T404" t="s">
        <v>1122</v>
      </c>
      <c r="U404">
        <v>2.15</v>
      </c>
      <c r="V404">
        <v>7.01</v>
      </c>
      <c r="W404">
        <v>6546</v>
      </c>
      <c r="X404">
        <v>6407</v>
      </c>
      <c r="Y404">
        <v>1.02</v>
      </c>
      <c r="Z404">
        <v>40</v>
      </c>
      <c r="AA404">
        <v>63</v>
      </c>
      <c r="AB404" t="s">
        <v>116</v>
      </c>
      <c r="AC404">
        <v>0</v>
      </c>
      <c r="AD404">
        <v>0</v>
      </c>
      <c r="AE404" t="s">
        <v>116</v>
      </c>
      <c r="AF404" t="s">
        <v>116</v>
      </c>
      <c r="AG404">
        <v>1.86</v>
      </c>
      <c r="AH404" t="s">
        <v>2736</v>
      </c>
      <c r="AI404" t="s">
        <v>2736</v>
      </c>
      <c r="AJ404">
        <v>0.25</v>
      </c>
      <c r="AK404">
        <v>605</v>
      </c>
      <c r="AL404">
        <v>21</v>
      </c>
      <c r="AM404">
        <v>1.1999999999999999E-3</v>
      </c>
      <c r="AN404">
        <v>-1</v>
      </c>
      <c r="AO404">
        <v>0.14000000000000001</v>
      </c>
      <c r="AP404">
        <v>5.95</v>
      </c>
      <c r="AQ404">
        <v>-4.1399999999999997</v>
      </c>
      <c r="AR404">
        <v>11.92</v>
      </c>
      <c r="AS404">
        <v>1.01</v>
      </c>
      <c r="AT404" t="s">
        <v>2737</v>
      </c>
      <c r="AU404" t="s">
        <v>116</v>
      </c>
      <c r="AV404" t="s">
        <v>116</v>
      </c>
      <c r="AW404">
        <v>0.92</v>
      </c>
      <c r="BA404">
        <v>-0.28999999999999998</v>
      </c>
      <c r="BB404">
        <v>1.72</v>
      </c>
      <c r="BC404">
        <v>-0.43</v>
      </c>
      <c r="BD404">
        <v>0.44</v>
      </c>
      <c r="BE404">
        <v>-0.14000000000000001</v>
      </c>
      <c r="BF404">
        <v>-2.11</v>
      </c>
      <c r="BG404">
        <v>0</v>
      </c>
      <c r="BH404">
        <v>-0.87</v>
      </c>
      <c r="BI404">
        <v>20191031</v>
      </c>
      <c r="BJ404">
        <v>19990623</v>
      </c>
      <c r="BK404">
        <v>1.86</v>
      </c>
      <c r="BL404" t="s">
        <v>116</v>
      </c>
      <c r="BM404" t="s">
        <v>116</v>
      </c>
      <c r="BN404">
        <v>14.22</v>
      </c>
      <c r="BO404">
        <v>6.82</v>
      </c>
      <c r="BP404">
        <v>4.25</v>
      </c>
      <c r="BQ404">
        <v>22.15</v>
      </c>
      <c r="BR404">
        <v>11.06</v>
      </c>
      <c r="BS404">
        <v>2.2200000000000002</v>
      </c>
      <c r="BT404">
        <v>0.61</v>
      </c>
      <c r="BU404">
        <v>3.1</v>
      </c>
      <c r="BV404">
        <v>1.64</v>
      </c>
      <c r="BW404">
        <v>0.35</v>
      </c>
      <c r="BX404">
        <v>1.93</v>
      </c>
      <c r="BY404">
        <v>3.62</v>
      </c>
      <c r="BZ404">
        <v>2.4900000000000002</v>
      </c>
      <c r="CA404">
        <v>0.37</v>
      </c>
      <c r="CB404">
        <v>-0.25</v>
      </c>
      <c r="CC404">
        <v>0.36</v>
      </c>
      <c r="CD404">
        <v>0.17</v>
      </c>
      <c r="CE404">
        <v>0.17</v>
      </c>
      <c r="CF404">
        <v>0.04</v>
      </c>
      <c r="CG404">
        <v>2.8</v>
      </c>
      <c r="CH404">
        <v>0.24</v>
      </c>
      <c r="CI404">
        <v>5.47</v>
      </c>
      <c r="CJ404">
        <v>16481</v>
      </c>
      <c r="CK404">
        <v>7775</v>
      </c>
      <c r="CL404" t="s">
        <v>2738</v>
      </c>
      <c r="CM404">
        <v>149.11000000000001</v>
      </c>
      <c r="CN404">
        <v>-12.15</v>
      </c>
      <c r="CO404">
        <v>1.89</v>
      </c>
      <c r="CP404">
        <v>54.48</v>
      </c>
      <c r="CQ404">
        <v>3.56</v>
      </c>
      <c r="CR404">
        <v>0</v>
      </c>
      <c r="CS404" t="s">
        <v>2739</v>
      </c>
      <c r="CT404">
        <v>3.67</v>
      </c>
      <c r="CU404">
        <v>0</v>
      </c>
      <c r="CV404">
        <v>1.04</v>
      </c>
      <c r="CW404">
        <v>1.51</v>
      </c>
      <c r="CX404">
        <v>0.13</v>
      </c>
      <c r="CY404">
        <v>47.99</v>
      </c>
      <c r="CZ404" t="s">
        <v>1323</v>
      </c>
      <c r="DA404">
        <v>31.41</v>
      </c>
      <c r="DB404">
        <v>10.199999999999999</v>
      </c>
      <c r="DC404">
        <v>4.5999999999999996</v>
      </c>
      <c r="DD404">
        <v>0.02</v>
      </c>
      <c r="DE404">
        <v>1507</v>
      </c>
      <c r="DF404">
        <v>929</v>
      </c>
      <c r="DG404" t="s">
        <v>116</v>
      </c>
      <c r="DH404" t="s">
        <v>116</v>
      </c>
      <c r="DI404" t="s">
        <v>116</v>
      </c>
    </row>
    <row r="405" spans="1:113" x14ac:dyDescent="0.4">
      <c r="A405" t="str">
        <f>"000930"</f>
        <v>000930</v>
      </c>
      <c r="B405" t="s">
        <v>2740</v>
      </c>
      <c r="C405">
        <v>0.31</v>
      </c>
      <c r="D405">
        <v>6.48</v>
      </c>
      <c r="E405">
        <v>0.02</v>
      </c>
      <c r="F405">
        <v>6.48</v>
      </c>
      <c r="G405">
        <v>6.49</v>
      </c>
      <c r="H405">
        <v>111532</v>
      </c>
      <c r="I405">
        <v>1406</v>
      </c>
      <c r="J405">
        <v>-0.14000000000000001</v>
      </c>
      <c r="K405">
        <v>1.37</v>
      </c>
      <c r="L405">
        <v>6.42</v>
      </c>
      <c r="M405">
        <v>6.58</v>
      </c>
      <c r="N405">
        <v>6.41</v>
      </c>
      <c r="O405">
        <v>6.46</v>
      </c>
      <c r="P405">
        <v>23.07</v>
      </c>
      <c r="Q405">
        <v>72540912</v>
      </c>
      <c r="R405">
        <v>1.31</v>
      </c>
      <c r="S405" t="s">
        <v>449</v>
      </c>
      <c r="T405" t="s">
        <v>575</v>
      </c>
      <c r="U405">
        <v>2.63</v>
      </c>
      <c r="V405">
        <v>6.5</v>
      </c>
      <c r="W405">
        <v>55160</v>
      </c>
      <c r="X405">
        <v>56372</v>
      </c>
      <c r="Y405">
        <v>0.98</v>
      </c>
      <c r="Z405">
        <v>893</v>
      </c>
      <c r="AA405">
        <v>390</v>
      </c>
      <c r="AB405" t="s">
        <v>116</v>
      </c>
      <c r="AC405">
        <v>1809200</v>
      </c>
      <c r="AD405">
        <v>0.03</v>
      </c>
      <c r="AE405" t="s">
        <v>116</v>
      </c>
      <c r="AF405" t="s">
        <v>116</v>
      </c>
      <c r="AG405">
        <v>8.1199999999999992</v>
      </c>
      <c r="AH405" t="s">
        <v>2741</v>
      </c>
      <c r="AI405" t="s">
        <v>2742</v>
      </c>
      <c r="AJ405">
        <v>0.99</v>
      </c>
      <c r="AK405">
        <v>2404</v>
      </c>
      <c r="AL405">
        <v>46</v>
      </c>
      <c r="AM405">
        <v>5.9999999999999995E-4</v>
      </c>
      <c r="AN405">
        <v>1</v>
      </c>
      <c r="AO405">
        <v>0.47</v>
      </c>
      <c r="AP405">
        <v>2.0499999999999998</v>
      </c>
      <c r="AQ405">
        <v>-8.99</v>
      </c>
      <c r="AR405">
        <v>-12.37</v>
      </c>
      <c r="AS405">
        <v>1.37</v>
      </c>
      <c r="AT405" t="s">
        <v>2741</v>
      </c>
      <c r="AU405">
        <v>36.090000000000003</v>
      </c>
      <c r="AV405">
        <v>24.79</v>
      </c>
      <c r="AW405">
        <v>0.81</v>
      </c>
      <c r="BA405">
        <v>-0.62</v>
      </c>
      <c r="BB405">
        <v>1.86</v>
      </c>
      <c r="BC405">
        <v>-0.77</v>
      </c>
      <c r="BD405">
        <v>0.68</v>
      </c>
      <c r="BE405">
        <v>0.93</v>
      </c>
      <c r="BF405">
        <v>-1.52</v>
      </c>
      <c r="BG405">
        <v>1.0900000000000001</v>
      </c>
      <c r="BH405">
        <v>-0.37</v>
      </c>
      <c r="BI405">
        <v>20191031</v>
      </c>
      <c r="BJ405">
        <v>19990712</v>
      </c>
      <c r="BK405">
        <v>18.48</v>
      </c>
      <c r="BL405" t="s">
        <v>116</v>
      </c>
      <c r="BM405" t="s">
        <v>116</v>
      </c>
      <c r="BN405">
        <v>183.42</v>
      </c>
      <c r="BO405">
        <v>96.45</v>
      </c>
      <c r="BP405">
        <v>4.05</v>
      </c>
      <c r="BQ405">
        <v>45.21</v>
      </c>
      <c r="BR405">
        <v>79.25</v>
      </c>
      <c r="BS405">
        <v>78.52</v>
      </c>
      <c r="BT405">
        <v>8.6999999999999993</v>
      </c>
      <c r="BU405">
        <v>76.989999999999995</v>
      </c>
      <c r="BV405">
        <v>24.12</v>
      </c>
      <c r="BW405">
        <v>9.76</v>
      </c>
      <c r="BX405">
        <v>60.45</v>
      </c>
      <c r="BY405">
        <v>138.88</v>
      </c>
      <c r="BZ405">
        <v>118.58</v>
      </c>
      <c r="CA405">
        <v>4.96</v>
      </c>
      <c r="CB405">
        <v>0.37</v>
      </c>
      <c r="CC405">
        <v>4.9800000000000004</v>
      </c>
      <c r="CD405">
        <v>3.75</v>
      </c>
      <c r="CE405">
        <v>3.89</v>
      </c>
      <c r="CF405">
        <v>3.34</v>
      </c>
      <c r="CG405">
        <v>8.57</v>
      </c>
      <c r="CH405">
        <v>38.119999999999997</v>
      </c>
      <c r="CI405">
        <v>10.43</v>
      </c>
      <c r="CJ405">
        <v>134464</v>
      </c>
      <c r="CK405">
        <v>6042</v>
      </c>
      <c r="CL405" t="s">
        <v>2743</v>
      </c>
      <c r="CM405">
        <v>-27.99</v>
      </c>
      <c r="CN405">
        <v>5.47</v>
      </c>
      <c r="CO405">
        <v>1.24</v>
      </c>
      <c r="CP405">
        <v>3.14</v>
      </c>
      <c r="CQ405">
        <v>0.86</v>
      </c>
      <c r="CR405">
        <v>0.39</v>
      </c>
      <c r="CS405" t="s">
        <v>2744</v>
      </c>
      <c r="CT405">
        <v>5.22</v>
      </c>
      <c r="CU405">
        <v>0</v>
      </c>
      <c r="CV405">
        <v>3.27</v>
      </c>
      <c r="CW405">
        <v>0.46</v>
      </c>
      <c r="CX405">
        <v>2.06</v>
      </c>
      <c r="CY405">
        <v>52.58</v>
      </c>
      <c r="CZ405" t="s">
        <v>2745</v>
      </c>
      <c r="DA405">
        <v>14.61</v>
      </c>
      <c r="DB405">
        <v>3.57</v>
      </c>
      <c r="DC405">
        <v>2.8</v>
      </c>
      <c r="DD405">
        <v>0.66</v>
      </c>
      <c r="DE405">
        <v>12273</v>
      </c>
      <c r="DF405">
        <v>930</v>
      </c>
      <c r="DG405" t="s">
        <v>116</v>
      </c>
      <c r="DH405" t="s">
        <v>116</v>
      </c>
      <c r="DI405" t="s">
        <v>116</v>
      </c>
    </row>
    <row r="406" spans="1:113" x14ac:dyDescent="0.4">
      <c r="A406" t="str">
        <f>"000931"</f>
        <v>000931</v>
      </c>
      <c r="B406" t="s">
        <v>2746</v>
      </c>
      <c r="C406">
        <v>-0.82</v>
      </c>
      <c r="D406">
        <v>9.73</v>
      </c>
      <c r="E406">
        <v>-0.08</v>
      </c>
      <c r="F406">
        <v>9.7200000000000006</v>
      </c>
      <c r="G406">
        <v>9.73</v>
      </c>
      <c r="H406">
        <v>193278</v>
      </c>
      <c r="I406">
        <v>2063</v>
      </c>
      <c r="J406">
        <v>0.21</v>
      </c>
      <c r="K406">
        <v>2.75</v>
      </c>
      <c r="L406">
        <v>9.73</v>
      </c>
      <c r="M406">
        <v>9.8800000000000008</v>
      </c>
      <c r="N406">
        <v>9.66</v>
      </c>
      <c r="O406">
        <v>9.81</v>
      </c>
      <c r="P406">
        <v>54</v>
      </c>
      <c r="Q406">
        <v>188690512</v>
      </c>
      <c r="R406">
        <v>1.23</v>
      </c>
      <c r="S406" t="s">
        <v>132</v>
      </c>
      <c r="T406" t="s">
        <v>165</v>
      </c>
      <c r="U406">
        <v>2.2400000000000002</v>
      </c>
      <c r="V406">
        <v>9.76</v>
      </c>
      <c r="W406">
        <v>88334</v>
      </c>
      <c r="X406">
        <v>104944</v>
      </c>
      <c r="Y406">
        <v>0.84</v>
      </c>
      <c r="Z406">
        <v>367</v>
      </c>
      <c r="AA406">
        <v>160</v>
      </c>
      <c r="AB406" t="s">
        <v>116</v>
      </c>
      <c r="AC406">
        <v>2160100</v>
      </c>
      <c r="AD406">
        <v>0.05</v>
      </c>
      <c r="AE406" t="s">
        <v>116</v>
      </c>
      <c r="AF406" t="s">
        <v>116</v>
      </c>
      <c r="AG406">
        <v>7.02</v>
      </c>
      <c r="AH406" t="s">
        <v>2747</v>
      </c>
      <c r="AI406" t="s">
        <v>2748</v>
      </c>
      <c r="AJ406">
        <v>-0.14000000000000001</v>
      </c>
      <c r="AK406">
        <v>3109</v>
      </c>
      <c r="AL406">
        <v>62</v>
      </c>
      <c r="AM406">
        <v>8.9999999999999998E-4</v>
      </c>
      <c r="AN406">
        <v>-1</v>
      </c>
      <c r="AO406">
        <v>7.99</v>
      </c>
      <c r="AP406">
        <v>18.66</v>
      </c>
      <c r="AQ406">
        <v>6.34</v>
      </c>
      <c r="AR406">
        <v>40.61</v>
      </c>
      <c r="AS406">
        <v>4.04</v>
      </c>
      <c r="AT406" t="s">
        <v>2749</v>
      </c>
      <c r="AU406">
        <v>75.81</v>
      </c>
      <c r="AV406">
        <v>78.680000000000007</v>
      </c>
      <c r="AW406">
        <v>1.32</v>
      </c>
      <c r="BA406">
        <v>-0.82</v>
      </c>
      <c r="BB406">
        <v>0.71</v>
      </c>
      <c r="BC406">
        <v>-1.53</v>
      </c>
      <c r="BD406">
        <v>-0.48</v>
      </c>
      <c r="BE406">
        <v>0</v>
      </c>
      <c r="BF406">
        <v>-1.52</v>
      </c>
      <c r="BG406">
        <v>0.72</v>
      </c>
      <c r="BH406">
        <v>-0.33</v>
      </c>
      <c r="BI406">
        <v>20191223</v>
      </c>
      <c r="BJ406">
        <v>19990712</v>
      </c>
      <c r="BK406">
        <v>7.53</v>
      </c>
      <c r="BL406" t="s">
        <v>116</v>
      </c>
      <c r="BM406" t="s">
        <v>116</v>
      </c>
      <c r="BN406">
        <v>36.590000000000003</v>
      </c>
      <c r="BO406">
        <v>16.77</v>
      </c>
      <c r="BP406">
        <v>1.82</v>
      </c>
      <c r="BQ406">
        <v>49.2</v>
      </c>
      <c r="BR406">
        <v>22.94</v>
      </c>
      <c r="BS406">
        <v>6.54</v>
      </c>
      <c r="BT406">
        <v>1.48</v>
      </c>
      <c r="BU406">
        <v>14.11</v>
      </c>
      <c r="BV406">
        <v>5.2</v>
      </c>
      <c r="BW406">
        <v>11.34</v>
      </c>
      <c r="BX406">
        <v>15.73</v>
      </c>
      <c r="BY406">
        <v>15.49</v>
      </c>
      <c r="BZ406">
        <v>7.42</v>
      </c>
      <c r="CA406">
        <v>1.08</v>
      </c>
      <c r="CB406">
        <v>0</v>
      </c>
      <c r="CC406">
        <v>1.47</v>
      </c>
      <c r="CD406">
        <v>1.28</v>
      </c>
      <c r="CE406">
        <v>1.02</v>
      </c>
      <c r="CF406">
        <v>0.71</v>
      </c>
      <c r="CG406">
        <v>-7.48</v>
      </c>
      <c r="CH406">
        <v>0.68</v>
      </c>
      <c r="CI406">
        <v>-1.8</v>
      </c>
      <c r="CJ406">
        <v>83460</v>
      </c>
      <c r="CK406">
        <v>5738</v>
      </c>
      <c r="CL406" t="s">
        <v>2515</v>
      </c>
      <c r="CM406">
        <v>3.58</v>
      </c>
      <c r="CN406">
        <v>26.17</v>
      </c>
      <c r="CO406">
        <v>4.37</v>
      </c>
      <c r="CP406">
        <v>108.07</v>
      </c>
      <c r="CQ406">
        <v>4.7300000000000004</v>
      </c>
      <c r="CR406">
        <v>0</v>
      </c>
      <c r="CS406" t="s">
        <v>2750</v>
      </c>
      <c r="CT406">
        <v>2.23</v>
      </c>
      <c r="CU406">
        <v>0</v>
      </c>
      <c r="CV406">
        <v>2.09</v>
      </c>
      <c r="CW406">
        <v>-0.99</v>
      </c>
      <c r="CX406">
        <v>0.09</v>
      </c>
      <c r="CY406">
        <v>45.83</v>
      </c>
      <c r="CZ406" t="s">
        <v>2751</v>
      </c>
      <c r="DA406">
        <v>52.07</v>
      </c>
      <c r="DB406">
        <v>6.98</v>
      </c>
      <c r="DC406">
        <v>6.57</v>
      </c>
      <c r="DD406">
        <v>0.25</v>
      </c>
      <c r="DE406">
        <v>2230</v>
      </c>
      <c r="DF406">
        <v>931</v>
      </c>
      <c r="DG406" t="s">
        <v>116</v>
      </c>
      <c r="DH406" t="s">
        <v>116</v>
      </c>
      <c r="DI406" t="s">
        <v>116</v>
      </c>
    </row>
    <row r="407" spans="1:113" x14ac:dyDescent="0.4">
      <c r="A407" t="str">
        <f>"000932"</f>
        <v>000932</v>
      </c>
      <c r="B407" t="s">
        <v>2752</v>
      </c>
      <c r="C407">
        <v>0.43</v>
      </c>
      <c r="D407">
        <v>4.6900000000000004</v>
      </c>
      <c r="E407">
        <v>0.02</v>
      </c>
      <c r="F407">
        <v>4.68</v>
      </c>
      <c r="G407">
        <v>4.6900000000000004</v>
      </c>
      <c r="H407">
        <v>416565</v>
      </c>
      <c r="I407">
        <v>3079</v>
      </c>
      <c r="J407">
        <v>0</v>
      </c>
      <c r="K407">
        <v>0.99</v>
      </c>
      <c r="L407">
        <v>4.67</v>
      </c>
      <c r="M407">
        <v>4.74</v>
      </c>
      <c r="N407">
        <v>4.62</v>
      </c>
      <c r="O407">
        <v>4.67</v>
      </c>
      <c r="P407">
        <v>4.38</v>
      </c>
      <c r="Q407">
        <v>195367072</v>
      </c>
      <c r="R407">
        <v>1.56</v>
      </c>
      <c r="S407" t="s">
        <v>1587</v>
      </c>
      <c r="T407" t="s">
        <v>599</v>
      </c>
      <c r="U407">
        <v>2.57</v>
      </c>
      <c r="V407">
        <v>4.6900000000000004</v>
      </c>
      <c r="W407">
        <v>163674</v>
      </c>
      <c r="X407">
        <v>252891</v>
      </c>
      <c r="Y407">
        <v>0.65</v>
      </c>
      <c r="Z407">
        <v>2880</v>
      </c>
      <c r="AA407">
        <v>1539</v>
      </c>
      <c r="AB407" t="s">
        <v>116</v>
      </c>
      <c r="AC407">
        <v>273200</v>
      </c>
      <c r="AD407">
        <v>0</v>
      </c>
      <c r="AE407" t="s">
        <v>116</v>
      </c>
      <c r="AF407" t="s">
        <v>116</v>
      </c>
      <c r="AG407">
        <v>42.21</v>
      </c>
      <c r="AH407" t="s">
        <v>2753</v>
      </c>
      <c r="AI407" t="s">
        <v>2754</v>
      </c>
      <c r="AJ407">
        <v>1.1100000000000001</v>
      </c>
      <c r="AK407">
        <v>2590</v>
      </c>
      <c r="AL407">
        <v>161</v>
      </c>
      <c r="AM407">
        <v>4.0000000000000002E-4</v>
      </c>
      <c r="AN407">
        <v>2</v>
      </c>
      <c r="AO407">
        <v>1.51</v>
      </c>
      <c r="AP407">
        <v>3.99</v>
      </c>
      <c r="AQ407">
        <v>13.56</v>
      </c>
      <c r="AR407">
        <v>8.35</v>
      </c>
      <c r="AS407">
        <v>2.5299999999999998</v>
      </c>
      <c r="AT407" t="s">
        <v>2755</v>
      </c>
      <c r="AU407">
        <v>4.62</v>
      </c>
      <c r="AV407">
        <v>2.92</v>
      </c>
      <c r="AW407">
        <v>0.28000000000000003</v>
      </c>
      <c r="BA407">
        <v>0</v>
      </c>
      <c r="BB407">
        <v>1.5</v>
      </c>
      <c r="BC407">
        <v>-1.07</v>
      </c>
      <c r="BD407">
        <v>0.43</v>
      </c>
      <c r="BE407">
        <v>0.43</v>
      </c>
      <c r="BF407">
        <v>-1.05</v>
      </c>
      <c r="BG407">
        <v>1.52</v>
      </c>
      <c r="BH407">
        <v>0</v>
      </c>
      <c r="BI407">
        <v>20191031</v>
      </c>
      <c r="BJ407">
        <v>19990803</v>
      </c>
      <c r="BK407">
        <v>42.22</v>
      </c>
      <c r="BL407" t="s">
        <v>116</v>
      </c>
      <c r="BM407" t="s">
        <v>116</v>
      </c>
      <c r="BN407">
        <v>829.18</v>
      </c>
      <c r="BO407">
        <v>207.92</v>
      </c>
      <c r="BP407">
        <v>124.09</v>
      </c>
      <c r="BQ407">
        <v>59.96</v>
      </c>
      <c r="BR407">
        <v>338.02</v>
      </c>
      <c r="BS407">
        <v>414.87</v>
      </c>
      <c r="BT407">
        <v>43.15</v>
      </c>
      <c r="BU407">
        <v>437.79</v>
      </c>
      <c r="BV407">
        <v>85.32</v>
      </c>
      <c r="BW407">
        <v>34.94</v>
      </c>
      <c r="BX407">
        <v>60.14</v>
      </c>
      <c r="BY407">
        <v>818.2</v>
      </c>
      <c r="BZ407">
        <v>709.36</v>
      </c>
      <c r="CA407">
        <v>59.94</v>
      </c>
      <c r="CB407">
        <v>0.15</v>
      </c>
      <c r="CC407">
        <v>59.04</v>
      </c>
      <c r="CD407">
        <v>51.62</v>
      </c>
      <c r="CE407">
        <v>33.94</v>
      </c>
      <c r="CF407">
        <v>34.83</v>
      </c>
      <c r="CG407">
        <v>96.85</v>
      </c>
      <c r="CH407">
        <v>35.51</v>
      </c>
      <c r="CI407">
        <v>-28.38</v>
      </c>
      <c r="CJ407">
        <v>95936</v>
      </c>
      <c r="CK407">
        <v>17165</v>
      </c>
      <c r="CL407" t="s">
        <v>2756</v>
      </c>
      <c r="CM407">
        <v>-42.37</v>
      </c>
      <c r="CN407">
        <v>6.07</v>
      </c>
      <c r="CO407">
        <v>0.95</v>
      </c>
      <c r="CP407">
        <v>5.58</v>
      </c>
      <c r="CQ407">
        <v>0.24</v>
      </c>
      <c r="CR407">
        <v>0</v>
      </c>
      <c r="CS407" t="s">
        <v>2757</v>
      </c>
      <c r="CT407">
        <v>4.92</v>
      </c>
      <c r="CU407">
        <v>0</v>
      </c>
      <c r="CV407">
        <v>1.42</v>
      </c>
      <c r="CW407">
        <v>2.29</v>
      </c>
      <c r="CX407">
        <v>0.84</v>
      </c>
      <c r="CY407">
        <v>25.08</v>
      </c>
      <c r="CZ407" t="s">
        <v>2758</v>
      </c>
      <c r="DA407">
        <v>13.3</v>
      </c>
      <c r="DB407">
        <v>7.33</v>
      </c>
      <c r="DC407">
        <v>4.1500000000000004</v>
      </c>
      <c r="DD407">
        <v>8.81</v>
      </c>
      <c r="DE407">
        <v>22801</v>
      </c>
      <c r="DF407">
        <v>932</v>
      </c>
      <c r="DG407" t="s">
        <v>116</v>
      </c>
      <c r="DH407" t="s">
        <v>116</v>
      </c>
      <c r="DI407" t="s">
        <v>116</v>
      </c>
    </row>
    <row r="408" spans="1:113" x14ac:dyDescent="0.4">
      <c r="A408" t="str">
        <f>"000933"</f>
        <v>000933</v>
      </c>
      <c r="B408" t="s">
        <v>2759</v>
      </c>
      <c r="C408">
        <v>0.19</v>
      </c>
      <c r="D408">
        <v>5.27</v>
      </c>
      <c r="E408">
        <v>0.01</v>
      </c>
      <c r="F408">
        <v>5.27</v>
      </c>
      <c r="G408">
        <v>5.28</v>
      </c>
      <c r="H408">
        <v>760195</v>
      </c>
      <c r="I408">
        <v>8014</v>
      </c>
      <c r="J408">
        <v>0</v>
      </c>
      <c r="K408">
        <v>4</v>
      </c>
      <c r="L408">
        <v>5.26</v>
      </c>
      <c r="M408">
        <v>5.49</v>
      </c>
      <c r="N408">
        <v>5.23</v>
      </c>
      <c r="O408">
        <v>5.26</v>
      </c>
      <c r="P408">
        <v>2.98</v>
      </c>
      <c r="Q408">
        <v>404910240</v>
      </c>
      <c r="R408">
        <v>1.64</v>
      </c>
      <c r="S408" t="s">
        <v>1121</v>
      </c>
      <c r="T408" t="s">
        <v>652</v>
      </c>
      <c r="U408">
        <v>4.9400000000000004</v>
      </c>
      <c r="V408">
        <v>5.33</v>
      </c>
      <c r="W408">
        <v>361642</v>
      </c>
      <c r="X408">
        <v>398553</v>
      </c>
      <c r="Y408">
        <v>0.91</v>
      </c>
      <c r="Z408">
        <v>201</v>
      </c>
      <c r="AA408">
        <v>2434</v>
      </c>
      <c r="AB408" t="s">
        <v>116</v>
      </c>
      <c r="AC408">
        <v>1123500</v>
      </c>
      <c r="AD408">
        <v>0.02</v>
      </c>
      <c r="AE408" t="s">
        <v>116</v>
      </c>
      <c r="AF408" t="s">
        <v>116</v>
      </c>
      <c r="AG408">
        <v>19</v>
      </c>
      <c r="AH408" t="s">
        <v>2760</v>
      </c>
      <c r="AI408" t="s">
        <v>2761</v>
      </c>
      <c r="AJ408">
        <v>0.87</v>
      </c>
      <c r="AK408">
        <v>3729</v>
      </c>
      <c r="AL408">
        <v>204</v>
      </c>
      <c r="AM408">
        <v>1.1000000000000001E-3</v>
      </c>
      <c r="AN408">
        <v>2</v>
      </c>
      <c r="AO408">
        <v>-1.31</v>
      </c>
      <c r="AP408">
        <v>9.7899999999999991</v>
      </c>
      <c r="AQ408">
        <v>18.43</v>
      </c>
      <c r="AR408">
        <v>35.65</v>
      </c>
      <c r="AS408">
        <v>7.04</v>
      </c>
      <c r="AT408" t="s">
        <v>2762</v>
      </c>
      <c r="AU408">
        <v>4.07</v>
      </c>
      <c r="AV408">
        <v>41.93</v>
      </c>
      <c r="AW408">
        <v>1.1399999999999999</v>
      </c>
      <c r="BA408">
        <v>0</v>
      </c>
      <c r="BB408">
        <v>4.37</v>
      </c>
      <c r="BC408">
        <v>-0.56999999999999995</v>
      </c>
      <c r="BD408">
        <v>1.26</v>
      </c>
      <c r="BE408">
        <v>0.19</v>
      </c>
      <c r="BF408">
        <v>-4.01</v>
      </c>
      <c r="BG408">
        <v>0.76</v>
      </c>
      <c r="BH408">
        <v>-1.07</v>
      </c>
      <c r="BI408">
        <v>20191209</v>
      </c>
      <c r="BJ408">
        <v>19990831</v>
      </c>
      <c r="BK408">
        <v>19.010000000000002</v>
      </c>
      <c r="BL408" t="s">
        <v>116</v>
      </c>
      <c r="BM408" t="s">
        <v>116</v>
      </c>
      <c r="BN408">
        <v>531.04999999999995</v>
      </c>
      <c r="BO408">
        <v>85.3</v>
      </c>
      <c r="BP408">
        <v>12.78</v>
      </c>
      <c r="BQ408">
        <v>81.53</v>
      </c>
      <c r="BR408">
        <v>185.66</v>
      </c>
      <c r="BS408">
        <v>178.92</v>
      </c>
      <c r="BT408">
        <v>51.9</v>
      </c>
      <c r="BU408">
        <v>386.23</v>
      </c>
      <c r="BV408">
        <v>28.69</v>
      </c>
      <c r="BW408">
        <v>6.34</v>
      </c>
      <c r="BX408">
        <v>19.510000000000002</v>
      </c>
      <c r="BY408">
        <v>134.15</v>
      </c>
      <c r="BZ408">
        <v>111.88</v>
      </c>
      <c r="CA408">
        <v>25.89</v>
      </c>
      <c r="CB408">
        <v>4.57</v>
      </c>
      <c r="CC408">
        <v>25.89</v>
      </c>
      <c r="CD408">
        <v>22.48</v>
      </c>
      <c r="CE408">
        <v>25.23</v>
      </c>
      <c r="CF408">
        <v>-2.91</v>
      </c>
      <c r="CG408">
        <v>38.03</v>
      </c>
      <c r="CH408">
        <v>7.71</v>
      </c>
      <c r="CI408">
        <v>14.98</v>
      </c>
      <c r="CJ408">
        <v>114200</v>
      </c>
      <c r="CK408">
        <v>9459</v>
      </c>
      <c r="CL408" t="s">
        <v>2763</v>
      </c>
      <c r="CM408">
        <v>730.83</v>
      </c>
      <c r="CN408">
        <v>-8.44</v>
      </c>
      <c r="CO408">
        <v>1.17</v>
      </c>
      <c r="CP408">
        <v>12.98</v>
      </c>
      <c r="CQ408">
        <v>0.75</v>
      </c>
      <c r="CR408">
        <v>0.28000000000000003</v>
      </c>
      <c r="CS408" t="s">
        <v>2764</v>
      </c>
      <c r="CT408">
        <v>4.49</v>
      </c>
      <c r="CU408">
        <v>0</v>
      </c>
      <c r="CV408">
        <v>1.03</v>
      </c>
      <c r="CW408">
        <v>2</v>
      </c>
      <c r="CX408">
        <v>0.41</v>
      </c>
      <c r="CY408">
        <v>16.059999999999999</v>
      </c>
      <c r="CZ408" t="s">
        <v>2765</v>
      </c>
      <c r="DA408">
        <v>16.600000000000001</v>
      </c>
      <c r="DB408">
        <v>19.3</v>
      </c>
      <c r="DC408">
        <v>18.809999999999999</v>
      </c>
      <c r="DD408">
        <v>0.43</v>
      </c>
      <c r="DE408">
        <v>26554</v>
      </c>
      <c r="DF408">
        <v>933</v>
      </c>
      <c r="DG408" t="s">
        <v>116</v>
      </c>
      <c r="DH408" t="s">
        <v>116</v>
      </c>
      <c r="DI408" t="s">
        <v>116</v>
      </c>
    </row>
    <row r="409" spans="1:113" x14ac:dyDescent="0.4">
      <c r="A409" t="str">
        <f>"000935"</f>
        <v>000935</v>
      </c>
      <c r="B409" t="s">
        <v>2766</v>
      </c>
      <c r="C409">
        <v>-1.92</v>
      </c>
      <c r="D409">
        <v>15.36</v>
      </c>
      <c r="E409">
        <v>-0.3</v>
      </c>
      <c r="F409">
        <v>15.36</v>
      </c>
      <c r="G409">
        <v>15.37</v>
      </c>
      <c r="H409">
        <v>148420</v>
      </c>
      <c r="I409">
        <v>1613</v>
      </c>
      <c r="J409">
        <v>-0.12</v>
      </c>
      <c r="K409">
        <v>1.94</v>
      </c>
      <c r="L409">
        <v>15.66</v>
      </c>
      <c r="M409">
        <v>15.83</v>
      </c>
      <c r="N409">
        <v>15.34</v>
      </c>
      <c r="O409">
        <v>15.66</v>
      </c>
      <c r="P409">
        <v>15.69</v>
      </c>
      <c r="Q409">
        <v>231904912</v>
      </c>
      <c r="R409">
        <v>1.21</v>
      </c>
      <c r="S409" t="s">
        <v>660</v>
      </c>
      <c r="T409" t="s">
        <v>582</v>
      </c>
      <c r="U409">
        <v>3.13</v>
      </c>
      <c r="V409">
        <v>15.62</v>
      </c>
      <c r="W409">
        <v>82210</v>
      </c>
      <c r="X409">
        <v>66210</v>
      </c>
      <c r="Y409">
        <v>1.24</v>
      </c>
      <c r="Z409">
        <v>66</v>
      </c>
      <c r="AA409">
        <v>1366</v>
      </c>
      <c r="AB409" t="s">
        <v>116</v>
      </c>
      <c r="AC409">
        <v>399300</v>
      </c>
      <c r="AD409">
        <v>0.01</v>
      </c>
      <c r="AE409" t="s">
        <v>116</v>
      </c>
      <c r="AF409" t="s">
        <v>116</v>
      </c>
      <c r="AG409">
        <v>7.63</v>
      </c>
      <c r="AH409" t="s">
        <v>2767</v>
      </c>
      <c r="AI409" t="s">
        <v>2767</v>
      </c>
      <c r="AJ409">
        <v>-1.24</v>
      </c>
      <c r="AK409">
        <v>3186</v>
      </c>
      <c r="AL409">
        <v>47</v>
      </c>
      <c r="AM409">
        <v>5.9999999999999995E-4</v>
      </c>
      <c r="AN409">
        <v>-1</v>
      </c>
      <c r="AO409">
        <v>0</v>
      </c>
      <c r="AP409">
        <v>3.78</v>
      </c>
      <c r="AQ409">
        <v>11.63</v>
      </c>
      <c r="AR409">
        <v>2.13</v>
      </c>
      <c r="AS409">
        <v>6.28</v>
      </c>
      <c r="AT409" t="s">
        <v>2768</v>
      </c>
      <c r="AU409">
        <v>15.46</v>
      </c>
      <c r="AV409">
        <v>16.86</v>
      </c>
      <c r="AW409">
        <v>1.66</v>
      </c>
      <c r="BA409">
        <v>0</v>
      </c>
      <c r="BB409">
        <v>1.0900000000000001</v>
      </c>
      <c r="BC409">
        <v>-2.04</v>
      </c>
      <c r="BD409">
        <v>-0.22</v>
      </c>
      <c r="BE409">
        <v>-1.92</v>
      </c>
      <c r="BF409">
        <v>-2.97</v>
      </c>
      <c r="BG409">
        <v>0.13</v>
      </c>
      <c r="BH409">
        <v>-1.69</v>
      </c>
      <c r="BI409">
        <v>20191031</v>
      </c>
      <c r="BJ409">
        <v>19990824</v>
      </c>
      <c r="BK409">
        <v>7.63</v>
      </c>
      <c r="BL409" t="s">
        <v>116</v>
      </c>
      <c r="BM409" t="s">
        <v>116</v>
      </c>
      <c r="BN409">
        <v>45.29</v>
      </c>
      <c r="BO409">
        <v>40.43</v>
      </c>
      <c r="BP409">
        <v>0.03</v>
      </c>
      <c r="BQ409">
        <v>10.66</v>
      </c>
      <c r="BR409">
        <v>17.32</v>
      </c>
      <c r="BS409">
        <v>15.38</v>
      </c>
      <c r="BT409">
        <v>1.47</v>
      </c>
      <c r="BU409">
        <v>4.75</v>
      </c>
      <c r="BV409">
        <v>0.75</v>
      </c>
      <c r="BW409">
        <v>1.37</v>
      </c>
      <c r="BX409">
        <v>9.93</v>
      </c>
      <c r="BY409">
        <v>13.43</v>
      </c>
      <c r="BZ409">
        <v>7.02</v>
      </c>
      <c r="CA409">
        <v>6.29</v>
      </c>
      <c r="CB409">
        <v>0.21</v>
      </c>
      <c r="CC409">
        <v>6.28</v>
      </c>
      <c r="CD409">
        <v>5.59</v>
      </c>
      <c r="CE409">
        <v>5.61</v>
      </c>
      <c r="CF409">
        <v>5.37</v>
      </c>
      <c r="CG409">
        <v>21.95</v>
      </c>
      <c r="CH409">
        <v>5.44</v>
      </c>
      <c r="CI409">
        <v>4.2300000000000004</v>
      </c>
      <c r="CJ409">
        <v>55516</v>
      </c>
      <c r="CK409">
        <v>4254</v>
      </c>
      <c r="CL409" t="s">
        <v>334</v>
      </c>
      <c r="CM409">
        <v>12.65</v>
      </c>
      <c r="CN409">
        <v>-8.86</v>
      </c>
      <c r="CO409">
        <v>2.9</v>
      </c>
      <c r="CP409">
        <v>21.56</v>
      </c>
      <c r="CQ409">
        <v>8.73</v>
      </c>
      <c r="CR409">
        <v>0</v>
      </c>
      <c r="CS409" t="s">
        <v>2769</v>
      </c>
      <c r="CT409">
        <v>5.3</v>
      </c>
      <c r="CU409">
        <v>0</v>
      </c>
      <c r="CV409">
        <v>1.3</v>
      </c>
      <c r="CW409">
        <v>2.87</v>
      </c>
      <c r="CX409">
        <v>0.71</v>
      </c>
      <c r="CY409">
        <v>89.28</v>
      </c>
      <c r="CZ409" t="s">
        <v>2770</v>
      </c>
      <c r="DA409">
        <v>47.75</v>
      </c>
      <c r="DB409">
        <v>46.84</v>
      </c>
      <c r="DC409">
        <v>41.74</v>
      </c>
      <c r="DD409">
        <v>0.06</v>
      </c>
      <c r="DE409">
        <v>607</v>
      </c>
      <c r="DF409">
        <v>935</v>
      </c>
      <c r="DG409" t="s">
        <v>116</v>
      </c>
      <c r="DH409" t="s">
        <v>116</v>
      </c>
      <c r="DI409" t="s">
        <v>116</v>
      </c>
    </row>
    <row r="410" spans="1:113" x14ac:dyDescent="0.4">
      <c r="A410" t="str">
        <f>"000936"</f>
        <v>000936</v>
      </c>
      <c r="B410" t="s">
        <v>2771</v>
      </c>
      <c r="C410">
        <v>-1.68</v>
      </c>
      <c r="D410">
        <v>7.59</v>
      </c>
      <c r="E410">
        <v>-0.13</v>
      </c>
      <c r="F410">
        <v>7.59</v>
      </c>
      <c r="G410">
        <v>7.6</v>
      </c>
      <c r="H410">
        <v>392831</v>
      </c>
      <c r="I410">
        <v>2794</v>
      </c>
      <c r="J410">
        <v>-0.12</v>
      </c>
      <c r="K410">
        <v>4.4400000000000004</v>
      </c>
      <c r="L410">
        <v>7.71</v>
      </c>
      <c r="M410">
        <v>7.83</v>
      </c>
      <c r="N410">
        <v>7.55</v>
      </c>
      <c r="O410">
        <v>7.72</v>
      </c>
      <c r="P410">
        <v>10.59</v>
      </c>
      <c r="Q410">
        <v>301821888</v>
      </c>
      <c r="R410">
        <v>1.55</v>
      </c>
      <c r="S410" t="s">
        <v>630</v>
      </c>
      <c r="T410" t="s">
        <v>323</v>
      </c>
      <c r="U410">
        <v>3.63</v>
      </c>
      <c r="V410">
        <v>7.68</v>
      </c>
      <c r="W410">
        <v>205544</v>
      </c>
      <c r="X410">
        <v>187287</v>
      </c>
      <c r="Y410">
        <v>1.1000000000000001</v>
      </c>
      <c r="Z410">
        <v>1954</v>
      </c>
      <c r="AA410">
        <v>656</v>
      </c>
      <c r="AB410" t="s">
        <v>116</v>
      </c>
      <c r="AC410">
        <v>2726300</v>
      </c>
      <c r="AD410">
        <v>7.0000000000000007E-2</v>
      </c>
      <c r="AE410" t="s">
        <v>116</v>
      </c>
      <c r="AF410" t="s">
        <v>116</v>
      </c>
      <c r="AG410">
        <v>8.85</v>
      </c>
      <c r="AH410" t="s">
        <v>2772</v>
      </c>
      <c r="AI410" t="s">
        <v>2773</v>
      </c>
      <c r="AJ410">
        <v>-1.01</v>
      </c>
      <c r="AK410">
        <v>3639</v>
      </c>
      <c r="AL410">
        <v>108</v>
      </c>
      <c r="AM410">
        <v>1.1999999999999999E-3</v>
      </c>
      <c r="AN410">
        <v>-1</v>
      </c>
      <c r="AO410">
        <v>7.51</v>
      </c>
      <c r="AP410">
        <v>23.82</v>
      </c>
      <c r="AQ410">
        <v>9.68</v>
      </c>
      <c r="AR410">
        <v>25.04</v>
      </c>
      <c r="AS410">
        <v>7.47</v>
      </c>
      <c r="AT410" t="s">
        <v>2774</v>
      </c>
      <c r="AU410">
        <v>13.34</v>
      </c>
      <c r="AV410">
        <v>20.95</v>
      </c>
      <c r="AW410">
        <v>1.53</v>
      </c>
      <c r="BA410">
        <v>-0.13</v>
      </c>
      <c r="BB410">
        <v>1.42</v>
      </c>
      <c r="BC410">
        <v>-2.2000000000000002</v>
      </c>
      <c r="BD410">
        <v>-0.48</v>
      </c>
      <c r="BE410">
        <v>-1.56</v>
      </c>
      <c r="BF410">
        <v>-3.07</v>
      </c>
      <c r="BG410">
        <v>0.53</v>
      </c>
      <c r="BH410">
        <v>-1.21</v>
      </c>
      <c r="BI410">
        <v>20191212</v>
      </c>
      <c r="BJ410">
        <v>19990810</v>
      </c>
      <c r="BK410">
        <v>8.86</v>
      </c>
      <c r="BL410" t="s">
        <v>116</v>
      </c>
      <c r="BM410" t="s">
        <v>116</v>
      </c>
      <c r="BN410">
        <v>131.57</v>
      </c>
      <c r="BO410">
        <v>50.48</v>
      </c>
      <c r="BP410">
        <v>6.01</v>
      </c>
      <c r="BQ410">
        <v>57.07</v>
      </c>
      <c r="BR410">
        <v>82.28</v>
      </c>
      <c r="BS410">
        <v>4.54</v>
      </c>
      <c r="BT410">
        <v>0.22</v>
      </c>
      <c r="BU410">
        <v>26.92</v>
      </c>
      <c r="BV410">
        <v>1.85</v>
      </c>
      <c r="BW410">
        <v>2.97</v>
      </c>
      <c r="BX410">
        <v>5.54</v>
      </c>
      <c r="BY410">
        <v>24.98</v>
      </c>
      <c r="BZ410">
        <v>23.32</v>
      </c>
      <c r="CA410">
        <v>6.52</v>
      </c>
      <c r="CB410">
        <v>4.72</v>
      </c>
      <c r="CC410">
        <v>6.52</v>
      </c>
      <c r="CD410">
        <v>5.21</v>
      </c>
      <c r="CE410">
        <v>4.76</v>
      </c>
      <c r="CF410">
        <v>4.68</v>
      </c>
      <c r="CG410">
        <v>32.61</v>
      </c>
      <c r="CH410">
        <v>3.27</v>
      </c>
      <c r="CI410">
        <v>-0.94</v>
      </c>
      <c r="CJ410">
        <v>74933</v>
      </c>
      <c r="CK410">
        <v>7016</v>
      </c>
      <c r="CL410" t="s">
        <v>2775</v>
      </c>
      <c r="CM410">
        <v>62.42</v>
      </c>
      <c r="CN410">
        <v>18.78</v>
      </c>
      <c r="CO410">
        <v>1.33</v>
      </c>
      <c r="CP410">
        <v>20.58</v>
      </c>
      <c r="CQ410">
        <v>2.69</v>
      </c>
      <c r="CR410">
        <v>0.66</v>
      </c>
      <c r="CS410" t="s">
        <v>2776</v>
      </c>
      <c r="CT410">
        <v>5.7</v>
      </c>
      <c r="CU410">
        <v>0</v>
      </c>
      <c r="CV410">
        <v>0.63</v>
      </c>
      <c r="CW410">
        <v>3.68</v>
      </c>
      <c r="CX410">
        <v>0.37</v>
      </c>
      <c r="CY410">
        <v>38.369999999999997</v>
      </c>
      <c r="CZ410" t="s">
        <v>2777</v>
      </c>
      <c r="DA410">
        <v>6.65</v>
      </c>
      <c r="DB410">
        <v>26.1</v>
      </c>
      <c r="DC410">
        <v>19.07</v>
      </c>
      <c r="DD410">
        <v>0.01</v>
      </c>
      <c r="DE410">
        <v>910</v>
      </c>
      <c r="DF410">
        <v>936</v>
      </c>
      <c r="DG410" t="s">
        <v>116</v>
      </c>
      <c r="DH410" t="s">
        <v>116</v>
      </c>
      <c r="DI410" t="s">
        <v>116</v>
      </c>
    </row>
    <row r="411" spans="1:113" x14ac:dyDescent="0.4">
      <c r="A411" t="str">
        <f>"000937"</f>
        <v>000937</v>
      </c>
      <c r="B411" t="s">
        <v>2778</v>
      </c>
      <c r="C411">
        <v>0.56999999999999995</v>
      </c>
      <c r="D411">
        <v>3.55</v>
      </c>
      <c r="E411">
        <v>0.02</v>
      </c>
      <c r="F411">
        <v>3.55</v>
      </c>
      <c r="G411">
        <v>3.56</v>
      </c>
      <c r="H411">
        <v>151809</v>
      </c>
      <c r="I411">
        <v>2643</v>
      </c>
      <c r="J411">
        <v>-0.27</v>
      </c>
      <c r="K411">
        <v>0.52</v>
      </c>
      <c r="L411">
        <v>3.53</v>
      </c>
      <c r="M411">
        <v>3.62</v>
      </c>
      <c r="N411">
        <v>3.53</v>
      </c>
      <c r="O411">
        <v>3.53</v>
      </c>
      <c r="P411">
        <v>12.86</v>
      </c>
      <c r="Q411">
        <v>54296772</v>
      </c>
      <c r="R411">
        <v>2.0299999999999998</v>
      </c>
      <c r="S411" t="s">
        <v>1121</v>
      </c>
      <c r="T411" t="s">
        <v>608</v>
      </c>
      <c r="U411">
        <v>2.5499999999999998</v>
      </c>
      <c r="V411">
        <v>3.58</v>
      </c>
      <c r="W411">
        <v>61965</v>
      </c>
      <c r="X411">
        <v>89844</v>
      </c>
      <c r="Y411">
        <v>0.69</v>
      </c>
      <c r="Z411">
        <v>3158</v>
      </c>
      <c r="AA411">
        <v>352</v>
      </c>
      <c r="AB411" t="s">
        <v>116</v>
      </c>
      <c r="AC411">
        <v>56600</v>
      </c>
      <c r="AD411">
        <v>0</v>
      </c>
      <c r="AE411" t="s">
        <v>116</v>
      </c>
      <c r="AF411" t="s">
        <v>116</v>
      </c>
      <c r="AG411">
        <v>29.07</v>
      </c>
      <c r="AH411" t="s">
        <v>2779</v>
      </c>
      <c r="AI411" t="s">
        <v>1693</v>
      </c>
      <c r="AJ411">
        <v>1.25</v>
      </c>
      <c r="AK411">
        <v>1930</v>
      </c>
      <c r="AL411">
        <v>79</v>
      </c>
      <c r="AM411">
        <v>2.9999999999999997E-4</v>
      </c>
      <c r="AN411">
        <v>2</v>
      </c>
      <c r="AO411">
        <v>0.28999999999999998</v>
      </c>
      <c r="AP411">
        <v>1.1399999999999999</v>
      </c>
      <c r="AQ411">
        <v>0.56999999999999995</v>
      </c>
      <c r="AR411">
        <v>-3.27</v>
      </c>
      <c r="AS411">
        <v>1.51</v>
      </c>
      <c r="AT411" t="s">
        <v>2780</v>
      </c>
      <c r="AU411">
        <v>16.62</v>
      </c>
      <c r="AV411">
        <v>14.39</v>
      </c>
      <c r="AW411">
        <v>0.6</v>
      </c>
      <c r="BA411">
        <v>0</v>
      </c>
      <c r="BB411">
        <v>2.5499999999999998</v>
      </c>
      <c r="BC411">
        <v>0</v>
      </c>
      <c r="BD411">
        <v>1.32</v>
      </c>
      <c r="BE411">
        <v>0.56999999999999995</v>
      </c>
      <c r="BF411">
        <v>-1.93</v>
      </c>
      <c r="BG411">
        <v>0.56999999999999995</v>
      </c>
      <c r="BH411">
        <v>-0.75</v>
      </c>
      <c r="BI411">
        <v>20191023</v>
      </c>
      <c r="BJ411">
        <v>19990909</v>
      </c>
      <c r="BK411">
        <v>35.340000000000003</v>
      </c>
      <c r="BL411" t="s">
        <v>116</v>
      </c>
      <c r="BM411" t="s">
        <v>116</v>
      </c>
      <c r="BN411">
        <v>453.81</v>
      </c>
      <c r="BO411">
        <v>209.22</v>
      </c>
      <c r="BP411">
        <v>24.29</v>
      </c>
      <c r="BQ411">
        <v>48.54</v>
      </c>
      <c r="BR411">
        <v>183.24</v>
      </c>
      <c r="BS411">
        <v>130.97999999999999</v>
      </c>
      <c r="BT411">
        <v>52.01</v>
      </c>
      <c r="BU411">
        <v>137.61000000000001</v>
      </c>
      <c r="BV411">
        <v>8.49</v>
      </c>
      <c r="BW411">
        <v>19.149999999999999</v>
      </c>
      <c r="BX411">
        <v>44.7</v>
      </c>
      <c r="BY411">
        <v>169.58</v>
      </c>
      <c r="BZ411">
        <v>132.96</v>
      </c>
      <c r="CA411">
        <v>14.73</v>
      </c>
      <c r="CB411">
        <v>1.04</v>
      </c>
      <c r="CC411">
        <v>13.92</v>
      </c>
      <c r="CD411">
        <v>9.5</v>
      </c>
      <c r="CE411">
        <v>7.32</v>
      </c>
      <c r="CF411">
        <v>7.1</v>
      </c>
      <c r="CG411">
        <v>105.16</v>
      </c>
      <c r="CH411">
        <v>20.260000000000002</v>
      </c>
      <c r="CI411">
        <v>18.39</v>
      </c>
      <c r="CJ411">
        <v>91740</v>
      </c>
      <c r="CK411">
        <v>10943</v>
      </c>
      <c r="CL411" t="s">
        <v>2781</v>
      </c>
      <c r="CM411">
        <v>-13.8</v>
      </c>
      <c r="CN411">
        <v>4.04</v>
      </c>
      <c r="CO411">
        <v>0.6</v>
      </c>
      <c r="CP411">
        <v>6.19</v>
      </c>
      <c r="CQ411">
        <v>0.74</v>
      </c>
      <c r="CR411">
        <v>2.82</v>
      </c>
      <c r="CS411" t="s">
        <v>2782</v>
      </c>
      <c r="CT411">
        <v>5.92</v>
      </c>
      <c r="CU411">
        <v>0</v>
      </c>
      <c r="CV411">
        <v>1.27</v>
      </c>
      <c r="CW411">
        <v>2.98</v>
      </c>
      <c r="CX411">
        <v>0.56999999999999995</v>
      </c>
      <c r="CY411">
        <v>46.1</v>
      </c>
      <c r="CZ411" t="s">
        <v>2783</v>
      </c>
      <c r="DA411">
        <v>21.59</v>
      </c>
      <c r="DB411">
        <v>8.69</v>
      </c>
      <c r="DC411">
        <v>4.3099999999999996</v>
      </c>
      <c r="DD411">
        <v>0.08</v>
      </c>
      <c r="DE411">
        <v>39004</v>
      </c>
      <c r="DF411">
        <v>937</v>
      </c>
      <c r="DG411" t="s">
        <v>116</v>
      </c>
      <c r="DH411" t="s">
        <v>116</v>
      </c>
      <c r="DI411" t="s">
        <v>116</v>
      </c>
    </row>
    <row r="412" spans="1:113" x14ac:dyDescent="0.4">
      <c r="A412" t="str">
        <f>"000938"</f>
        <v>000938</v>
      </c>
      <c r="B412" t="s">
        <v>2784</v>
      </c>
      <c r="C412">
        <v>-1.25</v>
      </c>
      <c r="D412">
        <v>30.91</v>
      </c>
      <c r="E412">
        <v>-0.39</v>
      </c>
      <c r="F412">
        <v>30.91</v>
      </c>
      <c r="G412">
        <v>30.92</v>
      </c>
      <c r="H412">
        <v>123152</v>
      </c>
      <c r="I412">
        <v>1146</v>
      </c>
      <c r="J412">
        <v>-0.15</v>
      </c>
      <c r="K412">
        <v>0.6</v>
      </c>
      <c r="L412">
        <v>31.3</v>
      </c>
      <c r="M412">
        <v>31.63</v>
      </c>
      <c r="N412">
        <v>30.8</v>
      </c>
      <c r="O412">
        <v>31.3</v>
      </c>
      <c r="P412">
        <v>38.14</v>
      </c>
      <c r="Q412">
        <v>384694752</v>
      </c>
      <c r="R412">
        <v>0.83</v>
      </c>
      <c r="S412" t="s">
        <v>607</v>
      </c>
      <c r="T412" t="s">
        <v>165</v>
      </c>
      <c r="U412">
        <v>2.65</v>
      </c>
      <c r="V412">
        <v>31.24</v>
      </c>
      <c r="W412">
        <v>64438</v>
      </c>
      <c r="X412">
        <v>58714</v>
      </c>
      <c r="Y412">
        <v>1.1000000000000001</v>
      </c>
      <c r="Z412">
        <v>278</v>
      </c>
      <c r="AA412">
        <v>626</v>
      </c>
      <c r="AB412" t="s">
        <v>116</v>
      </c>
      <c r="AC412">
        <v>967200</v>
      </c>
      <c r="AD412">
        <v>0.01</v>
      </c>
      <c r="AE412" t="s">
        <v>116</v>
      </c>
      <c r="AF412" t="s">
        <v>116</v>
      </c>
      <c r="AG412">
        <v>20.43</v>
      </c>
      <c r="AH412" t="s">
        <v>2785</v>
      </c>
      <c r="AI412" t="s">
        <v>2785</v>
      </c>
      <c r="AJ412">
        <v>-0.56999999999999995</v>
      </c>
      <c r="AK412">
        <v>3673</v>
      </c>
      <c r="AL412">
        <v>34</v>
      </c>
      <c r="AM412">
        <v>2.0000000000000001E-4</v>
      </c>
      <c r="AN412">
        <v>-1</v>
      </c>
      <c r="AO412">
        <v>2.25</v>
      </c>
      <c r="AP412">
        <v>14.27</v>
      </c>
      <c r="AQ412">
        <v>-3.35</v>
      </c>
      <c r="AR412">
        <v>39.1</v>
      </c>
      <c r="AS412">
        <v>2</v>
      </c>
      <c r="AT412" t="s">
        <v>2786</v>
      </c>
      <c r="AU412">
        <v>35.4</v>
      </c>
      <c r="AV412">
        <v>37.06</v>
      </c>
      <c r="AW412">
        <v>1.54</v>
      </c>
      <c r="BA412">
        <v>0</v>
      </c>
      <c r="BB412">
        <v>1.05</v>
      </c>
      <c r="BC412">
        <v>-1.6</v>
      </c>
      <c r="BD412">
        <v>-0.2</v>
      </c>
      <c r="BE412">
        <v>-1.25</v>
      </c>
      <c r="BF412">
        <v>-2.2799999999999998</v>
      </c>
      <c r="BG412">
        <v>0.36</v>
      </c>
      <c r="BH412">
        <v>-1.05</v>
      </c>
      <c r="BI412">
        <v>20191031</v>
      </c>
      <c r="BJ412">
        <v>19991104</v>
      </c>
      <c r="BK412">
        <v>20.43</v>
      </c>
      <c r="BL412" t="s">
        <v>116</v>
      </c>
      <c r="BM412" t="s">
        <v>116</v>
      </c>
      <c r="BN412">
        <v>516.76</v>
      </c>
      <c r="BO412">
        <v>275.95999999999998</v>
      </c>
      <c r="BP412">
        <v>43.33</v>
      </c>
      <c r="BQ412">
        <v>38.21</v>
      </c>
      <c r="BR412">
        <v>296.72000000000003</v>
      </c>
      <c r="BS412">
        <v>5.18</v>
      </c>
      <c r="BT412">
        <v>36.159999999999997</v>
      </c>
      <c r="BU412">
        <v>176.19</v>
      </c>
      <c r="BV412">
        <v>89.05</v>
      </c>
      <c r="BW412">
        <v>87.75</v>
      </c>
      <c r="BX412">
        <v>200.57</v>
      </c>
      <c r="BY412">
        <v>379.55</v>
      </c>
      <c r="BZ412">
        <v>298.98</v>
      </c>
      <c r="CA412">
        <v>23.66</v>
      </c>
      <c r="CB412">
        <v>7.0000000000000007E-2</v>
      </c>
      <c r="CC412">
        <v>24.32</v>
      </c>
      <c r="CD412">
        <v>20.23</v>
      </c>
      <c r="CE412">
        <v>12.42</v>
      </c>
      <c r="CF412">
        <v>9.11</v>
      </c>
      <c r="CG412">
        <v>53.34</v>
      </c>
      <c r="CH412">
        <v>-28.65</v>
      </c>
      <c r="CI412">
        <v>-2.37</v>
      </c>
      <c r="CJ412">
        <v>64220</v>
      </c>
      <c r="CK412">
        <v>9571</v>
      </c>
      <c r="CL412" t="s">
        <v>2787</v>
      </c>
      <c r="CM412">
        <v>6.87</v>
      </c>
      <c r="CN412">
        <v>10.199999999999999</v>
      </c>
      <c r="CO412">
        <v>2.29</v>
      </c>
      <c r="CP412">
        <v>-22.04</v>
      </c>
      <c r="CQ412">
        <v>1.66</v>
      </c>
      <c r="CR412">
        <v>0.35</v>
      </c>
      <c r="CS412" t="s">
        <v>2788</v>
      </c>
      <c r="CT412">
        <v>13.51</v>
      </c>
      <c r="CU412">
        <v>0</v>
      </c>
      <c r="CV412">
        <v>9.82</v>
      </c>
      <c r="CW412">
        <v>2.61</v>
      </c>
      <c r="CX412">
        <v>-1.4</v>
      </c>
      <c r="CY412">
        <v>53.4</v>
      </c>
      <c r="CZ412" t="s">
        <v>2789</v>
      </c>
      <c r="DA412">
        <v>21.23</v>
      </c>
      <c r="DB412">
        <v>6.23</v>
      </c>
      <c r="DC412">
        <v>3.27</v>
      </c>
      <c r="DD412">
        <v>28.45</v>
      </c>
      <c r="DE412">
        <v>13464</v>
      </c>
      <c r="DF412">
        <v>938</v>
      </c>
      <c r="DG412" t="s">
        <v>116</v>
      </c>
      <c r="DH412" t="s">
        <v>116</v>
      </c>
      <c r="DI412" t="s">
        <v>116</v>
      </c>
    </row>
    <row r="413" spans="1:113" x14ac:dyDescent="0.4">
      <c r="A413" t="str">
        <f>"000948"</f>
        <v>000948</v>
      </c>
      <c r="B413" t="s">
        <v>2790</v>
      </c>
      <c r="C413">
        <v>-1.61</v>
      </c>
      <c r="D413">
        <v>10.41</v>
      </c>
      <c r="E413">
        <v>-0.17</v>
      </c>
      <c r="F413">
        <v>10.41</v>
      </c>
      <c r="G413">
        <v>10.42</v>
      </c>
      <c r="H413">
        <v>35397</v>
      </c>
      <c r="I413">
        <v>778</v>
      </c>
      <c r="J413">
        <v>-0.09</v>
      </c>
      <c r="K413">
        <v>1.1000000000000001</v>
      </c>
      <c r="L413">
        <v>10.63</v>
      </c>
      <c r="M413">
        <v>10.64</v>
      </c>
      <c r="N413">
        <v>10.41</v>
      </c>
      <c r="O413">
        <v>10.58</v>
      </c>
      <c r="P413" t="s">
        <v>116</v>
      </c>
      <c r="Q413">
        <v>37220024</v>
      </c>
      <c r="R413">
        <v>0.85</v>
      </c>
      <c r="S413" t="s">
        <v>607</v>
      </c>
      <c r="T413" t="s">
        <v>1043</v>
      </c>
      <c r="U413">
        <v>2.17</v>
      </c>
      <c r="V413">
        <v>10.52</v>
      </c>
      <c r="W413">
        <v>22290</v>
      </c>
      <c r="X413">
        <v>13107</v>
      </c>
      <c r="Y413">
        <v>1.7</v>
      </c>
      <c r="Z413">
        <v>228</v>
      </c>
      <c r="AA413">
        <v>12</v>
      </c>
      <c r="AB413" t="s">
        <v>116</v>
      </c>
      <c r="AC413">
        <v>118000</v>
      </c>
      <c r="AD413">
        <v>0.01</v>
      </c>
      <c r="AE413" t="s">
        <v>116</v>
      </c>
      <c r="AF413" t="s">
        <v>116</v>
      </c>
      <c r="AG413">
        <v>3.2</v>
      </c>
      <c r="AH413" t="s">
        <v>2791</v>
      </c>
      <c r="AI413" t="s">
        <v>2792</v>
      </c>
      <c r="AJ413">
        <v>-0.93</v>
      </c>
      <c r="AK413">
        <v>1235</v>
      </c>
      <c r="AL413">
        <v>29</v>
      </c>
      <c r="AM413">
        <v>8.9999999999999998E-4</v>
      </c>
      <c r="AN413">
        <v>-1</v>
      </c>
      <c r="AO413">
        <v>-0.28999999999999998</v>
      </c>
      <c r="AP413">
        <v>0.48</v>
      </c>
      <c r="AQ413">
        <v>0.48</v>
      </c>
      <c r="AR413">
        <v>42.6</v>
      </c>
      <c r="AS413">
        <v>1.73</v>
      </c>
      <c r="AT413" t="s">
        <v>2793</v>
      </c>
      <c r="AU413">
        <v>94.6</v>
      </c>
      <c r="AV413">
        <v>44.63</v>
      </c>
      <c r="AW413">
        <v>1.44</v>
      </c>
      <c r="BA413">
        <v>0.47</v>
      </c>
      <c r="BB413">
        <v>0.56999999999999995</v>
      </c>
      <c r="BC413">
        <v>-1.61</v>
      </c>
      <c r="BD413">
        <v>-0.61</v>
      </c>
      <c r="BE413">
        <v>-2.0699999999999998</v>
      </c>
      <c r="BF413">
        <v>-2.16</v>
      </c>
      <c r="BG413">
        <v>0</v>
      </c>
      <c r="BH413">
        <v>-0.99</v>
      </c>
      <c r="BI413">
        <v>20191023</v>
      </c>
      <c r="BJ413">
        <v>19991014</v>
      </c>
      <c r="BK413">
        <v>3.21</v>
      </c>
      <c r="BL413" t="s">
        <v>116</v>
      </c>
      <c r="BM413" t="s">
        <v>116</v>
      </c>
      <c r="BN413">
        <v>36.03</v>
      </c>
      <c r="BO413">
        <v>14.83</v>
      </c>
      <c r="BP413">
        <v>2.63</v>
      </c>
      <c r="BQ413">
        <v>51.52</v>
      </c>
      <c r="BR413">
        <v>29.01</v>
      </c>
      <c r="BS413">
        <v>2.2000000000000002</v>
      </c>
      <c r="BT413">
        <v>1.24</v>
      </c>
      <c r="BU413">
        <v>18.14</v>
      </c>
      <c r="BV413">
        <v>11.48</v>
      </c>
      <c r="BW413">
        <v>8.84</v>
      </c>
      <c r="BX413">
        <v>7.23</v>
      </c>
      <c r="BY413">
        <v>20.98</v>
      </c>
      <c r="BZ413">
        <v>16.59</v>
      </c>
      <c r="CA413">
        <v>-0.19</v>
      </c>
      <c r="CB413">
        <v>0.09</v>
      </c>
      <c r="CC413">
        <v>-0.19</v>
      </c>
      <c r="CD413">
        <v>-0.15</v>
      </c>
      <c r="CE413">
        <v>-0.2</v>
      </c>
      <c r="CF413">
        <v>-0.24</v>
      </c>
      <c r="CG413">
        <v>3.56</v>
      </c>
      <c r="CH413">
        <v>-9.66</v>
      </c>
      <c r="CI413">
        <v>-5.9</v>
      </c>
      <c r="CJ413">
        <v>37106</v>
      </c>
      <c r="CK413">
        <v>5513</v>
      </c>
      <c r="CL413" t="s">
        <v>2654</v>
      </c>
      <c r="CM413">
        <v>-197.87</v>
      </c>
      <c r="CN413">
        <v>22.89</v>
      </c>
      <c r="CO413">
        <v>2.25</v>
      </c>
      <c r="CP413">
        <v>-3.46</v>
      </c>
      <c r="CQ413">
        <v>1.59</v>
      </c>
      <c r="CR413">
        <v>0.37</v>
      </c>
      <c r="CS413" t="s">
        <v>2794</v>
      </c>
      <c r="CT413">
        <v>4.63</v>
      </c>
      <c r="CU413">
        <v>0</v>
      </c>
      <c r="CV413">
        <v>2.2599999999999998</v>
      </c>
      <c r="CW413">
        <v>1.1100000000000001</v>
      </c>
      <c r="CX413">
        <v>-3.01</v>
      </c>
      <c r="CY413">
        <v>41.17</v>
      </c>
      <c r="CZ413" t="s">
        <v>2795</v>
      </c>
      <c r="DA413">
        <v>20.93</v>
      </c>
      <c r="DB413">
        <v>-0.89</v>
      </c>
      <c r="DC413">
        <v>-0.93</v>
      </c>
      <c r="DD413">
        <v>2.08</v>
      </c>
      <c r="DE413">
        <v>5194</v>
      </c>
      <c r="DF413">
        <v>948</v>
      </c>
      <c r="DG413" t="s">
        <v>116</v>
      </c>
      <c r="DH413" t="s">
        <v>116</v>
      </c>
      <c r="DI413" t="s">
        <v>116</v>
      </c>
    </row>
    <row r="414" spans="1:113" x14ac:dyDescent="0.4">
      <c r="A414" t="str">
        <f>"000949"</f>
        <v>000949</v>
      </c>
      <c r="B414" t="s">
        <v>2796</v>
      </c>
      <c r="C414">
        <v>-0.76</v>
      </c>
      <c r="D414">
        <v>3.94</v>
      </c>
      <c r="E414">
        <v>-0.03</v>
      </c>
      <c r="F414">
        <v>3.94</v>
      </c>
      <c r="G414">
        <v>3.95</v>
      </c>
      <c r="H414">
        <v>146473</v>
      </c>
      <c r="I414">
        <v>5371</v>
      </c>
      <c r="J414">
        <v>1.55</v>
      </c>
      <c r="K414">
        <v>1.17</v>
      </c>
      <c r="L414">
        <v>3.96</v>
      </c>
      <c r="M414">
        <v>3.98</v>
      </c>
      <c r="N414">
        <v>3.87</v>
      </c>
      <c r="O414">
        <v>3.97</v>
      </c>
      <c r="P414">
        <v>36.96</v>
      </c>
      <c r="Q414">
        <v>57416064</v>
      </c>
      <c r="R414">
        <v>0.63</v>
      </c>
      <c r="S414" t="s">
        <v>630</v>
      </c>
      <c r="T414" t="s">
        <v>652</v>
      </c>
      <c r="U414">
        <v>2.77</v>
      </c>
      <c r="V414">
        <v>3.92</v>
      </c>
      <c r="W414">
        <v>76139</v>
      </c>
      <c r="X414">
        <v>70334</v>
      </c>
      <c r="Y414">
        <v>1.08</v>
      </c>
      <c r="Z414">
        <v>172</v>
      </c>
      <c r="AA414">
        <v>3292</v>
      </c>
      <c r="AB414" t="s">
        <v>116</v>
      </c>
      <c r="AC414">
        <v>373800</v>
      </c>
      <c r="AD414">
        <v>0.02</v>
      </c>
      <c r="AE414" t="s">
        <v>116</v>
      </c>
      <c r="AF414" t="s">
        <v>116</v>
      </c>
      <c r="AG414">
        <v>12.57</v>
      </c>
      <c r="AH414" t="s">
        <v>2797</v>
      </c>
      <c r="AI414" t="s">
        <v>2798</v>
      </c>
      <c r="AJ414">
        <v>-0.08</v>
      </c>
      <c r="AK414">
        <v>2298</v>
      </c>
      <c r="AL414">
        <v>64</v>
      </c>
      <c r="AM414">
        <v>5.0000000000000001E-4</v>
      </c>
      <c r="AN414">
        <v>-3</v>
      </c>
      <c r="AO414">
        <v>-7.3</v>
      </c>
      <c r="AP414">
        <v>9.75</v>
      </c>
      <c r="AQ414">
        <v>1.29</v>
      </c>
      <c r="AR414">
        <v>47.57</v>
      </c>
      <c r="AS414">
        <v>2.66</v>
      </c>
      <c r="AT414" t="s">
        <v>2799</v>
      </c>
      <c r="AU414">
        <v>39.31</v>
      </c>
      <c r="AV414">
        <v>43.85</v>
      </c>
      <c r="AW414">
        <v>0.75</v>
      </c>
      <c r="BA414">
        <v>-0.25</v>
      </c>
      <c r="BB414">
        <v>0.25</v>
      </c>
      <c r="BC414">
        <v>-2.52</v>
      </c>
      <c r="BD414">
        <v>-1.26</v>
      </c>
      <c r="BE414">
        <v>-0.51</v>
      </c>
      <c r="BF414">
        <v>-1.01</v>
      </c>
      <c r="BG414">
        <v>1.81</v>
      </c>
      <c r="BH414">
        <v>0.51</v>
      </c>
      <c r="BI414">
        <v>20191029</v>
      </c>
      <c r="BJ414">
        <v>19991021</v>
      </c>
      <c r="BK414">
        <v>12.58</v>
      </c>
      <c r="BL414" t="s">
        <v>116</v>
      </c>
      <c r="BM414" t="s">
        <v>116</v>
      </c>
      <c r="BN414">
        <v>82.87</v>
      </c>
      <c r="BO414">
        <v>37.549999999999997</v>
      </c>
      <c r="BP414">
        <v>7.0000000000000007E-2</v>
      </c>
      <c r="BQ414">
        <v>54.61</v>
      </c>
      <c r="BR414">
        <v>27.92</v>
      </c>
      <c r="BS414">
        <v>50.41</v>
      </c>
      <c r="BT414">
        <v>0.73</v>
      </c>
      <c r="BU414">
        <v>22.46</v>
      </c>
      <c r="BV414">
        <v>12.49</v>
      </c>
      <c r="BW414">
        <v>7.15</v>
      </c>
      <c r="BX414">
        <v>16.920000000000002</v>
      </c>
      <c r="BY414">
        <v>35.76</v>
      </c>
      <c r="BZ414">
        <v>30.41</v>
      </c>
      <c r="CA414">
        <v>1.34</v>
      </c>
      <c r="CB414">
        <v>-0.04</v>
      </c>
      <c r="CC414">
        <v>1.34</v>
      </c>
      <c r="CD414">
        <v>1.01</v>
      </c>
      <c r="CE414">
        <v>1.01</v>
      </c>
      <c r="CF414">
        <v>0.93</v>
      </c>
      <c r="CG414">
        <v>5.84</v>
      </c>
      <c r="CH414">
        <v>1.63</v>
      </c>
      <c r="CI414">
        <v>-0.77</v>
      </c>
      <c r="CJ414">
        <v>46410</v>
      </c>
      <c r="CK414">
        <v>11876</v>
      </c>
      <c r="CL414" t="s">
        <v>2800</v>
      </c>
      <c r="CM414">
        <v>14.91</v>
      </c>
      <c r="CN414">
        <v>6.32</v>
      </c>
      <c r="CO414">
        <v>1.32</v>
      </c>
      <c r="CP414">
        <v>30.33</v>
      </c>
      <c r="CQ414">
        <v>1.39</v>
      </c>
      <c r="CR414">
        <v>0.25</v>
      </c>
      <c r="CS414" t="s">
        <v>2516</v>
      </c>
      <c r="CT414">
        <v>2.99</v>
      </c>
      <c r="CU414">
        <v>0</v>
      </c>
      <c r="CV414">
        <v>1.35</v>
      </c>
      <c r="CW414">
        <v>0.46</v>
      </c>
      <c r="CX414">
        <v>0.13</v>
      </c>
      <c r="CY414">
        <v>45.31</v>
      </c>
      <c r="CZ414" t="s">
        <v>2801</v>
      </c>
      <c r="DA414">
        <v>14.96</v>
      </c>
      <c r="DB414">
        <v>3.75</v>
      </c>
      <c r="DC414">
        <v>2.81</v>
      </c>
      <c r="DD414">
        <v>0.08</v>
      </c>
      <c r="DE414">
        <v>9218</v>
      </c>
      <c r="DF414">
        <v>949</v>
      </c>
      <c r="DG414" t="s">
        <v>116</v>
      </c>
      <c r="DH414" t="s">
        <v>116</v>
      </c>
      <c r="DI414" t="s">
        <v>116</v>
      </c>
    </row>
    <row r="415" spans="1:113" x14ac:dyDescent="0.4">
      <c r="A415" t="str">
        <f>"000950"</f>
        <v>000950</v>
      </c>
      <c r="B415" t="s">
        <v>2802</v>
      </c>
      <c r="C415">
        <v>-0.35</v>
      </c>
      <c r="D415">
        <v>5.63</v>
      </c>
      <c r="E415">
        <v>-0.02</v>
      </c>
      <c r="F415">
        <v>5.63</v>
      </c>
      <c r="G415">
        <v>5.64</v>
      </c>
      <c r="H415">
        <v>56466</v>
      </c>
      <c r="I415">
        <v>127</v>
      </c>
      <c r="J415">
        <v>0</v>
      </c>
      <c r="K415">
        <v>0.65</v>
      </c>
      <c r="L415">
        <v>5.7</v>
      </c>
      <c r="M415">
        <v>5.73</v>
      </c>
      <c r="N415">
        <v>5.63</v>
      </c>
      <c r="O415">
        <v>5.65</v>
      </c>
      <c r="P415">
        <v>11.31</v>
      </c>
      <c r="Q415">
        <v>32101688</v>
      </c>
      <c r="R415">
        <v>0.94</v>
      </c>
      <c r="S415" t="s">
        <v>278</v>
      </c>
      <c r="T415" t="s">
        <v>906</v>
      </c>
      <c r="U415">
        <v>1.77</v>
      </c>
      <c r="V415">
        <v>5.69</v>
      </c>
      <c r="W415">
        <v>34070</v>
      </c>
      <c r="X415">
        <v>22396</v>
      </c>
      <c r="Y415">
        <v>1.52</v>
      </c>
      <c r="Z415">
        <v>576</v>
      </c>
      <c r="AA415">
        <v>16</v>
      </c>
      <c r="AB415" t="s">
        <v>116</v>
      </c>
      <c r="AC415">
        <v>176100</v>
      </c>
      <c r="AD415">
        <v>0.01</v>
      </c>
      <c r="AE415" t="s">
        <v>116</v>
      </c>
      <c r="AF415" t="s">
        <v>116</v>
      </c>
      <c r="AG415">
        <v>8.68</v>
      </c>
      <c r="AH415" t="s">
        <v>2803</v>
      </c>
      <c r="AI415" t="s">
        <v>2804</v>
      </c>
      <c r="AJ415">
        <v>0.32</v>
      </c>
      <c r="AK415">
        <v>1840</v>
      </c>
      <c r="AL415">
        <v>31</v>
      </c>
      <c r="AM415">
        <v>4.0000000000000002E-4</v>
      </c>
      <c r="AN415">
        <v>-1</v>
      </c>
      <c r="AO415">
        <v>-0.17</v>
      </c>
      <c r="AP415">
        <v>3.68</v>
      </c>
      <c r="AQ415">
        <v>-11.89</v>
      </c>
      <c r="AR415">
        <v>12.15</v>
      </c>
      <c r="AS415">
        <v>1.24</v>
      </c>
      <c r="AT415" t="s">
        <v>2805</v>
      </c>
      <c r="AU415">
        <v>10.96</v>
      </c>
      <c r="AV415">
        <v>14.09</v>
      </c>
      <c r="AW415">
        <v>0.86</v>
      </c>
      <c r="BA415">
        <v>0.88</v>
      </c>
      <c r="BB415">
        <v>1.42</v>
      </c>
      <c r="BC415">
        <v>-0.35</v>
      </c>
      <c r="BD415">
        <v>0.62</v>
      </c>
      <c r="BE415">
        <v>-1.23</v>
      </c>
      <c r="BF415">
        <v>-1.75</v>
      </c>
      <c r="BG415">
        <v>0</v>
      </c>
      <c r="BH415">
        <v>-0.98</v>
      </c>
      <c r="BI415">
        <v>20191225</v>
      </c>
      <c r="BJ415">
        <v>19990916</v>
      </c>
      <c r="BK415">
        <v>17.28</v>
      </c>
      <c r="BL415" t="s">
        <v>116</v>
      </c>
      <c r="BM415" t="s">
        <v>116</v>
      </c>
      <c r="BN415">
        <v>249.7</v>
      </c>
      <c r="BO415">
        <v>80.349999999999994</v>
      </c>
      <c r="BP415">
        <v>9.42</v>
      </c>
      <c r="BQ415">
        <v>64.05</v>
      </c>
      <c r="BR415">
        <v>203.87</v>
      </c>
      <c r="BS415">
        <v>7.4</v>
      </c>
      <c r="BT415">
        <v>2.08</v>
      </c>
      <c r="BU415">
        <v>145.58000000000001</v>
      </c>
      <c r="BV415">
        <v>33.159999999999997</v>
      </c>
      <c r="BW415">
        <v>139.24</v>
      </c>
      <c r="BX415">
        <v>25.05</v>
      </c>
      <c r="BY415">
        <v>251.64</v>
      </c>
      <c r="BZ415">
        <v>229.06</v>
      </c>
      <c r="CA415">
        <v>8.84</v>
      </c>
      <c r="CB415">
        <v>2.15</v>
      </c>
      <c r="CC415">
        <v>8.7799999999999994</v>
      </c>
      <c r="CD415">
        <v>7.54</v>
      </c>
      <c r="CE415">
        <v>6.45</v>
      </c>
      <c r="CF415">
        <v>6.05</v>
      </c>
      <c r="CG415">
        <v>37.31</v>
      </c>
      <c r="CH415">
        <v>-17.5</v>
      </c>
      <c r="CI415">
        <v>-5.69</v>
      </c>
      <c r="CJ415">
        <v>32469</v>
      </c>
      <c r="CK415">
        <v>14018</v>
      </c>
      <c r="CL415" t="s">
        <v>2806</v>
      </c>
      <c r="CM415">
        <v>44</v>
      </c>
      <c r="CN415">
        <v>36.53</v>
      </c>
      <c r="CO415">
        <v>1.21</v>
      </c>
      <c r="CP415">
        <v>-5.56</v>
      </c>
      <c r="CQ415">
        <v>0.39</v>
      </c>
      <c r="CR415">
        <v>0</v>
      </c>
      <c r="CS415" t="s">
        <v>2807</v>
      </c>
      <c r="CT415">
        <v>4.6500000000000004</v>
      </c>
      <c r="CU415">
        <v>0</v>
      </c>
      <c r="CV415">
        <v>1.45</v>
      </c>
      <c r="CW415">
        <v>2.16</v>
      </c>
      <c r="CX415">
        <v>-1.01</v>
      </c>
      <c r="CY415">
        <v>32.18</v>
      </c>
      <c r="CZ415" t="s">
        <v>2808</v>
      </c>
      <c r="DA415">
        <v>8.9700000000000006</v>
      </c>
      <c r="DB415">
        <v>3.51</v>
      </c>
      <c r="DC415">
        <v>2.56</v>
      </c>
      <c r="DD415">
        <v>0.01</v>
      </c>
      <c r="DE415">
        <v>7806</v>
      </c>
      <c r="DF415">
        <v>950</v>
      </c>
      <c r="DG415" t="s">
        <v>116</v>
      </c>
      <c r="DH415" t="s">
        <v>116</v>
      </c>
      <c r="DI415" t="s">
        <v>116</v>
      </c>
    </row>
    <row r="416" spans="1:113" x14ac:dyDescent="0.4">
      <c r="A416" t="str">
        <f>"000951"</f>
        <v>000951</v>
      </c>
      <c r="B416" t="s">
        <v>2809</v>
      </c>
      <c r="C416">
        <v>-1.77</v>
      </c>
      <c r="D416">
        <v>22.19</v>
      </c>
      <c r="E416">
        <v>-0.4</v>
      </c>
      <c r="F416">
        <v>22.18</v>
      </c>
      <c r="G416">
        <v>22.19</v>
      </c>
      <c r="H416">
        <v>47618</v>
      </c>
      <c r="I416">
        <v>381</v>
      </c>
      <c r="J416">
        <v>0.14000000000000001</v>
      </c>
      <c r="K416">
        <v>0.71</v>
      </c>
      <c r="L416">
        <v>22.52</v>
      </c>
      <c r="M416">
        <v>22.88</v>
      </c>
      <c r="N416">
        <v>22.12</v>
      </c>
      <c r="O416">
        <v>22.59</v>
      </c>
      <c r="P416">
        <v>13.62</v>
      </c>
      <c r="Q416">
        <v>106759336</v>
      </c>
      <c r="R416">
        <v>0.77</v>
      </c>
      <c r="S416" t="s">
        <v>1108</v>
      </c>
      <c r="T416" t="s">
        <v>645</v>
      </c>
      <c r="U416">
        <v>3.36</v>
      </c>
      <c r="V416">
        <v>22.42</v>
      </c>
      <c r="W416">
        <v>31103</v>
      </c>
      <c r="X416">
        <v>16515</v>
      </c>
      <c r="Y416">
        <v>1.88</v>
      </c>
      <c r="Z416">
        <v>339</v>
      </c>
      <c r="AA416">
        <v>351</v>
      </c>
      <c r="AB416" t="s">
        <v>116</v>
      </c>
      <c r="AC416">
        <v>396400</v>
      </c>
      <c r="AD416">
        <v>0.01</v>
      </c>
      <c r="AE416" t="s">
        <v>116</v>
      </c>
      <c r="AF416" t="s">
        <v>116</v>
      </c>
      <c r="AG416">
        <v>6.71</v>
      </c>
      <c r="AH416" t="s">
        <v>2810</v>
      </c>
      <c r="AI416" t="s">
        <v>2811</v>
      </c>
      <c r="AJ416">
        <v>-1.0900000000000001</v>
      </c>
      <c r="AK416">
        <v>2004</v>
      </c>
      <c r="AL416">
        <v>24</v>
      </c>
      <c r="AM416">
        <v>4.0000000000000002E-4</v>
      </c>
      <c r="AN416">
        <v>-2</v>
      </c>
      <c r="AO416">
        <v>-0.85</v>
      </c>
      <c r="AP416">
        <v>17.16</v>
      </c>
      <c r="AQ416">
        <v>51.26</v>
      </c>
      <c r="AR416">
        <v>107.77</v>
      </c>
      <c r="AS416">
        <v>2</v>
      </c>
      <c r="AT416" t="s">
        <v>2812</v>
      </c>
      <c r="AU416">
        <v>14.99</v>
      </c>
      <c r="AV416">
        <v>16.45</v>
      </c>
      <c r="AW416">
        <v>1.1000000000000001</v>
      </c>
      <c r="BA416">
        <v>-0.31</v>
      </c>
      <c r="BB416">
        <v>1.28</v>
      </c>
      <c r="BC416">
        <v>-2.08</v>
      </c>
      <c r="BD416">
        <v>-0.75</v>
      </c>
      <c r="BE416">
        <v>-1.47</v>
      </c>
      <c r="BF416">
        <v>-3.02</v>
      </c>
      <c r="BG416">
        <v>0.32</v>
      </c>
      <c r="BH416">
        <v>-1.02</v>
      </c>
      <c r="BI416">
        <v>20191026</v>
      </c>
      <c r="BJ416">
        <v>19991125</v>
      </c>
      <c r="BK416">
        <v>6.71</v>
      </c>
      <c r="BL416" t="s">
        <v>116</v>
      </c>
      <c r="BM416" t="s">
        <v>116</v>
      </c>
      <c r="BN416">
        <v>212.65</v>
      </c>
      <c r="BO416">
        <v>65.84</v>
      </c>
      <c r="BP416">
        <v>7.94</v>
      </c>
      <c r="BQ416">
        <v>65.3</v>
      </c>
      <c r="BR416">
        <v>190.68</v>
      </c>
      <c r="BS416">
        <v>11.21</v>
      </c>
      <c r="BT416">
        <v>3.59</v>
      </c>
      <c r="BU416">
        <v>137.05000000000001</v>
      </c>
      <c r="BV416">
        <v>33.83</v>
      </c>
      <c r="BW416">
        <v>38.299999999999997</v>
      </c>
      <c r="BX416">
        <v>4.32</v>
      </c>
      <c r="BY416">
        <v>292.58999999999997</v>
      </c>
      <c r="BZ416">
        <v>261.47000000000003</v>
      </c>
      <c r="CA416">
        <v>14.05</v>
      </c>
      <c r="CB416">
        <v>0</v>
      </c>
      <c r="CC416">
        <v>14.38</v>
      </c>
      <c r="CD416">
        <v>11.06</v>
      </c>
      <c r="CE416">
        <v>8.1999999999999993</v>
      </c>
      <c r="CF416">
        <v>7.66</v>
      </c>
      <c r="CG416">
        <v>46.9</v>
      </c>
      <c r="CH416">
        <v>24.25</v>
      </c>
      <c r="CI416">
        <v>14.25</v>
      </c>
      <c r="CJ416">
        <v>28161</v>
      </c>
      <c r="CK416">
        <v>8443</v>
      </c>
      <c r="CL416" t="s">
        <v>2813</v>
      </c>
      <c r="CM416">
        <v>12.03</v>
      </c>
      <c r="CN416">
        <v>-6.28</v>
      </c>
      <c r="CO416">
        <v>2.2599999999999998</v>
      </c>
      <c r="CP416">
        <v>6.14</v>
      </c>
      <c r="CQ416">
        <v>0.51</v>
      </c>
      <c r="CR416">
        <v>2.0699999999999998</v>
      </c>
      <c r="CS416" t="s">
        <v>2814</v>
      </c>
      <c r="CT416">
        <v>9.81</v>
      </c>
      <c r="CU416">
        <v>0</v>
      </c>
      <c r="CV416">
        <v>0.64</v>
      </c>
      <c r="CW416">
        <v>6.99</v>
      </c>
      <c r="CX416">
        <v>3.61</v>
      </c>
      <c r="CY416">
        <v>30.96</v>
      </c>
      <c r="CZ416" t="s">
        <v>2815</v>
      </c>
      <c r="DA416">
        <v>10.63</v>
      </c>
      <c r="DB416">
        <v>4.8</v>
      </c>
      <c r="DC416">
        <v>2.8</v>
      </c>
      <c r="DD416">
        <v>2.2400000000000002</v>
      </c>
      <c r="DE416">
        <v>7936</v>
      </c>
      <c r="DF416">
        <v>951</v>
      </c>
      <c r="DG416" t="s">
        <v>116</v>
      </c>
      <c r="DH416" t="s">
        <v>116</v>
      </c>
      <c r="DI416" t="s">
        <v>116</v>
      </c>
    </row>
    <row r="417" spans="1:113" x14ac:dyDescent="0.4">
      <c r="A417" t="str">
        <f>"000952"</f>
        <v>000952</v>
      </c>
      <c r="B417" t="s">
        <v>2816</v>
      </c>
      <c r="C417">
        <v>-1.27</v>
      </c>
      <c r="D417">
        <v>9.33</v>
      </c>
      <c r="E417">
        <v>-0.12</v>
      </c>
      <c r="F417">
        <v>9.32</v>
      </c>
      <c r="G417">
        <v>9.33</v>
      </c>
      <c r="H417">
        <v>20482</v>
      </c>
      <c r="I417">
        <v>276</v>
      </c>
      <c r="J417">
        <v>0</v>
      </c>
      <c r="K417">
        <v>0.81</v>
      </c>
      <c r="L417">
        <v>9.42</v>
      </c>
      <c r="M417">
        <v>9.4700000000000006</v>
      </c>
      <c r="N417">
        <v>9.3000000000000007</v>
      </c>
      <c r="O417">
        <v>9.4499999999999993</v>
      </c>
      <c r="P417">
        <v>16.899999999999999</v>
      </c>
      <c r="Q417">
        <v>19250942</v>
      </c>
      <c r="R417">
        <v>1.19</v>
      </c>
      <c r="S417" t="s">
        <v>574</v>
      </c>
      <c r="T417" t="s">
        <v>774</v>
      </c>
      <c r="U417">
        <v>1.8</v>
      </c>
      <c r="V417">
        <v>9.4</v>
      </c>
      <c r="W417">
        <v>12547</v>
      </c>
      <c r="X417">
        <v>7935</v>
      </c>
      <c r="Y417">
        <v>1.58</v>
      </c>
      <c r="Z417">
        <v>182</v>
      </c>
      <c r="AA417">
        <v>250</v>
      </c>
      <c r="AB417" t="s">
        <v>116</v>
      </c>
      <c r="AC417">
        <v>18800</v>
      </c>
      <c r="AD417">
        <v>0</v>
      </c>
      <c r="AE417" t="s">
        <v>116</v>
      </c>
      <c r="AF417" t="s">
        <v>116</v>
      </c>
      <c r="AG417">
        <v>2.52</v>
      </c>
      <c r="AH417" t="s">
        <v>2817</v>
      </c>
      <c r="AI417" t="s">
        <v>2817</v>
      </c>
      <c r="AJ417">
        <v>-0.59</v>
      </c>
      <c r="AK417">
        <v>640</v>
      </c>
      <c r="AL417">
        <v>32</v>
      </c>
      <c r="AM417">
        <v>1.2999999999999999E-3</v>
      </c>
      <c r="AN417">
        <v>-1</v>
      </c>
      <c r="AO417">
        <v>-0.64</v>
      </c>
      <c r="AP417">
        <v>2.2999999999999998</v>
      </c>
      <c r="AQ417">
        <v>1.86</v>
      </c>
      <c r="AR417">
        <v>-6.14</v>
      </c>
      <c r="AS417">
        <v>0.98</v>
      </c>
      <c r="AT417" t="s">
        <v>2818</v>
      </c>
      <c r="AU417">
        <v>16.34</v>
      </c>
      <c r="AV417">
        <v>13.68</v>
      </c>
      <c r="AW417">
        <v>0.83</v>
      </c>
      <c r="BA417">
        <v>-0.32</v>
      </c>
      <c r="BB417">
        <v>0.21</v>
      </c>
      <c r="BC417">
        <v>-1.59</v>
      </c>
      <c r="BD417">
        <v>-0.54</v>
      </c>
      <c r="BE417">
        <v>-0.96</v>
      </c>
      <c r="BF417">
        <v>-1.48</v>
      </c>
      <c r="BG417">
        <v>0.32</v>
      </c>
      <c r="BH417">
        <v>-0.73</v>
      </c>
      <c r="BI417">
        <v>20191031</v>
      </c>
      <c r="BJ417">
        <v>19991112</v>
      </c>
      <c r="BK417">
        <v>2.52</v>
      </c>
      <c r="BL417" t="s">
        <v>116</v>
      </c>
      <c r="BM417" t="s">
        <v>116</v>
      </c>
      <c r="BN417">
        <v>17.739999999999998</v>
      </c>
      <c r="BO417">
        <v>9.7799999999999994</v>
      </c>
      <c r="BP417">
        <v>0.05</v>
      </c>
      <c r="BQ417">
        <v>44.58</v>
      </c>
      <c r="BR417">
        <v>5.55</v>
      </c>
      <c r="BS417">
        <v>8.14</v>
      </c>
      <c r="BT417">
        <v>1.57</v>
      </c>
      <c r="BU417">
        <v>7.06</v>
      </c>
      <c r="BV417">
        <v>1.7</v>
      </c>
      <c r="BW417">
        <v>1.04</v>
      </c>
      <c r="BX417">
        <v>0.61</v>
      </c>
      <c r="BY417">
        <v>5.55</v>
      </c>
      <c r="BZ417">
        <v>2.74</v>
      </c>
      <c r="CA417">
        <v>1.24</v>
      </c>
      <c r="CB417">
        <v>-0.03</v>
      </c>
      <c r="CC417">
        <v>1.25</v>
      </c>
      <c r="CD417">
        <v>1.02</v>
      </c>
      <c r="CE417">
        <v>1.04</v>
      </c>
      <c r="CF417">
        <v>0.75</v>
      </c>
      <c r="CG417">
        <v>6.1</v>
      </c>
      <c r="CH417">
        <v>0.85</v>
      </c>
      <c r="CI417">
        <v>0.15</v>
      </c>
      <c r="CJ417">
        <v>36774</v>
      </c>
      <c r="CK417">
        <v>5710</v>
      </c>
      <c r="CL417" t="s">
        <v>2819</v>
      </c>
      <c r="CM417">
        <v>-21.21</v>
      </c>
      <c r="CN417">
        <v>-8.65</v>
      </c>
      <c r="CO417">
        <v>2.4</v>
      </c>
      <c r="CP417">
        <v>27.68</v>
      </c>
      <c r="CQ417">
        <v>4.2300000000000004</v>
      </c>
      <c r="CR417">
        <v>0</v>
      </c>
      <c r="CS417" t="s">
        <v>2820</v>
      </c>
      <c r="CT417">
        <v>3.88</v>
      </c>
      <c r="CU417">
        <v>0</v>
      </c>
      <c r="CV417">
        <v>0.24</v>
      </c>
      <c r="CW417">
        <v>2.42</v>
      </c>
      <c r="CX417">
        <v>0.34</v>
      </c>
      <c r="CY417">
        <v>55.11</v>
      </c>
      <c r="CZ417" t="s">
        <v>2821</v>
      </c>
      <c r="DA417">
        <v>50.64</v>
      </c>
      <c r="DB417">
        <v>22.37</v>
      </c>
      <c r="DC417">
        <v>18.760000000000002</v>
      </c>
      <c r="DD417">
        <v>0.35</v>
      </c>
      <c r="DE417">
        <v>1350</v>
      </c>
      <c r="DF417">
        <v>952</v>
      </c>
      <c r="DG417" t="s">
        <v>116</v>
      </c>
      <c r="DH417" t="s">
        <v>116</v>
      </c>
      <c r="DI417" t="s">
        <v>116</v>
      </c>
    </row>
    <row r="418" spans="1:113" x14ac:dyDescent="0.4">
      <c r="A418" t="str">
        <f>"000953"</f>
        <v>000953</v>
      </c>
      <c r="B418" t="s">
        <v>2822</v>
      </c>
      <c r="C418">
        <v>2.56</v>
      </c>
      <c r="D418">
        <v>4.4000000000000004</v>
      </c>
      <c r="E418">
        <v>0.11</v>
      </c>
      <c r="F418">
        <v>4.4000000000000004</v>
      </c>
      <c r="G418">
        <v>4.41</v>
      </c>
      <c r="H418">
        <v>52547</v>
      </c>
      <c r="I418">
        <v>871</v>
      </c>
      <c r="J418">
        <v>0</v>
      </c>
      <c r="K418">
        <v>1.79</v>
      </c>
      <c r="L418">
        <v>4.3</v>
      </c>
      <c r="M418">
        <v>4.5</v>
      </c>
      <c r="N418">
        <v>4.3</v>
      </c>
      <c r="O418">
        <v>4.29</v>
      </c>
      <c r="P418" t="s">
        <v>116</v>
      </c>
      <c r="Q418">
        <v>23241392</v>
      </c>
      <c r="R418">
        <v>1.27</v>
      </c>
      <c r="S418" t="s">
        <v>697</v>
      </c>
      <c r="T418" t="s">
        <v>982</v>
      </c>
      <c r="U418">
        <v>4.66</v>
      </c>
      <c r="V418">
        <v>4.42</v>
      </c>
      <c r="W418">
        <v>27758</v>
      </c>
      <c r="X418">
        <v>24789</v>
      </c>
      <c r="Y418">
        <v>1.1200000000000001</v>
      </c>
      <c r="Z418">
        <v>340</v>
      </c>
      <c r="AA418">
        <v>385</v>
      </c>
      <c r="AB418" t="s">
        <v>116</v>
      </c>
      <c r="AC418">
        <v>79600</v>
      </c>
      <c r="AD418">
        <v>0.01</v>
      </c>
      <c r="AE418" t="s">
        <v>116</v>
      </c>
      <c r="AF418" t="s">
        <v>116</v>
      </c>
      <c r="AG418">
        <v>2.94</v>
      </c>
      <c r="AH418" t="s">
        <v>2823</v>
      </c>
      <c r="AI418" t="s">
        <v>2823</v>
      </c>
      <c r="AJ418">
        <v>3.24</v>
      </c>
      <c r="AK418">
        <v>705</v>
      </c>
      <c r="AL418">
        <v>75</v>
      </c>
      <c r="AM418">
        <v>2.5000000000000001E-3</v>
      </c>
      <c r="AN418">
        <v>1</v>
      </c>
      <c r="AO418">
        <v>7.32</v>
      </c>
      <c r="AP418">
        <v>20.55</v>
      </c>
      <c r="AQ418">
        <v>17.329999999999998</v>
      </c>
      <c r="AR418">
        <v>13.11</v>
      </c>
      <c r="AS418">
        <v>3.1</v>
      </c>
      <c r="AT418" t="s">
        <v>2824</v>
      </c>
      <c r="AU418" t="s">
        <v>116</v>
      </c>
      <c r="AV418" t="s">
        <v>116</v>
      </c>
      <c r="AW418">
        <v>0</v>
      </c>
      <c r="BA418">
        <v>0.23</v>
      </c>
      <c r="BB418">
        <v>4.9000000000000004</v>
      </c>
      <c r="BC418">
        <v>0.23</v>
      </c>
      <c r="BD418">
        <v>3.1</v>
      </c>
      <c r="BE418">
        <v>2.33</v>
      </c>
      <c r="BF418">
        <v>-2.2200000000000002</v>
      </c>
      <c r="BG418">
        <v>2.33</v>
      </c>
      <c r="BH418">
        <v>-0.54</v>
      </c>
      <c r="BI418">
        <v>20191031</v>
      </c>
      <c r="BJ418">
        <v>19991202</v>
      </c>
      <c r="BK418">
        <v>2.94</v>
      </c>
      <c r="BL418" t="s">
        <v>116</v>
      </c>
      <c r="BM418" t="s">
        <v>116</v>
      </c>
      <c r="BN418">
        <v>3.59</v>
      </c>
      <c r="BO418">
        <v>-2.98</v>
      </c>
      <c r="BP418">
        <v>0</v>
      </c>
      <c r="BQ418">
        <v>183.19</v>
      </c>
      <c r="BR418">
        <v>0.49</v>
      </c>
      <c r="BS418">
        <v>3.1</v>
      </c>
      <c r="BT418">
        <v>0</v>
      </c>
      <c r="BU418">
        <v>6.55</v>
      </c>
      <c r="BV418">
        <v>0.14000000000000001</v>
      </c>
      <c r="BW418">
        <v>0.05</v>
      </c>
      <c r="BX418">
        <v>1.25</v>
      </c>
      <c r="BY418">
        <v>1.23</v>
      </c>
      <c r="BZ418">
        <v>1.22</v>
      </c>
      <c r="CA418">
        <v>-0.5</v>
      </c>
      <c r="CB418">
        <v>0</v>
      </c>
      <c r="CC418">
        <v>-0.5</v>
      </c>
      <c r="CD418">
        <v>-0.5</v>
      </c>
      <c r="CE418">
        <v>-0.5</v>
      </c>
      <c r="CF418">
        <v>-0.51</v>
      </c>
      <c r="CG418">
        <v>-7.59</v>
      </c>
      <c r="CH418">
        <v>-7.0000000000000007E-2</v>
      </c>
      <c r="CI418">
        <v>-0.03</v>
      </c>
      <c r="CJ418">
        <v>20332</v>
      </c>
      <c r="CK418">
        <v>8340</v>
      </c>
      <c r="CL418" t="s">
        <v>2825</v>
      </c>
      <c r="CM418">
        <v>48.36</v>
      </c>
      <c r="CN418">
        <v>-43.09</v>
      </c>
      <c r="CO418">
        <v>-4.34</v>
      </c>
      <c r="CP418">
        <v>-176.64</v>
      </c>
      <c r="CQ418">
        <v>10.5</v>
      </c>
      <c r="CR418">
        <v>0</v>
      </c>
      <c r="CS418" t="s">
        <v>2826</v>
      </c>
      <c r="CT418">
        <v>-1.01</v>
      </c>
      <c r="CU418">
        <v>0</v>
      </c>
      <c r="CV418">
        <v>0.42</v>
      </c>
      <c r="CW418">
        <v>-2.58</v>
      </c>
      <c r="CX418">
        <v>-0.02</v>
      </c>
      <c r="CY418">
        <v>-83.19</v>
      </c>
      <c r="CZ418" t="s">
        <v>116</v>
      </c>
      <c r="DA418">
        <v>0.98</v>
      </c>
      <c r="DB418">
        <v>-40.909999999999997</v>
      </c>
      <c r="DC418">
        <v>-40.92</v>
      </c>
      <c r="DD418">
        <v>0</v>
      </c>
      <c r="DE418">
        <v>293</v>
      </c>
      <c r="DF418">
        <v>953</v>
      </c>
      <c r="DG418" t="s">
        <v>116</v>
      </c>
      <c r="DH418" t="s">
        <v>116</v>
      </c>
      <c r="DI418" t="s">
        <v>116</v>
      </c>
    </row>
    <row r="419" spans="1:113" x14ac:dyDescent="0.4">
      <c r="A419" t="str">
        <f>"000955"</f>
        <v>000955</v>
      </c>
      <c r="B419" t="s">
        <v>2827</v>
      </c>
      <c r="C419">
        <v>10.08</v>
      </c>
      <c r="D419">
        <v>6.77</v>
      </c>
      <c r="E419">
        <v>0.62</v>
      </c>
      <c r="F419">
        <v>6.77</v>
      </c>
      <c r="G419" t="s">
        <v>116</v>
      </c>
      <c r="H419">
        <v>96262</v>
      </c>
      <c r="I419">
        <v>486</v>
      </c>
      <c r="J419">
        <v>0</v>
      </c>
      <c r="K419">
        <v>1.79</v>
      </c>
      <c r="L419">
        <v>6.77</v>
      </c>
      <c r="M419">
        <v>6.77</v>
      </c>
      <c r="N419">
        <v>6.77</v>
      </c>
      <c r="O419">
        <v>6.15</v>
      </c>
      <c r="P419" t="s">
        <v>116</v>
      </c>
      <c r="Q419">
        <v>65169516</v>
      </c>
      <c r="R419">
        <v>1.35</v>
      </c>
      <c r="S419" t="s">
        <v>1420</v>
      </c>
      <c r="T419" t="s">
        <v>851</v>
      </c>
      <c r="U419">
        <v>0</v>
      </c>
      <c r="V419">
        <v>6.77</v>
      </c>
      <c r="W419">
        <v>87349</v>
      </c>
      <c r="X419">
        <v>8913</v>
      </c>
      <c r="Y419">
        <v>9.8000000000000007</v>
      </c>
      <c r="Z419">
        <v>222014</v>
      </c>
      <c r="AA419">
        <v>0</v>
      </c>
      <c r="AB419" t="s">
        <v>116</v>
      </c>
      <c r="AC419">
        <v>11739000</v>
      </c>
      <c r="AD419">
        <v>0.42</v>
      </c>
      <c r="AE419">
        <v>2.31</v>
      </c>
      <c r="AF419">
        <v>150303472</v>
      </c>
      <c r="AG419">
        <v>5.38</v>
      </c>
      <c r="AH419" t="s">
        <v>2828</v>
      </c>
      <c r="AI419" t="s">
        <v>2829</v>
      </c>
      <c r="AJ419">
        <v>10.76</v>
      </c>
      <c r="AK419">
        <v>769</v>
      </c>
      <c r="AL419">
        <v>125</v>
      </c>
      <c r="AM419">
        <v>2.3E-3</v>
      </c>
      <c r="AN419">
        <v>11</v>
      </c>
      <c r="AO419">
        <v>33.270000000000003</v>
      </c>
      <c r="AP419">
        <v>76.760000000000005</v>
      </c>
      <c r="AQ419">
        <v>71.39</v>
      </c>
      <c r="AR419">
        <v>67.16</v>
      </c>
      <c r="AS419">
        <v>2.3199999999999998</v>
      </c>
      <c r="AT419" t="s">
        <v>183</v>
      </c>
      <c r="AU419" t="s">
        <v>116</v>
      </c>
      <c r="AV419" t="s">
        <v>116</v>
      </c>
      <c r="AW419">
        <v>0.53</v>
      </c>
      <c r="BA419">
        <v>10.08</v>
      </c>
      <c r="BB419">
        <v>10.08</v>
      </c>
      <c r="BC419">
        <v>10.08</v>
      </c>
      <c r="BD419">
        <v>10.08</v>
      </c>
      <c r="BE419">
        <v>0</v>
      </c>
      <c r="BF419">
        <v>0</v>
      </c>
      <c r="BG419">
        <v>0</v>
      </c>
      <c r="BH419">
        <v>0</v>
      </c>
      <c r="BI419">
        <v>20191030</v>
      </c>
      <c r="BJ419">
        <v>19991209</v>
      </c>
      <c r="BK419">
        <v>5.38</v>
      </c>
      <c r="BL419" t="s">
        <v>116</v>
      </c>
      <c r="BM419" t="s">
        <v>116</v>
      </c>
      <c r="BN419">
        <v>11.67</v>
      </c>
      <c r="BO419">
        <v>6</v>
      </c>
      <c r="BP419">
        <v>0.25</v>
      </c>
      <c r="BQ419">
        <v>46.4</v>
      </c>
      <c r="BR419">
        <v>5.6</v>
      </c>
      <c r="BS419">
        <v>3.62</v>
      </c>
      <c r="BT419">
        <v>0.96</v>
      </c>
      <c r="BU419">
        <v>3.01</v>
      </c>
      <c r="BV419">
        <v>1.08</v>
      </c>
      <c r="BW419">
        <v>1.21</v>
      </c>
      <c r="BX419">
        <v>4.92</v>
      </c>
      <c r="BY419">
        <v>5.98</v>
      </c>
      <c r="BZ419">
        <v>5.22</v>
      </c>
      <c r="CA419">
        <v>-0.14000000000000001</v>
      </c>
      <c r="CB419">
        <v>0.03</v>
      </c>
      <c r="CC419">
        <v>-0.13</v>
      </c>
      <c r="CD419">
        <v>-0.13</v>
      </c>
      <c r="CE419">
        <v>-0.11</v>
      </c>
      <c r="CF419">
        <v>-0.18</v>
      </c>
      <c r="CG419">
        <v>-4.3</v>
      </c>
      <c r="CH419">
        <v>-0.32</v>
      </c>
      <c r="CI419">
        <v>-0.72</v>
      </c>
      <c r="CJ419">
        <v>40118</v>
      </c>
      <c r="CK419">
        <v>10353</v>
      </c>
      <c r="CL419" t="s">
        <v>2830</v>
      </c>
      <c r="CM419">
        <v>67.73</v>
      </c>
      <c r="CN419">
        <v>7.6</v>
      </c>
      <c r="CO419">
        <v>6.07</v>
      </c>
      <c r="CP419">
        <v>-113.7</v>
      </c>
      <c r="CQ419">
        <v>6.09</v>
      </c>
      <c r="CR419">
        <v>0</v>
      </c>
      <c r="CS419" t="s">
        <v>2584</v>
      </c>
      <c r="CT419">
        <v>1.1200000000000001</v>
      </c>
      <c r="CU419">
        <v>0</v>
      </c>
      <c r="CV419">
        <v>0.91</v>
      </c>
      <c r="CW419">
        <v>-0.8</v>
      </c>
      <c r="CX419">
        <v>-0.06</v>
      </c>
      <c r="CY419">
        <v>51.43</v>
      </c>
      <c r="CZ419" t="s">
        <v>2831</v>
      </c>
      <c r="DA419">
        <v>12.73</v>
      </c>
      <c r="DB419">
        <v>-2.2799999999999998</v>
      </c>
      <c r="DC419">
        <v>-1.87</v>
      </c>
      <c r="DD419">
        <v>0.09</v>
      </c>
      <c r="DE419">
        <v>872</v>
      </c>
      <c r="DF419">
        <v>955</v>
      </c>
      <c r="DG419" t="s">
        <v>116</v>
      </c>
      <c r="DH419" t="s">
        <v>116</v>
      </c>
      <c r="DI419" t="s">
        <v>116</v>
      </c>
    </row>
    <row r="420" spans="1:113" x14ac:dyDescent="0.4">
      <c r="A420" t="str">
        <f>"000957"</f>
        <v>000957</v>
      </c>
      <c r="B420" t="s">
        <v>2832</v>
      </c>
      <c r="C420">
        <v>-1.21</v>
      </c>
      <c r="D420">
        <v>6.55</v>
      </c>
      <c r="E420">
        <v>-0.08</v>
      </c>
      <c r="F420">
        <v>6.54</v>
      </c>
      <c r="G420">
        <v>6.55</v>
      </c>
      <c r="H420">
        <v>96055</v>
      </c>
      <c r="I420">
        <v>1008</v>
      </c>
      <c r="J420">
        <v>0</v>
      </c>
      <c r="K420">
        <v>1.62</v>
      </c>
      <c r="L420">
        <v>6.63</v>
      </c>
      <c r="M420">
        <v>6.71</v>
      </c>
      <c r="N420">
        <v>6.52</v>
      </c>
      <c r="O420">
        <v>6.63</v>
      </c>
      <c r="P420">
        <v>52.6</v>
      </c>
      <c r="Q420">
        <v>63631980</v>
      </c>
      <c r="R420">
        <v>1.04</v>
      </c>
      <c r="S420" t="s">
        <v>1108</v>
      </c>
      <c r="T420" t="s">
        <v>645</v>
      </c>
      <c r="U420">
        <v>2.87</v>
      </c>
      <c r="V420">
        <v>6.62</v>
      </c>
      <c r="W420">
        <v>46296</v>
      </c>
      <c r="X420">
        <v>49759</v>
      </c>
      <c r="Y420">
        <v>0.93</v>
      </c>
      <c r="Z420">
        <v>223</v>
      </c>
      <c r="AA420">
        <v>18</v>
      </c>
      <c r="AB420" t="s">
        <v>116</v>
      </c>
      <c r="AC420">
        <v>298400</v>
      </c>
      <c r="AD420">
        <v>0.01</v>
      </c>
      <c r="AE420" t="s">
        <v>116</v>
      </c>
      <c r="AF420" t="s">
        <v>116</v>
      </c>
      <c r="AG420">
        <v>5.93</v>
      </c>
      <c r="AH420" t="s">
        <v>2833</v>
      </c>
      <c r="AI420" t="s">
        <v>748</v>
      </c>
      <c r="AJ420">
        <v>-0.53</v>
      </c>
      <c r="AK420">
        <v>1989</v>
      </c>
      <c r="AL420">
        <v>48</v>
      </c>
      <c r="AM420">
        <v>8.0000000000000004E-4</v>
      </c>
      <c r="AN420">
        <v>-1</v>
      </c>
      <c r="AO420">
        <v>-0.76</v>
      </c>
      <c r="AP420">
        <v>8.09</v>
      </c>
      <c r="AQ420">
        <v>2.34</v>
      </c>
      <c r="AR420">
        <v>47.19</v>
      </c>
      <c r="AS420">
        <v>2.7</v>
      </c>
      <c r="AT420" t="s">
        <v>2834</v>
      </c>
      <c r="AU420">
        <v>66.66</v>
      </c>
      <c r="AV420">
        <v>106.19</v>
      </c>
      <c r="AW420">
        <v>0.66</v>
      </c>
      <c r="BA420">
        <v>0</v>
      </c>
      <c r="BB420">
        <v>1.21</v>
      </c>
      <c r="BC420">
        <v>-1.66</v>
      </c>
      <c r="BD420">
        <v>-0.08</v>
      </c>
      <c r="BE420">
        <v>-1.21</v>
      </c>
      <c r="BF420">
        <v>-2.38</v>
      </c>
      <c r="BG420">
        <v>0.46</v>
      </c>
      <c r="BH420">
        <v>-1.1200000000000001</v>
      </c>
      <c r="BI420">
        <v>20191031</v>
      </c>
      <c r="BJ420">
        <v>20000113</v>
      </c>
      <c r="BK420">
        <v>5.93</v>
      </c>
      <c r="BL420" t="s">
        <v>116</v>
      </c>
      <c r="BM420" t="s">
        <v>116</v>
      </c>
      <c r="BN420">
        <v>117.86</v>
      </c>
      <c r="BO420">
        <v>27.6</v>
      </c>
      <c r="BP420">
        <v>0</v>
      </c>
      <c r="BQ420">
        <v>76.58</v>
      </c>
      <c r="BR420">
        <v>99.29</v>
      </c>
      <c r="BS420">
        <v>11.23</v>
      </c>
      <c r="BT420">
        <v>5.12</v>
      </c>
      <c r="BU420">
        <v>76.3</v>
      </c>
      <c r="BV420">
        <v>4.93</v>
      </c>
      <c r="BW420">
        <v>64.28</v>
      </c>
      <c r="BX420">
        <v>4.78</v>
      </c>
      <c r="BY420">
        <v>48.29</v>
      </c>
      <c r="BZ420">
        <v>41.24</v>
      </c>
      <c r="CA420">
        <v>0.67</v>
      </c>
      <c r="CB420">
        <v>-0.05</v>
      </c>
      <c r="CC420">
        <v>0.7</v>
      </c>
      <c r="CD420">
        <v>0.55000000000000004</v>
      </c>
      <c r="CE420">
        <v>0.55000000000000004</v>
      </c>
      <c r="CF420">
        <v>0.13</v>
      </c>
      <c r="CG420">
        <v>14.2</v>
      </c>
      <c r="CH420">
        <v>6.4</v>
      </c>
      <c r="CI420">
        <v>-2.1800000000000002</v>
      </c>
      <c r="CJ420">
        <v>60859</v>
      </c>
      <c r="CK420">
        <v>5842</v>
      </c>
      <c r="CL420" t="s">
        <v>2835</v>
      </c>
      <c r="CM420">
        <v>64.37</v>
      </c>
      <c r="CN420">
        <v>42.07</v>
      </c>
      <c r="CO420">
        <v>1.41</v>
      </c>
      <c r="CP420">
        <v>6.07</v>
      </c>
      <c r="CQ420">
        <v>0.8</v>
      </c>
      <c r="CR420">
        <v>0</v>
      </c>
      <c r="CS420" t="s">
        <v>2836</v>
      </c>
      <c r="CT420">
        <v>4.66</v>
      </c>
      <c r="CU420">
        <v>0</v>
      </c>
      <c r="CV420">
        <v>0.81</v>
      </c>
      <c r="CW420">
        <v>2.4</v>
      </c>
      <c r="CX420">
        <v>1.08</v>
      </c>
      <c r="CY420">
        <v>23.42</v>
      </c>
      <c r="CZ420" t="s">
        <v>2837</v>
      </c>
      <c r="DA420">
        <v>14.59</v>
      </c>
      <c r="DB420">
        <v>1.39</v>
      </c>
      <c r="DC420">
        <v>1.1499999999999999</v>
      </c>
      <c r="DD420">
        <v>1.56</v>
      </c>
      <c r="DE420">
        <v>4991</v>
      </c>
      <c r="DF420">
        <v>957</v>
      </c>
      <c r="DG420" t="s">
        <v>116</v>
      </c>
      <c r="DH420" t="s">
        <v>116</v>
      </c>
      <c r="DI420" t="s">
        <v>116</v>
      </c>
    </row>
    <row r="421" spans="1:113" x14ac:dyDescent="0.4">
      <c r="A421" t="str">
        <f>"000958"</f>
        <v>000958</v>
      </c>
      <c r="B421" t="s">
        <v>2838</v>
      </c>
      <c r="C421">
        <v>0.36</v>
      </c>
      <c r="D421">
        <v>5.59</v>
      </c>
      <c r="E421">
        <v>0.02</v>
      </c>
      <c r="F421">
        <v>5.58</v>
      </c>
      <c r="G421">
        <v>5.59</v>
      </c>
      <c r="H421">
        <v>169791</v>
      </c>
      <c r="I421">
        <v>1115</v>
      </c>
      <c r="J421">
        <v>0.36</v>
      </c>
      <c r="K421">
        <v>1.54</v>
      </c>
      <c r="L421">
        <v>5.57</v>
      </c>
      <c r="M421">
        <v>5.76</v>
      </c>
      <c r="N421">
        <v>5.55</v>
      </c>
      <c r="O421">
        <v>5.57</v>
      </c>
      <c r="P421">
        <v>23.81</v>
      </c>
      <c r="Q421">
        <v>95854008</v>
      </c>
      <c r="R421">
        <v>1.45</v>
      </c>
      <c r="S421" t="s">
        <v>271</v>
      </c>
      <c r="T421" t="s">
        <v>608</v>
      </c>
      <c r="U421">
        <v>3.77</v>
      </c>
      <c r="V421">
        <v>5.65</v>
      </c>
      <c r="W421">
        <v>96681</v>
      </c>
      <c r="X421">
        <v>73110</v>
      </c>
      <c r="Y421">
        <v>1.32</v>
      </c>
      <c r="Z421">
        <v>1107</v>
      </c>
      <c r="AA421">
        <v>132</v>
      </c>
      <c r="AB421" t="s">
        <v>116</v>
      </c>
      <c r="AC421">
        <v>46200</v>
      </c>
      <c r="AD421">
        <v>0</v>
      </c>
      <c r="AE421" t="s">
        <v>116</v>
      </c>
      <c r="AF421" t="s">
        <v>116</v>
      </c>
      <c r="AG421">
        <v>10.99</v>
      </c>
      <c r="AH421" t="s">
        <v>2839</v>
      </c>
      <c r="AI421" t="s">
        <v>2840</v>
      </c>
      <c r="AJ421">
        <v>1.04</v>
      </c>
      <c r="AK421">
        <v>2627</v>
      </c>
      <c r="AL421">
        <v>65</v>
      </c>
      <c r="AM421">
        <v>5.9999999999999995E-4</v>
      </c>
      <c r="AN421">
        <v>2</v>
      </c>
      <c r="AO421">
        <v>-0.35</v>
      </c>
      <c r="AP421">
        <v>6.27</v>
      </c>
      <c r="AQ421">
        <v>-12.52</v>
      </c>
      <c r="AR421">
        <v>76.34</v>
      </c>
      <c r="AS421">
        <v>2.5499999999999998</v>
      </c>
      <c r="AT421" t="s">
        <v>2415</v>
      </c>
      <c r="AU421">
        <v>31.04</v>
      </c>
      <c r="AV421">
        <v>44.33</v>
      </c>
      <c r="AW421">
        <v>1.17</v>
      </c>
      <c r="BA421">
        <v>0</v>
      </c>
      <c r="BB421">
        <v>3.41</v>
      </c>
      <c r="BC421">
        <v>-0.36</v>
      </c>
      <c r="BD421">
        <v>1.35</v>
      </c>
      <c r="BE421">
        <v>0.36</v>
      </c>
      <c r="BF421">
        <v>-2.95</v>
      </c>
      <c r="BG421">
        <v>0.72</v>
      </c>
      <c r="BH421">
        <v>-0.99</v>
      </c>
      <c r="BI421">
        <v>20191029</v>
      </c>
      <c r="BJ421">
        <v>19991223</v>
      </c>
      <c r="BK421">
        <v>11.02</v>
      </c>
      <c r="BL421" t="s">
        <v>116</v>
      </c>
      <c r="BM421" t="s">
        <v>116</v>
      </c>
      <c r="BN421">
        <v>136.88999999999999</v>
      </c>
      <c r="BO421">
        <v>28.23</v>
      </c>
      <c r="BP421">
        <v>9.5299999999999994</v>
      </c>
      <c r="BQ421">
        <v>72.42</v>
      </c>
      <c r="BR421">
        <v>29.28</v>
      </c>
      <c r="BS421">
        <v>81.84</v>
      </c>
      <c r="BT421">
        <v>1.75</v>
      </c>
      <c r="BU421">
        <v>29.2</v>
      </c>
      <c r="BV421">
        <v>0.68</v>
      </c>
      <c r="BW421">
        <v>9.02</v>
      </c>
      <c r="BX421">
        <v>11.84</v>
      </c>
      <c r="BY421">
        <v>21.84</v>
      </c>
      <c r="BZ421">
        <v>16.600000000000001</v>
      </c>
      <c r="CA421">
        <v>3.06</v>
      </c>
      <c r="CB421">
        <v>-0.09</v>
      </c>
      <c r="CC421">
        <v>3.12</v>
      </c>
      <c r="CD421">
        <v>2.64</v>
      </c>
      <c r="CE421">
        <v>1.94</v>
      </c>
      <c r="CF421">
        <v>1.89</v>
      </c>
      <c r="CG421">
        <v>4.51</v>
      </c>
      <c r="CH421">
        <v>0.27</v>
      </c>
      <c r="CI421">
        <v>4.8499999999999996</v>
      </c>
      <c r="CJ421">
        <v>86027</v>
      </c>
      <c r="CK421">
        <v>7732</v>
      </c>
      <c r="CL421" t="s">
        <v>2049</v>
      </c>
      <c r="CM421">
        <v>44.24</v>
      </c>
      <c r="CN421">
        <v>1.96</v>
      </c>
      <c r="CO421">
        <v>2.1800000000000002</v>
      </c>
      <c r="CP421">
        <v>224.62</v>
      </c>
      <c r="CQ421">
        <v>2.82</v>
      </c>
      <c r="CR421">
        <v>0.89</v>
      </c>
      <c r="CS421" t="s">
        <v>586</v>
      </c>
      <c r="CT421">
        <v>2.56</v>
      </c>
      <c r="CU421">
        <v>0</v>
      </c>
      <c r="CV421">
        <v>1.07</v>
      </c>
      <c r="CW421">
        <v>0.41</v>
      </c>
      <c r="CX421">
        <v>0.02</v>
      </c>
      <c r="CY421">
        <v>20.62</v>
      </c>
      <c r="CZ421" t="s">
        <v>2841</v>
      </c>
      <c r="DA421">
        <v>23.98</v>
      </c>
      <c r="DB421">
        <v>14</v>
      </c>
      <c r="DC421">
        <v>8.89</v>
      </c>
      <c r="DD421">
        <v>0</v>
      </c>
      <c r="DE421">
        <v>2333</v>
      </c>
      <c r="DF421">
        <v>958</v>
      </c>
      <c r="DG421" t="s">
        <v>116</v>
      </c>
      <c r="DH421" t="s">
        <v>116</v>
      </c>
      <c r="DI421" t="s">
        <v>116</v>
      </c>
    </row>
    <row r="422" spans="1:113" x14ac:dyDescent="0.4">
      <c r="A422" t="str">
        <f>"000959"</f>
        <v>000959</v>
      </c>
      <c r="B422" t="s">
        <v>2842</v>
      </c>
      <c r="C422">
        <v>0.57999999999999996</v>
      </c>
      <c r="D422">
        <v>3.47</v>
      </c>
      <c r="E422">
        <v>0.02</v>
      </c>
      <c r="F422">
        <v>3.47</v>
      </c>
      <c r="G422">
        <v>3.48</v>
      </c>
      <c r="H422">
        <v>94930</v>
      </c>
      <c r="I422">
        <v>2094</v>
      </c>
      <c r="J422">
        <v>0.28999999999999998</v>
      </c>
      <c r="K422">
        <v>0.19</v>
      </c>
      <c r="L422">
        <v>3.45</v>
      </c>
      <c r="M422">
        <v>3.5</v>
      </c>
      <c r="N422">
        <v>3.44</v>
      </c>
      <c r="O422">
        <v>3.45</v>
      </c>
      <c r="P422">
        <v>11.13</v>
      </c>
      <c r="Q422">
        <v>32952484</v>
      </c>
      <c r="R422">
        <v>1.59</v>
      </c>
      <c r="S422" t="s">
        <v>1587</v>
      </c>
      <c r="T422" t="s">
        <v>165</v>
      </c>
      <c r="U422">
        <v>1.74</v>
      </c>
      <c r="V422">
        <v>3.47</v>
      </c>
      <c r="W422">
        <v>38100</v>
      </c>
      <c r="X422">
        <v>56830</v>
      </c>
      <c r="Y422">
        <v>0.67</v>
      </c>
      <c r="Z422">
        <v>738</v>
      </c>
      <c r="AA422">
        <v>4037</v>
      </c>
      <c r="AB422" t="s">
        <v>116</v>
      </c>
      <c r="AC422">
        <v>274300</v>
      </c>
      <c r="AD422">
        <v>0.01</v>
      </c>
      <c r="AE422" t="s">
        <v>116</v>
      </c>
      <c r="AF422" t="s">
        <v>116</v>
      </c>
      <c r="AG422">
        <v>50.57</v>
      </c>
      <c r="AH422" t="s">
        <v>2843</v>
      </c>
      <c r="AI422" t="s">
        <v>2844</v>
      </c>
      <c r="AJ422">
        <v>1.26</v>
      </c>
      <c r="AK422">
        <v>1287</v>
      </c>
      <c r="AL422">
        <v>74</v>
      </c>
      <c r="AM422">
        <v>1E-4</v>
      </c>
      <c r="AN422">
        <v>2</v>
      </c>
      <c r="AO422">
        <v>0.57999999999999996</v>
      </c>
      <c r="AP422">
        <v>0.57999999999999996</v>
      </c>
      <c r="AQ422">
        <v>3.27</v>
      </c>
      <c r="AR422">
        <v>-6.97</v>
      </c>
      <c r="AS422">
        <v>1.36</v>
      </c>
      <c r="AT422" t="s">
        <v>2845</v>
      </c>
      <c r="AU422">
        <v>12.24</v>
      </c>
      <c r="AV422">
        <v>7.64</v>
      </c>
      <c r="AW422">
        <v>0.27</v>
      </c>
      <c r="BA422">
        <v>0</v>
      </c>
      <c r="BB422">
        <v>1.45</v>
      </c>
      <c r="BC422">
        <v>-0.28999999999999998</v>
      </c>
      <c r="BD422">
        <v>0.62</v>
      </c>
      <c r="BE422">
        <v>0.57999999999999996</v>
      </c>
      <c r="BF422">
        <v>-0.86</v>
      </c>
      <c r="BG422">
        <v>0.87</v>
      </c>
      <c r="BH422">
        <v>-0.04</v>
      </c>
      <c r="BI422">
        <v>20191029</v>
      </c>
      <c r="BJ422">
        <v>19991216</v>
      </c>
      <c r="BK422">
        <v>52.89</v>
      </c>
      <c r="BL422" t="s">
        <v>116</v>
      </c>
      <c r="BM422" t="s">
        <v>116</v>
      </c>
      <c r="BN422">
        <v>1416.15</v>
      </c>
      <c r="BO422">
        <v>270.64999999999998</v>
      </c>
      <c r="BP422">
        <v>124.44</v>
      </c>
      <c r="BQ422">
        <v>72.099999999999994</v>
      </c>
      <c r="BR422">
        <v>240.64</v>
      </c>
      <c r="BS422">
        <v>780.04</v>
      </c>
      <c r="BT422">
        <v>27.83</v>
      </c>
      <c r="BU422">
        <v>645.12</v>
      </c>
      <c r="BV422">
        <v>67.41</v>
      </c>
      <c r="BW422">
        <v>9.6999999999999993</v>
      </c>
      <c r="BX422">
        <v>200.95</v>
      </c>
      <c r="BY422">
        <v>502.88</v>
      </c>
      <c r="BZ422">
        <v>448.96</v>
      </c>
      <c r="CA422">
        <v>19.239999999999998</v>
      </c>
      <c r="CB422">
        <v>2.74</v>
      </c>
      <c r="CC422">
        <v>19.190000000000001</v>
      </c>
      <c r="CD422">
        <v>16.62</v>
      </c>
      <c r="CE422">
        <v>12.36</v>
      </c>
      <c r="CF422">
        <v>12.28</v>
      </c>
      <c r="CG422">
        <v>-20.25</v>
      </c>
      <c r="CH422">
        <v>34.96</v>
      </c>
      <c r="CI422">
        <v>24.18</v>
      </c>
      <c r="CJ422">
        <v>101615</v>
      </c>
      <c r="CK422">
        <v>6869</v>
      </c>
      <c r="CL422" t="s">
        <v>2846</v>
      </c>
      <c r="CM422">
        <v>-42.25</v>
      </c>
      <c r="CN422">
        <v>3.78</v>
      </c>
      <c r="CO422">
        <v>0.68</v>
      </c>
      <c r="CP422">
        <v>5.25</v>
      </c>
      <c r="CQ422">
        <v>0.36</v>
      </c>
      <c r="CR422">
        <v>0</v>
      </c>
      <c r="CS422" t="s">
        <v>526</v>
      </c>
      <c r="CT422">
        <v>5.12</v>
      </c>
      <c r="CU422">
        <v>0</v>
      </c>
      <c r="CV422">
        <v>3.8</v>
      </c>
      <c r="CW422">
        <v>-0.38</v>
      </c>
      <c r="CX422">
        <v>0.66</v>
      </c>
      <c r="CY422">
        <v>19.11</v>
      </c>
      <c r="CZ422" t="s">
        <v>2847</v>
      </c>
      <c r="DA422">
        <v>10.72</v>
      </c>
      <c r="DB422">
        <v>3.83</v>
      </c>
      <c r="DC422">
        <v>2.46</v>
      </c>
      <c r="DD422">
        <v>1.27</v>
      </c>
      <c r="DE422">
        <v>17862</v>
      </c>
      <c r="DF422">
        <v>959</v>
      </c>
      <c r="DG422" t="s">
        <v>116</v>
      </c>
      <c r="DH422" t="s">
        <v>116</v>
      </c>
      <c r="DI422" t="s">
        <v>116</v>
      </c>
    </row>
    <row r="423" spans="1:113" x14ac:dyDescent="0.4">
      <c r="A423" t="str">
        <f>"000960"</f>
        <v>000960</v>
      </c>
      <c r="B423" t="s">
        <v>2848</v>
      </c>
      <c r="C423">
        <v>1.35</v>
      </c>
      <c r="D423">
        <v>10.51</v>
      </c>
      <c r="E423">
        <v>0.14000000000000001</v>
      </c>
      <c r="F423">
        <v>10.51</v>
      </c>
      <c r="G423">
        <v>10.52</v>
      </c>
      <c r="H423">
        <v>357141</v>
      </c>
      <c r="I423">
        <v>1825</v>
      </c>
      <c r="J423">
        <v>-0.09</v>
      </c>
      <c r="K423">
        <v>2.14</v>
      </c>
      <c r="L423">
        <v>10.34</v>
      </c>
      <c r="M423">
        <v>10.85</v>
      </c>
      <c r="N423">
        <v>10.34</v>
      </c>
      <c r="O423">
        <v>10.37</v>
      </c>
      <c r="P423">
        <v>22.62</v>
      </c>
      <c r="Q423">
        <v>379048128</v>
      </c>
      <c r="R423">
        <v>2.82</v>
      </c>
      <c r="S423" t="s">
        <v>1509</v>
      </c>
      <c r="T423" t="s">
        <v>1043</v>
      </c>
      <c r="U423">
        <v>4.92</v>
      </c>
      <c r="V423">
        <v>10.61</v>
      </c>
      <c r="W423">
        <v>147035</v>
      </c>
      <c r="X423">
        <v>210106</v>
      </c>
      <c r="Y423">
        <v>0.7</v>
      </c>
      <c r="Z423">
        <v>52</v>
      </c>
      <c r="AA423">
        <v>468</v>
      </c>
      <c r="AB423" t="s">
        <v>116</v>
      </c>
      <c r="AC423">
        <v>332900</v>
      </c>
      <c r="AD423">
        <v>0</v>
      </c>
      <c r="AE423" t="s">
        <v>116</v>
      </c>
      <c r="AF423" t="s">
        <v>116</v>
      </c>
      <c r="AG423">
        <v>16.690000000000001</v>
      </c>
      <c r="AH423" t="s">
        <v>2849</v>
      </c>
      <c r="AI423" t="s">
        <v>2849</v>
      </c>
      <c r="AJ423">
        <v>2.0299999999999998</v>
      </c>
      <c r="AK423">
        <v>3722</v>
      </c>
      <c r="AL423">
        <v>96</v>
      </c>
      <c r="AM423">
        <v>5.9999999999999995E-4</v>
      </c>
      <c r="AN423">
        <v>2</v>
      </c>
      <c r="AO423">
        <v>1.25</v>
      </c>
      <c r="AP423">
        <v>8.91</v>
      </c>
      <c r="AQ423">
        <v>1.94</v>
      </c>
      <c r="AR423">
        <v>10.17</v>
      </c>
      <c r="AS423">
        <v>3.89</v>
      </c>
      <c r="AT423" t="s">
        <v>2850</v>
      </c>
      <c r="AU423">
        <v>23.98</v>
      </c>
      <c r="AV423">
        <v>19.899999999999999</v>
      </c>
      <c r="AW423">
        <v>0.82</v>
      </c>
      <c r="BA423">
        <v>-0.28999999999999998</v>
      </c>
      <c r="BB423">
        <v>4.63</v>
      </c>
      <c r="BC423">
        <v>-0.28999999999999998</v>
      </c>
      <c r="BD423">
        <v>2.35</v>
      </c>
      <c r="BE423">
        <v>1.64</v>
      </c>
      <c r="BF423">
        <v>-3.13</v>
      </c>
      <c r="BG423">
        <v>1.64</v>
      </c>
      <c r="BH423">
        <v>-1</v>
      </c>
      <c r="BI423">
        <v>20191225</v>
      </c>
      <c r="BJ423">
        <v>20000221</v>
      </c>
      <c r="BK423">
        <v>16.690000000000001</v>
      </c>
      <c r="BL423" t="s">
        <v>116</v>
      </c>
      <c r="BM423" t="s">
        <v>116</v>
      </c>
      <c r="BN423">
        <v>354.5</v>
      </c>
      <c r="BO423">
        <v>124.22</v>
      </c>
      <c r="BP423">
        <v>23.26</v>
      </c>
      <c r="BQ423">
        <v>58.4</v>
      </c>
      <c r="BR423">
        <v>116.89</v>
      </c>
      <c r="BS423">
        <v>132.25</v>
      </c>
      <c r="BT423">
        <v>39.79</v>
      </c>
      <c r="BU423">
        <v>163.22</v>
      </c>
      <c r="BV423">
        <v>41.02</v>
      </c>
      <c r="BW423">
        <v>8.3800000000000008</v>
      </c>
      <c r="BX423">
        <v>89.62</v>
      </c>
      <c r="BY423">
        <v>340.39</v>
      </c>
      <c r="BZ423">
        <v>313.57</v>
      </c>
      <c r="CA423">
        <v>9.82</v>
      </c>
      <c r="CB423">
        <v>0.2</v>
      </c>
      <c r="CC423">
        <v>9.4</v>
      </c>
      <c r="CD423">
        <v>7.83</v>
      </c>
      <c r="CE423">
        <v>5.81</v>
      </c>
      <c r="CF423">
        <v>5.77</v>
      </c>
      <c r="CG423">
        <v>15.04</v>
      </c>
      <c r="CH423">
        <v>10.99</v>
      </c>
      <c r="CI423">
        <v>-3.17</v>
      </c>
      <c r="CJ423">
        <v>85396</v>
      </c>
      <c r="CK423">
        <v>10746</v>
      </c>
      <c r="CL423" t="s">
        <v>2851</v>
      </c>
      <c r="CM423">
        <v>-20.47</v>
      </c>
      <c r="CN423">
        <v>8.67</v>
      </c>
      <c r="CO423">
        <v>1.41</v>
      </c>
      <c r="CP423">
        <v>15.96</v>
      </c>
      <c r="CQ423">
        <v>0.52</v>
      </c>
      <c r="CR423">
        <v>0</v>
      </c>
      <c r="CS423" t="s">
        <v>2852</v>
      </c>
      <c r="CT423">
        <v>7.44</v>
      </c>
      <c r="CU423">
        <v>0</v>
      </c>
      <c r="CV423">
        <v>5.37</v>
      </c>
      <c r="CW423">
        <v>0.9</v>
      </c>
      <c r="CX423">
        <v>0.66</v>
      </c>
      <c r="CY423">
        <v>35.04</v>
      </c>
      <c r="CZ423" t="s">
        <v>2853</v>
      </c>
      <c r="DA423">
        <v>7.88</v>
      </c>
      <c r="DB423">
        <v>2.89</v>
      </c>
      <c r="DC423">
        <v>1.71</v>
      </c>
      <c r="DD423">
        <v>0.86</v>
      </c>
      <c r="DE423">
        <v>15171</v>
      </c>
      <c r="DF423">
        <v>960</v>
      </c>
      <c r="DG423" t="s">
        <v>116</v>
      </c>
      <c r="DH423" t="s">
        <v>116</v>
      </c>
      <c r="DI423" t="s">
        <v>116</v>
      </c>
    </row>
    <row r="424" spans="1:113" x14ac:dyDescent="0.4">
      <c r="A424" t="str">
        <f>"000961"</f>
        <v>000961</v>
      </c>
      <c r="B424" t="s">
        <v>2854</v>
      </c>
      <c r="C424">
        <v>1.06</v>
      </c>
      <c r="D424">
        <v>10.46</v>
      </c>
      <c r="E424">
        <v>0.11</v>
      </c>
      <c r="F424">
        <v>10.46</v>
      </c>
      <c r="G424">
        <v>10.47</v>
      </c>
      <c r="H424">
        <v>305723</v>
      </c>
      <c r="I424">
        <v>2021</v>
      </c>
      <c r="J424">
        <v>0</v>
      </c>
      <c r="K424">
        <v>0.82</v>
      </c>
      <c r="L424">
        <v>10.36</v>
      </c>
      <c r="M424">
        <v>10.65</v>
      </c>
      <c r="N424">
        <v>10.23</v>
      </c>
      <c r="O424">
        <v>10.35</v>
      </c>
      <c r="P424">
        <v>12.92</v>
      </c>
      <c r="Q424">
        <v>319773184</v>
      </c>
      <c r="R424">
        <v>1.04</v>
      </c>
      <c r="S424" t="s">
        <v>181</v>
      </c>
      <c r="T424" t="s">
        <v>323</v>
      </c>
      <c r="U424">
        <v>4.0599999999999996</v>
      </c>
      <c r="V424">
        <v>10.46</v>
      </c>
      <c r="W424">
        <v>156209</v>
      </c>
      <c r="X424">
        <v>149514</v>
      </c>
      <c r="Y424">
        <v>1.04</v>
      </c>
      <c r="Z424">
        <v>1312</v>
      </c>
      <c r="AA424">
        <v>27</v>
      </c>
      <c r="AB424" t="s">
        <v>116</v>
      </c>
      <c r="AC424">
        <v>1125100</v>
      </c>
      <c r="AD424">
        <v>0.01</v>
      </c>
      <c r="AE424" t="s">
        <v>116</v>
      </c>
      <c r="AF424" t="s">
        <v>116</v>
      </c>
      <c r="AG424">
        <v>37.31</v>
      </c>
      <c r="AH424" t="s">
        <v>2855</v>
      </c>
      <c r="AI424" t="s">
        <v>2856</v>
      </c>
      <c r="AJ424">
        <v>1.74</v>
      </c>
      <c r="AK424">
        <v>4052</v>
      </c>
      <c r="AL424">
        <v>75</v>
      </c>
      <c r="AM424">
        <v>2.0000000000000001E-4</v>
      </c>
      <c r="AN424">
        <v>3</v>
      </c>
      <c r="AO424">
        <v>9.5299999999999994</v>
      </c>
      <c r="AP424">
        <v>28.82</v>
      </c>
      <c r="AQ424">
        <v>32.24</v>
      </c>
      <c r="AR424">
        <v>90.53</v>
      </c>
      <c r="AS424">
        <v>1.79</v>
      </c>
      <c r="AT424" t="s">
        <v>2857</v>
      </c>
      <c r="AU424">
        <v>12.16</v>
      </c>
      <c r="AV424">
        <v>17.690000000000001</v>
      </c>
      <c r="AW424">
        <v>1.34</v>
      </c>
      <c r="BA424">
        <v>0.1</v>
      </c>
      <c r="BB424">
        <v>2.9</v>
      </c>
      <c r="BC424">
        <v>-1.1599999999999999</v>
      </c>
      <c r="BD424">
        <v>1.06</v>
      </c>
      <c r="BE424">
        <v>0.97</v>
      </c>
      <c r="BF424">
        <v>-1.78</v>
      </c>
      <c r="BG424">
        <v>2.25</v>
      </c>
      <c r="BH424">
        <v>0</v>
      </c>
      <c r="BI424">
        <v>20191216</v>
      </c>
      <c r="BJ424">
        <v>20000301</v>
      </c>
      <c r="BK424">
        <v>37.28</v>
      </c>
      <c r="BL424" t="s">
        <v>116</v>
      </c>
      <c r="BM424" t="s">
        <v>116</v>
      </c>
      <c r="BN424">
        <v>2729.71</v>
      </c>
      <c r="BO424">
        <v>197.14</v>
      </c>
      <c r="BP424">
        <v>51.17</v>
      </c>
      <c r="BQ424">
        <v>90.9</v>
      </c>
      <c r="BR424">
        <v>2399.9899999999998</v>
      </c>
      <c r="BS424">
        <v>29.81</v>
      </c>
      <c r="BT424">
        <v>6.66</v>
      </c>
      <c r="BU424">
        <v>1942.22</v>
      </c>
      <c r="BV424">
        <v>1603.86</v>
      </c>
      <c r="BW424">
        <v>84.56</v>
      </c>
      <c r="BX424">
        <v>29.96</v>
      </c>
      <c r="BY424">
        <v>409.56</v>
      </c>
      <c r="BZ424">
        <v>327.71</v>
      </c>
      <c r="CA424">
        <v>34.69</v>
      </c>
      <c r="CB424">
        <v>3.74</v>
      </c>
      <c r="CC424">
        <v>33.81</v>
      </c>
      <c r="CD424">
        <v>23.36</v>
      </c>
      <c r="CE424">
        <v>22.64</v>
      </c>
      <c r="CF424">
        <v>21.51</v>
      </c>
      <c r="CG424">
        <v>111.86</v>
      </c>
      <c r="CH424">
        <v>48.11</v>
      </c>
      <c r="CI424">
        <v>40.64</v>
      </c>
      <c r="CJ424">
        <v>34540</v>
      </c>
      <c r="CK424">
        <v>49556</v>
      </c>
      <c r="CL424" t="s">
        <v>2858</v>
      </c>
      <c r="CM424">
        <v>78.67</v>
      </c>
      <c r="CN424">
        <v>36.54</v>
      </c>
      <c r="CO424">
        <v>1.98</v>
      </c>
      <c r="CP424">
        <v>8.1</v>
      </c>
      <c r="CQ424">
        <v>0.95</v>
      </c>
      <c r="CR424">
        <v>1.1499999999999999</v>
      </c>
      <c r="CS424" t="s">
        <v>2859</v>
      </c>
      <c r="CT424">
        <v>5.29</v>
      </c>
      <c r="CU424">
        <v>5.29</v>
      </c>
      <c r="CV424">
        <v>0.8</v>
      </c>
      <c r="CW424">
        <v>3</v>
      </c>
      <c r="CX424">
        <v>1.29</v>
      </c>
      <c r="CY424">
        <v>7.22</v>
      </c>
      <c r="CZ424" t="s">
        <v>2860</v>
      </c>
      <c r="DA424">
        <v>19.98</v>
      </c>
      <c r="DB424">
        <v>8.4700000000000006</v>
      </c>
      <c r="DC424">
        <v>5.53</v>
      </c>
      <c r="DD424">
        <v>0</v>
      </c>
      <c r="DE424">
        <v>16420</v>
      </c>
      <c r="DF424">
        <v>961</v>
      </c>
      <c r="DG424" t="s">
        <v>116</v>
      </c>
      <c r="DH424" t="s">
        <v>116</v>
      </c>
      <c r="DI424" t="s">
        <v>116</v>
      </c>
    </row>
    <row r="425" spans="1:113" x14ac:dyDescent="0.4">
      <c r="A425" t="str">
        <f>"000962"</f>
        <v>000962</v>
      </c>
      <c r="B425" t="s">
        <v>2861</v>
      </c>
      <c r="C425">
        <v>0.43</v>
      </c>
      <c r="D425">
        <v>7</v>
      </c>
      <c r="E425">
        <v>0.03</v>
      </c>
      <c r="F425">
        <v>7</v>
      </c>
      <c r="G425">
        <v>7.01</v>
      </c>
      <c r="H425">
        <v>101554</v>
      </c>
      <c r="I425">
        <v>468</v>
      </c>
      <c r="J425">
        <v>0</v>
      </c>
      <c r="K425">
        <v>2.2999999999999998</v>
      </c>
      <c r="L425">
        <v>6.94</v>
      </c>
      <c r="M425">
        <v>7.32</v>
      </c>
      <c r="N425">
        <v>6.94</v>
      </c>
      <c r="O425">
        <v>6.97</v>
      </c>
      <c r="P425">
        <v>139.13</v>
      </c>
      <c r="Q425">
        <v>72305704</v>
      </c>
      <c r="R425">
        <v>2.2599999999999998</v>
      </c>
      <c r="S425" t="s">
        <v>1509</v>
      </c>
      <c r="T425" t="s">
        <v>1147</v>
      </c>
      <c r="U425">
        <v>5.45</v>
      </c>
      <c r="V425">
        <v>7.12</v>
      </c>
      <c r="W425">
        <v>45480</v>
      </c>
      <c r="X425">
        <v>56074</v>
      </c>
      <c r="Y425">
        <v>0.81</v>
      </c>
      <c r="Z425">
        <v>224</v>
      </c>
      <c r="AA425">
        <v>971</v>
      </c>
      <c r="AB425" t="s">
        <v>116</v>
      </c>
      <c r="AC425">
        <v>211000</v>
      </c>
      <c r="AD425">
        <v>0.01</v>
      </c>
      <c r="AE425" t="s">
        <v>116</v>
      </c>
      <c r="AF425" t="s">
        <v>116</v>
      </c>
      <c r="AG425">
        <v>4.41</v>
      </c>
      <c r="AH425" t="s">
        <v>2862</v>
      </c>
      <c r="AI425" t="s">
        <v>2862</v>
      </c>
      <c r="AJ425">
        <v>1.1100000000000001</v>
      </c>
      <c r="AK425">
        <v>2139</v>
      </c>
      <c r="AL425">
        <v>47</v>
      </c>
      <c r="AM425">
        <v>1.1000000000000001E-3</v>
      </c>
      <c r="AN425">
        <v>2</v>
      </c>
      <c r="AO425">
        <v>2.19</v>
      </c>
      <c r="AP425">
        <v>9.89</v>
      </c>
      <c r="AQ425">
        <v>-1.1299999999999999</v>
      </c>
      <c r="AR425">
        <v>14.19</v>
      </c>
      <c r="AS425">
        <v>4.25</v>
      </c>
      <c r="AT425" t="s">
        <v>2863</v>
      </c>
      <c r="AU425">
        <v>71.42</v>
      </c>
      <c r="AV425">
        <v>103.26</v>
      </c>
      <c r="AW425">
        <v>1.04</v>
      </c>
      <c r="BA425">
        <v>-0.43</v>
      </c>
      <c r="BB425">
        <v>5.0199999999999996</v>
      </c>
      <c r="BC425">
        <v>-0.43</v>
      </c>
      <c r="BD425">
        <v>2.15</v>
      </c>
      <c r="BE425">
        <v>0.86</v>
      </c>
      <c r="BF425">
        <v>-4.37</v>
      </c>
      <c r="BG425">
        <v>0.86</v>
      </c>
      <c r="BH425">
        <v>-1.72</v>
      </c>
      <c r="BI425">
        <v>20191219</v>
      </c>
      <c r="BJ425">
        <v>20000120</v>
      </c>
      <c r="BK425">
        <v>4.41</v>
      </c>
      <c r="BL425" t="s">
        <v>116</v>
      </c>
      <c r="BM425" t="s">
        <v>116</v>
      </c>
      <c r="BN425">
        <v>16.12</v>
      </c>
      <c r="BO425">
        <v>11.47</v>
      </c>
      <c r="BP425">
        <v>0.05</v>
      </c>
      <c r="BQ425">
        <v>28.55</v>
      </c>
      <c r="BR425">
        <v>6.84</v>
      </c>
      <c r="BS425">
        <v>3.37</v>
      </c>
      <c r="BT425">
        <v>0.4</v>
      </c>
      <c r="BU425">
        <v>1.77</v>
      </c>
      <c r="BV425">
        <v>2.7</v>
      </c>
      <c r="BW425">
        <v>1.33</v>
      </c>
      <c r="BX425">
        <v>11.98</v>
      </c>
      <c r="BY425">
        <v>4.53</v>
      </c>
      <c r="BZ425">
        <v>3.87</v>
      </c>
      <c r="CA425">
        <v>0.17</v>
      </c>
      <c r="CB425">
        <v>0.23</v>
      </c>
      <c r="CC425">
        <v>0.18</v>
      </c>
      <c r="CD425">
        <v>0.17</v>
      </c>
      <c r="CE425">
        <v>0.17</v>
      </c>
      <c r="CF425">
        <v>0.06</v>
      </c>
      <c r="CG425">
        <v>-7.37</v>
      </c>
      <c r="CH425">
        <v>1.51</v>
      </c>
      <c r="CI425">
        <v>-0.77</v>
      </c>
      <c r="CJ425">
        <v>39722</v>
      </c>
      <c r="CK425">
        <v>6015</v>
      </c>
      <c r="CL425" t="s">
        <v>2864</v>
      </c>
      <c r="CM425">
        <v>402.42</v>
      </c>
      <c r="CN425">
        <v>-44.72</v>
      </c>
      <c r="CO425">
        <v>2.69</v>
      </c>
      <c r="CP425">
        <v>20.420000000000002</v>
      </c>
      <c r="CQ425">
        <v>6.82</v>
      </c>
      <c r="CR425">
        <v>0</v>
      </c>
      <c r="CS425" t="s">
        <v>2865</v>
      </c>
      <c r="CT425">
        <v>2.6</v>
      </c>
      <c r="CU425">
        <v>0</v>
      </c>
      <c r="CV425">
        <v>2.72</v>
      </c>
      <c r="CW425">
        <v>-1.67</v>
      </c>
      <c r="CX425">
        <v>0.34</v>
      </c>
      <c r="CY425">
        <v>71.13</v>
      </c>
      <c r="CZ425" t="s">
        <v>2866</v>
      </c>
      <c r="DA425">
        <v>14.55</v>
      </c>
      <c r="DB425">
        <v>3.71</v>
      </c>
      <c r="DC425">
        <v>3.68</v>
      </c>
      <c r="DD425">
        <v>0.06</v>
      </c>
      <c r="DE425">
        <v>1182</v>
      </c>
      <c r="DF425">
        <v>962</v>
      </c>
      <c r="DG425" t="s">
        <v>116</v>
      </c>
      <c r="DH425" t="s">
        <v>116</v>
      </c>
      <c r="DI425" t="s">
        <v>116</v>
      </c>
    </row>
    <row r="426" spans="1:113" x14ac:dyDescent="0.4">
      <c r="A426" t="str">
        <f>"000963"</f>
        <v>000963</v>
      </c>
      <c r="B426" t="s">
        <v>2867</v>
      </c>
      <c r="C426">
        <v>0.89</v>
      </c>
      <c r="D426">
        <v>23.88</v>
      </c>
      <c r="E426">
        <v>0.21</v>
      </c>
      <c r="F426">
        <v>23.87</v>
      </c>
      <c r="G426">
        <v>23.88</v>
      </c>
      <c r="H426">
        <v>135557</v>
      </c>
      <c r="I426">
        <v>1164</v>
      </c>
      <c r="J426">
        <v>-0.03</v>
      </c>
      <c r="K426">
        <v>0.77</v>
      </c>
      <c r="L426">
        <v>23.68</v>
      </c>
      <c r="M426">
        <v>24.18</v>
      </c>
      <c r="N426">
        <v>23.64</v>
      </c>
      <c r="O426">
        <v>23.67</v>
      </c>
      <c r="P426">
        <v>14.16</v>
      </c>
      <c r="Q426">
        <v>324634816</v>
      </c>
      <c r="R426">
        <v>1.5</v>
      </c>
      <c r="S426" t="s">
        <v>574</v>
      </c>
      <c r="T426" t="s">
        <v>590</v>
      </c>
      <c r="U426">
        <v>2.2799999999999998</v>
      </c>
      <c r="V426">
        <v>23.95</v>
      </c>
      <c r="W426">
        <v>65586</v>
      </c>
      <c r="X426">
        <v>69971</v>
      </c>
      <c r="Y426">
        <v>0.94</v>
      </c>
      <c r="Z426">
        <v>513</v>
      </c>
      <c r="AA426">
        <v>113</v>
      </c>
      <c r="AB426" t="s">
        <v>116</v>
      </c>
      <c r="AC426">
        <v>734600</v>
      </c>
      <c r="AD426">
        <v>0</v>
      </c>
      <c r="AE426" t="s">
        <v>116</v>
      </c>
      <c r="AF426" t="s">
        <v>116</v>
      </c>
      <c r="AG426">
        <v>17.5</v>
      </c>
      <c r="AH426" t="s">
        <v>2868</v>
      </c>
      <c r="AI426" t="s">
        <v>2868</v>
      </c>
      <c r="AJ426">
        <v>1.57</v>
      </c>
      <c r="AK426">
        <v>3603</v>
      </c>
      <c r="AL426">
        <v>38</v>
      </c>
      <c r="AM426">
        <v>2.0000000000000001E-4</v>
      </c>
      <c r="AN426">
        <v>2</v>
      </c>
      <c r="AO426">
        <v>0.51</v>
      </c>
      <c r="AP426">
        <v>-2.93</v>
      </c>
      <c r="AQ426">
        <v>-7.01</v>
      </c>
      <c r="AR426">
        <v>9.67</v>
      </c>
      <c r="AS426">
        <v>1.85</v>
      </c>
      <c r="AT426" t="s">
        <v>2869</v>
      </c>
      <c r="AU426">
        <v>15.64</v>
      </c>
      <c r="AV426">
        <v>18.43</v>
      </c>
      <c r="AW426">
        <v>0.57999999999999996</v>
      </c>
      <c r="BA426">
        <v>0.04</v>
      </c>
      <c r="BB426">
        <v>2.15</v>
      </c>
      <c r="BC426">
        <v>-0.13</v>
      </c>
      <c r="BD426">
        <v>1.18</v>
      </c>
      <c r="BE426">
        <v>0.84</v>
      </c>
      <c r="BF426">
        <v>-1.24</v>
      </c>
      <c r="BG426">
        <v>1.02</v>
      </c>
      <c r="BH426">
        <v>-0.28999999999999998</v>
      </c>
      <c r="BI426">
        <v>20191030</v>
      </c>
      <c r="BJ426">
        <v>20000127</v>
      </c>
      <c r="BK426">
        <v>17.5</v>
      </c>
      <c r="BL426" t="s">
        <v>116</v>
      </c>
      <c r="BM426" t="s">
        <v>116</v>
      </c>
      <c r="BN426">
        <v>225.1</v>
      </c>
      <c r="BO426">
        <v>116.62</v>
      </c>
      <c r="BP426">
        <v>5.38</v>
      </c>
      <c r="BQ426">
        <v>45.8</v>
      </c>
      <c r="BR426">
        <v>149.63999999999999</v>
      </c>
      <c r="BS426">
        <v>20.399999999999999</v>
      </c>
      <c r="BT426">
        <v>14.37</v>
      </c>
      <c r="BU426">
        <v>97.58</v>
      </c>
      <c r="BV426">
        <v>39.03</v>
      </c>
      <c r="BW426">
        <v>78.87</v>
      </c>
      <c r="BX426">
        <v>21.58</v>
      </c>
      <c r="BY426">
        <v>276.27999999999997</v>
      </c>
      <c r="BZ426">
        <v>186.93</v>
      </c>
      <c r="CA426">
        <v>27.86</v>
      </c>
      <c r="CB426">
        <v>0.09</v>
      </c>
      <c r="CC426">
        <v>27.71</v>
      </c>
      <c r="CD426">
        <v>23.05</v>
      </c>
      <c r="CE426">
        <v>22.13</v>
      </c>
      <c r="CF426">
        <v>20.8</v>
      </c>
      <c r="CG426">
        <v>71.86</v>
      </c>
      <c r="CH426">
        <v>9.09</v>
      </c>
      <c r="CI426">
        <v>-8.6999999999999993</v>
      </c>
      <c r="CJ426">
        <v>101640</v>
      </c>
      <c r="CK426">
        <v>7191</v>
      </c>
      <c r="CL426" t="s">
        <v>2870</v>
      </c>
      <c r="CM426">
        <v>22.33</v>
      </c>
      <c r="CN426">
        <v>19.059999999999999</v>
      </c>
      <c r="CO426">
        <v>3.58</v>
      </c>
      <c r="CP426">
        <v>45.97</v>
      </c>
      <c r="CQ426">
        <v>1.51</v>
      </c>
      <c r="CR426">
        <v>1.1499999999999999</v>
      </c>
      <c r="CS426" t="s">
        <v>2871</v>
      </c>
      <c r="CT426">
        <v>6.66</v>
      </c>
      <c r="CU426">
        <v>0</v>
      </c>
      <c r="CV426">
        <v>1.23</v>
      </c>
      <c r="CW426">
        <v>4.1100000000000003</v>
      </c>
      <c r="CX426">
        <v>0.52</v>
      </c>
      <c r="CY426">
        <v>51.81</v>
      </c>
      <c r="CZ426" t="s">
        <v>2872</v>
      </c>
      <c r="DA426">
        <v>32.340000000000003</v>
      </c>
      <c r="DB426">
        <v>10.08</v>
      </c>
      <c r="DC426">
        <v>8.01</v>
      </c>
      <c r="DD426">
        <v>7.12</v>
      </c>
      <c r="DE426">
        <v>10944</v>
      </c>
      <c r="DF426">
        <v>963</v>
      </c>
      <c r="DG426" t="s">
        <v>116</v>
      </c>
      <c r="DH426" t="s">
        <v>116</v>
      </c>
      <c r="DI426" t="s">
        <v>116</v>
      </c>
    </row>
    <row r="427" spans="1:113" x14ac:dyDescent="0.4">
      <c r="A427" t="str">
        <f>"000965"</f>
        <v>000965</v>
      </c>
      <c r="B427" t="s">
        <v>2873</v>
      </c>
      <c r="C427">
        <v>-0.63</v>
      </c>
      <c r="D427">
        <v>3.17</v>
      </c>
      <c r="E427">
        <v>-0.02</v>
      </c>
      <c r="F427">
        <v>3.17</v>
      </c>
      <c r="G427">
        <v>3.18</v>
      </c>
      <c r="H427">
        <v>37007</v>
      </c>
      <c r="I427">
        <v>237</v>
      </c>
      <c r="J427">
        <v>-0.3</v>
      </c>
      <c r="K427">
        <v>0.33</v>
      </c>
      <c r="L427">
        <v>3.19</v>
      </c>
      <c r="M427">
        <v>3.2</v>
      </c>
      <c r="N427">
        <v>3.17</v>
      </c>
      <c r="O427">
        <v>3.19</v>
      </c>
      <c r="P427" t="s">
        <v>116</v>
      </c>
      <c r="Q427">
        <v>11790405</v>
      </c>
      <c r="R427">
        <v>0.62</v>
      </c>
      <c r="S427" t="s">
        <v>148</v>
      </c>
      <c r="T427" t="s">
        <v>1035</v>
      </c>
      <c r="U427">
        <v>0.94</v>
      </c>
      <c r="V427">
        <v>3.19</v>
      </c>
      <c r="W427">
        <v>23585</v>
      </c>
      <c r="X427">
        <v>13422</v>
      </c>
      <c r="Y427">
        <v>1.76</v>
      </c>
      <c r="Z427">
        <v>3325</v>
      </c>
      <c r="AA427">
        <v>384</v>
      </c>
      <c r="AB427" t="s">
        <v>116</v>
      </c>
      <c r="AC427">
        <v>0</v>
      </c>
      <c r="AD427">
        <v>0</v>
      </c>
      <c r="AE427" t="s">
        <v>116</v>
      </c>
      <c r="AF427" t="s">
        <v>116</v>
      </c>
      <c r="AG427">
        <v>11.1</v>
      </c>
      <c r="AH427" t="s">
        <v>2874</v>
      </c>
      <c r="AI427" t="s">
        <v>2874</v>
      </c>
      <c r="AJ427">
        <v>0.05</v>
      </c>
      <c r="AK427">
        <v>519</v>
      </c>
      <c r="AL427">
        <v>71</v>
      </c>
      <c r="AM427">
        <v>5.9999999999999995E-4</v>
      </c>
      <c r="AN427">
        <v>-1</v>
      </c>
      <c r="AO427">
        <v>0.31</v>
      </c>
      <c r="AP427">
        <v>4.62</v>
      </c>
      <c r="AQ427">
        <v>-0.94</v>
      </c>
      <c r="AR427">
        <v>-15.89</v>
      </c>
      <c r="AS427">
        <v>0.69</v>
      </c>
      <c r="AT427" t="s">
        <v>2875</v>
      </c>
      <c r="AU427" t="s">
        <v>116</v>
      </c>
      <c r="AV427">
        <v>36.61</v>
      </c>
      <c r="AW427">
        <v>1</v>
      </c>
      <c r="BA427">
        <v>0</v>
      </c>
      <c r="BB427">
        <v>0.31</v>
      </c>
      <c r="BC427">
        <v>-0.63</v>
      </c>
      <c r="BD427">
        <v>-0.13</v>
      </c>
      <c r="BE427">
        <v>-0.63</v>
      </c>
      <c r="BF427">
        <v>-0.94</v>
      </c>
      <c r="BG427">
        <v>0</v>
      </c>
      <c r="BH427">
        <v>-0.5</v>
      </c>
      <c r="BI427">
        <v>20191030</v>
      </c>
      <c r="BJ427">
        <v>20000406</v>
      </c>
      <c r="BK427">
        <v>11.1</v>
      </c>
      <c r="BL427" t="s">
        <v>116</v>
      </c>
      <c r="BM427" t="s">
        <v>116</v>
      </c>
      <c r="BN427">
        <v>91.35</v>
      </c>
      <c r="BO427">
        <v>50.9</v>
      </c>
      <c r="BP427">
        <v>0.09</v>
      </c>
      <c r="BQ427">
        <v>44.19</v>
      </c>
      <c r="BR427">
        <v>75.09</v>
      </c>
      <c r="BS427">
        <v>0.87</v>
      </c>
      <c r="BT427">
        <v>0.05</v>
      </c>
      <c r="BU427">
        <v>28.41</v>
      </c>
      <c r="BV427">
        <v>67.95</v>
      </c>
      <c r="BW427">
        <v>0.05</v>
      </c>
      <c r="BX427">
        <v>18.34</v>
      </c>
      <c r="BY427">
        <v>2</v>
      </c>
      <c r="BZ427">
        <v>1.02</v>
      </c>
      <c r="CA427">
        <v>-0.19</v>
      </c>
      <c r="CB427">
        <v>-0.08</v>
      </c>
      <c r="CC427">
        <v>-0.19</v>
      </c>
      <c r="CD427">
        <v>-0.3</v>
      </c>
      <c r="CE427">
        <v>-0.3</v>
      </c>
      <c r="CF427">
        <v>-0.31</v>
      </c>
      <c r="CG427">
        <v>19.07</v>
      </c>
      <c r="CH427">
        <v>-0.7</v>
      </c>
      <c r="CI427">
        <v>-6.45</v>
      </c>
      <c r="CJ427">
        <v>46511</v>
      </c>
      <c r="CK427">
        <v>11585</v>
      </c>
      <c r="CL427" t="s">
        <v>2825</v>
      </c>
      <c r="CM427">
        <v>-107.94</v>
      </c>
      <c r="CN427">
        <v>-91.12</v>
      </c>
      <c r="CO427">
        <v>0.69</v>
      </c>
      <c r="CP427">
        <v>-49.91</v>
      </c>
      <c r="CQ427">
        <v>17.579999999999998</v>
      </c>
      <c r="CR427">
        <v>2.56</v>
      </c>
      <c r="CS427" t="s">
        <v>161</v>
      </c>
      <c r="CT427">
        <v>4.59</v>
      </c>
      <c r="CU427">
        <v>0</v>
      </c>
      <c r="CV427">
        <v>1.65</v>
      </c>
      <c r="CW427">
        <v>1.72</v>
      </c>
      <c r="CX427">
        <v>-0.06</v>
      </c>
      <c r="CY427">
        <v>55.71</v>
      </c>
      <c r="CZ427" t="s">
        <v>2876</v>
      </c>
      <c r="DA427">
        <v>49.19</v>
      </c>
      <c r="DB427">
        <v>-9.5299999999999994</v>
      </c>
      <c r="DC427">
        <v>-15.06</v>
      </c>
      <c r="DD427">
        <v>0</v>
      </c>
      <c r="DE427">
        <v>127</v>
      </c>
      <c r="DF427">
        <v>965</v>
      </c>
      <c r="DG427" t="s">
        <v>116</v>
      </c>
      <c r="DH427" t="s">
        <v>116</v>
      </c>
      <c r="DI427" t="s">
        <v>116</v>
      </c>
    </row>
    <row r="428" spans="1:113" x14ac:dyDescent="0.4">
      <c r="A428" t="str">
        <f>"000966"</f>
        <v>000966</v>
      </c>
      <c r="B428" t="s">
        <v>2877</v>
      </c>
      <c r="C428">
        <v>0</v>
      </c>
      <c r="D428">
        <v>4.6399999999999997</v>
      </c>
      <c r="E428">
        <v>0</v>
      </c>
      <c r="F428">
        <v>4.6399999999999997</v>
      </c>
      <c r="G428">
        <v>4.6500000000000004</v>
      </c>
      <c r="H428">
        <v>63455</v>
      </c>
      <c r="I428">
        <v>420</v>
      </c>
      <c r="J428">
        <v>0</v>
      </c>
      <c r="K428">
        <v>0.56999999999999995</v>
      </c>
      <c r="L428">
        <v>4.6399999999999997</v>
      </c>
      <c r="M428">
        <v>4.7</v>
      </c>
      <c r="N428">
        <v>4.6399999999999997</v>
      </c>
      <c r="O428">
        <v>4.6399999999999997</v>
      </c>
      <c r="P428">
        <v>7.79</v>
      </c>
      <c r="Q428">
        <v>29588900</v>
      </c>
      <c r="R428">
        <v>0.91</v>
      </c>
      <c r="S428" t="s">
        <v>271</v>
      </c>
      <c r="T428" t="s">
        <v>774</v>
      </c>
      <c r="U428">
        <v>1.29</v>
      </c>
      <c r="V428">
        <v>4.66</v>
      </c>
      <c r="W428">
        <v>36151</v>
      </c>
      <c r="X428">
        <v>27304</v>
      </c>
      <c r="Y428">
        <v>1.32</v>
      </c>
      <c r="Z428">
        <v>1277</v>
      </c>
      <c r="AA428">
        <v>598</v>
      </c>
      <c r="AB428" t="s">
        <v>116</v>
      </c>
      <c r="AC428">
        <v>129000</v>
      </c>
      <c r="AD428">
        <v>0</v>
      </c>
      <c r="AE428" t="s">
        <v>116</v>
      </c>
      <c r="AF428" t="s">
        <v>116</v>
      </c>
      <c r="AG428">
        <v>11.08</v>
      </c>
      <c r="AH428" t="s">
        <v>2878</v>
      </c>
      <c r="AI428" t="s">
        <v>2878</v>
      </c>
      <c r="AJ428">
        <v>0.68</v>
      </c>
      <c r="AK428">
        <v>1765</v>
      </c>
      <c r="AL428">
        <v>36</v>
      </c>
      <c r="AM428">
        <v>2.9999999999999997E-4</v>
      </c>
      <c r="AN428">
        <v>0</v>
      </c>
      <c r="AO428">
        <v>0</v>
      </c>
      <c r="AP428">
        <v>-0.85</v>
      </c>
      <c r="AQ428">
        <v>-2.11</v>
      </c>
      <c r="AR428">
        <v>34.49</v>
      </c>
      <c r="AS428">
        <v>1.1100000000000001</v>
      </c>
      <c r="AT428" t="s">
        <v>2879</v>
      </c>
      <c r="AU428">
        <v>9.6300000000000008</v>
      </c>
      <c r="AV428">
        <v>24.64</v>
      </c>
      <c r="AW428">
        <v>0.74</v>
      </c>
      <c r="BA428">
        <v>0</v>
      </c>
      <c r="BB428">
        <v>1.29</v>
      </c>
      <c r="BC428">
        <v>0</v>
      </c>
      <c r="BD428">
        <v>0.5</v>
      </c>
      <c r="BE428">
        <v>0</v>
      </c>
      <c r="BF428">
        <v>-1.28</v>
      </c>
      <c r="BG428">
        <v>0</v>
      </c>
      <c r="BH428">
        <v>-0.5</v>
      </c>
      <c r="BI428">
        <v>20191030</v>
      </c>
      <c r="BJ428">
        <v>20000316</v>
      </c>
      <c r="BK428">
        <v>11.08</v>
      </c>
      <c r="BL428" t="s">
        <v>116</v>
      </c>
      <c r="BM428" t="s">
        <v>116</v>
      </c>
      <c r="BN428">
        <v>97.59</v>
      </c>
      <c r="BO428">
        <v>39.75</v>
      </c>
      <c r="BP428">
        <v>1.78</v>
      </c>
      <c r="BQ428">
        <v>57.44</v>
      </c>
      <c r="BR428">
        <v>18.16</v>
      </c>
      <c r="BS428">
        <v>61.52</v>
      </c>
      <c r="BT428">
        <v>2.57</v>
      </c>
      <c r="BU428">
        <v>39.450000000000003</v>
      </c>
      <c r="BV428">
        <v>2.4900000000000002</v>
      </c>
      <c r="BW428">
        <v>6.15</v>
      </c>
      <c r="BX428">
        <v>9.52</v>
      </c>
      <c r="BY428">
        <v>55.06</v>
      </c>
      <c r="BZ428">
        <v>45.34</v>
      </c>
      <c r="CA428">
        <v>7.05</v>
      </c>
      <c r="CB428">
        <v>7.0000000000000007E-2</v>
      </c>
      <c r="CC428">
        <v>7.18</v>
      </c>
      <c r="CD428">
        <v>5.1100000000000003</v>
      </c>
      <c r="CE428">
        <v>4.95</v>
      </c>
      <c r="CF428">
        <v>4.75</v>
      </c>
      <c r="CG428">
        <v>16.420000000000002</v>
      </c>
      <c r="CH428">
        <v>14.44</v>
      </c>
      <c r="CI428">
        <v>3.78</v>
      </c>
      <c r="CJ428">
        <v>46951</v>
      </c>
      <c r="CK428">
        <v>12230</v>
      </c>
      <c r="CL428" t="s">
        <v>2880</v>
      </c>
      <c r="CM428">
        <v>191.7</v>
      </c>
      <c r="CN428">
        <v>16.52</v>
      </c>
      <c r="CO428">
        <v>1.29</v>
      </c>
      <c r="CP428">
        <v>3.56</v>
      </c>
      <c r="CQ428">
        <v>0.93</v>
      </c>
      <c r="CR428">
        <v>1.29</v>
      </c>
      <c r="CS428" t="s">
        <v>1658</v>
      </c>
      <c r="CT428">
        <v>3.59</v>
      </c>
      <c r="CU428">
        <v>0</v>
      </c>
      <c r="CV428">
        <v>0.86</v>
      </c>
      <c r="CW428">
        <v>1.48</v>
      </c>
      <c r="CX428">
        <v>1.3</v>
      </c>
      <c r="CY428">
        <v>40.729999999999997</v>
      </c>
      <c r="CZ428" t="s">
        <v>2881</v>
      </c>
      <c r="DA428">
        <v>17.649999999999999</v>
      </c>
      <c r="DB428">
        <v>12.8</v>
      </c>
      <c r="DC428">
        <v>8.99</v>
      </c>
      <c r="DD428">
        <v>0.01</v>
      </c>
      <c r="DE428">
        <v>3224</v>
      </c>
      <c r="DF428">
        <v>966</v>
      </c>
      <c r="DG428" t="s">
        <v>116</v>
      </c>
      <c r="DH428" t="s">
        <v>116</v>
      </c>
      <c r="DI428" t="s">
        <v>116</v>
      </c>
    </row>
    <row r="429" spans="1:113" x14ac:dyDescent="0.4">
      <c r="A429" t="str">
        <f>"000967"</f>
        <v>000967</v>
      </c>
      <c r="B429" t="s">
        <v>2882</v>
      </c>
      <c r="C429">
        <v>-0.48</v>
      </c>
      <c r="D429">
        <v>6.17</v>
      </c>
      <c r="E429">
        <v>-0.03</v>
      </c>
      <c r="F429">
        <v>6.17</v>
      </c>
      <c r="G429">
        <v>6.18</v>
      </c>
      <c r="H429">
        <v>65292</v>
      </c>
      <c r="I429">
        <v>593</v>
      </c>
      <c r="J429">
        <v>-0.15</v>
      </c>
      <c r="K429">
        <v>0.56999999999999995</v>
      </c>
      <c r="L429">
        <v>6.25</v>
      </c>
      <c r="M429">
        <v>6.27</v>
      </c>
      <c r="N429">
        <v>6.17</v>
      </c>
      <c r="O429">
        <v>6.2</v>
      </c>
      <c r="P429">
        <v>15.18</v>
      </c>
      <c r="Q429">
        <v>40591616</v>
      </c>
      <c r="R429">
        <v>0.98</v>
      </c>
      <c r="S429" t="s">
        <v>140</v>
      </c>
      <c r="T429" t="s">
        <v>590</v>
      </c>
      <c r="U429">
        <v>1.61</v>
      </c>
      <c r="V429">
        <v>6.22</v>
      </c>
      <c r="W429">
        <v>33721</v>
      </c>
      <c r="X429">
        <v>31571</v>
      </c>
      <c r="Y429">
        <v>1.07</v>
      </c>
      <c r="Z429">
        <v>6589</v>
      </c>
      <c r="AA429">
        <v>845</v>
      </c>
      <c r="AB429" t="s">
        <v>116</v>
      </c>
      <c r="AC429">
        <v>288100</v>
      </c>
      <c r="AD429">
        <v>0.01</v>
      </c>
      <c r="AE429" t="s">
        <v>116</v>
      </c>
      <c r="AF429" t="s">
        <v>116</v>
      </c>
      <c r="AG429">
        <v>11.46</v>
      </c>
      <c r="AH429" t="s">
        <v>2883</v>
      </c>
      <c r="AI429" t="s">
        <v>2884</v>
      </c>
      <c r="AJ429">
        <v>0.2</v>
      </c>
      <c r="AK429">
        <v>1840</v>
      </c>
      <c r="AL429">
        <v>35</v>
      </c>
      <c r="AM429">
        <v>2.9999999999999997E-4</v>
      </c>
      <c r="AN429">
        <v>-1</v>
      </c>
      <c r="AO429">
        <v>-2.37</v>
      </c>
      <c r="AP429">
        <v>6.2</v>
      </c>
      <c r="AQ429">
        <v>-2.06</v>
      </c>
      <c r="AR429">
        <v>11.17</v>
      </c>
      <c r="AS429">
        <v>0.89</v>
      </c>
      <c r="AT429" t="s">
        <v>2885</v>
      </c>
      <c r="AU429">
        <v>14.65</v>
      </c>
      <c r="AV429">
        <v>21.02</v>
      </c>
      <c r="AW429">
        <v>0.57999999999999996</v>
      </c>
      <c r="BA429">
        <v>0.81</v>
      </c>
      <c r="BB429">
        <v>1.1299999999999999</v>
      </c>
      <c r="BC429">
        <v>-0.48</v>
      </c>
      <c r="BD429">
        <v>0.27</v>
      </c>
      <c r="BE429">
        <v>-1.28</v>
      </c>
      <c r="BF429">
        <v>-1.59</v>
      </c>
      <c r="BG429">
        <v>0</v>
      </c>
      <c r="BH429">
        <v>-0.76</v>
      </c>
      <c r="BI429">
        <v>20191024</v>
      </c>
      <c r="BJ429">
        <v>20000330</v>
      </c>
      <c r="BK429">
        <v>31.63</v>
      </c>
      <c r="BL429" t="s">
        <v>116</v>
      </c>
      <c r="BM429" t="s">
        <v>116</v>
      </c>
      <c r="BN429">
        <v>236.65</v>
      </c>
      <c r="BO429">
        <v>151.15</v>
      </c>
      <c r="BP429">
        <v>1.6</v>
      </c>
      <c r="BQ429">
        <v>35.450000000000003</v>
      </c>
      <c r="BR429">
        <v>105.74</v>
      </c>
      <c r="BS429">
        <v>9.9</v>
      </c>
      <c r="BT429">
        <v>26.56</v>
      </c>
      <c r="BU429">
        <v>73.88</v>
      </c>
      <c r="BV429">
        <v>14.09</v>
      </c>
      <c r="BW429">
        <v>52.54</v>
      </c>
      <c r="BX429">
        <v>96.95</v>
      </c>
      <c r="BY429">
        <v>87.26</v>
      </c>
      <c r="BZ429">
        <v>65.55</v>
      </c>
      <c r="CA429">
        <v>11.9</v>
      </c>
      <c r="CB429">
        <v>1.71</v>
      </c>
      <c r="CC429">
        <v>11.67</v>
      </c>
      <c r="CD429">
        <v>9.82</v>
      </c>
      <c r="CE429">
        <v>9.64</v>
      </c>
      <c r="CF429">
        <v>8.19</v>
      </c>
      <c r="CG429">
        <v>20.25</v>
      </c>
      <c r="CH429">
        <v>-7.31</v>
      </c>
      <c r="CI429">
        <v>-11.3</v>
      </c>
      <c r="CJ429">
        <v>28698</v>
      </c>
      <c r="CK429">
        <v>25595</v>
      </c>
      <c r="CL429" t="s">
        <v>2886</v>
      </c>
      <c r="CM429">
        <v>71.900000000000006</v>
      </c>
      <c r="CN429">
        <v>-3.18</v>
      </c>
      <c r="CO429">
        <v>1.29</v>
      </c>
      <c r="CP429">
        <v>-26.69</v>
      </c>
      <c r="CQ429">
        <v>2.2400000000000002</v>
      </c>
      <c r="CR429">
        <v>1.62</v>
      </c>
      <c r="CS429" t="s">
        <v>1996</v>
      </c>
      <c r="CT429">
        <v>4.78</v>
      </c>
      <c r="CU429">
        <v>0</v>
      </c>
      <c r="CV429">
        <v>3.07</v>
      </c>
      <c r="CW429">
        <v>0.64</v>
      </c>
      <c r="CX429">
        <v>-0.23</v>
      </c>
      <c r="CY429">
        <v>63.87</v>
      </c>
      <c r="CZ429" t="s">
        <v>1549</v>
      </c>
      <c r="DA429">
        <v>24.88</v>
      </c>
      <c r="DB429">
        <v>13.63</v>
      </c>
      <c r="DC429">
        <v>11.05</v>
      </c>
      <c r="DD429">
        <v>1.65</v>
      </c>
      <c r="DE429">
        <v>6217</v>
      </c>
      <c r="DF429">
        <v>967</v>
      </c>
      <c r="DG429" t="s">
        <v>116</v>
      </c>
      <c r="DH429" t="s">
        <v>116</v>
      </c>
      <c r="DI429" t="s">
        <v>116</v>
      </c>
    </row>
    <row r="430" spans="1:113" x14ac:dyDescent="0.4">
      <c r="A430" t="str">
        <f>"000968"</f>
        <v>000968</v>
      </c>
      <c r="B430" t="s">
        <v>2887</v>
      </c>
      <c r="C430">
        <v>0.1</v>
      </c>
      <c r="D430">
        <v>10.11</v>
      </c>
      <c r="E430">
        <v>0.01</v>
      </c>
      <c r="F430">
        <v>10.11</v>
      </c>
      <c r="G430">
        <v>10.119999999999999</v>
      </c>
      <c r="H430">
        <v>26920</v>
      </c>
      <c r="I430">
        <v>213</v>
      </c>
      <c r="J430">
        <v>0.1</v>
      </c>
      <c r="K430">
        <v>0.52</v>
      </c>
      <c r="L430">
        <v>10.09</v>
      </c>
      <c r="M430">
        <v>10.19</v>
      </c>
      <c r="N430">
        <v>10.050000000000001</v>
      </c>
      <c r="O430">
        <v>10.1</v>
      </c>
      <c r="P430">
        <v>14.49</v>
      </c>
      <c r="Q430">
        <v>27250450</v>
      </c>
      <c r="R430">
        <v>0.93</v>
      </c>
      <c r="S430" t="s">
        <v>1121</v>
      </c>
      <c r="T430" t="s">
        <v>675</v>
      </c>
      <c r="U430">
        <v>1.39</v>
      </c>
      <c r="V430">
        <v>10.119999999999999</v>
      </c>
      <c r="W430">
        <v>12454</v>
      </c>
      <c r="X430">
        <v>14466</v>
      </c>
      <c r="Y430">
        <v>0.86</v>
      </c>
      <c r="Z430">
        <v>34</v>
      </c>
      <c r="AA430">
        <v>160</v>
      </c>
      <c r="AB430" t="s">
        <v>116</v>
      </c>
      <c r="AC430">
        <v>12100</v>
      </c>
      <c r="AD430">
        <v>0</v>
      </c>
      <c r="AE430" t="s">
        <v>116</v>
      </c>
      <c r="AF430" t="s">
        <v>116</v>
      </c>
      <c r="AG430">
        <v>5.14</v>
      </c>
      <c r="AH430" t="s">
        <v>2888</v>
      </c>
      <c r="AI430" t="s">
        <v>2889</v>
      </c>
      <c r="AJ430">
        <v>0.78</v>
      </c>
      <c r="AK430">
        <v>786</v>
      </c>
      <c r="AL430">
        <v>34</v>
      </c>
      <c r="AM430">
        <v>6.9999999999999999E-4</v>
      </c>
      <c r="AN430">
        <v>2</v>
      </c>
      <c r="AO430">
        <v>-0.98</v>
      </c>
      <c r="AP430">
        <v>-0.88</v>
      </c>
      <c r="AQ430">
        <v>-4.8</v>
      </c>
      <c r="AR430">
        <v>-4.62</v>
      </c>
      <c r="AS430">
        <v>1.04</v>
      </c>
      <c r="AT430" t="s">
        <v>2890</v>
      </c>
      <c r="AU430">
        <v>13.84</v>
      </c>
      <c r="AV430">
        <v>14.41</v>
      </c>
      <c r="AW430">
        <v>0.46</v>
      </c>
      <c r="BA430">
        <v>-0.1</v>
      </c>
      <c r="BB430">
        <v>0.89</v>
      </c>
      <c r="BC430">
        <v>-0.5</v>
      </c>
      <c r="BD430">
        <v>0.23</v>
      </c>
      <c r="BE430">
        <v>0.2</v>
      </c>
      <c r="BF430">
        <v>-0.79</v>
      </c>
      <c r="BG430">
        <v>0.6</v>
      </c>
      <c r="BH430">
        <v>-0.13</v>
      </c>
      <c r="BI430">
        <v>20191023</v>
      </c>
      <c r="BJ430">
        <v>20000622</v>
      </c>
      <c r="BK430">
        <v>9.68</v>
      </c>
      <c r="BL430" t="s">
        <v>116</v>
      </c>
      <c r="BM430" t="s">
        <v>116</v>
      </c>
      <c r="BN430">
        <v>82.17</v>
      </c>
      <c r="BO430">
        <v>43.49</v>
      </c>
      <c r="BP430">
        <v>0.88</v>
      </c>
      <c r="BQ430">
        <v>46</v>
      </c>
      <c r="BR430">
        <v>39.01</v>
      </c>
      <c r="BS430">
        <v>31.75</v>
      </c>
      <c r="BT430">
        <v>0.71</v>
      </c>
      <c r="BU430">
        <v>20.420000000000002</v>
      </c>
      <c r="BV430">
        <v>3.96</v>
      </c>
      <c r="BW430">
        <v>15.02</v>
      </c>
      <c r="BX430">
        <v>9.76</v>
      </c>
      <c r="BY430">
        <v>14.65</v>
      </c>
      <c r="BZ430">
        <v>8.39</v>
      </c>
      <c r="CA430">
        <v>6.09</v>
      </c>
      <c r="CB430">
        <v>0</v>
      </c>
      <c r="CC430">
        <v>6.09</v>
      </c>
      <c r="CD430">
        <v>5.05</v>
      </c>
      <c r="CE430">
        <v>5.0599999999999996</v>
      </c>
      <c r="CF430">
        <v>4.9800000000000004</v>
      </c>
      <c r="CG430">
        <v>20.64</v>
      </c>
      <c r="CH430">
        <v>4.46</v>
      </c>
      <c r="CI430">
        <v>2.46</v>
      </c>
      <c r="CJ430">
        <v>25832</v>
      </c>
      <c r="CK430">
        <v>10045</v>
      </c>
      <c r="CL430" t="s">
        <v>2891</v>
      </c>
      <c r="CM430">
        <v>5.9</v>
      </c>
      <c r="CN430">
        <v>3.34</v>
      </c>
      <c r="CO430">
        <v>2.25</v>
      </c>
      <c r="CP430">
        <v>21.94</v>
      </c>
      <c r="CQ430">
        <v>6.68</v>
      </c>
      <c r="CR430">
        <v>0.49</v>
      </c>
      <c r="CS430" t="s">
        <v>2892</v>
      </c>
      <c r="CT430">
        <v>4.5</v>
      </c>
      <c r="CU430">
        <v>0</v>
      </c>
      <c r="CV430">
        <v>1.01</v>
      </c>
      <c r="CW430">
        <v>2.13</v>
      </c>
      <c r="CX430">
        <v>0.46</v>
      </c>
      <c r="CY430">
        <v>52.93</v>
      </c>
      <c r="CZ430" t="s">
        <v>2893</v>
      </c>
      <c r="DA430">
        <v>42.73</v>
      </c>
      <c r="DB430">
        <v>41.56</v>
      </c>
      <c r="DC430">
        <v>34.549999999999997</v>
      </c>
      <c r="DD430">
        <v>0.23</v>
      </c>
      <c r="DE430">
        <v>2170</v>
      </c>
      <c r="DF430">
        <v>968</v>
      </c>
      <c r="DG430" t="s">
        <v>116</v>
      </c>
      <c r="DH430" t="s">
        <v>116</v>
      </c>
      <c r="DI430" t="s">
        <v>116</v>
      </c>
    </row>
    <row r="431" spans="1:113" x14ac:dyDescent="0.4">
      <c r="A431" t="str">
        <f>"000969"</f>
        <v>000969</v>
      </c>
      <c r="B431" t="s">
        <v>2894</v>
      </c>
      <c r="C431">
        <v>0.6</v>
      </c>
      <c r="D431">
        <v>6.69</v>
      </c>
      <c r="E431">
        <v>0.04</v>
      </c>
      <c r="F431">
        <v>6.68</v>
      </c>
      <c r="G431">
        <v>6.69</v>
      </c>
      <c r="H431">
        <v>155928</v>
      </c>
      <c r="I431">
        <v>1061</v>
      </c>
      <c r="J431">
        <v>0</v>
      </c>
      <c r="K431">
        <v>1.56</v>
      </c>
      <c r="L431">
        <v>6.66</v>
      </c>
      <c r="M431">
        <v>6.93</v>
      </c>
      <c r="N431">
        <v>6.62</v>
      </c>
      <c r="O431">
        <v>6.65</v>
      </c>
      <c r="P431">
        <v>45.62</v>
      </c>
      <c r="Q431">
        <v>105668912</v>
      </c>
      <c r="R431">
        <v>1.78</v>
      </c>
      <c r="S431" t="s">
        <v>2118</v>
      </c>
      <c r="T431" t="s">
        <v>165</v>
      </c>
      <c r="U431">
        <v>4.66</v>
      </c>
      <c r="V431">
        <v>6.78</v>
      </c>
      <c r="W431">
        <v>66045</v>
      </c>
      <c r="X431">
        <v>89883</v>
      </c>
      <c r="Y431">
        <v>0.73</v>
      </c>
      <c r="Z431">
        <v>1102</v>
      </c>
      <c r="AA431">
        <v>569</v>
      </c>
      <c r="AB431" t="s">
        <v>116</v>
      </c>
      <c r="AC431">
        <v>39300</v>
      </c>
      <c r="AD431">
        <v>0</v>
      </c>
      <c r="AE431" t="s">
        <v>116</v>
      </c>
      <c r="AF431" t="s">
        <v>116</v>
      </c>
      <c r="AG431">
        <v>10.01</v>
      </c>
      <c r="AH431" t="s">
        <v>2895</v>
      </c>
      <c r="AI431" t="s">
        <v>2896</v>
      </c>
      <c r="AJ431">
        <v>1.28</v>
      </c>
      <c r="AK431">
        <v>2639</v>
      </c>
      <c r="AL431">
        <v>59</v>
      </c>
      <c r="AM431">
        <v>5.9999999999999995E-4</v>
      </c>
      <c r="AN431">
        <v>1</v>
      </c>
      <c r="AO431">
        <v>1.52</v>
      </c>
      <c r="AP431">
        <v>12.06</v>
      </c>
      <c r="AQ431">
        <v>-1.62</v>
      </c>
      <c r="AR431">
        <v>47.03</v>
      </c>
      <c r="AS431">
        <v>2.4700000000000002</v>
      </c>
      <c r="AT431" t="s">
        <v>2897</v>
      </c>
      <c r="AU431" t="s">
        <v>116</v>
      </c>
      <c r="AV431" t="s">
        <v>116</v>
      </c>
      <c r="AW431">
        <v>1.28</v>
      </c>
      <c r="BA431">
        <v>0.15</v>
      </c>
      <c r="BB431">
        <v>4.21</v>
      </c>
      <c r="BC431">
        <v>-0.45</v>
      </c>
      <c r="BD431">
        <v>1.91</v>
      </c>
      <c r="BE431">
        <v>0.45</v>
      </c>
      <c r="BF431">
        <v>-3.46</v>
      </c>
      <c r="BG431">
        <v>1.06</v>
      </c>
      <c r="BH431">
        <v>-1.3</v>
      </c>
      <c r="BI431">
        <v>20191223</v>
      </c>
      <c r="BJ431">
        <v>20000529</v>
      </c>
      <c r="BK431">
        <v>10.26</v>
      </c>
      <c r="BL431" t="s">
        <v>116</v>
      </c>
      <c r="BM431" t="s">
        <v>116</v>
      </c>
      <c r="BN431">
        <v>93.76</v>
      </c>
      <c r="BO431">
        <v>43.81</v>
      </c>
      <c r="BP431">
        <v>11.11</v>
      </c>
      <c r="BQ431">
        <v>41.42</v>
      </c>
      <c r="BR431">
        <v>46.13</v>
      </c>
      <c r="BS431">
        <v>29.9</v>
      </c>
      <c r="BT431">
        <v>4.08</v>
      </c>
      <c r="BU431">
        <v>36.21</v>
      </c>
      <c r="BV431">
        <v>16.059999999999999</v>
      </c>
      <c r="BW431">
        <v>12.58</v>
      </c>
      <c r="BX431">
        <v>27.02</v>
      </c>
      <c r="BY431">
        <v>36.22</v>
      </c>
      <c r="BZ431">
        <v>29.41</v>
      </c>
      <c r="CA431">
        <v>1.63</v>
      </c>
      <c r="CB431">
        <v>0.42</v>
      </c>
      <c r="CC431">
        <v>1.65</v>
      </c>
      <c r="CD431">
        <v>1.47</v>
      </c>
      <c r="CE431">
        <v>1.1299999999999999</v>
      </c>
      <c r="CF431">
        <v>0.97</v>
      </c>
      <c r="CG431">
        <v>2.82</v>
      </c>
      <c r="CH431">
        <v>3.77</v>
      </c>
      <c r="CI431">
        <v>-1.05</v>
      </c>
      <c r="CJ431">
        <v>63392</v>
      </c>
      <c r="CK431">
        <v>9963</v>
      </c>
      <c r="CL431" t="s">
        <v>2898</v>
      </c>
      <c r="CM431">
        <v>240.29</v>
      </c>
      <c r="CN431">
        <v>-5.51</v>
      </c>
      <c r="CO431">
        <v>1.57</v>
      </c>
      <c r="CP431">
        <v>18.23</v>
      </c>
      <c r="CQ431">
        <v>1.89</v>
      </c>
      <c r="CR431">
        <v>0</v>
      </c>
      <c r="CS431" t="s">
        <v>424</v>
      </c>
      <c r="CT431">
        <v>4.2699999999999996</v>
      </c>
      <c r="CU431">
        <v>0</v>
      </c>
      <c r="CV431">
        <v>2.63</v>
      </c>
      <c r="CW431">
        <v>0.27</v>
      </c>
      <c r="CX431">
        <v>0.37</v>
      </c>
      <c r="CY431">
        <v>46.73</v>
      </c>
      <c r="CZ431" t="s">
        <v>2621</v>
      </c>
      <c r="DA431">
        <v>18.809999999999999</v>
      </c>
      <c r="DB431">
        <v>4.49</v>
      </c>
      <c r="DC431">
        <v>3.11</v>
      </c>
      <c r="DD431">
        <v>1.21</v>
      </c>
      <c r="DE431">
        <v>5789</v>
      </c>
      <c r="DF431">
        <v>969</v>
      </c>
      <c r="DG431" t="s">
        <v>116</v>
      </c>
      <c r="DH431" t="s">
        <v>116</v>
      </c>
      <c r="DI431" t="s">
        <v>116</v>
      </c>
    </row>
    <row r="432" spans="1:113" x14ac:dyDescent="0.4">
      <c r="A432" t="str">
        <f>"000970"</f>
        <v>000970</v>
      </c>
      <c r="B432" t="s">
        <v>2899</v>
      </c>
      <c r="C432">
        <v>1.58</v>
      </c>
      <c r="D432">
        <v>10.9</v>
      </c>
      <c r="E432">
        <v>0.17</v>
      </c>
      <c r="F432">
        <v>10.89</v>
      </c>
      <c r="G432">
        <v>10.9</v>
      </c>
      <c r="H432">
        <v>733671</v>
      </c>
      <c r="I432">
        <v>5792</v>
      </c>
      <c r="J432">
        <v>0.09</v>
      </c>
      <c r="K432">
        <v>6.89</v>
      </c>
      <c r="L432">
        <v>10.73</v>
      </c>
      <c r="M432">
        <v>11.23</v>
      </c>
      <c r="N432">
        <v>10.66</v>
      </c>
      <c r="O432">
        <v>10.73</v>
      </c>
      <c r="P432">
        <v>55.79</v>
      </c>
      <c r="Q432">
        <v>802615808</v>
      </c>
      <c r="R432">
        <v>1.9</v>
      </c>
      <c r="S432" t="s">
        <v>233</v>
      </c>
      <c r="T432" t="s">
        <v>165</v>
      </c>
      <c r="U432">
        <v>5.31</v>
      </c>
      <c r="V432">
        <v>10.94</v>
      </c>
      <c r="W432">
        <v>356778</v>
      </c>
      <c r="X432">
        <v>376893</v>
      </c>
      <c r="Y432">
        <v>0.95</v>
      </c>
      <c r="Z432">
        <v>519</v>
      </c>
      <c r="AA432">
        <v>702</v>
      </c>
      <c r="AB432" t="s">
        <v>116</v>
      </c>
      <c r="AC432">
        <v>1379900</v>
      </c>
      <c r="AD432">
        <v>0.02</v>
      </c>
      <c r="AE432" t="s">
        <v>116</v>
      </c>
      <c r="AF432" t="s">
        <v>116</v>
      </c>
      <c r="AG432">
        <v>10.65</v>
      </c>
      <c r="AH432" t="s">
        <v>2900</v>
      </c>
      <c r="AI432" t="s">
        <v>2900</v>
      </c>
      <c r="AJ432">
        <v>2.2599999999999998</v>
      </c>
      <c r="AK432">
        <v>4343</v>
      </c>
      <c r="AL432">
        <v>169</v>
      </c>
      <c r="AM432">
        <v>1.6000000000000001E-3</v>
      </c>
      <c r="AN432">
        <v>1</v>
      </c>
      <c r="AO432">
        <v>0.27</v>
      </c>
      <c r="AP432">
        <v>21.65</v>
      </c>
      <c r="AQ432">
        <v>14.02</v>
      </c>
      <c r="AR432">
        <v>50.55</v>
      </c>
      <c r="AS432">
        <v>8.9700000000000006</v>
      </c>
      <c r="AT432" t="s">
        <v>2901</v>
      </c>
      <c r="AU432">
        <v>53.59</v>
      </c>
      <c r="AV432">
        <v>46.76</v>
      </c>
      <c r="AW432">
        <v>1.1399999999999999</v>
      </c>
      <c r="BA432">
        <v>0</v>
      </c>
      <c r="BB432">
        <v>4.66</v>
      </c>
      <c r="BC432">
        <v>-0.65</v>
      </c>
      <c r="BD432">
        <v>1.95</v>
      </c>
      <c r="BE432">
        <v>1.58</v>
      </c>
      <c r="BF432">
        <v>-2.94</v>
      </c>
      <c r="BG432">
        <v>2.25</v>
      </c>
      <c r="BH432">
        <v>-0.37</v>
      </c>
      <c r="BI432">
        <v>20191227</v>
      </c>
      <c r="BJ432">
        <v>20000420</v>
      </c>
      <c r="BK432">
        <v>10.65</v>
      </c>
      <c r="BL432" t="s">
        <v>116</v>
      </c>
      <c r="BM432" t="s">
        <v>116</v>
      </c>
      <c r="BN432">
        <v>64.78</v>
      </c>
      <c r="BO432">
        <v>45.31</v>
      </c>
      <c r="BP432">
        <v>7.94</v>
      </c>
      <c r="BQ432">
        <v>17.8</v>
      </c>
      <c r="BR432">
        <v>47.07</v>
      </c>
      <c r="BS432">
        <v>10.62</v>
      </c>
      <c r="BT432">
        <v>1.29</v>
      </c>
      <c r="BU432">
        <v>10.98</v>
      </c>
      <c r="BV432">
        <v>14.41</v>
      </c>
      <c r="BW432">
        <v>11.72</v>
      </c>
      <c r="BX432">
        <v>4.32</v>
      </c>
      <c r="BY432">
        <v>29.52</v>
      </c>
      <c r="BZ432">
        <v>24.04</v>
      </c>
      <c r="CA432">
        <v>2.5099999999999998</v>
      </c>
      <c r="CB432">
        <v>-0.02</v>
      </c>
      <c r="CC432">
        <v>2.5099999999999998</v>
      </c>
      <c r="CD432">
        <v>1.84</v>
      </c>
      <c r="CE432">
        <v>1.56</v>
      </c>
      <c r="CF432">
        <v>1.37</v>
      </c>
      <c r="CG432">
        <v>27.64</v>
      </c>
      <c r="CH432">
        <v>4.0599999999999996</v>
      </c>
      <c r="CI432">
        <v>1.41</v>
      </c>
      <c r="CJ432">
        <v>98580</v>
      </c>
      <c r="CK432">
        <v>8301</v>
      </c>
      <c r="CL432" t="s">
        <v>2006</v>
      </c>
      <c r="CM432">
        <v>-16.850000000000001</v>
      </c>
      <c r="CN432">
        <v>-1.87</v>
      </c>
      <c r="CO432">
        <v>2.56</v>
      </c>
      <c r="CP432">
        <v>28.59</v>
      </c>
      <c r="CQ432">
        <v>3.93</v>
      </c>
      <c r="CR432">
        <v>0.83</v>
      </c>
      <c r="CS432" t="s">
        <v>2902</v>
      </c>
      <c r="CT432">
        <v>4.25</v>
      </c>
      <c r="CU432">
        <v>0</v>
      </c>
      <c r="CV432">
        <v>0.41</v>
      </c>
      <c r="CW432">
        <v>2.6</v>
      </c>
      <c r="CX432">
        <v>0.38</v>
      </c>
      <c r="CY432">
        <v>69.94</v>
      </c>
      <c r="CZ432" t="s">
        <v>2903</v>
      </c>
      <c r="DA432">
        <v>18.559999999999999</v>
      </c>
      <c r="DB432">
        <v>8.52</v>
      </c>
      <c r="DC432">
        <v>5.29</v>
      </c>
      <c r="DD432">
        <v>0.6</v>
      </c>
      <c r="DE432">
        <v>5422</v>
      </c>
      <c r="DF432">
        <v>970</v>
      </c>
      <c r="DG432" t="s">
        <v>116</v>
      </c>
      <c r="DH432" t="s">
        <v>116</v>
      </c>
      <c r="DI432" t="s">
        <v>116</v>
      </c>
    </row>
    <row r="433" spans="1:113" x14ac:dyDescent="0.4">
      <c r="A433" t="str">
        <f>"000971"</f>
        <v>000971</v>
      </c>
      <c r="B433" t="s">
        <v>2904</v>
      </c>
      <c r="C433">
        <v>4.83</v>
      </c>
      <c r="D433">
        <v>2.82</v>
      </c>
      <c r="E433">
        <v>0.13</v>
      </c>
      <c r="F433">
        <v>2.82</v>
      </c>
      <c r="G433" t="s">
        <v>116</v>
      </c>
      <c r="H433">
        <v>220019</v>
      </c>
      <c r="I433">
        <v>214</v>
      </c>
      <c r="J433">
        <v>0</v>
      </c>
      <c r="K433">
        <v>3.72</v>
      </c>
      <c r="L433">
        <v>2.77</v>
      </c>
      <c r="M433">
        <v>2.82</v>
      </c>
      <c r="N433">
        <v>2.69</v>
      </c>
      <c r="O433">
        <v>2.69</v>
      </c>
      <c r="P433" t="s">
        <v>116</v>
      </c>
      <c r="Q433">
        <v>61066096</v>
      </c>
      <c r="R433">
        <v>1.28</v>
      </c>
      <c r="S433" t="s">
        <v>1384</v>
      </c>
      <c r="T433" t="s">
        <v>774</v>
      </c>
      <c r="U433">
        <v>4.83</v>
      </c>
      <c r="V433">
        <v>2.78</v>
      </c>
      <c r="W433">
        <v>111123</v>
      </c>
      <c r="X433">
        <v>108896</v>
      </c>
      <c r="Y433">
        <v>1.02</v>
      </c>
      <c r="Z433">
        <v>5645</v>
      </c>
      <c r="AA433">
        <v>0</v>
      </c>
      <c r="AB433" t="s">
        <v>116</v>
      </c>
      <c r="AC433">
        <v>907700</v>
      </c>
      <c r="AD433">
        <v>7.0000000000000007E-2</v>
      </c>
      <c r="AE433">
        <v>0.03</v>
      </c>
      <c r="AF433">
        <v>1591890</v>
      </c>
      <c r="AG433">
        <v>5.91</v>
      </c>
      <c r="AH433" t="s">
        <v>2905</v>
      </c>
      <c r="AI433" t="s">
        <v>2906</v>
      </c>
      <c r="AJ433">
        <v>5.51</v>
      </c>
      <c r="AK433">
        <v>1673</v>
      </c>
      <c r="AL433">
        <v>132</v>
      </c>
      <c r="AM433">
        <v>2.2000000000000001E-3</v>
      </c>
      <c r="AN433">
        <v>10</v>
      </c>
      <c r="AO433">
        <v>11.03</v>
      </c>
      <c r="AP433">
        <v>45.36</v>
      </c>
      <c r="AQ433">
        <v>41.71</v>
      </c>
      <c r="AR433">
        <v>-15.06</v>
      </c>
      <c r="AS433">
        <v>4.93</v>
      </c>
      <c r="AT433" t="s">
        <v>2907</v>
      </c>
      <c r="AU433" t="s">
        <v>116</v>
      </c>
      <c r="AV433" t="s">
        <v>116</v>
      </c>
      <c r="AW433">
        <v>0.61</v>
      </c>
      <c r="BA433">
        <v>2.97</v>
      </c>
      <c r="BB433">
        <v>4.83</v>
      </c>
      <c r="BC433">
        <v>0</v>
      </c>
      <c r="BD433">
        <v>3.18</v>
      </c>
      <c r="BE433">
        <v>1.81</v>
      </c>
      <c r="BF433">
        <v>0</v>
      </c>
      <c r="BG433">
        <v>4.83</v>
      </c>
      <c r="BH433">
        <v>1.65</v>
      </c>
      <c r="BI433">
        <v>20191030</v>
      </c>
      <c r="BJ433">
        <v>20000427</v>
      </c>
      <c r="BK433">
        <v>10.59</v>
      </c>
      <c r="BL433" t="s">
        <v>116</v>
      </c>
      <c r="BM433" t="s">
        <v>116</v>
      </c>
      <c r="BN433">
        <v>31.82</v>
      </c>
      <c r="BO433">
        <v>18.66</v>
      </c>
      <c r="BP433">
        <v>7.0000000000000007E-2</v>
      </c>
      <c r="BQ433">
        <v>41.16</v>
      </c>
      <c r="BR433">
        <v>13.57</v>
      </c>
      <c r="BS433">
        <v>3.84</v>
      </c>
      <c r="BT433">
        <v>1</v>
      </c>
      <c r="BU433">
        <v>6.68</v>
      </c>
      <c r="BV433">
        <v>0.77</v>
      </c>
      <c r="BW433">
        <v>5.03</v>
      </c>
      <c r="BX433">
        <v>31.52</v>
      </c>
      <c r="BY433">
        <v>5.93</v>
      </c>
      <c r="BZ433">
        <v>4.29</v>
      </c>
      <c r="CA433">
        <v>-0.31</v>
      </c>
      <c r="CB433">
        <v>0.63</v>
      </c>
      <c r="CC433">
        <v>-0.32</v>
      </c>
      <c r="CD433">
        <v>-0.11</v>
      </c>
      <c r="CE433">
        <v>-0.11</v>
      </c>
      <c r="CF433">
        <v>0.15</v>
      </c>
      <c r="CG433">
        <v>-23.72</v>
      </c>
      <c r="CH433">
        <v>0.18</v>
      </c>
      <c r="CI433">
        <v>-0.44</v>
      </c>
      <c r="CJ433">
        <v>37809</v>
      </c>
      <c r="CK433">
        <v>11795</v>
      </c>
      <c r="CL433" t="s">
        <v>2908</v>
      </c>
      <c r="CM433">
        <v>-146.94</v>
      </c>
      <c r="CN433">
        <v>-9.65</v>
      </c>
      <c r="CO433">
        <v>1.6</v>
      </c>
      <c r="CP433">
        <v>164.05</v>
      </c>
      <c r="CQ433">
        <v>5.04</v>
      </c>
      <c r="CR433">
        <v>0</v>
      </c>
      <c r="CS433" t="s">
        <v>848</v>
      </c>
      <c r="CT433">
        <v>1.76</v>
      </c>
      <c r="CU433">
        <v>0</v>
      </c>
      <c r="CV433">
        <v>2.98</v>
      </c>
      <c r="CW433">
        <v>-2.2400000000000002</v>
      </c>
      <c r="CX433">
        <v>0.02</v>
      </c>
      <c r="CY433">
        <v>58.62</v>
      </c>
      <c r="CZ433" t="s">
        <v>2909</v>
      </c>
      <c r="DA433">
        <v>27.65</v>
      </c>
      <c r="DB433">
        <v>-5.27</v>
      </c>
      <c r="DC433">
        <v>-1.78</v>
      </c>
      <c r="DD433">
        <v>0.28000000000000003</v>
      </c>
      <c r="DE433">
        <v>900</v>
      </c>
      <c r="DF433">
        <v>971</v>
      </c>
      <c r="DG433" t="s">
        <v>116</v>
      </c>
      <c r="DH433" t="s">
        <v>116</v>
      </c>
      <c r="DI433" t="s">
        <v>116</v>
      </c>
    </row>
    <row r="434" spans="1:113" x14ac:dyDescent="0.4">
      <c r="A434" t="str">
        <f>"000972"</f>
        <v>000972</v>
      </c>
      <c r="B434" t="s">
        <v>2910</v>
      </c>
      <c r="C434">
        <v>-4.99</v>
      </c>
      <c r="D434">
        <v>3.43</v>
      </c>
      <c r="E434">
        <v>-0.18</v>
      </c>
      <c r="F434" t="s">
        <v>116</v>
      </c>
      <c r="G434">
        <v>3.43</v>
      </c>
      <c r="H434">
        <v>93569</v>
      </c>
      <c r="I434">
        <v>186</v>
      </c>
      <c r="J434">
        <v>0</v>
      </c>
      <c r="K434">
        <v>1.21</v>
      </c>
      <c r="L434">
        <v>3.6</v>
      </c>
      <c r="M434">
        <v>3.63</v>
      </c>
      <c r="N434">
        <v>3.43</v>
      </c>
      <c r="O434">
        <v>3.61</v>
      </c>
      <c r="P434">
        <v>86.79</v>
      </c>
      <c r="Q434">
        <v>32706076</v>
      </c>
      <c r="R434">
        <v>0.94</v>
      </c>
      <c r="S434" t="s">
        <v>863</v>
      </c>
      <c r="T434" t="s">
        <v>616</v>
      </c>
      <c r="U434">
        <v>5.54</v>
      </c>
      <c r="V434">
        <v>3.5</v>
      </c>
      <c r="W434">
        <v>54174</v>
      </c>
      <c r="X434">
        <v>39395</v>
      </c>
      <c r="Y434">
        <v>1.38</v>
      </c>
      <c r="Z434">
        <v>0</v>
      </c>
      <c r="AA434">
        <v>3303</v>
      </c>
      <c r="AB434" t="s">
        <v>116</v>
      </c>
      <c r="AC434">
        <v>41400</v>
      </c>
      <c r="AD434">
        <v>0</v>
      </c>
      <c r="AE434">
        <v>0.04</v>
      </c>
      <c r="AF434">
        <v>1132929</v>
      </c>
      <c r="AG434">
        <v>7.71</v>
      </c>
      <c r="AH434" t="s">
        <v>2911</v>
      </c>
      <c r="AI434" t="s">
        <v>2911</v>
      </c>
      <c r="AJ434">
        <v>-4.3099999999999996</v>
      </c>
      <c r="AK434">
        <v>998</v>
      </c>
      <c r="AL434">
        <v>94</v>
      </c>
      <c r="AM434">
        <v>1.1999999999999999E-3</v>
      </c>
      <c r="AN434">
        <v>-3</v>
      </c>
      <c r="AO434">
        <v>-9.98</v>
      </c>
      <c r="AP434">
        <v>14.33</v>
      </c>
      <c r="AQ434">
        <v>35.04</v>
      </c>
      <c r="AR434">
        <v>23.38</v>
      </c>
      <c r="AS434">
        <v>1.88</v>
      </c>
      <c r="AT434" t="s">
        <v>2432</v>
      </c>
      <c r="AU434" t="s">
        <v>116</v>
      </c>
      <c r="AV434" t="s">
        <v>116</v>
      </c>
      <c r="AW434">
        <v>0.28000000000000003</v>
      </c>
      <c r="BA434">
        <v>-0.28000000000000003</v>
      </c>
      <c r="BB434">
        <v>0.55000000000000004</v>
      </c>
      <c r="BC434">
        <v>-4.99</v>
      </c>
      <c r="BD434">
        <v>-3.17</v>
      </c>
      <c r="BE434">
        <v>-4.72</v>
      </c>
      <c r="BF434">
        <v>-5.51</v>
      </c>
      <c r="BG434">
        <v>0</v>
      </c>
      <c r="BH434">
        <v>-1.81</v>
      </c>
      <c r="BI434">
        <v>20191213</v>
      </c>
      <c r="BJ434">
        <v>20000926</v>
      </c>
      <c r="BK434">
        <v>7.71</v>
      </c>
      <c r="BL434" t="s">
        <v>116</v>
      </c>
      <c r="BM434" t="s">
        <v>116</v>
      </c>
      <c r="BN434">
        <v>8.8000000000000007</v>
      </c>
      <c r="BO434">
        <v>4.6100000000000003</v>
      </c>
      <c r="BP434">
        <v>0.04</v>
      </c>
      <c r="BQ434">
        <v>47.1</v>
      </c>
      <c r="BR434">
        <v>4.45</v>
      </c>
      <c r="BS434">
        <v>4.12</v>
      </c>
      <c r="BT434">
        <v>0.02</v>
      </c>
      <c r="BU434">
        <v>4</v>
      </c>
      <c r="BV434">
        <v>0.65</v>
      </c>
      <c r="BW434">
        <v>1.99</v>
      </c>
      <c r="BX434">
        <v>10.73</v>
      </c>
      <c r="BY434">
        <v>2.0099999999999998</v>
      </c>
      <c r="BZ434">
        <v>1.89</v>
      </c>
      <c r="CA434">
        <v>0.22</v>
      </c>
      <c r="CB434">
        <v>7.0000000000000007E-2</v>
      </c>
      <c r="CC434">
        <v>0.23</v>
      </c>
      <c r="CD434">
        <v>0.23</v>
      </c>
      <c r="CE434">
        <v>0.23</v>
      </c>
      <c r="CF434">
        <v>-0.36</v>
      </c>
      <c r="CG434">
        <v>-14.7</v>
      </c>
      <c r="CH434">
        <v>0.55000000000000004</v>
      </c>
      <c r="CI434">
        <v>0.03</v>
      </c>
      <c r="CJ434">
        <v>39109</v>
      </c>
      <c r="CK434">
        <v>12693</v>
      </c>
      <c r="CL434" t="s">
        <v>2912</v>
      </c>
      <c r="CM434">
        <v>119.5</v>
      </c>
      <c r="CN434">
        <v>-54.07</v>
      </c>
      <c r="CO434">
        <v>5.73</v>
      </c>
      <c r="CP434">
        <v>48.27</v>
      </c>
      <c r="CQ434">
        <v>13.16</v>
      </c>
      <c r="CR434">
        <v>0</v>
      </c>
      <c r="CS434" t="s">
        <v>2913</v>
      </c>
      <c r="CT434">
        <v>0.6</v>
      </c>
      <c r="CU434">
        <v>0</v>
      </c>
      <c r="CV434">
        <v>1.39</v>
      </c>
      <c r="CW434">
        <v>-1.91</v>
      </c>
      <c r="CX434">
        <v>7.0000000000000007E-2</v>
      </c>
      <c r="CY434">
        <v>52.43</v>
      </c>
      <c r="CZ434" t="s">
        <v>2914</v>
      </c>
      <c r="DA434">
        <v>5.76</v>
      </c>
      <c r="DB434">
        <v>11.19</v>
      </c>
      <c r="DC434">
        <v>11.37</v>
      </c>
      <c r="DD434">
        <v>0</v>
      </c>
      <c r="DE434">
        <v>666</v>
      </c>
      <c r="DF434">
        <v>972</v>
      </c>
      <c r="DG434" t="s">
        <v>116</v>
      </c>
      <c r="DH434" t="s">
        <v>116</v>
      </c>
      <c r="DI434" t="s">
        <v>116</v>
      </c>
    </row>
    <row r="435" spans="1:113" x14ac:dyDescent="0.4">
      <c r="A435" t="str">
        <f>"000973"</f>
        <v>000973</v>
      </c>
      <c r="B435" t="s">
        <v>2915</v>
      </c>
      <c r="C435">
        <v>-1.92</v>
      </c>
      <c r="D435">
        <v>4.59</v>
      </c>
      <c r="E435">
        <v>-0.09</v>
      </c>
      <c r="F435">
        <v>4.59</v>
      </c>
      <c r="G435">
        <v>4.5999999999999996</v>
      </c>
      <c r="H435">
        <v>211130</v>
      </c>
      <c r="I435">
        <v>2263</v>
      </c>
      <c r="J435">
        <v>0.22</v>
      </c>
      <c r="K435">
        <v>2.1800000000000002</v>
      </c>
      <c r="L435">
        <v>4.6900000000000004</v>
      </c>
      <c r="M435">
        <v>4.7300000000000004</v>
      </c>
      <c r="N435">
        <v>4.5599999999999996</v>
      </c>
      <c r="O435">
        <v>4.68</v>
      </c>
      <c r="P435">
        <v>33.340000000000003</v>
      </c>
      <c r="Q435">
        <v>98351672</v>
      </c>
      <c r="R435">
        <v>0.9</v>
      </c>
      <c r="S435" t="s">
        <v>2444</v>
      </c>
      <c r="T435" t="s">
        <v>551</v>
      </c>
      <c r="U435">
        <v>3.63</v>
      </c>
      <c r="V435">
        <v>4.66</v>
      </c>
      <c r="W435">
        <v>120899</v>
      </c>
      <c r="X435">
        <v>90231</v>
      </c>
      <c r="Y435">
        <v>1.34</v>
      </c>
      <c r="Z435">
        <v>641</v>
      </c>
      <c r="AA435">
        <v>1185</v>
      </c>
      <c r="AB435" t="s">
        <v>116</v>
      </c>
      <c r="AC435">
        <v>397200</v>
      </c>
      <c r="AD435">
        <v>0.01</v>
      </c>
      <c r="AE435" t="s">
        <v>116</v>
      </c>
      <c r="AF435" t="s">
        <v>116</v>
      </c>
      <c r="AG435">
        <v>9.67</v>
      </c>
      <c r="AH435" t="s">
        <v>2916</v>
      </c>
      <c r="AI435" t="s">
        <v>2916</v>
      </c>
      <c r="AJ435">
        <v>-1.24</v>
      </c>
      <c r="AK435">
        <v>2663</v>
      </c>
      <c r="AL435">
        <v>79</v>
      </c>
      <c r="AM435">
        <v>8.0000000000000004E-4</v>
      </c>
      <c r="AN435">
        <v>-1</v>
      </c>
      <c r="AO435">
        <v>-0.65</v>
      </c>
      <c r="AP435">
        <v>-0.22</v>
      </c>
      <c r="AQ435">
        <v>18.91</v>
      </c>
      <c r="AR435">
        <v>42.99</v>
      </c>
      <c r="AS435">
        <v>2.95</v>
      </c>
      <c r="AT435" t="s">
        <v>2917</v>
      </c>
      <c r="AU435">
        <v>25.46</v>
      </c>
      <c r="AV435">
        <v>38.24</v>
      </c>
      <c r="AW435">
        <v>1.02</v>
      </c>
      <c r="BA435">
        <v>0.21</v>
      </c>
      <c r="BB435">
        <v>1.07</v>
      </c>
      <c r="BC435">
        <v>-2.56</v>
      </c>
      <c r="BD435">
        <v>-0.46</v>
      </c>
      <c r="BE435">
        <v>-2.13</v>
      </c>
      <c r="BF435">
        <v>-2.96</v>
      </c>
      <c r="BG435">
        <v>0.66</v>
      </c>
      <c r="BH435">
        <v>-1.46</v>
      </c>
      <c r="BI435">
        <v>20191204</v>
      </c>
      <c r="BJ435">
        <v>20000525</v>
      </c>
      <c r="BK435">
        <v>9.67</v>
      </c>
      <c r="BL435" t="s">
        <v>116</v>
      </c>
      <c r="BM435" t="s">
        <v>116</v>
      </c>
      <c r="BN435">
        <v>56.95</v>
      </c>
      <c r="BO435">
        <v>23.97</v>
      </c>
      <c r="BP435">
        <v>2.61</v>
      </c>
      <c r="BQ435">
        <v>53.32</v>
      </c>
      <c r="BR435">
        <v>27.53</v>
      </c>
      <c r="BS435">
        <v>13.8</v>
      </c>
      <c r="BT435">
        <v>2.54</v>
      </c>
      <c r="BU435">
        <v>25.77</v>
      </c>
      <c r="BV435">
        <v>12.71</v>
      </c>
      <c r="BW435">
        <v>2.7</v>
      </c>
      <c r="BX435">
        <v>3.26</v>
      </c>
      <c r="BY435">
        <v>22.61</v>
      </c>
      <c r="BZ435">
        <v>16.5</v>
      </c>
      <c r="CA435">
        <v>1.68</v>
      </c>
      <c r="CB435">
        <v>0.24</v>
      </c>
      <c r="CC435">
        <v>1.67</v>
      </c>
      <c r="CD435">
        <v>1.2</v>
      </c>
      <c r="CE435">
        <v>1</v>
      </c>
      <c r="CF435">
        <v>0.91</v>
      </c>
      <c r="CG435">
        <v>8.9600000000000009</v>
      </c>
      <c r="CH435">
        <v>-0.28999999999999998</v>
      </c>
      <c r="CI435">
        <v>-3.14</v>
      </c>
      <c r="CJ435">
        <v>94629</v>
      </c>
      <c r="CK435">
        <v>7565</v>
      </c>
      <c r="CL435" t="s">
        <v>1222</v>
      </c>
      <c r="CM435">
        <v>140.01</v>
      </c>
      <c r="CN435">
        <v>30.74</v>
      </c>
      <c r="CO435">
        <v>1.85</v>
      </c>
      <c r="CP435">
        <v>-155.58000000000001</v>
      </c>
      <c r="CQ435">
        <v>1.96</v>
      </c>
      <c r="CR435">
        <v>0</v>
      </c>
      <c r="CS435" t="s">
        <v>2918</v>
      </c>
      <c r="CT435">
        <v>2.48</v>
      </c>
      <c r="CU435">
        <v>0</v>
      </c>
      <c r="CV435">
        <v>0.34</v>
      </c>
      <c r="CW435">
        <v>0.93</v>
      </c>
      <c r="CX435">
        <v>-0.03</v>
      </c>
      <c r="CY435">
        <v>42.09</v>
      </c>
      <c r="CZ435" t="s">
        <v>2919</v>
      </c>
      <c r="DA435">
        <v>27.04</v>
      </c>
      <c r="DB435">
        <v>7.44</v>
      </c>
      <c r="DC435">
        <v>4.42</v>
      </c>
      <c r="DD435">
        <v>0.63</v>
      </c>
      <c r="DE435">
        <v>3889</v>
      </c>
      <c r="DF435">
        <v>973</v>
      </c>
      <c r="DG435" t="s">
        <v>116</v>
      </c>
      <c r="DH435" t="s">
        <v>116</v>
      </c>
      <c r="DI435" t="s">
        <v>116</v>
      </c>
    </row>
    <row r="436" spans="1:113" x14ac:dyDescent="0.4">
      <c r="A436" t="str">
        <f>"000975"</f>
        <v>000975</v>
      </c>
      <c r="B436" t="s">
        <v>2920</v>
      </c>
      <c r="C436">
        <v>0.92</v>
      </c>
      <c r="D436">
        <v>13.17</v>
      </c>
      <c r="E436">
        <v>0.12</v>
      </c>
      <c r="F436">
        <v>13.17</v>
      </c>
      <c r="G436">
        <v>13.18</v>
      </c>
      <c r="H436">
        <v>369573</v>
      </c>
      <c r="I436">
        <v>3240</v>
      </c>
      <c r="J436">
        <v>0</v>
      </c>
      <c r="K436">
        <v>2.99</v>
      </c>
      <c r="L436">
        <v>13.1</v>
      </c>
      <c r="M436">
        <v>13.54</v>
      </c>
      <c r="N436">
        <v>13.1</v>
      </c>
      <c r="O436">
        <v>13.05</v>
      </c>
      <c r="P436">
        <v>29.76</v>
      </c>
      <c r="Q436">
        <v>492388864</v>
      </c>
      <c r="R436">
        <v>1.57</v>
      </c>
      <c r="S436" t="s">
        <v>871</v>
      </c>
      <c r="T436" t="s">
        <v>796</v>
      </c>
      <c r="U436">
        <v>3.37</v>
      </c>
      <c r="V436">
        <v>13.32</v>
      </c>
      <c r="W436">
        <v>188666</v>
      </c>
      <c r="X436">
        <v>180907</v>
      </c>
      <c r="Y436">
        <v>1.04</v>
      </c>
      <c r="Z436">
        <v>361</v>
      </c>
      <c r="AA436">
        <v>1265</v>
      </c>
      <c r="AB436" t="s">
        <v>116</v>
      </c>
      <c r="AC436">
        <v>5634300</v>
      </c>
      <c r="AD436">
        <v>0.05</v>
      </c>
      <c r="AE436" t="s">
        <v>116</v>
      </c>
      <c r="AF436" t="s">
        <v>116</v>
      </c>
      <c r="AG436">
        <v>12.37</v>
      </c>
      <c r="AH436" t="s">
        <v>2921</v>
      </c>
      <c r="AI436" t="s">
        <v>2922</v>
      </c>
      <c r="AJ436">
        <v>1.6</v>
      </c>
      <c r="AK436">
        <v>4104</v>
      </c>
      <c r="AL436">
        <v>90</v>
      </c>
      <c r="AM436">
        <v>6.9999999999999999E-4</v>
      </c>
      <c r="AN436">
        <v>4</v>
      </c>
      <c r="AO436">
        <v>1.7</v>
      </c>
      <c r="AP436">
        <v>9.11</v>
      </c>
      <c r="AQ436">
        <v>-2.0099999999999998</v>
      </c>
      <c r="AR436">
        <v>31.83</v>
      </c>
      <c r="AS436">
        <v>4.55</v>
      </c>
      <c r="AT436" t="s">
        <v>2923</v>
      </c>
      <c r="AU436">
        <v>31.04</v>
      </c>
      <c r="AV436">
        <v>39.42</v>
      </c>
      <c r="AW436">
        <v>0.71</v>
      </c>
      <c r="BA436">
        <v>0.38</v>
      </c>
      <c r="BB436">
        <v>3.75</v>
      </c>
      <c r="BC436">
        <v>0.38</v>
      </c>
      <c r="BD436">
        <v>2.09</v>
      </c>
      <c r="BE436">
        <v>0.53</v>
      </c>
      <c r="BF436">
        <v>-2.73</v>
      </c>
      <c r="BG436">
        <v>0.53</v>
      </c>
      <c r="BH436">
        <v>-1.17</v>
      </c>
      <c r="BI436">
        <v>20191227</v>
      </c>
      <c r="BJ436">
        <v>20000608</v>
      </c>
      <c r="BK436">
        <v>19.829999999999998</v>
      </c>
      <c r="BL436" t="s">
        <v>116</v>
      </c>
      <c r="BM436" t="s">
        <v>116</v>
      </c>
      <c r="BN436">
        <v>112.87</v>
      </c>
      <c r="BO436">
        <v>88.05</v>
      </c>
      <c r="BP436">
        <v>10.43</v>
      </c>
      <c r="BQ436">
        <v>12.75</v>
      </c>
      <c r="BR436">
        <v>23.18</v>
      </c>
      <c r="BS436">
        <v>21.97</v>
      </c>
      <c r="BT436">
        <v>54.21</v>
      </c>
      <c r="BU436">
        <v>7.13</v>
      </c>
      <c r="BV436">
        <v>7.62</v>
      </c>
      <c r="BW436">
        <v>0</v>
      </c>
      <c r="BX436">
        <v>52.25</v>
      </c>
      <c r="BY436">
        <v>38.76</v>
      </c>
      <c r="BZ436">
        <v>26.52</v>
      </c>
      <c r="CA436">
        <v>9.74</v>
      </c>
      <c r="CB436">
        <v>0.17</v>
      </c>
      <c r="CC436">
        <v>9.64</v>
      </c>
      <c r="CD436">
        <v>7.28</v>
      </c>
      <c r="CE436">
        <v>6.58</v>
      </c>
      <c r="CF436">
        <v>6.52</v>
      </c>
      <c r="CG436">
        <v>13.79</v>
      </c>
      <c r="CH436">
        <v>9.52</v>
      </c>
      <c r="CI436">
        <v>0.24</v>
      </c>
      <c r="CJ436">
        <v>41676</v>
      </c>
      <c r="CK436">
        <v>19511</v>
      </c>
      <c r="CL436" t="s">
        <v>2924</v>
      </c>
      <c r="CM436">
        <v>37.32</v>
      </c>
      <c r="CN436">
        <v>5.43</v>
      </c>
      <c r="CO436">
        <v>2.97</v>
      </c>
      <c r="CP436">
        <v>27.45</v>
      </c>
      <c r="CQ436">
        <v>6.74</v>
      </c>
      <c r="CR436">
        <v>1.5</v>
      </c>
      <c r="CS436" t="s">
        <v>2925</v>
      </c>
      <c r="CT436">
        <v>4.4400000000000004</v>
      </c>
      <c r="CU436">
        <v>0</v>
      </c>
      <c r="CV436">
        <v>2.63</v>
      </c>
      <c r="CW436">
        <v>0.7</v>
      </c>
      <c r="CX436">
        <v>0.48</v>
      </c>
      <c r="CY436">
        <v>78.010000000000005</v>
      </c>
      <c r="CZ436" t="s">
        <v>2926</v>
      </c>
      <c r="DA436">
        <v>31.59</v>
      </c>
      <c r="DB436">
        <v>25.13</v>
      </c>
      <c r="DC436">
        <v>16.989999999999998</v>
      </c>
      <c r="DD436">
        <v>0</v>
      </c>
      <c r="DE436">
        <v>1453</v>
      </c>
      <c r="DF436">
        <v>975</v>
      </c>
      <c r="DG436" t="s">
        <v>116</v>
      </c>
      <c r="DH436" t="s">
        <v>116</v>
      </c>
      <c r="DI436" t="s">
        <v>116</v>
      </c>
    </row>
    <row r="437" spans="1:113" x14ac:dyDescent="0.4">
      <c r="A437" t="str">
        <f>"000976"</f>
        <v>000976</v>
      </c>
      <c r="B437" t="s">
        <v>2927</v>
      </c>
      <c r="C437">
        <v>-0.2</v>
      </c>
      <c r="D437">
        <v>5.05</v>
      </c>
      <c r="E437">
        <v>-0.01</v>
      </c>
      <c r="F437">
        <v>5.04</v>
      </c>
      <c r="G437">
        <v>5.05</v>
      </c>
      <c r="H437">
        <v>70170</v>
      </c>
      <c r="I437">
        <v>869</v>
      </c>
      <c r="J437">
        <v>0.6</v>
      </c>
      <c r="K437">
        <v>0.44</v>
      </c>
      <c r="L437">
        <v>5.0199999999999996</v>
      </c>
      <c r="M437">
        <v>5.12</v>
      </c>
      <c r="N437">
        <v>5.0199999999999996</v>
      </c>
      <c r="O437">
        <v>5.0599999999999996</v>
      </c>
      <c r="P437">
        <v>28.08</v>
      </c>
      <c r="Q437">
        <v>35472372</v>
      </c>
      <c r="R437">
        <v>0.73</v>
      </c>
      <c r="S437" t="s">
        <v>164</v>
      </c>
      <c r="T437" t="s">
        <v>551</v>
      </c>
      <c r="U437">
        <v>1.98</v>
      </c>
      <c r="V437">
        <v>5.0599999999999996</v>
      </c>
      <c r="W437">
        <v>35777</v>
      </c>
      <c r="X437">
        <v>34393</v>
      </c>
      <c r="Y437">
        <v>1.04</v>
      </c>
      <c r="Z437">
        <v>80</v>
      </c>
      <c r="AA437">
        <v>734</v>
      </c>
      <c r="AB437" t="s">
        <v>116</v>
      </c>
      <c r="AC437">
        <v>243500</v>
      </c>
      <c r="AD437">
        <v>0.01</v>
      </c>
      <c r="AE437" t="s">
        <v>116</v>
      </c>
      <c r="AF437" t="s">
        <v>116</v>
      </c>
      <c r="AG437">
        <v>15.94</v>
      </c>
      <c r="AH437" t="s">
        <v>2928</v>
      </c>
      <c r="AI437" t="s">
        <v>2929</v>
      </c>
      <c r="AJ437">
        <v>0.48</v>
      </c>
      <c r="AK437">
        <v>1341</v>
      </c>
      <c r="AL437">
        <v>52</v>
      </c>
      <c r="AM437">
        <v>2.9999999999999997E-4</v>
      </c>
      <c r="AN437">
        <v>-2</v>
      </c>
      <c r="AO437">
        <v>-1.36</v>
      </c>
      <c r="AP437">
        <v>-1.17</v>
      </c>
      <c r="AQ437">
        <v>-1.94</v>
      </c>
      <c r="AR437">
        <v>10.26</v>
      </c>
      <c r="AS437">
        <v>0.85</v>
      </c>
      <c r="AT437" t="s">
        <v>2930</v>
      </c>
      <c r="AU437">
        <v>54.62</v>
      </c>
      <c r="AV437">
        <v>55.34</v>
      </c>
      <c r="AW437">
        <v>0.56000000000000005</v>
      </c>
      <c r="BA437">
        <v>-0.79</v>
      </c>
      <c r="BB437">
        <v>1.19</v>
      </c>
      <c r="BC437">
        <v>-0.79</v>
      </c>
      <c r="BD437">
        <v>-0.09</v>
      </c>
      <c r="BE437">
        <v>0.6</v>
      </c>
      <c r="BF437">
        <v>-1.37</v>
      </c>
      <c r="BG437">
        <v>0.6</v>
      </c>
      <c r="BH437">
        <v>-0.1</v>
      </c>
      <c r="BI437">
        <v>20191223</v>
      </c>
      <c r="BJ437">
        <v>20000601</v>
      </c>
      <c r="BK437">
        <v>15.96</v>
      </c>
      <c r="BL437" t="s">
        <v>116</v>
      </c>
      <c r="BM437" t="s">
        <v>116</v>
      </c>
      <c r="BN437">
        <v>52.53</v>
      </c>
      <c r="BO437">
        <v>43.64</v>
      </c>
      <c r="BP437">
        <v>0.34</v>
      </c>
      <c r="BQ437">
        <v>16.29</v>
      </c>
      <c r="BR437">
        <v>24.91</v>
      </c>
      <c r="BS437">
        <v>1.75</v>
      </c>
      <c r="BT437">
        <v>0.7</v>
      </c>
      <c r="BU437">
        <v>8.23</v>
      </c>
      <c r="BV437">
        <v>3.67</v>
      </c>
      <c r="BW437">
        <v>14.03</v>
      </c>
      <c r="BX437">
        <v>26.89</v>
      </c>
      <c r="BY437">
        <v>9.8800000000000008</v>
      </c>
      <c r="BZ437">
        <v>6.27</v>
      </c>
      <c r="CA437">
        <v>2.41</v>
      </c>
      <c r="CB437">
        <v>0</v>
      </c>
      <c r="CC437">
        <v>2.42</v>
      </c>
      <c r="CD437">
        <v>2.0699999999999998</v>
      </c>
      <c r="CE437">
        <v>2.15</v>
      </c>
      <c r="CF437">
        <v>2.13</v>
      </c>
      <c r="CG437">
        <v>1</v>
      </c>
      <c r="CH437">
        <v>-4.9000000000000004</v>
      </c>
      <c r="CI437">
        <v>-3.66</v>
      </c>
      <c r="CJ437">
        <v>31784</v>
      </c>
      <c r="CK437">
        <v>26064</v>
      </c>
      <c r="CL437" t="s">
        <v>2931</v>
      </c>
      <c r="CM437">
        <v>0.9</v>
      </c>
      <c r="CN437">
        <v>-2.08</v>
      </c>
      <c r="CO437">
        <v>1.85</v>
      </c>
      <c r="CP437">
        <v>-16.440000000000001</v>
      </c>
      <c r="CQ437">
        <v>8.15</v>
      </c>
      <c r="CR437">
        <v>0</v>
      </c>
      <c r="CS437" t="s">
        <v>2750</v>
      </c>
      <c r="CT437">
        <v>2.73</v>
      </c>
      <c r="CU437">
        <v>0</v>
      </c>
      <c r="CV437">
        <v>1.69</v>
      </c>
      <c r="CW437">
        <v>0.06</v>
      </c>
      <c r="CX437">
        <v>-0.31</v>
      </c>
      <c r="CY437">
        <v>83.07</v>
      </c>
      <c r="CZ437" t="s">
        <v>2932</v>
      </c>
      <c r="DA437">
        <v>36.5</v>
      </c>
      <c r="DB437">
        <v>24.39</v>
      </c>
      <c r="DC437">
        <v>21.78</v>
      </c>
      <c r="DD437">
        <v>0.2</v>
      </c>
      <c r="DE437">
        <v>645</v>
      </c>
      <c r="DF437">
        <v>976</v>
      </c>
      <c r="DG437" t="s">
        <v>116</v>
      </c>
      <c r="DH437" t="s">
        <v>116</v>
      </c>
      <c r="DI437" t="s">
        <v>116</v>
      </c>
    </row>
    <row r="438" spans="1:113" x14ac:dyDescent="0.4">
      <c r="A438" t="str">
        <f>"000977"</f>
        <v>000977</v>
      </c>
      <c r="B438" t="s">
        <v>2933</v>
      </c>
      <c r="C438">
        <v>-1.24</v>
      </c>
      <c r="D438">
        <v>29.42</v>
      </c>
      <c r="E438">
        <v>-0.37</v>
      </c>
      <c r="F438">
        <v>29.41</v>
      </c>
      <c r="G438">
        <v>29.42</v>
      </c>
      <c r="H438">
        <v>275320</v>
      </c>
      <c r="I438">
        <v>2641</v>
      </c>
      <c r="J438">
        <v>-0.02</v>
      </c>
      <c r="K438">
        <v>2.14</v>
      </c>
      <c r="L438">
        <v>29.79</v>
      </c>
      <c r="M438">
        <v>30.03</v>
      </c>
      <c r="N438">
        <v>29.36</v>
      </c>
      <c r="O438">
        <v>29.79</v>
      </c>
      <c r="P438">
        <v>54.95</v>
      </c>
      <c r="Q438">
        <v>817836608</v>
      </c>
      <c r="R438">
        <v>0.68</v>
      </c>
      <c r="S438" t="s">
        <v>241</v>
      </c>
      <c r="T438" t="s">
        <v>645</v>
      </c>
      <c r="U438">
        <v>2.25</v>
      </c>
      <c r="V438">
        <v>29.7</v>
      </c>
      <c r="W438">
        <v>143546</v>
      </c>
      <c r="X438">
        <v>131774</v>
      </c>
      <c r="Y438">
        <v>1.0900000000000001</v>
      </c>
      <c r="Z438">
        <v>964</v>
      </c>
      <c r="AA438">
        <v>338</v>
      </c>
      <c r="AB438" t="s">
        <v>116</v>
      </c>
      <c r="AC438">
        <v>2889600</v>
      </c>
      <c r="AD438">
        <v>0.01</v>
      </c>
      <c r="AE438" t="s">
        <v>116</v>
      </c>
      <c r="AF438" t="s">
        <v>116</v>
      </c>
      <c r="AG438">
        <v>12.89</v>
      </c>
      <c r="AH438" t="s">
        <v>2934</v>
      </c>
      <c r="AI438" t="s">
        <v>2934</v>
      </c>
      <c r="AJ438">
        <v>-0.56000000000000005</v>
      </c>
      <c r="AK438">
        <v>4324</v>
      </c>
      <c r="AL438">
        <v>64</v>
      </c>
      <c r="AM438">
        <v>5.0000000000000001E-4</v>
      </c>
      <c r="AN438">
        <v>-2</v>
      </c>
      <c r="AO438">
        <v>-1.64</v>
      </c>
      <c r="AP438">
        <v>-1.74</v>
      </c>
      <c r="AQ438">
        <v>8.44</v>
      </c>
      <c r="AR438">
        <v>85.5</v>
      </c>
      <c r="AS438">
        <v>3.4</v>
      </c>
      <c r="AT438" t="s">
        <v>2935</v>
      </c>
      <c r="AU438">
        <v>47.17</v>
      </c>
      <c r="AV438">
        <v>57.59</v>
      </c>
      <c r="AW438">
        <v>1.83</v>
      </c>
      <c r="BA438">
        <v>0</v>
      </c>
      <c r="BB438">
        <v>0.81</v>
      </c>
      <c r="BC438">
        <v>-1.44</v>
      </c>
      <c r="BD438">
        <v>-0.28999999999999998</v>
      </c>
      <c r="BE438">
        <v>-1.24</v>
      </c>
      <c r="BF438">
        <v>-2.0299999999999998</v>
      </c>
      <c r="BG438">
        <v>0.2</v>
      </c>
      <c r="BH438">
        <v>-0.96</v>
      </c>
      <c r="BI438">
        <v>20191216</v>
      </c>
      <c r="BJ438">
        <v>20000608</v>
      </c>
      <c r="BK438">
        <v>12.89</v>
      </c>
      <c r="BL438" t="s">
        <v>116</v>
      </c>
      <c r="BM438" t="s">
        <v>116</v>
      </c>
      <c r="BN438">
        <v>249.26</v>
      </c>
      <c r="BO438">
        <v>95.7</v>
      </c>
      <c r="BP438">
        <v>3.32</v>
      </c>
      <c r="BQ438">
        <v>60.27</v>
      </c>
      <c r="BR438">
        <v>226.12</v>
      </c>
      <c r="BS438">
        <v>8.5500000000000007</v>
      </c>
      <c r="BT438">
        <v>7.43</v>
      </c>
      <c r="BU438">
        <v>141.72</v>
      </c>
      <c r="BV438">
        <v>76.58</v>
      </c>
      <c r="BW438">
        <v>87.95</v>
      </c>
      <c r="BX438">
        <v>43.97</v>
      </c>
      <c r="BY438">
        <v>382.3</v>
      </c>
      <c r="BZ438">
        <v>339.68</v>
      </c>
      <c r="CA438">
        <v>6.68</v>
      </c>
      <c r="CB438">
        <v>1.38</v>
      </c>
      <c r="CC438">
        <v>6.7</v>
      </c>
      <c r="CD438">
        <v>5.15</v>
      </c>
      <c r="CE438">
        <v>5.18</v>
      </c>
      <c r="CF438">
        <v>4.6900000000000004</v>
      </c>
      <c r="CG438">
        <v>25.97</v>
      </c>
      <c r="CH438">
        <v>-37.770000000000003</v>
      </c>
      <c r="CI438">
        <v>-9.66</v>
      </c>
      <c r="CJ438">
        <v>110000</v>
      </c>
      <c r="CK438">
        <v>7369</v>
      </c>
      <c r="CL438" t="s">
        <v>2936</v>
      </c>
      <c r="CM438">
        <v>39.090000000000003</v>
      </c>
      <c r="CN438">
        <v>13.79</v>
      </c>
      <c r="CO438">
        <v>4.42</v>
      </c>
      <c r="CP438">
        <v>-10.039999999999999</v>
      </c>
      <c r="CQ438">
        <v>0.99</v>
      </c>
      <c r="CR438">
        <v>0.2</v>
      </c>
      <c r="CS438" t="s">
        <v>2937</v>
      </c>
      <c r="CT438">
        <v>6.65</v>
      </c>
      <c r="CU438">
        <v>6.65</v>
      </c>
      <c r="CV438">
        <v>3.41</v>
      </c>
      <c r="CW438">
        <v>2.0099999999999998</v>
      </c>
      <c r="CX438">
        <v>-2.93</v>
      </c>
      <c r="CY438">
        <v>38.39</v>
      </c>
      <c r="CZ438" t="s">
        <v>737</v>
      </c>
      <c r="DA438">
        <v>11.15</v>
      </c>
      <c r="DB438">
        <v>1.75</v>
      </c>
      <c r="DC438">
        <v>1.35</v>
      </c>
      <c r="DD438">
        <v>14.45</v>
      </c>
      <c r="DE438">
        <v>4648</v>
      </c>
      <c r="DF438">
        <v>977</v>
      </c>
      <c r="DG438" t="s">
        <v>116</v>
      </c>
      <c r="DH438" t="s">
        <v>116</v>
      </c>
      <c r="DI438" t="s">
        <v>116</v>
      </c>
    </row>
    <row r="439" spans="1:113" x14ac:dyDescent="0.4">
      <c r="A439" t="str">
        <f>"000978"</f>
        <v>000978</v>
      </c>
      <c r="B439" t="s">
        <v>2938</v>
      </c>
      <c r="C439">
        <v>-0.56999999999999995</v>
      </c>
      <c r="D439">
        <v>5.27</v>
      </c>
      <c r="E439">
        <v>-0.03</v>
      </c>
      <c r="F439">
        <v>5.26</v>
      </c>
      <c r="G439">
        <v>5.27</v>
      </c>
      <c r="H439">
        <v>20462</v>
      </c>
      <c r="I439">
        <v>152</v>
      </c>
      <c r="J439">
        <v>0.19</v>
      </c>
      <c r="K439">
        <v>0.56999999999999995</v>
      </c>
      <c r="L439">
        <v>5.31</v>
      </c>
      <c r="M439">
        <v>5.34</v>
      </c>
      <c r="N439">
        <v>5.26</v>
      </c>
      <c r="O439">
        <v>5.3</v>
      </c>
      <c r="P439">
        <v>25.89</v>
      </c>
      <c r="Q439">
        <v>10860037</v>
      </c>
      <c r="R439">
        <v>1.18</v>
      </c>
      <c r="S439" t="s">
        <v>493</v>
      </c>
      <c r="T439" t="s">
        <v>982</v>
      </c>
      <c r="U439">
        <v>1.51</v>
      </c>
      <c r="V439">
        <v>5.31</v>
      </c>
      <c r="W439">
        <v>11274</v>
      </c>
      <c r="X439">
        <v>9188</v>
      </c>
      <c r="Y439">
        <v>1.23</v>
      </c>
      <c r="Z439">
        <v>170</v>
      </c>
      <c r="AA439">
        <v>33</v>
      </c>
      <c r="AB439" t="s">
        <v>116</v>
      </c>
      <c r="AC439">
        <v>55200</v>
      </c>
      <c r="AD439">
        <v>0</v>
      </c>
      <c r="AE439" t="s">
        <v>116</v>
      </c>
      <c r="AF439" t="s">
        <v>116</v>
      </c>
      <c r="AG439">
        <v>3.6</v>
      </c>
      <c r="AH439" t="s">
        <v>2939</v>
      </c>
      <c r="AI439" t="s">
        <v>2940</v>
      </c>
      <c r="AJ439">
        <v>0.11</v>
      </c>
      <c r="AK439">
        <v>577</v>
      </c>
      <c r="AL439">
        <v>35</v>
      </c>
      <c r="AM439">
        <v>1E-3</v>
      </c>
      <c r="AN439">
        <v>-1</v>
      </c>
      <c r="AO439">
        <v>0.76</v>
      </c>
      <c r="AP439">
        <v>3.94</v>
      </c>
      <c r="AQ439">
        <v>-1.1299999999999999</v>
      </c>
      <c r="AR439">
        <v>2.33</v>
      </c>
      <c r="AS439">
        <v>0.86</v>
      </c>
      <c r="AT439" t="s">
        <v>2941</v>
      </c>
      <c r="AU439">
        <v>33.69</v>
      </c>
      <c r="AV439">
        <v>23.6</v>
      </c>
      <c r="AW439">
        <v>0.75</v>
      </c>
      <c r="BA439">
        <v>0.19</v>
      </c>
      <c r="BB439">
        <v>0.75</v>
      </c>
      <c r="BC439">
        <v>-0.75</v>
      </c>
      <c r="BD439">
        <v>0.14000000000000001</v>
      </c>
      <c r="BE439">
        <v>-0.75</v>
      </c>
      <c r="BF439">
        <v>-1.31</v>
      </c>
      <c r="BG439">
        <v>0.19</v>
      </c>
      <c r="BH439">
        <v>-0.71</v>
      </c>
      <c r="BI439">
        <v>20191030</v>
      </c>
      <c r="BJ439">
        <v>20000518</v>
      </c>
      <c r="BK439">
        <v>3.6</v>
      </c>
      <c r="BL439" t="s">
        <v>116</v>
      </c>
      <c r="BM439" t="s">
        <v>116</v>
      </c>
      <c r="BN439">
        <v>29.2</v>
      </c>
      <c r="BO439">
        <v>15.93</v>
      </c>
      <c r="BP439">
        <v>0.14000000000000001</v>
      </c>
      <c r="BQ439">
        <v>44.95</v>
      </c>
      <c r="BR439">
        <v>3.34</v>
      </c>
      <c r="BS439">
        <v>10.14</v>
      </c>
      <c r="BT439">
        <v>4.75</v>
      </c>
      <c r="BU439">
        <v>4.8099999999999996</v>
      </c>
      <c r="BV439">
        <v>0.31</v>
      </c>
      <c r="BW439">
        <v>1.29</v>
      </c>
      <c r="BX439">
        <v>9.73</v>
      </c>
      <c r="BY439">
        <v>4.75</v>
      </c>
      <c r="BZ439">
        <v>2.59</v>
      </c>
      <c r="CA439">
        <v>0.49</v>
      </c>
      <c r="CB439">
        <v>0.47</v>
      </c>
      <c r="CC439">
        <v>0.47</v>
      </c>
      <c r="CD439">
        <v>0.33</v>
      </c>
      <c r="CE439">
        <v>0.55000000000000004</v>
      </c>
      <c r="CF439">
        <v>0.53</v>
      </c>
      <c r="CG439">
        <v>1.76</v>
      </c>
      <c r="CH439">
        <v>1.04</v>
      </c>
      <c r="CI439">
        <v>-0.13</v>
      </c>
      <c r="CJ439">
        <v>31076</v>
      </c>
      <c r="CK439">
        <v>7661</v>
      </c>
      <c r="CL439" t="s">
        <v>992</v>
      </c>
      <c r="CM439">
        <v>-30.45</v>
      </c>
      <c r="CN439">
        <v>8.24</v>
      </c>
      <c r="CO439">
        <v>1.19</v>
      </c>
      <c r="CP439">
        <v>18.309999999999999</v>
      </c>
      <c r="CQ439">
        <v>3.99</v>
      </c>
      <c r="CR439">
        <v>1.52</v>
      </c>
      <c r="CS439" t="s">
        <v>2716</v>
      </c>
      <c r="CT439">
        <v>4.42</v>
      </c>
      <c r="CU439">
        <v>0</v>
      </c>
      <c r="CV439">
        <v>2.7</v>
      </c>
      <c r="CW439">
        <v>0.49</v>
      </c>
      <c r="CX439">
        <v>0.28999999999999998</v>
      </c>
      <c r="CY439">
        <v>54.56</v>
      </c>
      <c r="CZ439" t="s">
        <v>2942</v>
      </c>
      <c r="DA439">
        <v>45.62</v>
      </c>
      <c r="DB439">
        <v>10.210000000000001</v>
      </c>
      <c r="DC439">
        <v>11.56</v>
      </c>
      <c r="DD439">
        <v>0</v>
      </c>
      <c r="DE439">
        <v>2602</v>
      </c>
      <c r="DF439">
        <v>978</v>
      </c>
      <c r="DG439" t="s">
        <v>116</v>
      </c>
      <c r="DH439" t="s">
        <v>116</v>
      </c>
      <c r="DI439" t="s">
        <v>116</v>
      </c>
    </row>
    <row r="440" spans="1:113" x14ac:dyDescent="0.4">
      <c r="A440" t="str">
        <f>"000980"</f>
        <v>000980</v>
      </c>
      <c r="B440" t="s">
        <v>2943</v>
      </c>
      <c r="C440">
        <v>1.32</v>
      </c>
      <c r="D440">
        <v>3.06</v>
      </c>
      <c r="E440">
        <v>0.04</v>
      </c>
      <c r="F440">
        <v>3.06</v>
      </c>
      <c r="G440">
        <v>3.07</v>
      </c>
      <c r="H440">
        <v>697209</v>
      </c>
      <c r="I440">
        <v>7586</v>
      </c>
      <c r="J440">
        <v>-0.32</v>
      </c>
      <c r="K440">
        <v>5.6</v>
      </c>
      <c r="L440">
        <v>3.03</v>
      </c>
      <c r="M440">
        <v>3.19</v>
      </c>
      <c r="N440">
        <v>3.01</v>
      </c>
      <c r="O440">
        <v>3.02</v>
      </c>
      <c r="P440" t="s">
        <v>116</v>
      </c>
      <c r="Q440">
        <v>215954976</v>
      </c>
      <c r="R440">
        <v>0.98</v>
      </c>
      <c r="S440" t="s">
        <v>293</v>
      </c>
      <c r="T440" t="s">
        <v>590</v>
      </c>
      <c r="U440">
        <v>5.96</v>
      </c>
      <c r="V440">
        <v>3.1</v>
      </c>
      <c r="W440">
        <v>291899</v>
      </c>
      <c r="X440">
        <v>405310</v>
      </c>
      <c r="Y440">
        <v>0.72</v>
      </c>
      <c r="Z440">
        <v>4855</v>
      </c>
      <c r="AA440">
        <v>1510</v>
      </c>
      <c r="AB440" t="s">
        <v>116</v>
      </c>
      <c r="AC440">
        <v>706300</v>
      </c>
      <c r="AD440">
        <v>0.03</v>
      </c>
      <c r="AE440" t="s">
        <v>116</v>
      </c>
      <c r="AF440" t="s">
        <v>116</v>
      </c>
      <c r="AG440">
        <v>12.46</v>
      </c>
      <c r="AH440" t="s">
        <v>2944</v>
      </c>
      <c r="AI440" t="s">
        <v>2945</v>
      </c>
      <c r="AJ440">
        <v>2</v>
      </c>
      <c r="AK440">
        <v>3369</v>
      </c>
      <c r="AL440">
        <v>207</v>
      </c>
      <c r="AM440">
        <v>1.6999999999999999E-3</v>
      </c>
      <c r="AN440">
        <v>1</v>
      </c>
      <c r="AO440">
        <v>-0.98</v>
      </c>
      <c r="AP440">
        <v>13.75</v>
      </c>
      <c r="AQ440">
        <v>-13.31</v>
      </c>
      <c r="AR440">
        <v>-29.33</v>
      </c>
      <c r="AS440">
        <v>7.93</v>
      </c>
      <c r="AT440" t="s">
        <v>2946</v>
      </c>
      <c r="AU440" t="s">
        <v>116</v>
      </c>
      <c r="AV440">
        <v>7.76</v>
      </c>
      <c r="AW440">
        <v>1.75</v>
      </c>
      <c r="BA440">
        <v>0.33</v>
      </c>
      <c r="BB440">
        <v>5.63</v>
      </c>
      <c r="BC440">
        <v>-0.33</v>
      </c>
      <c r="BD440">
        <v>2.56</v>
      </c>
      <c r="BE440">
        <v>0.99</v>
      </c>
      <c r="BF440">
        <v>-4.08</v>
      </c>
      <c r="BG440">
        <v>1.66</v>
      </c>
      <c r="BH440">
        <v>-1.24</v>
      </c>
      <c r="BI440">
        <v>20191213</v>
      </c>
      <c r="BJ440">
        <v>20000616</v>
      </c>
      <c r="BK440">
        <v>20.28</v>
      </c>
      <c r="BL440" t="s">
        <v>116</v>
      </c>
      <c r="BM440" t="s">
        <v>116</v>
      </c>
      <c r="BN440">
        <v>308.52</v>
      </c>
      <c r="BO440">
        <v>168.1</v>
      </c>
      <c r="BP440">
        <v>0.12</v>
      </c>
      <c r="BQ440">
        <v>45.47</v>
      </c>
      <c r="BR440">
        <v>141.13</v>
      </c>
      <c r="BS440">
        <v>42.3</v>
      </c>
      <c r="BT440">
        <v>49.23</v>
      </c>
      <c r="BU440">
        <v>134.33000000000001</v>
      </c>
      <c r="BV440">
        <v>25.37</v>
      </c>
      <c r="BW440">
        <v>54</v>
      </c>
      <c r="BX440">
        <v>131.56</v>
      </c>
      <c r="BY440">
        <v>54.01</v>
      </c>
      <c r="BZ440">
        <v>46.95</v>
      </c>
      <c r="CA440">
        <v>-7.87</v>
      </c>
      <c r="CB440">
        <v>0</v>
      </c>
      <c r="CC440">
        <v>-7.85</v>
      </c>
      <c r="CD440">
        <v>-7.58</v>
      </c>
      <c r="CE440">
        <v>-7.6</v>
      </c>
      <c r="CF440">
        <v>-9.08</v>
      </c>
      <c r="CG440">
        <v>13.91</v>
      </c>
      <c r="CH440">
        <v>-17.97</v>
      </c>
      <c r="CI440">
        <v>-16.059999999999999</v>
      </c>
      <c r="CJ440">
        <v>60000</v>
      </c>
      <c r="CK440">
        <v>14657</v>
      </c>
      <c r="CL440" t="s">
        <v>2342</v>
      </c>
      <c r="CM440">
        <v>-283.02</v>
      </c>
      <c r="CN440">
        <v>-59.59</v>
      </c>
      <c r="CO440">
        <v>0.37</v>
      </c>
      <c r="CP440">
        <v>-3.45</v>
      </c>
      <c r="CQ440">
        <v>1.1499999999999999</v>
      </c>
      <c r="CR440">
        <v>0</v>
      </c>
      <c r="CS440" t="s">
        <v>2947</v>
      </c>
      <c r="CT440">
        <v>8.2899999999999991</v>
      </c>
      <c r="CU440">
        <v>0</v>
      </c>
      <c r="CV440">
        <v>6.49</v>
      </c>
      <c r="CW440">
        <v>0.69</v>
      </c>
      <c r="CX440">
        <v>-0.89</v>
      </c>
      <c r="CY440">
        <v>54.49</v>
      </c>
      <c r="CZ440" t="s">
        <v>2948</v>
      </c>
      <c r="DA440">
        <v>13.07</v>
      </c>
      <c r="DB440">
        <v>-14.57</v>
      </c>
      <c r="DC440">
        <v>-14.07</v>
      </c>
      <c r="DD440">
        <v>3.6</v>
      </c>
      <c r="DE440">
        <v>15165</v>
      </c>
      <c r="DF440">
        <v>980</v>
      </c>
      <c r="DG440" t="s">
        <v>116</v>
      </c>
      <c r="DH440" t="s">
        <v>116</v>
      </c>
      <c r="DI440" t="s">
        <v>116</v>
      </c>
    </row>
    <row r="441" spans="1:113" x14ac:dyDescent="0.4">
      <c r="A441" t="str">
        <f>"000981"</f>
        <v>000981</v>
      </c>
      <c r="B441" t="s">
        <v>2949</v>
      </c>
      <c r="C441">
        <v>5.15</v>
      </c>
      <c r="D441">
        <v>2.04</v>
      </c>
      <c r="E441">
        <v>0.1</v>
      </c>
      <c r="F441">
        <v>2.04</v>
      </c>
      <c r="G441" t="s">
        <v>116</v>
      </c>
      <c r="H441">
        <v>333876</v>
      </c>
      <c r="I441">
        <v>202</v>
      </c>
      <c r="J441">
        <v>0</v>
      </c>
      <c r="K441">
        <v>1.3</v>
      </c>
      <c r="L441">
        <v>2.04</v>
      </c>
      <c r="M441">
        <v>2.04</v>
      </c>
      <c r="N441">
        <v>2</v>
      </c>
      <c r="O441">
        <v>1.94</v>
      </c>
      <c r="P441" t="s">
        <v>116</v>
      </c>
      <c r="Q441">
        <v>67994728</v>
      </c>
      <c r="R441">
        <v>0.6</v>
      </c>
      <c r="S441" t="s">
        <v>293</v>
      </c>
      <c r="T441" t="s">
        <v>1122</v>
      </c>
      <c r="U441">
        <v>2.06</v>
      </c>
      <c r="V441">
        <v>2.04</v>
      </c>
      <c r="W441">
        <v>196025</v>
      </c>
      <c r="X441">
        <v>137851</v>
      </c>
      <c r="Y441">
        <v>1.42</v>
      </c>
      <c r="Z441">
        <v>72633</v>
      </c>
      <c r="AA441">
        <v>0</v>
      </c>
      <c r="AB441" t="s">
        <v>116</v>
      </c>
      <c r="AC441">
        <v>6362400</v>
      </c>
      <c r="AD441">
        <v>0.33</v>
      </c>
      <c r="AE441">
        <v>0.22</v>
      </c>
      <c r="AF441">
        <v>14817132</v>
      </c>
      <c r="AG441">
        <v>25.74</v>
      </c>
      <c r="AH441" t="s">
        <v>2950</v>
      </c>
      <c r="AI441" t="s">
        <v>2951</v>
      </c>
      <c r="AJ441">
        <v>5.83</v>
      </c>
      <c r="AK441">
        <v>707</v>
      </c>
      <c r="AL441">
        <v>472</v>
      </c>
      <c r="AM441">
        <v>1.8E-3</v>
      </c>
      <c r="AN441">
        <v>5</v>
      </c>
      <c r="AO441">
        <v>15.89</v>
      </c>
      <c r="AP441">
        <v>45.71</v>
      </c>
      <c r="AQ441">
        <v>44.68</v>
      </c>
      <c r="AR441">
        <v>-34.619999999999997</v>
      </c>
      <c r="AS441">
        <v>3.59</v>
      </c>
      <c r="AT441" t="s">
        <v>977</v>
      </c>
      <c r="AU441" t="s">
        <v>116</v>
      </c>
      <c r="AV441" t="s">
        <v>116</v>
      </c>
      <c r="AW441">
        <v>0.23</v>
      </c>
      <c r="BA441">
        <v>5.15</v>
      </c>
      <c r="BB441">
        <v>5.15</v>
      </c>
      <c r="BC441">
        <v>3.09</v>
      </c>
      <c r="BD441">
        <v>4.9800000000000004</v>
      </c>
      <c r="BE441">
        <v>0</v>
      </c>
      <c r="BF441">
        <v>0</v>
      </c>
      <c r="BG441">
        <v>2</v>
      </c>
      <c r="BH441">
        <v>0.18</v>
      </c>
      <c r="BI441">
        <v>20191031</v>
      </c>
      <c r="BJ441">
        <v>20000622</v>
      </c>
      <c r="BK441">
        <v>40.28</v>
      </c>
      <c r="BL441" t="s">
        <v>116</v>
      </c>
      <c r="BM441" t="s">
        <v>116</v>
      </c>
      <c r="BN441">
        <v>343.98</v>
      </c>
      <c r="BO441">
        <v>131</v>
      </c>
      <c r="BP441">
        <v>4.3899999999999997</v>
      </c>
      <c r="BQ441">
        <v>60.64</v>
      </c>
      <c r="BR441">
        <v>152.22999999999999</v>
      </c>
      <c r="BS441">
        <v>40.68</v>
      </c>
      <c r="BT441">
        <v>32.619999999999997</v>
      </c>
      <c r="BU441">
        <v>180.66</v>
      </c>
      <c r="BV441">
        <v>86.1</v>
      </c>
      <c r="BW441">
        <v>10.27</v>
      </c>
      <c r="BX441">
        <v>91.47</v>
      </c>
      <c r="BY441">
        <v>52.36</v>
      </c>
      <c r="BZ441">
        <v>43.79</v>
      </c>
      <c r="CA441">
        <v>-7.23</v>
      </c>
      <c r="CB441">
        <v>-0.36</v>
      </c>
      <c r="CC441">
        <v>-8.23</v>
      </c>
      <c r="CD441">
        <v>-6.04</v>
      </c>
      <c r="CE441">
        <v>-6.57</v>
      </c>
      <c r="CF441">
        <v>-6.04</v>
      </c>
      <c r="CG441">
        <v>15.94</v>
      </c>
      <c r="CH441">
        <v>6.56</v>
      </c>
      <c r="CI441">
        <v>1.1000000000000001</v>
      </c>
      <c r="CJ441">
        <v>54011</v>
      </c>
      <c r="CK441">
        <v>17241</v>
      </c>
      <c r="CL441" t="s">
        <v>777</v>
      </c>
      <c r="CM441">
        <v>-184.62</v>
      </c>
      <c r="CN441">
        <v>-17.690000000000001</v>
      </c>
      <c r="CO441">
        <v>0.63</v>
      </c>
      <c r="CP441">
        <v>12.53</v>
      </c>
      <c r="CQ441">
        <v>1.57</v>
      </c>
      <c r="CR441">
        <v>0</v>
      </c>
      <c r="CS441" t="s">
        <v>855</v>
      </c>
      <c r="CT441">
        <v>3.25</v>
      </c>
      <c r="CU441">
        <v>0</v>
      </c>
      <c r="CV441">
        <v>2.27</v>
      </c>
      <c r="CW441">
        <v>0.4</v>
      </c>
      <c r="CX441">
        <v>0.16</v>
      </c>
      <c r="CY441">
        <v>38.08</v>
      </c>
      <c r="CZ441" t="s">
        <v>2952</v>
      </c>
      <c r="DA441">
        <v>16.38</v>
      </c>
      <c r="DB441">
        <v>-13.81</v>
      </c>
      <c r="DC441">
        <v>-12.54</v>
      </c>
      <c r="DD441">
        <v>1.38</v>
      </c>
      <c r="DE441">
        <v>11601</v>
      </c>
      <c r="DF441">
        <v>981</v>
      </c>
      <c r="DG441" t="s">
        <v>116</v>
      </c>
      <c r="DH441" t="s">
        <v>116</v>
      </c>
      <c r="DI441" t="s">
        <v>116</v>
      </c>
    </row>
    <row r="442" spans="1:113" x14ac:dyDescent="0.4">
      <c r="A442" t="str">
        <f>"000982"</f>
        <v>000982</v>
      </c>
      <c r="B442" t="s">
        <v>2953</v>
      </c>
      <c r="C442">
        <v>-4.88</v>
      </c>
      <c r="D442">
        <v>1.95</v>
      </c>
      <c r="E442">
        <v>-0.1</v>
      </c>
      <c r="F442" t="s">
        <v>116</v>
      </c>
      <c r="G442">
        <v>1.95</v>
      </c>
      <c r="H442">
        <v>227633</v>
      </c>
      <c r="I442">
        <v>403</v>
      </c>
      <c r="J442">
        <v>0</v>
      </c>
      <c r="K442">
        <v>0.53</v>
      </c>
      <c r="L442">
        <v>1.99</v>
      </c>
      <c r="M442">
        <v>2.02</v>
      </c>
      <c r="N442">
        <v>1.95</v>
      </c>
      <c r="O442">
        <v>2.0499999999999998</v>
      </c>
      <c r="P442" t="s">
        <v>116</v>
      </c>
      <c r="Q442">
        <v>44774696</v>
      </c>
      <c r="R442">
        <v>1.1499999999999999</v>
      </c>
      <c r="S442" t="s">
        <v>1420</v>
      </c>
      <c r="T442" t="s">
        <v>1147</v>
      </c>
      <c r="U442">
        <v>3.41</v>
      </c>
      <c r="V442">
        <v>1.97</v>
      </c>
      <c r="W442">
        <v>122195</v>
      </c>
      <c r="X442">
        <v>105438</v>
      </c>
      <c r="Y442">
        <v>1.1599999999999999</v>
      </c>
      <c r="Z442">
        <v>0</v>
      </c>
      <c r="AA442">
        <v>5043</v>
      </c>
      <c r="AB442" t="s">
        <v>116</v>
      </c>
      <c r="AC442">
        <v>693400</v>
      </c>
      <c r="AD442">
        <v>0.01</v>
      </c>
      <c r="AE442">
        <v>0.02</v>
      </c>
      <c r="AF442">
        <v>983385</v>
      </c>
      <c r="AG442">
        <v>42.62</v>
      </c>
      <c r="AH442" t="s">
        <v>2954</v>
      </c>
      <c r="AI442" t="s">
        <v>2954</v>
      </c>
      <c r="AJ442">
        <v>-4.2</v>
      </c>
      <c r="AK442">
        <v>1215</v>
      </c>
      <c r="AL442">
        <v>187</v>
      </c>
      <c r="AM442">
        <v>4.0000000000000002E-4</v>
      </c>
      <c r="AN442">
        <v>-3</v>
      </c>
      <c r="AO442">
        <v>-14.1</v>
      </c>
      <c r="AP442">
        <v>-9.3000000000000007</v>
      </c>
      <c r="AQ442">
        <v>28.29</v>
      </c>
      <c r="AR442">
        <v>53.54</v>
      </c>
      <c r="AS442">
        <v>0.67</v>
      </c>
      <c r="AT442" t="s">
        <v>2955</v>
      </c>
      <c r="AU442" t="s">
        <v>116</v>
      </c>
      <c r="AV442" t="s">
        <v>116</v>
      </c>
      <c r="AW442">
        <v>0</v>
      </c>
      <c r="BA442">
        <v>-2.93</v>
      </c>
      <c r="BB442">
        <v>-1.46</v>
      </c>
      <c r="BC442">
        <v>-4.88</v>
      </c>
      <c r="BD442">
        <v>-4.05</v>
      </c>
      <c r="BE442">
        <v>-2.0099999999999998</v>
      </c>
      <c r="BF442">
        <v>-3.47</v>
      </c>
      <c r="BG442">
        <v>0</v>
      </c>
      <c r="BH442">
        <v>-0.83</v>
      </c>
      <c r="BI442">
        <v>20191224</v>
      </c>
      <c r="BJ442">
        <v>20000706</v>
      </c>
      <c r="BK442">
        <v>42.62</v>
      </c>
      <c r="BL442" t="s">
        <v>116</v>
      </c>
      <c r="BM442" t="s">
        <v>116</v>
      </c>
      <c r="BN442">
        <v>75.98</v>
      </c>
      <c r="BO442">
        <v>-17.5</v>
      </c>
      <c r="BP442">
        <v>-0.05</v>
      </c>
      <c r="BQ442">
        <v>123.09</v>
      </c>
      <c r="BR442">
        <v>22.44</v>
      </c>
      <c r="BS442">
        <v>44.88</v>
      </c>
      <c r="BT442">
        <v>1.67</v>
      </c>
      <c r="BU442">
        <v>85.38</v>
      </c>
      <c r="BV442">
        <v>13.87</v>
      </c>
      <c r="BW442">
        <v>4.26</v>
      </c>
      <c r="BX442">
        <v>20.29</v>
      </c>
      <c r="BY442">
        <v>5.78</v>
      </c>
      <c r="BZ442">
        <v>6.08</v>
      </c>
      <c r="CA442">
        <v>-6.26</v>
      </c>
      <c r="CB442">
        <v>0.78</v>
      </c>
      <c r="CC442">
        <v>-6.89</v>
      </c>
      <c r="CD442">
        <v>-6.89</v>
      </c>
      <c r="CE442">
        <v>-6.88</v>
      </c>
      <c r="CF442">
        <v>-6.46</v>
      </c>
      <c r="CG442">
        <v>-56</v>
      </c>
      <c r="CH442">
        <v>-1.56</v>
      </c>
      <c r="CI442">
        <v>-1.8</v>
      </c>
      <c r="CJ442">
        <v>29272</v>
      </c>
      <c r="CK442">
        <v>115672</v>
      </c>
      <c r="CL442" t="s">
        <v>2956</v>
      </c>
      <c r="CM442">
        <v>-31.25</v>
      </c>
      <c r="CN442">
        <v>-61.99</v>
      </c>
      <c r="CO442">
        <v>-4.75</v>
      </c>
      <c r="CP442">
        <v>-53.16</v>
      </c>
      <c r="CQ442">
        <v>14.37</v>
      </c>
      <c r="CR442">
        <v>0</v>
      </c>
      <c r="CS442" t="s">
        <v>2957</v>
      </c>
      <c r="CT442">
        <v>-0.41</v>
      </c>
      <c r="CU442">
        <v>0</v>
      </c>
      <c r="CV442">
        <v>0.48</v>
      </c>
      <c r="CW442">
        <v>-1.31</v>
      </c>
      <c r="CX442">
        <v>-0.04</v>
      </c>
      <c r="CY442">
        <v>-23.03</v>
      </c>
      <c r="CZ442" t="s">
        <v>116</v>
      </c>
      <c r="DA442">
        <v>-5.19</v>
      </c>
      <c r="DB442">
        <v>-108.22</v>
      </c>
      <c r="DC442">
        <v>-118.93</v>
      </c>
      <c r="DD442">
        <v>0</v>
      </c>
      <c r="DE442">
        <v>4165</v>
      </c>
      <c r="DF442">
        <v>982</v>
      </c>
      <c r="DG442" t="s">
        <v>116</v>
      </c>
      <c r="DH442" t="s">
        <v>116</v>
      </c>
      <c r="DI442" t="s">
        <v>116</v>
      </c>
    </row>
    <row r="443" spans="1:113" x14ac:dyDescent="0.4">
      <c r="A443" t="str">
        <f>"000983"</f>
        <v>000983</v>
      </c>
      <c r="B443" t="s">
        <v>2958</v>
      </c>
      <c r="C443">
        <v>0.85</v>
      </c>
      <c r="D443">
        <v>5.91</v>
      </c>
      <c r="E443">
        <v>0.05</v>
      </c>
      <c r="F443">
        <v>5.9</v>
      </c>
      <c r="G443">
        <v>5.91</v>
      </c>
      <c r="H443">
        <v>334749</v>
      </c>
      <c r="I443">
        <v>1450</v>
      </c>
      <c r="J443">
        <v>0</v>
      </c>
      <c r="K443">
        <v>1.06</v>
      </c>
      <c r="L443">
        <v>5.86</v>
      </c>
      <c r="M443">
        <v>6</v>
      </c>
      <c r="N443">
        <v>5.85</v>
      </c>
      <c r="O443">
        <v>5.86</v>
      </c>
      <c r="P443">
        <v>7.73</v>
      </c>
      <c r="Q443">
        <v>198438880</v>
      </c>
      <c r="R443">
        <v>2.81</v>
      </c>
      <c r="S443" t="s">
        <v>1121</v>
      </c>
      <c r="T443" t="s">
        <v>675</v>
      </c>
      <c r="U443">
        <v>2.56</v>
      </c>
      <c r="V443">
        <v>5.93</v>
      </c>
      <c r="W443">
        <v>161419</v>
      </c>
      <c r="X443">
        <v>173330</v>
      </c>
      <c r="Y443">
        <v>0.93</v>
      </c>
      <c r="Z443">
        <v>2987</v>
      </c>
      <c r="AA443">
        <v>422</v>
      </c>
      <c r="AB443" t="s">
        <v>116</v>
      </c>
      <c r="AC443">
        <v>413700</v>
      </c>
      <c r="AD443">
        <v>0</v>
      </c>
      <c r="AE443" t="s">
        <v>116</v>
      </c>
      <c r="AF443" t="s">
        <v>116</v>
      </c>
      <c r="AG443">
        <v>31.51</v>
      </c>
      <c r="AH443" t="s">
        <v>2959</v>
      </c>
      <c r="AI443" t="s">
        <v>2959</v>
      </c>
      <c r="AJ443">
        <v>1.53</v>
      </c>
      <c r="AK443">
        <v>3042</v>
      </c>
      <c r="AL443">
        <v>110</v>
      </c>
      <c r="AM443">
        <v>2.9999999999999997E-4</v>
      </c>
      <c r="AN443">
        <v>2</v>
      </c>
      <c r="AO443">
        <v>1.03</v>
      </c>
      <c r="AP443">
        <v>2.25</v>
      </c>
      <c r="AQ443">
        <v>0.34</v>
      </c>
      <c r="AR443">
        <v>13.87</v>
      </c>
      <c r="AS443">
        <v>2.33</v>
      </c>
      <c r="AT443" t="s">
        <v>2960</v>
      </c>
      <c r="AU443">
        <v>8.93</v>
      </c>
      <c r="AV443">
        <v>10.33</v>
      </c>
      <c r="AW443">
        <v>0.56999999999999995</v>
      </c>
      <c r="BA443">
        <v>0</v>
      </c>
      <c r="BB443">
        <v>2.39</v>
      </c>
      <c r="BC443">
        <v>-0.17</v>
      </c>
      <c r="BD443">
        <v>1.1599999999999999</v>
      </c>
      <c r="BE443">
        <v>0.85</v>
      </c>
      <c r="BF443">
        <v>-1.5</v>
      </c>
      <c r="BG443">
        <v>1.03</v>
      </c>
      <c r="BH443">
        <v>-0.31</v>
      </c>
      <c r="BI443">
        <v>20191121</v>
      </c>
      <c r="BJ443">
        <v>20000726</v>
      </c>
      <c r="BK443">
        <v>31.51</v>
      </c>
      <c r="BL443" t="s">
        <v>116</v>
      </c>
      <c r="BM443" t="s">
        <v>116</v>
      </c>
      <c r="BN443">
        <v>632.92999999999995</v>
      </c>
      <c r="BO443">
        <v>211.54</v>
      </c>
      <c r="BP443">
        <v>26.15</v>
      </c>
      <c r="BQ443">
        <v>62.45</v>
      </c>
      <c r="BR443">
        <v>150.79</v>
      </c>
      <c r="BS443">
        <v>268</v>
      </c>
      <c r="BT443">
        <v>81.94</v>
      </c>
      <c r="BU443">
        <v>211.94</v>
      </c>
      <c r="BV443">
        <v>36.04</v>
      </c>
      <c r="BW443">
        <v>29.98</v>
      </c>
      <c r="BX443">
        <v>10.37</v>
      </c>
      <c r="BY443">
        <v>246.6</v>
      </c>
      <c r="BZ443">
        <v>165.18</v>
      </c>
      <c r="CA443">
        <v>27.11</v>
      </c>
      <c r="CB443">
        <v>1.39</v>
      </c>
      <c r="CC443">
        <v>26.97</v>
      </c>
      <c r="CD443">
        <v>19.29</v>
      </c>
      <c r="CE443">
        <v>18.059999999999999</v>
      </c>
      <c r="CF443">
        <v>18.170000000000002</v>
      </c>
      <c r="CG443">
        <v>136.07</v>
      </c>
      <c r="CH443">
        <v>50.38</v>
      </c>
      <c r="CI443">
        <v>-10.199999999999999</v>
      </c>
      <c r="CJ443">
        <v>136509</v>
      </c>
      <c r="CK443">
        <v>10527</v>
      </c>
      <c r="CL443" t="s">
        <v>2961</v>
      </c>
      <c r="CM443">
        <v>18.62</v>
      </c>
      <c r="CN443">
        <v>5.51</v>
      </c>
      <c r="CO443">
        <v>0.88</v>
      </c>
      <c r="CP443">
        <v>3.7</v>
      </c>
      <c r="CQ443">
        <v>0.76</v>
      </c>
      <c r="CR443">
        <v>5.08</v>
      </c>
      <c r="CS443" t="s">
        <v>2962</v>
      </c>
      <c r="CT443">
        <v>6.71</v>
      </c>
      <c r="CU443">
        <v>0</v>
      </c>
      <c r="CV443">
        <v>0.33</v>
      </c>
      <c r="CW443">
        <v>4.32</v>
      </c>
      <c r="CX443">
        <v>1.6</v>
      </c>
      <c r="CY443">
        <v>33.42</v>
      </c>
      <c r="CZ443" t="s">
        <v>2963</v>
      </c>
      <c r="DA443">
        <v>33.020000000000003</v>
      </c>
      <c r="DB443">
        <v>10.99</v>
      </c>
      <c r="DC443">
        <v>7.32</v>
      </c>
      <c r="DD443">
        <v>2.31</v>
      </c>
      <c r="DE443">
        <v>27629</v>
      </c>
      <c r="DF443">
        <v>983</v>
      </c>
      <c r="DG443" t="s">
        <v>116</v>
      </c>
      <c r="DH443" t="s">
        <v>116</v>
      </c>
      <c r="DI443" t="s">
        <v>116</v>
      </c>
    </row>
    <row r="444" spans="1:113" x14ac:dyDescent="0.4">
      <c r="A444" t="str">
        <f>"000985"</f>
        <v>000985</v>
      </c>
      <c r="B444" t="s">
        <v>2964</v>
      </c>
      <c r="C444">
        <v>1.91</v>
      </c>
      <c r="D444">
        <v>16</v>
      </c>
      <c r="E444">
        <v>0.3</v>
      </c>
      <c r="F444">
        <v>15.99</v>
      </c>
      <c r="G444">
        <v>16</v>
      </c>
      <c r="H444">
        <v>26351</v>
      </c>
      <c r="I444">
        <v>333</v>
      </c>
      <c r="J444">
        <v>0.31</v>
      </c>
      <c r="K444">
        <v>2.0299999999999998</v>
      </c>
      <c r="L444">
        <v>15.71</v>
      </c>
      <c r="M444">
        <v>16.2</v>
      </c>
      <c r="N444">
        <v>15.58</v>
      </c>
      <c r="O444">
        <v>15.7</v>
      </c>
      <c r="P444">
        <v>28.71</v>
      </c>
      <c r="Q444">
        <v>41916972</v>
      </c>
      <c r="R444">
        <v>1.06</v>
      </c>
      <c r="S444" t="s">
        <v>891</v>
      </c>
      <c r="T444" t="s">
        <v>1287</v>
      </c>
      <c r="U444">
        <v>3.95</v>
      </c>
      <c r="V444">
        <v>15.91</v>
      </c>
      <c r="W444">
        <v>13085</v>
      </c>
      <c r="X444">
        <v>13266</v>
      </c>
      <c r="Y444">
        <v>0.99</v>
      </c>
      <c r="Z444">
        <v>113</v>
      </c>
      <c r="AA444">
        <v>427</v>
      </c>
      <c r="AB444" t="s">
        <v>116</v>
      </c>
      <c r="AC444">
        <v>157100</v>
      </c>
      <c r="AD444">
        <v>0.02</v>
      </c>
      <c r="AE444" t="s">
        <v>116</v>
      </c>
      <c r="AF444" t="s">
        <v>116</v>
      </c>
      <c r="AG444">
        <v>1.3</v>
      </c>
      <c r="AH444" t="s">
        <v>2965</v>
      </c>
      <c r="AI444" t="s">
        <v>2965</v>
      </c>
      <c r="AJ444">
        <v>2.59</v>
      </c>
      <c r="AK444">
        <v>1571</v>
      </c>
      <c r="AL444">
        <v>17</v>
      </c>
      <c r="AM444">
        <v>1.2999999999999999E-3</v>
      </c>
      <c r="AN444">
        <v>1</v>
      </c>
      <c r="AO444">
        <v>4.6500000000000004</v>
      </c>
      <c r="AP444">
        <v>14.37</v>
      </c>
      <c r="AQ444">
        <v>11.42</v>
      </c>
      <c r="AR444">
        <v>29.03</v>
      </c>
      <c r="AS444">
        <v>5.57</v>
      </c>
      <c r="AT444" t="s">
        <v>2966</v>
      </c>
      <c r="AU444">
        <v>34.24</v>
      </c>
      <c r="AV444" t="s">
        <v>116</v>
      </c>
      <c r="AW444">
        <v>1.03</v>
      </c>
      <c r="BA444">
        <v>0.06</v>
      </c>
      <c r="BB444">
        <v>3.18</v>
      </c>
      <c r="BC444">
        <v>-0.76</v>
      </c>
      <c r="BD444">
        <v>1.32</v>
      </c>
      <c r="BE444">
        <v>1.85</v>
      </c>
      <c r="BF444">
        <v>-1.23</v>
      </c>
      <c r="BG444">
        <v>2.7</v>
      </c>
      <c r="BH444">
        <v>0.59</v>
      </c>
      <c r="BI444">
        <v>20191030</v>
      </c>
      <c r="BJ444">
        <v>20000726</v>
      </c>
      <c r="BK444">
        <v>1.3</v>
      </c>
      <c r="BL444" t="s">
        <v>116</v>
      </c>
      <c r="BM444" t="s">
        <v>116</v>
      </c>
      <c r="BN444">
        <v>7.61</v>
      </c>
      <c r="BO444">
        <v>5.84</v>
      </c>
      <c r="BP444">
        <v>0</v>
      </c>
      <c r="BQ444">
        <v>23.21</v>
      </c>
      <c r="BR444">
        <v>3.37</v>
      </c>
      <c r="BS444">
        <v>3.61</v>
      </c>
      <c r="BT444">
        <v>0.11</v>
      </c>
      <c r="BU444">
        <v>1.29</v>
      </c>
      <c r="BV444">
        <v>0.53</v>
      </c>
      <c r="BW444">
        <v>0.02</v>
      </c>
      <c r="BX444">
        <v>2.59</v>
      </c>
      <c r="BY444">
        <v>16.850000000000001</v>
      </c>
      <c r="BZ444">
        <v>15.23</v>
      </c>
      <c r="CA444">
        <v>0.56000000000000005</v>
      </c>
      <c r="CB444">
        <v>0</v>
      </c>
      <c r="CC444">
        <v>0.56000000000000005</v>
      </c>
      <c r="CD444">
        <v>0.54</v>
      </c>
      <c r="CE444">
        <v>0.54</v>
      </c>
      <c r="CF444">
        <v>0.53</v>
      </c>
      <c r="CG444">
        <v>1.21</v>
      </c>
      <c r="CH444">
        <v>1.4</v>
      </c>
      <c r="CI444">
        <v>1.04</v>
      </c>
      <c r="CJ444">
        <v>10121</v>
      </c>
      <c r="CK444">
        <v>4675</v>
      </c>
      <c r="CL444" t="s">
        <v>2967</v>
      </c>
      <c r="CM444">
        <v>683.61</v>
      </c>
      <c r="CN444">
        <v>51.18</v>
      </c>
      <c r="CO444">
        <v>3.55</v>
      </c>
      <c r="CP444">
        <v>14.77</v>
      </c>
      <c r="CQ444">
        <v>1.23</v>
      </c>
      <c r="CR444">
        <v>0</v>
      </c>
      <c r="CS444" t="s">
        <v>2968</v>
      </c>
      <c r="CT444">
        <v>4.5</v>
      </c>
      <c r="CU444">
        <v>0</v>
      </c>
      <c r="CV444">
        <v>2</v>
      </c>
      <c r="CW444">
        <v>0.93</v>
      </c>
      <c r="CX444">
        <v>1.08</v>
      </c>
      <c r="CY444">
        <v>76.790000000000006</v>
      </c>
      <c r="CZ444" t="s">
        <v>794</v>
      </c>
      <c r="DA444">
        <v>9.6300000000000008</v>
      </c>
      <c r="DB444">
        <v>3.34</v>
      </c>
      <c r="DC444">
        <v>3.22</v>
      </c>
      <c r="DD444">
        <v>0.08</v>
      </c>
      <c r="DE444">
        <v>653</v>
      </c>
      <c r="DF444">
        <v>985</v>
      </c>
      <c r="DG444" t="s">
        <v>116</v>
      </c>
      <c r="DH444" t="s">
        <v>116</v>
      </c>
      <c r="DI444" t="s">
        <v>116</v>
      </c>
    </row>
    <row r="445" spans="1:113" x14ac:dyDescent="0.4">
      <c r="A445" t="str">
        <f>"000987"</f>
        <v>000987</v>
      </c>
      <c r="B445" t="s">
        <v>2969</v>
      </c>
      <c r="C445">
        <v>-1.05</v>
      </c>
      <c r="D445">
        <v>9.39</v>
      </c>
      <c r="E445">
        <v>-0.1</v>
      </c>
      <c r="F445">
        <v>9.39</v>
      </c>
      <c r="G445">
        <v>9.4</v>
      </c>
      <c r="H445">
        <v>213770</v>
      </c>
      <c r="I445">
        <v>1008</v>
      </c>
      <c r="J445">
        <v>-0.41</v>
      </c>
      <c r="K445">
        <v>0.8</v>
      </c>
      <c r="L445">
        <v>9.8000000000000007</v>
      </c>
      <c r="M445">
        <v>9.8000000000000007</v>
      </c>
      <c r="N445">
        <v>9.32</v>
      </c>
      <c r="O445">
        <v>9.49</v>
      </c>
      <c r="P445">
        <v>14.46</v>
      </c>
      <c r="Q445">
        <v>205547904</v>
      </c>
      <c r="R445">
        <v>1.52</v>
      </c>
      <c r="S445" t="s">
        <v>732</v>
      </c>
      <c r="T445" t="s">
        <v>551</v>
      </c>
      <c r="U445">
        <v>5.0599999999999996</v>
      </c>
      <c r="V445">
        <v>9.6199999999999992</v>
      </c>
      <c r="W445">
        <v>114308</v>
      </c>
      <c r="X445">
        <v>99462</v>
      </c>
      <c r="Y445">
        <v>1.1499999999999999</v>
      </c>
      <c r="Z445">
        <v>52</v>
      </c>
      <c r="AA445">
        <v>6935</v>
      </c>
      <c r="AB445" t="s">
        <v>116</v>
      </c>
      <c r="AC445">
        <v>6780600</v>
      </c>
      <c r="AD445">
        <v>0.12</v>
      </c>
      <c r="AE445" t="s">
        <v>116</v>
      </c>
      <c r="AF445" t="s">
        <v>116</v>
      </c>
      <c r="AG445">
        <v>26.67</v>
      </c>
      <c r="AH445" t="s">
        <v>2970</v>
      </c>
      <c r="AI445" t="s">
        <v>2971</v>
      </c>
      <c r="AJ445">
        <v>-0.37</v>
      </c>
      <c r="AK445">
        <v>3046</v>
      </c>
      <c r="AL445">
        <v>70</v>
      </c>
      <c r="AM445">
        <v>2.9999999999999997E-4</v>
      </c>
      <c r="AN445">
        <v>-1</v>
      </c>
      <c r="AO445">
        <v>0.96</v>
      </c>
      <c r="AP445">
        <v>10.86</v>
      </c>
      <c r="AQ445">
        <v>3.76</v>
      </c>
      <c r="AR445">
        <v>19.16</v>
      </c>
      <c r="AS445">
        <v>3.79</v>
      </c>
      <c r="AT445" t="s">
        <v>2972</v>
      </c>
      <c r="AU445">
        <v>17.260000000000002</v>
      </c>
      <c r="AV445">
        <v>57.45</v>
      </c>
      <c r="AW445">
        <v>1.18</v>
      </c>
      <c r="BA445">
        <v>3.27</v>
      </c>
      <c r="BB445">
        <v>3.27</v>
      </c>
      <c r="BC445">
        <v>-1.79</v>
      </c>
      <c r="BD445">
        <v>1.32</v>
      </c>
      <c r="BE445">
        <v>-4.18</v>
      </c>
      <c r="BF445">
        <v>-4.18</v>
      </c>
      <c r="BG445">
        <v>0.75</v>
      </c>
      <c r="BH445">
        <v>-2.37</v>
      </c>
      <c r="BI445">
        <v>20191227</v>
      </c>
      <c r="BJ445">
        <v>20000718</v>
      </c>
      <c r="BK445">
        <v>27.53</v>
      </c>
      <c r="BL445" t="s">
        <v>116</v>
      </c>
      <c r="BM445" t="s">
        <v>116</v>
      </c>
      <c r="BN445">
        <v>1085.8</v>
      </c>
      <c r="BO445">
        <v>172.4</v>
      </c>
      <c r="BP445">
        <v>53.3</v>
      </c>
      <c r="BQ445">
        <v>79.209999999999994</v>
      </c>
      <c r="BR445">
        <v>0</v>
      </c>
      <c r="BS445">
        <v>0.93</v>
      </c>
      <c r="BT445">
        <v>0.8</v>
      </c>
      <c r="BU445">
        <v>0</v>
      </c>
      <c r="BV445">
        <v>0</v>
      </c>
      <c r="BW445">
        <v>0</v>
      </c>
      <c r="BX445">
        <v>118.07</v>
      </c>
      <c r="BY445">
        <v>68.819999999999993</v>
      </c>
      <c r="BZ445">
        <v>0</v>
      </c>
      <c r="CA445">
        <v>23.75</v>
      </c>
      <c r="CB445">
        <v>19.13</v>
      </c>
      <c r="CC445">
        <v>24.07</v>
      </c>
      <c r="CD445">
        <v>17.34</v>
      </c>
      <c r="CE445">
        <v>13.41</v>
      </c>
      <c r="CF445">
        <v>3.96</v>
      </c>
      <c r="CG445">
        <v>17.899999999999999</v>
      </c>
      <c r="CH445">
        <v>6.38</v>
      </c>
      <c r="CI445">
        <v>23.99</v>
      </c>
      <c r="CJ445">
        <v>38803</v>
      </c>
      <c r="CK445">
        <v>14545</v>
      </c>
      <c r="CL445" t="s">
        <v>2973</v>
      </c>
      <c r="CM445">
        <v>357.02</v>
      </c>
      <c r="CN445">
        <v>61.07</v>
      </c>
      <c r="CO445">
        <v>1.5</v>
      </c>
      <c r="CP445">
        <v>40.520000000000003</v>
      </c>
      <c r="CQ445">
        <v>3.76</v>
      </c>
      <c r="CR445">
        <v>0.96</v>
      </c>
      <c r="CS445" t="s">
        <v>2974</v>
      </c>
      <c r="CT445">
        <v>6.26</v>
      </c>
      <c r="CU445">
        <v>0</v>
      </c>
      <c r="CV445">
        <v>4.29</v>
      </c>
      <c r="CW445">
        <v>0.65</v>
      </c>
      <c r="CX445">
        <v>0.23</v>
      </c>
      <c r="CY445">
        <v>15.88</v>
      </c>
      <c r="CZ445" t="s">
        <v>2975</v>
      </c>
      <c r="DA445" t="s">
        <v>116</v>
      </c>
      <c r="DB445">
        <v>34.51</v>
      </c>
      <c r="DC445">
        <v>19.48</v>
      </c>
      <c r="DD445">
        <v>0</v>
      </c>
      <c r="DE445">
        <v>4711</v>
      </c>
      <c r="DF445">
        <v>987</v>
      </c>
      <c r="DG445" t="s">
        <v>116</v>
      </c>
      <c r="DH445" t="s">
        <v>116</v>
      </c>
      <c r="DI445" t="s">
        <v>116</v>
      </c>
    </row>
    <row r="446" spans="1:113" x14ac:dyDescent="0.4">
      <c r="A446" t="str">
        <f>"000988"</f>
        <v>000988</v>
      </c>
      <c r="B446" t="s">
        <v>2976</v>
      </c>
      <c r="C446">
        <v>-2.06</v>
      </c>
      <c r="D446">
        <v>19.95</v>
      </c>
      <c r="E446">
        <v>-0.42</v>
      </c>
      <c r="F446">
        <v>19.940000000000001</v>
      </c>
      <c r="G446">
        <v>19.95</v>
      </c>
      <c r="H446">
        <v>333014</v>
      </c>
      <c r="I446">
        <v>4773</v>
      </c>
      <c r="J446">
        <v>-0.09</v>
      </c>
      <c r="K446">
        <v>3.31</v>
      </c>
      <c r="L446">
        <v>20.66</v>
      </c>
      <c r="M446">
        <v>20.85</v>
      </c>
      <c r="N446">
        <v>19.920000000000002</v>
      </c>
      <c r="O446">
        <v>20.37</v>
      </c>
      <c r="P446">
        <v>32.51</v>
      </c>
      <c r="Q446">
        <v>680357888</v>
      </c>
      <c r="R446">
        <v>1.03</v>
      </c>
      <c r="S446" t="s">
        <v>2977</v>
      </c>
      <c r="T446" t="s">
        <v>774</v>
      </c>
      <c r="U446">
        <v>4.57</v>
      </c>
      <c r="V446">
        <v>20.43</v>
      </c>
      <c r="W446">
        <v>173577</v>
      </c>
      <c r="X446">
        <v>159437</v>
      </c>
      <c r="Y446">
        <v>1.0900000000000001</v>
      </c>
      <c r="Z446">
        <v>223</v>
      </c>
      <c r="AA446">
        <v>1718</v>
      </c>
      <c r="AB446" t="s">
        <v>116</v>
      </c>
      <c r="AC446">
        <v>7472700</v>
      </c>
      <c r="AD446">
        <v>0.05</v>
      </c>
      <c r="AE446" t="s">
        <v>116</v>
      </c>
      <c r="AF446" t="s">
        <v>116</v>
      </c>
      <c r="AG446">
        <v>10.050000000000001</v>
      </c>
      <c r="AH446" t="s">
        <v>2978</v>
      </c>
      <c r="AI446" t="s">
        <v>2979</v>
      </c>
      <c r="AJ446">
        <v>-1.38</v>
      </c>
      <c r="AK446">
        <v>4190</v>
      </c>
      <c r="AL446">
        <v>79</v>
      </c>
      <c r="AM446">
        <v>8.0000000000000004E-4</v>
      </c>
      <c r="AN446">
        <v>-2</v>
      </c>
      <c r="AO446">
        <v>-0.65</v>
      </c>
      <c r="AP446">
        <v>9.92</v>
      </c>
      <c r="AQ446">
        <v>2.31</v>
      </c>
      <c r="AR446">
        <v>67.510000000000005</v>
      </c>
      <c r="AS446">
        <v>4.5199999999999996</v>
      </c>
      <c r="AT446" t="s">
        <v>1160</v>
      </c>
      <c r="AU446">
        <v>40.950000000000003</v>
      </c>
      <c r="AV446">
        <v>70.73</v>
      </c>
      <c r="AW446">
        <v>1.56</v>
      </c>
      <c r="BA446">
        <v>1.42</v>
      </c>
      <c r="BB446">
        <v>2.36</v>
      </c>
      <c r="BC446">
        <v>-2.21</v>
      </c>
      <c r="BD446">
        <v>0.3</v>
      </c>
      <c r="BE446">
        <v>-3.44</v>
      </c>
      <c r="BF446">
        <v>-4.32</v>
      </c>
      <c r="BG446">
        <v>0.15</v>
      </c>
      <c r="BH446">
        <v>-2.36</v>
      </c>
      <c r="BI446">
        <v>20191225</v>
      </c>
      <c r="BJ446">
        <v>20000608</v>
      </c>
      <c r="BK446">
        <v>10.06</v>
      </c>
      <c r="BL446" t="s">
        <v>116</v>
      </c>
      <c r="BM446" t="s">
        <v>116</v>
      </c>
      <c r="BN446">
        <v>92.06</v>
      </c>
      <c r="BO446">
        <v>60.86</v>
      </c>
      <c r="BP446">
        <v>1.1499999999999999</v>
      </c>
      <c r="BQ446">
        <v>32.65</v>
      </c>
      <c r="BR446">
        <v>69.95</v>
      </c>
      <c r="BS446">
        <v>11.59</v>
      </c>
      <c r="BT446">
        <v>2.82</v>
      </c>
      <c r="BU446">
        <v>27.93</v>
      </c>
      <c r="BV446">
        <v>12.34</v>
      </c>
      <c r="BW446">
        <v>22.38</v>
      </c>
      <c r="BX446">
        <v>25.9</v>
      </c>
      <c r="BY446">
        <v>38.78</v>
      </c>
      <c r="BZ446">
        <v>28.7</v>
      </c>
      <c r="CA446">
        <v>5.52</v>
      </c>
      <c r="CB446">
        <v>0.69</v>
      </c>
      <c r="CC446">
        <v>5.53</v>
      </c>
      <c r="CD446">
        <v>4.5999999999999996</v>
      </c>
      <c r="CE446">
        <v>4.63</v>
      </c>
      <c r="CF446">
        <v>2.65</v>
      </c>
      <c r="CG446">
        <v>23.74</v>
      </c>
      <c r="CH446">
        <v>1.1499999999999999</v>
      </c>
      <c r="CI446">
        <v>-0.92</v>
      </c>
      <c r="CJ446">
        <v>95286</v>
      </c>
      <c r="CK446">
        <v>7734</v>
      </c>
      <c r="CL446" t="s">
        <v>2980</v>
      </c>
      <c r="CM446">
        <v>80.430000000000007</v>
      </c>
      <c r="CN446">
        <v>-3.71</v>
      </c>
      <c r="CO446">
        <v>3.3</v>
      </c>
      <c r="CP446">
        <v>175.01</v>
      </c>
      <c r="CQ446">
        <v>5.17</v>
      </c>
      <c r="CR446">
        <v>0.15</v>
      </c>
      <c r="CS446" t="s">
        <v>672</v>
      </c>
      <c r="CT446">
        <v>6.05</v>
      </c>
      <c r="CU446">
        <v>0</v>
      </c>
      <c r="CV446">
        <v>2.58</v>
      </c>
      <c r="CW446">
        <v>2.36</v>
      </c>
      <c r="CX446">
        <v>0.11</v>
      </c>
      <c r="CY446">
        <v>66.11</v>
      </c>
      <c r="CZ446" t="s">
        <v>2981</v>
      </c>
      <c r="DA446">
        <v>25.99</v>
      </c>
      <c r="DB446">
        <v>14.24</v>
      </c>
      <c r="DC446">
        <v>11.93</v>
      </c>
      <c r="DD446">
        <v>2.04</v>
      </c>
      <c r="DE446">
        <v>7053</v>
      </c>
      <c r="DF446">
        <v>988</v>
      </c>
      <c r="DG446" t="s">
        <v>116</v>
      </c>
      <c r="DH446" t="s">
        <v>116</v>
      </c>
      <c r="DI446" t="s">
        <v>116</v>
      </c>
    </row>
    <row r="447" spans="1:113" x14ac:dyDescent="0.4">
      <c r="A447" t="str">
        <f>"000989"</f>
        <v>000989</v>
      </c>
      <c r="B447" t="s">
        <v>2982</v>
      </c>
      <c r="C447">
        <v>-0.37</v>
      </c>
      <c r="D447">
        <v>8.1</v>
      </c>
      <c r="E447">
        <v>-0.03</v>
      </c>
      <c r="F447">
        <v>8.1</v>
      </c>
      <c r="G447">
        <v>8.11</v>
      </c>
      <c r="H447">
        <v>39410</v>
      </c>
      <c r="I447">
        <v>355</v>
      </c>
      <c r="J447">
        <v>0</v>
      </c>
      <c r="K447">
        <v>0.67</v>
      </c>
      <c r="L447">
        <v>8.1300000000000008</v>
      </c>
      <c r="M447">
        <v>8.19</v>
      </c>
      <c r="N447">
        <v>8.09</v>
      </c>
      <c r="O447">
        <v>8.1300000000000008</v>
      </c>
      <c r="P447">
        <v>27.97</v>
      </c>
      <c r="Q447">
        <v>32084220</v>
      </c>
      <c r="R447">
        <v>1.1499999999999999</v>
      </c>
      <c r="S447" t="s">
        <v>781</v>
      </c>
      <c r="T447" t="s">
        <v>599</v>
      </c>
      <c r="U447">
        <v>1.23</v>
      </c>
      <c r="V447">
        <v>8.14</v>
      </c>
      <c r="W447">
        <v>22268</v>
      </c>
      <c r="X447">
        <v>17142</v>
      </c>
      <c r="Y447">
        <v>1.3</v>
      </c>
      <c r="Z447">
        <v>183</v>
      </c>
      <c r="AA447">
        <v>585</v>
      </c>
      <c r="AB447" t="s">
        <v>116</v>
      </c>
      <c r="AC447">
        <v>0</v>
      </c>
      <c r="AD447">
        <v>0</v>
      </c>
      <c r="AE447" t="s">
        <v>116</v>
      </c>
      <c r="AF447" t="s">
        <v>116</v>
      </c>
      <c r="AG447">
        <v>5.89</v>
      </c>
      <c r="AH447" t="s">
        <v>2983</v>
      </c>
      <c r="AI447" t="s">
        <v>2984</v>
      </c>
      <c r="AJ447">
        <v>0.31</v>
      </c>
      <c r="AK447">
        <v>1200</v>
      </c>
      <c r="AL447">
        <v>33</v>
      </c>
      <c r="AM447">
        <v>5.9999999999999995E-4</v>
      </c>
      <c r="AN447">
        <v>-1</v>
      </c>
      <c r="AO447">
        <v>0.12</v>
      </c>
      <c r="AP447">
        <v>1.25</v>
      </c>
      <c r="AQ447">
        <v>-1.7</v>
      </c>
      <c r="AR447">
        <v>-13.92</v>
      </c>
      <c r="AS447">
        <v>1.2</v>
      </c>
      <c r="AT447" t="s">
        <v>2985</v>
      </c>
      <c r="AU447">
        <v>38.76</v>
      </c>
      <c r="AV447">
        <v>21.51</v>
      </c>
      <c r="AW447">
        <v>0.88</v>
      </c>
      <c r="BA447">
        <v>0</v>
      </c>
      <c r="BB447">
        <v>0.74</v>
      </c>
      <c r="BC447">
        <v>-0.49</v>
      </c>
      <c r="BD447">
        <v>0.14000000000000001</v>
      </c>
      <c r="BE447">
        <v>-0.37</v>
      </c>
      <c r="BF447">
        <v>-1.1000000000000001</v>
      </c>
      <c r="BG447">
        <v>0.12</v>
      </c>
      <c r="BH447">
        <v>-0.51</v>
      </c>
      <c r="BI447">
        <v>20191031</v>
      </c>
      <c r="BJ447">
        <v>20000628</v>
      </c>
      <c r="BK447">
        <v>8.69</v>
      </c>
      <c r="BL447" t="s">
        <v>116</v>
      </c>
      <c r="BM447" t="s">
        <v>116</v>
      </c>
      <c r="BN447">
        <v>49.69</v>
      </c>
      <c r="BO447">
        <v>39.869999999999997</v>
      </c>
      <c r="BP447">
        <v>0.08</v>
      </c>
      <c r="BQ447">
        <v>19.59</v>
      </c>
      <c r="BR447">
        <v>25.36</v>
      </c>
      <c r="BS447">
        <v>10.55</v>
      </c>
      <c r="BT447">
        <v>2.89</v>
      </c>
      <c r="BU447">
        <v>8.9499999999999993</v>
      </c>
      <c r="BV447">
        <v>5.59</v>
      </c>
      <c r="BW447">
        <v>6.72</v>
      </c>
      <c r="BX447">
        <v>17.64</v>
      </c>
      <c r="BY447">
        <v>23.52</v>
      </c>
      <c r="BZ447">
        <v>8.98</v>
      </c>
      <c r="CA447">
        <v>2.4300000000000002</v>
      </c>
      <c r="CB447">
        <v>-0.19</v>
      </c>
      <c r="CC447">
        <v>2.44</v>
      </c>
      <c r="CD447">
        <v>1.86</v>
      </c>
      <c r="CE447">
        <v>1.89</v>
      </c>
      <c r="CF447">
        <v>1.67</v>
      </c>
      <c r="CG447">
        <v>13.34</v>
      </c>
      <c r="CH447">
        <v>6.28</v>
      </c>
      <c r="CI447">
        <v>-2.91</v>
      </c>
      <c r="CJ447">
        <v>37927</v>
      </c>
      <c r="CK447">
        <v>8636</v>
      </c>
      <c r="CL447" t="s">
        <v>2986</v>
      </c>
      <c r="CM447">
        <v>-43.54</v>
      </c>
      <c r="CN447">
        <v>-7.69</v>
      </c>
      <c r="CO447">
        <v>1.77</v>
      </c>
      <c r="CP447">
        <v>11.22</v>
      </c>
      <c r="CQ447">
        <v>2.99</v>
      </c>
      <c r="CR447">
        <v>4.7699999999999996</v>
      </c>
      <c r="CS447" t="s">
        <v>1244</v>
      </c>
      <c r="CT447">
        <v>4.59</v>
      </c>
      <c r="CU447">
        <v>0</v>
      </c>
      <c r="CV447">
        <v>2.0299999999999998</v>
      </c>
      <c r="CW447">
        <v>1.53</v>
      </c>
      <c r="CX447">
        <v>0.72</v>
      </c>
      <c r="CY447">
        <v>80.239999999999995</v>
      </c>
      <c r="CZ447" t="s">
        <v>2987</v>
      </c>
      <c r="DA447">
        <v>61.82</v>
      </c>
      <c r="DB447">
        <v>10.35</v>
      </c>
      <c r="DC447">
        <v>8.0299999999999994</v>
      </c>
      <c r="DD447">
        <v>0.7</v>
      </c>
      <c r="DE447">
        <v>4268</v>
      </c>
      <c r="DF447">
        <v>989</v>
      </c>
      <c r="DG447" t="s">
        <v>116</v>
      </c>
      <c r="DH447" t="s">
        <v>116</v>
      </c>
      <c r="DI447" t="s">
        <v>116</v>
      </c>
    </row>
    <row r="448" spans="1:113" x14ac:dyDescent="0.4">
      <c r="A448" t="str">
        <f>"000990"</f>
        <v>000990</v>
      </c>
      <c r="B448" t="s">
        <v>2988</v>
      </c>
      <c r="C448">
        <v>-1.27</v>
      </c>
      <c r="D448">
        <v>14.81</v>
      </c>
      <c r="E448">
        <v>-0.19</v>
      </c>
      <c r="F448">
        <v>14.8</v>
      </c>
      <c r="G448">
        <v>14.81</v>
      </c>
      <c r="H448">
        <v>100933</v>
      </c>
      <c r="I448">
        <v>998</v>
      </c>
      <c r="J448">
        <v>-0.46</v>
      </c>
      <c r="K448">
        <v>1.21</v>
      </c>
      <c r="L448">
        <v>15.05</v>
      </c>
      <c r="M448">
        <v>15.28</v>
      </c>
      <c r="N448">
        <v>14.8</v>
      </c>
      <c r="O448">
        <v>15</v>
      </c>
      <c r="P448">
        <v>40.630000000000003</v>
      </c>
      <c r="Q448">
        <v>151358848</v>
      </c>
      <c r="R448">
        <v>1.07</v>
      </c>
      <c r="S448" t="s">
        <v>891</v>
      </c>
      <c r="T448" t="s">
        <v>683</v>
      </c>
      <c r="U448">
        <v>3.2</v>
      </c>
      <c r="V448">
        <v>15</v>
      </c>
      <c r="W448">
        <v>50458</v>
      </c>
      <c r="X448">
        <v>50475</v>
      </c>
      <c r="Y448">
        <v>1</v>
      </c>
      <c r="Z448">
        <v>1497</v>
      </c>
      <c r="AA448">
        <v>85</v>
      </c>
      <c r="AB448" t="s">
        <v>116</v>
      </c>
      <c r="AC448">
        <v>1157300</v>
      </c>
      <c r="AD448">
        <v>0.02</v>
      </c>
      <c r="AE448" t="s">
        <v>116</v>
      </c>
      <c r="AF448" t="s">
        <v>116</v>
      </c>
      <c r="AG448">
        <v>8.34</v>
      </c>
      <c r="AH448" t="s">
        <v>2989</v>
      </c>
      <c r="AI448" t="s">
        <v>2990</v>
      </c>
      <c r="AJ448">
        <v>-0.59</v>
      </c>
      <c r="AK448">
        <v>3062</v>
      </c>
      <c r="AL448">
        <v>33</v>
      </c>
      <c r="AM448">
        <v>4.0000000000000002E-4</v>
      </c>
      <c r="AN448">
        <v>-1</v>
      </c>
      <c r="AO448">
        <v>4.4400000000000004</v>
      </c>
      <c r="AP448">
        <v>6.09</v>
      </c>
      <c r="AQ448">
        <v>2.21</v>
      </c>
      <c r="AR448">
        <v>26.37</v>
      </c>
      <c r="AS448">
        <v>2.99</v>
      </c>
      <c r="AT448" t="s">
        <v>2991</v>
      </c>
      <c r="AU448">
        <v>34.31</v>
      </c>
      <c r="AV448">
        <v>21.85</v>
      </c>
      <c r="AW448">
        <v>1.1399999999999999</v>
      </c>
      <c r="BA448">
        <v>0.33</v>
      </c>
      <c r="BB448">
        <v>1.87</v>
      </c>
      <c r="BC448">
        <v>-1.33</v>
      </c>
      <c r="BD448">
        <v>-0.03</v>
      </c>
      <c r="BE448">
        <v>-1.59</v>
      </c>
      <c r="BF448">
        <v>-3.08</v>
      </c>
      <c r="BG448">
        <v>7.0000000000000007E-2</v>
      </c>
      <c r="BH448">
        <v>-1.24</v>
      </c>
      <c r="BI448">
        <v>20191225</v>
      </c>
      <c r="BJ448">
        <v>20000706</v>
      </c>
      <c r="BK448">
        <v>12.53</v>
      </c>
      <c r="BL448" t="s">
        <v>116</v>
      </c>
      <c r="BM448" t="s">
        <v>116</v>
      </c>
      <c r="BN448">
        <v>241.1</v>
      </c>
      <c r="BO448">
        <v>164.13</v>
      </c>
      <c r="BP448">
        <v>0.74</v>
      </c>
      <c r="BQ448">
        <v>31.62</v>
      </c>
      <c r="BR448">
        <v>54.89</v>
      </c>
      <c r="BS448">
        <v>64.12</v>
      </c>
      <c r="BT448">
        <v>6.05</v>
      </c>
      <c r="BU448">
        <v>43.44</v>
      </c>
      <c r="BV448">
        <v>8.43</v>
      </c>
      <c r="BW448">
        <v>10.78</v>
      </c>
      <c r="BX448">
        <v>129.04</v>
      </c>
      <c r="BY448">
        <v>42.96</v>
      </c>
      <c r="BZ448">
        <v>30.56</v>
      </c>
      <c r="CA448">
        <v>3.71</v>
      </c>
      <c r="CB448">
        <v>-0.04</v>
      </c>
      <c r="CC448">
        <v>4.16</v>
      </c>
      <c r="CD448">
        <v>3.19</v>
      </c>
      <c r="CE448">
        <v>3.43</v>
      </c>
      <c r="CF448">
        <v>2.98</v>
      </c>
      <c r="CG448">
        <v>25.72</v>
      </c>
      <c r="CH448">
        <v>5.92</v>
      </c>
      <c r="CI448">
        <v>-4.21</v>
      </c>
      <c r="CJ448">
        <v>33972</v>
      </c>
      <c r="CK448">
        <v>9936</v>
      </c>
      <c r="CL448" t="s">
        <v>2992</v>
      </c>
      <c r="CM448">
        <v>-47.38</v>
      </c>
      <c r="CN448">
        <v>-1.54</v>
      </c>
      <c r="CO448">
        <v>1.1299999999999999</v>
      </c>
      <c r="CP448">
        <v>31.37</v>
      </c>
      <c r="CQ448">
        <v>4.32</v>
      </c>
      <c r="CR448">
        <v>1.9</v>
      </c>
      <c r="CS448" t="s">
        <v>2993</v>
      </c>
      <c r="CT448">
        <v>13.1</v>
      </c>
      <c r="CU448">
        <v>0</v>
      </c>
      <c r="CV448">
        <v>10.3</v>
      </c>
      <c r="CW448">
        <v>2.0499999999999998</v>
      </c>
      <c r="CX448">
        <v>0.47</v>
      </c>
      <c r="CY448">
        <v>68.069999999999993</v>
      </c>
      <c r="CZ448" t="s">
        <v>2994</v>
      </c>
      <c r="DA448">
        <v>28.86</v>
      </c>
      <c r="DB448">
        <v>8.64</v>
      </c>
      <c r="DC448">
        <v>7.97</v>
      </c>
      <c r="DD448">
        <v>1.39</v>
      </c>
      <c r="DE448">
        <v>4424</v>
      </c>
      <c r="DF448">
        <v>990</v>
      </c>
      <c r="DG448" t="s">
        <v>116</v>
      </c>
      <c r="DH448" t="s">
        <v>116</v>
      </c>
      <c r="DI448" t="s">
        <v>116</v>
      </c>
    </row>
    <row r="449" spans="1:113" x14ac:dyDescent="0.4">
      <c r="A449" t="str">
        <f>"000993"</f>
        <v>000993</v>
      </c>
      <c r="B449" t="s">
        <v>2995</v>
      </c>
      <c r="C449">
        <v>-0.41</v>
      </c>
      <c r="D449">
        <v>7.25</v>
      </c>
      <c r="E449">
        <v>-0.03</v>
      </c>
      <c r="F449">
        <v>7.25</v>
      </c>
      <c r="G449">
        <v>7.26</v>
      </c>
      <c r="H449">
        <v>73819</v>
      </c>
      <c r="I449">
        <v>1894</v>
      </c>
      <c r="J449">
        <v>-0.4</v>
      </c>
      <c r="K449">
        <v>1.98</v>
      </c>
      <c r="L449">
        <v>7.27</v>
      </c>
      <c r="M449">
        <v>7.46</v>
      </c>
      <c r="N449">
        <v>7.23</v>
      </c>
      <c r="O449">
        <v>7.28</v>
      </c>
      <c r="P449">
        <v>11.73</v>
      </c>
      <c r="Q449">
        <v>54144656</v>
      </c>
      <c r="R449">
        <v>1.72</v>
      </c>
      <c r="S449" t="s">
        <v>1363</v>
      </c>
      <c r="T449" t="s">
        <v>975</v>
      </c>
      <c r="U449">
        <v>3.16</v>
      </c>
      <c r="V449">
        <v>7.33</v>
      </c>
      <c r="W449">
        <v>36548</v>
      </c>
      <c r="X449">
        <v>37271</v>
      </c>
      <c r="Y449">
        <v>0.98</v>
      </c>
      <c r="Z449">
        <v>229</v>
      </c>
      <c r="AA449">
        <v>20</v>
      </c>
      <c r="AB449" t="s">
        <v>116</v>
      </c>
      <c r="AC449">
        <v>150500</v>
      </c>
      <c r="AD449">
        <v>0.01</v>
      </c>
      <c r="AE449" t="s">
        <v>116</v>
      </c>
      <c r="AF449" t="s">
        <v>116</v>
      </c>
      <c r="AG449">
        <v>3.73</v>
      </c>
      <c r="AH449" t="s">
        <v>1798</v>
      </c>
      <c r="AI449" t="s">
        <v>1441</v>
      </c>
      <c r="AJ449">
        <v>0.27</v>
      </c>
      <c r="AK449">
        <v>1461</v>
      </c>
      <c r="AL449">
        <v>51</v>
      </c>
      <c r="AM449">
        <v>1.4E-3</v>
      </c>
      <c r="AN449">
        <v>-1</v>
      </c>
      <c r="AO449">
        <v>1.54</v>
      </c>
      <c r="AP449">
        <v>5.84</v>
      </c>
      <c r="AQ449">
        <v>-1.0900000000000001</v>
      </c>
      <c r="AR449">
        <v>58.64</v>
      </c>
      <c r="AS449">
        <v>4.2300000000000004</v>
      </c>
      <c r="AT449" t="s">
        <v>2996</v>
      </c>
      <c r="AU449" t="s">
        <v>116</v>
      </c>
      <c r="AV449" t="s">
        <v>116</v>
      </c>
      <c r="AW449">
        <v>0.66</v>
      </c>
      <c r="BA449">
        <v>-0.14000000000000001</v>
      </c>
      <c r="BB449">
        <v>2.4700000000000002</v>
      </c>
      <c r="BC449">
        <v>-0.69</v>
      </c>
      <c r="BD449">
        <v>0.75</v>
      </c>
      <c r="BE449">
        <v>-0.28000000000000003</v>
      </c>
      <c r="BF449">
        <v>-2.82</v>
      </c>
      <c r="BG449">
        <v>0.28000000000000003</v>
      </c>
      <c r="BH449">
        <v>-1.1599999999999999</v>
      </c>
      <c r="BI449">
        <v>20191212</v>
      </c>
      <c r="BJ449">
        <v>20000731</v>
      </c>
      <c r="BK449">
        <v>4.58</v>
      </c>
      <c r="BL449" t="s">
        <v>116</v>
      </c>
      <c r="BM449" t="s">
        <v>116</v>
      </c>
      <c r="BN449">
        <v>37.97</v>
      </c>
      <c r="BO449">
        <v>21.11</v>
      </c>
      <c r="BP449">
        <v>0.83</v>
      </c>
      <c r="BQ449">
        <v>42.22</v>
      </c>
      <c r="BR449">
        <v>11.25</v>
      </c>
      <c r="BS449">
        <v>18.18</v>
      </c>
      <c r="BT449">
        <v>0.95</v>
      </c>
      <c r="BU449">
        <v>7.18</v>
      </c>
      <c r="BV449">
        <v>5.84</v>
      </c>
      <c r="BW449">
        <v>1.48</v>
      </c>
      <c r="BX449">
        <v>16.62</v>
      </c>
      <c r="BY449">
        <v>5.0999999999999996</v>
      </c>
      <c r="BZ449">
        <v>2.04</v>
      </c>
      <c r="CA449">
        <v>2.27</v>
      </c>
      <c r="CB449">
        <v>0.6</v>
      </c>
      <c r="CC449">
        <v>2.35</v>
      </c>
      <c r="CD449">
        <v>2.16</v>
      </c>
      <c r="CE449">
        <v>2.12</v>
      </c>
      <c r="CF449">
        <v>1.57</v>
      </c>
      <c r="CG449">
        <v>-0.34</v>
      </c>
      <c r="CH449">
        <v>1.92</v>
      </c>
      <c r="CI449">
        <v>-1.42</v>
      </c>
      <c r="CJ449">
        <v>37094</v>
      </c>
      <c r="CK449">
        <v>4705</v>
      </c>
      <c r="CL449" t="s">
        <v>1700</v>
      </c>
      <c r="CM449">
        <v>358.11</v>
      </c>
      <c r="CN449">
        <v>29.09</v>
      </c>
      <c r="CO449">
        <v>1.57</v>
      </c>
      <c r="CP449">
        <v>17.260000000000002</v>
      </c>
      <c r="CQ449">
        <v>6.51</v>
      </c>
      <c r="CR449">
        <v>0</v>
      </c>
      <c r="CS449" t="s">
        <v>2997</v>
      </c>
      <c r="CT449">
        <v>4.6100000000000003</v>
      </c>
      <c r="CU449">
        <v>0</v>
      </c>
      <c r="CV449">
        <v>3.63</v>
      </c>
      <c r="CW449">
        <v>-7.0000000000000007E-2</v>
      </c>
      <c r="CX449">
        <v>0.42</v>
      </c>
      <c r="CY449">
        <v>55.59</v>
      </c>
      <c r="CZ449" t="s">
        <v>2998</v>
      </c>
      <c r="DA449">
        <v>60</v>
      </c>
      <c r="DB449">
        <v>44.54</v>
      </c>
      <c r="DC449">
        <v>41.62</v>
      </c>
      <c r="DD449">
        <v>0</v>
      </c>
      <c r="DE449">
        <v>1991</v>
      </c>
      <c r="DF449">
        <v>993</v>
      </c>
      <c r="DG449" t="s">
        <v>116</v>
      </c>
      <c r="DH449" t="s">
        <v>116</v>
      </c>
      <c r="DI449" t="s">
        <v>116</v>
      </c>
    </row>
    <row r="450" spans="1:113" x14ac:dyDescent="0.4">
      <c r="A450" t="str">
        <f>"000996"</f>
        <v>000996</v>
      </c>
      <c r="B450" t="s">
        <v>2999</v>
      </c>
      <c r="C450">
        <v>-1.81</v>
      </c>
      <c r="D450">
        <v>10.33</v>
      </c>
      <c r="E450">
        <v>-0.19</v>
      </c>
      <c r="F450">
        <v>10.33</v>
      </c>
      <c r="G450">
        <v>10.34</v>
      </c>
      <c r="H450">
        <v>99122</v>
      </c>
      <c r="I450">
        <v>1053</v>
      </c>
      <c r="J450">
        <v>-0.18</v>
      </c>
      <c r="K450">
        <v>2.87</v>
      </c>
      <c r="L450">
        <v>10.48</v>
      </c>
      <c r="M450">
        <v>10.69</v>
      </c>
      <c r="N450">
        <v>10.33</v>
      </c>
      <c r="O450">
        <v>10.52</v>
      </c>
      <c r="P450">
        <v>603.66999999999996</v>
      </c>
      <c r="Q450">
        <v>104450264</v>
      </c>
      <c r="R450">
        <v>1.4</v>
      </c>
      <c r="S450" t="s">
        <v>256</v>
      </c>
      <c r="T450" t="s">
        <v>165</v>
      </c>
      <c r="U450">
        <v>3.42</v>
      </c>
      <c r="V450">
        <v>10.54</v>
      </c>
      <c r="W450">
        <v>52993</v>
      </c>
      <c r="X450">
        <v>46129</v>
      </c>
      <c r="Y450">
        <v>1.1499999999999999</v>
      </c>
      <c r="Z450">
        <v>202</v>
      </c>
      <c r="AA450">
        <v>177</v>
      </c>
      <c r="AB450" t="s">
        <v>116</v>
      </c>
      <c r="AC450">
        <v>335400</v>
      </c>
      <c r="AD450">
        <v>0.01</v>
      </c>
      <c r="AE450" t="s">
        <v>116</v>
      </c>
      <c r="AF450" t="s">
        <v>116</v>
      </c>
      <c r="AG450">
        <v>3.45</v>
      </c>
      <c r="AH450" t="s">
        <v>2780</v>
      </c>
      <c r="AI450" t="s">
        <v>2780</v>
      </c>
      <c r="AJ450">
        <v>-1.1299999999999999</v>
      </c>
      <c r="AK450">
        <v>2776</v>
      </c>
      <c r="AL450">
        <v>36</v>
      </c>
      <c r="AM450">
        <v>1E-3</v>
      </c>
      <c r="AN450">
        <v>-1</v>
      </c>
      <c r="AO450">
        <v>-0.96</v>
      </c>
      <c r="AP450">
        <v>4.66</v>
      </c>
      <c r="AQ450">
        <v>-3.19</v>
      </c>
      <c r="AR450">
        <v>23.56</v>
      </c>
      <c r="AS450">
        <v>3.57</v>
      </c>
      <c r="AT450" t="s">
        <v>3000</v>
      </c>
      <c r="AU450">
        <v>316.23</v>
      </c>
      <c r="AV450">
        <v>234.7</v>
      </c>
      <c r="AW450">
        <v>1.86</v>
      </c>
      <c r="BA450">
        <v>-0.38</v>
      </c>
      <c r="BB450">
        <v>1.62</v>
      </c>
      <c r="BC450">
        <v>-1.81</v>
      </c>
      <c r="BD450">
        <v>0.17</v>
      </c>
      <c r="BE450">
        <v>-1.43</v>
      </c>
      <c r="BF450">
        <v>-3.37</v>
      </c>
      <c r="BG450">
        <v>0</v>
      </c>
      <c r="BH450">
        <v>-1.97</v>
      </c>
      <c r="BI450">
        <v>20191031</v>
      </c>
      <c r="BJ450">
        <v>20000718</v>
      </c>
      <c r="BK450">
        <v>3.45</v>
      </c>
      <c r="BL450" t="s">
        <v>116</v>
      </c>
      <c r="BM450" t="s">
        <v>116</v>
      </c>
      <c r="BN450">
        <v>8.02</v>
      </c>
      <c r="BO450">
        <v>5.53</v>
      </c>
      <c r="BP450">
        <v>0</v>
      </c>
      <c r="BQ450">
        <v>31</v>
      </c>
      <c r="BR450">
        <v>1.94</v>
      </c>
      <c r="BS450">
        <v>0.03</v>
      </c>
      <c r="BT450">
        <v>0</v>
      </c>
      <c r="BU450">
        <v>2.15</v>
      </c>
      <c r="BV450">
        <v>0.15</v>
      </c>
      <c r="BW450">
        <v>0</v>
      </c>
      <c r="BX450">
        <v>0.42</v>
      </c>
      <c r="BY450">
        <v>0.45</v>
      </c>
      <c r="BZ450">
        <v>0.38</v>
      </c>
      <c r="CA450">
        <v>0.04</v>
      </c>
      <c r="CB450">
        <v>0.11</v>
      </c>
      <c r="CC450">
        <v>0.04</v>
      </c>
      <c r="CD450">
        <v>0.04</v>
      </c>
      <c r="CE450">
        <v>0.04</v>
      </c>
      <c r="CF450">
        <v>0.04</v>
      </c>
      <c r="CG450">
        <v>1.27</v>
      </c>
      <c r="CH450">
        <v>0.11</v>
      </c>
      <c r="CI450">
        <v>0.2</v>
      </c>
      <c r="CJ450">
        <v>49147</v>
      </c>
      <c r="CK450">
        <v>5655</v>
      </c>
      <c r="CL450" t="s">
        <v>3001</v>
      </c>
      <c r="CM450">
        <v>-46.93</v>
      </c>
      <c r="CN450">
        <v>12.97</v>
      </c>
      <c r="CO450">
        <v>6.44</v>
      </c>
      <c r="CP450">
        <v>326.99</v>
      </c>
      <c r="CQ450">
        <v>79.7</v>
      </c>
      <c r="CR450">
        <v>0</v>
      </c>
      <c r="CS450" t="s">
        <v>910</v>
      </c>
      <c r="CT450">
        <v>1.6</v>
      </c>
      <c r="CU450">
        <v>0</v>
      </c>
      <c r="CV450">
        <v>0.12</v>
      </c>
      <c r="CW450">
        <v>0.37</v>
      </c>
      <c r="CX450">
        <v>0.03</v>
      </c>
      <c r="CY450">
        <v>69</v>
      </c>
      <c r="CZ450" t="s">
        <v>3002</v>
      </c>
      <c r="DA450">
        <v>14.86</v>
      </c>
      <c r="DB450">
        <v>9.9</v>
      </c>
      <c r="DC450">
        <v>9.9</v>
      </c>
      <c r="DD450">
        <v>0</v>
      </c>
      <c r="DE450">
        <v>99</v>
      </c>
      <c r="DF450">
        <v>996</v>
      </c>
      <c r="DG450" t="s">
        <v>116</v>
      </c>
      <c r="DH450" t="s">
        <v>116</v>
      </c>
      <c r="DI450" t="s">
        <v>116</v>
      </c>
    </row>
    <row r="451" spans="1:113" x14ac:dyDescent="0.4">
      <c r="A451" t="str">
        <f>"000997"</f>
        <v>000997</v>
      </c>
      <c r="B451" t="s">
        <v>3003</v>
      </c>
      <c r="C451">
        <v>-1.1299999999999999</v>
      </c>
      <c r="D451">
        <v>15.69</v>
      </c>
      <c r="E451">
        <v>-0.18</v>
      </c>
      <c r="F451">
        <v>15.68</v>
      </c>
      <c r="G451">
        <v>15.69</v>
      </c>
      <c r="H451">
        <v>97004</v>
      </c>
      <c r="I451">
        <v>1370</v>
      </c>
      <c r="J451">
        <v>-0.18</v>
      </c>
      <c r="K451">
        <v>0.96</v>
      </c>
      <c r="L451">
        <v>15.91</v>
      </c>
      <c r="M451">
        <v>16.010000000000002</v>
      </c>
      <c r="N451">
        <v>15.68</v>
      </c>
      <c r="O451">
        <v>15.87</v>
      </c>
      <c r="P451">
        <v>19.579999999999998</v>
      </c>
      <c r="Q451">
        <v>153807728</v>
      </c>
      <c r="R451">
        <v>0.83</v>
      </c>
      <c r="S451" t="s">
        <v>607</v>
      </c>
      <c r="T451" t="s">
        <v>975</v>
      </c>
      <c r="U451">
        <v>2.08</v>
      </c>
      <c r="V451">
        <v>15.86</v>
      </c>
      <c r="W451">
        <v>53433</v>
      </c>
      <c r="X451">
        <v>43571</v>
      </c>
      <c r="Y451">
        <v>1.23</v>
      </c>
      <c r="Z451">
        <v>389</v>
      </c>
      <c r="AA451">
        <v>276</v>
      </c>
      <c r="AB451" t="s">
        <v>116</v>
      </c>
      <c r="AC451">
        <v>235500</v>
      </c>
      <c r="AD451">
        <v>0</v>
      </c>
      <c r="AE451" t="s">
        <v>116</v>
      </c>
      <c r="AF451" t="s">
        <v>116</v>
      </c>
      <c r="AG451">
        <v>10.07</v>
      </c>
      <c r="AH451" t="s">
        <v>3004</v>
      </c>
      <c r="AI451" t="s">
        <v>3005</v>
      </c>
      <c r="AJ451">
        <v>-0.46</v>
      </c>
      <c r="AK451">
        <v>2830</v>
      </c>
      <c r="AL451">
        <v>34</v>
      </c>
      <c r="AM451">
        <v>2.9999999999999997E-4</v>
      </c>
      <c r="AN451">
        <v>-1</v>
      </c>
      <c r="AO451">
        <v>-0.68</v>
      </c>
      <c r="AP451">
        <v>4.95</v>
      </c>
      <c r="AQ451">
        <v>-6.27</v>
      </c>
      <c r="AR451">
        <v>9.41</v>
      </c>
      <c r="AS451">
        <v>1.39</v>
      </c>
      <c r="AT451" t="s">
        <v>3006</v>
      </c>
      <c r="AU451">
        <v>22.32</v>
      </c>
      <c r="AV451">
        <v>27.96</v>
      </c>
      <c r="AW451">
        <v>1.43</v>
      </c>
      <c r="BA451">
        <v>0.25</v>
      </c>
      <c r="BB451">
        <v>0.88</v>
      </c>
      <c r="BC451">
        <v>-1.2</v>
      </c>
      <c r="BD451">
        <v>-0.09</v>
      </c>
      <c r="BE451">
        <v>-1.38</v>
      </c>
      <c r="BF451">
        <v>-2</v>
      </c>
      <c r="BG451">
        <v>0.06</v>
      </c>
      <c r="BH451">
        <v>-1.05</v>
      </c>
      <c r="BI451">
        <v>20191204</v>
      </c>
      <c r="BJ451">
        <v>20000807</v>
      </c>
      <c r="BK451">
        <v>10.44</v>
      </c>
      <c r="BL451" t="s">
        <v>116</v>
      </c>
      <c r="BM451" t="s">
        <v>116</v>
      </c>
      <c r="BN451">
        <v>109.03</v>
      </c>
      <c r="BO451">
        <v>56.76</v>
      </c>
      <c r="BP451">
        <v>3.41</v>
      </c>
      <c r="BQ451">
        <v>44.81</v>
      </c>
      <c r="BR451">
        <v>69.41</v>
      </c>
      <c r="BS451">
        <v>6.51</v>
      </c>
      <c r="BT451">
        <v>1.8</v>
      </c>
      <c r="BU451">
        <v>44.25</v>
      </c>
      <c r="BV451">
        <v>10.050000000000001</v>
      </c>
      <c r="BW451">
        <v>8.9</v>
      </c>
      <c r="BX451">
        <v>18.29</v>
      </c>
      <c r="BY451">
        <v>38.75</v>
      </c>
      <c r="BZ451">
        <v>25.84</v>
      </c>
      <c r="CA451">
        <v>7.16</v>
      </c>
      <c r="CB451">
        <v>0.22</v>
      </c>
      <c r="CC451">
        <v>7.15</v>
      </c>
      <c r="CD451">
        <v>6.46</v>
      </c>
      <c r="CE451">
        <v>6.27</v>
      </c>
      <c r="CF451">
        <v>5.49</v>
      </c>
      <c r="CG451">
        <v>28.96</v>
      </c>
      <c r="CH451">
        <v>0.4</v>
      </c>
      <c r="CI451">
        <v>-3.91</v>
      </c>
      <c r="CJ451">
        <v>84203</v>
      </c>
      <c r="CK451">
        <v>8285</v>
      </c>
      <c r="CL451" t="s">
        <v>3007</v>
      </c>
      <c r="CM451">
        <v>30.87</v>
      </c>
      <c r="CN451">
        <v>-3.73</v>
      </c>
      <c r="CO451">
        <v>2.89</v>
      </c>
      <c r="CP451">
        <v>408.8</v>
      </c>
      <c r="CQ451">
        <v>4.2300000000000004</v>
      </c>
      <c r="CR451">
        <v>1.91</v>
      </c>
      <c r="CS451" t="s">
        <v>306</v>
      </c>
      <c r="CT451">
        <v>5.44</v>
      </c>
      <c r="CU451">
        <v>0</v>
      </c>
      <c r="CV451">
        <v>1.75</v>
      </c>
      <c r="CW451">
        <v>2.77</v>
      </c>
      <c r="CX451">
        <v>0.04</v>
      </c>
      <c r="CY451">
        <v>52.06</v>
      </c>
      <c r="CZ451" t="s">
        <v>3008</v>
      </c>
      <c r="DA451">
        <v>33.32</v>
      </c>
      <c r="DB451">
        <v>18.48</v>
      </c>
      <c r="DC451">
        <v>16.190000000000001</v>
      </c>
      <c r="DD451">
        <v>3.87</v>
      </c>
      <c r="DE451">
        <v>5370</v>
      </c>
      <c r="DF451">
        <v>997</v>
      </c>
      <c r="DG451" t="s">
        <v>116</v>
      </c>
      <c r="DH451" t="s">
        <v>116</v>
      </c>
      <c r="DI451" t="s">
        <v>116</v>
      </c>
    </row>
    <row r="452" spans="1:113" x14ac:dyDescent="0.4">
      <c r="A452" t="str">
        <f>"000998"</f>
        <v>000998</v>
      </c>
      <c r="B452" t="s">
        <v>3009</v>
      </c>
      <c r="C452">
        <v>-0.56000000000000005</v>
      </c>
      <c r="D452">
        <v>12.53</v>
      </c>
      <c r="E452">
        <v>-7.0000000000000007E-2</v>
      </c>
      <c r="F452">
        <v>12.53</v>
      </c>
      <c r="G452">
        <v>12.54</v>
      </c>
      <c r="H452">
        <v>107912</v>
      </c>
      <c r="I452">
        <v>1564</v>
      </c>
      <c r="J452">
        <v>-7.0000000000000007E-2</v>
      </c>
      <c r="K452">
        <v>1.1200000000000001</v>
      </c>
      <c r="L452">
        <v>12.6</v>
      </c>
      <c r="M452">
        <v>12.64</v>
      </c>
      <c r="N452">
        <v>12.51</v>
      </c>
      <c r="O452">
        <v>12.6</v>
      </c>
      <c r="P452" t="s">
        <v>116</v>
      </c>
      <c r="Q452">
        <v>135626736</v>
      </c>
      <c r="R452">
        <v>0.85</v>
      </c>
      <c r="S452" t="s">
        <v>1871</v>
      </c>
      <c r="T452" t="s">
        <v>599</v>
      </c>
      <c r="U452">
        <v>1.03</v>
      </c>
      <c r="V452">
        <v>12.57</v>
      </c>
      <c r="W452">
        <v>60417</v>
      </c>
      <c r="X452">
        <v>47495</v>
      </c>
      <c r="Y452">
        <v>1.27</v>
      </c>
      <c r="Z452">
        <v>411</v>
      </c>
      <c r="AA452">
        <v>228</v>
      </c>
      <c r="AB452" t="s">
        <v>116</v>
      </c>
      <c r="AC452">
        <v>153700</v>
      </c>
      <c r="AD452">
        <v>0</v>
      </c>
      <c r="AE452" t="s">
        <v>116</v>
      </c>
      <c r="AF452" t="s">
        <v>116</v>
      </c>
      <c r="AG452">
        <v>9.65</v>
      </c>
      <c r="AH452" t="s">
        <v>3010</v>
      </c>
      <c r="AI452" t="s">
        <v>3011</v>
      </c>
      <c r="AJ452">
        <v>0.12</v>
      </c>
      <c r="AK452">
        <v>2514</v>
      </c>
      <c r="AL452">
        <v>43</v>
      </c>
      <c r="AM452">
        <v>4.0000000000000002E-4</v>
      </c>
      <c r="AN452">
        <v>-3</v>
      </c>
      <c r="AO452">
        <v>-2.12</v>
      </c>
      <c r="AP452">
        <v>-1.73</v>
      </c>
      <c r="AQ452">
        <v>0.48</v>
      </c>
      <c r="AR452">
        <v>-14.18</v>
      </c>
      <c r="AS452">
        <v>1.33</v>
      </c>
      <c r="AT452" t="s">
        <v>3012</v>
      </c>
      <c r="AU452">
        <v>37.08</v>
      </c>
      <c r="AV452">
        <v>20.86</v>
      </c>
      <c r="AW452">
        <v>0.38</v>
      </c>
      <c r="BA452">
        <v>0</v>
      </c>
      <c r="BB452">
        <v>0.32</v>
      </c>
      <c r="BC452">
        <v>-0.71</v>
      </c>
      <c r="BD452">
        <v>-0.25</v>
      </c>
      <c r="BE452">
        <v>-0.56000000000000005</v>
      </c>
      <c r="BF452">
        <v>-0.87</v>
      </c>
      <c r="BG452">
        <v>0.16</v>
      </c>
      <c r="BH452">
        <v>-0.3</v>
      </c>
      <c r="BI452">
        <v>20191024</v>
      </c>
      <c r="BJ452">
        <v>20001211</v>
      </c>
      <c r="BK452">
        <v>13.17</v>
      </c>
      <c r="BL452" t="s">
        <v>116</v>
      </c>
      <c r="BM452" t="s">
        <v>116</v>
      </c>
      <c r="BN452">
        <v>156.1</v>
      </c>
      <c r="BO452">
        <v>62.05</v>
      </c>
      <c r="BP452">
        <v>6.81</v>
      </c>
      <c r="BQ452">
        <v>55.89</v>
      </c>
      <c r="BR452">
        <v>72.02</v>
      </c>
      <c r="BS452">
        <v>14.23</v>
      </c>
      <c r="BT452">
        <v>10.42</v>
      </c>
      <c r="BU452">
        <v>53.85</v>
      </c>
      <c r="BV452">
        <v>32.03</v>
      </c>
      <c r="BW452">
        <v>6.01</v>
      </c>
      <c r="BX452">
        <v>29.63</v>
      </c>
      <c r="BY452">
        <v>11.99</v>
      </c>
      <c r="BZ452">
        <v>6.44</v>
      </c>
      <c r="CA452">
        <v>-2.0499999999999998</v>
      </c>
      <c r="CB452">
        <v>-0.61</v>
      </c>
      <c r="CC452">
        <v>-2.11</v>
      </c>
      <c r="CD452">
        <v>-2.2000000000000002</v>
      </c>
      <c r="CE452">
        <v>-2.69</v>
      </c>
      <c r="CF452">
        <v>-3.29</v>
      </c>
      <c r="CG452">
        <v>21.28</v>
      </c>
      <c r="CH452">
        <v>-2.99</v>
      </c>
      <c r="CI452">
        <v>-5.18</v>
      </c>
      <c r="CJ452">
        <v>87761</v>
      </c>
      <c r="CK452">
        <v>9211</v>
      </c>
      <c r="CL452" t="s">
        <v>3013</v>
      </c>
      <c r="CM452">
        <v>-447.9</v>
      </c>
      <c r="CN452">
        <v>-17.66</v>
      </c>
      <c r="CO452">
        <v>2.66</v>
      </c>
      <c r="CP452">
        <v>-55.12</v>
      </c>
      <c r="CQ452">
        <v>13.76</v>
      </c>
      <c r="CR452">
        <v>1.58</v>
      </c>
      <c r="CS452" t="s">
        <v>3014</v>
      </c>
      <c r="CT452">
        <v>4.71</v>
      </c>
      <c r="CU452">
        <v>0</v>
      </c>
      <c r="CV452">
        <v>2.25</v>
      </c>
      <c r="CW452">
        <v>1.62</v>
      </c>
      <c r="CX452">
        <v>-0.23</v>
      </c>
      <c r="CY452">
        <v>39.75</v>
      </c>
      <c r="CZ452" t="s">
        <v>3015</v>
      </c>
      <c r="DA452">
        <v>46.32</v>
      </c>
      <c r="DB452">
        <v>-17.059999999999999</v>
      </c>
      <c r="DC452">
        <v>-22.4</v>
      </c>
      <c r="DD452">
        <v>0.49</v>
      </c>
      <c r="DE452">
        <v>2991</v>
      </c>
      <c r="DF452">
        <v>998</v>
      </c>
      <c r="DG452" t="s">
        <v>116</v>
      </c>
      <c r="DH452" t="s">
        <v>116</v>
      </c>
      <c r="DI452" t="s">
        <v>116</v>
      </c>
    </row>
    <row r="453" spans="1:113" x14ac:dyDescent="0.4">
      <c r="A453" t="str">
        <f>"000999"</f>
        <v>000999</v>
      </c>
      <c r="B453" t="s">
        <v>3016</v>
      </c>
      <c r="C453">
        <v>-1.26</v>
      </c>
      <c r="D453">
        <v>29.88</v>
      </c>
      <c r="E453">
        <v>-0.38</v>
      </c>
      <c r="F453">
        <v>29.87</v>
      </c>
      <c r="G453">
        <v>29.88</v>
      </c>
      <c r="H453">
        <v>31536</v>
      </c>
      <c r="I453">
        <v>448</v>
      </c>
      <c r="J453">
        <v>0.17</v>
      </c>
      <c r="K453">
        <v>0.32</v>
      </c>
      <c r="L453">
        <v>30.31</v>
      </c>
      <c r="M453">
        <v>30.39</v>
      </c>
      <c r="N453">
        <v>29.83</v>
      </c>
      <c r="O453">
        <v>30.26</v>
      </c>
      <c r="P453">
        <v>11.14</v>
      </c>
      <c r="Q453">
        <v>95024248</v>
      </c>
      <c r="R453">
        <v>1.18</v>
      </c>
      <c r="S453" t="s">
        <v>781</v>
      </c>
      <c r="T453" t="s">
        <v>115</v>
      </c>
      <c r="U453">
        <v>1.85</v>
      </c>
      <c r="V453">
        <v>30.13</v>
      </c>
      <c r="W453">
        <v>19073</v>
      </c>
      <c r="X453">
        <v>12463</v>
      </c>
      <c r="Y453">
        <v>1.53</v>
      </c>
      <c r="Z453">
        <v>2</v>
      </c>
      <c r="AA453">
        <v>24</v>
      </c>
      <c r="AB453" t="s">
        <v>116</v>
      </c>
      <c r="AC453">
        <v>81800</v>
      </c>
      <c r="AD453">
        <v>0</v>
      </c>
      <c r="AE453" t="s">
        <v>116</v>
      </c>
      <c r="AF453" t="s">
        <v>116</v>
      </c>
      <c r="AG453">
        <v>9.7799999999999994</v>
      </c>
      <c r="AH453" t="s">
        <v>3017</v>
      </c>
      <c r="AI453" t="s">
        <v>3018</v>
      </c>
      <c r="AJ453">
        <v>-0.57999999999999996</v>
      </c>
      <c r="AK453">
        <v>2024</v>
      </c>
      <c r="AL453">
        <v>16</v>
      </c>
      <c r="AM453">
        <v>2.0000000000000001E-4</v>
      </c>
      <c r="AN453">
        <v>-1</v>
      </c>
      <c r="AO453">
        <v>-1.36</v>
      </c>
      <c r="AP453">
        <v>1.67</v>
      </c>
      <c r="AQ453">
        <v>2.36</v>
      </c>
      <c r="AR453">
        <v>22.11</v>
      </c>
      <c r="AS453">
        <v>0.89</v>
      </c>
      <c r="AT453" t="s">
        <v>3019</v>
      </c>
      <c r="AU453">
        <v>12.78</v>
      </c>
      <c r="AV453">
        <v>20.420000000000002</v>
      </c>
      <c r="AW453">
        <v>0.86</v>
      </c>
      <c r="BA453">
        <v>0.17</v>
      </c>
      <c r="BB453">
        <v>0.43</v>
      </c>
      <c r="BC453">
        <v>-1.42</v>
      </c>
      <c r="BD453">
        <v>-0.42</v>
      </c>
      <c r="BE453">
        <v>-1.42</v>
      </c>
      <c r="BF453">
        <v>-1.68</v>
      </c>
      <c r="BG453">
        <v>0.17</v>
      </c>
      <c r="BH453">
        <v>-0.83</v>
      </c>
      <c r="BI453">
        <v>20191223</v>
      </c>
      <c r="BJ453">
        <v>20000309</v>
      </c>
      <c r="BK453">
        <v>9.7899999999999991</v>
      </c>
      <c r="BL453" t="s">
        <v>116</v>
      </c>
      <c r="BM453" t="s">
        <v>116</v>
      </c>
      <c r="BN453">
        <v>183.14</v>
      </c>
      <c r="BO453">
        <v>124.21</v>
      </c>
      <c r="BP453">
        <v>3.06</v>
      </c>
      <c r="BQ453">
        <v>30.51</v>
      </c>
      <c r="BR453">
        <v>87.81</v>
      </c>
      <c r="BS453">
        <v>32.130000000000003</v>
      </c>
      <c r="BT453">
        <v>18.18</v>
      </c>
      <c r="BU453">
        <v>50.54</v>
      </c>
      <c r="BV453">
        <v>15.85</v>
      </c>
      <c r="BW453">
        <v>23.56</v>
      </c>
      <c r="BX453">
        <v>11.81</v>
      </c>
      <c r="BY453">
        <v>101.87</v>
      </c>
      <c r="BZ453">
        <v>34.090000000000003</v>
      </c>
      <c r="CA453">
        <v>23.7</v>
      </c>
      <c r="CB453">
        <v>7.87</v>
      </c>
      <c r="CC453">
        <v>23.87</v>
      </c>
      <c r="CD453">
        <v>19.84</v>
      </c>
      <c r="CE453">
        <v>19.690000000000001</v>
      </c>
      <c r="CF453">
        <v>11.76</v>
      </c>
      <c r="CG453">
        <v>97.29</v>
      </c>
      <c r="CH453">
        <v>15.19</v>
      </c>
      <c r="CI453">
        <v>-9.92</v>
      </c>
      <c r="CJ453">
        <v>26396</v>
      </c>
      <c r="CK453">
        <v>13480</v>
      </c>
      <c r="CL453" t="s">
        <v>3020</v>
      </c>
      <c r="CM453">
        <v>77.03</v>
      </c>
      <c r="CN453">
        <v>7.87</v>
      </c>
      <c r="CO453">
        <v>2.35</v>
      </c>
      <c r="CP453">
        <v>19.260000000000002</v>
      </c>
      <c r="CQ453">
        <v>2.87</v>
      </c>
      <c r="CR453">
        <v>1.31</v>
      </c>
      <c r="CS453" t="s">
        <v>3021</v>
      </c>
      <c r="CT453">
        <v>12.69</v>
      </c>
      <c r="CU453">
        <v>0</v>
      </c>
      <c r="CV453">
        <v>1.21</v>
      </c>
      <c r="CW453">
        <v>9.94</v>
      </c>
      <c r="CX453">
        <v>1.55</v>
      </c>
      <c r="CY453">
        <v>67.819999999999993</v>
      </c>
      <c r="CZ453" t="s">
        <v>3022</v>
      </c>
      <c r="DA453">
        <v>66.540000000000006</v>
      </c>
      <c r="DB453">
        <v>23.27</v>
      </c>
      <c r="DC453">
        <v>19.329999999999998</v>
      </c>
      <c r="DD453">
        <v>2.7</v>
      </c>
      <c r="DE453">
        <v>15044</v>
      </c>
      <c r="DF453">
        <v>999</v>
      </c>
      <c r="DG453" t="s">
        <v>116</v>
      </c>
      <c r="DH453" t="s">
        <v>116</v>
      </c>
      <c r="DI453" t="s">
        <v>116</v>
      </c>
    </row>
    <row r="454" spans="1:113" x14ac:dyDescent="0.4">
      <c r="A454" t="str">
        <f>"001696"</f>
        <v>001696</v>
      </c>
      <c r="B454" t="s">
        <v>3023</v>
      </c>
      <c r="C454">
        <v>-1.87</v>
      </c>
      <c r="D454">
        <v>5.78</v>
      </c>
      <c r="E454">
        <v>-0.11</v>
      </c>
      <c r="F454">
        <v>5.77</v>
      </c>
      <c r="G454">
        <v>5.78</v>
      </c>
      <c r="H454">
        <v>136905</v>
      </c>
      <c r="I454">
        <v>910</v>
      </c>
      <c r="J454">
        <v>0</v>
      </c>
      <c r="K454">
        <v>1.54</v>
      </c>
      <c r="L454">
        <v>5.89</v>
      </c>
      <c r="M454">
        <v>5.91</v>
      </c>
      <c r="N454">
        <v>5.76</v>
      </c>
      <c r="O454">
        <v>5.89</v>
      </c>
      <c r="P454">
        <v>14.66</v>
      </c>
      <c r="Q454">
        <v>79891288</v>
      </c>
      <c r="R454">
        <v>1.17</v>
      </c>
      <c r="S454" t="s">
        <v>2657</v>
      </c>
      <c r="T454" t="s">
        <v>906</v>
      </c>
      <c r="U454">
        <v>2.5499999999999998</v>
      </c>
      <c r="V454">
        <v>5.84</v>
      </c>
      <c r="W454">
        <v>90351</v>
      </c>
      <c r="X454">
        <v>46554</v>
      </c>
      <c r="Y454">
        <v>1.94</v>
      </c>
      <c r="Z454">
        <v>466</v>
      </c>
      <c r="AA454">
        <v>153</v>
      </c>
      <c r="AB454" t="s">
        <v>116</v>
      </c>
      <c r="AC454">
        <v>361100</v>
      </c>
      <c r="AD454">
        <v>0.01</v>
      </c>
      <c r="AE454" t="s">
        <v>116</v>
      </c>
      <c r="AF454" t="s">
        <v>116</v>
      </c>
      <c r="AG454">
        <v>8.91</v>
      </c>
      <c r="AH454" t="s">
        <v>3024</v>
      </c>
      <c r="AI454" t="s">
        <v>3025</v>
      </c>
      <c r="AJ454">
        <v>-1.19</v>
      </c>
      <c r="AK454">
        <v>2360</v>
      </c>
      <c r="AL454">
        <v>58</v>
      </c>
      <c r="AM454">
        <v>6.9999999999999999E-4</v>
      </c>
      <c r="AN454">
        <v>-1</v>
      </c>
      <c r="AO454">
        <v>-0.35</v>
      </c>
      <c r="AP454">
        <v>8.85</v>
      </c>
      <c r="AQ454">
        <v>0.52</v>
      </c>
      <c r="AR454">
        <v>39.950000000000003</v>
      </c>
      <c r="AS454">
        <v>2.02</v>
      </c>
      <c r="AT454" t="s">
        <v>3026</v>
      </c>
      <c r="AU454">
        <v>15.78</v>
      </c>
      <c r="AV454">
        <v>17.690000000000001</v>
      </c>
      <c r="AW454">
        <v>1.1499999999999999</v>
      </c>
      <c r="BA454">
        <v>0</v>
      </c>
      <c r="BB454">
        <v>0.34</v>
      </c>
      <c r="BC454">
        <v>-2.21</v>
      </c>
      <c r="BD454">
        <v>-0.92</v>
      </c>
      <c r="BE454">
        <v>-1.87</v>
      </c>
      <c r="BF454">
        <v>-2.2000000000000002</v>
      </c>
      <c r="BG454">
        <v>0.35</v>
      </c>
      <c r="BH454">
        <v>-0.94</v>
      </c>
      <c r="BI454">
        <v>20191031</v>
      </c>
      <c r="BJ454">
        <v>19970306</v>
      </c>
      <c r="BK454">
        <v>11.45</v>
      </c>
      <c r="BL454" t="s">
        <v>116</v>
      </c>
      <c r="BM454" t="s">
        <v>116</v>
      </c>
      <c r="BN454">
        <v>82.93</v>
      </c>
      <c r="BO454">
        <v>41.74</v>
      </c>
      <c r="BP454">
        <v>4.8899999999999997</v>
      </c>
      <c r="BQ454">
        <v>43.77</v>
      </c>
      <c r="BR454">
        <v>43.5</v>
      </c>
      <c r="BS454">
        <v>7.86</v>
      </c>
      <c r="BT454">
        <v>1.83</v>
      </c>
      <c r="BU454">
        <v>26.33</v>
      </c>
      <c r="BV454">
        <v>5.41</v>
      </c>
      <c r="BW454">
        <v>11.06</v>
      </c>
      <c r="BX454">
        <v>5.5</v>
      </c>
      <c r="BY454">
        <v>40.79</v>
      </c>
      <c r="BZ454">
        <v>33.08</v>
      </c>
      <c r="CA454">
        <v>4.33</v>
      </c>
      <c r="CB454">
        <v>0.06</v>
      </c>
      <c r="CC454">
        <v>4.3099999999999996</v>
      </c>
      <c r="CD454">
        <v>3.73</v>
      </c>
      <c r="CE454">
        <v>3.39</v>
      </c>
      <c r="CF454">
        <v>3.34</v>
      </c>
      <c r="CG454">
        <v>21.07</v>
      </c>
      <c r="CH454">
        <v>6.6</v>
      </c>
      <c r="CI454">
        <v>-1.59</v>
      </c>
      <c r="CJ454">
        <v>88732</v>
      </c>
      <c r="CK454">
        <v>7621</v>
      </c>
      <c r="CL454" t="s">
        <v>3027</v>
      </c>
      <c r="CM454">
        <v>15.5</v>
      </c>
      <c r="CN454">
        <v>-8.66</v>
      </c>
      <c r="CO454">
        <v>1.59</v>
      </c>
      <c r="CP454">
        <v>10.029999999999999</v>
      </c>
      <c r="CQ454">
        <v>1.62</v>
      </c>
      <c r="CR454">
        <v>3.98</v>
      </c>
      <c r="CS454" t="s">
        <v>3028</v>
      </c>
      <c r="CT454">
        <v>3.65</v>
      </c>
      <c r="CU454">
        <v>0</v>
      </c>
      <c r="CV454">
        <v>0.48</v>
      </c>
      <c r="CW454">
        <v>1.84</v>
      </c>
      <c r="CX454">
        <v>0.57999999999999996</v>
      </c>
      <c r="CY454">
        <v>50.33</v>
      </c>
      <c r="CZ454" t="s">
        <v>3029</v>
      </c>
      <c r="DA454">
        <v>18.899999999999999</v>
      </c>
      <c r="DB454">
        <v>10.61</v>
      </c>
      <c r="DC454">
        <v>8.3000000000000007</v>
      </c>
      <c r="DD454">
        <v>1.0900000000000001</v>
      </c>
      <c r="DE454">
        <v>6089</v>
      </c>
      <c r="DF454">
        <v>1696</v>
      </c>
      <c r="DG454" t="s">
        <v>116</v>
      </c>
      <c r="DH454" t="s">
        <v>116</v>
      </c>
      <c r="DI454" t="s">
        <v>116</v>
      </c>
    </row>
    <row r="455" spans="1:113" x14ac:dyDescent="0.4">
      <c r="A455" t="str">
        <f>"001872"</f>
        <v>001872</v>
      </c>
      <c r="B455" t="s">
        <v>3030</v>
      </c>
      <c r="C455">
        <v>-0.24</v>
      </c>
      <c r="D455">
        <v>16.670000000000002</v>
      </c>
      <c r="E455">
        <v>-0.04</v>
      </c>
      <c r="F455">
        <v>16.66</v>
      </c>
      <c r="G455">
        <v>16.670000000000002</v>
      </c>
      <c r="H455">
        <v>13380</v>
      </c>
      <c r="I455">
        <v>125</v>
      </c>
      <c r="J455">
        <v>0.06</v>
      </c>
      <c r="K455">
        <v>0.28999999999999998</v>
      </c>
      <c r="L455">
        <v>16.78</v>
      </c>
      <c r="M455">
        <v>16.79</v>
      </c>
      <c r="N455">
        <v>16.649999999999999</v>
      </c>
      <c r="O455">
        <v>16.71</v>
      </c>
      <c r="P455">
        <v>9.73</v>
      </c>
      <c r="Q455">
        <v>22381970</v>
      </c>
      <c r="R455">
        <v>1.3</v>
      </c>
      <c r="S455" t="s">
        <v>515</v>
      </c>
      <c r="T455" t="s">
        <v>115</v>
      </c>
      <c r="U455">
        <v>0.84</v>
      </c>
      <c r="V455">
        <v>16.73</v>
      </c>
      <c r="W455">
        <v>8522</v>
      </c>
      <c r="X455">
        <v>4858</v>
      </c>
      <c r="Y455">
        <v>1.75</v>
      </c>
      <c r="Z455">
        <v>13</v>
      </c>
      <c r="AA455">
        <v>48</v>
      </c>
      <c r="AB455" t="s">
        <v>116</v>
      </c>
      <c r="AC455">
        <v>26800</v>
      </c>
      <c r="AD455">
        <v>0</v>
      </c>
      <c r="AE455" t="s">
        <v>116</v>
      </c>
      <c r="AF455" t="s">
        <v>116</v>
      </c>
      <c r="AG455">
        <v>4.6500000000000004</v>
      </c>
      <c r="AH455" t="s">
        <v>3031</v>
      </c>
      <c r="AI455" t="s">
        <v>3032</v>
      </c>
      <c r="AJ455">
        <v>0.44</v>
      </c>
      <c r="AK455">
        <v>1083</v>
      </c>
      <c r="AL455">
        <v>12</v>
      </c>
      <c r="AM455">
        <v>2.9999999999999997E-4</v>
      </c>
      <c r="AN455">
        <v>-1</v>
      </c>
      <c r="AO455">
        <v>-0.83</v>
      </c>
      <c r="AP455">
        <v>3.54</v>
      </c>
      <c r="AQ455">
        <v>-3.92</v>
      </c>
      <c r="AR455">
        <v>11.83</v>
      </c>
      <c r="AS455">
        <v>1.42</v>
      </c>
      <c r="AT455" t="s">
        <v>3033</v>
      </c>
      <c r="AU455">
        <v>12.03</v>
      </c>
      <c r="AV455">
        <v>29.39</v>
      </c>
      <c r="AW455">
        <v>0.7</v>
      </c>
      <c r="BA455">
        <v>0.42</v>
      </c>
      <c r="BB455">
        <v>0.48</v>
      </c>
      <c r="BC455">
        <v>-0.36</v>
      </c>
      <c r="BD455">
        <v>0.11</v>
      </c>
      <c r="BE455">
        <v>-0.66</v>
      </c>
      <c r="BF455">
        <v>-0.71</v>
      </c>
      <c r="BG455">
        <v>0.12</v>
      </c>
      <c r="BH455">
        <v>-0.35</v>
      </c>
      <c r="BI455">
        <v>20191101</v>
      </c>
      <c r="BJ455">
        <v>19930505</v>
      </c>
      <c r="BK455">
        <v>19.22</v>
      </c>
      <c r="BL455">
        <v>1.8</v>
      </c>
      <c r="BM455" t="s">
        <v>116</v>
      </c>
      <c r="BN455">
        <v>1526.33</v>
      </c>
      <c r="BO455">
        <v>330.06</v>
      </c>
      <c r="BP455">
        <v>562.72</v>
      </c>
      <c r="BQ455">
        <v>41.51</v>
      </c>
      <c r="BR455">
        <v>121.59</v>
      </c>
      <c r="BS455">
        <v>258.76</v>
      </c>
      <c r="BT455">
        <v>220.57</v>
      </c>
      <c r="BU455">
        <v>217.03</v>
      </c>
      <c r="BV455">
        <v>1.78</v>
      </c>
      <c r="BW455">
        <v>20.010000000000002</v>
      </c>
      <c r="BX455">
        <v>198.55</v>
      </c>
      <c r="BY455">
        <v>90.13</v>
      </c>
      <c r="BZ455">
        <v>55.78</v>
      </c>
      <c r="CA455">
        <v>87.1</v>
      </c>
      <c r="CB455">
        <v>34.380000000000003</v>
      </c>
      <c r="CC455">
        <v>87.15</v>
      </c>
      <c r="CD455">
        <v>65.48</v>
      </c>
      <c r="CE455">
        <v>24.7</v>
      </c>
      <c r="CF455">
        <v>7.25</v>
      </c>
      <c r="CG455">
        <v>111.44</v>
      </c>
      <c r="CH455">
        <v>39.57</v>
      </c>
      <c r="CI455">
        <v>18.71</v>
      </c>
      <c r="CJ455">
        <v>34255</v>
      </c>
      <c r="CK455">
        <v>7994</v>
      </c>
      <c r="CL455" t="s">
        <v>3034</v>
      </c>
      <c r="CM455">
        <v>175.43</v>
      </c>
      <c r="CN455">
        <v>24.11</v>
      </c>
      <c r="CO455">
        <v>0.91</v>
      </c>
      <c r="CP455">
        <v>8.1</v>
      </c>
      <c r="CQ455">
        <v>3.56</v>
      </c>
      <c r="CR455">
        <v>0.64</v>
      </c>
      <c r="CS455" t="s">
        <v>3035</v>
      </c>
      <c r="CT455">
        <v>18.399999999999999</v>
      </c>
      <c r="CU455">
        <v>18.399999999999999</v>
      </c>
      <c r="CV455">
        <v>10.33</v>
      </c>
      <c r="CW455">
        <v>5.8</v>
      </c>
      <c r="CX455">
        <v>2.06</v>
      </c>
      <c r="CY455">
        <v>21.62</v>
      </c>
      <c r="CZ455" t="s">
        <v>2926</v>
      </c>
      <c r="DA455">
        <v>38.11</v>
      </c>
      <c r="DB455">
        <v>96.64</v>
      </c>
      <c r="DC455">
        <v>27.41</v>
      </c>
      <c r="DD455">
        <v>0.92</v>
      </c>
      <c r="DE455">
        <v>9568</v>
      </c>
      <c r="DF455">
        <v>1872</v>
      </c>
      <c r="DG455" t="s">
        <v>116</v>
      </c>
      <c r="DH455" t="s">
        <v>116</v>
      </c>
      <c r="DI455" t="s">
        <v>116</v>
      </c>
    </row>
    <row r="456" spans="1:113" x14ac:dyDescent="0.4">
      <c r="A456" t="str">
        <f>"001896"</f>
        <v>001896</v>
      </c>
      <c r="B456" t="s">
        <v>3036</v>
      </c>
      <c r="C456">
        <v>-0.56000000000000005</v>
      </c>
      <c r="D456">
        <v>3.52</v>
      </c>
      <c r="E456">
        <v>-0.02</v>
      </c>
      <c r="F456">
        <v>3.52</v>
      </c>
      <c r="G456">
        <v>3.53</v>
      </c>
      <c r="H456">
        <v>129269</v>
      </c>
      <c r="I456">
        <v>2394</v>
      </c>
      <c r="J456">
        <v>0</v>
      </c>
      <c r="K456">
        <v>1.39</v>
      </c>
      <c r="L456">
        <v>3.54</v>
      </c>
      <c r="M456">
        <v>3.57</v>
      </c>
      <c r="N456">
        <v>3.51</v>
      </c>
      <c r="O456">
        <v>3.54</v>
      </c>
      <c r="P456">
        <v>15.06</v>
      </c>
      <c r="Q456">
        <v>45765364</v>
      </c>
      <c r="R456">
        <v>1.51</v>
      </c>
      <c r="S456" t="s">
        <v>271</v>
      </c>
      <c r="T456" t="s">
        <v>652</v>
      </c>
      <c r="U456">
        <v>1.69</v>
      </c>
      <c r="V456">
        <v>3.54</v>
      </c>
      <c r="W456">
        <v>64615</v>
      </c>
      <c r="X456">
        <v>64654</v>
      </c>
      <c r="Y456">
        <v>1</v>
      </c>
      <c r="Z456">
        <v>67</v>
      </c>
      <c r="AA456">
        <v>2327</v>
      </c>
      <c r="AB456" t="s">
        <v>116</v>
      </c>
      <c r="AC456">
        <v>148700</v>
      </c>
      <c r="AD456">
        <v>0.01</v>
      </c>
      <c r="AE456" t="s">
        <v>116</v>
      </c>
      <c r="AF456" t="s">
        <v>116</v>
      </c>
      <c r="AG456">
        <v>9.3000000000000007</v>
      </c>
      <c r="AH456" t="s">
        <v>3037</v>
      </c>
      <c r="AI456" t="s">
        <v>3038</v>
      </c>
      <c r="AJ456">
        <v>0.11</v>
      </c>
      <c r="AK456">
        <v>1287</v>
      </c>
      <c r="AL456">
        <v>100</v>
      </c>
      <c r="AM456">
        <v>1.1000000000000001E-3</v>
      </c>
      <c r="AN456">
        <v>-1</v>
      </c>
      <c r="AO456">
        <v>-0.56999999999999995</v>
      </c>
      <c r="AP456">
        <v>5.07</v>
      </c>
      <c r="AQ456">
        <v>5.39</v>
      </c>
      <c r="AR456">
        <v>15.41</v>
      </c>
      <c r="AS456">
        <v>3.14</v>
      </c>
      <c r="AT456" t="s">
        <v>3039</v>
      </c>
      <c r="AU456" t="s">
        <v>116</v>
      </c>
      <c r="AV456" t="s">
        <v>116</v>
      </c>
      <c r="AW456">
        <v>0.87</v>
      </c>
      <c r="BA456">
        <v>0</v>
      </c>
      <c r="BB456">
        <v>0.85</v>
      </c>
      <c r="BC456">
        <v>-0.85</v>
      </c>
      <c r="BD456">
        <v>0.01</v>
      </c>
      <c r="BE456">
        <v>-0.56000000000000005</v>
      </c>
      <c r="BF456">
        <v>-1.4</v>
      </c>
      <c r="BG456">
        <v>0.28000000000000003</v>
      </c>
      <c r="BH456">
        <v>-0.56999999999999995</v>
      </c>
      <c r="BI456">
        <v>20191030</v>
      </c>
      <c r="BJ456">
        <v>19980122</v>
      </c>
      <c r="BK456">
        <v>11.51</v>
      </c>
      <c r="BL456" t="s">
        <v>116</v>
      </c>
      <c r="BM456" t="s">
        <v>116</v>
      </c>
      <c r="BN456">
        <v>201.88</v>
      </c>
      <c r="BO456">
        <v>58.94</v>
      </c>
      <c r="BP456">
        <v>7.05</v>
      </c>
      <c r="BQ456">
        <v>67.31</v>
      </c>
      <c r="BR456">
        <v>42.74</v>
      </c>
      <c r="BS456">
        <v>114.58</v>
      </c>
      <c r="BT456">
        <v>5.21</v>
      </c>
      <c r="BU456">
        <v>68.2</v>
      </c>
      <c r="BV456">
        <v>4.58</v>
      </c>
      <c r="BW456">
        <v>19.309999999999999</v>
      </c>
      <c r="BX456">
        <v>50.02</v>
      </c>
      <c r="BY456">
        <v>64.22</v>
      </c>
      <c r="BZ456">
        <v>57</v>
      </c>
      <c r="CA456">
        <v>2.59</v>
      </c>
      <c r="CB456">
        <v>0.24</v>
      </c>
      <c r="CC456">
        <v>2.57</v>
      </c>
      <c r="CD456">
        <v>1.94</v>
      </c>
      <c r="CE456">
        <v>2.02</v>
      </c>
      <c r="CF456">
        <v>1.74</v>
      </c>
      <c r="CG456">
        <v>-4.32</v>
      </c>
      <c r="CH456">
        <v>12.48</v>
      </c>
      <c r="CI456">
        <v>2.83</v>
      </c>
      <c r="CJ456">
        <v>43583</v>
      </c>
      <c r="CK456">
        <v>9451</v>
      </c>
      <c r="CL456" t="s">
        <v>2908</v>
      </c>
      <c r="CM456">
        <v>166.15</v>
      </c>
      <c r="CN456">
        <v>1.01</v>
      </c>
      <c r="CO456">
        <v>0.69</v>
      </c>
      <c r="CP456">
        <v>3.25</v>
      </c>
      <c r="CQ456">
        <v>0.63</v>
      </c>
      <c r="CR456">
        <v>0</v>
      </c>
      <c r="CS456" t="s">
        <v>200</v>
      </c>
      <c r="CT456">
        <v>5.12</v>
      </c>
      <c r="CU456">
        <v>0</v>
      </c>
      <c r="CV456">
        <v>4.3499999999999996</v>
      </c>
      <c r="CW456">
        <v>-0.38</v>
      </c>
      <c r="CX456">
        <v>1.08</v>
      </c>
      <c r="CY456">
        <v>29.19</v>
      </c>
      <c r="CZ456" t="s">
        <v>1135</v>
      </c>
      <c r="DA456">
        <v>11.24</v>
      </c>
      <c r="DB456">
        <v>4.03</v>
      </c>
      <c r="DC456">
        <v>3.14</v>
      </c>
      <c r="DD456">
        <v>0</v>
      </c>
      <c r="DE456">
        <v>2956</v>
      </c>
      <c r="DF456">
        <v>1896</v>
      </c>
      <c r="DG456" t="s">
        <v>116</v>
      </c>
      <c r="DH456" t="s">
        <v>116</v>
      </c>
      <c r="DI456" t="s">
        <v>116</v>
      </c>
    </row>
    <row r="457" spans="1:113" x14ac:dyDescent="0.4">
      <c r="A457" t="str">
        <f>"001914"</f>
        <v>001914</v>
      </c>
      <c r="B457" t="s">
        <v>3040</v>
      </c>
      <c r="C457">
        <v>0.05</v>
      </c>
      <c r="D457">
        <v>19.260000000000002</v>
      </c>
      <c r="E457">
        <v>0.01</v>
      </c>
      <c r="F457">
        <v>19.22</v>
      </c>
      <c r="G457">
        <v>19.260000000000002</v>
      </c>
      <c r="H457">
        <v>57118</v>
      </c>
      <c r="I457">
        <v>592</v>
      </c>
      <c r="J457">
        <v>0.26</v>
      </c>
      <c r="K457">
        <v>0.86</v>
      </c>
      <c r="L457">
        <v>19.14</v>
      </c>
      <c r="M457">
        <v>19.38</v>
      </c>
      <c r="N457">
        <v>18.86</v>
      </c>
      <c r="O457">
        <v>19.25</v>
      </c>
      <c r="P457">
        <v>110.72</v>
      </c>
      <c r="Q457">
        <v>109623664</v>
      </c>
      <c r="R457">
        <v>0.93</v>
      </c>
      <c r="S457" t="s">
        <v>419</v>
      </c>
      <c r="T457" t="s">
        <v>115</v>
      </c>
      <c r="U457">
        <v>2.7</v>
      </c>
      <c r="V457">
        <v>19.190000000000001</v>
      </c>
      <c r="W457">
        <v>26593</v>
      </c>
      <c r="X457">
        <v>30525</v>
      </c>
      <c r="Y457">
        <v>0.87</v>
      </c>
      <c r="Z457">
        <v>347</v>
      </c>
      <c r="AA457">
        <v>40</v>
      </c>
      <c r="AB457" t="s">
        <v>116</v>
      </c>
      <c r="AC457">
        <v>97600</v>
      </c>
      <c r="AD457">
        <v>0</v>
      </c>
      <c r="AE457" t="s">
        <v>116</v>
      </c>
      <c r="AF457" t="s">
        <v>116</v>
      </c>
      <c r="AG457">
        <v>6.67</v>
      </c>
      <c r="AH457" t="s">
        <v>3041</v>
      </c>
      <c r="AI457" t="s">
        <v>3042</v>
      </c>
      <c r="AJ457">
        <v>0.73</v>
      </c>
      <c r="AK457">
        <v>2317</v>
      </c>
      <c r="AL457">
        <v>25</v>
      </c>
      <c r="AM457">
        <v>4.0000000000000002E-4</v>
      </c>
      <c r="AN457">
        <v>2</v>
      </c>
      <c r="AO457">
        <v>1.37</v>
      </c>
      <c r="AP457">
        <v>-4.8899999999999997</v>
      </c>
      <c r="AQ457">
        <v>-4.8899999999999997</v>
      </c>
      <c r="AR457">
        <v>-4.8899999999999997</v>
      </c>
      <c r="AS457">
        <v>1.76</v>
      </c>
      <c r="AT457" t="s">
        <v>3043</v>
      </c>
      <c r="AU457">
        <v>124.32</v>
      </c>
      <c r="AV457">
        <v>23.84</v>
      </c>
      <c r="AW457">
        <v>0</v>
      </c>
      <c r="BA457">
        <v>-0.56999999999999995</v>
      </c>
      <c r="BB457">
        <v>0.68</v>
      </c>
      <c r="BC457">
        <v>-2.0299999999999998</v>
      </c>
      <c r="BD457">
        <v>-0.3</v>
      </c>
      <c r="BE457">
        <v>0.63</v>
      </c>
      <c r="BF457">
        <v>-0.62</v>
      </c>
      <c r="BG457">
        <v>2.12</v>
      </c>
      <c r="BH457">
        <v>0.35</v>
      </c>
      <c r="BI457">
        <v>20191226</v>
      </c>
      <c r="BJ457">
        <v>19940928</v>
      </c>
      <c r="BK457">
        <v>10.6</v>
      </c>
      <c r="BL457" t="s">
        <v>116</v>
      </c>
      <c r="BM457" t="s">
        <v>116</v>
      </c>
      <c r="BN457">
        <v>121.73</v>
      </c>
      <c r="BO457">
        <v>47.77</v>
      </c>
      <c r="BP457">
        <v>0.22</v>
      </c>
      <c r="BQ457">
        <v>60.58</v>
      </c>
      <c r="BR457">
        <v>42.07</v>
      </c>
      <c r="BS457">
        <v>5.88</v>
      </c>
      <c r="BT457">
        <v>0.11</v>
      </c>
      <c r="BU457">
        <v>28.52</v>
      </c>
      <c r="BV457">
        <v>16.36</v>
      </c>
      <c r="BW457">
        <v>9.8000000000000007</v>
      </c>
      <c r="BX457">
        <v>4.18</v>
      </c>
      <c r="BY457">
        <v>39.18</v>
      </c>
      <c r="BZ457">
        <v>31.69</v>
      </c>
      <c r="CA457">
        <v>1.96</v>
      </c>
      <c r="CB457">
        <v>0.16</v>
      </c>
      <c r="CC457">
        <v>2</v>
      </c>
      <c r="CD457">
        <v>1.25</v>
      </c>
      <c r="CE457">
        <v>1.38</v>
      </c>
      <c r="CF457">
        <v>1.23</v>
      </c>
      <c r="CG457">
        <v>33.200000000000003</v>
      </c>
      <c r="CH457">
        <v>-3.87</v>
      </c>
      <c r="CI457">
        <v>-12.19</v>
      </c>
      <c r="CJ457">
        <v>14822</v>
      </c>
      <c r="CK457">
        <v>21911</v>
      </c>
      <c r="CL457" t="s">
        <v>3044</v>
      </c>
      <c r="CM457">
        <v>-83.35</v>
      </c>
      <c r="CN457">
        <v>-2.27</v>
      </c>
      <c r="CO457">
        <v>2.69</v>
      </c>
      <c r="CP457">
        <v>-52.72</v>
      </c>
      <c r="CQ457">
        <v>5.21</v>
      </c>
      <c r="CR457">
        <v>0.98</v>
      </c>
      <c r="CS457" t="s">
        <v>1119</v>
      </c>
      <c r="CT457">
        <v>7.16</v>
      </c>
      <c r="CU457">
        <v>7.16</v>
      </c>
      <c r="CV457">
        <v>0.39</v>
      </c>
      <c r="CW457">
        <v>3.13</v>
      </c>
      <c r="CX457">
        <v>-0.37</v>
      </c>
      <c r="CY457">
        <v>39.24</v>
      </c>
      <c r="CZ457" t="s">
        <v>146</v>
      </c>
      <c r="DA457">
        <v>19.12</v>
      </c>
      <c r="DB457">
        <v>5.01</v>
      </c>
      <c r="DC457">
        <v>3.53</v>
      </c>
      <c r="DD457">
        <v>0.11</v>
      </c>
      <c r="DE457">
        <v>19886</v>
      </c>
      <c r="DF457">
        <v>1914</v>
      </c>
      <c r="DG457" t="s">
        <v>116</v>
      </c>
      <c r="DH457" t="s">
        <v>116</v>
      </c>
      <c r="DI457" t="s">
        <v>116</v>
      </c>
    </row>
    <row r="458" spans="1:113" x14ac:dyDescent="0.4">
      <c r="A458" t="str">
        <f>"001965"</f>
        <v>001965</v>
      </c>
      <c r="B458" t="s">
        <v>3045</v>
      </c>
      <c r="C458">
        <v>-1.36</v>
      </c>
      <c r="D458">
        <v>8.68</v>
      </c>
      <c r="E458">
        <v>-0.12</v>
      </c>
      <c r="F458">
        <v>8.67</v>
      </c>
      <c r="G458">
        <v>8.68</v>
      </c>
      <c r="H458">
        <v>26541</v>
      </c>
      <c r="I458">
        <v>280</v>
      </c>
      <c r="J458">
        <v>-0.11</v>
      </c>
      <c r="K458">
        <v>0.48</v>
      </c>
      <c r="L458">
        <v>8.7799999999999994</v>
      </c>
      <c r="M458">
        <v>8.81</v>
      </c>
      <c r="N458">
        <v>8.65</v>
      </c>
      <c r="O458">
        <v>8.8000000000000007</v>
      </c>
      <c r="P458">
        <v>12.11</v>
      </c>
      <c r="Q458">
        <v>23133110</v>
      </c>
      <c r="R458">
        <v>0.81</v>
      </c>
      <c r="S458" t="s">
        <v>809</v>
      </c>
      <c r="T458" t="s">
        <v>1035</v>
      </c>
      <c r="U458">
        <v>1.82</v>
      </c>
      <c r="V458">
        <v>8.7200000000000006</v>
      </c>
      <c r="W458">
        <v>16708</v>
      </c>
      <c r="X458">
        <v>9833</v>
      </c>
      <c r="Y458">
        <v>1.7</v>
      </c>
      <c r="Z458">
        <v>157</v>
      </c>
      <c r="AA458">
        <v>418</v>
      </c>
      <c r="AB458" t="s">
        <v>116</v>
      </c>
      <c r="AC458">
        <v>22000</v>
      </c>
      <c r="AD458">
        <v>0</v>
      </c>
      <c r="AE458" t="s">
        <v>116</v>
      </c>
      <c r="AF458" t="s">
        <v>116</v>
      </c>
      <c r="AG458">
        <v>5.55</v>
      </c>
      <c r="AH458" t="s">
        <v>3046</v>
      </c>
      <c r="AI458" t="s">
        <v>3047</v>
      </c>
      <c r="AJ458">
        <v>-0.68</v>
      </c>
      <c r="AK458">
        <v>1274</v>
      </c>
      <c r="AL458">
        <v>21</v>
      </c>
      <c r="AM458">
        <v>4.0000000000000002E-4</v>
      </c>
      <c r="AN458">
        <v>-1</v>
      </c>
      <c r="AO458">
        <v>0.35</v>
      </c>
      <c r="AP458">
        <v>7.56</v>
      </c>
      <c r="AQ458">
        <v>9.18</v>
      </c>
      <c r="AR458">
        <v>11.63</v>
      </c>
      <c r="AS458">
        <v>0.48</v>
      </c>
      <c r="AT458" t="s">
        <v>3046</v>
      </c>
      <c r="AU458">
        <v>12.77</v>
      </c>
      <c r="AV458">
        <v>13.72</v>
      </c>
      <c r="AW458">
        <v>0.55000000000000004</v>
      </c>
      <c r="BA458">
        <v>-0.23</v>
      </c>
      <c r="BB458">
        <v>0.11</v>
      </c>
      <c r="BC458">
        <v>-1.7</v>
      </c>
      <c r="BD458">
        <v>-0.96</v>
      </c>
      <c r="BE458">
        <v>-1.1399999999999999</v>
      </c>
      <c r="BF458">
        <v>-1.48</v>
      </c>
      <c r="BG458">
        <v>0.35</v>
      </c>
      <c r="BH458">
        <v>-0.41</v>
      </c>
      <c r="BI458">
        <v>20191030</v>
      </c>
      <c r="BJ458">
        <v>20171225</v>
      </c>
      <c r="BK458">
        <v>61.78</v>
      </c>
      <c r="BL458" t="s">
        <v>116</v>
      </c>
      <c r="BM458" t="s">
        <v>116</v>
      </c>
      <c r="BN458">
        <v>868</v>
      </c>
      <c r="BO458">
        <v>482.64</v>
      </c>
      <c r="BP458">
        <v>47.45</v>
      </c>
      <c r="BQ458">
        <v>38.93</v>
      </c>
      <c r="BR458">
        <v>133.97</v>
      </c>
      <c r="BS458">
        <v>26.89</v>
      </c>
      <c r="BT458">
        <v>384.8</v>
      </c>
      <c r="BU458">
        <v>57.25</v>
      </c>
      <c r="BV458">
        <v>17.25</v>
      </c>
      <c r="BW458">
        <v>19.64</v>
      </c>
      <c r="BX458">
        <v>287.83999999999997</v>
      </c>
      <c r="BY458">
        <v>56.2</v>
      </c>
      <c r="BZ458">
        <v>31.04</v>
      </c>
      <c r="CA458">
        <v>39.93</v>
      </c>
      <c r="CB458">
        <v>25.9</v>
      </c>
      <c r="CC458">
        <v>40.11</v>
      </c>
      <c r="CD458">
        <v>36.880000000000003</v>
      </c>
      <c r="CE458">
        <v>33.21</v>
      </c>
      <c r="CF458">
        <v>33.04</v>
      </c>
      <c r="CG458">
        <v>119.24</v>
      </c>
      <c r="CH458">
        <v>21.65</v>
      </c>
      <c r="CI458">
        <v>15.99</v>
      </c>
      <c r="CJ458">
        <v>48771</v>
      </c>
      <c r="CK458">
        <v>11376</v>
      </c>
      <c r="CL458" t="s">
        <v>3048</v>
      </c>
      <c r="CM458">
        <v>9.59</v>
      </c>
      <c r="CN458">
        <v>24.51</v>
      </c>
      <c r="CO458">
        <v>1.1299999999999999</v>
      </c>
      <c r="CP458">
        <v>24.77</v>
      </c>
      <c r="CQ458">
        <v>9.5399999999999991</v>
      </c>
      <c r="CR458">
        <v>2.93</v>
      </c>
      <c r="CS458" t="s">
        <v>3049</v>
      </c>
      <c r="CT458">
        <v>7.67</v>
      </c>
      <c r="CU458">
        <v>7.67</v>
      </c>
      <c r="CV458">
        <v>4.66</v>
      </c>
      <c r="CW458">
        <v>1.93</v>
      </c>
      <c r="CX458">
        <v>0.35</v>
      </c>
      <c r="CY458">
        <v>55.6</v>
      </c>
      <c r="CZ458" t="s">
        <v>2841</v>
      </c>
      <c r="DA458">
        <v>44.77</v>
      </c>
      <c r="DB458">
        <v>71.05</v>
      </c>
      <c r="DC458">
        <v>59.09</v>
      </c>
      <c r="DD458">
        <v>0.68</v>
      </c>
      <c r="DE458">
        <v>4859</v>
      </c>
      <c r="DF458">
        <v>1965</v>
      </c>
      <c r="DG458" t="s">
        <v>116</v>
      </c>
      <c r="DH458" t="s">
        <v>116</v>
      </c>
      <c r="DI458" t="s">
        <v>116</v>
      </c>
    </row>
    <row r="459" spans="1:113" x14ac:dyDescent="0.4">
      <c r="A459" t="str">
        <f>"001979"</f>
        <v>001979</v>
      </c>
      <c r="B459" t="s">
        <v>3050</v>
      </c>
      <c r="C459">
        <v>-0.55000000000000004</v>
      </c>
      <c r="D459">
        <v>19.760000000000002</v>
      </c>
      <c r="E459">
        <v>-0.11</v>
      </c>
      <c r="F459">
        <v>19.760000000000002</v>
      </c>
      <c r="G459">
        <v>19.77</v>
      </c>
      <c r="H459">
        <v>95275</v>
      </c>
      <c r="I459">
        <v>740</v>
      </c>
      <c r="J459">
        <v>0</v>
      </c>
      <c r="K459">
        <v>0.12</v>
      </c>
      <c r="L459">
        <v>19.88</v>
      </c>
      <c r="M459">
        <v>19.97</v>
      </c>
      <c r="N459">
        <v>19.66</v>
      </c>
      <c r="O459">
        <v>19.87</v>
      </c>
      <c r="P459">
        <v>23.03</v>
      </c>
      <c r="Q459">
        <v>189163312</v>
      </c>
      <c r="R459">
        <v>1.1200000000000001</v>
      </c>
      <c r="S459" t="s">
        <v>124</v>
      </c>
      <c r="T459" t="s">
        <v>115</v>
      </c>
      <c r="U459">
        <v>1.56</v>
      </c>
      <c r="V459">
        <v>19.850000000000001</v>
      </c>
      <c r="W459">
        <v>48113</v>
      </c>
      <c r="X459">
        <v>47162</v>
      </c>
      <c r="Y459">
        <v>1.02</v>
      </c>
      <c r="Z459">
        <v>38</v>
      </c>
      <c r="AA459">
        <v>344</v>
      </c>
      <c r="AB459" t="s">
        <v>116</v>
      </c>
      <c r="AC459">
        <v>580500</v>
      </c>
      <c r="AD459">
        <v>0</v>
      </c>
      <c r="AE459" t="s">
        <v>116</v>
      </c>
      <c r="AF459" t="s">
        <v>116</v>
      </c>
      <c r="AG459">
        <v>79.14</v>
      </c>
      <c r="AH459" t="s">
        <v>3051</v>
      </c>
      <c r="AI459" t="s">
        <v>3052</v>
      </c>
      <c r="AJ459">
        <v>0.13</v>
      </c>
      <c r="AK459">
        <v>3334</v>
      </c>
      <c r="AL459">
        <v>29</v>
      </c>
      <c r="AM459">
        <v>0</v>
      </c>
      <c r="AN459">
        <v>-1</v>
      </c>
      <c r="AO459">
        <v>0.72</v>
      </c>
      <c r="AP459">
        <v>9.11</v>
      </c>
      <c r="AQ459">
        <v>4</v>
      </c>
      <c r="AR459">
        <v>19.32</v>
      </c>
      <c r="AS459">
        <v>0.34</v>
      </c>
      <c r="AT459" t="s">
        <v>3053</v>
      </c>
      <c r="AU459">
        <v>12.97</v>
      </c>
      <c r="AV459">
        <v>10.26</v>
      </c>
      <c r="AW459">
        <v>0.53</v>
      </c>
      <c r="BA459">
        <v>0.05</v>
      </c>
      <c r="BB459">
        <v>0.5</v>
      </c>
      <c r="BC459">
        <v>-1.06</v>
      </c>
      <c r="BD459">
        <v>-0.08</v>
      </c>
      <c r="BE459">
        <v>-0.6</v>
      </c>
      <c r="BF459">
        <v>-1.05</v>
      </c>
      <c r="BG459">
        <v>0.51</v>
      </c>
      <c r="BH459">
        <v>-0.48</v>
      </c>
      <c r="BI459">
        <v>20191030</v>
      </c>
      <c r="BJ459">
        <v>20151230</v>
      </c>
      <c r="BK459">
        <v>79.14</v>
      </c>
      <c r="BL459" t="s">
        <v>116</v>
      </c>
      <c r="BM459" t="s">
        <v>116</v>
      </c>
      <c r="BN459">
        <v>5279.87</v>
      </c>
      <c r="BO459">
        <v>762.44</v>
      </c>
      <c r="BP459">
        <v>524.87</v>
      </c>
      <c r="BQ459">
        <v>75.62</v>
      </c>
      <c r="BR459">
        <v>4401.25</v>
      </c>
      <c r="BS459">
        <v>35.24</v>
      </c>
      <c r="BT459">
        <v>5.34</v>
      </c>
      <c r="BU459">
        <v>2976.98</v>
      </c>
      <c r="BV459">
        <v>2776.34</v>
      </c>
      <c r="BW459">
        <v>16.47</v>
      </c>
      <c r="BX459">
        <v>138.4</v>
      </c>
      <c r="BY459">
        <v>255.43</v>
      </c>
      <c r="BZ459">
        <v>163.47</v>
      </c>
      <c r="CA459">
        <v>77.95</v>
      </c>
      <c r="CB459">
        <v>48.19</v>
      </c>
      <c r="CC459">
        <v>77.459999999999994</v>
      </c>
      <c r="CD459">
        <v>58.31</v>
      </c>
      <c r="CE459">
        <v>50.93</v>
      </c>
      <c r="CF459">
        <v>50.06</v>
      </c>
      <c r="CG459">
        <v>433.54</v>
      </c>
      <c r="CH459">
        <v>90.88</v>
      </c>
      <c r="CI459">
        <v>104.81</v>
      </c>
      <c r="CJ459">
        <v>65299</v>
      </c>
      <c r="CK459">
        <v>43210</v>
      </c>
      <c r="CL459" t="s">
        <v>3054</v>
      </c>
      <c r="CM459">
        <v>-38.46</v>
      </c>
      <c r="CN459">
        <v>-24.39</v>
      </c>
      <c r="CO459">
        <v>2.4</v>
      </c>
      <c r="CP459">
        <v>17.21</v>
      </c>
      <c r="CQ459">
        <v>6.12</v>
      </c>
      <c r="CR459">
        <v>3.9</v>
      </c>
      <c r="CS459" t="s">
        <v>986</v>
      </c>
      <c r="CT459">
        <v>8.24</v>
      </c>
      <c r="CU459">
        <v>8.24</v>
      </c>
      <c r="CV459">
        <v>1.75</v>
      </c>
      <c r="CW459">
        <v>5.48</v>
      </c>
      <c r="CX459">
        <v>1.1499999999999999</v>
      </c>
      <c r="CY459">
        <v>14.44</v>
      </c>
      <c r="CZ459" t="s">
        <v>3055</v>
      </c>
      <c r="DA459">
        <v>36</v>
      </c>
      <c r="DB459">
        <v>30.52</v>
      </c>
      <c r="DC459">
        <v>19.940000000000001</v>
      </c>
      <c r="DD459">
        <v>0</v>
      </c>
      <c r="DE459">
        <v>24791</v>
      </c>
      <c r="DF459">
        <v>1979</v>
      </c>
      <c r="DG459" t="s">
        <v>116</v>
      </c>
      <c r="DH459" t="s">
        <v>116</v>
      </c>
      <c r="DI459" t="s">
        <v>116</v>
      </c>
    </row>
    <row r="460" spans="1:113" x14ac:dyDescent="0.4">
      <c r="A460" t="str">
        <f>"002001"</f>
        <v>002001</v>
      </c>
      <c r="B460" t="s">
        <v>3056</v>
      </c>
      <c r="C460">
        <v>-0.72</v>
      </c>
      <c r="D460">
        <v>22.19</v>
      </c>
      <c r="E460">
        <v>-0.16</v>
      </c>
      <c r="F460">
        <v>22.18</v>
      </c>
      <c r="G460">
        <v>22.19</v>
      </c>
      <c r="H460">
        <v>238289</v>
      </c>
      <c r="I460">
        <v>2072</v>
      </c>
      <c r="J460">
        <v>-0.08</v>
      </c>
      <c r="K460">
        <v>1.1200000000000001</v>
      </c>
      <c r="L460">
        <v>22.26</v>
      </c>
      <c r="M460">
        <v>22.42</v>
      </c>
      <c r="N460">
        <v>22.02</v>
      </c>
      <c r="O460">
        <v>22.35</v>
      </c>
      <c r="P460">
        <v>20.96</v>
      </c>
      <c r="Q460">
        <v>528410464</v>
      </c>
      <c r="R460">
        <v>1.22</v>
      </c>
      <c r="S460" t="s">
        <v>574</v>
      </c>
      <c r="T460" t="s">
        <v>590</v>
      </c>
      <c r="U460">
        <v>1.79</v>
      </c>
      <c r="V460">
        <v>22.18</v>
      </c>
      <c r="W460">
        <v>117306</v>
      </c>
      <c r="X460">
        <v>120983</v>
      </c>
      <c r="Y460">
        <v>0.97</v>
      </c>
      <c r="Z460">
        <v>655</v>
      </c>
      <c r="AA460">
        <v>338</v>
      </c>
      <c r="AB460" t="s">
        <v>116</v>
      </c>
      <c r="AC460">
        <v>3029600</v>
      </c>
      <c r="AD460">
        <v>0.01</v>
      </c>
      <c r="AE460" t="s">
        <v>116</v>
      </c>
      <c r="AF460" t="s">
        <v>116</v>
      </c>
      <c r="AG460">
        <v>21.21</v>
      </c>
      <c r="AH460" t="s">
        <v>3057</v>
      </c>
      <c r="AI460" t="s">
        <v>3058</v>
      </c>
      <c r="AJ460">
        <v>-0.04</v>
      </c>
      <c r="AK460">
        <v>4267</v>
      </c>
      <c r="AL460">
        <v>56</v>
      </c>
      <c r="AM460">
        <v>2.9999999999999997E-4</v>
      </c>
      <c r="AN460">
        <v>-1</v>
      </c>
      <c r="AO460">
        <v>2.2599999999999998</v>
      </c>
      <c r="AP460">
        <v>4.18</v>
      </c>
      <c r="AQ460">
        <v>3.35</v>
      </c>
      <c r="AR460">
        <v>55.07</v>
      </c>
      <c r="AS460">
        <v>2.21</v>
      </c>
      <c r="AT460" t="s">
        <v>3059</v>
      </c>
      <c r="AU460">
        <v>21.22</v>
      </c>
      <c r="AV460">
        <v>15.49</v>
      </c>
      <c r="AW460">
        <v>0.8</v>
      </c>
      <c r="BA460">
        <v>-0.4</v>
      </c>
      <c r="BB460">
        <v>0.31</v>
      </c>
      <c r="BC460">
        <v>-1.48</v>
      </c>
      <c r="BD460">
        <v>-0.78</v>
      </c>
      <c r="BE460">
        <v>-0.31</v>
      </c>
      <c r="BF460">
        <v>-1.03</v>
      </c>
      <c r="BG460">
        <v>0.77</v>
      </c>
      <c r="BH460">
        <v>7.0000000000000007E-2</v>
      </c>
      <c r="BI460">
        <v>20191225</v>
      </c>
      <c r="BJ460">
        <v>20040625</v>
      </c>
      <c r="BK460">
        <v>21.49</v>
      </c>
      <c r="BL460" t="s">
        <v>116</v>
      </c>
      <c r="BM460" t="s">
        <v>116</v>
      </c>
      <c r="BN460">
        <v>271.58999999999997</v>
      </c>
      <c r="BO460">
        <v>163.94</v>
      </c>
      <c r="BP460">
        <v>0.51</v>
      </c>
      <c r="BQ460">
        <v>39.450000000000003</v>
      </c>
      <c r="BR460">
        <v>119.54</v>
      </c>
      <c r="BS460">
        <v>51.61</v>
      </c>
      <c r="BT460">
        <v>13.36</v>
      </c>
      <c r="BU460">
        <v>66.510000000000005</v>
      </c>
      <c r="BV460">
        <v>14.22</v>
      </c>
      <c r="BW460">
        <v>15.46</v>
      </c>
      <c r="BX460">
        <v>45.28</v>
      </c>
      <c r="BY460">
        <v>57.66</v>
      </c>
      <c r="BZ460">
        <v>30.65</v>
      </c>
      <c r="CA460">
        <v>19.91</v>
      </c>
      <c r="CB460">
        <v>1.05</v>
      </c>
      <c r="CC460">
        <v>19.93</v>
      </c>
      <c r="CD460">
        <v>17.13</v>
      </c>
      <c r="CE460">
        <v>17.059999999999999</v>
      </c>
      <c r="CF460">
        <v>15.99</v>
      </c>
      <c r="CG460">
        <v>88.23</v>
      </c>
      <c r="CH460">
        <v>10.95</v>
      </c>
      <c r="CI460">
        <v>9.06</v>
      </c>
      <c r="CJ460">
        <v>55100</v>
      </c>
      <c r="CK460">
        <v>19569</v>
      </c>
      <c r="CL460" t="s">
        <v>3060</v>
      </c>
      <c r="CM460">
        <v>-32.770000000000003</v>
      </c>
      <c r="CN460">
        <v>-14.2</v>
      </c>
      <c r="CO460">
        <v>2.91</v>
      </c>
      <c r="CP460">
        <v>43.55</v>
      </c>
      <c r="CQ460">
        <v>8.27</v>
      </c>
      <c r="CR460">
        <v>3.15</v>
      </c>
      <c r="CS460" t="s">
        <v>3061</v>
      </c>
      <c r="CT460">
        <v>7.63</v>
      </c>
      <c r="CU460">
        <v>0</v>
      </c>
      <c r="CV460">
        <v>2.11</v>
      </c>
      <c r="CW460">
        <v>4.1100000000000003</v>
      </c>
      <c r="CX460">
        <v>0.51</v>
      </c>
      <c r="CY460">
        <v>60.36</v>
      </c>
      <c r="CZ460" t="s">
        <v>3062</v>
      </c>
      <c r="DA460">
        <v>46.83</v>
      </c>
      <c r="DB460">
        <v>34.53</v>
      </c>
      <c r="DC460">
        <v>29.59</v>
      </c>
      <c r="DD460">
        <v>2.92</v>
      </c>
      <c r="DE460">
        <v>8841</v>
      </c>
      <c r="DF460">
        <v>2001</v>
      </c>
      <c r="DG460" t="s">
        <v>116</v>
      </c>
      <c r="DH460" t="s">
        <v>116</v>
      </c>
      <c r="DI460" t="s">
        <v>116</v>
      </c>
    </row>
    <row r="461" spans="1:113" x14ac:dyDescent="0.4">
      <c r="A461" t="str">
        <f>"002002"</f>
        <v>002002</v>
      </c>
      <c r="B461" t="s">
        <v>3063</v>
      </c>
      <c r="C461">
        <v>0.24</v>
      </c>
      <c r="D461">
        <v>4.18</v>
      </c>
      <c r="E461">
        <v>0.01</v>
      </c>
      <c r="F461">
        <v>4.17</v>
      </c>
      <c r="G461">
        <v>4.18</v>
      </c>
      <c r="H461">
        <v>316843</v>
      </c>
      <c r="I461">
        <v>2904</v>
      </c>
      <c r="J461">
        <v>0</v>
      </c>
      <c r="K461">
        <v>1.24</v>
      </c>
      <c r="L461">
        <v>4.1900000000000004</v>
      </c>
      <c r="M461">
        <v>4.26</v>
      </c>
      <c r="N461">
        <v>4.1500000000000004</v>
      </c>
      <c r="O461">
        <v>4.17</v>
      </c>
      <c r="P461">
        <v>16.670000000000002</v>
      </c>
      <c r="Q461">
        <v>133193984</v>
      </c>
      <c r="R461">
        <v>1.54</v>
      </c>
      <c r="S461" t="s">
        <v>891</v>
      </c>
      <c r="T461" t="s">
        <v>323</v>
      </c>
      <c r="U461">
        <v>2.64</v>
      </c>
      <c r="V461">
        <v>4.2</v>
      </c>
      <c r="W461">
        <v>155330</v>
      </c>
      <c r="X461">
        <v>161513</v>
      </c>
      <c r="Y461">
        <v>0.96</v>
      </c>
      <c r="Z461">
        <v>7075</v>
      </c>
      <c r="AA461">
        <v>1169</v>
      </c>
      <c r="AB461" t="s">
        <v>116</v>
      </c>
      <c r="AC461">
        <v>690900</v>
      </c>
      <c r="AD461">
        <v>0.01</v>
      </c>
      <c r="AE461" t="s">
        <v>116</v>
      </c>
      <c r="AF461" t="s">
        <v>116</v>
      </c>
      <c r="AG461">
        <v>25.5</v>
      </c>
      <c r="AH461" t="s">
        <v>3064</v>
      </c>
      <c r="AI461" t="s">
        <v>3065</v>
      </c>
      <c r="AJ461">
        <v>0.92</v>
      </c>
      <c r="AK461">
        <v>2530</v>
      </c>
      <c r="AL461">
        <v>125</v>
      </c>
      <c r="AM461">
        <v>5.0000000000000001E-4</v>
      </c>
      <c r="AN461">
        <v>2</v>
      </c>
      <c r="AO461">
        <v>1.21</v>
      </c>
      <c r="AP461">
        <v>5.29</v>
      </c>
      <c r="AQ461">
        <v>-2.11</v>
      </c>
      <c r="AR461">
        <v>48.23</v>
      </c>
      <c r="AS461">
        <v>2.4500000000000002</v>
      </c>
      <c r="AT461" t="s">
        <v>3066</v>
      </c>
      <c r="AU461">
        <v>24.98</v>
      </c>
      <c r="AV461">
        <v>17.71</v>
      </c>
      <c r="AW461">
        <v>0.95</v>
      </c>
      <c r="BA461">
        <v>0.48</v>
      </c>
      <c r="BB461">
        <v>2.16</v>
      </c>
      <c r="BC461">
        <v>-0.48</v>
      </c>
      <c r="BD461">
        <v>0.81</v>
      </c>
      <c r="BE461">
        <v>-0.24</v>
      </c>
      <c r="BF461">
        <v>-1.88</v>
      </c>
      <c r="BG461">
        <v>0.72</v>
      </c>
      <c r="BH461">
        <v>-0.56999999999999995</v>
      </c>
      <c r="BI461">
        <v>20191031</v>
      </c>
      <c r="BJ461">
        <v>20040625</v>
      </c>
      <c r="BK461">
        <v>25.89</v>
      </c>
      <c r="BL461" t="s">
        <v>116</v>
      </c>
      <c r="BM461" t="s">
        <v>116</v>
      </c>
      <c r="BN461">
        <v>136.07</v>
      </c>
      <c r="BO461">
        <v>65.55</v>
      </c>
      <c r="BP461">
        <v>0.53</v>
      </c>
      <c r="BQ461">
        <v>51.44</v>
      </c>
      <c r="BR461">
        <v>43.91</v>
      </c>
      <c r="BS461">
        <v>74.099999999999994</v>
      </c>
      <c r="BT461">
        <v>4.18</v>
      </c>
      <c r="BU461">
        <v>61.85</v>
      </c>
      <c r="BV461">
        <v>5.43</v>
      </c>
      <c r="BW461">
        <v>19.03</v>
      </c>
      <c r="BX461">
        <v>12.64</v>
      </c>
      <c r="BY461">
        <v>40.56</v>
      </c>
      <c r="BZ461">
        <v>279.33</v>
      </c>
      <c r="CA461">
        <v>5.7</v>
      </c>
      <c r="CB461">
        <v>-0.04</v>
      </c>
      <c r="CC461">
        <v>5.81</v>
      </c>
      <c r="CD461">
        <v>4.8600000000000003</v>
      </c>
      <c r="CE461">
        <v>4.87</v>
      </c>
      <c r="CF461">
        <v>4.62</v>
      </c>
      <c r="CG461">
        <v>25.78</v>
      </c>
      <c r="CH461">
        <v>10.7</v>
      </c>
      <c r="CI461">
        <v>-4.04</v>
      </c>
      <c r="CJ461">
        <v>84813</v>
      </c>
      <c r="CK461">
        <v>15270</v>
      </c>
      <c r="CL461" t="s">
        <v>423</v>
      </c>
      <c r="CM461">
        <v>-26.74</v>
      </c>
      <c r="CN461">
        <v>-6.15</v>
      </c>
      <c r="CO461">
        <v>1.65</v>
      </c>
      <c r="CP461">
        <v>10.119999999999999</v>
      </c>
      <c r="CQ461">
        <v>2.67</v>
      </c>
      <c r="CR461">
        <v>1.43</v>
      </c>
      <c r="CS461" t="s">
        <v>3067</v>
      </c>
      <c r="CT461">
        <v>2.5299999999999998</v>
      </c>
      <c r="CU461">
        <v>0</v>
      </c>
      <c r="CV461">
        <v>0.49</v>
      </c>
      <c r="CW461">
        <v>1</v>
      </c>
      <c r="CX461">
        <v>0.41</v>
      </c>
      <c r="CY461">
        <v>48.17</v>
      </c>
      <c r="CZ461" t="s">
        <v>3068</v>
      </c>
      <c r="DA461">
        <v>-588.61</v>
      </c>
      <c r="DB461">
        <v>14.05</v>
      </c>
      <c r="DC461">
        <v>12</v>
      </c>
      <c r="DD461">
        <v>0.27</v>
      </c>
      <c r="DE461">
        <v>5818</v>
      </c>
      <c r="DF461">
        <v>2002</v>
      </c>
      <c r="DG461" t="s">
        <v>116</v>
      </c>
      <c r="DH461" t="s">
        <v>116</v>
      </c>
      <c r="DI461" t="s">
        <v>116</v>
      </c>
    </row>
    <row r="462" spans="1:113" x14ac:dyDescent="0.4">
      <c r="A462" t="str">
        <f>"002003"</f>
        <v>002003</v>
      </c>
      <c r="B462" t="s">
        <v>3069</v>
      </c>
      <c r="C462">
        <v>0.66</v>
      </c>
      <c r="D462">
        <v>6.12</v>
      </c>
      <c r="E462">
        <v>0.04</v>
      </c>
      <c r="F462">
        <v>6.11</v>
      </c>
      <c r="G462">
        <v>6.12</v>
      </c>
      <c r="H462">
        <v>34421</v>
      </c>
      <c r="I462">
        <v>340</v>
      </c>
      <c r="J462">
        <v>0</v>
      </c>
      <c r="K462">
        <v>0.53</v>
      </c>
      <c r="L462">
        <v>6.06</v>
      </c>
      <c r="M462">
        <v>6.15</v>
      </c>
      <c r="N462">
        <v>6.06</v>
      </c>
      <c r="O462">
        <v>6.08</v>
      </c>
      <c r="P462">
        <v>12.42</v>
      </c>
      <c r="Q462">
        <v>21042550</v>
      </c>
      <c r="R462">
        <v>1.63</v>
      </c>
      <c r="S462" t="s">
        <v>3070</v>
      </c>
      <c r="T462" t="s">
        <v>590</v>
      </c>
      <c r="U462">
        <v>1.48</v>
      </c>
      <c r="V462">
        <v>6.11</v>
      </c>
      <c r="W462">
        <v>14637</v>
      </c>
      <c r="X462">
        <v>19784</v>
      </c>
      <c r="Y462">
        <v>0.74</v>
      </c>
      <c r="Z462">
        <v>74</v>
      </c>
      <c r="AA462">
        <v>391</v>
      </c>
      <c r="AB462" t="s">
        <v>116</v>
      </c>
      <c r="AC462">
        <v>202400</v>
      </c>
      <c r="AD462">
        <v>0.01</v>
      </c>
      <c r="AE462" t="s">
        <v>116</v>
      </c>
      <c r="AF462" t="s">
        <v>116</v>
      </c>
      <c r="AG462">
        <v>6.5</v>
      </c>
      <c r="AH462" t="s">
        <v>3071</v>
      </c>
      <c r="AI462" t="s">
        <v>3072</v>
      </c>
      <c r="AJ462">
        <v>1.34</v>
      </c>
      <c r="AK462">
        <v>950</v>
      </c>
      <c r="AL462">
        <v>36</v>
      </c>
      <c r="AM462">
        <v>5.9999999999999995E-4</v>
      </c>
      <c r="AN462">
        <v>2</v>
      </c>
      <c r="AO462">
        <v>1.33</v>
      </c>
      <c r="AP462">
        <v>2.34</v>
      </c>
      <c r="AQ462">
        <v>0.82</v>
      </c>
      <c r="AR462">
        <v>-8.25</v>
      </c>
      <c r="AS462">
        <v>0.87</v>
      </c>
      <c r="AT462" t="s">
        <v>3073</v>
      </c>
      <c r="AU462">
        <v>16.11</v>
      </c>
      <c r="AV462">
        <v>14.95</v>
      </c>
      <c r="AW462">
        <v>0.39</v>
      </c>
      <c r="BA462">
        <v>-0.33</v>
      </c>
      <c r="BB462">
        <v>1.1499999999999999</v>
      </c>
      <c r="BC462">
        <v>-0.33</v>
      </c>
      <c r="BD462">
        <v>0.55000000000000004</v>
      </c>
      <c r="BE462">
        <v>0.99</v>
      </c>
      <c r="BF462">
        <v>-0.49</v>
      </c>
      <c r="BG462">
        <v>0.99</v>
      </c>
      <c r="BH462">
        <v>0.11</v>
      </c>
      <c r="BI462">
        <v>20191024</v>
      </c>
      <c r="BJ462">
        <v>20040625</v>
      </c>
      <c r="BK462">
        <v>7.58</v>
      </c>
      <c r="BL462" t="s">
        <v>116</v>
      </c>
      <c r="BM462" t="s">
        <v>116</v>
      </c>
      <c r="BN462">
        <v>34.47</v>
      </c>
      <c r="BO462">
        <v>24.08</v>
      </c>
      <c r="BP462">
        <v>0.94</v>
      </c>
      <c r="BQ462">
        <v>27.41</v>
      </c>
      <c r="BR462">
        <v>16.649999999999999</v>
      </c>
      <c r="BS462">
        <v>11.72</v>
      </c>
      <c r="BT462">
        <v>1.81</v>
      </c>
      <c r="BU462">
        <v>8.61</v>
      </c>
      <c r="BV462">
        <v>3.91</v>
      </c>
      <c r="BW462">
        <v>5.85</v>
      </c>
      <c r="BX462">
        <v>5.99</v>
      </c>
      <c r="BY462">
        <v>20.52</v>
      </c>
      <c r="BZ462">
        <v>12.43</v>
      </c>
      <c r="CA462">
        <v>3.41</v>
      </c>
      <c r="CB462">
        <v>0.05</v>
      </c>
      <c r="CC462">
        <v>3.4</v>
      </c>
      <c r="CD462">
        <v>2.81</v>
      </c>
      <c r="CE462">
        <v>2.8</v>
      </c>
      <c r="CF462">
        <v>2.71</v>
      </c>
      <c r="CG462">
        <v>7.94</v>
      </c>
      <c r="CH462">
        <v>3.18</v>
      </c>
      <c r="CI462">
        <v>1.3</v>
      </c>
      <c r="CJ462">
        <v>23188</v>
      </c>
      <c r="CK462">
        <v>17074</v>
      </c>
      <c r="CL462" t="s">
        <v>2349</v>
      </c>
      <c r="CM462">
        <v>-7.39</v>
      </c>
      <c r="CN462">
        <v>3.05</v>
      </c>
      <c r="CO462">
        <v>1.93</v>
      </c>
      <c r="CP462">
        <v>14.59</v>
      </c>
      <c r="CQ462">
        <v>2.2599999999999998</v>
      </c>
      <c r="CR462">
        <v>5.72</v>
      </c>
      <c r="CS462" t="s">
        <v>3074</v>
      </c>
      <c r="CT462">
        <v>3.18</v>
      </c>
      <c r="CU462">
        <v>0</v>
      </c>
      <c r="CV462">
        <v>0.79</v>
      </c>
      <c r="CW462">
        <v>1.05</v>
      </c>
      <c r="CX462">
        <v>0.42</v>
      </c>
      <c r="CY462">
        <v>69.86</v>
      </c>
      <c r="CZ462" t="s">
        <v>3075</v>
      </c>
      <c r="DA462">
        <v>39.39</v>
      </c>
      <c r="DB462">
        <v>16.649999999999999</v>
      </c>
      <c r="DC462">
        <v>13.65</v>
      </c>
      <c r="DD462">
        <v>0.86</v>
      </c>
      <c r="DE462">
        <v>7728</v>
      </c>
      <c r="DF462">
        <v>2003</v>
      </c>
      <c r="DG462" t="s">
        <v>116</v>
      </c>
      <c r="DH462" t="s">
        <v>116</v>
      </c>
      <c r="DI462" t="s">
        <v>116</v>
      </c>
    </row>
    <row r="463" spans="1:113" x14ac:dyDescent="0.4">
      <c r="A463" t="str">
        <f>"002004"</f>
        <v>002004</v>
      </c>
      <c r="B463" t="s">
        <v>3076</v>
      </c>
      <c r="C463">
        <v>-0.82</v>
      </c>
      <c r="D463">
        <v>4.8099999999999996</v>
      </c>
      <c r="E463">
        <v>-0.04</v>
      </c>
      <c r="F463">
        <v>4.8099999999999996</v>
      </c>
      <c r="G463">
        <v>4.82</v>
      </c>
      <c r="H463">
        <v>83762</v>
      </c>
      <c r="I463">
        <v>736</v>
      </c>
      <c r="J463">
        <v>-0.2</v>
      </c>
      <c r="K463">
        <v>0.46</v>
      </c>
      <c r="L463">
        <v>4.84</v>
      </c>
      <c r="M463">
        <v>4.88</v>
      </c>
      <c r="N463">
        <v>4.8099999999999996</v>
      </c>
      <c r="O463">
        <v>4.8499999999999996</v>
      </c>
      <c r="P463">
        <v>14.09</v>
      </c>
      <c r="Q463">
        <v>40619920</v>
      </c>
      <c r="R463">
        <v>1</v>
      </c>
      <c r="S463" t="s">
        <v>574</v>
      </c>
      <c r="T463" t="s">
        <v>906</v>
      </c>
      <c r="U463">
        <v>1.44</v>
      </c>
      <c r="V463">
        <v>4.8499999999999996</v>
      </c>
      <c r="W463">
        <v>50334</v>
      </c>
      <c r="X463">
        <v>33428</v>
      </c>
      <c r="Y463">
        <v>1.51</v>
      </c>
      <c r="Z463">
        <v>2153</v>
      </c>
      <c r="AA463">
        <v>1387</v>
      </c>
      <c r="AB463" t="s">
        <v>116</v>
      </c>
      <c r="AC463">
        <v>31900</v>
      </c>
      <c r="AD463">
        <v>0</v>
      </c>
      <c r="AE463" t="s">
        <v>116</v>
      </c>
      <c r="AF463" t="s">
        <v>116</v>
      </c>
      <c r="AG463">
        <v>18.09</v>
      </c>
      <c r="AH463" t="s">
        <v>3077</v>
      </c>
      <c r="AI463" t="s">
        <v>3078</v>
      </c>
      <c r="AJ463">
        <v>-0.15</v>
      </c>
      <c r="AK463">
        <v>1650</v>
      </c>
      <c r="AL463">
        <v>51</v>
      </c>
      <c r="AM463">
        <v>2.9999999999999997E-4</v>
      </c>
      <c r="AN463">
        <v>-1</v>
      </c>
      <c r="AO463">
        <v>-0.41</v>
      </c>
      <c r="AP463">
        <v>3.44</v>
      </c>
      <c r="AQ463">
        <v>-0.62</v>
      </c>
      <c r="AR463">
        <v>9.57</v>
      </c>
      <c r="AS463">
        <v>0.59</v>
      </c>
      <c r="AT463" t="s">
        <v>3079</v>
      </c>
      <c r="AU463">
        <v>17.96</v>
      </c>
      <c r="AV463">
        <v>18.62</v>
      </c>
      <c r="AW463">
        <v>1.01</v>
      </c>
      <c r="BA463">
        <v>-0.21</v>
      </c>
      <c r="BB463">
        <v>0.62</v>
      </c>
      <c r="BC463">
        <v>-0.82</v>
      </c>
      <c r="BD463">
        <v>-0.01</v>
      </c>
      <c r="BE463">
        <v>-0.62</v>
      </c>
      <c r="BF463">
        <v>-1.43</v>
      </c>
      <c r="BG463">
        <v>0</v>
      </c>
      <c r="BH463">
        <v>-0.81</v>
      </c>
      <c r="BI463">
        <v>20191224</v>
      </c>
      <c r="BJ463">
        <v>20040625</v>
      </c>
      <c r="BK463">
        <v>19.8</v>
      </c>
      <c r="BL463" t="s">
        <v>116</v>
      </c>
      <c r="BM463" t="s">
        <v>116</v>
      </c>
      <c r="BN463">
        <v>267.73</v>
      </c>
      <c r="BO463">
        <v>91.27</v>
      </c>
      <c r="BP463">
        <v>38</v>
      </c>
      <c r="BQ463">
        <v>51.71</v>
      </c>
      <c r="BR463">
        <v>104.26</v>
      </c>
      <c r="BS463">
        <v>52.14</v>
      </c>
      <c r="BT463">
        <v>14.79</v>
      </c>
      <c r="BU463">
        <v>104.7</v>
      </c>
      <c r="BV463">
        <v>20.62</v>
      </c>
      <c r="BW463">
        <v>19.12</v>
      </c>
      <c r="BX463">
        <v>46.14</v>
      </c>
      <c r="BY463">
        <v>74.94</v>
      </c>
      <c r="BZ463">
        <v>40.76</v>
      </c>
      <c r="CA463">
        <v>9.44</v>
      </c>
      <c r="CB463">
        <v>1.03</v>
      </c>
      <c r="CC463">
        <v>9.57</v>
      </c>
      <c r="CD463">
        <v>7.71</v>
      </c>
      <c r="CE463">
        <v>5.07</v>
      </c>
      <c r="CF463">
        <v>4.16</v>
      </c>
      <c r="CG463">
        <v>22.47</v>
      </c>
      <c r="CH463">
        <v>12.85</v>
      </c>
      <c r="CI463">
        <v>-2.95</v>
      </c>
      <c r="CJ463">
        <v>96918</v>
      </c>
      <c r="CK463">
        <v>14592</v>
      </c>
      <c r="CL463" t="s">
        <v>3080</v>
      </c>
      <c r="CM463">
        <v>3.9</v>
      </c>
      <c r="CN463">
        <v>-4.58</v>
      </c>
      <c r="CO463">
        <v>1.04</v>
      </c>
      <c r="CP463">
        <v>7.41</v>
      </c>
      <c r="CQ463">
        <v>1.27</v>
      </c>
      <c r="CR463">
        <v>4.57</v>
      </c>
      <c r="CS463" t="s">
        <v>3081</v>
      </c>
      <c r="CT463">
        <v>4.6100000000000003</v>
      </c>
      <c r="CU463">
        <v>0</v>
      </c>
      <c r="CV463">
        <v>2.33</v>
      </c>
      <c r="CW463">
        <v>1.1299999999999999</v>
      </c>
      <c r="CX463">
        <v>0.65</v>
      </c>
      <c r="CY463">
        <v>34.090000000000003</v>
      </c>
      <c r="CZ463" t="s">
        <v>1986</v>
      </c>
      <c r="DA463">
        <v>45.61</v>
      </c>
      <c r="DB463">
        <v>12.6</v>
      </c>
      <c r="DC463">
        <v>6.76</v>
      </c>
      <c r="DD463">
        <v>2.41</v>
      </c>
      <c r="DE463">
        <v>11206</v>
      </c>
      <c r="DF463">
        <v>2004</v>
      </c>
      <c r="DG463" t="s">
        <v>116</v>
      </c>
      <c r="DH463" t="s">
        <v>116</v>
      </c>
      <c r="DI463" t="s">
        <v>116</v>
      </c>
    </row>
    <row r="464" spans="1:113" x14ac:dyDescent="0.4">
      <c r="A464" t="str">
        <f>"002005"</f>
        <v>002005</v>
      </c>
      <c r="B464" t="s">
        <v>3082</v>
      </c>
      <c r="C464">
        <v>-4.9000000000000004</v>
      </c>
      <c r="D464">
        <v>1.94</v>
      </c>
      <c r="E464">
        <v>-0.1</v>
      </c>
      <c r="F464" t="s">
        <v>116</v>
      </c>
      <c r="G464">
        <v>1.94</v>
      </c>
      <c r="H464">
        <v>406857</v>
      </c>
      <c r="I464">
        <v>2007</v>
      </c>
      <c r="J464">
        <v>0</v>
      </c>
      <c r="K464">
        <v>2.4</v>
      </c>
      <c r="L464">
        <v>2.0499999999999998</v>
      </c>
      <c r="M464">
        <v>2.08</v>
      </c>
      <c r="N464">
        <v>1.94</v>
      </c>
      <c r="O464">
        <v>2.04</v>
      </c>
      <c r="P464" t="s">
        <v>116</v>
      </c>
      <c r="Q464">
        <v>81574792</v>
      </c>
      <c r="R464">
        <v>1.78</v>
      </c>
      <c r="S464" t="s">
        <v>209</v>
      </c>
      <c r="T464" t="s">
        <v>575</v>
      </c>
      <c r="U464">
        <v>6.86</v>
      </c>
      <c r="V464">
        <v>2</v>
      </c>
      <c r="W464">
        <v>249603</v>
      </c>
      <c r="X464">
        <v>157254</v>
      </c>
      <c r="Y464">
        <v>1.59</v>
      </c>
      <c r="Z464">
        <v>0</v>
      </c>
      <c r="AA464">
        <v>12803</v>
      </c>
      <c r="AB464" t="s">
        <v>116</v>
      </c>
      <c r="AC464">
        <v>2156600</v>
      </c>
      <c r="AD464">
        <v>7.0000000000000007E-2</v>
      </c>
      <c r="AE464">
        <v>0.03</v>
      </c>
      <c r="AF464">
        <v>2483782</v>
      </c>
      <c r="AG464">
        <v>16.920000000000002</v>
      </c>
      <c r="AH464" t="s">
        <v>3083</v>
      </c>
      <c r="AI464" t="s">
        <v>3084</v>
      </c>
      <c r="AJ464">
        <v>-4.22</v>
      </c>
      <c r="AK464">
        <v>1854</v>
      </c>
      <c r="AL464">
        <v>219</v>
      </c>
      <c r="AM464">
        <v>1.2999999999999999E-3</v>
      </c>
      <c r="AN464">
        <v>-1</v>
      </c>
      <c r="AO464">
        <v>-4.9000000000000004</v>
      </c>
      <c r="AP464">
        <v>30.2</v>
      </c>
      <c r="AQ464">
        <v>38.57</v>
      </c>
      <c r="AR464">
        <v>-10.6</v>
      </c>
      <c r="AS464">
        <v>2.89</v>
      </c>
      <c r="AT464" t="s">
        <v>3085</v>
      </c>
      <c r="AU464" t="s">
        <v>116</v>
      </c>
      <c r="AV464" t="s">
        <v>116</v>
      </c>
      <c r="AW464">
        <v>0</v>
      </c>
      <c r="BA464">
        <v>0.49</v>
      </c>
      <c r="BB464">
        <v>1.96</v>
      </c>
      <c r="BC464">
        <v>-4.9000000000000004</v>
      </c>
      <c r="BD464">
        <v>-1.72</v>
      </c>
      <c r="BE464">
        <v>-5.37</v>
      </c>
      <c r="BF464">
        <v>-6.73</v>
      </c>
      <c r="BG464">
        <v>0</v>
      </c>
      <c r="BH464">
        <v>-3.19</v>
      </c>
      <c r="BI464">
        <v>20191120</v>
      </c>
      <c r="BJ464">
        <v>20040625</v>
      </c>
      <c r="BK464">
        <v>17.649999999999999</v>
      </c>
      <c r="BL464" t="s">
        <v>116</v>
      </c>
      <c r="BM464" t="s">
        <v>116</v>
      </c>
      <c r="BN464">
        <v>61.31</v>
      </c>
      <c r="BO464">
        <v>21.08</v>
      </c>
      <c r="BP464">
        <v>1.86</v>
      </c>
      <c r="BQ464">
        <v>62.58</v>
      </c>
      <c r="BR464">
        <v>20.64</v>
      </c>
      <c r="BS464">
        <v>15.01</v>
      </c>
      <c r="BT464">
        <v>4.8600000000000003</v>
      </c>
      <c r="BU464">
        <v>31.12</v>
      </c>
      <c r="BV464">
        <v>4.38</v>
      </c>
      <c r="BW464">
        <v>8.74</v>
      </c>
      <c r="BX464">
        <v>47.05</v>
      </c>
      <c r="BY464">
        <v>22.96</v>
      </c>
      <c r="BZ464">
        <v>20.420000000000002</v>
      </c>
      <c r="CA464">
        <v>-1.81</v>
      </c>
      <c r="CB464">
        <v>0.86</v>
      </c>
      <c r="CC464">
        <v>-1.82</v>
      </c>
      <c r="CD464">
        <v>-1.82</v>
      </c>
      <c r="CE464">
        <v>-1.8</v>
      </c>
      <c r="CF464">
        <v>-2.44</v>
      </c>
      <c r="CG464">
        <v>-44.61</v>
      </c>
      <c r="CH464">
        <v>4.12</v>
      </c>
      <c r="CI464">
        <v>-0.86</v>
      </c>
      <c r="CJ464">
        <v>67881</v>
      </c>
      <c r="CK464">
        <v>20759</v>
      </c>
      <c r="CL464" t="s">
        <v>3086</v>
      </c>
      <c r="CM464">
        <v>-1413.41</v>
      </c>
      <c r="CN464">
        <v>-22.98</v>
      </c>
      <c r="CO464">
        <v>1.62</v>
      </c>
      <c r="CP464">
        <v>8.31</v>
      </c>
      <c r="CQ464">
        <v>1.49</v>
      </c>
      <c r="CR464">
        <v>0</v>
      </c>
      <c r="CS464" t="s">
        <v>3087</v>
      </c>
      <c r="CT464">
        <v>1.19</v>
      </c>
      <c r="CU464">
        <v>0</v>
      </c>
      <c r="CV464">
        <v>2.67</v>
      </c>
      <c r="CW464">
        <v>-2.5299999999999998</v>
      </c>
      <c r="CX464">
        <v>0.23</v>
      </c>
      <c r="CY464">
        <v>34.380000000000003</v>
      </c>
      <c r="CZ464" t="s">
        <v>3088</v>
      </c>
      <c r="DA464">
        <v>11.08</v>
      </c>
      <c r="DB464">
        <v>-7.89</v>
      </c>
      <c r="DC464">
        <v>-7.84</v>
      </c>
      <c r="DD464">
        <v>1.25</v>
      </c>
      <c r="DE464">
        <v>10588</v>
      </c>
      <c r="DF464">
        <v>2005</v>
      </c>
      <c r="DG464" t="s">
        <v>116</v>
      </c>
      <c r="DH464" t="s">
        <v>116</v>
      </c>
      <c r="DI464" t="s">
        <v>116</v>
      </c>
    </row>
    <row r="465" spans="1:113" x14ac:dyDescent="0.4">
      <c r="A465" t="str">
        <f>"002006"</f>
        <v>002006</v>
      </c>
      <c r="B465" t="s">
        <v>3089</v>
      </c>
      <c r="C465">
        <v>-2.5</v>
      </c>
      <c r="D465">
        <v>4.68</v>
      </c>
      <c r="E465">
        <v>-0.12</v>
      </c>
      <c r="F465">
        <v>4.67</v>
      </c>
      <c r="G465">
        <v>4.68</v>
      </c>
      <c r="H465">
        <v>147992</v>
      </c>
      <c r="I465">
        <v>1845</v>
      </c>
      <c r="J465">
        <v>0.21</v>
      </c>
      <c r="K465">
        <v>3.25</v>
      </c>
      <c r="L465">
        <v>4.7699999999999996</v>
      </c>
      <c r="M465">
        <v>4.88</v>
      </c>
      <c r="N465">
        <v>4.66</v>
      </c>
      <c r="O465">
        <v>4.8</v>
      </c>
      <c r="P465" t="s">
        <v>116</v>
      </c>
      <c r="Q465">
        <v>70629208</v>
      </c>
      <c r="R465">
        <v>1.1499999999999999</v>
      </c>
      <c r="S465" t="s">
        <v>682</v>
      </c>
      <c r="T465" t="s">
        <v>590</v>
      </c>
      <c r="U465">
        <v>4.58</v>
      </c>
      <c r="V465">
        <v>4.7699999999999996</v>
      </c>
      <c r="W465">
        <v>89705</v>
      </c>
      <c r="X465">
        <v>58287</v>
      </c>
      <c r="Y465">
        <v>1.54</v>
      </c>
      <c r="Z465">
        <v>4365</v>
      </c>
      <c r="AA465">
        <v>862</v>
      </c>
      <c r="AB465" t="s">
        <v>116</v>
      </c>
      <c r="AC465">
        <v>1593000</v>
      </c>
      <c r="AD465">
        <v>0.12</v>
      </c>
      <c r="AE465" t="s">
        <v>116</v>
      </c>
      <c r="AF465" t="s">
        <v>116</v>
      </c>
      <c r="AG465">
        <v>4.55</v>
      </c>
      <c r="AH465" t="s">
        <v>3090</v>
      </c>
      <c r="AI465" t="s">
        <v>3090</v>
      </c>
      <c r="AJ465">
        <v>-1.82</v>
      </c>
      <c r="AK465">
        <v>1929</v>
      </c>
      <c r="AL465">
        <v>77</v>
      </c>
      <c r="AM465">
        <v>1.6999999999999999E-3</v>
      </c>
      <c r="AN465">
        <v>-2</v>
      </c>
      <c r="AO465">
        <v>5.64</v>
      </c>
      <c r="AP465">
        <v>7.83</v>
      </c>
      <c r="AQ465">
        <v>-3.51</v>
      </c>
      <c r="AR465">
        <v>-15.52</v>
      </c>
      <c r="AS465">
        <v>5.24</v>
      </c>
      <c r="AT465" t="s">
        <v>2398</v>
      </c>
      <c r="AU465" t="s">
        <v>116</v>
      </c>
      <c r="AV465">
        <v>371.61</v>
      </c>
      <c r="AW465">
        <v>1.18</v>
      </c>
      <c r="BA465">
        <v>-0.62</v>
      </c>
      <c r="BB465">
        <v>1.67</v>
      </c>
      <c r="BC465">
        <v>-2.92</v>
      </c>
      <c r="BD465">
        <v>-0.56999999999999995</v>
      </c>
      <c r="BE465">
        <v>-1.89</v>
      </c>
      <c r="BF465">
        <v>-4.0999999999999996</v>
      </c>
      <c r="BG465">
        <v>0.43</v>
      </c>
      <c r="BH465">
        <v>-1.93</v>
      </c>
      <c r="BI465">
        <v>20191223</v>
      </c>
      <c r="BJ465">
        <v>20040625</v>
      </c>
      <c r="BK465">
        <v>4.55</v>
      </c>
      <c r="BL465" t="s">
        <v>116</v>
      </c>
      <c r="BM465" t="s">
        <v>116</v>
      </c>
      <c r="BN465">
        <v>18.59</v>
      </c>
      <c r="BO465">
        <v>9.61</v>
      </c>
      <c r="BP465">
        <v>0.09</v>
      </c>
      <c r="BQ465">
        <v>47.83</v>
      </c>
      <c r="BR465">
        <v>12.58</v>
      </c>
      <c r="BS465">
        <v>4.17</v>
      </c>
      <c r="BT465">
        <v>0.42</v>
      </c>
      <c r="BU465">
        <v>8.8699999999999992</v>
      </c>
      <c r="BV465">
        <v>4.21</v>
      </c>
      <c r="BW465">
        <v>3.11</v>
      </c>
      <c r="BX465">
        <v>2.7</v>
      </c>
      <c r="BY465">
        <v>6.47</v>
      </c>
      <c r="BZ465">
        <v>5.33</v>
      </c>
      <c r="CA465">
        <v>-0.66</v>
      </c>
      <c r="CB465">
        <v>-0.06</v>
      </c>
      <c r="CC465">
        <v>-0.66</v>
      </c>
      <c r="CD465">
        <v>-0.68</v>
      </c>
      <c r="CE465">
        <v>-0.64</v>
      </c>
      <c r="CF465">
        <v>-0.74</v>
      </c>
      <c r="CG465">
        <v>1.31</v>
      </c>
      <c r="CH465">
        <v>-0.03</v>
      </c>
      <c r="CI465">
        <v>-0.4</v>
      </c>
      <c r="CJ465">
        <v>38688</v>
      </c>
      <c r="CK465">
        <v>7303</v>
      </c>
      <c r="CL465" t="s">
        <v>2637</v>
      </c>
      <c r="CM465">
        <v>-299.25</v>
      </c>
      <c r="CN465">
        <v>-11.73</v>
      </c>
      <c r="CO465">
        <v>2.2200000000000002</v>
      </c>
      <c r="CP465">
        <v>-675.32</v>
      </c>
      <c r="CQ465">
        <v>3.29</v>
      </c>
      <c r="CR465">
        <v>0</v>
      </c>
      <c r="CS465" t="s">
        <v>3091</v>
      </c>
      <c r="CT465">
        <v>2.11</v>
      </c>
      <c r="CU465">
        <v>0</v>
      </c>
      <c r="CV465">
        <v>0.59</v>
      </c>
      <c r="CW465">
        <v>0.28999999999999998</v>
      </c>
      <c r="CX465">
        <v>-0.01</v>
      </c>
      <c r="CY465">
        <v>51.67</v>
      </c>
      <c r="CZ465" t="s">
        <v>3092</v>
      </c>
      <c r="DA465">
        <v>17.53</v>
      </c>
      <c r="DB465">
        <v>-10.210000000000001</v>
      </c>
      <c r="DC465">
        <v>-9.8800000000000008</v>
      </c>
      <c r="DD465">
        <v>0.3</v>
      </c>
      <c r="DE465">
        <v>1241</v>
      </c>
      <c r="DF465">
        <v>2006</v>
      </c>
      <c r="DG465" t="s">
        <v>116</v>
      </c>
      <c r="DH465" t="s">
        <v>116</v>
      </c>
      <c r="DI465" t="s">
        <v>116</v>
      </c>
    </row>
    <row r="466" spans="1:113" x14ac:dyDescent="0.4">
      <c r="A466" t="str">
        <f>"002007"</f>
        <v>002007</v>
      </c>
      <c r="B466" t="s">
        <v>3093</v>
      </c>
      <c r="C466">
        <v>-2.2799999999999998</v>
      </c>
      <c r="D466">
        <v>33.81</v>
      </c>
      <c r="E466">
        <v>-0.79</v>
      </c>
      <c r="F466">
        <v>33.799999999999997</v>
      </c>
      <c r="G466">
        <v>33.81</v>
      </c>
      <c r="H466">
        <v>140537</v>
      </c>
      <c r="I466">
        <v>1017</v>
      </c>
      <c r="J466">
        <v>0.06</v>
      </c>
      <c r="K466">
        <v>1.17</v>
      </c>
      <c r="L466">
        <v>34.68</v>
      </c>
      <c r="M466">
        <v>34.68</v>
      </c>
      <c r="N466">
        <v>33.700000000000003</v>
      </c>
      <c r="O466">
        <v>34.6</v>
      </c>
      <c r="P466">
        <v>36.909999999999997</v>
      </c>
      <c r="Q466">
        <v>480156704</v>
      </c>
      <c r="R466">
        <v>1.47</v>
      </c>
      <c r="S466" t="s">
        <v>132</v>
      </c>
      <c r="T466" t="s">
        <v>652</v>
      </c>
      <c r="U466">
        <v>2.83</v>
      </c>
      <c r="V466">
        <v>34.17</v>
      </c>
      <c r="W466">
        <v>78508</v>
      </c>
      <c r="X466">
        <v>62029</v>
      </c>
      <c r="Y466">
        <v>1.27</v>
      </c>
      <c r="Z466">
        <v>423</v>
      </c>
      <c r="AA466">
        <v>9</v>
      </c>
      <c r="AB466" t="s">
        <v>116</v>
      </c>
      <c r="AC466">
        <v>1362900</v>
      </c>
      <c r="AD466">
        <v>0.01</v>
      </c>
      <c r="AE466" t="s">
        <v>116</v>
      </c>
      <c r="AF466" t="s">
        <v>116</v>
      </c>
      <c r="AG466">
        <v>12.04</v>
      </c>
      <c r="AH466" t="s">
        <v>3094</v>
      </c>
      <c r="AI466" t="s">
        <v>3095</v>
      </c>
      <c r="AJ466">
        <v>-1.6</v>
      </c>
      <c r="AK466">
        <v>4037</v>
      </c>
      <c r="AL466">
        <v>35</v>
      </c>
      <c r="AM466">
        <v>2.9999999999999997E-4</v>
      </c>
      <c r="AN466">
        <v>-1</v>
      </c>
      <c r="AO466">
        <v>0.24</v>
      </c>
      <c r="AP466">
        <v>1.05</v>
      </c>
      <c r="AQ466">
        <v>0.15</v>
      </c>
      <c r="AR466">
        <v>56.53</v>
      </c>
      <c r="AS466">
        <v>2.11</v>
      </c>
      <c r="AT466" t="s">
        <v>3096</v>
      </c>
      <c r="AU466">
        <v>35.299999999999997</v>
      </c>
      <c r="AV466">
        <v>41.63</v>
      </c>
      <c r="AW466">
        <v>0.97</v>
      </c>
      <c r="BA466">
        <v>0.23</v>
      </c>
      <c r="BB466">
        <v>0.23</v>
      </c>
      <c r="BC466">
        <v>-2.6</v>
      </c>
      <c r="BD466">
        <v>-1.25</v>
      </c>
      <c r="BE466">
        <v>-2.5099999999999998</v>
      </c>
      <c r="BF466">
        <v>-2.5099999999999998</v>
      </c>
      <c r="BG466">
        <v>0.33</v>
      </c>
      <c r="BH466">
        <v>-1.03</v>
      </c>
      <c r="BI466">
        <v>20191209</v>
      </c>
      <c r="BJ466">
        <v>20040625</v>
      </c>
      <c r="BK466">
        <v>14.03</v>
      </c>
      <c r="BL466" t="s">
        <v>116</v>
      </c>
      <c r="BM466" t="s">
        <v>116</v>
      </c>
      <c r="BN466">
        <v>71.95</v>
      </c>
      <c r="BO466">
        <v>62.23</v>
      </c>
      <c r="BP466">
        <v>2.97</v>
      </c>
      <c r="BQ466">
        <v>9.3699999999999992</v>
      </c>
      <c r="BR466">
        <v>53.86</v>
      </c>
      <c r="BS466">
        <v>10.96</v>
      </c>
      <c r="BT466">
        <v>2.0099999999999998</v>
      </c>
      <c r="BU466">
        <v>6.74</v>
      </c>
      <c r="BV466">
        <v>11.92</v>
      </c>
      <c r="BW466">
        <v>11.72</v>
      </c>
      <c r="BX466">
        <v>4.95</v>
      </c>
      <c r="BY466">
        <v>26.38</v>
      </c>
      <c r="BZ466">
        <v>9.66</v>
      </c>
      <c r="CA466">
        <v>12.11</v>
      </c>
      <c r="CB466">
        <v>1.02</v>
      </c>
      <c r="CC466">
        <v>12.08</v>
      </c>
      <c r="CD466">
        <v>10.16</v>
      </c>
      <c r="CE466">
        <v>9.64</v>
      </c>
      <c r="CF466">
        <v>8.92</v>
      </c>
      <c r="CG466">
        <v>38.6</v>
      </c>
      <c r="CH466">
        <v>7.62</v>
      </c>
      <c r="CI466">
        <v>-2.54</v>
      </c>
      <c r="CJ466">
        <v>55000</v>
      </c>
      <c r="CK466">
        <v>12123</v>
      </c>
      <c r="CL466" t="s">
        <v>3097</v>
      </c>
      <c r="CM466">
        <v>26.89</v>
      </c>
      <c r="CN466">
        <v>29.6</v>
      </c>
      <c r="CO466">
        <v>7.62</v>
      </c>
      <c r="CP466">
        <v>62.26</v>
      </c>
      <c r="CQ466">
        <v>17.98</v>
      </c>
      <c r="CR466">
        <v>0.79</v>
      </c>
      <c r="CS466" t="s">
        <v>3098</v>
      </c>
      <c r="CT466">
        <v>4.4400000000000004</v>
      </c>
      <c r="CU466">
        <v>0</v>
      </c>
      <c r="CV466">
        <v>0.35</v>
      </c>
      <c r="CW466">
        <v>2.75</v>
      </c>
      <c r="CX466">
        <v>0.54</v>
      </c>
      <c r="CY466">
        <v>86.49</v>
      </c>
      <c r="CZ466" t="s">
        <v>3099</v>
      </c>
      <c r="DA466">
        <v>63.41</v>
      </c>
      <c r="DB466">
        <v>45.9</v>
      </c>
      <c r="DC466">
        <v>36.53</v>
      </c>
      <c r="DD466">
        <v>1.05</v>
      </c>
      <c r="DE466">
        <v>2144</v>
      </c>
      <c r="DF466">
        <v>2007</v>
      </c>
      <c r="DG466" t="s">
        <v>116</v>
      </c>
      <c r="DH466" t="s">
        <v>116</v>
      </c>
      <c r="DI466" t="s">
        <v>116</v>
      </c>
    </row>
    <row r="467" spans="1:113" x14ac:dyDescent="0.4">
      <c r="A467" t="str">
        <f>"002008"</f>
        <v>002008</v>
      </c>
      <c r="B467" t="s">
        <v>3100</v>
      </c>
      <c r="C467">
        <v>-1.05</v>
      </c>
      <c r="D467">
        <v>38.520000000000003</v>
      </c>
      <c r="E467">
        <v>-0.41</v>
      </c>
      <c r="F467">
        <v>38.51</v>
      </c>
      <c r="G467">
        <v>38.520000000000003</v>
      </c>
      <c r="H467">
        <v>84878</v>
      </c>
      <c r="I467">
        <v>400</v>
      </c>
      <c r="J467">
        <v>-0.09</v>
      </c>
      <c r="K467">
        <v>0.85</v>
      </c>
      <c r="L467">
        <v>39.19</v>
      </c>
      <c r="M467">
        <v>39.549999999999997</v>
      </c>
      <c r="N467">
        <v>38.409999999999997</v>
      </c>
      <c r="O467">
        <v>38.93</v>
      </c>
      <c r="P467">
        <v>51.36</v>
      </c>
      <c r="Q467">
        <v>330737312</v>
      </c>
      <c r="R467">
        <v>0.85</v>
      </c>
      <c r="S467" t="s">
        <v>2977</v>
      </c>
      <c r="T467" t="s">
        <v>115</v>
      </c>
      <c r="U467">
        <v>2.93</v>
      </c>
      <c r="V467">
        <v>38.97</v>
      </c>
      <c r="W467">
        <v>44801</v>
      </c>
      <c r="X467">
        <v>40077</v>
      </c>
      <c r="Y467">
        <v>1.1200000000000001</v>
      </c>
      <c r="Z467">
        <v>9</v>
      </c>
      <c r="AA467">
        <v>45</v>
      </c>
      <c r="AB467" t="s">
        <v>116</v>
      </c>
      <c r="AC467">
        <v>1258000</v>
      </c>
      <c r="AD467">
        <v>0</v>
      </c>
      <c r="AE467" t="s">
        <v>116</v>
      </c>
      <c r="AF467" t="s">
        <v>116</v>
      </c>
      <c r="AG467">
        <v>9.93</v>
      </c>
      <c r="AH467" t="s">
        <v>3101</v>
      </c>
      <c r="AI467" t="s">
        <v>3102</v>
      </c>
      <c r="AJ467">
        <v>-0.37</v>
      </c>
      <c r="AK467">
        <v>3708</v>
      </c>
      <c r="AL467">
        <v>23</v>
      </c>
      <c r="AM467">
        <v>2.0000000000000001E-4</v>
      </c>
      <c r="AN467">
        <v>-2</v>
      </c>
      <c r="AO467">
        <v>-2.73</v>
      </c>
      <c r="AP467">
        <v>10.09</v>
      </c>
      <c r="AQ467">
        <v>3.27</v>
      </c>
      <c r="AR467">
        <v>27.72</v>
      </c>
      <c r="AS467">
        <v>1.05</v>
      </c>
      <c r="AT467" t="s">
        <v>3103</v>
      </c>
      <c r="AU467">
        <v>62.08</v>
      </c>
      <c r="AV467">
        <v>23.92</v>
      </c>
      <c r="AW467">
        <v>1.4</v>
      </c>
      <c r="BA467">
        <v>0.67</v>
      </c>
      <c r="BB467">
        <v>1.59</v>
      </c>
      <c r="BC467">
        <v>-1.34</v>
      </c>
      <c r="BD467">
        <v>0.09</v>
      </c>
      <c r="BE467">
        <v>-1.71</v>
      </c>
      <c r="BF467">
        <v>-2.6</v>
      </c>
      <c r="BG467">
        <v>0.28999999999999998</v>
      </c>
      <c r="BH467">
        <v>-1.1499999999999999</v>
      </c>
      <c r="BI467">
        <v>20191024</v>
      </c>
      <c r="BJ467">
        <v>20040625</v>
      </c>
      <c r="BK467">
        <v>10.67</v>
      </c>
      <c r="BL467" t="s">
        <v>116</v>
      </c>
      <c r="BM467" t="s">
        <v>116</v>
      </c>
      <c r="BN467">
        <v>178.6</v>
      </c>
      <c r="BO467">
        <v>87.28</v>
      </c>
      <c r="BP467">
        <v>2.72</v>
      </c>
      <c r="BQ467">
        <v>49.61</v>
      </c>
      <c r="BR467">
        <v>113.55</v>
      </c>
      <c r="BS467">
        <v>14.57</v>
      </c>
      <c r="BT467">
        <v>11.67</v>
      </c>
      <c r="BU467">
        <v>64.430000000000007</v>
      </c>
      <c r="BV467">
        <v>28.99</v>
      </c>
      <c r="BW467">
        <v>39.299999999999997</v>
      </c>
      <c r="BX467">
        <v>7.76</v>
      </c>
      <c r="BY467">
        <v>69.44</v>
      </c>
      <c r="BZ467">
        <v>46.02</v>
      </c>
      <c r="CA467">
        <v>5.97</v>
      </c>
      <c r="CB467">
        <v>-0.1</v>
      </c>
      <c r="CC467">
        <v>6.1</v>
      </c>
      <c r="CD467">
        <v>5.84</v>
      </c>
      <c r="CE467">
        <v>6</v>
      </c>
      <c r="CF467">
        <v>5.14</v>
      </c>
      <c r="CG467">
        <v>61.87</v>
      </c>
      <c r="CH467">
        <v>11.53</v>
      </c>
      <c r="CI467">
        <v>-14.04</v>
      </c>
      <c r="CJ467">
        <v>85982</v>
      </c>
      <c r="CK467">
        <v>9389</v>
      </c>
      <c r="CL467" t="s">
        <v>3104</v>
      </c>
      <c r="CM467">
        <v>-63.77</v>
      </c>
      <c r="CN467">
        <v>-19.78</v>
      </c>
      <c r="CO467">
        <v>5.03</v>
      </c>
      <c r="CP467">
        <v>35.64</v>
      </c>
      <c r="CQ467">
        <v>5.92</v>
      </c>
      <c r="CR467">
        <v>0.51</v>
      </c>
      <c r="CS467" t="s">
        <v>723</v>
      </c>
      <c r="CT467">
        <v>7.66</v>
      </c>
      <c r="CU467">
        <v>7.66</v>
      </c>
      <c r="CV467">
        <v>0.73</v>
      </c>
      <c r="CW467">
        <v>5.8</v>
      </c>
      <c r="CX467">
        <v>1.08</v>
      </c>
      <c r="CY467">
        <v>48.87</v>
      </c>
      <c r="CZ467" t="s">
        <v>2841</v>
      </c>
      <c r="DA467">
        <v>33.72</v>
      </c>
      <c r="DB467">
        <v>8.6</v>
      </c>
      <c r="DC467">
        <v>8.64</v>
      </c>
      <c r="DD467">
        <v>6.45</v>
      </c>
      <c r="DE467">
        <v>13030</v>
      </c>
      <c r="DF467">
        <v>2008</v>
      </c>
      <c r="DG467" t="s">
        <v>116</v>
      </c>
      <c r="DH467" t="s">
        <v>116</v>
      </c>
      <c r="DI467" t="s">
        <v>116</v>
      </c>
    </row>
    <row r="468" spans="1:113" x14ac:dyDescent="0.4">
      <c r="A468" t="str">
        <f>"002009"</f>
        <v>002009</v>
      </c>
      <c r="B468" t="s">
        <v>3105</v>
      </c>
      <c r="C468">
        <v>0.53</v>
      </c>
      <c r="D468">
        <v>7.57</v>
      </c>
      <c r="E468">
        <v>0.04</v>
      </c>
      <c r="F468">
        <v>7.56</v>
      </c>
      <c r="G468">
        <v>7.57</v>
      </c>
      <c r="H468">
        <v>99031</v>
      </c>
      <c r="I468">
        <v>882</v>
      </c>
      <c r="J468">
        <v>0.4</v>
      </c>
      <c r="K468">
        <v>3.18</v>
      </c>
      <c r="L468">
        <v>7.57</v>
      </c>
      <c r="M468">
        <v>7.87</v>
      </c>
      <c r="N468">
        <v>7.5</v>
      </c>
      <c r="O468">
        <v>7.53</v>
      </c>
      <c r="P468">
        <v>29.04</v>
      </c>
      <c r="Q468">
        <v>75673296</v>
      </c>
      <c r="R468">
        <v>2.37</v>
      </c>
      <c r="S468" t="s">
        <v>598</v>
      </c>
      <c r="T468" t="s">
        <v>323</v>
      </c>
      <c r="U468">
        <v>4.91</v>
      </c>
      <c r="V468">
        <v>7.64</v>
      </c>
      <c r="W468">
        <v>53221</v>
      </c>
      <c r="X468">
        <v>45810</v>
      </c>
      <c r="Y468">
        <v>1.1599999999999999</v>
      </c>
      <c r="Z468">
        <v>158</v>
      </c>
      <c r="AA468">
        <v>849</v>
      </c>
      <c r="AB468" t="s">
        <v>116</v>
      </c>
      <c r="AC468">
        <v>67400</v>
      </c>
      <c r="AD468">
        <v>0</v>
      </c>
      <c r="AE468" t="s">
        <v>116</v>
      </c>
      <c r="AF468" t="s">
        <v>116</v>
      </c>
      <c r="AG468">
        <v>3.12</v>
      </c>
      <c r="AH468" t="s">
        <v>3106</v>
      </c>
      <c r="AI468" t="s">
        <v>3107</v>
      </c>
      <c r="AJ468">
        <v>1.21</v>
      </c>
      <c r="AK468">
        <v>1677</v>
      </c>
      <c r="AL468">
        <v>59</v>
      </c>
      <c r="AM468">
        <v>1.9E-3</v>
      </c>
      <c r="AN468">
        <v>2</v>
      </c>
      <c r="AO468">
        <v>0.8</v>
      </c>
      <c r="AP468">
        <v>7.38</v>
      </c>
      <c r="AQ468">
        <v>-6.31</v>
      </c>
      <c r="AR468">
        <v>0.89</v>
      </c>
      <c r="AS468">
        <v>4.74</v>
      </c>
      <c r="AT468" t="s">
        <v>3108</v>
      </c>
      <c r="AU468">
        <v>38.04</v>
      </c>
      <c r="AV468">
        <v>20.260000000000002</v>
      </c>
      <c r="AW468">
        <v>0.86</v>
      </c>
      <c r="BA468">
        <v>0.53</v>
      </c>
      <c r="BB468">
        <v>4.5199999999999996</v>
      </c>
      <c r="BC468">
        <v>-0.4</v>
      </c>
      <c r="BD468">
        <v>1.48</v>
      </c>
      <c r="BE468">
        <v>0</v>
      </c>
      <c r="BF468">
        <v>-3.81</v>
      </c>
      <c r="BG468">
        <v>0.93</v>
      </c>
      <c r="BH468">
        <v>-0.95</v>
      </c>
      <c r="BI468">
        <v>20191022</v>
      </c>
      <c r="BJ468">
        <v>20040629</v>
      </c>
      <c r="BK468">
        <v>3.71</v>
      </c>
      <c r="BL468" t="s">
        <v>116</v>
      </c>
      <c r="BM468" t="s">
        <v>116</v>
      </c>
      <c r="BN468">
        <v>60.42</v>
      </c>
      <c r="BO468">
        <v>20.260000000000002</v>
      </c>
      <c r="BP468">
        <v>2.2400000000000002</v>
      </c>
      <c r="BQ468">
        <v>62.76</v>
      </c>
      <c r="BR468">
        <v>40.07</v>
      </c>
      <c r="BS468">
        <v>7.68</v>
      </c>
      <c r="BT468">
        <v>4.53</v>
      </c>
      <c r="BU468">
        <v>36.36</v>
      </c>
      <c r="BV468">
        <v>11.08</v>
      </c>
      <c r="BW468">
        <v>16.02</v>
      </c>
      <c r="BX468">
        <v>8.16</v>
      </c>
      <c r="BY468">
        <v>22.44</v>
      </c>
      <c r="BZ468">
        <v>18.14</v>
      </c>
      <c r="CA468">
        <v>0.77</v>
      </c>
      <c r="CB468">
        <v>0.04</v>
      </c>
      <c r="CC468">
        <v>0.83</v>
      </c>
      <c r="CD468">
        <v>0.64</v>
      </c>
      <c r="CE468">
        <v>0.72</v>
      </c>
      <c r="CF468">
        <v>0.45</v>
      </c>
      <c r="CG468">
        <v>7.61</v>
      </c>
      <c r="CH468">
        <v>-1.99</v>
      </c>
      <c r="CI468">
        <v>-4.41</v>
      </c>
      <c r="CJ468">
        <v>33843</v>
      </c>
      <c r="CK468">
        <v>6170</v>
      </c>
      <c r="CL468" t="s">
        <v>3109</v>
      </c>
      <c r="CM468">
        <v>-47.18</v>
      </c>
      <c r="CN468">
        <v>-10.52</v>
      </c>
      <c r="CO468">
        <v>1.38</v>
      </c>
      <c r="CP468">
        <v>-14.11</v>
      </c>
      <c r="CQ468">
        <v>1.25</v>
      </c>
      <c r="CR468">
        <v>0.75</v>
      </c>
      <c r="CS468" t="s">
        <v>3110</v>
      </c>
      <c r="CT468">
        <v>5.47</v>
      </c>
      <c r="CU468">
        <v>0</v>
      </c>
      <c r="CV468">
        <v>2.2000000000000002</v>
      </c>
      <c r="CW468">
        <v>2.0499999999999998</v>
      </c>
      <c r="CX468">
        <v>-0.54</v>
      </c>
      <c r="CY468">
        <v>33.53</v>
      </c>
      <c r="CZ468" t="s">
        <v>3111</v>
      </c>
      <c r="DA468">
        <v>19.13</v>
      </c>
      <c r="DB468">
        <v>3.42</v>
      </c>
      <c r="DC468">
        <v>3.23</v>
      </c>
      <c r="DD468">
        <v>0.7</v>
      </c>
      <c r="DE468">
        <v>2998</v>
      </c>
      <c r="DF468">
        <v>2009</v>
      </c>
      <c r="DG468" t="s">
        <v>116</v>
      </c>
      <c r="DH468" t="s">
        <v>116</v>
      </c>
      <c r="DI468" t="s">
        <v>116</v>
      </c>
    </row>
    <row r="469" spans="1:113" x14ac:dyDescent="0.4">
      <c r="A469" t="str">
        <f>"002010"</f>
        <v>002010</v>
      </c>
      <c r="B469" t="s">
        <v>3112</v>
      </c>
      <c r="C469">
        <v>1.37</v>
      </c>
      <c r="D469">
        <v>6.68</v>
      </c>
      <c r="E469">
        <v>0.09</v>
      </c>
      <c r="F469">
        <v>6.68</v>
      </c>
      <c r="G469">
        <v>6.69</v>
      </c>
      <c r="H469">
        <v>380661</v>
      </c>
      <c r="I469">
        <v>2793</v>
      </c>
      <c r="J469">
        <v>0</v>
      </c>
      <c r="K469">
        <v>1.2</v>
      </c>
      <c r="L469">
        <v>6.57</v>
      </c>
      <c r="M469">
        <v>6.81</v>
      </c>
      <c r="N469">
        <v>6.53</v>
      </c>
      <c r="O469">
        <v>6.59</v>
      </c>
      <c r="P469">
        <v>19.73</v>
      </c>
      <c r="Q469">
        <v>255416992</v>
      </c>
      <c r="R469">
        <v>1.82</v>
      </c>
      <c r="S469" t="s">
        <v>3113</v>
      </c>
      <c r="T469" t="s">
        <v>590</v>
      </c>
      <c r="U469">
        <v>4.25</v>
      </c>
      <c r="V469">
        <v>6.71</v>
      </c>
      <c r="W469">
        <v>162245</v>
      </c>
      <c r="X469">
        <v>218416</v>
      </c>
      <c r="Y469">
        <v>0.74</v>
      </c>
      <c r="Z469">
        <v>523</v>
      </c>
      <c r="AA469">
        <v>4396</v>
      </c>
      <c r="AB469" t="s">
        <v>116</v>
      </c>
      <c r="AC469">
        <v>879100</v>
      </c>
      <c r="AD469">
        <v>0.01</v>
      </c>
      <c r="AE469" t="s">
        <v>116</v>
      </c>
      <c r="AF469" t="s">
        <v>116</v>
      </c>
      <c r="AG469">
        <v>31.83</v>
      </c>
      <c r="AH469" t="s">
        <v>3114</v>
      </c>
      <c r="AI469" t="s">
        <v>3115</v>
      </c>
      <c r="AJ469">
        <v>2.04</v>
      </c>
      <c r="AK469">
        <v>3507</v>
      </c>
      <c r="AL469">
        <v>109</v>
      </c>
      <c r="AM469">
        <v>2.9999999999999997E-4</v>
      </c>
      <c r="AN469">
        <v>1</v>
      </c>
      <c r="AO469">
        <v>0.01</v>
      </c>
      <c r="AP469">
        <v>-3.05</v>
      </c>
      <c r="AQ469">
        <v>-14.03</v>
      </c>
      <c r="AR469">
        <v>4.37</v>
      </c>
      <c r="AS469">
        <v>3.47</v>
      </c>
      <c r="AT469" t="s">
        <v>3116</v>
      </c>
      <c r="AU469">
        <v>17.52</v>
      </c>
      <c r="AV469">
        <v>26.57</v>
      </c>
      <c r="AW469">
        <v>1.01</v>
      </c>
      <c r="BA469">
        <v>-0.3</v>
      </c>
      <c r="BB469">
        <v>3.34</v>
      </c>
      <c r="BC469">
        <v>-0.91</v>
      </c>
      <c r="BD469">
        <v>1.82</v>
      </c>
      <c r="BE469">
        <v>1.67</v>
      </c>
      <c r="BF469">
        <v>-1.91</v>
      </c>
      <c r="BG469">
        <v>2.2999999999999998</v>
      </c>
      <c r="BH469">
        <v>-0.45</v>
      </c>
      <c r="BI469">
        <v>20191028</v>
      </c>
      <c r="BJ469">
        <v>20040629</v>
      </c>
      <c r="BK469">
        <v>32.58</v>
      </c>
      <c r="BL469" t="s">
        <v>116</v>
      </c>
      <c r="BM469" t="s">
        <v>116</v>
      </c>
      <c r="BN469">
        <v>289.24</v>
      </c>
      <c r="BO469">
        <v>130.96</v>
      </c>
      <c r="BP469">
        <v>18.36</v>
      </c>
      <c r="BQ469">
        <v>48.38</v>
      </c>
      <c r="BR469">
        <v>116.19</v>
      </c>
      <c r="BS469">
        <v>13.81</v>
      </c>
      <c r="BT469">
        <v>10.87</v>
      </c>
      <c r="BU469">
        <v>78.010000000000005</v>
      </c>
      <c r="BV469">
        <v>18.12</v>
      </c>
      <c r="BW469">
        <v>21.74</v>
      </c>
      <c r="BX469">
        <v>65.209999999999994</v>
      </c>
      <c r="BY469">
        <v>151.41999999999999</v>
      </c>
      <c r="BZ469">
        <v>130.72</v>
      </c>
      <c r="CA469">
        <v>11.49</v>
      </c>
      <c r="CB469">
        <v>1.62</v>
      </c>
      <c r="CC469">
        <v>11.21</v>
      </c>
      <c r="CD469">
        <v>8.5500000000000007</v>
      </c>
      <c r="CE469">
        <v>8.27</v>
      </c>
      <c r="CF469">
        <v>4.08</v>
      </c>
      <c r="CG469">
        <v>30.78</v>
      </c>
      <c r="CH469">
        <v>1.92</v>
      </c>
      <c r="CI469">
        <v>-13.65</v>
      </c>
      <c r="CJ469">
        <v>23643</v>
      </c>
      <c r="CK469">
        <v>46455</v>
      </c>
      <c r="CL469" t="s">
        <v>3117</v>
      </c>
      <c r="CM469">
        <v>104.55</v>
      </c>
      <c r="CN469">
        <v>-13.82</v>
      </c>
      <c r="CO469">
        <v>1.66</v>
      </c>
      <c r="CP469">
        <v>113.39</v>
      </c>
      <c r="CQ469">
        <v>1.44</v>
      </c>
      <c r="CR469">
        <v>1.5</v>
      </c>
      <c r="CS469" t="s">
        <v>3118</v>
      </c>
      <c r="CT469">
        <v>4.0199999999999996</v>
      </c>
      <c r="CU469">
        <v>0</v>
      </c>
      <c r="CV469">
        <v>2</v>
      </c>
      <c r="CW469">
        <v>0.94</v>
      </c>
      <c r="CX469">
        <v>0.06</v>
      </c>
      <c r="CY469">
        <v>45.28</v>
      </c>
      <c r="CZ469" t="s">
        <v>3119</v>
      </c>
      <c r="DA469">
        <v>13.67</v>
      </c>
      <c r="DB469">
        <v>7.59</v>
      </c>
      <c r="DC469">
        <v>5.46</v>
      </c>
      <c r="DD469">
        <v>2.56</v>
      </c>
      <c r="DE469">
        <v>6341</v>
      </c>
      <c r="DF469">
        <v>2010</v>
      </c>
      <c r="DG469" t="s">
        <v>116</v>
      </c>
      <c r="DH469" t="s">
        <v>116</v>
      </c>
      <c r="DI469" t="s">
        <v>116</v>
      </c>
    </row>
    <row r="470" spans="1:113" x14ac:dyDescent="0.4">
      <c r="A470" t="str">
        <f>"002011"</f>
        <v>002011</v>
      </c>
      <c r="B470" t="s">
        <v>3120</v>
      </c>
      <c r="C470">
        <v>-2.4</v>
      </c>
      <c r="D470">
        <v>4.88</v>
      </c>
      <c r="E470">
        <v>-0.12</v>
      </c>
      <c r="F470">
        <v>4.87</v>
      </c>
      <c r="G470">
        <v>4.88</v>
      </c>
      <c r="H470">
        <v>247749</v>
      </c>
      <c r="I470">
        <v>2984</v>
      </c>
      <c r="J470">
        <v>0.41</v>
      </c>
      <c r="K470">
        <v>2.71</v>
      </c>
      <c r="L470">
        <v>5</v>
      </c>
      <c r="M470">
        <v>5.0199999999999996</v>
      </c>
      <c r="N470">
        <v>4.8499999999999996</v>
      </c>
      <c r="O470">
        <v>5</v>
      </c>
      <c r="P470">
        <v>6.61</v>
      </c>
      <c r="Q470">
        <v>122416936</v>
      </c>
      <c r="R470">
        <v>0.71</v>
      </c>
      <c r="S470" t="s">
        <v>598</v>
      </c>
      <c r="T470" t="s">
        <v>590</v>
      </c>
      <c r="U470">
        <v>3.4</v>
      </c>
      <c r="V470">
        <v>4.9400000000000004</v>
      </c>
      <c r="W470">
        <v>154020</v>
      </c>
      <c r="X470">
        <v>93729</v>
      </c>
      <c r="Y470">
        <v>1.64</v>
      </c>
      <c r="Z470">
        <v>626</v>
      </c>
      <c r="AA470">
        <v>739</v>
      </c>
      <c r="AB470" t="s">
        <v>116</v>
      </c>
      <c r="AC470">
        <v>1382500</v>
      </c>
      <c r="AD470">
        <v>0.05</v>
      </c>
      <c r="AE470" t="s">
        <v>116</v>
      </c>
      <c r="AF470" t="s">
        <v>116</v>
      </c>
      <c r="AG470">
        <v>9.14</v>
      </c>
      <c r="AH470" t="s">
        <v>3121</v>
      </c>
      <c r="AI470" t="s">
        <v>3122</v>
      </c>
      <c r="AJ470">
        <v>-1.72</v>
      </c>
      <c r="AK470">
        <v>2563</v>
      </c>
      <c r="AL470">
        <v>97</v>
      </c>
      <c r="AM470">
        <v>1.1000000000000001E-3</v>
      </c>
      <c r="AN470">
        <v>-4</v>
      </c>
      <c r="AO470">
        <v>-3.56</v>
      </c>
      <c r="AP470">
        <v>12.96</v>
      </c>
      <c r="AQ470">
        <v>-0.81</v>
      </c>
      <c r="AR470">
        <v>15.37</v>
      </c>
      <c r="AS470">
        <v>4.6900000000000004</v>
      </c>
      <c r="AT470" t="s">
        <v>3123</v>
      </c>
      <c r="AU470" t="s">
        <v>116</v>
      </c>
      <c r="AV470" t="s">
        <v>116</v>
      </c>
      <c r="AW470">
        <v>0.67</v>
      </c>
      <c r="BA470">
        <v>0</v>
      </c>
      <c r="BB470">
        <v>0.4</v>
      </c>
      <c r="BC470">
        <v>-3</v>
      </c>
      <c r="BD470">
        <v>-1.18</v>
      </c>
      <c r="BE470">
        <v>-2.4</v>
      </c>
      <c r="BF470">
        <v>-2.79</v>
      </c>
      <c r="BG470">
        <v>0.62</v>
      </c>
      <c r="BH470">
        <v>-1.22</v>
      </c>
      <c r="BI470">
        <v>20191026</v>
      </c>
      <c r="BJ470">
        <v>20040705</v>
      </c>
      <c r="BK470">
        <v>9.17</v>
      </c>
      <c r="BL470" t="s">
        <v>116</v>
      </c>
      <c r="BM470" t="s">
        <v>116</v>
      </c>
      <c r="BN470">
        <v>99.45</v>
      </c>
      <c r="BO470">
        <v>27.42</v>
      </c>
      <c r="BP470">
        <v>-1.34</v>
      </c>
      <c r="BQ470">
        <v>73.77</v>
      </c>
      <c r="BR470">
        <v>54.1</v>
      </c>
      <c r="BS470">
        <v>13.65</v>
      </c>
      <c r="BT470">
        <v>27.56</v>
      </c>
      <c r="BU470">
        <v>50.79</v>
      </c>
      <c r="BV470">
        <v>9.5299999999999994</v>
      </c>
      <c r="BW470">
        <v>23.42</v>
      </c>
      <c r="BX470">
        <v>21.17</v>
      </c>
      <c r="BY470">
        <v>67.3</v>
      </c>
      <c r="BZ470">
        <v>55.87</v>
      </c>
      <c r="CA470">
        <v>5.31</v>
      </c>
      <c r="CB470">
        <v>-0.02</v>
      </c>
      <c r="CC470">
        <v>5.32</v>
      </c>
      <c r="CD470">
        <v>4.6399999999999997</v>
      </c>
      <c r="CE470">
        <v>5.08</v>
      </c>
      <c r="CF470">
        <v>0.44</v>
      </c>
      <c r="CG470">
        <v>-4.7</v>
      </c>
      <c r="CH470">
        <v>4.17</v>
      </c>
      <c r="CI470">
        <v>-1.27</v>
      </c>
      <c r="CJ470">
        <v>70474</v>
      </c>
      <c r="CK470">
        <v>7494</v>
      </c>
      <c r="CL470" t="s">
        <v>3124</v>
      </c>
      <c r="CM470">
        <v>1127.83</v>
      </c>
      <c r="CN470">
        <v>-0.43</v>
      </c>
      <c r="CO470">
        <v>1.63</v>
      </c>
      <c r="CP470">
        <v>10.72</v>
      </c>
      <c r="CQ470">
        <v>0.67</v>
      </c>
      <c r="CR470">
        <v>0</v>
      </c>
      <c r="CS470" t="s">
        <v>3125</v>
      </c>
      <c r="CT470">
        <v>2.99</v>
      </c>
      <c r="CU470">
        <v>0</v>
      </c>
      <c r="CV470">
        <v>2.31</v>
      </c>
      <c r="CW470">
        <v>-0.51</v>
      </c>
      <c r="CX470">
        <v>0.46</v>
      </c>
      <c r="CY470">
        <v>27.58</v>
      </c>
      <c r="CZ470" t="s">
        <v>3126</v>
      </c>
      <c r="DA470">
        <v>17</v>
      </c>
      <c r="DB470">
        <v>7.89</v>
      </c>
      <c r="DC470">
        <v>7.55</v>
      </c>
      <c r="DD470">
        <v>2.11</v>
      </c>
      <c r="DE470">
        <v>11280</v>
      </c>
      <c r="DF470">
        <v>2011</v>
      </c>
      <c r="DG470" t="s">
        <v>116</v>
      </c>
      <c r="DH470" t="s">
        <v>116</v>
      </c>
      <c r="DI470" t="s">
        <v>116</v>
      </c>
    </row>
    <row r="471" spans="1:113" x14ac:dyDescent="0.4">
      <c r="A471" t="str">
        <f>"002012"</f>
        <v>002012</v>
      </c>
      <c r="B471" t="s">
        <v>3127</v>
      </c>
      <c r="C471">
        <v>-4.42</v>
      </c>
      <c r="D471">
        <v>5.4</v>
      </c>
      <c r="E471">
        <v>-0.25</v>
      </c>
      <c r="F471">
        <v>5.4</v>
      </c>
      <c r="G471">
        <v>5.41</v>
      </c>
      <c r="H471">
        <v>336700</v>
      </c>
      <c r="I471">
        <v>4945</v>
      </c>
      <c r="J471">
        <v>-0.17</v>
      </c>
      <c r="K471">
        <v>7.23</v>
      </c>
      <c r="L471">
        <v>5.61</v>
      </c>
      <c r="M471">
        <v>5.66</v>
      </c>
      <c r="N471">
        <v>5.39</v>
      </c>
      <c r="O471">
        <v>5.65</v>
      </c>
      <c r="P471">
        <v>49.27</v>
      </c>
      <c r="Q471">
        <v>186221744</v>
      </c>
      <c r="R471">
        <v>0.91</v>
      </c>
      <c r="S471" t="s">
        <v>824</v>
      </c>
      <c r="T471" t="s">
        <v>590</v>
      </c>
      <c r="U471">
        <v>4.78</v>
      </c>
      <c r="V471">
        <v>5.53</v>
      </c>
      <c r="W471">
        <v>219421</v>
      </c>
      <c r="X471">
        <v>117279</v>
      </c>
      <c r="Y471">
        <v>1.87</v>
      </c>
      <c r="Z471">
        <v>2591</v>
      </c>
      <c r="AA471">
        <v>2228</v>
      </c>
      <c r="AB471" t="s">
        <v>116</v>
      </c>
      <c r="AC471">
        <v>1345800</v>
      </c>
      <c r="AD471">
        <v>0.06</v>
      </c>
      <c r="AE471" t="s">
        <v>116</v>
      </c>
      <c r="AF471" t="s">
        <v>116</v>
      </c>
      <c r="AG471">
        <v>4.66</v>
      </c>
      <c r="AH471" t="s">
        <v>3128</v>
      </c>
      <c r="AI471" t="s">
        <v>3129</v>
      </c>
      <c r="AJ471">
        <v>-3.75</v>
      </c>
      <c r="AK471">
        <v>3123</v>
      </c>
      <c r="AL471">
        <v>108</v>
      </c>
      <c r="AM471">
        <v>2.3E-3</v>
      </c>
      <c r="AN471">
        <v>-1</v>
      </c>
      <c r="AO471">
        <v>-3.05</v>
      </c>
      <c r="AP471">
        <v>9.98</v>
      </c>
      <c r="AQ471">
        <v>14.89</v>
      </c>
      <c r="AR471">
        <v>37.93</v>
      </c>
      <c r="AS471">
        <v>8.7799999999999994</v>
      </c>
      <c r="AT471" t="s">
        <v>3130</v>
      </c>
      <c r="AU471">
        <v>56.46</v>
      </c>
      <c r="AV471">
        <v>101.79</v>
      </c>
      <c r="AW471">
        <v>1.95</v>
      </c>
      <c r="BA471">
        <v>-0.71</v>
      </c>
      <c r="BB471">
        <v>0.18</v>
      </c>
      <c r="BC471">
        <v>-4.5999999999999996</v>
      </c>
      <c r="BD471">
        <v>-2.11</v>
      </c>
      <c r="BE471">
        <v>-3.74</v>
      </c>
      <c r="BF471">
        <v>-4.59</v>
      </c>
      <c r="BG471">
        <v>0.19</v>
      </c>
      <c r="BH471">
        <v>-2.31</v>
      </c>
      <c r="BI471">
        <v>20191212</v>
      </c>
      <c r="BJ471">
        <v>20040705</v>
      </c>
      <c r="BK471">
        <v>4.68</v>
      </c>
      <c r="BL471" t="s">
        <v>116</v>
      </c>
      <c r="BM471" t="s">
        <v>116</v>
      </c>
      <c r="BN471">
        <v>18.579999999999998</v>
      </c>
      <c r="BO471">
        <v>12.71</v>
      </c>
      <c r="BP471">
        <v>1.1399999999999999</v>
      </c>
      <c r="BQ471">
        <v>25.47</v>
      </c>
      <c r="BR471">
        <v>11.64</v>
      </c>
      <c r="BS471">
        <v>4.4800000000000004</v>
      </c>
      <c r="BT471">
        <v>0.39</v>
      </c>
      <c r="BU471">
        <v>4.58</v>
      </c>
      <c r="BV471">
        <v>2.57</v>
      </c>
      <c r="BW471">
        <v>2.46</v>
      </c>
      <c r="BX471">
        <v>2.73</v>
      </c>
      <c r="BY471">
        <v>8.48</v>
      </c>
      <c r="BZ471">
        <v>6.48</v>
      </c>
      <c r="CA471">
        <v>0.57999999999999996</v>
      </c>
      <c r="CB471">
        <v>0.35</v>
      </c>
      <c r="CC471">
        <v>0.57999999999999996</v>
      </c>
      <c r="CD471">
        <v>0.51</v>
      </c>
      <c r="CE471">
        <v>0.38</v>
      </c>
      <c r="CF471">
        <v>0.11</v>
      </c>
      <c r="CG471">
        <v>4.58</v>
      </c>
      <c r="CH471">
        <v>0.65</v>
      </c>
      <c r="CI471">
        <v>0.2</v>
      </c>
      <c r="CJ471">
        <v>46301</v>
      </c>
      <c r="CK471">
        <v>8283</v>
      </c>
      <c r="CL471" t="s">
        <v>3131</v>
      </c>
      <c r="CM471">
        <v>107.56</v>
      </c>
      <c r="CN471">
        <v>2.1800000000000002</v>
      </c>
      <c r="CO471">
        <v>1.99</v>
      </c>
      <c r="CP471">
        <v>38.99</v>
      </c>
      <c r="CQ471">
        <v>2.98</v>
      </c>
      <c r="CR471">
        <v>0.09</v>
      </c>
      <c r="CS471" t="s">
        <v>1272</v>
      </c>
      <c r="CT471">
        <v>2.72</v>
      </c>
      <c r="CU471">
        <v>0</v>
      </c>
      <c r="CV471">
        <v>0.57999999999999996</v>
      </c>
      <c r="CW471">
        <v>0.98</v>
      </c>
      <c r="CX471">
        <v>0.14000000000000001</v>
      </c>
      <c r="CY471">
        <v>68.42</v>
      </c>
      <c r="CZ471" t="s">
        <v>2558</v>
      </c>
      <c r="DA471">
        <v>23.66</v>
      </c>
      <c r="DB471">
        <v>6.81</v>
      </c>
      <c r="DC471">
        <v>4.53</v>
      </c>
      <c r="DD471">
        <v>0.57999999999999996</v>
      </c>
      <c r="DE471">
        <v>1018</v>
      </c>
      <c r="DF471">
        <v>2012</v>
      </c>
      <c r="DG471" t="s">
        <v>116</v>
      </c>
      <c r="DH471" t="s">
        <v>116</v>
      </c>
      <c r="DI471" t="s">
        <v>116</v>
      </c>
    </row>
    <row r="472" spans="1:113" x14ac:dyDescent="0.4">
      <c r="A472" t="str">
        <f>"002013"</f>
        <v>002013</v>
      </c>
      <c r="B472" t="s">
        <v>3132</v>
      </c>
      <c r="C472">
        <v>0.15</v>
      </c>
      <c r="D472">
        <v>6.85</v>
      </c>
      <c r="E472">
        <v>0.01</v>
      </c>
      <c r="F472">
        <v>6.85</v>
      </c>
      <c r="G472">
        <v>6.86</v>
      </c>
      <c r="H472">
        <v>186779</v>
      </c>
      <c r="I472">
        <v>869</v>
      </c>
      <c r="J472">
        <v>-0.14000000000000001</v>
      </c>
      <c r="K472">
        <v>0.52</v>
      </c>
      <c r="L472">
        <v>6.84</v>
      </c>
      <c r="M472">
        <v>6.94</v>
      </c>
      <c r="N472">
        <v>6.83</v>
      </c>
      <c r="O472">
        <v>6.84</v>
      </c>
      <c r="P472">
        <v>32.71</v>
      </c>
      <c r="Q472">
        <v>128578736</v>
      </c>
      <c r="R472">
        <v>1.26</v>
      </c>
      <c r="S472" t="s">
        <v>1789</v>
      </c>
      <c r="T472" t="s">
        <v>774</v>
      </c>
      <c r="U472">
        <v>1.61</v>
      </c>
      <c r="V472">
        <v>6.88</v>
      </c>
      <c r="W472">
        <v>80695</v>
      </c>
      <c r="X472">
        <v>106084</v>
      </c>
      <c r="Y472">
        <v>0.76</v>
      </c>
      <c r="Z472">
        <v>2505</v>
      </c>
      <c r="AA472">
        <v>2290</v>
      </c>
      <c r="AB472" t="s">
        <v>116</v>
      </c>
      <c r="AC472">
        <v>149800</v>
      </c>
      <c r="AD472">
        <v>0</v>
      </c>
      <c r="AE472" t="s">
        <v>116</v>
      </c>
      <c r="AF472" t="s">
        <v>116</v>
      </c>
      <c r="AG472">
        <v>36.08</v>
      </c>
      <c r="AH472" t="s">
        <v>3133</v>
      </c>
      <c r="AI472" t="s">
        <v>3134</v>
      </c>
      <c r="AJ472">
        <v>0.83</v>
      </c>
      <c r="AK472">
        <v>3217</v>
      </c>
      <c r="AL472">
        <v>58</v>
      </c>
      <c r="AM472">
        <v>2.0000000000000001E-4</v>
      </c>
      <c r="AN472">
        <v>2</v>
      </c>
      <c r="AO472">
        <v>0.73</v>
      </c>
      <c r="AP472">
        <v>7.2</v>
      </c>
      <c r="AQ472">
        <v>5.0599999999999996</v>
      </c>
      <c r="AR472">
        <v>5.71</v>
      </c>
      <c r="AS472">
        <v>1.1200000000000001</v>
      </c>
      <c r="AT472" t="s">
        <v>3135</v>
      </c>
      <c r="AU472">
        <v>27.46</v>
      </c>
      <c r="AV472">
        <v>29.54</v>
      </c>
      <c r="AW472">
        <v>0.63</v>
      </c>
      <c r="BA472">
        <v>0</v>
      </c>
      <c r="BB472">
        <v>1.46</v>
      </c>
      <c r="BC472">
        <v>-0.15</v>
      </c>
      <c r="BD472">
        <v>0.64</v>
      </c>
      <c r="BE472">
        <v>0.15</v>
      </c>
      <c r="BF472">
        <v>-1.3</v>
      </c>
      <c r="BG472">
        <v>0.28999999999999998</v>
      </c>
      <c r="BH472">
        <v>-0.5</v>
      </c>
      <c r="BI472">
        <v>20191114</v>
      </c>
      <c r="BJ472">
        <v>20040705</v>
      </c>
      <c r="BK472">
        <v>36.090000000000003</v>
      </c>
      <c r="BL472" t="s">
        <v>116</v>
      </c>
      <c r="BM472" t="s">
        <v>116</v>
      </c>
      <c r="BN472">
        <v>296.07</v>
      </c>
      <c r="BO472">
        <v>96.1</v>
      </c>
      <c r="BP472">
        <v>26.97</v>
      </c>
      <c r="BQ472">
        <v>58.43</v>
      </c>
      <c r="BR472">
        <v>195.4</v>
      </c>
      <c r="BS472">
        <v>53.54</v>
      </c>
      <c r="BT472">
        <v>11.16</v>
      </c>
      <c r="BU472">
        <v>135.29</v>
      </c>
      <c r="BV472">
        <v>50.7</v>
      </c>
      <c r="BW472">
        <v>86.99</v>
      </c>
      <c r="BX472">
        <v>10.130000000000001</v>
      </c>
      <c r="BY472">
        <v>82.77</v>
      </c>
      <c r="BZ472">
        <v>62.8</v>
      </c>
      <c r="CA472">
        <v>6.75</v>
      </c>
      <c r="CB472">
        <v>-0.04</v>
      </c>
      <c r="CC472">
        <v>7.08</v>
      </c>
      <c r="CD472">
        <v>6.03</v>
      </c>
      <c r="CE472">
        <v>5.67</v>
      </c>
      <c r="CF472">
        <v>4.8600000000000003</v>
      </c>
      <c r="CG472">
        <v>40.72</v>
      </c>
      <c r="CH472">
        <v>-4.9800000000000004</v>
      </c>
      <c r="CI472">
        <v>-2.44</v>
      </c>
      <c r="CJ472">
        <v>93702</v>
      </c>
      <c r="CK472">
        <v>17818</v>
      </c>
      <c r="CL472" t="s">
        <v>3136</v>
      </c>
      <c r="CM472">
        <v>12.59</v>
      </c>
      <c r="CN472">
        <v>4.1500000000000004</v>
      </c>
      <c r="CO472">
        <v>2.66</v>
      </c>
      <c r="CP472">
        <v>-49.67</v>
      </c>
      <c r="CQ472">
        <v>2.99</v>
      </c>
      <c r="CR472">
        <v>0.44</v>
      </c>
      <c r="CS472" t="s">
        <v>3137</v>
      </c>
      <c r="CT472">
        <v>2.57</v>
      </c>
      <c r="CU472">
        <v>2.57</v>
      </c>
      <c r="CV472">
        <v>0.28000000000000003</v>
      </c>
      <c r="CW472">
        <v>1.1299999999999999</v>
      </c>
      <c r="CX472">
        <v>-0.14000000000000001</v>
      </c>
      <c r="CY472">
        <v>32.46</v>
      </c>
      <c r="CZ472" t="s">
        <v>3138</v>
      </c>
      <c r="DA472">
        <v>24.13</v>
      </c>
      <c r="DB472">
        <v>8.16</v>
      </c>
      <c r="DC472">
        <v>6.85</v>
      </c>
      <c r="DD472">
        <v>2.84</v>
      </c>
      <c r="DE472">
        <v>32581</v>
      </c>
      <c r="DF472">
        <v>2013</v>
      </c>
      <c r="DG472" t="s">
        <v>116</v>
      </c>
      <c r="DH472" t="s">
        <v>116</v>
      </c>
      <c r="DI472" t="s">
        <v>116</v>
      </c>
    </row>
    <row r="473" spans="1:113" x14ac:dyDescent="0.4">
      <c r="A473" t="str">
        <f>"002014"</f>
        <v>002014</v>
      </c>
      <c r="B473" t="s">
        <v>3139</v>
      </c>
      <c r="C473">
        <v>0.43</v>
      </c>
      <c r="D473">
        <v>9.42</v>
      </c>
      <c r="E473">
        <v>0.04</v>
      </c>
      <c r="F473">
        <v>9.39</v>
      </c>
      <c r="G473">
        <v>9.42</v>
      </c>
      <c r="H473">
        <v>28702</v>
      </c>
      <c r="I473">
        <v>177</v>
      </c>
      <c r="J473">
        <v>-0.1</v>
      </c>
      <c r="K473">
        <v>0.56999999999999995</v>
      </c>
      <c r="L473">
        <v>9.3800000000000008</v>
      </c>
      <c r="M473">
        <v>9.5</v>
      </c>
      <c r="N473">
        <v>9.25</v>
      </c>
      <c r="O473">
        <v>9.3800000000000008</v>
      </c>
      <c r="P473">
        <v>19.239999999999998</v>
      </c>
      <c r="Q473">
        <v>26914934</v>
      </c>
      <c r="R473">
        <v>1</v>
      </c>
      <c r="S473" t="s">
        <v>2444</v>
      </c>
      <c r="T473" t="s">
        <v>575</v>
      </c>
      <c r="U473">
        <v>2.67</v>
      </c>
      <c r="V473">
        <v>9.3800000000000008</v>
      </c>
      <c r="W473">
        <v>15013</v>
      </c>
      <c r="X473">
        <v>13689</v>
      </c>
      <c r="Y473">
        <v>1.1000000000000001</v>
      </c>
      <c r="Z473">
        <v>25</v>
      </c>
      <c r="AA473">
        <v>141</v>
      </c>
      <c r="AB473" t="s">
        <v>116</v>
      </c>
      <c r="AC473">
        <v>18300</v>
      </c>
      <c r="AD473">
        <v>0</v>
      </c>
      <c r="AE473" t="s">
        <v>116</v>
      </c>
      <c r="AF473" t="s">
        <v>116</v>
      </c>
      <c r="AG473">
        <v>5.01</v>
      </c>
      <c r="AH473" t="s">
        <v>2293</v>
      </c>
      <c r="AI473" t="s">
        <v>3140</v>
      </c>
      <c r="AJ473">
        <v>1.1100000000000001</v>
      </c>
      <c r="AK473">
        <v>1345</v>
      </c>
      <c r="AL473">
        <v>21</v>
      </c>
      <c r="AM473">
        <v>4.0000000000000002E-4</v>
      </c>
      <c r="AN473">
        <v>2</v>
      </c>
      <c r="AO473">
        <v>2.4</v>
      </c>
      <c r="AP473">
        <v>15.87</v>
      </c>
      <c r="AQ473">
        <v>31.2</v>
      </c>
      <c r="AR473">
        <v>51.69</v>
      </c>
      <c r="AS473">
        <v>1.57</v>
      </c>
      <c r="AT473" t="s">
        <v>3141</v>
      </c>
      <c r="AU473">
        <v>18.170000000000002</v>
      </c>
      <c r="AV473">
        <v>21.05</v>
      </c>
      <c r="AW473">
        <v>0.72</v>
      </c>
      <c r="BA473">
        <v>0</v>
      </c>
      <c r="BB473">
        <v>1.28</v>
      </c>
      <c r="BC473">
        <v>-1.39</v>
      </c>
      <c r="BD473">
        <v>-0.03</v>
      </c>
      <c r="BE473">
        <v>0.43</v>
      </c>
      <c r="BF473">
        <v>-0.84</v>
      </c>
      <c r="BG473">
        <v>1.84</v>
      </c>
      <c r="BH473">
        <v>0.45</v>
      </c>
      <c r="BI473">
        <v>20191223</v>
      </c>
      <c r="BJ473">
        <v>20040708</v>
      </c>
      <c r="BK473">
        <v>5.04</v>
      </c>
      <c r="BL473" t="s">
        <v>116</v>
      </c>
      <c r="BM473" t="s">
        <v>116</v>
      </c>
      <c r="BN473">
        <v>25.02</v>
      </c>
      <c r="BO473">
        <v>17.739999999999998</v>
      </c>
      <c r="BP473">
        <v>0.35</v>
      </c>
      <c r="BQ473">
        <v>27.72</v>
      </c>
      <c r="BR473">
        <v>15.85</v>
      </c>
      <c r="BS473">
        <v>7.06</v>
      </c>
      <c r="BT473">
        <v>0.6</v>
      </c>
      <c r="BU473">
        <v>6.36</v>
      </c>
      <c r="BV473">
        <v>2.98</v>
      </c>
      <c r="BW473">
        <v>4.62</v>
      </c>
      <c r="BX473">
        <v>4.3099999999999996</v>
      </c>
      <c r="BY473">
        <v>18.559999999999999</v>
      </c>
      <c r="BZ473">
        <v>14.1</v>
      </c>
      <c r="CA473">
        <v>2.17</v>
      </c>
      <c r="CB473">
        <v>0.05</v>
      </c>
      <c r="CC473">
        <v>2.17</v>
      </c>
      <c r="CD473">
        <v>1.88</v>
      </c>
      <c r="CE473">
        <v>1.85</v>
      </c>
      <c r="CF473">
        <v>1.78</v>
      </c>
      <c r="CG473">
        <v>7.06</v>
      </c>
      <c r="CH473">
        <v>1.86</v>
      </c>
      <c r="CI473">
        <v>0.89</v>
      </c>
      <c r="CJ473">
        <v>19536</v>
      </c>
      <c r="CK473">
        <v>9342</v>
      </c>
      <c r="CL473" t="s">
        <v>3142</v>
      </c>
      <c r="CM473">
        <v>23.95</v>
      </c>
      <c r="CN473">
        <v>11.85</v>
      </c>
      <c r="CO473">
        <v>2.67</v>
      </c>
      <c r="CP473">
        <v>25.47</v>
      </c>
      <c r="CQ473">
        <v>2.56</v>
      </c>
      <c r="CR473">
        <v>3.68</v>
      </c>
      <c r="CS473" t="s">
        <v>3143</v>
      </c>
      <c r="CT473">
        <v>3.52</v>
      </c>
      <c r="CU473">
        <v>0</v>
      </c>
      <c r="CV473">
        <v>0.86</v>
      </c>
      <c r="CW473">
        <v>1.4</v>
      </c>
      <c r="CX473">
        <v>0.37</v>
      </c>
      <c r="CY473">
        <v>70.89</v>
      </c>
      <c r="CZ473" t="s">
        <v>3144</v>
      </c>
      <c r="DA473">
        <v>24.02</v>
      </c>
      <c r="DB473">
        <v>11.71</v>
      </c>
      <c r="DC473">
        <v>9.9600000000000009</v>
      </c>
      <c r="DD473">
        <v>0.75</v>
      </c>
      <c r="DE473">
        <v>1949</v>
      </c>
      <c r="DF473">
        <v>2014</v>
      </c>
      <c r="DG473" t="s">
        <v>116</v>
      </c>
      <c r="DH473" t="s">
        <v>116</v>
      </c>
      <c r="DI473" t="s">
        <v>116</v>
      </c>
    </row>
    <row r="474" spans="1:113" x14ac:dyDescent="0.4">
      <c r="A474" t="str">
        <f>"002015"</f>
        <v>002015</v>
      </c>
      <c r="B474" t="s">
        <v>3145</v>
      </c>
      <c r="C474">
        <v>1.1499999999999999</v>
      </c>
      <c r="D474">
        <v>5.28</v>
      </c>
      <c r="E474">
        <v>0.06</v>
      </c>
      <c r="F474">
        <v>5.28</v>
      </c>
      <c r="G474">
        <v>5.29</v>
      </c>
      <c r="H474">
        <v>53976</v>
      </c>
      <c r="I474">
        <v>414</v>
      </c>
      <c r="J474">
        <v>-0.18</v>
      </c>
      <c r="K474">
        <v>1.35</v>
      </c>
      <c r="L474">
        <v>5.22</v>
      </c>
      <c r="M474">
        <v>5.3</v>
      </c>
      <c r="N474">
        <v>5.22</v>
      </c>
      <c r="O474">
        <v>5.22</v>
      </c>
      <c r="P474">
        <v>12.44</v>
      </c>
      <c r="Q474">
        <v>28499994</v>
      </c>
      <c r="R474">
        <v>1.06</v>
      </c>
      <c r="S474" t="s">
        <v>361</v>
      </c>
      <c r="T474" t="s">
        <v>323</v>
      </c>
      <c r="U474">
        <v>1.53</v>
      </c>
      <c r="V474">
        <v>5.28</v>
      </c>
      <c r="W474">
        <v>21486</v>
      </c>
      <c r="X474">
        <v>32490</v>
      </c>
      <c r="Y474">
        <v>0.66</v>
      </c>
      <c r="Z474">
        <v>1185</v>
      </c>
      <c r="AA474">
        <v>1324</v>
      </c>
      <c r="AB474" t="s">
        <v>116</v>
      </c>
      <c r="AC474">
        <v>29800</v>
      </c>
      <c r="AD474">
        <v>0</v>
      </c>
      <c r="AE474" t="s">
        <v>116</v>
      </c>
      <c r="AF474" t="s">
        <v>116</v>
      </c>
      <c r="AG474">
        <v>4.01</v>
      </c>
      <c r="AH474" t="s">
        <v>3146</v>
      </c>
      <c r="AI474" t="s">
        <v>3147</v>
      </c>
      <c r="AJ474">
        <v>1.83</v>
      </c>
      <c r="AK474">
        <v>1237</v>
      </c>
      <c r="AL474">
        <v>44</v>
      </c>
      <c r="AM474">
        <v>1.1000000000000001E-3</v>
      </c>
      <c r="AN474">
        <v>1</v>
      </c>
      <c r="AO474">
        <v>0.76</v>
      </c>
      <c r="AP474">
        <v>-5.88</v>
      </c>
      <c r="AQ474">
        <v>-8.81</v>
      </c>
      <c r="AR474">
        <v>10.92</v>
      </c>
      <c r="AS474">
        <v>1.72</v>
      </c>
      <c r="AT474" t="s">
        <v>3148</v>
      </c>
      <c r="AU474">
        <v>47.36</v>
      </c>
      <c r="AV474">
        <v>1327.64</v>
      </c>
      <c r="AW474">
        <v>0.65</v>
      </c>
      <c r="BA474">
        <v>0</v>
      </c>
      <c r="BB474">
        <v>1.53</v>
      </c>
      <c r="BC474">
        <v>0</v>
      </c>
      <c r="BD474">
        <v>1.1499999999999999</v>
      </c>
      <c r="BE474">
        <v>1.1499999999999999</v>
      </c>
      <c r="BF474">
        <v>-0.38</v>
      </c>
      <c r="BG474">
        <v>1.1499999999999999</v>
      </c>
      <c r="BH474">
        <v>0</v>
      </c>
      <c r="BI474">
        <v>20191025</v>
      </c>
      <c r="BJ474">
        <v>20040708</v>
      </c>
      <c r="BK474">
        <v>13.52</v>
      </c>
      <c r="BL474" t="s">
        <v>116</v>
      </c>
      <c r="BM474" t="s">
        <v>116</v>
      </c>
      <c r="BN474">
        <v>224.38</v>
      </c>
      <c r="BO474">
        <v>47.06</v>
      </c>
      <c r="BP474">
        <v>26.76</v>
      </c>
      <c r="BQ474">
        <v>67.099999999999994</v>
      </c>
      <c r="BR474">
        <v>62.79</v>
      </c>
      <c r="BS474">
        <v>103.41</v>
      </c>
      <c r="BT474">
        <v>12.12</v>
      </c>
      <c r="BU474">
        <v>71.72</v>
      </c>
      <c r="BV474">
        <v>2.1</v>
      </c>
      <c r="BW474">
        <v>16.600000000000001</v>
      </c>
      <c r="BX474">
        <v>35.619999999999997</v>
      </c>
      <c r="BY474">
        <v>78.14</v>
      </c>
      <c r="BZ474">
        <v>62.37</v>
      </c>
      <c r="CA474">
        <v>8.7200000000000006</v>
      </c>
      <c r="CB474">
        <v>0.86</v>
      </c>
      <c r="CC474">
        <v>9.89</v>
      </c>
      <c r="CD474">
        <v>7.01</v>
      </c>
      <c r="CE474">
        <v>4.3099999999999996</v>
      </c>
      <c r="CF474">
        <v>2.02</v>
      </c>
      <c r="CG474">
        <v>-1.98</v>
      </c>
      <c r="CH474">
        <v>10.32</v>
      </c>
      <c r="CI474">
        <v>2.64</v>
      </c>
      <c r="CJ474">
        <v>20103</v>
      </c>
      <c r="CK474">
        <v>15644</v>
      </c>
      <c r="CL474" t="s">
        <v>3149</v>
      </c>
      <c r="CM474">
        <v>50.97</v>
      </c>
      <c r="CN474">
        <v>33.46</v>
      </c>
      <c r="CO474">
        <v>1.52</v>
      </c>
      <c r="CP474">
        <v>6.92</v>
      </c>
      <c r="CQ474">
        <v>0.91</v>
      </c>
      <c r="CR474">
        <v>0</v>
      </c>
      <c r="CS474" t="s">
        <v>3150</v>
      </c>
      <c r="CT474">
        <v>3.48</v>
      </c>
      <c r="CU474">
        <v>0</v>
      </c>
      <c r="CV474">
        <v>2.63</v>
      </c>
      <c r="CW474">
        <v>-0.15</v>
      </c>
      <c r="CX474">
        <v>0.76</v>
      </c>
      <c r="CY474">
        <v>20.97</v>
      </c>
      <c r="CZ474" t="s">
        <v>3151</v>
      </c>
      <c r="DA474">
        <v>20.190000000000001</v>
      </c>
      <c r="DB474">
        <v>11.16</v>
      </c>
      <c r="DC474">
        <v>5.51</v>
      </c>
      <c r="DD474">
        <v>0.02</v>
      </c>
      <c r="DE474">
        <v>374</v>
      </c>
      <c r="DF474">
        <v>2015</v>
      </c>
      <c r="DG474" t="s">
        <v>116</v>
      </c>
      <c r="DH474" t="s">
        <v>116</v>
      </c>
      <c r="DI474" t="s">
        <v>116</v>
      </c>
    </row>
    <row r="475" spans="1:113" x14ac:dyDescent="0.4">
      <c r="A475" t="str">
        <f>"002016"</f>
        <v>002016</v>
      </c>
      <c r="B475" t="s">
        <v>3152</v>
      </c>
      <c r="C475">
        <v>-0.81</v>
      </c>
      <c r="D475">
        <v>8.5500000000000007</v>
      </c>
      <c r="E475">
        <v>-7.0000000000000007E-2</v>
      </c>
      <c r="F475">
        <v>8.5399999999999991</v>
      </c>
      <c r="G475">
        <v>8.5500000000000007</v>
      </c>
      <c r="H475">
        <v>46065</v>
      </c>
      <c r="I475">
        <v>572</v>
      </c>
      <c r="J475">
        <v>0</v>
      </c>
      <c r="K475">
        <v>0.67</v>
      </c>
      <c r="L475">
        <v>8.65</v>
      </c>
      <c r="M475">
        <v>8.67</v>
      </c>
      <c r="N475">
        <v>8.5299999999999994</v>
      </c>
      <c r="O475">
        <v>8.6199999999999992</v>
      </c>
      <c r="P475">
        <v>6.92</v>
      </c>
      <c r="Q475">
        <v>39563364</v>
      </c>
      <c r="R475">
        <v>0.67</v>
      </c>
      <c r="S475" t="s">
        <v>148</v>
      </c>
      <c r="T475" t="s">
        <v>551</v>
      </c>
      <c r="U475">
        <v>1.62</v>
      </c>
      <c r="V475">
        <v>8.59</v>
      </c>
      <c r="W475">
        <v>29068</v>
      </c>
      <c r="X475">
        <v>16997</v>
      </c>
      <c r="Y475">
        <v>1.71</v>
      </c>
      <c r="Z475">
        <v>435</v>
      </c>
      <c r="AA475">
        <v>213</v>
      </c>
      <c r="AB475" t="s">
        <v>116</v>
      </c>
      <c r="AC475">
        <v>387500</v>
      </c>
      <c r="AD475">
        <v>0.02</v>
      </c>
      <c r="AE475" t="s">
        <v>116</v>
      </c>
      <c r="AF475" t="s">
        <v>116</v>
      </c>
      <c r="AG475">
        <v>6.87</v>
      </c>
      <c r="AH475" t="s">
        <v>3153</v>
      </c>
      <c r="AI475" t="s">
        <v>3154</v>
      </c>
      <c r="AJ475">
        <v>-0.13</v>
      </c>
      <c r="AK475">
        <v>1497</v>
      </c>
      <c r="AL475">
        <v>31</v>
      </c>
      <c r="AM475">
        <v>4.0000000000000002E-4</v>
      </c>
      <c r="AN475">
        <v>-1</v>
      </c>
      <c r="AO475">
        <v>-0.01</v>
      </c>
      <c r="AP475">
        <v>2.4</v>
      </c>
      <c r="AQ475">
        <v>5.04</v>
      </c>
      <c r="AR475">
        <v>0.35</v>
      </c>
      <c r="AS475">
        <v>2.2000000000000002</v>
      </c>
      <c r="AT475" t="s">
        <v>3155</v>
      </c>
      <c r="AU475">
        <v>7.12</v>
      </c>
      <c r="AV475">
        <v>8.69</v>
      </c>
      <c r="AW475">
        <v>1.0900000000000001</v>
      </c>
      <c r="BA475">
        <v>0.35</v>
      </c>
      <c r="BB475">
        <v>0.57999999999999996</v>
      </c>
      <c r="BC475">
        <v>-1.04</v>
      </c>
      <c r="BD475">
        <v>-0.36</v>
      </c>
      <c r="BE475">
        <v>-1.1599999999999999</v>
      </c>
      <c r="BF475">
        <v>-1.38</v>
      </c>
      <c r="BG475">
        <v>0.23</v>
      </c>
      <c r="BH475">
        <v>-0.45</v>
      </c>
      <c r="BI475">
        <v>20191031</v>
      </c>
      <c r="BJ475">
        <v>20040708</v>
      </c>
      <c r="BK475">
        <v>8.09</v>
      </c>
      <c r="BL475" t="s">
        <v>116</v>
      </c>
      <c r="BM475" t="s">
        <v>116</v>
      </c>
      <c r="BN475">
        <v>84.63</v>
      </c>
      <c r="BO475">
        <v>30.37</v>
      </c>
      <c r="BP475">
        <v>-0.08</v>
      </c>
      <c r="BQ475">
        <v>64.2</v>
      </c>
      <c r="BR475">
        <v>75.8</v>
      </c>
      <c r="BS475">
        <v>0.92</v>
      </c>
      <c r="BT475">
        <v>0.01</v>
      </c>
      <c r="BU475">
        <v>44.31</v>
      </c>
      <c r="BV475">
        <v>41.04</v>
      </c>
      <c r="BW475">
        <v>0.17</v>
      </c>
      <c r="BX475">
        <v>1.35</v>
      </c>
      <c r="BY475">
        <v>21.65</v>
      </c>
      <c r="BZ475">
        <v>6.65</v>
      </c>
      <c r="CA475">
        <v>10.039999999999999</v>
      </c>
      <c r="CB475">
        <v>7.0000000000000007E-2</v>
      </c>
      <c r="CC475">
        <v>10.06</v>
      </c>
      <c r="CD475">
        <v>7.49</v>
      </c>
      <c r="CE475">
        <v>7.49</v>
      </c>
      <c r="CF475">
        <v>7.34</v>
      </c>
      <c r="CG475">
        <v>18.149999999999999</v>
      </c>
      <c r="CH475">
        <v>15.98</v>
      </c>
      <c r="CI475">
        <v>9.25</v>
      </c>
      <c r="CJ475">
        <v>26888</v>
      </c>
      <c r="CK475">
        <v>7797</v>
      </c>
      <c r="CL475" t="s">
        <v>152</v>
      </c>
      <c r="CM475">
        <v>30.6</v>
      </c>
      <c r="CN475">
        <v>53.43</v>
      </c>
      <c r="CO475">
        <v>2.2799999999999998</v>
      </c>
      <c r="CP475">
        <v>4.33</v>
      </c>
      <c r="CQ475">
        <v>3.19</v>
      </c>
      <c r="CR475">
        <v>5.85</v>
      </c>
      <c r="CS475" t="s">
        <v>3156</v>
      </c>
      <c r="CT475">
        <v>3.75</v>
      </c>
      <c r="CU475">
        <v>0</v>
      </c>
      <c r="CV475">
        <v>0.17</v>
      </c>
      <c r="CW475">
        <v>2.2400000000000002</v>
      </c>
      <c r="CX475">
        <v>1.98</v>
      </c>
      <c r="CY475">
        <v>35.89</v>
      </c>
      <c r="CZ475" t="s">
        <v>3157</v>
      </c>
      <c r="DA475">
        <v>69.27</v>
      </c>
      <c r="DB475">
        <v>46.36</v>
      </c>
      <c r="DC475">
        <v>34.6</v>
      </c>
      <c r="DD475">
        <v>0</v>
      </c>
      <c r="DE475">
        <v>853</v>
      </c>
      <c r="DF475">
        <v>2016</v>
      </c>
      <c r="DG475" t="s">
        <v>116</v>
      </c>
      <c r="DH475" t="s">
        <v>116</v>
      </c>
      <c r="DI475" t="s">
        <v>116</v>
      </c>
    </row>
    <row r="476" spans="1:113" x14ac:dyDescent="0.4">
      <c r="A476" t="str">
        <f>"002017"</f>
        <v>002017</v>
      </c>
      <c r="B476" t="s">
        <v>3158</v>
      </c>
      <c r="C476">
        <v>-1.1499999999999999</v>
      </c>
      <c r="D476">
        <v>15.48</v>
      </c>
      <c r="E476">
        <v>-0.18</v>
      </c>
      <c r="F476">
        <v>15.47</v>
      </c>
      <c r="G476">
        <v>15.48</v>
      </c>
      <c r="H476">
        <v>211977</v>
      </c>
      <c r="I476">
        <v>3036</v>
      </c>
      <c r="J476">
        <v>-0.12</v>
      </c>
      <c r="K476">
        <v>4.76</v>
      </c>
      <c r="L476">
        <v>15.76</v>
      </c>
      <c r="M476">
        <v>16.04</v>
      </c>
      <c r="N476">
        <v>15.48</v>
      </c>
      <c r="O476">
        <v>15.66</v>
      </c>
      <c r="P476">
        <v>174.6</v>
      </c>
      <c r="Q476">
        <v>334585120</v>
      </c>
      <c r="R476">
        <v>1.02</v>
      </c>
      <c r="S476" t="s">
        <v>465</v>
      </c>
      <c r="T476" t="s">
        <v>551</v>
      </c>
      <c r="U476">
        <v>3.58</v>
      </c>
      <c r="V476">
        <v>15.78</v>
      </c>
      <c r="W476">
        <v>104900</v>
      </c>
      <c r="X476">
        <v>107077</v>
      </c>
      <c r="Y476">
        <v>0.98</v>
      </c>
      <c r="Z476">
        <v>202</v>
      </c>
      <c r="AA476">
        <v>612</v>
      </c>
      <c r="AB476" t="s">
        <v>116</v>
      </c>
      <c r="AC476">
        <v>876300</v>
      </c>
      <c r="AD476">
        <v>0.02</v>
      </c>
      <c r="AE476" t="s">
        <v>116</v>
      </c>
      <c r="AF476" t="s">
        <v>116</v>
      </c>
      <c r="AG476">
        <v>4.45</v>
      </c>
      <c r="AH476" t="s">
        <v>2198</v>
      </c>
      <c r="AI476" t="s">
        <v>3159</v>
      </c>
      <c r="AJ476">
        <v>-0.47</v>
      </c>
      <c r="AK476">
        <v>3783</v>
      </c>
      <c r="AL476">
        <v>56</v>
      </c>
      <c r="AM476">
        <v>1.2999999999999999E-3</v>
      </c>
      <c r="AN476">
        <v>-2</v>
      </c>
      <c r="AO476">
        <v>-0.45</v>
      </c>
      <c r="AP476">
        <v>-0.9</v>
      </c>
      <c r="AQ476">
        <v>1.51</v>
      </c>
      <c r="AR476">
        <v>91.97</v>
      </c>
      <c r="AS476">
        <v>8.7200000000000006</v>
      </c>
      <c r="AT476" t="s">
        <v>3160</v>
      </c>
      <c r="AU476">
        <v>180.89</v>
      </c>
      <c r="AV476">
        <v>176.29</v>
      </c>
      <c r="AW476">
        <v>1.54</v>
      </c>
      <c r="BA476">
        <v>0.64</v>
      </c>
      <c r="BB476">
        <v>2.4300000000000002</v>
      </c>
      <c r="BC476">
        <v>-1.1499999999999999</v>
      </c>
      <c r="BD476">
        <v>0.79</v>
      </c>
      <c r="BE476">
        <v>-1.78</v>
      </c>
      <c r="BF476">
        <v>-3.49</v>
      </c>
      <c r="BG476">
        <v>0</v>
      </c>
      <c r="BH476">
        <v>-1.94</v>
      </c>
      <c r="BI476">
        <v>20191019</v>
      </c>
      <c r="BJ476">
        <v>20040713</v>
      </c>
      <c r="BK476">
        <v>4.46</v>
      </c>
      <c r="BL476" t="s">
        <v>116</v>
      </c>
      <c r="BM476" t="s">
        <v>116</v>
      </c>
      <c r="BN476">
        <v>20.88</v>
      </c>
      <c r="BO476">
        <v>13.86</v>
      </c>
      <c r="BP476">
        <v>0.04</v>
      </c>
      <c r="BQ476">
        <v>33.43</v>
      </c>
      <c r="BR476">
        <v>17.3</v>
      </c>
      <c r="BS476">
        <v>1.99</v>
      </c>
      <c r="BT476">
        <v>0.03</v>
      </c>
      <c r="BU476">
        <v>6.28</v>
      </c>
      <c r="BV476">
        <v>4.78</v>
      </c>
      <c r="BW476">
        <v>2.2200000000000002</v>
      </c>
      <c r="BX476">
        <v>5.08</v>
      </c>
      <c r="BY476">
        <v>8.1999999999999993</v>
      </c>
      <c r="BZ476">
        <v>6.14</v>
      </c>
      <c r="CA476">
        <v>0.35</v>
      </c>
      <c r="CB476">
        <v>-7.0000000000000007E-2</v>
      </c>
      <c r="CC476">
        <v>0.35</v>
      </c>
      <c r="CD476">
        <v>0.3</v>
      </c>
      <c r="CE476">
        <v>0.3</v>
      </c>
      <c r="CF476">
        <v>0.3</v>
      </c>
      <c r="CG476">
        <v>3.49</v>
      </c>
      <c r="CH476">
        <v>-0.69</v>
      </c>
      <c r="CI476">
        <v>2.91</v>
      </c>
      <c r="CJ476">
        <v>81128</v>
      </c>
      <c r="CK476">
        <v>2996</v>
      </c>
      <c r="CL476" t="s">
        <v>2164</v>
      </c>
      <c r="CM476">
        <v>-3.25</v>
      </c>
      <c r="CN476">
        <v>1.27</v>
      </c>
      <c r="CO476">
        <v>4.99</v>
      </c>
      <c r="CP476">
        <v>-100.27</v>
      </c>
      <c r="CQ476">
        <v>8.43</v>
      </c>
      <c r="CR476">
        <v>0.19</v>
      </c>
      <c r="CS476" t="s">
        <v>1522</v>
      </c>
      <c r="CT476">
        <v>3.1</v>
      </c>
      <c r="CU476">
        <v>0</v>
      </c>
      <c r="CV476">
        <v>1.1399999999999999</v>
      </c>
      <c r="CW476">
        <v>0.78</v>
      </c>
      <c r="CX476">
        <v>-0.15</v>
      </c>
      <c r="CY476">
        <v>66.37</v>
      </c>
      <c r="CZ476" t="s">
        <v>3161</v>
      </c>
      <c r="DA476">
        <v>25.09</v>
      </c>
      <c r="DB476">
        <v>4.2300000000000004</v>
      </c>
      <c r="DC476">
        <v>3.62</v>
      </c>
      <c r="DD476">
        <v>0.73</v>
      </c>
      <c r="DE476">
        <v>1952</v>
      </c>
      <c r="DF476">
        <v>2017</v>
      </c>
      <c r="DG476" t="s">
        <v>116</v>
      </c>
      <c r="DH476" t="s">
        <v>116</v>
      </c>
      <c r="DI476" t="s">
        <v>116</v>
      </c>
    </row>
    <row r="477" spans="1:113" x14ac:dyDescent="0.4">
      <c r="A477" t="str">
        <f>"002019"</f>
        <v>002019</v>
      </c>
      <c r="B477" t="s">
        <v>3162</v>
      </c>
      <c r="C477">
        <v>-0.31</v>
      </c>
      <c r="D477">
        <v>15.93</v>
      </c>
      <c r="E477">
        <v>-0.05</v>
      </c>
      <c r="F477">
        <v>15.93</v>
      </c>
      <c r="G477">
        <v>15.94</v>
      </c>
      <c r="H477">
        <v>125743</v>
      </c>
      <c r="I477">
        <v>1930</v>
      </c>
      <c r="J477">
        <v>0</v>
      </c>
      <c r="K477">
        <v>1.55</v>
      </c>
      <c r="L477">
        <v>16</v>
      </c>
      <c r="M477">
        <v>16.18</v>
      </c>
      <c r="N477">
        <v>15.84</v>
      </c>
      <c r="O477">
        <v>15.98</v>
      </c>
      <c r="P477">
        <v>19.809999999999999</v>
      </c>
      <c r="Q477">
        <v>201224768</v>
      </c>
      <c r="R477">
        <v>0.83</v>
      </c>
      <c r="S477" t="s">
        <v>574</v>
      </c>
      <c r="T477" t="s">
        <v>590</v>
      </c>
      <c r="U477">
        <v>2.13</v>
      </c>
      <c r="V477">
        <v>16</v>
      </c>
      <c r="W477">
        <v>62118</v>
      </c>
      <c r="X477">
        <v>63625</v>
      </c>
      <c r="Y477">
        <v>0.98</v>
      </c>
      <c r="Z477">
        <v>345</v>
      </c>
      <c r="AA477">
        <v>31</v>
      </c>
      <c r="AB477" t="s">
        <v>116</v>
      </c>
      <c r="AC477">
        <v>662400</v>
      </c>
      <c r="AD477">
        <v>0.01</v>
      </c>
      <c r="AE477" t="s">
        <v>116</v>
      </c>
      <c r="AF477" t="s">
        <v>116</v>
      </c>
      <c r="AG477">
        <v>8.1</v>
      </c>
      <c r="AH477" t="s">
        <v>3163</v>
      </c>
      <c r="AI477" t="s">
        <v>3164</v>
      </c>
      <c r="AJ477">
        <v>0.37</v>
      </c>
      <c r="AK477">
        <v>3164</v>
      </c>
      <c r="AL477">
        <v>40</v>
      </c>
      <c r="AM477">
        <v>5.0000000000000001E-4</v>
      </c>
      <c r="AN477">
        <v>-2</v>
      </c>
      <c r="AO477">
        <v>2.25</v>
      </c>
      <c r="AP477">
        <v>14.52</v>
      </c>
      <c r="AQ477">
        <v>22.54</v>
      </c>
      <c r="AR477">
        <v>50.28</v>
      </c>
      <c r="AS477">
        <v>1.83</v>
      </c>
      <c r="AT477" t="s">
        <v>3165</v>
      </c>
      <c r="AU477">
        <v>25.51</v>
      </c>
      <c r="AV477">
        <v>26.59</v>
      </c>
      <c r="AW477">
        <v>0.77</v>
      </c>
      <c r="BA477">
        <v>0.13</v>
      </c>
      <c r="BB477">
        <v>1.25</v>
      </c>
      <c r="BC477">
        <v>-0.88</v>
      </c>
      <c r="BD477">
        <v>0.14000000000000001</v>
      </c>
      <c r="BE477">
        <v>-0.44</v>
      </c>
      <c r="BF477">
        <v>-1.55</v>
      </c>
      <c r="BG477">
        <v>0.56999999999999995</v>
      </c>
      <c r="BH477">
        <v>-0.46</v>
      </c>
      <c r="BI477">
        <v>20191223</v>
      </c>
      <c r="BJ477">
        <v>20040713</v>
      </c>
      <c r="BK477">
        <v>12.31</v>
      </c>
      <c r="BL477" t="s">
        <v>116</v>
      </c>
      <c r="BM477" t="s">
        <v>116</v>
      </c>
      <c r="BN477">
        <v>103.56</v>
      </c>
      <c r="BO477">
        <v>72.84</v>
      </c>
      <c r="BP477">
        <v>3.79</v>
      </c>
      <c r="BQ477">
        <v>26.01</v>
      </c>
      <c r="BR477">
        <v>36.299999999999997</v>
      </c>
      <c r="BS477">
        <v>8.33</v>
      </c>
      <c r="BT477">
        <v>5.27</v>
      </c>
      <c r="BU477">
        <v>23.91</v>
      </c>
      <c r="BV477">
        <v>6.08</v>
      </c>
      <c r="BW477">
        <v>10.11</v>
      </c>
      <c r="BX477">
        <v>28.54</v>
      </c>
      <c r="BY477">
        <v>37.96</v>
      </c>
      <c r="BZ477">
        <v>21.11</v>
      </c>
      <c r="CA477">
        <v>8.85</v>
      </c>
      <c r="CB477">
        <v>0.49</v>
      </c>
      <c r="CC477">
        <v>8.82</v>
      </c>
      <c r="CD477">
        <v>7.21</v>
      </c>
      <c r="CE477">
        <v>7.42</v>
      </c>
      <c r="CF477">
        <v>6.43</v>
      </c>
      <c r="CG477">
        <v>33.630000000000003</v>
      </c>
      <c r="CH477">
        <v>3.81</v>
      </c>
      <c r="CI477">
        <v>-5.68</v>
      </c>
      <c r="CJ477">
        <v>49203</v>
      </c>
      <c r="CK477">
        <v>13938</v>
      </c>
      <c r="CL477" t="s">
        <v>3166</v>
      </c>
      <c r="CM477">
        <v>4.37</v>
      </c>
      <c r="CN477">
        <v>10.56</v>
      </c>
      <c r="CO477">
        <v>2.69</v>
      </c>
      <c r="CP477">
        <v>51.39</v>
      </c>
      <c r="CQ477">
        <v>5.16</v>
      </c>
      <c r="CR477">
        <v>0.62</v>
      </c>
      <c r="CS477" t="s">
        <v>3167</v>
      </c>
      <c r="CT477">
        <v>5.92</v>
      </c>
      <c r="CU477">
        <v>0</v>
      </c>
      <c r="CV477">
        <v>2.3199999999999998</v>
      </c>
      <c r="CW477">
        <v>2.73</v>
      </c>
      <c r="CX477">
        <v>0.31</v>
      </c>
      <c r="CY477">
        <v>70.33</v>
      </c>
      <c r="CZ477" t="s">
        <v>3168</v>
      </c>
      <c r="DA477">
        <v>44.4</v>
      </c>
      <c r="DB477">
        <v>23.31</v>
      </c>
      <c r="DC477">
        <v>19.55</v>
      </c>
      <c r="DD477">
        <v>1.25</v>
      </c>
      <c r="DE477">
        <v>4230</v>
      </c>
      <c r="DF477">
        <v>2019</v>
      </c>
      <c r="DG477" t="s">
        <v>116</v>
      </c>
      <c r="DH477" t="s">
        <v>116</v>
      </c>
      <c r="DI477" t="s">
        <v>116</v>
      </c>
    </row>
    <row r="478" spans="1:113" x14ac:dyDescent="0.4">
      <c r="A478" t="str">
        <f>"002020"</f>
        <v>002020</v>
      </c>
      <c r="B478" t="s">
        <v>3169</v>
      </c>
      <c r="C478">
        <v>0.1</v>
      </c>
      <c r="D478">
        <v>10.18</v>
      </c>
      <c r="E478">
        <v>0.01</v>
      </c>
      <c r="F478">
        <v>10.18</v>
      </c>
      <c r="G478">
        <v>10.19</v>
      </c>
      <c r="H478">
        <v>133994</v>
      </c>
      <c r="I478">
        <v>759</v>
      </c>
      <c r="J478">
        <v>0</v>
      </c>
      <c r="K478">
        <v>2.2799999999999998</v>
      </c>
      <c r="L478">
        <v>10.16</v>
      </c>
      <c r="M478">
        <v>10.34</v>
      </c>
      <c r="N478">
        <v>10.130000000000001</v>
      </c>
      <c r="O478">
        <v>10.17</v>
      </c>
      <c r="P478">
        <v>11.32</v>
      </c>
      <c r="Q478">
        <v>137326432</v>
      </c>
      <c r="R478">
        <v>1.5</v>
      </c>
      <c r="S478" t="s">
        <v>574</v>
      </c>
      <c r="T478" t="s">
        <v>590</v>
      </c>
      <c r="U478">
        <v>2.06</v>
      </c>
      <c r="V478">
        <v>10.25</v>
      </c>
      <c r="W478">
        <v>74832</v>
      </c>
      <c r="X478">
        <v>59162</v>
      </c>
      <c r="Y478">
        <v>1.26</v>
      </c>
      <c r="Z478">
        <v>103</v>
      </c>
      <c r="AA478">
        <v>72</v>
      </c>
      <c r="AB478" t="s">
        <v>116</v>
      </c>
      <c r="AC478">
        <v>352600</v>
      </c>
      <c r="AD478">
        <v>0.01</v>
      </c>
      <c r="AE478" t="s">
        <v>116</v>
      </c>
      <c r="AF478" t="s">
        <v>116</v>
      </c>
      <c r="AG478">
        <v>5.88</v>
      </c>
      <c r="AH478" t="s">
        <v>3170</v>
      </c>
      <c r="AI478" t="s">
        <v>3171</v>
      </c>
      <c r="AJ478">
        <v>0.78</v>
      </c>
      <c r="AK478">
        <v>2429</v>
      </c>
      <c r="AL478">
        <v>55</v>
      </c>
      <c r="AM478">
        <v>8.9999999999999998E-4</v>
      </c>
      <c r="AN478">
        <v>2</v>
      </c>
      <c r="AO478">
        <v>0.3</v>
      </c>
      <c r="AP478">
        <v>2.52</v>
      </c>
      <c r="AQ478">
        <v>-3.69</v>
      </c>
      <c r="AR478">
        <v>22.65</v>
      </c>
      <c r="AS478">
        <v>2.6</v>
      </c>
      <c r="AT478" t="s">
        <v>3172</v>
      </c>
      <c r="AU478">
        <v>14.25</v>
      </c>
      <c r="AV478">
        <v>19.940000000000001</v>
      </c>
      <c r="AW478">
        <v>0.98</v>
      </c>
      <c r="BA478">
        <v>-0.1</v>
      </c>
      <c r="BB478">
        <v>1.67</v>
      </c>
      <c r="BC478">
        <v>-0.39</v>
      </c>
      <c r="BD478">
        <v>0.77</v>
      </c>
      <c r="BE478">
        <v>0.2</v>
      </c>
      <c r="BF478">
        <v>-1.55</v>
      </c>
      <c r="BG478">
        <v>0.49</v>
      </c>
      <c r="BH478">
        <v>-0.68</v>
      </c>
      <c r="BI478">
        <v>20191025</v>
      </c>
      <c r="BJ478">
        <v>20040715</v>
      </c>
      <c r="BK478">
        <v>7.25</v>
      </c>
      <c r="BL478" t="s">
        <v>116</v>
      </c>
      <c r="BM478" t="s">
        <v>116</v>
      </c>
      <c r="BN478">
        <v>54.47</v>
      </c>
      <c r="BO478">
        <v>37.21</v>
      </c>
      <c r="BP478">
        <v>0.12</v>
      </c>
      <c r="BQ478">
        <v>31.46</v>
      </c>
      <c r="BR478">
        <v>33.99</v>
      </c>
      <c r="BS478">
        <v>7.85</v>
      </c>
      <c r="BT478">
        <v>1.7</v>
      </c>
      <c r="BU478">
        <v>16.38</v>
      </c>
      <c r="BV478">
        <v>3.6</v>
      </c>
      <c r="BW478">
        <v>4.8499999999999996</v>
      </c>
      <c r="BX478">
        <v>20.79</v>
      </c>
      <c r="BY478">
        <v>27.96</v>
      </c>
      <c r="BZ478">
        <v>9.8800000000000008</v>
      </c>
      <c r="CA478">
        <v>5.46</v>
      </c>
      <c r="CB478">
        <v>0.95</v>
      </c>
      <c r="CC478">
        <v>5.69</v>
      </c>
      <c r="CD478">
        <v>4.8899999999999997</v>
      </c>
      <c r="CE478">
        <v>4.8899999999999997</v>
      </c>
      <c r="CF478">
        <v>3.74</v>
      </c>
      <c r="CG478">
        <v>11.26</v>
      </c>
      <c r="CH478">
        <v>4.16</v>
      </c>
      <c r="CI478">
        <v>-0.45</v>
      </c>
      <c r="CJ478">
        <v>35496</v>
      </c>
      <c r="CK478">
        <v>14500</v>
      </c>
      <c r="CL478" t="s">
        <v>385</v>
      </c>
      <c r="CM478">
        <v>43.39</v>
      </c>
      <c r="CN478">
        <v>25.22</v>
      </c>
      <c r="CO478">
        <v>1.98</v>
      </c>
      <c r="CP478">
        <v>17.739999999999998</v>
      </c>
      <c r="CQ478">
        <v>2.64</v>
      </c>
      <c r="CR478">
        <v>2.79</v>
      </c>
      <c r="CS478" t="s">
        <v>3173</v>
      </c>
      <c r="CT478">
        <v>5.13</v>
      </c>
      <c r="CU478">
        <v>0</v>
      </c>
      <c r="CV478">
        <v>2.87</v>
      </c>
      <c r="CW478">
        <v>1.55</v>
      </c>
      <c r="CX478">
        <v>0.56999999999999995</v>
      </c>
      <c r="CY478">
        <v>68.319999999999993</v>
      </c>
      <c r="CZ478" t="s">
        <v>3174</v>
      </c>
      <c r="DA478">
        <v>64.650000000000006</v>
      </c>
      <c r="DB478">
        <v>19.54</v>
      </c>
      <c r="DC478">
        <v>17.489999999999998</v>
      </c>
      <c r="DD478">
        <v>2.21</v>
      </c>
      <c r="DE478">
        <v>2771</v>
      </c>
      <c r="DF478">
        <v>2020</v>
      </c>
      <c r="DG478" t="s">
        <v>116</v>
      </c>
      <c r="DH478" t="s">
        <v>116</v>
      </c>
      <c r="DI478" t="s">
        <v>116</v>
      </c>
    </row>
    <row r="479" spans="1:113" x14ac:dyDescent="0.4">
      <c r="A479" t="str">
        <f>"002021"</f>
        <v>002021</v>
      </c>
      <c r="B479" t="s">
        <v>3175</v>
      </c>
      <c r="C479">
        <v>0</v>
      </c>
      <c r="D479">
        <v>2.61</v>
      </c>
      <c r="E479">
        <v>0</v>
      </c>
      <c r="F479">
        <v>2.61</v>
      </c>
      <c r="G479">
        <v>2.62</v>
      </c>
      <c r="H479">
        <v>68250</v>
      </c>
      <c r="I479">
        <v>605</v>
      </c>
      <c r="J479">
        <v>0</v>
      </c>
      <c r="K479">
        <v>0.99</v>
      </c>
      <c r="L479">
        <v>2.58</v>
      </c>
      <c r="M479">
        <v>2.67</v>
      </c>
      <c r="N479">
        <v>2.58</v>
      </c>
      <c r="O479">
        <v>2.61</v>
      </c>
      <c r="P479" t="s">
        <v>116</v>
      </c>
      <c r="Q479">
        <v>17911012</v>
      </c>
      <c r="R479">
        <v>0.36</v>
      </c>
      <c r="S479" t="s">
        <v>3176</v>
      </c>
      <c r="T479" t="s">
        <v>590</v>
      </c>
      <c r="U479">
        <v>3.45</v>
      </c>
      <c r="V479">
        <v>2.62</v>
      </c>
      <c r="W479">
        <v>34655</v>
      </c>
      <c r="X479">
        <v>33595</v>
      </c>
      <c r="Y479">
        <v>1.03</v>
      </c>
      <c r="Z479">
        <v>209</v>
      </c>
      <c r="AA479">
        <v>1666</v>
      </c>
      <c r="AB479" t="s">
        <v>116</v>
      </c>
      <c r="AC479">
        <v>463600</v>
      </c>
      <c r="AD479">
        <v>0.05</v>
      </c>
      <c r="AE479" t="s">
        <v>116</v>
      </c>
      <c r="AF479" t="s">
        <v>116</v>
      </c>
      <c r="AG479">
        <v>6.87</v>
      </c>
      <c r="AH479" t="s">
        <v>3177</v>
      </c>
      <c r="AI479" t="s">
        <v>1504</v>
      </c>
      <c r="AJ479">
        <v>0.68</v>
      </c>
      <c r="AK479">
        <v>630</v>
      </c>
      <c r="AL479">
        <v>108</v>
      </c>
      <c r="AM479">
        <v>1.6000000000000001E-3</v>
      </c>
      <c r="AN479">
        <v>0</v>
      </c>
      <c r="AO479">
        <v>-2.97</v>
      </c>
      <c r="AP479">
        <v>28.57</v>
      </c>
      <c r="AQ479">
        <v>70.59</v>
      </c>
      <c r="AR479">
        <v>-13.58</v>
      </c>
      <c r="AS479">
        <v>1.73</v>
      </c>
      <c r="AT479" t="s">
        <v>1778</v>
      </c>
      <c r="AU479" t="s">
        <v>116</v>
      </c>
      <c r="AV479" t="s">
        <v>116</v>
      </c>
      <c r="AW479">
        <v>0.28999999999999998</v>
      </c>
      <c r="BA479">
        <v>-1.1499999999999999</v>
      </c>
      <c r="BB479">
        <v>2.2999999999999998</v>
      </c>
      <c r="BC479">
        <v>-1.1499999999999999</v>
      </c>
      <c r="BD479">
        <v>0.55000000000000004</v>
      </c>
      <c r="BE479">
        <v>1.1599999999999999</v>
      </c>
      <c r="BF479">
        <v>-2.25</v>
      </c>
      <c r="BG479">
        <v>1.1599999999999999</v>
      </c>
      <c r="BH479">
        <v>-0.55000000000000004</v>
      </c>
      <c r="BI479">
        <v>20191022</v>
      </c>
      <c r="BJ479">
        <v>20040715</v>
      </c>
      <c r="BK479">
        <v>6.88</v>
      </c>
      <c r="BL479" t="s">
        <v>116</v>
      </c>
      <c r="BM479" t="s">
        <v>116</v>
      </c>
      <c r="BN479">
        <v>11.1</v>
      </c>
      <c r="BO479">
        <v>6.52</v>
      </c>
      <c r="BP479">
        <v>0</v>
      </c>
      <c r="BQ479">
        <v>41.3</v>
      </c>
      <c r="BR479">
        <v>6.43</v>
      </c>
      <c r="BS479">
        <v>2.29</v>
      </c>
      <c r="BT479">
        <v>0.37</v>
      </c>
      <c r="BU479">
        <v>4.17</v>
      </c>
      <c r="BV479">
        <v>2.19</v>
      </c>
      <c r="BW479">
        <v>1.58</v>
      </c>
      <c r="BX479">
        <v>5</v>
      </c>
      <c r="BY479">
        <v>5.64</v>
      </c>
      <c r="BZ479">
        <v>4.7</v>
      </c>
      <c r="CA479">
        <v>-0.47</v>
      </c>
      <c r="CB479">
        <v>0</v>
      </c>
      <c r="CC479">
        <v>-0.46</v>
      </c>
      <c r="CD479">
        <v>-0.47</v>
      </c>
      <c r="CE479">
        <v>-0.47</v>
      </c>
      <c r="CF479">
        <v>-0.54</v>
      </c>
      <c r="CG479">
        <v>-5.75</v>
      </c>
      <c r="CH479">
        <v>0.25</v>
      </c>
      <c r="CI479">
        <v>-0.19</v>
      </c>
      <c r="CJ479">
        <v>29232</v>
      </c>
      <c r="CK479">
        <v>13464</v>
      </c>
      <c r="CL479" t="s">
        <v>764</v>
      </c>
      <c r="CM479">
        <v>-302.67</v>
      </c>
      <c r="CN479">
        <v>-37.380000000000003</v>
      </c>
      <c r="CO479">
        <v>2.75</v>
      </c>
      <c r="CP479">
        <v>71.31</v>
      </c>
      <c r="CQ479">
        <v>3.18</v>
      </c>
      <c r="CR479">
        <v>0</v>
      </c>
      <c r="CS479" t="s">
        <v>3178</v>
      </c>
      <c r="CT479">
        <v>0.95</v>
      </c>
      <c r="CU479">
        <v>0</v>
      </c>
      <c r="CV479">
        <v>0.73</v>
      </c>
      <c r="CW479">
        <v>-0.84</v>
      </c>
      <c r="CX479">
        <v>0.04</v>
      </c>
      <c r="CY479">
        <v>58.7</v>
      </c>
      <c r="CZ479" t="s">
        <v>1231</v>
      </c>
      <c r="DA479">
        <v>16.77</v>
      </c>
      <c r="DB479">
        <v>-8.41</v>
      </c>
      <c r="DC479">
        <v>-8.4</v>
      </c>
      <c r="DD479">
        <v>0.26</v>
      </c>
      <c r="DE479">
        <v>1638</v>
      </c>
      <c r="DF479">
        <v>2021</v>
      </c>
      <c r="DG479" t="s">
        <v>116</v>
      </c>
      <c r="DH479" t="s">
        <v>116</v>
      </c>
      <c r="DI479" t="s">
        <v>116</v>
      </c>
    </row>
    <row r="480" spans="1:113" x14ac:dyDescent="0.4">
      <c r="A480" t="str">
        <f>"002022"</f>
        <v>002022</v>
      </c>
      <c r="B480" t="s">
        <v>3179</v>
      </c>
      <c r="C480">
        <v>-2.48</v>
      </c>
      <c r="D480">
        <v>11</v>
      </c>
      <c r="E480">
        <v>-0.28000000000000003</v>
      </c>
      <c r="F480">
        <v>11</v>
      </c>
      <c r="G480">
        <v>11.01</v>
      </c>
      <c r="H480">
        <v>80350</v>
      </c>
      <c r="I480">
        <v>962</v>
      </c>
      <c r="J480">
        <v>-0.17</v>
      </c>
      <c r="K480">
        <v>1.57</v>
      </c>
      <c r="L480">
        <v>11.27</v>
      </c>
      <c r="M480">
        <v>11.29</v>
      </c>
      <c r="N480">
        <v>10.99</v>
      </c>
      <c r="O480">
        <v>11.28</v>
      </c>
      <c r="P480">
        <v>20.38</v>
      </c>
      <c r="Q480">
        <v>89729512</v>
      </c>
      <c r="R480">
        <v>1.02</v>
      </c>
      <c r="S480" t="s">
        <v>559</v>
      </c>
      <c r="T480" t="s">
        <v>1653</v>
      </c>
      <c r="U480">
        <v>2.66</v>
      </c>
      <c r="V480">
        <v>11.17</v>
      </c>
      <c r="W480">
        <v>52826</v>
      </c>
      <c r="X480">
        <v>27524</v>
      </c>
      <c r="Y480">
        <v>1.92</v>
      </c>
      <c r="Z480">
        <v>387</v>
      </c>
      <c r="AA480">
        <v>693</v>
      </c>
      <c r="AB480" t="s">
        <v>116</v>
      </c>
      <c r="AC480">
        <v>321200</v>
      </c>
      <c r="AD480">
        <v>0.01</v>
      </c>
      <c r="AE480" t="s">
        <v>116</v>
      </c>
      <c r="AF480" t="s">
        <v>116</v>
      </c>
      <c r="AG480">
        <v>5.13</v>
      </c>
      <c r="AH480" t="s">
        <v>3180</v>
      </c>
      <c r="AI480" t="s">
        <v>3181</v>
      </c>
      <c r="AJ480">
        <v>-1.8</v>
      </c>
      <c r="AK480">
        <v>2184</v>
      </c>
      <c r="AL480">
        <v>37</v>
      </c>
      <c r="AM480">
        <v>6.9999999999999999E-4</v>
      </c>
      <c r="AN480">
        <v>-1</v>
      </c>
      <c r="AO480">
        <v>-2.2200000000000002</v>
      </c>
      <c r="AP480">
        <v>0.92</v>
      </c>
      <c r="AQ480">
        <v>15.79</v>
      </c>
      <c r="AR480">
        <v>18.09</v>
      </c>
      <c r="AS480">
        <v>2.11</v>
      </c>
      <c r="AT480" t="s">
        <v>3182</v>
      </c>
      <c r="AU480">
        <v>26.29</v>
      </c>
      <c r="AV480">
        <v>27.24</v>
      </c>
      <c r="AW480">
        <v>0.89</v>
      </c>
      <c r="BA480">
        <v>-0.09</v>
      </c>
      <c r="BB480">
        <v>0.09</v>
      </c>
      <c r="BC480">
        <v>-2.57</v>
      </c>
      <c r="BD480">
        <v>-1</v>
      </c>
      <c r="BE480">
        <v>-2.4</v>
      </c>
      <c r="BF480">
        <v>-2.57</v>
      </c>
      <c r="BG480">
        <v>0.09</v>
      </c>
      <c r="BH480">
        <v>-1.48</v>
      </c>
      <c r="BI480">
        <v>20191217</v>
      </c>
      <c r="BJ480">
        <v>20040721</v>
      </c>
      <c r="BK480">
        <v>5.15</v>
      </c>
      <c r="BL480" t="s">
        <v>116</v>
      </c>
      <c r="BM480" t="s">
        <v>116</v>
      </c>
      <c r="BN480">
        <v>36.22</v>
      </c>
      <c r="BO480">
        <v>23.38</v>
      </c>
      <c r="BP480">
        <v>3.17</v>
      </c>
      <c r="BQ480">
        <v>26.71</v>
      </c>
      <c r="BR480">
        <v>18.440000000000001</v>
      </c>
      <c r="BS480">
        <v>4.13</v>
      </c>
      <c r="BT480">
        <v>2.4700000000000002</v>
      </c>
      <c r="BU480">
        <v>5.53</v>
      </c>
      <c r="BV480">
        <v>5.43</v>
      </c>
      <c r="BW480">
        <v>6.58</v>
      </c>
      <c r="BX480">
        <v>2.96</v>
      </c>
      <c r="BY480">
        <v>17.670000000000002</v>
      </c>
      <c r="BZ480">
        <v>9.6999999999999993</v>
      </c>
      <c r="CA480">
        <v>3.21</v>
      </c>
      <c r="CB480">
        <v>0</v>
      </c>
      <c r="CC480">
        <v>3.21</v>
      </c>
      <c r="CD480">
        <v>2.64</v>
      </c>
      <c r="CE480">
        <v>2.08</v>
      </c>
      <c r="CF480">
        <v>1.95</v>
      </c>
      <c r="CG480">
        <v>13.24</v>
      </c>
      <c r="CH480">
        <v>2.33</v>
      </c>
      <c r="CI480">
        <v>-0.47</v>
      </c>
      <c r="CJ480">
        <v>44759</v>
      </c>
      <c r="CK480">
        <v>8503</v>
      </c>
      <c r="CL480" t="s">
        <v>3183</v>
      </c>
      <c r="CM480">
        <v>3.75</v>
      </c>
      <c r="CN480">
        <v>20.03</v>
      </c>
      <c r="CO480">
        <v>2.42</v>
      </c>
      <c r="CP480">
        <v>24.26</v>
      </c>
      <c r="CQ480">
        <v>3.2</v>
      </c>
      <c r="CR480">
        <v>0.59</v>
      </c>
      <c r="CS480" t="s">
        <v>3184</v>
      </c>
      <c r="CT480">
        <v>4.54</v>
      </c>
      <c r="CU480">
        <v>0</v>
      </c>
      <c r="CV480">
        <v>0.57999999999999996</v>
      </c>
      <c r="CW480">
        <v>2.57</v>
      </c>
      <c r="CX480">
        <v>0.45</v>
      </c>
      <c r="CY480">
        <v>64.540000000000006</v>
      </c>
      <c r="CZ480" t="s">
        <v>3185</v>
      </c>
      <c r="DA480">
        <v>45.09</v>
      </c>
      <c r="DB480">
        <v>18.149999999999999</v>
      </c>
      <c r="DC480">
        <v>11.79</v>
      </c>
      <c r="DD480">
        <v>0.32</v>
      </c>
      <c r="DE480">
        <v>1769</v>
      </c>
      <c r="DF480">
        <v>2022</v>
      </c>
      <c r="DG480" t="s">
        <v>116</v>
      </c>
      <c r="DH480" t="s">
        <v>116</v>
      </c>
      <c r="DI480" t="s">
        <v>116</v>
      </c>
    </row>
    <row r="481" spans="1:113" x14ac:dyDescent="0.4">
      <c r="A481" t="str">
        <f>"002023"</f>
        <v>002023</v>
      </c>
      <c r="B481" t="s">
        <v>3186</v>
      </c>
      <c r="C481">
        <v>-1.75</v>
      </c>
      <c r="D481">
        <v>11.78</v>
      </c>
      <c r="E481">
        <v>-0.21</v>
      </c>
      <c r="F481">
        <v>11.77</v>
      </c>
      <c r="G481">
        <v>11.78</v>
      </c>
      <c r="H481">
        <v>317009</v>
      </c>
      <c r="I481">
        <v>2588</v>
      </c>
      <c r="J481">
        <v>0.51</v>
      </c>
      <c r="K481">
        <v>4.8099999999999996</v>
      </c>
      <c r="L481">
        <v>12</v>
      </c>
      <c r="M481">
        <v>12.2</v>
      </c>
      <c r="N481">
        <v>11.7</v>
      </c>
      <c r="O481">
        <v>11.99</v>
      </c>
      <c r="P481">
        <v>133.93</v>
      </c>
      <c r="Q481">
        <v>378227008</v>
      </c>
      <c r="R481">
        <v>1.1000000000000001</v>
      </c>
      <c r="S481" t="s">
        <v>1789</v>
      </c>
      <c r="T481" t="s">
        <v>582</v>
      </c>
      <c r="U481">
        <v>4.17</v>
      </c>
      <c r="V481">
        <v>11.93</v>
      </c>
      <c r="W481">
        <v>184074</v>
      </c>
      <c r="X481">
        <v>132935</v>
      </c>
      <c r="Y481">
        <v>1.38</v>
      </c>
      <c r="Z481">
        <v>259</v>
      </c>
      <c r="AA481">
        <v>414</v>
      </c>
      <c r="AB481" t="s">
        <v>116</v>
      </c>
      <c r="AC481">
        <v>2913600</v>
      </c>
      <c r="AD481">
        <v>0.04</v>
      </c>
      <c r="AE481" t="s">
        <v>116</v>
      </c>
      <c r="AF481" t="s">
        <v>116</v>
      </c>
      <c r="AG481">
        <v>6.59</v>
      </c>
      <c r="AH481" t="s">
        <v>3187</v>
      </c>
      <c r="AI481" t="s">
        <v>3188</v>
      </c>
      <c r="AJ481">
        <v>-1.07</v>
      </c>
      <c r="AK481">
        <v>3640</v>
      </c>
      <c r="AL481">
        <v>87</v>
      </c>
      <c r="AM481">
        <v>1.2999999999999999E-3</v>
      </c>
      <c r="AN481">
        <v>-2</v>
      </c>
      <c r="AO481">
        <v>3.79</v>
      </c>
      <c r="AP481">
        <v>9.07</v>
      </c>
      <c r="AQ481">
        <v>-2.3199999999999998</v>
      </c>
      <c r="AR481">
        <v>13.82</v>
      </c>
      <c r="AS481">
        <v>5.44</v>
      </c>
      <c r="AT481" t="s">
        <v>3189</v>
      </c>
      <c r="AU481">
        <v>136.38999999999999</v>
      </c>
      <c r="AV481">
        <v>139.19</v>
      </c>
      <c r="AW481">
        <v>1.25</v>
      </c>
      <c r="BA481">
        <v>0.08</v>
      </c>
      <c r="BB481">
        <v>1.75</v>
      </c>
      <c r="BC481">
        <v>-2.42</v>
      </c>
      <c r="BD481">
        <v>-0.49</v>
      </c>
      <c r="BE481">
        <v>-1.83</v>
      </c>
      <c r="BF481">
        <v>-3.44</v>
      </c>
      <c r="BG481">
        <v>0.68</v>
      </c>
      <c r="BH481">
        <v>-1.26</v>
      </c>
      <c r="BI481">
        <v>20191022</v>
      </c>
      <c r="BJ481">
        <v>20040721</v>
      </c>
      <c r="BK481">
        <v>7.57</v>
      </c>
      <c r="BL481" t="s">
        <v>116</v>
      </c>
      <c r="BM481" t="s">
        <v>116</v>
      </c>
      <c r="BN481">
        <v>70.400000000000006</v>
      </c>
      <c r="BO481">
        <v>35.51</v>
      </c>
      <c r="BP481">
        <v>4.41</v>
      </c>
      <c r="BQ481">
        <v>43.29</v>
      </c>
      <c r="BR481">
        <v>18.46</v>
      </c>
      <c r="BS481">
        <v>32.75</v>
      </c>
      <c r="BT481">
        <v>3.17</v>
      </c>
      <c r="BU481">
        <v>10.09</v>
      </c>
      <c r="BV481">
        <v>3.81</v>
      </c>
      <c r="BW481">
        <v>6.68</v>
      </c>
      <c r="BX481">
        <v>18.850000000000001</v>
      </c>
      <c r="BY481">
        <v>5.63</v>
      </c>
      <c r="BZ481">
        <v>3.39</v>
      </c>
      <c r="CA481">
        <v>0.5</v>
      </c>
      <c r="CB481">
        <v>0.18</v>
      </c>
      <c r="CC481">
        <v>0.5</v>
      </c>
      <c r="CD481">
        <v>0.33</v>
      </c>
      <c r="CE481">
        <v>0.5</v>
      </c>
      <c r="CF481">
        <v>0.11</v>
      </c>
      <c r="CG481">
        <v>6.21</v>
      </c>
      <c r="CH481">
        <v>1.19</v>
      </c>
      <c r="CI481">
        <v>-2.68</v>
      </c>
      <c r="CJ481">
        <v>82111</v>
      </c>
      <c r="CK481">
        <v>7091</v>
      </c>
      <c r="CL481" t="s">
        <v>3190</v>
      </c>
      <c r="CM481">
        <v>2.71</v>
      </c>
      <c r="CN481">
        <v>56.73</v>
      </c>
      <c r="CO481">
        <v>2.5099999999999998</v>
      </c>
      <c r="CP481">
        <v>74.7</v>
      </c>
      <c r="CQ481">
        <v>15.82</v>
      </c>
      <c r="CR481">
        <v>0</v>
      </c>
      <c r="CS481" t="s">
        <v>1522</v>
      </c>
      <c r="CT481">
        <v>4.6900000000000004</v>
      </c>
      <c r="CU481">
        <v>0</v>
      </c>
      <c r="CV481">
        <v>2.4900000000000002</v>
      </c>
      <c r="CW481">
        <v>0.82</v>
      </c>
      <c r="CX481">
        <v>0.16</v>
      </c>
      <c r="CY481">
        <v>50.44</v>
      </c>
      <c r="CZ481" t="s">
        <v>3191</v>
      </c>
      <c r="DA481">
        <v>39.82</v>
      </c>
      <c r="DB481">
        <v>8.94</v>
      </c>
      <c r="DC481">
        <v>8.86</v>
      </c>
      <c r="DD481">
        <v>0.32</v>
      </c>
      <c r="DE481">
        <v>1551</v>
      </c>
      <c r="DF481">
        <v>2023</v>
      </c>
      <c r="DG481" t="s">
        <v>116</v>
      </c>
      <c r="DH481" t="s">
        <v>116</v>
      </c>
      <c r="DI481" t="s">
        <v>116</v>
      </c>
    </row>
    <row r="482" spans="1:113" x14ac:dyDescent="0.4">
      <c r="A482" t="str">
        <f>"002024"</f>
        <v>002024</v>
      </c>
      <c r="B482" t="s">
        <v>3192</v>
      </c>
      <c r="C482">
        <v>0.4</v>
      </c>
      <c r="D482">
        <v>10.029999999999999</v>
      </c>
      <c r="E482">
        <v>0.04</v>
      </c>
      <c r="F482">
        <v>10.029999999999999</v>
      </c>
      <c r="G482">
        <v>10.039999999999999</v>
      </c>
      <c r="H482">
        <v>477246</v>
      </c>
      <c r="I482">
        <v>7083</v>
      </c>
      <c r="J482">
        <v>0.1</v>
      </c>
      <c r="K482">
        <v>0.61</v>
      </c>
      <c r="L482">
        <v>10</v>
      </c>
      <c r="M482">
        <v>10.08</v>
      </c>
      <c r="N482">
        <v>10</v>
      </c>
      <c r="O482">
        <v>9.99</v>
      </c>
      <c r="P482">
        <v>5.88</v>
      </c>
      <c r="Q482">
        <v>479439136</v>
      </c>
      <c r="R482">
        <v>1.41</v>
      </c>
      <c r="S482" t="s">
        <v>3193</v>
      </c>
      <c r="T482" t="s">
        <v>323</v>
      </c>
      <c r="U482">
        <v>0.8</v>
      </c>
      <c r="V482">
        <v>10.050000000000001</v>
      </c>
      <c r="W482">
        <v>222193</v>
      </c>
      <c r="X482">
        <v>255053</v>
      </c>
      <c r="Y482">
        <v>0.87</v>
      </c>
      <c r="Z482">
        <v>1493</v>
      </c>
      <c r="AA482">
        <v>9272</v>
      </c>
      <c r="AB482" t="s">
        <v>116</v>
      </c>
      <c r="AC482">
        <v>1811000</v>
      </c>
      <c r="AD482">
        <v>0.01</v>
      </c>
      <c r="AE482" t="s">
        <v>116</v>
      </c>
      <c r="AF482" t="s">
        <v>116</v>
      </c>
      <c r="AG482">
        <v>77.75</v>
      </c>
      <c r="AH482" t="s">
        <v>3194</v>
      </c>
      <c r="AI482" t="s">
        <v>3195</v>
      </c>
      <c r="AJ482">
        <v>1.08</v>
      </c>
      <c r="AK482">
        <v>3904</v>
      </c>
      <c r="AL482">
        <v>122</v>
      </c>
      <c r="AM482">
        <v>2.0000000000000001E-4</v>
      </c>
      <c r="AN482">
        <v>2</v>
      </c>
      <c r="AO482">
        <v>0.2</v>
      </c>
      <c r="AP482">
        <v>1.83</v>
      </c>
      <c r="AQ482">
        <v>-2.5299999999999998</v>
      </c>
      <c r="AR482">
        <v>3.08</v>
      </c>
      <c r="AS482">
        <v>1.47</v>
      </c>
      <c r="AT482" t="s">
        <v>3196</v>
      </c>
      <c r="AU482">
        <v>4.8899999999999997</v>
      </c>
      <c r="AV482">
        <v>7.01</v>
      </c>
      <c r="AW482">
        <v>0.68</v>
      </c>
      <c r="BA482">
        <v>0.1</v>
      </c>
      <c r="BB482">
        <v>0.9</v>
      </c>
      <c r="BC482">
        <v>0.1</v>
      </c>
      <c r="BD482">
        <v>0.56000000000000005</v>
      </c>
      <c r="BE482">
        <v>0.3</v>
      </c>
      <c r="BF482">
        <v>-0.5</v>
      </c>
      <c r="BG482">
        <v>0.3</v>
      </c>
      <c r="BH482">
        <v>-0.16</v>
      </c>
      <c r="BI482">
        <v>20191031</v>
      </c>
      <c r="BJ482">
        <v>20040721</v>
      </c>
      <c r="BK482">
        <v>93.1</v>
      </c>
      <c r="BL482" t="s">
        <v>116</v>
      </c>
      <c r="BM482" t="s">
        <v>116</v>
      </c>
      <c r="BN482">
        <v>2330.5300000000002</v>
      </c>
      <c r="BO482">
        <v>909.42</v>
      </c>
      <c r="BP482">
        <v>5.52</v>
      </c>
      <c r="BQ482">
        <v>60.74</v>
      </c>
      <c r="BR482">
        <v>1085.1199999999999</v>
      </c>
      <c r="BS482">
        <v>230.45</v>
      </c>
      <c r="BT482">
        <v>133.85</v>
      </c>
      <c r="BU482">
        <v>1105.0899999999999</v>
      </c>
      <c r="BV482">
        <v>242.67</v>
      </c>
      <c r="BW482">
        <v>72.27</v>
      </c>
      <c r="BX482">
        <v>384.53</v>
      </c>
      <c r="BY482">
        <v>2010.09</v>
      </c>
      <c r="BZ482">
        <v>1714.09</v>
      </c>
      <c r="CA482">
        <v>164.96</v>
      </c>
      <c r="CB482">
        <v>215.04</v>
      </c>
      <c r="CC482">
        <v>171.84</v>
      </c>
      <c r="CD482">
        <v>116.84</v>
      </c>
      <c r="CE482">
        <v>119.03</v>
      </c>
      <c r="CF482">
        <v>-41.52</v>
      </c>
      <c r="CG482">
        <v>435.83</v>
      </c>
      <c r="CH482">
        <v>-199.64</v>
      </c>
      <c r="CI482">
        <v>-155.71</v>
      </c>
      <c r="CJ482">
        <v>303513</v>
      </c>
      <c r="CK482">
        <v>10726</v>
      </c>
      <c r="CL482" t="s">
        <v>3197</v>
      </c>
      <c r="CM482">
        <v>94.28</v>
      </c>
      <c r="CN482">
        <v>16.21</v>
      </c>
      <c r="CO482">
        <v>1.03</v>
      </c>
      <c r="CP482">
        <v>-4.68</v>
      </c>
      <c r="CQ482">
        <v>0.46</v>
      </c>
      <c r="CR482">
        <v>1.19</v>
      </c>
      <c r="CS482" t="s">
        <v>3198</v>
      </c>
      <c r="CT482">
        <v>9.77</v>
      </c>
      <c r="CU482">
        <v>0</v>
      </c>
      <c r="CV482">
        <v>4.13</v>
      </c>
      <c r="CW482">
        <v>4.68</v>
      </c>
      <c r="CX482">
        <v>-2.14</v>
      </c>
      <c r="CY482">
        <v>39.020000000000003</v>
      </c>
      <c r="CZ482" t="s">
        <v>3199</v>
      </c>
      <c r="DA482">
        <v>14.73</v>
      </c>
      <c r="DB482">
        <v>8.2100000000000009</v>
      </c>
      <c r="DC482">
        <v>5.92</v>
      </c>
      <c r="DD482">
        <v>24.12</v>
      </c>
      <c r="DE482">
        <v>39031</v>
      </c>
      <c r="DF482">
        <v>2024</v>
      </c>
      <c r="DG482" t="s">
        <v>116</v>
      </c>
      <c r="DH482" t="s">
        <v>116</v>
      </c>
      <c r="DI482" t="s">
        <v>116</v>
      </c>
    </row>
    <row r="483" spans="1:113" x14ac:dyDescent="0.4">
      <c r="A483" t="str">
        <f>"002025"</f>
        <v>002025</v>
      </c>
      <c r="B483" t="s">
        <v>3200</v>
      </c>
      <c r="C483">
        <v>-0.78</v>
      </c>
      <c r="D483">
        <v>26.6</v>
      </c>
      <c r="E483">
        <v>-0.21</v>
      </c>
      <c r="F483">
        <v>26.6</v>
      </c>
      <c r="G483">
        <v>26.61</v>
      </c>
      <c r="H483">
        <v>45356</v>
      </c>
      <c r="I483">
        <v>762</v>
      </c>
      <c r="J483">
        <v>0.23</v>
      </c>
      <c r="K483">
        <v>1.06</v>
      </c>
      <c r="L483">
        <v>26.9</v>
      </c>
      <c r="M483">
        <v>26.92</v>
      </c>
      <c r="N483">
        <v>26.51</v>
      </c>
      <c r="O483">
        <v>26.81</v>
      </c>
      <c r="P483">
        <v>28.86</v>
      </c>
      <c r="Q483">
        <v>121348072</v>
      </c>
      <c r="R483">
        <v>1.38</v>
      </c>
      <c r="S483" t="s">
        <v>233</v>
      </c>
      <c r="T483" t="s">
        <v>1056</v>
      </c>
      <c r="U483">
        <v>1.53</v>
      </c>
      <c r="V483">
        <v>26.75</v>
      </c>
      <c r="W483">
        <v>23774</v>
      </c>
      <c r="X483">
        <v>21582</v>
      </c>
      <c r="Y483">
        <v>1.1000000000000001</v>
      </c>
      <c r="Z483">
        <v>72</v>
      </c>
      <c r="AA483">
        <v>87</v>
      </c>
      <c r="AB483" t="s">
        <v>116</v>
      </c>
      <c r="AC483">
        <v>215200</v>
      </c>
      <c r="AD483">
        <v>0</v>
      </c>
      <c r="AE483" t="s">
        <v>116</v>
      </c>
      <c r="AF483" t="s">
        <v>116</v>
      </c>
      <c r="AG483">
        <v>4.29</v>
      </c>
      <c r="AH483" t="s">
        <v>3201</v>
      </c>
      <c r="AI483" t="s">
        <v>3202</v>
      </c>
      <c r="AJ483">
        <v>-0.1</v>
      </c>
      <c r="AK483">
        <v>2491</v>
      </c>
      <c r="AL483">
        <v>18</v>
      </c>
      <c r="AM483">
        <v>4.0000000000000002E-4</v>
      </c>
      <c r="AN483">
        <v>-1</v>
      </c>
      <c r="AO483">
        <v>-0.11</v>
      </c>
      <c r="AP483">
        <v>6.49</v>
      </c>
      <c r="AQ483">
        <v>1.72</v>
      </c>
      <c r="AR483">
        <v>25</v>
      </c>
      <c r="AS483">
        <v>1.94</v>
      </c>
      <c r="AT483" t="s">
        <v>3203</v>
      </c>
      <c r="AU483">
        <v>29.32</v>
      </c>
      <c r="AV483">
        <v>31.79</v>
      </c>
      <c r="AW483">
        <v>0.82</v>
      </c>
      <c r="BA483">
        <v>0.34</v>
      </c>
      <c r="BB483">
        <v>0.41</v>
      </c>
      <c r="BC483">
        <v>-1.1200000000000001</v>
      </c>
      <c r="BD483">
        <v>-0.21</v>
      </c>
      <c r="BE483">
        <v>-1.1200000000000001</v>
      </c>
      <c r="BF483">
        <v>-1.19</v>
      </c>
      <c r="BG483">
        <v>0.34</v>
      </c>
      <c r="BH483">
        <v>-0.57999999999999996</v>
      </c>
      <c r="BI483">
        <v>20191022</v>
      </c>
      <c r="BJ483">
        <v>20040726</v>
      </c>
      <c r="BK483">
        <v>4.29</v>
      </c>
      <c r="BL483" t="s">
        <v>116</v>
      </c>
      <c r="BM483" t="s">
        <v>116</v>
      </c>
      <c r="BN483">
        <v>52.51</v>
      </c>
      <c r="BO483">
        <v>29.3</v>
      </c>
      <c r="BP483">
        <v>6.15</v>
      </c>
      <c r="BQ483">
        <v>32.49</v>
      </c>
      <c r="BR483">
        <v>44.65</v>
      </c>
      <c r="BS483">
        <v>5.72</v>
      </c>
      <c r="BT483">
        <v>1.02</v>
      </c>
      <c r="BU483">
        <v>15.94</v>
      </c>
      <c r="BV483">
        <v>5.2</v>
      </c>
      <c r="BW483">
        <v>26.76</v>
      </c>
      <c r="BX483">
        <v>4.82</v>
      </c>
      <c r="BY483">
        <v>25.12</v>
      </c>
      <c r="BZ483">
        <v>15.88</v>
      </c>
      <c r="CA483">
        <v>3.66</v>
      </c>
      <c r="CB483">
        <v>0.01</v>
      </c>
      <c r="CC483">
        <v>3.72</v>
      </c>
      <c r="CD483">
        <v>3.23</v>
      </c>
      <c r="CE483">
        <v>2.97</v>
      </c>
      <c r="CF483">
        <v>2.81</v>
      </c>
      <c r="CG483">
        <v>15.35</v>
      </c>
      <c r="CH483">
        <v>-4.4000000000000004</v>
      </c>
      <c r="CI483">
        <v>-5.33</v>
      </c>
      <c r="CJ483">
        <v>27879</v>
      </c>
      <c r="CK483">
        <v>8384</v>
      </c>
      <c r="CL483" t="s">
        <v>3204</v>
      </c>
      <c r="CM483">
        <v>11.34</v>
      </c>
      <c r="CN483">
        <v>28.11</v>
      </c>
      <c r="CO483">
        <v>3.89</v>
      </c>
      <c r="CP483">
        <v>-25.94</v>
      </c>
      <c r="CQ483">
        <v>4.54</v>
      </c>
      <c r="CR483">
        <v>0.56000000000000005</v>
      </c>
      <c r="CS483" t="s">
        <v>3205</v>
      </c>
      <c r="CT483">
        <v>6.83</v>
      </c>
      <c r="CU483">
        <v>0</v>
      </c>
      <c r="CV483">
        <v>1.1200000000000001</v>
      </c>
      <c r="CW483">
        <v>3.58</v>
      </c>
      <c r="CX483">
        <v>-1.03</v>
      </c>
      <c r="CY483">
        <v>55.8</v>
      </c>
      <c r="CZ483" t="s">
        <v>3206</v>
      </c>
      <c r="DA483">
        <v>36.770000000000003</v>
      </c>
      <c r="DB483">
        <v>14.59</v>
      </c>
      <c r="DC483">
        <v>11.8</v>
      </c>
      <c r="DD483">
        <v>2.66</v>
      </c>
      <c r="DE483">
        <v>4317</v>
      </c>
      <c r="DF483">
        <v>2025</v>
      </c>
      <c r="DG483" t="s">
        <v>116</v>
      </c>
      <c r="DH483" t="s">
        <v>116</v>
      </c>
      <c r="DI483" t="s">
        <v>116</v>
      </c>
    </row>
    <row r="484" spans="1:113" x14ac:dyDescent="0.4">
      <c r="A484" t="str">
        <f>"002026"</f>
        <v>002026</v>
      </c>
      <c r="B484" t="s">
        <v>3207</v>
      </c>
      <c r="C484">
        <v>0</v>
      </c>
      <c r="D484">
        <v>5.12</v>
      </c>
      <c r="E484">
        <v>0</v>
      </c>
      <c r="F484">
        <v>5.1100000000000003</v>
      </c>
      <c r="G484">
        <v>5.12</v>
      </c>
      <c r="H484">
        <v>37460</v>
      </c>
      <c r="I484">
        <v>812</v>
      </c>
      <c r="J484">
        <v>0.2</v>
      </c>
      <c r="K484">
        <v>0.93</v>
      </c>
      <c r="L484">
        <v>5.12</v>
      </c>
      <c r="M484">
        <v>5.19</v>
      </c>
      <c r="N484">
        <v>5.0999999999999996</v>
      </c>
      <c r="O484">
        <v>5.12</v>
      </c>
      <c r="P484">
        <v>15.72</v>
      </c>
      <c r="Q484">
        <v>19268992</v>
      </c>
      <c r="R484">
        <v>1.02</v>
      </c>
      <c r="S484" t="s">
        <v>996</v>
      </c>
      <c r="T484" t="s">
        <v>645</v>
      </c>
      <c r="U484">
        <v>1.76</v>
      </c>
      <c r="V484">
        <v>5.14</v>
      </c>
      <c r="W484">
        <v>21176</v>
      </c>
      <c r="X484">
        <v>16284</v>
      </c>
      <c r="Y484">
        <v>1.3</v>
      </c>
      <c r="Z484">
        <v>921</v>
      </c>
      <c r="AA484">
        <v>1073</v>
      </c>
      <c r="AB484" t="s">
        <v>116</v>
      </c>
      <c r="AC484">
        <v>25600</v>
      </c>
      <c r="AD484">
        <v>0</v>
      </c>
      <c r="AE484" t="s">
        <v>116</v>
      </c>
      <c r="AF484" t="s">
        <v>116</v>
      </c>
      <c r="AG484">
        <v>4.05</v>
      </c>
      <c r="AH484" t="s">
        <v>3208</v>
      </c>
      <c r="AI484" t="s">
        <v>3209</v>
      </c>
      <c r="AJ484">
        <v>0.68</v>
      </c>
      <c r="AK484">
        <v>887</v>
      </c>
      <c r="AL484">
        <v>42</v>
      </c>
      <c r="AM484">
        <v>1E-3</v>
      </c>
      <c r="AN484">
        <v>0</v>
      </c>
      <c r="AO484">
        <v>1.39</v>
      </c>
      <c r="AP484">
        <v>3.64</v>
      </c>
      <c r="AQ484">
        <v>-1.92</v>
      </c>
      <c r="AR484">
        <v>-5.88</v>
      </c>
      <c r="AS484">
        <v>1.54</v>
      </c>
      <c r="AT484" t="s">
        <v>3210</v>
      </c>
      <c r="AU484">
        <v>19.43</v>
      </c>
      <c r="AV484">
        <v>13.85</v>
      </c>
      <c r="AW484">
        <v>0.72</v>
      </c>
      <c r="BA484">
        <v>0</v>
      </c>
      <c r="BB484">
        <v>1.37</v>
      </c>
      <c r="BC484">
        <v>-0.39</v>
      </c>
      <c r="BD484">
        <v>0.47</v>
      </c>
      <c r="BE484">
        <v>0</v>
      </c>
      <c r="BF484">
        <v>-1.35</v>
      </c>
      <c r="BG484">
        <v>0.39</v>
      </c>
      <c r="BH484">
        <v>-0.47</v>
      </c>
      <c r="BI484">
        <v>20191022</v>
      </c>
      <c r="BJ484">
        <v>20040727</v>
      </c>
      <c r="BK484">
        <v>4.2</v>
      </c>
      <c r="BL484" t="s">
        <v>116</v>
      </c>
      <c r="BM484" t="s">
        <v>116</v>
      </c>
      <c r="BN484">
        <v>30.88</v>
      </c>
      <c r="BO484">
        <v>25.52</v>
      </c>
      <c r="BP484">
        <v>0.08</v>
      </c>
      <c r="BQ484">
        <v>17.079999999999998</v>
      </c>
      <c r="BR484">
        <v>19.84</v>
      </c>
      <c r="BS484">
        <v>6.48</v>
      </c>
      <c r="BT484">
        <v>1.07</v>
      </c>
      <c r="BU484">
        <v>4.88</v>
      </c>
      <c r="BV484">
        <v>5.91</v>
      </c>
      <c r="BW484">
        <v>4.3600000000000003</v>
      </c>
      <c r="BX484">
        <v>12.52</v>
      </c>
      <c r="BY484">
        <v>10.95</v>
      </c>
      <c r="BZ484">
        <v>8.16</v>
      </c>
      <c r="CA484">
        <v>1.21</v>
      </c>
      <c r="CB484">
        <v>0.2</v>
      </c>
      <c r="CC484">
        <v>1.28</v>
      </c>
      <c r="CD484">
        <v>1</v>
      </c>
      <c r="CE484">
        <v>1.03</v>
      </c>
      <c r="CF484">
        <v>0.84</v>
      </c>
      <c r="CG484">
        <v>7.69</v>
      </c>
      <c r="CH484">
        <v>1.03</v>
      </c>
      <c r="CI484">
        <v>0.34</v>
      </c>
      <c r="CJ484">
        <v>23123</v>
      </c>
      <c r="CK484">
        <v>10521</v>
      </c>
      <c r="CL484" t="s">
        <v>3211</v>
      </c>
      <c r="CM484">
        <v>-30.31</v>
      </c>
      <c r="CN484">
        <v>-10.73</v>
      </c>
      <c r="CO484">
        <v>0.84</v>
      </c>
      <c r="CP484">
        <v>20.96</v>
      </c>
      <c r="CQ484">
        <v>1.96</v>
      </c>
      <c r="CR484">
        <v>1.56</v>
      </c>
      <c r="CS484" t="s">
        <v>3212</v>
      </c>
      <c r="CT484">
        <v>6.07</v>
      </c>
      <c r="CU484">
        <v>0</v>
      </c>
      <c r="CV484">
        <v>2.98</v>
      </c>
      <c r="CW484">
        <v>1.83</v>
      </c>
      <c r="CX484">
        <v>0.24</v>
      </c>
      <c r="CY484">
        <v>82.65</v>
      </c>
      <c r="CZ484" t="s">
        <v>527</v>
      </c>
      <c r="DA484">
        <v>25.48</v>
      </c>
      <c r="DB484">
        <v>11.02</v>
      </c>
      <c r="DC484">
        <v>9.3699999999999992</v>
      </c>
      <c r="DD484">
        <v>0.63</v>
      </c>
      <c r="DE484">
        <v>3077</v>
      </c>
      <c r="DF484">
        <v>2026</v>
      </c>
      <c r="DG484" t="s">
        <v>116</v>
      </c>
      <c r="DH484" t="s">
        <v>116</v>
      </c>
      <c r="DI484" t="s">
        <v>116</v>
      </c>
    </row>
    <row r="485" spans="1:113" x14ac:dyDescent="0.4">
      <c r="A485" t="str">
        <f>"002027"</f>
        <v>002027</v>
      </c>
      <c r="B485" t="s">
        <v>3213</v>
      </c>
      <c r="C485">
        <v>-1.89</v>
      </c>
      <c r="D485">
        <v>6.24</v>
      </c>
      <c r="E485">
        <v>-0.12</v>
      </c>
      <c r="F485">
        <v>6.23</v>
      </c>
      <c r="G485">
        <v>6.24</v>
      </c>
      <c r="H485">
        <v>1051597</v>
      </c>
      <c r="I485">
        <v>7028</v>
      </c>
      <c r="J485">
        <v>0.32</v>
      </c>
      <c r="K485">
        <v>0.72</v>
      </c>
      <c r="L485">
        <v>6.41</v>
      </c>
      <c r="M485">
        <v>6.44</v>
      </c>
      <c r="N485">
        <v>6.17</v>
      </c>
      <c r="O485">
        <v>6.36</v>
      </c>
      <c r="P485">
        <v>50.5</v>
      </c>
      <c r="Q485">
        <v>660527936</v>
      </c>
      <c r="R485">
        <v>0.8</v>
      </c>
      <c r="S485" t="s">
        <v>589</v>
      </c>
      <c r="T485" t="s">
        <v>551</v>
      </c>
      <c r="U485">
        <v>4.25</v>
      </c>
      <c r="V485">
        <v>6.28</v>
      </c>
      <c r="W485">
        <v>540478</v>
      </c>
      <c r="X485">
        <v>511119</v>
      </c>
      <c r="Y485">
        <v>1.06</v>
      </c>
      <c r="Z485">
        <v>425</v>
      </c>
      <c r="AA485">
        <v>10</v>
      </c>
      <c r="AB485" t="s">
        <v>116</v>
      </c>
      <c r="AC485">
        <v>3393500</v>
      </c>
      <c r="AD485">
        <v>0.01</v>
      </c>
      <c r="AE485" t="s">
        <v>116</v>
      </c>
      <c r="AF485" t="s">
        <v>116</v>
      </c>
      <c r="AG485">
        <v>146.78</v>
      </c>
      <c r="AH485" t="s">
        <v>3214</v>
      </c>
      <c r="AI485" t="s">
        <v>3214</v>
      </c>
      <c r="AJ485">
        <v>-1.21</v>
      </c>
      <c r="AK485">
        <v>4449</v>
      </c>
      <c r="AL485">
        <v>236</v>
      </c>
      <c r="AM485">
        <v>2.0000000000000001E-4</v>
      </c>
      <c r="AN485">
        <v>-2</v>
      </c>
      <c r="AO485">
        <v>-1.42</v>
      </c>
      <c r="AP485">
        <v>11.43</v>
      </c>
      <c r="AQ485">
        <v>16.850000000000001</v>
      </c>
      <c r="AR485">
        <v>21.4</v>
      </c>
      <c r="AS485">
        <v>1.03</v>
      </c>
      <c r="AT485" t="s">
        <v>3215</v>
      </c>
      <c r="AU485">
        <v>38.590000000000003</v>
      </c>
      <c r="AV485">
        <v>15.73</v>
      </c>
      <c r="AW485">
        <v>0.88</v>
      </c>
      <c r="BA485">
        <v>0.79</v>
      </c>
      <c r="BB485">
        <v>1.26</v>
      </c>
      <c r="BC485">
        <v>-2.99</v>
      </c>
      <c r="BD485">
        <v>-1.24</v>
      </c>
      <c r="BE485">
        <v>-2.65</v>
      </c>
      <c r="BF485">
        <v>-3.11</v>
      </c>
      <c r="BG485">
        <v>1.1299999999999999</v>
      </c>
      <c r="BH485">
        <v>-0.65</v>
      </c>
      <c r="BI485">
        <v>20191031</v>
      </c>
      <c r="BJ485">
        <v>20040804</v>
      </c>
      <c r="BK485">
        <v>146.78</v>
      </c>
      <c r="BL485" t="s">
        <v>116</v>
      </c>
      <c r="BM485" t="s">
        <v>116</v>
      </c>
      <c r="BN485">
        <v>178.27</v>
      </c>
      <c r="BO485">
        <v>134.71</v>
      </c>
      <c r="BP485">
        <v>2.2000000000000002</v>
      </c>
      <c r="BQ485">
        <v>23.2</v>
      </c>
      <c r="BR485">
        <v>105.08</v>
      </c>
      <c r="BS485">
        <v>16.84</v>
      </c>
      <c r="BT485">
        <v>0.36</v>
      </c>
      <c r="BU485">
        <v>30.08</v>
      </c>
      <c r="BV485">
        <v>0.08</v>
      </c>
      <c r="BW485">
        <v>43.28</v>
      </c>
      <c r="BX485">
        <v>3.28</v>
      </c>
      <c r="BY485">
        <v>89.06</v>
      </c>
      <c r="BZ485">
        <v>49.83</v>
      </c>
      <c r="CA485">
        <v>17.309999999999999</v>
      </c>
      <c r="CB485">
        <v>1.99</v>
      </c>
      <c r="CC485">
        <v>17</v>
      </c>
      <c r="CD485">
        <v>13.34</v>
      </c>
      <c r="CE485">
        <v>13.6</v>
      </c>
      <c r="CF485">
        <v>8.7899999999999991</v>
      </c>
      <c r="CG485">
        <v>141.18</v>
      </c>
      <c r="CH485">
        <v>20.84</v>
      </c>
      <c r="CI485">
        <v>-9.15</v>
      </c>
      <c r="CJ485">
        <v>198372</v>
      </c>
      <c r="CK485">
        <v>51572</v>
      </c>
      <c r="CL485" t="s">
        <v>3216</v>
      </c>
      <c r="CM485">
        <v>-71.72</v>
      </c>
      <c r="CN485">
        <v>-18.12</v>
      </c>
      <c r="CO485">
        <v>6.8</v>
      </c>
      <c r="CP485">
        <v>43.95</v>
      </c>
      <c r="CQ485">
        <v>10.28</v>
      </c>
      <c r="CR485">
        <v>1.58</v>
      </c>
      <c r="CS485" t="s">
        <v>2836</v>
      </c>
      <c r="CT485">
        <v>0.92</v>
      </c>
      <c r="CU485">
        <v>0</v>
      </c>
      <c r="CV485">
        <v>0.02</v>
      </c>
      <c r="CW485">
        <v>0.96</v>
      </c>
      <c r="CX485">
        <v>0.14000000000000001</v>
      </c>
      <c r="CY485">
        <v>75.569999999999993</v>
      </c>
      <c r="CZ485" t="s">
        <v>3217</v>
      </c>
      <c r="DA485">
        <v>44.05</v>
      </c>
      <c r="DB485">
        <v>19.440000000000001</v>
      </c>
      <c r="DC485">
        <v>15.27</v>
      </c>
      <c r="DD485">
        <v>1.2</v>
      </c>
      <c r="DE485">
        <v>12736</v>
      </c>
      <c r="DF485">
        <v>2027</v>
      </c>
      <c r="DG485" t="s">
        <v>116</v>
      </c>
      <c r="DH485" t="s">
        <v>116</v>
      </c>
      <c r="DI485" t="s">
        <v>116</v>
      </c>
    </row>
    <row r="486" spans="1:113" x14ac:dyDescent="0.4">
      <c r="A486" t="str">
        <f>"002028"</f>
        <v>002028</v>
      </c>
      <c r="B486" t="s">
        <v>3218</v>
      </c>
      <c r="C486">
        <v>-1.25</v>
      </c>
      <c r="D486">
        <v>13.44</v>
      </c>
      <c r="E486">
        <v>-0.17</v>
      </c>
      <c r="F486">
        <v>13.44</v>
      </c>
      <c r="G486">
        <v>13.45</v>
      </c>
      <c r="H486">
        <v>78622</v>
      </c>
      <c r="I486">
        <v>868</v>
      </c>
      <c r="J486">
        <v>7.0000000000000007E-2</v>
      </c>
      <c r="K486">
        <v>1.34</v>
      </c>
      <c r="L486">
        <v>13.66</v>
      </c>
      <c r="M486">
        <v>13.76</v>
      </c>
      <c r="N486">
        <v>13.4</v>
      </c>
      <c r="O486">
        <v>13.61</v>
      </c>
      <c r="P486">
        <v>18.68</v>
      </c>
      <c r="Q486">
        <v>106644384</v>
      </c>
      <c r="R486">
        <v>1.07</v>
      </c>
      <c r="S486" t="s">
        <v>397</v>
      </c>
      <c r="T486" t="s">
        <v>1653</v>
      </c>
      <c r="U486">
        <v>2.65</v>
      </c>
      <c r="V486">
        <v>13.56</v>
      </c>
      <c r="W486">
        <v>43134</v>
      </c>
      <c r="X486">
        <v>35488</v>
      </c>
      <c r="Y486">
        <v>1.22</v>
      </c>
      <c r="Z486">
        <v>192</v>
      </c>
      <c r="AA486">
        <v>149</v>
      </c>
      <c r="AB486" t="s">
        <v>116</v>
      </c>
      <c r="AC486">
        <v>323700</v>
      </c>
      <c r="AD486">
        <v>0.01</v>
      </c>
      <c r="AE486" t="s">
        <v>116</v>
      </c>
      <c r="AF486" t="s">
        <v>116</v>
      </c>
      <c r="AG486">
        <v>5.87</v>
      </c>
      <c r="AH486" t="s">
        <v>3219</v>
      </c>
      <c r="AI486" t="s">
        <v>3220</v>
      </c>
      <c r="AJ486">
        <v>-0.56999999999999995</v>
      </c>
      <c r="AK486">
        <v>3525</v>
      </c>
      <c r="AL486">
        <v>22</v>
      </c>
      <c r="AM486">
        <v>4.0000000000000002E-4</v>
      </c>
      <c r="AN486">
        <v>-3</v>
      </c>
      <c r="AO486">
        <v>-2.12</v>
      </c>
      <c r="AP486">
        <v>-4.75</v>
      </c>
      <c r="AQ486">
        <v>19.68</v>
      </c>
      <c r="AR486">
        <v>37.56</v>
      </c>
      <c r="AS486">
        <v>1.7</v>
      </c>
      <c r="AT486" t="s">
        <v>3221</v>
      </c>
      <c r="AU486">
        <v>21.96</v>
      </c>
      <c r="AV486">
        <v>34.68</v>
      </c>
      <c r="AW486">
        <v>1.02</v>
      </c>
      <c r="BA486">
        <v>0.37</v>
      </c>
      <c r="BB486">
        <v>1.1000000000000001</v>
      </c>
      <c r="BC486">
        <v>-1.54</v>
      </c>
      <c r="BD486">
        <v>-0.34</v>
      </c>
      <c r="BE486">
        <v>-1.61</v>
      </c>
      <c r="BF486">
        <v>-2.33</v>
      </c>
      <c r="BG486">
        <v>0.3</v>
      </c>
      <c r="BH486">
        <v>-0.91</v>
      </c>
      <c r="BI486">
        <v>20191224</v>
      </c>
      <c r="BJ486">
        <v>20040805</v>
      </c>
      <c r="BK486">
        <v>7.6</v>
      </c>
      <c r="BL486" t="s">
        <v>116</v>
      </c>
      <c r="BM486" t="s">
        <v>116</v>
      </c>
      <c r="BN486">
        <v>80.790000000000006</v>
      </c>
      <c r="BO486">
        <v>49.11</v>
      </c>
      <c r="BP486">
        <v>1.49</v>
      </c>
      <c r="BQ486">
        <v>37.36</v>
      </c>
      <c r="BR486">
        <v>61.13</v>
      </c>
      <c r="BS486">
        <v>5.17</v>
      </c>
      <c r="BT486">
        <v>1.68</v>
      </c>
      <c r="BU486">
        <v>29.91</v>
      </c>
      <c r="BV486">
        <v>15.37</v>
      </c>
      <c r="BW486">
        <v>28.1</v>
      </c>
      <c r="BX486">
        <v>0.66</v>
      </c>
      <c r="BY486">
        <v>42.03</v>
      </c>
      <c r="BZ486">
        <v>29.52</v>
      </c>
      <c r="CA486">
        <v>4.58</v>
      </c>
      <c r="CB486">
        <v>-0.01</v>
      </c>
      <c r="CC486">
        <v>4.82</v>
      </c>
      <c r="CD486">
        <v>4.22</v>
      </c>
      <c r="CE486">
        <v>4.0999999999999996</v>
      </c>
      <c r="CF486">
        <v>3.72</v>
      </c>
      <c r="CG486">
        <v>37.22</v>
      </c>
      <c r="CH486">
        <v>-0.1</v>
      </c>
      <c r="CI486">
        <v>-3.22</v>
      </c>
      <c r="CJ486">
        <v>25741</v>
      </c>
      <c r="CK486">
        <v>17918</v>
      </c>
      <c r="CL486" t="s">
        <v>3222</v>
      </c>
      <c r="CM486">
        <v>71.180000000000007</v>
      </c>
      <c r="CN486">
        <v>37.299999999999997</v>
      </c>
      <c r="CO486">
        <v>2.08</v>
      </c>
      <c r="CP486">
        <v>-1003.14</v>
      </c>
      <c r="CQ486">
        <v>2.4300000000000002</v>
      </c>
      <c r="CR486">
        <v>0.74</v>
      </c>
      <c r="CS486" t="s">
        <v>2154</v>
      </c>
      <c r="CT486">
        <v>6.46</v>
      </c>
      <c r="CU486">
        <v>0</v>
      </c>
      <c r="CV486">
        <v>0.09</v>
      </c>
      <c r="CW486">
        <v>4.9000000000000004</v>
      </c>
      <c r="CX486">
        <v>-0.01</v>
      </c>
      <c r="CY486">
        <v>60.79</v>
      </c>
      <c r="CZ486" t="s">
        <v>3223</v>
      </c>
      <c r="DA486">
        <v>29.77</v>
      </c>
      <c r="DB486">
        <v>10.89</v>
      </c>
      <c r="DC486">
        <v>9.76</v>
      </c>
      <c r="DD486">
        <v>2.36</v>
      </c>
      <c r="DE486">
        <v>5153</v>
      </c>
      <c r="DF486">
        <v>2028</v>
      </c>
      <c r="DG486" t="s">
        <v>116</v>
      </c>
      <c r="DH486" t="s">
        <v>116</v>
      </c>
      <c r="DI486" t="s">
        <v>116</v>
      </c>
    </row>
    <row r="487" spans="1:113" x14ac:dyDescent="0.4">
      <c r="A487" t="str">
        <f>"002029"</f>
        <v>002029</v>
      </c>
      <c r="B487" t="s">
        <v>3224</v>
      </c>
      <c r="C487">
        <v>0.35</v>
      </c>
      <c r="D487">
        <v>5.77</v>
      </c>
      <c r="E487">
        <v>0.02</v>
      </c>
      <c r="F487">
        <v>5.77</v>
      </c>
      <c r="G487">
        <v>5.78</v>
      </c>
      <c r="H487">
        <v>100573</v>
      </c>
      <c r="I487">
        <v>1150</v>
      </c>
      <c r="J487">
        <v>-0.16</v>
      </c>
      <c r="K487">
        <v>1.35</v>
      </c>
      <c r="L487">
        <v>5.76</v>
      </c>
      <c r="M487">
        <v>5.89</v>
      </c>
      <c r="N487">
        <v>5.75</v>
      </c>
      <c r="O487">
        <v>5.75</v>
      </c>
      <c r="P487">
        <v>16.510000000000002</v>
      </c>
      <c r="Q487">
        <v>58517956</v>
      </c>
      <c r="R487">
        <v>2.12</v>
      </c>
      <c r="S487" t="s">
        <v>3070</v>
      </c>
      <c r="T487" t="s">
        <v>975</v>
      </c>
      <c r="U487">
        <v>2.4300000000000002</v>
      </c>
      <c r="V487">
        <v>5.82</v>
      </c>
      <c r="W487">
        <v>44024</v>
      </c>
      <c r="X487">
        <v>56549</v>
      </c>
      <c r="Y487">
        <v>0.78</v>
      </c>
      <c r="Z487">
        <v>253</v>
      </c>
      <c r="AA487">
        <v>133</v>
      </c>
      <c r="AB487" t="s">
        <v>116</v>
      </c>
      <c r="AC487">
        <v>393400</v>
      </c>
      <c r="AD487">
        <v>0.02</v>
      </c>
      <c r="AE487" t="s">
        <v>116</v>
      </c>
      <c r="AF487" t="s">
        <v>116</v>
      </c>
      <c r="AG487">
        <v>7.44</v>
      </c>
      <c r="AH487" t="s">
        <v>3225</v>
      </c>
      <c r="AI487" t="s">
        <v>1694</v>
      </c>
      <c r="AJ487">
        <v>1.03</v>
      </c>
      <c r="AK487">
        <v>1196</v>
      </c>
      <c r="AL487">
        <v>84</v>
      </c>
      <c r="AM487">
        <v>1.1000000000000001E-3</v>
      </c>
      <c r="AN487">
        <v>1</v>
      </c>
      <c r="AO487">
        <v>-0.51</v>
      </c>
      <c r="AP487">
        <v>4.34</v>
      </c>
      <c r="AQ487">
        <v>1.05</v>
      </c>
      <c r="AR487">
        <v>-5.41</v>
      </c>
      <c r="AS487">
        <v>2.31</v>
      </c>
      <c r="AT487" t="s">
        <v>3226</v>
      </c>
      <c r="AU487">
        <v>13.23</v>
      </c>
      <c r="AV487">
        <v>12.59</v>
      </c>
      <c r="AW487">
        <v>0.66</v>
      </c>
      <c r="BA487">
        <v>0.17</v>
      </c>
      <c r="BB487">
        <v>2.4300000000000002</v>
      </c>
      <c r="BC487">
        <v>0</v>
      </c>
      <c r="BD487">
        <v>1.19</v>
      </c>
      <c r="BE487">
        <v>0.17</v>
      </c>
      <c r="BF487">
        <v>-2.04</v>
      </c>
      <c r="BG487">
        <v>0.35</v>
      </c>
      <c r="BH487">
        <v>-0.84</v>
      </c>
      <c r="BI487">
        <v>20191025</v>
      </c>
      <c r="BJ487">
        <v>20040806</v>
      </c>
      <c r="BK487">
        <v>7.56</v>
      </c>
      <c r="BL487" t="s">
        <v>116</v>
      </c>
      <c r="BM487" t="s">
        <v>116</v>
      </c>
      <c r="BN487">
        <v>91.73</v>
      </c>
      <c r="BO487">
        <v>58.58</v>
      </c>
      <c r="BP487">
        <v>0.56000000000000005</v>
      </c>
      <c r="BQ487">
        <v>35.53</v>
      </c>
      <c r="BR487">
        <v>64.23</v>
      </c>
      <c r="BS487">
        <v>3.2</v>
      </c>
      <c r="BT487">
        <v>3.6</v>
      </c>
      <c r="BU487">
        <v>32.119999999999997</v>
      </c>
      <c r="BV487">
        <v>11.26</v>
      </c>
      <c r="BW487">
        <v>4.88</v>
      </c>
      <c r="BX487">
        <v>18.850000000000001</v>
      </c>
      <c r="BY487">
        <v>24.78</v>
      </c>
      <c r="BZ487">
        <v>13.79</v>
      </c>
      <c r="CA487">
        <v>2.46</v>
      </c>
      <c r="CB487">
        <v>0.57999999999999996</v>
      </c>
      <c r="CC487">
        <v>2.54</v>
      </c>
      <c r="CD487">
        <v>2.02</v>
      </c>
      <c r="CE487">
        <v>1.98</v>
      </c>
      <c r="CF487">
        <v>1.17</v>
      </c>
      <c r="CG487">
        <v>25.26</v>
      </c>
      <c r="CH487">
        <v>-1.55</v>
      </c>
      <c r="CI487">
        <v>-1.91</v>
      </c>
      <c r="CJ487">
        <v>36637</v>
      </c>
      <c r="CK487">
        <v>11871</v>
      </c>
      <c r="CL487" t="s">
        <v>3227</v>
      </c>
      <c r="CM487">
        <v>-7.75</v>
      </c>
      <c r="CN487">
        <v>5.32</v>
      </c>
      <c r="CO487">
        <v>0.74</v>
      </c>
      <c r="CP487">
        <v>-28.18</v>
      </c>
      <c r="CQ487">
        <v>1.76</v>
      </c>
      <c r="CR487">
        <v>1.73</v>
      </c>
      <c r="CS487" t="s">
        <v>3228</v>
      </c>
      <c r="CT487">
        <v>7.75</v>
      </c>
      <c r="CU487">
        <v>0</v>
      </c>
      <c r="CV487">
        <v>2.4900000000000002</v>
      </c>
      <c r="CW487">
        <v>3.34</v>
      </c>
      <c r="CX487">
        <v>-0.2</v>
      </c>
      <c r="CY487">
        <v>63.86</v>
      </c>
      <c r="CZ487" t="s">
        <v>3229</v>
      </c>
      <c r="DA487">
        <v>44.35</v>
      </c>
      <c r="DB487">
        <v>9.92</v>
      </c>
      <c r="DC487">
        <v>7.99</v>
      </c>
      <c r="DD487">
        <v>0.36</v>
      </c>
      <c r="DE487">
        <v>2581</v>
      </c>
      <c r="DF487">
        <v>2029</v>
      </c>
      <c r="DG487" t="s">
        <v>116</v>
      </c>
      <c r="DH487" t="s">
        <v>116</v>
      </c>
      <c r="DI487" t="s">
        <v>116</v>
      </c>
    </row>
    <row r="488" spans="1:113" x14ac:dyDescent="0.4">
      <c r="A488" t="str">
        <f>"002030"</f>
        <v>002030</v>
      </c>
      <c r="B488" t="s">
        <v>3230</v>
      </c>
      <c r="C488">
        <v>0.19</v>
      </c>
      <c r="D488">
        <v>10.7</v>
      </c>
      <c r="E488">
        <v>0.02</v>
      </c>
      <c r="F488">
        <v>10.7</v>
      </c>
      <c r="G488">
        <v>10.71</v>
      </c>
      <c r="H488">
        <v>47540</v>
      </c>
      <c r="I488">
        <v>1187</v>
      </c>
      <c r="J488">
        <v>0.09</v>
      </c>
      <c r="K488">
        <v>0.63</v>
      </c>
      <c r="L488">
        <v>10.68</v>
      </c>
      <c r="M488">
        <v>10.77</v>
      </c>
      <c r="N488">
        <v>10.66</v>
      </c>
      <c r="O488">
        <v>10.68</v>
      </c>
      <c r="P488">
        <v>79.819999999999993</v>
      </c>
      <c r="Q488">
        <v>50907036</v>
      </c>
      <c r="R488">
        <v>1.24</v>
      </c>
      <c r="S488" t="s">
        <v>132</v>
      </c>
      <c r="T488" t="s">
        <v>551</v>
      </c>
      <c r="U488">
        <v>1.03</v>
      </c>
      <c r="V488">
        <v>10.71</v>
      </c>
      <c r="W488">
        <v>23920</v>
      </c>
      <c r="X488">
        <v>23620</v>
      </c>
      <c r="Y488">
        <v>1.01</v>
      </c>
      <c r="Z488">
        <v>172</v>
      </c>
      <c r="AA488">
        <v>327</v>
      </c>
      <c r="AB488" t="s">
        <v>116</v>
      </c>
      <c r="AC488">
        <v>0</v>
      </c>
      <c r="AD488">
        <v>0</v>
      </c>
      <c r="AE488" t="s">
        <v>116</v>
      </c>
      <c r="AF488" t="s">
        <v>116</v>
      </c>
      <c r="AG488">
        <v>7.6</v>
      </c>
      <c r="AH488" t="s">
        <v>3231</v>
      </c>
      <c r="AI488" t="s">
        <v>3232</v>
      </c>
      <c r="AJ488">
        <v>0.87</v>
      </c>
      <c r="AK488">
        <v>1617</v>
      </c>
      <c r="AL488">
        <v>29</v>
      </c>
      <c r="AM488">
        <v>4.0000000000000002E-4</v>
      </c>
      <c r="AN488">
        <v>2</v>
      </c>
      <c r="AO488">
        <v>0.56999999999999995</v>
      </c>
      <c r="AP488">
        <v>2.1</v>
      </c>
      <c r="AQ488">
        <v>5.1100000000000003</v>
      </c>
      <c r="AR488">
        <v>5.74</v>
      </c>
      <c r="AS488">
        <v>0.94</v>
      </c>
      <c r="AT488" t="s">
        <v>3233</v>
      </c>
      <c r="AU488">
        <v>82.6</v>
      </c>
      <c r="AV488">
        <v>83.99</v>
      </c>
      <c r="AW488">
        <v>0.91</v>
      </c>
      <c r="BA488">
        <v>0</v>
      </c>
      <c r="BB488">
        <v>0.84</v>
      </c>
      <c r="BC488">
        <v>-0.19</v>
      </c>
      <c r="BD488">
        <v>0.26</v>
      </c>
      <c r="BE488">
        <v>0.19</v>
      </c>
      <c r="BF488">
        <v>-0.65</v>
      </c>
      <c r="BG488">
        <v>0.38</v>
      </c>
      <c r="BH488">
        <v>-0.08</v>
      </c>
      <c r="BI488">
        <v>20191031</v>
      </c>
      <c r="BJ488">
        <v>20040809</v>
      </c>
      <c r="BK488">
        <v>7.97</v>
      </c>
      <c r="BL488" t="s">
        <v>116</v>
      </c>
      <c r="BM488" t="s">
        <v>116</v>
      </c>
      <c r="BN488">
        <v>40.770000000000003</v>
      </c>
      <c r="BO488">
        <v>23.49</v>
      </c>
      <c r="BP488">
        <v>4.25</v>
      </c>
      <c r="BQ488">
        <v>31.96</v>
      </c>
      <c r="BR488">
        <v>20.13</v>
      </c>
      <c r="BS488">
        <v>2.94</v>
      </c>
      <c r="BT488">
        <v>0.96</v>
      </c>
      <c r="BU488">
        <v>11.53</v>
      </c>
      <c r="BV488">
        <v>2.0499999999999998</v>
      </c>
      <c r="BW488">
        <v>7.11</v>
      </c>
      <c r="BX488">
        <v>6.82</v>
      </c>
      <c r="BY488">
        <v>7.68</v>
      </c>
      <c r="BZ488">
        <v>3.72</v>
      </c>
      <c r="CA488">
        <v>0.86</v>
      </c>
      <c r="CB488">
        <v>-7.0000000000000007E-2</v>
      </c>
      <c r="CC488">
        <v>0.86</v>
      </c>
      <c r="CD488">
        <v>0.68</v>
      </c>
      <c r="CE488">
        <v>0.8</v>
      </c>
      <c r="CF488">
        <v>0.69</v>
      </c>
      <c r="CG488">
        <v>2.81</v>
      </c>
      <c r="CH488">
        <v>1.96</v>
      </c>
      <c r="CI488">
        <v>-1.27</v>
      </c>
      <c r="CJ488">
        <v>81401</v>
      </c>
      <c r="CK488">
        <v>6239</v>
      </c>
      <c r="CL488" t="s">
        <v>3234</v>
      </c>
      <c r="CM488">
        <v>2.1800000000000002</v>
      </c>
      <c r="CN488">
        <v>-35.270000000000003</v>
      </c>
      <c r="CO488">
        <v>3.63</v>
      </c>
      <c r="CP488">
        <v>43.63</v>
      </c>
      <c r="CQ488">
        <v>11.11</v>
      </c>
      <c r="CR488">
        <v>0.38</v>
      </c>
      <c r="CS488" t="s">
        <v>3235</v>
      </c>
      <c r="CT488">
        <v>2.95</v>
      </c>
      <c r="CU488">
        <v>0</v>
      </c>
      <c r="CV488">
        <v>0.86</v>
      </c>
      <c r="CW488">
        <v>0.35</v>
      </c>
      <c r="CX488">
        <v>0.25</v>
      </c>
      <c r="CY488">
        <v>57.61</v>
      </c>
      <c r="CZ488" t="s">
        <v>730</v>
      </c>
      <c r="DA488">
        <v>51.49</v>
      </c>
      <c r="DB488">
        <v>11.15</v>
      </c>
      <c r="DC488">
        <v>10.44</v>
      </c>
      <c r="DD488">
        <v>0.56000000000000005</v>
      </c>
      <c r="DE488">
        <v>926</v>
      </c>
      <c r="DF488">
        <v>2030</v>
      </c>
      <c r="DG488" t="s">
        <v>116</v>
      </c>
      <c r="DH488" t="s">
        <v>116</v>
      </c>
      <c r="DI488" t="s">
        <v>116</v>
      </c>
    </row>
    <row r="489" spans="1:113" x14ac:dyDescent="0.4">
      <c r="A489" t="str">
        <f>"002031"</f>
        <v>002031</v>
      </c>
      <c r="B489" t="s">
        <v>3236</v>
      </c>
      <c r="C489">
        <v>-1.01</v>
      </c>
      <c r="D489">
        <v>1.96</v>
      </c>
      <c r="E489">
        <v>-0.02</v>
      </c>
      <c r="F489">
        <v>1.96</v>
      </c>
      <c r="G489">
        <v>1.97</v>
      </c>
      <c r="H489">
        <v>144190</v>
      </c>
      <c r="I489">
        <v>6437</v>
      </c>
      <c r="J489">
        <v>-0.5</v>
      </c>
      <c r="K489">
        <v>0.76</v>
      </c>
      <c r="L489">
        <v>1.99</v>
      </c>
      <c r="M489">
        <v>1.99</v>
      </c>
      <c r="N489">
        <v>1.96</v>
      </c>
      <c r="O489">
        <v>1.98</v>
      </c>
      <c r="P489">
        <v>36.35</v>
      </c>
      <c r="Q489">
        <v>28499838</v>
      </c>
      <c r="R489">
        <v>1</v>
      </c>
      <c r="S489" t="s">
        <v>293</v>
      </c>
      <c r="T489" t="s">
        <v>551</v>
      </c>
      <c r="U489">
        <v>1.52</v>
      </c>
      <c r="V489">
        <v>1.98</v>
      </c>
      <c r="W489">
        <v>88830</v>
      </c>
      <c r="X489">
        <v>55360</v>
      </c>
      <c r="Y489">
        <v>1.6</v>
      </c>
      <c r="Z489">
        <v>1340</v>
      </c>
      <c r="AA489">
        <v>5881</v>
      </c>
      <c r="AB489" t="s">
        <v>116</v>
      </c>
      <c r="AC489">
        <v>82000</v>
      </c>
      <c r="AD489">
        <v>0</v>
      </c>
      <c r="AE489" t="s">
        <v>116</v>
      </c>
      <c r="AF489" t="s">
        <v>116</v>
      </c>
      <c r="AG489">
        <v>18.93</v>
      </c>
      <c r="AH489" t="s">
        <v>2713</v>
      </c>
      <c r="AI489" t="s">
        <v>3237</v>
      </c>
      <c r="AJ489">
        <v>-0.33</v>
      </c>
      <c r="AK489">
        <v>1534</v>
      </c>
      <c r="AL489">
        <v>94</v>
      </c>
      <c r="AM489">
        <v>5.0000000000000001E-4</v>
      </c>
      <c r="AN489">
        <v>-1</v>
      </c>
      <c r="AO489">
        <v>-1.01</v>
      </c>
      <c r="AP489">
        <v>3.16</v>
      </c>
      <c r="AQ489">
        <v>0</v>
      </c>
      <c r="AR489">
        <v>4.3099999999999996</v>
      </c>
      <c r="AS489">
        <v>0.89</v>
      </c>
      <c r="AT489" t="s">
        <v>3238</v>
      </c>
      <c r="AU489">
        <v>43.86</v>
      </c>
      <c r="AV489">
        <v>79.069999999999993</v>
      </c>
      <c r="AW489">
        <v>1.23</v>
      </c>
      <c r="BA489">
        <v>0.51</v>
      </c>
      <c r="BB489">
        <v>0.51</v>
      </c>
      <c r="BC489">
        <v>-1.01</v>
      </c>
      <c r="BD489">
        <v>-0.17</v>
      </c>
      <c r="BE489">
        <v>-1.51</v>
      </c>
      <c r="BF489">
        <v>-1.51</v>
      </c>
      <c r="BG489">
        <v>0</v>
      </c>
      <c r="BH489">
        <v>-0.84</v>
      </c>
      <c r="BI489">
        <v>20191030</v>
      </c>
      <c r="BJ489">
        <v>20040816</v>
      </c>
      <c r="BK489">
        <v>21.99</v>
      </c>
      <c r="BL489" t="s">
        <v>116</v>
      </c>
      <c r="BM489" t="s">
        <v>116</v>
      </c>
      <c r="BN489">
        <v>61.75</v>
      </c>
      <c r="BO489">
        <v>31.43</v>
      </c>
      <c r="BP489">
        <v>5.26</v>
      </c>
      <c r="BQ489">
        <v>40.590000000000003</v>
      </c>
      <c r="BR489">
        <v>32.31</v>
      </c>
      <c r="BS489">
        <v>12.13</v>
      </c>
      <c r="BT489">
        <v>2.04</v>
      </c>
      <c r="BU489">
        <v>22.12</v>
      </c>
      <c r="BV489">
        <v>7.69</v>
      </c>
      <c r="BW489">
        <v>2.8</v>
      </c>
      <c r="BX489">
        <v>0.4</v>
      </c>
      <c r="BY489">
        <v>10.44</v>
      </c>
      <c r="BZ489">
        <v>6.79</v>
      </c>
      <c r="CA489">
        <v>2.29</v>
      </c>
      <c r="CB489">
        <v>-0.02</v>
      </c>
      <c r="CC489">
        <v>2.2200000000000002</v>
      </c>
      <c r="CD489">
        <v>1.66</v>
      </c>
      <c r="CE489">
        <v>0.89</v>
      </c>
      <c r="CF489">
        <v>-0.03</v>
      </c>
      <c r="CG489">
        <v>7.62</v>
      </c>
      <c r="CH489">
        <v>2.85</v>
      </c>
      <c r="CI489">
        <v>-5.1100000000000003</v>
      </c>
      <c r="CJ489">
        <v>114107</v>
      </c>
      <c r="CK489">
        <v>14167</v>
      </c>
      <c r="CL489" t="s">
        <v>3239</v>
      </c>
      <c r="CM489">
        <v>96.89</v>
      </c>
      <c r="CN489">
        <v>6.69</v>
      </c>
      <c r="CO489">
        <v>1.37</v>
      </c>
      <c r="CP489">
        <v>15.13</v>
      </c>
      <c r="CQ489">
        <v>4.13</v>
      </c>
      <c r="CR489">
        <v>0.05</v>
      </c>
      <c r="CS489" t="s">
        <v>778</v>
      </c>
      <c r="CT489">
        <v>1.43</v>
      </c>
      <c r="CU489">
        <v>0</v>
      </c>
      <c r="CV489">
        <v>0.02</v>
      </c>
      <c r="CW489">
        <v>0.35</v>
      </c>
      <c r="CX489">
        <v>0.13</v>
      </c>
      <c r="CY489">
        <v>50.9</v>
      </c>
      <c r="CZ489" t="s">
        <v>3240</v>
      </c>
      <c r="DA489">
        <v>34.950000000000003</v>
      </c>
      <c r="DB489">
        <v>21.91</v>
      </c>
      <c r="DC489">
        <v>8.52</v>
      </c>
      <c r="DD489">
        <v>0.59</v>
      </c>
      <c r="DE489">
        <v>2651</v>
      </c>
      <c r="DF489">
        <v>2031</v>
      </c>
      <c r="DG489" t="s">
        <v>116</v>
      </c>
      <c r="DH489" t="s">
        <v>116</v>
      </c>
      <c r="DI489" t="s">
        <v>116</v>
      </c>
    </row>
    <row r="490" spans="1:113" x14ac:dyDescent="0.4">
      <c r="A490" t="str">
        <f>"002032"</f>
        <v>002032</v>
      </c>
      <c r="B490" t="s">
        <v>3241</v>
      </c>
      <c r="C490">
        <v>0.48</v>
      </c>
      <c r="D490">
        <v>76.11</v>
      </c>
      <c r="E490">
        <v>0.36</v>
      </c>
      <c r="F490">
        <v>76.099999999999994</v>
      </c>
      <c r="G490">
        <v>76.11</v>
      </c>
      <c r="H490">
        <v>15417</v>
      </c>
      <c r="I490">
        <v>166</v>
      </c>
      <c r="J490">
        <v>0.01</v>
      </c>
      <c r="K490">
        <v>0.25</v>
      </c>
      <c r="L490">
        <v>75.260000000000005</v>
      </c>
      <c r="M490">
        <v>77.3</v>
      </c>
      <c r="N490">
        <v>75.12</v>
      </c>
      <c r="O490">
        <v>75.75</v>
      </c>
      <c r="P490">
        <v>37.549999999999997</v>
      </c>
      <c r="Q490">
        <v>117006216</v>
      </c>
      <c r="R490">
        <v>1.78</v>
      </c>
      <c r="S490" t="s">
        <v>209</v>
      </c>
      <c r="T490" t="s">
        <v>590</v>
      </c>
      <c r="U490">
        <v>2.88</v>
      </c>
      <c r="V490">
        <v>75.900000000000006</v>
      </c>
      <c r="W490">
        <v>7254</v>
      </c>
      <c r="X490">
        <v>8163</v>
      </c>
      <c r="Y490">
        <v>0.89</v>
      </c>
      <c r="Z490">
        <v>4</v>
      </c>
      <c r="AA490">
        <v>62</v>
      </c>
      <c r="AB490" t="s">
        <v>116</v>
      </c>
      <c r="AC490">
        <v>715000</v>
      </c>
      <c r="AD490">
        <v>0</v>
      </c>
      <c r="AE490" t="s">
        <v>116</v>
      </c>
      <c r="AF490" t="s">
        <v>116</v>
      </c>
      <c r="AG490">
        <v>6.11</v>
      </c>
      <c r="AH490" t="s">
        <v>3242</v>
      </c>
      <c r="AI490" t="s">
        <v>3243</v>
      </c>
      <c r="AJ490">
        <v>1.1499999999999999</v>
      </c>
      <c r="AK490">
        <v>3060</v>
      </c>
      <c r="AL490">
        <v>5</v>
      </c>
      <c r="AM490">
        <v>1E-4</v>
      </c>
      <c r="AN490">
        <v>2</v>
      </c>
      <c r="AO490">
        <v>3.54</v>
      </c>
      <c r="AP490">
        <v>6</v>
      </c>
      <c r="AQ490">
        <v>4.7</v>
      </c>
      <c r="AR490">
        <v>48.59</v>
      </c>
      <c r="AS490">
        <v>0.25</v>
      </c>
      <c r="AT490" t="s">
        <v>3242</v>
      </c>
      <c r="AU490">
        <v>34.450000000000003</v>
      </c>
      <c r="AV490">
        <v>37.43</v>
      </c>
      <c r="AW490">
        <v>0.92</v>
      </c>
      <c r="BA490">
        <v>-0.65</v>
      </c>
      <c r="BB490">
        <v>2.0499999999999998</v>
      </c>
      <c r="BC490">
        <v>-0.83</v>
      </c>
      <c r="BD490">
        <v>0.19</v>
      </c>
      <c r="BE490">
        <v>1.1299999999999999</v>
      </c>
      <c r="BF490">
        <v>-1.54</v>
      </c>
      <c r="BG490">
        <v>1.32</v>
      </c>
      <c r="BH490">
        <v>0.28000000000000003</v>
      </c>
      <c r="BI490">
        <v>20191227</v>
      </c>
      <c r="BJ490">
        <v>20040817</v>
      </c>
      <c r="BK490">
        <v>8.2100000000000009</v>
      </c>
      <c r="BL490" t="s">
        <v>116</v>
      </c>
      <c r="BM490" t="s">
        <v>116</v>
      </c>
      <c r="BN490">
        <v>103.56</v>
      </c>
      <c r="BO490">
        <v>63.68</v>
      </c>
      <c r="BP490">
        <v>-0.01</v>
      </c>
      <c r="BQ490">
        <v>38.51</v>
      </c>
      <c r="BR490">
        <v>85.56</v>
      </c>
      <c r="BS490">
        <v>8.49</v>
      </c>
      <c r="BT490">
        <v>4.5999999999999996</v>
      </c>
      <c r="BU490">
        <v>39.659999999999997</v>
      </c>
      <c r="BV490">
        <v>15.1</v>
      </c>
      <c r="BW490">
        <v>24.64</v>
      </c>
      <c r="BX490">
        <v>1.82</v>
      </c>
      <c r="BY490">
        <v>148.96</v>
      </c>
      <c r="BZ490">
        <v>103.27</v>
      </c>
      <c r="CA490">
        <v>16.29</v>
      </c>
      <c r="CB490">
        <v>0.22</v>
      </c>
      <c r="CC490">
        <v>16.14</v>
      </c>
      <c r="CD490">
        <v>12.45</v>
      </c>
      <c r="CE490">
        <v>12.48</v>
      </c>
      <c r="CF490">
        <v>12.22</v>
      </c>
      <c r="CG490">
        <v>49.84</v>
      </c>
      <c r="CH490">
        <v>1.89</v>
      </c>
      <c r="CI490">
        <v>8.51</v>
      </c>
      <c r="CJ490">
        <v>10503</v>
      </c>
      <c r="CK490">
        <v>58155</v>
      </c>
      <c r="CL490" t="s">
        <v>3244</v>
      </c>
      <c r="CM490">
        <v>13.04</v>
      </c>
      <c r="CN490">
        <v>11.22</v>
      </c>
      <c r="CO490">
        <v>9.81</v>
      </c>
      <c r="CP490">
        <v>331.27</v>
      </c>
      <c r="CQ490">
        <v>4.2</v>
      </c>
      <c r="CR490">
        <v>1.68</v>
      </c>
      <c r="CS490" t="s">
        <v>3245</v>
      </c>
      <c r="CT490">
        <v>7.76</v>
      </c>
      <c r="CU490">
        <v>0</v>
      </c>
      <c r="CV490">
        <v>0.22</v>
      </c>
      <c r="CW490">
        <v>6.07</v>
      </c>
      <c r="CX490">
        <v>0.23</v>
      </c>
      <c r="CY490">
        <v>61.49</v>
      </c>
      <c r="CZ490" t="s">
        <v>3246</v>
      </c>
      <c r="DA490">
        <v>30.67</v>
      </c>
      <c r="DB490">
        <v>10.94</v>
      </c>
      <c r="DC490">
        <v>8.3800000000000008</v>
      </c>
      <c r="DD490">
        <v>3.12</v>
      </c>
      <c r="DE490">
        <v>12793</v>
      </c>
      <c r="DF490">
        <v>2032</v>
      </c>
      <c r="DG490" t="s">
        <v>116</v>
      </c>
      <c r="DH490" t="s">
        <v>116</v>
      </c>
      <c r="DI490" t="s">
        <v>116</v>
      </c>
    </row>
    <row r="491" spans="1:113" x14ac:dyDescent="0.4">
      <c r="A491" t="str">
        <f>"002033"</f>
        <v>002033</v>
      </c>
      <c r="B491" t="s">
        <v>3247</v>
      </c>
      <c r="C491">
        <v>0</v>
      </c>
      <c r="D491">
        <v>6.12</v>
      </c>
      <c r="E491">
        <v>0</v>
      </c>
      <c r="F491">
        <v>6.11</v>
      </c>
      <c r="G491">
        <v>6.12</v>
      </c>
      <c r="H491">
        <v>36686</v>
      </c>
      <c r="I491">
        <v>259</v>
      </c>
      <c r="J491">
        <v>0.16</v>
      </c>
      <c r="K491">
        <v>0.67</v>
      </c>
      <c r="L491">
        <v>6.14</v>
      </c>
      <c r="M491">
        <v>6.19</v>
      </c>
      <c r="N491">
        <v>6.1</v>
      </c>
      <c r="O491">
        <v>6.12</v>
      </c>
      <c r="P491">
        <v>13.65</v>
      </c>
      <c r="Q491">
        <v>22546940</v>
      </c>
      <c r="R491">
        <v>1.05</v>
      </c>
      <c r="S491" t="s">
        <v>493</v>
      </c>
      <c r="T491" t="s">
        <v>1043</v>
      </c>
      <c r="U491">
        <v>1.47</v>
      </c>
      <c r="V491">
        <v>6.15</v>
      </c>
      <c r="W491">
        <v>19587</v>
      </c>
      <c r="X491">
        <v>17099</v>
      </c>
      <c r="Y491">
        <v>1.1499999999999999</v>
      </c>
      <c r="Z491">
        <v>328</v>
      </c>
      <c r="AA491">
        <v>152</v>
      </c>
      <c r="AB491" t="s">
        <v>116</v>
      </c>
      <c r="AC491">
        <v>547700</v>
      </c>
      <c r="AD491">
        <v>0.03</v>
      </c>
      <c r="AE491" t="s">
        <v>116</v>
      </c>
      <c r="AF491" t="s">
        <v>116</v>
      </c>
      <c r="AG491">
        <v>5.49</v>
      </c>
      <c r="AH491" t="s">
        <v>3248</v>
      </c>
      <c r="AI491" t="s">
        <v>3248</v>
      </c>
      <c r="AJ491">
        <v>0.68</v>
      </c>
      <c r="AK491">
        <v>1058</v>
      </c>
      <c r="AL491">
        <v>35</v>
      </c>
      <c r="AM491">
        <v>5.9999999999999995E-4</v>
      </c>
      <c r="AN491">
        <v>0</v>
      </c>
      <c r="AO491">
        <v>0.82</v>
      </c>
      <c r="AP491">
        <v>2.5099999999999998</v>
      </c>
      <c r="AQ491">
        <v>5.52</v>
      </c>
      <c r="AR491">
        <v>10.87</v>
      </c>
      <c r="AS491">
        <v>1.21</v>
      </c>
      <c r="AT491" t="s">
        <v>3249</v>
      </c>
      <c r="AU491">
        <v>19.38</v>
      </c>
      <c r="AV491">
        <v>17.55</v>
      </c>
      <c r="AW491">
        <v>0.41</v>
      </c>
      <c r="BA491">
        <v>0.33</v>
      </c>
      <c r="BB491">
        <v>1.1399999999999999</v>
      </c>
      <c r="BC491">
        <v>-0.33</v>
      </c>
      <c r="BD491">
        <v>0.42</v>
      </c>
      <c r="BE491">
        <v>-0.33</v>
      </c>
      <c r="BF491">
        <v>-1.1299999999999999</v>
      </c>
      <c r="BG491">
        <v>0.33</v>
      </c>
      <c r="BH491">
        <v>-0.42</v>
      </c>
      <c r="BI491">
        <v>20191023</v>
      </c>
      <c r="BJ491">
        <v>20040825</v>
      </c>
      <c r="BK491">
        <v>5.49</v>
      </c>
      <c r="BL491" t="s">
        <v>116</v>
      </c>
      <c r="BM491" t="s">
        <v>116</v>
      </c>
      <c r="BN491">
        <v>28.31</v>
      </c>
      <c r="BO491">
        <v>25.36</v>
      </c>
      <c r="BP491">
        <v>1.42</v>
      </c>
      <c r="BQ491">
        <v>5.39</v>
      </c>
      <c r="BR491">
        <v>12.23</v>
      </c>
      <c r="BS491">
        <v>8.69</v>
      </c>
      <c r="BT491">
        <v>0.83</v>
      </c>
      <c r="BU491">
        <v>1.46</v>
      </c>
      <c r="BV491">
        <v>0.15</v>
      </c>
      <c r="BW491">
        <v>0.15</v>
      </c>
      <c r="BX491">
        <v>5.58</v>
      </c>
      <c r="BY491">
        <v>5.58</v>
      </c>
      <c r="BZ491">
        <v>1.59</v>
      </c>
      <c r="CA491">
        <v>2.62</v>
      </c>
      <c r="CB491">
        <v>7.0000000000000007E-2</v>
      </c>
      <c r="CC491">
        <v>2.62</v>
      </c>
      <c r="CD491">
        <v>2.21</v>
      </c>
      <c r="CE491">
        <v>1.85</v>
      </c>
      <c r="CF491">
        <v>1.8</v>
      </c>
      <c r="CG491">
        <v>12.29</v>
      </c>
      <c r="CH491">
        <v>2.36</v>
      </c>
      <c r="CI491">
        <v>0.35</v>
      </c>
      <c r="CJ491">
        <v>44942</v>
      </c>
      <c r="CK491">
        <v>6724</v>
      </c>
      <c r="CL491" t="s">
        <v>3250</v>
      </c>
      <c r="CM491">
        <v>-8.94</v>
      </c>
      <c r="CN491">
        <v>-0.28999999999999998</v>
      </c>
      <c r="CO491">
        <v>1.33</v>
      </c>
      <c r="CP491">
        <v>14.24</v>
      </c>
      <c r="CQ491">
        <v>6.02</v>
      </c>
      <c r="CR491">
        <v>2.4500000000000002</v>
      </c>
      <c r="CS491" t="s">
        <v>736</v>
      </c>
      <c r="CT491">
        <v>4.62</v>
      </c>
      <c r="CU491">
        <v>0</v>
      </c>
      <c r="CV491">
        <v>1.02</v>
      </c>
      <c r="CW491">
        <v>2.2400000000000002</v>
      </c>
      <c r="CX491">
        <v>0.43</v>
      </c>
      <c r="CY491">
        <v>89.6</v>
      </c>
      <c r="CZ491" t="s">
        <v>3251</v>
      </c>
      <c r="DA491">
        <v>71.5</v>
      </c>
      <c r="DB491">
        <v>47.01</v>
      </c>
      <c r="DC491">
        <v>33.090000000000003</v>
      </c>
      <c r="DD491">
        <v>0</v>
      </c>
      <c r="DE491">
        <v>1689</v>
      </c>
      <c r="DF491">
        <v>2033</v>
      </c>
      <c r="DG491" t="s">
        <v>116</v>
      </c>
      <c r="DH491" t="s">
        <v>116</v>
      </c>
      <c r="DI491" t="s">
        <v>116</v>
      </c>
    </row>
    <row r="492" spans="1:113" x14ac:dyDescent="0.4">
      <c r="A492" t="str">
        <f>"002034"</f>
        <v>002034</v>
      </c>
      <c r="B492" t="s">
        <v>3252</v>
      </c>
      <c r="C492">
        <v>-0.76</v>
      </c>
      <c r="D492">
        <v>14.44</v>
      </c>
      <c r="E492">
        <v>-0.11</v>
      </c>
      <c r="F492">
        <v>14.44</v>
      </c>
      <c r="G492">
        <v>14.45</v>
      </c>
      <c r="H492">
        <v>17869</v>
      </c>
      <c r="I492">
        <v>105</v>
      </c>
      <c r="J492">
        <v>7.0000000000000007E-2</v>
      </c>
      <c r="K492">
        <v>0.66</v>
      </c>
      <c r="L492">
        <v>14.59</v>
      </c>
      <c r="M492">
        <v>14.81</v>
      </c>
      <c r="N492">
        <v>14.4</v>
      </c>
      <c r="O492">
        <v>14.55</v>
      </c>
      <c r="P492">
        <v>14.48</v>
      </c>
      <c r="Q492">
        <v>26100628</v>
      </c>
      <c r="R492">
        <v>1.1499999999999999</v>
      </c>
      <c r="S492" t="s">
        <v>140</v>
      </c>
      <c r="T492" t="s">
        <v>590</v>
      </c>
      <c r="U492">
        <v>2.82</v>
      </c>
      <c r="V492">
        <v>14.61</v>
      </c>
      <c r="W492">
        <v>11623</v>
      </c>
      <c r="X492">
        <v>6246</v>
      </c>
      <c r="Y492">
        <v>1.86</v>
      </c>
      <c r="Z492">
        <v>113</v>
      </c>
      <c r="AA492">
        <v>123</v>
      </c>
      <c r="AB492" t="s">
        <v>116</v>
      </c>
      <c r="AC492">
        <v>0</v>
      </c>
      <c r="AD492">
        <v>0</v>
      </c>
      <c r="AE492" t="s">
        <v>116</v>
      </c>
      <c r="AF492" t="s">
        <v>116</v>
      </c>
      <c r="AG492">
        <v>2.69</v>
      </c>
      <c r="AH492" t="s">
        <v>3253</v>
      </c>
      <c r="AI492" t="s">
        <v>3254</v>
      </c>
      <c r="AJ492">
        <v>-0.08</v>
      </c>
      <c r="AK492">
        <v>1557</v>
      </c>
      <c r="AL492">
        <v>11</v>
      </c>
      <c r="AM492">
        <v>4.0000000000000002E-4</v>
      </c>
      <c r="AN492">
        <v>-1</v>
      </c>
      <c r="AO492">
        <v>-1.23</v>
      </c>
      <c r="AP492">
        <v>0.98</v>
      </c>
      <c r="AQ492">
        <v>-8.43</v>
      </c>
      <c r="AR492">
        <v>33.21</v>
      </c>
      <c r="AS492">
        <v>1.02</v>
      </c>
      <c r="AT492" t="s">
        <v>3255</v>
      </c>
      <c r="AU492">
        <v>15.27</v>
      </c>
      <c r="AV492">
        <v>19.64</v>
      </c>
      <c r="AW492">
        <v>0.84</v>
      </c>
      <c r="BA492">
        <v>0.27</v>
      </c>
      <c r="BB492">
        <v>1.79</v>
      </c>
      <c r="BC492">
        <v>-1.03</v>
      </c>
      <c r="BD492">
        <v>0.39</v>
      </c>
      <c r="BE492">
        <v>-1.03</v>
      </c>
      <c r="BF492">
        <v>-2.5</v>
      </c>
      <c r="BG492">
        <v>0.28000000000000003</v>
      </c>
      <c r="BH492">
        <v>-1.1499999999999999</v>
      </c>
      <c r="BI492">
        <v>20191225</v>
      </c>
      <c r="BJ492">
        <v>20040826</v>
      </c>
      <c r="BK492">
        <v>4.17</v>
      </c>
      <c r="BL492" t="s">
        <v>116</v>
      </c>
      <c r="BM492" t="s">
        <v>116</v>
      </c>
      <c r="BN492">
        <v>85.38</v>
      </c>
      <c r="BO492">
        <v>39.869999999999997</v>
      </c>
      <c r="BP492">
        <v>0.22</v>
      </c>
      <c r="BQ492">
        <v>53.04</v>
      </c>
      <c r="BR492">
        <v>16.04</v>
      </c>
      <c r="BS492">
        <v>18.420000000000002</v>
      </c>
      <c r="BT492">
        <v>26.07</v>
      </c>
      <c r="BU492">
        <v>8.74</v>
      </c>
      <c r="BV492">
        <v>0.11</v>
      </c>
      <c r="BW492">
        <v>3.84</v>
      </c>
      <c r="BX492">
        <v>24.45</v>
      </c>
      <c r="BY492">
        <v>8.59</v>
      </c>
      <c r="BZ492">
        <v>3.93</v>
      </c>
      <c r="CA492">
        <v>3.72</v>
      </c>
      <c r="CB492">
        <v>0</v>
      </c>
      <c r="CC492">
        <v>3.7</v>
      </c>
      <c r="CD492">
        <v>3.16</v>
      </c>
      <c r="CE492">
        <v>3.11</v>
      </c>
      <c r="CF492">
        <v>3.08</v>
      </c>
      <c r="CG492">
        <v>10.62</v>
      </c>
      <c r="CH492">
        <v>4.3</v>
      </c>
      <c r="CI492">
        <v>2.4</v>
      </c>
      <c r="CJ492">
        <v>11689</v>
      </c>
      <c r="CK492">
        <v>14922</v>
      </c>
      <c r="CL492" t="s">
        <v>3256</v>
      </c>
      <c r="CM492">
        <v>39.19</v>
      </c>
      <c r="CN492">
        <v>40.06</v>
      </c>
      <c r="CO492">
        <v>1.51</v>
      </c>
      <c r="CP492">
        <v>13.99</v>
      </c>
      <c r="CQ492">
        <v>7</v>
      </c>
      <c r="CR492">
        <v>0.69</v>
      </c>
      <c r="CS492" t="s">
        <v>3257</v>
      </c>
      <c r="CT492">
        <v>9.57</v>
      </c>
      <c r="CU492">
        <v>0</v>
      </c>
      <c r="CV492">
        <v>5.87</v>
      </c>
      <c r="CW492">
        <v>2.5499999999999998</v>
      </c>
      <c r="CX492">
        <v>1.03</v>
      </c>
      <c r="CY492">
        <v>46.7</v>
      </c>
      <c r="CZ492" t="s">
        <v>3258</v>
      </c>
      <c r="DA492">
        <v>54.22</v>
      </c>
      <c r="DB492">
        <v>43.32</v>
      </c>
      <c r="DC492">
        <v>36.25</v>
      </c>
      <c r="DD492">
        <v>0.28000000000000003</v>
      </c>
      <c r="DE492">
        <v>1405</v>
      </c>
      <c r="DF492">
        <v>2034</v>
      </c>
      <c r="DG492" t="s">
        <v>116</v>
      </c>
      <c r="DH492" t="s">
        <v>116</v>
      </c>
      <c r="DI492" t="s">
        <v>116</v>
      </c>
    </row>
    <row r="493" spans="1:113" x14ac:dyDescent="0.4">
      <c r="A493" t="str">
        <f>"002035"</f>
        <v>002035</v>
      </c>
      <c r="B493" t="s">
        <v>3259</v>
      </c>
      <c r="C493">
        <v>3.57</v>
      </c>
      <c r="D493">
        <v>13.33</v>
      </c>
      <c r="E493">
        <v>0.46</v>
      </c>
      <c r="F493">
        <v>13.32</v>
      </c>
      <c r="G493">
        <v>13.33</v>
      </c>
      <c r="H493">
        <v>292088</v>
      </c>
      <c r="I493">
        <v>1782</v>
      </c>
      <c r="J493">
        <v>0.15</v>
      </c>
      <c r="K493">
        <v>3.73</v>
      </c>
      <c r="L493">
        <v>12.8</v>
      </c>
      <c r="M493">
        <v>13.38</v>
      </c>
      <c r="N493">
        <v>12.78</v>
      </c>
      <c r="O493">
        <v>12.87</v>
      </c>
      <c r="P493">
        <v>16.88</v>
      </c>
      <c r="Q493">
        <v>385284608</v>
      </c>
      <c r="R493">
        <v>1.99</v>
      </c>
      <c r="S493" t="s">
        <v>209</v>
      </c>
      <c r="T493" t="s">
        <v>551</v>
      </c>
      <c r="U493">
        <v>4.66</v>
      </c>
      <c r="V493">
        <v>13.19</v>
      </c>
      <c r="W493">
        <v>137634</v>
      </c>
      <c r="X493">
        <v>154454</v>
      </c>
      <c r="Y493">
        <v>0.89</v>
      </c>
      <c r="Z493">
        <v>16</v>
      </c>
      <c r="AA493">
        <v>158</v>
      </c>
      <c r="AB493" t="s">
        <v>116</v>
      </c>
      <c r="AC493">
        <v>373800</v>
      </c>
      <c r="AD493">
        <v>0</v>
      </c>
      <c r="AE493" t="s">
        <v>116</v>
      </c>
      <c r="AF493" t="s">
        <v>116</v>
      </c>
      <c r="AG493">
        <v>7.84</v>
      </c>
      <c r="AH493" t="s">
        <v>3260</v>
      </c>
      <c r="AI493" t="s">
        <v>3261</v>
      </c>
      <c r="AJ493">
        <v>4.25</v>
      </c>
      <c r="AK493">
        <v>3789</v>
      </c>
      <c r="AL493">
        <v>77</v>
      </c>
      <c r="AM493">
        <v>1E-3</v>
      </c>
      <c r="AN493">
        <v>4</v>
      </c>
      <c r="AO493">
        <v>8.6300000000000008</v>
      </c>
      <c r="AP493">
        <v>17.86</v>
      </c>
      <c r="AQ493">
        <v>34.65</v>
      </c>
      <c r="AR493">
        <v>55.77</v>
      </c>
      <c r="AS493">
        <v>4.6399999999999997</v>
      </c>
      <c r="AT493" t="s">
        <v>3262</v>
      </c>
      <c r="AU493">
        <v>15.48</v>
      </c>
      <c r="AV493">
        <v>17.18</v>
      </c>
      <c r="AW493">
        <v>1.23</v>
      </c>
      <c r="BA493">
        <v>-0.54</v>
      </c>
      <c r="BB493">
        <v>3.96</v>
      </c>
      <c r="BC493">
        <v>-0.7</v>
      </c>
      <c r="BD493">
        <v>2.4900000000000002</v>
      </c>
      <c r="BE493">
        <v>4.1399999999999997</v>
      </c>
      <c r="BF493">
        <v>-0.37</v>
      </c>
      <c r="BG493">
        <v>4.3</v>
      </c>
      <c r="BH493">
        <v>1.08</v>
      </c>
      <c r="BI493">
        <v>20191030</v>
      </c>
      <c r="BJ493">
        <v>20040901</v>
      </c>
      <c r="BK493">
        <v>8.73</v>
      </c>
      <c r="BL493" t="s">
        <v>116</v>
      </c>
      <c r="BM493" t="s">
        <v>116</v>
      </c>
      <c r="BN493">
        <v>55.56</v>
      </c>
      <c r="BO493">
        <v>27.77</v>
      </c>
      <c r="BP493">
        <v>0.93</v>
      </c>
      <c r="BQ493">
        <v>48.34</v>
      </c>
      <c r="BR493">
        <v>42.24</v>
      </c>
      <c r="BS493">
        <v>5.6</v>
      </c>
      <c r="BT493">
        <v>2.06</v>
      </c>
      <c r="BU493">
        <v>26.26</v>
      </c>
      <c r="BV493">
        <v>5.36</v>
      </c>
      <c r="BW493">
        <v>9.48</v>
      </c>
      <c r="BX493">
        <v>0.81</v>
      </c>
      <c r="BY493">
        <v>42.75</v>
      </c>
      <c r="BZ493">
        <v>21.85</v>
      </c>
      <c r="CA493">
        <v>5.68</v>
      </c>
      <c r="CB493">
        <v>0.03</v>
      </c>
      <c r="CC493">
        <v>5.89</v>
      </c>
      <c r="CD493">
        <v>5.26</v>
      </c>
      <c r="CE493">
        <v>5.17</v>
      </c>
      <c r="CF493">
        <v>4.93</v>
      </c>
      <c r="CG493">
        <v>17.489999999999998</v>
      </c>
      <c r="CH493">
        <v>5.49</v>
      </c>
      <c r="CI493">
        <v>-0.03</v>
      </c>
      <c r="CJ493">
        <v>39457</v>
      </c>
      <c r="CK493">
        <v>15937</v>
      </c>
      <c r="CL493" t="s">
        <v>3263</v>
      </c>
      <c r="CM493">
        <v>16.87</v>
      </c>
      <c r="CN493">
        <v>-7.98</v>
      </c>
      <c r="CO493">
        <v>4.17</v>
      </c>
      <c r="CP493">
        <v>21.19</v>
      </c>
      <c r="CQ493">
        <v>2.72</v>
      </c>
      <c r="CR493">
        <v>2.2200000000000002</v>
      </c>
      <c r="CS493" t="s">
        <v>3264</v>
      </c>
      <c r="CT493">
        <v>3.19</v>
      </c>
      <c r="CU493">
        <v>3.19</v>
      </c>
      <c r="CV493">
        <v>0.09</v>
      </c>
      <c r="CW493">
        <v>2</v>
      </c>
      <c r="CX493">
        <v>0.63</v>
      </c>
      <c r="CY493">
        <v>49.98</v>
      </c>
      <c r="CZ493" t="s">
        <v>3265</v>
      </c>
      <c r="DA493">
        <v>48.9</v>
      </c>
      <c r="DB493">
        <v>13.28</v>
      </c>
      <c r="DC493">
        <v>12.09</v>
      </c>
      <c r="DD493">
        <v>1.65</v>
      </c>
      <c r="DE493">
        <v>5422</v>
      </c>
      <c r="DF493">
        <v>2035</v>
      </c>
      <c r="DG493" t="s">
        <v>116</v>
      </c>
      <c r="DH493" t="s">
        <v>116</v>
      </c>
      <c r="DI493" t="s">
        <v>116</v>
      </c>
    </row>
    <row r="494" spans="1:113" x14ac:dyDescent="0.4">
      <c r="A494" t="str">
        <f>"002036"</f>
        <v>002036</v>
      </c>
      <c r="B494" t="s">
        <v>3266</v>
      </c>
      <c r="C494">
        <v>-6.12</v>
      </c>
      <c r="D494">
        <v>16.399999999999999</v>
      </c>
      <c r="E494">
        <v>-1.07</v>
      </c>
      <c r="F494">
        <v>16.399999999999999</v>
      </c>
      <c r="G494">
        <v>16.420000000000002</v>
      </c>
      <c r="H494">
        <v>568381</v>
      </c>
      <c r="I494">
        <v>11434</v>
      </c>
      <c r="J494">
        <v>-0.66</v>
      </c>
      <c r="K494">
        <v>8</v>
      </c>
      <c r="L494">
        <v>17.68</v>
      </c>
      <c r="M494">
        <v>17.739999999999998</v>
      </c>
      <c r="N494">
        <v>16.27</v>
      </c>
      <c r="O494">
        <v>17.47</v>
      </c>
      <c r="P494">
        <v>39.19</v>
      </c>
      <c r="Q494">
        <v>969843200</v>
      </c>
      <c r="R494">
        <v>1.07</v>
      </c>
      <c r="S494" t="s">
        <v>233</v>
      </c>
      <c r="T494" t="s">
        <v>683</v>
      </c>
      <c r="U494">
        <v>8.41</v>
      </c>
      <c r="V494">
        <v>17.059999999999999</v>
      </c>
      <c r="W494">
        <v>310810</v>
      </c>
      <c r="X494">
        <v>257571</v>
      </c>
      <c r="Y494">
        <v>1.21</v>
      </c>
      <c r="Z494">
        <v>3720</v>
      </c>
      <c r="AA494">
        <v>3</v>
      </c>
      <c r="AB494" t="s">
        <v>116</v>
      </c>
      <c r="AC494">
        <v>7218700</v>
      </c>
      <c r="AD494">
        <v>0.08</v>
      </c>
      <c r="AE494" t="s">
        <v>116</v>
      </c>
      <c r="AF494" t="s">
        <v>116</v>
      </c>
      <c r="AG494">
        <v>7.11</v>
      </c>
      <c r="AH494" t="s">
        <v>3267</v>
      </c>
      <c r="AI494" t="s">
        <v>3268</v>
      </c>
      <c r="AJ494">
        <v>-5.45</v>
      </c>
      <c r="AK494">
        <v>4467</v>
      </c>
      <c r="AL494">
        <v>127</v>
      </c>
      <c r="AM494">
        <v>1.8E-3</v>
      </c>
      <c r="AN494">
        <v>-2</v>
      </c>
      <c r="AO494">
        <v>-5.9</v>
      </c>
      <c r="AP494">
        <v>16.73</v>
      </c>
      <c r="AQ494">
        <v>9.5500000000000007</v>
      </c>
      <c r="AR494">
        <v>148.94999999999999</v>
      </c>
      <c r="AS494">
        <v>11.46</v>
      </c>
      <c r="AT494" t="s">
        <v>3231</v>
      </c>
      <c r="AU494">
        <v>40.9</v>
      </c>
      <c r="AV494">
        <v>47.75</v>
      </c>
      <c r="AW494">
        <v>2.19</v>
      </c>
      <c r="BA494">
        <v>1.2</v>
      </c>
      <c r="BB494">
        <v>1.55</v>
      </c>
      <c r="BC494">
        <v>-6.87</v>
      </c>
      <c r="BD494">
        <v>-2.33</v>
      </c>
      <c r="BE494">
        <v>-7.24</v>
      </c>
      <c r="BF494">
        <v>-7.55</v>
      </c>
      <c r="BG494">
        <v>0.8</v>
      </c>
      <c r="BH494">
        <v>-3.8</v>
      </c>
      <c r="BI494">
        <v>20191224</v>
      </c>
      <c r="BJ494">
        <v>20040903</v>
      </c>
      <c r="BK494">
        <v>7.15</v>
      </c>
      <c r="BL494" t="s">
        <v>116</v>
      </c>
      <c r="BM494" t="s">
        <v>116</v>
      </c>
      <c r="BN494">
        <v>84.71</v>
      </c>
      <c r="BO494">
        <v>22.51</v>
      </c>
      <c r="BP494">
        <v>2.74</v>
      </c>
      <c r="BQ494">
        <v>70.180000000000007</v>
      </c>
      <c r="BR494">
        <v>50.18</v>
      </c>
      <c r="BS494">
        <v>19.829999999999998</v>
      </c>
      <c r="BT494">
        <v>1.02</v>
      </c>
      <c r="BU494">
        <v>45.31</v>
      </c>
      <c r="BV494">
        <v>19.11</v>
      </c>
      <c r="BW494">
        <v>17.13</v>
      </c>
      <c r="BX494">
        <v>3.2</v>
      </c>
      <c r="BY494">
        <v>42.68</v>
      </c>
      <c r="BZ494">
        <v>36.43</v>
      </c>
      <c r="CA494">
        <v>2.37</v>
      </c>
      <c r="CB494">
        <v>0.05</v>
      </c>
      <c r="CC494">
        <v>2.38</v>
      </c>
      <c r="CD494">
        <v>2.0699999999999998</v>
      </c>
      <c r="CE494">
        <v>2.2400000000000002</v>
      </c>
      <c r="CF494">
        <v>1.88</v>
      </c>
      <c r="CG494">
        <v>11.55</v>
      </c>
      <c r="CH494">
        <v>1.0900000000000001</v>
      </c>
      <c r="CI494">
        <v>-4.5199999999999996</v>
      </c>
      <c r="CJ494">
        <v>56327</v>
      </c>
      <c r="CK494">
        <v>8804</v>
      </c>
      <c r="CL494" t="s">
        <v>3269</v>
      </c>
      <c r="CM494">
        <v>22.42</v>
      </c>
      <c r="CN494">
        <v>20.59</v>
      </c>
      <c r="CO494">
        <v>5.21</v>
      </c>
      <c r="CP494">
        <v>108.03</v>
      </c>
      <c r="CQ494">
        <v>2.75</v>
      </c>
      <c r="CR494">
        <v>0.21</v>
      </c>
      <c r="CS494" t="s">
        <v>3270</v>
      </c>
      <c r="CT494">
        <v>3.15</v>
      </c>
      <c r="CU494">
        <v>0</v>
      </c>
      <c r="CV494">
        <v>0.45</v>
      </c>
      <c r="CW494">
        <v>1.61</v>
      </c>
      <c r="CX494">
        <v>0.15</v>
      </c>
      <c r="CY494">
        <v>26.58</v>
      </c>
      <c r="CZ494" t="s">
        <v>3271</v>
      </c>
      <c r="DA494">
        <v>14.64</v>
      </c>
      <c r="DB494">
        <v>5.56</v>
      </c>
      <c r="DC494">
        <v>5.26</v>
      </c>
      <c r="DD494">
        <v>1.52</v>
      </c>
      <c r="DE494">
        <v>7185</v>
      </c>
      <c r="DF494">
        <v>2036</v>
      </c>
      <c r="DG494" t="s">
        <v>116</v>
      </c>
      <c r="DH494" t="s">
        <v>116</v>
      </c>
      <c r="DI494" t="s">
        <v>116</v>
      </c>
    </row>
    <row r="495" spans="1:113" x14ac:dyDescent="0.4">
      <c r="A495" t="str">
        <f>"002037"</f>
        <v>002037</v>
      </c>
      <c r="B495" t="s">
        <v>3272</v>
      </c>
      <c r="C495">
        <v>-0.87</v>
      </c>
      <c r="D495">
        <v>6.83</v>
      </c>
      <c r="E495">
        <v>-0.06</v>
      </c>
      <c r="F495">
        <v>6.83</v>
      </c>
      <c r="G495">
        <v>6.84</v>
      </c>
      <c r="H495">
        <v>34603</v>
      </c>
      <c r="I495">
        <v>107</v>
      </c>
      <c r="J495">
        <v>0</v>
      </c>
      <c r="K495">
        <v>1.06</v>
      </c>
      <c r="L495">
        <v>6.92</v>
      </c>
      <c r="M495">
        <v>6.93</v>
      </c>
      <c r="N495">
        <v>6.82</v>
      </c>
      <c r="O495">
        <v>6.89</v>
      </c>
      <c r="P495">
        <v>30.66</v>
      </c>
      <c r="Q495">
        <v>23826904</v>
      </c>
      <c r="R495">
        <v>2.0299999999999998</v>
      </c>
      <c r="S495" t="s">
        <v>891</v>
      </c>
      <c r="T495" t="s">
        <v>1056</v>
      </c>
      <c r="U495">
        <v>1.6</v>
      </c>
      <c r="V495">
        <v>6.89</v>
      </c>
      <c r="W495">
        <v>20134</v>
      </c>
      <c r="X495">
        <v>14469</v>
      </c>
      <c r="Y495">
        <v>1.39</v>
      </c>
      <c r="Z495">
        <v>499</v>
      </c>
      <c r="AA495">
        <v>92</v>
      </c>
      <c r="AB495" t="s">
        <v>116</v>
      </c>
      <c r="AC495">
        <v>101000</v>
      </c>
      <c r="AD495">
        <v>0.01</v>
      </c>
      <c r="AE495" t="s">
        <v>116</v>
      </c>
      <c r="AF495" t="s">
        <v>116</v>
      </c>
      <c r="AG495">
        <v>3.27</v>
      </c>
      <c r="AH495" t="s">
        <v>3273</v>
      </c>
      <c r="AI495" t="s">
        <v>3274</v>
      </c>
      <c r="AJ495">
        <v>-0.19</v>
      </c>
      <c r="AK495">
        <v>651</v>
      </c>
      <c r="AL495">
        <v>53</v>
      </c>
      <c r="AM495">
        <v>1.6000000000000001E-3</v>
      </c>
      <c r="AN495">
        <v>-1</v>
      </c>
      <c r="AO495">
        <v>-0.57999999999999996</v>
      </c>
      <c r="AP495">
        <v>0.15</v>
      </c>
      <c r="AQ495">
        <v>-3.53</v>
      </c>
      <c r="AR495">
        <v>-14.7</v>
      </c>
      <c r="AS495">
        <v>1.51</v>
      </c>
      <c r="AT495" t="s">
        <v>3275</v>
      </c>
      <c r="AU495">
        <v>33.76</v>
      </c>
      <c r="AV495">
        <v>18.77</v>
      </c>
      <c r="AW495">
        <v>0.72</v>
      </c>
      <c r="BA495">
        <v>0.44</v>
      </c>
      <c r="BB495">
        <v>0.57999999999999996</v>
      </c>
      <c r="BC495">
        <v>-1.02</v>
      </c>
      <c r="BD495">
        <v>-0.06</v>
      </c>
      <c r="BE495">
        <v>-1.3</v>
      </c>
      <c r="BF495">
        <v>-1.44</v>
      </c>
      <c r="BG495">
        <v>0.15</v>
      </c>
      <c r="BH495">
        <v>-0.81</v>
      </c>
      <c r="BI495">
        <v>20191212</v>
      </c>
      <c r="BJ495">
        <v>20040908</v>
      </c>
      <c r="BK495">
        <v>4.88</v>
      </c>
      <c r="BL495" t="s">
        <v>116</v>
      </c>
      <c r="BM495" t="s">
        <v>116</v>
      </c>
      <c r="BN495">
        <v>118.64</v>
      </c>
      <c r="BO495">
        <v>33.24</v>
      </c>
      <c r="BP495">
        <v>8</v>
      </c>
      <c r="BQ495">
        <v>65.239999999999995</v>
      </c>
      <c r="BR495">
        <v>88.78</v>
      </c>
      <c r="BS495">
        <v>19.28</v>
      </c>
      <c r="BT495">
        <v>5.4</v>
      </c>
      <c r="BU495">
        <v>64.55</v>
      </c>
      <c r="BV495">
        <v>4.8</v>
      </c>
      <c r="BW495">
        <v>56.62</v>
      </c>
      <c r="BX495">
        <v>12.85</v>
      </c>
      <c r="BY495">
        <v>33.51</v>
      </c>
      <c r="BZ495">
        <v>25.18</v>
      </c>
      <c r="CA495">
        <v>1.52</v>
      </c>
      <c r="CB495">
        <v>0.03</v>
      </c>
      <c r="CC495">
        <v>1.54</v>
      </c>
      <c r="CD495">
        <v>1.0900000000000001</v>
      </c>
      <c r="CE495">
        <v>0.81</v>
      </c>
      <c r="CF495">
        <v>0.75</v>
      </c>
      <c r="CG495">
        <v>13.11</v>
      </c>
      <c r="CH495">
        <v>-2.93</v>
      </c>
      <c r="CI495">
        <v>-1.53</v>
      </c>
      <c r="CJ495">
        <v>19931</v>
      </c>
      <c r="CK495">
        <v>11498</v>
      </c>
      <c r="CL495" t="s">
        <v>3276</v>
      </c>
      <c r="CM495">
        <v>-49.16</v>
      </c>
      <c r="CN495">
        <v>-19.64</v>
      </c>
      <c r="CO495">
        <v>1</v>
      </c>
      <c r="CP495">
        <v>-11.35</v>
      </c>
      <c r="CQ495">
        <v>0.99</v>
      </c>
      <c r="CR495">
        <v>1.07</v>
      </c>
      <c r="CS495" t="s">
        <v>3277</v>
      </c>
      <c r="CT495">
        <v>6.82</v>
      </c>
      <c r="CU495">
        <v>0</v>
      </c>
      <c r="CV495">
        <v>2.63</v>
      </c>
      <c r="CW495">
        <v>2.69</v>
      </c>
      <c r="CX495">
        <v>-0.6</v>
      </c>
      <c r="CY495">
        <v>28.01</v>
      </c>
      <c r="CZ495" t="s">
        <v>3278</v>
      </c>
      <c r="DA495">
        <v>24.83</v>
      </c>
      <c r="DB495">
        <v>4.55</v>
      </c>
      <c r="DC495">
        <v>2.4300000000000002</v>
      </c>
      <c r="DD495">
        <v>0.16</v>
      </c>
      <c r="DE495">
        <v>8271</v>
      </c>
      <c r="DF495">
        <v>2037</v>
      </c>
      <c r="DG495" t="s">
        <v>116</v>
      </c>
      <c r="DH495" t="s">
        <v>116</v>
      </c>
      <c r="DI495" t="s">
        <v>116</v>
      </c>
    </row>
    <row r="496" spans="1:113" x14ac:dyDescent="0.4">
      <c r="A496" t="str">
        <f>"002038"</f>
        <v>002038</v>
      </c>
      <c r="B496" t="s">
        <v>3279</v>
      </c>
      <c r="C496">
        <v>0</v>
      </c>
      <c r="D496">
        <v>12.53</v>
      </c>
      <c r="E496">
        <v>0</v>
      </c>
      <c r="F496">
        <v>12.53</v>
      </c>
      <c r="G496">
        <v>12.54</v>
      </c>
      <c r="H496">
        <v>65447</v>
      </c>
      <c r="I496">
        <v>872</v>
      </c>
      <c r="J496">
        <v>-7.0000000000000007E-2</v>
      </c>
      <c r="K496">
        <v>0.64</v>
      </c>
      <c r="L496">
        <v>12.51</v>
      </c>
      <c r="M496">
        <v>12.69</v>
      </c>
      <c r="N496">
        <v>12.5</v>
      </c>
      <c r="O496">
        <v>12.53</v>
      </c>
      <c r="P496">
        <v>19.190000000000001</v>
      </c>
      <c r="Q496">
        <v>82446488</v>
      </c>
      <c r="R496">
        <v>1.4</v>
      </c>
      <c r="S496" t="s">
        <v>132</v>
      </c>
      <c r="T496" t="s">
        <v>165</v>
      </c>
      <c r="U496">
        <v>1.52</v>
      </c>
      <c r="V496">
        <v>12.6</v>
      </c>
      <c r="W496">
        <v>34058</v>
      </c>
      <c r="X496">
        <v>31389</v>
      </c>
      <c r="Y496">
        <v>1.0900000000000001</v>
      </c>
      <c r="Z496">
        <v>128</v>
      </c>
      <c r="AA496">
        <v>102</v>
      </c>
      <c r="AB496" t="s">
        <v>116</v>
      </c>
      <c r="AC496">
        <v>71900</v>
      </c>
      <c r="AD496">
        <v>0</v>
      </c>
      <c r="AE496" t="s">
        <v>116</v>
      </c>
      <c r="AF496" t="s">
        <v>116</v>
      </c>
      <c r="AG496">
        <v>10.27</v>
      </c>
      <c r="AH496" t="s">
        <v>3280</v>
      </c>
      <c r="AI496" t="s">
        <v>3280</v>
      </c>
      <c r="AJ496">
        <v>0.68</v>
      </c>
      <c r="AK496">
        <v>1838</v>
      </c>
      <c r="AL496">
        <v>36</v>
      </c>
      <c r="AM496">
        <v>2.9999999999999997E-4</v>
      </c>
      <c r="AN496">
        <v>0</v>
      </c>
      <c r="AO496">
        <v>0.16</v>
      </c>
      <c r="AP496">
        <v>0.24</v>
      </c>
      <c r="AQ496">
        <v>-1.1000000000000001</v>
      </c>
      <c r="AR496">
        <v>-23.32</v>
      </c>
      <c r="AS496">
        <v>0.86</v>
      </c>
      <c r="AT496" t="s">
        <v>3281</v>
      </c>
      <c r="AU496">
        <v>23.73</v>
      </c>
      <c r="AV496">
        <v>22.53</v>
      </c>
      <c r="AW496">
        <v>0.77</v>
      </c>
      <c r="BA496">
        <v>-0.16</v>
      </c>
      <c r="BB496">
        <v>1.28</v>
      </c>
      <c r="BC496">
        <v>-0.24</v>
      </c>
      <c r="BD496">
        <v>0.54</v>
      </c>
      <c r="BE496">
        <v>0.16</v>
      </c>
      <c r="BF496">
        <v>-1.26</v>
      </c>
      <c r="BG496">
        <v>0.24</v>
      </c>
      <c r="BH496">
        <v>-0.54</v>
      </c>
      <c r="BI496">
        <v>20191216</v>
      </c>
      <c r="BJ496">
        <v>20040909</v>
      </c>
      <c r="BK496">
        <v>10.27</v>
      </c>
      <c r="BL496" t="s">
        <v>116</v>
      </c>
      <c r="BM496" t="s">
        <v>116</v>
      </c>
      <c r="BN496">
        <v>52.49</v>
      </c>
      <c r="BO496">
        <v>47.87</v>
      </c>
      <c r="BP496">
        <v>0.13</v>
      </c>
      <c r="BQ496">
        <v>8.5500000000000007</v>
      </c>
      <c r="BR496">
        <v>30.28</v>
      </c>
      <c r="BS496">
        <v>4.37</v>
      </c>
      <c r="BT496">
        <v>4.84</v>
      </c>
      <c r="BU496">
        <v>4.2</v>
      </c>
      <c r="BV496">
        <v>1.38</v>
      </c>
      <c r="BW496">
        <v>6.41</v>
      </c>
      <c r="BX496">
        <v>7.0000000000000007E-2</v>
      </c>
      <c r="BY496">
        <v>15.76</v>
      </c>
      <c r="BZ496">
        <v>3.06</v>
      </c>
      <c r="CA496">
        <v>5.65</v>
      </c>
      <c r="CB496">
        <v>0.27</v>
      </c>
      <c r="CC496">
        <v>5.65</v>
      </c>
      <c r="CD496">
        <v>4.96</v>
      </c>
      <c r="CE496">
        <v>5.03</v>
      </c>
      <c r="CF496">
        <v>4.21</v>
      </c>
      <c r="CG496">
        <v>32.28</v>
      </c>
      <c r="CH496">
        <v>4.63</v>
      </c>
      <c r="CI496">
        <v>0.23</v>
      </c>
      <c r="CJ496">
        <v>51214</v>
      </c>
      <c r="CK496">
        <v>14789</v>
      </c>
      <c r="CL496" t="s">
        <v>3282</v>
      </c>
      <c r="CM496">
        <v>-5.43</v>
      </c>
      <c r="CN496">
        <v>1.6</v>
      </c>
      <c r="CO496">
        <v>2.69</v>
      </c>
      <c r="CP496">
        <v>27.81</v>
      </c>
      <c r="CQ496">
        <v>8.17</v>
      </c>
      <c r="CR496">
        <v>1.6</v>
      </c>
      <c r="CS496" t="s">
        <v>1677</v>
      </c>
      <c r="CT496">
        <v>4.66</v>
      </c>
      <c r="CU496">
        <v>0</v>
      </c>
      <c r="CV496">
        <v>0.01</v>
      </c>
      <c r="CW496">
        <v>3.14</v>
      </c>
      <c r="CX496">
        <v>0.45</v>
      </c>
      <c r="CY496">
        <v>91.19</v>
      </c>
      <c r="CZ496" t="s">
        <v>3283</v>
      </c>
      <c r="DA496">
        <v>80.569999999999993</v>
      </c>
      <c r="DB496">
        <v>35.83</v>
      </c>
      <c r="DC496">
        <v>31.92</v>
      </c>
      <c r="DD496">
        <v>0.82</v>
      </c>
      <c r="DE496">
        <v>657</v>
      </c>
      <c r="DF496">
        <v>2038</v>
      </c>
      <c r="DG496" t="s">
        <v>116</v>
      </c>
      <c r="DH496" t="s">
        <v>116</v>
      </c>
      <c r="DI496" t="s">
        <v>116</v>
      </c>
    </row>
    <row r="497" spans="1:113" x14ac:dyDescent="0.4">
      <c r="A497" t="str">
        <f>"002039"</f>
        <v>002039</v>
      </c>
      <c r="B497" t="s">
        <v>3284</v>
      </c>
      <c r="C497">
        <v>-1.39</v>
      </c>
      <c r="D497">
        <v>14.87</v>
      </c>
      <c r="E497">
        <v>-0.21</v>
      </c>
      <c r="F497">
        <v>14.87</v>
      </c>
      <c r="G497">
        <v>14.88</v>
      </c>
      <c r="H497">
        <v>34656</v>
      </c>
      <c r="I497">
        <v>311</v>
      </c>
      <c r="J497">
        <v>0</v>
      </c>
      <c r="K497">
        <v>1.1299999999999999</v>
      </c>
      <c r="L497">
        <v>15.11</v>
      </c>
      <c r="M497">
        <v>15.11</v>
      </c>
      <c r="N497">
        <v>14.86</v>
      </c>
      <c r="O497">
        <v>15.08</v>
      </c>
      <c r="P497">
        <v>11.92</v>
      </c>
      <c r="Q497">
        <v>51781184</v>
      </c>
      <c r="R497">
        <v>1.59</v>
      </c>
      <c r="S497" t="s">
        <v>1363</v>
      </c>
      <c r="T497" t="s">
        <v>1056</v>
      </c>
      <c r="U497">
        <v>1.66</v>
      </c>
      <c r="V497">
        <v>14.94</v>
      </c>
      <c r="W497">
        <v>26481</v>
      </c>
      <c r="X497">
        <v>8175</v>
      </c>
      <c r="Y497">
        <v>3.24</v>
      </c>
      <c r="Z497">
        <v>673</v>
      </c>
      <c r="AA497">
        <v>37</v>
      </c>
      <c r="AB497" t="s">
        <v>116</v>
      </c>
      <c r="AC497">
        <v>96700</v>
      </c>
      <c r="AD497">
        <v>0</v>
      </c>
      <c r="AE497" t="s">
        <v>116</v>
      </c>
      <c r="AF497" t="s">
        <v>116</v>
      </c>
      <c r="AG497">
        <v>3.05</v>
      </c>
      <c r="AH497" t="s">
        <v>3285</v>
      </c>
      <c r="AI497" t="s">
        <v>3285</v>
      </c>
      <c r="AJ497">
        <v>-0.71</v>
      </c>
      <c r="AK497">
        <v>1934</v>
      </c>
      <c r="AL497">
        <v>18</v>
      </c>
      <c r="AM497">
        <v>5.9999999999999995E-4</v>
      </c>
      <c r="AN497">
        <v>-1</v>
      </c>
      <c r="AO497">
        <v>0.2</v>
      </c>
      <c r="AP497">
        <v>-7.0000000000000007E-2</v>
      </c>
      <c r="AQ497">
        <v>5.09</v>
      </c>
      <c r="AR497">
        <v>17.09</v>
      </c>
      <c r="AS497">
        <v>1.53</v>
      </c>
      <c r="AT497" t="s">
        <v>3286</v>
      </c>
      <c r="AU497">
        <v>12.59</v>
      </c>
      <c r="AV497">
        <v>12.35</v>
      </c>
      <c r="AW497">
        <v>0.32</v>
      </c>
      <c r="BA497">
        <v>0.2</v>
      </c>
      <c r="BB497">
        <v>0.2</v>
      </c>
      <c r="BC497">
        <v>-1.46</v>
      </c>
      <c r="BD497">
        <v>-0.92</v>
      </c>
      <c r="BE497">
        <v>-1.59</v>
      </c>
      <c r="BF497">
        <v>-1.59</v>
      </c>
      <c r="BG497">
        <v>7.0000000000000007E-2</v>
      </c>
      <c r="BH497">
        <v>-0.47</v>
      </c>
      <c r="BI497">
        <v>20191223</v>
      </c>
      <c r="BJ497">
        <v>20050303</v>
      </c>
      <c r="BK497">
        <v>3.05</v>
      </c>
      <c r="BL497" t="s">
        <v>116</v>
      </c>
      <c r="BM497" t="s">
        <v>116</v>
      </c>
      <c r="BN497">
        <v>161.32</v>
      </c>
      <c r="BO497">
        <v>28.3</v>
      </c>
      <c r="BP497">
        <v>22.49</v>
      </c>
      <c r="BQ497">
        <v>68.510000000000005</v>
      </c>
      <c r="BR497">
        <v>10.93</v>
      </c>
      <c r="BS497">
        <v>148.46</v>
      </c>
      <c r="BT497">
        <v>0.33</v>
      </c>
      <c r="BU497">
        <v>31.34</v>
      </c>
      <c r="BV497">
        <v>0</v>
      </c>
      <c r="BW497">
        <v>2.61</v>
      </c>
      <c r="BX497">
        <v>11.44</v>
      </c>
      <c r="BY497">
        <v>17.309999999999999</v>
      </c>
      <c r="BZ497">
        <v>7.67</v>
      </c>
      <c r="CA497">
        <v>5.36</v>
      </c>
      <c r="CB497">
        <v>0.05</v>
      </c>
      <c r="CC497">
        <v>5.36</v>
      </c>
      <c r="CD497">
        <v>4.59</v>
      </c>
      <c r="CE497">
        <v>2.86</v>
      </c>
      <c r="CF497">
        <v>2.79</v>
      </c>
      <c r="CG497">
        <v>11.9</v>
      </c>
      <c r="CH497">
        <v>14.28</v>
      </c>
      <c r="CI497">
        <v>-0.56000000000000005</v>
      </c>
      <c r="CJ497">
        <v>17500</v>
      </c>
      <c r="CK497">
        <v>12916</v>
      </c>
      <c r="CL497" t="s">
        <v>3287</v>
      </c>
      <c r="CM497">
        <v>-2.4</v>
      </c>
      <c r="CN497">
        <v>-4.53</v>
      </c>
      <c r="CO497">
        <v>1.6</v>
      </c>
      <c r="CP497">
        <v>3.18</v>
      </c>
      <c r="CQ497">
        <v>2.62</v>
      </c>
      <c r="CR497">
        <v>2.02</v>
      </c>
      <c r="CS497" t="s">
        <v>3288</v>
      </c>
      <c r="CT497">
        <v>9.27</v>
      </c>
      <c r="CU497">
        <v>0</v>
      </c>
      <c r="CV497">
        <v>3.75</v>
      </c>
      <c r="CW497">
        <v>3.9</v>
      </c>
      <c r="CX497">
        <v>4.68</v>
      </c>
      <c r="CY497">
        <v>17.55</v>
      </c>
      <c r="CZ497" t="s">
        <v>3217</v>
      </c>
      <c r="DA497">
        <v>55.69</v>
      </c>
      <c r="DB497">
        <v>30.95</v>
      </c>
      <c r="DC497">
        <v>16.510000000000002</v>
      </c>
      <c r="DD497">
        <v>0</v>
      </c>
      <c r="DE497">
        <v>653</v>
      </c>
      <c r="DF497">
        <v>2039</v>
      </c>
      <c r="DG497" t="s">
        <v>116</v>
      </c>
      <c r="DH497" t="s">
        <v>116</v>
      </c>
      <c r="DI497" t="s">
        <v>116</v>
      </c>
    </row>
    <row r="498" spans="1:113" x14ac:dyDescent="0.4">
      <c r="A498" t="str">
        <f>"002040"</f>
        <v>002040</v>
      </c>
      <c r="B498" t="s">
        <v>3289</v>
      </c>
      <c r="C498">
        <v>-0.43</v>
      </c>
      <c r="D498">
        <v>6.95</v>
      </c>
      <c r="E498">
        <v>-0.03</v>
      </c>
      <c r="F498">
        <v>6.95</v>
      </c>
      <c r="G498">
        <v>6.96</v>
      </c>
      <c r="H498">
        <v>47857</v>
      </c>
      <c r="I498">
        <v>275</v>
      </c>
      <c r="J498">
        <v>0</v>
      </c>
      <c r="K498">
        <v>1.2</v>
      </c>
      <c r="L498">
        <v>7</v>
      </c>
      <c r="M498">
        <v>7.1</v>
      </c>
      <c r="N498">
        <v>6.93</v>
      </c>
      <c r="O498">
        <v>6.98</v>
      </c>
      <c r="P498">
        <v>24.44</v>
      </c>
      <c r="Q498">
        <v>33670008</v>
      </c>
      <c r="R498">
        <v>1.94</v>
      </c>
      <c r="S498" t="s">
        <v>515</v>
      </c>
      <c r="T498" t="s">
        <v>323</v>
      </c>
      <c r="U498">
        <v>2.44</v>
      </c>
      <c r="V498">
        <v>7.04</v>
      </c>
      <c r="W498">
        <v>28928</v>
      </c>
      <c r="X498">
        <v>18929</v>
      </c>
      <c r="Y498">
        <v>1.53</v>
      </c>
      <c r="Z498">
        <v>324</v>
      </c>
      <c r="AA498">
        <v>599</v>
      </c>
      <c r="AB498" t="s">
        <v>116</v>
      </c>
      <c r="AC498">
        <v>80500</v>
      </c>
      <c r="AD498">
        <v>0.01</v>
      </c>
      <c r="AE498" t="s">
        <v>116</v>
      </c>
      <c r="AF498" t="s">
        <v>116</v>
      </c>
      <c r="AG498">
        <v>3.99</v>
      </c>
      <c r="AH498" t="s">
        <v>3290</v>
      </c>
      <c r="AI498" t="s">
        <v>3291</v>
      </c>
      <c r="AJ498">
        <v>0.25</v>
      </c>
      <c r="AK498">
        <v>1083</v>
      </c>
      <c r="AL498">
        <v>44</v>
      </c>
      <c r="AM498">
        <v>1.1000000000000001E-3</v>
      </c>
      <c r="AN498">
        <v>-1</v>
      </c>
      <c r="AO498">
        <v>-0.56999999999999995</v>
      </c>
      <c r="AP498">
        <v>2.81</v>
      </c>
      <c r="AQ498">
        <v>-2.39</v>
      </c>
      <c r="AR498">
        <v>16.82</v>
      </c>
      <c r="AS498">
        <v>3.06</v>
      </c>
      <c r="AT498" t="s">
        <v>3292</v>
      </c>
      <c r="AU498">
        <v>24.39</v>
      </c>
      <c r="AV498">
        <v>20.51</v>
      </c>
      <c r="AW498">
        <v>0.9</v>
      </c>
      <c r="BA498">
        <v>0.28999999999999998</v>
      </c>
      <c r="BB498">
        <v>1.72</v>
      </c>
      <c r="BC498">
        <v>-0.72</v>
      </c>
      <c r="BD498">
        <v>0.8</v>
      </c>
      <c r="BE498">
        <v>-0.71</v>
      </c>
      <c r="BF498">
        <v>-2.11</v>
      </c>
      <c r="BG498">
        <v>0.28999999999999998</v>
      </c>
      <c r="BH498">
        <v>-1.23</v>
      </c>
      <c r="BI498">
        <v>20191023</v>
      </c>
      <c r="BJ498">
        <v>20050325</v>
      </c>
      <c r="BK498">
        <v>4.84</v>
      </c>
      <c r="BL498" t="s">
        <v>116</v>
      </c>
      <c r="BM498" t="s">
        <v>116</v>
      </c>
      <c r="BN498">
        <v>47.46</v>
      </c>
      <c r="BO498">
        <v>26.53</v>
      </c>
      <c r="BP498">
        <v>6.18</v>
      </c>
      <c r="BQ498">
        <v>31.08</v>
      </c>
      <c r="BR498">
        <v>6.81</v>
      </c>
      <c r="BS498">
        <v>22.42</v>
      </c>
      <c r="BT498">
        <v>12.36</v>
      </c>
      <c r="BU498">
        <v>5.57</v>
      </c>
      <c r="BV498">
        <v>0.06</v>
      </c>
      <c r="BW498">
        <v>1.0900000000000001</v>
      </c>
      <c r="BX498">
        <v>15.39</v>
      </c>
      <c r="BY498">
        <v>5.19</v>
      </c>
      <c r="BZ498">
        <v>2.73</v>
      </c>
      <c r="CA498">
        <v>1.62</v>
      </c>
      <c r="CB498">
        <v>0.17</v>
      </c>
      <c r="CC498">
        <v>1.63</v>
      </c>
      <c r="CD498">
        <v>1.24</v>
      </c>
      <c r="CE498">
        <v>1.03</v>
      </c>
      <c r="CF498">
        <v>0.88</v>
      </c>
      <c r="CG498">
        <v>5.58</v>
      </c>
      <c r="CH498">
        <v>2.1800000000000002</v>
      </c>
      <c r="CI498">
        <v>0.99</v>
      </c>
      <c r="CJ498">
        <v>32125</v>
      </c>
      <c r="CK498">
        <v>4867</v>
      </c>
      <c r="CL498" t="s">
        <v>3293</v>
      </c>
      <c r="CM498">
        <v>-20.18</v>
      </c>
      <c r="CN498">
        <v>0.03</v>
      </c>
      <c r="CO498">
        <v>1.27</v>
      </c>
      <c r="CP498">
        <v>15.46</v>
      </c>
      <c r="CQ498">
        <v>6.48</v>
      </c>
      <c r="CR498">
        <v>0.51</v>
      </c>
      <c r="CS498" t="s">
        <v>3294</v>
      </c>
      <c r="CT498">
        <v>5.48</v>
      </c>
      <c r="CU498">
        <v>0</v>
      </c>
      <c r="CV498">
        <v>3.18</v>
      </c>
      <c r="CW498">
        <v>1.1499999999999999</v>
      </c>
      <c r="CX498">
        <v>0.45</v>
      </c>
      <c r="CY498">
        <v>55.89</v>
      </c>
      <c r="CZ498" t="s">
        <v>3295</v>
      </c>
      <c r="DA498">
        <v>47.4</v>
      </c>
      <c r="DB498">
        <v>31.26</v>
      </c>
      <c r="DC498">
        <v>19.88</v>
      </c>
      <c r="DD498">
        <v>0</v>
      </c>
      <c r="DE498">
        <v>1132</v>
      </c>
      <c r="DF498">
        <v>2040</v>
      </c>
      <c r="DG498" t="s">
        <v>116</v>
      </c>
      <c r="DH498" t="s">
        <v>116</v>
      </c>
      <c r="DI498" t="s">
        <v>116</v>
      </c>
    </row>
    <row r="499" spans="1:113" x14ac:dyDescent="0.4">
      <c r="A499" t="str">
        <f>"002041"</f>
        <v>002041</v>
      </c>
      <c r="B499" t="s">
        <v>3296</v>
      </c>
      <c r="C499">
        <v>1.6</v>
      </c>
      <c r="D499">
        <v>8.27</v>
      </c>
      <c r="E499">
        <v>0.13</v>
      </c>
      <c r="F499">
        <v>8.27</v>
      </c>
      <c r="G499">
        <v>8.2799999999999994</v>
      </c>
      <c r="H499">
        <v>164571</v>
      </c>
      <c r="I499">
        <v>2026</v>
      </c>
      <c r="J499">
        <v>0</v>
      </c>
      <c r="K499">
        <v>1.89</v>
      </c>
      <c r="L499">
        <v>8.15</v>
      </c>
      <c r="M499">
        <v>8.3699999999999992</v>
      </c>
      <c r="N499">
        <v>8.1300000000000008</v>
      </c>
      <c r="O499">
        <v>8.14</v>
      </c>
      <c r="P499">
        <v>453.35</v>
      </c>
      <c r="Q499">
        <v>135716112</v>
      </c>
      <c r="R499">
        <v>0.7</v>
      </c>
      <c r="S499" t="s">
        <v>1871</v>
      </c>
      <c r="T499" t="s">
        <v>645</v>
      </c>
      <c r="U499">
        <v>2.95</v>
      </c>
      <c r="V499">
        <v>8.25</v>
      </c>
      <c r="W499">
        <v>77979</v>
      </c>
      <c r="X499">
        <v>86592</v>
      </c>
      <c r="Y499">
        <v>0.9</v>
      </c>
      <c r="Z499">
        <v>1989</v>
      </c>
      <c r="AA499">
        <v>790</v>
      </c>
      <c r="AB499" t="s">
        <v>116</v>
      </c>
      <c r="AC499">
        <v>437700</v>
      </c>
      <c r="AD499">
        <v>0.02</v>
      </c>
      <c r="AE499" t="s">
        <v>116</v>
      </c>
      <c r="AF499" t="s">
        <v>116</v>
      </c>
      <c r="AG499">
        <v>8.7200000000000006</v>
      </c>
      <c r="AH499" t="s">
        <v>3297</v>
      </c>
      <c r="AI499" t="s">
        <v>3298</v>
      </c>
      <c r="AJ499">
        <v>2.2799999999999998</v>
      </c>
      <c r="AK499">
        <v>3001</v>
      </c>
      <c r="AL499">
        <v>55</v>
      </c>
      <c r="AM499">
        <v>5.9999999999999995E-4</v>
      </c>
      <c r="AN499">
        <v>1</v>
      </c>
      <c r="AO499">
        <v>-0.95</v>
      </c>
      <c r="AP499">
        <v>13.6</v>
      </c>
      <c r="AQ499">
        <v>0.73</v>
      </c>
      <c r="AR499">
        <v>53.43</v>
      </c>
      <c r="AS499">
        <v>4.8499999999999996</v>
      </c>
      <c r="AT499" t="s">
        <v>3299</v>
      </c>
      <c r="AU499">
        <v>186.32</v>
      </c>
      <c r="AV499">
        <v>223.71</v>
      </c>
      <c r="AW499">
        <v>0.7</v>
      </c>
      <c r="BA499">
        <v>0.12</v>
      </c>
      <c r="BB499">
        <v>2.83</v>
      </c>
      <c r="BC499">
        <v>-0.12</v>
      </c>
      <c r="BD499">
        <v>1.31</v>
      </c>
      <c r="BE499">
        <v>1.47</v>
      </c>
      <c r="BF499">
        <v>-1.19</v>
      </c>
      <c r="BG499">
        <v>1.72</v>
      </c>
      <c r="BH499">
        <v>0.28999999999999998</v>
      </c>
      <c r="BI499">
        <v>20191227</v>
      </c>
      <c r="BJ499">
        <v>20050418</v>
      </c>
      <c r="BK499">
        <v>8.8000000000000007</v>
      </c>
      <c r="BL499" t="s">
        <v>116</v>
      </c>
      <c r="BM499" t="s">
        <v>116</v>
      </c>
      <c r="BN499">
        <v>38.090000000000003</v>
      </c>
      <c r="BO499">
        <v>28.04</v>
      </c>
      <c r="BP499">
        <v>3.1</v>
      </c>
      <c r="BQ499">
        <v>18.239999999999998</v>
      </c>
      <c r="BR499">
        <v>29.78</v>
      </c>
      <c r="BS499">
        <v>6.19</v>
      </c>
      <c r="BT499">
        <v>0.85</v>
      </c>
      <c r="BU499">
        <v>6.75</v>
      </c>
      <c r="BV499">
        <v>6.48</v>
      </c>
      <c r="BW499">
        <v>0.26</v>
      </c>
      <c r="BX499">
        <v>0.28999999999999998</v>
      </c>
      <c r="BY499">
        <v>3.68</v>
      </c>
      <c r="BZ499">
        <v>2.54</v>
      </c>
      <c r="CA499">
        <v>-0.66</v>
      </c>
      <c r="CB499">
        <v>0.49</v>
      </c>
      <c r="CC499">
        <v>-0.64</v>
      </c>
      <c r="CD499">
        <v>-0.65</v>
      </c>
      <c r="CE499">
        <v>0.12</v>
      </c>
      <c r="CF499">
        <v>0.04</v>
      </c>
      <c r="CG499">
        <v>16.170000000000002</v>
      </c>
      <c r="CH499">
        <v>2.02</v>
      </c>
      <c r="CI499">
        <v>2.13</v>
      </c>
      <c r="CJ499">
        <v>63629</v>
      </c>
      <c r="CK499">
        <v>5329</v>
      </c>
      <c r="CL499" t="s">
        <v>3027</v>
      </c>
      <c r="CM499">
        <v>118.48</v>
      </c>
      <c r="CN499">
        <v>11.49</v>
      </c>
      <c r="CO499">
        <v>2.6</v>
      </c>
      <c r="CP499">
        <v>35.97</v>
      </c>
      <c r="CQ499">
        <v>19.78</v>
      </c>
      <c r="CR499">
        <v>0</v>
      </c>
      <c r="CS499" t="s">
        <v>342</v>
      </c>
      <c r="CT499">
        <v>3.19</v>
      </c>
      <c r="CU499">
        <v>0</v>
      </c>
      <c r="CV499">
        <v>0.03</v>
      </c>
      <c r="CW499">
        <v>1.84</v>
      </c>
      <c r="CX499">
        <v>0.23</v>
      </c>
      <c r="CY499">
        <v>73.62</v>
      </c>
      <c r="CZ499" t="s">
        <v>343</v>
      </c>
      <c r="DA499">
        <v>30.84</v>
      </c>
      <c r="DB499">
        <v>-17.940000000000001</v>
      </c>
      <c r="DC499">
        <v>3.27</v>
      </c>
      <c r="DD499">
        <v>0.55000000000000004</v>
      </c>
      <c r="DE499">
        <v>884</v>
      </c>
      <c r="DF499">
        <v>2041</v>
      </c>
      <c r="DG499" t="s">
        <v>116</v>
      </c>
      <c r="DH499" t="s">
        <v>116</v>
      </c>
      <c r="DI499" t="s">
        <v>116</v>
      </c>
    </row>
    <row r="500" spans="1:113" x14ac:dyDescent="0.4">
      <c r="A500" t="str">
        <f>"002042"</f>
        <v>002042</v>
      </c>
      <c r="B500" t="s">
        <v>3300</v>
      </c>
      <c r="C500">
        <v>-2.04</v>
      </c>
      <c r="D500">
        <v>7.2</v>
      </c>
      <c r="E500">
        <v>-0.15</v>
      </c>
      <c r="F500">
        <v>7.19</v>
      </c>
      <c r="G500">
        <v>7.2</v>
      </c>
      <c r="H500">
        <v>48601</v>
      </c>
      <c r="I500">
        <v>1455</v>
      </c>
      <c r="J500">
        <v>0.56000000000000005</v>
      </c>
      <c r="K500">
        <v>0.32</v>
      </c>
      <c r="L500">
        <v>7.31</v>
      </c>
      <c r="M500">
        <v>7.32</v>
      </c>
      <c r="N500">
        <v>7.13</v>
      </c>
      <c r="O500">
        <v>7.35</v>
      </c>
      <c r="P500">
        <v>20.149999999999999</v>
      </c>
      <c r="Q500">
        <v>35034740</v>
      </c>
      <c r="R500">
        <v>0.79</v>
      </c>
      <c r="S500" t="s">
        <v>1420</v>
      </c>
      <c r="T500" t="s">
        <v>575</v>
      </c>
      <c r="U500">
        <v>2.59</v>
      </c>
      <c r="V500">
        <v>7.21</v>
      </c>
      <c r="W500">
        <v>27411</v>
      </c>
      <c r="X500">
        <v>21190</v>
      </c>
      <c r="Y500">
        <v>1.29</v>
      </c>
      <c r="Z500">
        <v>13</v>
      </c>
      <c r="AA500">
        <v>499</v>
      </c>
      <c r="AB500" t="s">
        <v>116</v>
      </c>
      <c r="AC500">
        <v>0</v>
      </c>
      <c r="AD500">
        <v>0</v>
      </c>
      <c r="AE500" t="s">
        <v>116</v>
      </c>
      <c r="AF500" t="s">
        <v>116</v>
      </c>
      <c r="AG500">
        <v>15.18</v>
      </c>
      <c r="AH500" t="s">
        <v>3301</v>
      </c>
      <c r="AI500" t="s">
        <v>3302</v>
      </c>
      <c r="AJ500">
        <v>-1.36</v>
      </c>
      <c r="AK500">
        <v>1405</v>
      </c>
      <c r="AL500">
        <v>35</v>
      </c>
      <c r="AM500">
        <v>2.0000000000000001E-4</v>
      </c>
      <c r="AN500">
        <v>-1</v>
      </c>
      <c r="AO500">
        <v>-1.5</v>
      </c>
      <c r="AP500">
        <v>7.3</v>
      </c>
      <c r="AQ500">
        <v>-0.69</v>
      </c>
      <c r="AR500">
        <v>41.8</v>
      </c>
      <c r="AS500">
        <v>0.6</v>
      </c>
      <c r="AT500" t="s">
        <v>3303</v>
      </c>
      <c r="AU500">
        <v>25.6</v>
      </c>
      <c r="AV500">
        <v>14.55</v>
      </c>
      <c r="AW500">
        <v>0.68</v>
      </c>
      <c r="BA500">
        <v>-0.54</v>
      </c>
      <c r="BB500">
        <v>-0.41</v>
      </c>
      <c r="BC500">
        <v>-2.99</v>
      </c>
      <c r="BD500">
        <v>-1.92</v>
      </c>
      <c r="BE500">
        <v>-1.5</v>
      </c>
      <c r="BF500">
        <v>-1.64</v>
      </c>
      <c r="BG500">
        <v>0.98</v>
      </c>
      <c r="BH500">
        <v>-0.12</v>
      </c>
      <c r="BI500">
        <v>20191030</v>
      </c>
      <c r="BJ500">
        <v>20050427</v>
      </c>
      <c r="BK500">
        <v>15.19</v>
      </c>
      <c r="BL500" t="s">
        <v>116</v>
      </c>
      <c r="BM500" t="s">
        <v>116</v>
      </c>
      <c r="BN500">
        <v>176.17</v>
      </c>
      <c r="BO500">
        <v>63.34</v>
      </c>
      <c r="BP500">
        <v>3.37</v>
      </c>
      <c r="BQ500">
        <v>62.13</v>
      </c>
      <c r="BR500">
        <v>109.62</v>
      </c>
      <c r="BS500">
        <v>49.31</v>
      </c>
      <c r="BT500">
        <v>7.73</v>
      </c>
      <c r="BU500">
        <v>96.31</v>
      </c>
      <c r="BV500">
        <v>44.77</v>
      </c>
      <c r="BW500">
        <v>7.24</v>
      </c>
      <c r="BX500">
        <v>24.68</v>
      </c>
      <c r="BY500">
        <v>110.6</v>
      </c>
      <c r="BZ500">
        <v>102.29</v>
      </c>
      <c r="CA500">
        <v>4.49</v>
      </c>
      <c r="CB500">
        <v>0.85</v>
      </c>
      <c r="CC500">
        <v>4.53</v>
      </c>
      <c r="CD500">
        <v>4.13</v>
      </c>
      <c r="CE500">
        <v>4.07</v>
      </c>
      <c r="CF500">
        <v>0.33</v>
      </c>
      <c r="CG500">
        <v>27.88</v>
      </c>
      <c r="CH500">
        <v>15.57</v>
      </c>
      <c r="CI500">
        <v>-2.2200000000000002</v>
      </c>
      <c r="CJ500">
        <v>14248</v>
      </c>
      <c r="CK500">
        <v>56531</v>
      </c>
      <c r="CL500" t="s">
        <v>3304</v>
      </c>
      <c r="CM500">
        <v>-44.35</v>
      </c>
      <c r="CN500">
        <v>3.04</v>
      </c>
      <c r="CO500">
        <v>1.73</v>
      </c>
      <c r="CP500">
        <v>7.03</v>
      </c>
      <c r="CQ500">
        <v>0.99</v>
      </c>
      <c r="CR500">
        <v>4.5999999999999996</v>
      </c>
      <c r="CS500" t="s">
        <v>3305</v>
      </c>
      <c r="CT500">
        <v>4.17</v>
      </c>
      <c r="CU500">
        <v>0</v>
      </c>
      <c r="CV500">
        <v>1.62</v>
      </c>
      <c r="CW500">
        <v>1.83</v>
      </c>
      <c r="CX500">
        <v>1.02</v>
      </c>
      <c r="CY500">
        <v>35.950000000000003</v>
      </c>
      <c r="CZ500" t="s">
        <v>3306</v>
      </c>
      <c r="DA500">
        <v>7.52</v>
      </c>
      <c r="DB500">
        <v>4.0599999999999996</v>
      </c>
      <c r="DC500">
        <v>3.68</v>
      </c>
      <c r="DD500">
        <v>0.88</v>
      </c>
      <c r="DE500">
        <v>22829</v>
      </c>
      <c r="DF500">
        <v>2042</v>
      </c>
      <c r="DG500" t="s">
        <v>116</v>
      </c>
      <c r="DH500" t="s">
        <v>116</v>
      </c>
      <c r="DI500" t="s">
        <v>116</v>
      </c>
    </row>
    <row r="501" spans="1:113" x14ac:dyDescent="0.4">
      <c r="A501" t="str">
        <f>"002043"</f>
        <v>002043</v>
      </c>
      <c r="B501" t="s">
        <v>3307</v>
      </c>
      <c r="C501">
        <v>-0.83</v>
      </c>
      <c r="D501">
        <v>7.17</v>
      </c>
      <c r="E501">
        <v>-0.06</v>
      </c>
      <c r="F501">
        <v>7.17</v>
      </c>
      <c r="G501">
        <v>7.18</v>
      </c>
      <c r="H501">
        <v>109522</v>
      </c>
      <c r="I501">
        <v>1882</v>
      </c>
      <c r="J501">
        <v>0.14000000000000001</v>
      </c>
      <c r="K501">
        <v>1.48</v>
      </c>
      <c r="L501">
        <v>7.23</v>
      </c>
      <c r="M501">
        <v>7.29</v>
      </c>
      <c r="N501">
        <v>7.11</v>
      </c>
      <c r="O501">
        <v>7.23</v>
      </c>
      <c r="P501">
        <v>16.45</v>
      </c>
      <c r="Q501">
        <v>78816120</v>
      </c>
      <c r="R501">
        <v>0.61</v>
      </c>
      <c r="S501" t="s">
        <v>249</v>
      </c>
      <c r="T501" t="s">
        <v>590</v>
      </c>
      <c r="U501">
        <v>2.4900000000000002</v>
      </c>
      <c r="V501">
        <v>7.2</v>
      </c>
      <c r="W501">
        <v>59953</v>
      </c>
      <c r="X501">
        <v>49569</v>
      </c>
      <c r="Y501">
        <v>1.21</v>
      </c>
      <c r="Z501">
        <v>11</v>
      </c>
      <c r="AA501">
        <v>343</v>
      </c>
      <c r="AB501" t="s">
        <v>116</v>
      </c>
      <c r="AC501">
        <v>234300</v>
      </c>
      <c r="AD501">
        <v>0.01</v>
      </c>
      <c r="AE501" t="s">
        <v>116</v>
      </c>
      <c r="AF501" t="s">
        <v>116</v>
      </c>
      <c r="AG501">
        <v>7.43</v>
      </c>
      <c r="AH501" t="s">
        <v>3308</v>
      </c>
      <c r="AI501" t="s">
        <v>936</v>
      </c>
      <c r="AJ501">
        <v>-0.15</v>
      </c>
      <c r="AK501">
        <v>2078</v>
      </c>
      <c r="AL501">
        <v>53</v>
      </c>
      <c r="AM501">
        <v>6.9999999999999999E-4</v>
      </c>
      <c r="AN501">
        <v>-3</v>
      </c>
      <c r="AO501">
        <v>-5.16</v>
      </c>
      <c r="AP501">
        <v>4.9800000000000004</v>
      </c>
      <c r="AQ501">
        <v>36.83</v>
      </c>
      <c r="AR501">
        <v>48.76</v>
      </c>
      <c r="AS501">
        <v>2.4</v>
      </c>
      <c r="AT501" t="s">
        <v>3309</v>
      </c>
      <c r="AU501">
        <v>17.38</v>
      </c>
      <c r="AV501">
        <v>16.79</v>
      </c>
      <c r="AW501">
        <v>0.37</v>
      </c>
      <c r="BA501">
        <v>0</v>
      </c>
      <c r="BB501">
        <v>0.83</v>
      </c>
      <c r="BC501">
        <v>-1.66</v>
      </c>
      <c r="BD501">
        <v>-0.47</v>
      </c>
      <c r="BE501">
        <v>-0.83</v>
      </c>
      <c r="BF501">
        <v>-1.65</v>
      </c>
      <c r="BG501">
        <v>0.84</v>
      </c>
      <c r="BH501">
        <v>-0.36</v>
      </c>
      <c r="BI501">
        <v>20191024</v>
      </c>
      <c r="BJ501">
        <v>20050510</v>
      </c>
      <c r="BK501">
        <v>7.75</v>
      </c>
      <c r="BL501" t="s">
        <v>116</v>
      </c>
      <c r="BM501" t="s">
        <v>116</v>
      </c>
      <c r="BN501">
        <v>33.54</v>
      </c>
      <c r="BO501">
        <v>16.75</v>
      </c>
      <c r="BP501">
        <v>0.67</v>
      </c>
      <c r="BQ501">
        <v>48.07</v>
      </c>
      <c r="BR501">
        <v>23.38</v>
      </c>
      <c r="BS501">
        <v>2.68</v>
      </c>
      <c r="BT501">
        <v>0.76</v>
      </c>
      <c r="BU501">
        <v>15.81</v>
      </c>
      <c r="BV501">
        <v>3.2</v>
      </c>
      <c r="BW501">
        <v>1.44</v>
      </c>
      <c r="BX501">
        <v>0.77</v>
      </c>
      <c r="BY501">
        <v>32.090000000000003</v>
      </c>
      <c r="BZ501">
        <v>26.25</v>
      </c>
      <c r="CA501">
        <v>2.99</v>
      </c>
      <c r="CB501">
        <v>0.69</v>
      </c>
      <c r="CC501">
        <v>3.04</v>
      </c>
      <c r="CD501">
        <v>2.52</v>
      </c>
      <c r="CE501">
        <v>2.5299999999999998</v>
      </c>
      <c r="CF501">
        <v>2.2000000000000002</v>
      </c>
      <c r="CG501">
        <v>7.13</v>
      </c>
      <c r="CH501">
        <v>4.49</v>
      </c>
      <c r="CI501">
        <v>0.67</v>
      </c>
      <c r="CJ501">
        <v>65733</v>
      </c>
      <c r="CK501">
        <v>6957</v>
      </c>
      <c r="CL501" t="s">
        <v>3310</v>
      </c>
      <c r="CM501">
        <v>-4.21</v>
      </c>
      <c r="CN501">
        <v>3.19</v>
      </c>
      <c r="CO501">
        <v>3.32</v>
      </c>
      <c r="CP501">
        <v>12.37</v>
      </c>
      <c r="CQ501">
        <v>1.73</v>
      </c>
      <c r="CR501">
        <v>3.49</v>
      </c>
      <c r="CS501" t="s">
        <v>3311</v>
      </c>
      <c r="CT501">
        <v>2.16</v>
      </c>
      <c r="CU501">
        <v>0</v>
      </c>
      <c r="CV501">
        <v>0.1</v>
      </c>
      <c r="CW501">
        <v>0.92</v>
      </c>
      <c r="CX501">
        <v>0.57999999999999996</v>
      </c>
      <c r="CY501">
        <v>49.93</v>
      </c>
      <c r="CZ501" t="s">
        <v>3312</v>
      </c>
      <c r="DA501">
        <v>18.2</v>
      </c>
      <c r="DB501">
        <v>9.31</v>
      </c>
      <c r="DC501">
        <v>7.89</v>
      </c>
      <c r="DD501">
        <v>0.38</v>
      </c>
      <c r="DE501">
        <v>2208</v>
      </c>
      <c r="DF501">
        <v>2043</v>
      </c>
      <c r="DG501" t="s">
        <v>116</v>
      </c>
      <c r="DH501" t="s">
        <v>116</v>
      </c>
      <c r="DI501" t="s">
        <v>116</v>
      </c>
    </row>
    <row r="502" spans="1:113" x14ac:dyDescent="0.4">
      <c r="A502" t="str">
        <f>"002044"</f>
        <v>002044</v>
      </c>
      <c r="B502" t="s">
        <v>3313</v>
      </c>
      <c r="C502">
        <v>-0.88</v>
      </c>
      <c r="D502">
        <v>14.7</v>
      </c>
      <c r="E502">
        <v>-0.13</v>
      </c>
      <c r="F502">
        <v>14.7</v>
      </c>
      <c r="G502">
        <v>14.71</v>
      </c>
      <c r="H502">
        <v>222700</v>
      </c>
      <c r="I502">
        <v>1637</v>
      </c>
      <c r="J502">
        <v>0</v>
      </c>
      <c r="K502">
        <v>0.66</v>
      </c>
      <c r="L502">
        <v>14.85</v>
      </c>
      <c r="M502">
        <v>14.93</v>
      </c>
      <c r="N502">
        <v>14.6</v>
      </c>
      <c r="O502">
        <v>14.83</v>
      </c>
      <c r="P502">
        <v>110.45</v>
      </c>
      <c r="Q502">
        <v>327794464</v>
      </c>
      <c r="R502">
        <v>0.85</v>
      </c>
      <c r="S502" t="s">
        <v>559</v>
      </c>
      <c r="T502" t="s">
        <v>323</v>
      </c>
      <c r="U502">
        <v>2.23</v>
      </c>
      <c r="V502">
        <v>14.72</v>
      </c>
      <c r="W502">
        <v>124698</v>
      </c>
      <c r="X502">
        <v>98002</v>
      </c>
      <c r="Y502">
        <v>1.27</v>
      </c>
      <c r="Z502">
        <v>400</v>
      </c>
      <c r="AA502">
        <v>174</v>
      </c>
      <c r="AB502" t="s">
        <v>116</v>
      </c>
      <c r="AC502">
        <v>558400</v>
      </c>
      <c r="AD502">
        <v>0</v>
      </c>
      <c r="AE502" t="s">
        <v>116</v>
      </c>
      <c r="AF502" t="s">
        <v>116</v>
      </c>
      <c r="AG502">
        <v>33.909999999999997</v>
      </c>
      <c r="AH502" t="s">
        <v>3314</v>
      </c>
      <c r="AI502" t="s">
        <v>3315</v>
      </c>
      <c r="AJ502">
        <v>-0.2</v>
      </c>
      <c r="AK502">
        <v>3861</v>
      </c>
      <c r="AL502">
        <v>58</v>
      </c>
      <c r="AM502">
        <v>2.0000000000000001E-4</v>
      </c>
      <c r="AN502">
        <v>-3</v>
      </c>
      <c r="AO502">
        <v>-4.9800000000000004</v>
      </c>
      <c r="AP502">
        <v>-0.61</v>
      </c>
      <c r="AQ502">
        <v>22.5</v>
      </c>
      <c r="AR502">
        <v>18.309999999999999</v>
      </c>
      <c r="AS502">
        <v>0.94</v>
      </c>
      <c r="AT502" t="s">
        <v>3316</v>
      </c>
      <c r="AU502">
        <v>72.2</v>
      </c>
      <c r="AV502">
        <v>70.22</v>
      </c>
      <c r="AW502">
        <v>1.24</v>
      </c>
      <c r="BA502">
        <v>0.13</v>
      </c>
      <c r="BB502">
        <v>0.67</v>
      </c>
      <c r="BC502">
        <v>-1.55</v>
      </c>
      <c r="BD502">
        <v>-0.75</v>
      </c>
      <c r="BE502">
        <v>-1.01</v>
      </c>
      <c r="BF502">
        <v>-1.54</v>
      </c>
      <c r="BG502">
        <v>0.68</v>
      </c>
      <c r="BH502">
        <v>-0.13</v>
      </c>
      <c r="BI502">
        <v>20191218</v>
      </c>
      <c r="BJ502">
        <v>20050518</v>
      </c>
      <c r="BK502">
        <v>39.200000000000003</v>
      </c>
      <c r="BL502" t="s">
        <v>116</v>
      </c>
      <c r="BM502" t="s">
        <v>116</v>
      </c>
      <c r="BN502">
        <v>176.4</v>
      </c>
      <c r="BO502">
        <v>64.81</v>
      </c>
      <c r="BP502">
        <v>7.71</v>
      </c>
      <c r="BQ502">
        <v>58.89</v>
      </c>
      <c r="BR502">
        <v>59.26</v>
      </c>
      <c r="BS502">
        <v>26.92</v>
      </c>
      <c r="BT502">
        <v>1.74</v>
      </c>
      <c r="BU502">
        <v>67.599999999999994</v>
      </c>
      <c r="BV502">
        <v>1.59</v>
      </c>
      <c r="BW502">
        <v>28.7</v>
      </c>
      <c r="BX502">
        <v>6.09</v>
      </c>
      <c r="BY502">
        <v>62.78</v>
      </c>
      <c r="BZ502">
        <v>36.75</v>
      </c>
      <c r="CA502">
        <v>5.92</v>
      </c>
      <c r="CB502">
        <v>0.7</v>
      </c>
      <c r="CC502">
        <v>5.87</v>
      </c>
      <c r="CD502">
        <v>4.5</v>
      </c>
      <c r="CE502">
        <v>3.91</v>
      </c>
      <c r="CF502">
        <v>2.41</v>
      </c>
      <c r="CG502">
        <v>23.58</v>
      </c>
      <c r="CH502">
        <v>-6.59</v>
      </c>
      <c r="CI502">
        <v>-11.06</v>
      </c>
      <c r="CJ502">
        <v>45000</v>
      </c>
      <c r="CK502">
        <v>52615</v>
      </c>
      <c r="CL502" t="s">
        <v>3317</v>
      </c>
      <c r="CM502">
        <v>-5.46</v>
      </c>
      <c r="CN502">
        <v>7.89</v>
      </c>
      <c r="CO502">
        <v>8.49</v>
      </c>
      <c r="CP502">
        <v>-87.38</v>
      </c>
      <c r="CQ502">
        <v>9.18</v>
      </c>
      <c r="CR502">
        <v>0.28999999999999998</v>
      </c>
      <c r="CS502" t="s">
        <v>2448</v>
      </c>
      <c r="CT502">
        <v>1.73</v>
      </c>
      <c r="CU502">
        <v>1.73</v>
      </c>
      <c r="CV502">
        <v>0.16</v>
      </c>
      <c r="CW502">
        <v>0.6</v>
      </c>
      <c r="CX502">
        <v>-0.17</v>
      </c>
      <c r="CY502">
        <v>36.74</v>
      </c>
      <c r="CZ502" t="s">
        <v>3318</v>
      </c>
      <c r="DA502">
        <v>41.47</v>
      </c>
      <c r="DB502">
        <v>9.43</v>
      </c>
      <c r="DC502">
        <v>6.23</v>
      </c>
      <c r="DD502">
        <v>0.34</v>
      </c>
      <c r="DE502">
        <v>39296</v>
      </c>
      <c r="DF502">
        <v>2044</v>
      </c>
      <c r="DG502" t="s">
        <v>116</v>
      </c>
      <c r="DH502" t="s">
        <v>116</v>
      </c>
      <c r="DI502" t="s">
        <v>116</v>
      </c>
    </row>
    <row r="503" spans="1:113" x14ac:dyDescent="0.4">
      <c r="A503" t="str">
        <f>"002045"</f>
        <v>002045</v>
      </c>
      <c r="B503" t="s">
        <v>3319</v>
      </c>
      <c r="C503">
        <v>-3.54</v>
      </c>
      <c r="D503">
        <v>13.07</v>
      </c>
      <c r="E503">
        <v>-0.48</v>
      </c>
      <c r="F503">
        <v>13.07</v>
      </c>
      <c r="G503">
        <v>13.08</v>
      </c>
      <c r="H503">
        <v>277525</v>
      </c>
      <c r="I503">
        <v>3735</v>
      </c>
      <c r="J503">
        <v>0</v>
      </c>
      <c r="K503">
        <v>5.94</v>
      </c>
      <c r="L503">
        <v>13.49</v>
      </c>
      <c r="M503">
        <v>13.66</v>
      </c>
      <c r="N503">
        <v>13.05</v>
      </c>
      <c r="O503">
        <v>13.55</v>
      </c>
      <c r="P503">
        <v>14.77</v>
      </c>
      <c r="Q503">
        <v>369583584</v>
      </c>
      <c r="R503">
        <v>0.95</v>
      </c>
      <c r="S503" t="s">
        <v>233</v>
      </c>
      <c r="T503" t="s">
        <v>551</v>
      </c>
      <c r="U503">
        <v>4.5</v>
      </c>
      <c r="V503">
        <v>13.32</v>
      </c>
      <c r="W503">
        <v>159593</v>
      </c>
      <c r="X503">
        <v>117932</v>
      </c>
      <c r="Y503">
        <v>1.35</v>
      </c>
      <c r="Z503">
        <v>949</v>
      </c>
      <c r="AA503">
        <v>831</v>
      </c>
      <c r="AB503" t="s">
        <v>116</v>
      </c>
      <c r="AC503">
        <v>1492200</v>
      </c>
      <c r="AD503">
        <v>0.04</v>
      </c>
      <c r="AE503" t="s">
        <v>116</v>
      </c>
      <c r="AF503" t="s">
        <v>116</v>
      </c>
      <c r="AG503">
        <v>4.67</v>
      </c>
      <c r="AH503" t="s">
        <v>3320</v>
      </c>
      <c r="AI503" t="s">
        <v>3321</v>
      </c>
      <c r="AJ503">
        <v>-2.86</v>
      </c>
      <c r="AK503">
        <v>4032</v>
      </c>
      <c r="AL503">
        <v>69</v>
      </c>
      <c r="AM503">
        <v>1.5E-3</v>
      </c>
      <c r="AN503">
        <v>-1</v>
      </c>
      <c r="AO503">
        <v>-2.09</v>
      </c>
      <c r="AP503">
        <v>2.83</v>
      </c>
      <c r="AQ503">
        <v>92.49</v>
      </c>
      <c r="AR503">
        <v>189.16</v>
      </c>
      <c r="AS503">
        <v>8.94</v>
      </c>
      <c r="AT503" t="s">
        <v>3322</v>
      </c>
      <c r="AU503">
        <v>39.82</v>
      </c>
      <c r="AV503" t="s">
        <v>116</v>
      </c>
      <c r="AW503">
        <v>1.72</v>
      </c>
      <c r="BA503">
        <v>-0.44</v>
      </c>
      <c r="BB503">
        <v>0.81</v>
      </c>
      <c r="BC503">
        <v>-3.69</v>
      </c>
      <c r="BD503">
        <v>-1.72</v>
      </c>
      <c r="BE503">
        <v>-3.11</v>
      </c>
      <c r="BF503">
        <v>-4.32</v>
      </c>
      <c r="BG503">
        <v>0.15</v>
      </c>
      <c r="BH503">
        <v>-1.82</v>
      </c>
      <c r="BI503">
        <v>20191105</v>
      </c>
      <c r="BJ503">
        <v>20050523</v>
      </c>
      <c r="BK503">
        <v>4.68</v>
      </c>
      <c r="BL503" t="s">
        <v>116</v>
      </c>
      <c r="BM503" t="s">
        <v>116</v>
      </c>
      <c r="BN503">
        <v>45.97</v>
      </c>
      <c r="BO503">
        <v>19.329999999999998</v>
      </c>
      <c r="BP503">
        <v>0.01</v>
      </c>
      <c r="BQ503">
        <v>57.91</v>
      </c>
      <c r="BR503">
        <v>29.93</v>
      </c>
      <c r="BS503">
        <v>6.51</v>
      </c>
      <c r="BT503">
        <v>2.04</v>
      </c>
      <c r="BU503">
        <v>22.36</v>
      </c>
      <c r="BV503">
        <v>4.8499999999999996</v>
      </c>
      <c r="BW503">
        <v>14.58</v>
      </c>
      <c r="BX503">
        <v>8.2799999999999994</v>
      </c>
      <c r="BY503">
        <v>32.96</v>
      </c>
      <c r="BZ503">
        <v>27.64</v>
      </c>
      <c r="CA503">
        <v>3.28</v>
      </c>
      <c r="CB503">
        <v>1.48</v>
      </c>
      <c r="CC503">
        <v>3.32</v>
      </c>
      <c r="CD503">
        <v>3.07</v>
      </c>
      <c r="CE503">
        <v>3.11</v>
      </c>
      <c r="CF503">
        <v>1.22</v>
      </c>
      <c r="CG503">
        <v>4.72</v>
      </c>
      <c r="CH503">
        <v>2.34</v>
      </c>
      <c r="CI503">
        <v>-0.02</v>
      </c>
      <c r="CJ503">
        <v>39331</v>
      </c>
      <c r="CK503">
        <v>7896</v>
      </c>
      <c r="CL503" t="s">
        <v>3323</v>
      </c>
      <c r="CM503">
        <v>602.15</v>
      </c>
      <c r="CN503">
        <v>12.47</v>
      </c>
      <c r="CO503">
        <v>3.17</v>
      </c>
      <c r="CP503">
        <v>26.17</v>
      </c>
      <c r="CQ503">
        <v>1.86</v>
      </c>
      <c r="CR503">
        <v>0.61</v>
      </c>
      <c r="CS503" t="s">
        <v>3324</v>
      </c>
      <c r="CT503">
        <v>4.13</v>
      </c>
      <c r="CU503">
        <v>0</v>
      </c>
      <c r="CV503">
        <v>1.77</v>
      </c>
      <c r="CW503">
        <v>1.01</v>
      </c>
      <c r="CX503">
        <v>0.5</v>
      </c>
      <c r="CY503">
        <v>42.05</v>
      </c>
      <c r="CZ503" t="s">
        <v>3325</v>
      </c>
      <c r="DA503">
        <v>16.16</v>
      </c>
      <c r="DB503">
        <v>9.94</v>
      </c>
      <c r="DC503">
        <v>9.43</v>
      </c>
      <c r="DD503">
        <v>1.27</v>
      </c>
      <c r="DE503">
        <v>3480</v>
      </c>
      <c r="DF503">
        <v>2045</v>
      </c>
      <c r="DG503" t="s">
        <v>116</v>
      </c>
      <c r="DH503" t="s">
        <v>116</v>
      </c>
      <c r="DI503" t="s">
        <v>116</v>
      </c>
    </row>
    <row r="504" spans="1:113" x14ac:dyDescent="0.4">
      <c r="A504" t="str">
        <f>"002046"</f>
        <v>002046</v>
      </c>
      <c r="B504" t="s">
        <v>3326</v>
      </c>
      <c r="C504">
        <v>-0.74</v>
      </c>
      <c r="D504">
        <v>6.73</v>
      </c>
      <c r="E504">
        <v>-0.05</v>
      </c>
      <c r="F504">
        <v>6.72</v>
      </c>
      <c r="G504">
        <v>6.73</v>
      </c>
      <c r="H504">
        <v>25508</v>
      </c>
      <c r="I504">
        <v>168</v>
      </c>
      <c r="J504">
        <v>0.3</v>
      </c>
      <c r="K504">
        <v>0.62</v>
      </c>
      <c r="L504">
        <v>6.82</v>
      </c>
      <c r="M504">
        <v>6.84</v>
      </c>
      <c r="N504">
        <v>6.71</v>
      </c>
      <c r="O504">
        <v>6.78</v>
      </c>
      <c r="P504">
        <v>72.67</v>
      </c>
      <c r="Q504">
        <v>17330840</v>
      </c>
      <c r="R504">
        <v>1.1299999999999999</v>
      </c>
      <c r="S504" t="s">
        <v>996</v>
      </c>
      <c r="T504" t="s">
        <v>652</v>
      </c>
      <c r="U504">
        <v>1.92</v>
      </c>
      <c r="V504">
        <v>6.79</v>
      </c>
      <c r="W504">
        <v>15220</v>
      </c>
      <c r="X504">
        <v>10288</v>
      </c>
      <c r="Y504">
        <v>1.48</v>
      </c>
      <c r="Z504">
        <v>55</v>
      </c>
      <c r="AA504">
        <v>847</v>
      </c>
      <c r="AB504" t="s">
        <v>116</v>
      </c>
      <c r="AC504">
        <v>38200</v>
      </c>
      <c r="AD504">
        <v>0</v>
      </c>
      <c r="AE504" t="s">
        <v>116</v>
      </c>
      <c r="AF504" t="s">
        <v>116</v>
      </c>
      <c r="AG504">
        <v>4.09</v>
      </c>
      <c r="AH504" t="s">
        <v>3327</v>
      </c>
      <c r="AI504" t="s">
        <v>1030</v>
      </c>
      <c r="AJ504">
        <v>-0.06</v>
      </c>
      <c r="AK504">
        <v>580</v>
      </c>
      <c r="AL504">
        <v>44</v>
      </c>
      <c r="AM504">
        <v>1.1000000000000001E-3</v>
      </c>
      <c r="AN504">
        <v>-3</v>
      </c>
      <c r="AO504">
        <v>-1.61</v>
      </c>
      <c r="AP504">
        <v>3.06</v>
      </c>
      <c r="AQ504">
        <v>-10.27</v>
      </c>
      <c r="AR504">
        <v>6.22</v>
      </c>
      <c r="AS504">
        <v>1.27</v>
      </c>
      <c r="AT504" t="s">
        <v>3328</v>
      </c>
      <c r="AU504">
        <v>202.55</v>
      </c>
      <c r="AV504">
        <v>154.05000000000001</v>
      </c>
      <c r="AW504">
        <v>0.82</v>
      </c>
      <c r="BA504">
        <v>0.59</v>
      </c>
      <c r="BB504">
        <v>0.88</v>
      </c>
      <c r="BC504">
        <v>-1.03</v>
      </c>
      <c r="BD504">
        <v>0.21</v>
      </c>
      <c r="BE504">
        <v>-1.32</v>
      </c>
      <c r="BF504">
        <v>-1.61</v>
      </c>
      <c r="BG504">
        <v>0.3</v>
      </c>
      <c r="BH504">
        <v>-0.95</v>
      </c>
      <c r="BI504">
        <v>20191223</v>
      </c>
      <c r="BJ504">
        <v>20050526</v>
      </c>
      <c r="BK504">
        <v>5.24</v>
      </c>
      <c r="BL504" t="s">
        <v>116</v>
      </c>
      <c r="BM504" t="s">
        <v>116</v>
      </c>
      <c r="BN504">
        <v>44.21</v>
      </c>
      <c r="BO504">
        <v>26.9</v>
      </c>
      <c r="BP504">
        <v>1.64</v>
      </c>
      <c r="BQ504">
        <v>35.450000000000003</v>
      </c>
      <c r="BR504">
        <v>23.38</v>
      </c>
      <c r="BS504">
        <v>9.2899999999999991</v>
      </c>
      <c r="BT504">
        <v>3.83</v>
      </c>
      <c r="BU504">
        <v>13.14</v>
      </c>
      <c r="BV504">
        <v>4.76</v>
      </c>
      <c r="BW504">
        <v>6.55</v>
      </c>
      <c r="BX504">
        <v>15.39</v>
      </c>
      <c r="BY504">
        <v>14.19</v>
      </c>
      <c r="BZ504">
        <v>10.59</v>
      </c>
      <c r="CA504">
        <v>0.73</v>
      </c>
      <c r="CB504">
        <v>-0.11</v>
      </c>
      <c r="CC504">
        <v>0.73</v>
      </c>
      <c r="CD504">
        <v>0.53</v>
      </c>
      <c r="CE504">
        <v>0.36</v>
      </c>
      <c r="CF504">
        <v>-0.11</v>
      </c>
      <c r="CG504">
        <v>5.71</v>
      </c>
      <c r="CH504">
        <v>0.15</v>
      </c>
      <c r="CI504">
        <v>-5.05</v>
      </c>
      <c r="CJ504">
        <v>27254</v>
      </c>
      <c r="CK504">
        <v>7364</v>
      </c>
      <c r="CL504" t="s">
        <v>1463</v>
      </c>
      <c r="CM504">
        <v>-13.09</v>
      </c>
      <c r="CN504">
        <v>-1.81</v>
      </c>
      <c r="CO504">
        <v>1.31</v>
      </c>
      <c r="CP504">
        <v>230.27</v>
      </c>
      <c r="CQ504">
        <v>2.4900000000000002</v>
      </c>
      <c r="CR504">
        <v>0.21</v>
      </c>
      <c r="CS504" t="s">
        <v>1395</v>
      </c>
      <c r="CT504">
        <v>5.13</v>
      </c>
      <c r="CU504">
        <v>0</v>
      </c>
      <c r="CV504">
        <v>2.93</v>
      </c>
      <c r="CW504">
        <v>1.0900000000000001</v>
      </c>
      <c r="CX504">
        <v>0.03</v>
      </c>
      <c r="CY504">
        <v>60.85</v>
      </c>
      <c r="CZ504" t="s">
        <v>3329</v>
      </c>
      <c r="DA504">
        <v>25.4</v>
      </c>
      <c r="DB504">
        <v>5.12</v>
      </c>
      <c r="DC504">
        <v>2.57</v>
      </c>
      <c r="DD504">
        <v>0.68</v>
      </c>
      <c r="DE504">
        <v>1759</v>
      </c>
      <c r="DF504">
        <v>2046</v>
      </c>
      <c r="DG504" t="s">
        <v>116</v>
      </c>
      <c r="DH504" t="s">
        <v>116</v>
      </c>
      <c r="DI504" t="s">
        <v>116</v>
      </c>
    </row>
    <row r="505" spans="1:113" x14ac:dyDescent="0.4">
      <c r="A505" t="str">
        <f>"002047"</f>
        <v>002047</v>
      </c>
      <c r="B505" t="s">
        <v>3330</v>
      </c>
      <c r="C505">
        <v>-1.35</v>
      </c>
      <c r="D505">
        <v>5.83</v>
      </c>
      <c r="E505">
        <v>-0.08</v>
      </c>
      <c r="F505">
        <v>5.83</v>
      </c>
      <c r="G505">
        <v>5.84</v>
      </c>
      <c r="H505">
        <v>94792</v>
      </c>
      <c r="I505">
        <v>2288</v>
      </c>
      <c r="J505">
        <v>-0.33</v>
      </c>
      <c r="K505">
        <v>0.75</v>
      </c>
      <c r="L505">
        <v>5.91</v>
      </c>
      <c r="M505">
        <v>5.94</v>
      </c>
      <c r="N505">
        <v>5.82</v>
      </c>
      <c r="O505">
        <v>5.91</v>
      </c>
      <c r="P505">
        <v>20.64</v>
      </c>
      <c r="Q505">
        <v>55688440</v>
      </c>
      <c r="R505">
        <v>0.95</v>
      </c>
      <c r="S505" t="s">
        <v>3331</v>
      </c>
      <c r="T505" t="s">
        <v>115</v>
      </c>
      <c r="U505">
        <v>2.0299999999999998</v>
      </c>
      <c r="V505">
        <v>5.87</v>
      </c>
      <c r="W505">
        <v>61360</v>
      </c>
      <c r="X505">
        <v>33432</v>
      </c>
      <c r="Y505">
        <v>1.84</v>
      </c>
      <c r="Z505">
        <v>987</v>
      </c>
      <c r="AA505">
        <v>505</v>
      </c>
      <c r="AB505" t="s">
        <v>116</v>
      </c>
      <c r="AC505">
        <v>238800</v>
      </c>
      <c r="AD505">
        <v>0.01</v>
      </c>
      <c r="AE505" t="s">
        <v>116</v>
      </c>
      <c r="AF505" t="s">
        <v>116</v>
      </c>
      <c r="AG505">
        <v>12.63</v>
      </c>
      <c r="AH505" t="s">
        <v>3332</v>
      </c>
      <c r="AI505" t="s">
        <v>3333</v>
      </c>
      <c r="AJ505">
        <v>-0.67</v>
      </c>
      <c r="AK505">
        <v>1169</v>
      </c>
      <c r="AL505">
        <v>81</v>
      </c>
      <c r="AM505">
        <v>5.9999999999999995E-4</v>
      </c>
      <c r="AN505">
        <v>-1</v>
      </c>
      <c r="AO505">
        <v>-1.85</v>
      </c>
      <c r="AP505">
        <v>-14.89</v>
      </c>
      <c r="AQ505">
        <v>14.09</v>
      </c>
      <c r="AR505">
        <v>-14.58</v>
      </c>
      <c r="AS505">
        <v>1.34</v>
      </c>
      <c r="AT505" t="s">
        <v>3334</v>
      </c>
      <c r="AU505">
        <v>29.53</v>
      </c>
      <c r="AV505">
        <v>27.43</v>
      </c>
      <c r="AW505">
        <v>0.6</v>
      </c>
      <c r="BA505">
        <v>0</v>
      </c>
      <c r="BB505">
        <v>0.51</v>
      </c>
      <c r="BC505">
        <v>-1.52</v>
      </c>
      <c r="BD505">
        <v>-0.6</v>
      </c>
      <c r="BE505">
        <v>-1.35</v>
      </c>
      <c r="BF505">
        <v>-1.85</v>
      </c>
      <c r="BG505">
        <v>0.17</v>
      </c>
      <c r="BH505">
        <v>-0.76</v>
      </c>
      <c r="BI505">
        <v>20191101</v>
      </c>
      <c r="BJ505">
        <v>20050531</v>
      </c>
      <c r="BK505">
        <v>13.41</v>
      </c>
      <c r="BL505" t="s">
        <v>116</v>
      </c>
      <c r="BM505" t="s">
        <v>116</v>
      </c>
      <c r="BN505">
        <v>104.1</v>
      </c>
      <c r="BO505">
        <v>41.77</v>
      </c>
      <c r="BP505">
        <v>0.53</v>
      </c>
      <c r="BQ505">
        <v>59.36</v>
      </c>
      <c r="BR505">
        <v>100.32</v>
      </c>
      <c r="BS505">
        <v>0.53</v>
      </c>
      <c r="BT505">
        <v>0.01</v>
      </c>
      <c r="BU505">
        <v>55.7</v>
      </c>
      <c r="BV505">
        <v>4.17</v>
      </c>
      <c r="BW505">
        <v>70.400000000000006</v>
      </c>
      <c r="BX505">
        <v>16.989999999999998</v>
      </c>
      <c r="BY505">
        <v>48.96</v>
      </c>
      <c r="BZ505">
        <v>40.44</v>
      </c>
      <c r="CA505">
        <v>3.33</v>
      </c>
      <c r="CB505">
        <v>0.01</v>
      </c>
      <c r="CC505">
        <v>3.32</v>
      </c>
      <c r="CD505">
        <v>2.82</v>
      </c>
      <c r="CE505">
        <v>2.84</v>
      </c>
      <c r="CF505">
        <v>2.79</v>
      </c>
      <c r="CG505">
        <v>19.23</v>
      </c>
      <c r="CH505">
        <v>1.64</v>
      </c>
      <c r="CI505">
        <v>-4.13</v>
      </c>
      <c r="CJ505">
        <v>44092</v>
      </c>
      <c r="CK505">
        <v>16001</v>
      </c>
      <c r="CL505" t="s">
        <v>3335</v>
      </c>
      <c r="CM505">
        <v>-6.68</v>
      </c>
      <c r="CN505">
        <v>-4.2</v>
      </c>
      <c r="CO505">
        <v>1.87</v>
      </c>
      <c r="CP505">
        <v>47.78</v>
      </c>
      <c r="CQ505">
        <v>1.6</v>
      </c>
      <c r="CR505">
        <v>0.42</v>
      </c>
      <c r="CS505" t="s">
        <v>313</v>
      </c>
      <c r="CT505">
        <v>3.11</v>
      </c>
      <c r="CU505">
        <v>0</v>
      </c>
      <c r="CV505">
        <v>1.27</v>
      </c>
      <c r="CW505">
        <v>1.43</v>
      </c>
      <c r="CX505">
        <v>0.12</v>
      </c>
      <c r="CY505">
        <v>40.130000000000003</v>
      </c>
      <c r="CZ505" t="s">
        <v>269</v>
      </c>
      <c r="DA505">
        <v>17.399999999999999</v>
      </c>
      <c r="DB505">
        <v>6.8</v>
      </c>
      <c r="DC505">
        <v>5.8</v>
      </c>
      <c r="DD505">
        <v>1.48</v>
      </c>
      <c r="DE505">
        <v>2089</v>
      </c>
      <c r="DF505">
        <v>2047</v>
      </c>
      <c r="DG505" t="s">
        <v>116</v>
      </c>
      <c r="DH505" t="s">
        <v>116</v>
      </c>
      <c r="DI505" t="s">
        <v>116</v>
      </c>
    </row>
    <row r="506" spans="1:113" x14ac:dyDescent="0.4">
      <c r="A506" t="str">
        <f>"002048"</f>
        <v>002048</v>
      </c>
      <c r="B506" t="s">
        <v>3336</v>
      </c>
      <c r="C506">
        <v>5.01</v>
      </c>
      <c r="D506">
        <v>16.34</v>
      </c>
      <c r="E506">
        <v>0.78</v>
      </c>
      <c r="F506">
        <v>16.34</v>
      </c>
      <c r="G506">
        <v>16.350000000000001</v>
      </c>
      <c r="H506">
        <v>250264</v>
      </c>
      <c r="I506">
        <v>3985</v>
      </c>
      <c r="J506">
        <v>-0.42</v>
      </c>
      <c r="K506">
        <v>4.59</v>
      </c>
      <c r="L506">
        <v>15.62</v>
      </c>
      <c r="M506">
        <v>16.95</v>
      </c>
      <c r="N506">
        <v>15.61</v>
      </c>
      <c r="O506">
        <v>15.56</v>
      </c>
      <c r="P506">
        <v>11.46</v>
      </c>
      <c r="Q506">
        <v>412689184</v>
      </c>
      <c r="R506">
        <v>2.21</v>
      </c>
      <c r="S506" t="s">
        <v>293</v>
      </c>
      <c r="T506" t="s">
        <v>590</v>
      </c>
      <c r="U506">
        <v>8.61</v>
      </c>
      <c r="V506">
        <v>16.489999999999998</v>
      </c>
      <c r="W506">
        <v>103853</v>
      </c>
      <c r="X506">
        <v>146411</v>
      </c>
      <c r="Y506">
        <v>0.71</v>
      </c>
      <c r="Z506">
        <v>62</v>
      </c>
      <c r="AA506">
        <v>2441</v>
      </c>
      <c r="AB506" t="s">
        <v>116</v>
      </c>
      <c r="AC506">
        <v>165600</v>
      </c>
      <c r="AD506">
        <v>0</v>
      </c>
      <c r="AE506" t="s">
        <v>116</v>
      </c>
      <c r="AF506" t="s">
        <v>116</v>
      </c>
      <c r="AG506">
        <v>5.45</v>
      </c>
      <c r="AH506" t="s">
        <v>3337</v>
      </c>
      <c r="AI506" t="s">
        <v>3338</v>
      </c>
      <c r="AJ506">
        <v>5.69</v>
      </c>
      <c r="AK506">
        <v>4298</v>
      </c>
      <c r="AL506">
        <v>58</v>
      </c>
      <c r="AM506">
        <v>1.1000000000000001E-3</v>
      </c>
      <c r="AN506">
        <v>1</v>
      </c>
      <c r="AO506">
        <v>3.09</v>
      </c>
      <c r="AP506">
        <v>14.43</v>
      </c>
      <c r="AQ506">
        <v>6.59</v>
      </c>
      <c r="AR506">
        <v>58.95</v>
      </c>
      <c r="AS506">
        <v>5.63</v>
      </c>
      <c r="AT506" t="s">
        <v>3339</v>
      </c>
      <c r="AU506">
        <v>11.4</v>
      </c>
      <c r="AV506">
        <v>13.98</v>
      </c>
      <c r="AW506">
        <v>1.08</v>
      </c>
      <c r="BA506">
        <v>0.39</v>
      </c>
      <c r="BB506">
        <v>8.93</v>
      </c>
      <c r="BC506">
        <v>0.32</v>
      </c>
      <c r="BD506">
        <v>5.98</v>
      </c>
      <c r="BE506">
        <v>4.6100000000000003</v>
      </c>
      <c r="BF506">
        <v>-3.6</v>
      </c>
      <c r="BG506">
        <v>4.68</v>
      </c>
      <c r="BH506">
        <v>-0.96</v>
      </c>
      <c r="BI506">
        <v>20191026</v>
      </c>
      <c r="BJ506">
        <v>20050603</v>
      </c>
      <c r="BK506">
        <v>6.26</v>
      </c>
      <c r="BL506" t="s">
        <v>116</v>
      </c>
      <c r="BM506" t="s">
        <v>116</v>
      </c>
      <c r="BN506">
        <v>166.23</v>
      </c>
      <c r="BO506">
        <v>88.67</v>
      </c>
      <c r="BP506">
        <v>12.52</v>
      </c>
      <c r="BQ506">
        <v>39.119999999999997</v>
      </c>
      <c r="BR506">
        <v>86.03</v>
      </c>
      <c r="BS506">
        <v>33.33</v>
      </c>
      <c r="BT506">
        <v>4.34</v>
      </c>
      <c r="BU506">
        <v>56.32</v>
      </c>
      <c r="BV506">
        <v>24.05</v>
      </c>
      <c r="BW506">
        <v>32.07</v>
      </c>
      <c r="BX506">
        <v>26.43</v>
      </c>
      <c r="BY506">
        <v>117.14</v>
      </c>
      <c r="BZ506">
        <v>93.79</v>
      </c>
      <c r="CA506">
        <v>10.45</v>
      </c>
      <c r="CB506">
        <v>1.43</v>
      </c>
      <c r="CC506">
        <v>10.49</v>
      </c>
      <c r="CD506">
        <v>8.68</v>
      </c>
      <c r="CE506">
        <v>6.7</v>
      </c>
      <c r="CF506">
        <v>6.44</v>
      </c>
      <c r="CG506">
        <v>46.61</v>
      </c>
      <c r="CH506">
        <v>10.83</v>
      </c>
      <c r="CI506">
        <v>-3.35</v>
      </c>
      <c r="CJ506">
        <v>39250</v>
      </c>
      <c r="CK506">
        <v>11326</v>
      </c>
      <c r="CL506" t="s">
        <v>3340</v>
      </c>
      <c r="CM506">
        <v>32.89</v>
      </c>
      <c r="CN506">
        <v>9.33</v>
      </c>
      <c r="CO506">
        <v>1.1499999999999999</v>
      </c>
      <c r="CP506">
        <v>9.44</v>
      </c>
      <c r="CQ506">
        <v>0.87</v>
      </c>
      <c r="CR506">
        <v>0.92</v>
      </c>
      <c r="CS506" t="s">
        <v>3341</v>
      </c>
      <c r="CT506">
        <v>14.16</v>
      </c>
      <c r="CU506">
        <v>0</v>
      </c>
      <c r="CV506">
        <v>4.22</v>
      </c>
      <c r="CW506">
        <v>7.44</v>
      </c>
      <c r="CX506">
        <v>1.73</v>
      </c>
      <c r="CY506">
        <v>53.34</v>
      </c>
      <c r="CZ506" t="s">
        <v>2183</v>
      </c>
      <c r="DA506">
        <v>19.940000000000001</v>
      </c>
      <c r="DB506">
        <v>8.92</v>
      </c>
      <c r="DC506">
        <v>5.72</v>
      </c>
      <c r="DD506">
        <v>3.52</v>
      </c>
      <c r="DE506">
        <v>15546</v>
      </c>
      <c r="DF506">
        <v>2048</v>
      </c>
      <c r="DG506" t="s">
        <v>116</v>
      </c>
      <c r="DH506" t="s">
        <v>116</v>
      </c>
      <c r="DI506" t="s">
        <v>116</v>
      </c>
    </row>
    <row r="507" spans="1:113" x14ac:dyDescent="0.4">
      <c r="A507" t="str">
        <f>"002049"</f>
        <v>002049</v>
      </c>
      <c r="B507" t="s">
        <v>3342</v>
      </c>
      <c r="C507">
        <v>-2.31</v>
      </c>
      <c r="D507">
        <v>51.69</v>
      </c>
      <c r="E507">
        <v>-1.22</v>
      </c>
      <c r="F507">
        <v>51.68</v>
      </c>
      <c r="G507">
        <v>51.69</v>
      </c>
      <c r="H507">
        <v>209716</v>
      </c>
      <c r="I507">
        <v>3852</v>
      </c>
      <c r="J507">
        <v>-0.2</v>
      </c>
      <c r="K507">
        <v>3.46</v>
      </c>
      <c r="L507">
        <v>53.15</v>
      </c>
      <c r="M507">
        <v>53.4</v>
      </c>
      <c r="N507">
        <v>51.69</v>
      </c>
      <c r="O507">
        <v>52.91</v>
      </c>
      <c r="P507">
        <v>64.44</v>
      </c>
      <c r="Q507">
        <v>1098861056</v>
      </c>
      <c r="R507">
        <v>0.79</v>
      </c>
      <c r="S507" t="s">
        <v>233</v>
      </c>
      <c r="T507" t="s">
        <v>608</v>
      </c>
      <c r="U507">
        <v>3.23</v>
      </c>
      <c r="V507">
        <v>52.4</v>
      </c>
      <c r="W507">
        <v>119845</v>
      </c>
      <c r="X507">
        <v>89871</v>
      </c>
      <c r="Y507">
        <v>1.33</v>
      </c>
      <c r="Z507">
        <v>95</v>
      </c>
      <c r="AA507">
        <v>1180</v>
      </c>
      <c r="AB507" t="s">
        <v>116</v>
      </c>
      <c r="AC507">
        <v>5778600</v>
      </c>
      <c r="AD507">
        <v>0.03</v>
      </c>
      <c r="AE507" t="s">
        <v>116</v>
      </c>
      <c r="AF507" t="s">
        <v>116</v>
      </c>
      <c r="AG507">
        <v>6.06</v>
      </c>
      <c r="AH507" t="s">
        <v>3343</v>
      </c>
      <c r="AI507" t="s">
        <v>3344</v>
      </c>
      <c r="AJ507">
        <v>-1.63</v>
      </c>
      <c r="AK507">
        <v>4425</v>
      </c>
      <c r="AL507">
        <v>47</v>
      </c>
      <c r="AM507">
        <v>8.0000000000000004E-4</v>
      </c>
      <c r="AN507">
        <v>-2</v>
      </c>
      <c r="AO507">
        <v>4.5199999999999996</v>
      </c>
      <c r="AP507">
        <v>15.38</v>
      </c>
      <c r="AQ507">
        <v>-0.75</v>
      </c>
      <c r="AR507">
        <v>79.22</v>
      </c>
      <c r="AS507">
        <v>5.62</v>
      </c>
      <c r="AT507" t="s">
        <v>3345</v>
      </c>
      <c r="AU507">
        <v>73.75</v>
      </c>
      <c r="AV507">
        <v>90.14</v>
      </c>
      <c r="AW507">
        <v>1.54</v>
      </c>
      <c r="BA507">
        <v>0.45</v>
      </c>
      <c r="BB507">
        <v>0.93</v>
      </c>
      <c r="BC507">
        <v>-2.31</v>
      </c>
      <c r="BD507">
        <v>-0.97</v>
      </c>
      <c r="BE507">
        <v>-2.75</v>
      </c>
      <c r="BF507">
        <v>-3.2</v>
      </c>
      <c r="BG507">
        <v>0</v>
      </c>
      <c r="BH507">
        <v>-1.34</v>
      </c>
      <c r="BI507">
        <v>20191225</v>
      </c>
      <c r="BJ507">
        <v>20050606</v>
      </c>
      <c r="BK507">
        <v>6.07</v>
      </c>
      <c r="BL507" t="s">
        <v>116</v>
      </c>
      <c r="BM507" t="s">
        <v>116</v>
      </c>
      <c r="BN507">
        <v>64.010000000000005</v>
      </c>
      <c r="BO507">
        <v>41.5</v>
      </c>
      <c r="BP507">
        <v>0.08</v>
      </c>
      <c r="BQ507">
        <v>35.04</v>
      </c>
      <c r="BR507">
        <v>38.64</v>
      </c>
      <c r="BS507">
        <v>1.93</v>
      </c>
      <c r="BT507">
        <v>6.49</v>
      </c>
      <c r="BU507">
        <v>12.53</v>
      </c>
      <c r="BV507">
        <v>7.72</v>
      </c>
      <c r="BW507">
        <v>16.75</v>
      </c>
      <c r="BX507">
        <v>6.19</v>
      </c>
      <c r="BY507">
        <v>24.89</v>
      </c>
      <c r="BZ507">
        <v>15.97</v>
      </c>
      <c r="CA507">
        <v>4.04</v>
      </c>
      <c r="CB507">
        <v>0.04</v>
      </c>
      <c r="CC507">
        <v>4.04</v>
      </c>
      <c r="CD507">
        <v>3.64</v>
      </c>
      <c r="CE507">
        <v>3.65</v>
      </c>
      <c r="CF507">
        <v>3.75</v>
      </c>
      <c r="CG507">
        <v>27.9</v>
      </c>
      <c r="CH507">
        <v>-2.39</v>
      </c>
      <c r="CI507">
        <v>-3.84</v>
      </c>
      <c r="CJ507">
        <v>103045</v>
      </c>
      <c r="CK507">
        <v>3623</v>
      </c>
      <c r="CL507" t="s">
        <v>2813</v>
      </c>
      <c r="CM507">
        <v>26.88</v>
      </c>
      <c r="CN507">
        <v>45.48</v>
      </c>
      <c r="CO507">
        <v>7.56</v>
      </c>
      <c r="CP507">
        <v>-131.41</v>
      </c>
      <c r="CQ507">
        <v>12.6</v>
      </c>
      <c r="CR507">
        <v>0.11</v>
      </c>
      <c r="CS507" t="s">
        <v>3346</v>
      </c>
      <c r="CT507">
        <v>6.84</v>
      </c>
      <c r="CU507">
        <v>0</v>
      </c>
      <c r="CV507">
        <v>1.02</v>
      </c>
      <c r="CW507">
        <v>4.5999999999999996</v>
      </c>
      <c r="CX507">
        <v>-0.39</v>
      </c>
      <c r="CY507">
        <v>64.83</v>
      </c>
      <c r="CZ507" t="s">
        <v>3347</v>
      </c>
      <c r="DA507">
        <v>35.83</v>
      </c>
      <c r="DB507">
        <v>16.23</v>
      </c>
      <c r="DC507">
        <v>14.67</v>
      </c>
      <c r="DD507">
        <v>1.36</v>
      </c>
      <c r="DE507">
        <v>1943</v>
      </c>
      <c r="DF507">
        <v>2049</v>
      </c>
      <c r="DG507" t="s">
        <v>116</v>
      </c>
      <c r="DH507" t="s">
        <v>116</v>
      </c>
      <c r="DI507" t="s">
        <v>116</v>
      </c>
    </row>
    <row r="508" spans="1:113" x14ac:dyDescent="0.4">
      <c r="A508" t="str">
        <f>"002050"</f>
        <v>002050</v>
      </c>
      <c r="B508" t="s">
        <v>3348</v>
      </c>
      <c r="C508">
        <v>-0.82</v>
      </c>
      <c r="D508">
        <v>16.97</v>
      </c>
      <c r="E508">
        <v>-0.14000000000000001</v>
      </c>
      <c r="F508">
        <v>16.95</v>
      </c>
      <c r="G508">
        <v>16.97</v>
      </c>
      <c r="H508">
        <v>237610</v>
      </c>
      <c r="I508">
        <v>1631</v>
      </c>
      <c r="J508">
        <v>0.06</v>
      </c>
      <c r="K508">
        <v>0.98</v>
      </c>
      <c r="L508">
        <v>17.02</v>
      </c>
      <c r="M508">
        <v>17.29</v>
      </c>
      <c r="N508">
        <v>16.75</v>
      </c>
      <c r="O508">
        <v>17.11</v>
      </c>
      <c r="P508">
        <v>33.32</v>
      </c>
      <c r="Q508">
        <v>404036128</v>
      </c>
      <c r="R508">
        <v>0.82</v>
      </c>
      <c r="S508" t="s">
        <v>996</v>
      </c>
      <c r="T508" t="s">
        <v>590</v>
      </c>
      <c r="U508">
        <v>3.16</v>
      </c>
      <c r="V508">
        <v>17</v>
      </c>
      <c r="W508">
        <v>115647</v>
      </c>
      <c r="X508">
        <v>121963</v>
      </c>
      <c r="Y508">
        <v>0.95</v>
      </c>
      <c r="Z508">
        <v>12</v>
      </c>
      <c r="AA508">
        <v>726</v>
      </c>
      <c r="AB508" t="s">
        <v>116</v>
      </c>
      <c r="AC508">
        <v>1140300</v>
      </c>
      <c r="AD508">
        <v>0.01</v>
      </c>
      <c r="AE508" t="s">
        <v>116</v>
      </c>
      <c r="AF508" t="s">
        <v>116</v>
      </c>
      <c r="AG508">
        <v>24.19</v>
      </c>
      <c r="AH508" t="s">
        <v>3349</v>
      </c>
      <c r="AI508" t="s">
        <v>1332</v>
      </c>
      <c r="AJ508">
        <v>-0.14000000000000001</v>
      </c>
      <c r="AK508">
        <v>3946</v>
      </c>
      <c r="AL508">
        <v>60</v>
      </c>
      <c r="AM508">
        <v>2.0000000000000001E-4</v>
      </c>
      <c r="AN508">
        <v>-2</v>
      </c>
      <c r="AO508">
        <v>-0.53</v>
      </c>
      <c r="AP508">
        <v>14.9</v>
      </c>
      <c r="AQ508">
        <v>30.64</v>
      </c>
      <c r="AR508">
        <v>77.34</v>
      </c>
      <c r="AS508">
        <v>2.14</v>
      </c>
      <c r="AT508" t="s">
        <v>3350</v>
      </c>
      <c r="AU508">
        <v>35.409999999999997</v>
      </c>
      <c r="AV508">
        <v>36.32</v>
      </c>
      <c r="AW508">
        <v>1.22</v>
      </c>
      <c r="BA508">
        <v>-0.53</v>
      </c>
      <c r="BB508">
        <v>1.05</v>
      </c>
      <c r="BC508">
        <v>-2.1</v>
      </c>
      <c r="BD508">
        <v>-0.62</v>
      </c>
      <c r="BE508">
        <v>-0.28999999999999998</v>
      </c>
      <c r="BF508">
        <v>-1.85</v>
      </c>
      <c r="BG508">
        <v>1.31</v>
      </c>
      <c r="BH508">
        <v>-0.2</v>
      </c>
      <c r="BI508">
        <v>20191223</v>
      </c>
      <c r="BJ508">
        <v>20050607</v>
      </c>
      <c r="BK508">
        <v>27.66</v>
      </c>
      <c r="BL508" t="s">
        <v>116</v>
      </c>
      <c r="BM508" t="s">
        <v>116</v>
      </c>
      <c r="BN508">
        <v>142.5</v>
      </c>
      <c r="BO508">
        <v>89.75</v>
      </c>
      <c r="BP508">
        <v>0.8</v>
      </c>
      <c r="BQ508">
        <v>36.450000000000003</v>
      </c>
      <c r="BR508">
        <v>97.48</v>
      </c>
      <c r="BS508">
        <v>30.94</v>
      </c>
      <c r="BT508">
        <v>5.32</v>
      </c>
      <c r="BU508">
        <v>48.83</v>
      </c>
      <c r="BV508">
        <v>18.45</v>
      </c>
      <c r="BW508">
        <v>19.38</v>
      </c>
      <c r="BX508">
        <v>10.82</v>
      </c>
      <c r="BY508">
        <v>86.21</v>
      </c>
      <c r="BZ508">
        <v>61.43</v>
      </c>
      <c r="CA508">
        <v>12.71</v>
      </c>
      <c r="CB508">
        <v>0.31</v>
      </c>
      <c r="CC508">
        <v>12.72</v>
      </c>
      <c r="CD508">
        <v>10.57</v>
      </c>
      <c r="CE508">
        <v>10.56</v>
      </c>
      <c r="CF508">
        <v>10.51</v>
      </c>
      <c r="CG508">
        <v>50.16</v>
      </c>
      <c r="CH508">
        <v>11.27</v>
      </c>
      <c r="CI508">
        <v>10.41</v>
      </c>
      <c r="CJ508">
        <v>30990</v>
      </c>
      <c r="CK508">
        <v>35813</v>
      </c>
      <c r="CL508" t="s">
        <v>3351</v>
      </c>
      <c r="CM508">
        <v>3.22</v>
      </c>
      <c r="CN508">
        <v>4.3</v>
      </c>
      <c r="CO508">
        <v>5.23</v>
      </c>
      <c r="CP508">
        <v>41.64</v>
      </c>
      <c r="CQ508">
        <v>5.44</v>
      </c>
      <c r="CR508">
        <v>1.1299999999999999</v>
      </c>
      <c r="CS508" t="s">
        <v>2337</v>
      </c>
      <c r="CT508">
        <v>3.25</v>
      </c>
      <c r="CU508">
        <v>0</v>
      </c>
      <c r="CV508">
        <v>0.39</v>
      </c>
      <c r="CW508">
        <v>1.81</v>
      </c>
      <c r="CX508">
        <v>0.41</v>
      </c>
      <c r="CY508">
        <v>62.98</v>
      </c>
      <c r="CZ508" t="s">
        <v>3352</v>
      </c>
      <c r="DA508">
        <v>28.74</v>
      </c>
      <c r="DB508">
        <v>14.74</v>
      </c>
      <c r="DC508">
        <v>12.25</v>
      </c>
      <c r="DD508">
        <v>3.89</v>
      </c>
      <c r="DE508">
        <v>9960</v>
      </c>
      <c r="DF508">
        <v>2050</v>
      </c>
      <c r="DG508" t="s">
        <v>116</v>
      </c>
      <c r="DH508" t="s">
        <v>116</v>
      </c>
      <c r="DI508" t="s">
        <v>116</v>
      </c>
    </row>
    <row r="509" spans="1:113" x14ac:dyDescent="0.4">
      <c r="A509" t="str">
        <f>"002051"</f>
        <v>002051</v>
      </c>
      <c r="B509" t="s">
        <v>3353</v>
      </c>
      <c r="C509">
        <v>0.32</v>
      </c>
      <c r="D509">
        <v>9.52</v>
      </c>
      <c r="E509">
        <v>0.03</v>
      </c>
      <c r="F509">
        <v>9.52</v>
      </c>
      <c r="G509">
        <v>9.5299999999999994</v>
      </c>
      <c r="H509">
        <v>45064</v>
      </c>
      <c r="I509">
        <v>175</v>
      </c>
      <c r="J509">
        <v>0</v>
      </c>
      <c r="K509">
        <v>0.41</v>
      </c>
      <c r="L509">
        <v>9.5299999999999994</v>
      </c>
      <c r="M509">
        <v>9.6300000000000008</v>
      </c>
      <c r="N509">
        <v>9.48</v>
      </c>
      <c r="O509">
        <v>9.49</v>
      </c>
      <c r="P509">
        <v>11.68</v>
      </c>
      <c r="Q509">
        <v>43111236</v>
      </c>
      <c r="R509">
        <v>1.1499999999999999</v>
      </c>
      <c r="S509" t="s">
        <v>181</v>
      </c>
      <c r="T509" t="s">
        <v>165</v>
      </c>
      <c r="U509">
        <v>1.58</v>
      </c>
      <c r="V509">
        <v>9.57</v>
      </c>
      <c r="W509">
        <v>18677</v>
      </c>
      <c r="X509">
        <v>26387</v>
      </c>
      <c r="Y509">
        <v>0.71</v>
      </c>
      <c r="Z509">
        <v>1095</v>
      </c>
      <c r="AA509">
        <v>58</v>
      </c>
      <c r="AB509" t="s">
        <v>116</v>
      </c>
      <c r="AC509">
        <v>84800</v>
      </c>
      <c r="AD509">
        <v>0</v>
      </c>
      <c r="AE509" t="s">
        <v>116</v>
      </c>
      <c r="AF509" t="s">
        <v>116</v>
      </c>
      <c r="AG509">
        <v>11.11</v>
      </c>
      <c r="AH509" t="s">
        <v>3354</v>
      </c>
      <c r="AI509" t="s">
        <v>3355</v>
      </c>
      <c r="AJ509">
        <v>1</v>
      </c>
      <c r="AK509">
        <v>1790</v>
      </c>
      <c r="AL509">
        <v>25</v>
      </c>
      <c r="AM509">
        <v>2.0000000000000001E-4</v>
      </c>
      <c r="AN509">
        <v>2</v>
      </c>
      <c r="AO509">
        <v>1.49</v>
      </c>
      <c r="AP509">
        <v>5.31</v>
      </c>
      <c r="AQ509">
        <v>-5.18</v>
      </c>
      <c r="AR509">
        <v>-11.69</v>
      </c>
      <c r="AS509">
        <v>1</v>
      </c>
      <c r="AT509" t="s">
        <v>3356</v>
      </c>
      <c r="AU509">
        <v>12.61</v>
      </c>
      <c r="AV509">
        <v>9.81</v>
      </c>
      <c r="AW509">
        <v>0.84</v>
      </c>
      <c r="BA509">
        <v>0.42</v>
      </c>
      <c r="BB509">
        <v>1.48</v>
      </c>
      <c r="BC509">
        <v>-0.11</v>
      </c>
      <c r="BD509">
        <v>0.81</v>
      </c>
      <c r="BE509">
        <v>-0.1</v>
      </c>
      <c r="BF509">
        <v>-1.1399999999999999</v>
      </c>
      <c r="BG509">
        <v>0.42</v>
      </c>
      <c r="BH509">
        <v>-0.49</v>
      </c>
      <c r="BI509">
        <v>20191023</v>
      </c>
      <c r="BJ509">
        <v>20060619</v>
      </c>
      <c r="BK509">
        <v>12.37</v>
      </c>
      <c r="BL509" t="s">
        <v>116</v>
      </c>
      <c r="BM509" t="s">
        <v>116</v>
      </c>
      <c r="BN509">
        <v>226.67</v>
      </c>
      <c r="BO509">
        <v>103.6</v>
      </c>
      <c r="BP509">
        <v>2.77</v>
      </c>
      <c r="BQ509">
        <v>53.07</v>
      </c>
      <c r="BR509">
        <v>191.98</v>
      </c>
      <c r="BS509">
        <v>16.25</v>
      </c>
      <c r="BT509">
        <v>3.31</v>
      </c>
      <c r="BU509">
        <v>115.1</v>
      </c>
      <c r="BV509">
        <v>40.53</v>
      </c>
      <c r="BW509">
        <v>54.32</v>
      </c>
      <c r="BX509">
        <v>23.54</v>
      </c>
      <c r="BY509">
        <v>76.91</v>
      </c>
      <c r="BZ509">
        <v>61.82</v>
      </c>
      <c r="CA509">
        <v>8.4499999999999993</v>
      </c>
      <c r="CB509">
        <v>0.28999999999999998</v>
      </c>
      <c r="CC509">
        <v>8.4600000000000009</v>
      </c>
      <c r="CD509">
        <v>7.48</v>
      </c>
      <c r="CE509">
        <v>7.56</v>
      </c>
      <c r="CF509">
        <v>7.32</v>
      </c>
      <c r="CG509">
        <v>59.78</v>
      </c>
      <c r="CH509">
        <v>-11.03</v>
      </c>
      <c r="CI509">
        <v>-11.06</v>
      </c>
      <c r="CJ509">
        <v>50512</v>
      </c>
      <c r="CK509">
        <v>8934</v>
      </c>
      <c r="CL509" t="s">
        <v>3357</v>
      </c>
      <c r="CM509">
        <v>-26.01</v>
      </c>
      <c r="CN509">
        <v>-24.36</v>
      </c>
      <c r="CO509">
        <v>1.1399999999999999</v>
      </c>
      <c r="CP509">
        <v>-10.68</v>
      </c>
      <c r="CQ509">
        <v>1.53</v>
      </c>
      <c r="CR509">
        <v>3.15</v>
      </c>
      <c r="CS509" t="s">
        <v>3358</v>
      </c>
      <c r="CT509">
        <v>8.3699999999999992</v>
      </c>
      <c r="CU509">
        <v>0</v>
      </c>
      <c r="CV509">
        <v>1.9</v>
      </c>
      <c r="CW509">
        <v>4.83</v>
      </c>
      <c r="CX509">
        <v>-0.89</v>
      </c>
      <c r="CY509">
        <v>45.71</v>
      </c>
      <c r="CZ509" t="s">
        <v>3359</v>
      </c>
      <c r="DA509">
        <v>19.62</v>
      </c>
      <c r="DB509">
        <v>10.99</v>
      </c>
      <c r="DC509">
        <v>9.83</v>
      </c>
      <c r="DD509">
        <v>1.1599999999999999</v>
      </c>
      <c r="DE509">
        <v>2299</v>
      </c>
      <c r="DF509">
        <v>2051</v>
      </c>
      <c r="DG509" t="s">
        <v>116</v>
      </c>
      <c r="DH509" t="s">
        <v>116</v>
      </c>
      <c r="DI509" t="s">
        <v>116</v>
      </c>
    </row>
    <row r="510" spans="1:113" x14ac:dyDescent="0.4">
      <c r="A510" t="str">
        <f>"002052"</f>
        <v>002052</v>
      </c>
      <c r="B510" t="s">
        <v>3360</v>
      </c>
      <c r="C510">
        <v>-1.53</v>
      </c>
      <c r="D510">
        <v>3.22</v>
      </c>
      <c r="E510">
        <v>-0.05</v>
      </c>
      <c r="F510">
        <v>3.22</v>
      </c>
      <c r="G510">
        <v>3.23</v>
      </c>
      <c r="H510">
        <v>177084</v>
      </c>
      <c r="I510">
        <v>972</v>
      </c>
      <c r="J510">
        <v>0.31</v>
      </c>
      <c r="K510">
        <v>2.37</v>
      </c>
      <c r="L510">
        <v>3.27</v>
      </c>
      <c r="M510">
        <v>3.32</v>
      </c>
      <c r="N510">
        <v>3.21</v>
      </c>
      <c r="O510">
        <v>3.27</v>
      </c>
      <c r="P510" t="s">
        <v>116</v>
      </c>
      <c r="Q510">
        <v>57991772</v>
      </c>
      <c r="R510">
        <v>0.91</v>
      </c>
      <c r="S510" t="s">
        <v>465</v>
      </c>
      <c r="T510" t="s">
        <v>115</v>
      </c>
      <c r="U510">
        <v>3.36</v>
      </c>
      <c r="V510">
        <v>3.27</v>
      </c>
      <c r="W510">
        <v>105057</v>
      </c>
      <c r="X510">
        <v>72027</v>
      </c>
      <c r="Y510">
        <v>1.46</v>
      </c>
      <c r="Z510">
        <v>4565</v>
      </c>
      <c r="AA510">
        <v>3751</v>
      </c>
      <c r="AB510" t="s">
        <v>116</v>
      </c>
      <c r="AC510">
        <v>268500</v>
      </c>
      <c r="AD510">
        <v>0.01</v>
      </c>
      <c r="AE510" t="s">
        <v>116</v>
      </c>
      <c r="AF510" t="s">
        <v>116</v>
      </c>
      <c r="AG510">
        <v>7.46</v>
      </c>
      <c r="AH510" t="s">
        <v>3361</v>
      </c>
      <c r="AI510" t="s">
        <v>3361</v>
      </c>
      <c r="AJ510">
        <v>-0.85</v>
      </c>
      <c r="AK510">
        <v>1842</v>
      </c>
      <c r="AL510">
        <v>96</v>
      </c>
      <c r="AM510">
        <v>1.2999999999999999E-3</v>
      </c>
      <c r="AN510">
        <v>-3</v>
      </c>
      <c r="AO510">
        <v>-3.88</v>
      </c>
      <c r="AP510">
        <v>4.8899999999999997</v>
      </c>
      <c r="AQ510">
        <v>-29.23</v>
      </c>
      <c r="AR510">
        <v>-22.03</v>
      </c>
      <c r="AS510">
        <v>3.23</v>
      </c>
      <c r="AT510" t="s">
        <v>3362</v>
      </c>
      <c r="AU510" t="s">
        <v>116</v>
      </c>
      <c r="AV510" t="s">
        <v>116</v>
      </c>
      <c r="AW510">
        <v>1.05</v>
      </c>
      <c r="BA510">
        <v>0</v>
      </c>
      <c r="BB510">
        <v>1.53</v>
      </c>
      <c r="BC510">
        <v>-1.83</v>
      </c>
      <c r="BD510">
        <v>0.15</v>
      </c>
      <c r="BE510">
        <v>-1.53</v>
      </c>
      <c r="BF510">
        <v>-3.01</v>
      </c>
      <c r="BG510">
        <v>0.31</v>
      </c>
      <c r="BH510">
        <v>-1.68</v>
      </c>
      <c r="BI510">
        <v>20191211</v>
      </c>
      <c r="BJ510">
        <v>20060627</v>
      </c>
      <c r="BK510">
        <v>7.46</v>
      </c>
      <c r="BL510" t="s">
        <v>116</v>
      </c>
      <c r="BM510" t="s">
        <v>116</v>
      </c>
      <c r="BN510">
        <v>14.22</v>
      </c>
      <c r="BO510">
        <v>5.69</v>
      </c>
      <c r="BP510">
        <v>0</v>
      </c>
      <c r="BQ510">
        <v>59.95</v>
      </c>
      <c r="BR510">
        <v>10.56</v>
      </c>
      <c r="BS510">
        <v>2.14</v>
      </c>
      <c r="BT510">
        <v>0.22</v>
      </c>
      <c r="BU510">
        <v>8.35</v>
      </c>
      <c r="BV510">
        <v>0.85</v>
      </c>
      <c r="BW510">
        <v>4.6100000000000003</v>
      </c>
      <c r="BX510">
        <v>8.77</v>
      </c>
      <c r="BY510">
        <v>6.72</v>
      </c>
      <c r="BZ510">
        <v>5.14</v>
      </c>
      <c r="CA510">
        <v>-0.33</v>
      </c>
      <c r="CB510">
        <v>-0.02</v>
      </c>
      <c r="CC510">
        <v>-0.3</v>
      </c>
      <c r="CD510">
        <v>-0.28999999999999998</v>
      </c>
      <c r="CE510">
        <v>-0.28999999999999998</v>
      </c>
      <c r="CF510">
        <v>-0.36</v>
      </c>
      <c r="CG510">
        <v>-11.44</v>
      </c>
      <c r="CH510">
        <v>-0.99</v>
      </c>
      <c r="CI510">
        <v>-1.63</v>
      </c>
      <c r="CJ510">
        <v>73536</v>
      </c>
      <c r="CK510">
        <v>7456</v>
      </c>
      <c r="CL510" t="s">
        <v>3363</v>
      </c>
      <c r="CM510">
        <v>58.08</v>
      </c>
      <c r="CN510">
        <v>12.06</v>
      </c>
      <c r="CO510">
        <v>4.22</v>
      </c>
      <c r="CP510">
        <v>-24.18</v>
      </c>
      <c r="CQ510">
        <v>3.57</v>
      </c>
      <c r="CR510">
        <v>0</v>
      </c>
      <c r="CS510" t="s">
        <v>3364</v>
      </c>
      <c r="CT510">
        <v>0.76</v>
      </c>
      <c r="CU510">
        <v>0</v>
      </c>
      <c r="CV510">
        <v>1.18</v>
      </c>
      <c r="CW510">
        <v>-1.53</v>
      </c>
      <c r="CX510">
        <v>-0.13</v>
      </c>
      <c r="CY510">
        <v>40.049999999999997</v>
      </c>
      <c r="CZ510" t="s">
        <v>3365</v>
      </c>
      <c r="DA510">
        <v>23.58</v>
      </c>
      <c r="DB510">
        <v>-4.87</v>
      </c>
      <c r="DC510">
        <v>-4.3</v>
      </c>
      <c r="DD510">
        <v>0.5</v>
      </c>
      <c r="DE510">
        <v>683</v>
      </c>
      <c r="DF510">
        <v>2052</v>
      </c>
      <c r="DG510" t="s">
        <v>116</v>
      </c>
      <c r="DH510" t="s">
        <v>116</v>
      </c>
      <c r="DI510" t="s">
        <v>116</v>
      </c>
    </row>
    <row r="511" spans="1:113" x14ac:dyDescent="0.4">
      <c r="A511" t="str">
        <f>"002053"</f>
        <v>002053</v>
      </c>
      <c r="B511" t="s">
        <v>3366</v>
      </c>
      <c r="C511">
        <v>-0.97</v>
      </c>
      <c r="D511">
        <v>7.13</v>
      </c>
      <c r="E511">
        <v>-7.0000000000000007E-2</v>
      </c>
      <c r="F511">
        <v>7.12</v>
      </c>
      <c r="G511">
        <v>7.13</v>
      </c>
      <c r="H511">
        <v>13921</v>
      </c>
      <c r="I511">
        <v>160</v>
      </c>
      <c r="J511">
        <v>0</v>
      </c>
      <c r="K511">
        <v>0.37</v>
      </c>
      <c r="L511">
        <v>7.21</v>
      </c>
      <c r="M511">
        <v>7.24</v>
      </c>
      <c r="N511">
        <v>7.12</v>
      </c>
      <c r="O511">
        <v>7.2</v>
      </c>
      <c r="P511">
        <v>19.350000000000001</v>
      </c>
      <c r="Q511">
        <v>10004575</v>
      </c>
      <c r="R511">
        <v>1.07</v>
      </c>
      <c r="S511" t="s">
        <v>863</v>
      </c>
      <c r="T511" t="s">
        <v>1043</v>
      </c>
      <c r="U511">
        <v>1.67</v>
      </c>
      <c r="V511">
        <v>7.19</v>
      </c>
      <c r="W511">
        <v>9302</v>
      </c>
      <c r="X511">
        <v>4619</v>
      </c>
      <c r="Y511">
        <v>2.0099999999999998</v>
      </c>
      <c r="Z511">
        <v>301</v>
      </c>
      <c r="AA511">
        <v>115</v>
      </c>
      <c r="AB511" t="s">
        <v>116</v>
      </c>
      <c r="AC511">
        <v>51200</v>
      </c>
      <c r="AD511">
        <v>0</v>
      </c>
      <c r="AE511" t="s">
        <v>116</v>
      </c>
      <c r="AF511" t="s">
        <v>116</v>
      </c>
      <c r="AG511">
        <v>3.72</v>
      </c>
      <c r="AH511" t="s">
        <v>3367</v>
      </c>
      <c r="AI511" t="s">
        <v>3368</v>
      </c>
      <c r="AJ511">
        <v>-0.28999999999999998</v>
      </c>
      <c r="AK511">
        <v>519</v>
      </c>
      <c r="AL511">
        <v>27</v>
      </c>
      <c r="AM511">
        <v>6.9999999999999999E-4</v>
      </c>
      <c r="AN511">
        <v>-1</v>
      </c>
      <c r="AO511">
        <v>-0.27</v>
      </c>
      <c r="AP511">
        <v>1.86</v>
      </c>
      <c r="AQ511">
        <v>0.42</v>
      </c>
      <c r="AR511">
        <v>4.55</v>
      </c>
      <c r="AS511">
        <v>0.83</v>
      </c>
      <c r="AT511" t="s">
        <v>3369</v>
      </c>
      <c r="AU511">
        <v>29.28</v>
      </c>
      <c r="AV511">
        <v>47.25</v>
      </c>
      <c r="AW511">
        <v>1.2</v>
      </c>
      <c r="BA511">
        <v>0.14000000000000001</v>
      </c>
      <c r="BB511">
        <v>0.56000000000000005</v>
      </c>
      <c r="BC511">
        <v>-1.1100000000000001</v>
      </c>
      <c r="BD511">
        <v>-0.19</v>
      </c>
      <c r="BE511">
        <v>-1.1100000000000001</v>
      </c>
      <c r="BF511">
        <v>-1.52</v>
      </c>
      <c r="BG511">
        <v>0.14000000000000001</v>
      </c>
      <c r="BH511">
        <v>-0.79</v>
      </c>
      <c r="BI511">
        <v>20191026</v>
      </c>
      <c r="BJ511">
        <v>20060627</v>
      </c>
      <c r="BK511">
        <v>7.61</v>
      </c>
      <c r="BL511" t="s">
        <v>116</v>
      </c>
      <c r="BM511" t="s">
        <v>116</v>
      </c>
      <c r="BN511">
        <v>76.959999999999994</v>
      </c>
      <c r="BO511">
        <v>39.020000000000003</v>
      </c>
      <c r="BP511">
        <v>2.2400000000000002</v>
      </c>
      <c r="BQ511">
        <v>46.39</v>
      </c>
      <c r="BR511">
        <v>18.739999999999998</v>
      </c>
      <c r="BS511">
        <v>34.81</v>
      </c>
      <c r="BT511">
        <v>2.15</v>
      </c>
      <c r="BU511">
        <v>10.55</v>
      </c>
      <c r="BV511">
        <v>1.36</v>
      </c>
      <c r="BW511">
        <v>9.27</v>
      </c>
      <c r="BX511">
        <v>20.48</v>
      </c>
      <c r="BY511">
        <v>13.37</v>
      </c>
      <c r="BZ511">
        <v>6.37</v>
      </c>
      <c r="CA511">
        <v>2.76</v>
      </c>
      <c r="CB511">
        <v>0.04</v>
      </c>
      <c r="CC511">
        <v>2.74</v>
      </c>
      <c r="CD511">
        <v>2.2799999999999998</v>
      </c>
      <c r="CE511">
        <v>2.1</v>
      </c>
      <c r="CF511">
        <v>0.91</v>
      </c>
      <c r="CG511">
        <v>9.86</v>
      </c>
      <c r="CH511">
        <v>1.85</v>
      </c>
      <c r="CI511">
        <v>-2.2000000000000002</v>
      </c>
      <c r="CJ511">
        <v>18491</v>
      </c>
      <c r="CK511">
        <v>9082</v>
      </c>
      <c r="CL511" t="s">
        <v>1830</v>
      </c>
      <c r="CM511">
        <v>50.38</v>
      </c>
      <c r="CN511">
        <v>8.07</v>
      </c>
      <c r="CO511">
        <v>1.39</v>
      </c>
      <c r="CP511">
        <v>29.4</v>
      </c>
      <c r="CQ511">
        <v>4.0599999999999996</v>
      </c>
      <c r="CR511">
        <v>0.7</v>
      </c>
      <c r="CS511" t="s">
        <v>3370</v>
      </c>
      <c r="CT511">
        <v>5.13</v>
      </c>
      <c r="CU511">
        <v>0</v>
      </c>
      <c r="CV511">
        <v>2.69</v>
      </c>
      <c r="CW511">
        <v>1.3</v>
      </c>
      <c r="CX511">
        <v>0.24</v>
      </c>
      <c r="CY511">
        <v>50.7</v>
      </c>
      <c r="CZ511" t="s">
        <v>3371</v>
      </c>
      <c r="DA511">
        <v>52.34</v>
      </c>
      <c r="DB511">
        <v>20.66</v>
      </c>
      <c r="DC511">
        <v>15.73</v>
      </c>
      <c r="DD511">
        <v>0.03</v>
      </c>
      <c r="DE511">
        <v>2410</v>
      </c>
      <c r="DF511">
        <v>2053</v>
      </c>
      <c r="DG511" t="s">
        <v>116</v>
      </c>
      <c r="DH511" t="s">
        <v>116</v>
      </c>
      <c r="DI511" t="s">
        <v>116</v>
      </c>
    </row>
    <row r="512" spans="1:113" x14ac:dyDescent="0.4">
      <c r="A512" t="str">
        <f>"002054"</f>
        <v>002054</v>
      </c>
      <c r="B512" t="s">
        <v>3372</v>
      </c>
      <c r="C512">
        <v>-1.19</v>
      </c>
      <c r="D512">
        <v>7.45</v>
      </c>
      <c r="E512">
        <v>-0.09</v>
      </c>
      <c r="F512">
        <v>7.45</v>
      </c>
      <c r="G512">
        <v>7.46</v>
      </c>
      <c r="H512">
        <v>72929</v>
      </c>
      <c r="I512">
        <v>1337</v>
      </c>
      <c r="J512">
        <v>-0.12</v>
      </c>
      <c r="K512">
        <v>2.33</v>
      </c>
      <c r="L512">
        <v>7.52</v>
      </c>
      <c r="M512">
        <v>7.57</v>
      </c>
      <c r="N512">
        <v>7.43</v>
      </c>
      <c r="O512">
        <v>7.54</v>
      </c>
      <c r="P512">
        <v>24.76</v>
      </c>
      <c r="Q512">
        <v>54715024</v>
      </c>
      <c r="R512">
        <v>1.0900000000000001</v>
      </c>
      <c r="S512" t="s">
        <v>891</v>
      </c>
      <c r="T512" t="s">
        <v>551</v>
      </c>
      <c r="U512">
        <v>1.86</v>
      </c>
      <c r="V512">
        <v>7.5</v>
      </c>
      <c r="W512">
        <v>41631</v>
      </c>
      <c r="X512">
        <v>31298</v>
      </c>
      <c r="Y512">
        <v>1.33</v>
      </c>
      <c r="Z512">
        <v>1244</v>
      </c>
      <c r="AA512">
        <v>190</v>
      </c>
      <c r="AB512" t="s">
        <v>116</v>
      </c>
      <c r="AC512">
        <v>345900</v>
      </c>
      <c r="AD512">
        <v>0.02</v>
      </c>
      <c r="AE512" t="s">
        <v>116</v>
      </c>
      <c r="AF512" t="s">
        <v>116</v>
      </c>
      <c r="AG512">
        <v>3.13</v>
      </c>
      <c r="AH512" t="s">
        <v>2834</v>
      </c>
      <c r="AI512" t="s">
        <v>3373</v>
      </c>
      <c r="AJ512">
        <v>-0.51</v>
      </c>
      <c r="AK512">
        <v>1943</v>
      </c>
      <c r="AL512">
        <v>38</v>
      </c>
      <c r="AM512">
        <v>1.1999999999999999E-3</v>
      </c>
      <c r="AN512">
        <v>-1</v>
      </c>
      <c r="AO512">
        <v>0.41</v>
      </c>
      <c r="AP512">
        <v>3.76</v>
      </c>
      <c r="AQ512">
        <v>-0.53</v>
      </c>
      <c r="AR512">
        <v>19.809999999999999</v>
      </c>
      <c r="AS512">
        <v>3.26</v>
      </c>
      <c r="AT512" t="s">
        <v>3374</v>
      </c>
      <c r="AU512">
        <v>27.86</v>
      </c>
      <c r="AV512">
        <v>59.68</v>
      </c>
      <c r="AW512">
        <v>1.1299999999999999</v>
      </c>
      <c r="BA512">
        <v>-0.27</v>
      </c>
      <c r="BB512">
        <v>0.4</v>
      </c>
      <c r="BC512">
        <v>-1.46</v>
      </c>
      <c r="BD512">
        <v>-0.5</v>
      </c>
      <c r="BE512">
        <v>-0.93</v>
      </c>
      <c r="BF512">
        <v>-1.59</v>
      </c>
      <c r="BG512">
        <v>0.27</v>
      </c>
      <c r="BH512">
        <v>-0.7</v>
      </c>
      <c r="BI512">
        <v>20191031</v>
      </c>
      <c r="BJ512">
        <v>20060725</v>
      </c>
      <c r="BK512">
        <v>4.1900000000000004</v>
      </c>
      <c r="BL512" t="s">
        <v>116</v>
      </c>
      <c r="BM512" t="s">
        <v>116</v>
      </c>
      <c r="BN512">
        <v>30.48</v>
      </c>
      <c r="BO512">
        <v>18.77</v>
      </c>
      <c r="BP512">
        <v>2.4300000000000002</v>
      </c>
      <c r="BQ512">
        <v>30.46</v>
      </c>
      <c r="BR512">
        <v>15.27</v>
      </c>
      <c r="BS512">
        <v>5.5</v>
      </c>
      <c r="BT512">
        <v>1</v>
      </c>
      <c r="BU512">
        <v>6.65</v>
      </c>
      <c r="BV512">
        <v>1.95</v>
      </c>
      <c r="BW512">
        <v>5.5</v>
      </c>
      <c r="BX512">
        <v>1.38</v>
      </c>
      <c r="BY512">
        <v>11.63</v>
      </c>
      <c r="BZ512">
        <v>7.28</v>
      </c>
      <c r="CA512">
        <v>1.28</v>
      </c>
      <c r="CB512">
        <v>0.28999999999999998</v>
      </c>
      <c r="CC512">
        <v>1.29</v>
      </c>
      <c r="CD512">
        <v>1.1299999999999999</v>
      </c>
      <c r="CE512">
        <v>0.95</v>
      </c>
      <c r="CF512">
        <v>0.85</v>
      </c>
      <c r="CG512">
        <v>11.88</v>
      </c>
      <c r="CH512">
        <v>0.79</v>
      </c>
      <c r="CI512">
        <v>-0.56000000000000005</v>
      </c>
      <c r="CJ512">
        <v>42464</v>
      </c>
      <c r="CK512">
        <v>5268</v>
      </c>
      <c r="CL512" t="s">
        <v>2743</v>
      </c>
      <c r="CM512">
        <v>171.43</v>
      </c>
      <c r="CN512">
        <v>-7.96</v>
      </c>
      <c r="CO512">
        <v>1.66</v>
      </c>
      <c r="CP512">
        <v>39.380000000000003</v>
      </c>
      <c r="CQ512">
        <v>2.69</v>
      </c>
      <c r="CR512">
        <v>0.7</v>
      </c>
      <c r="CS512" t="s">
        <v>3375</v>
      </c>
      <c r="CT512">
        <v>4.4800000000000004</v>
      </c>
      <c r="CU512">
        <v>0</v>
      </c>
      <c r="CV512">
        <v>0.33</v>
      </c>
      <c r="CW512">
        <v>2.83</v>
      </c>
      <c r="CX512">
        <v>0.19</v>
      </c>
      <c r="CY512">
        <v>61.57</v>
      </c>
      <c r="CZ512" t="s">
        <v>1128</v>
      </c>
      <c r="DA512">
        <v>37.340000000000003</v>
      </c>
      <c r="DB512">
        <v>11.03</v>
      </c>
      <c r="DC512">
        <v>8.14</v>
      </c>
      <c r="DD512">
        <v>0.7</v>
      </c>
      <c r="DE512">
        <v>1611</v>
      </c>
      <c r="DF512">
        <v>2054</v>
      </c>
      <c r="DG512" t="s">
        <v>116</v>
      </c>
      <c r="DH512" t="s">
        <v>116</v>
      </c>
      <c r="DI512" t="s">
        <v>116</v>
      </c>
    </row>
    <row r="513" spans="1:113" x14ac:dyDescent="0.4">
      <c r="A513" t="str">
        <f>"002055"</f>
        <v>002055</v>
      </c>
      <c r="B513" t="s">
        <v>3376</v>
      </c>
      <c r="C513">
        <v>-2.4</v>
      </c>
      <c r="D513">
        <v>10.56</v>
      </c>
      <c r="E513">
        <v>-0.26</v>
      </c>
      <c r="F513">
        <v>10.55</v>
      </c>
      <c r="G513">
        <v>10.56</v>
      </c>
      <c r="H513">
        <v>75792</v>
      </c>
      <c r="I513">
        <v>785</v>
      </c>
      <c r="J513">
        <v>-0.18</v>
      </c>
      <c r="K513">
        <v>1.76</v>
      </c>
      <c r="L513">
        <v>10.87</v>
      </c>
      <c r="M513">
        <v>10.96</v>
      </c>
      <c r="N513">
        <v>10.55</v>
      </c>
      <c r="O513">
        <v>10.82</v>
      </c>
      <c r="P513">
        <v>79.19</v>
      </c>
      <c r="Q513">
        <v>81482160</v>
      </c>
      <c r="R513">
        <v>1.1100000000000001</v>
      </c>
      <c r="S513" t="s">
        <v>233</v>
      </c>
      <c r="T513" t="s">
        <v>115</v>
      </c>
      <c r="U513">
        <v>3.79</v>
      </c>
      <c r="V513">
        <v>10.75</v>
      </c>
      <c r="W513">
        <v>45074</v>
      </c>
      <c r="X513">
        <v>30718</v>
      </c>
      <c r="Y513">
        <v>1.47</v>
      </c>
      <c r="Z513">
        <v>580</v>
      </c>
      <c r="AA513">
        <v>82</v>
      </c>
      <c r="AB513" t="s">
        <v>116</v>
      </c>
      <c r="AC513">
        <v>501700</v>
      </c>
      <c r="AD513">
        <v>0.02</v>
      </c>
      <c r="AE513" t="s">
        <v>116</v>
      </c>
      <c r="AF513" t="s">
        <v>116</v>
      </c>
      <c r="AG513">
        <v>4.3</v>
      </c>
      <c r="AH513" t="s">
        <v>3377</v>
      </c>
      <c r="AI513" t="s">
        <v>3378</v>
      </c>
      <c r="AJ513">
        <v>-1.72</v>
      </c>
      <c r="AK513">
        <v>1829</v>
      </c>
      <c r="AL513">
        <v>41</v>
      </c>
      <c r="AM513">
        <v>1E-3</v>
      </c>
      <c r="AN513">
        <v>-1</v>
      </c>
      <c r="AO513">
        <v>0.19</v>
      </c>
      <c r="AP513">
        <v>10</v>
      </c>
      <c r="AQ513">
        <v>-0.56000000000000005</v>
      </c>
      <c r="AR513">
        <v>9.89</v>
      </c>
      <c r="AS513">
        <v>2.87</v>
      </c>
      <c r="AT513" t="s">
        <v>3379</v>
      </c>
      <c r="AU513">
        <v>22.87</v>
      </c>
      <c r="AV513">
        <v>19.41</v>
      </c>
      <c r="AW513">
        <v>1.26</v>
      </c>
      <c r="BA513">
        <v>0.46</v>
      </c>
      <c r="BB513">
        <v>1.29</v>
      </c>
      <c r="BC513">
        <v>-2.5</v>
      </c>
      <c r="BD513">
        <v>-0.64</v>
      </c>
      <c r="BE513">
        <v>-2.85</v>
      </c>
      <c r="BF513">
        <v>-3.65</v>
      </c>
      <c r="BG513">
        <v>0.09</v>
      </c>
      <c r="BH513">
        <v>-1.76</v>
      </c>
      <c r="BI513">
        <v>20191030</v>
      </c>
      <c r="BJ513">
        <v>20060725</v>
      </c>
      <c r="BK513">
        <v>4.8</v>
      </c>
      <c r="BL513" t="s">
        <v>116</v>
      </c>
      <c r="BM513" t="s">
        <v>116</v>
      </c>
      <c r="BN513">
        <v>101.96</v>
      </c>
      <c r="BO513">
        <v>27.48</v>
      </c>
      <c r="BP513">
        <v>3.72</v>
      </c>
      <c r="BQ513">
        <v>69.400000000000006</v>
      </c>
      <c r="BR513">
        <v>64.95</v>
      </c>
      <c r="BS513">
        <v>12.86</v>
      </c>
      <c r="BT513">
        <v>6.53</v>
      </c>
      <c r="BU513">
        <v>60.59</v>
      </c>
      <c r="BV513">
        <v>20.53</v>
      </c>
      <c r="BW513">
        <v>19.45</v>
      </c>
      <c r="BX513">
        <v>12.94</v>
      </c>
      <c r="BY513">
        <v>49.97</v>
      </c>
      <c r="BZ513">
        <v>42.39</v>
      </c>
      <c r="CA513">
        <v>0.39</v>
      </c>
      <c r="CB513">
        <v>0.62</v>
      </c>
      <c r="CC513">
        <v>0.35</v>
      </c>
      <c r="CD513">
        <v>0.33</v>
      </c>
      <c r="CE513">
        <v>0.48</v>
      </c>
      <c r="CF513">
        <v>0.25</v>
      </c>
      <c r="CG513">
        <v>10.07</v>
      </c>
      <c r="CH513">
        <v>4.2699999999999996</v>
      </c>
      <c r="CI513">
        <v>-1.2</v>
      </c>
      <c r="CJ513">
        <v>45030</v>
      </c>
      <c r="CK513">
        <v>5874</v>
      </c>
      <c r="CL513" t="s">
        <v>3380</v>
      </c>
      <c r="CM513">
        <v>-45.17</v>
      </c>
      <c r="CN513">
        <v>-6.86</v>
      </c>
      <c r="CO513">
        <v>1.84</v>
      </c>
      <c r="CP513">
        <v>11.87</v>
      </c>
      <c r="CQ513">
        <v>1.01</v>
      </c>
      <c r="CR513">
        <v>0.56999999999999995</v>
      </c>
      <c r="CS513" t="s">
        <v>2448</v>
      </c>
      <c r="CT513">
        <v>5.73</v>
      </c>
      <c r="CU513">
        <v>0</v>
      </c>
      <c r="CV513">
        <v>2.7</v>
      </c>
      <c r="CW513">
        <v>2.1</v>
      </c>
      <c r="CX513">
        <v>0.89</v>
      </c>
      <c r="CY513">
        <v>26.95</v>
      </c>
      <c r="CZ513" t="s">
        <v>1787</v>
      </c>
      <c r="DA513">
        <v>15.16</v>
      </c>
      <c r="DB513">
        <v>0.78</v>
      </c>
      <c r="DC513">
        <v>0.96</v>
      </c>
      <c r="DD513">
        <v>1.44</v>
      </c>
      <c r="DE513">
        <v>11065</v>
      </c>
      <c r="DF513">
        <v>2055</v>
      </c>
      <c r="DG513" t="s">
        <v>116</v>
      </c>
      <c r="DH513" t="s">
        <v>116</v>
      </c>
      <c r="DI513" t="s">
        <v>116</v>
      </c>
    </row>
    <row r="514" spans="1:113" x14ac:dyDescent="0.4">
      <c r="A514" t="str">
        <f>"002056"</f>
        <v>002056</v>
      </c>
      <c r="B514" t="s">
        <v>3381</v>
      </c>
      <c r="C514">
        <v>4.9400000000000004</v>
      </c>
      <c r="D514">
        <v>8.5</v>
      </c>
      <c r="E514">
        <v>0.4</v>
      </c>
      <c r="F514">
        <v>8.5</v>
      </c>
      <c r="G514">
        <v>8.51</v>
      </c>
      <c r="H514">
        <v>805210</v>
      </c>
      <c r="I514">
        <v>7482</v>
      </c>
      <c r="J514">
        <v>0</v>
      </c>
      <c r="K514">
        <v>4.96</v>
      </c>
      <c r="L514">
        <v>8.14</v>
      </c>
      <c r="M514">
        <v>8.84</v>
      </c>
      <c r="N514">
        <v>8.14</v>
      </c>
      <c r="O514">
        <v>8.1</v>
      </c>
      <c r="P514">
        <v>21.01</v>
      </c>
      <c r="Q514">
        <v>685771200</v>
      </c>
      <c r="R514">
        <v>1.81</v>
      </c>
      <c r="S514" t="s">
        <v>233</v>
      </c>
      <c r="T514" t="s">
        <v>590</v>
      </c>
      <c r="U514">
        <v>8.64</v>
      </c>
      <c r="V514">
        <v>8.52</v>
      </c>
      <c r="W514">
        <v>362680</v>
      </c>
      <c r="X514">
        <v>442530</v>
      </c>
      <c r="Y514">
        <v>0.82</v>
      </c>
      <c r="Z514">
        <v>2691</v>
      </c>
      <c r="AA514">
        <v>1625</v>
      </c>
      <c r="AB514" t="s">
        <v>116</v>
      </c>
      <c r="AC514">
        <v>755400</v>
      </c>
      <c r="AD514">
        <v>0.01</v>
      </c>
      <c r="AE514" t="s">
        <v>116</v>
      </c>
      <c r="AF514" t="s">
        <v>116</v>
      </c>
      <c r="AG514">
        <v>16.239999999999998</v>
      </c>
      <c r="AH514" t="s">
        <v>3382</v>
      </c>
      <c r="AI514" t="s">
        <v>3383</v>
      </c>
      <c r="AJ514">
        <v>5.62</v>
      </c>
      <c r="AK514">
        <v>4512</v>
      </c>
      <c r="AL514">
        <v>178</v>
      </c>
      <c r="AM514">
        <v>1.1000000000000001E-3</v>
      </c>
      <c r="AN514">
        <v>5</v>
      </c>
      <c r="AO514">
        <v>8.9700000000000006</v>
      </c>
      <c r="AP514">
        <v>25.37</v>
      </c>
      <c r="AQ514">
        <v>22.3</v>
      </c>
      <c r="AR514">
        <v>57.97</v>
      </c>
      <c r="AS514">
        <v>10.47</v>
      </c>
      <c r="AT514" t="s">
        <v>3384</v>
      </c>
      <c r="AU514">
        <v>21.21</v>
      </c>
      <c r="AV514">
        <v>20.28</v>
      </c>
      <c r="AW514">
        <v>0.69</v>
      </c>
      <c r="BA514">
        <v>0.49</v>
      </c>
      <c r="BB514">
        <v>9.14</v>
      </c>
      <c r="BC514">
        <v>0.49</v>
      </c>
      <c r="BD514">
        <v>5.14</v>
      </c>
      <c r="BE514">
        <v>4.42</v>
      </c>
      <c r="BF514">
        <v>-3.85</v>
      </c>
      <c r="BG514">
        <v>4.42</v>
      </c>
      <c r="BH514">
        <v>-0.21</v>
      </c>
      <c r="BI514">
        <v>20191223</v>
      </c>
      <c r="BJ514">
        <v>20060802</v>
      </c>
      <c r="BK514">
        <v>16.440000000000001</v>
      </c>
      <c r="BL514" t="s">
        <v>116</v>
      </c>
      <c r="BM514" t="s">
        <v>116</v>
      </c>
      <c r="BN514">
        <v>80.73</v>
      </c>
      <c r="BO514">
        <v>51.26</v>
      </c>
      <c r="BP514">
        <v>0.08</v>
      </c>
      <c r="BQ514">
        <v>36.409999999999997</v>
      </c>
      <c r="BR514">
        <v>51.6</v>
      </c>
      <c r="BS514">
        <v>21.39</v>
      </c>
      <c r="BT514">
        <v>3.02</v>
      </c>
      <c r="BU514">
        <v>27.43</v>
      </c>
      <c r="BV514">
        <v>6.74</v>
      </c>
      <c r="BW514">
        <v>13.86</v>
      </c>
      <c r="BX514">
        <v>0.1</v>
      </c>
      <c r="BY514">
        <v>47.74</v>
      </c>
      <c r="BZ514">
        <v>36.700000000000003</v>
      </c>
      <c r="CA514">
        <v>5.67</v>
      </c>
      <c r="CB514">
        <v>-0.35</v>
      </c>
      <c r="CC514">
        <v>5.66</v>
      </c>
      <c r="CD514">
        <v>4.99</v>
      </c>
      <c r="CE514">
        <v>4.99</v>
      </c>
      <c r="CF514">
        <v>4.26</v>
      </c>
      <c r="CG514">
        <v>29.17</v>
      </c>
      <c r="CH514">
        <v>13.68</v>
      </c>
      <c r="CI514">
        <v>1.84</v>
      </c>
      <c r="CJ514">
        <v>76200</v>
      </c>
      <c r="CK514">
        <v>10089</v>
      </c>
      <c r="CL514" t="s">
        <v>3385</v>
      </c>
      <c r="CM514">
        <v>-5.73</v>
      </c>
      <c r="CN514">
        <v>-1.34</v>
      </c>
      <c r="CO514">
        <v>2.73</v>
      </c>
      <c r="CP514">
        <v>10.210000000000001</v>
      </c>
      <c r="CQ514">
        <v>2.93</v>
      </c>
      <c r="CR514">
        <v>1.73</v>
      </c>
      <c r="CS514" t="s">
        <v>3386</v>
      </c>
      <c r="CT514">
        <v>3.12</v>
      </c>
      <c r="CU514">
        <v>0</v>
      </c>
      <c r="CV514">
        <v>0.01</v>
      </c>
      <c r="CW514">
        <v>1.77</v>
      </c>
      <c r="CX514">
        <v>0.83</v>
      </c>
      <c r="CY514">
        <v>63.5</v>
      </c>
      <c r="CZ514" t="s">
        <v>3387</v>
      </c>
      <c r="DA514">
        <v>23.13</v>
      </c>
      <c r="DB514">
        <v>11.87</v>
      </c>
      <c r="DC514">
        <v>10.44</v>
      </c>
      <c r="DD514">
        <v>2.46</v>
      </c>
      <c r="DE514">
        <v>15055</v>
      </c>
      <c r="DF514">
        <v>2056</v>
      </c>
      <c r="DG514" t="s">
        <v>116</v>
      </c>
      <c r="DH514" t="s">
        <v>116</v>
      </c>
      <c r="DI514" t="s">
        <v>116</v>
      </c>
    </row>
    <row r="515" spans="1:113" x14ac:dyDescent="0.4">
      <c r="A515" t="str">
        <f>"002057"</f>
        <v>002057</v>
      </c>
      <c r="B515" t="s">
        <v>3388</v>
      </c>
      <c r="C515">
        <v>-2.59</v>
      </c>
      <c r="D515">
        <v>9.01</v>
      </c>
      <c r="E515">
        <v>-0.24</v>
      </c>
      <c r="F515">
        <v>9</v>
      </c>
      <c r="G515">
        <v>9.01</v>
      </c>
      <c r="H515">
        <v>485914</v>
      </c>
      <c r="I515">
        <v>5500</v>
      </c>
      <c r="J515">
        <v>-0.32</v>
      </c>
      <c r="K515">
        <v>10.130000000000001</v>
      </c>
      <c r="L515">
        <v>9.1999999999999993</v>
      </c>
      <c r="M515">
        <v>9.58</v>
      </c>
      <c r="N515">
        <v>9.01</v>
      </c>
      <c r="O515">
        <v>9.25</v>
      </c>
      <c r="P515">
        <v>37.19</v>
      </c>
      <c r="Q515">
        <v>449245824</v>
      </c>
      <c r="R515">
        <v>1.54</v>
      </c>
      <c r="S515" t="s">
        <v>233</v>
      </c>
      <c r="T515" t="s">
        <v>575</v>
      </c>
      <c r="U515">
        <v>6.16</v>
      </c>
      <c r="V515">
        <v>9.25</v>
      </c>
      <c r="W515">
        <v>258317</v>
      </c>
      <c r="X515">
        <v>227597</v>
      </c>
      <c r="Y515">
        <v>1.1299999999999999</v>
      </c>
      <c r="Z515">
        <v>2449</v>
      </c>
      <c r="AA515">
        <v>2078</v>
      </c>
      <c r="AB515" t="s">
        <v>116</v>
      </c>
      <c r="AC515">
        <v>2929300</v>
      </c>
      <c r="AD515">
        <v>0.1</v>
      </c>
      <c r="AE515" t="s">
        <v>116</v>
      </c>
      <c r="AF515" t="s">
        <v>116</v>
      </c>
      <c r="AG515">
        <v>4.79</v>
      </c>
      <c r="AH515" t="s">
        <v>3389</v>
      </c>
      <c r="AI515" t="s">
        <v>3390</v>
      </c>
      <c r="AJ515">
        <v>-1.92</v>
      </c>
      <c r="AK515">
        <v>4256</v>
      </c>
      <c r="AL515">
        <v>114</v>
      </c>
      <c r="AM515">
        <v>2.3999999999999998E-3</v>
      </c>
      <c r="AN515">
        <v>-1</v>
      </c>
      <c r="AO515">
        <v>3.69</v>
      </c>
      <c r="AP515">
        <v>11.65</v>
      </c>
      <c r="AQ515">
        <v>-8.9</v>
      </c>
      <c r="AR515">
        <v>136.28</v>
      </c>
      <c r="AS515">
        <v>14.91</v>
      </c>
      <c r="AT515" t="s">
        <v>3391</v>
      </c>
      <c r="AU515">
        <v>43</v>
      </c>
      <c r="AV515">
        <v>42.38</v>
      </c>
      <c r="AW515">
        <v>1.03</v>
      </c>
      <c r="BA515">
        <v>-0.54</v>
      </c>
      <c r="BB515">
        <v>3.57</v>
      </c>
      <c r="BC515">
        <v>-2.59</v>
      </c>
      <c r="BD515">
        <v>-0.05</v>
      </c>
      <c r="BE515">
        <v>-2.0699999999999998</v>
      </c>
      <c r="BF515">
        <v>-5.95</v>
      </c>
      <c r="BG515">
        <v>0</v>
      </c>
      <c r="BH515">
        <v>-2.54</v>
      </c>
      <c r="BI515">
        <v>20191026</v>
      </c>
      <c r="BJ515">
        <v>20060802</v>
      </c>
      <c r="BK515">
        <v>5.75</v>
      </c>
      <c r="BL515" t="s">
        <v>116</v>
      </c>
      <c r="BM515" t="s">
        <v>116</v>
      </c>
      <c r="BN515">
        <v>19.72</v>
      </c>
      <c r="BO515">
        <v>13.99</v>
      </c>
      <c r="BP515">
        <v>0</v>
      </c>
      <c r="BQ515">
        <v>29.02</v>
      </c>
      <c r="BR515">
        <v>11.5</v>
      </c>
      <c r="BS515">
        <v>4.01</v>
      </c>
      <c r="BT515">
        <v>1.37</v>
      </c>
      <c r="BU515">
        <v>4.0599999999999996</v>
      </c>
      <c r="BV515">
        <v>1.73</v>
      </c>
      <c r="BW515">
        <v>4.5</v>
      </c>
      <c r="BX515">
        <v>3.43</v>
      </c>
      <c r="BY515">
        <v>9.98</v>
      </c>
      <c r="BZ515">
        <v>7.22</v>
      </c>
      <c r="CA515">
        <v>1.18</v>
      </c>
      <c r="CB515">
        <v>0.01</v>
      </c>
      <c r="CC515">
        <v>1.22</v>
      </c>
      <c r="CD515">
        <v>1.05</v>
      </c>
      <c r="CE515">
        <v>1.05</v>
      </c>
      <c r="CF515">
        <v>0.85</v>
      </c>
      <c r="CG515">
        <v>4.37</v>
      </c>
      <c r="CH515">
        <v>-0.84</v>
      </c>
      <c r="CI515">
        <v>-1.08</v>
      </c>
      <c r="CJ515">
        <v>77633</v>
      </c>
      <c r="CK515">
        <v>4199</v>
      </c>
      <c r="CL515" t="s">
        <v>3392</v>
      </c>
      <c r="CM515">
        <v>-1.66</v>
      </c>
      <c r="CN515">
        <v>3.73</v>
      </c>
      <c r="CO515">
        <v>3.7</v>
      </c>
      <c r="CP515">
        <v>-61.59</v>
      </c>
      <c r="CQ515">
        <v>5.19</v>
      </c>
      <c r="CR515">
        <v>0.74</v>
      </c>
      <c r="CS515" t="s">
        <v>3393</v>
      </c>
      <c r="CT515">
        <v>2.4300000000000002</v>
      </c>
      <c r="CU515">
        <v>0</v>
      </c>
      <c r="CV515">
        <v>0.6</v>
      </c>
      <c r="CW515">
        <v>0.76</v>
      </c>
      <c r="CX515">
        <v>-0.15</v>
      </c>
      <c r="CY515">
        <v>70.98</v>
      </c>
      <c r="CZ515" t="s">
        <v>2553</v>
      </c>
      <c r="DA515">
        <v>27.61</v>
      </c>
      <c r="DB515">
        <v>11.81</v>
      </c>
      <c r="DC515">
        <v>10.48</v>
      </c>
      <c r="DD515">
        <v>0.56000000000000005</v>
      </c>
      <c r="DE515">
        <v>1098</v>
      </c>
      <c r="DF515">
        <v>2057</v>
      </c>
      <c r="DG515" t="s">
        <v>116</v>
      </c>
      <c r="DH515" t="s">
        <v>116</v>
      </c>
      <c r="DI515" t="s">
        <v>116</v>
      </c>
    </row>
    <row r="516" spans="1:113" x14ac:dyDescent="0.4">
      <c r="A516" t="str">
        <f>"002058"</f>
        <v>002058</v>
      </c>
      <c r="B516" t="s">
        <v>3394</v>
      </c>
      <c r="C516">
        <v>-1.98</v>
      </c>
      <c r="D516">
        <v>21.74</v>
      </c>
      <c r="E516">
        <v>-0.44</v>
      </c>
      <c r="F516">
        <v>21.59</v>
      </c>
      <c r="G516">
        <v>21.75</v>
      </c>
      <c r="H516">
        <v>21468</v>
      </c>
      <c r="I516">
        <v>371</v>
      </c>
      <c r="J516">
        <v>0.79</v>
      </c>
      <c r="K516">
        <v>1.5</v>
      </c>
      <c r="L516">
        <v>22.08</v>
      </c>
      <c r="M516">
        <v>22.21</v>
      </c>
      <c r="N516">
        <v>21.38</v>
      </c>
      <c r="O516">
        <v>22.18</v>
      </c>
      <c r="P516" t="s">
        <v>116</v>
      </c>
      <c r="Q516">
        <v>46835348</v>
      </c>
      <c r="R516">
        <v>0.78</v>
      </c>
      <c r="S516" t="s">
        <v>2977</v>
      </c>
      <c r="T516" t="s">
        <v>1653</v>
      </c>
      <c r="U516">
        <v>3.74</v>
      </c>
      <c r="V516">
        <v>21.82</v>
      </c>
      <c r="W516">
        <v>13580</v>
      </c>
      <c r="X516">
        <v>7888</v>
      </c>
      <c r="Y516">
        <v>1.72</v>
      </c>
      <c r="Z516">
        <v>7</v>
      </c>
      <c r="AA516">
        <v>278</v>
      </c>
      <c r="AB516" t="s">
        <v>116</v>
      </c>
      <c r="AC516">
        <v>419500</v>
      </c>
      <c r="AD516">
        <v>0.02</v>
      </c>
      <c r="AE516" t="s">
        <v>116</v>
      </c>
      <c r="AF516" t="s">
        <v>116</v>
      </c>
      <c r="AG516">
        <v>1.43</v>
      </c>
      <c r="AH516" t="s">
        <v>3395</v>
      </c>
      <c r="AI516" t="s">
        <v>3396</v>
      </c>
      <c r="AJ516">
        <v>-1.3</v>
      </c>
      <c r="AK516">
        <v>1502</v>
      </c>
      <c r="AL516">
        <v>14</v>
      </c>
      <c r="AM516">
        <v>1E-3</v>
      </c>
      <c r="AN516">
        <v>-1</v>
      </c>
      <c r="AO516">
        <v>-4.3099999999999996</v>
      </c>
      <c r="AP516">
        <v>10.130000000000001</v>
      </c>
      <c r="AQ516">
        <v>48.9</v>
      </c>
      <c r="AR516">
        <v>69.180000000000007</v>
      </c>
      <c r="AS516">
        <v>2.29</v>
      </c>
      <c r="AT516" t="s">
        <v>3397</v>
      </c>
      <c r="AU516" t="s">
        <v>116</v>
      </c>
      <c r="AV516">
        <v>682.92</v>
      </c>
      <c r="AW516">
        <v>0.42</v>
      </c>
      <c r="BA516">
        <v>-0.45</v>
      </c>
      <c r="BB516">
        <v>0.14000000000000001</v>
      </c>
      <c r="BC516">
        <v>-3.61</v>
      </c>
      <c r="BD516">
        <v>-1.64</v>
      </c>
      <c r="BE516">
        <v>-1.54</v>
      </c>
      <c r="BF516">
        <v>-2.12</v>
      </c>
      <c r="BG516">
        <v>1.68</v>
      </c>
      <c r="BH516">
        <v>-0.35</v>
      </c>
      <c r="BI516">
        <v>20191029</v>
      </c>
      <c r="BJ516">
        <v>20060802</v>
      </c>
      <c r="BK516">
        <v>1.43</v>
      </c>
      <c r="BL516" t="s">
        <v>116</v>
      </c>
      <c r="BM516" t="s">
        <v>116</v>
      </c>
      <c r="BN516">
        <v>2.0699999999999998</v>
      </c>
      <c r="BO516">
        <v>1.83</v>
      </c>
      <c r="BP516">
        <v>0</v>
      </c>
      <c r="BQ516">
        <v>11.49</v>
      </c>
      <c r="BR516">
        <v>1.7</v>
      </c>
      <c r="BS516">
        <v>0.16</v>
      </c>
      <c r="BT516">
        <v>0.05</v>
      </c>
      <c r="BU516">
        <v>0.2</v>
      </c>
      <c r="BV516">
        <v>0.56000000000000005</v>
      </c>
      <c r="BW516">
        <v>0.3</v>
      </c>
      <c r="BX516">
        <v>0</v>
      </c>
      <c r="BY516">
        <v>0.64</v>
      </c>
      <c r="BZ516">
        <v>0.43</v>
      </c>
      <c r="CA516">
        <v>-0.05</v>
      </c>
      <c r="CB516">
        <v>0.01</v>
      </c>
      <c r="CC516">
        <v>-0.05</v>
      </c>
      <c r="CD516">
        <v>-0.06</v>
      </c>
      <c r="CE516">
        <v>-0.06</v>
      </c>
      <c r="CF516">
        <v>-0.08</v>
      </c>
      <c r="CG516">
        <v>0.22</v>
      </c>
      <c r="CH516">
        <v>-0.12</v>
      </c>
      <c r="CI516">
        <v>-0.08</v>
      </c>
      <c r="CJ516">
        <v>8061</v>
      </c>
      <c r="CK516">
        <v>11643</v>
      </c>
      <c r="CL516" t="s">
        <v>3398</v>
      </c>
      <c r="CM516">
        <v>-612.88</v>
      </c>
      <c r="CN516">
        <v>-17.77</v>
      </c>
      <c r="CO516">
        <v>17.02</v>
      </c>
      <c r="CP516">
        <v>-266.3</v>
      </c>
      <c r="CQ516">
        <v>48.4</v>
      </c>
      <c r="CR516">
        <v>0.05</v>
      </c>
      <c r="CS516" t="s">
        <v>3399</v>
      </c>
      <c r="CT516">
        <v>1.28</v>
      </c>
      <c r="CU516">
        <v>0</v>
      </c>
      <c r="CV516">
        <v>0</v>
      </c>
      <c r="CW516">
        <v>0.16</v>
      </c>
      <c r="CX516">
        <v>-0.08</v>
      </c>
      <c r="CY516">
        <v>88.51</v>
      </c>
      <c r="CZ516" t="s">
        <v>3400</v>
      </c>
      <c r="DA516">
        <v>32.630000000000003</v>
      </c>
      <c r="DB516">
        <v>-7.3</v>
      </c>
      <c r="DC516">
        <v>-9.5</v>
      </c>
      <c r="DD516">
        <v>0.03</v>
      </c>
      <c r="DE516">
        <v>209</v>
      </c>
      <c r="DF516">
        <v>2058</v>
      </c>
      <c r="DG516" t="s">
        <v>116</v>
      </c>
      <c r="DH516" t="s">
        <v>116</v>
      </c>
      <c r="DI516" t="s">
        <v>116</v>
      </c>
    </row>
    <row r="517" spans="1:113" x14ac:dyDescent="0.4">
      <c r="A517" t="str">
        <f>"002059"</f>
        <v>002059</v>
      </c>
      <c r="B517" t="s">
        <v>3401</v>
      </c>
      <c r="C517">
        <v>-0.41</v>
      </c>
      <c r="D517">
        <v>4.91</v>
      </c>
      <c r="E517">
        <v>-0.02</v>
      </c>
      <c r="F517">
        <v>4.91</v>
      </c>
      <c r="G517">
        <v>4.92</v>
      </c>
      <c r="H517">
        <v>33680</v>
      </c>
      <c r="I517">
        <v>189</v>
      </c>
      <c r="J517">
        <v>-0.4</v>
      </c>
      <c r="K517">
        <v>0.46</v>
      </c>
      <c r="L517">
        <v>4.95</v>
      </c>
      <c r="M517">
        <v>5.0199999999999996</v>
      </c>
      <c r="N517">
        <v>4.9000000000000004</v>
      </c>
      <c r="O517">
        <v>4.93</v>
      </c>
      <c r="P517">
        <v>58.92</v>
      </c>
      <c r="Q517">
        <v>16700807</v>
      </c>
      <c r="R517">
        <v>1.1399999999999999</v>
      </c>
      <c r="S517" t="s">
        <v>493</v>
      </c>
      <c r="T517" t="s">
        <v>1043</v>
      </c>
      <c r="U517">
        <v>2.4300000000000002</v>
      </c>
      <c r="V517">
        <v>4.96</v>
      </c>
      <c r="W517">
        <v>18938</v>
      </c>
      <c r="X517">
        <v>14742</v>
      </c>
      <c r="Y517">
        <v>1.28</v>
      </c>
      <c r="Z517">
        <v>266</v>
      </c>
      <c r="AA517">
        <v>215</v>
      </c>
      <c r="AB517" t="s">
        <v>116</v>
      </c>
      <c r="AC517">
        <v>12400</v>
      </c>
      <c r="AD517">
        <v>0</v>
      </c>
      <c r="AE517" t="s">
        <v>116</v>
      </c>
      <c r="AF517" t="s">
        <v>116</v>
      </c>
      <c r="AG517">
        <v>7.31</v>
      </c>
      <c r="AH517" t="s">
        <v>3402</v>
      </c>
      <c r="AI517" t="s">
        <v>3403</v>
      </c>
      <c r="AJ517">
        <v>0.27</v>
      </c>
      <c r="AK517">
        <v>879</v>
      </c>
      <c r="AL517">
        <v>38</v>
      </c>
      <c r="AM517">
        <v>5.0000000000000001E-4</v>
      </c>
      <c r="AN517">
        <v>-3</v>
      </c>
      <c r="AO517">
        <v>-1.01</v>
      </c>
      <c r="AP517">
        <v>5.36</v>
      </c>
      <c r="AQ517">
        <v>-10.56</v>
      </c>
      <c r="AR517">
        <v>-3.78</v>
      </c>
      <c r="AS517">
        <v>1.02</v>
      </c>
      <c r="AT517" t="s">
        <v>1536</v>
      </c>
      <c r="AU517">
        <v>11.25</v>
      </c>
      <c r="AV517">
        <v>10.199999999999999</v>
      </c>
      <c r="AW517">
        <v>1.23</v>
      </c>
      <c r="BA517">
        <v>0.41</v>
      </c>
      <c r="BB517">
        <v>1.83</v>
      </c>
      <c r="BC517">
        <v>-0.61</v>
      </c>
      <c r="BD517">
        <v>0.57999999999999996</v>
      </c>
      <c r="BE517">
        <v>-0.81</v>
      </c>
      <c r="BF517">
        <v>-2.19</v>
      </c>
      <c r="BG517">
        <v>0.2</v>
      </c>
      <c r="BH517">
        <v>-0.99</v>
      </c>
      <c r="BI517">
        <v>20191028</v>
      </c>
      <c r="BJ517">
        <v>20060810</v>
      </c>
      <c r="BK517">
        <v>10.119999999999999</v>
      </c>
      <c r="BL517" t="s">
        <v>116</v>
      </c>
      <c r="BM517" t="s">
        <v>116</v>
      </c>
      <c r="BN517">
        <v>44.02</v>
      </c>
      <c r="BO517">
        <v>23.33</v>
      </c>
      <c r="BP517">
        <v>1.7</v>
      </c>
      <c r="BQ517">
        <v>43.15</v>
      </c>
      <c r="BR517">
        <v>26.56</v>
      </c>
      <c r="BS517">
        <v>5.57</v>
      </c>
      <c r="BT517">
        <v>3.21</v>
      </c>
      <c r="BU517">
        <v>16.09</v>
      </c>
      <c r="BV517">
        <v>7.98</v>
      </c>
      <c r="BW517">
        <v>7.4</v>
      </c>
      <c r="BX517">
        <v>1.26</v>
      </c>
      <c r="BY517">
        <v>15.74</v>
      </c>
      <c r="BZ517">
        <v>13.04</v>
      </c>
      <c r="CA517">
        <v>0.65</v>
      </c>
      <c r="CB517">
        <v>-0.05</v>
      </c>
      <c r="CC517">
        <v>0.83</v>
      </c>
      <c r="CD517">
        <v>0.63</v>
      </c>
      <c r="CE517">
        <v>0.63</v>
      </c>
      <c r="CF517">
        <v>-0.12</v>
      </c>
      <c r="CG517">
        <v>10.24</v>
      </c>
      <c r="CH517">
        <v>1.47</v>
      </c>
      <c r="CI517">
        <v>-0.39</v>
      </c>
      <c r="CJ517">
        <v>30909</v>
      </c>
      <c r="CK517">
        <v>10636</v>
      </c>
      <c r="CL517" t="s">
        <v>3404</v>
      </c>
      <c r="CM517">
        <v>-41.83</v>
      </c>
      <c r="CN517">
        <v>-11.42</v>
      </c>
      <c r="CO517">
        <v>2.13</v>
      </c>
      <c r="CP517">
        <v>33.85</v>
      </c>
      <c r="CQ517">
        <v>3.16</v>
      </c>
      <c r="CR517">
        <v>0.98</v>
      </c>
      <c r="CS517" t="s">
        <v>2373</v>
      </c>
      <c r="CT517">
        <v>2.2999999999999998</v>
      </c>
      <c r="CU517">
        <v>0</v>
      </c>
      <c r="CV517">
        <v>0.12</v>
      </c>
      <c r="CW517">
        <v>1.01</v>
      </c>
      <c r="CX517">
        <v>0.15</v>
      </c>
      <c r="CY517">
        <v>53</v>
      </c>
      <c r="CZ517" t="s">
        <v>3405</v>
      </c>
      <c r="DA517">
        <v>17.190000000000001</v>
      </c>
      <c r="DB517">
        <v>4.0999999999999996</v>
      </c>
      <c r="DC517">
        <v>4.0199999999999996</v>
      </c>
      <c r="DD517">
        <v>0.21</v>
      </c>
      <c r="DE517">
        <v>2181</v>
      </c>
      <c r="DF517">
        <v>2059</v>
      </c>
      <c r="DG517" t="s">
        <v>116</v>
      </c>
      <c r="DH517" t="s">
        <v>116</v>
      </c>
      <c r="DI517" t="s">
        <v>116</v>
      </c>
    </row>
    <row r="518" spans="1:113" x14ac:dyDescent="0.4">
      <c r="A518" t="str">
        <f>"002060"</f>
        <v>002060</v>
      </c>
      <c r="B518" t="s">
        <v>3406</v>
      </c>
      <c r="C518">
        <v>-0.66</v>
      </c>
      <c r="D518">
        <v>3</v>
      </c>
      <c r="E518">
        <v>-0.02</v>
      </c>
      <c r="F518">
        <v>3</v>
      </c>
      <c r="G518">
        <v>3.01</v>
      </c>
      <c r="H518">
        <v>65134</v>
      </c>
      <c r="I518">
        <v>460</v>
      </c>
      <c r="J518">
        <v>-0.32</v>
      </c>
      <c r="K518">
        <v>0.54</v>
      </c>
      <c r="L518">
        <v>3.04</v>
      </c>
      <c r="M518">
        <v>3.06</v>
      </c>
      <c r="N518">
        <v>3</v>
      </c>
      <c r="O518">
        <v>3.02</v>
      </c>
      <c r="P518">
        <v>22.91</v>
      </c>
      <c r="Q518">
        <v>19739744</v>
      </c>
      <c r="R518">
        <v>1.21</v>
      </c>
      <c r="S518" t="s">
        <v>181</v>
      </c>
      <c r="T518" t="s">
        <v>551</v>
      </c>
      <c r="U518">
        <v>1.99</v>
      </c>
      <c r="V518">
        <v>3.03</v>
      </c>
      <c r="W518">
        <v>43988</v>
      </c>
      <c r="X518">
        <v>21146</v>
      </c>
      <c r="Y518">
        <v>2.08</v>
      </c>
      <c r="Z518">
        <v>1858</v>
      </c>
      <c r="AA518">
        <v>524</v>
      </c>
      <c r="AB518" t="s">
        <v>116</v>
      </c>
      <c r="AC518">
        <v>76000</v>
      </c>
      <c r="AD518">
        <v>0</v>
      </c>
      <c r="AE518" t="s">
        <v>116</v>
      </c>
      <c r="AF518" t="s">
        <v>116</v>
      </c>
      <c r="AG518">
        <v>12.02</v>
      </c>
      <c r="AH518" t="s">
        <v>3407</v>
      </c>
      <c r="AI518" t="s">
        <v>3408</v>
      </c>
      <c r="AJ518">
        <v>0.02</v>
      </c>
      <c r="AK518">
        <v>695</v>
      </c>
      <c r="AL518">
        <v>94</v>
      </c>
      <c r="AM518">
        <v>8.0000000000000004E-4</v>
      </c>
      <c r="AN518">
        <v>-1</v>
      </c>
      <c r="AO518">
        <v>0.01</v>
      </c>
      <c r="AP518">
        <v>3.09</v>
      </c>
      <c r="AQ518">
        <v>-1.32</v>
      </c>
      <c r="AR518">
        <v>11.73</v>
      </c>
      <c r="AS518">
        <v>0.86</v>
      </c>
      <c r="AT518" t="s">
        <v>3409</v>
      </c>
      <c r="AU518">
        <v>15.71</v>
      </c>
      <c r="AV518">
        <v>17.97</v>
      </c>
      <c r="AW518">
        <v>0.5</v>
      </c>
      <c r="BA518">
        <v>0.66</v>
      </c>
      <c r="BB518">
        <v>1.32</v>
      </c>
      <c r="BC518">
        <v>-0.66</v>
      </c>
      <c r="BD518">
        <v>0.35</v>
      </c>
      <c r="BE518">
        <v>-1.32</v>
      </c>
      <c r="BF518">
        <v>-1.96</v>
      </c>
      <c r="BG518">
        <v>0</v>
      </c>
      <c r="BH518">
        <v>-1.01</v>
      </c>
      <c r="BI518">
        <v>20191024</v>
      </c>
      <c r="BJ518">
        <v>20060810</v>
      </c>
      <c r="BK518">
        <v>12.02</v>
      </c>
      <c r="BL518" t="s">
        <v>116</v>
      </c>
      <c r="BM518" t="s">
        <v>116</v>
      </c>
      <c r="BN518">
        <v>234.37</v>
      </c>
      <c r="BO518">
        <v>31.35</v>
      </c>
      <c r="BP518">
        <v>1.72</v>
      </c>
      <c r="BQ518">
        <v>85.89</v>
      </c>
      <c r="BR518">
        <v>103</v>
      </c>
      <c r="BS518">
        <v>85.87</v>
      </c>
      <c r="BT518">
        <v>2.66</v>
      </c>
      <c r="BU518">
        <v>117.39</v>
      </c>
      <c r="BV518">
        <v>31.52</v>
      </c>
      <c r="BW518">
        <v>26.79</v>
      </c>
      <c r="BX518">
        <v>6.47</v>
      </c>
      <c r="BY518">
        <v>77.849999999999994</v>
      </c>
      <c r="BZ518">
        <v>69.849999999999994</v>
      </c>
      <c r="CA518">
        <v>1.82</v>
      </c>
      <c r="CB518">
        <v>0.01</v>
      </c>
      <c r="CC518">
        <v>1.8</v>
      </c>
      <c r="CD518">
        <v>1.28</v>
      </c>
      <c r="CE518">
        <v>1.18</v>
      </c>
      <c r="CF518">
        <v>1.1399999999999999</v>
      </c>
      <c r="CG518">
        <v>10.81</v>
      </c>
      <c r="CH518">
        <v>5.95</v>
      </c>
      <c r="CI518">
        <v>5.83</v>
      </c>
      <c r="CJ518">
        <v>61364</v>
      </c>
      <c r="CK518">
        <v>12271</v>
      </c>
      <c r="CL518" t="s">
        <v>834</v>
      </c>
      <c r="CM518">
        <v>32.229999999999997</v>
      </c>
      <c r="CN518">
        <v>47.59</v>
      </c>
      <c r="CO518">
        <v>1.1499999999999999</v>
      </c>
      <c r="CP518">
        <v>6.06</v>
      </c>
      <c r="CQ518">
        <v>0.46</v>
      </c>
      <c r="CR518">
        <v>1.17</v>
      </c>
      <c r="CS518" t="s">
        <v>821</v>
      </c>
      <c r="CT518">
        <v>2.61</v>
      </c>
      <c r="CU518">
        <v>0</v>
      </c>
      <c r="CV518">
        <v>0.54</v>
      </c>
      <c r="CW518">
        <v>0.9</v>
      </c>
      <c r="CX518">
        <v>0.5</v>
      </c>
      <c r="CY518">
        <v>13.38</v>
      </c>
      <c r="CZ518" t="s">
        <v>3410</v>
      </c>
      <c r="DA518">
        <v>10.27</v>
      </c>
      <c r="DB518">
        <v>2.33</v>
      </c>
      <c r="DC518">
        <v>1.52</v>
      </c>
      <c r="DD518">
        <v>0.15</v>
      </c>
      <c r="DE518">
        <v>4047</v>
      </c>
      <c r="DF518">
        <v>2060</v>
      </c>
      <c r="DG518" t="s">
        <v>116</v>
      </c>
      <c r="DH518" t="s">
        <v>116</v>
      </c>
      <c r="DI518" t="s">
        <v>116</v>
      </c>
    </row>
    <row r="519" spans="1:113" x14ac:dyDescent="0.4">
      <c r="A519" t="str">
        <f>"002061"</f>
        <v>002061</v>
      </c>
      <c r="B519" t="s">
        <v>3411</v>
      </c>
      <c r="C519">
        <v>1.94</v>
      </c>
      <c r="D519">
        <v>5.79</v>
      </c>
      <c r="E519">
        <v>0.11</v>
      </c>
      <c r="F519">
        <v>5.78</v>
      </c>
      <c r="G519">
        <v>5.79</v>
      </c>
      <c r="H519">
        <v>119235</v>
      </c>
      <c r="I519">
        <v>1099</v>
      </c>
      <c r="J519">
        <v>0.17</v>
      </c>
      <c r="K519">
        <v>1.55</v>
      </c>
      <c r="L519">
        <v>5.72</v>
      </c>
      <c r="M519">
        <v>5.9</v>
      </c>
      <c r="N519">
        <v>5.71</v>
      </c>
      <c r="O519">
        <v>5.68</v>
      </c>
      <c r="P519">
        <v>12.81</v>
      </c>
      <c r="Q519">
        <v>69379888</v>
      </c>
      <c r="R519">
        <v>2.25</v>
      </c>
      <c r="S519" t="s">
        <v>181</v>
      </c>
      <c r="T519" t="s">
        <v>590</v>
      </c>
      <c r="U519">
        <v>3.35</v>
      </c>
      <c r="V519">
        <v>5.82</v>
      </c>
      <c r="W519">
        <v>57504</v>
      </c>
      <c r="X519">
        <v>61731</v>
      </c>
      <c r="Y519">
        <v>0.93</v>
      </c>
      <c r="Z519">
        <v>286</v>
      </c>
      <c r="AA519">
        <v>1683</v>
      </c>
      <c r="AB519" t="s">
        <v>116</v>
      </c>
      <c r="AC519">
        <v>345500</v>
      </c>
      <c r="AD519">
        <v>0.01</v>
      </c>
      <c r="AE519" t="s">
        <v>116</v>
      </c>
      <c r="AF519" t="s">
        <v>116</v>
      </c>
      <c r="AG519">
        <v>7.71</v>
      </c>
      <c r="AH519" t="s">
        <v>3412</v>
      </c>
      <c r="AI519" t="s">
        <v>3413</v>
      </c>
      <c r="AJ519">
        <v>2.62</v>
      </c>
      <c r="AK519">
        <v>1753</v>
      </c>
      <c r="AL519">
        <v>68</v>
      </c>
      <c r="AM519">
        <v>8.9999999999999998E-4</v>
      </c>
      <c r="AN519">
        <v>2</v>
      </c>
      <c r="AO519">
        <v>2.48</v>
      </c>
      <c r="AP519">
        <v>3.39</v>
      </c>
      <c r="AQ519">
        <v>11.35</v>
      </c>
      <c r="AR519">
        <v>-42.96</v>
      </c>
      <c r="AS519">
        <v>2.2400000000000002</v>
      </c>
      <c r="AT519" t="s">
        <v>3414</v>
      </c>
      <c r="AU519">
        <v>11.28</v>
      </c>
      <c r="AV519">
        <v>6.57</v>
      </c>
      <c r="AW519">
        <v>0.47</v>
      </c>
      <c r="BA519">
        <v>0.7</v>
      </c>
      <c r="BB519">
        <v>3.87</v>
      </c>
      <c r="BC519">
        <v>0.53</v>
      </c>
      <c r="BD519">
        <v>2.44</v>
      </c>
      <c r="BE519">
        <v>1.22</v>
      </c>
      <c r="BF519">
        <v>-1.86</v>
      </c>
      <c r="BG519">
        <v>1.4</v>
      </c>
      <c r="BH519">
        <v>-0.51</v>
      </c>
      <c r="BI519">
        <v>20191129</v>
      </c>
      <c r="BJ519">
        <v>20060816</v>
      </c>
      <c r="BK519">
        <v>13.76</v>
      </c>
      <c r="BL519" t="s">
        <v>116</v>
      </c>
      <c r="BM519" t="s">
        <v>116</v>
      </c>
      <c r="BN519">
        <v>311.54000000000002</v>
      </c>
      <c r="BO519">
        <v>74.260000000000005</v>
      </c>
      <c r="BP519">
        <v>7.94</v>
      </c>
      <c r="BQ519">
        <v>73.62</v>
      </c>
      <c r="BR519">
        <v>233.23</v>
      </c>
      <c r="BS519">
        <v>36.04</v>
      </c>
      <c r="BT519">
        <v>6.21</v>
      </c>
      <c r="BU519">
        <v>215.35</v>
      </c>
      <c r="BV519">
        <v>104.03</v>
      </c>
      <c r="BW519">
        <v>43.3</v>
      </c>
      <c r="BX519">
        <v>29.35</v>
      </c>
      <c r="BY519">
        <v>190.78</v>
      </c>
      <c r="BZ519">
        <v>176.22</v>
      </c>
      <c r="CA519">
        <v>6.96</v>
      </c>
      <c r="CB519">
        <v>0.88</v>
      </c>
      <c r="CC519">
        <v>6.97</v>
      </c>
      <c r="CD519">
        <v>4.87</v>
      </c>
      <c r="CE519">
        <v>4.66</v>
      </c>
      <c r="CF519">
        <v>4.43</v>
      </c>
      <c r="CG519">
        <v>28.57</v>
      </c>
      <c r="CH519">
        <v>-1.88</v>
      </c>
      <c r="CI519">
        <v>-5.5</v>
      </c>
      <c r="CJ519">
        <v>32862</v>
      </c>
      <c r="CK519">
        <v>16173</v>
      </c>
      <c r="CL519" t="s">
        <v>3415</v>
      </c>
      <c r="CM519">
        <v>-52.08</v>
      </c>
      <c r="CN519">
        <v>4.4800000000000004</v>
      </c>
      <c r="CO519">
        <v>1.07</v>
      </c>
      <c r="CP519">
        <v>-42.32</v>
      </c>
      <c r="CQ519">
        <v>0.42</v>
      </c>
      <c r="CR519">
        <v>2.0699999999999998</v>
      </c>
      <c r="CS519" t="s">
        <v>3416</v>
      </c>
      <c r="CT519">
        <v>5.4</v>
      </c>
      <c r="CU519">
        <v>0</v>
      </c>
      <c r="CV519">
        <v>2.13</v>
      </c>
      <c r="CW519">
        <v>2.08</v>
      </c>
      <c r="CX519">
        <v>-0.14000000000000001</v>
      </c>
      <c r="CY519">
        <v>23.84</v>
      </c>
      <c r="CZ519" t="s">
        <v>3417</v>
      </c>
      <c r="DA519">
        <v>7.63</v>
      </c>
      <c r="DB519">
        <v>3.65</v>
      </c>
      <c r="DC519">
        <v>2.44</v>
      </c>
      <c r="DD519">
        <v>2.41</v>
      </c>
      <c r="DE519">
        <v>6597</v>
      </c>
      <c r="DF519">
        <v>2061</v>
      </c>
      <c r="DG519" t="s">
        <v>116</v>
      </c>
      <c r="DH519" t="s">
        <v>116</v>
      </c>
      <c r="DI519" t="s">
        <v>116</v>
      </c>
    </row>
    <row r="520" spans="1:113" x14ac:dyDescent="0.4">
      <c r="A520" t="str">
        <f>"002062"</f>
        <v>002062</v>
      </c>
      <c r="B520" t="s">
        <v>3418</v>
      </c>
      <c r="C520">
        <v>0</v>
      </c>
      <c r="D520">
        <v>3.46</v>
      </c>
      <c r="E520">
        <v>0</v>
      </c>
      <c r="F520">
        <v>3.46</v>
      </c>
      <c r="G520">
        <v>3.47</v>
      </c>
      <c r="H520">
        <v>17657</v>
      </c>
      <c r="I520">
        <v>57</v>
      </c>
      <c r="J520">
        <v>0</v>
      </c>
      <c r="K520">
        <v>0.18</v>
      </c>
      <c r="L520">
        <v>3.44</v>
      </c>
      <c r="M520">
        <v>3.5</v>
      </c>
      <c r="N520">
        <v>3.44</v>
      </c>
      <c r="O520">
        <v>3.46</v>
      </c>
      <c r="P520">
        <v>12.29</v>
      </c>
      <c r="Q520">
        <v>6141830</v>
      </c>
      <c r="R520">
        <v>0.93</v>
      </c>
      <c r="S520" t="s">
        <v>181</v>
      </c>
      <c r="T520" t="s">
        <v>590</v>
      </c>
      <c r="U520">
        <v>1.73</v>
      </c>
      <c r="V520">
        <v>3.48</v>
      </c>
      <c r="W520">
        <v>9575</v>
      </c>
      <c r="X520">
        <v>8082</v>
      </c>
      <c r="Y520">
        <v>1.18</v>
      </c>
      <c r="Z520">
        <v>325</v>
      </c>
      <c r="AA520">
        <v>1730</v>
      </c>
      <c r="AB520" t="s">
        <v>116</v>
      </c>
      <c r="AC520">
        <v>10700</v>
      </c>
      <c r="AD520">
        <v>0</v>
      </c>
      <c r="AE520" t="s">
        <v>116</v>
      </c>
      <c r="AF520" t="s">
        <v>116</v>
      </c>
      <c r="AG520">
        <v>9.6</v>
      </c>
      <c r="AH520" t="s">
        <v>1441</v>
      </c>
      <c r="AI520" t="s">
        <v>3419</v>
      </c>
      <c r="AJ520">
        <v>0.68</v>
      </c>
      <c r="AK520">
        <v>395</v>
      </c>
      <c r="AL520">
        <v>45</v>
      </c>
      <c r="AM520">
        <v>5.0000000000000001E-4</v>
      </c>
      <c r="AN520">
        <v>0</v>
      </c>
      <c r="AO520">
        <v>0</v>
      </c>
      <c r="AP520">
        <v>-0.56999999999999995</v>
      </c>
      <c r="AQ520">
        <v>0.87</v>
      </c>
      <c r="AR520">
        <v>-8.7100000000000009</v>
      </c>
      <c r="AS520">
        <v>0.36</v>
      </c>
      <c r="AT520" t="s">
        <v>3420</v>
      </c>
      <c r="AU520">
        <v>12.3</v>
      </c>
      <c r="AV520">
        <v>12.7</v>
      </c>
      <c r="AW520">
        <v>0.59</v>
      </c>
      <c r="BA520">
        <v>-0.57999999999999996</v>
      </c>
      <c r="BB520">
        <v>1.1599999999999999</v>
      </c>
      <c r="BC520">
        <v>-0.57999999999999996</v>
      </c>
      <c r="BD520">
        <v>0.53</v>
      </c>
      <c r="BE520">
        <v>0.57999999999999996</v>
      </c>
      <c r="BF520">
        <v>-1.1399999999999999</v>
      </c>
      <c r="BG520">
        <v>0.57999999999999996</v>
      </c>
      <c r="BH520">
        <v>-0.53</v>
      </c>
      <c r="BI520">
        <v>20191104</v>
      </c>
      <c r="BJ520">
        <v>20060816</v>
      </c>
      <c r="BK520">
        <v>11.03</v>
      </c>
      <c r="BL520" t="s">
        <v>116</v>
      </c>
      <c r="BM520" t="s">
        <v>116</v>
      </c>
      <c r="BN520">
        <v>149.16999999999999</v>
      </c>
      <c r="BO520">
        <v>31.19</v>
      </c>
      <c r="BP520">
        <v>1.05</v>
      </c>
      <c r="BQ520">
        <v>78.39</v>
      </c>
      <c r="BR520">
        <v>109.39</v>
      </c>
      <c r="BS520">
        <v>13.11</v>
      </c>
      <c r="BT520">
        <v>0.28000000000000003</v>
      </c>
      <c r="BU520">
        <v>99.68</v>
      </c>
      <c r="BV520">
        <v>75.819999999999993</v>
      </c>
      <c r="BW520">
        <v>6.16</v>
      </c>
      <c r="BX520">
        <v>0</v>
      </c>
      <c r="BY520">
        <v>71.39</v>
      </c>
      <c r="BZ520">
        <v>62.27</v>
      </c>
      <c r="CA520">
        <v>3.67</v>
      </c>
      <c r="CB520">
        <v>-0.02</v>
      </c>
      <c r="CC520">
        <v>3.66</v>
      </c>
      <c r="CD520">
        <v>2.69</v>
      </c>
      <c r="CE520">
        <v>2.33</v>
      </c>
      <c r="CF520">
        <v>2.31</v>
      </c>
      <c r="CG520">
        <v>16.09</v>
      </c>
      <c r="CH520">
        <v>-2.38</v>
      </c>
      <c r="CI520">
        <v>-3.05</v>
      </c>
      <c r="CJ520">
        <v>31789</v>
      </c>
      <c r="CK520">
        <v>15334</v>
      </c>
      <c r="CL520" t="s">
        <v>3421</v>
      </c>
      <c r="CM520">
        <v>4.3600000000000003</v>
      </c>
      <c r="CN520">
        <v>8.24</v>
      </c>
      <c r="CO520">
        <v>1.22</v>
      </c>
      <c r="CP520">
        <v>-16.03</v>
      </c>
      <c r="CQ520">
        <v>0.53</v>
      </c>
      <c r="CR520">
        <v>1.45</v>
      </c>
      <c r="CS520" t="s">
        <v>2744</v>
      </c>
      <c r="CT520">
        <v>2.83</v>
      </c>
      <c r="CU520">
        <v>0</v>
      </c>
      <c r="CV520">
        <v>0</v>
      </c>
      <c r="CW520">
        <v>1.46</v>
      </c>
      <c r="CX520">
        <v>-0.22</v>
      </c>
      <c r="CY520">
        <v>20.91</v>
      </c>
      <c r="CZ520" t="s">
        <v>2553</v>
      </c>
      <c r="DA520">
        <v>12.78</v>
      </c>
      <c r="DB520">
        <v>5.14</v>
      </c>
      <c r="DC520">
        <v>3.26</v>
      </c>
      <c r="DD520">
        <v>2.36</v>
      </c>
      <c r="DE520">
        <v>2157</v>
      </c>
      <c r="DF520">
        <v>2062</v>
      </c>
      <c r="DG520" t="s">
        <v>116</v>
      </c>
      <c r="DH520" t="s">
        <v>116</v>
      </c>
      <c r="DI520" t="s">
        <v>116</v>
      </c>
    </row>
    <row r="521" spans="1:113" x14ac:dyDescent="0.4">
      <c r="A521" t="str">
        <f>"002063"</f>
        <v>002063</v>
      </c>
      <c r="B521" t="s">
        <v>3422</v>
      </c>
      <c r="C521">
        <v>-2.72</v>
      </c>
      <c r="D521">
        <v>12.17</v>
      </c>
      <c r="E521">
        <v>-0.34</v>
      </c>
      <c r="F521">
        <v>12.16</v>
      </c>
      <c r="G521">
        <v>12.17</v>
      </c>
      <c r="H521">
        <v>444972</v>
      </c>
      <c r="I521">
        <v>4085</v>
      </c>
      <c r="J521">
        <v>0.08</v>
      </c>
      <c r="K521">
        <v>5.8</v>
      </c>
      <c r="L521">
        <v>12.51</v>
      </c>
      <c r="M521">
        <v>12.68</v>
      </c>
      <c r="N521">
        <v>12.1</v>
      </c>
      <c r="O521">
        <v>12.51</v>
      </c>
      <c r="P521">
        <v>57.72</v>
      </c>
      <c r="Q521">
        <v>550616064</v>
      </c>
      <c r="R521">
        <v>1</v>
      </c>
      <c r="S521" t="s">
        <v>607</v>
      </c>
      <c r="T521" t="s">
        <v>551</v>
      </c>
      <c r="U521">
        <v>4.6399999999999997</v>
      </c>
      <c r="V521">
        <v>12.37</v>
      </c>
      <c r="W521">
        <v>252710</v>
      </c>
      <c r="X521">
        <v>192262</v>
      </c>
      <c r="Y521">
        <v>1.31</v>
      </c>
      <c r="Z521">
        <v>367</v>
      </c>
      <c r="AA521">
        <v>4432</v>
      </c>
      <c r="AB521" t="s">
        <v>116</v>
      </c>
      <c r="AC521">
        <v>3804300</v>
      </c>
      <c r="AD521">
        <v>0.05</v>
      </c>
      <c r="AE521" t="s">
        <v>116</v>
      </c>
      <c r="AF521" t="s">
        <v>116</v>
      </c>
      <c r="AG521">
        <v>7.67</v>
      </c>
      <c r="AH521" t="s">
        <v>3423</v>
      </c>
      <c r="AI521" t="s">
        <v>3424</v>
      </c>
      <c r="AJ521">
        <v>-2.04</v>
      </c>
      <c r="AK521">
        <v>4173</v>
      </c>
      <c r="AL521">
        <v>107</v>
      </c>
      <c r="AM521">
        <v>1.4E-3</v>
      </c>
      <c r="AN521">
        <v>-1</v>
      </c>
      <c r="AO521">
        <v>2.1800000000000002</v>
      </c>
      <c r="AP521">
        <v>12.06</v>
      </c>
      <c r="AQ521">
        <v>21.82</v>
      </c>
      <c r="AR521">
        <v>126.63</v>
      </c>
      <c r="AS521">
        <v>7.23</v>
      </c>
      <c r="AT521" t="s">
        <v>3425</v>
      </c>
      <c r="AU521">
        <v>52.15</v>
      </c>
      <c r="AV521">
        <v>53.04</v>
      </c>
      <c r="AW521">
        <v>1.32</v>
      </c>
      <c r="BA521">
        <v>0</v>
      </c>
      <c r="BB521">
        <v>1.36</v>
      </c>
      <c r="BC521">
        <v>-3.28</v>
      </c>
      <c r="BD521">
        <v>-1.0900000000000001</v>
      </c>
      <c r="BE521">
        <v>-2.72</v>
      </c>
      <c r="BF521">
        <v>-4.0199999999999996</v>
      </c>
      <c r="BG521">
        <v>0.57999999999999996</v>
      </c>
      <c r="BH521">
        <v>-1.63</v>
      </c>
      <c r="BI521">
        <v>20191205</v>
      </c>
      <c r="BJ521">
        <v>20060823</v>
      </c>
      <c r="BK521">
        <v>8.48</v>
      </c>
      <c r="BL521" t="s">
        <v>116</v>
      </c>
      <c r="BM521" t="s">
        <v>116</v>
      </c>
      <c r="BN521">
        <v>27.31</v>
      </c>
      <c r="BO521">
        <v>23.45</v>
      </c>
      <c r="BP521">
        <v>0.8</v>
      </c>
      <c r="BQ521">
        <v>11.23</v>
      </c>
      <c r="BR521">
        <v>19.12</v>
      </c>
      <c r="BS521">
        <v>1.63</v>
      </c>
      <c r="BT521">
        <v>0.57999999999999996</v>
      </c>
      <c r="BU521">
        <v>2.93</v>
      </c>
      <c r="BV521">
        <v>0.76</v>
      </c>
      <c r="BW521">
        <v>12.05</v>
      </c>
      <c r="BX521">
        <v>1.46</v>
      </c>
      <c r="BY521">
        <v>9.4499999999999993</v>
      </c>
      <c r="BZ521">
        <v>2.99</v>
      </c>
      <c r="CA521">
        <v>1.28</v>
      </c>
      <c r="CB521">
        <v>0.02</v>
      </c>
      <c r="CC521">
        <v>1.28</v>
      </c>
      <c r="CD521">
        <v>1.21</v>
      </c>
      <c r="CE521">
        <v>1.34</v>
      </c>
      <c r="CF521">
        <v>1.31</v>
      </c>
      <c r="CG521">
        <v>11.48</v>
      </c>
      <c r="CH521">
        <v>-5.03</v>
      </c>
      <c r="CI521">
        <v>-6.73</v>
      </c>
      <c r="CJ521">
        <v>52119</v>
      </c>
      <c r="CK521">
        <v>11815</v>
      </c>
      <c r="CL521" t="s">
        <v>3426</v>
      </c>
      <c r="CM521">
        <v>2.52</v>
      </c>
      <c r="CN521">
        <v>9.86</v>
      </c>
      <c r="CO521">
        <v>4.4000000000000004</v>
      </c>
      <c r="CP521">
        <v>-20.54</v>
      </c>
      <c r="CQ521">
        <v>10.93</v>
      </c>
      <c r="CR521">
        <v>0.41</v>
      </c>
      <c r="CS521" t="s">
        <v>3427</v>
      </c>
      <c r="CT521">
        <v>2.76</v>
      </c>
      <c r="CU521">
        <v>0</v>
      </c>
      <c r="CV521">
        <v>0.17</v>
      </c>
      <c r="CW521">
        <v>1.35</v>
      </c>
      <c r="CX521">
        <v>-0.59</v>
      </c>
      <c r="CY521">
        <v>85.86</v>
      </c>
      <c r="CZ521" t="s">
        <v>276</v>
      </c>
      <c r="DA521">
        <v>68.400000000000006</v>
      </c>
      <c r="DB521">
        <v>13.58</v>
      </c>
      <c r="DC521">
        <v>14.2</v>
      </c>
      <c r="DD521">
        <v>2.25</v>
      </c>
      <c r="DE521">
        <v>4230</v>
      </c>
      <c r="DF521">
        <v>2063</v>
      </c>
      <c r="DG521" t="s">
        <v>116</v>
      </c>
      <c r="DH521" t="s">
        <v>116</v>
      </c>
      <c r="DI521" t="s">
        <v>116</v>
      </c>
    </row>
    <row r="522" spans="1:113" x14ac:dyDescent="0.4">
      <c r="A522" t="str">
        <f>"002064"</f>
        <v>002064</v>
      </c>
      <c r="B522" t="s">
        <v>3428</v>
      </c>
      <c r="C522">
        <v>-1.1100000000000001</v>
      </c>
      <c r="D522">
        <v>6.24</v>
      </c>
      <c r="E522">
        <v>-7.0000000000000007E-2</v>
      </c>
      <c r="F522">
        <v>6.23</v>
      </c>
      <c r="G522">
        <v>6.24</v>
      </c>
      <c r="H522">
        <v>100769</v>
      </c>
      <c r="I522">
        <v>1430</v>
      </c>
      <c r="J522">
        <v>0</v>
      </c>
      <c r="K522">
        <v>0.65</v>
      </c>
      <c r="L522">
        <v>6.3</v>
      </c>
      <c r="M522">
        <v>6.37</v>
      </c>
      <c r="N522">
        <v>6.22</v>
      </c>
      <c r="O522">
        <v>6.31</v>
      </c>
      <c r="P522">
        <v>56.33</v>
      </c>
      <c r="Q522">
        <v>63304876</v>
      </c>
      <c r="R522">
        <v>1.01</v>
      </c>
      <c r="S522" t="s">
        <v>630</v>
      </c>
      <c r="T522" t="s">
        <v>590</v>
      </c>
      <c r="U522">
        <v>2.38</v>
      </c>
      <c r="V522">
        <v>6.28</v>
      </c>
      <c r="W522">
        <v>47276</v>
      </c>
      <c r="X522">
        <v>53493</v>
      </c>
      <c r="Y522">
        <v>0.88</v>
      </c>
      <c r="Z522">
        <v>1613</v>
      </c>
      <c r="AA522">
        <v>586</v>
      </c>
      <c r="AB522" t="s">
        <v>116</v>
      </c>
      <c r="AC522">
        <v>99500</v>
      </c>
      <c r="AD522">
        <v>0</v>
      </c>
      <c r="AE522" t="s">
        <v>116</v>
      </c>
      <c r="AF522" t="s">
        <v>116</v>
      </c>
      <c r="AG522">
        <v>15.56</v>
      </c>
      <c r="AH522" t="s">
        <v>3429</v>
      </c>
      <c r="AI522" t="s">
        <v>3430</v>
      </c>
      <c r="AJ522">
        <v>-0.43</v>
      </c>
      <c r="AK522">
        <v>2907</v>
      </c>
      <c r="AL522">
        <v>35</v>
      </c>
      <c r="AM522">
        <v>2.0000000000000001E-4</v>
      </c>
      <c r="AN522">
        <v>-1</v>
      </c>
      <c r="AO522">
        <v>4</v>
      </c>
      <c r="AP522">
        <v>9.4700000000000006</v>
      </c>
      <c r="AQ522">
        <v>17.07</v>
      </c>
      <c r="AR522">
        <v>50</v>
      </c>
      <c r="AS522">
        <v>1.01</v>
      </c>
      <c r="AT522" t="s">
        <v>3431</v>
      </c>
      <c r="AU522">
        <v>60.48</v>
      </c>
      <c r="AV522">
        <v>60.24</v>
      </c>
      <c r="AW522">
        <v>0.92</v>
      </c>
      <c r="BA522">
        <v>-0.16</v>
      </c>
      <c r="BB522">
        <v>0.95</v>
      </c>
      <c r="BC522">
        <v>-1.43</v>
      </c>
      <c r="BD522">
        <v>-0.44</v>
      </c>
      <c r="BE522">
        <v>-0.95</v>
      </c>
      <c r="BF522">
        <v>-2.04</v>
      </c>
      <c r="BG522">
        <v>0.32</v>
      </c>
      <c r="BH522">
        <v>-0.67</v>
      </c>
      <c r="BI522">
        <v>20191217</v>
      </c>
      <c r="BJ522">
        <v>20060823</v>
      </c>
      <c r="BK522">
        <v>42.98</v>
      </c>
      <c r="BL522" t="s">
        <v>116</v>
      </c>
      <c r="BM522" t="s">
        <v>116</v>
      </c>
      <c r="BN522">
        <v>63.29</v>
      </c>
      <c r="BO522">
        <v>41.08</v>
      </c>
      <c r="BP522">
        <v>0</v>
      </c>
      <c r="BQ522">
        <v>35.1</v>
      </c>
      <c r="BR522">
        <v>25.49</v>
      </c>
      <c r="BS522">
        <v>19.850000000000001</v>
      </c>
      <c r="BT522">
        <v>2.94</v>
      </c>
      <c r="BU522">
        <v>19.399999999999999</v>
      </c>
      <c r="BV522">
        <v>6.06</v>
      </c>
      <c r="BW522">
        <v>7.47</v>
      </c>
      <c r="BX522">
        <v>0.2</v>
      </c>
      <c r="BY522">
        <v>32.799999999999997</v>
      </c>
      <c r="BZ522">
        <v>25.31</v>
      </c>
      <c r="CA522">
        <v>4.2</v>
      </c>
      <c r="CB522">
        <v>0.36</v>
      </c>
      <c r="CC522">
        <v>4.2</v>
      </c>
      <c r="CD522">
        <v>3.57</v>
      </c>
      <c r="CE522">
        <v>3.57</v>
      </c>
      <c r="CF522">
        <v>3.5</v>
      </c>
      <c r="CG522">
        <v>21.26</v>
      </c>
      <c r="CH522">
        <v>6.26</v>
      </c>
      <c r="CI522">
        <v>-0.84</v>
      </c>
      <c r="CJ522">
        <v>61511</v>
      </c>
      <c r="CK522">
        <v>16290</v>
      </c>
      <c r="CL522" t="s">
        <v>3432</v>
      </c>
      <c r="CM522">
        <v>-0.48</v>
      </c>
      <c r="CN522">
        <v>-2.42</v>
      </c>
      <c r="CO522">
        <v>2.5499999999999998</v>
      </c>
      <c r="CP522">
        <v>42.82</v>
      </c>
      <c r="CQ522">
        <v>8.18</v>
      </c>
      <c r="CR522">
        <v>0.19</v>
      </c>
      <c r="CS522" t="s">
        <v>1119</v>
      </c>
      <c r="CT522">
        <v>2.4500000000000002</v>
      </c>
      <c r="CU522">
        <v>2.4500000000000002</v>
      </c>
      <c r="CV522">
        <v>0</v>
      </c>
      <c r="CW522">
        <v>0.49</v>
      </c>
      <c r="CX522">
        <v>0.15</v>
      </c>
      <c r="CY522">
        <v>64.900000000000006</v>
      </c>
      <c r="CZ522" t="s">
        <v>3433</v>
      </c>
      <c r="DA522">
        <v>22.86</v>
      </c>
      <c r="DB522">
        <v>12.8</v>
      </c>
      <c r="DC522">
        <v>10.89</v>
      </c>
      <c r="DD522">
        <v>1.24</v>
      </c>
      <c r="DE522">
        <v>2576</v>
      </c>
      <c r="DF522">
        <v>2064</v>
      </c>
      <c r="DG522" t="s">
        <v>116</v>
      </c>
      <c r="DH522" t="s">
        <v>116</v>
      </c>
      <c r="DI522" t="s">
        <v>116</v>
      </c>
    </row>
    <row r="523" spans="1:113" x14ac:dyDescent="0.4">
      <c r="A523" t="str">
        <f>"002065"</f>
        <v>002065</v>
      </c>
      <c r="B523" t="s">
        <v>3434</v>
      </c>
      <c r="C523">
        <v>-4.0999999999999996</v>
      </c>
      <c r="D523">
        <v>10.050000000000001</v>
      </c>
      <c r="E523">
        <v>-0.43</v>
      </c>
      <c r="F523">
        <v>10.050000000000001</v>
      </c>
      <c r="G523">
        <v>10.06</v>
      </c>
      <c r="H523">
        <v>739539</v>
      </c>
      <c r="I523">
        <v>7202</v>
      </c>
      <c r="J523">
        <v>0.3</v>
      </c>
      <c r="K523">
        <v>2.63</v>
      </c>
      <c r="L523">
        <v>10.61</v>
      </c>
      <c r="M523">
        <v>10.75</v>
      </c>
      <c r="N523">
        <v>9.98</v>
      </c>
      <c r="O523">
        <v>10.48</v>
      </c>
      <c r="P523">
        <v>31.17</v>
      </c>
      <c r="Q523">
        <v>763494336</v>
      </c>
      <c r="R523">
        <v>1.59</v>
      </c>
      <c r="S523" t="s">
        <v>607</v>
      </c>
      <c r="T523" t="s">
        <v>165</v>
      </c>
      <c r="U523">
        <v>7.35</v>
      </c>
      <c r="V523">
        <v>10.32</v>
      </c>
      <c r="W523">
        <v>414323</v>
      </c>
      <c r="X523">
        <v>325216</v>
      </c>
      <c r="Y523">
        <v>1.27</v>
      </c>
      <c r="Z523">
        <v>1506</v>
      </c>
      <c r="AA523">
        <v>2537</v>
      </c>
      <c r="AB523" t="s">
        <v>116</v>
      </c>
      <c r="AC523">
        <v>3792900</v>
      </c>
      <c r="AD523">
        <v>0.02</v>
      </c>
      <c r="AE523" t="s">
        <v>116</v>
      </c>
      <c r="AF523" t="s">
        <v>116</v>
      </c>
      <c r="AG523">
        <v>28.08</v>
      </c>
      <c r="AH523" t="s">
        <v>3435</v>
      </c>
      <c r="AI523" t="s">
        <v>3436</v>
      </c>
      <c r="AJ523">
        <v>-3.42</v>
      </c>
      <c r="AK523">
        <v>4319</v>
      </c>
      <c r="AL523">
        <v>171</v>
      </c>
      <c r="AM523">
        <v>5.9999999999999995E-4</v>
      </c>
      <c r="AN523">
        <v>-1</v>
      </c>
      <c r="AO523">
        <v>-4.28</v>
      </c>
      <c r="AP523">
        <v>9.6</v>
      </c>
      <c r="AQ523">
        <v>46.5</v>
      </c>
      <c r="AR523">
        <v>46.72</v>
      </c>
      <c r="AS523">
        <v>4.12</v>
      </c>
      <c r="AT523" t="s">
        <v>3437</v>
      </c>
      <c r="AU523">
        <v>34.58</v>
      </c>
      <c r="AV523">
        <v>38.83</v>
      </c>
      <c r="AW523">
        <v>2.0099999999999998</v>
      </c>
      <c r="BA523">
        <v>1.24</v>
      </c>
      <c r="BB523">
        <v>2.58</v>
      </c>
      <c r="BC523">
        <v>-4.7699999999999996</v>
      </c>
      <c r="BD523">
        <v>-1.49</v>
      </c>
      <c r="BE523">
        <v>-5.28</v>
      </c>
      <c r="BF523">
        <v>-6.51</v>
      </c>
      <c r="BG523">
        <v>0.7</v>
      </c>
      <c r="BH523">
        <v>-2.61</v>
      </c>
      <c r="BI523">
        <v>20191023</v>
      </c>
      <c r="BJ523">
        <v>20060823</v>
      </c>
      <c r="BK523">
        <v>31.15</v>
      </c>
      <c r="BL523" t="s">
        <v>116</v>
      </c>
      <c r="BM523" t="s">
        <v>116</v>
      </c>
      <c r="BN523">
        <v>170.02</v>
      </c>
      <c r="BO523">
        <v>96.11</v>
      </c>
      <c r="BP523">
        <v>0.65</v>
      </c>
      <c r="BQ523">
        <v>43.09</v>
      </c>
      <c r="BR523">
        <v>147.82</v>
      </c>
      <c r="BS523">
        <v>2.4700000000000002</v>
      </c>
      <c r="BT523">
        <v>0.91</v>
      </c>
      <c r="BU523">
        <v>71.7</v>
      </c>
      <c r="BV523">
        <v>55.19</v>
      </c>
      <c r="BW523">
        <v>66.37</v>
      </c>
      <c r="BX523">
        <v>21.48</v>
      </c>
      <c r="BY523">
        <v>57.33</v>
      </c>
      <c r="BZ523">
        <v>37.28</v>
      </c>
      <c r="CA523">
        <v>7.91</v>
      </c>
      <c r="CB523">
        <v>0.13</v>
      </c>
      <c r="CC523">
        <v>7.92</v>
      </c>
      <c r="CD523">
        <v>7.38</v>
      </c>
      <c r="CE523">
        <v>7.53</v>
      </c>
      <c r="CF523">
        <v>7.26</v>
      </c>
      <c r="CG523">
        <v>37.25</v>
      </c>
      <c r="CH523">
        <v>-8.9700000000000006</v>
      </c>
      <c r="CI523">
        <v>-8.25</v>
      </c>
      <c r="CJ523">
        <v>101580</v>
      </c>
      <c r="CK523">
        <v>17674</v>
      </c>
      <c r="CL523" t="s">
        <v>3438</v>
      </c>
      <c r="CM523">
        <v>15.15</v>
      </c>
      <c r="CN523">
        <v>14.34</v>
      </c>
      <c r="CO523">
        <v>3.26</v>
      </c>
      <c r="CP523">
        <v>-34.92</v>
      </c>
      <c r="CQ523">
        <v>5.46</v>
      </c>
      <c r="CR523">
        <v>1</v>
      </c>
      <c r="CS523" t="s">
        <v>3439</v>
      </c>
      <c r="CT523">
        <v>3.08</v>
      </c>
      <c r="CU523">
        <v>0</v>
      </c>
      <c r="CV523">
        <v>0.69</v>
      </c>
      <c r="CW523">
        <v>1.2</v>
      </c>
      <c r="CX523">
        <v>-0.28999999999999998</v>
      </c>
      <c r="CY523">
        <v>56.53</v>
      </c>
      <c r="CZ523" t="s">
        <v>1026</v>
      </c>
      <c r="DA523">
        <v>34.99</v>
      </c>
      <c r="DB523">
        <v>13.79</v>
      </c>
      <c r="DC523">
        <v>13.14</v>
      </c>
      <c r="DD523">
        <v>5.62</v>
      </c>
      <c r="DE523">
        <v>8044</v>
      </c>
      <c r="DF523">
        <v>2065</v>
      </c>
      <c r="DG523" t="s">
        <v>116</v>
      </c>
      <c r="DH523" t="s">
        <v>116</v>
      </c>
      <c r="DI523" t="s">
        <v>116</v>
      </c>
    </row>
    <row r="524" spans="1:113" x14ac:dyDescent="0.4">
      <c r="A524" t="str">
        <f>"002066"</f>
        <v>002066</v>
      </c>
      <c r="B524" t="s">
        <v>3440</v>
      </c>
      <c r="C524">
        <v>1.71</v>
      </c>
      <c r="D524">
        <v>7.73</v>
      </c>
      <c r="E524">
        <v>0.13</v>
      </c>
      <c r="F524">
        <v>7.72</v>
      </c>
      <c r="G524">
        <v>7.73</v>
      </c>
      <c r="H524">
        <v>50000</v>
      </c>
      <c r="I524">
        <v>1873</v>
      </c>
      <c r="J524">
        <v>0</v>
      </c>
      <c r="K524">
        <v>2.16</v>
      </c>
      <c r="L524">
        <v>7.59</v>
      </c>
      <c r="M524">
        <v>7.78</v>
      </c>
      <c r="N524">
        <v>7.53</v>
      </c>
      <c r="O524">
        <v>7.6</v>
      </c>
      <c r="P524">
        <v>129.94</v>
      </c>
      <c r="Q524">
        <v>38323296</v>
      </c>
      <c r="R524">
        <v>1.89</v>
      </c>
      <c r="S524" t="s">
        <v>249</v>
      </c>
      <c r="T524" t="s">
        <v>165</v>
      </c>
      <c r="U524">
        <v>3.29</v>
      </c>
      <c r="V524">
        <v>7.66</v>
      </c>
      <c r="W524">
        <v>22612</v>
      </c>
      <c r="X524">
        <v>27388</v>
      </c>
      <c r="Y524">
        <v>0.83</v>
      </c>
      <c r="Z524">
        <v>72</v>
      </c>
      <c r="AA524">
        <v>361</v>
      </c>
      <c r="AB524" t="s">
        <v>116</v>
      </c>
      <c r="AC524">
        <v>343800</v>
      </c>
      <c r="AD524">
        <v>0.03</v>
      </c>
      <c r="AE524" t="s">
        <v>116</v>
      </c>
      <c r="AF524" t="s">
        <v>116</v>
      </c>
      <c r="AG524">
        <v>2.31</v>
      </c>
      <c r="AH524" t="s">
        <v>3441</v>
      </c>
      <c r="AI524" t="s">
        <v>3441</v>
      </c>
      <c r="AJ524">
        <v>2.39</v>
      </c>
      <c r="AK524">
        <v>1091</v>
      </c>
      <c r="AL524">
        <v>46</v>
      </c>
      <c r="AM524">
        <v>2E-3</v>
      </c>
      <c r="AN524">
        <v>2</v>
      </c>
      <c r="AO524">
        <v>4.05</v>
      </c>
      <c r="AP524">
        <v>6.47</v>
      </c>
      <c r="AQ524">
        <v>-0.9</v>
      </c>
      <c r="AR524">
        <v>6.62</v>
      </c>
      <c r="AS524">
        <v>3.62</v>
      </c>
      <c r="AT524" t="s">
        <v>1785</v>
      </c>
      <c r="AU524">
        <v>91.86</v>
      </c>
      <c r="AV524">
        <v>103.3</v>
      </c>
      <c r="AW524">
        <v>0.85</v>
      </c>
      <c r="BA524">
        <v>-0.13</v>
      </c>
      <c r="BB524">
        <v>2.37</v>
      </c>
      <c r="BC524">
        <v>-0.92</v>
      </c>
      <c r="BD524">
        <v>0.85</v>
      </c>
      <c r="BE524">
        <v>1.84</v>
      </c>
      <c r="BF524">
        <v>-0.64</v>
      </c>
      <c r="BG524">
        <v>2.66</v>
      </c>
      <c r="BH524">
        <v>0.86</v>
      </c>
      <c r="BI524">
        <v>20191029</v>
      </c>
      <c r="BJ524">
        <v>20060823</v>
      </c>
      <c r="BK524">
        <v>2.31</v>
      </c>
      <c r="BL524" t="s">
        <v>116</v>
      </c>
      <c r="BM524" t="s">
        <v>116</v>
      </c>
      <c r="BN524">
        <v>44.23</v>
      </c>
      <c r="BO524">
        <v>4.3600000000000003</v>
      </c>
      <c r="BP524">
        <v>5.62</v>
      </c>
      <c r="BQ524">
        <v>77.44</v>
      </c>
      <c r="BR524">
        <v>31.21</v>
      </c>
      <c r="BS524">
        <v>9.24</v>
      </c>
      <c r="BT524">
        <v>2.72</v>
      </c>
      <c r="BU524">
        <v>32.86</v>
      </c>
      <c r="BV524">
        <v>11.12</v>
      </c>
      <c r="BW524">
        <v>10.16</v>
      </c>
      <c r="BX524">
        <v>1.63</v>
      </c>
      <c r="BY524">
        <v>28.66</v>
      </c>
      <c r="BZ524">
        <v>23.49</v>
      </c>
      <c r="CA524">
        <v>0.61</v>
      </c>
      <c r="CB524">
        <v>0</v>
      </c>
      <c r="CC524">
        <v>0.69</v>
      </c>
      <c r="CD524">
        <v>0.56000000000000005</v>
      </c>
      <c r="CE524">
        <v>0.1</v>
      </c>
      <c r="CF524">
        <v>0.02</v>
      </c>
      <c r="CG524">
        <v>0.2</v>
      </c>
      <c r="CH524">
        <v>1.1399999999999999</v>
      </c>
      <c r="CI524">
        <v>-0.1</v>
      </c>
      <c r="CJ524">
        <v>26498</v>
      </c>
      <c r="CK524">
        <v>5219</v>
      </c>
      <c r="CL524" t="s">
        <v>3086</v>
      </c>
      <c r="CM524">
        <v>26.41</v>
      </c>
      <c r="CN524">
        <v>1.36</v>
      </c>
      <c r="CO524">
        <v>4.09</v>
      </c>
      <c r="CP524">
        <v>15.73</v>
      </c>
      <c r="CQ524">
        <v>0.62</v>
      </c>
      <c r="CR524">
        <v>0</v>
      </c>
      <c r="CS524" t="s">
        <v>2428</v>
      </c>
      <c r="CT524">
        <v>1.89</v>
      </c>
      <c r="CU524">
        <v>0</v>
      </c>
      <c r="CV524">
        <v>0.71</v>
      </c>
      <c r="CW524">
        <v>0.09</v>
      </c>
      <c r="CX524">
        <v>0.49</v>
      </c>
      <c r="CY524">
        <v>9.86</v>
      </c>
      <c r="CZ524" t="s">
        <v>3442</v>
      </c>
      <c r="DA524">
        <v>18.03</v>
      </c>
      <c r="DB524">
        <v>2.14</v>
      </c>
      <c r="DC524">
        <v>0.36</v>
      </c>
      <c r="DD524">
        <v>0.89</v>
      </c>
      <c r="DE524">
        <v>3048</v>
      </c>
      <c r="DF524">
        <v>2066</v>
      </c>
      <c r="DG524" t="s">
        <v>116</v>
      </c>
      <c r="DH524" t="s">
        <v>116</v>
      </c>
      <c r="DI524" t="s">
        <v>116</v>
      </c>
    </row>
    <row r="525" spans="1:113" x14ac:dyDescent="0.4">
      <c r="A525" t="str">
        <f>"002067"</f>
        <v>002067</v>
      </c>
      <c r="B525" t="s">
        <v>3443</v>
      </c>
      <c r="C525">
        <v>-0.61</v>
      </c>
      <c r="D525">
        <v>3.25</v>
      </c>
      <c r="E525">
        <v>-0.02</v>
      </c>
      <c r="F525">
        <v>3.24</v>
      </c>
      <c r="G525">
        <v>3.25</v>
      </c>
      <c r="H525">
        <v>81432</v>
      </c>
      <c r="I525">
        <v>630</v>
      </c>
      <c r="J525">
        <v>0.31</v>
      </c>
      <c r="K525">
        <v>0.84</v>
      </c>
      <c r="L525">
        <v>3.27</v>
      </c>
      <c r="M525">
        <v>3.3</v>
      </c>
      <c r="N525">
        <v>3.24</v>
      </c>
      <c r="O525">
        <v>3.27</v>
      </c>
      <c r="P525">
        <v>17.829999999999998</v>
      </c>
      <c r="Q525">
        <v>26626414</v>
      </c>
      <c r="R525">
        <v>0.87</v>
      </c>
      <c r="S525" t="s">
        <v>824</v>
      </c>
      <c r="T525" t="s">
        <v>590</v>
      </c>
      <c r="U525">
        <v>1.83</v>
      </c>
      <c r="V525">
        <v>3.27</v>
      </c>
      <c r="W525">
        <v>48862</v>
      </c>
      <c r="X525">
        <v>32570</v>
      </c>
      <c r="Y525">
        <v>1.5</v>
      </c>
      <c r="Z525">
        <v>3676</v>
      </c>
      <c r="AA525">
        <v>231</v>
      </c>
      <c r="AB525" t="s">
        <v>116</v>
      </c>
      <c r="AC525">
        <v>3300</v>
      </c>
      <c r="AD525">
        <v>0</v>
      </c>
      <c r="AE525" t="s">
        <v>116</v>
      </c>
      <c r="AF525" t="s">
        <v>116</v>
      </c>
      <c r="AG525">
        <v>9.74</v>
      </c>
      <c r="AH525" t="s">
        <v>3444</v>
      </c>
      <c r="AI525" t="s">
        <v>3445</v>
      </c>
      <c r="AJ525">
        <v>7.0000000000000007E-2</v>
      </c>
      <c r="AK525">
        <v>905</v>
      </c>
      <c r="AL525">
        <v>90</v>
      </c>
      <c r="AM525">
        <v>8.9999999999999998E-4</v>
      </c>
      <c r="AN525">
        <v>-3</v>
      </c>
      <c r="AO525">
        <v>-1.21</v>
      </c>
      <c r="AP525">
        <v>6.21</v>
      </c>
      <c r="AQ525">
        <v>5.86</v>
      </c>
      <c r="AR525">
        <v>-6.88</v>
      </c>
      <c r="AS525">
        <v>0.88</v>
      </c>
      <c r="AT525" t="s">
        <v>3446</v>
      </c>
      <c r="AU525">
        <v>28.05</v>
      </c>
      <c r="AV525">
        <v>10.77</v>
      </c>
      <c r="AW525">
        <v>0.63</v>
      </c>
      <c r="BA525">
        <v>0</v>
      </c>
      <c r="BB525">
        <v>0.92</v>
      </c>
      <c r="BC525">
        <v>-0.92</v>
      </c>
      <c r="BD525">
        <v>-0.01</v>
      </c>
      <c r="BE525">
        <v>-0.61</v>
      </c>
      <c r="BF525">
        <v>-1.52</v>
      </c>
      <c r="BG525">
        <v>0.31</v>
      </c>
      <c r="BH525">
        <v>-0.6</v>
      </c>
      <c r="BI525">
        <v>20191030</v>
      </c>
      <c r="BJ525">
        <v>20060915</v>
      </c>
      <c r="BK525">
        <v>11.11</v>
      </c>
      <c r="BL525" t="s">
        <v>116</v>
      </c>
      <c r="BM525" t="s">
        <v>116</v>
      </c>
      <c r="BN525">
        <v>63.88</v>
      </c>
      <c r="BO525">
        <v>43.4</v>
      </c>
      <c r="BP525">
        <v>1.53</v>
      </c>
      <c r="BQ525">
        <v>29.66</v>
      </c>
      <c r="BR525">
        <v>32.049999999999997</v>
      </c>
      <c r="BS525">
        <v>24.91</v>
      </c>
      <c r="BT525">
        <v>1.77</v>
      </c>
      <c r="BU525">
        <v>18.8</v>
      </c>
      <c r="BV525">
        <v>4.5599999999999996</v>
      </c>
      <c r="BW525">
        <v>4.4800000000000004</v>
      </c>
      <c r="BX525">
        <v>16.579999999999998</v>
      </c>
      <c r="BY525">
        <v>38.89</v>
      </c>
      <c r="BZ525">
        <v>35.01</v>
      </c>
      <c r="CA525">
        <v>1.67</v>
      </c>
      <c r="CB525">
        <v>0.32</v>
      </c>
      <c r="CC525">
        <v>1.65</v>
      </c>
      <c r="CD525">
        <v>1.6</v>
      </c>
      <c r="CE525">
        <v>1.52</v>
      </c>
      <c r="CF525">
        <v>1.39</v>
      </c>
      <c r="CG525">
        <v>14.3</v>
      </c>
      <c r="CH525">
        <v>10.87</v>
      </c>
      <c r="CI525">
        <v>5.45</v>
      </c>
      <c r="CJ525">
        <v>86134</v>
      </c>
      <c r="CK525">
        <v>10786</v>
      </c>
      <c r="CL525" t="s">
        <v>764</v>
      </c>
      <c r="CM525">
        <v>-57.62</v>
      </c>
      <c r="CN525">
        <v>-12.18</v>
      </c>
      <c r="CO525">
        <v>0.83</v>
      </c>
      <c r="CP525">
        <v>3.32</v>
      </c>
      <c r="CQ525">
        <v>0.93</v>
      </c>
      <c r="CR525">
        <v>0.62</v>
      </c>
      <c r="CS525" t="s">
        <v>519</v>
      </c>
      <c r="CT525">
        <v>3.91</v>
      </c>
      <c r="CU525">
        <v>0</v>
      </c>
      <c r="CV525">
        <v>1.49</v>
      </c>
      <c r="CW525">
        <v>1.29</v>
      </c>
      <c r="CX525">
        <v>0.98</v>
      </c>
      <c r="CY525">
        <v>67.95</v>
      </c>
      <c r="CZ525" t="s">
        <v>2783</v>
      </c>
      <c r="DA525">
        <v>9.9700000000000006</v>
      </c>
      <c r="DB525">
        <v>4.3</v>
      </c>
      <c r="DC525">
        <v>3.91</v>
      </c>
      <c r="DD525">
        <v>1.28</v>
      </c>
      <c r="DE525">
        <v>1975</v>
      </c>
      <c r="DF525">
        <v>2067</v>
      </c>
      <c r="DG525" t="s">
        <v>116</v>
      </c>
      <c r="DH525" t="s">
        <v>116</v>
      </c>
      <c r="DI525" t="s">
        <v>116</v>
      </c>
    </row>
    <row r="526" spans="1:113" x14ac:dyDescent="0.4">
      <c r="A526" t="str">
        <f>"002068"</f>
        <v>002068</v>
      </c>
      <c r="B526" t="s">
        <v>3447</v>
      </c>
      <c r="C526">
        <v>-2.25</v>
      </c>
      <c r="D526">
        <v>4.78</v>
      </c>
      <c r="E526">
        <v>-0.11</v>
      </c>
      <c r="F526">
        <v>4.7699999999999996</v>
      </c>
      <c r="G526">
        <v>4.78</v>
      </c>
      <c r="H526">
        <v>62379</v>
      </c>
      <c r="I526">
        <v>860</v>
      </c>
      <c r="J526">
        <v>0.42</v>
      </c>
      <c r="K526">
        <v>1.03</v>
      </c>
      <c r="L526">
        <v>4.9000000000000004</v>
      </c>
      <c r="M526">
        <v>4.92</v>
      </c>
      <c r="N526">
        <v>4.76</v>
      </c>
      <c r="O526">
        <v>4.8899999999999997</v>
      </c>
      <c r="P526" t="s">
        <v>116</v>
      </c>
      <c r="Q526">
        <v>30100952</v>
      </c>
      <c r="R526">
        <v>0.57999999999999996</v>
      </c>
      <c r="S526" t="s">
        <v>891</v>
      </c>
      <c r="T526" t="s">
        <v>683</v>
      </c>
      <c r="U526">
        <v>3.27</v>
      </c>
      <c r="V526">
        <v>4.83</v>
      </c>
      <c r="W526">
        <v>41245</v>
      </c>
      <c r="X526">
        <v>21134</v>
      </c>
      <c r="Y526">
        <v>1.95</v>
      </c>
      <c r="Z526">
        <v>208</v>
      </c>
      <c r="AA526">
        <v>1571</v>
      </c>
      <c r="AB526" t="s">
        <v>116</v>
      </c>
      <c r="AC526">
        <v>41700</v>
      </c>
      <c r="AD526">
        <v>0</v>
      </c>
      <c r="AE526" t="s">
        <v>116</v>
      </c>
      <c r="AF526" t="s">
        <v>116</v>
      </c>
      <c r="AG526">
        <v>6.07</v>
      </c>
      <c r="AH526" t="s">
        <v>3448</v>
      </c>
      <c r="AI526" t="s">
        <v>3449</v>
      </c>
      <c r="AJ526">
        <v>-1.57</v>
      </c>
      <c r="AK526">
        <v>1181</v>
      </c>
      <c r="AL526">
        <v>53</v>
      </c>
      <c r="AM526">
        <v>8.9999999999999998E-4</v>
      </c>
      <c r="AN526">
        <v>-1</v>
      </c>
      <c r="AO526">
        <v>0</v>
      </c>
      <c r="AP526">
        <v>7.17</v>
      </c>
      <c r="AQ526">
        <v>-2.85</v>
      </c>
      <c r="AR526">
        <v>-14.64</v>
      </c>
      <c r="AS526">
        <v>1.82</v>
      </c>
      <c r="AT526" t="s">
        <v>3450</v>
      </c>
      <c r="AU526" t="s">
        <v>116</v>
      </c>
      <c r="AV526">
        <v>8.66</v>
      </c>
      <c r="AW526">
        <v>0.54</v>
      </c>
      <c r="BA526">
        <v>0.2</v>
      </c>
      <c r="BB526">
        <v>0.61</v>
      </c>
      <c r="BC526">
        <v>-2.66</v>
      </c>
      <c r="BD526">
        <v>-1.32</v>
      </c>
      <c r="BE526">
        <v>-2.4500000000000002</v>
      </c>
      <c r="BF526">
        <v>-2.85</v>
      </c>
      <c r="BG526">
        <v>0.42</v>
      </c>
      <c r="BH526">
        <v>-0.93</v>
      </c>
      <c r="BI526">
        <v>20191024</v>
      </c>
      <c r="BJ526">
        <v>20060915</v>
      </c>
      <c r="BK526">
        <v>7.27</v>
      </c>
      <c r="BL526" t="s">
        <v>116</v>
      </c>
      <c r="BM526" t="s">
        <v>116</v>
      </c>
      <c r="BN526">
        <v>74.98</v>
      </c>
      <c r="BO526">
        <v>30.32</v>
      </c>
      <c r="BP526">
        <v>1.31</v>
      </c>
      <c r="BQ526">
        <v>57.82</v>
      </c>
      <c r="BR526">
        <v>40.36</v>
      </c>
      <c r="BS526">
        <v>29.16</v>
      </c>
      <c r="BT526">
        <v>2.37</v>
      </c>
      <c r="BU526">
        <v>42.38</v>
      </c>
      <c r="BV526">
        <v>8.6999999999999993</v>
      </c>
      <c r="BW526">
        <v>13.63</v>
      </c>
      <c r="BX526">
        <v>14.06</v>
      </c>
      <c r="BY526">
        <v>48.38</v>
      </c>
      <c r="BZ526">
        <v>44.84</v>
      </c>
      <c r="CA526">
        <v>-1.24</v>
      </c>
      <c r="CB526">
        <v>-0.02</v>
      </c>
      <c r="CC526">
        <v>-1.25</v>
      </c>
      <c r="CD526">
        <v>-1.47</v>
      </c>
      <c r="CE526">
        <v>-1.27</v>
      </c>
      <c r="CF526">
        <v>-1.32</v>
      </c>
      <c r="CG526">
        <v>7.72</v>
      </c>
      <c r="CH526">
        <v>1.45</v>
      </c>
      <c r="CI526">
        <v>-2.0499999999999998</v>
      </c>
      <c r="CJ526">
        <v>49236</v>
      </c>
      <c r="CK526">
        <v>6953</v>
      </c>
      <c r="CL526" t="s">
        <v>3451</v>
      </c>
      <c r="CM526">
        <v>-128.84</v>
      </c>
      <c r="CN526">
        <v>-16.190000000000001</v>
      </c>
      <c r="CO526">
        <v>1.1499999999999999</v>
      </c>
      <c r="CP526">
        <v>23.99</v>
      </c>
      <c r="CQ526">
        <v>0.72</v>
      </c>
      <c r="CR526">
        <v>6.28</v>
      </c>
      <c r="CS526" t="s">
        <v>3452</v>
      </c>
      <c r="CT526">
        <v>4.17</v>
      </c>
      <c r="CU526">
        <v>0</v>
      </c>
      <c r="CV526">
        <v>1.93</v>
      </c>
      <c r="CW526">
        <v>1.06</v>
      </c>
      <c r="CX526">
        <v>0.2</v>
      </c>
      <c r="CY526">
        <v>40.43</v>
      </c>
      <c r="CZ526" t="s">
        <v>3453</v>
      </c>
      <c r="DA526">
        <v>7.33</v>
      </c>
      <c r="DB526">
        <v>-2.56</v>
      </c>
      <c r="DC526">
        <v>-2.62</v>
      </c>
      <c r="DD526">
        <v>0</v>
      </c>
      <c r="DE526">
        <v>4314</v>
      </c>
      <c r="DF526">
        <v>2068</v>
      </c>
      <c r="DG526" t="s">
        <v>116</v>
      </c>
      <c r="DH526" t="s">
        <v>116</v>
      </c>
      <c r="DI526" t="s">
        <v>116</v>
      </c>
    </row>
    <row r="527" spans="1:113" x14ac:dyDescent="0.4">
      <c r="A527" t="str">
        <f>"002069"</f>
        <v>002069</v>
      </c>
      <c r="B527" t="s">
        <v>3454</v>
      </c>
      <c r="C527">
        <v>-0.37</v>
      </c>
      <c r="D527">
        <v>2.68</v>
      </c>
      <c r="E527">
        <v>-0.01</v>
      </c>
      <c r="F527">
        <v>2.68</v>
      </c>
      <c r="G527">
        <v>2.69</v>
      </c>
      <c r="H527">
        <v>51587</v>
      </c>
      <c r="I527">
        <v>408</v>
      </c>
      <c r="J527">
        <v>0</v>
      </c>
      <c r="K527">
        <v>0.75</v>
      </c>
      <c r="L527">
        <v>2.69</v>
      </c>
      <c r="M527">
        <v>2.72</v>
      </c>
      <c r="N527">
        <v>2.67</v>
      </c>
      <c r="O527">
        <v>2.69</v>
      </c>
      <c r="P527" t="s">
        <v>116</v>
      </c>
      <c r="Q527">
        <v>13909662</v>
      </c>
      <c r="R527">
        <v>0.91</v>
      </c>
      <c r="S527" t="s">
        <v>2216</v>
      </c>
      <c r="T527" t="s">
        <v>434</v>
      </c>
      <c r="U527">
        <v>1.86</v>
      </c>
      <c r="V527">
        <v>2.7</v>
      </c>
      <c r="W527">
        <v>26749</v>
      </c>
      <c r="X527">
        <v>24838</v>
      </c>
      <c r="Y527">
        <v>1.08</v>
      </c>
      <c r="Z527">
        <v>1609</v>
      </c>
      <c r="AA527">
        <v>2743</v>
      </c>
      <c r="AB527" t="s">
        <v>116</v>
      </c>
      <c r="AC527">
        <v>75300</v>
      </c>
      <c r="AD527">
        <v>0.01</v>
      </c>
      <c r="AE527" t="s">
        <v>116</v>
      </c>
      <c r="AF527" t="s">
        <v>116</v>
      </c>
      <c r="AG527">
        <v>6.89</v>
      </c>
      <c r="AH527" t="s">
        <v>3455</v>
      </c>
      <c r="AI527" t="s">
        <v>1240</v>
      </c>
      <c r="AJ527">
        <v>0.31</v>
      </c>
      <c r="AK527">
        <v>663</v>
      </c>
      <c r="AL527">
        <v>78</v>
      </c>
      <c r="AM527">
        <v>1.1000000000000001E-3</v>
      </c>
      <c r="AN527">
        <v>-2</v>
      </c>
      <c r="AO527">
        <v>0.75</v>
      </c>
      <c r="AP527">
        <v>-1.83</v>
      </c>
      <c r="AQ527">
        <v>-9.76</v>
      </c>
      <c r="AR527">
        <v>-17.79</v>
      </c>
      <c r="AS527">
        <v>1.65</v>
      </c>
      <c r="AT527" t="s">
        <v>3456</v>
      </c>
      <c r="AU527" t="s">
        <v>116</v>
      </c>
      <c r="AV527">
        <v>59.35</v>
      </c>
      <c r="AW527">
        <v>0.67</v>
      </c>
      <c r="BA527">
        <v>0</v>
      </c>
      <c r="BB527">
        <v>1.1200000000000001</v>
      </c>
      <c r="BC527">
        <v>-0.74</v>
      </c>
      <c r="BD527">
        <v>0.24</v>
      </c>
      <c r="BE527">
        <v>-0.37</v>
      </c>
      <c r="BF527">
        <v>-1.47</v>
      </c>
      <c r="BG527">
        <v>0.37</v>
      </c>
      <c r="BH527">
        <v>-0.61</v>
      </c>
      <c r="BI527">
        <v>20191024</v>
      </c>
      <c r="BJ527">
        <v>20060928</v>
      </c>
      <c r="BK527">
        <v>7.11</v>
      </c>
      <c r="BL527" t="s">
        <v>116</v>
      </c>
      <c r="BM527" t="s">
        <v>116</v>
      </c>
      <c r="BN527">
        <v>34.07</v>
      </c>
      <c r="BO527">
        <v>3.56</v>
      </c>
      <c r="BP527">
        <v>0.66</v>
      </c>
      <c r="BQ527">
        <v>87.63</v>
      </c>
      <c r="BR527">
        <v>20.18</v>
      </c>
      <c r="BS527">
        <v>9.57</v>
      </c>
      <c r="BT527">
        <v>2.82</v>
      </c>
      <c r="BU527">
        <v>25.35</v>
      </c>
      <c r="BV527">
        <v>10.84</v>
      </c>
      <c r="BW527">
        <v>3.67</v>
      </c>
      <c r="BX527">
        <v>9.74</v>
      </c>
      <c r="BY527">
        <v>20.11</v>
      </c>
      <c r="BZ527">
        <v>17.14</v>
      </c>
      <c r="CA527">
        <v>-0.22</v>
      </c>
      <c r="CB527">
        <v>0.01</v>
      </c>
      <c r="CC527">
        <v>-0.21</v>
      </c>
      <c r="CD527">
        <v>-0.24</v>
      </c>
      <c r="CE527">
        <v>-0.34</v>
      </c>
      <c r="CF527">
        <v>-0.46</v>
      </c>
      <c r="CG527">
        <v>-15.75</v>
      </c>
      <c r="CH527">
        <v>1.92</v>
      </c>
      <c r="CI527">
        <v>-0.17</v>
      </c>
      <c r="CJ527">
        <v>43934</v>
      </c>
      <c r="CK527">
        <v>7120</v>
      </c>
      <c r="CL527" t="s">
        <v>1328</v>
      </c>
      <c r="CM527">
        <v>-245.53</v>
      </c>
      <c r="CN527">
        <v>-4.4400000000000004</v>
      </c>
      <c r="CO527">
        <v>5.36</v>
      </c>
      <c r="CP527">
        <v>9.91</v>
      </c>
      <c r="CQ527">
        <v>0.95</v>
      </c>
      <c r="CR527">
        <v>0</v>
      </c>
      <c r="CS527" t="s">
        <v>3457</v>
      </c>
      <c r="CT527">
        <v>0.5</v>
      </c>
      <c r="CU527">
        <v>0</v>
      </c>
      <c r="CV527">
        <v>1.37</v>
      </c>
      <c r="CW527">
        <v>-2.21</v>
      </c>
      <c r="CX527">
        <v>0.27</v>
      </c>
      <c r="CY527">
        <v>10.43</v>
      </c>
      <c r="CZ527" t="s">
        <v>3458</v>
      </c>
      <c r="DA527">
        <v>14.76</v>
      </c>
      <c r="DB527">
        <v>-1.08</v>
      </c>
      <c r="DC527">
        <v>-1.69</v>
      </c>
      <c r="DD527">
        <v>0.06</v>
      </c>
      <c r="DE527">
        <v>2711</v>
      </c>
      <c r="DF527">
        <v>2069</v>
      </c>
      <c r="DG527" t="s">
        <v>116</v>
      </c>
      <c r="DH527" t="s">
        <v>116</v>
      </c>
      <c r="DI527" t="s">
        <v>116</v>
      </c>
    </row>
    <row r="528" spans="1:113" x14ac:dyDescent="0.4">
      <c r="A528" t="str">
        <f>"002071"</f>
        <v>002071</v>
      </c>
      <c r="B528" t="s">
        <v>3459</v>
      </c>
      <c r="C528">
        <v>-9.07</v>
      </c>
      <c r="D528">
        <v>3.71</v>
      </c>
      <c r="E528">
        <v>-0.37</v>
      </c>
      <c r="F528">
        <v>3.7</v>
      </c>
      <c r="G528">
        <v>3.71</v>
      </c>
      <c r="H528">
        <v>581152</v>
      </c>
      <c r="I528">
        <v>9782</v>
      </c>
      <c r="J528">
        <v>-1.06</v>
      </c>
      <c r="K528">
        <v>11.14</v>
      </c>
      <c r="L528">
        <v>4</v>
      </c>
      <c r="M528">
        <v>4.05</v>
      </c>
      <c r="N528">
        <v>3.68</v>
      </c>
      <c r="O528">
        <v>4.08</v>
      </c>
      <c r="P528" t="s">
        <v>116</v>
      </c>
      <c r="Q528">
        <v>224306320</v>
      </c>
      <c r="R528">
        <v>1.02</v>
      </c>
      <c r="S528" t="s">
        <v>589</v>
      </c>
      <c r="T528" t="s">
        <v>323</v>
      </c>
      <c r="U528">
        <v>9.07</v>
      </c>
      <c r="V528">
        <v>3.86</v>
      </c>
      <c r="W528">
        <v>333160</v>
      </c>
      <c r="X528">
        <v>247992</v>
      </c>
      <c r="Y528">
        <v>1.34</v>
      </c>
      <c r="Z528">
        <v>4607</v>
      </c>
      <c r="AA528">
        <v>1192</v>
      </c>
      <c r="AB528" t="s">
        <v>116</v>
      </c>
      <c r="AC528">
        <v>3742000</v>
      </c>
      <c r="AD528">
        <v>0.32</v>
      </c>
      <c r="AE528" t="s">
        <v>116</v>
      </c>
      <c r="AF528" t="s">
        <v>116</v>
      </c>
      <c r="AG528">
        <v>5.22</v>
      </c>
      <c r="AH528" t="s">
        <v>3460</v>
      </c>
      <c r="AI528" t="s">
        <v>1175</v>
      </c>
      <c r="AJ528">
        <v>-8.39</v>
      </c>
      <c r="AK528">
        <v>3754</v>
      </c>
      <c r="AL528">
        <v>155</v>
      </c>
      <c r="AM528">
        <v>3.0000000000000001E-3</v>
      </c>
      <c r="AN528">
        <v>-1</v>
      </c>
      <c r="AO528">
        <v>4.8</v>
      </c>
      <c r="AP528">
        <v>28.37</v>
      </c>
      <c r="AQ528">
        <v>14.86</v>
      </c>
      <c r="AR528">
        <v>-18.46</v>
      </c>
      <c r="AS528">
        <v>20.02</v>
      </c>
      <c r="AT528" t="s">
        <v>3461</v>
      </c>
      <c r="AU528" t="s">
        <v>116</v>
      </c>
      <c r="AV528" t="s">
        <v>116</v>
      </c>
      <c r="AW528">
        <v>1.42</v>
      </c>
      <c r="BA528">
        <v>-1.96</v>
      </c>
      <c r="BB528">
        <v>-0.74</v>
      </c>
      <c r="BC528">
        <v>-9.8000000000000007</v>
      </c>
      <c r="BD528">
        <v>-5.4</v>
      </c>
      <c r="BE528">
        <v>-7.25</v>
      </c>
      <c r="BF528">
        <v>-8.4</v>
      </c>
      <c r="BG528">
        <v>0.82</v>
      </c>
      <c r="BH528">
        <v>-3.67</v>
      </c>
      <c r="BI528">
        <v>20191031</v>
      </c>
      <c r="BJ528">
        <v>20061012</v>
      </c>
      <c r="BK528">
        <v>5.25</v>
      </c>
      <c r="BL528" t="s">
        <v>116</v>
      </c>
      <c r="BM528" t="s">
        <v>116</v>
      </c>
      <c r="BN528">
        <v>26.94</v>
      </c>
      <c r="BO528">
        <v>1.97</v>
      </c>
      <c r="BP528">
        <v>2.2200000000000002</v>
      </c>
      <c r="BQ528">
        <v>84.44</v>
      </c>
      <c r="BR528">
        <v>10.17</v>
      </c>
      <c r="BS528">
        <v>3.07</v>
      </c>
      <c r="BT528">
        <v>2.59</v>
      </c>
      <c r="BU528">
        <v>19.739999999999998</v>
      </c>
      <c r="BV528">
        <v>1.59</v>
      </c>
      <c r="BW528">
        <v>6.48</v>
      </c>
      <c r="BX528">
        <v>-6.09</v>
      </c>
      <c r="BY528">
        <v>3.48</v>
      </c>
      <c r="BZ528">
        <v>2.41</v>
      </c>
      <c r="CA528">
        <v>-0.35</v>
      </c>
      <c r="CB528">
        <v>0.03</v>
      </c>
      <c r="CC528">
        <v>-0.27</v>
      </c>
      <c r="CD528">
        <v>-0.36</v>
      </c>
      <c r="CE528">
        <v>-0.41</v>
      </c>
      <c r="CF528">
        <v>-0.44</v>
      </c>
      <c r="CG528">
        <v>2.81</v>
      </c>
      <c r="CH528">
        <v>1.26</v>
      </c>
      <c r="CI528">
        <v>-0.4</v>
      </c>
      <c r="CJ528">
        <v>37979</v>
      </c>
      <c r="CK528">
        <v>7642</v>
      </c>
      <c r="CL528" t="s">
        <v>3462</v>
      </c>
      <c r="CM528">
        <v>-137.02000000000001</v>
      </c>
      <c r="CN528">
        <v>-63.03</v>
      </c>
      <c r="CO528">
        <v>9.9</v>
      </c>
      <c r="CP528">
        <v>15.48</v>
      </c>
      <c r="CQ528">
        <v>5.6</v>
      </c>
      <c r="CR528">
        <v>0</v>
      </c>
      <c r="CS528" t="s">
        <v>3463</v>
      </c>
      <c r="CT528">
        <v>0.37</v>
      </c>
      <c r="CU528">
        <v>0</v>
      </c>
      <c r="CV528">
        <v>-1.1599999999999999</v>
      </c>
      <c r="CW528">
        <v>0.53</v>
      </c>
      <c r="CX528">
        <v>0.24</v>
      </c>
      <c r="CY528">
        <v>7.31</v>
      </c>
      <c r="CZ528" t="s">
        <v>3464</v>
      </c>
      <c r="DA528">
        <v>30.8</v>
      </c>
      <c r="DB528">
        <v>-10.17</v>
      </c>
      <c r="DC528">
        <v>-11.9</v>
      </c>
      <c r="DD528">
        <v>0</v>
      </c>
      <c r="DE528">
        <v>668</v>
      </c>
      <c r="DF528">
        <v>2071</v>
      </c>
      <c r="DG528" t="s">
        <v>116</v>
      </c>
      <c r="DH528" t="s">
        <v>116</v>
      </c>
      <c r="DI528" t="s">
        <v>116</v>
      </c>
    </row>
    <row r="529" spans="1:113" x14ac:dyDescent="0.4">
      <c r="A529" t="str">
        <f>"002072"</f>
        <v>002072</v>
      </c>
      <c r="B529" t="s">
        <v>3465</v>
      </c>
      <c r="C529">
        <v>5.05</v>
      </c>
      <c r="D529">
        <v>6.45</v>
      </c>
      <c r="E529">
        <v>0.31</v>
      </c>
      <c r="F529">
        <v>6.45</v>
      </c>
      <c r="G529" t="s">
        <v>116</v>
      </c>
      <c r="H529">
        <v>42032</v>
      </c>
      <c r="I529">
        <v>75</v>
      </c>
      <c r="J529">
        <v>0</v>
      </c>
      <c r="K529">
        <v>2.5299999999999998</v>
      </c>
      <c r="L529">
        <v>6.15</v>
      </c>
      <c r="M529">
        <v>6.45</v>
      </c>
      <c r="N529">
        <v>6.11</v>
      </c>
      <c r="O529">
        <v>6.14</v>
      </c>
      <c r="P529" t="s">
        <v>116</v>
      </c>
      <c r="Q529">
        <v>26451214</v>
      </c>
      <c r="R529">
        <v>0.68</v>
      </c>
      <c r="S529" t="s">
        <v>1384</v>
      </c>
      <c r="T529" t="s">
        <v>645</v>
      </c>
      <c r="U529">
        <v>5.54</v>
      </c>
      <c r="V529">
        <v>6.29</v>
      </c>
      <c r="W529">
        <v>18599</v>
      </c>
      <c r="X529">
        <v>23433</v>
      </c>
      <c r="Y529">
        <v>0.79</v>
      </c>
      <c r="Z529">
        <v>10377</v>
      </c>
      <c r="AA529">
        <v>0</v>
      </c>
      <c r="AB529" t="s">
        <v>116</v>
      </c>
      <c r="AC529">
        <v>59000</v>
      </c>
      <c r="AD529">
        <v>0.01</v>
      </c>
      <c r="AE529">
        <v>0.25</v>
      </c>
      <c r="AF529">
        <v>6693165</v>
      </c>
      <c r="AG529">
        <v>1.66</v>
      </c>
      <c r="AH529" t="s">
        <v>3466</v>
      </c>
      <c r="AI529" t="s">
        <v>3467</v>
      </c>
      <c r="AJ529">
        <v>5.73</v>
      </c>
      <c r="AK529">
        <v>680</v>
      </c>
      <c r="AL529">
        <v>62</v>
      </c>
      <c r="AM529">
        <v>3.7000000000000002E-3</v>
      </c>
      <c r="AN529">
        <v>1</v>
      </c>
      <c r="AO529">
        <v>10.26</v>
      </c>
      <c r="AP529">
        <v>46.59</v>
      </c>
      <c r="AQ529">
        <v>30.3</v>
      </c>
      <c r="AR529">
        <v>4.71</v>
      </c>
      <c r="AS529">
        <v>2.94</v>
      </c>
      <c r="AT529" t="s">
        <v>3468</v>
      </c>
      <c r="AU529" t="s">
        <v>116</v>
      </c>
      <c r="AV529" t="s">
        <v>116</v>
      </c>
      <c r="AW529">
        <v>0.24</v>
      </c>
      <c r="BA529">
        <v>0.16</v>
      </c>
      <c r="BB529">
        <v>5.05</v>
      </c>
      <c r="BC529">
        <v>-0.49</v>
      </c>
      <c r="BD529">
        <v>2.4900000000000002</v>
      </c>
      <c r="BE529">
        <v>4.88</v>
      </c>
      <c r="BF529">
        <v>0</v>
      </c>
      <c r="BG529">
        <v>5.56</v>
      </c>
      <c r="BH529">
        <v>2.56</v>
      </c>
      <c r="BI529">
        <v>20191024</v>
      </c>
      <c r="BJ529">
        <v>20061018</v>
      </c>
      <c r="BK529">
        <v>1.76</v>
      </c>
      <c r="BL529" t="s">
        <v>116</v>
      </c>
      <c r="BM529" t="s">
        <v>116</v>
      </c>
      <c r="BN529">
        <v>4.18</v>
      </c>
      <c r="BO529">
        <v>-2.08</v>
      </c>
      <c r="BP529">
        <v>0</v>
      </c>
      <c r="BQ529">
        <v>149.88999999999999</v>
      </c>
      <c r="BR529">
        <v>3.19</v>
      </c>
      <c r="BS529">
        <v>0</v>
      </c>
      <c r="BT529">
        <v>0</v>
      </c>
      <c r="BU529">
        <v>6.26</v>
      </c>
      <c r="BV529">
        <v>0</v>
      </c>
      <c r="BW529">
        <v>0.19</v>
      </c>
      <c r="BX529">
        <v>1.92</v>
      </c>
      <c r="BY529">
        <v>0.74</v>
      </c>
      <c r="BZ529">
        <v>0.7</v>
      </c>
      <c r="CA529">
        <v>-0.17</v>
      </c>
      <c r="CB529">
        <v>-0.03</v>
      </c>
      <c r="CC529">
        <v>-0.19</v>
      </c>
      <c r="CD529">
        <v>-0.19</v>
      </c>
      <c r="CE529">
        <v>-0.19</v>
      </c>
      <c r="CF529">
        <v>-0.17</v>
      </c>
      <c r="CG529">
        <v>-6.14</v>
      </c>
      <c r="CH529">
        <v>-0.04</v>
      </c>
      <c r="CI529">
        <v>0</v>
      </c>
      <c r="CJ529">
        <v>16788</v>
      </c>
      <c r="CK529">
        <v>8510</v>
      </c>
      <c r="CL529" t="s">
        <v>3469</v>
      </c>
      <c r="CM529">
        <v>-12.45</v>
      </c>
      <c r="CN529">
        <v>27.25</v>
      </c>
      <c r="CO529">
        <v>-5.45</v>
      </c>
      <c r="CP529">
        <v>-265.33</v>
      </c>
      <c r="CQ529">
        <v>15.37</v>
      </c>
      <c r="CR529">
        <v>0</v>
      </c>
      <c r="CS529" t="s">
        <v>3470</v>
      </c>
      <c r="CT529">
        <v>-1.18</v>
      </c>
      <c r="CU529">
        <v>0</v>
      </c>
      <c r="CV529">
        <v>1.0900000000000001</v>
      </c>
      <c r="CW529">
        <v>-3.49</v>
      </c>
      <c r="CX529">
        <v>-0.02</v>
      </c>
      <c r="CY529">
        <v>-49.89</v>
      </c>
      <c r="CZ529" t="s">
        <v>116</v>
      </c>
      <c r="DA529">
        <v>5.32</v>
      </c>
      <c r="DB529">
        <v>-22.74</v>
      </c>
      <c r="DC529">
        <v>-25.53</v>
      </c>
      <c r="DD529">
        <v>0</v>
      </c>
      <c r="DE529">
        <v>66</v>
      </c>
      <c r="DF529">
        <v>2072</v>
      </c>
      <c r="DG529" t="s">
        <v>116</v>
      </c>
      <c r="DH529" t="s">
        <v>116</v>
      </c>
      <c r="DI529" t="s">
        <v>116</v>
      </c>
    </row>
    <row r="530" spans="1:113" x14ac:dyDescent="0.4">
      <c r="A530" t="str">
        <f>"002073"</f>
        <v>002073</v>
      </c>
      <c r="B530" t="s">
        <v>3471</v>
      </c>
      <c r="C530">
        <v>-1.27</v>
      </c>
      <c r="D530">
        <v>4.66</v>
      </c>
      <c r="E530">
        <v>-0.06</v>
      </c>
      <c r="F530">
        <v>4.6500000000000004</v>
      </c>
      <c r="G530">
        <v>4.66</v>
      </c>
      <c r="H530">
        <v>148204</v>
      </c>
      <c r="I530">
        <v>2734</v>
      </c>
      <c r="J530">
        <v>-0.2</v>
      </c>
      <c r="K530">
        <v>1.8</v>
      </c>
      <c r="L530">
        <v>4.72</v>
      </c>
      <c r="M530">
        <v>4.8099999999999996</v>
      </c>
      <c r="N530">
        <v>4.66</v>
      </c>
      <c r="O530">
        <v>4.72</v>
      </c>
      <c r="P530">
        <v>45.98</v>
      </c>
      <c r="Q530">
        <v>70009680</v>
      </c>
      <c r="R530">
        <v>1</v>
      </c>
      <c r="S530" t="s">
        <v>607</v>
      </c>
      <c r="T530" t="s">
        <v>645</v>
      </c>
      <c r="U530">
        <v>3.18</v>
      </c>
      <c r="V530">
        <v>4.72</v>
      </c>
      <c r="W530">
        <v>82133</v>
      </c>
      <c r="X530">
        <v>66071</v>
      </c>
      <c r="Y530">
        <v>1.24</v>
      </c>
      <c r="Z530">
        <v>1988</v>
      </c>
      <c r="AA530">
        <v>168</v>
      </c>
      <c r="AB530" t="s">
        <v>116</v>
      </c>
      <c r="AC530">
        <v>243600</v>
      </c>
      <c r="AD530">
        <v>0.01</v>
      </c>
      <c r="AE530" t="s">
        <v>116</v>
      </c>
      <c r="AF530" t="s">
        <v>116</v>
      </c>
      <c r="AG530">
        <v>8.25</v>
      </c>
      <c r="AH530" t="s">
        <v>2643</v>
      </c>
      <c r="AI530" t="s">
        <v>3472</v>
      </c>
      <c r="AJ530">
        <v>-0.59</v>
      </c>
      <c r="AK530">
        <v>2478</v>
      </c>
      <c r="AL530">
        <v>60</v>
      </c>
      <c r="AM530">
        <v>6.9999999999999999E-4</v>
      </c>
      <c r="AN530">
        <v>-1</v>
      </c>
      <c r="AO530">
        <v>-2.31</v>
      </c>
      <c r="AP530">
        <v>9.91</v>
      </c>
      <c r="AQ530">
        <v>-19.100000000000001</v>
      </c>
      <c r="AR530">
        <v>2.87</v>
      </c>
      <c r="AS530">
        <v>1.88</v>
      </c>
      <c r="AT530" t="s">
        <v>3473</v>
      </c>
      <c r="AU530" t="s">
        <v>116</v>
      </c>
      <c r="AV530" t="s">
        <v>116</v>
      </c>
      <c r="AW530">
        <v>0.91</v>
      </c>
      <c r="BA530">
        <v>0</v>
      </c>
      <c r="BB530">
        <v>1.91</v>
      </c>
      <c r="BC530">
        <v>-1.27</v>
      </c>
      <c r="BD530">
        <v>0.08</v>
      </c>
      <c r="BE530">
        <v>-1.27</v>
      </c>
      <c r="BF530">
        <v>-3.12</v>
      </c>
      <c r="BG530">
        <v>0</v>
      </c>
      <c r="BH530">
        <v>-1.35</v>
      </c>
      <c r="BI530">
        <v>20191212</v>
      </c>
      <c r="BJ530">
        <v>20061018</v>
      </c>
      <c r="BK530">
        <v>9.34</v>
      </c>
      <c r="BL530" t="s">
        <v>116</v>
      </c>
      <c r="BM530" t="s">
        <v>116</v>
      </c>
      <c r="BN530">
        <v>85.79</v>
      </c>
      <c r="BO530">
        <v>43.24</v>
      </c>
      <c r="BP530">
        <v>2.41</v>
      </c>
      <c r="BQ530">
        <v>46.79</v>
      </c>
      <c r="BR530">
        <v>64.12</v>
      </c>
      <c r="BS530">
        <v>11.13</v>
      </c>
      <c r="BT530">
        <v>3.44</v>
      </c>
      <c r="BU530">
        <v>38</v>
      </c>
      <c r="BV530">
        <v>11.82</v>
      </c>
      <c r="BW530">
        <v>13.35</v>
      </c>
      <c r="BX530">
        <v>20.21</v>
      </c>
      <c r="BY530">
        <v>21.33</v>
      </c>
      <c r="BZ530">
        <v>16.809999999999999</v>
      </c>
      <c r="CA530">
        <v>0.64</v>
      </c>
      <c r="CB530">
        <v>0.19</v>
      </c>
      <c r="CC530">
        <v>0.65</v>
      </c>
      <c r="CD530">
        <v>0.45</v>
      </c>
      <c r="CE530">
        <v>0.71</v>
      </c>
      <c r="CF530">
        <v>0.49</v>
      </c>
      <c r="CG530">
        <v>10.56</v>
      </c>
      <c r="CH530">
        <v>1.77</v>
      </c>
      <c r="CI530">
        <v>2.65</v>
      </c>
      <c r="CJ530">
        <v>50000</v>
      </c>
      <c r="CK530">
        <v>15771</v>
      </c>
      <c r="CL530" t="s">
        <v>3474</v>
      </c>
      <c r="CM530">
        <v>-9.17</v>
      </c>
      <c r="CN530">
        <v>14.96</v>
      </c>
      <c r="CO530">
        <v>1.01</v>
      </c>
      <c r="CP530">
        <v>24.59</v>
      </c>
      <c r="CQ530">
        <v>2.04</v>
      </c>
      <c r="CR530">
        <v>0</v>
      </c>
      <c r="CS530" t="s">
        <v>3475</v>
      </c>
      <c r="CT530">
        <v>4.63</v>
      </c>
      <c r="CU530">
        <v>0</v>
      </c>
      <c r="CV530">
        <v>2.16</v>
      </c>
      <c r="CW530">
        <v>1.1299999999999999</v>
      </c>
      <c r="CX530">
        <v>0.19</v>
      </c>
      <c r="CY530">
        <v>50.4</v>
      </c>
      <c r="CZ530" t="s">
        <v>3476</v>
      </c>
      <c r="DA530">
        <v>21.19</v>
      </c>
      <c r="DB530">
        <v>3</v>
      </c>
      <c r="DC530">
        <v>3.33</v>
      </c>
      <c r="DD530">
        <v>0.91</v>
      </c>
      <c r="DE530">
        <v>2609</v>
      </c>
      <c r="DF530">
        <v>2073</v>
      </c>
      <c r="DG530" t="s">
        <v>116</v>
      </c>
      <c r="DH530" t="s">
        <v>116</v>
      </c>
      <c r="DI530" t="s">
        <v>116</v>
      </c>
    </row>
    <row r="531" spans="1:113" x14ac:dyDescent="0.4">
      <c r="A531" t="str">
        <f>"002074"</f>
        <v>002074</v>
      </c>
      <c r="B531" t="s">
        <v>3477</v>
      </c>
      <c r="C531">
        <v>-1.72</v>
      </c>
      <c r="D531">
        <v>14.29</v>
      </c>
      <c r="E531">
        <v>-0.25</v>
      </c>
      <c r="F531">
        <v>14.28</v>
      </c>
      <c r="G531">
        <v>14.29</v>
      </c>
      <c r="H531">
        <v>301522</v>
      </c>
      <c r="I531">
        <v>3432</v>
      </c>
      <c r="J531">
        <v>0.14000000000000001</v>
      </c>
      <c r="K531">
        <v>2.98</v>
      </c>
      <c r="L531">
        <v>14.4</v>
      </c>
      <c r="M531">
        <v>14.75</v>
      </c>
      <c r="N531">
        <v>14.22</v>
      </c>
      <c r="O531">
        <v>14.54</v>
      </c>
      <c r="P531">
        <v>21.07</v>
      </c>
      <c r="Q531">
        <v>436160160</v>
      </c>
      <c r="R531">
        <v>0.82</v>
      </c>
      <c r="S531" t="s">
        <v>397</v>
      </c>
      <c r="T531" t="s">
        <v>323</v>
      </c>
      <c r="U531">
        <v>3.65</v>
      </c>
      <c r="V531">
        <v>14.47</v>
      </c>
      <c r="W531">
        <v>164573</v>
      </c>
      <c r="X531">
        <v>136949</v>
      </c>
      <c r="Y531">
        <v>1.2</v>
      </c>
      <c r="Z531">
        <v>675</v>
      </c>
      <c r="AA531">
        <v>1526</v>
      </c>
      <c r="AB531" t="s">
        <v>116</v>
      </c>
      <c r="AC531">
        <v>2214700</v>
      </c>
      <c r="AD531">
        <v>0.02</v>
      </c>
      <c r="AE531" t="s">
        <v>116</v>
      </c>
      <c r="AF531" t="s">
        <v>116</v>
      </c>
      <c r="AG531">
        <v>10.119999999999999</v>
      </c>
      <c r="AH531" t="s">
        <v>3478</v>
      </c>
      <c r="AI531" t="s">
        <v>3479</v>
      </c>
      <c r="AJ531">
        <v>-1.04</v>
      </c>
      <c r="AK531">
        <v>3992</v>
      </c>
      <c r="AL531">
        <v>76</v>
      </c>
      <c r="AM531">
        <v>6.9999999999999999E-4</v>
      </c>
      <c r="AN531">
        <v>-1</v>
      </c>
      <c r="AO531">
        <v>-7.0000000000000007E-2</v>
      </c>
      <c r="AP531">
        <v>18.690000000000001</v>
      </c>
      <c r="AQ531">
        <v>11.82</v>
      </c>
      <c r="AR531">
        <v>24.69</v>
      </c>
      <c r="AS531">
        <v>4.5199999999999996</v>
      </c>
      <c r="AT531" t="s">
        <v>3480</v>
      </c>
      <c r="AU531">
        <v>32.51</v>
      </c>
      <c r="AV531">
        <v>27.99</v>
      </c>
      <c r="AW531">
        <v>1.23</v>
      </c>
      <c r="BA531">
        <v>-0.96</v>
      </c>
      <c r="BB531">
        <v>1.44</v>
      </c>
      <c r="BC531">
        <v>-2.2000000000000002</v>
      </c>
      <c r="BD531">
        <v>-0.51</v>
      </c>
      <c r="BE531">
        <v>-0.76</v>
      </c>
      <c r="BF531">
        <v>-3.12</v>
      </c>
      <c r="BG531">
        <v>0.49</v>
      </c>
      <c r="BH531">
        <v>-1.21</v>
      </c>
      <c r="BI531">
        <v>20191223</v>
      </c>
      <c r="BJ531">
        <v>20061018</v>
      </c>
      <c r="BK531">
        <v>11.37</v>
      </c>
      <c r="BL531" t="s">
        <v>116</v>
      </c>
      <c r="BM531" t="s">
        <v>116</v>
      </c>
      <c r="BN531">
        <v>235.42</v>
      </c>
      <c r="BO531">
        <v>89.73</v>
      </c>
      <c r="BP531">
        <v>1.61</v>
      </c>
      <c r="BQ531">
        <v>61.2</v>
      </c>
      <c r="BR531">
        <v>133.28</v>
      </c>
      <c r="BS531">
        <v>49.46</v>
      </c>
      <c r="BT531">
        <v>8.5500000000000007</v>
      </c>
      <c r="BU531">
        <v>111.94</v>
      </c>
      <c r="BV531">
        <v>24.88</v>
      </c>
      <c r="BW531">
        <v>70.959999999999994</v>
      </c>
      <c r="BX531">
        <v>45.71</v>
      </c>
      <c r="BY531">
        <v>51.52</v>
      </c>
      <c r="BZ531">
        <v>35.65</v>
      </c>
      <c r="CA531">
        <v>6.41</v>
      </c>
      <c r="CB531">
        <v>-0.17</v>
      </c>
      <c r="CC531">
        <v>6.44</v>
      </c>
      <c r="CD531">
        <v>5.76</v>
      </c>
      <c r="CE531">
        <v>5.78</v>
      </c>
      <c r="CF531">
        <v>4.09</v>
      </c>
      <c r="CG531">
        <v>35.229999999999997</v>
      </c>
      <c r="CH531">
        <v>-3.74</v>
      </c>
      <c r="CI531">
        <v>-10.59</v>
      </c>
      <c r="CJ531">
        <v>65246</v>
      </c>
      <c r="CK531">
        <v>10225</v>
      </c>
      <c r="CL531" t="s">
        <v>3481</v>
      </c>
      <c r="CM531">
        <v>-12.25</v>
      </c>
      <c r="CN531">
        <v>25.75</v>
      </c>
      <c r="CO531">
        <v>1.81</v>
      </c>
      <c r="CP531">
        <v>-43.47</v>
      </c>
      <c r="CQ531">
        <v>3.15</v>
      </c>
      <c r="CR531">
        <v>0.69</v>
      </c>
      <c r="CS531" t="s">
        <v>3482</v>
      </c>
      <c r="CT531">
        <v>7.89</v>
      </c>
      <c r="CU531">
        <v>0</v>
      </c>
      <c r="CV531">
        <v>4.0199999999999996</v>
      </c>
      <c r="CW531">
        <v>3.1</v>
      </c>
      <c r="CX531">
        <v>-0.33</v>
      </c>
      <c r="CY531">
        <v>38.119999999999997</v>
      </c>
      <c r="CZ531" t="s">
        <v>3483</v>
      </c>
      <c r="DA531">
        <v>30.8</v>
      </c>
      <c r="DB531">
        <v>12.44</v>
      </c>
      <c r="DC531">
        <v>11.23</v>
      </c>
      <c r="DD531">
        <v>3.02</v>
      </c>
      <c r="DE531">
        <v>7258</v>
      </c>
      <c r="DF531">
        <v>2074</v>
      </c>
      <c r="DG531" t="s">
        <v>116</v>
      </c>
      <c r="DH531" t="s">
        <v>116</v>
      </c>
      <c r="DI531" t="s">
        <v>116</v>
      </c>
    </row>
    <row r="532" spans="1:113" x14ac:dyDescent="0.4">
      <c r="A532" t="str">
        <f>"002075"</f>
        <v>002075</v>
      </c>
      <c r="B532" t="s">
        <v>3484</v>
      </c>
      <c r="C532">
        <v>1.32</v>
      </c>
      <c r="D532">
        <v>6.16</v>
      </c>
      <c r="E532">
        <v>0.08</v>
      </c>
      <c r="F532">
        <v>6.16</v>
      </c>
      <c r="G532">
        <v>6.17</v>
      </c>
      <c r="H532">
        <v>248596</v>
      </c>
      <c r="I532">
        <v>3324</v>
      </c>
      <c r="J532">
        <v>0</v>
      </c>
      <c r="K532">
        <v>1.1299999999999999</v>
      </c>
      <c r="L532">
        <v>6.11</v>
      </c>
      <c r="M532">
        <v>6.24</v>
      </c>
      <c r="N532">
        <v>6.07</v>
      </c>
      <c r="O532">
        <v>6.08</v>
      </c>
      <c r="P532">
        <v>27.53</v>
      </c>
      <c r="Q532">
        <v>153089680</v>
      </c>
      <c r="R532">
        <v>1.57</v>
      </c>
      <c r="S532" t="s">
        <v>1839</v>
      </c>
      <c r="T532" t="s">
        <v>323</v>
      </c>
      <c r="U532">
        <v>2.8</v>
      </c>
      <c r="V532">
        <v>6.16</v>
      </c>
      <c r="W532">
        <v>111756</v>
      </c>
      <c r="X532">
        <v>136840</v>
      </c>
      <c r="Y532">
        <v>0.82</v>
      </c>
      <c r="Z532">
        <v>7481</v>
      </c>
      <c r="AA532">
        <v>978</v>
      </c>
      <c r="AB532" t="s">
        <v>116</v>
      </c>
      <c r="AC532">
        <v>487600</v>
      </c>
      <c r="AD532">
        <v>0.01</v>
      </c>
      <c r="AE532" t="s">
        <v>116</v>
      </c>
      <c r="AF532" t="s">
        <v>116</v>
      </c>
      <c r="AG532">
        <v>22.07</v>
      </c>
      <c r="AH532" t="s">
        <v>3485</v>
      </c>
      <c r="AI532" t="s">
        <v>3485</v>
      </c>
      <c r="AJ532">
        <v>1.99</v>
      </c>
      <c r="AK532">
        <v>2707</v>
      </c>
      <c r="AL532">
        <v>92</v>
      </c>
      <c r="AM532">
        <v>4.0000000000000002E-4</v>
      </c>
      <c r="AN532">
        <v>2</v>
      </c>
      <c r="AO532">
        <v>0.83</v>
      </c>
      <c r="AP532">
        <v>0.98</v>
      </c>
      <c r="AQ532">
        <v>-17.649999999999999</v>
      </c>
      <c r="AR532">
        <v>-23</v>
      </c>
      <c r="AS532">
        <v>1.85</v>
      </c>
      <c r="AT532" t="s">
        <v>3486</v>
      </c>
      <c r="AU532">
        <v>24.54</v>
      </c>
      <c r="AV532">
        <v>11.55</v>
      </c>
      <c r="AW532">
        <v>0.9</v>
      </c>
      <c r="BA532">
        <v>0.49</v>
      </c>
      <c r="BB532">
        <v>2.63</v>
      </c>
      <c r="BC532">
        <v>-0.16</v>
      </c>
      <c r="BD532">
        <v>1.29</v>
      </c>
      <c r="BE532">
        <v>0.82</v>
      </c>
      <c r="BF532">
        <v>-1.28</v>
      </c>
      <c r="BG532">
        <v>1.48</v>
      </c>
      <c r="BH532">
        <v>0.03</v>
      </c>
      <c r="BI532">
        <v>20191024</v>
      </c>
      <c r="BJ532">
        <v>20061025</v>
      </c>
      <c r="BK532">
        <v>22.07</v>
      </c>
      <c r="BL532" t="s">
        <v>116</v>
      </c>
      <c r="BM532" t="s">
        <v>116</v>
      </c>
      <c r="BN532">
        <v>112.95</v>
      </c>
      <c r="BO532">
        <v>48.05</v>
      </c>
      <c r="BP532">
        <v>24.43</v>
      </c>
      <c r="BQ532">
        <v>35.83</v>
      </c>
      <c r="BR532">
        <v>67.83</v>
      </c>
      <c r="BS532">
        <v>34.369999999999997</v>
      </c>
      <c r="BT532">
        <v>3.7</v>
      </c>
      <c r="BU532">
        <v>39.07</v>
      </c>
      <c r="BV532">
        <v>14.94</v>
      </c>
      <c r="BW532">
        <v>0.4</v>
      </c>
      <c r="BX532">
        <v>-6.09</v>
      </c>
      <c r="BY532">
        <v>99.29</v>
      </c>
      <c r="BZ532">
        <v>88.92</v>
      </c>
      <c r="CA532">
        <v>9.0299999999999994</v>
      </c>
      <c r="CB532">
        <v>1.07</v>
      </c>
      <c r="CC532">
        <v>9.0500000000000007</v>
      </c>
      <c r="CD532">
        <v>7</v>
      </c>
      <c r="CE532">
        <v>3.7</v>
      </c>
      <c r="CF532">
        <v>2.74</v>
      </c>
      <c r="CG532">
        <v>30.79</v>
      </c>
      <c r="CH532">
        <v>1.95</v>
      </c>
      <c r="CI532">
        <v>-1.53</v>
      </c>
      <c r="CJ532">
        <v>54559</v>
      </c>
      <c r="CK532">
        <v>24683</v>
      </c>
      <c r="CL532" t="s">
        <v>3487</v>
      </c>
      <c r="CM532">
        <v>-62.73</v>
      </c>
      <c r="CN532">
        <v>-9.89</v>
      </c>
      <c r="CO532">
        <v>2.83</v>
      </c>
      <c r="CP532">
        <v>69.83</v>
      </c>
      <c r="CQ532">
        <v>1.37</v>
      </c>
      <c r="CR532">
        <v>0.49</v>
      </c>
      <c r="CS532" t="s">
        <v>1127</v>
      </c>
      <c r="CT532">
        <v>2.1800000000000002</v>
      </c>
      <c r="CU532">
        <v>0</v>
      </c>
      <c r="CV532">
        <v>-0.28000000000000003</v>
      </c>
      <c r="CW532">
        <v>1.4</v>
      </c>
      <c r="CX532">
        <v>0.09</v>
      </c>
      <c r="CY532">
        <v>42.54</v>
      </c>
      <c r="CZ532" t="s">
        <v>3488</v>
      </c>
      <c r="DA532">
        <v>10.45</v>
      </c>
      <c r="DB532">
        <v>9.1</v>
      </c>
      <c r="DC532">
        <v>3.73</v>
      </c>
      <c r="DD532">
        <v>0.34</v>
      </c>
      <c r="DE532">
        <v>4347</v>
      </c>
      <c r="DF532">
        <v>2075</v>
      </c>
      <c r="DG532" t="s">
        <v>116</v>
      </c>
      <c r="DH532" t="s">
        <v>116</v>
      </c>
      <c r="DI532" t="s">
        <v>116</v>
      </c>
    </row>
    <row r="533" spans="1:113" x14ac:dyDescent="0.4">
      <c r="A533" t="str">
        <f>"002076"</f>
        <v>002076</v>
      </c>
      <c r="B533" t="s">
        <v>3489</v>
      </c>
      <c r="C533">
        <v>-4.5599999999999996</v>
      </c>
      <c r="D533">
        <v>2.5099999999999998</v>
      </c>
      <c r="E533">
        <v>-0.12</v>
      </c>
      <c r="F533">
        <v>2.5099999999999998</v>
      </c>
      <c r="G533">
        <v>2.52</v>
      </c>
      <c r="H533">
        <v>785487</v>
      </c>
      <c r="I533">
        <v>16756</v>
      </c>
      <c r="J533">
        <v>-0.39</v>
      </c>
      <c r="K533">
        <v>16.8</v>
      </c>
      <c r="L533">
        <v>2.59</v>
      </c>
      <c r="M533">
        <v>2.63</v>
      </c>
      <c r="N533">
        <v>2.48</v>
      </c>
      <c r="O533">
        <v>2.63</v>
      </c>
      <c r="P533" t="s">
        <v>116</v>
      </c>
      <c r="Q533">
        <v>200232512</v>
      </c>
      <c r="R533">
        <v>3.71</v>
      </c>
      <c r="S533" t="s">
        <v>209</v>
      </c>
      <c r="T533" t="s">
        <v>551</v>
      </c>
      <c r="U533">
        <v>5.7</v>
      </c>
      <c r="V533">
        <v>2.5499999999999998</v>
      </c>
      <c r="W533">
        <v>354689</v>
      </c>
      <c r="X533">
        <v>430797</v>
      </c>
      <c r="Y533">
        <v>0.82</v>
      </c>
      <c r="Z533">
        <v>2168</v>
      </c>
      <c r="AA533">
        <v>320</v>
      </c>
      <c r="AB533" t="s">
        <v>116</v>
      </c>
      <c r="AC533">
        <v>4791500</v>
      </c>
      <c r="AD533">
        <v>0.45</v>
      </c>
      <c r="AE533" t="s">
        <v>116</v>
      </c>
      <c r="AF533" t="s">
        <v>116</v>
      </c>
      <c r="AG533">
        <v>4.68</v>
      </c>
      <c r="AH533" t="s">
        <v>3490</v>
      </c>
      <c r="AI533" t="s">
        <v>3491</v>
      </c>
      <c r="AJ533">
        <v>-3.88</v>
      </c>
      <c r="AK533">
        <v>3328</v>
      </c>
      <c r="AL533">
        <v>236</v>
      </c>
      <c r="AM533">
        <v>5.0000000000000001E-3</v>
      </c>
      <c r="AN533">
        <v>-1</v>
      </c>
      <c r="AO533">
        <v>5.0199999999999996</v>
      </c>
      <c r="AP533">
        <v>7.26</v>
      </c>
      <c r="AQ533">
        <v>-1.57</v>
      </c>
      <c r="AR533">
        <v>-20.059999999999999</v>
      </c>
      <c r="AS533">
        <v>18.899999999999999</v>
      </c>
      <c r="AT533" t="s">
        <v>2508</v>
      </c>
      <c r="AU533" t="s">
        <v>116</v>
      </c>
      <c r="AV533" t="s">
        <v>116</v>
      </c>
      <c r="AW533">
        <v>1.43</v>
      </c>
      <c r="BA533">
        <v>-1.52</v>
      </c>
      <c r="BB533">
        <v>0</v>
      </c>
      <c r="BC533">
        <v>-5.7</v>
      </c>
      <c r="BD533">
        <v>-3.07</v>
      </c>
      <c r="BE533">
        <v>-3.09</v>
      </c>
      <c r="BF533">
        <v>-4.5599999999999996</v>
      </c>
      <c r="BG533">
        <v>1.21</v>
      </c>
      <c r="BH533">
        <v>-1.49</v>
      </c>
      <c r="BI533">
        <v>20191030</v>
      </c>
      <c r="BJ533">
        <v>20061025</v>
      </c>
      <c r="BK533">
        <v>7.78</v>
      </c>
      <c r="BL533" t="s">
        <v>116</v>
      </c>
      <c r="BM533" t="s">
        <v>116</v>
      </c>
      <c r="BN533">
        <v>12.33</v>
      </c>
      <c r="BO533">
        <v>2.2000000000000002</v>
      </c>
      <c r="BP533">
        <v>-0.53</v>
      </c>
      <c r="BQ533">
        <v>86.45</v>
      </c>
      <c r="BR533">
        <v>7.23</v>
      </c>
      <c r="BS533">
        <v>2.4</v>
      </c>
      <c r="BT533">
        <v>0.51</v>
      </c>
      <c r="BU533">
        <v>10.49</v>
      </c>
      <c r="BV533">
        <v>2.86</v>
      </c>
      <c r="BW533">
        <v>2.85</v>
      </c>
      <c r="BX533">
        <v>3.6</v>
      </c>
      <c r="BY533">
        <v>2.19</v>
      </c>
      <c r="BZ533">
        <v>1.58</v>
      </c>
      <c r="CA533">
        <v>-2.62</v>
      </c>
      <c r="CB533">
        <v>-0.05</v>
      </c>
      <c r="CC533">
        <v>-2.77</v>
      </c>
      <c r="CD533">
        <v>-2.81</v>
      </c>
      <c r="CE533">
        <v>-2.73</v>
      </c>
      <c r="CF533">
        <v>-2.57</v>
      </c>
      <c r="CG533">
        <v>-9.3699999999999992</v>
      </c>
      <c r="CH533">
        <v>0.1</v>
      </c>
      <c r="CI533">
        <v>-0.1</v>
      </c>
      <c r="CJ533">
        <v>50686</v>
      </c>
      <c r="CK533">
        <v>8198</v>
      </c>
      <c r="CL533" t="s">
        <v>3492</v>
      </c>
      <c r="CM533">
        <v>-394.27</v>
      </c>
      <c r="CN533">
        <v>-59.23</v>
      </c>
      <c r="CO533">
        <v>8.8800000000000008</v>
      </c>
      <c r="CP533">
        <v>199.37</v>
      </c>
      <c r="CQ533">
        <v>8.93</v>
      </c>
      <c r="CR533">
        <v>0</v>
      </c>
      <c r="CS533" t="s">
        <v>3493</v>
      </c>
      <c r="CT533">
        <v>0.28000000000000003</v>
      </c>
      <c r="CU533">
        <v>0</v>
      </c>
      <c r="CV533">
        <v>0.46</v>
      </c>
      <c r="CW533">
        <v>-1.2</v>
      </c>
      <c r="CX533">
        <v>0.01</v>
      </c>
      <c r="CY533">
        <v>17.829999999999998</v>
      </c>
      <c r="CZ533" t="s">
        <v>3494</v>
      </c>
      <c r="DA533">
        <v>27.86</v>
      </c>
      <c r="DB533">
        <v>-119.59</v>
      </c>
      <c r="DC533">
        <v>-124.65</v>
      </c>
      <c r="DD533">
        <v>0.19</v>
      </c>
      <c r="DE533">
        <v>1380</v>
      </c>
      <c r="DF533">
        <v>2076</v>
      </c>
      <c r="DG533" t="s">
        <v>116</v>
      </c>
      <c r="DH533" t="s">
        <v>116</v>
      </c>
      <c r="DI533" t="s">
        <v>116</v>
      </c>
    </row>
    <row r="534" spans="1:113" x14ac:dyDescent="0.4">
      <c r="A534" t="str">
        <f>"002077"</f>
        <v>002077</v>
      </c>
      <c r="B534" t="s">
        <v>3495</v>
      </c>
      <c r="C534">
        <v>6.73</v>
      </c>
      <c r="D534">
        <v>6.5</v>
      </c>
      <c r="E534">
        <v>0.41</v>
      </c>
      <c r="F534">
        <v>6.5</v>
      </c>
      <c r="G534">
        <v>6.51</v>
      </c>
      <c r="H534">
        <v>730321</v>
      </c>
      <c r="I534">
        <v>5993</v>
      </c>
      <c r="J534">
        <v>-0.3</v>
      </c>
      <c r="K534">
        <v>13.51</v>
      </c>
      <c r="L534">
        <v>6.2</v>
      </c>
      <c r="M534">
        <v>6.7</v>
      </c>
      <c r="N534">
        <v>6.2</v>
      </c>
      <c r="O534">
        <v>6.09</v>
      </c>
      <c r="P534" t="s">
        <v>116</v>
      </c>
      <c r="Q534">
        <v>479122176</v>
      </c>
      <c r="R534">
        <v>2.37</v>
      </c>
      <c r="S534" t="s">
        <v>148</v>
      </c>
      <c r="T534" t="s">
        <v>323</v>
      </c>
      <c r="U534">
        <v>8.2100000000000009</v>
      </c>
      <c r="V534">
        <v>6.56</v>
      </c>
      <c r="W534">
        <v>382790</v>
      </c>
      <c r="X534">
        <v>347531</v>
      </c>
      <c r="Y534">
        <v>1.1000000000000001</v>
      </c>
      <c r="Z534">
        <v>554</v>
      </c>
      <c r="AA534">
        <v>7881</v>
      </c>
      <c r="AB534" t="s">
        <v>116</v>
      </c>
      <c r="AC534">
        <v>1961100</v>
      </c>
      <c r="AD534">
        <v>0.13</v>
      </c>
      <c r="AE534" t="s">
        <v>116</v>
      </c>
      <c r="AF534" t="s">
        <v>116</v>
      </c>
      <c r="AG534">
        <v>5.41</v>
      </c>
      <c r="AH534" t="s">
        <v>3496</v>
      </c>
      <c r="AI534" t="s">
        <v>3497</v>
      </c>
      <c r="AJ534">
        <v>7.41</v>
      </c>
      <c r="AK534">
        <v>3970</v>
      </c>
      <c r="AL534">
        <v>184</v>
      </c>
      <c r="AM534">
        <v>3.3999999999999998E-3</v>
      </c>
      <c r="AN534">
        <v>1</v>
      </c>
      <c r="AO534">
        <v>8.69</v>
      </c>
      <c r="AP534">
        <v>29.48</v>
      </c>
      <c r="AQ534">
        <v>15.66</v>
      </c>
      <c r="AR534">
        <v>70.599999999999994</v>
      </c>
      <c r="AS534">
        <v>30.97</v>
      </c>
      <c r="AT534" t="s">
        <v>1815</v>
      </c>
      <c r="AU534" t="s">
        <v>116</v>
      </c>
      <c r="AV534" t="s">
        <v>116</v>
      </c>
      <c r="AW534">
        <v>1.9</v>
      </c>
      <c r="BA534">
        <v>1.81</v>
      </c>
      <c r="BB534">
        <v>10.02</v>
      </c>
      <c r="BC534">
        <v>1.81</v>
      </c>
      <c r="BD534">
        <v>7.72</v>
      </c>
      <c r="BE534">
        <v>4.84</v>
      </c>
      <c r="BF534">
        <v>-2.99</v>
      </c>
      <c r="BG534">
        <v>4.84</v>
      </c>
      <c r="BH534">
        <v>-0.99</v>
      </c>
      <c r="BI534">
        <v>20191118</v>
      </c>
      <c r="BJ534">
        <v>20061116</v>
      </c>
      <c r="BK534">
        <v>5.8</v>
      </c>
      <c r="BL534" t="s">
        <v>116</v>
      </c>
      <c r="BM534" t="s">
        <v>116</v>
      </c>
      <c r="BN534">
        <v>71.010000000000005</v>
      </c>
      <c r="BO534">
        <v>29.99</v>
      </c>
      <c r="BP534">
        <v>0.9</v>
      </c>
      <c r="BQ534">
        <v>56.49</v>
      </c>
      <c r="BR534">
        <v>37.76</v>
      </c>
      <c r="BS534">
        <v>11.86</v>
      </c>
      <c r="BT534">
        <v>1.25</v>
      </c>
      <c r="BU534">
        <v>31</v>
      </c>
      <c r="BV534">
        <v>13.66</v>
      </c>
      <c r="BW534">
        <v>10.25</v>
      </c>
      <c r="BX534">
        <v>28.19</v>
      </c>
      <c r="BY534">
        <v>6.66</v>
      </c>
      <c r="BZ534">
        <v>7.2</v>
      </c>
      <c r="CA534">
        <v>-2.88</v>
      </c>
      <c r="CB534">
        <v>-0.02</v>
      </c>
      <c r="CC534">
        <v>-2.89</v>
      </c>
      <c r="CD534">
        <v>-2.84</v>
      </c>
      <c r="CE534">
        <v>-2.87</v>
      </c>
      <c r="CF534">
        <v>-2.97</v>
      </c>
      <c r="CG534">
        <v>-5.09</v>
      </c>
      <c r="CH534">
        <v>2.2799999999999998</v>
      </c>
      <c r="CI534">
        <v>1.34</v>
      </c>
      <c r="CJ534">
        <v>45041</v>
      </c>
      <c r="CK534">
        <v>5235</v>
      </c>
      <c r="CL534" t="s">
        <v>1321</v>
      </c>
      <c r="CM534">
        <v>-173.41</v>
      </c>
      <c r="CN534">
        <v>-27.08</v>
      </c>
      <c r="CO534">
        <v>1.26</v>
      </c>
      <c r="CP534">
        <v>16.53</v>
      </c>
      <c r="CQ534">
        <v>5.67</v>
      </c>
      <c r="CR534">
        <v>0</v>
      </c>
      <c r="CS534" t="s">
        <v>3498</v>
      </c>
      <c r="CT534">
        <v>5.17</v>
      </c>
      <c r="CU534">
        <v>0</v>
      </c>
      <c r="CV534">
        <v>4.8600000000000003</v>
      </c>
      <c r="CW534">
        <v>-0.88</v>
      </c>
      <c r="CX534">
        <v>0.39</v>
      </c>
      <c r="CY534">
        <v>42.24</v>
      </c>
      <c r="CZ534" t="s">
        <v>3499</v>
      </c>
      <c r="DA534">
        <v>-8.14</v>
      </c>
      <c r="DB534">
        <v>-43.24</v>
      </c>
      <c r="DC534">
        <v>-43.07</v>
      </c>
      <c r="DD534">
        <v>0.24</v>
      </c>
      <c r="DE534">
        <v>893</v>
      </c>
      <c r="DF534">
        <v>2077</v>
      </c>
      <c r="DG534" t="s">
        <v>116</v>
      </c>
      <c r="DH534" t="s">
        <v>116</v>
      </c>
      <c r="DI534" t="s">
        <v>116</v>
      </c>
    </row>
    <row r="535" spans="1:113" x14ac:dyDescent="0.4">
      <c r="A535" t="str">
        <f>"002078"</f>
        <v>002078</v>
      </c>
      <c r="B535" t="s">
        <v>3500</v>
      </c>
      <c r="C535">
        <v>-0.84</v>
      </c>
      <c r="D535">
        <v>9.4700000000000006</v>
      </c>
      <c r="E535">
        <v>-0.08</v>
      </c>
      <c r="F535">
        <v>9.4700000000000006</v>
      </c>
      <c r="G535">
        <v>9.48</v>
      </c>
      <c r="H535">
        <v>164543</v>
      </c>
      <c r="I535">
        <v>1003</v>
      </c>
      <c r="J535">
        <v>-0.2</v>
      </c>
      <c r="K535">
        <v>0.64</v>
      </c>
      <c r="L535">
        <v>9.5299999999999994</v>
      </c>
      <c r="M535">
        <v>9.69</v>
      </c>
      <c r="N535">
        <v>9.4600000000000009</v>
      </c>
      <c r="O535">
        <v>9.5500000000000007</v>
      </c>
      <c r="P535">
        <v>12.39</v>
      </c>
      <c r="Q535">
        <v>156906896</v>
      </c>
      <c r="R535">
        <v>0.72</v>
      </c>
      <c r="S535" t="s">
        <v>824</v>
      </c>
      <c r="T535" t="s">
        <v>645</v>
      </c>
      <c r="U535">
        <v>2.41</v>
      </c>
      <c r="V535">
        <v>9.5399999999999991</v>
      </c>
      <c r="W535">
        <v>78985</v>
      </c>
      <c r="X535">
        <v>85558</v>
      </c>
      <c r="Y535">
        <v>0.92</v>
      </c>
      <c r="Z535">
        <v>14</v>
      </c>
      <c r="AA535">
        <v>585</v>
      </c>
      <c r="AB535" t="s">
        <v>116</v>
      </c>
      <c r="AC535">
        <v>294500</v>
      </c>
      <c r="AD535">
        <v>0</v>
      </c>
      <c r="AE535" t="s">
        <v>116</v>
      </c>
      <c r="AF535" t="s">
        <v>116</v>
      </c>
      <c r="AG535">
        <v>25.73</v>
      </c>
      <c r="AH535" t="s">
        <v>3501</v>
      </c>
      <c r="AI535" t="s">
        <v>3502</v>
      </c>
      <c r="AJ535">
        <v>-0.16</v>
      </c>
      <c r="AK535">
        <v>3480</v>
      </c>
      <c r="AL535">
        <v>47</v>
      </c>
      <c r="AM535">
        <v>2.0000000000000001E-4</v>
      </c>
      <c r="AN535">
        <v>-1</v>
      </c>
      <c r="AO535">
        <v>2.4900000000000002</v>
      </c>
      <c r="AP535">
        <v>4.87</v>
      </c>
      <c r="AQ535">
        <v>22.04</v>
      </c>
      <c r="AR535">
        <v>69.11</v>
      </c>
      <c r="AS535">
        <v>1.39</v>
      </c>
      <c r="AT535" t="s">
        <v>3503</v>
      </c>
      <c r="AU535">
        <v>12.78</v>
      </c>
      <c r="AV535">
        <v>10.97</v>
      </c>
      <c r="AW535">
        <v>0.5</v>
      </c>
      <c r="BA535">
        <v>-0.21</v>
      </c>
      <c r="BB535">
        <v>1.47</v>
      </c>
      <c r="BC535">
        <v>-0.94</v>
      </c>
      <c r="BD535">
        <v>-0.15</v>
      </c>
      <c r="BE535">
        <v>-0.63</v>
      </c>
      <c r="BF535">
        <v>-2.27</v>
      </c>
      <c r="BG535">
        <v>0.11</v>
      </c>
      <c r="BH535">
        <v>-0.69</v>
      </c>
      <c r="BI535">
        <v>20191126</v>
      </c>
      <c r="BJ535">
        <v>20061116</v>
      </c>
      <c r="BK535">
        <v>25.92</v>
      </c>
      <c r="BL535" t="s">
        <v>116</v>
      </c>
      <c r="BM535" t="s">
        <v>116</v>
      </c>
      <c r="BN535">
        <v>310.64999999999998</v>
      </c>
      <c r="BO535">
        <v>139.57</v>
      </c>
      <c r="BP535">
        <v>1.03</v>
      </c>
      <c r="BQ535">
        <v>54.74</v>
      </c>
      <c r="BR535">
        <v>108.05</v>
      </c>
      <c r="BS535">
        <v>161.97999999999999</v>
      </c>
      <c r="BT535">
        <v>8.68</v>
      </c>
      <c r="BU535">
        <v>130.05000000000001</v>
      </c>
      <c r="BV535">
        <v>27.84</v>
      </c>
      <c r="BW535">
        <v>18.309999999999999</v>
      </c>
      <c r="BX535">
        <v>15.64</v>
      </c>
      <c r="BY535">
        <v>164.01</v>
      </c>
      <c r="BZ535">
        <v>129.36000000000001</v>
      </c>
      <c r="CA535">
        <v>17.440000000000001</v>
      </c>
      <c r="CB535">
        <v>0.15</v>
      </c>
      <c r="CC535">
        <v>17.739999999999998</v>
      </c>
      <c r="CD535">
        <v>14.99</v>
      </c>
      <c r="CE535">
        <v>14.85</v>
      </c>
      <c r="CF535">
        <v>14.58</v>
      </c>
      <c r="CG535">
        <v>84.67</v>
      </c>
      <c r="CH535">
        <v>27.54</v>
      </c>
      <c r="CI535">
        <v>7.63</v>
      </c>
      <c r="CJ535">
        <v>48245</v>
      </c>
      <c r="CK535">
        <v>24551</v>
      </c>
      <c r="CL535" t="s">
        <v>3504</v>
      </c>
      <c r="CM535">
        <v>-17.57</v>
      </c>
      <c r="CN535">
        <v>1.81</v>
      </c>
      <c r="CO535">
        <v>1.79</v>
      </c>
      <c r="CP535">
        <v>8.91</v>
      </c>
      <c r="CQ535">
        <v>1.5</v>
      </c>
      <c r="CR535">
        <v>1.06</v>
      </c>
      <c r="CS535" t="s">
        <v>2962</v>
      </c>
      <c r="CT535">
        <v>5.29</v>
      </c>
      <c r="CU535">
        <v>5.29</v>
      </c>
      <c r="CV535">
        <v>0.6</v>
      </c>
      <c r="CW535">
        <v>3.27</v>
      </c>
      <c r="CX535">
        <v>1.06</v>
      </c>
      <c r="CY535">
        <v>44.93</v>
      </c>
      <c r="CZ535" t="s">
        <v>3505</v>
      </c>
      <c r="DA535">
        <v>21.13</v>
      </c>
      <c r="DB535">
        <v>10.63</v>
      </c>
      <c r="DC535">
        <v>9.06</v>
      </c>
      <c r="DD535">
        <v>2.66</v>
      </c>
      <c r="DE535">
        <v>8165</v>
      </c>
      <c r="DF535">
        <v>2078</v>
      </c>
      <c r="DG535" t="s">
        <v>116</v>
      </c>
      <c r="DH535" t="s">
        <v>116</v>
      </c>
      <c r="DI535" t="s">
        <v>116</v>
      </c>
    </row>
    <row r="536" spans="1:113" x14ac:dyDescent="0.4">
      <c r="A536" t="str">
        <f>"002079"</f>
        <v>002079</v>
      </c>
      <c r="B536" t="s">
        <v>3506</v>
      </c>
      <c r="C536">
        <v>6.46</v>
      </c>
      <c r="D536">
        <v>12.86</v>
      </c>
      <c r="E536">
        <v>0.78</v>
      </c>
      <c r="F536">
        <v>12.86</v>
      </c>
      <c r="G536">
        <v>12.87</v>
      </c>
      <c r="H536">
        <v>1490885</v>
      </c>
      <c r="I536">
        <v>26055</v>
      </c>
      <c r="J536">
        <v>0.31</v>
      </c>
      <c r="K536">
        <v>20.53</v>
      </c>
      <c r="L536">
        <v>11.97</v>
      </c>
      <c r="M536">
        <v>13.19</v>
      </c>
      <c r="N536">
        <v>11.87</v>
      </c>
      <c r="O536">
        <v>12.08</v>
      </c>
      <c r="P536">
        <v>83.1</v>
      </c>
      <c r="Q536">
        <v>1848108928</v>
      </c>
      <c r="R536">
        <v>1.1100000000000001</v>
      </c>
      <c r="S536" t="s">
        <v>3507</v>
      </c>
      <c r="T536" t="s">
        <v>323</v>
      </c>
      <c r="U536">
        <v>10.93</v>
      </c>
      <c r="V536">
        <v>12.4</v>
      </c>
      <c r="W536">
        <v>691643</v>
      </c>
      <c r="X536">
        <v>799242</v>
      </c>
      <c r="Y536">
        <v>0.87</v>
      </c>
      <c r="Z536">
        <v>2300</v>
      </c>
      <c r="AA536">
        <v>576</v>
      </c>
      <c r="AB536" t="s">
        <v>116</v>
      </c>
      <c r="AC536">
        <v>46320096</v>
      </c>
      <c r="AD536">
        <v>0.88</v>
      </c>
      <c r="AE536" t="s">
        <v>116</v>
      </c>
      <c r="AF536" t="s">
        <v>116</v>
      </c>
      <c r="AG536">
        <v>7.26</v>
      </c>
      <c r="AH536" t="s">
        <v>196</v>
      </c>
      <c r="AI536" t="s">
        <v>3508</v>
      </c>
      <c r="AJ536">
        <v>7.14</v>
      </c>
      <c r="AK536">
        <v>4698</v>
      </c>
      <c r="AL536">
        <v>317</v>
      </c>
      <c r="AM536">
        <v>4.4000000000000003E-3</v>
      </c>
      <c r="AN536">
        <v>1</v>
      </c>
      <c r="AO536">
        <v>15.64</v>
      </c>
      <c r="AP536">
        <v>66.8</v>
      </c>
      <c r="AQ536">
        <v>70.78</v>
      </c>
      <c r="AR536">
        <v>177.16</v>
      </c>
      <c r="AS536">
        <v>33.909999999999997</v>
      </c>
      <c r="AT536" t="s">
        <v>3509</v>
      </c>
      <c r="AU536">
        <v>85.44</v>
      </c>
      <c r="AV536">
        <v>99.01</v>
      </c>
      <c r="AW536">
        <v>1.1399999999999999</v>
      </c>
      <c r="BA536">
        <v>-0.91</v>
      </c>
      <c r="BB536">
        <v>9.19</v>
      </c>
      <c r="BC536">
        <v>-1.74</v>
      </c>
      <c r="BD536">
        <v>2.62</v>
      </c>
      <c r="BE536">
        <v>7.44</v>
      </c>
      <c r="BF536">
        <v>-2.5</v>
      </c>
      <c r="BG536">
        <v>8.34</v>
      </c>
      <c r="BH536">
        <v>3.84</v>
      </c>
      <c r="BI536">
        <v>20191223</v>
      </c>
      <c r="BJ536">
        <v>20061116</v>
      </c>
      <c r="BK536">
        <v>7.28</v>
      </c>
      <c r="BL536" t="s">
        <v>116</v>
      </c>
      <c r="BM536" t="s">
        <v>116</v>
      </c>
      <c r="BN536">
        <v>22</v>
      </c>
      <c r="BO536">
        <v>16.8</v>
      </c>
      <c r="BP536">
        <v>1.65</v>
      </c>
      <c r="BQ536">
        <v>16.190000000000001</v>
      </c>
      <c r="BR536">
        <v>15.54</v>
      </c>
      <c r="BS536">
        <v>4.84</v>
      </c>
      <c r="BT536">
        <v>0.24</v>
      </c>
      <c r="BU536">
        <v>3.34</v>
      </c>
      <c r="BV536">
        <v>2.0099999999999998</v>
      </c>
      <c r="BW536">
        <v>5.0999999999999996</v>
      </c>
      <c r="BX536">
        <v>3.08</v>
      </c>
      <c r="BY536">
        <v>15.2</v>
      </c>
      <c r="BZ536">
        <v>12.5</v>
      </c>
      <c r="CA536">
        <v>1.39</v>
      </c>
      <c r="CB536">
        <v>0.06</v>
      </c>
      <c r="CC536">
        <v>1.41</v>
      </c>
      <c r="CD536">
        <v>1.22</v>
      </c>
      <c r="CE536">
        <v>0.84</v>
      </c>
      <c r="CF536">
        <v>0.79</v>
      </c>
      <c r="CG536">
        <v>5.42</v>
      </c>
      <c r="CH536">
        <v>0.72</v>
      </c>
      <c r="CI536">
        <v>-1.8</v>
      </c>
      <c r="CJ536">
        <v>81040</v>
      </c>
      <c r="CK536">
        <v>5425</v>
      </c>
      <c r="CL536" t="s">
        <v>476</v>
      </c>
      <c r="CM536">
        <v>21.61</v>
      </c>
      <c r="CN536">
        <v>7.4</v>
      </c>
      <c r="CO536">
        <v>5.57</v>
      </c>
      <c r="CP536">
        <v>130.44</v>
      </c>
      <c r="CQ536">
        <v>6.16</v>
      </c>
      <c r="CR536">
        <v>0.23</v>
      </c>
      <c r="CS536" t="s">
        <v>1182</v>
      </c>
      <c r="CT536">
        <v>2.31</v>
      </c>
      <c r="CU536">
        <v>0</v>
      </c>
      <c r="CV536">
        <v>0.42</v>
      </c>
      <c r="CW536">
        <v>0.74</v>
      </c>
      <c r="CX536">
        <v>0.1</v>
      </c>
      <c r="CY536">
        <v>76.33</v>
      </c>
      <c r="CZ536" t="s">
        <v>3510</v>
      </c>
      <c r="DA536">
        <v>17.809999999999999</v>
      </c>
      <c r="DB536">
        <v>9.17</v>
      </c>
      <c r="DC536">
        <v>5.56</v>
      </c>
      <c r="DD536">
        <v>0.57999999999999996</v>
      </c>
      <c r="DE536">
        <v>1746</v>
      </c>
      <c r="DF536">
        <v>2079</v>
      </c>
      <c r="DG536" t="s">
        <v>116</v>
      </c>
      <c r="DH536" t="s">
        <v>116</v>
      </c>
      <c r="DI536" t="s">
        <v>116</v>
      </c>
    </row>
    <row r="537" spans="1:113" x14ac:dyDescent="0.4">
      <c r="A537" t="str">
        <f>"002080"</f>
        <v>002080</v>
      </c>
      <c r="B537" t="s">
        <v>3511</v>
      </c>
      <c r="C537">
        <v>0.18</v>
      </c>
      <c r="D537">
        <v>10.88</v>
      </c>
      <c r="E537">
        <v>0.02</v>
      </c>
      <c r="F537">
        <v>10.87</v>
      </c>
      <c r="G537">
        <v>10.88</v>
      </c>
      <c r="H537">
        <v>144929</v>
      </c>
      <c r="I537">
        <v>1644</v>
      </c>
      <c r="J537">
        <v>0.09</v>
      </c>
      <c r="K537">
        <v>0.86</v>
      </c>
      <c r="L537">
        <v>10.89</v>
      </c>
      <c r="M537">
        <v>11.08</v>
      </c>
      <c r="N537">
        <v>10.84</v>
      </c>
      <c r="O537">
        <v>10.86</v>
      </c>
      <c r="P537">
        <v>13.44</v>
      </c>
      <c r="Q537">
        <v>158584512</v>
      </c>
      <c r="R537">
        <v>1.02</v>
      </c>
      <c r="S537" t="s">
        <v>630</v>
      </c>
      <c r="T537" t="s">
        <v>323</v>
      </c>
      <c r="U537">
        <v>2.21</v>
      </c>
      <c r="V537">
        <v>10.94</v>
      </c>
      <c r="W537">
        <v>70281</v>
      </c>
      <c r="X537">
        <v>74648</v>
      </c>
      <c r="Y537">
        <v>0.94</v>
      </c>
      <c r="Z537">
        <v>66</v>
      </c>
      <c r="AA537">
        <v>1</v>
      </c>
      <c r="AB537" t="s">
        <v>116</v>
      </c>
      <c r="AC537">
        <v>555400</v>
      </c>
      <c r="AD537">
        <v>0.01</v>
      </c>
      <c r="AE537" t="s">
        <v>116</v>
      </c>
      <c r="AF537" t="s">
        <v>116</v>
      </c>
      <c r="AG537">
        <v>16.78</v>
      </c>
      <c r="AH537" t="s">
        <v>3512</v>
      </c>
      <c r="AI537" t="s">
        <v>3512</v>
      </c>
      <c r="AJ537">
        <v>0.86</v>
      </c>
      <c r="AK537">
        <v>3333</v>
      </c>
      <c r="AL537">
        <v>43</v>
      </c>
      <c r="AM537">
        <v>2.9999999999999997E-4</v>
      </c>
      <c r="AN537">
        <v>4</v>
      </c>
      <c r="AO537">
        <v>4.3</v>
      </c>
      <c r="AP537">
        <v>21.7</v>
      </c>
      <c r="AQ537">
        <v>3.42</v>
      </c>
      <c r="AR537">
        <v>80.25</v>
      </c>
      <c r="AS537">
        <v>2.17</v>
      </c>
      <c r="AT537" t="s">
        <v>3513</v>
      </c>
      <c r="AU537">
        <v>15.12</v>
      </c>
      <c r="AV537">
        <v>19.55</v>
      </c>
      <c r="AW537">
        <v>1.44</v>
      </c>
      <c r="BA537">
        <v>0.28000000000000003</v>
      </c>
      <c r="BB537">
        <v>2.0299999999999998</v>
      </c>
      <c r="BC537">
        <v>-0.18</v>
      </c>
      <c r="BD537">
        <v>0.76</v>
      </c>
      <c r="BE537">
        <v>-0.09</v>
      </c>
      <c r="BF537">
        <v>-1.81</v>
      </c>
      <c r="BG537">
        <v>0.37</v>
      </c>
      <c r="BH537">
        <v>-0.56999999999999995</v>
      </c>
      <c r="BI537">
        <v>20191023</v>
      </c>
      <c r="BJ537">
        <v>20061120</v>
      </c>
      <c r="BK537">
        <v>16.78</v>
      </c>
      <c r="BL537" t="s">
        <v>116</v>
      </c>
      <c r="BM537" t="s">
        <v>116</v>
      </c>
      <c r="BN537">
        <v>294.44</v>
      </c>
      <c r="BO537">
        <v>113.84</v>
      </c>
      <c r="BP537">
        <v>10.56</v>
      </c>
      <c r="BQ537">
        <v>57.75</v>
      </c>
      <c r="BR537">
        <v>118.54</v>
      </c>
      <c r="BS537">
        <v>129.36000000000001</v>
      </c>
      <c r="BT537">
        <v>12.5</v>
      </c>
      <c r="BU537">
        <v>115.47</v>
      </c>
      <c r="BV537">
        <v>23.34</v>
      </c>
      <c r="BW537">
        <v>40.380000000000003</v>
      </c>
      <c r="BX537">
        <v>48.73</v>
      </c>
      <c r="BY537">
        <v>95.34</v>
      </c>
      <c r="BZ537">
        <v>69.09</v>
      </c>
      <c r="CA537">
        <v>12.21</v>
      </c>
      <c r="CB537">
        <v>-0.14000000000000001</v>
      </c>
      <c r="CC537">
        <v>12.31</v>
      </c>
      <c r="CD537">
        <v>10.51</v>
      </c>
      <c r="CE537">
        <v>10.19</v>
      </c>
      <c r="CF537">
        <v>9.6199999999999992</v>
      </c>
      <c r="CG537">
        <v>34.75</v>
      </c>
      <c r="CH537">
        <v>9.8000000000000007</v>
      </c>
      <c r="CI537">
        <v>1.84</v>
      </c>
      <c r="CJ537">
        <v>31473</v>
      </c>
      <c r="CK537">
        <v>21201</v>
      </c>
      <c r="CL537" t="s">
        <v>3514</v>
      </c>
      <c r="CM537">
        <v>36.659999999999997</v>
      </c>
      <c r="CN537">
        <v>22.21</v>
      </c>
      <c r="CO537">
        <v>1.77</v>
      </c>
      <c r="CP537">
        <v>18.63</v>
      </c>
      <c r="CQ537">
        <v>1.92</v>
      </c>
      <c r="CR537">
        <v>1.72</v>
      </c>
      <c r="CS537" t="s">
        <v>2859</v>
      </c>
      <c r="CT537">
        <v>6.13</v>
      </c>
      <c r="CU537">
        <v>6.13</v>
      </c>
      <c r="CV537">
        <v>2.9</v>
      </c>
      <c r="CW537">
        <v>2.0699999999999998</v>
      </c>
      <c r="CX537">
        <v>0.57999999999999996</v>
      </c>
      <c r="CY537">
        <v>38.659999999999997</v>
      </c>
      <c r="CZ537" t="s">
        <v>3515</v>
      </c>
      <c r="DA537">
        <v>27.53</v>
      </c>
      <c r="DB537">
        <v>12.81</v>
      </c>
      <c r="DC537">
        <v>10.69</v>
      </c>
      <c r="DD537">
        <v>2.68</v>
      </c>
      <c r="DE537">
        <v>16403</v>
      </c>
      <c r="DF537">
        <v>2080</v>
      </c>
      <c r="DG537" t="s">
        <v>116</v>
      </c>
      <c r="DH537" t="s">
        <v>116</v>
      </c>
      <c r="DI537" t="s">
        <v>116</v>
      </c>
    </row>
    <row r="538" spans="1:113" x14ac:dyDescent="0.4">
      <c r="A538" t="str">
        <f>"002081"</f>
        <v>002081</v>
      </c>
      <c r="B538" t="s">
        <v>3516</v>
      </c>
      <c r="C538">
        <v>-1.05</v>
      </c>
      <c r="D538">
        <v>8.49</v>
      </c>
      <c r="E538">
        <v>-0.09</v>
      </c>
      <c r="F538">
        <v>8.49</v>
      </c>
      <c r="G538">
        <v>8.5</v>
      </c>
      <c r="H538">
        <v>206221</v>
      </c>
      <c r="I538">
        <v>3598</v>
      </c>
      <c r="J538">
        <v>-0.11</v>
      </c>
      <c r="K538">
        <v>0.8</v>
      </c>
      <c r="L538">
        <v>8.59</v>
      </c>
      <c r="M538">
        <v>8.6300000000000008</v>
      </c>
      <c r="N538">
        <v>8.48</v>
      </c>
      <c r="O538">
        <v>8.58</v>
      </c>
      <c r="P538">
        <v>9.74</v>
      </c>
      <c r="Q538">
        <v>175906896</v>
      </c>
      <c r="R538">
        <v>0.81</v>
      </c>
      <c r="S538" t="s">
        <v>3331</v>
      </c>
      <c r="T538" t="s">
        <v>323</v>
      </c>
      <c r="U538">
        <v>1.75</v>
      </c>
      <c r="V538">
        <v>8.5299999999999994</v>
      </c>
      <c r="W538">
        <v>133679</v>
      </c>
      <c r="X538">
        <v>72542</v>
      </c>
      <c r="Y538">
        <v>1.84</v>
      </c>
      <c r="Z538">
        <v>1223</v>
      </c>
      <c r="AA538">
        <v>1428</v>
      </c>
      <c r="AB538" t="s">
        <v>116</v>
      </c>
      <c r="AC538">
        <v>760200</v>
      </c>
      <c r="AD538">
        <v>0.01</v>
      </c>
      <c r="AE538" t="s">
        <v>116</v>
      </c>
      <c r="AF538" t="s">
        <v>116</v>
      </c>
      <c r="AG538">
        <v>25.82</v>
      </c>
      <c r="AH538" t="s">
        <v>3517</v>
      </c>
      <c r="AI538" t="s">
        <v>3518</v>
      </c>
      <c r="AJ538">
        <v>-0.37</v>
      </c>
      <c r="AK538">
        <v>3317</v>
      </c>
      <c r="AL538">
        <v>62</v>
      </c>
      <c r="AM538">
        <v>2.0000000000000001E-4</v>
      </c>
      <c r="AN538">
        <v>-1</v>
      </c>
      <c r="AO538">
        <v>2.2799999999999998</v>
      </c>
      <c r="AP538">
        <v>5.47</v>
      </c>
      <c r="AQ538">
        <v>-6.6</v>
      </c>
      <c r="AR538">
        <v>7.47</v>
      </c>
      <c r="AS538">
        <v>1.59</v>
      </c>
      <c r="AT538" t="s">
        <v>3519</v>
      </c>
      <c r="AU538">
        <v>9.93</v>
      </c>
      <c r="AV538">
        <v>10.7</v>
      </c>
      <c r="AW538">
        <v>0.9</v>
      </c>
      <c r="BA538">
        <v>0.12</v>
      </c>
      <c r="BB538">
        <v>0.57999999999999996</v>
      </c>
      <c r="BC538">
        <v>-1.17</v>
      </c>
      <c r="BD538">
        <v>-0.57999999999999996</v>
      </c>
      <c r="BE538">
        <v>-1.1599999999999999</v>
      </c>
      <c r="BF538">
        <v>-1.62</v>
      </c>
      <c r="BG538">
        <v>0.12</v>
      </c>
      <c r="BH538">
        <v>-0.47</v>
      </c>
      <c r="BI538">
        <v>20191204</v>
      </c>
      <c r="BJ538">
        <v>20061120</v>
      </c>
      <c r="BK538">
        <v>26.76</v>
      </c>
      <c r="BL538" t="s">
        <v>116</v>
      </c>
      <c r="BM538" t="s">
        <v>116</v>
      </c>
      <c r="BN538">
        <v>362.46</v>
      </c>
      <c r="BO538">
        <v>145.26</v>
      </c>
      <c r="BP538">
        <v>3.46</v>
      </c>
      <c r="BQ538">
        <v>58.97</v>
      </c>
      <c r="BR538">
        <v>317.75</v>
      </c>
      <c r="BS538">
        <v>8.2799999999999994</v>
      </c>
      <c r="BT538">
        <v>1.0900000000000001</v>
      </c>
      <c r="BU538">
        <v>206.72</v>
      </c>
      <c r="BV538">
        <v>1.34</v>
      </c>
      <c r="BW538">
        <v>226.91</v>
      </c>
      <c r="BX538">
        <v>3.2</v>
      </c>
      <c r="BY538">
        <v>227.41</v>
      </c>
      <c r="BZ538">
        <v>185.16</v>
      </c>
      <c r="CA538">
        <v>20.38</v>
      </c>
      <c r="CB538">
        <v>0.49</v>
      </c>
      <c r="CC538">
        <v>20.420000000000002</v>
      </c>
      <c r="CD538">
        <v>17.399999999999999</v>
      </c>
      <c r="CE538">
        <v>17.5</v>
      </c>
      <c r="CF538">
        <v>17.100000000000001</v>
      </c>
      <c r="CG538">
        <v>104.52</v>
      </c>
      <c r="CH538">
        <v>-8.09</v>
      </c>
      <c r="CI538">
        <v>8.16</v>
      </c>
      <c r="CJ538">
        <v>67000</v>
      </c>
      <c r="CK538">
        <v>19320</v>
      </c>
      <c r="CL538" t="s">
        <v>3520</v>
      </c>
      <c r="CM538">
        <v>10.47</v>
      </c>
      <c r="CN538">
        <v>22.66</v>
      </c>
      <c r="CO538">
        <v>1.56</v>
      </c>
      <c r="CP538">
        <v>-28.09</v>
      </c>
      <c r="CQ538">
        <v>1</v>
      </c>
      <c r="CR538">
        <v>2.36</v>
      </c>
      <c r="CS538" t="s">
        <v>3521</v>
      </c>
      <c r="CT538">
        <v>5.43</v>
      </c>
      <c r="CU538">
        <v>0</v>
      </c>
      <c r="CV538">
        <v>0.12</v>
      </c>
      <c r="CW538">
        <v>3.91</v>
      </c>
      <c r="CX538">
        <v>-0.3</v>
      </c>
      <c r="CY538">
        <v>40.08</v>
      </c>
      <c r="CZ538" t="s">
        <v>3522</v>
      </c>
      <c r="DA538">
        <v>18.579999999999998</v>
      </c>
      <c r="DB538">
        <v>8.9600000000000009</v>
      </c>
      <c r="DC538">
        <v>7.7</v>
      </c>
      <c r="DD538">
        <v>6.42</v>
      </c>
      <c r="DE538">
        <v>19877</v>
      </c>
      <c r="DF538">
        <v>2081</v>
      </c>
      <c r="DG538" t="s">
        <v>116</v>
      </c>
      <c r="DH538" t="s">
        <v>116</v>
      </c>
      <c r="DI538" t="s">
        <v>116</v>
      </c>
    </row>
    <row r="539" spans="1:113" x14ac:dyDescent="0.4">
      <c r="A539" t="str">
        <f>"002082"</f>
        <v>002082</v>
      </c>
      <c r="B539" t="s">
        <v>3523</v>
      </c>
      <c r="C539">
        <v>-1.26</v>
      </c>
      <c r="D539">
        <v>10.15</v>
      </c>
      <c r="E539">
        <v>-0.13</v>
      </c>
      <c r="F539">
        <v>10.15</v>
      </c>
      <c r="G539">
        <v>10.16</v>
      </c>
      <c r="H539">
        <v>45618</v>
      </c>
      <c r="I539">
        <v>2052</v>
      </c>
      <c r="J539">
        <v>1.6</v>
      </c>
      <c r="K539">
        <v>1.92</v>
      </c>
      <c r="L539">
        <v>10.31</v>
      </c>
      <c r="M539">
        <v>10.38</v>
      </c>
      <c r="N539">
        <v>9.89</v>
      </c>
      <c r="O539">
        <v>10.28</v>
      </c>
      <c r="P539">
        <v>24.06</v>
      </c>
      <c r="Q539">
        <v>46723960</v>
      </c>
      <c r="R539">
        <v>1.23</v>
      </c>
      <c r="S539" t="s">
        <v>1428</v>
      </c>
      <c r="T539" t="s">
        <v>590</v>
      </c>
      <c r="U539">
        <v>4.7699999999999996</v>
      </c>
      <c r="V539">
        <v>10.24</v>
      </c>
      <c r="W539">
        <v>22741</v>
      </c>
      <c r="X539">
        <v>22877</v>
      </c>
      <c r="Y539">
        <v>0.99</v>
      </c>
      <c r="Z539">
        <v>356</v>
      </c>
      <c r="AA539">
        <v>5</v>
      </c>
      <c r="AB539" t="s">
        <v>116</v>
      </c>
      <c r="AC539">
        <v>79400</v>
      </c>
      <c r="AD539">
        <v>0</v>
      </c>
      <c r="AE539" t="s">
        <v>116</v>
      </c>
      <c r="AF539" t="s">
        <v>116</v>
      </c>
      <c r="AG539">
        <v>2.38</v>
      </c>
      <c r="AH539" t="s">
        <v>2571</v>
      </c>
      <c r="AI539" t="s">
        <v>2571</v>
      </c>
      <c r="AJ539">
        <v>-0.59</v>
      </c>
      <c r="AK539">
        <v>1326</v>
      </c>
      <c r="AL539">
        <v>34</v>
      </c>
      <c r="AM539">
        <v>1.4E-3</v>
      </c>
      <c r="AN539">
        <v>-3</v>
      </c>
      <c r="AO539">
        <v>-3.32</v>
      </c>
      <c r="AP539">
        <v>23.33</v>
      </c>
      <c r="AQ539">
        <v>15.21</v>
      </c>
      <c r="AR539">
        <v>37.53</v>
      </c>
      <c r="AS539">
        <v>2.36</v>
      </c>
      <c r="AT539" t="s">
        <v>3524</v>
      </c>
      <c r="AU539">
        <v>22.35</v>
      </c>
      <c r="AV539">
        <v>28.73</v>
      </c>
      <c r="AW539">
        <v>0.67</v>
      </c>
      <c r="BA539">
        <v>0.28999999999999998</v>
      </c>
      <c r="BB539">
        <v>0.97</v>
      </c>
      <c r="BC539">
        <v>-3.79</v>
      </c>
      <c r="BD539">
        <v>-0.37</v>
      </c>
      <c r="BE539">
        <v>-1.55</v>
      </c>
      <c r="BF539">
        <v>-2.2200000000000002</v>
      </c>
      <c r="BG539">
        <v>2.63</v>
      </c>
      <c r="BH539">
        <v>-0.9</v>
      </c>
      <c r="BI539">
        <v>20191024</v>
      </c>
      <c r="BJ539">
        <v>20061120</v>
      </c>
      <c r="BK539">
        <v>2.38</v>
      </c>
      <c r="BL539" t="s">
        <v>116</v>
      </c>
      <c r="BM539" t="s">
        <v>116</v>
      </c>
      <c r="BN539">
        <v>36.21</v>
      </c>
      <c r="BO539">
        <v>15.65</v>
      </c>
      <c r="BP539">
        <v>2.4700000000000002</v>
      </c>
      <c r="BQ539">
        <v>49.97</v>
      </c>
      <c r="BR539">
        <v>22.28</v>
      </c>
      <c r="BS539">
        <v>4.83</v>
      </c>
      <c r="BT539">
        <v>2.82</v>
      </c>
      <c r="BU539">
        <v>12.76</v>
      </c>
      <c r="BV539">
        <v>6.11</v>
      </c>
      <c r="BW539">
        <v>6.48</v>
      </c>
      <c r="BX539">
        <v>2.42</v>
      </c>
      <c r="BY539">
        <v>119.47</v>
      </c>
      <c r="BZ539">
        <v>114.85</v>
      </c>
      <c r="CA539">
        <v>1.3</v>
      </c>
      <c r="CB539">
        <v>0</v>
      </c>
      <c r="CC539">
        <v>1.29</v>
      </c>
      <c r="CD539">
        <v>1.04</v>
      </c>
      <c r="CE539">
        <v>0.75</v>
      </c>
      <c r="CF539">
        <v>0.72</v>
      </c>
      <c r="CG539">
        <v>9.93</v>
      </c>
      <c r="CH539">
        <v>-3.19</v>
      </c>
      <c r="CI539">
        <v>-1.38</v>
      </c>
      <c r="CJ539">
        <v>23498</v>
      </c>
      <c r="CK539">
        <v>8216</v>
      </c>
      <c r="CL539" t="s">
        <v>3525</v>
      </c>
      <c r="CM539">
        <v>46.75</v>
      </c>
      <c r="CN539">
        <v>18.600000000000001</v>
      </c>
      <c r="CO539">
        <v>1.54</v>
      </c>
      <c r="CP539">
        <v>-7.57</v>
      </c>
      <c r="CQ539">
        <v>0.2</v>
      </c>
      <c r="CR539">
        <v>0</v>
      </c>
      <c r="CS539" t="s">
        <v>3526</v>
      </c>
      <c r="CT539">
        <v>6.57</v>
      </c>
      <c r="CU539">
        <v>0</v>
      </c>
      <c r="CV539">
        <v>1.02</v>
      </c>
      <c r="CW539">
        <v>4.17</v>
      </c>
      <c r="CX539">
        <v>-1.34</v>
      </c>
      <c r="CY539">
        <v>43.21</v>
      </c>
      <c r="CZ539" t="s">
        <v>695</v>
      </c>
      <c r="DA539">
        <v>3.87</v>
      </c>
      <c r="DB539">
        <v>1.08</v>
      </c>
      <c r="DC539">
        <v>0.63</v>
      </c>
      <c r="DD539">
        <v>0.91</v>
      </c>
      <c r="DE539">
        <v>1818</v>
      </c>
      <c r="DF539">
        <v>2082</v>
      </c>
      <c r="DG539" t="s">
        <v>116</v>
      </c>
      <c r="DH539" t="s">
        <v>116</v>
      </c>
      <c r="DI539" t="s">
        <v>116</v>
      </c>
    </row>
    <row r="540" spans="1:113" x14ac:dyDescent="0.4">
      <c r="A540" t="str">
        <f>"002083"</f>
        <v>002083</v>
      </c>
      <c r="B540" t="s">
        <v>3527</v>
      </c>
      <c r="C540">
        <v>-0.67</v>
      </c>
      <c r="D540">
        <v>5.94</v>
      </c>
      <c r="E540">
        <v>-0.04</v>
      </c>
      <c r="F540">
        <v>5.94</v>
      </c>
      <c r="G540">
        <v>5.95</v>
      </c>
      <c r="H540">
        <v>48477</v>
      </c>
      <c r="I540">
        <v>2010</v>
      </c>
      <c r="J540">
        <v>-0.33</v>
      </c>
      <c r="K540">
        <v>0.55000000000000004</v>
      </c>
      <c r="L540">
        <v>5.97</v>
      </c>
      <c r="M540">
        <v>6.02</v>
      </c>
      <c r="N540">
        <v>5.94</v>
      </c>
      <c r="O540">
        <v>5.98</v>
      </c>
      <c r="P540">
        <v>10.81</v>
      </c>
      <c r="Q540">
        <v>29012412</v>
      </c>
      <c r="R540">
        <v>1.02</v>
      </c>
      <c r="S540" t="s">
        <v>1420</v>
      </c>
      <c r="T540" t="s">
        <v>645</v>
      </c>
      <c r="U540">
        <v>1.34</v>
      </c>
      <c r="V540">
        <v>5.98</v>
      </c>
      <c r="W540">
        <v>32324</v>
      </c>
      <c r="X540">
        <v>16153</v>
      </c>
      <c r="Y540">
        <v>2</v>
      </c>
      <c r="Z540">
        <v>537</v>
      </c>
      <c r="AA540">
        <v>196</v>
      </c>
      <c r="AB540" t="s">
        <v>116</v>
      </c>
      <c r="AC540">
        <v>216700</v>
      </c>
      <c r="AD540">
        <v>0.01</v>
      </c>
      <c r="AE540" t="s">
        <v>116</v>
      </c>
      <c r="AF540" t="s">
        <v>116</v>
      </c>
      <c r="AG540">
        <v>8.77</v>
      </c>
      <c r="AH540" t="s">
        <v>3528</v>
      </c>
      <c r="AI540" t="s">
        <v>3529</v>
      </c>
      <c r="AJ540">
        <v>0.01</v>
      </c>
      <c r="AK540">
        <v>1059</v>
      </c>
      <c r="AL540">
        <v>46</v>
      </c>
      <c r="AM540">
        <v>5.0000000000000001E-4</v>
      </c>
      <c r="AN540">
        <v>-3</v>
      </c>
      <c r="AO540">
        <v>-1.82</v>
      </c>
      <c r="AP540">
        <v>-1</v>
      </c>
      <c r="AQ540">
        <v>0</v>
      </c>
      <c r="AR540">
        <v>22.98</v>
      </c>
      <c r="AS540">
        <v>0.77</v>
      </c>
      <c r="AT540" t="s">
        <v>1717</v>
      </c>
      <c r="AU540">
        <v>11.28</v>
      </c>
      <c r="AV540">
        <v>12.41</v>
      </c>
      <c r="AW540">
        <v>0.32</v>
      </c>
      <c r="BA540">
        <v>-0.17</v>
      </c>
      <c r="BB540">
        <v>0.67</v>
      </c>
      <c r="BC540">
        <v>-0.67</v>
      </c>
      <c r="BD540">
        <v>0.08</v>
      </c>
      <c r="BE540">
        <v>-0.5</v>
      </c>
      <c r="BF540">
        <v>-1.33</v>
      </c>
      <c r="BG540">
        <v>0</v>
      </c>
      <c r="BH540">
        <v>-0.75</v>
      </c>
      <c r="BI540">
        <v>20191025</v>
      </c>
      <c r="BJ540">
        <v>20061124</v>
      </c>
      <c r="BK540">
        <v>9.08</v>
      </c>
      <c r="BL540" t="s">
        <v>116</v>
      </c>
      <c r="BM540" t="s">
        <v>116</v>
      </c>
      <c r="BN540">
        <v>74.239999999999995</v>
      </c>
      <c r="BO540">
        <v>36.19</v>
      </c>
      <c r="BP540">
        <v>0.47</v>
      </c>
      <c r="BQ540">
        <v>50.61</v>
      </c>
      <c r="BR540">
        <v>35.31</v>
      </c>
      <c r="BS540">
        <v>28.73</v>
      </c>
      <c r="BT540">
        <v>5.03</v>
      </c>
      <c r="BU540">
        <v>30.79</v>
      </c>
      <c r="BV540">
        <v>12.89</v>
      </c>
      <c r="BW540">
        <v>6.75</v>
      </c>
      <c r="BX540">
        <v>12.61</v>
      </c>
      <c r="BY540">
        <v>37.619999999999997</v>
      </c>
      <c r="BZ540">
        <v>29.81</v>
      </c>
      <c r="CA540">
        <v>4.8899999999999997</v>
      </c>
      <c r="CB540">
        <v>0.36</v>
      </c>
      <c r="CC540">
        <v>4.9000000000000004</v>
      </c>
      <c r="CD540">
        <v>3.77</v>
      </c>
      <c r="CE540">
        <v>3.74</v>
      </c>
      <c r="CF540">
        <v>2.73</v>
      </c>
      <c r="CG540">
        <v>13.27</v>
      </c>
      <c r="CH540">
        <v>6.09</v>
      </c>
      <c r="CI540">
        <v>-1.26</v>
      </c>
      <c r="CJ540">
        <v>50973</v>
      </c>
      <c r="CK540">
        <v>12393</v>
      </c>
      <c r="CL540" t="s">
        <v>3530</v>
      </c>
      <c r="CM540">
        <v>13.07</v>
      </c>
      <c r="CN540">
        <v>-1.1599999999999999</v>
      </c>
      <c r="CO540">
        <v>1.49</v>
      </c>
      <c r="CP540">
        <v>8.86</v>
      </c>
      <c r="CQ540">
        <v>1.43</v>
      </c>
      <c r="CR540">
        <v>1.63</v>
      </c>
      <c r="CS540" t="s">
        <v>2820</v>
      </c>
      <c r="CT540">
        <v>3.99</v>
      </c>
      <c r="CU540">
        <v>0</v>
      </c>
      <c r="CV540">
        <v>1.39</v>
      </c>
      <c r="CW540">
        <v>1.46</v>
      </c>
      <c r="CX540">
        <v>0.67</v>
      </c>
      <c r="CY540">
        <v>48.75</v>
      </c>
      <c r="CZ540" t="s">
        <v>3531</v>
      </c>
      <c r="DA540">
        <v>20.76</v>
      </c>
      <c r="DB540">
        <v>13.01</v>
      </c>
      <c r="DC540">
        <v>9.9499999999999993</v>
      </c>
      <c r="DD540">
        <v>0.01</v>
      </c>
      <c r="DE540">
        <v>15840</v>
      </c>
      <c r="DF540">
        <v>2083</v>
      </c>
      <c r="DG540" t="s">
        <v>116</v>
      </c>
      <c r="DH540" t="s">
        <v>116</v>
      </c>
      <c r="DI540" t="s">
        <v>116</v>
      </c>
    </row>
    <row r="541" spans="1:113" x14ac:dyDescent="0.4">
      <c r="A541" t="str">
        <f>"002084"</f>
        <v>002084</v>
      </c>
      <c r="B541" t="s">
        <v>3532</v>
      </c>
      <c r="C541">
        <v>-3.36</v>
      </c>
      <c r="D541">
        <v>6.32</v>
      </c>
      <c r="E541">
        <v>-0.22</v>
      </c>
      <c r="F541">
        <v>6.31</v>
      </c>
      <c r="G541">
        <v>6.32</v>
      </c>
      <c r="H541">
        <v>91554</v>
      </c>
      <c r="I541">
        <v>1786</v>
      </c>
      <c r="J541">
        <v>0.16</v>
      </c>
      <c r="K541">
        <v>1.87</v>
      </c>
      <c r="L541">
        <v>6.55</v>
      </c>
      <c r="M541">
        <v>6.58</v>
      </c>
      <c r="N541">
        <v>6.29</v>
      </c>
      <c r="O541">
        <v>6.54</v>
      </c>
      <c r="P541">
        <v>22.14</v>
      </c>
      <c r="Q541">
        <v>59040212</v>
      </c>
      <c r="R541">
        <v>0.81</v>
      </c>
      <c r="S541" t="s">
        <v>2640</v>
      </c>
      <c r="T541" t="s">
        <v>551</v>
      </c>
      <c r="U541">
        <v>4.43</v>
      </c>
      <c r="V541">
        <v>6.45</v>
      </c>
      <c r="W541">
        <v>55599</v>
      </c>
      <c r="X541">
        <v>35955</v>
      </c>
      <c r="Y541">
        <v>1.55</v>
      </c>
      <c r="Z541">
        <v>645</v>
      </c>
      <c r="AA541">
        <v>145</v>
      </c>
      <c r="AB541" t="s">
        <v>116</v>
      </c>
      <c r="AC541">
        <v>51700</v>
      </c>
      <c r="AD541">
        <v>0</v>
      </c>
      <c r="AE541" t="s">
        <v>116</v>
      </c>
      <c r="AF541" t="s">
        <v>116</v>
      </c>
      <c r="AG541">
        <v>4.91</v>
      </c>
      <c r="AH541" t="s">
        <v>3533</v>
      </c>
      <c r="AI541" t="s">
        <v>3534</v>
      </c>
      <c r="AJ541">
        <v>-2.69</v>
      </c>
      <c r="AK541">
        <v>2341</v>
      </c>
      <c r="AL541">
        <v>39</v>
      </c>
      <c r="AM541">
        <v>8.0000000000000004E-4</v>
      </c>
      <c r="AN541">
        <v>-3</v>
      </c>
      <c r="AO541">
        <v>-8</v>
      </c>
      <c r="AP541">
        <v>4.8099999999999996</v>
      </c>
      <c r="AQ541">
        <v>22.48</v>
      </c>
      <c r="AR541">
        <v>62.47</v>
      </c>
      <c r="AS541">
        <v>3.5</v>
      </c>
      <c r="AT541" t="s">
        <v>3535</v>
      </c>
      <c r="AU541">
        <v>27.68</v>
      </c>
      <c r="AV541">
        <v>76.290000000000006</v>
      </c>
      <c r="AW541">
        <v>0.76</v>
      </c>
      <c r="BA541">
        <v>0.15</v>
      </c>
      <c r="BB541">
        <v>0.61</v>
      </c>
      <c r="BC541">
        <v>-3.82</v>
      </c>
      <c r="BD541">
        <v>-1.4</v>
      </c>
      <c r="BE541">
        <v>-3.51</v>
      </c>
      <c r="BF541">
        <v>-3.95</v>
      </c>
      <c r="BG541">
        <v>0.48</v>
      </c>
      <c r="BH541">
        <v>-1.97</v>
      </c>
      <c r="BI541">
        <v>20191227</v>
      </c>
      <c r="BJ541">
        <v>20061124</v>
      </c>
      <c r="BK541">
        <v>5.0599999999999996</v>
      </c>
      <c r="BL541" t="s">
        <v>116</v>
      </c>
      <c r="BM541" t="s">
        <v>116</v>
      </c>
      <c r="BN541">
        <v>30.42</v>
      </c>
      <c r="BO541">
        <v>15.73</v>
      </c>
      <c r="BP541">
        <v>1.05</v>
      </c>
      <c r="BQ541">
        <v>44.84</v>
      </c>
      <c r="BR541">
        <v>20.23</v>
      </c>
      <c r="BS541">
        <v>5.54</v>
      </c>
      <c r="BT541">
        <v>1.42</v>
      </c>
      <c r="BU541">
        <v>11.09</v>
      </c>
      <c r="BV541">
        <v>5.3</v>
      </c>
      <c r="BW541">
        <v>5.9</v>
      </c>
      <c r="BX541">
        <v>5.95</v>
      </c>
      <c r="BY541">
        <v>18.329999999999998</v>
      </c>
      <c r="BZ541">
        <v>13.94</v>
      </c>
      <c r="CA541">
        <v>1.27</v>
      </c>
      <c r="CB541">
        <v>0.01</v>
      </c>
      <c r="CC541">
        <v>1.25</v>
      </c>
      <c r="CD541">
        <v>1.1000000000000001</v>
      </c>
      <c r="CE541">
        <v>1.08</v>
      </c>
      <c r="CF541">
        <v>0.98</v>
      </c>
      <c r="CG541">
        <v>5.26</v>
      </c>
      <c r="CH541">
        <v>0.94</v>
      </c>
      <c r="CI541">
        <v>-2.69</v>
      </c>
      <c r="CJ541">
        <v>32412</v>
      </c>
      <c r="CK541">
        <v>8060</v>
      </c>
      <c r="CL541" t="s">
        <v>3536</v>
      </c>
      <c r="CM541">
        <v>211.89</v>
      </c>
      <c r="CN541">
        <v>16.34</v>
      </c>
      <c r="CO541">
        <v>2.0299999999999998</v>
      </c>
      <c r="CP541">
        <v>34.21</v>
      </c>
      <c r="CQ541">
        <v>1.75</v>
      </c>
      <c r="CR541">
        <v>0</v>
      </c>
      <c r="CS541" t="s">
        <v>1061</v>
      </c>
      <c r="CT541">
        <v>3.11</v>
      </c>
      <c r="CU541">
        <v>0</v>
      </c>
      <c r="CV541">
        <v>1.17</v>
      </c>
      <c r="CW541">
        <v>1.04</v>
      </c>
      <c r="CX541">
        <v>0.18</v>
      </c>
      <c r="CY541">
        <v>51.71</v>
      </c>
      <c r="CZ541" t="s">
        <v>3537</v>
      </c>
      <c r="DA541">
        <v>23.99</v>
      </c>
      <c r="DB541">
        <v>6.95</v>
      </c>
      <c r="DC541">
        <v>5.91</v>
      </c>
      <c r="DD541">
        <v>0.69</v>
      </c>
      <c r="DE541">
        <v>3562</v>
      </c>
      <c r="DF541">
        <v>2084</v>
      </c>
      <c r="DG541" t="s">
        <v>116</v>
      </c>
      <c r="DH541" t="s">
        <v>116</v>
      </c>
      <c r="DI541" t="s">
        <v>116</v>
      </c>
    </row>
    <row r="542" spans="1:113" x14ac:dyDescent="0.4">
      <c r="A542" t="str">
        <f>"002085"</f>
        <v>002085</v>
      </c>
      <c r="B542" t="s">
        <v>3538</v>
      </c>
      <c r="C542">
        <v>1.73</v>
      </c>
      <c r="D542">
        <v>7.05</v>
      </c>
      <c r="E542">
        <v>0.12</v>
      </c>
      <c r="F542">
        <v>7.04</v>
      </c>
      <c r="G542">
        <v>7.05</v>
      </c>
      <c r="H542">
        <v>95153</v>
      </c>
      <c r="I542">
        <v>947</v>
      </c>
      <c r="J542">
        <v>0.28000000000000003</v>
      </c>
      <c r="K542">
        <v>0.45</v>
      </c>
      <c r="L542">
        <v>7.03</v>
      </c>
      <c r="M542">
        <v>7.26</v>
      </c>
      <c r="N542">
        <v>7.01</v>
      </c>
      <c r="O542">
        <v>6.93</v>
      </c>
      <c r="P542">
        <v>19.21</v>
      </c>
      <c r="Q542">
        <v>67369640</v>
      </c>
      <c r="R542">
        <v>2.04</v>
      </c>
      <c r="S542" t="s">
        <v>293</v>
      </c>
      <c r="T542" t="s">
        <v>590</v>
      </c>
      <c r="U542">
        <v>3.61</v>
      </c>
      <c r="V542">
        <v>7.08</v>
      </c>
      <c r="W542">
        <v>48436</v>
      </c>
      <c r="X542">
        <v>46717</v>
      </c>
      <c r="Y542">
        <v>1.04</v>
      </c>
      <c r="Z542">
        <v>716</v>
      </c>
      <c r="AA542">
        <v>177</v>
      </c>
      <c r="AB542" t="s">
        <v>116</v>
      </c>
      <c r="AC542">
        <v>1204200</v>
      </c>
      <c r="AD542">
        <v>0.02</v>
      </c>
      <c r="AE542" t="s">
        <v>116</v>
      </c>
      <c r="AF542" t="s">
        <v>116</v>
      </c>
      <c r="AG542">
        <v>21.14</v>
      </c>
      <c r="AH542" t="s">
        <v>3539</v>
      </c>
      <c r="AI542" t="s">
        <v>3540</v>
      </c>
      <c r="AJ542">
        <v>2.41</v>
      </c>
      <c r="AK542">
        <v>2031</v>
      </c>
      <c r="AL542">
        <v>47</v>
      </c>
      <c r="AM542">
        <v>2.0000000000000001E-4</v>
      </c>
      <c r="AN542">
        <v>1</v>
      </c>
      <c r="AO542">
        <v>0.28000000000000003</v>
      </c>
      <c r="AP542">
        <v>3.68</v>
      </c>
      <c r="AQ542">
        <v>0.14000000000000001</v>
      </c>
      <c r="AR542">
        <v>-5.33</v>
      </c>
      <c r="AS542">
        <v>0.98</v>
      </c>
      <c r="AT542" t="s">
        <v>3541</v>
      </c>
      <c r="AU542">
        <v>19.87</v>
      </c>
      <c r="AV542">
        <v>16.079999999999998</v>
      </c>
      <c r="AW542">
        <v>0.23</v>
      </c>
      <c r="BA542">
        <v>1.44</v>
      </c>
      <c r="BB542">
        <v>4.76</v>
      </c>
      <c r="BC542">
        <v>1.1499999999999999</v>
      </c>
      <c r="BD542">
        <v>2.17</v>
      </c>
      <c r="BE542">
        <v>0.28000000000000003</v>
      </c>
      <c r="BF542">
        <v>-2.89</v>
      </c>
      <c r="BG542">
        <v>0.56999999999999995</v>
      </c>
      <c r="BH542">
        <v>-0.43</v>
      </c>
      <c r="BI542">
        <v>20191227</v>
      </c>
      <c r="BJ542">
        <v>20061128</v>
      </c>
      <c r="BK542">
        <v>21.87</v>
      </c>
      <c r="BL542" t="s">
        <v>116</v>
      </c>
      <c r="BM542" t="s">
        <v>116</v>
      </c>
      <c r="BN542">
        <v>139.66</v>
      </c>
      <c r="BO542">
        <v>60.68</v>
      </c>
      <c r="BP542">
        <v>5.17</v>
      </c>
      <c r="BQ542">
        <v>52.85</v>
      </c>
      <c r="BR542">
        <v>69.34</v>
      </c>
      <c r="BS542">
        <v>45.85</v>
      </c>
      <c r="BT542">
        <v>9.2100000000000009</v>
      </c>
      <c r="BU542">
        <v>53.33</v>
      </c>
      <c r="BV542">
        <v>14.37</v>
      </c>
      <c r="BW542">
        <v>21.08</v>
      </c>
      <c r="BX542">
        <v>1.1499999999999999</v>
      </c>
      <c r="BY542">
        <v>76.790000000000006</v>
      </c>
      <c r="BZ542">
        <v>60.2</v>
      </c>
      <c r="CA542">
        <v>7.03</v>
      </c>
      <c r="CB542">
        <v>-0.01</v>
      </c>
      <c r="CC542">
        <v>8.02</v>
      </c>
      <c r="CD542">
        <v>6.34</v>
      </c>
      <c r="CE542">
        <v>6.02</v>
      </c>
      <c r="CF542">
        <v>4.6900000000000004</v>
      </c>
      <c r="CG542">
        <v>35.57</v>
      </c>
      <c r="CH542">
        <v>8.74</v>
      </c>
      <c r="CI542">
        <v>2.95</v>
      </c>
      <c r="CJ542">
        <v>30882</v>
      </c>
      <c r="CK542">
        <v>31585</v>
      </c>
      <c r="CL542" t="s">
        <v>3542</v>
      </c>
      <c r="CM542">
        <v>-23.28</v>
      </c>
      <c r="CN542">
        <v>-4.4800000000000004</v>
      </c>
      <c r="CO542">
        <v>2.54</v>
      </c>
      <c r="CP542">
        <v>17.64</v>
      </c>
      <c r="CQ542">
        <v>2.0099999999999998</v>
      </c>
      <c r="CR542">
        <v>4.26</v>
      </c>
      <c r="CS542" t="s">
        <v>3543</v>
      </c>
      <c r="CT542">
        <v>2.77</v>
      </c>
      <c r="CU542">
        <v>0</v>
      </c>
      <c r="CV542">
        <v>0.05</v>
      </c>
      <c r="CW542">
        <v>1.63</v>
      </c>
      <c r="CX542">
        <v>0.4</v>
      </c>
      <c r="CY542">
        <v>43.45</v>
      </c>
      <c r="CZ542" t="s">
        <v>3544</v>
      </c>
      <c r="DA542">
        <v>21.61</v>
      </c>
      <c r="DB542">
        <v>9.15</v>
      </c>
      <c r="DC542">
        <v>7.84</v>
      </c>
      <c r="DD542">
        <v>2.57</v>
      </c>
      <c r="DE542">
        <v>10441</v>
      </c>
      <c r="DF542">
        <v>2085</v>
      </c>
      <c r="DG542" t="s">
        <v>116</v>
      </c>
      <c r="DH542" t="s">
        <v>116</v>
      </c>
      <c r="DI542" t="s">
        <v>116</v>
      </c>
    </row>
    <row r="543" spans="1:113" x14ac:dyDescent="0.4">
      <c r="A543" t="str">
        <f>"002086"</f>
        <v>002086</v>
      </c>
      <c r="B543" t="s">
        <v>3545</v>
      </c>
      <c r="C543">
        <v>-0.79</v>
      </c>
      <c r="D543">
        <v>3.77</v>
      </c>
      <c r="E543">
        <v>-0.03</v>
      </c>
      <c r="F543">
        <v>3.76</v>
      </c>
      <c r="G543">
        <v>3.77</v>
      </c>
      <c r="H543">
        <v>67116</v>
      </c>
      <c r="I543">
        <v>1335</v>
      </c>
      <c r="J543">
        <v>0</v>
      </c>
      <c r="K543">
        <v>1.23</v>
      </c>
      <c r="L543">
        <v>3.81</v>
      </c>
      <c r="M543">
        <v>3.82</v>
      </c>
      <c r="N543">
        <v>3.76</v>
      </c>
      <c r="O543">
        <v>3.8</v>
      </c>
      <c r="P543">
        <v>72.89</v>
      </c>
      <c r="Q543">
        <v>25394744</v>
      </c>
      <c r="R543">
        <v>0.86</v>
      </c>
      <c r="S543" t="s">
        <v>2216</v>
      </c>
      <c r="T543" t="s">
        <v>645</v>
      </c>
      <c r="U543">
        <v>1.58</v>
      </c>
      <c r="V543">
        <v>3.78</v>
      </c>
      <c r="W543">
        <v>45090</v>
      </c>
      <c r="X543">
        <v>22026</v>
      </c>
      <c r="Y543">
        <v>2.0499999999999998</v>
      </c>
      <c r="Z543">
        <v>1778</v>
      </c>
      <c r="AA543">
        <v>297</v>
      </c>
      <c r="AB543" t="s">
        <v>116</v>
      </c>
      <c r="AC543">
        <v>26300</v>
      </c>
      <c r="AD543">
        <v>0</v>
      </c>
      <c r="AE543" t="s">
        <v>116</v>
      </c>
      <c r="AF543" t="s">
        <v>116</v>
      </c>
      <c r="AG543">
        <v>5.44</v>
      </c>
      <c r="AH543" t="s">
        <v>3546</v>
      </c>
      <c r="AI543" t="s">
        <v>3547</v>
      </c>
      <c r="AJ543">
        <v>-0.11</v>
      </c>
      <c r="AK543">
        <v>598</v>
      </c>
      <c r="AL543">
        <v>112</v>
      </c>
      <c r="AM543">
        <v>2.0999999999999999E-3</v>
      </c>
      <c r="AN543">
        <v>-3</v>
      </c>
      <c r="AO543">
        <v>-2.33</v>
      </c>
      <c r="AP543">
        <v>1.89</v>
      </c>
      <c r="AQ543">
        <v>-3.83</v>
      </c>
      <c r="AR543">
        <v>-13.53</v>
      </c>
      <c r="AS543">
        <v>1.66</v>
      </c>
      <c r="AT543" t="s">
        <v>886</v>
      </c>
      <c r="AU543" t="s">
        <v>116</v>
      </c>
      <c r="AV543" t="s">
        <v>116</v>
      </c>
      <c r="AW543">
        <v>0.49</v>
      </c>
      <c r="BA543">
        <v>0.26</v>
      </c>
      <c r="BB543">
        <v>0.53</v>
      </c>
      <c r="BC543">
        <v>-1.05</v>
      </c>
      <c r="BD543">
        <v>-0.43</v>
      </c>
      <c r="BE543">
        <v>-1.05</v>
      </c>
      <c r="BF543">
        <v>-1.31</v>
      </c>
      <c r="BG543">
        <v>0.27</v>
      </c>
      <c r="BH543">
        <v>-0.36</v>
      </c>
      <c r="BI543">
        <v>20191029</v>
      </c>
      <c r="BJ543">
        <v>20061128</v>
      </c>
      <c r="BK543">
        <v>7.56</v>
      </c>
      <c r="BL543" t="s">
        <v>116</v>
      </c>
      <c r="BM543" t="s">
        <v>116</v>
      </c>
      <c r="BN543">
        <v>43.27</v>
      </c>
      <c r="BO543">
        <v>27.87</v>
      </c>
      <c r="BP543">
        <v>0.22</v>
      </c>
      <c r="BQ543">
        <v>35.08</v>
      </c>
      <c r="BR543">
        <v>24.2</v>
      </c>
      <c r="BS543">
        <v>15.03</v>
      </c>
      <c r="BT543">
        <v>2.08</v>
      </c>
      <c r="BU543">
        <v>12.01</v>
      </c>
      <c r="BV543">
        <v>9.49</v>
      </c>
      <c r="BW543">
        <v>3.38</v>
      </c>
      <c r="BX543">
        <v>20.75</v>
      </c>
      <c r="BY543">
        <v>5.0999999999999996</v>
      </c>
      <c r="BZ543">
        <v>3.74</v>
      </c>
      <c r="CA543">
        <v>0.31</v>
      </c>
      <c r="CB543">
        <v>0</v>
      </c>
      <c r="CC543">
        <v>0.3</v>
      </c>
      <c r="CD543">
        <v>0.3</v>
      </c>
      <c r="CE543">
        <v>0.28999999999999998</v>
      </c>
      <c r="CF543">
        <v>0.23</v>
      </c>
      <c r="CG543">
        <v>-1.34</v>
      </c>
      <c r="CH543">
        <v>9.36</v>
      </c>
      <c r="CI543">
        <v>9.26</v>
      </c>
      <c r="CJ543">
        <v>27585</v>
      </c>
      <c r="CK543">
        <v>14632</v>
      </c>
      <c r="CL543" t="s">
        <v>2260</v>
      </c>
      <c r="CM543">
        <v>-68.23</v>
      </c>
      <c r="CN543">
        <v>-16.63</v>
      </c>
      <c r="CO543">
        <v>1.02</v>
      </c>
      <c r="CP543">
        <v>3.05</v>
      </c>
      <c r="CQ543">
        <v>5.59</v>
      </c>
      <c r="CR543">
        <v>0</v>
      </c>
      <c r="CS543" t="s">
        <v>1887</v>
      </c>
      <c r="CT543">
        <v>3.68</v>
      </c>
      <c r="CU543">
        <v>0</v>
      </c>
      <c r="CV543">
        <v>2.74</v>
      </c>
      <c r="CW543">
        <v>-0.18</v>
      </c>
      <c r="CX543">
        <v>1.24</v>
      </c>
      <c r="CY543">
        <v>64.41</v>
      </c>
      <c r="CZ543" t="s">
        <v>3548</v>
      </c>
      <c r="DA543">
        <v>26.59</v>
      </c>
      <c r="DB543">
        <v>6.01</v>
      </c>
      <c r="DC543">
        <v>5.75</v>
      </c>
      <c r="DD543">
        <v>0.06</v>
      </c>
      <c r="DE543">
        <v>1398</v>
      </c>
      <c r="DF543">
        <v>2086</v>
      </c>
      <c r="DG543" t="s">
        <v>116</v>
      </c>
      <c r="DH543" t="s">
        <v>116</v>
      </c>
      <c r="DI543" t="s">
        <v>116</v>
      </c>
    </row>
    <row r="544" spans="1:113" x14ac:dyDescent="0.4">
      <c r="A544" t="str">
        <f>"002087"</f>
        <v>002087</v>
      </c>
      <c r="B544" t="s">
        <v>3549</v>
      </c>
      <c r="C544">
        <v>-0.56999999999999995</v>
      </c>
      <c r="D544">
        <v>3.49</v>
      </c>
      <c r="E544">
        <v>-0.02</v>
      </c>
      <c r="F544">
        <v>3.49</v>
      </c>
      <c r="G544">
        <v>3.5</v>
      </c>
      <c r="H544">
        <v>125118</v>
      </c>
      <c r="I544">
        <v>1477</v>
      </c>
      <c r="J544">
        <v>-0.28000000000000003</v>
      </c>
      <c r="K544">
        <v>1.53</v>
      </c>
      <c r="L544">
        <v>3.51</v>
      </c>
      <c r="M544">
        <v>3.54</v>
      </c>
      <c r="N544">
        <v>3.49</v>
      </c>
      <c r="O544">
        <v>3.51</v>
      </c>
      <c r="P544">
        <v>10.46</v>
      </c>
      <c r="Q544">
        <v>44034916</v>
      </c>
      <c r="R544">
        <v>1.19</v>
      </c>
      <c r="S544" t="s">
        <v>1420</v>
      </c>
      <c r="T544" t="s">
        <v>652</v>
      </c>
      <c r="U544">
        <v>1.42</v>
      </c>
      <c r="V544">
        <v>3.52</v>
      </c>
      <c r="W544">
        <v>72770</v>
      </c>
      <c r="X544">
        <v>52348</v>
      </c>
      <c r="Y544">
        <v>1.39</v>
      </c>
      <c r="Z544">
        <v>4768</v>
      </c>
      <c r="AA544">
        <v>2062</v>
      </c>
      <c r="AB544" t="s">
        <v>116</v>
      </c>
      <c r="AC544">
        <v>149500</v>
      </c>
      <c r="AD544">
        <v>0.01</v>
      </c>
      <c r="AE544" t="s">
        <v>116</v>
      </c>
      <c r="AF544" t="s">
        <v>116</v>
      </c>
      <c r="AG544">
        <v>8.16</v>
      </c>
      <c r="AH544" t="s">
        <v>3550</v>
      </c>
      <c r="AI544" t="s">
        <v>3547</v>
      </c>
      <c r="AJ544">
        <v>0.11</v>
      </c>
      <c r="AK544">
        <v>1142</v>
      </c>
      <c r="AL544">
        <v>110</v>
      </c>
      <c r="AM544">
        <v>1.2999999999999999E-3</v>
      </c>
      <c r="AN544">
        <v>-1</v>
      </c>
      <c r="AO544">
        <v>0.28999999999999998</v>
      </c>
      <c r="AP544">
        <v>2.0499999999999998</v>
      </c>
      <c r="AQ544">
        <v>2.35</v>
      </c>
      <c r="AR544">
        <v>0.28999999999999998</v>
      </c>
      <c r="AS544">
        <v>2.11</v>
      </c>
      <c r="AT544" t="s">
        <v>3551</v>
      </c>
      <c r="AU544">
        <v>10.42</v>
      </c>
      <c r="AV544">
        <v>7.38</v>
      </c>
      <c r="AW544">
        <v>1.25</v>
      </c>
      <c r="BA544">
        <v>0</v>
      </c>
      <c r="BB544">
        <v>0.85</v>
      </c>
      <c r="BC544">
        <v>-0.56999999999999995</v>
      </c>
      <c r="BD544">
        <v>0.27</v>
      </c>
      <c r="BE544">
        <v>-0.56999999999999995</v>
      </c>
      <c r="BF544">
        <v>-1.41</v>
      </c>
      <c r="BG544">
        <v>0</v>
      </c>
      <c r="BH544">
        <v>-0.84</v>
      </c>
      <c r="BI544">
        <v>20191107</v>
      </c>
      <c r="BJ544">
        <v>20061130</v>
      </c>
      <c r="BK544">
        <v>8.17</v>
      </c>
      <c r="BL544" t="s">
        <v>116</v>
      </c>
      <c r="BM544" t="s">
        <v>116</v>
      </c>
      <c r="BN544">
        <v>94.08</v>
      </c>
      <c r="BO544">
        <v>40.54</v>
      </c>
      <c r="BP544">
        <v>0.72</v>
      </c>
      <c r="BQ544">
        <v>56.14</v>
      </c>
      <c r="BR544">
        <v>55.14</v>
      </c>
      <c r="BS544">
        <v>29.28</v>
      </c>
      <c r="BT544">
        <v>8.06</v>
      </c>
      <c r="BU544">
        <v>41.19</v>
      </c>
      <c r="BV544">
        <v>27.59</v>
      </c>
      <c r="BW544">
        <v>7.53</v>
      </c>
      <c r="BX544">
        <v>13.46</v>
      </c>
      <c r="BY544">
        <v>42.25</v>
      </c>
      <c r="BZ544">
        <v>35.159999999999997</v>
      </c>
      <c r="CA544">
        <v>2.56</v>
      </c>
      <c r="CB544">
        <v>0</v>
      </c>
      <c r="CC544">
        <v>2.33</v>
      </c>
      <c r="CD544">
        <v>1.96</v>
      </c>
      <c r="CE544">
        <v>2.04</v>
      </c>
      <c r="CF544">
        <v>2.2000000000000002</v>
      </c>
      <c r="CG544">
        <v>17.260000000000002</v>
      </c>
      <c r="CH544">
        <v>9.15</v>
      </c>
      <c r="CI544">
        <v>-3.71</v>
      </c>
      <c r="CJ544">
        <v>41285</v>
      </c>
      <c r="CK544">
        <v>14356</v>
      </c>
      <c r="CL544" t="s">
        <v>3552</v>
      </c>
      <c r="CM544">
        <v>-35.61</v>
      </c>
      <c r="CN544">
        <v>-10.98</v>
      </c>
      <c r="CO544">
        <v>0.7</v>
      </c>
      <c r="CP544">
        <v>3.12</v>
      </c>
      <c r="CQ544">
        <v>0.67</v>
      </c>
      <c r="CR544">
        <v>1.43</v>
      </c>
      <c r="CS544" t="s">
        <v>3553</v>
      </c>
      <c r="CT544">
        <v>4.96</v>
      </c>
      <c r="CU544">
        <v>0</v>
      </c>
      <c r="CV544">
        <v>1.65</v>
      </c>
      <c r="CW544">
        <v>2.11</v>
      </c>
      <c r="CX544">
        <v>1.1200000000000001</v>
      </c>
      <c r="CY544">
        <v>43.09</v>
      </c>
      <c r="CZ544" t="s">
        <v>1128</v>
      </c>
      <c r="DA544">
        <v>16.78</v>
      </c>
      <c r="DB544">
        <v>6.05</v>
      </c>
      <c r="DC544">
        <v>4.84</v>
      </c>
      <c r="DD544">
        <v>1.06</v>
      </c>
      <c r="DE544">
        <v>8912</v>
      </c>
      <c r="DF544">
        <v>2087</v>
      </c>
      <c r="DG544" t="s">
        <v>116</v>
      </c>
      <c r="DH544" t="s">
        <v>116</v>
      </c>
      <c r="DI544" t="s">
        <v>116</v>
      </c>
    </row>
    <row r="545" spans="1:113" x14ac:dyDescent="0.4">
      <c r="A545" t="str">
        <f>"002088"</f>
        <v>002088</v>
      </c>
      <c r="B545" t="s">
        <v>3554</v>
      </c>
      <c r="C545">
        <v>0.56999999999999995</v>
      </c>
      <c r="D545">
        <v>10.51</v>
      </c>
      <c r="E545">
        <v>0.06</v>
      </c>
      <c r="F545">
        <v>10.5</v>
      </c>
      <c r="G545">
        <v>10.51</v>
      </c>
      <c r="H545">
        <v>18218</v>
      </c>
      <c r="I545">
        <v>450</v>
      </c>
      <c r="J545">
        <v>0</v>
      </c>
      <c r="K545">
        <v>0.57999999999999996</v>
      </c>
      <c r="L545">
        <v>10.45</v>
      </c>
      <c r="M545">
        <v>10.63</v>
      </c>
      <c r="N545">
        <v>10.43</v>
      </c>
      <c r="O545">
        <v>10.45</v>
      </c>
      <c r="P545">
        <v>11.85</v>
      </c>
      <c r="Q545">
        <v>19186554</v>
      </c>
      <c r="R545">
        <v>0.96</v>
      </c>
      <c r="S545" t="s">
        <v>933</v>
      </c>
      <c r="T545" t="s">
        <v>645</v>
      </c>
      <c r="U545">
        <v>1.91</v>
      </c>
      <c r="V545">
        <v>10.53</v>
      </c>
      <c r="W545">
        <v>8993</v>
      </c>
      <c r="X545">
        <v>9225</v>
      </c>
      <c r="Y545">
        <v>0.97</v>
      </c>
      <c r="Z545">
        <v>54</v>
      </c>
      <c r="AA545">
        <v>329</v>
      </c>
      <c r="AB545" t="s">
        <v>116</v>
      </c>
      <c r="AC545">
        <v>95100</v>
      </c>
      <c r="AD545">
        <v>0</v>
      </c>
      <c r="AE545" t="s">
        <v>116</v>
      </c>
      <c r="AF545" t="s">
        <v>116</v>
      </c>
      <c r="AG545">
        <v>3.14</v>
      </c>
      <c r="AH545" t="s">
        <v>3555</v>
      </c>
      <c r="AI545" t="s">
        <v>3556</v>
      </c>
      <c r="AJ545">
        <v>1.25</v>
      </c>
      <c r="AK545">
        <v>1053</v>
      </c>
      <c r="AL545">
        <v>17</v>
      </c>
      <c r="AM545">
        <v>5.9999999999999995E-4</v>
      </c>
      <c r="AN545">
        <v>1</v>
      </c>
      <c r="AO545">
        <v>-0.28000000000000003</v>
      </c>
      <c r="AP545">
        <v>5.31</v>
      </c>
      <c r="AQ545">
        <v>-9.08</v>
      </c>
      <c r="AR545">
        <v>34.4</v>
      </c>
      <c r="AS545">
        <v>0.93</v>
      </c>
      <c r="AT545" t="s">
        <v>3557</v>
      </c>
      <c r="AU545">
        <v>11.97</v>
      </c>
      <c r="AV545">
        <v>12.38</v>
      </c>
      <c r="AW545">
        <v>0.82</v>
      </c>
      <c r="BA545">
        <v>0</v>
      </c>
      <c r="BB545">
        <v>1.72</v>
      </c>
      <c r="BC545">
        <v>-0.19</v>
      </c>
      <c r="BD545">
        <v>0.78</v>
      </c>
      <c r="BE545">
        <v>0.56999999999999995</v>
      </c>
      <c r="BF545">
        <v>-1.1299999999999999</v>
      </c>
      <c r="BG545">
        <v>0.77</v>
      </c>
      <c r="BH545">
        <v>-0.21</v>
      </c>
      <c r="BI545">
        <v>20191223</v>
      </c>
      <c r="BJ545">
        <v>20061130</v>
      </c>
      <c r="BK545">
        <v>3.62</v>
      </c>
      <c r="BL545" t="s">
        <v>116</v>
      </c>
      <c r="BM545" t="s">
        <v>116</v>
      </c>
      <c r="BN545">
        <v>28.3</v>
      </c>
      <c r="BO545">
        <v>20.74</v>
      </c>
      <c r="BP545">
        <v>0</v>
      </c>
      <c r="BQ545">
        <v>26.72</v>
      </c>
      <c r="BR545">
        <v>17.7</v>
      </c>
      <c r="BS545">
        <v>7.58</v>
      </c>
      <c r="BT545">
        <v>1.36</v>
      </c>
      <c r="BU545">
        <v>7.36</v>
      </c>
      <c r="BV545">
        <v>3.88</v>
      </c>
      <c r="BW545">
        <v>5.93</v>
      </c>
      <c r="BX545">
        <v>5.53</v>
      </c>
      <c r="BY545">
        <v>14.88</v>
      </c>
      <c r="BZ545">
        <v>8.8800000000000008</v>
      </c>
      <c r="CA545">
        <v>2.65</v>
      </c>
      <c r="CB545">
        <v>0.01</v>
      </c>
      <c r="CC545">
        <v>2.73</v>
      </c>
      <c r="CD545">
        <v>2.41</v>
      </c>
      <c r="CE545">
        <v>2.41</v>
      </c>
      <c r="CF545">
        <v>2.34</v>
      </c>
      <c r="CG545">
        <v>10.56</v>
      </c>
      <c r="CH545">
        <v>0.88</v>
      </c>
      <c r="CI545">
        <v>-1.74</v>
      </c>
      <c r="CJ545">
        <v>14046</v>
      </c>
      <c r="CK545">
        <v>13949</v>
      </c>
      <c r="CL545" t="s">
        <v>3558</v>
      </c>
      <c r="CM545">
        <v>4.49</v>
      </c>
      <c r="CN545">
        <v>20.23</v>
      </c>
      <c r="CO545">
        <v>1.83</v>
      </c>
      <c r="CP545">
        <v>43.02</v>
      </c>
      <c r="CQ545">
        <v>2.5499999999999998</v>
      </c>
      <c r="CR545">
        <v>6.19</v>
      </c>
      <c r="CS545" t="s">
        <v>979</v>
      </c>
      <c r="CT545">
        <v>5.73</v>
      </c>
      <c r="CU545">
        <v>0</v>
      </c>
      <c r="CV545">
        <v>1.53</v>
      </c>
      <c r="CW545">
        <v>2.92</v>
      </c>
      <c r="CX545">
        <v>0.24</v>
      </c>
      <c r="CY545">
        <v>73.28</v>
      </c>
      <c r="CZ545" t="s">
        <v>3559</v>
      </c>
      <c r="DA545">
        <v>40.32</v>
      </c>
      <c r="DB545">
        <v>17.829999999999998</v>
      </c>
      <c r="DC545">
        <v>16.170000000000002</v>
      </c>
      <c r="DD545">
        <v>0.61</v>
      </c>
      <c r="DE545">
        <v>2461</v>
      </c>
      <c r="DF545">
        <v>2088</v>
      </c>
      <c r="DG545" t="s">
        <v>116</v>
      </c>
      <c r="DH545" t="s">
        <v>116</v>
      </c>
      <c r="DI545" t="s">
        <v>116</v>
      </c>
    </row>
    <row r="546" spans="1:113" x14ac:dyDescent="0.4">
      <c r="A546" t="str">
        <f>"002089"</f>
        <v>002089</v>
      </c>
      <c r="B546" t="s">
        <v>3560</v>
      </c>
      <c r="C546">
        <v>-3.74</v>
      </c>
      <c r="D546">
        <v>1.8</v>
      </c>
      <c r="E546">
        <v>-7.0000000000000007E-2</v>
      </c>
      <c r="F546">
        <v>1.8</v>
      </c>
      <c r="G546">
        <v>1.81</v>
      </c>
      <c r="H546">
        <v>338863</v>
      </c>
      <c r="I546">
        <v>2298</v>
      </c>
      <c r="J546">
        <v>0</v>
      </c>
      <c r="K546">
        <v>3.67</v>
      </c>
      <c r="L546">
        <v>1.84</v>
      </c>
      <c r="M546">
        <v>1.88</v>
      </c>
      <c r="N546">
        <v>1.8</v>
      </c>
      <c r="O546">
        <v>1.87</v>
      </c>
      <c r="P546" t="s">
        <v>116</v>
      </c>
      <c r="Q546">
        <v>62370452</v>
      </c>
      <c r="R546">
        <v>0.65</v>
      </c>
      <c r="S546" t="s">
        <v>465</v>
      </c>
      <c r="T546" t="s">
        <v>323</v>
      </c>
      <c r="U546">
        <v>4.28</v>
      </c>
      <c r="V546">
        <v>1.84</v>
      </c>
      <c r="W546">
        <v>202653</v>
      </c>
      <c r="X546">
        <v>136210</v>
      </c>
      <c r="Y546">
        <v>1.49</v>
      </c>
      <c r="Z546">
        <v>8911</v>
      </c>
      <c r="AA546">
        <v>2595</v>
      </c>
      <c r="AB546" t="s">
        <v>116</v>
      </c>
      <c r="AC546">
        <v>498300</v>
      </c>
      <c r="AD546">
        <v>0.03</v>
      </c>
      <c r="AE546" t="s">
        <v>116</v>
      </c>
      <c r="AF546" t="s">
        <v>116</v>
      </c>
      <c r="AG546">
        <v>9.25</v>
      </c>
      <c r="AH546" t="s">
        <v>3561</v>
      </c>
      <c r="AI546" t="s">
        <v>3562</v>
      </c>
      <c r="AJ546">
        <v>-3.06</v>
      </c>
      <c r="AK546">
        <v>1669</v>
      </c>
      <c r="AL546">
        <v>203</v>
      </c>
      <c r="AM546">
        <v>2.2000000000000001E-3</v>
      </c>
      <c r="AN546">
        <v>-3</v>
      </c>
      <c r="AO546">
        <v>-9.99</v>
      </c>
      <c r="AP546">
        <v>2.86</v>
      </c>
      <c r="AQ546">
        <v>-15.89</v>
      </c>
      <c r="AR546">
        <v>-58.14</v>
      </c>
      <c r="AS546">
        <v>3.93</v>
      </c>
      <c r="AT546" t="s">
        <v>3563</v>
      </c>
      <c r="AU546" t="s">
        <v>116</v>
      </c>
      <c r="AV546" t="s">
        <v>116</v>
      </c>
      <c r="AW546">
        <v>0.28000000000000003</v>
      </c>
      <c r="BA546">
        <v>-1.6</v>
      </c>
      <c r="BB546">
        <v>0.53</v>
      </c>
      <c r="BC546">
        <v>-3.74</v>
      </c>
      <c r="BD546">
        <v>-1.57</v>
      </c>
      <c r="BE546">
        <v>-2.17</v>
      </c>
      <c r="BF546">
        <v>-4.26</v>
      </c>
      <c r="BG546">
        <v>0</v>
      </c>
      <c r="BH546">
        <v>-2.17</v>
      </c>
      <c r="BI546">
        <v>20191224</v>
      </c>
      <c r="BJ546">
        <v>20061130</v>
      </c>
      <c r="BK546">
        <v>13.75</v>
      </c>
      <c r="BL546" t="s">
        <v>116</v>
      </c>
      <c r="BM546" t="s">
        <v>116</v>
      </c>
      <c r="BN546">
        <v>34.479999999999997</v>
      </c>
      <c r="BO546">
        <v>7.59</v>
      </c>
      <c r="BP546">
        <v>0.49</v>
      </c>
      <c r="BQ546">
        <v>76.55</v>
      </c>
      <c r="BR546">
        <v>13.35</v>
      </c>
      <c r="BS546">
        <v>6.41</v>
      </c>
      <c r="BT546">
        <v>0.8</v>
      </c>
      <c r="BU546">
        <v>18.25</v>
      </c>
      <c r="BV546">
        <v>0.28000000000000003</v>
      </c>
      <c r="BW546">
        <v>2.4</v>
      </c>
      <c r="BX546">
        <v>0.55000000000000004</v>
      </c>
      <c r="BY546">
        <v>5.2</v>
      </c>
      <c r="BZ546">
        <v>4.74</v>
      </c>
      <c r="CA546">
        <v>-5.29</v>
      </c>
      <c r="CB546">
        <v>-0.3</v>
      </c>
      <c r="CC546">
        <v>-5.33</v>
      </c>
      <c r="CD546">
        <v>-5.42</v>
      </c>
      <c r="CE546">
        <v>-5.51</v>
      </c>
      <c r="CF546">
        <v>-5.51</v>
      </c>
      <c r="CG546">
        <v>-7.47</v>
      </c>
      <c r="CH546">
        <v>2.87</v>
      </c>
      <c r="CI546">
        <v>0.27</v>
      </c>
      <c r="CJ546">
        <v>63200</v>
      </c>
      <c r="CK546">
        <v>13647</v>
      </c>
      <c r="CL546" t="s">
        <v>3564</v>
      </c>
      <c r="CM546">
        <v>-613.41999999999996</v>
      </c>
      <c r="CN546">
        <v>89.46</v>
      </c>
      <c r="CO546">
        <v>3.26</v>
      </c>
      <c r="CP546">
        <v>8.6199999999999992</v>
      </c>
      <c r="CQ546">
        <v>4.76</v>
      </c>
      <c r="CR546">
        <v>0</v>
      </c>
      <c r="CS546" t="s">
        <v>3565</v>
      </c>
      <c r="CT546">
        <v>0.55000000000000004</v>
      </c>
      <c r="CU546">
        <v>0</v>
      </c>
      <c r="CV546">
        <v>0.04</v>
      </c>
      <c r="CW546">
        <v>-0.54</v>
      </c>
      <c r="CX546">
        <v>0.21</v>
      </c>
      <c r="CY546">
        <v>22.02</v>
      </c>
      <c r="CZ546" t="s">
        <v>3566</v>
      </c>
      <c r="DA546">
        <v>8.86</v>
      </c>
      <c r="DB546">
        <v>-101.64</v>
      </c>
      <c r="DC546">
        <v>-105.86</v>
      </c>
      <c r="DD546">
        <v>0.11</v>
      </c>
      <c r="DE546">
        <v>452</v>
      </c>
      <c r="DF546">
        <v>2089</v>
      </c>
      <c r="DG546" t="s">
        <v>116</v>
      </c>
      <c r="DH546" t="s">
        <v>116</v>
      </c>
      <c r="DI546" t="s">
        <v>116</v>
      </c>
    </row>
    <row r="547" spans="1:113" x14ac:dyDescent="0.4">
      <c r="A547" t="str">
        <f>"002090"</f>
        <v>002090</v>
      </c>
      <c r="B547" t="s">
        <v>3567</v>
      </c>
      <c r="C547">
        <v>-1.64</v>
      </c>
      <c r="D547">
        <v>10.77</v>
      </c>
      <c r="E547">
        <v>-0.18</v>
      </c>
      <c r="F547">
        <v>10.77</v>
      </c>
      <c r="G547">
        <v>10.78</v>
      </c>
      <c r="H547">
        <v>58869</v>
      </c>
      <c r="I547">
        <v>388</v>
      </c>
      <c r="J547">
        <v>-0.27</v>
      </c>
      <c r="K547">
        <v>1.51</v>
      </c>
      <c r="L547">
        <v>10.95</v>
      </c>
      <c r="M547">
        <v>11</v>
      </c>
      <c r="N547">
        <v>10.76</v>
      </c>
      <c r="O547">
        <v>10.95</v>
      </c>
      <c r="P547">
        <v>33.85</v>
      </c>
      <c r="Q547">
        <v>64055876</v>
      </c>
      <c r="R547">
        <v>1.02</v>
      </c>
      <c r="S547" t="s">
        <v>607</v>
      </c>
      <c r="T547" t="s">
        <v>323</v>
      </c>
      <c r="U547">
        <v>2.19</v>
      </c>
      <c r="V547">
        <v>10.88</v>
      </c>
      <c r="W547">
        <v>32683</v>
      </c>
      <c r="X547">
        <v>26186</v>
      </c>
      <c r="Y547">
        <v>1.25</v>
      </c>
      <c r="Z547">
        <v>270</v>
      </c>
      <c r="AA547">
        <v>135</v>
      </c>
      <c r="AB547" t="s">
        <v>116</v>
      </c>
      <c r="AC547">
        <v>119700</v>
      </c>
      <c r="AD547">
        <v>0</v>
      </c>
      <c r="AE547" t="s">
        <v>116</v>
      </c>
      <c r="AF547" t="s">
        <v>116</v>
      </c>
      <c r="AG547">
        <v>3.89</v>
      </c>
      <c r="AH547" t="s">
        <v>3568</v>
      </c>
      <c r="AI547" t="s">
        <v>3569</v>
      </c>
      <c r="AJ547">
        <v>-0.96</v>
      </c>
      <c r="AK547">
        <v>1881</v>
      </c>
      <c r="AL547">
        <v>31</v>
      </c>
      <c r="AM547">
        <v>8.0000000000000004E-4</v>
      </c>
      <c r="AN547">
        <v>-1</v>
      </c>
      <c r="AO547">
        <v>0.84</v>
      </c>
      <c r="AP547">
        <v>10.69</v>
      </c>
      <c r="AQ547">
        <v>-5.77</v>
      </c>
      <c r="AR547">
        <v>9.31</v>
      </c>
      <c r="AS547">
        <v>2.4500000000000002</v>
      </c>
      <c r="AT547" t="s">
        <v>3570</v>
      </c>
      <c r="AU547">
        <v>40.299999999999997</v>
      </c>
      <c r="AV547">
        <v>47.3</v>
      </c>
      <c r="AW547">
        <v>1.36</v>
      </c>
      <c r="BA547">
        <v>0</v>
      </c>
      <c r="BB547">
        <v>0.46</v>
      </c>
      <c r="BC547">
        <v>-1.74</v>
      </c>
      <c r="BD547">
        <v>-0.63</v>
      </c>
      <c r="BE547">
        <v>-1.64</v>
      </c>
      <c r="BF547">
        <v>-2.09</v>
      </c>
      <c r="BG547">
        <v>0.09</v>
      </c>
      <c r="BH547">
        <v>-1.01</v>
      </c>
      <c r="BI547">
        <v>20191029</v>
      </c>
      <c r="BJ547">
        <v>20061208</v>
      </c>
      <c r="BK547">
        <v>4.04</v>
      </c>
      <c r="BL547" t="s">
        <v>116</v>
      </c>
      <c r="BM547" t="s">
        <v>116</v>
      </c>
      <c r="BN547">
        <v>33.42</v>
      </c>
      <c r="BO547">
        <v>13.05</v>
      </c>
      <c r="BP547">
        <v>0.56999999999999995</v>
      </c>
      <c r="BQ547">
        <v>59.26</v>
      </c>
      <c r="BR547">
        <v>22.88</v>
      </c>
      <c r="BS547">
        <v>5.77</v>
      </c>
      <c r="BT547">
        <v>0.66</v>
      </c>
      <c r="BU547">
        <v>17.41</v>
      </c>
      <c r="BV547">
        <v>5.55</v>
      </c>
      <c r="BW547">
        <v>10.6</v>
      </c>
      <c r="BX547">
        <v>0.86</v>
      </c>
      <c r="BY547">
        <v>12.92</v>
      </c>
      <c r="BZ547">
        <v>9.44</v>
      </c>
      <c r="CA547">
        <v>1.06</v>
      </c>
      <c r="CB547">
        <v>0.88</v>
      </c>
      <c r="CC547">
        <v>1.06</v>
      </c>
      <c r="CD547">
        <v>0.92</v>
      </c>
      <c r="CE547">
        <v>0.96</v>
      </c>
      <c r="CF547">
        <v>0.38</v>
      </c>
      <c r="CG547">
        <v>7.33</v>
      </c>
      <c r="CH547">
        <v>0.95</v>
      </c>
      <c r="CI547">
        <v>-2.0099999999999998</v>
      </c>
      <c r="CJ547">
        <v>25901</v>
      </c>
      <c r="CK547">
        <v>9278</v>
      </c>
      <c r="CL547" t="s">
        <v>3571</v>
      </c>
      <c r="CM547">
        <v>19.88</v>
      </c>
      <c r="CN547">
        <v>12.79</v>
      </c>
      <c r="CO547">
        <v>3.34</v>
      </c>
      <c r="CP547">
        <v>46.06</v>
      </c>
      <c r="CQ547">
        <v>3.37</v>
      </c>
      <c r="CR547">
        <v>0.44</v>
      </c>
      <c r="CS547" t="s">
        <v>1209</v>
      </c>
      <c r="CT547">
        <v>3.23</v>
      </c>
      <c r="CU547">
        <v>0</v>
      </c>
      <c r="CV547">
        <v>0.21</v>
      </c>
      <c r="CW547">
        <v>1.81</v>
      </c>
      <c r="CX547">
        <v>0.23</v>
      </c>
      <c r="CY547">
        <v>39.04</v>
      </c>
      <c r="CZ547" t="s">
        <v>2506</v>
      </c>
      <c r="DA547">
        <v>26.93</v>
      </c>
      <c r="DB547">
        <v>8.23</v>
      </c>
      <c r="DC547">
        <v>7.47</v>
      </c>
      <c r="DD547">
        <v>1.0900000000000001</v>
      </c>
      <c r="DE547">
        <v>1341</v>
      </c>
      <c r="DF547">
        <v>2090</v>
      </c>
      <c r="DG547" t="s">
        <v>116</v>
      </c>
      <c r="DH547" t="s">
        <v>116</v>
      </c>
      <c r="DI547" t="s">
        <v>116</v>
      </c>
    </row>
    <row r="548" spans="1:113" x14ac:dyDescent="0.4">
      <c r="A548" t="str">
        <f>"002091"</f>
        <v>002091</v>
      </c>
      <c r="B548" t="s">
        <v>3572</v>
      </c>
      <c r="C548">
        <v>0.75</v>
      </c>
      <c r="D548">
        <v>6.75</v>
      </c>
      <c r="E548">
        <v>0.05</v>
      </c>
      <c r="F548">
        <v>6.74</v>
      </c>
      <c r="G548">
        <v>6.75</v>
      </c>
      <c r="H548">
        <v>317274</v>
      </c>
      <c r="I548">
        <v>4356</v>
      </c>
      <c r="J548">
        <v>0.15</v>
      </c>
      <c r="K548">
        <v>3.26</v>
      </c>
      <c r="L548">
        <v>6.7</v>
      </c>
      <c r="M548">
        <v>6.9</v>
      </c>
      <c r="N548">
        <v>6.63</v>
      </c>
      <c r="O548">
        <v>6.7</v>
      </c>
      <c r="P548">
        <v>10.31</v>
      </c>
      <c r="Q548">
        <v>214222640</v>
      </c>
      <c r="R548">
        <v>1.56</v>
      </c>
      <c r="S548" t="s">
        <v>566</v>
      </c>
      <c r="T548" t="s">
        <v>323</v>
      </c>
      <c r="U548">
        <v>4.03</v>
      </c>
      <c r="V548">
        <v>6.75</v>
      </c>
      <c r="W548">
        <v>151426</v>
      </c>
      <c r="X548">
        <v>165848</v>
      </c>
      <c r="Y548">
        <v>0.91</v>
      </c>
      <c r="Z548">
        <v>311</v>
      </c>
      <c r="AA548">
        <v>689</v>
      </c>
      <c r="AB548" t="s">
        <v>116</v>
      </c>
      <c r="AC548">
        <v>353200</v>
      </c>
      <c r="AD548">
        <v>0.01</v>
      </c>
      <c r="AE548" t="s">
        <v>116</v>
      </c>
      <c r="AF548" t="s">
        <v>116</v>
      </c>
      <c r="AG548">
        <v>9.7200000000000006</v>
      </c>
      <c r="AH548" t="s">
        <v>3573</v>
      </c>
      <c r="AI548" t="s">
        <v>3574</v>
      </c>
      <c r="AJ548">
        <v>1.43</v>
      </c>
      <c r="AK548">
        <v>3131</v>
      </c>
      <c r="AL548">
        <v>101</v>
      </c>
      <c r="AM548">
        <v>1E-3</v>
      </c>
      <c r="AN548">
        <v>4</v>
      </c>
      <c r="AO548">
        <v>2.59</v>
      </c>
      <c r="AP548">
        <v>11.57</v>
      </c>
      <c r="AQ548">
        <v>25.46</v>
      </c>
      <c r="AR548">
        <v>25</v>
      </c>
      <c r="AS548">
        <v>4.3899999999999997</v>
      </c>
      <c r="AT548" t="s">
        <v>3575</v>
      </c>
      <c r="AU548">
        <v>10.08</v>
      </c>
      <c r="AV548">
        <v>10.39</v>
      </c>
      <c r="AW548">
        <v>0.71</v>
      </c>
      <c r="BA548">
        <v>0</v>
      </c>
      <c r="BB548">
        <v>2.99</v>
      </c>
      <c r="BC548">
        <v>-1.04</v>
      </c>
      <c r="BD548">
        <v>0.78</v>
      </c>
      <c r="BE548">
        <v>0.75</v>
      </c>
      <c r="BF548">
        <v>-2.17</v>
      </c>
      <c r="BG548">
        <v>1.81</v>
      </c>
      <c r="BH548">
        <v>-0.03</v>
      </c>
      <c r="BI548">
        <v>20191031</v>
      </c>
      <c r="BJ548">
        <v>20061208</v>
      </c>
      <c r="BK548">
        <v>15.64</v>
      </c>
      <c r="BL548" t="s">
        <v>116</v>
      </c>
      <c r="BM548" t="s">
        <v>116</v>
      </c>
      <c r="BN548">
        <v>232.36</v>
      </c>
      <c r="BO548">
        <v>82.83</v>
      </c>
      <c r="BP548">
        <v>26.28</v>
      </c>
      <c r="BQ548">
        <v>53.04</v>
      </c>
      <c r="BR548">
        <v>196.86</v>
      </c>
      <c r="BS548">
        <v>18.5</v>
      </c>
      <c r="BT548">
        <v>1.95</v>
      </c>
      <c r="BU548">
        <v>120.22</v>
      </c>
      <c r="BV548">
        <v>33.26</v>
      </c>
      <c r="BW548">
        <v>51.56</v>
      </c>
      <c r="BX548">
        <v>32.770000000000003</v>
      </c>
      <c r="BY548">
        <v>297.67</v>
      </c>
      <c r="BZ548">
        <v>262.25</v>
      </c>
      <c r="CA548">
        <v>15.8</v>
      </c>
      <c r="CB548">
        <v>1.44</v>
      </c>
      <c r="CC548">
        <v>15.89</v>
      </c>
      <c r="CD548">
        <v>11.85</v>
      </c>
      <c r="CE548">
        <v>7.68</v>
      </c>
      <c r="CF548">
        <v>6.69</v>
      </c>
      <c r="CG548">
        <v>30.61</v>
      </c>
      <c r="CH548">
        <v>14.72</v>
      </c>
      <c r="CI548">
        <v>2.34</v>
      </c>
      <c r="CJ548">
        <v>41314</v>
      </c>
      <c r="CK548">
        <v>17496</v>
      </c>
      <c r="CL548" t="s">
        <v>3576</v>
      </c>
      <c r="CM548">
        <v>4.28</v>
      </c>
      <c r="CN548">
        <v>0.99</v>
      </c>
      <c r="CO548">
        <v>1.27</v>
      </c>
      <c r="CP548">
        <v>7.17</v>
      </c>
      <c r="CQ548">
        <v>0.35</v>
      </c>
      <c r="CR548">
        <v>2.96</v>
      </c>
      <c r="CS548" t="s">
        <v>3577</v>
      </c>
      <c r="CT548">
        <v>5.3</v>
      </c>
      <c r="CU548">
        <v>0</v>
      </c>
      <c r="CV548">
        <v>2.1</v>
      </c>
      <c r="CW548">
        <v>1.96</v>
      </c>
      <c r="CX548">
        <v>0.94</v>
      </c>
      <c r="CY548">
        <v>35.65</v>
      </c>
      <c r="CZ548" t="s">
        <v>3578</v>
      </c>
      <c r="DA548">
        <v>11.9</v>
      </c>
      <c r="DB548">
        <v>5.31</v>
      </c>
      <c r="DC548">
        <v>2.58</v>
      </c>
      <c r="DD548">
        <v>0.52</v>
      </c>
      <c r="DE548">
        <v>16229</v>
      </c>
      <c r="DF548">
        <v>2091</v>
      </c>
      <c r="DG548" t="s">
        <v>116</v>
      </c>
      <c r="DH548" t="s">
        <v>116</v>
      </c>
      <c r="DI548" t="s">
        <v>116</v>
      </c>
    </row>
    <row r="549" spans="1:113" x14ac:dyDescent="0.4">
      <c r="A549" t="str">
        <f>"002092"</f>
        <v>002092</v>
      </c>
      <c r="B549" t="s">
        <v>3579</v>
      </c>
      <c r="C549">
        <v>-1.02</v>
      </c>
      <c r="D549">
        <v>6.8</v>
      </c>
      <c r="E549">
        <v>-7.0000000000000007E-2</v>
      </c>
      <c r="F549">
        <v>6.79</v>
      </c>
      <c r="G549">
        <v>6.8</v>
      </c>
      <c r="H549">
        <v>302163</v>
      </c>
      <c r="I549">
        <v>2642</v>
      </c>
      <c r="J549">
        <v>0.3</v>
      </c>
      <c r="K549">
        <v>1.41</v>
      </c>
      <c r="L549">
        <v>6.83</v>
      </c>
      <c r="M549">
        <v>6.9</v>
      </c>
      <c r="N549">
        <v>6.77</v>
      </c>
      <c r="O549">
        <v>6.87</v>
      </c>
      <c r="P549">
        <v>26.96</v>
      </c>
      <c r="Q549">
        <v>206523520</v>
      </c>
      <c r="R549">
        <v>1.1200000000000001</v>
      </c>
      <c r="S549" t="s">
        <v>891</v>
      </c>
      <c r="T549" t="s">
        <v>616</v>
      </c>
      <c r="U549">
        <v>1.89</v>
      </c>
      <c r="V549">
        <v>6.83</v>
      </c>
      <c r="W549">
        <v>168590</v>
      </c>
      <c r="X549">
        <v>133573</v>
      </c>
      <c r="Y549">
        <v>1.26</v>
      </c>
      <c r="Z549">
        <v>341</v>
      </c>
      <c r="AA549">
        <v>29</v>
      </c>
      <c r="AB549" t="s">
        <v>116</v>
      </c>
      <c r="AC549">
        <v>965100</v>
      </c>
      <c r="AD549">
        <v>0.01</v>
      </c>
      <c r="AE549" t="s">
        <v>116</v>
      </c>
      <c r="AF549" t="s">
        <v>116</v>
      </c>
      <c r="AG549">
        <v>21.46</v>
      </c>
      <c r="AH549" t="s">
        <v>3580</v>
      </c>
      <c r="AI549" t="s">
        <v>3581</v>
      </c>
      <c r="AJ549">
        <v>-0.34</v>
      </c>
      <c r="AK549">
        <v>3265</v>
      </c>
      <c r="AL549">
        <v>93</v>
      </c>
      <c r="AM549">
        <v>4.0000000000000002E-4</v>
      </c>
      <c r="AN549">
        <v>-1</v>
      </c>
      <c r="AO549">
        <v>3.04</v>
      </c>
      <c r="AP549">
        <v>4.62</v>
      </c>
      <c r="AQ549">
        <v>-3</v>
      </c>
      <c r="AR549">
        <v>-1.1599999999999999</v>
      </c>
      <c r="AS549">
        <v>2.11</v>
      </c>
      <c r="AT549" t="s">
        <v>3582</v>
      </c>
      <c r="AU549">
        <v>17.73</v>
      </c>
      <c r="AV549">
        <v>6.01</v>
      </c>
      <c r="AW549">
        <v>0.64</v>
      </c>
      <c r="BA549">
        <v>-0.57999999999999996</v>
      </c>
      <c r="BB549">
        <v>0.44</v>
      </c>
      <c r="BC549">
        <v>-1.46</v>
      </c>
      <c r="BD549">
        <v>-0.51</v>
      </c>
      <c r="BE549">
        <v>-0.44</v>
      </c>
      <c r="BF549">
        <v>-1.45</v>
      </c>
      <c r="BG549">
        <v>0.44</v>
      </c>
      <c r="BH549">
        <v>-0.51</v>
      </c>
      <c r="BI549">
        <v>20191111</v>
      </c>
      <c r="BJ549">
        <v>20061208</v>
      </c>
      <c r="BK549">
        <v>21.46</v>
      </c>
      <c r="BL549" t="s">
        <v>116</v>
      </c>
      <c r="BM549" t="s">
        <v>116</v>
      </c>
      <c r="BN549">
        <v>637.61</v>
      </c>
      <c r="BO549">
        <v>189.5</v>
      </c>
      <c r="BP549">
        <v>17.55</v>
      </c>
      <c r="BQ549">
        <v>67.53</v>
      </c>
      <c r="BR549">
        <v>234.7</v>
      </c>
      <c r="BS549">
        <v>276.27999999999997</v>
      </c>
      <c r="BT549">
        <v>7.33</v>
      </c>
      <c r="BU549">
        <v>324.02999999999997</v>
      </c>
      <c r="BV549">
        <v>46.19</v>
      </c>
      <c r="BW549">
        <v>38.299999999999997</v>
      </c>
      <c r="BX549">
        <v>92.82</v>
      </c>
      <c r="BY549">
        <v>644.91999999999996</v>
      </c>
      <c r="BZ549">
        <v>601.1</v>
      </c>
      <c r="CA549">
        <v>6.49</v>
      </c>
      <c r="CB549">
        <v>0</v>
      </c>
      <c r="CC549">
        <v>6.48</v>
      </c>
      <c r="CD549">
        <v>3.65</v>
      </c>
      <c r="CE549">
        <v>4.0599999999999996</v>
      </c>
      <c r="CF549">
        <v>3.85</v>
      </c>
      <c r="CG549">
        <v>68.67</v>
      </c>
      <c r="CH549">
        <v>37.93</v>
      </c>
      <c r="CI549">
        <v>-2.94</v>
      </c>
      <c r="CJ549">
        <v>86760</v>
      </c>
      <c r="CK549">
        <v>16504</v>
      </c>
      <c r="CL549" t="s">
        <v>3583</v>
      </c>
      <c r="CM549">
        <v>-79.81</v>
      </c>
      <c r="CN549">
        <v>42.73</v>
      </c>
      <c r="CO549">
        <v>0.77</v>
      </c>
      <c r="CP549">
        <v>3.85</v>
      </c>
      <c r="CQ549">
        <v>0.23</v>
      </c>
      <c r="CR549">
        <v>2.5</v>
      </c>
      <c r="CS549" t="s">
        <v>3584</v>
      </c>
      <c r="CT549">
        <v>8.83</v>
      </c>
      <c r="CU549">
        <v>0</v>
      </c>
      <c r="CV549">
        <v>4.32</v>
      </c>
      <c r="CW549">
        <v>3.2</v>
      </c>
      <c r="CX549">
        <v>1.77</v>
      </c>
      <c r="CY549">
        <v>29.72</v>
      </c>
      <c r="CZ549" t="s">
        <v>3161</v>
      </c>
      <c r="DA549">
        <v>6.79</v>
      </c>
      <c r="DB549">
        <v>1.01</v>
      </c>
      <c r="DC549">
        <v>0.63</v>
      </c>
      <c r="DD549">
        <v>0.3</v>
      </c>
      <c r="DE549">
        <v>21314</v>
      </c>
      <c r="DF549">
        <v>2092</v>
      </c>
      <c r="DG549" t="s">
        <v>116</v>
      </c>
      <c r="DH549" t="s">
        <v>116</v>
      </c>
      <c r="DI549" t="s">
        <v>116</v>
      </c>
    </row>
    <row r="550" spans="1:113" x14ac:dyDescent="0.4">
      <c r="A550" t="str">
        <f>"002093"</f>
        <v>002093</v>
      </c>
      <c r="B550" t="s">
        <v>3585</v>
      </c>
      <c r="C550">
        <v>-1</v>
      </c>
      <c r="D550">
        <v>7.96</v>
      </c>
      <c r="E550">
        <v>-0.08</v>
      </c>
      <c r="F550">
        <v>7.96</v>
      </c>
      <c r="G550">
        <v>7.98</v>
      </c>
      <c r="H550">
        <v>61512</v>
      </c>
      <c r="I550">
        <v>1257</v>
      </c>
      <c r="J550">
        <v>-0.12</v>
      </c>
      <c r="K550">
        <v>0.62</v>
      </c>
      <c r="L550">
        <v>8.07</v>
      </c>
      <c r="M550">
        <v>8.1199999999999992</v>
      </c>
      <c r="N550">
        <v>7.96</v>
      </c>
      <c r="O550">
        <v>8.0399999999999991</v>
      </c>
      <c r="P550">
        <v>63.81</v>
      </c>
      <c r="Q550">
        <v>49467636</v>
      </c>
      <c r="R550">
        <v>0.97</v>
      </c>
      <c r="S550" t="s">
        <v>3586</v>
      </c>
      <c r="T550" t="s">
        <v>975</v>
      </c>
      <c r="U550">
        <v>1.99</v>
      </c>
      <c r="V550">
        <v>8.0399999999999991</v>
      </c>
      <c r="W550">
        <v>34852</v>
      </c>
      <c r="X550">
        <v>26660</v>
      </c>
      <c r="Y550">
        <v>1.31</v>
      </c>
      <c r="Z550">
        <v>1208</v>
      </c>
      <c r="AA550">
        <v>144</v>
      </c>
      <c r="AB550" t="s">
        <v>116</v>
      </c>
      <c r="AC550">
        <v>150900</v>
      </c>
      <c r="AD550">
        <v>0</v>
      </c>
      <c r="AE550" t="s">
        <v>116</v>
      </c>
      <c r="AF550" t="s">
        <v>116</v>
      </c>
      <c r="AG550">
        <v>9.85</v>
      </c>
      <c r="AH550" t="s">
        <v>3587</v>
      </c>
      <c r="AI550" t="s">
        <v>3588</v>
      </c>
      <c r="AJ550">
        <v>-0.32</v>
      </c>
      <c r="AK550">
        <v>1735</v>
      </c>
      <c r="AL550">
        <v>35</v>
      </c>
      <c r="AM550">
        <v>4.0000000000000002E-4</v>
      </c>
      <c r="AN550">
        <v>-1</v>
      </c>
      <c r="AO550">
        <v>-0.26</v>
      </c>
      <c r="AP550">
        <v>1.79</v>
      </c>
      <c r="AQ550">
        <v>-11.36</v>
      </c>
      <c r="AR550">
        <v>9.42</v>
      </c>
      <c r="AS550">
        <v>1.37</v>
      </c>
      <c r="AT550" t="s">
        <v>2780</v>
      </c>
      <c r="AU550">
        <v>82.42</v>
      </c>
      <c r="AV550">
        <v>61.58</v>
      </c>
      <c r="AW550">
        <v>1.45</v>
      </c>
      <c r="BA550">
        <v>0.37</v>
      </c>
      <c r="BB550">
        <v>1</v>
      </c>
      <c r="BC550">
        <v>-1</v>
      </c>
      <c r="BD550">
        <v>0.02</v>
      </c>
      <c r="BE550">
        <v>-1.36</v>
      </c>
      <c r="BF550">
        <v>-1.97</v>
      </c>
      <c r="BG550">
        <v>0</v>
      </c>
      <c r="BH550">
        <v>-1.02</v>
      </c>
      <c r="BI550">
        <v>20191025</v>
      </c>
      <c r="BJ550">
        <v>20061215</v>
      </c>
      <c r="BK550">
        <v>10.08</v>
      </c>
      <c r="BL550" t="s">
        <v>116</v>
      </c>
      <c r="BM550" t="s">
        <v>116</v>
      </c>
      <c r="BN550">
        <v>42.28</v>
      </c>
      <c r="BO550">
        <v>33.130000000000003</v>
      </c>
      <c r="BP550">
        <v>-0.13</v>
      </c>
      <c r="BQ550">
        <v>21.95</v>
      </c>
      <c r="BR550">
        <v>25.85</v>
      </c>
      <c r="BS550">
        <v>7.3</v>
      </c>
      <c r="BT550">
        <v>1.22</v>
      </c>
      <c r="BU550">
        <v>5.69</v>
      </c>
      <c r="BV550">
        <v>10.59</v>
      </c>
      <c r="BW550">
        <v>2.4700000000000002</v>
      </c>
      <c r="BX550">
        <v>14.14</v>
      </c>
      <c r="BY550">
        <v>3.58</v>
      </c>
      <c r="BZ550">
        <v>1.39</v>
      </c>
      <c r="CA550">
        <v>1.07</v>
      </c>
      <c r="CB550">
        <v>0.47</v>
      </c>
      <c r="CC550">
        <v>1.06</v>
      </c>
      <c r="CD550">
        <v>0.91</v>
      </c>
      <c r="CE550">
        <v>0.94</v>
      </c>
      <c r="CF550">
        <v>0.68</v>
      </c>
      <c r="CG550">
        <v>7.88</v>
      </c>
      <c r="CH550">
        <v>1.49</v>
      </c>
      <c r="CI550">
        <v>-1.99</v>
      </c>
      <c r="CJ550">
        <v>69032</v>
      </c>
      <c r="CK550">
        <v>6486</v>
      </c>
      <c r="CL550" t="s">
        <v>3589</v>
      </c>
      <c r="CM550">
        <v>-25.9</v>
      </c>
      <c r="CN550">
        <v>-55.97</v>
      </c>
      <c r="CO550">
        <v>2.42</v>
      </c>
      <c r="CP550">
        <v>53.82</v>
      </c>
      <c r="CQ550">
        <v>22.43</v>
      </c>
      <c r="CR550">
        <v>0.19</v>
      </c>
      <c r="CS550" t="s">
        <v>3590</v>
      </c>
      <c r="CT550">
        <v>3.29</v>
      </c>
      <c r="CU550">
        <v>0</v>
      </c>
      <c r="CV550">
        <v>1.4</v>
      </c>
      <c r="CW550">
        <v>0.78</v>
      </c>
      <c r="CX550">
        <v>0.15</v>
      </c>
      <c r="CY550">
        <v>78.36</v>
      </c>
      <c r="CZ550" t="s">
        <v>3591</v>
      </c>
      <c r="DA550">
        <v>61.24</v>
      </c>
      <c r="DB550">
        <v>29.81</v>
      </c>
      <c r="DC550">
        <v>26.37</v>
      </c>
      <c r="DD550">
        <v>0.26</v>
      </c>
      <c r="DE550">
        <v>854</v>
      </c>
      <c r="DF550">
        <v>2093</v>
      </c>
      <c r="DG550" t="s">
        <v>116</v>
      </c>
      <c r="DH550" t="s">
        <v>116</v>
      </c>
      <c r="DI550" t="s">
        <v>116</v>
      </c>
    </row>
    <row r="551" spans="1:113" x14ac:dyDescent="0.4">
      <c r="A551" t="str">
        <f>"002094"</f>
        <v>002094</v>
      </c>
      <c r="B551" t="s">
        <v>3592</v>
      </c>
      <c r="C551">
        <v>3.42</v>
      </c>
      <c r="D551">
        <v>4.84</v>
      </c>
      <c r="E551">
        <v>0.16</v>
      </c>
      <c r="F551">
        <v>4.83</v>
      </c>
      <c r="G551">
        <v>4.84</v>
      </c>
      <c r="H551">
        <v>304878</v>
      </c>
      <c r="I551">
        <v>4288</v>
      </c>
      <c r="J551">
        <v>0.21</v>
      </c>
      <c r="K551">
        <v>4.7699999999999996</v>
      </c>
      <c r="L551">
        <v>4.68</v>
      </c>
      <c r="M551">
        <v>4.93</v>
      </c>
      <c r="N551">
        <v>4.66</v>
      </c>
      <c r="O551">
        <v>4.68</v>
      </c>
      <c r="P551">
        <v>8.39</v>
      </c>
      <c r="Q551">
        <v>147185344</v>
      </c>
      <c r="R551">
        <v>3.81</v>
      </c>
      <c r="S551" t="s">
        <v>953</v>
      </c>
      <c r="T551" t="s">
        <v>645</v>
      </c>
      <c r="U551">
        <v>5.77</v>
      </c>
      <c r="V551">
        <v>4.83</v>
      </c>
      <c r="W551">
        <v>146871</v>
      </c>
      <c r="X551">
        <v>158007</v>
      </c>
      <c r="Y551">
        <v>0.93</v>
      </c>
      <c r="Z551">
        <v>885</v>
      </c>
      <c r="AA551">
        <v>921</v>
      </c>
      <c r="AB551" t="s">
        <v>116</v>
      </c>
      <c r="AC551">
        <v>187700</v>
      </c>
      <c r="AD551">
        <v>0.01</v>
      </c>
      <c r="AE551" t="s">
        <v>116</v>
      </c>
      <c r="AF551" t="s">
        <v>116</v>
      </c>
      <c r="AG551">
        <v>6.4</v>
      </c>
      <c r="AH551" t="s">
        <v>3593</v>
      </c>
      <c r="AI551" t="s">
        <v>3594</v>
      </c>
      <c r="AJ551">
        <v>4.0999999999999996</v>
      </c>
      <c r="AK551">
        <v>3011</v>
      </c>
      <c r="AL551">
        <v>101</v>
      </c>
      <c r="AM551">
        <v>1.6000000000000001E-3</v>
      </c>
      <c r="AN551">
        <v>2</v>
      </c>
      <c r="AO551">
        <v>4.3099999999999996</v>
      </c>
      <c r="AP551">
        <v>11.78</v>
      </c>
      <c r="AQ551">
        <v>-2.2200000000000002</v>
      </c>
      <c r="AR551">
        <v>-0.62</v>
      </c>
      <c r="AS551">
        <v>6.64</v>
      </c>
      <c r="AT551" t="s">
        <v>3595</v>
      </c>
      <c r="AU551">
        <v>13.88</v>
      </c>
      <c r="AV551">
        <v>32.020000000000003</v>
      </c>
      <c r="AW551">
        <v>0.93</v>
      </c>
      <c r="BA551">
        <v>0</v>
      </c>
      <c r="BB551">
        <v>5.34</v>
      </c>
      <c r="BC551">
        <v>-0.43</v>
      </c>
      <c r="BD551">
        <v>3.16</v>
      </c>
      <c r="BE551">
        <v>3.42</v>
      </c>
      <c r="BF551">
        <v>-1.83</v>
      </c>
      <c r="BG551">
        <v>3.86</v>
      </c>
      <c r="BH551">
        <v>0.26</v>
      </c>
      <c r="BI551">
        <v>20191227</v>
      </c>
      <c r="BJ551">
        <v>20061215</v>
      </c>
      <c r="BK551">
        <v>6.91</v>
      </c>
      <c r="BL551" t="s">
        <v>116</v>
      </c>
      <c r="BM551" t="s">
        <v>116</v>
      </c>
      <c r="BN551">
        <v>58.31</v>
      </c>
      <c r="BO551">
        <v>31.81</v>
      </c>
      <c r="BP551">
        <v>4.82</v>
      </c>
      <c r="BQ551">
        <v>37.18</v>
      </c>
      <c r="BR551">
        <v>43.19</v>
      </c>
      <c r="BS551">
        <v>1.98</v>
      </c>
      <c r="BT551">
        <v>1.01</v>
      </c>
      <c r="BU551">
        <v>20.309999999999999</v>
      </c>
      <c r="BV551">
        <v>9.84</v>
      </c>
      <c r="BW551">
        <v>9.9499999999999993</v>
      </c>
      <c r="BX551">
        <v>11.17</v>
      </c>
      <c r="BY551">
        <v>40.99</v>
      </c>
      <c r="BZ551">
        <v>34.619999999999997</v>
      </c>
      <c r="CA551">
        <v>4.16</v>
      </c>
      <c r="CB551">
        <v>3.52</v>
      </c>
      <c r="CC551">
        <v>4.16</v>
      </c>
      <c r="CD551">
        <v>3.15</v>
      </c>
      <c r="CE551">
        <v>2.99</v>
      </c>
      <c r="CF551">
        <v>0.43</v>
      </c>
      <c r="CG551">
        <v>12.42</v>
      </c>
      <c r="CH551">
        <v>-5.31</v>
      </c>
      <c r="CI551">
        <v>-2.93</v>
      </c>
      <c r="CJ551">
        <v>34747</v>
      </c>
      <c r="CK551">
        <v>13221</v>
      </c>
      <c r="CL551" t="s">
        <v>3596</v>
      </c>
      <c r="CM551">
        <v>84.06</v>
      </c>
      <c r="CN551">
        <v>2.08</v>
      </c>
      <c r="CO551">
        <v>1.05</v>
      </c>
      <c r="CP551">
        <v>-6.3</v>
      </c>
      <c r="CQ551">
        <v>0.82</v>
      </c>
      <c r="CR551">
        <v>0</v>
      </c>
      <c r="CS551" t="s">
        <v>3597</v>
      </c>
      <c r="CT551">
        <v>4.59</v>
      </c>
      <c r="CU551">
        <v>4.59</v>
      </c>
      <c r="CV551">
        <v>1.62</v>
      </c>
      <c r="CW551">
        <v>1.8</v>
      </c>
      <c r="CX551">
        <v>-0.77</v>
      </c>
      <c r="CY551">
        <v>54.55</v>
      </c>
      <c r="CZ551" t="s">
        <v>3598</v>
      </c>
      <c r="DA551">
        <v>15.54</v>
      </c>
      <c r="DB551">
        <v>10.15</v>
      </c>
      <c r="DC551">
        <v>7.29</v>
      </c>
      <c r="DD551">
        <v>0.21</v>
      </c>
      <c r="DE551">
        <v>4634</v>
      </c>
      <c r="DF551">
        <v>2094</v>
      </c>
      <c r="DG551" t="s">
        <v>116</v>
      </c>
      <c r="DH551" t="s">
        <v>116</v>
      </c>
      <c r="DI551" t="s">
        <v>116</v>
      </c>
    </row>
    <row r="552" spans="1:113" x14ac:dyDescent="0.4">
      <c r="A552" t="str">
        <f>"002095"</f>
        <v>002095</v>
      </c>
      <c r="B552" t="s">
        <v>3599</v>
      </c>
      <c r="C552">
        <v>-0.89</v>
      </c>
      <c r="D552">
        <v>22.15</v>
      </c>
      <c r="E552">
        <v>-0.2</v>
      </c>
      <c r="F552">
        <v>22.15</v>
      </c>
      <c r="G552">
        <v>22.16</v>
      </c>
      <c r="H552">
        <v>34374</v>
      </c>
      <c r="I552">
        <v>1143</v>
      </c>
      <c r="J552">
        <v>-0.08</v>
      </c>
      <c r="K552">
        <v>1.37</v>
      </c>
      <c r="L552">
        <v>22.47</v>
      </c>
      <c r="M552">
        <v>22.6</v>
      </c>
      <c r="N552">
        <v>22.15</v>
      </c>
      <c r="O552">
        <v>22.35</v>
      </c>
      <c r="P552">
        <v>136.34</v>
      </c>
      <c r="Q552">
        <v>76743880</v>
      </c>
      <c r="R552">
        <v>0.82</v>
      </c>
      <c r="S552" t="s">
        <v>1384</v>
      </c>
      <c r="T552" t="s">
        <v>590</v>
      </c>
      <c r="U552">
        <v>2.0099999999999998</v>
      </c>
      <c r="V552">
        <v>22.33</v>
      </c>
      <c r="W552">
        <v>20005</v>
      </c>
      <c r="X552">
        <v>14369</v>
      </c>
      <c r="Y552">
        <v>1.39</v>
      </c>
      <c r="Z552">
        <v>2481</v>
      </c>
      <c r="AA552">
        <v>54</v>
      </c>
      <c r="AB552" t="s">
        <v>116</v>
      </c>
      <c r="AC552">
        <v>179800</v>
      </c>
      <c r="AD552">
        <v>0.01</v>
      </c>
      <c r="AE552" t="s">
        <v>116</v>
      </c>
      <c r="AF552" t="s">
        <v>116</v>
      </c>
      <c r="AG552">
        <v>2.52</v>
      </c>
      <c r="AH552" t="s">
        <v>3600</v>
      </c>
      <c r="AI552" t="s">
        <v>3601</v>
      </c>
      <c r="AJ552">
        <v>-0.22</v>
      </c>
      <c r="AK552">
        <v>2055</v>
      </c>
      <c r="AL552">
        <v>17</v>
      </c>
      <c r="AM552">
        <v>6.9999999999999999E-4</v>
      </c>
      <c r="AN552">
        <v>-1</v>
      </c>
      <c r="AO552">
        <v>-0.18</v>
      </c>
      <c r="AP552">
        <v>0.14000000000000001</v>
      </c>
      <c r="AQ552">
        <v>-8.43</v>
      </c>
      <c r="AR552">
        <v>12.84</v>
      </c>
      <c r="AS552">
        <v>2.99</v>
      </c>
      <c r="AT552" t="s">
        <v>3602</v>
      </c>
      <c r="AU552">
        <v>164.39</v>
      </c>
      <c r="AV552">
        <v>160.63999999999999</v>
      </c>
      <c r="AW552">
        <v>1.81</v>
      </c>
      <c r="BA552">
        <v>0.54</v>
      </c>
      <c r="BB552">
        <v>1.1200000000000001</v>
      </c>
      <c r="BC552">
        <v>-0.89</v>
      </c>
      <c r="BD552">
        <v>-0.11</v>
      </c>
      <c r="BE552">
        <v>-1.42</v>
      </c>
      <c r="BF552">
        <v>-1.99</v>
      </c>
      <c r="BG552">
        <v>0</v>
      </c>
      <c r="BH552">
        <v>-0.79</v>
      </c>
      <c r="BI552">
        <v>20191104</v>
      </c>
      <c r="BJ552">
        <v>20061215</v>
      </c>
      <c r="BK552">
        <v>2.5299999999999998</v>
      </c>
      <c r="BL552" t="s">
        <v>116</v>
      </c>
      <c r="BM552" t="s">
        <v>116</v>
      </c>
      <c r="BN552">
        <v>15.95</v>
      </c>
      <c r="BO552">
        <v>8.68</v>
      </c>
      <c r="BP552">
        <v>2.46</v>
      </c>
      <c r="BQ552">
        <v>30.15</v>
      </c>
      <c r="BR552">
        <v>14.52</v>
      </c>
      <c r="BS552">
        <v>0.65</v>
      </c>
      <c r="BT552">
        <v>0</v>
      </c>
      <c r="BU552">
        <v>4.66</v>
      </c>
      <c r="BV552">
        <v>0.04</v>
      </c>
      <c r="BW552">
        <v>0.1</v>
      </c>
      <c r="BX552">
        <v>3.26</v>
      </c>
      <c r="BY552">
        <v>2.99</v>
      </c>
      <c r="BZ552">
        <v>1.98</v>
      </c>
      <c r="CA552">
        <v>0.46</v>
      </c>
      <c r="CB552">
        <v>0.05</v>
      </c>
      <c r="CC552">
        <v>0.46</v>
      </c>
      <c r="CD552">
        <v>0.36</v>
      </c>
      <c r="CE552">
        <v>0.31</v>
      </c>
      <c r="CF552">
        <v>0.3</v>
      </c>
      <c r="CG552">
        <v>2.4300000000000002</v>
      </c>
      <c r="CH552">
        <v>1.1100000000000001</v>
      </c>
      <c r="CI552">
        <v>0.73</v>
      </c>
      <c r="CJ552">
        <v>45419</v>
      </c>
      <c r="CK552">
        <v>2533</v>
      </c>
      <c r="CL552" t="s">
        <v>3603</v>
      </c>
      <c r="CM552">
        <v>-2.52</v>
      </c>
      <c r="CN552">
        <v>-7.87</v>
      </c>
      <c r="CO552">
        <v>6.45</v>
      </c>
      <c r="CP552">
        <v>50.29</v>
      </c>
      <c r="CQ552">
        <v>18.75</v>
      </c>
      <c r="CR552">
        <v>0.23</v>
      </c>
      <c r="CS552" t="s">
        <v>3604</v>
      </c>
      <c r="CT552">
        <v>3.44</v>
      </c>
      <c r="CU552">
        <v>0</v>
      </c>
      <c r="CV552">
        <v>1.29</v>
      </c>
      <c r="CW552">
        <v>0.96</v>
      </c>
      <c r="CX552">
        <v>0.44</v>
      </c>
      <c r="CY552">
        <v>54.45</v>
      </c>
      <c r="CZ552" t="s">
        <v>506</v>
      </c>
      <c r="DA552">
        <v>33.54</v>
      </c>
      <c r="DB552">
        <v>15.45</v>
      </c>
      <c r="DC552">
        <v>10.31</v>
      </c>
      <c r="DD552">
        <v>0.13</v>
      </c>
      <c r="DE552">
        <v>827</v>
      </c>
      <c r="DF552">
        <v>2095</v>
      </c>
      <c r="DG552" t="s">
        <v>116</v>
      </c>
      <c r="DH552" t="s">
        <v>116</v>
      </c>
      <c r="DI552" t="s">
        <v>116</v>
      </c>
    </row>
    <row r="553" spans="1:113" x14ac:dyDescent="0.4">
      <c r="A553" t="str">
        <f>"002096"</f>
        <v>002096</v>
      </c>
      <c r="B553" t="s">
        <v>3605</v>
      </c>
      <c r="C553">
        <v>-1.55</v>
      </c>
      <c r="D553">
        <v>6.36</v>
      </c>
      <c r="E553">
        <v>-0.1</v>
      </c>
      <c r="F553">
        <v>6.36</v>
      </c>
      <c r="G553">
        <v>6.38</v>
      </c>
      <c r="H553">
        <v>30794</v>
      </c>
      <c r="I553">
        <v>457</v>
      </c>
      <c r="J553">
        <v>-0.15</v>
      </c>
      <c r="K553">
        <v>0.83</v>
      </c>
      <c r="L553">
        <v>6.45</v>
      </c>
      <c r="M553">
        <v>6.53</v>
      </c>
      <c r="N553">
        <v>6.36</v>
      </c>
      <c r="O553">
        <v>6.46</v>
      </c>
      <c r="P553">
        <v>62.54</v>
      </c>
      <c r="Q553">
        <v>19865310</v>
      </c>
      <c r="R553">
        <v>0.85</v>
      </c>
      <c r="S553" t="s">
        <v>891</v>
      </c>
      <c r="T553" t="s">
        <v>599</v>
      </c>
      <c r="U553">
        <v>2.63</v>
      </c>
      <c r="V553">
        <v>6.45</v>
      </c>
      <c r="W553">
        <v>17199</v>
      </c>
      <c r="X553">
        <v>13595</v>
      </c>
      <c r="Y553">
        <v>1.27</v>
      </c>
      <c r="Z553">
        <v>239</v>
      </c>
      <c r="AA553">
        <v>338</v>
      </c>
      <c r="AB553" t="s">
        <v>116</v>
      </c>
      <c r="AC553">
        <v>54800</v>
      </c>
      <c r="AD553">
        <v>0.01</v>
      </c>
      <c r="AE553" t="s">
        <v>116</v>
      </c>
      <c r="AF553" t="s">
        <v>116</v>
      </c>
      <c r="AG553">
        <v>3.71</v>
      </c>
      <c r="AH553" t="s">
        <v>3106</v>
      </c>
      <c r="AI553" t="s">
        <v>3606</v>
      </c>
      <c r="AJ553">
        <v>-0.87</v>
      </c>
      <c r="AK553">
        <v>812</v>
      </c>
      <c r="AL553">
        <v>38</v>
      </c>
      <c r="AM553">
        <v>1E-3</v>
      </c>
      <c r="AN553">
        <v>-1</v>
      </c>
      <c r="AO553">
        <v>-2.0099999999999998</v>
      </c>
      <c r="AP553">
        <v>6.89</v>
      </c>
      <c r="AQ553">
        <v>-3.49</v>
      </c>
      <c r="AR553">
        <v>21.84</v>
      </c>
      <c r="AS553">
        <v>2.37</v>
      </c>
      <c r="AT553" t="s">
        <v>3607</v>
      </c>
      <c r="AU553">
        <v>90.27</v>
      </c>
      <c r="AV553">
        <v>103.94</v>
      </c>
      <c r="AW553">
        <v>1.32</v>
      </c>
      <c r="BA553">
        <v>-0.15</v>
      </c>
      <c r="BB553">
        <v>1.08</v>
      </c>
      <c r="BC553">
        <v>-1.55</v>
      </c>
      <c r="BD553">
        <v>-0.14000000000000001</v>
      </c>
      <c r="BE553">
        <v>-1.4</v>
      </c>
      <c r="BF553">
        <v>-2.6</v>
      </c>
      <c r="BG553">
        <v>0</v>
      </c>
      <c r="BH553">
        <v>-1.41</v>
      </c>
      <c r="BI553">
        <v>20191031</v>
      </c>
      <c r="BJ553">
        <v>20061222</v>
      </c>
      <c r="BK553">
        <v>3.71</v>
      </c>
      <c r="BL553" t="s">
        <v>116</v>
      </c>
      <c r="BM553" t="s">
        <v>116</v>
      </c>
      <c r="BN553">
        <v>36.590000000000003</v>
      </c>
      <c r="BO553">
        <v>20.170000000000002</v>
      </c>
      <c r="BP553">
        <v>0.42</v>
      </c>
      <c r="BQ553">
        <v>43.74</v>
      </c>
      <c r="BR553">
        <v>18.23</v>
      </c>
      <c r="BS553">
        <v>9.52</v>
      </c>
      <c r="BT553">
        <v>3.82</v>
      </c>
      <c r="BU553">
        <v>14.32</v>
      </c>
      <c r="BV553">
        <v>2.2999999999999998</v>
      </c>
      <c r="BW553">
        <v>6.2</v>
      </c>
      <c r="BX553">
        <v>5.55</v>
      </c>
      <c r="BY553">
        <v>19.059999999999999</v>
      </c>
      <c r="BZ553">
        <v>14.25</v>
      </c>
      <c r="CA553">
        <v>0.39</v>
      </c>
      <c r="CB553">
        <v>0.01</v>
      </c>
      <c r="CC553">
        <v>0.37</v>
      </c>
      <c r="CD553">
        <v>0.31</v>
      </c>
      <c r="CE553">
        <v>0.28000000000000003</v>
      </c>
      <c r="CF553">
        <v>0.23</v>
      </c>
      <c r="CG553">
        <v>9.75</v>
      </c>
      <c r="CH553">
        <v>0.67</v>
      </c>
      <c r="CI553">
        <v>-0.96</v>
      </c>
      <c r="CJ553">
        <v>17335</v>
      </c>
      <c r="CK553">
        <v>7489</v>
      </c>
      <c r="CL553" t="s">
        <v>2315</v>
      </c>
      <c r="CM553">
        <v>13.83</v>
      </c>
      <c r="CN553">
        <v>22.01</v>
      </c>
      <c r="CO553">
        <v>1.17</v>
      </c>
      <c r="CP553">
        <v>35.42</v>
      </c>
      <c r="CQ553">
        <v>1.24</v>
      </c>
      <c r="CR553">
        <v>0.31</v>
      </c>
      <c r="CS553" t="s">
        <v>3475</v>
      </c>
      <c r="CT553">
        <v>5.43</v>
      </c>
      <c r="CU553">
        <v>0</v>
      </c>
      <c r="CV553">
        <v>1.5</v>
      </c>
      <c r="CW553">
        <v>2.63</v>
      </c>
      <c r="CX553">
        <v>0.18</v>
      </c>
      <c r="CY553">
        <v>55.12</v>
      </c>
      <c r="CZ553" t="s">
        <v>3608</v>
      </c>
      <c r="DA553">
        <v>25.25</v>
      </c>
      <c r="DB553">
        <v>2.02</v>
      </c>
      <c r="DC553">
        <v>1.49</v>
      </c>
      <c r="DD553">
        <v>0.35</v>
      </c>
      <c r="DE553">
        <v>5401</v>
      </c>
      <c r="DF553">
        <v>2096</v>
      </c>
      <c r="DG553" t="s">
        <v>116</v>
      </c>
      <c r="DH553" t="s">
        <v>116</v>
      </c>
      <c r="DI553" t="s">
        <v>116</v>
      </c>
    </row>
    <row r="554" spans="1:113" x14ac:dyDescent="0.4">
      <c r="A554" t="str">
        <f>"002097"</f>
        <v>002097</v>
      </c>
      <c r="B554" t="s">
        <v>3609</v>
      </c>
      <c r="C554">
        <v>-0.35</v>
      </c>
      <c r="D554">
        <v>5.76</v>
      </c>
      <c r="E554">
        <v>-0.02</v>
      </c>
      <c r="F554">
        <v>5.76</v>
      </c>
      <c r="G554">
        <v>5.77</v>
      </c>
      <c r="H554">
        <v>72487</v>
      </c>
      <c r="I554">
        <v>1239</v>
      </c>
      <c r="J554">
        <v>0</v>
      </c>
      <c r="K554">
        <v>0.84</v>
      </c>
      <c r="L554">
        <v>5.78</v>
      </c>
      <c r="M554">
        <v>5.83</v>
      </c>
      <c r="N554">
        <v>5.75</v>
      </c>
      <c r="O554">
        <v>5.78</v>
      </c>
      <c r="P554">
        <v>11.01</v>
      </c>
      <c r="Q554">
        <v>41985004</v>
      </c>
      <c r="R554">
        <v>1.1599999999999999</v>
      </c>
      <c r="S554" t="s">
        <v>598</v>
      </c>
      <c r="T554" t="s">
        <v>599</v>
      </c>
      <c r="U554">
        <v>1.38</v>
      </c>
      <c r="V554">
        <v>5.79</v>
      </c>
      <c r="W554">
        <v>42483</v>
      </c>
      <c r="X554">
        <v>30004</v>
      </c>
      <c r="Y554">
        <v>1.42</v>
      </c>
      <c r="Z554">
        <v>640</v>
      </c>
      <c r="AA554">
        <v>865</v>
      </c>
      <c r="AB554" t="s">
        <v>116</v>
      </c>
      <c r="AC554">
        <v>177400</v>
      </c>
      <c r="AD554">
        <v>0</v>
      </c>
      <c r="AE554" t="s">
        <v>116</v>
      </c>
      <c r="AF554" t="s">
        <v>116</v>
      </c>
      <c r="AG554">
        <v>8.59</v>
      </c>
      <c r="AH554" t="s">
        <v>3610</v>
      </c>
      <c r="AI554" t="s">
        <v>3611</v>
      </c>
      <c r="AJ554">
        <v>0.33</v>
      </c>
      <c r="AK554">
        <v>2012</v>
      </c>
      <c r="AL554">
        <v>36</v>
      </c>
      <c r="AM554">
        <v>4.0000000000000002E-4</v>
      </c>
      <c r="AN554">
        <v>-1</v>
      </c>
      <c r="AO554">
        <v>0.87</v>
      </c>
      <c r="AP554">
        <v>3.97</v>
      </c>
      <c r="AQ554">
        <v>-0.52</v>
      </c>
      <c r="AR554">
        <v>5.69</v>
      </c>
      <c r="AS554">
        <v>1.1299999999999999</v>
      </c>
      <c r="AT554" t="s">
        <v>2471</v>
      </c>
      <c r="AU554">
        <v>13.68</v>
      </c>
      <c r="AV554">
        <v>14.6</v>
      </c>
      <c r="AW554">
        <v>0.68</v>
      </c>
      <c r="BA554">
        <v>0</v>
      </c>
      <c r="BB554">
        <v>0.87</v>
      </c>
      <c r="BC554">
        <v>-0.52</v>
      </c>
      <c r="BD554">
        <v>0.21</v>
      </c>
      <c r="BE554">
        <v>-0.35</v>
      </c>
      <c r="BF554">
        <v>-1.2</v>
      </c>
      <c r="BG554">
        <v>0.17</v>
      </c>
      <c r="BH554">
        <v>-0.55000000000000004</v>
      </c>
      <c r="BI554">
        <v>20191226</v>
      </c>
      <c r="BJ554">
        <v>20061222</v>
      </c>
      <c r="BK554">
        <v>10.88</v>
      </c>
      <c r="BL554" t="s">
        <v>116</v>
      </c>
      <c r="BM554" t="s">
        <v>116</v>
      </c>
      <c r="BN554">
        <v>157.41999999999999</v>
      </c>
      <c r="BO554">
        <v>52.04</v>
      </c>
      <c r="BP554">
        <v>0.56999999999999995</v>
      </c>
      <c r="BQ554">
        <v>66.58</v>
      </c>
      <c r="BR554">
        <v>92.6</v>
      </c>
      <c r="BS554">
        <v>43.52</v>
      </c>
      <c r="BT554">
        <v>5.21</v>
      </c>
      <c r="BU554">
        <v>72.38</v>
      </c>
      <c r="BV554">
        <v>26.13</v>
      </c>
      <c r="BW554">
        <v>36.840000000000003</v>
      </c>
      <c r="BX554">
        <v>23.14</v>
      </c>
      <c r="BY554">
        <v>51.64</v>
      </c>
      <c r="BZ554">
        <v>36.119999999999997</v>
      </c>
      <c r="CA554">
        <v>5.1100000000000003</v>
      </c>
      <c r="CB554">
        <v>-0.04</v>
      </c>
      <c r="CC554">
        <v>5.2</v>
      </c>
      <c r="CD554">
        <v>4.3099999999999996</v>
      </c>
      <c r="CE554">
        <v>4.2699999999999996</v>
      </c>
      <c r="CF554">
        <v>4.1500000000000004</v>
      </c>
      <c r="CG554">
        <v>13.11</v>
      </c>
      <c r="CH554">
        <v>1.92</v>
      </c>
      <c r="CI554">
        <v>-0.87</v>
      </c>
      <c r="CJ554">
        <v>70406</v>
      </c>
      <c r="CK554">
        <v>9130</v>
      </c>
      <c r="CL554" t="s">
        <v>1067</v>
      </c>
      <c r="CM554">
        <v>7.23</v>
      </c>
      <c r="CN554">
        <v>30.29</v>
      </c>
      <c r="CO554">
        <v>1.2</v>
      </c>
      <c r="CP554">
        <v>32.69</v>
      </c>
      <c r="CQ554">
        <v>1.21</v>
      </c>
      <c r="CR554">
        <v>1.74</v>
      </c>
      <c r="CS554" t="s">
        <v>3612</v>
      </c>
      <c r="CT554">
        <v>4.78</v>
      </c>
      <c r="CU554">
        <v>0</v>
      </c>
      <c r="CV554">
        <v>2.13</v>
      </c>
      <c r="CW554">
        <v>1.21</v>
      </c>
      <c r="CX554">
        <v>0.18</v>
      </c>
      <c r="CY554">
        <v>33.06</v>
      </c>
      <c r="CZ554" t="s">
        <v>122</v>
      </c>
      <c r="DA554">
        <v>30.04</v>
      </c>
      <c r="DB554">
        <v>9.89</v>
      </c>
      <c r="DC554">
        <v>8.27</v>
      </c>
      <c r="DD554">
        <v>1.1499999999999999</v>
      </c>
      <c r="DE554">
        <v>4393</v>
      </c>
      <c r="DF554">
        <v>2097</v>
      </c>
      <c r="DG554" t="s">
        <v>116</v>
      </c>
      <c r="DH554" t="s">
        <v>116</v>
      </c>
      <c r="DI554" t="s">
        <v>116</v>
      </c>
    </row>
    <row r="555" spans="1:113" x14ac:dyDescent="0.4">
      <c r="A555" t="str">
        <f>"002098"</f>
        <v>002098</v>
      </c>
      <c r="B555" t="s">
        <v>3613</v>
      </c>
      <c r="C555">
        <v>2.1800000000000002</v>
      </c>
      <c r="D555">
        <v>6.56</v>
      </c>
      <c r="E555">
        <v>0.14000000000000001</v>
      </c>
      <c r="F555">
        <v>6.56</v>
      </c>
      <c r="G555">
        <v>6.57</v>
      </c>
      <c r="H555">
        <v>157000</v>
      </c>
      <c r="I555">
        <v>2793</v>
      </c>
      <c r="J555">
        <v>-0.14000000000000001</v>
      </c>
      <c r="K555">
        <v>4.3899999999999997</v>
      </c>
      <c r="L555">
        <v>6.43</v>
      </c>
      <c r="M555">
        <v>6.66</v>
      </c>
      <c r="N555">
        <v>6.37</v>
      </c>
      <c r="O555">
        <v>6.42</v>
      </c>
      <c r="P555">
        <v>26.48</v>
      </c>
      <c r="Q555">
        <v>102446296</v>
      </c>
      <c r="R555">
        <v>1.84</v>
      </c>
      <c r="S555" t="s">
        <v>3070</v>
      </c>
      <c r="T555" t="s">
        <v>975</v>
      </c>
      <c r="U555">
        <v>4.5199999999999996</v>
      </c>
      <c r="V555">
        <v>6.53</v>
      </c>
      <c r="W555">
        <v>75598</v>
      </c>
      <c r="X555">
        <v>81402</v>
      </c>
      <c r="Y555">
        <v>0.93</v>
      </c>
      <c r="Z555">
        <v>682</v>
      </c>
      <c r="AA555">
        <v>626</v>
      </c>
      <c r="AB555" t="s">
        <v>116</v>
      </c>
      <c r="AC555">
        <v>98400</v>
      </c>
      <c r="AD555">
        <v>0.01</v>
      </c>
      <c r="AE555" t="s">
        <v>116</v>
      </c>
      <c r="AF555" t="s">
        <v>116</v>
      </c>
      <c r="AG555">
        <v>3.58</v>
      </c>
      <c r="AH555" t="s">
        <v>2817</v>
      </c>
      <c r="AI555" t="s">
        <v>2817</v>
      </c>
      <c r="AJ555">
        <v>2.86</v>
      </c>
      <c r="AK555">
        <v>2369</v>
      </c>
      <c r="AL555">
        <v>66</v>
      </c>
      <c r="AM555">
        <v>1.9E-3</v>
      </c>
      <c r="AN555">
        <v>4</v>
      </c>
      <c r="AO555">
        <v>5.63</v>
      </c>
      <c r="AP555">
        <v>6.84</v>
      </c>
      <c r="AQ555">
        <v>12.71</v>
      </c>
      <c r="AR555">
        <v>-16.329999999999998</v>
      </c>
      <c r="AS555">
        <v>9.85</v>
      </c>
      <c r="AT555" t="s">
        <v>3614</v>
      </c>
      <c r="AU555" t="s">
        <v>116</v>
      </c>
      <c r="AV555" t="s">
        <v>116</v>
      </c>
      <c r="AW555">
        <v>1.05</v>
      </c>
      <c r="BA555">
        <v>0.16</v>
      </c>
      <c r="BB555">
        <v>3.74</v>
      </c>
      <c r="BC555">
        <v>-0.78</v>
      </c>
      <c r="BD555">
        <v>1.64</v>
      </c>
      <c r="BE555">
        <v>2.02</v>
      </c>
      <c r="BF555">
        <v>-1.5</v>
      </c>
      <c r="BG555">
        <v>2.98</v>
      </c>
      <c r="BH555">
        <v>0.54</v>
      </c>
      <c r="BI555">
        <v>20191029</v>
      </c>
      <c r="BJ555">
        <v>20061222</v>
      </c>
      <c r="BK555">
        <v>3.58</v>
      </c>
      <c r="BL555" t="s">
        <v>116</v>
      </c>
      <c r="BM555" t="s">
        <v>116</v>
      </c>
      <c r="BN555">
        <v>21.19</v>
      </c>
      <c r="BO555">
        <v>6.31</v>
      </c>
      <c r="BP555">
        <v>1.1299999999999999</v>
      </c>
      <c r="BQ555">
        <v>64.930000000000007</v>
      </c>
      <c r="BR555">
        <v>10.32</v>
      </c>
      <c r="BS555">
        <v>6.31</v>
      </c>
      <c r="BT555">
        <v>1.43</v>
      </c>
      <c r="BU555">
        <v>11.69</v>
      </c>
      <c r="BV555">
        <v>3.39</v>
      </c>
      <c r="BW555">
        <v>3.35</v>
      </c>
      <c r="BX555">
        <v>3.07</v>
      </c>
      <c r="BY555">
        <v>13.5</v>
      </c>
      <c r="BZ555">
        <v>8.5</v>
      </c>
      <c r="CA555">
        <v>0.65</v>
      </c>
      <c r="CB555">
        <v>0.02</v>
      </c>
      <c r="CC555">
        <v>0.63</v>
      </c>
      <c r="CD555">
        <v>0.57999999999999996</v>
      </c>
      <c r="CE555">
        <v>0.67</v>
      </c>
      <c r="CF555">
        <v>0.6</v>
      </c>
      <c r="CG555">
        <v>-1.0900000000000001</v>
      </c>
      <c r="CH555">
        <v>1.81</v>
      </c>
      <c r="CI555">
        <v>-7.0000000000000007E-2</v>
      </c>
      <c r="CJ555">
        <v>30920</v>
      </c>
      <c r="CK555">
        <v>5153</v>
      </c>
      <c r="CL555" t="s">
        <v>3293</v>
      </c>
      <c r="CM555">
        <v>40.1</v>
      </c>
      <c r="CN555">
        <v>-18.86</v>
      </c>
      <c r="CO555">
        <v>3.72</v>
      </c>
      <c r="CP555">
        <v>13.01</v>
      </c>
      <c r="CQ555">
        <v>1.74</v>
      </c>
      <c r="CR555">
        <v>0</v>
      </c>
      <c r="CS555" t="s">
        <v>3615</v>
      </c>
      <c r="CT555">
        <v>1.76</v>
      </c>
      <c r="CU555">
        <v>0</v>
      </c>
      <c r="CV555">
        <v>0.86</v>
      </c>
      <c r="CW555">
        <v>-0.31</v>
      </c>
      <c r="CX555">
        <v>0.5</v>
      </c>
      <c r="CY555">
        <v>29.76</v>
      </c>
      <c r="CZ555" t="s">
        <v>3616</v>
      </c>
      <c r="DA555">
        <v>37.06</v>
      </c>
      <c r="DB555">
        <v>4.8099999999999996</v>
      </c>
      <c r="DC555">
        <v>4.93</v>
      </c>
      <c r="DD555">
        <v>0.4</v>
      </c>
      <c r="DE555">
        <v>4651</v>
      </c>
      <c r="DF555">
        <v>2098</v>
      </c>
      <c r="DG555" t="s">
        <v>116</v>
      </c>
      <c r="DH555" t="s">
        <v>116</v>
      </c>
      <c r="DI555" t="s">
        <v>116</v>
      </c>
    </row>
    <row r="556" spans="1:113" x14ac:dyDescent="0.4">
      <c r="A556" t="str">
        <f>"002099"</f>
        <v>002099</v>
      </c>
      <c r="B556" t="s">
        <v>3617</v>
      </c>
      <c r="C556">
        <v>0.73</v>
      </c>
      <c r="D556">
        <v>6.93</v>
      </c>
      <c r="E556">
        <v>0.05</v>
      </c>
      <c r="F556">
        <v>6.93</v>
      </c>
      <c r="G556">
        <v>6.94</v>
      </c>
      <c r="H556">
        <v>198848</v>
      </c>
      <c r="I556">
        <v>1524</v>
      </c>
      <c r="J556">
        <v>0</v>
      </c>
      <c r="K556">
        <v>1.24</v>
      </c>
      <c r="L556">
        <v>6.88</v>
      </c>
      <c r="M556">
        <v>7.04</v>
      </c>
      <c r="N556">
        <v>6.85</v>
      </c>
      <c r="O556">
        <v>6.88</v>
      </c>
      <c r="P556">
        <v>12.19</v>
      </c>
      <c r="Q556">
        <v>138550560</v>
      </c>
      <c r="R556">
        <v>1.31</v>
      </c>
      <c r="S556" t="s">
        <v>574</v>
      </c>
      <c r="T556" t="s">
        <v>590</v>
      </c>
      <c r="U556">
        <v>2.76</v>
      </c>
      <c r="V556">
        <v>6.97</v>
      </c>
      <c r="W556">
        <v>97623</v>
      </c>
      <c r="X556">
        <v>101225</v>
      </c>
      <c r="Y556">
        <v>0.96</v>
      </c>
      <c r="Z556">
        <v>865</v>
      </c>
      <c r="AA556">
        <v>1763</v>
      </c>
      <c r="AB556" t="s">
        <v>116</v>
      </c>
      <c r="AC556">
        <v>185800</v>
      </c>
      <c r="AD556">
        <v>0</v>
      </c>
      <c r="AE556" t="s">
        <v>116</v>
      </c>
      <c r="AF556" t="s">
        <v>116</v>
      </c>
      <c r="AG556">
        <v>16.04</v>
      </c>
      <c r="AH556" t="s">
        <v>3618</v>
      </c>
      <c r="AI556" t="s">
        <v>3619</v>
      </c>
      <c r="AJ556">
        <v>1.41</v>
      </c>
      <c r="AK556">
        <v>2124</v>
      </c>
      <c r="AL556">
        <v>94</v>
      </c>
      <c r="AM556">
        <v>5.9999999999999995E-4</v>
      </c>
      <c r="AN556">
        <v>2</v>
      </c>
      <c r="AO556">
        <v>1.17</v>
      </c>
      <c r="AP556">
        <v>0.43</v>
      </c>
      <c r="AQ556">
        <v>1.17</v>
      </c>
      <c r="AR556">
        <v>64.22</v>
      </c>
      <c r="AS556">
        <v>2.17</v>
      </c>
      <c r="AT556" t="s">
        <v>3620</v>
      </c>
      <c r="AU556">
        <v>13.81</v>
      </c>
      <c r="AV556">
        <v>18.54</v>
      </c>
      <c r="AW556">
        <v>0.84</v>
      </c>
      <c r="BA556">
        <v>0</v>
      </c>
      <c r="BB556">
        <v>2.33</v>
      </c>
      <c r="BC556">
        <v>-0.44</v>
      </c>
      <c r="BD556">
        <v>1.27</v>
      </c>
      <c r="BE556">
        <v>0.73</v>
      </c>
      <c r="BF556">
        <v>-1.56</v>
      </c>
      <c r="BG556">
        <v>1.17</v>
      </c>
      <c r="BH556">
        <v>-0.55000000000000004</v>
      </c>
      <c r="BI556">
        <v>20191028</v>
      </c>
      <c r="BJ556">
        <v>20061226</v>
      </c>
      <c r="BK556">
        <v>16.190000000000001</v>
      </c>
      <c r="BL556" t="s">
        <v>116</v>
      </c>
      <c r="BM556" t="s">
        <v>116</v>
      </c>
      <c r="BN556">
        <v>67.41</v>
      </c>
      <c r="BO556">
        <v>56.45</v>
      </c>
      <c r="BP556">
        <v>0</v>
      </c>
      <c r="BQ556">
        <v>16.260000000000002</v>
      </c>
      <c r="BR556">
        <v>32.32</v>
      </c>
      <c r="BS556">
        <v>12.68</v>
      </c>
      <c r="BT556">
        <v>5.35</v>
      </c>
      <c r="BU556">
        <v>10.35</v>
      </c>
      <c r="BV556">
        <v>8.94</v>
      </c>
      <c r="BW556">
        <v>5.39</v>
      </c>
      <c r="BX556">
        <v>26.7</v>
      </c>
      <c r="BY556">
        <v>23.76</v>
      </c>
      <c r="BZ556">
        <v>11.71</v>
      </c>
      <c r="CA556">
        <v>8.1999999999999993</v>
      </c>
      <c r="CB556">
        <v>-0.1</v>
      </c>
      <c r="CC556">
        <v>8.17</v>
      </c>
      <c r="CD556">
        <v>6.9</v>
      </c>
      <c r="CE556">
        <v>6.9</v>
      </c>
      <c r="CF556">
        <v>6.74</v>
      </c>
      <c r="CG556">
        <v>14.56</v>
      </c>
      <c r="CH556">
        <v>4.49</v>
      </c>
      <c r="CI556">
        <v>4.5599999999999996</v>
      </c>
      <c r="CJ556">
        <v>73476</v>
      </c>
      <c r="CK556">
        <v>12443</v>
      </c>
      <c r="CL556" t="s">
        <v>3621</v>
      </c>
      <c r="CM556">
        <v>42.87</v>
      </c>
      <c r="CN556">
        <v>15.11</v>
      </c>
      <c r="CO556">
        <v>1.99</v>
      </c>
      <c r="CP556">
        <v>24.96</v>
      </c>
      <c r="CQ556">
        <v>4.72</v>
      </c>
      <c r="CR556">
        <v>4.16</v>
      </c>
      <c r="CS556" t="s">
        <v>2279</v>
      </c>
      <c r="CT556">
        <v>3.49</v>
      </c>
      <c r="CU556">
        <v>0</v>
      </c>
      <c r="CV556">
        <v>1.65</v>
      </c>
      <c r="CW556">
        <v>0.9</v>
      </c>
      <c r="CX556">
        <v>0.28000000000000003</v>
      </c>
      <c r="CY556">
        <v>83.74</v>
      </c>
      <c r="CZ556" t="s">
        <v>3622</v>
      </c>
      <c r="DA556">
        <v>50.73</v>
      </c>
      <c r="DB556">
        <v>34.53</v>
      </c>
      <c r="DC556">
        <v>29.04</v>
      </c>
      <c r="DD556">
        <v>0.91</v>
      </c>
      <c r="DE556">
        <v>3177</v>
      </c>
      <c r="DF556">
        <v>2099</v>
      </c>
      <c r="DG556" t="s">
        <v>116</v>
      </c>
      <c r="DH556" t="s">
        <v>116</v>
      </c>
      <c r="DI556" t="s">
        <v>116</v>
      </c>
    </row>
    <row r="557" spans="1:113" x14ac:dyDescent="0.4">
      <c r="A557" t="str">
        <f>"002100"</f>
        <v>002100</v>
      </c>
      <c r="B557" t="s">
        <v>3623</v>
      </c>
      <c r="C557">
        <v>4.71</v>
      </c>
      <c r="D557">
        <v>11.79</v>
      </c>
      <c r="E557">
        <v>0.53</v>
      </c>
      <c r="F557">
        <v>11.78</v>
      </c>
      <c r="G557">
        <v>11.79</v>
      </c>
      <c r="H557">
        <v>533805</v>
      </c>
      <c r="I557">
        <v>8544</v>
      </c>
      <c r="J557">
        <v>0.08</v>
      </c>
      <c r="K557">
        <v>5.0199999999999996</v>
      </c>
      <c r="L557">
        <v>11.28</v>
      </c>
      <c r="M557">
        <v>11.88</v>
      </c>
      <c r="N557">
        <v>11.25</v>
      </c>
      <c r="O557">
        <v>11.26</v>
      </c>
      <c r="P557">
        <v>31.18</v>
      </c>
      <c r="Q557">
        <v>621580800</v>
      </c>
      <c r="R557">
        <v>1.43</v>
      </c>
      <c r="S557" t="s">
        <v>389</v>
      </c>
      <c r="T557" t="s">
        <v>616</v>
      </c>
      <c r="U557">
        <v>5.6</v>
      </c>
      <c r="V557">
        <v>11.64</v>
      </c>
      <c r="W557">
        <v>226608</v>
      </c>
      <c r="X557">
        <v>307197</v>
      </c>
      <c r="Y557">
        <v>0.74</v>
      </c>
      <c r="Z557">
        <v>337</v>
      </c>
      <c r="AA557">
        <v>1856</v>
      </c>
      <c r="AB557" t="s">
        <v>116</v>
      </c>
      <c r="AC557">
        <v>781700</v>
      </c>
      <c r="AD557">
        <v>0.01</v>
      </c>
      <c r="AE557" t="s">
        <v>116</v>
      </c>
      <c r="AF557" t="s">
        <v>116</v>
      </c>
      <c r="AG557">
        <v>10.64</v>
      </c>
      <c r="AH557" t="s">
        <v>1693</v>
      </c>
      <c r="AI557" t="s">
        <v>1693</v>
      </c>
      <c r="AJ557">
        <v>5.39</v>
      </c>
      <c r="AK557">
        <v>4348</v>
      </c>
      <c r="AL557">
        <v>123</v>
      </c>
      <c r="AM557">
        <v>1.1999999999999999E-3</v>
      </c>
      <c r="AN557">
        <v>1</v>
      </c>
      <c r="AO557">
        <v>3.24</v>
      </c>
      <c r="AP557">
        <v>-3.52</v>
      </c>
      <c r="AQ557">
        <v>34.28</v>
      </c>
      <c r="AR557">
        <v>187.56</v>
      </c>
      <c r="AS557">
        <v>9.11</v>
      </c>
      <c r="AT557" t="s">
        <v>3624</v>
      </c>
      <c r="AU557">
        <v>35.229999999999997</v>
      </c>
      <c r="AV557">
        <v>39.99</v>
      </c>
      <c r="AW557">
        <v>1.04</v>
      </c>
      <c r="BA557">
        <v>0.18</v>
      </c>
      <c r="BB557">
        <v>5.51</v>
      </c>
      <c r="BC557">
        <v>-0.09</v>
      </c>
      <c r="BD557">
        <v>3.41</v>
      </c>
      <c r="BE557">
        <v>4.5199999999999996</v>
      </c>
      <c r="BF557">
        <v>-0.76</v>
      </c>
      <c r="BG557">
        <v>4.8</v>
      </c>
      <c r="BH557">
        <v>1.29</v>
      </c>
      <c r="BI557">
        <v>20191223</v>
      </c>
      <c r="BJ557">
        <v>20061226</v>
      </c>
      <c r="BK557">
        <v>10.64</v>
      </c>
      <c r="BL557" t="s">
        <v>116</v>
      </c>
      <c r="BM557" t="s">
        <v>116</v>
      </c>
      <c r="BN557">
        <v>89.4</v>
      </c>
      <c r="BO557">
        <v>38.130000000000003</v>
      </c>
      <c r="BP557">
        <v>5.21</v>
      </c>
      <c r="BQ557">
        <v>51.51</v>
      </c>
      <c r="BR557">
        <v>49.7</v>
      </c>
      <c r="BS557">
        <v>28.97</v>
      </c>
      <c r="BT557">
        <v>2.1</v>
      </c>
      <c r="BU557">
        <v>20.27</v>
      </c>
      <c r="BV557">
        <v>13.85</v>
      </c>
      <c r="BW557">
        <v>6.03</v>
      </c>
      <c r="BX557">
        <v>9.5</v>
      </c>
      <c r="BY557">
        <v>51.8</v>
      </c>
      <c r="BZ557">
        <v>41.06</v>
      </c>
      <c r="CA557">
        <v>2.2999999999999998</v>
      </c>
      <c r="CB557">
        <v>0.02</v>
      </c>
      <c r="CC557">
        <v>2.29</v>
      </c>
      <c r="CD557">
        <v>2.3199999999999998</v>
      </c>
      <c r="CE557">
        <v>3.02</v>
      </c>
      <c r="CF557">
        <v>2.93</v>
      </c>
      <c r="CG557">
        <v>16.43</v>
      </c>
      <c r="CH557">
        <v>14.14</v>
      </c>
      <c r="CI557">
        <v>1.1599999999999999</v>
      </c>
      <c r="CJ557">
        <v>64544</v>
      </c>
      <c r="CK557">
        <v>9077</v>
      </c>
      <c r="CL557" t="s">
        <v>3625</v>
      </c>
      <c r="CM557">
        <v>16.350000000000001</v>
      </c>
      <c r="CN557">
        <v>39.590000000000003</v>
      </c>
      <c r="CO557">
        <v>3.15</v>
      </c>
      <c r="CP557">
        <v>8.8699999999999992</v>
      </c>
      <c r="CQ557">
        <v>2.42</v>
      </c>
      <c r="CR557">
        <v>0.8</v>
      </c>
      <c r="CS557" t="s">
        <v>3626</v>
      </c>
      <c r="CT557">
        <v>3.74</v>
      </c>
      <c r="CU557">
        <v>3.74</v>
      </c>
      <c r="CV557">
        <v>0.89</v>
      </c>
      <c r="CW557">
        <v>1.54</v>
      </c>
      <c r="CX557">
        <v>1.33</v>
      </c>
      <c r="CY557">
        <v>42.65</v>
      </c>
      <c r="CZ557" t="s">
        <v>3627</v>
      </c>
      <c r="DA557">
        <v>20.72</v>
      </c>
      <c r="DB557">
        <v>4.4400000000000004</v>
      </c>
      <c r="DC557">
        <v>5.82</v>
      </c>
      <c r="DD557">
        <v>0.59</v>
      </c>
      <c r="DE557">
        <v>2744</v>
      </c>
      <c r="DF557">
        <v>2100</v>
      </c>
      <c r="DG557" t="s">
        <v>116</v>
      </c>
      <c r="DH557" t="s">
        <v>116</v>
      </c>
      <c r="DI557" t="s">
        <v>116</v>
      </c>
    </row>
    <row r="558" spans="1:113" x14ac:dyDescent="0.4">
      <c r="A558" t="str">
        <f>"002101"</f>
        <v>002101</v>
      </c>
      <c r="B558" t="s">
        <v>3628</v>
      </c>
      <c r="C558">
        <v>-0.98</v>
      </c>
      <c r="D558">
        <v>7.08</v>
      </c>
      <c r="E558">
        <v>-7.0000000000000007E-2</v>
      </c>
      <c r="F558">
        <v>7.08</v>
      </c>
      <c r="G558">
        <v>7.09</v>
      </c>
      <c r="H558">
        <v>52900</v>
      </c>
      <c r="I558">
        <v>469</v>
      </c>
      <c r="J558">
        <v>-0.13</v>
      </c>
      <c r="K558">
        <v>1.24</v>
      </c>
      <c r="L558">
        <v>7.18</v>
      </c>
      <c r="M558">
        <v>7.22</v>
      </c>
      <c r="N558">
        <v>7.06</v>
      </c>
      <c r="O558">
        <v>7.15</v>
      </c>
      <c r="P558">
        <v>12.39</v>
      </c>
      <c r="Q558">
        <v>37847744</v>
      </c>
      <c r="R558">
        <v>1.44</v>
      </c>
      <c r="S558" t="s">
        <v>293</v>
      </c>
      <c r="T558" t="s">
        <v>551</v>
      </c>
      <c r="U558">
        <v>2.2400000000000002</v>
      </c>
      <c r="V558">
        <v>7.15</v>
      </c>
      <c r="W558">
        <v>28600</v>
      </c>
      <c r="X558">
        <v>24300</v>
      </c>
      <c r="Y558">
        <v>1.18</v>
      </c>
      <c r="Z558">
        <v>1627</v>
      </c>
      <c r="AA558">
        <v>166</v>
      </c>
      <c r="AB558" t="s">
        <v>116</v>
      </c>
      <c r="AC558">
        <v>61700</v>
      </c>
      <c r="AD558">
        <v>0</v>
      </c>
      <c r="AE558" t="s">
        <v>116</v>
      </c>
      <c r="AF558" t="s">
        <v>116</v>
      </c>
      <c r="AG558">
        <v>4.26</v>
      </c>
      <c r="AH558" t="s">
        <v>2615</v>
      </c>
      <c r="AI558" t="s">
        <v>3629</v>
      </c>
      <c r="AJ558">
        <v>-0.3</v>
      </c>
      <c r="AK558">
        <v>1092</v>
      </c>
      <c r="AL558">
        <v>48</v>
      </c>
      <c r="AM558">
        <v>1.1000000000000001E-3</v>
      </c>
      <c r="AN558">
        <v>-2</v>
      </c>
      <c r="AO558">
        <v>-1.1200000000000001</v>
      </c>
      <c r="AP558">
        <v>4.58</v>
      </c>
      <c r="AQ558">
        <v>4.12</v>
      </c>
      <c r="AR558">
        <v>-8.94</v>
      </c>
      <c r="AS558">
        <v>2.5099999999999998</v>
      </c>
      <c r="AT558" t="s">
        <v>3630</v>
      </c>
      <c r="AU558">
        <v>13.46</v>
      </c>
      <c r="AV558">
        <v>11.2</v>
      </c>
      <c r="AW558">
        <v>0.28000000000000003</v>
      </c>
      <c r="BA558">
        <v>0.42</v>
      </c>
      <c r="BB558">
        <v>0.98</v>
      </c>
      <c r="BC558">
        <v>-1.26</v>
      </c>
      <c r="BD558">
        <v>7.0000000000000007E-2</v>
      </c>
      <c r="BE558">
        <v>-1.39</v>
      </c>
      <c r="BF558">
        <v>-1.94</v>
      </c>
      <c r="BG558">
        <v>0.28000000000000003</v>
      </c>
      <c r="BH558">
        <v>-1.04</v>
      </c>
      <c r="BI558">
        <v>20191029</v>
      </c>
      <c r="BJ558">
        <v>20061229</v>
      </c>
      <c r="BK558">
        <v>5.32</v>
      </c>
      <c r="BL558" t="s">
        <v>116</v>
      </c>
      <c r="BM558" t="s">
        <v>116</v>
      </c>
      <c r="BN558">
        <v>83.33</v>
      </c>
      <c r="BO558">
        <v>46.36</v>
      </c>
      <c r="BP558">
        <v>3.14</v>
      </c>
      <c r="BQ558">
        <v>40.590000000000003</v>
      </c>
      <c r="BR558">
        <v>34.53</v>
      </c>
      <c r="BS558">
        <v>25.41</v>
      </c>
      <c r="BT558">
        <v>3.87</v>
      </c>
      <c r="BU558">
        <v>27.6</v>
      </c>
      <c r="BV558">
        <v>8.1199999999999992</v>
      </c>
      <c r="BW558">
        <v>16.47</v>
      </c>
      <c r="BX558">
        <v>28.09</v>
      </c>
      <c r="BY558">
        <v>43</v>
      </c>
      <c r="BZ558">
        <v>31.96</v>
      </c>
      <c r="CA558">
        <v>3.04</v>
      </c>
      <c r="CB558">
        <v>0.05</v>
      </c>
      <c r="CC558">
        <v>3.13</v>
      </c>
      <c r="CD558">
        <v>2.65</v>
      </c>
      <c r="CE558">
        <v>2.2799999999999998</v>
      </c>
      <c r="CF558">
        <v>2.13</v>
      </c>
      <c r="CG558">
        <v>11.93</v>
      </c>
      <c r="CH558">
        <v>5.62</v>
      </c>
      <c r="CI558">
        <v>-3.41</v>
      </c>
      <c r="CJ558">
        <v>19818</v>
      </c>
      <c r="CK558">
        <v>10642</v>
      </c>
      <c r="CL558" t="s">
        <v>1073</v>
      </c>
      <c r="CM558">
        <v>-19.86</v>
      </c>
      <c r="CN558">
        <v>1.59</v>
      </c>
      <c r="CO558">
        <v>0.81</v>
      </c>
      <c r="CP558">
        <v>6.7</v>
      </c>
      <c r="CQ558">
        <v>0.88</v>
      </c>
      <c r="CR558">
        <v>4.45</v>
      </c>
      <c r="CS558" t="s">
        <v>3631</v>
      </c>
      <c r="CT558">
        <v>8.7100000000000009</v>
      </c>
      <c r="CU558">
        <v>0</v>
      </c>
      <c r="CV558">
        <v>5.28</v>
      </c>
      <c r="CW558">
        <v>2.2400000000000002</v>
      </c>
      <c r="CX558">
        <v>1.06</v>
      </c>
      <c r="CY558">
        <v>55.64</v>
      </c>
      <c r="CZ558" t="s">
        <v>3632</v>
      </c>
      <c r="DA558">
        <v>25.68</v>
      </c>
      <c r="DB558">
        <v>7.08</v>
      </c>
      <c r="DC558">
        <v>5.31</v>
      </c>
      <c r="DD558">
        <v>1.9</v>
      </c>
      <c r="DE558">
        <v>9005</v>
      </c>
      <c r="DF558">
        <v>2101</v>
      </c>
      <c r="DG558" t="s">
        <v>116</v>
      </c>
      <c r="DH558" t="s">
        <v>116</v>
      </c>
      <c r="DI558" t="s">
        <v>116</v>
      </c>
    </row>
    <row r="559" spans="1:113" x14ac:dyDescent="0.4">
      <c r="A559" t="str">
        <f>"002102"</f>
        <v>002102</v>
      </c>
      <c r="B559" t="s">
        <v>3633</v>
      </c>
      <c r="C559">
        <v>0</v>
      </c>
      <c r="D559">
        <v>2.19</v>
      </c>
      <c r="E559">
        <v>0</v>
      </c>
      <c r="F559">
        <v>2.1800000000000002</v>
      </c>
      <c r="G559">
        <v>2.19</v>
      </c>
      <c r="H559">
        <v>190574</v>
      </c>
      <c r="I559">
        <v>744</v>
      </c>
      <c r="J559">
        <v>0</v>
      </c>
      <c r="K559">
        <v>0.99</v>
      </c>
      <c r="L559">
        <v>2.19</v>
      </c>
      <c r="M559">
        <v>2.2200000000000002</v>
      </c>
      <c r="N559">
        <v>2.1800000000000002</v>
      </c>
      <c r="O559">
        <v>2.19</v>
      </c>
      <c r="P559">
        <v>6.75</v>
      </c>
      <c r="Q559">
        <v>41888652</v>
      </c>
      <c r="R559">
        <v>0.75</v>
      </c>
      <c r="S559" t="s">
        <v>574</v>
      </c>
      <c r="T559" t="s">
        <v>975</v>
      </c>
      <c r="U559">
        <v>1.83</v>
      </c>
      <c r="V559">
        <v>2.2000000000000002</v>
      </c>
      <c r="W559">
        <v>108269</v>
      </c>
      <c r="X559">
        <v>82305</v>
      </c>
      <c r="Y559">
        <v>1.32</v>
      </c>
      <c r="Z559">
        <v>13926</v>
      </c>
      <c r="AA559">
        <v>3053</v>
      </c>
      <c r="AB559" t="s">
        <v>116</v>
      </c>
      <c r="AC559">
        <v>82300</v>
      </c>
      <c r="AD559">
        <v>0</v>
      </c>
      <c r="AE559" t="s">
        <v>116</v>
      </c>
      <c r="AF559" t="s">
        <v>116</v>
      </c>
      <c r="AG559">
        <v>19.18</v>
      </c>
      <c r="AH559" t="s">
        <v>3634</v>
      </c>
      <c r="AI559" t="s">
        <v>3635</v>
      </c>
      <c r="AJ559">
        <v>0.68</v>
      </c>
      <c r="AK559">
        <v>952</v>
      </c>
      <c r="AL559">
        <v>200</v>
      </c>
      <c r="AM559">
        <v>1E-3</v>
      </c>
      <c r="AN559">
        <v>0</v>
      </c>
      <c r="AO559">
        <v>-2.66</v>
      </c>
      <c r="AP559">
        <v>7.35</v>
      </c>
      <c r="AQ559">
        <v>2.82</v>
      </c>
      <c r="AR559">
        <v>25.14</v>
      </c>
      <c r="AS559">
        <v>1.28</v>
      </c>
      <c r="AT559" t="s">
        <v>3636</v>
      </c>
      <c r="AU559" t="s">
        <v>116</v>
      </c>
      <c r="AV559" t="s">
        <v>116</v>
      </c>
      <c r="AW559">
        <v>0.79</v>
      </c>
      <c r="BA559">
        <v>0</v>
      </c>
      <c r="BB559">
        <v>1.37</v>
      </c>
      <c r="BC559">
        <v>-0.46</v>
      </c>
      <c r="BD559">
        <v>0.37</v>
      </c>
      <c r="BE559">
        <v>0</v>
      </c>
      <c r="BF559">
        <v>-1.35</v>
      </c>
      <c r="BG559">
        <v>0.46</v>
      </c>
      <c r="BH559">
        <v>-0.37</v>
      </c>
      <c r="BI559">
        <v>20191024</v>
      </c>
      <c r="BJ559">
        <v>20061229</v>
      </c>
      <c r="BK559">
        <v>26.34</v>
      </c>
      <c r="BL559" t="s">
        <v>116</v>
      </c>
      <c r="BM559" t="s">
        <v>116</v>
      </c>
      <c r="BN559">
        <v>83.29</v>
      </c>
      <c r="BO559">
        <v>31.04</v>
      </c>
      <c r="BP559">
        <v>1.56</v>
      </c>
      <c r="BQ559">
        <v>60.86</v>
      </c>
      <c r="BR559">
        <v>29.88</v>
      </c>
      <c r="BS559">
        <v>8.16</v>
      </c>
      <c r="BT559">
        <v>2.63</v>
      </c>
      <c r="BU559">
        <v>36.409999999999997</v>
      </c>
      <c r="BV559">
        <v>12.11</v>
      </c>
      <c r="BW559">
        <v>9.09</v>
      </c>
      <c r="BX559">
        <v>16.600000000000001</v>
      </c>
      <c r="BY559">
        <v>111.66</v>
      </c>
      <c r="BZ559">
        <v>104.6</v>
      </c>
      <c r="CA559">
        <v>7.66</v>
      </c>
      <c r="CB559">
        <v>2.2599999999999998</v>
      </c>
      <c r="CC559">
        <v>8.16</v>
      </c>
      <c r="CD559">
        <v>6.44</v>
      </c>
      <c r="CE559">
        <v>6.41</v>
      </c>
      <c r="CF559">
        <v>3.55</v>
      </c>
      <c r="CG559">
        <v>-13.61</v>
      </c>
      <c r="CH559">
        <v>3.22</v>
      </c>
      <c r="CI559">
        <v>0.68</v>
      </c>
      <c r="CJ559">
        <v>63654</v>
      </c>
      <c r="CK559">
        <v>23339</v>
      </c>
      <c r="CL559" t="s">
        <v>3637</v>
      </c>
      <c r="CM559">
        <v>63.13</v>
      </c>
      <c r="CN559">
        <v>3.98</v>
      </c>
      <c r="CO559">
        <v>1.86</v>
      </c>
      <c r="CP559">
        <v>17.940000000000001</v>
      </c>
      <c r="CQ559">
        <v>0.52</v>
      </c>
      <c r="CR559">
        <v>0</v>
      </c>
      <c r="CS559" t="s">
        <v>3638</v>
      </c>
      <c r="CT559">
        <v>1.18</v>
      </c>
      <c r="CU559">
        <v>0</v>
      </c>
      <c r="CV559">
        <v>0.63</v>
      </c>
      <c r="CW559">
        <v>-0.52</v>
      </c>
      <c r="CX559">
        <v>0.12</v>
      </c>
      <c r="CY559">
        <v>37.270000000000003</v>
      </c>
      <c r="CZ559" t="s">
        <v>3639</v>
      </c>
      <c r="DA559">
        <v>6.32</v>
      </c>
      <c r="DB559">
        <v>6.86</v>
      </c>
      <c r="DC559">
        <v>5.74</v>
      </c>
      <c r="DD559">
        <v>0.56999999999999995</v>
      </c>
      <c r="DE559">
        <v>1429</v>
      </c>
      <c r="DF559">
        <v>2102</v>
      </c>
      <c r="DG559" t="s">
        <v>116</v>
      </c>
      <c r="DH559" t="s">
        <v>116</v>
      </c>
      <c r="DI559" t="s">
        <v>116</v>
      </c>
    </row>
    <row r="560" spans="1:113" x14ac:dyDescent="0.4">
      <c r="A560" t="str">
        <f>"002103"</f>
        <v>002103</v>
      </c>
      <c r="B560" t="s">
        <v>3640</v>
      </c>
      <c r="C560">
        <v>9.94</v>
      </c>
      <c r="D560">
        <v>5.2</v>
      </c>
      <c r="E560">
        <v>0.47</v>
      </c>
      <c r="F560">
        <v>5.2</v>
      </c>
      <c r="G560" t="s">
        <v>116</v>
      </c>
      <c r="H560">
        <v>1016566</v>
      </c>
      <c r="I560">
        <v>982</v>
      </c>
      <c r="J560">
        <v>0</v>
      </c>
      <c r="K560">
        <v>26.35</v>
      </c>
      <c r="L560">
        <v>5.2</v>
      </c>
      <c r="M560">
        <v>5.2</v>
      </c>
      <c r="N560">
        <v>5.04</v>
      </c>
      <c r="O560">
        <v>4.7300000000000004</v>
      </c>
      <c r="P560">
        <v>153.41999999999999</v>
      </c>
      <c r="Q560">
        <v>526002144</v>
      </c>
      <c r="R560">
        <v>4.9000000000000004</v>
      </c>
      <c r="S560" t="s">
        <v>1384</v>
      </c>
      <c r="T560" t="s">
        <v>590</v>
      </c>
      <c r="U560">
        <v>3.38</v>
      </c>
      <c r="V560">
        <v>5.17</v>
      </c>
      <c r="W560">
        <v>680728</v>
      </c>
      <c r="X560">
        <v>335838</v>
      </c>
      <c r="Y560">
        <v>2.0299999999999998</v>
      </c>
      <c r="Z560">
        <v>17128</v>
      </c>
      <c r="AA560">
        <v>0</v>
      </c>
      <c r="AB560" t="s">
        <v>116</v>
      </c>
      <c r="AC560">
        <v>13434700</v>
      </c>
      <c r="AD560">
        <v>0.99</v>
      </c>
      <c r="AE560">
        <v>0.02</v>
      </c>
      <c r="AF560">
        <v>8906560</v>
      </c>
      <c r="AG560">
        <v>3.86</v>
      </c>
      <c r="AH560" t="s">
        <v>885</v>
      </c>
      <c r="AI560" t="s">
        <v>3641</v>
      </c>
      <c r="AJ560">
        <v>10.62</v>
      </c>
      <c r="AK560">
        <v>3817</v>
      </c>
      <c r="AL560">
        <v>266</v>
      </c>
      <c r="AM560">
        <v>6.8999999999999999E-3</v>
      </c>
      <c r="AN560">
        <v>4</v>
      </c>
      <c r="AO560">
        <v>17.920000000000002</v>
      </c>
      <c r="AP560">
        <v>22.93</v>
      </c>
      <c r="AQ560">
        <v>18.45</v>
      </c>
      <c r="AR560">
        <v>26.21</v>
      </c>
      <c r="AS560">
        <v>38.97</v>
      </c>
      <c r="AT560" t="s">
        <v>3642</v>
      </c>
      <c r="AU560" t="s">
        <v>116</v>
      </c>
      <c r="AV560" t="s">
        <v>116</v>
      </c>
      <c r="AW560">
        <v>1.84</v>
      </c>
      <c r="BA560">
        <v>9.94</v>
      </c>
      <c r="BB560">
        <v>9.94</v>
      </c>
      <c r="BC560">
        <v>6.55</v>
      </c>
      <c r="BD560">
        <v>9.39</v>
      </c>
      <c r="BE560">
        <v>0</v>
      </c>
      <c r="BF560">
        <v>0</v>
      </c>
      <c r="BG560">
        <v>3.17</v>
      </c>
      <c r="BH560">
        <v>0.54</v>
      </c>
      <c r="BI560">
        <v>20191031</v>
      </c>
      <c r="BJ560">
        <v>20070110</v>
      </c>
      <c r="BK560">
        <v>5.46</v>
      </c>
      <c r="BL560" t="s">
        <v>116</v>
      </c>
      <c r="BM560" t="s">
        <v>116</v>
      </c>
      <c r="BN560">
        <v>17.71</v>
      </c>
      <c r="BO560">
        <v>10.38</v>
      </c>
      <c r="BP560">
        <v>0</v>
      </c>
      <c r="BQ560">
        <v>41.36</v>
      </c>
      <c r="BR560">
        <v>11.65</v>
      </c>
      <c r="BS560">
        <v>2.78</v>
      </c>
      <c r="BT560">
        <v>0.92</v>
      </c>
      <c r="BU560">
        <v>7.32</v>
      </c>
      <c r="BV560">
        <v>2.12</v>
      </c>
      <c r="BW560">
        <v>4.24</v>
      </c>
      <c r="BX560">
        <v>7.24</v>
      </c>
      <c r="BY560">
        <v>14.49</v>
      </c>
      <c r="BZ560">
        <v>12.15</v>
      </c>
      <c r="CA560">
        <v>0.17</v>
      </c>
      <c r="CB560">
        <v>0.04</v>
      </c>
      <c r="CC560">
        <v>0.2</v>
      </c>
      <c r="CD560">
        <v>0.13</v>
      </c>
      <c r="CE560">
        <v>0.14000000000000001</v>
      </c>
      <c r="CF560">
        <v>0.1</v>
      </c>
      <c r="CG560">
        <v>-2.4500000000000002</v>
      </c>
      <c r="CH560">
        <v>0.06</v>
      </c>
      <c r="CI560">
        <v>-2.4</v>
      </c>
      <c r="CJ560">
        <v>31461</v>
      </c>
      <c r="CK560">
        <v>8292</v>
      </c>
      <c r="CL560" t="s">
        <v>3643</v>
      </c>
      <c r="CM560">
        <v>-74.05</v>
      </c>
      <c r="CN560">
        <v>-8.86</v>
      </c>
      <c r="CO560">
        <v>2.73</v>
      </c>
      <c r="CP560">
        <v>503.72</v>
      </c>
      <c r="CQ560">
        <v>1.96</v>
      </c>
      <c r="CR560">
        <v>0</v>
      </c>
      <c r="CS560" t="s">
        <v>3644</v>
      </c>
      <c r="CT560">
        <v>1.9</v>
      </c>
      <c r="CU560">
        <v>0</v>
      </c>
      <c r="CV560">
        <v>1.33</v>
      </c>
      <c r="CW560">
        <v>-0.45</v>
      </c>
      <c r="CX560">
        <v>0.01</v>
      </c>
      <c r="CY560">
        <v>58.61</v>
      </c>
      <c r="CZ560" t="s">
        <v>3645</v>
      </c>
      <c r="DA560">
        <v>16.12</v>
      </c>
      <c r="DB560">
        <v>1.1599999999999999</v>
      </c>
      <c r="DC560">
        <v>0.96</v>
      </c>
      <c r="DD560">
        <v>0.12</v>
      </c>
      <c r="DE560">
        <v>2505</v>
      </c>
      <c r="DF560">
        <v>2103</v>
      </c>
      <c r="DG560" t="s">
        <v>116</v>
      </c>
      <c r="DH560" t="s">
        <v>116</v>
      </c>
      <c r="DI560" t="s">
        <v>116</v>
      </c>
    </row>
    <row r="561" spans="1:113" x14ac:dyDescent="0.4">
      <c r="A561" t="str">
        <f>"002104"</f>
        <v>002104</v>
      </c>
      <c r="B561" t="s">
        <v>3646</v>
      </c>
      <c r="C561">
        <v>-3.08</v>
      </c>
      <c r="D561">
        <v>7.54</v>
      </c>
      <c r="E561">
        <v>-0.24</v>
      </c>
      <c r="F561">
        <v>7.54</v>
      </c>
      <c r="G561">
        <v>7.55</v>
      </c>
      <c r="H561">
        <v>226086</v>
      </c>
      <c r="I561">
        <v>4077</v>
      </c>
      <c r="J561">
        <v>-0.39</v>
      </c>
      <c r="K561">
        <v>3.85</v>
      </c>
      <c r="L561">
        <v>7.8</v>
      </c>
      <c r="M561">
        <v>7.86</v>
      </c>
      <c r="N561">
        <v>7.53</v>
      </c>
      <c r="O561">
        <v>7.78</v>
      </c>
      <c r="P561">
        <v>60.52</v>
      </c>
      <c r="Q561">
        <v>173781744</v>
      </c>
      <c r="R561">
        <v>1.05</v>
      </c>
      <c r="S561" t="s">
        <v>233</v>
      </c>
      <c r="T561" t="s">
        <v>323</v>
      </c>
      <c r="U561">
        <v>4.24</v>
      </c>
      <c r="V561">
        <v>7.69</v>
      </c>
      <c r="W561">
        <v>129521</v>
      </c>
      <c r="X561">
        <v>96565</v>
      </c>
      <c r="Y561">
        <v>1.34</v>
      </c>
      <c r="Z561">
        <v>5027</v>
      </c>
      <c r="AA561">
        <v>360</v>
      </c>
      <c r="AB561" t="s">
        <v>116</v>
      </c>
      <c r="AC561">
        <v>649000</v>
      </c>
      <c r="AD561">
        <v>0.02</v>
      </c>
      <c r="AE561" t="s">
        <v>116</v>
      </c>
      <c r="AF561" t="s">
        <v>116</v>
      </c>
      <c r="AG561">
        <v>5.88</v>
      </c>
      <c r="AH561" t="s">
        <v>3647</v>
      </c>
      <c r="AI561" t="s">
        <v>3648</v>
      </c>
      <c r="AJ561">
        <v>-2.41</v>
      </c>
      <c r="AK561">
        <v>2982</v>
      </c>
      <c r="AL561">
        <v>76</v>
      </c>
      <c r="AM561">
        <v>1.2999999999999999E-3</v>
      </c>
      <c r="AN561">
        <v>-1</v>
      </c>
      <c r="AO561">
        <v>2.17</v>
      </c>
      <c r="AP561">
        <v>5.9</v>
      </c>
      <c r="AQ561">
        <v>6.95</v>
      </c>
      <c r="AR561">
        <v>28.67</v>
      </c>
      <c r="AS561">
        <v>4.0999999999999996</v>
      </c>
      <c r="AT561" t="s">
        <v>3649</v>
      </c>
      <c r="AU561">
        <v>53.08</v>
      </c>
      <c r="AV561">
        <v>36.119999999999997</v>
      </c>
      <c r="AW561">
        <v>1.85</v>
      </c>
      <c r="BA561">
        <v>0.26</v>
      </c>
      <c r="BB561">
        <v>1.03</v>
      </c>
      <c r="BC561">
        <v>-3.21</v>
      </c>
      <c r="BD561">
        <v>-1.2</v>
      </c>
      <c r="BE561">
        <v>-3.33</v>
      </c>
      <c r="BF561">
        <v>-4.07</v>
      </c>
      <c r="BG561">
        <v>0.13</v>
      </c>
      <c r="BH561">
        <v>-1.88</v>
      </c>
      <c r="BI561">
        <v>20191028</v>
      </c>
      <c r="BJ561">
        <v>20070110</v>
      </c>
      <c r="BK561">
        <v>6.97</v>
      </c>
      <c r="BL561" t="s">
        <v>116</v>
      </c>
      <c r="BM561" t="s">
        <v>116</v>
      </c>
      <c r="BN561">
        <v>22.97</v>
      </c>
      <c r="BO561">
        <v>19.07</v>
      </c>
      <c r="BP561">
        <v>0.86</v>
      </c>
      <c r="BQ561">
        <v>13.24</v>
      </c>
      <c r="BR561">
        <v>16.8</v>
      </c>
      <c r="BS561">
        <v>1.81</v>
      </c>
      <c r="BT561">
        <v>1.29</v>
      </c>
      <c r="BU561">
        <v>2.89</v>
      </c>
      <c r="BV561">
        <v>2.29</v>
      </c>
      <c r="BW561">
        <v>2.14</v>
      </c>
      <c r="BX561">
        <v>0.01</v>
      </c>
      <c r="BY561">
        <v>10.01</v>
      </c>
      <c r="BZ561">
        <v>7.42</v>
      </c>
      <c r="CA561">
        <v>0.64</v>
      </c>
      <c r="CB561">
        <v>0.09</v>
      </c>
      <c r="CC561">
        <v>0.64</v>
      </c>
      <c r="CD561">
        <v>0.62</v>
      </c>
      <c r="CE561">
        <v>0.65</v>
      </c>
      <c r="CF561">
        <v>0.54</v>
      </c>
      <c r="CG561">
        <v>10.1</v>
      </c>
      <c r="CH561">
        <v>-3.58</v>
      </c>
      <c r="CI561">
        <v>-4.04</v>
      </c>
      <c r="CJ561">
        <v>72004</v>
      </c>
      <c r="CK561">
        <v>7666</v>
      </c>
      <c r="CL561" t="s">
        <v>3650</v>
      </c>
      <c r="CM561">
        <v>-41.66</v>
      </c>
      <c r="CN561">
        <v>-17.850000000000001</v>
      </c>
      <c r="CO561">
        <v>2.76</v>
      </c>
      <c r="CP561">
        <v>-14.68</v>
      </c>
      <c r="CQ561">
        <v>5.25</v>
      </c>
      <c r="CR561">
        <v>0</v>
      </c>
      <c r="CS561" t="s">
        <v>2836</v>
      </c>
      <c r="CT561">
        <v>2.74</v>
      </c>
      <c r="CU561">
        <v>0</v>
      </c>
      <c r="CV561">
        <v>0</v>
      </c>
      <c r="CW561">
        <v>1.45</v>
      </c>
      <c r="CX561">
        <v>-0.51</v>
      </c>
      <c r="CY561">
        <v>83.02</v>
      </c>
      <c r="CZ561" t="s">
        <v>730</v>
      </c>
      <c r="DA561">
        <v>25.86</v>
      </c>
      <c r="DB561">
        <v>6.43</v>
      </c>
      <c r="DC561">
        <v>6.51</v>
      </c>
      <c r="DD561">
        <v>0.95</v>
      </c>
      <c r="DE561">
        <v>1253</v>
      </c>
      <c r="DF561">
        <v>2104</v>
      </c>
      <c r="DG561" t="s">
        <v>116</v>
      </c>
      <c r="DH561" t="s">
        <v>116</v>
      </c>
      <c r="DI561" t="s">
        <v>116</v>
      </c>
    </row>
    <row r="562" spans="1:113" x14ac:dyDescent="0.4">
      <c r="A562" t="str">
        <f>"002105"</f>
        <v>002105</v>
      </c>
      <c r="B562" t="s">
        <v>3651</v>
      </c>
      <c r="C562">
        <v>1.32</v>
      </c>
      <c r="D562">
        <v>5.37</v>
      </c>
      <c r="E562">
        <v>7.0000000000000007E-2</v>
      </c>
      <c r="F562">
        <v>5.36</v>
      </c>
      <c r="G562">
        <v>5.37</v>
      </c>
      <c r="H562">
        <v>107834</v>
      </c>
      <c r="I562">
        <v>1103</v>
      </c>
      <c r="J562">
        <v>0</v>
      </c>
      <c r="K562">
        <v>2.93</v>
      </c>
      <c r="L562">
        <v>5.28</v>
      </c>
      <c r="M562">
        <v>5.44</v>
      </c>
      <c r="N562">
        <v>5.28</v>
      </c>
      <c r="O562">
        <v>5.3</v>
      </c>
      <c r="P562">
        <v>29.8</v>
      </c>
      <c r="Q562">
        <v>58007596</v>
      </c>
      <c r="R562">
        <v>1.83</v>
      </c>
      <c r="S562" t="s">
        <v>217</v>
      </c>
      <c r="T562" t="s">
        <v>115</v>
      </c>
      <c r="U562">
        <v>3.02</v>
      </c>
      <c r="V562">
        <v>5.38</v>
      </c>
      <c r="W562">
        <v>45281</v>
      </c>
      <c r="X562">
        <v>62553</v>
      </c>
      <c r="Y562">
        <v>0.72</v>
      </c>
      <c r="Z562">
        <v>78</v>
      </c>
      <c r="AA562">
        <v>1101</v>
      </c>
      <c r="AB562" t="s">
        <v>116</v>
      </c>
      <c r="AC562">
        <v>95000</v>
      </c>
      <c r="AD562">
        <v>0.01</v>
      </c>
      <c r="AE562" t="s">
        <v>116</v>
      </c>
      <c r="AF562" t="s">
        <v>116</v>
      </c>
      <c r="AG562">
        <v>3.69</v>
      </c>
      <c r="AH562" t="s">
        <v>3652</v>
      </c>
      <c r="AI562" t="s">
        <v>3652</v>
      </c>
      <c r="AJ562">
        <v>2</v>
      </c>
      <c r="AK562">
        <v>2312</v>
      </c>
      <c r="AL562">
        <v>47</v>
      </c>
      <c r="AM562">
        <v>1.2999999999999999E-3</v>
      </c>
      <c r="AN562">
        <v>2</v>
      </c>
      <c r="AO562">
        <v>2.09</v>
      </c>
      <c r="AP562">
        <v>12.58</v>
      </c>
      <c r="AQ562">
        <v>10.49</v>
      </c>
      <c r="AR562">
        <v>34.92</v>
      </c>
      <c r="AS562">
        <v>5.69</v>
      </c>
      <c r="AT562" t="s">
        <v>3653</v>
      </c>
      <c r="AU562">
        <v>35.630000000000003</v>
      </c>
      <c r="AV562">
        <v>181.13</v>
      </c>
      <c r="AW562">
        <v>0.79</v>
      </c>
      <c r="BA562">
        <v>-0.38</v>
      </c>
      <c r="BB562">
        <v>2.64</v>
      </c>
      <c r="BC562">
        <v>-0.38</v>
      </c>
      <c r="BD562">
        <v>1.5</v>
      </c>
      <c r="BE562">
        <v>1.7</v>
      </c>
      <c r="BF562">
        <v>-1.29</v>
      </c>
      <c r="BG562">
        <v>1.7</v>
      </c>
      <c r="BH562">
        <v>-0.18</v>
      </c>
      <c r="BI562">
        <v>20191225</v>
      </c>
      <c r="BJ562">
        <v>20070112</v>
      </c>
      <c r="BK562">
        <v>3.69</v>
      </c>
      <c r="BL562" t="s">
        <v>116</v>
      </c>
      <c r="BM562" t="s">
        <v>116</v>
      </c>
      <c r="BN562">
        <v>17.28</v>
      </c>
      <c r="BO562">
        <v>5.62</v>
      </c>
      <c r="BP562">
        <v>0.53</v>
      </c>
      <c r="BQ562">
        <v>64.41</v>
      </c>
      <c r="BR562">
        <v>10.75</v>
      </c>
      <c r="BS562">
        <v>5.07</v>
      </c>
      <c r="BT562">
        <v>0.83</v>
      </c>
      <c r="BU562">
        <v>9.75</v>
      </c>
      <c r="BV562">
        <v>2.2999999999999998</v>
      </c>
      <c r="BW562">
        <v>5.47</v>
      </c>
      <c r="BX562">
        <v>0.52</v>
      </c>
      <c r="BY562">
        <v>14.15</v>
      </c>
      <c r="BZ562">
        <v>11.81</v>
      </c>
      <c r="CA562">
        <v>0.52</v>
      </c>
      <c r="CB562">
        <v>-0.04</v>
      </c>
      <c r="CC562">
        <v>0.57999999999999996</v>
      </c>
      <c r="CD562">
        <v>0.41</v>
      </c>
      <c r="CE562">
        <v>0.5</v>
      </c>
      <c r="CF562">
        <v>0.43</v>
      </c>
      <c r="CG562">
        <v>0.75</v>
      </c>
      <c r="CH562">
        <v>1.63</v>
      </c>
      <c r="CI562">
        <v>0.2</v>
      </c>
      <c r="CJ562">
        <v>27262</v>
      </c>
      <c r="CK562">
        <v>6949</v>
      </c>
      <c r="CL562" t="s">
        <v>3654</v>
      </c>
      <c r="CM562">
        <v>858.79</v>
      </c>
      <c r="CN562">
        <v>34.119999999999997</v>
      </c>
      <c r="CO562">
        <v>3.52</v>
      </c>
      <c r="CP562">
        <v>12.16</v>
      </c>
      <c r="CQ562">
        <v>1.4</v>
      </c>
      <c r="CR562">
        <v>0</v>
      </c>
      <c r="CS562" t="s">
        <v>2750</v>
      </c>
      <c r="CT562">
        <v>1.53</v>
      </c>
      <c r="CU562">
        <v>0</v>
      </c>
      <c r="CV562">
        <v>0.14000000000000001</v>
      </c>
      <c r="CW562">
        <v>0.2</v>
      </c>
      <c r="CX562">
        <v>0.44</v>
      </c>
      <c r="CY562">
        <v>32.53</v>
      </c>
      <c r="CZ562" t="s">
        <v>3655</v>
      </c>
      <c r="DA562">
        <v>16.52</v>
      </c>
      <c r="DB562">
        <v>3.68</v>
      </c>
      <c r="DC562">
        <v>3.52</v>
      </c>
      <c r="DD562">
        <v>0.23</v>
      </c>
      <c r="DE562">
        <v>4332</v>
      </c>
      <c r="DF562">
        <v>2105</v>
      </c>
      <c r="DG562" t="s">
        <v>116</v>
      </c>
      <c r="DH562" t="s">
        <v>116</v>
      </c>
      <c r="DI562" t="s">
        <v>116</v>
      </c>
    </row>
    <row r="563" spans="1:113" x14ac:dyDescent="0.4">
      <c r="A563" t="str">
        <f>"002106"</f>
        <v>002106</v>
      </c>
      <c r="B563" t="s">
        <v>3656</v>
      </c>
      <c r="C563">
        <v>-3.23</v>
      </c>
      <c r="D563">
        <v>9.59</v>
      </c>
      <c r="E563">
        <v>-0.32</v>
      </c>
      <c r="F563">
        <v>9.58</v>
      </c>
      <c r="G563">
        <v>9.59</v>
      </c>
      <c r="H563">
        <v>185430</v>
      </c>
      <c r="I563">
        <v>2089</v>
      </c>
      <c r="J563">
        <v>0</v>
      </c>
      <c r="K563">
        <v>2.63</v>
      </c>
      <c r="L563">
        <v>9.92</v>
      </c>
      <c r="M563">
        <v>9.94</v>
      </c>
      <c r="N563">
        <v>9.56</v>
      </c>
      <c r="O563">
        <v>9.91</v>
      </c>
      <c r="P563">
        <v>22.22</v>
      </c>
      <c r="Q563">
        <v>180858128</v>
      </c>
      <c r="R563">
        <v>0.92</v>
      </c>
      <c r="S563" t="s">
        <v>233</v>
      </c>
      <c r="T563" t="s">
        <v>115</v>
      </c>
      <c r="U563">
        <v>3.83</v>
      </c>
      <c r="V563">
        <v>9.75</v>
      </c>
      <c r="W563">
        <v>113468</v>
      </c>
      <c r="X563">
        <v>71962</v>
      </c>
      <c r="Y563">
        <v>1.58</v>
      </c>
      <c r="Z563">
        <v>1424</v>
      </c>
      <c r="AA563">
        <v>1666</v>
      </c>
      <c r="AB563" t="s">
        <v>116</v>
      </c>
      <c r="AC563">
        <v>984100</v>
      </c>
      <c r="AD563">
        <v>0.02</v>
      </c>
      <c r="AE563" t="s">
        <v>116</v>
      </c>
      <c r="AF563" t="s">
        <v>116</v>
      </c>
      <c r="AG563">
        <v>7.04</v>
      </c>
      <c r="AH563" t="s">
        <v>3657</v>
      </c>
      <c r="AI563" t="s">
        <v>3658</v>
      </c>
      <c r="AJ563">
        <v>-2.5499999999999998</v>
      </c>
      <c r="AK563">
        <v>3207</v>
      </c>
      <c r="AL563">
        <v>58</v>
      </c>
      <c r="AM563">
        <v>8.0000000000000004E-4</v>
      </c>
      <c r="AN563">
        <v>-1</v>
      </c>
      <c r="AO563">
        <v>-1.23</v>
      </c>
      <c r="AP563">
        <v>7.75</v>
      </c>
      <c r="AQ563">
        <v>9.73</v>
      </c>
      <c r="AR563">
        <v>60.91</v>
      </c>
      <c r="AS563">
        <v>3.67</v>
      </c>
      <c r="AT563" t="s">
        <v>3659</v>
      </c>
      <c r="AU563">
        <v>24.09</v>
      </c>
      <c r="AV563">
        <v>30.09</v>
      </c>
      <c r="AW563">
        <v>1.48</v>
      </c>
      <c r="BA563">
        <v>0.1</v>
      </c>
      <c r="BB563">
        <v>0.3</v>
      </c>
      <c r="BC563">
        <v>-3.53</v>
      </c>
      <c r="BD563">
        <v>-1.58</v>
      </c>
      <c r="BE563">
        <v>-3.33</v>
      </c>
      <c r="BF563">
        <v>-3.52</v>
      </c>
      <c r="BG563">
        <v>0.31</v>
      </c>
      <c r="BH563">
        <v>-1.65</v>
      </c>
      <c r="BI563">
        <v>20191031</v>
      </c>
      <c r="BJ563">
        <v>20070112</v>
      </c>
      <c r="BK563">
        <v>7.06</v>
      </c>
      <c r="BL563" t="s">
        <v>116</v>
      </c>
      <c r="BM563" t="s">
        <v>116</v>
      </c>
      <c r="BN563">
        <v>52.7</v>
      </c>
      <c r="BO563">
        <v>40.020000000000003</v>
      </c>
      <c r="BP563">
        <v>0.02</v>
      </c>
      <c r="BQ563">
        <v>24.02</v>
      </c>
      <c r="BR563">
        <v>37.409999999999997</v>
      </c>
      <c r="BS563">
        <v>11.11</v>
      </c>
      <c r="BT563">
        <v>0.96</v>
      </c>
      <c r="BU563">
        <v>10.88</v>
      </c>
      <c r="BV563">
        <v>5.52</v>
      </c>
      <c r="BW563">
        <v>12.46</v>
      </c>
      <c r="BX563">
        <v>20.38</v>
      </c>
      <c r="BY563">
        <v>34.32</v>
      </c>
      <c r="BZ563">
        <v>29.42</v>
      </c>
      <c r="CA563">
        <v>2.6</v>
      </c>
      <c r="CB563">
        <v>0.03</v>
      </c>
      <c r="CC563">
        <v>2.6</v>
      </c>
      <c r="CD563">
        <v>2.29</v>
      </c>
      <c r="CE563">
        <v>2.2799999999999998</v>
      </c>
      <c r="CF563">
        <v>2.02</v>
      </c>
      <c r="CG563">
        <v>9.61</v>
      </c>
      <c r="CH563">
        <v>5.88</v>
      </c>
      <c r="CI563">
        <v>4.1100000000000003</v>
      </c>
      <c r="CJ563">
        <v>56111</v>
      </c>
      <c r="CK563">
        <v>8996</v>
      </c>
      <c r="CL563" t="s">
        <v>3660</v>
      </c>
      <c r="CM563">
        <v>32.450000000000003</v>
      </c>
      <c r="CN563">
        <v>8.76</v>
      </c>
      <c r="CO563">
        <v>1.69</v>
      </c>
      <c r="CP563">
        <v>11.52</v>
      </c>
      <c r="CQ563">
        <v>1.97</v>
      </c>
      <c r="CR563">
        <v>1.04</v>
      </c>
      <c r="CS563" t="s">
        <v>2343</v>
      </c>
      <c r="CT563">
        <v>5.67</v>
      </c>
      <c r="CU563">
        <v>0</v>
      </c>
      <c r="CV563">
        <v>2.89</v>
      </c>
      <c r="CW563">
        <v>1.36</v>
      </c>
      <c r="CX563">
        <v>0.83</v>
      </c>
      <c r="CY563">
        <v>75.94</v>
      </c>
      <c r="CZ563" t="s">
        <v>3661</v>
      </c>
      <c r="DA563">
        <v>14.28</v>
      </c>
      <c r="DB563">
        <v>7.58</v>
      </c>
      <c r="DC563">
        <v>6.66</v>
      </c>
      <c r="DD563">
        <v>1.28</v>
      </c>
      <c r="DE563">
        <v>4008</v>
      </c>
      <c r="DF563">
        <v>2106</v>
      </c>
      <c r="DG563" t="s">
        <v>116</v>
      </c>
      <c r="DH563" t="s">
        <v>116</v>
      </c>
      <c r="DI563" t="s">
        <v>116</v>
      </c>
    </row>
    <row r="564" spans="1:113" x14ac:dyDescent="0.4">
      <c r="A564" t="str">
        <f>"002107"</f>
        <v>002107</v>
      </c>
      <c r="B564" t="s">
        <v>3662</v>
      </c>
      <c r="C564">
        <v>0.62</v>
      </c>
      <c r="D564">
        <v>8.14</v>
      </c>
      <c r="E564">
        <v>0.05</v>
      </c>
      <c r="F564">
        <v>8.1199999999999992</v>
      </c>
      <c r="G564">
        <v>8.14</v>
      </c>
      <c r="H564">
        <v>26768</v>
      </c>
      <c r="I564">
        <v>946</v>
      </c>
      <c r="J564">
        <v>0.49</v>
      </c>
      <c r="K564">
        <v>0.77</v>
      </c>
      <c r="L564">
        <v>8.09</v>
      </c>
      <c r="M564">
        <v>8.2899999999999991</v>
      </c>
      <c r="N564">
        <v>8.0399999999999991</v>
      </c>
      <c r="O564">
        <v>8.09</v>
      </c>
      <c r="P564">
        <v>42.43</v>
      </c>
      <c r="Q564">
        <v>21857228</v>
      </c>
      <c r="R564">
        <v>0.83</v>
      </c>
      <c r="S564" t="s">
        <v>781</v>
      </c>
      <c r="T564" t="s">
        <v>645</v>
      </c>
      <c r="U564">
        <v>3.09</v>
      </c>
      <c r="V564">
        <v>8.17</v>
      </c>
      <c r="W564">
        <v>15414</v>
      </c>
      <c r="X564">
        <v>11354</v>
      </c>
      <c r="Y564">
        <v>1.36</v>
      </c>
      <c r="Z564">
        <v>2</v>
      </c>
      <c r="AA564">
        <v>359</v>
      </c>
      <c r="AB564" t="s">
        <v>116</v>
      </c>
      <c r="AC564">
        <v>23500</v>
      </c>
      <c r="AD564">
        <v>0</v>
      </c>
      <c r="AE564" t="s">
        <v>116</v>
      </c>
      <c r="AF564" t="s">
        <v>116</v>
      </c>
      <c r="AG564">
        <v>3.49</v>
      </c>
      <c r="AH564" t="s">
        <v>3663</v>
      </c>
      <c r="AI564" t="s">
        <v>3391</v>
      </c>
      <c r="AJ564">
        <v>1.3</v>
      </c>
      <c r="AK564">
        <v>1020</v>
      </c>
      <c r="AL564">
        <v>26</v>
      </c>
      <c r="AM564">
        <v>8.0000000000000004E-4</v>
      </c>
      <c r="AN564">
        <v>1</v>
      </c>
      <c r="AO564">
        <v>2.52</v>
      </c>
      <c r="AP564">
        <v>9.56</v>
      </c>
      <c r="AQ564">
        <v>5.71</v>
      </c>
      <c r="AR564">
        <v>24.09</v>
      </c>
      <c r="AS564">
        <v>1.59</v>
      </c>
      <c r="AT564" t="s">
        <v>756</v>
      </c>
      <c r="AU564">
        <v>57.08</v>
      </c>
      <c r="AV564">
        <v>64.33</v>
      </c>
      <c r="AW564">
        <v>0.86</v>
      </c>
      <c r="BA564">
        <v>0</v>
      </c>
      <c r="BB564">
        <v>2.4700000000000002</v>
      </c>
      <c r="BC564">
        <v>-0.62</v>
      </c>
      <c r="BD564">
        <v>0.93</v>
      </c>
      <c r="BE564">
        <v>0.62</v>
      </c>
      <c r="BF564">
        <v>-1.81</v>
      </c>
      <c r="BG564">
        <v>1.24</v>
      </c>
      <c r="BH564">
        <v>-0.31</v>
      </c>
      <c r="BI564">
        <v>20191029</v>
      </c>
      <c r="BJ564">
        <v>20070124</v>
      </c>
      <c r="BK564">
        <v>3.61</v>
      </c>
      <c r="BL564" t="s">
        <v>116</v>
      </c>
      <c r="BM564" t="s">
        <v>116</v>
      </c>
      <c r="BN564">
        <v>9.98</v>
      </c>
      <c r="BO564">
        <v>6.28</v>
      </c>
      <c r="BP564">
        <v>0.96</v>
      </c>
      <c r="BQ564">
        <v>27.47</v>
      </c>
      <c r="BR564">
        <v>6.29</v>
      </c>
      <c r="BS564">
        <v>2.2799999999999998</v>
      </c>
      <c r="BT564">
        <v>0.2</v>
      </c>
      <c r="BU564">
        <v>2.54</v>
      </c>
      <c r="BV564">
        <v>0.93</v>
      </c>
      <c r="BW564">
        <v>1.1100000000000001</v>
      </c>
      <c r="BX564">
        <v>0.02</v>
      </c>
      <c r="BY564">
        <v>6.42</v>
      </c>
      <c r="BZ564">
        <v>1.5</v>
      </c>
      <c r="CA564">
        <v>0.56000000000000005</v>
      </c>
      <c r="CB564">
        <v>0</v>
      </c>
      <c r="CC564">
        <v>0.55000000000000004</v>
      </c>
      <c r="CD564">
        <v>0.46</v>
      </c>
      <c r="CE564">
        <v>0.52</v>
      </c>
      <c r="CF564">
        <v>0.49</v>
      </c>
      <c r="CG564">
        <v>2.5</v>
      </c>
      <c r="CH564">
        <v>0.87</v>
      </c>
      <c r="CI564">
        <v>0.51</v>
      </c>
      <c r="CJ564">
        <v>35276</v>
      </c>
      <c r="CK564">
        <v>4759</v>
      </c>
      <c r="CL564" t="s">
        <v>1176</v>
      </c>
      <c r="CM564">
        <v>12.57</v>
      </c>
      <c r="CN564">
        <v>14.71</v>
      </c>
      <c r="CO564">
        <v>4.68</v>
      </c>
      <c r="CP564">
        <v>33.67</v>
      </c>
      <c r="CQ564">
        <v>4.57</v>
      </c>
      <c r="CR564">
        <v>0.61</v>
      </c>
      <c r="CS564" t="s">
        <v>3664</v>
      </c>
      <c r="CT564">
        <v>1.74</v>
      </c>
      <c r="CU564">
        <v>0</v>
      </c>
      <c r="CV564">
        <v>0.01</v>
      </c>
      <c r="CW564">
        <v>0.69</v>
      </c>
      <c r="CX564">
        <v>0.24</v>
      </c>
      <c r="CY564">
        <v>62.9</v>
      </c>
      <c r="CZ564" t="s">
        <v>3665</v>
      </c>
      <c r="DA564">
        <v>76.61</v>
      </c>
      <c r="DB564">
        <v>8.66</v>
      </c>
      <c r="DC564">
        <v>8.09</v>
      </c>
      <c r="DD564">
        <v>0.4</v>
      </c>
      <c r="DE564">
        <v>1448</v>
      </c>
      <c r="DF564">
        <v>2107</v>
      </c>
      <c r="DG564" t="s">
        <v>116</v>
      </c>
      <c r="DH564" t="s">
        <v>116</v>
      </c>
      <c r="DI564" t="s">
        <v>116</v>
      </c>
    </row>
    <row r="565" spans="1:113" x14ac:dyDescent="0.4">
      <c r="A565" t="str">
        <f>"002108"</f>
        <v>002108</v>
      </c>
      <c r="B565" t="s">
        <v>3666</v>
      </c>
      <c r="C565">
        <v>-1.82</v>
      </c>
      <c r="D565">
        <v>3.78</v>
      </c>
      <c r="E565">
        <v>-7.0000000000000007E-2</v>
      </c>
      <c r="F565">
        <v>3.77</v>
      </c>
      <c r="G565">
        <v>3.78</v>
      </c>
      <c r="H565">
        <v>463570</v>
      </c>
      <c r="I565">
        <v>3822</v>
      </c>
      <c r="J565">
        <v>0.53</v>
      </c>
      <c r="K565">
        <v>3.27</v>
      </c>
      <c r="L565">
        <v>3.86</v>
      </c>
      <c r="M565">
        <v>3.93</v>
      </c>
      <c r="N565">
        <v>3.75</v>
      </c>
      <c r="O565">
        <v>3.85</v>
      </c>
      <c r="P565">
        <v>23.64</v>
      </c>
      <c r="Q565">
        <v>178800240</v>
      </c>
      <c r="R565">
        <v>1.4</v>
      </c>
      <c r="S565" t="s">
        <v>2444</v>
      </c>
      <c r="T565" t="s">
        <v>608</v>
      </c>
      <c r="U565">
        <v>4.68</v>
      </c>
      <c r="V565">
        <v>3.86</v>
      </c>
      <c r="W565">
        <v>252615</v>
      </c>
      <c r="X565">
        <v>210955</v>
      </c>
      <c r="Y565">
        <v>1.2</v>
      </c>
      <c r="Z565">
        <v>1266</v>
      </c>
      <c r="AA565">
        <v>2189</v>
      </c>
      <c r="AB565" t="s">
        <v>116</v>
      </c>
      <c r="AC565">
        <v>1278100</v>
      </c>
      <c r="AD565">
        <v>0.04</v>
      </c>
      <c r="AE565" t="s">
        <v>116</v>
      </c>
      <c r="AF565" t="s">
        <v>116</v>
      </c>
      <c r="AG565">
        <v>14.18</v>
      </c>
      <c r="AH565" t="s">
        <v>3667</v>
      </c>
      <c r="AI565" t="s">
        <v>3667</v>
      </c>
      <c r="AJ565">
        <v>-1.1399999999999999</v>
      </c>
      <c r="AK565">
        <v>3054</v>
      </c>
      <c r="AL565">
        <v>152</v>
      </c>
      <c r="AM565">
        <v>1.1000000000000001E-3</v>
      </c>
      <c r="AN565">
        <v>-1</v>
      </c>
      <c r="AO565">
        <v>1.33</v>
      </c>
      <c r="AP565">
        <v>6.48</v>
      </c>
      <c r="AQ565">
        <v>10.199999999999999</v>
      </c>
      <c r="AR565">
        <v>-8.0299999999999994</v>
      </c>
      <c r="AS565">
        <v>5.0599999999999996</v>
      </c>
      <c r="AT565" t="s">
        <v>3668</v>
      </c>
      <c r="AU565">
        <v>33.96</v>
      </c>
      <c r="AV565">
        <v>17.989999999999998</v>
      </c>
      <c r="AW565">
        <v>0.99</v>
      </c>
      <c r="BA565">
        <v>0.26</v>
      </c>
      <c r="BB565">
        <v>2.08</v>
      </c>
      <c r="BC565">
        <v>-2.6</v>
      </c>
      <c r="BD565">
        <v>0.18</v>
      </c>
      <c r="BE565">
        <v>-2.0699999999999998</v>
      </c>
      <c r="BF565">
        <v>-3.82</v>
      </c>
      <c r="BG565">
        <v>0.8</v>
      </c>
      <c r="BH565">
        <v>-2</v>
      </c>
      <c r="BI565">
        <v>20191024</v>
      </c>
      <c r="BJ565">
        <v>20070124</v>
      </c>
      <c r="BK565">
        <v>14.18</v>
      </c>
      <c r="BL565" t="s">
        <v>116</v>
      </c>
      <c r="BM565" t="s">
        <v>116</v>
      </c>
      <c r="BN565">
        <v>46.79</v>
      </c>
      <c r="BO565">
        <v>32.68</v>
      </c>
      <c r="BP565">
        <v>0.48</v>
      </c>
      <c r="BQ565">
        <v>29.14</v>
      </c>
      <c r="BR565">
        <v>18.88</v>
      </c>
      <c r="BS565">
        <v>14.19</v>
      </c>
      <c r="BT565">
        <v>2.2599999999999998</v>
      </c>
      <c r="BU565">
        <v>11.3</v>
      </c>
      <c r="BV565">
        <v>3.19</v>
      </c>
      <c r="BW565">
        <v>10.36</v>
      </c>
      <c r="BX565">
        <v>1.84</v>
      </c>
      <c r="BY565">
        <v>22.51</v>
      </c>
      <c r="BZ565">
        <v>18.68</v>
      </c>
      <c r="CA565">
        <v>2.1</v>
      </c>
      <c r="CB565">
        <v>0.83</v>
      </c>
      <c r="CC565">
        <v>2.12</v>
      </c>
      <c r="CD565">
        <v>1.65</v>
      </c>
      <c r="CE565">
        <v>1.7</v>
      </c>
      <c r="CF565">
        <v>1.54</v>
      </c>
      <c r="CG565">
        <v>14.26</v>
      </c>
      <c r="CH565">
        <v>2.0099999999999998</v>
      </c>
      <c r="CI565">
        <v>-0.3</v>
      </c>
      <c r="CJ565">
        <v>80948</v>
      </c>
      <c r="CK565">
        <v>11315</v>
      </c>
      <c r="CL565" t="s">
        <v>770</v>
      </c>
      <c r="CM565">
        <v>-45.16</v>
      </c>
      <c r="CN565">
        <v>-10.08</v>
      </c>
      <c r="CO565">
        <v>1.64</v>
      </c>
      <c r="CP565">
        <v>26.69</v>
      </c>
      <c r="CQ565">
        <v>2.38</v>
      </c>
      <c r="CR565">
        <v>2.65</v>
      </c>
      <c r="CS565" t="s">
        <v>505</v>
      </c>
      <c r="CT565">
        <v>2.2999999999999998</v>
      </c>
      <c r="CU565">
        <v>0</v>
      </c>
      <c r="CV565">
        <v>0.13</v>
      </c>
      <c r="CW565">
        <v>1.01</v>
      </c>
      <c r="CX565">
        <v>0.14000000000000001</v>
      </c>
      <c r="CY565">
        <v>69.83</v>
      </c>
      <c r="CZ565" t="s">
        <v>3669</v>
      </c>
      <c r="DA565">
        <v>16.989999999999998</v>
      </c>
      <c r="DB565">
        <v>9.33</v>
      </c>
      <c r="DC565">
        <v>7.55</v>
      </c>
      <c r="DD565">
        <v>0.28000000000000003</v>
      </c>
      <c r="DE565">
        <v>2267</v>
      </c>
      <c r="DF565">
        <v>2108</v>
      </c>
      <c r="DG565" t="s">
        <v>116</v>
      </c>
      <c r="DH565" t="s">
        <v>116</v>
      </c>
      <c r="DI565" t="s">
        <v>116</v>
      </c>
    </row>
    <row r="566" spans="1:113" x14ac:dyDescent="0.4">
      <c r="A566" t="str">
        <f>"002109"</f>
        <v>002109</v>
      </c>
      <c r="B566" t="s">
        <v>3670</v>
      </c>
      <c r="C566">
        <v>0</v>
      </c>
      <c r="D566">
        <v>3.34</v>
      </c>
      <c r="E566">
        <v>0</v>
      </c>
      <c r="F566">
        <v>3.33</v>
      </c>
      <c r="G566">
        <v>3.34</v>
      </c>
      <c r="H566">
        <v>52278</v>
      </c>
      <c r="I566">
        <v>924</v>
      </c>
      <c r="J566">
        <v>0.3</v>
      </c>
      <c r="K566">
        <v>0.5</v>
      </c>
      <c r="L566">
        <v>3.33</v>
      </c>
      <c r="M566">
        <v>3.38</v>
      </c>
      <c r="N566">
        <v>3.33</v>
      </c>
      <c r="O566">
        <v>3.34</v>
      </c>
      <c r="P566">
        <v>24.19</v>
      </c>
      <c r="Q566">
        <v>17494478</v>
      </c>
      <c r="R566">
        <v>0.56000000000000005</v>
      </c>
      <c r="S566" t="s">
        <v>891</v>
      </c>
      <c r="T566" t="s">
        <v>913</v>
      </c>
      <c r="U566">
        <v>1.5</v>
      </c>
      <c r="V566">
        <v>3.35</v>
      </c>
      <c r="W566">
        <v>29003</v>
      </c>
      <c r="X566">
        <v>23275</v>
      </c>
      <c r="Y566">
        <v>1.25</v>
      </c>
      <c r="Z566">
        <v>3294</v>
      </c>
      <c r="AA566">
        <v>233</v>
      </c>
      <c r="AB566" t="s">
        <v>116</v>
      </c>
      <c r="AC566">
        <v>11500</v>
      </c>
      <c r="AD566">
        <v>0</v>
      </c>
      <c r="AE566" t="s">
        <v>116</v>
      </c>
      <c r="AF566" t="s">
        <v>116</v>
      </c>
      <c r="AG566">
        <v>10.53</v>
      </c>
      <c r="AH566" t="s">
        <v>517</v>
      </c>
      <c r="AI566" t="s">
        <v>517</v>
      </c>
      <c r="AJ566">
        <v>0.68</v>
      </c>
      <c r="AK566">
        <v>619</v>
      </c>
      <c r="AL566">
        <v>84</v>
      </c>
      <c r="AM566">
        <v>8.0000000000000004E-4</v>
      </c>
      <c r="AN566">
        <v>0</v>
      </c>
      <c r="AO566">
        <v>0</v>
      </c>
      <c r="AP566">
        <v>3.09</v>
      </c>
      <c r="AQ566">
        <v>-6.7</v>
      </c>
      <c r="AR566">
        <v>-5.1100000000000003</v>
      </c>
      <c r="AS566">
        <v>1.62</v>
      </c>
      <c r="AT566" t="s">
        <v>3461</v>
      </c>
      <c r="AU566">
        <v>22.32</v>
      </c>
      <c r="AV566">
        <v>14.77</v>
      </c>
      <c r="AW566">
        <v>0.86</v>
      </c>
      <c r="BA566">
        <v>-0.3</v>
      </c>
      <c r="BB566">
        <v>1.2</v>
      </c>
      <c r="BC566">
        <v>-0.3</v>
      </c>
      <c r="BD566">
        <v>0.19</v>
      </c>
      <c r="BE566">
        <v>0.3</v>
      </c>
      <c r="BF566">
        <v>-1.18</v>
      </c>
      <c r="BG566">
        <v>0.3</v>
      </c>
      <c r="BH566">
        <v>-0.19</v>
      </c>
      <c r="BI566">
        <v>20191220</v>
      </c>
      <c r="BJ566">
        <v>20070126</v>
      </c>
      <c r="BK566">
        <v>10.53</v>
      </c>
      <c r="BL566" t="s">
        <v>116</v>
      </c>
      <c r="BM566" t="s">
        <v>116</v>
      </c>
      <c r="BN566">
        <v>41.67</v>
      </c>
      <c r="BO566">
        <v>36.950000000000003</v>
      </c>
      <c r="BP566">
        <v>0</v>
      </c>
      <c r="BQ566">
        <v>11.34</v>
      </c>
      <c r="BR566">
        <v>10.39</v>
      </c>
      <c r="BS566">
        <v>28.72</v>
      </c>
      <c r="BT566">
        <v>1.63</v>
      </c>
      <c r="BU566">
        <v>3.72</v>
      </c>
      <c r="BV566">
        <v>0.88</v>
      </c>
      <c r="BW566">
        <v>1.97</v>
      </c>
      <c r="BX566">
        <v>22.31</v>
      </c>
      <c r="BY566">
        <v>14.97</v>
      </c>
      <c r="BZ566">
        <v>12.73</v>
      </c>
      <c r="CA566">
        <v>1.51</v>
      </c>
      <c r="CB566">
        <v>0</v>
      </c>
      <c r="CC566">
        <v>1.51</v>
      </c>
      <c r="CD566">
        <v>1.0900000000000001</v>
      </c>
      <c r="CE566">
        <v>1.0900000000000001</v>
      </c>
      <c r="CF566">
        <v>1.0900000000000001</v>
      </c>
      <c r="CG566">
        <v>2.34</v>
      </c>
      <c r="CH566">
        <v>1.55</v>
      </c>
      <c r="CI566">
        <v>-0.09</v>
      </c>
      <c r="CJ566">
        <v>30454</v>
      </c>
      <c r="CK566">
        <v>10590</v>
      </c>
      <c r="CL566" t="s">
        <v>3671</v>
      </c>
      <c r="CM566">
        <v>-42.47</v>
      </c>
      <c r="CN566">
        <v>-4.13</v>
      </c>
      <c r="CO566">
        <v>0.95</v>
      </c>
      <c r="CP566">
        <v>22.65</v>
      </c>
      <c r="CQ566">
        <v>2.35</v>
      </c>
      <c r="CR566">
        <v>0</v>
      </c>
      <c r="CS566" t="s">
        <v>3672</v>
      </c>
      <c r="CT566">
        <v>3.51</v>
      </c>
      <c r="CU566">
        <v>0</v>
      </c>
      <c r="CV566">
        <v>2.12</v>
      </c>
      <c r="CW566">
        <v>0.22</v>
      </c>
      <c r="CX566">
        <v>0.15</v>
      </c>
      <c r="CY566">
        <v>88.66</v>
      </c>
      <c r="CZ566" t="s">
        <v>3673</v>
      </c>
      <c r="DA566">
        <v>14.95</v>
      </c>
      <c r="DB566">
        <v>10.07</v>
      </c>
      <c r="DC566">
        <v>7.29</v>
      </c>
      <c r="DD566">
        <v>0</v>
      </c>
      <c r="DE566">
        <v>1072</v>
      </c>
      <c r="DF566">
        <v>2109</v>
      </c>
      <c r="DG566" t="s">
        <v>116</v>
      </c>
      <c r="DH566" t="s">
        <v>116</v>
      </c>
      <c r="DI566" t="s">
        <v>116</v>
      </c>
    </row>
    <row r="567" spans="1:113" x14ac:dyDescent="0.4">
      <c r="A567" t="str">
        <f>"002110"</f>
        <v>002110</v>
      </c>
      <c r="B567" t="s">
        <v>3674</v>
      </c>
      <c r="C567">
        <v>0.11</v>
      </c>
      <c r="D567">
        <v>8.91</v>
      </c>
      <c r="E567">
        <v>0.01</v>
      </c>
      <c r="F567">
        <v>8.9</v>
      </c>
      <c r="G567">
        <v>8.91</v>
      </c>
      <c r="H567">
        <v>224509</v>
      </c>
      <c r="I567">
        <v>2974</v>
      </c>
      <c r="J567">
        <v>-0.1</v>
      </c>
      <c r="K567">
        <v>1.02</v>
      </c>
      <c r="L567">
        <v>8.9</v>
      </c>
      <c r="M567">
        <v>9.0399999999999991</v>
      </c>
      <c r="N567">
        <v>8.82</v>
      </c>
      <c r="O567">
        <v>8.9</v>
      </c>
      <c r="P567">
        <v>5.8</v>
      </c>
      <c r="Q567">
        <v>200565280</v>
      </c>
      <c r="R567">
        <v>1.1399999999999999</v>
      </c>
      <c r="S567" t="s">
        <v>1587</v>
      </c>
      <c r="T567" t="s">
        <v>975</v>
      </c>
      <c r="U567">
        <v>2.4700000000000002</v>
      </c>
      <c r="V567">
        <v>8.93</v>
      </c>
      <c r="W567">
        <v>102747</v>
      </c>
      <c r="X567">
        <v>121762</v>
      </c>
      <c r="Y567">
        <v>0.84</v>
      </c>
      <c r="Z567">
        <v>1247</v>
      </c>
      <c r="AA567">
        <v>499</v>
      </c>
      <c r="AB567" t="s">
        <v>116</v>
      </c>
      <c r="AC567">
        <v>528700</v>
      </c>
      <c r="AD567">
        <v>0.01</v>
      </c>
      <c r="AE567" t="s">
        <v>116</v>
      </c>
      <c r="AF567" t="s">
        <v>116</v>
      </c>
      <c r="AG567">
        <v>22.04</v>
      </c>
      <c r="AH567" t="s">
        <v>3675</v>
      </c>
      <c r="AI567" t="s">
        <v>3676</v>
      </c>
      <c r="AJ567">
        <v>0.79</v>
      </c>
      <c r="AK567">
        <v>3197</v>
      </c>
      <c r="AL567">
        <v>70</v>
      </c>
      <c r="AM567">
        <v>2.9999999999999997E-4</v>
      </c>
      <c r="AN567">
        <v>2</v>
      </c>
      <c r="AO567">
        <v>0.8</v>
      </c>
      <c r="AP567">
        <v>5.57</v>
      </c>
      <c r="AQ567">
        <v>10.14</v>
      </c>
      <c r="AR567">
        <v>23.86</v>
      </c>
      <c r="AS567">
        <v>2.2999999999999998</v>
      </c>
      <c r="AT567" t="s">
        <v>3677</v>
      </c>
      <c r="AU567">
        <v>5.26</v>
      </c>
      <c r="AV567">
        <v>3.36</v>
      </c>
      <c r="AW567">
        <v>0.4</v>
      </c>
      <c r="BA567">
        <v>0</v>
      </c>
      <c r="BB567">
        <v>1.57</v>
      </c>
      <c r="BC567">
        <v>-0.9</v>
      </c>
      <c r="BD567">
        <v>0.38</v>
      </c>
      <c r="BE567">
        <v>0.11</v>
      </c>
      <c r="BF567">
        <v>-1.44</v>
      </c>
      <c r="BG567">
        <v>1.02</v>
      </c>
      <c r="BH567">
        <v>-0.26</v>
      </c>
      <c r="BI567">
        <v>20191126</v>
      </c>
      <c r="BJ567">
        <v>20070126</v>
      </c>
      <c r="BK567">
        <v>24.52</v>
      </c>
      <c r="BL567" t="s">
        <v>116</v>
      </c>
      <c r="BM567" t="s">
        <v>116</v>
      </c>
      <c r="BN567">
        <v>277.45999999999998</v>
      </c>
      <c r="BO567">
        <v>178.73</v>
      </c>
      <c r="BP567">
        <v>0.79</v>
      </c>
      <c r="BQ567">
        <v>35.299999999999997</v>
      </c>
      <c r="BR567">
        <v>146.16</v>
      </c>
      <c r="BS567">
        <v>97.61</v>
      </c>
      <c r="BT567">
        <v>14.63</v>
      </c>
      <c r="BU567">
        <v>92.21</v>
      </c>
      <c r="BV567">
        <v>32.119999999999997</v>
      </c>
      <c r="BW567">
        <v>0.99</v>
      </c>
      <c r="BX567">
        <v>50.44</v>
      </c>
      <c r="BY567">
        <v>318.2</v>
      </c>
      <c r="BZ567">
        <v>269.23</v>
      </c>
      <c r="CA567">
        <v>37.49</v>
      </c>
      <c r="CB567">
        <v>0.28999999999999998</v>
      </c>
      <c r="CC567">
        <v>37.880000000000003</v>
      </c>
      <c r="CD567">
        <v>28.32</v>
      </c>
      <c r="CE567">
        <v>28.25</v>
      </c>
      <c r="CF567">
        <v>27.67</v>
      </c>
      <c r="CG567">
        <v>96.81</v>
      </c>
      <c r="CH567">
        <v>22.72</v>
      </c>
      <c r="CI567">
        <v>-13.9</v>
      </c>
      <c r="CJ567">
        <v>63141</v>
      </c>
      <c r="CK567">
        <v>15434</v>
      </c>
      <c r="CL567" t="s">
        <v>3678</v>
      </c>
      <c r="CM567">
        <v>-45.45</v>
      </c>
      <c r="CN567">
        <v>18.62</v>
      </c>
      <c r="CO567">
        <v>1.22</v>
      </c>
      <c r="CP567">
        <v>9.61</v>
      </c>
      <c r="CQ567">
        <v>0.69</v>
      </c>
      <c r="CR567">
        <v>14.96</v>
      </c>
      <c r="CS567" t="s">
        <v>3679</v>
      </c>
      <c r="CT567">
        <v>7.29</v>
      </c>
      <c r="CU567">
        <v>0</v>
      </c>
      <c r="CV567">
        <v>2.06</v>
      </c>
      <c r="CW567">
        <v>3.95</v>
      </c>
      <c r="CX567">
        <v>0.93</v>
      </c>
      <c r="CY567">
        <v>64.42</v>
      </c>
      <c r="CZ567" t="s">
        <v>3680</v>
      </c>
      <c r="DA567">
        <v>15.39</v>
      </c>
      <c r="DB567">
        <v>11.78</v>
      </c>
      <c r="DC567">
        <v>8.8800000000000008</v>
      </c>
      <c r="DD567">
        <v>6.42</v>
      </c>
      <c r="DE567">
        <v>11607</v>
      </c>
      <c r="DF567">
        <v>2110</v>
      </c>
      <c r="DG567" t="s">
        <v>116</v>
      </c>
      <c r="DH567" t="s">
        <v>116</v>
      </c>
      <c r="DI567" t="s">
        <v>116</v>
      </c>
    </row>
    <row r="568" spans="1:113" x14ac:dyDescent="0.4">
      <c r="A568" t="str">
        <f>"002111"</f>
        <v>002111</v>
      </c>
      <c r="B568" t="s">
        <v>3681</v>
      </c>
      <c r="C568">
        <v>-2.78</v>
      </c>
      <c r="D568">
        <v>15.41</v>
      </c>
      <c r="E568">
        <v>-0.44</v>
      </c>
      <c r="F568">
        <v>15.41</v>
      </c>
      <c r="G568">
        <v>15.45</v>
      </c>
      <c r="H568">
        <v>73119</v>
      </c>
      <c r="I568">
        <v>2000</v>
      </c>
      <c r="J568">
        <v>-0.56999999999999995</v>
      </c>
      <c r="K568">
        <v>2.15</v>
      </c>
      <c r="L568">
        <v>15.86</v>
      </c>
      <c r="M568">
        <v>15.95</v>
      </c>
      <c r="N568">
        <v>15.38</v>
      </c>
      <c r="O568">
        <v>15.85</v>
      </c>
      <c r="P568">
        <v>16.36</v>
      </c>
      <c r="Q568">
        <v>114307024</v>
      </c>
      <c r="R568">
        <v>1.19</v>
      </c>
      <c r="S568" t="s">
        <v>1789</v>
      </c>
      <c r="T568" t="s">
        <v>645</v>
      </c>
      <c r="U568">
        <v>3.6</v>
      </c>
      <c r="V568">
        <v>15.63</v>
      </c>
      <c r="W568">
        <v>41105</v>
      </c>
      <c r="X568">
        <v>32014</v>
      </c>
      <c r="Y568">
        <v>1.28</v>
      </c>
      <c r="Z568">
        <v>86</v>
      </c>
      <c r="AA568">
        <v>4</v>
      </c>
      <c r="AB568" t="s">
        <v>116</v>
      </c>
      <c r="AC568">
        <v>207800</v>
      </c>
      <c r="AD568">
        <v>0.01</v>
      </c>
      <c r="AE568" t="s">
        <v>116</v>
      </c>
      <c r="AF568" t="s">
        <v>116</v>
      </c>
      <c r="AG568">
        <v>3.4</v>
      </c>
      <c r="AH568" t="s">
        <v>3682</v>
      </c>
      <c r="AI568" t="s">
        <v>3683</v>
      </c>
      <c r="AJ568">
        <v>-2.1</v>
      </c>
      <c r="AK568">
        <v>2871</v>
      </c>
      <c r="AL568">
        <v>25</v>
      </c>
      <c r="AM568">
        <v>6.9999999999999999E-4</v>
      </c>
      <c r="AN568">
        <v>-2</v>
      </c>
      <c r="AO568">
        <v>-3.33</v>
      </c>
      <c r="AP568">
        <v>8.83</v>
      </c>
      <c r="AQ568">
        <v>-4.2300000000000004</v>
      </c>
      <c r="AR568">
        <v>64.209999999999994</v>
      </c>
      <c r="AS568">
        <v>3.44</v>
      </c>
      <c r="AT568" t="s">
        <v>142</v>
      </c>
      <c r="AU568">
        <v>18.05</v>
      </c>
      <c r="AV568">
        <v>25.06</v>
      </c>
      <c r="AW568">
        <v>1.22</v>
      </c>
      <c r="BA568">
        <v>0.06</v>
      </c>
      <c r="BB568">
        <v>0.63</v>
      </c>
      <c r="BC568">
        <v>-2.97</v>
      </c>
      <c r="BD568">
        <v>-1.37</v>
      </c>
      <c r="BE568">
        <v>-2.84</v>
      </c>
      <c r="BF568">
        <v>-3.39</v>
      </c>
      <c r="BG568">
        <v>0.2</v>
      </c>
      <c r="BH568">
        <v>-1.41</v>
      </c>
      <c r="BI568">
        <v>20191203</v>
      </c>
      <c r="BJ568">
        <v>20070126</v>
      </c>
      <c r="BK568">
        <v>3.82</v>
      </c>
      <c r="BL568" t="s">
        <v>116</v>
      </c>
      <c r="BM568" t="s">
        <v>116</v>
      </c>
      <c r="BN568">
        <v>50.1</v>
      </c>
      <c r="BO568">
        <v>28.42</v>
      </c>
      <c r="BP568">
        <v>0.45</v>
      </c>
      <c r="BQ568">
        <v>42.37</v>
      </c>
      <c r="BR568">
        <v>33.93</v>
      </c>
      <c r="BS568">
        <v>8.2799999999999994</v>
      </c>
      <c r="BT568">
        <v>1.63</v>
      </c>
      <c r="BU568">
        <v>19.809999999999999</v>
      </c>
      <c r="BV568">
        <v>12.5</v>
      </c>
      <c r="BW568">
        <v>15.8</v>
      </c>
      <c r="BX568">
        <v>13.58</v>
      </c>
      <c r="BY568">
        <v>17.29</v>
      </c>
      <c r="BZ568">
        <v>11.64</v>
      </c>
      <c r="CA568">
        <v>2.74</v>
      </c>
      <c r="CB568">
        <v>0.09</v>
      </c>
      <c r="CC568">
        <v>3.15</v>
      </c>
      <c r="CD568">
        <v>2.71</v>
      </c>
      <c r="CE568">
        <v>2.7</v>
      </c>
      <c r="CF568">
        <v>2.23</v>
      </c>
      <c r="CG568">
        <v>10.52</v>
      </c>
      <c r="CH568">
        <v>-2.46</v>
      </c>
      <c r="CI568">
        <v>-0.95</v>
      </c>
      <c r="CJ568">
        <v>28427</v>
      </c>
      <c r="CK568">
        <v>7468</v>
      </c>
      <c r="CL568" t="s">
        <v>1944</v>
      </c>
      <c r="CM568">
        <v>51.08</v>
      </c>
      <c r="CN568">
        <v>12.98</v>
      </c>
      <c r="CO568">
        <v>2.0699999999999998</v>
      </c>
      <c r="CP568">
        <v>-23.87</v>
      </c>
      <c r="CQ568">
        <v>3.4</v>
      </c>
      <c r="CR568">
        <v>2.27</v>
      </c>
      <c r="CS568" t="s">
        <v>3684</v>
      </c>
      <c r="CT568">
        <v>7.44</v>
      </c>
      <c r="CU568">
        <v>0</v>
      </c>
      <c r="CV568">
        <v>3.56</v>
      </c>
      <c r="CW568">
        <v>2.75</v>
      </c>
      <c r="CX568">
        <v>-0.65</v>
      </c>
      <c r="CY568">
        <v>56.73</v>
      </c>
      <c r="CZ568" t="s">
        <v>3685</v>
      </c>
      <c r="DA568">
        <v>32.71</v>
      </c>
      <c r="DB568">
        <v>15.86</v>
      </c>
      <c r="DC568">
        <v>15.6</v>
      </c>
      <c r="DD568">
        <v>0.8</v>
      </c>
      <c r="DE568">
        <v>2167</v>
      </c>
      <c r="DF568">
        <v>2111</v>
      </c>
      <c r="DG568" t="s">
        <v>116</v>
      </c>
      <c r="DH568" t="s">
        <v>116</v>
      </c>
      <c r="DI568" t="s">
        <v>116</v>
      </c>
    </row>
    <row r="569" spans="1:113" x14ac:dyDescent="0.4">
      <c r="A569" t="str">
        <f>"002112"</f>
        <v>002112</v>
      </c>
      <c r="B569" t="s">
        <v>3686</v>
      </c>
      <c r="C569">
        <v>-0.87</v>
      </c>
      <c r="D569">
        <v>6.85</v>
      </c>
      <c r="E569">
        <v>-0.06</v>
      </c>
      <c r="F569">
        <v>6.85</v>
      </c>
      <c r="G569">
        <v>6.86</v>
      </c>
      <c r="H569">
        <v>21770</v>
      </c>
      <c r="I569">
        <v>145</v>
      </c>
      <c r="J569">
        <v>-0.14000000000000001</v>
      </c>
      <c r="K569">
        <v>1.1000000000000001</v>
      </c>
      <c r="L569">
        <v>6.88</v>
      </c>
      <c r="M569">
        <v>6.96</v>
      </c>
      <c r="N569">
        <v>6.84</v>
      </c>
      <c r="O569">
        <v>6.91</v>
      </c>
      <c r="P569">
        <v>199.21</v>
      </c>
      <c r="Q569">
        <v>15040244</v>
      </c>
      <c r="R569">
        <v>0.68</v>
      </c>
      <c r="S569" t="s">
        <v>397</v>
      </c>
      <c r="T569" t="s">
        <v>590</v>
      </c>
      <c r="U569">
        <v>1.74</v>
      </c>
      <c r="V569">
        <v>6.91</v>
      </c>
      <c r="W569">
        <v>10089</v>
      </c>
      <c r="X569">
        <v>11681</v>
      </c>
      <c r="Y569">
        <v>0.86</v>
      </c>
      <c r="Z569">
        <v>108</v>
      </c>
      <c r="AA569">
        <v>102</v>
      </c>
      <c r="AB569" t="s">
        <v>116</v>
      </c>
      <c r="AC569">
        <v>11700</v>
      </c>
      <c r="AD569">
        <v>0</v>
      </c>
      <c r="AE569" t="s">
        <v>116</v>
      </c>
      <c r="AF569" t="s">
        <v>116</v>
      </c>
      <c r="AG569">
        <v>1.99</v>
      </c>
      <c r="AH569" t="s">
        <v>1456</v>
      </c>
      <c r="AI569" t="s">
        <v>3687</v>
      </c>
      <c r="AJ569">
        <v>-0.19</v>
      </c>
      <c r="AK569">
        <v>800</v>
      </c>
      <c r="AL569">
        <v>27</v>
      </c>
      <c r="AM569">
        <v>1.4E-3</v>
      </c>
      <c r="AN569">
        <v>-1</v>
      </c>
      <c r="AO569">
        <v>-0.57999999999999996</v>
      </c>
      <c r="AP569">
        <v>4.42</v>
      </c>
      <c r="AQ569">
        <v>-0.57999999999999996</v>
      </c>
      <c r="AR569">
        <v>3.01</v>
      </c>
      <c r="AS569">
        <v>1.57</v>
      </c>
      <c r="AT569" t="s">
        <v>3688</v>
      </c>
      <c r="AU569">
        <v>24.49</v>
      </c>
      <c r="AV569">
        <v>219.69</v>
      </c>
      <c r="AW569">
        <v>0.98</v>
      </c>
      <c r="BA569">
        <v>-0.43</v>
      </c>
      <c r="BB569">
        <v>0.72</v>
      </c>
      <c r="BC569">
        <v>-1.01</v>
      </c>
      <c r="BD569">
        <v>-0.02</v>
      </c>
      <c r="BE569">
        <v>-0.44</v>
      </c>
      <c r="BF569">
        <v>-1.58</v>
      </c>
      <c r="BG569">
        <v>0.15</v>
      </c>
      <c r="BH569">
        <v>-0.85</v>
      </c>
      <c r="BI569">
        <v>20191031</v>
      </c>
      <c r="BJ569">
        <v>20070208</v>
      </c>
      <c r="BK569">
        <v>2.02</v>
      </c>
      <c r="BL569" t="s">
        <v>116</v>
      </c>
      <c r="BM569" t="s">
        <v>116</v>
      </c>
      <c r="BN569">
        <v>10.71</v>
      </c>
      <c r="BO569">
        <v>3.9</v>
      </c>
      <c r="BP569">
        <v>0</v>
      </c>
      <c r="BQ569">
        <v>63.62</v>
      </c>
      <c r="BR569">
        <v>7.53</v>
      </c>
      <c r="BS569">
        <v>1.7</v>
      </c>
      <c r="BT569">
        <v>0.4</v>
      </c>
      <c r="BU569">
        <v>6.31</v>
      </c>
      <c r="BV569">
        <v>2.17</v>
      </c>
      <c r="BW569">
        <v>3.06</v>
      </c>
      <c r="BX569">
        <v>0.84</v>
      </c>
      <c r="BY569">
        <v>4.88</v>
      </c>
      <c r="BZ569">
        <v>3.89</v>
      </c>
      <c r="CA569">
        <v>0.05</v>
      </c>
      <c r="CB569">
        <v>0</v>
      </c>
      <c r="CC569">
        <v>0.05</v>
      </c>
      <c r="CD569">
        <v>0.05</v>
      </c>
      <c r="CE569">
        <v>0.05</v>
      </c>
      <c r="CF569">
        <v>0.03</v>
      </c>
      <c r="CG569">
        <v>0.68</v>
      </c>
      <c r="CH569">
        <v>-0.72</v>
      </c>
      <c r="CI569">
        <v>-0.2</v>
      </c>
      <c r="CJ569">
        <v>19415</v>
      </c>
      <c r="CK569">
        <v>7124</v>
      </c>
      <c r="CL569" t="s">
        <v>3689</v>
      </c>
      <c r="CM569">
        <v>111.58</v>
      </c>
      <c r="CN569">
        <v>17.12</v>
      </c>
      <c r="CO569">
        <v>3.54</v>
      </c>
      <c r="CP569">
        <v>-19.22</v>
      </c>
      <c r="CQ569">
        <v>2.83</v>
      </c>
      <c r="CR569">
        <v>0</v>
      </c>
      <c r="CS569" t="s">
        <v>613</v>
      </c>
      <c r="CT569">
        <v>1.93</v>
      </c>
      <c r="CU569">
        <v>0</v>
      </c>
      <c r="CV569">
        <v>0.42</v>
      </c>
      <c r="CW569">
        <v>0.34</v>
      </c>
      <c r="CX569">
        <v>-0.36</v>
      </c>
      <c r="CY569">
        <v>36.380000000000003</v>
      </c>
      <c r="CZ569" t="s">
        <v>3690</v>
      </c>
      <c r="DA569">
        <v>20.37</v>
      </c>
      <c r="DB569">
        <v>1.0900000000000001</v>
      </c>
      <c r="DC569">
        <v>1.06</v>
      </c>
      <c r="DD569">
        <v>0.23</v>
      </c>
      <c r="DE569">
        <v>716</v>
      </c>
      <c r="DF569">
        <v>2112</v>
      </c>
      <c r="DG569" t="s">
        <v>116</v>
      </c>
      <c r="DH569" t="s">
        <v>116</v>
      </c>
      <c r="DI569" t="s">
        <v>116</v>
      </c>
    </row>
    <row r="570" spans="1:113" x14ac:dyDescent="0.4">
      <c r="A570" t="str">
        <f>"002113"</f>
        <v>002113</v>
      </c>
      <c r="B570" t="s">
        <v>3691</v>
      </c>
      <c r="C570">
        <v>1</v>
      </c>
      <c r="D570">
        <v>2.0299999999999998</v>
      </c>
      <c r="E570">
        <v>0.02</v>
      </c>
      <c r="F570">
        <v>2.0299999999999998</v>
      </c>
      <c r="G570">
        <v>2.04</v>
      </c>
      <c r="H570">
        <v>1122252</v>
      </c>
      <c r="I570">
        <v>14456</v>
      </c>
      <c r="J570">
        <v>-0.97</v>
      </c>
      <c r="K570">
        <v>12.15</v>
      </c>
      <c r="L570">
        <v>2.0099999999999998</v>
      </c>
      <c r="M570">
        <v>2.11</v>
      </c>
      <c r="N570">
        <v>1.99</v>
      </c>
      <c r="O570">
        <v>2.0099999999999998</v>
      </c>
      <c r="P570">
        <v>20.23</v>
      </c>
      <c r="Q570">
        <v>232868736</v>
      </c>
      <c r="R570">
        <v>1.55</v>
      </c>
      <c r="S570" t="s">
        <v>1384</v>
      </c>
      <c r="T570" t="s">
        <v>599</v>
      </c>
      <c r="U570">
        <v>5.97</v>
      </c>
      <c r="V570">
        <v>2.08</v>
      </c>
      <c r="W570">
        <v>488391</v>
      </c>
      <c r="X570">
        <v>633861</v>
      </c>
      <c r="Y570">
        <v>0.77</v>
      </c>
      <c r="Z570">
        <v>2847</v>
      </c>
      <c r="AA570">
        <v>4600</v>
      </c>
      <c r="AB570" t="s">
        <v>116</v>
      </c>
      <c r="AC570">
        <v>3879500</v>
      </c>
      <c r="AD570">
        <v>0.26</v>
      </c>
      <c r="AE570" t="s">
        <v>116</v>
      </c>
      <c r="AF570" t="s">
        <v>116</v>
      </c>
      <c r="AG570">
        <v>9.24</v>
      </c>
      <c r="AH570" t="s">
        <v>3692</v>
      </c>
      <c r="AI570" t="s">
        <v>1719</v>
      </c>
      <c r="AJ570">
        <v>1.67</v>
      </c>
      <c r="AK570">
        <v>3380</v>
      </c>
      <c r="AL570">
        <v>332</v>
      </c>
      <c r="AM570">
        <v>3.5999999999999999E-3</v>
      </c>
      <c r="AN570">
        <v>4</v>
      </c>
      <c r="AO570">
        <v>6.86</v>
      </c>
      <c r="AP570">
        <v>18.71</v>
      </c>
      <c r="AQ570">
        <v>16.670000000000002</v>
      </c>
      <c r="AR570">
        <v>-45.87</v>
      </c>
      <c r="AS570">
        <v>14.94</v>
      </c>
      <c r="AT570" t="s">
        <v>3693</v>
      </c>
      <c r="AU570">
        <v>193.34</v>
      </c>
      <c r="AV570" t="s">
        <v>116</v>
      </c>
      <c r="AW570">
        <v>1.1200000000000001</v>
      </c>
      <c r="BA570">
        <v>0</v>
      </c>
      <c r="BB570">
        <v>4.9800000000000004</v>
      </c>
      <c r="BC570">
        <v>-1</v>
      </c>
      <c r="BD570">
        <v>3.23</v>
      </c>
      <c r="BE570">
        <v>1</v>
      </c>
      <c r="BF570">
        <v>-3.79</v>
      </c>
      <c r="BG570">
        <v>2.0099999999999998</v>
      </c>
      <c r="BH570">
        <v>-2.2400000000000002</v>
      </c>
      <c r="BI570">
        <v>20191023</v>
      </c>
      <c r="BJ570">
        <v>20070208</v>
      </c>
      <c r="BK570">
        <v>15.33</v>
      </c>
      <c r="BL570" t="s">
        <v>116</v>
      </c>
      <c r="BM570" t="s">
        <v>116</v>
      </c>
      <c r="BN570">
        <v>28.91</v>
      </c>
      <c r="BO570">
        <v>24.11</v>
      </c>
      <c r="BP570">
        <v>0</v>
      </c>
      <c r="BQ570">
        <v>16.61</v>
      </c>
      <c r="BR570">
        <v>10.36</v>
      </c>
      <c r="BS570">
        <v>0.62</v>
      </c>
      <c r="BT570">
        <v>2.86</v>
      </c>
      <c r="BU570">
        <v>3.5</v>
      </c>
      <c r="BV570">
        <v>0</v>
      </c>
      <c r="BW570">
        <v>1.65</v>
      </c>
      <c r="BX570">
        <v>12.45</v>
      </c>
      <c r="BY570">
        <v>4.8099999999999996</v>
      </c>
      <c r="BZ570">
        <v>2.94</v>
      </c>
      <c r="CA570">
        <v>1.28</v>
      </c>
      <c r="CB570">
        <v>-0.02</v>
      </c>
      <c r="CC570">
        <v>1.28</v>
      </c>
      <c r="CD570">
        <v>1.1499999999999999</v>
      </c>
      <c r="CE570">
        <v>1.1499999999999999</v>
      </c>
      <c r="CF570">
        <v>1.1100000000000001</v>
      </c>
      <c r="CG570">
        <v>-4.22</v>
      </c>
      <c r="CH570">
        <v>-0.13</v>
      </c>
      <c r="CI570">
        <v>-0.53</v>
      </c>
      <c r="CJ570">
        <v>67486</v>
      </c>
      <c r="CK570">
        <v>11129</v>
      </c>
      <c r="CL570" t="s">
        <v>3694</v>
      </c>
      <c r="CM570">
        <v>141.57</v>
      </c>
      <c r="CN570">
        <v>26.82</v>
      </c>
      <c r="CO570">
        <v>1.29</v>
      </c>
      <c r="CP570">
        <v>-237.3</v>
      </c>
      <c r="CQ570">
        <v>6.47</v>
      </c>
      <c r="CR570">
        <v>0</v>
      </c>
      <c r="CS570" t="s">
        <v>3695</v>
      </c>
      <c r="CT570">
        <v>1.57</v>
      </c>
      <c r="CU570">
        <v>0</v>
      </c>
      <c r="CV570">
        <v>0.81</v>
      </c>
      <c r="CW570">
        <v>-0.28000000000000003</v>
      </c>
      <c r="CX570">
        <v>-0.01</v>
      </c>
      <c r="CY570">
        <v>83.39</v>
      </c>
      <c r="CZ570" t="s">
        <v>3696</v>
      </c>
      <c r="DA570">
        <v>38.9</v>
      </c>
      <c r="DB570">
        <v>26.51</v>
      </c>
      <c r="DC570">
        <v>23.97</v>
      </c>
      <c r="DD570">
        <v>0.2</v>
      </c>
      <c r="DE570">
        <v>246</v>
      </c>
      <c r="DF570">
        <v>2113</v>
      </c>
      <c r="DG570" t="s">
        <v>116</v>
      </c>
      <c r="DH570" t="s">
        <v>116</v>
      </c>
      <c r="DI570" t="s">
        <v>116</v>
      </c>
    </row>
    <row r="571" spans="1:113" x14ac:dyDescent="0.4">
      <c r="A571" t="str">
        <f>"002114"</f>
        <v>002114</v>
      </c>
      <c r="B571" t="s">
        <v>3697</v>
      </c>
      <c r="C571">
        <v>0.53</v>
      </c>
      <c r="D571">
        <v>7.58</v>
      </c>
      <c r="E571">
        <v>0.04</v>
      </c>
      <c r="F571">
        <v>7.57</v>
      </c>
      <c r="G571">
        <v>7.58</v>
      </c>
      <c r="H571">
        <v>103161</v>
      </c>
      <c r="I571">
        <v>758</v>
      </c>
      <c r="J571">
        <v>0.66</v>
      </c>
      <c r="K571">
        <v>3.19</v>
      </c>
      <c r="L571">
        <v>7.61</v>
      </c>
      <c r="M571">
        <v>7.78</v>
      </c>
      <c r="N571">
        <v>7.47</v>
      </c>
      <c r="O571">
        <v>7.54</v>
      </c>
      <c r="P571">
        <v>511.12</v>
      </c>
      <c r="Q571">
        <v>78708392</v>
      </c>
      <c r="R571">
        <v>2.2599999999999998</v>
      </c>
      <c r="S571" t="s">
        <v>441</v>
      </c>
      <c r="T571" t="s">
        <v>1043</v>
      </c>
      <c r="U571">
        <v>4.1100000000000003</v>
      </c>
      <c r="V571">
        <v>7.63</v>
      </c>
      <c r="W571">
        <v>52036</v>
      </c>
      <c r="X571">
        <v>51125</v>
      </c>
      <c r="Y571">
        <v>1.02</v>
      </c>
      <c r="Z571">
        <v>1069</v>
      </c>
      <c r="AA571">
        <v>160</v>
      </c>
      <c r="AB571" t="s">
        <v>116</v>
      </c>
      <c r="AC571">
        <v>63900</v>
      </c>
      <c r="AD571">
        <v>0</v>
      </c>
      <c r="AE571" t="s">
        <v>116</v>
      </c>
      <c r="AF571" t="s">
        <v>116</v>
      </c>
      <c r="AG571">
        <v>3.23</v>
      </c>
      <c r="AH571" t="s">
        <v>3698</v>
      </c>
      <c r="AI571" t="s">
        <v>3698</v>
      </c>
      <c r="AJ571">
        <v>1.21</v>
      </c>
      <c r="AK571">
        <v>1900</v>
      </c>
      <c r="AL571">
        <v>54</v>
      </c>
      <c r="AM571">
        <v>1.6999999999999999E-3</v>
      </c>
      <c r="AN571">
        <v>2</v>
      </c>
      <c r="AO571">
        <v>2.99</v>
      </c>
      <c r="AP571">
        <v>7.06</v>
      </c>
      <c r="AQ571">
        <v>-3.32</v>
      </c>
      <c r="AR571">
        <v>13.81</v>
      </c>
      <c r="AS571">
        <v>5.93</v>
      </c>
      <c r="AT571" t="s">
        <v>3699</v>
      </c>
      <c r="AU571" t="s">
        <v>116</v>
      </c>
      <c r="AV571" t="s">
        <v>116</v>
      </c>
      <c r="AW571">
        <v>0.87</v>
      </c>
      <c r="BA571">
        <v>0.93</v>
      </c>
      <c r="BB571">
        <v>3.18</v>
      </c>
      <c r="BC571">
        <v>-0.93</v>
      </c>
      <c r="BD571">
        <v>1.19</v>
      </c>
      <c r="BE571">
        <v>-0.39</v>
      </c>
      <c r="BF571">
        <v>-2.57</v>
      </c>
      <c r="BG571">
        <v>1.47</v>
      </c>
      <c r="BH571">
        <v>-0.66</v>
      </c>
      <c r="BI571">
        <v>20191028</v>
      </c>
      <c r="BJ571">
        <v>20070215</v>
      </c>
      <c r="BK571">
        <v>3.23</v>
      </c>
      <c r="BL571" t="s">
        <v>116</v>
      </c>
      <c r="BM571" t="s">
        <v>116</v>
      </c>
      <c r="BN571">
        <v>22.05</v>
      </c>
      <c r="BO571">
        <v>15.44</v>
      </c>
      <c r="BP571">
        <v>0</v>
      </c>
      <c r="BQ571">
        <v>29.98</v>
      </c>
      <c r="BR571">
        <v>4.7</v>
      </c>
      <c r="BS571">
        <v>6.47</v>
      </c>
      <c r="BT571">
        <v>9.01</v>
      </c>
      <c r="BU571">
        <v>4.4000000000000004</v>
      </c>
      <c r="BV571">
        <v>2.8</v>
      </c>
      <c r="BW571">
        <v>0.01</v>
      </c>
      <c r="BX571">
        <v>14.95</v>
      </c>
      <c r="BY571">
        <v>13.28</v>
      </c>
      <c r="BZ571">
        <v>12.12</v>
      </c>
      <c r="CA571">
        <v>0.1</v>
      </c>
      <c r="CB571">
        <v>0</v>
      </c>
      <c r="CC571">
        <v>0.09</v>
      </c>
      <c r="CD571">
        <v>0.02</v>
      </c>
      <c r="CE571">
        <v>0.04</v>
      </c>
      <c r="CF571">
        <v>-0.06</v>
      </c>
      <c r="CG571">
        <v>-3.19</v>
      </c>
      <c r="CH571">
        <v>0.88</v>
      </c>
      <c r="CI571">
        <v>-0.17</v>
      </c>
      <c r="CJ571">
        <v>32757</v>
      </c>
      <c r="CK571">
        <v>5311</v>
      </c>
      <c r="CL571" t="s">
        <v>3086</v>
      </c>
      <c r="CM571">
        <v>102.56</v>
      </c>
      <c r="CN571">
        <v>71.59</v>
      </c>
      <c r="CO571">
        <v>1.59</v>
      </c>
      <c r="CP571">
        <v>27.73</v>
      </c>
      <c r="CQ571">
        <v>1.85</v>
      </c>
      <c r="CR571">
        <v>0</v>
      </c>
      <c r="CS571" t="s">
        <v>3700</v>
      </c>
      <c r="CT571">
        <v>4.7699999999999996</v>
      </c>
      <c r="CU571">
        <v>0</v>
      </c>
      <c r="CV571">
        <v>4.62</v>
      </c>
      <c r="CW571">
        <v>-0.99</v>
      </c>
      <c r="CX571">
        <v>0.27</v>
      </c>
      <c r="CY571">
        <v>70.03</v>
      </c>
      <c r="CZ571" t="s">
        <v>3701</v>
      </c>
      <c r="DA571">
        <v>8.73</v>
      </c>
      <c r="DB571">
        <v>0.75</v>
      </c>
      <c r="DC571">
        <v>0.27</v>
      </c>
      <c r="DD571">
        <v>0.03</v>
      </c>
      <c r="DE571">
        <v>1639</v>
      </c>
      <c r="DF571">
        <v>2114</v>
      </c>
      <c r="DG571" t="s">
        <v>116</v>
      </c>
      <c r="DH571" t="s">
        <v>116</v>
      </c>
      <c r="DI571" t="s">
        <v>116</v>
      </c>
    </row>
    <row r="572" spans="1:113" x14ac:dyDescent="0.4">
      <c r="A572" t="str">
        <f>"002115"</f>
        <v>002115</v>
      </c>
      <c r="B572" t="s">
        <v>3702</v>
      </c>
      <c r="C572" t="s">
        <v>116</v>
      </c>
      <c r="D572">
        <v>8.89</v>
      </c>
      <c r="E572" t="s">
        <v>116</v>
      </c>
      <c r="G572" t="s">
        <v>116</v>
      </c>
      <c r="H572">
        <v>0</v>
      </c>
      <c r="I572">
        <v>0</v>
      </c>
      <c r="J572" t="s">
        <v>116</v>
      </c>
      <c r="K572">
        <v>0</v>
      </c>
      <c r="L572" t="s">
        <v>116</v>
      </c>
      <c r="M572" t="s">
        <v>116</v>
      </c>
      <c r="N572" t="s">
        <v>116</v>
      </c>
      <c r="O572">
        <v>8.89</v>
      </c>
      <c r="P572">
        <v>31.23</v>
      </c>
      <c r="Q572">
        <v>0</v>
      </c>
      <c r="R572">
        <v>0</v>
      </c>
      <c r="S572" t="s">
        <v>1384</v>
      </c>
      <c r="T572" t="s">
        <v>590</v>
      </c>
      <c r="U572">
        <v>0</v>
      </c>
      <c r="V572">
        <v>8.89</v>
      </c>
      <c r="W572">
        <v>0</v>
      </c>
      <c r="X572">
        <v>0</v>
      </c>
      <c r="Y572" t="s">
        <v>116</v>
      </c>
      <c r="Z572">
        <v>0</v>
      </c>
      <c r="AA572">
        <v>0</v>
      </c>
      <c r="AB572" t="s">
        <v>116</v>
      </c>
      <c r="AC572">
        <v>0</v>
      </c>
      <c r="AD572" t="s">
        <v>116</v>
      </c>
      <c r="AE572" t="s">
        <v>116</v>
      </c>
      <c r="AF572" t="s">
        <v>116</v>
      </c>
      <c r="AG572">
        <v>5.32</v>
      </c>
      <c r="AH572" t="s">
        <v>3703</v>
      </c>
      <c r="AI572" t="s">
        <v>1161</v>
      </c>
      <c r="AJ572">
        <v>0.68</v>
      </c>
      <c r="AK572">
        <v>0</v>
      </c>
      <c r="AL572" t="s">
        <v>116</v>
      </c>
      <c r="AM572" t="s">
        <v>116</v>
      </c>
      <c r="AN572">
        <v>-1</v>
      </c>
      <c r="AO572">
        <v>0.35</v>
      </c>
      <c r="AP572">
        <v>7.5</v>
      </c>
      <c r="AQ572">
        <v>5.21</v>
      </c>
      <c r="AR572">
        <v>18.29</v>
      </c>
      <c r="AS572" t="s">
        <v>116</v>
      </c>
      <c r="AT572" t="s">
        <v>1492</v>
      </c>
      <c r="AU572">
        <v>31.8</v>
      </c>
      <c r="AV572">
        <v>29.78</v>
      </c>
      <c r="AW572">
        <v>1.68</v>
      </c>
      <c r="BA572" t="s">
        <v>116</v>
      </c>
      <c r="BB572" t="s">
        <v>116</v>
      </c>
      <c r="BC572" t="s">
        <v>116</v>
      </c>
      <c r="BD572">
        <v>0</v>
      </c>
      <c r="BE572" t="s">
        <v>116</v>
      </c>
      <c r="BF572" t="s">
        <v>116</v>
      </c>
      <c r="BG572" t="s">
        <v>116</v>
      </c>
      <c r="BH572" t="s">
        <v>116</v>
      </c>
      <c r="BI572">
        <v>20191227</v>
      </c>
      <c r="BJ572">
        <v>20070215</v>
      </c>
      <c r="BK572">
        <v>7.19</v>
      </c>
      <c r="BL572" t="s">
        <v>116</v>
      </c>
      <c r="BM572" t="s">
        <v>116</v>
      </c>
      <c r="BN572">
        <v>46.18</v>
      </c>
      <c r="BO572">
        <v>24.89</v>
      </c>
      <c r="BP572">
        <v>1.05</v>
      </c>
      <c r="BQ572">
        <v>43.83</v>
      </c>
      <c r="BR572">
        <v>20.51</v>
      </c>
      <c r="BS572">
        <v>5.91</v>
      </c>
      <c r="BT572">
        <v>1.24</v>
      </c>
      <c r="BU572">
        <v>15.29</v>
      </c>
      <c r="BV572">
        <v>2.78</v>
      </c>
      <c r="BW572">
        <v>6.28</v>
      </c>
      <c r="BX572">
        <v>12.31</v>
      </c>
      <c r="BY572">
        <v>34.99</v>
      </c>
      <c r="BZ572">
        <v>31.12</v>
      </c>
      <c r="CA572">
        <v>2.17</v>
      </c>
      <c r="CB572">
        <v>0.03</v>
      </c>
      <c r="CC572">
        <v>2.19</v>
      </c>
      <c r="CD572">
        <v>1.68</v>
      </c>
      <c r="CE572">
        <v>1.54</v>
      </c>
      <c r="CF572">
        <v>0.76</v>
      </c>
      <c r="CG572">
        <v>4.9000000000000004</v>
      </c>
      <c r="CH572">
        <v>5.01</v>
      </c>
      <c r="CI572">
        <v>0.77</v>
      </c>
      <c r="CJ572">
        <v>77698</v>
      </c>
      <c r="CK572">
        <v>5792</v>
      </c>
      <c r="CL572" t="s">
        <v>3704</v>
      </c>
      <c r="CM572">
        <v>-8.17</v>
      </c>
      <c r="CN572">
        <v>46.94</v>
      </c>
      <c r="CO572">
        <v>2.57</v>
      </c>
      <c r="CP572">
        <v>12.75</v>
      </c>
      <c r="CQ572">
        <v>1.83</v>
      </c>
      <c r="CR572">
        <v>0.87</v>
      </c>
      <c r="CS572" t="s">
        <v>1061</v>
      </c>
      <c r="CT572">
        <v>3.46</v>
      </c>
      <c r="CU572">
        <v>0</v>
      </c>
      <c r="CV572">
        <v>1.71</v>
      </c>
      <c r="CW572">
        <v>0.68</v>
      </c>
      <c r="CX572">
        <v>0.7</v>
      </c>
      <c r="CY572">
        <v>53.89</v>
      </c>
      <c r="CZ572" t="s">
        <v>3705</v>
      </c>
      <c r="DA572">
        <v>11.06</v>
      </c>
      <c r="DB572">
        <v>6.2</v>
      </c>
      <c r="DC572">
        <v>4.3899999999999997</v>
      </c>
      <c r="DD572">
        <v>0.85</v>
      </c>
      <c r="DE572">
        <v>1141</v>
      </c>
      <c r="DF572">
        <v>2115</v>
      </c>
      <c r="DG572" t="s">
        <v>116</v>
      </c>
      <c r="DH572" t="s">
        <v>116</v>
      </c>
      <c r="DI572" t="s">
        <v>116</v>
      </c>
    </row>
    <row r="573" spans="1:113" x14ac:dyDescent="0.4">
      <c r="A573" t="str">
        <f>"002116"</f>
        <v>002116</v>
      </c>
      <c r="B573" t="s">
        <v>3706</v>
      </c>
      <c r="C573">
        <v>-0.64</v>
      </c>
      <c r="D573">
        <v>7.78</v>
      </c>
      <c r="E573">
        <v>-0.05</v>
      </c>
      <c r="F573">
        <v>7.77</v>
      </c>
      <c r="G573">
        <v>7.78</v>
      </c>
      <c r="H573">
        <v>15739</v>
      </c>
      <c r="I573">
        <v>10</v>
      </c>
      <c r="J573">
        <v>0.13</v>
      </c>
      <c r="K573">
        <v>0.38</v>
      </c>
      <c r="L573">
        <v>7.8</v>
      </c>
      <c r="M573">
        <v>7.86</v>
      </c>
      <c r="N573">
        <v>7.76</v>
      </c>
      <c r="O573">
        <v>7.83</v>
      </c>
      <c r="P573">
        <v>15.02</v>
      </c>
      <c r="Q573">
        <v>12285584</v>
      </c>
      <c r="R573">
        <v>0.79</v>
      </c>
      <c r="S573" t="s">
        <v>181</v>
      </c>
      <c r="T573" t="s">
        <v>1653</v>
      </c>
      <c r="U573">
        <v>1.28</v>
      </c>
      <c r="V573">
        <v>7.81</v>
      </c>
      <c r="W573">
        <v>10052</v>
      </c>
      <c r="X573">
        <v>5687</v>
      </c>
      <c r="Y573">
        <v>1.77</v>
      </c>
      <c r="Z573">
        <v>126</v>
      </c>
      <c r="AA573">
        <v>367</v>
      </c>
      <c r="AB573" t="s">
        <v>116</v>
      </c>
      <c r="AC573">
        <v>58500</v>
      </c>
      <c r="AD573">
        <v>0</v>
      </c>
      <c r="AE573" t="s">
        <v>116</v>
      </c>
      <c r="AF573" t="s">
        <v>116</v>
      </c>
      <c r="AG573">
        <v>4.16</v>
      </c>
      <c r="AH573" t="s">
        <v>3707</v>
      </c>
      <c r="AI573" t="s">
        <v>3708</v>
      </c>
      <c r="AJ573">
        <v>0.04</v>
      </c>
      <c r="AK573">
        <v>676</v>
      </c>
      <c r="AL573">
        <v>23</v>
      </c>
      <c r="AM573">
        <v>5.9999999999999995E-4</v>
      </c>
      <c r="AN573">
        <v>-1</v>
      </c>
      <c r="AO573">
        <v>-0.38</v>
      </c>
      <c r="AP573">
        <v>5.99</v>
      </c>
      <c r="AQ573">
        <v>-1.64</v>
      </c>
      <c r="AR573">
        <v>17.88</v>
      </c>
      <c r="AS573">
        <v>0.89</v>
      </c>
      <c r="AT573" t="s">
        <v>3709</v>
      </c>
      <c r="AU573">
        <v>14.39</v>
      </c>
      <c r="AV573">
        <v>15.31</v>
      </c>
      <c r="AW573">
        <v>0.87</v>
      </c>
      <c r="BA573">
        <v>-0.38</v>
      </c>
      <c r="BB573">
        <v>0.38</v>
      </c>
      <c r="BC573">
        <v>-0.89</v>
      </c>
      <c r="BD573">
        <v>-0.31</v>
      </c>
      <c r="BE573">
        <v>-0.26</v>
      </c>
      <c r="BF573">
        <v>-1.02</v>
      </c>
      <c r="BG573">
        <v>0.26</v>
      </c>
      <c r="BH573">
        <v>-0.33</v>
      </c>
      <c r="BI573">
        <v>20191030</v>
      </c>
      <c r="BJ573">
        <v>20070215</v>
      </c>
      <c r="BK573">
        <v>4.18</v>
      </c>
      <c r="BL573" t="s">
        <v>116</v>
      </c>
      <c r="BM573" t="s">
        <v>116</v>
      </c>
      <c r="BN573">
        <v>47.04</v>
      </c>
      <c r="BO573">
        <v>14.91</v>
      </c>
      <c r="BP573">
        <v>0</v>
      </c>
      <c r="BQ573">
        <v>68.31</v>
      </c>
      <c r="BR573">
        <v>43.48</v>
      </c>
      <c r="BS573">
        <v>2.2400000000000002</v>
      </c>
      <c r="BT573">
        <v>0.51</v>
      </c>
      <c r="BU573">
        <v>31.9</v>
      </c>
      <c r="BV573">
        <v>5.77</v>
      </c>
      <c r="BW573">
        <v>8.0399999999999991</v>
      </c>
      <c r="BX573">
        <v>0.96</v>
      </c>
      <c r="BY573">
        <v>34.479999999999997</v>
      </c>
      <c r="BZ573">
        <v>30.29</v>
      </c>
      <c r="CA573">
        <v>1.98</v>
      </c>
      <c r="CB573">
        <v>0.32</v>
      </c>
      <c r="CC573">
        <v>1.91</v>
      </c>
      <c r="CD573">
        <v>1.62</v>
      </c>
      <c r="CE573">
        <v>1.62</v>
      </c>
      <c r="CF573">
        <v>1.31</v>
      </c>
      <c r="CG573">
        <v>8</v>
      </c>
      <c r="CH573">
        <v>0.9</v>
      </c>
      <c r="CI573">
        <v>1.84</v>
      </c>
      <c r="CJ573">
        <v>18442</v>
      </c>
      <c r="CK573">
        <v>9540</v>
      </c>
      <c r="CL573" t="s">
        <v>2715</v>
      </c>
      <c r="CM573">
        <v>9.19</v>
      </c>
      <c r="CN573">
        <v>7.93</v>
      </c>
      <c r="CO573">
        <v>2.1800000000000002</v>
      </c>
      <c r="CP573">
        <v>36.06</v>
      </c>
      <c r="CQ573">
        <v>0.94</v>
      </c>
      <c r="CR573">
        <v>3.21</v>
      </c>
      <c r="CS573" t="s">
        <v>3710</v>
      </c>
      <c r="CT573">
        <v>3.57</v>
      </c>
      <c r="CU573">
        <v>0</v>
      </c>
      <c r="CV573">
        <v>0.23</v>
      </c>
      <c r="CW573">
        <v>1.92</v>
      </c>
      <c r="CX573">
        <v>0.22</v>
      </c>
      <c r="CY573">
        <v>31.69</v>
      </c>
      <c r="CZ573" t="s">
        <v>3711</v>
      </c>
      <c r="DA573">
        <v>12.14</v>
      </c>
      <c r="DB573">
        <v>5.75</v>
      </c>
      <c r="DC573">
        <v>4.71</v>
      </c>
      <c r="DD573">
        <v>1.05</v>
      </c>
      <c r="DE573">
        <v>4784</v>
      </c>
      <c r="DF573">
        <v>2116</v>
      </c>
      <c r="DG573" t="s">
        <v>116</v>
      </c>
      <c r="DH573" t="s">
        <v>116</v>
      </c>
      <c r="DI573" t="s">
        <v>116</v>
      </c>
    </row>
    <row r="574" spans="1:113" x14ac:dyDescent="0.4">
      <c r="A574" t="str">
        <f>"002117"</f>
        <v>002117</v>
      </c>
      <c r="B574" t="s">
        <v>3712</v>
      </c>
      <c r="C574">
        <v>0.32</v>
      </c>
      <c r="D574">
        <v>12.5</v>
      </c>
      <c r="E574">
        <v>0.04</v>
      </c>
      <c r="F574">
        <v>12.5</v>
      </c>
      <c r="G574">
        <v>12.51</v>
      </c>
      <c r="H574">
        <v>182658</v>
      </c>
      <c r="I574">
        <v>2048</v>
      </c>
      <c r="J574">
        <v>-0.23</v>
      </c>
      <c r="K574">
        <v>3.35</v>
      </c>
      <c r="L574">
        <v>12.54</v>
      </c>
      <c r="M574">
        <v>12.72</v>
      </c>
      <c r="N574">
        <v>12.37</v>
      </c>
      <c r="O574">
        <v>12.46</v>
      </c>
      <c r="P574">
        <v>24.85</v>
      </c>
      <c r="Q574">
        <v>229506928</v>
      </c>
      <c r="R574">
        <v>1.1100000000000001</v>
      </c>
      <c r="S574" t="s">
        <v>345</v>
      </c>
      <c r="T574" t="s">
        <v>645</v>
      </c>
      <c r="U574">
        <v>2.81</v>
      </c>
      <c r="V574">
        <v>12.56</v>
      </c>
      <c r="W574">
        <v>92345</v>
      </c>
      <c r="X574">
        <v>90313</v>
      </c>
      <c r="Y574">
        <v>1.02</v>
      </c>
      <c r="Z574">
        <v>402</v>
      </c>
      <c r="AA574">
        <v>183</v>
      </c>
      <c r="AB574" t="s">
        <v>116</v>
      </c>
      <c r="AC574">
        <v>1899600</v>
      </c>
      <c r="AD574">
        <v>0.04</v>
      </c>
      <c r="AE574" t="s">
        <v>116</v>
      </c>
      <c r="AF574" t="s">
        <v>116</v>
      </c>
      <c r="AG574">
        <v>5.45</v>
      </c>
      <c r="AH574" t="s">
        <v>3713</v>
      </c>
      <c r="AI574" t="s">
        <v>3714</v>
      </c>
      <c r="AJ574">
        <v>1</v>
      </c>
      <c r="AK574">
        <v>2937</v>
      </c>
      <c r="AL574">
        <v>62</v>
      </c>
      <c r="AM574">
        <v>1.1000000000000001E-3</v>
      </c>
      <c r="AN574">
        <v>1</v>
      </c>
      <c r="AO574">
        <v>2.46</v>
      </c>
      <c r="AP574">
        <v>11.11</v>
      </c>
      <c r="AQ574">
        <v>8.6999999999999993</v>
      </c>
      <c r="AR574">
        <v>39.409999999999997</v>
      </c>
      <c r="AS574">
        <v>5.09</v>
      </c>
      <c r="AT574" t="s">
        <v>2613</v>
      </c>
      <c r="AU574">
        <v>25.55</v>
      </c>
      <c r="AV574">
        <v>26.56</v>
      </c>
      <c r="AW574">
        <v>1.37</v>
      </c>
      <c r="BA574">
        <v>0.64</v>
      </c>
      <c r="BB574">
        <v>2.09</v>
      </c>
      <c r="BC574">
        <v>-0.72</v>
      </c>
      <c r="BD574">
        <v>0.84</v>
      </c>
      <c r="BE574">
        <v>-0.32</v>
      </c>
      <c r="BF574">
        <v>-1.73</v>
      </c>
      <c r="BG574">
        <v>1.05</v>
      </c>
      <c r="BH574">
        <v>-0.52</v>
      </c>
      <c r="BI574">
        <v>20191203</v>
      </c>
      <c r="BJ574">
        <v>20070302</v>
      </c>
      <c r="BK574">
        <v>5.46</v>
      </c>
      <c r="BL574" t="s">
        <v>116</v>
      </c>
      <c r="BM574" t="s">
        <v>116</v>
      </c>
      <c r="BN574">
        <v>20.49</v>
      </c>
      <c r="BO574">
        <v>15.78</v>
      </c>
      <c r="BP574">
        <v>0.02</v>
      </c>
      <c r="BQ574">
        <v>22.9</v>
      </c>
      <c r="BR574">
        <v>10.74</v>
      </c>
      <c r="BS574">
        <v>6.63</v>
      </c>
      <c r="BT574">
        <v>0.95</v>
      </c>
      <c r="BU574">
        <v>4.26</v>
      </c>
      <c r="BV574">
        <v>0.52</v>
      </c>
      <c r="BW574">
        <v>4.29</v>
      </c>
      <c r="BX574">
        <v>2.5</v>
      </c>
      <c r="BY574">
        <v>11.66</v>
      </c>
      <c r="BZ574">
        <v>6.86</v>
      </c>
      <c r="CA574">
        <v>2.46</v>
      </c>
      <c r="CB574">
        <v>0.06</v>
      </c>
      <c r="CC574">
        <v>2.4700000000000002</v>
      </c>
      <c r="CD574">
        <v>2.0699999999999998</v>
      </c>
      <c r="CE574">
        <v>2.06</v>
      </c>
      <c r="CF574">
        <v>1.99</v>
      </c>
      <c r="CG574">
        <v>5.04</v>
      </c>
      <c r="CH574">
        <v>0</v>
      </c>
      <c r="CI574">
        <v>-7.33</v>
      </c>
      <c r="CJ574">
        <v>33715</v>
      </c>
      <c r="CK574">
        <v>10651</v>
      </c>
      <c r="CL574" t="s">
        <v>3715</v>
      </c>
      <c r="CM574">
        <v>5.2</v>
      </c>
      <c r="CN574">
        <v>0.08</v>
      </c>
      <c r="CO574">
        <v>4.32</v>
      </c>
      <c r="CP574">
        <v>-52067.4</v>
      </c>
      <c r="CQ574">
        <v>5.85</v>
      </c>
      <c r="CR574">
        <v>3.73</v>
      </c>
      <c r="CS574" t="s">
        <v>3716</v>
      </c>
      <c r="CT574">
        <v>2.89</v>
      </c>
      <c r="CU574">
        <v>0</v>
      </c>
      <c r="CV574">
        <v>0.46</v>
      </c>
      <c r="CW574">
        <v>0.92</v>
      </c>
      <c r="CX574">
        <v>0</v>
      </c>
      <c r="CY574">
        <v>77</v>
      </c>
      <c r="CZ574" t="s">
        <v>3717</v>
      </c>
      <c r="DA574">
        <v>41.13</v>
      </c>
      <c r="DB574">
        <v>21.07</v>
      </c>
      <c r="DC574">
        <v>17.649999999999999</v>
      </c>
      <c r="DD574">
        <v>0.63</v>
      </c>
      <c r="DE574">
        <v>2243</v>
      </c>
      <c r="DF574">
        <v>2117</v>
      </c>
      <c r="DG574" t="s">
        <v>116</v>
      </c>
      <c r="DH574" t="s">
        <v>116</v>
      </c>
      <c r="DI574" t="s">
        <v>116</v>
      </c>
    </row>
    <row r="575" spans="1:113" x14ac:dyDescent="0.4">
      <c r="A575" t="str">
        <f>"002118"</f>
        <v>002118</v>
      </c>
      <c r="B575" t="s">
        <v>3718</v>
      </c>
      <c r="C575">
        <v>-1.63</v>
      </c>
      <c r="D575">
        <v>6.04</v>
      </c>
      <c r="E575">
        <v>-0.1</v>
      </c>
      <c r="F575">
        <v>6.03</v>
      </c>
      <c r="G575">
        <v>6.04</v>
      </c>
      <c r="H575">
        <v>209161</v>
      </c>
      <c r="I575">
        <v>1999</v>
      </c>
      <c r="J575">
        <v>0.33</v>
      </c>
      <c r="K575">
        <v>1.63</v>
      </c>
      <c r="L575">
        <v>6.13</v>
      </c>
      <c r="M575">
        <v>6.19</v>
      </c>
      <c r="N575">
        <v>6.01</v>
      </c>
      <c r="O575">
        <v>6.14</v>
      </c>
      <c r="P575">
        <v>79.069999999999993</v>
      </c>
      <c r="Q575">
        <v>127967016</v>
      </c>
      <c r="R575">
        <v>0.51</v>
      </c>
      <c r="S575" t="s">
        <v>781</v>
      </c>
      <c r="T575" t="s">
        <v>294</v>
      </c>
      <c r="U575">
        <v>2.93</v>
      </c>
      <c r="V575">
        <v>6.12</v>
      </c>
      <c r="W575">
        <v>122164</v>
      </c>
      <c r="X575">
        <v>86997</v>
      </c>
      <c r="Y575">
        <v>1.4</v>
      </c>
      <c r="Z575">
        <v>1532</v>
      </c>
      <c r="AA575">
        <v>164</v>
      </c>
      <c r="AB575" t="s">
        <v>116</v>
      </c>
      <c r="AC575">
        <v>225600</v>
      </c>
      <c r="AD575">
        <v>0.01</v>
      </c>
      <c r="AE575" t="s">
        <v>116</v>
      </c>
      <c r="AF575" t="s">
        <v>116</v>
      </c>
      <c r="AG575">
        <v>12.8</v>
      </c>
      <c r="AH575" t="s">
        <v>3719</v>
      </c>
      <c r="AI575" t="s">
        <v>3720</v>
      </c>
      <c r="AJ575">
        <v>-0.95</v>
      </c>
      <c r="AK575">
        <v>2844</v>
      </c>
      <c r="AL575">
        <v>74</v>
      </c>
      <c r="AM575">
        <v>5.9999999999999995E-4</v>
      </c>
      <c r="AN575">
        <v>-2</v>
      </c>
      <c r="AO575">
        <v>-0.16</v>
      </c>
      <c r="AP575">
        <v>9.0299999999999994</v>
      </c>
      <c r="AQ575">
        <v>-6.79</v>
      </c>
      <c r="AR575">
        <v>38.53</v>
      </c>
      <c r="AS575">
        <v>3.08</v>
      </c>
      <c r="AT575" t="s">
        <v>3721</v>
      </c>
      <c r="AU575" t="s">
        <v>116</v>
      </c>
      <c r="AV575">
        <v>44.44</v>
      </c>
      <c r="AW575">
        <v>1.83</v>
      </c>
      <c r="BA575">
        <v>-0.16</v>
      </c>
      <c r="BB575">
        <v>0.81</v>
      </c>
      <c r="BC575">
        <v>-2.12</v>
      </c>
      <c r="BD575">
        <v>-0.36</v>
      </c>
      <c r="BE575">
        <v>-1.47</v>
      </c>
      <c r="BF575">
        <v>-2.42</v>
      </c>
      <c r="BG575">
        <v>0.5</v>
      </c>
      <c r="BH575">
        <v>-1.27</v>
      </c>
      <c r="BI575">
        <v>20191024</v>
      </c>
      <c r="BJ575">
        <v>20070302</v>
      </c>
      <c r="BK575">
        <v>12.81</v>
      </c>
      <c r="BL575" t="s">
        <v>116</v>
      </c>
      <c r="BM575" t="s">
        <v>116</v>
      </c>
      <c r="BN575">
        <v>107.06</v>
      </c>
      <c r="BO575">
        <v>43.88</v>
      </c>
      <c r="BP575">
        <v>0.03</v>
      </c>
      <c r="BQ575">
        <v>58.99</v>
      </c>
      <c r="BR575">
        <v>83.88</v>
      </c>
      <c r="BS575">
        <v>14.6</v>
      </c>
      <c r="BT575">
        <v>4.24</v>
      </c>
      <c r="BU575">
        <v>43.89</v>
      </c>
      <c r="BV575">
        <v>61.2</v>
      </c>
      <c r="BW575">
        <v>12.31</v>
      </c>
      <c r="BX575">
        <v>15.34</v>
      </c>
      <c r="BY575">
        <v>7.13</v>
      </c>
      <c r="BZ575">
        <v>1.68</v>
      </c>
      <c r="CA575">
        <v>0.91</v>
      </c>
      <c r="CB575">
        <v>0.09</v>
      </c>
      <c r="CC575">
        <v>0.9</v>
      </c>
      <c r="CD575">
        <v>0.73</v>
      </c>
      <c r="CE575">
        <v>0.73</v>
      </c>
      <c r="CF575">
        <v>0.27</v>
      </c>
      <c r="CG575">
        <v>14.76</v>
      </c>
      <c r="CH575">
        <v>-4.75</v>
      </c>
      <c r="CI575">
        <v>-1.18</v>
      </c>
      <c r="CJ575">
        <v>97062</v>
      </c>
      <c r="CK575">
        <v>7004</v>
      </c>
      <c r="CL575" t="s">
        <v>3722</v>
      </c>
      <c r="CM575">
        <v>-77.72</v>
      </c>
      <c r="CN575">
        <v>-44.19</v>
      </c>
      <c r="CO575">
        <v>1.76</v>
      </c>
      <c r="CP575">
        <v>-16.27</v>
      </c>
      <c r="CQ575">
        <v>10.85</v>
      </c>
      <c r="CR575">
        <v>0</v>
      </c>
      <c r="CS575" t="s">
        <v>2039</v>
      </c>
      <c r="CT575">
        <v>3.43</v>
      </c>
      <c r="CU575">
        <v>0</v>
      </c>
      <c r="CV575">
        <v>1.2</v>
      </c>
      <c r="CW575">
        <v>1.1499999999999999</v>
      </c>
      <c r="CX575">
        <v>-0.37</v>
      </c>
      <c r="CY575">
        <v>40.99</v>
      </c>
      <c r="CZ575" t="s">
        <v>359</v>
      </c>
      <c r="DA575">
        <v>76.459999999999994</v>
      </c>
      <c r="DB575">
        <v>12.7</v>
      </c>
      <c r="DC575">
        <v>10.29</v>
      </c>
      <c r="DD575">
        <v>0.32</v>
      </c>
      <c r="DE575">
        <v>1865</v>
      </c>
      <c r="DF575">
        <v>2118</v>
      </c>
      <c r="DG575" t="s">
        <v>116</v>
      </c>
      <c r="DH575" t="s">
        <v>116</v>
      </c>
      <c r="DI575" t="s">
        <v>116</v>
      </c>
    </row>
    <row r="576" spans="1:113" x14ac:dyDescent="0.4">
      <c r="A576" t="str">
        <f>"002119"</f>
        <v>002119</v>
      </c>
      <c r="B576" t="s">
        <v>3723</v>
      </c>
      <c r="C576">
        <v>-1.72</v>
      </c>
      <c r="D576">
        <v>13.15</v>
      </c>
      <c r="E576">
        <v>-0.23</v>
      </c>
      <c r="F576">
        <v>13.15</v>
      </c>
      <c r="G576">
        <v>13.16</v>
      </c>
      <c r="H576">
        <v>313763</v>
      </c>
      <c r="I576">
        <v>4087</v>
      </c>
      <c r="J576">
        <v>0.08</v>
      </c>
      <c r="K576">
        <v>8.5399999999999991</v>
      </c>
      <c r="L576">
        <v>13.42</v>
      </c>
      <c r="M576">
        <v>13.64</v>
      </c>
      <c r="N576">
        <v>13.02</v>
      </c>
      <c r="O576">
        <v>13.38</v>
      </c>
      <c r="P576">
        <v>46.78</v>
      </c>
      <c r="Q576">
        <v>417865536</v>
      </c>
      <c r="R576">
        <v>1.04</v>
      </c>
      <c r="S576" t="s">
        <v>3507</v>
      </c>
      <c r="T576" t="s">
        <v>590</v>
      </c>
      <c r="U576">
        <v>4.63</v>
      </c>
      <c r="V576">
        <v>13.32</v>
      </c>
      <c r="W576">
        <v>181339</v>
      </c>
      <c r="X576">
        <v>132424</v>
      </c>
      <c r="Y576">
        <v>1.37</v>
      </c>
      <c r="Z576">
        <v>1533</v>
      </c>
      <c r="AA576">
        <v>83</v>
      </c>
      <c r="AB576" t="s">
        <v>116</v>
      </c>
      <c r="AC576">
        <v>3997800</v>
      </c>
      <c r="AD576">
        <v>0.14000000000000001</v>
      </c>
      <c r="AE576" t="s">
        <v>116</v>
      </c>
      <c r="AF576" t="s">
        <v>116</v>
      </c>
      <c r="AG576">
        <v>3.68</v>
      </c>
      <c r="AH576" t="s">
        <v>3724</v>
      </c>
      <c r="AI576" t="s">
        <v>3725</v>
      </c>
      <c r="AJ576">
        <v>-1.04</v>
      </c>
      <c r="AK576">
        <v>4221</v>
      </c>
      <c r="AL576">
        <v>74</v>
      </c>
      <c r="AM576">
        <v>2E-3</v>
      </c>
      <c r="AN576">
        <v>-1</v>
      </c>
      <c r="AO576">
        <v>7.96</v>
      </c>
      <c r="AP576">
        <v>17.309999999999999</v>
      </c>
      <c r="AQ576">
        <v>-5.26</v>
      </c>
      <c r="AR576">
        <v>100.06</v>
      </c>
      <c r="AS576">
        <v>14.49</v>
      </c>
      <c r="AT576" t="s">
        <v>3726</v>
      </c>
      <c r="AU576">
        <v>52.66</v>
      </c>
      <c r="AV576">
        <v>61.51</v>
      </c>
      <c r="AW576">
        <v>1.71</v>
      </c>
      <c r="BA576">
        <v>0.3</v>
      </c>
      <c r="BB576">
        <v>1.94</v>
      </c>
      <c r="BC576">
        <v>-2.69</v>
      </c>
      <c r="BD576">
        <v>-0.46</v>
      </c>
      <c r="BE576">
        <v>-2.0099999999999998</v>
      </c>
      <c r="BF576">
        <v>-3.59</v>
      </c>
      <c r="BG576">
        <v>1</v>
      </c>
      <c r="BH576">
        <v>-1.25</v>
      </c>
      <c r="BI576">
        <v>20191118</v>
      </c>
      <c r="BJ576">
        <v>20070302</v>
      </c>
      <c r="BK576">
        <v>3.75</v>
      </c>
      <c r="BL576" t="s">
        <v>116</v>
      </c>
      <c r="BM576" t="s">
        <v>116</v>
      </c>
      <c r="BN576">
        <v>18.149999999999999</v>
      </c>
      <c r="BO576">
        <v>8.7899999999999991</v>
      </c>
      <c r="BP576">
        <v>0</v>
      </c>
      <c r="BQ576">
        <v>51.55</v>
      </c>
      <c r="BR576">
        <v>9.98</v>
      </c>
      <c r="BS576">
        <v>5.24</v>
      </c>
      <c r="BT576">
        <v>0.75</v>
      </c>
      <c r="BU576">
        <v>8.25</v>
      </c>
      <c r="BV576">
        <v>3.03</v>
      </c>
      <c r="BW576">
        <v>3.73</v>
      </c>
      <c r="BX576">
        <v>1.1200000000000001</v>
      </c>
      <c r="BY576">
        <v>10.25</v>
      </c>
      <c r="BZ576">
        <v>8.11</v>
      </c>
      <c r="CA576">
        <v>0.95</v>
      </c>
      <c r="CB576">
        <v>0.19</v>
      </c>
      <c r="CC576">
        <v>0.94</v>
      </c>
      <c r="CD576">
        <v>0.79</v>
      </c>
      <c r="CE576">
        <v>0.79</v>
      </c>
      <c r="CF576">
        <v>0.52</v>
      </c>
      <c r="CG576">
        <v>3.42</v>
      </c>
      <c r="CH576">
        <v>0.82</v>
      </c>
      <c r="CI576">
        <v>0.18</v>
      </c>
      <c r="CJ576">
        <v>72548</v>
      </c>
      <c r="CK576">
        <v>2985</v>
      </c>
      <c r="CL576" t="s">
        <v>3727</v>
      </c>
      <c r="CM576">
        <v>20.53</v>
      </c>
      <c r="CN576">
        <v>-10.39</v>
      </c>
      <c r="CO576">
        <v>5.61</v>
      </c>
      <c r="CP576">
        <v>60.17</v>
      </c>
      <c r="CQ576">
        <v>4.8099999999999996</v>
      </c>
      <c r="CR576">
        <v>0.15</v>
      </c>
      <c r="CS576" t="s">
        <v>2744</v>
      </c>
      <c r="CT576">
        <v>2.34</v>
      </c>
      <c r="CU576">
        <v>0</v>
      </c>
      <c r="CV576">
        <v>0.3</v>
      </c>
      <c r="CW576">
        <v>0.91</v>
      </c>
      <c r="CX576">
        <v>0.22</v>
      </c>
      <c r="CY576">
        <v>48.45</v>
      </c>
      <c r="CZ576" t="s">
        <v>966</v>
      </c>
      <c r="DA576">
        <v>20.93</v>
      </c>
      <c r="DB576">
        <v>9.2200000000000006</v>
      </c>
      <c r="DC576">
        <v>7.72</v>
      </c>
      <c r="DD576">
        <v>0.48</v>
      </c>
      <c r="DE576">
        <v>981</v>
      </c>
      <c r="DF576">
        <v>2119</v>
      </c>
      <c r="DG576" t="s">
        <v>116</v>
      </c>
      <c r="DH576" t="s">
        <v>116</v>
      </c>
      <c r="DI576" t="s">
        <v>116</v>
      </c>
    </row>
    <row r="577" spans="1:113" x14ac:dyDescent="0.4">
      <c r="A577" t="str">
        <f>"002120"</f>
        <v>002120</v>
      </c>
      <c r="B577" t="s">
        <v>3728</v>
      </c>
      <c r="C577">
        <v>4.17</v>
      </c>
      <c r="D577">
        <v>32.450000000000003</v>
      </c>
      <c r="E577">
        <v>1.3</v>
      </c>
      <c r="F577">
        <v>32.44</v>
      </c>
      <c r="G577">
        <v>32.450000000000003</v>
      </c>
      <c r="H577">
        <v>118077</v>
      </c>
      <c r="I577">
        <v>2115</v>
      </c>
      <c r="J577">
        <v>-0.27</v>
      </c>
      <c r="K577">
        <v>0.53</v>
      </c>
      <c r="L577">
        <v>31.13</v>
      </c>
      <c r="M577">
        <v>32.58</v>
      </c>
      <c r="N577">
        <v>31.1</v>
      </c>
      <c r="O577">
        <v>31.15</v>
      </c>
      <c r="P577">
        <v>27.71</v>
      </c>
      <c r="Q577">
        <v>380951264</v>
      </c>
      <c r="R577">
        <v>1.76</v>
      </c>
      <c r="S577" t="s">
        <v>3113</v>
      </c>
      <c r="T577" t="s">
        <v>590</v>
      </c>
      <c r="U577">
        <v>4.75</v>
      </c>
      <c r="V577">
        <v>32.26</v>
      </c>
      <c r="W577">
        <v>51095</v>
      </c>
      <c r="X577">
        <v>66982</v>
      </c>
      <c r="Y577">
        <v>0.76</v>
      </c>
      <c r="Z577">
        <v>50</v>
      </c>
      <c r="AA577">
        <v>296</v>
      </c>
      <c r="AB577" t="s">
        <v>116</v>
      </c>
      <c r="AC577">
        <v>336200</v>
      </c>
      <c r="AD577">
        <v>0</v>
      </c>
      <c r="AE577" t="s">
        <v>116</v>
      </c>
      <c r="AF577" t="s">
        <v>116</v>
      </c>
      <c r="AG577">
        <v>22.25</v>
      </c>
      <c r="AH577" t="s">
        <v>3729</v>
      </c>
      <c r="AI577" t="s">
        <v>3730</v>
      </c>
      <c r="AJ577">
        <v>4.8499999999999996</v>
      </c>
      <c r="AK577">
        <v>4258</v>
      </c>
      <c r="AL577">
        <v>28</v>
      </c>
      <c r="AM577">
        <v>1E-4</v>
      </c>
      <c r="AN577">
        <v>2</v>
      </c>
      <c r="AO577">
        <v>2</v>
      </c>
      <c r="AP577">
        <v>11.63</v>
      </c>
      <c r="AQ577">
        <v>-2.67</v>
      </c>
      <c r="AR577">
        <v>41.45</v>
      </c>
      <c r="AS577">
        <v>1.59</v>
      </c>
      <c r="AT577" t="s">
        <v>3731</v>
      </c>
      <c r="AU577">
        <v>27.03</v>
      </c>
      <c r="AV577">
        <v>26.78</v>
      </c>
      <c r="AW577">
        <v>1.1299999999999999</v>
      </c>
      <c r="BA577">
        <v>-0.06</v>
      </c>
      <c r="BB577">
        <v>4.59</v>
      </c>
      <c r="BC577">
        <v>-0.16</v>
      </c>
      <c r="BD577">
        <v>3.57</v>
      </c>
      <c r="BE577">
        <v>4.24</v>
      </c>
      <c r="BF577">
        <v>-0.4</v>
      </c>
      <c r="BG577">
        <v>4.34</v>
      </c>
      <c r="BH577">
        <v>0.6</v>
      </c>
      <c r="BI577">
        <v>20191223</v>
      </c>
      <c r="BJ577">
        <v>20070306</v>
      </c>
      <c r="BK577">
        <v>22.26</v>
      </c>
      <c r="BL577" t="s">
        <v>116</v>
      </c>
      <c r="BM577" t="s">
        <v>116</v>
      </c>
      <c r="BN577">
        <v>196.02</v>
      </c>
      <c r="BO577">
        <v>127.62</v>
      </c>
      <c r="BP577">
        <v>0.25</v>
      </c>
      <c r="BQ577">
        <v>34.770000000000003</v>
      </c>
      <c r="BR577">
        <v>97.97</v>
      </c>
      <c r="BS577">
        <v>50.93</v>
      </c>
      <c r="BT577">
        <v>18.12</v>
      </c>
      <c r="BU577">
        <v>67.08</v>
      </c>
      <c r="BV577">
        <v>0.7</v>
      </c>
      <c r="BW577">
        <v>7.3</v>
      </c>
      <c r="BX577">
        <v>34.31</v>
      </c>
      <c r="BY577">
        <v>242.53</v>
      </c>
      <c r="BZ577">
        <v>207.66</v>
      </c>
      <c r="CA577">
        <v>26.72</v>
      </c>
      <c r="CB577">
        <v>1.73</v>
      </c>
      <c r="CC577">
        <v>26.31</v>
      </c>
      <c r="CD577">
        <v>19.25</v>
      </c>
      <c r="CE577">
        <v>19.55</v>
      </c>
      <c r="CF577">
        <v>17.850000000000001</v>
      </c>
      <c r="CG577">
        <v>67.790000000000006</v>
      </c>
      <c r="CH577">
        <v>25.97</v>
      </c>
      <c r="CI577">
        <v>-3.08</v>
      </c>
      <c r="CJ577">
        <v>15658</v>
      </c>
      <c r="CK577">
        <v>47477</v>
      </c>
      <c r="CL577" t="s">
        <v>3732</v>
      </c>
      <c r="CM577">
        <v>-1.29</v>
      </c>
      <c r="CN577">
        <v>162.26</v>
      </c>
      <c r="CO577">
        <v>5.66</v>
      </c>
      <c r="CP577">
        <v>27.82</v>
      </c>
      <c r="CQ577">
        <v>2.98</v>
      </c>
      <c r="CR577">
        <v>1.1299999999999999</v>
      </c>
      <c r="CS577" t="s">
        <v>3733</v>
      </c>
      <c r="CT577">
        <v>5.73</v>
      </c>
      <c r="CU577">
        <v>0</v>
      </c>
      <c r="CV577">
        <v>1.54</v>
      </c>
      <c r="CW577">
        <v>3.05</v>
      </c>
      <c r="CX577">
        <v>1.17</v>
      </c>
      <c r="CY577">
        <v>65.099999999999994</v>
      </c>
      <c r="CZ577" t="s">
        <v>3734</v>
      </c>
      <c r="DA577">
        <v>14.38</v>
      </c>
      <c r="DB577">
        <v>11.01</v>
      </c>
      <c r="DC577">
        <v>8.06</v>
      </c>
      <c r="DD577">
        <v>0.66</v>
      </c>
      <c r="DE577">
        <v>8723</v>
      </c>
      <c r="DF577">
        <v>2120</v>
      </c>
      <c r="DG577" t="s">
        <v>116</v>
      </c>
      <c r="DH577" t="s">
        <v>116</v>
      </c>
      <c r="DI577" t="s">
        <v>116</v>
      </c>
    </row>
    <row r="578" spans="1:113" x14ac:dyDescent="0.4">
      <c r="A578" t="str">
        <f>"002121"</f>
        <v>002121</v>
      </c>
      <c r="B578" t="s">
        <v>3735</v>
      </c>
      <c r="C578">
        <v>-0.68</v>
      </c>
      <c r="D578">
        <v>4.38</v>
      </c>
      <c r="E578">
        <v>-0.03</v>
      </c>
      <c r="F578">
        <v>4.38</v>
      </c>
      <c r="G578">
        <v>4.3899999999999997</v>
      </c>
      <c r="H578">
        <v>62558</v>
      </c>
      <c r="I578">
        <v>734</v>
      </c>
      <c r="J578">
        <v>-0.44</v>
      </c>
      <c r="K578">
        <v>0.67</v>
      </c>
      <c r="L578">
        <v>4.43</v>
      </c>
      <c r="M578">
        <v>4.4400000000000004</v>
      </c>
      <c r="N578">
        <v>4.37</v>
      </c>
      <c r="O578">
        <v>4.41</v>
      </c>
      <c r="P578" t="s">
        <v>116</v>
      </c>
      <c r="Q578">
        <v>27519330</v>
      </c>
      <c r="R578">
        <v>0.47</v>
      </c>
      <c r="S578" t="s">
        <v>2977</v>
      </c>
      <c r="T578" t="s">
        <v>115</v>
      </c>
      <c r="U578">
        <v>1.59</v>
      </c>
      <c r="V578">
        <v>4.4000000000000004</v>
      </c>
      <c r="W578">
        <v>39522</v>
      </c>
      <c r="X578">
        <v>23036</v>
      </c>
      <c r="Y578">
        <v>1.72</v>
      </c>
      <c r="Z578">
        <v>1020</v>
      </c>
      <c r="AA578">
        <v>693</v>
      </c>
      <c r="AB578" t="s">
        <v>116</v>
      </c>
      <c r="AC578">
        <v>137800</v>
      </c>
      <c r="AD578">
        <v>0.01</v>
      </c>
      <c r="AE578" t="s">
        <v>116</v>
      </c>
      <c r="AF578" t="s">
        <v>116</v>
      </c>
      <c r="AG578">
        <v>9.2899999999999991</v>
      </c>
      <c r="AH578" t="s">
        <v>3736</v>
      </c>
      <c r="AI578" t="s">
        <v>3737</v>
      </c>
      <c r="AJ578">
        <v>0</v>
      </c>
      <c r="AK578">
        <v>1107</v>
      </c>
      <c r="AL578">
        <v>57</v>
      </c>
      <c r="AM578">
        <v>5.9999999999999995E-4</v>
      </c>
      <c r="AN578">
        <v>-1</v>
      </c>
      <c r="AO578">
        <v>-1.35</v>
      </c>
      <c r="AP578">
        <v>7.62</v>
      </c>
      <c r="AQ578">
        <v>-8.18</v>
      </c>
      <c r="AR578">
        <v>-4.78</v>
      </c>
      <c r="AS578">
        <v>1.07</v>
      </c>
      <c r="AT578" t="s">
        <v>3738</v>
      </c>
      <c r="AU578" t="s">
        <v>116</v>
      </c>
      <c r="AV578" t="s">
        <v>116</v>
      </c>
      <c r="AW578">
        <v>1.24</v>
      </c>
      <c r="BA578">
        <v>0.45</v>
      </c>
      <c r="BB578">
        <v>0.68</v>
      </c>
      <c r="BC578">
        <v>-0.91</v>
      </c>
      <c r="BD578">
        <v>-0.25</v>
      </c>
      <c r="BE578">
        <v>-1.1299999999999999</v>
      </c>
      <c r="BF578">
        <v>-1.35</v>
      </c>
      <c r="BG578">
        <v>0.23</v>
      </c>
      <c r="BH578">
        <v>-0.43</v>
      </c>
      <c r="BI578">
        <v>20191203</v>
      </c>
      <c r="BJ578">
        <v>20070306</v>
      </c>
      <c r="BK578">
        <v>14.08</v>
      </c>
      <c r="BL578" t="s">
        <v>116</v>
      </c>
      <c r="BM578" t="s">
        <v>116</v>
      </c>
      <c r="BN578">
        <v>113.74</v>
      </c>
      <c r="BO578">
        <v>33.020000000000003</v>
      </c>
      <c r="BP578">
        <v>1.68</v>
      </c>
      <c r="BQ578">
        <v>69.489999999999995</v>
      </c>
      <c r="BR578">
        <v>58.41</v>
      </c>
      <c r="BS578">
        <v>25.22</v>
      </c>
      <c r="BT578">
        <v>5.8</v>
      </c>
      <c r="BU578">
        <v>64.5</v>
      </c>
      <c r="BV578">
        <v>12.69</v>
      </c>
      <c r="BW578">
        <v>20.21</v>
      </c>
      <c r="BX578">
        <v>19.03</v>
      </c>
      <c r="BY578">
        <v>23.41</v>
      </c>
      <c r="BZ578">
        <v>16.489999999999998</v>
      </c>
      <c r="CA578">
        <v>-1.49</v>
      </c>
      <c r="CB578">
        <v>2.34</v>
      </c>
      <c r="CC578">
        <v>-2.0299999999999998</v>
      </c>
      <c r="CD578">
        <v>-1.87</v>
      </c>
      <c r="CE578">
        <v>-1.94</v>
      </c>
      <c r="CF578">
        <v>-4.42</v>
      </c>
      <c r="CG578">
        <v>-1.47</v>
      </c>
      <c r="CH578">
        <v>0.39</v>
      </c>
      <c r="CI578">
        <v>-5.88</v>
      </c>
      <c r="CJ578">
        <v>73724</v>
      </c>
      <c r="CK578">
        <v>7960</v>
      </c>
      <c r="CL578" t="s">
        <v>3739</v>
      </c>
      <c r="CM578">
        <v>-1081.6300000000001</v>
      </c>
      <c r="CN578">
        <v>-21.34</v>
      </c>
      <c r="CO578">
        <v>1.87</v>
      </c>
      <c r="CP578">
        <v>156.43</v>
      </c>
      <c r="CQ578">
        <v>2.64</v>
      </c>
      <c r="CR578">
        <v>0</v>
      </c>
      <c r="CS578" t="s">
        <v>3740</v>
      </c>
      <c r="CT578">
        <v>2.34</v>
      </c>
      <c r="CU578">
        <v>0</v>
      </c>
      <c r="CV578">
        <v>1.35</v>
      </c>
      <c r="CW578">
        <v>-0.1</v>
      </c>
      <c r="CX578">
        <v>0.03</v>
      </c>
      <c r="CY578">
        <v>29.03</v>
      </c>
      <c r="CZ578" t="s">
        <v>3741</v>
      </c>
      <c r="DA578">
        <v>29.57</v>
      </c>
      <c r="DB578">
        <v>-6.37</v>
      </c>
      <c r="DC578">
        <v>-8.31</v>
      </c>
      <c r="DD578">
        <v>1.87</v>
      </c>
      <c r="DE578">
        <v>3975</v>
      </c>
      <c r="DF578">
        <v>2121</v>
      </c>
      <c r="DG578" t="s">
        <v>116</v>
      </c>
      <c r="DH578" t="s">
        <v>116</v>
      </c>
      <c r="DI578" t="s">
        <v>116</v>
      </c>
    </row>
    <row r="579" spans="1:113" x14ac:dyDescent="0.4">
      <c r="A579" t="str">
        <f>"002122"</f>
        <v>002122</v>
      </c>
      <c r="B579" t="s">
        <v>3742</v>
      </c>
      <c r="C579">
        <v>-3.41</v>
      </c>
      <c r="D579">
        <v>1.98</v>
      </c>
      <c r="E579">
        <v>-7.0000000000000007E-2</v>
      </c>
      <c r="F579">
        <v>1.98</v>
      </c>
      <c r="G579">
        <v>1.99</v>
      </c>
      <c r="H579">
        <v>110223</v>
      </c>
      <c r="I579">
        <v>1844</v>
      </c>
      <c r="J579">
        <v>-0.49</v>
      </c>
      <c r="K579">
        <v>0.93</v>
      </c>
      <c r="L579">
        <v>2.0499999999999998</v>
      </c>
      <c r="M579">
        <v>2.0499999999999998</v>
      </c>
      <c r="N579">
        <v>1.97</v>
      </c>
      <c r="O579">
        <v>2.0499999999999998</v>
      </c>
      <c r="P579" t="s">
        <v>116</v>
      </c>
      <c r="Q579">
        <v>22068466</v>
      </c>
      <c r="R579">
        <v>0.85</v>
      </c>
      <c r="S579" t="s">
        <v>996</v>
      </c>
      <c r="T579" t="s">
        <v>590</v>
      </c>
      <c r="U579">
        <v>3.9</v>
      </c>
      <c r="V579">
        <v>2</v>
      </c>
      <c r="W579">
        <v>68596</v>
      </c>
      <c r="X579">
        <v>41627</v>
      </c>
      <c r="Y579">
        <v>1.65</v>
      </c>
      <c r="Z579">
        <v>1659</v>
      </c>
      <c r="AA579">
        <v>564</v>
      </c>
      <c r="AB579" t="s">
        <v>116</v>
      </c>
      <c r="AC579">
        <v>283700</v>
      </c>
      <c r="AD579">
        <v>0.02</v>
      </c>
      <c r="AE579" t="s">
        <v>116</v>
      </c>
      <c r="AF579" t="s">
        <v>116</v>
      </c>
      <c r="AG579">
        <v>11.88</v>
      </c>
      <c r="AH579" t="s">
        <v>3743</v>
      </c>
      <c r="AI579" t="s">
        <v>3743</v>
      </c>
      <c r="AJ579">
        <v>-2.74</v>
      </c>
      <c r="AK579">
        <v>786</v>
      </c>
      <c r="AL579">
        <v>140</v>
      </c>
      <c r="AM579">
        <v>1.1999999999999999E-3</v>
      </c>
      <c r="AN579">
        <v>-1</v>
      </c>
      <c r="AO579">
        <v>-1.49</v>
      </c>
      <c r="AP579">
        <v>3.66</v>
      </c>
      <c r="AQ579">
        <v>-1</v>
      </c>
      <c r="AR579">
        <v>20</v>
      </c>
      <c r="AS579">
        <v>1.69</v>
      </c>
      <c r="AT579" t="s">
        <v>3744</v>
      </c>
      <c r="AU579" t="s">
        <v>116</v>
      </c>
      <c r="AV579" t="s">
        <v>116</v>
      </c>
      <c r="AW579">
        <v>0.61</v>
      </c>
      <c r="BA579">
        <v>0</v>
      </c>
      <c r="BB579">
        <v>0</v>
      </c>
      <c r="BC579">
        <v>-3.9</v>
      </c>
      <c r="BD579">
        <v>-2.33</v>
      </c>
      <c r="BE579">
        <v>-3.41</v>
      </c>
      <c r="BF579">
        <v>-3.41</v>
      </c>
      <c r="BG579">
        <v>0.51</v>
      </c>
      <c r="BH579">
        <v>-1.08</v>
      </c>
      <c r="BI579">
        <v>20191216</v>
      </c>
      <c r="BJ579">
        <v>20070328</v>
      </c>
      <c r="BK579">
        <v>11.88</v>
      </c>
      <c r="BL579" t="s">
        <v>116</v>
      </c>
      <c r="BM579" t="s">
        <v>116</v>
      </c>
      <c r="BN579">
        <v>72.53</v>
      </c>
      <c r="BO579">
        <v>26.89</v>
      </c>
      <c r="BP579">
        <v>2.62</v>
      </c>
      <c r="BQ579">
        <v>59.3</v>
      </c>
      <c r="BR579">
        <v>39.29</v>
      </c>
      <c r="BS579">
        <v>8.31</v>
      </c>
      <c r="BT579">
        <v>2</v>
      </c>
      <c r="BU579">
        <v>14.67</v>
      </c>
      <c r="BV579">
        <v>8.91</v>
      </c>
      <c r="BW579">
        <v>7.81</v>
      </c>
      <c r="BX579">
        <v>3.59</v>
      </c>
      <c r="BY579">
        <v>8.83</v>
      </c>
      <c r="BZ579">
        <v>7.86</v>
      </c>
      <c r="CA579">
        <v>-4.12</v>
      </c>
      <c r="CB579">
        <v>0.13</v>
      </c>
      <c r="CC579">
        <v>-5.74</v>
      </c>
      <c r="CD579">
        <v>-5.6</v>
      </c>
      <c r="CE579">
        <v>-5.62</v>
      </c>
      <c r="CF579">
        <v>-4.54</v>
      </c>
      <c r="CG579">
        <v>7.34</v>
      </c>
      <c r="CH579">
        <v>-0.59</v>
      </c>
      <c r="CI579">
        <v>1.3</v>
      </c>
      <c r="CJ579">
        <v>54575</v>
      </c>
      <c r="CK579">
        <v>11952</v>
      </c>
      <c r="CL579" t="s">
        <v>3745</v>
      </c>
      <c r="CM579">
        <v>-173.21</v>
      </c>
      <c r="CN579">
        <v>-35.26</v>
      </c>
      <c r="CO579">
        <v>0.87</v>
      </c>
      <c r="CP579">
        <v>-39.770000000000003</v>
      </c>
      <c r="CQ579">
        <v>2.66</v>
      </c>
      <c r="CR579">
        <v>0</v>
      </c>
      <c r="CS579" t="s">
        <v>3746</v>
      </c>
      <c r="CT579">
        <v>2.2599999999999998</v>
      </c>
      <c r="CU579">
        <v>0</v>
      </c>
      <c r="CV579">
        <v>0.3</v>
      </c>
      <c r="CW579">
        <v>0.62</v>
      </c>
      <c r="CX579">
        <v>-0.05</v>
      </c>
      <c r="CY579">
        <v>37.08</v>
      </c>
      <c r="CZ579" t="s">
        <v>3747</v>
      </c>
      <c r="DA579">
        <v>11.06</v>
      </c>
      <c r="DB579">
        <v>-46.6</v>
      </c>
      <c r="DC579">
        <v>-63.62</v>
      </c>
      <c r="DD579">
        <v>0.38</v>
      </c>
      <c r="DE579">
        <v>1843</v>
      </c>
      <c r="DF579">
        <v>2122</v>
      </c>
      <c r="DG579" t="s">
        <v>116</v>
      </c>
      <c r="DH579" t="s">
        <v>116</v>
      </c>
      <c r="DI579" t="s">
        <v>116</v>
      </c>
    </row>
    <row r="580" spans="1:113" x14ac:dyDescent="0.4">
      <c r="A580" t="str">
        <f>"002123"</f>
        <v>002123</v>
      </c>
      <c r="B580" t="s">
        <v>3748</v>
      </c>
      <c r="C580">
        <v>-1.33</v>
      </c>
      <c r="D580">
        <v>17.739999999999998</v>
      </c>
      <c r="E580">
        <v>-0.24</v>
      </c>
      <c r="F580">
        <v>17.73</v>
      </c>
      <c r="G580">
        <v>17.739999999999998</v>
      </c>
      <c r="H580">
        <v>299490</v>
      </c>
      <c r="I580">
        <v>2858</v>
      </c>
      <c r="J580">
        <v>0.11</v>
      </c>
      <c r="K580">
        <v>4.5199999999999996</v>
      </c>
      <c r="L580">
        <v>18</v>
      </c>
      <c r="M580">
        <v>18.399999999999999</v>
      </c>
      <c r="N580">
        <v>17.68</v>
      </c>
      <c r="O580">
        <v>17.98</v>
      </c>
      <c r="P580">
        <v>58.79</v>
      </c>
      <c r="Q580">
        <v>539724608</v>
      </c>
      <c r="R580">
        <v>1.1299999999999999</v>
      </c>
      <c r="S580" t="s">
        <v>1384</v>
      </c>
      <c r="T580" t="s">
        <v>115</v>
      </c>
      <c r="U580">
        <v>4</v>
      </c>
      <c r="V580">
        <v>18.02</v>
      </c>
      <c r="W580">
        <v>165470</v>
      </c>
      <c r="X580">
        <v>134020</v>
      </c>
      <c r="Y580">
        <v>1.23</v>
      </c>
      <c r="Z580">
        <v>32</v>
      </c>
      <c r="AA580">
        <v>544</v>
      </c>
      <c r="AB580" t="s">
        <v>116</v>
      </c>
      <c r="AC580">
        <v>1634400</v>
      </c>
      <c r="AD580">
        <v>0.02</v>
      </c>
      <c r="AE580" t="s">
        <v>116</v>
      </c>
      <c r="AF580" t="s">
        <v>116</v>
      </c>
      <c r="AG580">
        <v>6.62</v>
      </c>
      <c r="AH580" t="s">
        <v>3749</v>
      </c>
      <c r="AI580" t="s">
        <v>3750</v>
      </c>
      <c r="AJ580">
        <v>-0.66</v>
      </c>
      <c r="AK580">
        <v>3832</v>
      </c>
      <c r="AL580">
        <v>78</v>
      </c>
      <c r="AM580">
        <v>1.1999999999999999E-3</v>
      </c>
      <c r="AN580">
        <v>-5</v>
      </c>
      <c r="AO580">
        <v>-4.88</v>
      </c>
      <c r="AP580">
        <v>-19.87</v>
      </c>
      <c r="AQ580">
        <v>3.68</v>
      </c>
      <c r="AR580">
        <v>148.81</v>
      </c>
      <c r="AS580">
        <v>5.34</v>
      </c>
      <c r="AT580" t="s">
        <v>3751</v>
      </c>
      <c r="AU580">
        <v>131.80000000000001</v>
      </c>
      <c r="AV580">
        <v>181.55</v>
      </c>
      <c r="AW580">
        <v>0.82</v>
      </c>
      <c r="BA580">
        <v>0.11</v>
      </c>
      <c r="BB580">
        <v>2.34</v>
      </c>
      <c r="BC580">
        <v>-1.67</v>
      </c>
      <c r="BD580">
        <v>0.23</v>
      </c>
      <c r="BE580">
        <v>-1.44</v>
      </c>
      <c r="BF580">
        <v>-3.59</v>
      </c>
      <c r="BG580">
        <v>0.34</v>
      </c>
      <c r="BH580">
        <v>-1.57</v>
      </c>
      <c r="BI580">
        <v>20191118</v>
      </c>
      <c r="BJ580">
        <v>20070328</v>
      </c>
      <c r="BK580">
        <v>8.0399999999999991</v>
      </c>
      <c r="BL580" t="s">
        <v>116</v>
      </c>
      <c r="BM580" t="s">
        <v>116</v>
      </c>
      <c r="BN580">
        <v>66.58</v>
      </c>
      <c r="BO580">
        <v>46.64</v>
      </c>
      <c r="BP580">
        <v>0.33</v>
      </c>
      <c r="BQ580">
        <v>29.45</v>
      </c>
      <c r="BR580">
        <v>29.69</v>
      </c>
      <c r="BS580">
        <v>3.76</v>
      </c>
      <c r="BT580">
        <v>3.34</v>
      </c>
      <c r="BU580">
        <v>19.25</v>
      </c>
      <c r="BV580">
        <v>3.11</v>
      </c>
      <c r="BW580">
        <v>13.01</v>
      </c>
      <c r="BX580">
        <v>24.54</v>
      </c>
      <c r="BY580">
        <v>20.440000000000001</v>
      </c>
      <c r="BZ580">
        <v>15.42</v>
      </c>
      <c r="CA580">
        <v>2.08</v>
      </c>
      <c r="CB580">
        <v>0.13</v>
      </c>
      <c r="CC580">
        <v>2.0499999999999998</v>
      </c>
      <c r="CD580">
        <v>1.88</v>
      </c>
      <c r="CE580">
        <v>1.82</v>
      </c>
      <c r="CF580">
        <v>1.49</v>
      </c>
      <c r="CG580">
        <v>15.32</v>
      </c>
      <c r="CH580">
        <v>2.38</v>
      </c>
      <c r="CI580">
        <v>1.24</v>
      </c>
      <c r="CJ580">
        <v>41303</v>
      </c>
      <c r="CK580">
        <v>13581</v>
      </c>
      <c r="CL580" t="s">
        <v>3752</v>
      </c>
      <c r="CM580">
        <v>19.47</v>
      </c>
      <c r="CN580">
        <v>0.68</v>
      </c>
      <c r="CO580">
        <v>3.06</v>
      </c>
      <c r="CP580">
        <v>59.87</v>
      </c>
      <c r="CQ580">
        <v>6.98</v>
      </c>
      <c r="CR580">
        <v>0</v>
      </c>
      <c r="CS580" t="s">
        <v>3753</v>
      </c>
      <c r="CT580">
        <v>5.8</v>
      </c>
      <c r="CU580">
        <v>0</v>
      </c>
      <c r="CV580">
        <v>3.05</v>
      </c>
      <c r="CW580">
        <v>1.91</v>
      </c>
      <c r="CX580">
        <v>0.3</v>
      </c>
      <c r="CY580">
        <v>70.06</v>
      </c>
      <c r="CZ580" t="s">
        <v>3754</v>
      </c>
      <c r="DA580">
        <v>24.57</v>
      </c>
      <c r="DB580">
        <v>10.18</v>
      </c>
      <c r="DC580">
        <v>8.9</v>
      </c>
      <c r="DD580">
        <v>1.05</v>
      </c>
      <c r="DE580">
        <v>1305</v>
      </c>
      <c r="DF580">
        <v>2123</v>
      </c>
      <c r="DG580" t="s">
        <v>116</v>
      </c>
      <c r="DH580" t="s">
        <v>116</v>
      </c>
      <c r="DI580" t="s">
        <v>116</v>
      </c>
    </row>
    <row r="581" spans="1:113" x14ac:dyDescent="0.4">
      <c r="A581" t="str">
        <f>"002124"</f>
        <v>002124</v>
      </c>
      <c r="B581" t="s">
        <v>3755</v>
      </c>
      <c r="C581">
        <v>4.45</v>
      </c>
      <c r="D581">
        <v>12.45</v>
      </c>
      <c r="E581">
        <v>0.53</v>
      </c>
      <c r="F581">
        <v>12.45</v>
      </c>
      <c r="G581">
        <v>12.46</v>
      </c>
      <c r="H581">
        <v>556672</v>
      </c>
      <c r="I581">
        <v>5919</v>
      </c>
      <c r="J581">
        <v>-0.15</v>
      </c>
      <c r="K581">
        <v>5.92</v>
      </c>
      <c r="L581">
        <v>11.87</v>
      </c>
      <c r="M581">
        <v>12.72</v>
      </c>
      <c r="N581">
        <v>11.84</v>
      </c>
      <c r="O581">
        <v>11.92</v>
      </c>
      <c r="P581">
        <v>906.82</v>
      </c>
      <c r="Q581">
        <v>685524544</v>
      </c>
      <c r="R581">
        <v>1.72</v>
      </c>
      <c r="S581" t="s">
        <v>389</v>
      </c>
      <c r="T581" t="s">
        <v>590</v>
      </c>
      <c r="U581">
        <v>7.38</v>
      </c>
      <c r="V581">
        <v>12.31</v>
      </c>
      <c r="W581">
        <v>229533</v>
      </c>
      <c r="X581">
        <v>327139</v>
      </c>
      <c r="Y581">
        <v>0.7</v>
      </c>
      <c r="Z581">
        <v>22</v>
      </c>
      <c r="AA581">
        <v>2196</v>
      </c>
      <c r="AB581" t="s">
        <v>116</v>
      </c>
      <c r="AC581">
        <v>1711700</v>
      </c>
      <c r="AD581">
        <v>0.02</v>
      </c>
      <c r="AE581" t="s">
        <v>116</v>
      </c>
      <c r="AF581" t="s">
        <v>116</v>
      </c>
      <c r="AG581">
        <v>9.41</v>
      </c>
      <c r="AH581" t="s">
        <v>3756</v>
      </c>
      <c r="AI581" t="s">
        <v>3757</v>
      </c>
      <c r="AJ581">
        <v>5.13</v>
      </c>
      <c r="AK581">
        <v>4215</v>
      </c>
      <c r="AL581">
        <v>132</v>
      </c>
      <c r="AM581">
        <v>1.4E-3</v>
      </c>
      <c r="AN581">
        <v>2</v>
      </c>
      <c r="AO581">
        <v>4.45</v>
      </c>
      <c r="AP581">
        <v>-2.89</v>
      </c>
      <c r="AQ581">
        <v>13.18</v>
      </c>
      <c r="AR581">
        <v>83.09</v>
      </c>
      <c r="AS581">
        <v>7.21</v>
      </c>
      <c r="AT581" t="s">
        <v>3758</v>
      </c>
      <c r="AU581" t="s">
        <v>116</v>
      </c>
      <c r="AV581" t="s">
        <v>116</v>
      </c>
      <c r="AW581">
        <v>0.53</v>
      </c>
      <c r="BA581">
        <v>-0.42</v>
      </c>
      <c r="BB581">
        <v>6.71</v>
      </c>
      <c r="BC581">
        <v>-0.67</v>
      </c>
      <c r="BD581">
        <v>3.31</v>
      </c>
      <c r="BE581">
        <v>4.8899999999999997</v>
      </c>
      <c r="BF581">
        <v>-2.12</v>
      </c>
      <c r="BG581">
        <v>5.15</v>
      </c>
      <c r="BH581">
        <v>1.1399999999999999</v>
      </c>
      <c r="BI581">
        <v>20191018</v>
      </c>
      <c r="BJ581">
        <v>20070403</v>
      </c>
      <c r="BK581">
        <v>11.6</v>
      </c>
      <c r="BL581" t="s">
        <v>116</v>
      </c>
      <c r="BM581" t="s">
        <v>116</v>
      </c>
      <c r="BN581">
        <v>68.05</v>
      </c>
      <c r="BO581">
        <v>23.93</v>
      </c>
      <c r="BP581">
        <v>0.21</v>
      </c>
      <c r="BQ581">
        <v>64.53</v>
      </c>
      <c r="BR581">
        <v>23.79</v>
      </c>
      <c r="BS581">
        <v>25.72</v>
      </c>
      <c r="BT581">
        <v>1.06</v>
      </c>
      <c r="BU581">
        <v>38.61</v>
      </c>
      <c r="BV581">
        <v>9.39</v>
      </c>
      <c r="BW581">
        <v>1.3</v>
      </c>
      <c r="BX581">
        <v>9.8699999999999992</v>
      </c>
      <c r="BY581">
        <v>44.54</v>
      </c>
      <c r="BZ581">
        <v>39.799999999999997</v>
      </c>
      <c r="CA581">
        <v>1.22</v>
      </c>
      <c r="CB581">
        <v>2.19</v>
      </c>
      <c r="CC581">
        <v>0.44</v>
      </c>
      <c r="CD581">
        <v>0.14000000000000001</v>
      </c>
      <c r="CE581">
        <v>0.12</v>
      </c>
      <c r="CF581">
        <v>-1.05</v>
      </c>
      <c r="CG581">
        <v>2</v>
      </c>
      <c r="CH581">
        <v>0.62</v>
      </c>
      <c r="CI581">
        <v>1.7</v>
      </c>
      <c r="CJ581">
        <v>69043</v>
      </c>
      <c r="CK581">
        <v>11180</v>
      </c>
      <c r="CL581" t="s">
        <v>3759</v>
      </c>
      <c r="CM581">
        <v>-90.12</v>
      </c>
      <c r="CN581">
        <v>40.119999999999997</v>
      </c>
      <c r="CO581">
        <v>6.03</v>
      </c>
      <c r="CP581">
        <v>232.23</v>
      </c>
      <c r="CQ581">
        <v>3.24</v>
      </c>
      <c r="CR581">
        <v>0</v>
      </c>
      <c r="CS581" t="s">
        <v>888</v>
      </c>
      <c r="CT581">
        <v>2.06</v>
      </c>
      <c r="CU581">
        <v>0</v>
      </c>
      <c r="CV581">
        <v>0.85</v>
      </c>
      <c r="CW581">
        <v>0.17</v>
      </c>
      <c r="CX581">
        <v>0.05</v>
      </c>
      <c r="CY581">
        <v>35.17</v>
      </c>
      <c r="CZ581" t="s">
        <v>3760</v>
      </c>
      <c r="DA581">
        <v>10.64</v>
      </c>
      <c r="DB581">
        <v>2.73</v>
      </c>
      <c r="DC581">
        <v>0.27</v>
      </c>
      <c r="DD581">
        <v>0.71</v>
      </c>
      <c r="DE581">
        <v>4397</v>
      </c>
      <c r="DF581">
        <v>2124</v>
      </c>
      <c r="DG581" t="s">
        <v>116</v>
      </c>
      <c r="DH581" t="s">
        <v>116</v>
      </c>
      <c r="DI581" t="s">
        <v>116</v>
      </c>
    </row>
    <row r="582" spans="1:113" x14ac:dyDescent="0.4">
      <c r="A582" t="str">
        <f>"002125"</f>
        <v>002125</v>
      </c>
      <c r="B582" t="s">
        <v>3761</v>
      </c>
      <c r="C582">
        <v>0.4</v>
      </c>
      <c r="D582">
        <v>5.07</v>
      </c>
      <c r="E582">
        <v>0.02</v>
      </c>
      <c r="F582">
        <v>5.0599999999999996</v>
      </c>
      <c r="G582">
        <v>5.07</v>
      </c>
      <c r="H582">
        <v>105665</v>
      </c>
      <c r="I582">
        <v>1261</v>
      </c>
      <c r="J582">
        <v>0.2</v>
      </c>
      <c r="K582">
        <v>1.91</v>
      </c>
      <c r="L582">
        <v>5.0599999999999996</v>
      </c>
      <c r="M582">
        <v>5.23</v>
      </c>
      <c r="N582">
        <v>4.99</v>
      </c>
      <c r="O582">
        <v>5.05</v>
      </c>
      <c r="P582">
        <v>28.09</v>
      </c>
      <c r="Q582">
        <v>53858836</v>
      </c>
      <c r="R582">
        <v>0.78</v>
      </c>
      <c r="S582" t="s">
        <v>891</v>
      </c>
      <c r="T582" t="s">
        <v>599</v>
      </c>
      <c r="U582">
        <v>4.75</v>
      </c>
      <c r="V582">
        <v>5.0999999999999996</v>
      </c>
      <c r="W582">
        <v>51458</v>
      </c>
      <c r="X582">
        <v>54207</v>
      </c>
      <c r="Y582">
        <v>0.95</v>
      </c>
      <c r="Z582">
        <v>913</v>
      </c>
      <c r="AA582">
        <v>391</v>
      </c>
      <c r="AB582" t="s">
        <v>116</v>
      </c>
      <c r="AC582">
        <v>91100</v>
      </c>
      <c r="AD582">
        <v>0.01</v>
      </c>
      <c r="AE582" t="s">
        <v>116</v>
      </c>
      <c r="AF582" t="s">
        <v>116</v>
      </c>
      <c r="AG582">
        <v>5.53</v>
      </c>
      <c r="AH582" t="s">
        <v>3299</v>
      </c>
      <c r="AI582" t="s">
        <v>3299</v>
      </c>
      <c r="AJ582">
        <v>1.07</v>
      </c>
      <c r="AK582">
        <v>1469</v>
      </c>
      <c r="AL582">
        <v>72</v>
      </c>
      <c r="AM582">
        <v>1.2999999999999999E-3</v>
      </c>
      <c r="AN582">
        <v>1</v>
      </c>
      <c r="AO582">
        <v>-0.97</v>
      </c>
      <c r="AP582">
        <v>10.94</v>
      </c>
      <c r="AQ582">
        <v>-1.17</v>
      </c>
      <c r="AR582">
        <v>22.72</v>
      </c>
      <c r="AS582">
        <v>3.88</v>
      </c>
      <c r="AT582" t="s">
        <v>3687</v>
      </c>
      <c r="AU582">
        <v>33.61</v>
      </c>
      <c r="AV582">
        <v>39.630000000000003</v>
      </c>
      <c r="AW582">
        <v>0.83</v>
      </c>
      <c r="BA582">
        <v>0.2</v>
      </c>
      <c r="BB582">
        <v>3.56</v>
      </c>
      <c r="BC582">
        <v>-1.19</v>
      </c>
      <c r="BD582">
        <v>0.93</v>
      </c>
      <c r="BE582">
        <v>0.2</v>
      </c>
      <c r="BF582">
        <v>-3.06</v>
      </c>
      <c r="BG582">
        <v>1.6</v>
      </c>
      <c r="BH582">
        <v>-0.54</v>
      </c>
      <c r="BI582">
        <v>20191225</v>
      </c>
      <c r="BJ582">
        <v>20070403</v>
      </c>
      <c r="BK582">
        <v>5.53</v>
      </c>
      <c r="BL582" t="s">
        <v>116</v>
      </c>
      <c r="BM582" t="s">
        <v>116</v>
      </c>
      <c r="BN582">
        <v>34.770000000000003</v>
      </c>
      <c r="BO582">
        <v>12.08</v>
      </c>
      <c r="BP582">
        <v>0.16</v>
      </c>
      <c r="BQ582">
        <v>64.819999999999993</v>
      </c>
      <c r="BR582">
        <v>12.2</v>
      </c>
      <c r="BS582">
        <v>17.38</v>
      </c>
      <c r="BT582">
        <v>2.12</v>
      </c>
      <c r="BU582">
        <v>16.89</v>
      </c>
      <c r="BV582">
        <v>4.57</v>
      </c>
      <c r="BW582">
        <v>3.01</v>
      </c>
      <c r="BX582">
        <v>4.62</v>
      </c>
      <c r="BY582">
        <v>9.1300000000000008</v>
      </c>
      <c r="BZ582">
        <v>6.78</v>
      </c>
      <c r="CA582">
        <v>0.86</v>
      </c>
      <c r="CB582">
        <v>0.1</v>
      </c>
      <c r="CC582">
        <v>0.84</v>
      </c>
      <c r="CD582">
        <v>0.75</v>
      </c>
      <c r="CE582">
        <v>0.75</v>
      </c>
      <c r="CF582">
        <v>0.74</v>
      </c>
      <c r="CG582">
        <v>1.71</v>
      </c>
      <c r="CH582">
        <v>1.3</v>
      </c>
      <c r="CI582">
        <v>0.28999999999999998</v>
      </c>
      <c r="CJ582">
        <v>29995</v>
      </c>
      <c r="CK582">
        <v>9084</v>
      </c>
      <c r="CL582" t="s">
        <v>1438</v>
      </c>
      <c r="CM582">
        <v>20.399999999999999</v>
      </c>
      <c r="CN582">
        <v>19.420000000000002</v>
      </c>
      <c r="CO582">
        <v>2.3199999999999998</v>
      </c>
      <c r="CP582">
        <v>21.63</v>
      </c>
      <c r="CQ582">
        <v>3.07</v>
      </c>
      <c r="CR582">
        <v>0.74</v>
      </c>
      <c r="CS582" t="s">
        <v>2750</v>
      </c>
      <c r="CT582">
        <v>2.1800000000000002</v>
      </c>
      <c r="CU582">
        <v>0</v>
      </c>
      <c r="CV582">
        <v>0.84</v>
      </c>
      <c r="CW582">
        <v>0.31</v>
      </c>
      <c r="CX582">
        <v>0.23</v>
      </c>
      <c r="CY582">
        <v>34.729999999999997</v>
      </c>
      <c r="CZ582" t="s">
        <v>2123</v>
      </c>
      <c r="DA582">
        <v>25.73</v>
      </c>
      <c r="DB582">
        <v>9.41</v>
      </c>
      <c r="DC582">
        <v>8.1999999999999993</v>
      </c>
      <c r="DD582">
        <v>0.05</v>
      </c>
      <c r="DE582">
        <v>1326</v>
      </c>
      <c r="DF582">
        <v>2125</v>
      </c>
      <c r="DG582" t="s">
        <v>116</v>
      </c>
      <c r="DH582" t="s">
        <v>116</v>
      </c>
      <c r="DI582" t="s">
        <v>116</v>
      </c>
    </row>
    <row r="583" spans="1:113" x14ac:dyDescent="0.4">
      <c r="A583" t="str">
        <f>"002126"</f>
        <v>002126</v>
      </c>
      <c r="B583" t="s">
        <v>3762</v>
      </c>
      <c r="C583">
        <v>0.39</v>
      </c>
      <c r="D583">
        <v>7.75</v>
      </c>
      <c r="E583">
        <v>0.03</v>
      </c>
      <c r="F583">
        <v>7.74</v>
      </c>
      <c r="G583">
        <v>7.75</v>
      </c>
      <c r="H583">
        <v>119407</v>
      </c>
      <c r="I583">
        <v>646</v>
      </c>
      <c r="J583">
        <v>0</v>
      </c>
      <c r="K583">
        <v>1.58</v>
      </c>
      <c r="L583">
        <v>7.74</v>
      </c>
      <c r="M583">
        <v>7.94</v>
      </c>
      <c r="N583">
        <v>7.67</v>
      </c>
      <c r="O583">
        <v>7.72</v>
      </c>
      <c r="P583">
        <v>18</v>
      </c>
      <c r="Q583">
        <v>93509504</v>
      </c>
      <c r="R583">
        <v>1.53</v>
      </c>
      <c r="S583" t="s">
        <v>293</v>
      </c>
      <c r="T583" t="s">
        <v>590</v>
      </c>
      <c r="U583">
        <v>3.5</v>
      </c>
      <c r="V583">
        <v>7.83</v>
      </c>
      <c r="W583">
        <v>47949</v>
      </c>
      <c r="X583">
        <v>71458</v>
      </c>
      <c r="Y583">
        <v>0.67</v>
      </c>
      <c r="Z583">
        <v>367</v>
      </c>
      <c r="AA583">
        <v>148</v>
      </c>
      <c r="AB583" t="s">
        <v>116</v>
      </c>
      <c r="AC583">
        <v>174900</v>
      </c>
      <c r="AD583">
        <v>0</v>
      </c>
      <c r="AE583" t="s">
        <v>116</v>
      </c>
      <c r="AF583" t="s">
        <v>116</v>
      </c>
      <c r="AG583">
        <v>7.58</v>
      </c>
      <c r="AH583" t="s">
        <v>3763</v>
      </c>
      <c r="AI583" t="s">
        <v>3764</v>
      </c>
      <c r="AJ583">
        <v>1.07</v>
      </c>
      <c r="AK583">
        <v>2893</v>
      </c>
      <c r="AL583">
        <v>41</v>
      </c>
      <c r="AM583">
        <v>5.0000000000000001E-4</v>
      </c>
      <c r="AN583">
        <v>1</v>
      </c>
      <c r="AO583">
        <v>2.79</v>
      </c>
      <c r="AP583">
        <v>13.3</v>
      </c>
      <c r="AQ583">
        <v>6.6</v>
      </c>
      <c r="AR583">
        <v>4.87</v>
      </c>
      <c r="AS583">
        <v>1.85</v>
      </c>
      <c r="AT583" t="s">
        <v>3765</v>
      </c>
      <c r="AU583">
        <v>19.11</v>
      </c>
      <c r="AV583">
        <v>17.579999999999998</v>
      </c>
      <c r="AW583">
        <v>0.77</v>
      </c>
      <c r="BA583">
        <v>0.26</v>
      </c>
      <c r="BB583">
        <v>2.85</v>
      </c>
      <c r="BC583">
        <v>-0.65</v>
      </c>
      <c r="BD583">
        <v>1.44</v>
      </c>
      <c r="BE583">
        <v>0.13</v>
      </c>
      <c r="BF583">
        <v>-2.39</v>
      </c>
      <c r="BG583">
        <v>1.04</v>
      </c>
      <c r="BH583">
        <v>-1.05</v>
      </c>
      <c r="BI583">
        <v>20191030</v>
      </c>
      <c r="BJ583">
        <v>20070418</v>
      </c>
      <c r="BK583">
        <v>7.92</v>
      </c>
      <c r="BL583" t="s">
        <v>116</v>
      </c>
      <c r="BM583" t="s">
        <v>116</v>
      </c>
      <c r="BN583">
        <v>80.760000000000005</v>
      </c>
      <c r="BO583">
        <v>37.31</v>
      </c>
      <c r="BP583">
        <v>3.91</v>
      </c>
      <c r="BQ583">
        <v>48.97</v>
      </c>
      <c r="BR583">
        <v>44.68</v>
      </c>
      <c r="BS583">
        <v>18.510000000000002</v>
      </c>
      <c r="BT583">
        <v>4.43</v>
      </c>
      <c r="BU583">
        <v>35.97</v>
      </c>
      <c r="BV583">
        <v>9.7200000000000006</v>
      </c>
      <c r="BW583">
        <v>15.87</v>
      </c>
      <c r="BX583">
        <v>10.39</v>
      </c>
      <c r="BY583">
        <v>38.57</v>
      </c>
      <c r="BZ583">
        <v>29.3</v>
      </c>
      <c r="CA583">
        <v>3.1</v>
      </c>
      <c r="CB583">
        <v>0.43</v>
      </c>
      <c r="CC583">
        <v>3.07</v>
      </c>
      <c r="CD583">
        <v>2.76</v>
      </c>
      <c r="CE583">
        <v>2.56</v>
      </c>
      <c r="CF583">
        <v>1.63</v>
      </c>
      <c r="CG583">
        <v>17.72</v>
      </c>
      <c r="CH583">
        <v>3.42</v>
      </c>
      <c r="CI583">
        <v>-1.0900000000000001</v>
      </c>
      <c r="CJ583">
        <v>33092</v>
      </c>
      <c r="CK583">
        <v>19497</v>
      </c>
      <c r="CL583" t="s">
        <v>3766</v>
      </c>
      <c r="CM583">
        <v>-9.84</v>
      </c>
      <c r="CN583">
        <v>1.1299999999999999</v>
      </c>
      <c r="CO583">
        <v>1.66</v>
      </c>
      <c r="CP583">
        <v>17.93</v>
      </c>
      <c r="CQ583">
        <v>1.59</v>
      </c>
      <c r="CR583">
        <v>0.65</v>
      </c>
      <c r="CS583" t="s">
        <v>3767</v>
      </c>
      <c r="CT583">
        <v>4.66</v>
      </c>
      <c r="CU583">
        <v>4.66</v>
      </c>
      <c r="CV583">
        <v>1.31</v>
      </c>
      <c r="CW583">
        <v>2.2400000000000002</v>
      </c>
      <c r="CX583">
        <v>0.43</v>
      </c>
      <c r="CY583">
        <v>46.2</v>
      </c>
      <c r="CZ583" t="s">
        <v>3768</v>
      </c>
      <c r="DA583">
        <v>24.04</v>
      </c>
      <c r="DB583">
        <v>8.0500000000000007</v>
      </c>
      <c r="DC583">
        <v>6.63</v>
      </c>
      <c r="DD583">
        <v>1.75</v>
      </c>
      <c r="DE583">
        <v>6564</v>
      </c>
      <c r="DF583">
        <v>2126</v>
      </c>
      <c r="DG583" t="s">
        <v>116</v>
      </c>
      <c r="DH583" t="s">
        <v>116</v>
      </c>
      <c r="DI583" t="s">
        <v>116</v>
      </c>
    </row>
    <row r="584" spans="1:113" x14ac:dyDescent="0.4">
      <c r="A584" t="str">
        <f>"002127"</f>
        <v>002127</v>
      </c>
      <c r="B584" t="s">
        <v>3769</v>
      </c>
      <c r="C584">
        <v>-0.18</v>
      </c>
      <c r="D584">
        <v>10.82</v>
      </c>
      <c r="E584">
        <v>-0.02</v>
      </c>
      <c r="F584">
        <v>10.81</v>
      </c>
      <c r="G584">
        <v>10.82</v>
      </c>
      <c r="H584">
        <v>230216</v>
      </c>
      <c r="I584">
        <v>1294</v>
      </c>
      <c r="J584">
        <v>0.46</v>
      </c>
      <c r="K584">
        <v>1.21</v>
      </c>
      <c r="L584">
        <v>11.1</v>
      </c>
      <c r="M584">
        <v>11.25</v>
      </c>
      <c r="N584">
        <v>10.72</v>
      </c>
      <c r="O584">
        <v>10.84</v>
      </c>
      <c r="P584">
        <v>33.090000000000003</v>
      </c>
      <c r="Q584">
        <v>253738080</v>
      </c>
      <c r="R584">
        <v>1.04</v>
      </c>
      <c r="S584" t="s">
        <v>1384</v>
      </c>
      <c r="T584" t="s">
        <v>323</v>
      </c>
      <c r="U584">
        <v>4.8899999999999997</v>
      </c>
      <c r="V584">
        <v>11.02</v>
      </c>
      <c r="W584">
        <v>115364</v>
      </c>
      <c r="X584">
        <v>114852</v>
      </c>
      <c r="Y584">
        <v>1</v>
      </c>
      <c r="Z584">
        <v>161</v>
      </c>
      <c r="AA584">
        <v>501</v>
      </c>
      <c r="AB584" t="s">
        <v>116</v>
      </c>
      <c r="AC584">
        <v>2216900</v>
      </c>
      <c r="AD584">
        <v>0.01</v>
      </c>
      <c r="AE584" t="s">
        <v>116</v>
      </c>
      <c r="AF584" t="s">
        <v>116</v>
      </c>
      <c r="AG584">
        <v>18.96</v>
      </c>
      <c r="AH584" t="s">
        <v>3770</v>
      </c>
      <c r="AI584" t="s">
        <v>3771</v>
      </c>
      <c r="AJ584">
        <v>0.49</v>
      </c>
      <c r="AK584">
        <v>3661</v>
      </c>
      <c r="AL584">
        <v>63</v>
      </c>
      <c r="AM584">
        <v>2.9999999999999997E-4</v>
      </c>
      <c r="AN584">
        <v>-1</v>
      </c>
      <c r="AO584">
        <v>1.03</v>
      </c>
      <c r="AP584">
        <v>-2.4300000000000002</v>
      </c>
      <c r="AQ584">
        <v>1.6</v>
      </c>
      <c r="AR584">
        <v>43.88</v>
      </c>
      <c r="AS584">
        <v>1.4</v>
      </c>
      <c r="AT584" t="s">
        <v>3772</v>
      </c>
      <c r="AU584">
        <v>25.56</v>
      </c>
      <c r="AV584">
        <v>29.96</v>
      </c>
      <c r="AW584">
        <v>1.33</v>
      </c>
      <c r="BA584">
        <v>2.4</v>
      </c>
      <c r="BB584">
        <v>3.78</v>
      </c>
      <c r="BC584">
        <v>-1.1100000000000001</v>
      </c>
      <c r="BD584">
        <v>1.68</v>
      </c>
      <c r="BE584">
        <v>-2.52</v>
      </c>
      <c r="BF584">
        <v>-3.82</v>
      </c>
      <c r="BG584">
        <v>0.93</v>
      </c>
      <c r="BH584">
        <v>-1.86</v>
      </c>
      <c r="BI584">
        <v>20191018</v>
      </c>
      <c r="BJ584">
        <v>20070418</v>
      </c>
      <c r="BK584">
        <v>24.55</v>
      </c>
      <c r="BL584" t="s">
        <v>116</v>
      </c>
      <c r="BM584" t="s">
        <v>116</v>
      </c>
      <c r="BN584">
        <v>48.06</v>
      </c>
      <c r="BO584">
        <v>42.51</v>
      </c>
      <c r="BP584">
        <v>0</v>
      </c>
      <c r="BQ584">
        <v>11.56</v>
      </c>
      <c r="BR584">
        <v>33.22</v>
      </c>
      <c r="BS584">
        <v>0.02</v>
      </c>
      <c r="BT584">
        <v>5.61</v>
      </c>
      <c r="BU584">
        <v>5.55</v>
      </c>
      <c r="BV584">
        <v>0.05</v>
      </c>
      <c r="BW584">
        <v>9.76</v>
      </c>
      <c r="BX584">
        <v>14.75</v>
      </c>
      <c r="BY584">
        <v>26.47</v>
      </c>
      <c r="BZ584">
        <v>18.75</v>
      </c>
      <c r="CA584">
        <v>6.29</v>
      </c>
      <c r="CB584">
        <v>0.23</v>
      </c>
      <c r="CC584">
        <v>6.46</v>
      </c>
      <c r="CD584">
        <v>6.02</v>
      </c>
      <c r="CE584">
        <v>6.02</v>
      </c>
      <c r="CF584">
        <v>5.66</v>
      </c>
      <c r="CG584">
        <v>23.78</v>
      </c>
      <c r="CH584">
        <v>2.92</v>
      </c>
      <c r="CI584">
        <v>-8.74</v>
      </c>
      <c r="CJ584">
        <v>17713</v>
      </c>
      <c r="CK584">
        <v>92534</v>
      </c>
      <c r="CL584" t="s">
        <v>3773</v>
      </c>
      <c r="CM584">
        <v>33.96</v>
      </c>
      <c r="CN584">
        <v>29.45</v>
      </c>
      <c r="CO584">
        <v>6.25</v>
      </c>
      <c r="CP584">
        <v>90.99</v>
      </c>
      <c r="CQ584">
        <v>10.029999999999999</v>
      </c>
      <c r="CR584">
        <v>0</v>
      </c>
      <c r="CS584" t="s">
        <v>3774</v>
      </c>
      <c r="CT584">
        <v>1.73</v>
      </c>
      <c r="CU584">
        <v>0</v>
      </c>
      <c r="CV584">
        <v>0.6</v>
      </c>
      <c r="CW584">
        <v>0.97</v>
      </c>
      <c r="CX584">
        <v>0.12</v>
      </c>
      <c r="CY584">
        <v>88.44</v>
      </c>
      <c r="CZ584" t="s">
        <v>3775</v>
      </c>
      <c r="DA584">
        <v>29.18</v>
      </c>
      <c r="DB584">
        <v>23.74</v>
      </c>
      <c r="DC584">
        <v>22.74</v>
      </c>
      <c r="DD584">
        <v>0.28000000000000003</v>
      </c>
      <c r="DE584">
        <v>584</v>
      </c>
      <c r="DF584">
        <v>2127</v>
      </c>
      <c r="DG584" t="s">
        <v>116</v>
      </c>
      <c r="DH584" t="s">
        <v>116</v>
      </c>
      <c r="DI584" t="s">
        <v>116</v>
      </c>
    </row>
    <row r="585" spans="1:113" x14ac:dyDescent="0.4">
      <c r="A585" t="str">
        <f>"002128"</f>
        <v>002128</v>
      </c>
      <c r="B585" t="s">
        <v>3776</v>
      </c>
      <c r="C585">
        <v>0.96</v>
      </c>
      <c r="D585">
        <v>8.41</v>
      </c>
      <c r="E585">
        <v>0.08</v>
      </c>
      <c r="F585">
        <v>8.41</v>
      </c>
      <c r="G585">
        <v>8.42</v>
      </c>
      <c r="H585">
        <v>169101</v>
      </c>
      <c r="I585">
        <v>1104</v>
      </c>
      <c r="J585">
        <v>-0.23</v>
      </c>
      <c r="K585">
        <v>1.03</v>
      </c>
      <c r="L585">
        <v>8.36</v>
      </c>
      <c r="M585">
        <v>8.56</v>
      </c>
      <c r="N585">
        <v>8.33</v>
      </c>
      <c r="O585">
        <v>8.33</v>
      </c>
      <c r="P585">
        <v>6.18</v>
      </c>
      <c r="Q585">
        <v>142878464</v>
      </c>
      <c r="R585">
        <v>2.2200000000000002</v>
      </c>
      <c r="S585" t="s">
        <v>1121</v>
      </c>
      <c r="T585" t="s">
        <v>796</v>
      </c>
      <c r="U585">
        <v>2.76</v>
      </c>
      <c r="V585">
        <v>8.4499999999999993</v>
      </c>
      <c r="W585">
        <v>78050</v>
      </c>
      <c r="X585">
        <v>91051</v>
      </c>
      <c r="Y585">
        <v>0.86</v>
      </c>
      <c r="Z585">
        <v>1246</v>
      </c>
      <c r="AA585">
        <v>763</v>
      </c>
      <c r="AB585" t="s">
        <v>116</v>
      </c>
      <c r="AC585">
        <v>887000</v>
      </c>
      <c r="AD585">
        <v>0.02</v>
      </c>
      <c r="AE585" t="s">
        <v>116</v>
      </c>
      <c r="AF585" t="s">
        <v>116</v>
      </c>
      <c r="AG585">
        <v>16.34</v>
      </c>
      <c r="AH585" t="s">
        <v>3777</v>
      </c>
      <c r="AI585" t="s">
        <v>3778</v>
      </c>
      <c r="AJ585">
        <v>1.64</v>
      </c>
      <c r="AK585">
        <v>2651</v>
      </c>
      <c r="AL585">
        <v>64</v>
      </c>
      <c r="AM585">
        <v>4.0000000000000002E-4</v>
      </c>
      <c r="AN585">
        <v>2</v>
      </c>
      <c r="AO585">
        <v>0.96</v>
      </c>
      <c r="AP585">
        <v>2.81</v>
      </c>
      <c r="AQ585">
        <v>6.59</v>
      </c>
      <c r="AR585">
        <v>24.41</v>
      </c>
      <c r="AS585">
        <v>2.95</v>
      </c>
      <c r="AT585" t="s">
        <v>3779</v>
      </c>
      <c r="AU585">
        <v>6.86</v>
      </c>
      <c r="AV585">
        <v>7.97</v>
      </c>
      <c r="AW585">
        <v>0.64</v>
      </c>
      <c r="BA585">
        <v>0.36</v>
      </c>
      <c r="BB585">
        <v>2.76</v>
      </c>
      <c r="BC585">
        <v>0</v>
      </c>
      <c r="BD585">
        <v>1.43</v>
      </c>
      <c r="BE585">
        <v>0.6</v>
      </c>
      <c r="BF585">
        <v>-1.75</v>
      </c>
      <c r="BG585">
        <v>0.96</v>
      </c>
      <c r="BH585">
        <v>-0.47</v>
      </c>
      <c r="BI585">
        <v>20191023</v>
      </c>
      <c r="BJ585">
        <v>20070418</v>
      </c>
      <c r="BK585">
        <v>19.22</v>
      </c>
      <c r="BL585" t="s">
        <v>116</v>
      </c>
      <c r="BM585" t="s">
        <v>116</v>
      </c>
      <c r="BN585">
        <v>344.62</v>
      </c>
      <c r="BO585">
        <v>157.91999999999999</v>
      </c>
      <c r="BP585">
        <v>24.56</v>
      </c>
      <c r="BQ585">
        <v>47.05</v>
      </c>
      <c r="BR585">
        <v>97.85</v>
      </c>
      <c r="BS585">
        <v>200.34</v>
      </c>
      <c r="BT585">
        <v>10.82</v>
      </c>
      <c r="BU585">
        <v>119.1</v>
      </c>
      <c r="BV585">
        <v>13.48</v>
      </c>
      <c r="BW585">
        <v>26.22</v>
      </c>
      <c r="BX585">
        <v>25.43</v>
      </c>
      <c r="BY585">
        <v>142.19</v>
      </c>
      <c r="BZ585">
        <v>102.74</v>
      </c>
      <c r="CA585">
        <v>25.55</v>
      </c>
      <c r="CB585">
        <v>0.66</v>
      </c>
      <c r="CC585">
        <v>25.26</v>
      </c>
      <c r="CD585">
        <v>21.3</v>
      </c>
      <c r="CE585">
        <v>19.600000000000001</v>
      </c>
      <c r="CF585">
        <v>19.62</v>
      </c>
      <c r="CG585">
        <v>101.17</v>
      </c>
      <c r="CH585">
        <v>26.38</v>
      </c>
      <c r="CI585">
        <v>8.09</v>
      </c>
      <c r="CJ585">
        <v>47879</v>
      </c>
      <c r="CK585">
        <v>11962</v>
      </c>
      <c r="CL585" t="s">
        <v>525</v>
      </c>
      <c r="CM585">
        <v>20.14</v>
      </c>
      <c r="CN585">
        <v>8.76</v>
      </c>
      <c r="CO585">
        <v>1.02</v>
      </c>
      <c r="CP585">
        <v>6.13</v>
      </c>
      <c r="CQ585">
        <v>1.1399999999999999</v>
      </c>
      <c r="CR585">
        <v>4.76</v>
      </c>
      <c r="CS585" t="s">
        <v>3780</v>
      </c>
      <c r="CT585">
        <v>8.2200000000000006</v>
      </c>
      <c r="CU585">
        <v>0</v>
      </c>
      <c r="CV585">
        <v>1.32</v>
      </c>
      <c r="CW585">
        <v>5.26</v>
      </c>
      <c r="CX585">
        <v>1.37</v>
      </c>
      <c r="CY585">
        <v>45.83</v>
      </c>
      <c r="CZ585" t="s">
        <v>3781</v>
      </c>
      <c r="DA585">
        <v>27.75</v>
      </c>
      <c r="DB585">
        <v>17.97</v>
      </c>
      <c r="DC585">
        <v>13.79</v>
      </c>
      <c r="DD585">
        <v>0</v>
      </c>
      <c r="DE585">
        <v>4667</v>
      </c>
      <c r="DF585">
        <v>2128</v>
      </c>
      <c r="DG585" t="s">
        <v>116</v>
      </c>
      <c r="DH585" t="s">
        <v>116</v>
      </c>
      <c r="DI585" t="s">
        <v>116</v>
      </c>
    </row>
    <row r="586" spans="1:113" x14ac:dyDescent="0.4">
      <c r="A586" t="str">
        <f>"002129"</f>
        <v>002129</v>
      </c>
      <c r="B586" t="s">
        <v>3782</v>
      </c>
      <c r="C586">
        <v>-3.52</v>
      </c>
      <c r="D586">
        <v>11.77</v>
      </c>
      <c r="E586">
        <v>-0.43</v>
      </c>
      <c r="F586">
        <v>11.77</v>
      </c>
      <c r="G586">
        <v>11.78</v>
      </c>
      <c r="H586">
        <v>998328</v>
      </c>
      <c r="I586">
        <v>10031</v>
      </c>
      <c r="J586">
        <v>-0.33</v>
      </c>
      <c r="K586">
        <v>3.72</v>
      </c>
      <c r="L586">
        <v>12.2</v>
      </c>
      <c r="M586">
        <v>12.27</v>
      </c>
      <c r="N586">
        <v>11.72</v>
      </c>
      <c r="O586">
        <v>12.2</v>
      </c>
      <c r="P586">
        <v>35.03</v>
      </c>
      <c r="Q586">
        <v>1194945408</v>
      </c>
      <c r="R586">
        <v>1.1000000000000001</v>
      </c>
      <c r="S586" t="s">
        <v>3507</v>
      </c>
      <c r="T586" t="s">
        <v>1035</v>
      </c>
      <c r="U586">
        <v>4.51</v>
      </c>
      <c r="V586">
        <v>11.97</v>
      </c>
      <c r="W586">
        <v>573189</v>
      </c>
      <c r="X586">
        <v>425139</v>
      </c>
      <c r="Y586">
        <v>1.35</v>
      </c>
      <c r="Z586">
        <v>981</v>
      </c>
      <c r="AA586">
        <v>763</v>
      </c>
      <c r="AB586" t="s">
        <v>116</v>
      </c>
      <c r="AC586">
        <v>6963800</v>
      </c>
      <c r="AD586">
        <v>0.03</v>
      </c>
      <c r="AE586" t="s">
        <v>116</v>
      </c>
      <c r="AF586" t="s">
        <v>116</v>
      </c>
      <c r="AG586">
        <v>26.83</v>
      </c>
      <c r="AH586" t="s">
        <v>3783</v>
      </c>
      <c r="AI586" t="s">
        <v>3784</v>
      </c>
      <c r="AJ586">
        <v>-2.85</v>
      </c>
      <c r="AK586">
        <v>4623</v>
      </c>
      <c r="AL586">
        <v>216</v>
      </c>
      <c r="AM586">
        <v>8.0000000000000004E-4</v>
      </c>
      <c r="AN586">
        <v>-1</v>
      </c>
      <c r="AO586">
        <v>7.3</v>
      </c>
      <c r="AP586">
        <v>16.420000000000002</v>
      </c>
      <c r="AQ586">
        <v>-4.46</v>
      </c>
      <c r="AR586">
        <v>63.47</v>
      </c>
      <c r="AS586">
        <v>5.99</v>
      </c>
      <c r="AT586" t="s">
        <v>3785</v>
      </c>
      <c r="AU586">
        <v>36.090000000000003</v>
      </c>
      <c r="AV586">
        <v>51.85</v>
      </c>
      <c r="AW586">
        <v>1.54</v>
      </c>
      <c r="BA586">
        <v>0</v>
      </c>
      <c r="BB586">
        <v>0.56999999999999995</v>
      </c>
      <c r="BC586">
        <v>-3.93</v>
      </c>
      <c r="BD586">
        <v>-1.89</v>
      </c>
      <c r="BE586">
        <v>-3.52</v>
      </c>
      <c r="BF586">
        <v>-4.07</v>
      </c>
      <c r="BG586">
        <v>0.43</v>
      </c>
      <c r="BH586">
        <v>-1.63</v>
      </c>
      <c r="BI586">
        <v>20191125</v>
      </c>
      <c r="BJ586">
        <v>20070420</v>
      </c>
      <c r="BK586">
        <v>27.85</v>
      </c>
      <c r="BL586" t="s">
        <v>116</v>
      </c>
      <c r="BM586" t="s">
        <v>116</v>
      </c>
      <c r="BN586">
        <v>463.44</v>
      </c>
      <c r="BO586">
        <v>138.93</v>
      </c>
      <c r="BP586">
        <v>40.33</v>
      </c>
      <c r="BQ586">
        <v>61.32</v>
      </c>
      <c r="BR586">
        <v>148</v>
      </c>
      <c r="BS586">
        <v>201.01</v>
      </c>
      <c r="BT586">
        <v>16.52</v>
      </c>
      <c r="BU586">
        <v>143.83000000000001</v>
      </c>
      <c r="BV586">
        <v>19.91</v>
      </c>
      <c r="BW586">
        <v>26.32</v>
      </c>
      <c r="BX586">
        <v>77.17</v>
      </c>
      <c r="BY586">
        <v>120.16</v>
      </c>
      <c r="BZ586">
        <v>97.96</v>
      </c>
      <c r="CA586">
        <v>10.75</v>
      </c>
      <c r="CB586">
        <v>0.65</v>
      </c>
      <c r="CC586">
        <v>11.57</v>
      </c>
      <c r="CD586">
        <v>9.7200000000000006</v>
      </c>
      <c r="CE586">
        <v>7.02</v>
      </c>
      <c r="CF586">
        <v>5.59</v>
      </c>
      <c r="CG586">
        <v>25.31</v>
      </c>
      <c r="CH586">
        <v>13.32</v>
      </c>
      <c r="CI586">
        <v>-8.73</v>
      </c>
      <c r="CJ586">
        <v>110000</v>
      </c>
      <c r="CK586">
        <v>15140</v>
      </c>
      <c r="CL586" t="s">
        <v>3786</v>
      </c>
      <c r="CM586">
        <v>64.84</v>
      </c>
      <c r="CN586">
        <v>29.82</v>
      </c>
      <c r="CO586">
        <v>2.5</v>
      </c>
      <c r="CP586">
        <v>24.61</v>
      </c>
      <c r="CQ586">
        <v>2.73</v>
      </c>
      <c r="CR586">
        <v>0.25</v>
      </c>
      <c r="CS586" t="s">
        <v>2467</v>
      </c>
      <c r="CT586">
        <v>4.71</v>
      </c>
      <c r="CU586">
        <v>4.71</v>
      </c>
      <c r="CV586">
        <v>2.77</v>
      </c>
      <c r="CW586">
        <v>0.91</v>
      </c>
      <c r="CX586">
        <v>0.48</v>
      </c>
      <c r="CY586">
        <v>29.98</v>
      </c>
      <c r="CZ586" t="s">
        <v>3787</v>
      </c>
      <c r="DA586">
        <v>18.48</v>
      </c>
      <c r="DB586">
        <v>8.9499999999999993</v>
      </c>
      <c r="DC586">
        <v>5.84</v>
      </c>
      <c r="DD586">
        <v>2.58</v>
      </c>
      <c r="DE586">
        <v>8335</v>
      </c>
      <c r="DF586">
        <v>2129</v>
      </c>
      <c r="DG586" t="s">
        <v>116</v>
      </c>
      <c r="DH586" t="s">
        <v>116</v>
      </c>
      <c r="DI586" t="s">
        <v>116</v>
      </c>
    </row>
    <row r="587" spans="1:113" x14ac:dyDescent="0.4">
      <c r="A587" t="str">
        <f>"002130"</f>
        <v>002130</v>
      </c>
      <c r="B587" t="s">
        <v>3788</v>
      </c>
      <c r="C587">
        <v>-1.63</v>
      </c>
      <c r="D587">
        <v>4.82</v>
      </c>
      <c r="E587">
        <v>-0.08</v>
      </c>
      <c r="F587">
        <v>4.82</v>
      </c>
      <c r="G587">
        <v>4.83</v>
      </c>
      <c r="H587">
        <v>152942</v>
      </c>
      <c r="I587">
        <v>1689</v>
      </c>
      <c r="J587">
        <v>0.21</v>
      </c>
      <c r="K587">
        <v>1.54</v>
      </c>
      <c r="L587">
        <v>4.93</v>
      </c>
      <c r="M587">
        <v>4.95</v>
      </c>
      <c r="N587">
        <v>4.8</v>
      </c>
      <c r="O587">
        <v>4.9000000000000004</v>
      </c>
      <c r="P587">
        <v>23.14</v>
      </c>
      <c r="Q587">
        <v>74786504</v>
      </c>
      <c r="R587">
        <v>1.02</v>
      </c>
      <c r="S587" t="s">
        <v>397</v>
      </c>
      <c r="T587" t="s">
        <v>115</v>
      </c>
      <c r="U587">
        <v>3.06</v>
      </c>
      <c r="V587">
        <v>4.8899999999999997</v>
      </c>
      <c r="W587">
        <v>95001</v>
      </c>
      <c r="X587">
        <v>57941</v>
      </c>
      <c r="Y587">
        <v>1.64</v>
      </c>
      <c r="Z587">
        <v>387</v>
      </c>
      <c r="AA587">
        <v>2507</v>
      </c>
      <c r="AB587" t="s">
        <v>116</v>
      </c>
      <c r="AC587">
        <v>150900</v>
      </c>
      <c r="AD587">
        <v>0</v>
      </c>
      <c r="AE587" t="s">
        <v>116</v>
      </c>
      <c r="AF587" t="s">
        <v>116</v>
      </c>
      <c r="AG587">
        <v>9.94</v>
      </c>
      <c r="AH587" t="s">
        <v>3789</v>
      </c>
      <c r="AI587" t="s">
        <v>3790</v>
      </c>
      <c r="AJ587">
        <v>-0.95</v>
      </c>
      <c r="AK587">
        <v>2964</v>
      </c>
      <c r="AL587">
        <v>52</v>
      </c>
      <c r="AM587">
        <v>5.0000000000000001E-4</v>
      </c>
      <c r="AN587">
        <v>-1</v>
      </c>
      <c r="AO587">
        <v>0.2</v>
      </c>
      <c r="AP587">
        <v>9.0500000000000007</v>
      </c>
      <c r="AQ587">
        <v>10.3</v>
      </c>
      <c r="AR587">
        <v>48.77</v>
      </c>
      <c r="AS587">
        <v>1.67</v>
      </c>
      <c r="AT587" t="s">
        <v>3791</v>
      </c>
      <c r="AU587">
        <v>81.97</v>
      </c>
      <c r="AV587">
        <v>295.81</v>
      </c>
      <c r="AW587">
        <v>1.19</v>
      </c>
      <c r="BA587">
        <v>0.61</v>
      </c>
      <c r="BB587">
        <v>1.02</v>
      </c>
      <c r="BC587">
        <v>-2.04</v>
      </c>
      <c r="BD587">
        <v>-0.21</v>
      </c>
      <c r="BE587">
        <v>-2.23</v>
      </c>
      <c r="BF587">
        <v>-2.63</v>
      </c>
      <c r="BG587">
        <v>0.42</v>
      </c>
      <c r="BH587">
        <v>-1.43</v>
      </c>
      <c r="BI587">
        <v>20191025</v>
      </c>
      <c r="BJ587">
        <v>20070420</v>
      </c>
      <c r="BK587">
        <v>12.59</v>
      </c>
      <c r="BL587" t="s">
        <v>116</v>
      </c>
      <c r="BM587" t="s">
        <v>116</v>
      </c>
      <c r="BN587">
        <v>64.25</v>
      </c>
      <c r="BO587">
        <v>28.35</v>
      </c>
      <c r="BP587">
        <v>2.42</v>
      </c>
      <c r="BQ587">
        <v>52.12</v>
      </c>
      <c r="BR587">
        <v>26.61</v>
      </c>
      <c r="BS587">
        <v>20.170000000000002</v>
      </c>
      <c r="BT587">
        <v>2.37</v>
      </c>
      <c r="BU587">
        <v>22.34</v>
      </c>
      <c r="BV587">
        <v>4.7300000000000004</v>
      </c>
      <c r="BW587">
        <v>14.01</v>
      </c>
      <c r="BX587">
        <v>1.93</v>
      </c>
      <c r="BY587">
        <v>28.46</v>
      </c>
      <c r="BZ587">
        <v>18.559999999999999</v>
      </c>
      <c r="CA587">
        <v>2.34</v>
      </c>
      <c r="CB587">
        <v>-0.08</v>
      </c>
      <c r="CC587">
        <v>2.35</v>
      </c>
      <c r="CD587">
        <v>2.12</v>
      </c>
      <c r="CE587">
        <v>1.97</v>
      </c>
      <c r="CF587">
        <v>1.69</v>
      </c>
      <c r="CG587">
        <v>13.6</v>
      </c>
      <c r="CH587">
        <v>4.34</v>
      </c>
      <c r="CI587">
        <v>-0.13</v>
      </c>
      <c r="CJ587">
        <v>105958</v>
      </c>
      <c r="CK587">
        <v>8653</v>
      </c>
      <c r="CL587" t="s">
        <v>1314</v>
      </c>
      <c r="CM587">
        <v>37.39</v>
      </c>
      <c r="CN587">
        <v>19.84</v>
      </c>
      <c r="CO587">
        <v>2.14</v>
      </c>
      <c r="CP587">
        <v>13.99</v>
      </c>
      <c r="CQ587">
        <v>2.13</v>
      </c>
      <c r="CR587">
        <v>0</v>
      </c>
      <c r="CS587" t="s">
        <v>1636</v>
      </c>
      <c r="CT587">
        <v>2.25</v>
      </c>
      <c r="CU587">
        <v>0</v>
      </c>
      <c r="CV587">
        <v>0.15</v>
      </c>
      <c r="CW587">
        <v>1.08</v>
      </c>
      <c r="CX587">
        <v>0.34</v>
      </c>
      <c r="CY587">
        <v>44.12</v>
      </c>
      <c r="CZ587" t="s">
        <v>3792</v>
      </c>
      <c r="DA587">
        <v>34.79</v>
      </c>
      <c r="DB587">
        <v>8.2100000000000009</v>
      </c>
      <c r="DC587">
        <v>6.91</v>
      </c>
      <c r="DD587">
        <v>1.6</v>
      </c>
      <c r="DE587">
        <v>6643</v>
      </c>
      <c r="DF587">
        <v>2130</v>
      </c>
      <c r="DG587" t="s">
        <v>116</v>
      </c>
      <c r="DH587" t="s">
        <v>116</v>
      </c>
      <c r="DI587" t="s">
        <v>116</v>
      </c>
    </row>
    <row r="588" spans="1:113" x14ac:dyDescent="0.4">
      <c r="A588" t="str">
        <f>"002131"</f>
        <v>002131</v>
      </c>
      <c r="B588" t="s">
        <v>3793</v>
      </c>
      <c r="C588">
        <v>-3.67</v>
      </c>
      <c r="D588">
        <v>2.89</v>
      </c>
      <c r="E588">
        <v>-0.11</v>
      </c>
      <c r="F588">
        <v>2.89</v>
      </c>
      <c r="G588">
        <v>2.9</v>
      </c>
      <c r="H588">
        <v>4354287</v>
      </c>
      <c r="I588">
        <v>20847</v>
      </c>
      <c r="J588">
        <v>0.35</v>
      </c>
      <c r="K588">
        <v>8.1</v>
      </c>
      <c r="L588">
        <v>3</v>
      </c>
      <c r="M588">
        <v>3.07</v>
      </c>
      <c r="N588">
        <v>2.86</v>
      </c>
      <c r="O588">
        <v>3</v>
      </c>
      <c r="P588">
        <v>46.7</v>
      </c>
      <c r="Q588">
        <v>1283633280</v>
      </c>
      <c r="R588">
        <v>0.89</v>
      </c>
      <c r="S588" t="s">
        <v>1384</v>
      </c>
      <c r="T588" t="s">
        <v>590</v>
      </c>
      <c r="U588">
        <v>7</v>
      </c>
      <c r="V588">
        <v>2.95</v>
      </c>
      <c r="W588">
        <v>2415478</v>
      </c>
      <c r="X588">
        <v>1938809</v>
      </c>
      <c r="Y588">
        <v>1.25</v>
      </c>
      <c r="Z588">
        <v>7252</v>
      </c>
      <c r="AA588">
        <v>23720</v>
      </c>
      <c r="AB588" t="s">
        <v>116</v>
      </c>
      <c r="AC588">
        <v>10687500</v>
      </c>
      <c r="AD588">
        <v>0.08</v>
      </c>
      <c r="AE588" t="s">
        <v>116</v>
      </c>
      <c r="AF588" t="s">
        <v>116</v>
      </c>
      <c r="AG588">
        <v>53.77</v>
      </c>
      <c r="AH588" t="s">
        <v>3794</v>
      </c>
      <c r="AI588" t="s">
        <v>3795</v>
      </c>
      <c r="AJ588">
        <v>-2.99</v>
      </c>
      <c r="AK588">
        <v>4643</v>
      </c>
      <c r="AL588">
        <v>938</v>
      </c>
      <c r="AM588">
        <v>1.6999999999999999E-3</v>
      </c>
      <c r="AN588">
        <v>-1</v>
      </c>
      <c r="AO588">
        <v>3.58</v>
      </c>
      <c r="AP588">
        <v>31.96</v>
      </c>
      <c r="AQ588">
        <v>71.010000000000005</v>
      </c>
      <c r="AR588">
        <v>96.6</v>
      </c>
      <c r="AS588">
        <v>9.68</v>
      </c>
      <c r="AT588" t="s">
        <v>3796</v>
      </c>
      <c r="AU588" t="s">
        <v>116</v>
      </c>
      <c r="AV588" t="s">
        <v>116</v>
      </c>
      <c r="AW588">
        <v>0.96</v>
      </c>
      <c r="BA588">
        <v>0</v>
      </c>
      <c r="BB588">
        <v>2.33</v>
      </c>
      <c r="BC588">
        <v>-4.67</v>
      </c>
      <c r="BD588">
        <v>-1.73</v>
      </c>
      <c r="BE588">
        <v>-3.67</v>
      </c>
      <c r="BF588">
        <v>-5.86</v>
      </c>
      <c r="BG588">
        <v>1.05</v>
      </c>
      <c r="BH588">
        <v>-1.93</v>
      </c>
      <c r="BI588">
        <v>20191031</v>
      </c>
      <c r="BJ588">
        <v>20070427</v>
      </c>
      <c r="BK588">
        <v>66.510000000000005</v>
      </c>
      <c r="BL588" t="s">
        <v>116</v>
      </c>
      <c r="BM588" t="s">
        <v>116</v>
      </c>
      <c r="BN588">
        <v>141.25</v>
      </c>
      <c r="BO588">
        <v>80.89</v>
      </c>
      <c r="BP588">
        <v>1</v>
      </c>
      <c r="BQ588">
        <v>42.02</v>
      </c>
      <c r="BR588">
        <v>87.13</v>
      </c>
      <c r="BS588">
        <v>10.41</v>
      </c>
      <c r="BT588">
        <v>2.97</v>
      </c>
      <c r="BU588">
        <v>54.14</v>
      </c>
      <c r="BV588">
        <v>5.27</v>
      </c>
      <c r="BW588">
        <v>43.77</v>
      </c>
      <c r="BX588">
        <v>12.52</v>
      </c>
      <c r="BY588">
        <v>107.06</v>
      </c>
      <c r="BZ588">
        <v>96.26</v>
      </c>
      <c r="CA588">
        <v>3.88</v>
      </c>
      <c r="CB588">
        <v>0.53</v>
      </c>
      <c r="CC588">
        <v>3.89</v>
      </c>
      <c r="CD588">
        <v>3.2</v>
      </c>
      <c r="CE588">
        <v>3.09</v>
      </c>
      <c r="CF588">
        <v>2.02</v>
      </c>
      <c r="CG588">
        <v>0.54</v>
      </c>
      <c r="CH588">
        <v>5.76</v>
      </c>
      <c r="CI588">
        <v>-3.36</v>
      </c>
      <c r="CJ588">
        <v>212570</v>
      </c>
      <c r="CK588">
        <v>21156</v>
      </c>
      <c r="CL588" t="s">
        <v>3797</v>
      </c>
      <c r="CM588">
        <v>23.05</v>
      </c>
      <c r="CN588">
        <v>8.5500000000000007</v>
      </c>
      <c r="CO588">
        <v>2.38</v>
      </c>
      <c r="CP588">
        <v>33.4</v>
      </c>
      <c r="CQ588">
        <v>1.8</v>
      </c>
      <c r="CR588">
        <v>0</v>
      </c>
      <c r="CS588" t="s">
        <v>3798</v>
      </c>
      <c r="CT588">
        <v>1.22</v>
      </c>
      <c r="CU588">
        <v>0</v>
      </c>
      <c r="CV588">
        <v>0.19</v>
      </c>
      <c r="CW588">
        <v>0.01</v>
      </c>
      <c r="CX588">
        <v>0.09</v>
      </c>
      <c r="CY588">
        <v>57.27</v>
      </c>
      <c r="CZ588" t="s">
        <v>520</v>
      </c>
      <c r="DA588">
        <v>10.09</v>
      </c>
      <c r="DB588">
        <v>3.63</v>
      </c>
      <c r="DC588">
        <v>2.88</v>
      </c>
      <c r="DD588">
        <v>1.17</v>
      </c>
      <c r="DE588">
        <v>5429</v>
      </c>
      <c r="DF588">
        <v>2131</v>
      </c>
      <c r="DG588" t="s">
        <v>116</v>
      </c>
      <c r="DH588" t="s">
        <v>116</v>
      </c>
      <c r="DI588" t="s">
        <v>116</v>
      </c>
    </row>
    <row r="589" spans="1:113" x14ac:dyDescent="0.4">
      <c r="A589" t="str">
        <f>"002132"</f>
        <v>002132</v>
      </c>
      <c r="B589" t="s">
        <v>3799</v>
      </c>
      <c r="C589">
        <v>0.97</v>
      </c>
      <c r="D589">
        <v>3.13</v>
      </c>
      <c r="E589">
        <v>0.03</v>
      </c>
      <c r="F589">
        <v>3.12</v>
      </c>
      <c r="G589">
        <v>3.13</v>
      </c>
      <c r="H589">
        <v>264118</v>
      </c>
      <c r="I589">
        <v>1981</v>
      </c>
      <c r="J589">
        <v>0.32</v>
      </c>
      <c r="K589">
        <v>2.11</v>
      </c>
      <c r="L589">
        <v>3.09</v>
      </c>
      <c r="M589">
        <v>3.18</v>
      </c>
      <c r="N589">
        <v>3.07</v>
      </c>
      <c r="O589">
        <v>3.1</v>
      </c>
      <c r="P589">
        <v>26.68</v>
      </c>
      <c r="Q589">
        <v>83079360</v>
      </c>
      <c r="R589">
        <v>2.0699999999999998</v>
      </c>
      <c r="S589" t="s">
        <v>2118</v>
      </c>
      <c r="T589" t="s">
        <v>652</v>
      </c>
      <c r="U589">
        <v>3.55</v>
      </c>
      <c r="V589">
        <v>3.15</v>
      </c>
      <c r="W589">
        <v>121843</v>
      </c>
      <c r="X589">
        <v>142275</v>
      </c>
      <c r="Y589">
        <v>0.86</v>
      </c>
      <c r="Z589">
        <v>981</v>
      </c>
      <c r="AA589">
        <v>1739</v>
      </c>
      <c r="AB589" t="s">
        <v>116</v>
      </c>
      <c r="AC589">
        <v>403600</v>
      </c>
      <c r="AD589">
        <v>0.02</v>
      </c>
      <c r="AE589" t="s">
        <v>116</v>
      </c>
      <c r="AF589" t="s">
        <v>116</v>
      </c>
      <c r="AG589">
        <v>12.52</v>
      </c>
      <c r="AH589" t="s">
        <v>3800</v>
      </c>
      <c r="AI589" t="s">
        <v>3801</v>
      </c>
      <c r="AJ589">
        <v>1.65</v>
      </c>
      <c r="AK589">
        <v>2234</v>
      </c>
      <c r="AL589">
        <v>118</v>
      </c>
      <c r="AM589">
        <v>8.9999999999999998E-4</v>
      </c>
      <c r="AN589">
        <v>4</v>
      </c>
      <c r="AO589">
        <v>4.6900000000000004</v>
      </c>
      <c r="AP589">
        <v>7.93</v>
      </c>
      <c r="AQ589">
        <v>4.33</v>
      </c>
      <c r="AR589">
        <v>17.23</v>
      </c>
      <c r="AS589">
        <v>3.23</v>
      </c>
      <c r="AT589" t="s">
        <v>768</v>
      </c>
      <c r="AU589" t="s">
        <v>116</v>
      </c>
      <c r="AV589" t="s">
        <v>116</v>
      </c>
      <c r="AW589">
        <v>0.61</v>
      </c>
      <c r="BA589">
        <v>-0.32</v>
      </c>
      <c r="BB589">
        <v>2.58</v>
      </c>
      <c r="BC589">
        <v>-0.97</v>
      </c>
      <c r="BD589">
        <v>1.47</v>
      </c>
      <c r="BE589">
        <v>1.29</v>
      </c>
      <c r="BF589">
        <v>-1.57</v>
      </c>
      <c r="BG589">
        <v>1.95</v>
      </c>
      <c r="BH589">
        <v>-0.5</v>
      </c>
      <c r="BI589">
        <v>20191226</v>
      </c>
      <c r="BJ589">
        <v>20070427</v>
      </c>
      <c r="BK589">
        <v>12.56</v>
      </c>
      <c r="BL589" t="s">
        <v>116</v>
      </c>
      <c r="BM589" t="s">
        <v>116</v>
      </c>
      <c r="BN589">
        <v>53.1</v>
      </c>
      <c r="BO589">
        <v>28.1</v>
      </c>
      <c r="BP589">
        <v>-0.01</v>
      </c>
      <c r="BQ589">
        <v>47.11</v>
      </c>
      <c r="BR589">
        <v>28.99</v>
      </c>
      <c r="BS589">
        <v>13.27</v>
      </c>
      <c r="BT589">
        <v>1.1299999999999999</v>
      </c>
      <c r="BU589">
        <v>24.25</v>
      </c>
      <c r="BV589">
        <v>4.91</v>
      </c>
      <c r="BW589">
        <v>8.93</v>
      </c>
      <c r="BX589">
        <v>11.82</v>
      </c>
      <c r="BY589">
        <v>25.14</v>
      </c>
      <c r="BZ589">
        <v>21.64</v>
      </c>
      <c r="CA589">
        <v>1.1399999999999999</v>
      </c>
      <c r="CB589">
        <v>7.0000000000000007E-2</v>
      </c>
      <c r="CC589">
        <v>1.25</v>
      </c>
      <c r="CD589">
        <v>1.1100000000000001</v>
      </c>
      <c r="CE589">
        <v>1.1100000000000001</v>
      </c>
      <c r="CF589">
        <v>0.44</v>
      </c>
      <c r="CG589">
        <v>3.89</v>
      </c>
      <c r="CH589">
        <v>2.2400000000000002</v>
      </c>
      <c r="CI589">
        <v>1.2</v>
      </c>
      <c r="CJ589">
        <v>45000</v>
      </c>
      <c r="CK589">
        <v>18174</v>
      </c>
      <c r="CL589" t="s">
        <v>1931</v>
      </c>
      <c r="CM589">
        <v>728.33</v>
      </c>
      <c r="CN589">
        <v>10.06</v>
      </c>
      <c r="CO589">
        <v>1.4</v>
      </c>
      <c r="CP589">
        <v>17.57</v>
      </c>
      <c r="CQ589">
        <v>1.56</v>
      </c>
      <c r="CR589">
        <v>1.55</v>
      </c>
      <c r="CS589" t="s">
        <v>687</v>
      </c>
      <c r="CT589">
        <v>2.2400000000000002</v>
      </c>
      <c r="CU589">
        <v>0</v>
      </c>
      <c r="CV589">
        <v>0.94</v>
      </c>
      <c r="CW589">
        <v>0.31</v>
      </c>
      <c r="CX589">
        <v>0.18</v>
      </c>
      <c r="CY589">
        <v>52.91</v>
      </c>
      <c r="CZ589" t="s">
        <v>329</v>
      </c>
      <c r="DA589">
        <v>13.91</v>
      </c>
      <c r="DB589">
        <v>4.53</v>
      </c>
      <c r="DC589">
        <v>4.4000000000000004</v>
      </c>
      <c r="DD589">
        <v>0.76</v>
      </c>
      <c r="DE589">
        <v>3460</v>
      </c>
      <c r="DF589">
        <v>2132</v>
      </c>
      <c r="DG589" t="s">
        <v>116</v>
      </c>
      <c r="DH589" t="s">
        <v>116</v>
      </c>
      <c r="DI589" t="s">
        <v>116</v>
      </c>
    </row>
    <row r="590" spans="1:113" x14ac:dyDescent="0.4">
      <c r="A590" t="str">
        <f>"002133"</f>
        <v>002133</v>
      </c>
      <c r="B590" t="s">
        <v>3802</v>
      </c>
      <c r="C590">
        <v>0</v>
      </c>
      <c r="D590">
        <v>3.27</v>
      </c>
      <c r="E590">
        <v>0</v>
      </c>
      <c r="F590">
        <v>3.26</v>
      </c>
      <c r="G590">
        <v>3.27</v>
      </c>
      <c r="H590">
        <v>43813</v>
      </c>
      <c r="I590">
        <v>60</v>
      </c>
      <c r="J590">
        <v>0.31</v>
      </c>
      <c r="K590">
        <v>0.69</v>
      </c>
      <c r="L590">
        <v>3.27</v>
      </c>
      <c r="M590">
        <v>3.31</v>
      </c>
      <c r="N590">
        <v>3.26</v>
      </c>
      <c r="O590">
        <v>3.27</v>
      </c>
      <c r="P590">
        <v>8.99</v>
      </c>
      <c r="Q590">
        <v>14382201</v>
      </c>
      <c r="R590">
        <v>1.2</v>
      </c>
      <c r="S590" t="s">
        <v>124</v>
      </c>
      <c r="T590" t="s">
        <v>590</v>
      </c>
      <c r="U590">
        <v>1.53</v>
      </c>
      <c r="V590">
        <v>3.28</v>
      </c>
      <c r="W590">
        <v>22171</v>
      </c>
      <c r="X590">
        <v>21642</v>
      </c>
      <c r="Y590">
        <v>1.02</v>
      </c>
      <c r="Z590">
        <v>737</v>
      </c>
      <c r="AA590">
        <v>1411</v>
      </c>
      <c r="AB590" t="s">
        <v>116</v>
      </c>
      <c r="AC590">
        <v>20300</v>
      </c>
      <c r="AD590">
        <v>0</v>
      </c>
      <c r="AE590" t="s">
        <v>116</v>
      </c>
      <c r="AF590" t="s">
        <v>116</v>
      </c>
      <c r="AG590">
        <v>6.35</v>
      </c>
      <c r="AH590" t="s">
        <v>3803</v>
      </c>
      <c r="AI590" t="s">
        <v>3804</v>
      </c>
      <c r="AJ590">
        <v>0.68</v>
      </c>
      <c r="AK590">
        <v>655</v>
      </c>
      <c r="AL590">
        <v>67</v>
      </c>
      <c r="AM590">
        <v>1.1000000000000001E-3</v>
      </c>
      <c r="AN590">
        <v>0</v>
      </c>
      <c r="AO590">
        <v>0.31</v>
      </c>
      <c r="AP590">
        <v>4.8099999999999996</v>
      </c>
      <c r="AQ590">
        <v>-1.51</v>
      </c>
      <c r="AR590">
        <v>-2.97</v>
      </c>
      <c r="AS590">
        <v>0.87</v>
      </c>
      <c r="AT590" t="s">
        <v>1783</v>
      </c>
      <c r="AU590">
        <v>11.31</v>
      </c>
      <c r="AV590">
        <v>7.53</v>
      </c>
      <c r="AW590">
        <v>0.93</v>
      </c>
      <c r="BA590">
        <v>0</v>
      </c>
      <c r="BB590">
        <v>1.22</v>
      </c>
      <c r="BC590">
        <v>-0.31</v>
      </c>
      <c r="BD590">
        <v>0.39</v>
      </c>
      <c r="BE590">
        <v>0</v>
      </c>
      <c r="BF590">
        <v>-1.21</v>
      </c>
      <c r="BG590">
        <v>0.31</v>
      </c>
      <c r="BH590">
        <v>-0.39</v>
      </c>
      <c r="BI590">
        <v>20191104</v>
      </c>
      <c r="BJ590">
        <v>20070427</v>
      </c>
      <c r="BK590">
        <v>7.74</v>
      </c>
      <c r="BL590" t="s">
        <v>116</v>
      </c>
      <c r="BM590" t="s">
        <v>116</v>
      </c>
      <c r="BN590">
        <v>115.39</v>
      </c>
      <c r="BO590">
        <v>33.85</v>
      </c>
      <c r="BP590">
        <v>3.97</v>
      </c>
      <c r="BQ590">
        <v>67.22</v>
      </c>
      <c r="BR590">
        <v>105</v>
      </c>
      <c r="BS590">
        <v>0.18</v>
      </c>
      <c r="BT590">
        <v>0.09</v>
      </c>
      <c r="BU590">
        <v>57.45</v>
      </c>
      <c r="BV590">
        <v>78.81</v>
      </c>
      <c r="BW590">
        <v>0.41</v>
      </c>
      <c r="BX590">
        <v>8.4700000000000006</v>
      </c>
      <c r="BY590">
        <v>31.78</v>
      </c>
      <c r="BZ590">
        <v>22.42</v>
      </c>
      <c r="CA590">
        <v>5.18</v>
      </c>
      <c r="CB590">
        <v>0.05</v>
      </c>
      <c r="CC590">
        <v>5.2</v>
      </c>
      <c r="CD590">
        <v>3.87</v>
      </c>
      <c r="CE590">
        <v>2.11</v>
      </c>
      <c r="CF590">
        <v>2.0499999999999998</v>
      </c>
      <c r="CG590">
        <v>15.63</v>
      </c>
      <c r="CH590">
        <v>4.66</v>
      </c>
      <c r="CI590">
        <v>0.28999999999999998</v>
      </c>
      <c r="CJ590">
        <v>41355</v>
      </c>
      <c r="CK590">
        <v>12234</v>
      </c>
      <c r="CL590" t="s">
        <v>3805</v>
      </c>
      <c r="CM590">
        <v>-34.69</v>
      </c>
      <c r="CN590">
        <v>23.14</v>
      </c>
      <c r="CO590">
        <v>0.75</v>
      </c>
      <c r="CP590">
        <v>5.43</v>
      </c>
      <c r="CQ590">
        <v>0.8</v>
      </c>
      <c r="CR590">
        <v>2.4500000000000002</v>
      </c>
      <c r="CS590" t="s">
        <v>2331</v>
      </c>
      <c r="CT590">
        <v>4.37</v>
      </c>
      <c r="CU590">
        <v>0</v>
      </c>
      <c r="CV590">
        <v>1.0900000000000001</v>
      </c>
      <c r="CW590">
        <v>2.02</v>
      </c>
      <c r="CX590">
        <v>0.6</v>
      </c>
      <c r="CY590">
        <v>29.34</v>
      </c>
      <c r="CZ590" t="s">
        <v>3806</v>
      </c>
      <c r="DA590">
        <v>29.46</v>
      </c>
      <c r="DB590">
        <v>16.3</v>
      </c>
      <c r="DC590">
        <v>6.64</v>
      </c>
      <c r="DD590">
        <v>0</v>
      </c>
      <c r="DE590">
        <v>375</v>
      </c>
      <c r="DF590">
        <v>2133</v>
      </c>
      <c r="DG590" t="s">
        <v>116</v>
      </c>
      <c r="DH590" t="s">
        <v>116</v>
      </c>
      <c r="DI590" t="s">
        <v>116</v>
      </c>
    </row>
    <row r="591" spans="1:113" x14ac:dyDescent="0.4">
      <c r="A591" t="str">
        <f>"002134"</f>
        <v>002134</v>
      </c>
      <c r="B591" t="s">
        <v>3807</v>
      </c>
      <c r="C591">
        <v>-1.25</v>
      </c>
      <c r="D591">
        <v>9.51</v>
      </c>
      <c r="E591">
        <v>-0.12</v>
      </c>
      <c r="F591">
        <v>9.51</v>
      </c>
      <c r="G591">
        <v>9.52</v>
      </c>
      <c r="H591">
        <v>51863</v>
      </c>
      <c r="I591">
        <v>805</v>
      </c>
      <c r="J591">
        <v>-0.2</v>
      </c>
      <c r="K591">
        <v>2.11</v>
      </c>
      <c r="L591">
        <v>9.66</v>
      </c>
      <c r="M591">
        <v>9.7899999999999991</v>
      </c>
      <c r="N591">
        <v>9.5</v>
      </c>
      <c r="O591">
        <v>9.6300000000000008</v>
      </c>
      <c r="P591">
        <v>275.77999999999997</v>
      </c>
      <c r="Q591">
        <v>50143148</v>
      </c>
      <c r="R591">
        <v>0.86</v>
      </c>
      <c r="S591" t="s">
        <v>233</v>
      </c>
      <c r="T591" t="s">
        <v>1035</v>
      </c>
      <c r="U591">
        <v>3.01</v>
      </c>
      <c r="V591">
        <v>9.67</v>
      </c>
      <c r="W591">
        <v>28346</v>
      </c>
      <c r="X591">
        <v>23517</v>
      </c>
      <c r="Y591">
        <v>1.21</v>
      </c>
      <c r="Z591">
        <v>26</v>
      </c>
      <c r="AA591">
        <v>207</v>
      </c>
      <c r="AB591" t="s">
        <v>116</v>
      </c>
      <c r="AC591">
        <v>163300</v>
      </c>
      <c r="AD591">
        <v>0.01</v>
      </c>
      <c r="AE591" t="s">
        <v>116</v>
      </c>
      <c r="AF591" t="s">
        <v>116</v>
      </c>
      <c r="AG591">
        <v>2.46</v>
      </c>
      <c r="AH591" t="s">
        <v>3808</v>
      </c>
      <c r="AI591" t="s">
        <v>3808</v>
      </c>
      <c r="AJ591">
        <v>-0.56999999999999995</v>
      </c>
      <c r="AK591">
        <v>2162</v>
      </c>
      <c r="AL591">
        <v>24</v>
      </c>
      <c r="AM591">
        <v>1E-3</v>
      </c>
      <c r="AN591">
        <v>-1</v>
      </c>
      <c r="AO591">
        <v>0.53</v>
      </c>
      <c r="AP591">
        <v>2.48</v>
      </c>
      <c r="AQ591">
        <v>-1.04</v>
      </c>
      <c r="AR591">
        <v>61.19</v>
      </c>
      <c r="AS591">
        <v>3.93</v>
      </c>
      <c r="AT591" t="s">
        <v>2593</v>
      </c>
      <c r="AU591" t="s">
        <v>116</v>
      </c>
      <c r="AV591" t="s">
        <v>116</v>
      </c>
      <c r="AW591">
        <v>1.73</v>
      </c>
      <c r="BA591">
        <v>0.31</v>
      </c>
      <c r="BB591">
        <v>1.66</v>
      </c>
      <c r="BC591">
        <v>-1.35</v>
      </c>
      <c r="BD591">
        <v>0.4</v>
      </c>
      <c r="BE591">
        <v>-1.55</v>
      </c>
      <c r="BF591">
        <v>-2.86</v>
      </c>
      <c r="BG591">
        <v>0.11</v>
      </c>
      <c r="BH591">
        <v>-1.64</v>
      </c>
      <c r="BI591">
        <v>20191105</v>
      </c>
      <c r="BJ591">
        <v>20070516</v>
      </c>
      <c r="BK591">
        <v>2.46</v>
      </c>
      <c r="BL591" t="s">
        <v>116</v>
      </c>
      <c r="BM591" t="s">
        <v>116</v>
      </c>
      <c r="BN591">
        <v>5.43</v>
      </c>
      <c r="BO591">
        <v>3.85</v>
      </c>
      <c r="BP591">
        <v>0</v>
      </c>
      <c r="BQ591">
        <v>29.21</v>
      </c>
      <c r="BR591">
        <v>2.68</v>
      </c>
      <c r="BS591">
        <v>1.79</v>
      </c>
      <c r="BT591">
        <v>0.09</v>
      </c>
      <c r="BU591">
        <v>1.46</v>
      </c>
      <c r="BV591">
        <v>0.56000000000000005</v>
      </c>
      <c r="BW591">
        <v>1.32</v>
      </c>
      <c r="BX591">
        <v>3.02</v>
      </c>
      <c r="BY591">
        <v>3.09</v>
      </c>
      <c r="BZ591">
        <v>2.62</v>
      </c>
      <c r="CA591">
        <v>0.06</v>
      </c>
      <c r="CB591">
        <v>0</v>
      </c>
      <c r="CC591">
        <v>0.06</v>
      </c>
      <c r="CD591">
        <v>0.06</v>
      </c>
      <c r="CE591">
        <v>0.06</v>
      </c>
      <c r="CF591">
        <v>0.05</v>
      </c>
      <c r="CG591">
        <v>-1.84</v>
      </c>
      <c r="CH591">
        <v>0.05</v>
      </c>
      <c r="CI591">
        <v>-0.28999999999999998</v>
      </c>
      <c r="CJ591">
        <v>26918</v>
      </c>
      <c r="CK591">
        <v>4900</v>
      </c>
      <c r="CL591" t="s">
        <v>547</v>
      </c>
      <c r="CM591">
        <v>148.49</v>
      </c>
      <c r="CN591">
        <v>1.64</v>
      </c>
      <c r="CO591">
        <v>6.07</v>
      </c>
      <c r="CP591">
        <v>484.92</v>
      </c>
      <c r="CQ591">
        <v>7.57</v>
      </c>
      <c r="CR591">
        <v>0</v>
      </c>
      <c r="CS591" t="s">
        <v>613</v>
      </c>
      <c r="CT591">
        <v>1.57</v>
      </c>
      <c r="CU591">
        <v>0</v>
      </c>
      <c r="CV591">
        <v>1.23</v>
      </c>
      <c r="CW591">
        <v>-0.75</v>
      </c>
      <c r="CX591">
        <v>0.02</v>
      </c>
      <c r="CY591">
        <v>70.819999999999993</v>
      </c>
      <c r="CZ591" t="s">
        <v>2220</v>
      </c>
      <c r="DA591">
        <v>15.16</v>
      </c>
      <c r="DB591">
        <v>2</v>
      </c>
      <c r="DC591">
        <v>2.06</v>
      </c>
      <c r="DD591">
        <v>0.1</v>
      </c>
      <c r="DE591">
        <v>1004</v>
      </c>
      <c r="DF591">
        <v>2134</v>
      </c>
      <c r="DG591" t="s">
        <v>116</v>
      </c>
      <c r="DH591" t="s">
        <v>116</v>
      </c>
      <c r="DI591" t="s">
        <v>116</v>
      </c>
    </row>
    <row r="592" spans="1:113" x14ac:dyDescent="0.4">
      <c r="A592" t="str">
        <f>"002135"</f>
        <v>002135</v>
      </c>
      <c r="B592" t="s">
        <v>3809</v>
      </c>
      <c r="C592">
        <v>0.18</v>
      </c>
      <c r="D592">
        <v>5.43</v>
      </c>
      <c r="E592">
        <v>0.01</v>
      </c>
      <c r="F592">
        <v>5.41</v>
      </c>
      <c r="G592">
        <v>5.43</v>
      </c>
      <c r="H592">
        <v>23097</v>
      </c>
      <c r="I592">
        <v>963</v>
      </c>
      <c r="J592">
        <v>0.18</v>
      </c>
      <c r="K592">
        <v>0.24</v>
      </c>
      <c r="L592">
        <v>5.4</v>
      </c>
      <c r="M592">
        <v>5.43</v>
      </c>
      <c r="N592">
        <v>5.4</v>
      </c>
      <c r="O592">
        <v>5.42</v>
      </c>
      <c r="P592">
        <v>17.940000000000001</v>
      </c>
      <c r="Q592">
        <v>12515189</v>
      </c>
      <c r="R592">
        <v>0.9</v>
      </c>
      <c r="S592" t="s">
        <v>181</v>
      </c>
      <c r="T592" t="s">
        <v>590</v>
      </c>
      <c r="U592">
        <v>0.55000000000000004</v>
      </c>
      <c r="V592">
        <v>5.42</v>
      </c>
      <c r="W592">
        <v>13292</v>
      </c>
      <c r="X592">
        <v>9805</v>
      </c>
      <c r="Y592">
        <v>1.36</v>
      </c>
      <c r="Z592">
        <v>629</v>
      </c>
      <c r="AA592">
        <v>2982</v>
      </c>
      <c r="AB592" t="s">
        <v>116</v>
      </c>
      <c r="AC592">
        <v>0</v>
      </c>
      <c r="AD592">
        <v>0</v>
      </c>
      <c r="AE592" t="s">
        <v>116</v>
      </c>
      <c r="AF592" t="s">
        <v>116</v>
      </c>
      <c r="AG592">
        <v>9.59</v>
      </c>
      <c r="AH592" t="s">
        <v>3810</v>
      </c>
      <c r="AI592" t="s">
        <v>3811</v>
      </c>
      <c r="AJ592">
        <v>0.86</v>
      </c>
      <c r="AK592">
        <v>477</v>
      </c>
      <c r="AL592">
        <v>48</v>
      </c>
      <c r="AM592">
        <v>5.0000000000000001E-4</v>
      </c>
      <c r="AN592">
        <v>2</v>
      </c>
      <c r="AO592">
        <v>-0.19</v>
      </c>
      <c r="AP592">
        <v>4.42</v>
      </c>
      <c r="AQ592">
        <v>-2.5099999999999998</v>
      </c>
      <c r="AR592">
        <v>9.85</v>
      </c>
      <c r="AS592">
        <v>0.42</v>
      </c>
      <c r="AT592" t="s">
        <v>3812</v>
      </c>
      <c r="AU592">
        <v>21.96</v>
      </c>
      <c r="AV592">
        <v>32.9</v>
      </c>
      <c r="AW592">
        <v>0.77</v>
      </c>
      <c r="BA592">
        <v>-0.37</v>
      </c>
      <c r="BB592">
        <v>0.18</v>
      </c>
      <c r="BC592">
        <v>-0.37</v>
      </c>
      <c r="BD592">
        <v>-0.03</v>
      </c>
      <c r="BE592">
        <v>0.56000000000000005</v>
      </c>
      <c r="BF592">
        <v>0</v>
      </c>
      <c r="BG592">
        <v>0.56000000000000005</v>
      </c>
      <c r="BH592">
        <v>0.21</v>
      </c>
      <c r="BI592">
        <v>20191212</v>
      </c>
      <c r="BJ592">
        <v>20070530</v>
      </c>
      <c r="BK592">
        <v>10.34</v>
      </c>
      <c r="BL592" t="s">
        <v>116</v>
      </c>
      <c r="BM592" t="s">
        <v>116</v>
      </c>
      <c r="BN592">
        <v>107.51</v>
      </c>
      <c r="BO592">
        <v>42.51</v>
      </c>
      <c r="BP592">
        <v>0.42</v>
      </c>
      <c r="BQ592">
        <v>60.07</v>
      </c>
      <c r="BR592">
        <v>81.66</v>
      </c>
      <c r="BS592">
        <v>16.41</v>
      </c>
      <c r="BT592">
        <v>1.99</v>
      </c>
      <c r="BU592">
        <v>62.07</v>
      </c>
      <c r="BV592">
        <v>39.89</v>
      </c>
      <c r="BW592">
        <v>24.67</v>
      </c>
      <c r="BX592">
        <v>20.86</v>
      </c>
      <c r="BY592">
        <v>63.95</v>
      </c>
      <c r="BZ592">
        <v>56.56</v>
      </c>
      <c r="CA592">
        <v>2.56</v>
      </c>
      <c r="CB592">
        <v>0.03</v>
      </c>
      <c r="CC592">
        <v>2.74</v>
      </c>
      <c r="CD592">
        <v>2.35</v>
      </c>
      <c r="CE592">
        <v>2.35</v>
      </c>
      <c r="CF592">
        <v>2.12</v>
      </c>
      <c r="CG592">
        <v>10.34</v>
      </c>
      <c r="CH592">
        <v>2.48</v>
      </c>
      <c r="CI592">
        <v>-1.76</v>
      </c>
      <c r="CJ592">
        <v>38500</v>
      </c>
      <c r="CK592">
        <v>14315</v>
      </c>
      <c r="CL592" t="s">
        <v>3813</v>
      </c>
      <c r="CM592">
        <v>56.85</v>
      </c>
      <c r="CN592">
        <v>3.51</v>
      </c>
      <c r="CO592">
        <v>1.32</v>
      </c>
      <c r="CP592">
        <v>22.63</v>
      </c>
      <c r="CQ592">
        <v>0.88</v>
      </c>
      <c r="CR592">
        <v>0.31</v>
      </c>
      <c r="CS592" t="s">
        <v>1967</v>
      </c>
      <c r="CT592">
        <v>4.1100000000000003</v>
      </c>
      <c r="CU592">
        <v>0</v>
      </c>
      <c r="CV592">
        <v>2.02</v>
      </c>
      <c r="CW592">
        <v>1</v>
      </c>
      <c r="CX592">
        <v>0.24</v>
      </c>
      <c r="CY592">
        <v>39.54</v>
      </c>
      <c r="CZ592" t="s">
        <v>3814</v>
      </c>
      <c r="DA592">
        <v>11.55</v>
      </c>
      <c r="DB592">
        <v>4.01</v>
      </c>
      <c r="DC592">
        <v>3.67</v>
      </c>
      <c r="DD592">
        <v>2.81</v>
      </c>
      <c r="DE592">
        <v>5110</v>
      </c>
      <c r="DF592">
        <v>2135</v>
      </c>
      <c r="DG592" t="s">
        <v>116</v>
      </c>
      <c r="DH592" t="s">
        <v>116</v>
      </c>
      <c r="DI592" t="s">
        <v>116</v>
      </c>
    </row>
    <row r="593" spans="1:113" x14ac:dyDescent="0.4">
      <c r="A593" t="str">
        <f>"002136"</f>
        <v>002136</v>
      </c>
      <c r="B593" t="s">
        <v>3815</v>
      </c>
      <c r="C593">
        <v>-0.4</v>
      </c>
      <c r="D593">
        <v>7.55</v>
      </c>
      <c r="E593">
        <v>-0.03</v>
      </c>
      <c r="F593">
        <v>7.55</v>
      </c>
      <c r="G593">
        <v>7.56</v>
      </c>
      <c r="H593">
        <v>27674</v>
      </c>
      <c r="I593">
        <v>370</v>
      </c>
      <c r="J593">
        <v>-0.25</v>
      </c>
      <c r="K593">
        <v>1.29</v>
      </c>
      <c r="L593">
        <v>7.57</v>
      </c>
      <c r="M593">
        <v>7.68</v>
      </c>
      <c r="N593">
        <v>7.55</v>
      </c>
      <c r="O593">
        <v>7.58</v>
      </c>
      <c r="P593">
        <v>30.85</v>
      </c>
      <c r="Q593">
        <v>21059168</v>
      </c>
      <c r="R593">
        <v>1.2</v>
      </c>
      <c r="S593" t="s">
        <v>891</v>
      </c>
      <c r="T593" t="s">
        <v>575</v>
      </c>
      <c r="U593">
        <v>1.72</v>
      </c>
      <c r="V593">
        <v>7.61</v>
      </c>
      <c r="W593">
        <v>14743</v>
      </c>
      <c r="X593">
        <v>12931</v>
      </c>
      <c r="Y593">
        <v>1.1399999999999999</v>
      </c>
      <c r="Z593">
        <v>158</v>
      </c>
      <c r="AA593">
        <v>38</v>
      </c>
      <c r="AB593" t="s">
        <v>116</v>
      </c>
      <c r="AC593">
        <v>27300</v>
      </c>
      <c r="AD593">
        <v>0</v>
      </c>
      <c r="AE593" t="s">
        <v>116</v>
      </c>
      <c r="AF593" t="s">
        <v>116</v>
      </c>
      <c r="AG593">
        <v>2.14</v>
      </c>
      <c r="AH593" t="s">
        <v>3816</v>
      </c>
      <c r="AI593" t="s">
        <v>3817</v>
      </c>
      <c r="AJ593">
        <v>0.28000000000000003</v>
      </c>
      <c r="AK593">
        <v>1022</v>
      </c>
      <c r="AL593">
        <v>27</v>
      </c>
      <c r="AM593">
        <v>1.2999999999999999E-3</v>
      </c>
      <c r="AN593">
        <v>-1</v>
      </c>
      <c r="AO593">
        <v>0.94</v>
      </c>
      <c r="AP593">
        <v>2.86</v>
      </c>
      <c r="AQ593">
        <v>-6.67</v>
      </c>
      <c r="AR593">
        <v>-6.44</v>
      </c>
      <c r="AS593">
        <v>1.92</v>
      </c>
      <c r="AT593" t="s">
        <v>804</v>
      </c>
      <c r="AU593">
        <v>86.27</v>
      </c>
      <c r="AV593">
        <v>35.22</v>
      </c>
      <c r="AW593">
        <v>0.83</v>
      </c>
      <c r="BA593">
        <v>-0.13</v>
      </c>
      <c r="BB593">
        <v>1.32</v>
      </c>
      <c r="BC593">
        <v>-0.4</v>
      </c>
      <c r="BD593">
        <v>0.39</v>
      </c>
      <c r="BE593">
        <v>-0.26</v>
      </c>
      <c r="BF593">
        <v>-1.69</v>
      </c>
      <c r="BG593">
        <v>0</v>
      </c>
      <c r="BH593">
        <v>-0.79</v>
      </c>
      <c r="BI593">
        <v>20191018</v>
      </c>
      <c r="BJ593">
        <v>20070530</v>
      </c>
      <c r="BK593">
        <v>2.15</v>
      </c>
      <c r="BL593" t="s">
        <v>116</v>
      </c>
      <c r="BM593" t="s">
        <v>116</v>
      </c>
      <c r="BN593">
        <v>9.2100000000000009</v>
      </c>
      <c r="BO593">
        <v>7.1</v>
      </c>
      <c r="BP593">
        <v>0.2</v>
      </c>
      <c r="BQ593">
        <v>20.73</v>
      </c>
      <c r="BR593">
        <v>3.66</v>
      </c>
      <c r="BS593">
        <v>4.9400000000000004</v>
      </c>
      <c r="BT593">
        <v>0.39</v>
      </c>
      <c r="BU593">
        <v>1.8</v>
      </c>
      <c r="BV593">
        <v>1.08</v>
      </c>
      <c r="BW593">
        <v>1.06</v>
      </c>
      <c r="BX593">
        <v>3.5</v>
      </c>
      <c r="BY593">
        <v>7.89</v>
      </c>
      <c r="BZ593">
        <v>6.79</v>
      </c>
      <c r="CA593">
        <v>0.46</v>
      </c>
      <c r="CB593">
        <v>0</v>
      </c>
      <c r="CC593">
        <v>0.46</v>
      </c>
      <c r="CD593">
        <v>0.41</v>
      </c>
      <c r="CE593">
        <v>0.39</v>
      </c>
      <c r="CF593">
        <v>0.38</v>
      </c>
      <c r="CG593">
        <v>1.18</v>
      </c>
      <c r="CH593">
        <v>0.74</v>
      </c>
      <c r="CI593">
        <v>0.21</v>
      </c>
      <c r="CJ593">
        <v>22493</v>
      </c>
      <c r="CK593">
        <v>6393</v>
      </c>
      <c r="CL593" t="s">
        <v>1188</v>
      </c>
      <c r="CM593">
        <v>-40.869999999999997</v>
      </c>
      <c r="CN593">
        <v>-7.94</v>
      </c>
      <c r="CO593">
        <v>2.29</v>
      </c>
      <c r="CP593">
        <v>21.97</v>
      </c>
      <c r="CQ593">
        <v>2.06</v>
      </c>
      <c r="CR593">
        <v>1.32</v>
      </c>
      <c r="CS593" t="s">
        <v>2474</v>
      </c>
      <c r="CT593">
        <v>3.3</v>
      </c>
      <c r="CU593">
        <v>0</v>
      </c>
      <c r="CV593">
        <v>1.63</v>
      </c>
      <c r="CW593">
        <v>0.55000000000000004</v>
      </c>
      <c r="CX593">
        <v>0.34</v>
      </c>
      <c r="CY593">
        <v>77.13</v>
      </c>
      <c r="CZ593" t="s">
        <v>1733</v>
      </c>
      <c r="DA593">
        <v>13.96</v>
      </c>
      <c r="DB593">
        <v>5.87</v>
      </c>
      <c r="DC593">
        <v>5</v>
      </c>
      <c r="DD593">
        <v>0.24</v>
      </c>
      <c r="DE593">
        <v>728</v>
      </c>
      <c r="DF593">
        <v>2136</v>
      </c>
      <c r="DG593" t="s">
        <v>116</v>
      </c>
      <c r="DH593" t="s">
        <v>116</v>
      </c>
      <c r="DI593" t="s">
        <v>116</v>
      </c>
    </row>
    <row r="594" spans="1:113" x14ac:dyDescent="0.4">
      <c r="A594" t="str">
        <f>"002137"</f>
        <v>002137</v>
      </c>
      <c r="B594" t="s">
        <v>3818</v>
      </c>
      <c r="C594">
        <v>-1.23</v>
      </c>
      <c r="D594">
        <v>7.24</v>
      </c>
      <c r="E594">
        <v>-0.09</v>
      </c>
      <c r="F594">
        <v>7.24</v>
      </c>
      <c r="G594">
        <v>7.25</v>
      </c>
      <c r="H594">
        <v>161612</v>
      </c>
      <c r="I594">
        <v>1404</v>
      </c>
      <c r="J594">
        <v>-0.13</v>
      </c>
      <c r="K594">
        <v>4.43</v>
      </c>
      <c r="L594">
        <v>7.4</v>
      </c>
      <c r="M594">
        <v>7.54</v>
      </c>
      <c r="N594">
        <v>7.22</v>
      </c>
      <c r="O594">
        <v>7.33</v>
      </c>
      <c r="P594">
        <v>23.05</v>
      </c>
      <c r="Q594">
        <v>119590824</v>
      </c>
      <c r="R594">
        <v>1.36</v>
      </c>
      <c r="S594" t="s">
        <v>465</v>
      </c>
      <c r="T594" t="s">
        <v>115</v>
      </c>
      <c r="U594">
        <v>4.37</v>
      </c>
      <c r="V594">
        <v>7.4</v>
      </c>
      <c r="W594">
        <v>83457</v>
      </c>
      <c r="X594">
        <v>78155</v>
      </c>
      <c r="Y594">
        <v>1.07</v>
      </c>
      <c r="Z594">
        <v>27</v>
      </c>
      <c r="AA594">
        <v>243</v>
      </c>
      <c r="AB594" t="s">
        <v>116</v>
      </c>
      <c r="AC594">
        <v>772600</v>
      </c>
      <c r="AD594">
        <v>0.03</v>
      </c>
      <c r="AE594" t="s">
        <v>116</v>
      </c>
      <c r="AF594" t="s">
        <v>116</v>
      </c>
      <c r="AG594">
        <v>3.65</v>
      </c>
      <c r="AH594" t="s">
        <v>3819</v>
      </c>
      <c r="AI594" t="s">
        <v>3820</v>
      </c>
      <c r="AJ594">
        <v>-0.55000000000000004</v>
      </c>
      <c r="AK594">
        <v>2673</v>
      </c>
      <c r="AL594">
        <v>60</v>
      </c>
      <c r="AM594">
        <v>1.6999999999999999E-3</v>
      </c>
      <c r="AN594">
        <v>-1</v>
      </c>
      <c r="AO594">
        <v>1.39</v>
      </c>
      <c r="AP594">
        <v>13.48</v>
      </c>
      <c r="AQ594">
        <v>6</v>
      </c>
      <c r="AR594">
        <v>6.78</v>
      </c>
      <c r="AS594">
        <v>5.16</v>
      </c>
      <c r="AT594" t="s">
        <v>3821</v>
      </c>
      <c r="AU594" t="s">
        <v>116</v>
      </c>
      <c r="AV594" t="s">
        <v>116</v>
      </c>
      <c r="AW594">
        <v>1.68</v>
      </c>
      <c r="BA594">
        <v>0.95</v>
      </c>
      <c r="BB594">
        <v>2.86</v>
      </c>
      <c r="BC594">
        <v>-1.5</v>
      </c>
      <c r="BD594">
        <v>0.95</v>
      </c>
      <c r="BE594">
        <v>-2.16</v>
      </c>
      <c r="BF594">
        <v>-3.98</v>
      </c>
      <c r="BG594">
        <v>0.28000000000000003</v>
      </c>
      <c r="BH594">
        <v>-2.1800000000000002</v>
      </c>
      <c r="BI594">
        <v>20191125</v>
      </c>
      <c r="BJ594">
        <v>20070613</v>
      </c>
      <c r="BK594">
        <v>5.78</v>
      </c>
      <c r="BL594" t="s">
        <v>116</v>
      </c>
      <c r="BM594" t="s">
        <v>116</v>
      </c>
      <c r="BN594">
        <v>18.02</v>
      </c>
      <c r="BO594">
        <v>14.77</v>
      </c>
      <c r="BP594">
        <v>0.33</v>
      </c>
      <c r="BQ594">
        <v>16.21</v>
      </c>
      <c r="BR594">
        <v>9.49</v>
      </c>
      <c r="BS594">
        <v>0.75</v>
      </c>
      <c r="BT594">
        <v>0.45</v>
      </c>
      <c r="BU594">
        <v>2.48</v>
      </c>
      <c r="BV594">
        <v>0.7</v>
      </c>
      <c r="BW594">
        <v>2.13</v>
      </c>
      <c r="BX594">
        <v>9.26</v>
      </c>
      <c r="BY594">
        <v>5.46</v>
      </c>
      <c r="BZ594">
        <v>4.34</v>
      </c>
      <c r="CA594">
        <v>1.71</v>
      </c>
      <c r="CB594">
        <v>0.6</v>
      </c>
      <c r="CC594">
        <v>1.81</v>
      </c>
      <c r="CD594">
        <v>1.42</v>
      </c>
      <c r="CE594">
        <v>1.36</v>
      </c>
      <c r="CF594">
        <v>0.03</v>
      </c>
      <c r="CG594">
        <v>-1.03</v>
      </c>
      <c r="CH594">
        <v>0.39</v>
      </c>
      <c r="CI594">
        <v>0.18</v>
      </c>
      <c r="CJ594">
        <v>47983</v>
      </c>
      <c r="CK594">
        <v>6533</v>
      </c>
      <c r="CL594" t="s">
        <v>570</v>
      </c>
      <c r="CM594">
        <v>76.040000000000006</v>
      </c>
      <c r="CN594">
        <v>-31.88</v>
      </c>
      <c r="CO594">
        <v>2.83</v>
      </c>
      <c r="CP594">
        <v>106.88</v>
      </c>
      <c r="CQ594">
        <v>7.66</v>
      </c>
      <c r="CR594">
        <v>0</v>
      </c>
      <c r="CS594" t="s">
        <v>2116</v>
      </c>
      <c r="CT594">
        <v>2.56</v>
      </c>
      <c r="CU594">
        <v>0</v>
      </c>
      <c r="CV594">
        <v>1.6</v>
      </c>
      <c r="CW594">
        <v>-0.18</v>
      </c>
      <c r="CX594">
        <v>7.0000000000000007E-2</v>
      </c>
      <c r="CY594">
        <v>81.98</v>
      </c>
      <c r="CZ594" t="s">
        <v>3822</v>
      </c>
      <c r="DA594">
        <v>20.49</v>
      </c>
      <c r="DB594">
        <v>31.41</v>
      </c>
      <c r="DC594">
        <v>24.92</v>
      </c>
      <c r="DD594">
        <v>0.22</v>
      </c>
      <c r="DE594">
        <v>768</v>
      </c>
      <c r="DF594">
        <v>2137</v>
      </c>
      <c r="DG594" t="s">
        <v>116</v>
      </c>
      <c r="DH594" t="s">
        <v>116</v>
      </c>
      <c r="DI594" t="s">
        <v>116</v>
      </c>
    </row>
    <row r="595" spans="1:113" x14ac:dyDescent="0.4">
      <c r="A595" t="str">
        <f>"002138"</f>
        <v>002138</v>
      </c>
      <c r="B595" t="s">
        <v>3823</v>
      </c>
      <c r="C595">
        <v>-3.55</v>
      </c>
      <c r="D595">
        <v>23.88</v>
      </c>
      <c r="E595">
        <v>-0.88</v>
      </c>
      <c r="F595">
        <v>23.87</v>
      </c>
      <c r="G595">
        <v>23.88</v>
      </c>
      <c r="H595">
        <v>173354</v>
      </c>
      <c r="I595">
        <v>3656</v>
      </c>
      <c r="J595">
        <v>-0.16</v>
      </c>
      <c r="K595">
        <v>2.48</v>
      </c>
      <c r="L595">
        <v>24.7</v>
      </c>
      <c r="M595">
        <v>24.88</v>
      </c>
      <c r="N595">
        <v>23.85</v>
      </c>
      <c r="O595">
        <v>24.76</v>
      </c>
      <c r="P595">
        <v>48.66</v>
      </c>
      <c r="Q595">
        <v>421909216</v>
      </c>
      <c r="R595">
        <v>1.0900000000000001</v>
      </c>
      <c r="S595" t="s">
        <v>233</v>
      </c>
      <c r="T595" t="s">
        <v>115</v>
      </c>
      <c r="U595">
        <v>4.16</v>
      </c>
      <c r="V595">
        <v>24.34</v>
      </c>
      <c r="W595">
        <v>99520</v>
      </c>
      <c r="X595">
        <v>73834</v>
      </c>
      <c r="Y595">
        <v>1.35</v>
      </c>
      <c r="Z595">
        <v>155</v>
      </c>
      <c r="AA595">
        <v>471</v>
      </c>
      <c r="AB595" t="s">
        <v>116</v>
      </c>
      <c r="AC595">
        <v>580500</v>
      </c>
      <c r="AD595">
        <v>0</v>
      </c>
      <c r="AE595" t="s">
        <v>116</v>
      </c>
      <c r="AF595" t="s">
        <v>116</v>
      </c>
      <c r="AG595">
        <v>6.99</v>
      </c>
      <c r="AH595" t="s">
        <v>3824</v>
      </c>
      <c r="AI595" t="s">
        <v>3825</v>
      </c>
      <c r="AJ595">
        <v>-2.88</v>
      </c>
      <c r="AK595">
        <v>3384</v>
      </c>
      <c r="AL595">
        <v>51</v>
      </c>
      <c r="AM595">
        <v>6.9999999999999999E-4</v>
      </c>
      <c r="AN595">
        <v>-2</v>
      </c>
      <c r="AO595">
        <v>-2.2400000000000002</v>
      </c>
      <c r="AP595">
        <v>1.53</v>
      </c>
      <c r="AQ595">
        <v>7.18</v>
      </c>
      <c r="AR595">
        <v>75.069999999999993</v>
      </c>
      <c r="AS595">
        <v>2.81</v>
      </c>
      <c r="AT595" t="s">
        <v>3826</v>
      </c>
      <c r="AU595">
        <v>46.51</v>
      </c>
      <c r="AV595">
        <v>40.229999999999997</v>
      </c>
      <c r="AW595">
        <v>0.99</v>
      </c>
      <c r="BA595">
        <v>-0.24</v>
      </c>
      <c r="BB595">
        <v>0.48</v>
      </c>
      <c r="BC595">
        <v>-3.68</v>
      </c>
      <c r="BD595">
        <v>-1.7</v>
      </c>
      <c r="BE595">
        <v>-3.32</v>
      </c>
      <c r="BF595">
        <v>-4.0199999999999996</v>
      </c>
      <c r="BG595">
        <v>0.13</v>
      </c>
      <c r="BH595">
        <v>-1.85</v>
      </c>
      <c r="BI595">
        <v>20191025</v>
      </c>
      <c r="BJ595">
        <v>20070613</v>
      </c>
      <c r="BK595">
        <v>8.06</v>
      </c>
      <c r="BL595" t="s">
        <v>116</v>
      </c>
      <c r="BM595" t="s">
        <v>116</v>
      </c>
      <c r="BN595">
        <v>56.46</v>
      </c>
      <c r="BO595">
        <v>43.13</v>
      </c>
      <c r="BP595">
        <v>0.68</v>
      </c>
      <c r="BQ595">
        <v>22.41</v>
      </c>
      <c r="BR595">
        <v>20.48</v>
      </c>
      <c r="BS595">
        <v>26.42</v>
      </c>
      <c r="BT595">
        <v>1.81</v>
      </c>
      <c r="BU595">
        <v>11.06</v>
      </c>
      <c r="BV595">
        <v>5.12</v>
      </c>
      <c r="BW595">
        <v>9.7799999999999994</v>
      </c>
      <c r="BX595">
        <v>19.82</v>
      </c>
      <c r="BY595">
        <v>19.309999999999999</v>
      </c>
      <c r="BZ595">
        <v>12.63</v>
      </c>
      <c r="CA595">
        <v>3.56</v>
      </c>
      <c r="CB595">
        <v>-0.01</v>
      </c>
      <c r="CC595">
        <v>3.53</v>
      </c>
      <c r="CD595">
        <v>3.02</v>
      </c>
      <c r="CE595">
        <v>2.97</v>
      </c>
      <c r="CF595">
        <v>2.75</v>
      </c>
      <c r="CG595">
        <v>14.56</v>
      </c>
      <c r="CH595">
        <v>4.68</v>
      </c>
      <c r="CI595">
        <v>-1.18</v>
      </c>
      <c r="CJ595">
        <v>43940</v>
      </c>
      <c r="CK595">
        <v>14045</v>
      </c>
      <c r="CL595" t="s">
        <v>3827</v>
      </c>
      <c r="CM595">
        <v>-17.87</v>
      </c>
      <c r="CN595">
        <v>10.38</v>
      </c>
      <c r="CO595">
        <v>4.46</v>
      </c>
      <c r="CP595">
        <v>41.13</v>
      </c>
      <c r="CQ595">
        <v>9.9700000000000006</v>
      </c>
      <c r="CR595">
        <v>0.84</v>
      </c>
      <c r="CS595" t="s">
        <v>3828</v>
      </c>
      <c r="CT595">
        <v>5.35</v>
      </c>
      <c r="CU595">
        <v>0</v>
      </c>
      <c r="CV595">
        <v>2.46</v>
      </c>
      <c r="CW595">
        <v>1.81</v>
      </c>
      <c r="CX595">
        <v>0.57999999999999996</v>
      </c>
      <c r="CY595">
        <v>76.39</v>
      </c>
      <c r="CZ595" t="s">
        <v>2841</v>
      </c>
      <c r="DA595">
        <v>34.619999999999997</v>
      </c>
      <c r="DB595">
        <v>18.420000000000002</v>
      </c>
      <c r="DC595">
        <v>15.37</v>
      </c>
      <c r="DD595">
        <v>1.39</v>
      </c>
      <c r="DE595">
        <v>5323</v>
      </c>
      <c r="DF595">
        <v>2138</v>
      </c>
      <c r="DG595" t="s">
        <v>116</v>
      </c>
      <c r="DH595" t="s">
        <v>116</v>
      </c>
      <c r="DI595" t="s">
        <v>116</v>
      </c>
    </row>
    <row r="596" spans="1:113" x14ac:dyDescent="0.4">
      <c r="A596" t="str">
        <f>"002139"</f>
        <v>002139</v>
      </c>
      <c r="B596" t="s">
        <v>3829</v>
      </c>
      <c r="C596">
        <v>-1.42</v>
      </c>
      <c r="D596">
        <v>5.57</v>
      </c>
      <c r="E596">
        <v>-0.08</v>
      </c>
      <c r="F596">
        <v>5.57</v>
      </c>
      <c r="G596">
        <v>5.58</v>
      </c>
      <c r="H596">
        <v>300107</v>
      </c>
      <c r="I596">
        <v>2721</v>
      </c>
      <c r="J596">
        <v>0.36</v>
      </c>
      <c r="K596">
        <v>3.76</v>
      </c>
      <c r="L596">
        <v>5.65</v>
      </c>
      <c r="M596">
        <v>5.7</v>
      </c>
      <c r="N596">
        <v>5.52</v>
      </c>
      <c r="O596">
        <v>5.65</v>
      </c>
      <c r="P596">
        <v>15.53</v>
      </c>
      <c r="Q596">
        <v>168893248</v>
      </c>
      <c r="R596">
        <v>1.1299999999999999</v>
      </c>
      <c r="S596" t="s">
        <v>233</v>
      </c>
      <c r="T596" t="s">
        <v>115</v>
      </c>
      <c r="U596">
        <v>3.19</v>
      </c>
      <c r="V596">
        <v>5.63</v>
      </c>
      <c r="W596">
        <v>169730</v>
      </c>
      <c r="X596">
        <v>130377</v>
      </c>
      <c r="Y596">
        <v>1.3</v>
      </c>
      <c r="Z596">
        <v>1160</v>
      </c>
      <c r="AA596">
        <v>498</v>
      </c>
      <c r="AB596" t="s">
        <v>116</v>
      </c>
      <c r="AC596">
        <v>263900</v>
      </c>
      <c r="AD596">
        <v>0.01</v>
      </c>
      <c r="AE596" t="s">
        <v>116</v>
      </c>
      <c r="AF596" t="s">
        <v>116</v>
      </c>
      <c r="AG596">
        <v>7.98</v>
      </c>
      <c r="AH596" t="s">
        <v>3830</v>
      </c>
      <c r="AI596" t="s">
        <v>3831</v>
      </c>
      <c r="AJ596">
        <v>-0.74</v>
      </c>
      <c r="AK596">
        <v>2927</v>
      </c>
      <c r="AL596">
        <v>103</v>
      </c>
      <c r="AM596">
        <v>1.2999999999999999E-3</v>
      </c>
      <c r="AN596">
        <v>-2</v>
      </c>
      <c r="AO596">
        <v>0.71</v>
      </c>
      <c r="AP596">
        <v>12.3</v>
      </c>
      <c r="AQ596">
        <v>-2.11</v>
      </c>
      <c r="AR596">
        <v>45.83</v>
      </c>
      <c r="AS596">
        <v>4.22</v>
      </c>
      <c r="AT596" t="s">
        <v>3832</v>
      </c>
      <c r="AU596">
        <v>18.8</v>
      </c>
      <c r="AV596">
        <v>25.54</v>
      </c>
      <c r="AW596">
        <v>1.41</v>
      </c>
      <c r="BA596">
        <v>0</v>
      </c>
      <c r="BB596">
        <v>0.88</v>
      </c>
      <c r="BC596">
        <v>-2.2999999999999998</v>
      </c>
      <c r="BD596">
        <v>-0.39</v>
      </c>
      <c r="BE596">
        <v>-1.42</v>
      </c>
      <c r="BF596">
        <v>-2.2799999999999998</v>
      </c>
      <c r="BG596">
        <v>0.91</v>
      </c>
      <c r="BH596">
        <v>-1.02</v>
      </c>
      <c r="BI596">
        <v>20191225</v>
      </c>
      <c r="BJ596">
        <v>20070629</v>
      </c>
      <c r="BK596">
        <v>10.19</v>
      </c>
      <c r="BL596" t="s">
        <v>116</v>
      </c>
      <c r="BM596" t="s">
        <v>116</v>
      </c>
      <c r="BN596">
        <v>45.82</v>
      </c>
      <c r="BO596">
        <v>24.55</v>
      </c>
      <c r="BP596">
        <v>1.21</v>
      </c>
      <c r="BQ596">
        <v>43.78</v>
      </c>
      <c r="BR596">
        <v>28.56</v>
      </c>
      <c r="BS596">
        <v>7.58</v>
      </c>
      <c r="BT596">
        <v>2.39</v>
      </c>
      <c r="BU596">
        <v>14.51</v>
      </c>
      <c r="BV596">
        <v>5.42</v>
      </c>
      <c r="BW596">
        <v>10.82</v>
      </c>
      <c r="BX596">
        <v>4.5199999999999996</v>
      </c>
      <c r="BY596">
        <v>27.91</v>
      </c>
      <c r="BZ596">
        <v>21.92</v>
      </c>
      <c r="CA596">
        <v>3.25</v>
      </c>
      <c r="CB596">
        <v>0</v>
      </c>
      <c r="CC596">
        <v>3.26</v>
      </c>
      <c r="CD596">
        <v>2.82</v>
      </c>
      <c r="CE596">
        <v>2.74</v>
      </c>
      <c r="CF596">
        <v>1.88</v>
      </c>
      <c r="CG596">
        <v>8.36</v>
      </c>
      <c r="CH596">
        <v>2.77</v>
      </c>
      <c r="CI596">
        <v>0.88</v>
      </c>
      <c r="CJ596">
        <v>57138</v>
      </c>
      <c r="CK596">
        <v>12453</v>
      </c>
      <c r="CL596" t="s">
        <v>3833</v>
      </c>
      <c r="CM596">
        <v>40.96</v>
      </c>
      <c r="CN596">
        <v>9.51</v>
      </c>
      <c r="CO596">
        <v>2.42</v>
      </c>
      <c r="CP596">
        <v>20.51</v>
      </c>
      <c r="CQ596">
        <v>2.0299999999999998</v>
      </c>
      <c r="CR596">
        <v>1.79</v>
      </c>
      <c r="CS596" t="s">
        <v>2207</v>
      </c>
      <c r="CT596">
        <v>2.31</v>
      </c>
      <c r="CU596">
        <v>2.31</v>
      </c>
      <c r="CV596">
        <v>0.44</v>
      </c>
      <c r="CW596">
        <v>0.82</v>
      </c>
      <c r="CX596">
        <v>0.27</v>
      </c>
      <c r="CY596">
        <v>53.57</v>
      </c>
      <c r="CZ596" t="s">
        <v>3834</v>
      </c>
      <c r="DA596">
        <v>21.45</v>
      </c>
      <c r="DB596">
        <v>11.66</v>
      </c>
      <c r="DC596">
        <v>9.82</v>
      </c>
      <c r="DD596">
        <v>1.61</v>
      </c>
      <c r="DE596">
        <v>5259</v>
      </c>
      <c r="DF596">
        <v>2139</v>
      </c>
      <c r="DG596" t="s">
        <v>116</v>
      </c>
      <c r="DH596" t="s">
        <v>116</v>
      </c>
      <c r="DI596" t="s">
        <v>116</v>
      </c>
    </row>
    <row r="597" spans="1:113" x14ac:dyDescent="0.4">
      <c r="A597" t="str">
        <f>"002140"</f>
        <v>002140</v>
      </c>
      <c r="B597" t="s">
        <v>3835</v>
      </c>
      <c r="C597">
        <v>-0.71</v>
      </c>
      <c r="D597">
        <v>6.99</v>
      </c>
      <c r="E597">
        <v>-0.05</v>
      </c>
      <c r="F597">
        <v>6.98</v>
      </c>
      <c r="G597">
        <v>6.99</v>
      </c>
      <c r="H597">
        <v>30869</v>
      </c>
      <c r="I597">
        <v>139</v>
      </c>
      <c r="J597">
        <v>0.43</v>
      </c>
      <c r="K597">
        <v>0.59</v>
      </c>
      <c r="L597">
        <v>7.04</v>
      </c>
      <c r="M597">
        <v>7.07</v>
      </c>
      <c r="N597">
        <v>6.95</v>
      </c>
      <c r="O597">
        <v>7.04</v>
      </c>
      <c r="P597">
        <v>21.93</v>
      </c>
      <c r="Q597">
        <v>21685040</v>
      </c>
      <c r="R597">
        <v>0.91</v>
      </c>
      <c r="S597" t="s">
        <v>181</v>
      </c>
      <c r="T597" t="s">
        <v>575</v>
      </c>
      <c r="U597">
        <v>1.7</v>
      </c>
      <c r="V597">
        <v>7.02</v>
      </c>
      <c r="W597">
        <v>17498</v>
      </c>
      <c r="X597">
        <v>13371</v>
      </c>
      <c r="Y597">
        <v>1.31</v>
      </c>
      <c r="Z597">
        <v>41</v>
      </c>
      <c r="AA597">
        <v>58</v>
      </c>
      <c r="AB597" t="s">
        <v>116</v>
      </c>
      <c r="AC597">
        <v>48600</v>
      </c>
      <c r="AD597">
        <v>0</v>
      </c>
      <c r="AE597" t="s">
        <v>116</v>
      </c>
      <c r="AF597" t="s">
        <v>116</v>
      </c>
      <c r="AG597">
        <v>5.27</v>
      </c>
      <c r="AH597" t="s">
        <v>3836</v>
      </c>
      <c r="AI597" t="s">
        <v>3837</v>
      </c>
      <c r="AJ597">
        <v>-0.03</v>
      </c>
      <c r="AK597">
        <v>961</v>
      </c>
      <c r="AL597">
        <v>32</v>
      </c>
      <c r="AM597">
        <v>5.9999999999999995E-4</v>
      </c>
      <c r="AN597">
        <v>-1</v>
      </c>
      <c r="AO597">
        <v>0.72</v>
      </c>
      <c r="AP597">
        <v>8.1999999999999993</v>
      </c>
      <c r="AQ597">
        <v>-4.51</v>
      </c>
      <c r="AR597">
        <v>48.2</v>
      </c>
      <c r="AS597">
        <v>1.47</v>
      </c>
      <c r="AT597" t="s">
        <v>3838</v>
      </c>
      <c r="AU597">
        <v>23.79</v>
      </c>
      <c r="AV597">
        <v>25.23</v>
      </c>
      <c r="AW597">
        <v>1.1200000000000001</v>
      </c>
      <c r="BA597">
        <v>0</v>
      </c>
      <c r="BB597">
        <v>0.43</v>
      </c>
      <c r="BC597">
        <v>-1.28</v>
      </c>
      <c r="BD597">
        <v>-0.22</v>
      </c>
      <c r="BE597">
        <v>-0.71</v>
      </c>
      <c r="BF597">
        <v>-1.1299999999999999</v>
      </c>
      <c r="BG597">
        <v>0.57999999999999996</v>
      </c>
      <c r="BH597">
        <v>-0.49</v>
      </c>
      <c r="BI597">
        <v>20191219</v>
      </c>
      <c r="BJ597">
        <v>20070712</v>
      </c>
      <c r="BK597">
        <v>5.35</v>
      </c>
      <c r="BL597" t="s">
        <v>116</v>
      </c>
      <c r="BM597" t="s">
        <v>116</v>
      </c>
      <c r="BN597">
        <v>66.930000000000007</v>
      </c>
      <c r="BO597">
        <v>21.88</v>
      </c>
      <c r="BP597">
        <v>0.28999999999999998</v>
      </c>
      <c r="BQ597">
        <v>66.88</v>
      </c>
      <c r="BR597">
        <v>50.67</v>
      </c>
      <c r="BS597">
        <v>1.77</v>
      </c>
      <c r="BT597">
        <v>1.44</v>
      </c>
      <c r="BU597">
        <v>37.51</v>
      </c>
      <c r="BV597">
        <v>16.22</v>
      </c>
      <c r="BW597">
        <v>7.43</v>
      </c>
      <c r="BX597">
        <v>0.91</v>
      </c>
      <c r="BY597">
        <v>23.56</v>
      </c>
      <c r="BZ597">
        <v>20.72</v>
      </c>
      <c r="CA597">
        <v>1.5</v>
      </c>
      <c r="CB597">
        <v>7.0000000000000007E-2</v>
      </c>
      <c r="CC597">
        <v>1.5</v>
      </c>
      <c r="CD597">
        <v>1.28</v>
      </c>
      <c r="CE597">
        <v>1.28</v>
      </c>
      <c r="CF597">
        <v>1.25</v>
      </c>
      <c r="CG597">
        <v>13.55</v>
      </c>
      <c r="CH597">
        <v>2.23</v>
      </c>
      <c r="CI597">
        <v>1.07</v>
      </c>
      <c r="CJ597">
        <v>24400</v>
      </c>
      <c r="CK597">
        <v>8613</v>
      </c>
      <c r="CL597" t="s">
        <v>274</v>
      </c>
      <c r="CM597">
        <v>7.54</v>
      </c>
      <c r="CN597">
        <v>8.41</v>
      </c>
      <c r="CO597">
        <v>1.71</v>
      </c>
      <c r="CP597">
        <v>16.809999999999999</v>
      </c>
      <c r="CQ597">
        <v>1.59</v>
      </c>
      <c r="CR597">
        <v>1.19</v>
      </c>
      <c r="CS597" t="s">
        <v>1209</v>
      </c>
      <c r="CT597">
        <v>4.09</v>
      </c>
      <c r="CU597">
        <v>0</v>
      </c>
      <c r="CV597">
        <v>0.17</v>
      </c>
      <c r="CW597">
        <v>2.5299999999999998</v>
      </c>
      <c r="CX597">
        <v>0.42</v>
      </c>
      <c r="CY597">
        <v>32.69</v>
      </c>
      <c r="CZ597" t="s">
        <v>3839</v>
      </c>
      <c r="DA597">
        <v>12.05</v>
      </c>
      <c r="DB597">
        <v>6.37</v>
      </c>
      <c r="DC597">
        <v>5.43</v>
      </c>
      <c r="DD597">
        <v>0.59</v>
      </c>
      <c r="DE597">
        <v>1167</v>
      </c>
      <c r="DF597">
        <v>2140</v>
      </c>
      <c r="DG597" t="s">
        <v>116</v>
      </c>
      <c r="DH597" t="s">
        <v>116</v>
      </c>
      <c r="DI597" t="s">
        <v>116</v>
      </c>
    </row>
    <row r="598" spans="1:113" x14ac:dyDescent="0.4">
      <c r="A598" t="str">
        <f>"002141"</f>
        <v>002141</v>
      </c>
      <c r="B598" t="s">
        <v>3840</v>
      </c>
      <c r="C598">
        <v>-0.54</v>
      </c>
      <c r="D598">
        <v>3.66</v>
      </c>
      <c r="E598">
        <v>-0.02</v>
      </c>
      <c r="F598">
        <v>3.66</v>
      </c>
      <c r="G598">
        <v>3.67</v>
      </c>
      <c r="H598">
        <v>101510</v>
      </c>
      <c r="I598">
        <v>3965</v>
      </c>
      <c r="J598">
        <v>0</v>
      </c>
      <c r="K598">
        <v>1.59</v>
      </c>
      <c r="L598">
        <v>3.7</v>
      </c>
      <c r="M598">
        <v>3.73</v>
      </c>
      <c r="N598">
        <v>3.65</v>
      </c>
      <c r="O598">
        <v>3.68</v>
      </c>
      <c r="P598" t="s">
        <v>116</v>
      </c>
      <c r="Q598">
        <v>37468952</v>
      </c>
      <c r="R598">
        <v>0.56000000000000005</v>
      </c>
      <c r="S598" t="s">
        <v>233</v>
      </c>
      <c r="T598" t="s">
        <v>551</v>
      </c>
      <c r="U598">
        <v>2.17</v>
      </c>
      <c r="V598">
        <v>3.69</v>
      </c>
      <c r="W598">
        <v>57091</v>
      </c>
      <c r="X598">
        <v>44419</v>
      </c>
      <c r="Y598">
        <v>1.29</v>
      </c>
      <c r="Z598">
        <v>625</v>
      </c>
      <c r="AA598">
        <v>731</v>
      </c>
      <c r="AB598" t="s">
        <v>116</v>
      </c>
      <c r="AC598">
        <v>109900</v>
      </c>
      <c r="AD598">
        <v>0.01</v>
      </c>
      <c r="AE598" t="s">
        <v>116</v>
      </c>
      <c r="AF598" t="s">
        <v>116</v>
      </c>
      <c r="AG598">
        <v>6.37</v>
      </c>
      <c r="AH598" t="s">
        <v>3841</v>
      </c>
      <c r="AI598" t="s">
        <v>3842</v>
      </c>
      <c r="AJ598">
        <v>0.14000000000000001</v>
      </c>
      <c r="AK598">
        <v>1113</v>
      </c>
      <c r="AL598">
        <v>91</v>
      </c>
      <c r="AM598">
        <v>1.4E-3</v>
      </c>
      <c r="AN598">
        <v>-2</v>
      </c>
      <c r="AO598">
        <v>-0.54</v>
      </c>
      <c r="AP598">
        <v>-3.68</v>
      </c>
      <c r="AQ598">
        <v>1.95</v>
      </c>
      <c r="AR598">
        <v>-15.47</v>
      </c>
      <c r="AS598">
        <v>2.13</v>
      </c>
      <c r="AT598" t="s">
        <v>3843</v>
      </c>
      <c r="AU598" t="s">
        <v>116</v>
      </c>
      <c r="AV598">
        <v>589.87</v>
      </c>
      <c r="AW598">
        <v>0.78</v>
      </c>
      <c r="BA598">
        <v>0.54</v>
      </c>
      <c r="BB598">
        <v>1.36</v>
      </c>
      <c r="BC598">
        <v>-0.82</v>
      </c>
      <c r="BD598">
        <v>0.3</v>
      </c>
      <c r="BE598">
        <v>-1.08</v>
      </c>
      <c r="BF598">
        <v>-1.88</v>
      </c>
      <c r="BG598">
        <v>0.27</v>
      </c>
      <c r="BH598">
        <v>-0.85</v>
      </c>
      <c r="BI598">
        <v>20191026</v>
      </c>
      <c r="BJ598">
        <v>20070720</v>
      </c>
      <c r="BK598">
        <v>11.35</v>
      </c>
      <c r="BL598" t="s">
        <v>116</v>
      </c>
      <c r="BM598" t="s">
        <v>116</v>
      </c>
      <c r="BN598">
        <v>18.559999999999999</v>
      </c>
      <c r="BO598">
        <v>14.22</v>
      </c>
      <c r="BP598">
        <v>0.61</v>
      </c>
      <c r="BQ598">
        <v>20.13</v>
      </c>
      <c r="BR598">
        <v>4.07</v>
      </c>
      <c r="BS598">
        <v>2.17</v>
      </c>
      <c r="BT598">
        <v>0.45</v>
      </c>
      <c r="BU598">
        <v>3.29</v>
      </c>
      <c r="BV598">
        <v>1.38</v>
      </c>
      <c r="BW598">
        <v>1.8</v>
      </c>
      <c r="BX598">
        <v>1.82</v>
      </c>
      <c r="BY598">
        <v>7.12</v>
      </c>
      <c r="BZ598">
        <v>6.22</v>
      </c>
      <c r="CA598">
        <v>-0.1</v>
      </c>
      <c r="CB598">
        <v>0.34</v>
      </c>
      <c r="CC598">
        <v>-0.1</v>
      </c>
      <c r="CD598">
        <v>-0.1</v>
      </c>
      <c r="CE598">
        <v>-0.09</v>
      </c>
      <c r="CF598">
        <v>-0.15</v>
      </c>
      <c r="CG598">
        <v>0.81</v>
      </c>
      <c r="CH598">
        <v>-0.34</v>
      </c>
      <c r="CI598">
        <v>-0.64</v>
      </c>
      <c r="CJ598">
        <v>53660</v>
      </c>
      <c r="CK598">
        <v>8898</v>
      </c>
      <c r="CL598" t="s">
        <v>3844</v>
      </c>
      <c r="CM598">
        <v>-215.58</v>
      </c>
      <c r="CN598">
        <v>-3.04</v>
      </c>
      <c r="CO598">
        <v>2.92</v>
      </c>
      <c r="CP598">
        <v>-120.72</v>
      </c>
      <c r="CQ598">
        <v>5.84</v>
      </c>
      <c r="CR598">
        <v>0</v>
      </c>
      <c r="CS598" t="s">
        <v>2393</v>
      </c>
      <c r="CT598">
        <v>1.25</v>
      </c>
      <c r="CU598">
        <v>0</v>
      </c>
      <c r="CV598">
        <v>0.16</v>
      </c>
      <c r="CW598">
        <v>7.0000000000000007E-2</v>
      </c>
      <c r="CX598">
        <v>-0.03</v>
      </c>
      <c r="CY598">
        <v>76.59</v>
      </c>
      <c r="CZ598" t="s">
        <v>3845</v>
      </c>
      <c r="DA598">
        <v>12.53</v>
      </c>
      <c r="DB598">
        <v>-1.44</v>
      </c>
      <c r="DC598">
        <v>-1.24</v>
      </c>
      <c r="DD598">
        <v>0.23</v>
      </c>
      <c r="DE598">
        <v>927</v>
      </c>
      <c r="DF598">
        <v>2141</v>
      </c>
      <c r="DG598" t="s">
        <v>116</v>
      </c>
      <c r="DH598" t="s">
        <v>116</v>
      </c>
      <c r="DI598" t="s">
        <v>116</v>
      </c>
    </row>
    <row r="599" spans="1:113" x14ac:dyDescent="0.4">
      <c r="A599" t="str">
        <f>"002142"</f>
        <v>002142</v>
      </c>
      <c r="B599" t="s">
        <v>3846</v>
      </c>
      <c r="C599">
        <v>-0.46</v>
      </c>
      <c r="D599">
        <v>28.02</v>
      </c>
      <c r="E599">
        <v>-0.13</v>
      </c>
      <c r="F599">
        <v>28.02</v>
      </c>
      <c r="G599">
        <v>28.03</v>
      </c>
      <c r="H599">
        <v>131984</v>
      </c>
      <c r="I599">
        <v>1023</v>
      </c>
      <c r="J599">
        <v>-0.1</v>
      </c>
      <c r="K599">
        <v>0.23</v>
      </c>
      <c r="L599">
        <v>28.1</v>
      </c>
      <c r="M599">
        <v>28.27</v>
      </c>
      <c r="N599">
        <v>27.9</v>
      </c>
      <c r="O599">
        <v>28.15</v>
      </c>
      <c r="P599">
        <v>11.04</v>
      </c>
      <c r="Q599">
        <v>370640480</v>
      </c>
      <c r="R599">
        <v>0.93</v>
      </c>
      <c r="S599" t="s">
        <v>114</v>
      </c>
      <c r="T599" t="s">
        <v>590</v>
      </c>
      <c r="U599">
        <v>1.31</v>
      </c>
      <c r="V599">
        <v>28.08</v>
      </c>
      <c r="W599">
        <v>59342</v>
      </c>
      <c r="X599">
        <v>72642</v>
      </c>
      <c r="Y599">
        <v>0.82</v>
      </c>
      <c r="Z599">
        <v>132</v>
      </c>
      <c r="AA599">
        <v>53</v>
      </c>
      <c r="AB599" t="s">
        <v>116</v>
      </c>
      <c r="AC599">
        <v>1230800</v>
      </c>
      <c r="AD599">
        <v>0</v>
      </c>
      <c r="AE599" t="s">
        <v>116</v>
      </c>
      <c r="AF599" t="s">
        <v>116</v>
      </c>
      <c r="AG599">
        <v>56.22</v>
      </c>
      <c r="AH599" t="s">
        <v>3847</v>
      </c>
      <c r="AI599" t="s">
        <v>3848</v>
      </c>
      <c r="AJ599">
        <v>0.22</v>
      </c>
      <c r="AK599">
        <v>3639</v>
      </c>
      <c r="AL599">
        <v>36</v>
      </c>
      <c r="AM599">
        <v>1E-4</v>
      </c>
      <c r="AN599">
        <v>-3</v>
      </c>
      <c r="AO599">
        <v>-0.71</v>
      </c>
      <c r="AP599">
        <v>5.42</v>
      </c>
      <c r="AQ599">
        <v>8.56</v>
      </c>
      <c r="AR599">
        <v>77.12</v>
      </c>
      <c r="AS599">
        <v>0.53</v>
      </c>
      <c r="AT599" t="s">
        <v>3849</v>
      </c>
      <c r="AU599">
        <v>12.16</v>
      </c>
      <c r="AV599">
        <v>14.1</v>
      </c>
      <c r="AW599">
        <v>0.7</v>
      </c>
      <c r="BA599">
        <v>-0.18</v>
      </c>
      <c r="BB599">
        <v>0.43</v>
      </c>
      <c r="BC599">
        <v>-0.89</v>
      </c>
      <c r="BD599">
        <v>-0.24</v>
      </c>
      <c r="BE599">
        <v>-0.28000000000000003</v>
      </c>
      <c r="BF599">
        <v>-0.88</v>
      </c>
      <c r="BG599">
        <v>0.43</v>
      </c>
      <c r="BH599">
        <v>-0.22</v>
      </c>
      <c r="BI599">
        <v>20191031</v>
      </c>
      <c r="BJ599">
        <v>20070719</v>
      </c>
      <c r="BK599">
        <v>56.28</v>
      </c>
      <c r="BL599" t="s">
        <v>116</v>
      </c>
      <c r="BM599" t="s">
        <v>116</v>
      </c>
      <c r="BN599">
        <v>12397.19</v>
      </c>
      <c r="BO599">
        <v>973.68</v>
      </c>
      <c r="BP599">
        <v>4.1500000000000004</v>
      </c>
      <c r="BQ599">
        <v>92.11</v>
      </c>
      <c r="BR599">
        <v>0</v>
      </c>
      <c r="BS599">
        <v>63.88</v>
      </c>
      <c r="BT599">
        <v>3.43</v>
      </c>
      <c r="BU599">
        <v>0</v>
      </c>
      <c r="BV599">
        <v>0</v>
      </c>
      <c r="BW599">
        <v>0</v>
      </c>
      <c r="BX599">
        <v>187.85</v>
      </c>
      <c r="BY599">
        <v>255.53</v>
      </c>
      <c r="BZ599">
        <v>0</v>
      </c>
      <c r="CA599">
        <v>120.03</v>
      </c>
      <c r="CB599">
        <v>32.74</v>
      </c>
      <c r="CC599">
        <v>119.83</v>
      </c>
      <c r="CD599">
        <v>107.76</v>
      </c>
      <c r="CE599">
        <v>107.12</v>
      </c>
      <c r="CF599">
        <v>107.16</v>
      </c>
      <c r="CG599">
        <v>397.75</v>
      </c>
      <c r="CH599">
        <v>248.62</v>
      </c>
      <c r="CI599">
        <v>71.959999999999994</v>
      </c>
      <c r="CJ599">
        <v>61325</v>
      </c>
      <c r="CK599">
        <v>40714</v>
      </c>
      <c r="CL599" t="s">
        <v>3850</v>
      </c>
      <c r="CM599">
        <v>20.04</v>
      </c>
      <c r="CN599">
        <v>20.37</v>
      </c>
      <c r="CO599">
        <v>1.91</v>
      </c>
      <c r="CP599">
        <v>6.34</v>
      </c>
      <c r="CQ599">
        <v>6.17</v>
      </c>
      <c r="CR599">
        <v>1.36</v>
      </c>
      <c r="CS599" t="s">
        <v>3851</v>
      </c>
      <c r="CT599">
        <v>14.67</v>
      </c>
      <c r="CU599">
        <v>14.67</v>
      </c>
      <c r="CV599">
        <v>3.34</v>
      </c>
      <c r="CW599">
        <v>7.07</v>
      </c>
      <c r="CX599">
        <v>4.42</v>
      </c>
      <c r="CY599">
        <v>7.85</v>
      </c>
      <c r="CZ599" t="s">
        <v>3852</v>
      </c>
      <c r="DA599" t="s">
        <v>116</v>
      </c>
      <c r="DB599">
        <v>46.97</v>
      </c>
      <c r="DC599">
        <v>41.92</v>
      </c>
      <c r="DD599">
        <v>0</v>
      </c>
      <c r="DE599">
        <v>13684</v>
      </c>
      <c r="DF599">
        <v>2142</v>
      </c>
      <c r="DG599" t="s">
        <v>116</v>
      </c>
      <c r="DH599" t="s">
        <v>116</v>
      </c>
      <c r="DI599" t="s">
        <v>116</v>
      </c>
    </row>
    <row r="600" spans="1:113" x14ac:dyDescent="0.4">
      <c r="A600" t="str">
        <f>"002144"</f>
        <v>002144</v>
      </c>
      <c r="B600" t="s">
        <v>3853</v>
      </c>
      <c r="C600">
        <v>-1.41</v>
      </c>
      <c r="D600">
        <v>9.7799999999999994</v>
      </c>
      <c r="E600">
        <v>-0.14000000000000001</v>
      </c>
      <c r="F600">
        <v>9.7799999999999994</v>
      </c>
      <c r="G600">
        <v>9.8000000000000007</v>
      </c>
      <c r="H600">
        <v>10827</v>
      </c>
      <c r="I600">
        <v>59</v>
      </c>
      <c r="J600">
        <v>0.41</v>
      </c>
      <c r="K600">
        <v>0.77</v>
      </c>
      <c r="L600">
        <v>9.93</v>
      </c>
      <c r="M600">
        <v>9.9700000000000006</v>
      </c>
      <c r="N600">
        <v>9.7200000000000006</v>
      </c>
      <c r="O600">
        <v>9.92</v>
      </c>
      <c r="P600">
        <v>17.579999999999998</v>
      </c>
      <c r="Q600">
        <v>10683321</v>
      </c>
      <c r="R600">
        <v>1.05</v>
      </c>
      <c r="S600" t="s">
        <v>1420</v>
      </c>
      <c r="T600" t="s">
        <v>590</v>
      </c>
      <c r="U600">
        <v>2.52</v>
      </c>
      <c r="V600">
        <v>9.8699999999999992</v>
      </c>
      <c r="W600">
        <v>6595</v>
      </c>
      <c r="X600">
        <v>4232</v>
      </c>
      <c r="Y600">
        <v>1.56</v>
      </c>
      <c r="Z600">
        <v>44</v>
      </c>
      <c r="AA600">
        <v>20</v>
      </c>
      <c r="AB600" t="s">
        <v>116</v>
      </c>
      <c r="AC600">
        <v>0</v>
      </c>
      <c r="AD600">
        <v>0</v>
      </c>
      <c r="AE600" t="s">
        <v>116</v>
      </c>
      <c r="AF600" t="s">
        <v>116</v>
      </c>
      <c r="AG600">
        <v>1.4</v>
      </c>
      <c r="AH600" t="s">
        <v>756</v>
      </c>
      <c r="AI600" t="s">
        <v>3854</v>
      </c>
      <c r="AJ600">
        <v>-0.73</v>
      </c>
      <c r="AK600">
        <v>705</v>
      </c>
      <c r="AL600">
        <v>15</v>
      </c>
      <c r="AM600">
        <v>1.1000000000000001E-3</v>
      </c>
      <c r="AN600">
        <v>-1</v>
      </c>
      <c r="AO600">
        <v>-0.51</v>
      </c>
      <c r="AP600">
        <v>1.56</v>
      </c>
      <c r="AQ600">
        <v>0.51</v>
      </c>
      <c r="AR600">
        <v>0.82</v>
      </c>
      <c r="AS600">
        <v>0.83</v>
      </c>
      <c r="AT600" t="s">
        <v>3855</v>
      </c>
      <c r="AU600">
        <v>19.809999999999999</v>
      </c>
      <c r="AV600">
        <v>19.03</v>
      </c>
      <c r="AW600">
        <v>0.86</v>
      </c>
      <c r="BA600">
        <v>0.1</v>
      </c>
      <c r="BB600">
        <v>0.5</v>
      </c>
      <c r="BC600">
        <v>-2.02</v>
      </c>
      <c r="BD600">
        <v>-0.53</v>
      </c>
      <c r="BE600">
        <v>-1.51</v>
      </c>
      <c r="BF600">
        <v>-1.91</v>
      </c>
      <c r="BG600">
        <v>0.62</v>
      </c>
      <c r="BH600">
        <v>-0.88</v>
      </c>
      <c r="BI600">
        <v>20191219</v>
      </c>
      <c r="BJ600">
        <v>20070803</v>
      </c>
      <c r="BK600">
        <v>1.77</v>
      </c>
      <c r="BL600" t="s">
        <v>116</v>
      </c>
      <c r="BM600" t="s">
        <v>116</v>
      </c>
      <c r="BN600">
        <v>19.149999999999999</v>
      </c>
      <c r="BO600">
        <v>17.11</v>
      </c>
      <c r="BP600">
        <v>0.02</v>
      </c>
      <c r="BQ600">
        <v>10.56</v>
      </c>
      <c r="BR600">
        <v>5.93</v>
      </c>
      <c r="BS600">
        <v>2.68</v>
      </c>
      <c r="BT600">
        <v>0.42</v>
      </c>
      <c r="BU600">
        <v>1.59</v>
      </c>
      <c r="BV600">
        <v>0.82</v>
      </c>
      <c r="BW600">
        <v>1.2</v>
      </c>
      <c r="BX600">
        <v>6.98</v>
      </c>
      <c r="BY600">
        <v>3.97</v>
      </c>
      <c r="BZ600">
        <v>2.76</v>
      </c>
      <c r="CA600">
        <v>0.81</v>
      </c>
      <c r="CB600">
        <v>0.3</v>
      </c>
      <c r="CC600">
        <v>0.8</v>
      </c>
      <c r="CD600">
        <v>0.73</v>
      </c>
      <c r="CE600">
        <v>0.74</v>
      </c>
      <c r="CF600">
        <v>0.67</v>
      </c>
      <c r="CG600">
        <v>6.51</v>
      </c>
      <c r="CH600">
        <v>0.25</v>
      </c>
      <c r="CI600">
        <v>0.04</v>
      </c>
      <c r="CJ600">
        <v>18744</v>
      </c>
      <c r="CK600">
        <v>6935</v>
      </c>
      <c r="CL600" t="s">
        <v>1991</v>
      </c>
      <c r="CM600">
        <v>-4.6100000000000003</v>
      </c>
      <c r="CN600">
        <v>-2.67</v>
      </c>
      <c r="CO600">
        <v>1.01</v>
      </c>
      <c r="CP600">
        <v>69.19</v>
      </c>
      <c r="CQ600">
        <v>4.3499999999999996</v>
      </c>
      <c r="CR600">
        <v>1.02</v>
      </c>
      <c r="CS600" t="s">
        <v>3856</v>
      </c>
      <c r="CT600">
        <v>9.68</v>
      </c>
      <c r="CU600">
        <v>0</v>
      </c>
      <c r="CV600">
        <v>3.95</v>
      </c>
      <c r="CW600">
        <v>3.68</v>
      </c>
      <c r="CX600">
        <v>0.14000000000000001</v>
      </c>
      <c r="CY600">
        <v>89.36</v>
      </c>
      <c r="CZ600" t="s">
        <v>3857</v>
      </c>
      <c r="DA600">
        <v>30.57</v>
      </c>
      <c r="DB600">
        <v>20.28</v>
      </c>
      <c r="DC600">
        <v>18.559999999999999</v>
      </c>
      <c r="DD600">
        <v>0.14000000000000001</v>
      </c>
      <c r="DE600">
        <v>675</v>
      </c>
      <c r="DF600">
        <v>2144</v>
      </c>
      <c r="DG600" t="s">
        <v>116</v>
      </c>
      <c r="DH600" t="s">
        <v>116</v>
      </c>
      <c r="DI600" t="s">
        <v>116</v>
      </c>
    </row>
    <row r="601" spans="1:113" x14ac:dyDescent="0.4">
      <c r="A601" t="str">
        <f>"002145"</f>
        <v>002145</v>
      </c>
      <c r="B601" t="s">
        <v>3858</v>
      </c>
      <c r="C601">
        <v>-1.1399999999999999</v>
      </c>
      <c r="D601">
        <v>4.33</v>
      </c>
      <c r="E601">
        <v>-0.05</v>
      </c>
      <c r="F601">
        <v>4.33</v>
      </c>
      <c r="G601">
        <v>4.34</v>
      </c>
      <c r="H601">
        <v>154380</v>
      </c>
      <c r="I601">
        <v>4941</v>
      </c>
      <c r="J601">
        <v>-0.22</v>
      </c>
      <c r="K601">
        <v>0.97</v>
      </c>
      <c r="L601">
        <v>4.3499999999999996</v>
      </c>
      <c r="M601">
        <v>4.42</v>
      </c>
      <c r="N601">
        <v>4.33</v>
      </c>
      <c r="O601">
        <v>4.38</v>
      </c>
      <c r="P601">
        <v>15.72</v>
      </c>
      <c r="Q601">
        <v>67578616</v>
      </c>
      <c r="R601">
        <v>1.2</v>
      </c>
      <c r="S601" t="s">
        <v>891</v>
      </c>
      <c r="T601" t="s">
        <v>1122</v>
      </c>
      <c r="U601">
        <v>2.0499999999999998</v>
      </c>
      <c r="V601">
        <v>4.38</v>
      </c>
      <c r="W601">
        <v>76924</v>
      </c>
      <c r="X601">
        <v>77456</v>
      </c>
      <c r="Y601">
        <v>0.99</v>
      </c>
      <c r="Z601">
        <v>765</v>
      </c>
      <c r="AA601">
        <v>288</v>
      </c>
      <c r="AB601" t="s">
        <v>116</v>
      </c>
      <c r="AC601">
        <v>569900</v>
      </c>
      <c r="AD601">
        <v>0.01</v>
      </c>
      <c r="AE601" t="s">
        <v>116</v>
      </c>
      <c r="AF601" t="s">
        <v>116</v>
      </c>
      <c r="AG601">
        <v>15.91</v>
      </c>
      <c r="AH601" t="s">
        <v>3859</v>
      </c>
      <c r="AI601" t="s">
        <v>3859</v>
      </c>
      <c r="AJ601">
        <v>-0.46</v>
      </c>
      <c r="AK601">
        <v>2191</v>
      </c>
      <c r="AL601">
        <v>70</v>
      </c>
      <c r="AM601">
        <v>4.0000000000000002E-4</v>
      </c>
      <c r="AN601">
        <v>-1</v>
      </c>
      <c r="AO601">
        <v>-0.46</v>
      </c>
      <c r="AP601">
        <v>3.1</v>
      </c>
      <c r="AQ601">
        <v>7.98</v>
      </c>
      <c r="AR601">
        <v>35.31</v>
      </c>
      <c r="AS601">
        <v>1.54</v>
      </c>
      <c r="AT601" t="s">
        <v>3860</v>
      </c>
      <c r="AU601">
        <v>16.48</v>
      </c>
      <c r="AV601">
        <v>17.100000000000001</v>
      </c>
      <c r="AW601">
        <v>0.65</v>
      </c>
      <c r="BA601">
        <v>-0.68</v>
      </c>
      <c r="BB601">
        <v>0.91</v>
      </c>
      <c r="BC601">
        <v>-1.1399999999999999</v>
      </c>
      <c r="BD601">
        <v>-0.06</v>
      </c>
      <c r="BE601">
        <v>-0.46</v>
      </c>
      <c r="BF601">
        <v>-2.04</v>
      </c>
      <c r="BG601">
        <v>0</v>
      </c>
      <c r="BH601">
        <v>-1.08</v>
      </c>
      <c r="BI601">
        <v>20191025</v>
      </c>
      <c r="BJ601">
        <v>20070803</v>
      </c>
      <c r="BK601">
        <v>15.91</v>
      </c>
      <c r="BL601" t="s">
        <v>116</v>
      </c>
      <c r="BM601" t="s">
        <v>116</v>
      </c>
      <c r="BN601">
        <v>57.92</v>
      </c>
      <c r="BO601">
        <v>33.85</v>
      </c>
      <c r="BP601">
        <v>0</v>
      </c>
      <c r="BQ601">
        <v>41.56</v>
      </c>
      <c r="BR601">
        <v>19.75</v>
      </c>
      <c r="BS601">
        <v>27.28</v>
      </c>
      <c r="BT601">
        <v>2.25</v>
      </c>
      <c r="BU601">
        <v>19.68</v>
      </c>
      <c r="BV601">
        <v>4</v>
      </c>
      <c r="BW601">
        <v>4.95</v>
      </c>
      <c r="BX601">
        <v>8.3800000000000008</v>
      </c>
      <c r="BY601">
        <v>25.59</v>
      </c>
      <c r="BZ601">
        <v>17.86</v>
      </c>
      <c r="CA601">
        <v>4</v>
      </c>
      <c r="CB601">
        <v>-0.15</v>
      </c>
      <c r="CC601">
        <v>4</v>
      </c>
      <c r="CD601">
        <v>3.29</v>
      </c>
      <c r="CE601">
        <v>3.29</v>
      </c>
      <c r="CF601">
        <v>3.24</v>
      </c>
      <c r="CG601">
        <v>10.95</v>
      </c>
      <c r="CH601">
        <v>4.1500000000000004</v>
      </c>
      <c r="CI601">
        <v>2.93</v>
      </c>
      <c r="CJ601">
        <v>82150</v>
      </c>
      <c r="CK601">
        <v>12192</v>
      </c>
      <c r="CL601" t="s">
        <v>3861</v>
      </c>
      <c r="CM601">
        <v>4.78</v>
      </c>
      <c r="CN601">
        <v>9.65</v>
      </c>
      <c r="CO601">
        <v>2.04</v>
      </c>
      <c r="CP601">
        <v>16.59</v>
      </c>
      <c r="CQ601">
        <v>2.69</v>
      </c>
      <c r="CR601">
        <v>0.46</v>
      </c>
      <c r="CS601" t="s">
        <v>2782</v>
      </c>
      <c r="CT601">
        <v>2.13</v>
      </c>
      <c r="CU601">
        <v>0</v>
      </c>
      <c r="CV601">
        <v>0.53</v>
      </c>
      <c r="CW601">
        <v>0.69</v>
      </c>
      <c r="CX601">
        <v>0.26</v>
      </c>
      <c r="CY601">
        <v>58.44</v>
      </c>
      <c r="CZ601" t="s">
        <v>3862</v>
      </c>
      <c r="DA601">
        <v>30.21</v>
      </c>
      <c r="DB601">
        <v>15.64</v>
      </c>
      <c r="DC601">
        <v>12.85</v>
      </c>
      <c r="DD601">
        <v>0.62</v>
      </c>
      <c r="DE601">
        <v>2307</v>
      </c>
      <c r="DF601">
        <v>2145</v>
      </c>
      <c r="DG601" t="s">
        <v>116</v>
      </c>
      <c r="DH601" t="s">
        <v>116</v>
      </c>
      <c r="DI601" t="s">
        <v>116</v>
      </c>
    </row>
    <row r="602" spans="1:113" x14ac:dyDescent="0.4">
      <c r="A602" t="str">
        <f>"002146"</f>
        <v>002146</v>
      </c>
      <c r="B602" t="s">
        <v>3863</v>
      </c>
      <c r="C602">
        <v>-0.41</v>
      </c>
      <c r="D602">
        <v>9.61</v>
      </c>
      <c r="E602">
        <v>-0.04</v>
      </c>
      <c r="F602">
        <v>9.61</v>
      </c>
      <c r="G602">
        <v>9.6199999999999992</v>
      </c>
      <c r="H602">
        <v>311225</v>
      </c>
      <c r="I602">
        <v>3514</v>
      </c>
      <c r="J602">
        <v>-0.2</v>
      </c>
      <c r="K602">
        <v>0.8</v>
      </c>
      <c r="L602">
        <v>9.6199999999999992</v>
      </c>
      <c r="M602">
        <v>9.75</v>
      </c>
      <c r="N602">
        <v>9.57</v>
      </c>
      <c r="O602">
        <v>9.65</v>
      </c>
      <c r="P602">
        <v>6.41</v>
      </c>
      <c r="Q602">
        <v>300487072</v>
      </c>
      <c r="R602">
        <v>1.01</v>
      </c>
      <c r="S602" t="s">
        <v>124</v>
      </c>
      <c r="T602" t="s">
        <v>608</v>
      </c>
      <c r="U602">
        <v>1.87</v>
      </c>
      <c r="V602">
        <v>9.65</v>
      </c>
      <c r="W602">
        <v>172240</v>
      </c>
      <c r="X602">
        <v>138985</v>
      </c>
      <c r="Y602">
        <v>1.24</v>
      </c>
      <c r="Z602">
        <v>582</v>
      </c>
      <c r="AA602">
        <v>655</v>
      </c>
      <c r="AB602" t="s">
        <v>116</v>
      </c>
      <c r="AC602">
        <v>3834600</v>
      </c>
      <c r="AD602">
        <v>0.02</v>
      </c>
      <c r="AE602" t="s">
        <v>116</v>
      </c>
      <c r="AF602" t="s">
        <v>116</v>
      </c>
      <c r="AG602">
        <v>38.94</v>
      </c>
      <c r="AH602" t="s">
        <v>3864</v>
      </c>
      <c r="AI602" t="s">
        <v>3865</v>
      </c>
      <c r="AJ602">
        <v>0.26</v>
      </c>
      <c r="AK602">
        <v>3725</v>
      </c>
      <c r="AL602">
        <v>84</v>
      </c>
      <c r="AM602">
        <v>2.0000000000000001E-4</v>
      </c>
      <c r="AN602">
        <v>-1</v>
      </c>
      <c r="AO602">
        <v>3.45</v>
      </c>
      <c r="AP602">
        <v>11.36</v>
      </c>
      <c r="AQ602">
        <v>15.64</v>
      </c>
      <c r="AR602">
        <v>28.13</v>
      </c>
      <c r="AS602">
        <v>1.94</v>
      </c>
      <c r="AT602" t="s">
        <v>3866</v>
      </c>
      <c r="AU602">
        <v>4.8</v>
      </c>
      <c r="AV602">
        <v>5.52</v>
      </c>
      <c r="AW602">
        <v>0.56999999999999995</v>
      </c>
      <c r="BA602">
        <v>-0.31</v>
      </c>
      <c r="BB602">
        <v>1.04</v>
      </c>
      <c r="BC602">
        <v>-0.83</v>
      </c>
      <c r="BD602">
        <v>0.05</v>
      </c>
      <c r="BE602">
        <v>-0.1</v>
      </c>
      <c r="BF602">
        <v>-1.44</v>
      </c>
      <c r="BG602">
        <v>0.42</v>
      </c>
      <c r="BH602">
        <v>-0.47</v>
      </c>
      <c r="BI602">
        <v>20191025</v>
      </c>
      <c r="BJ602">
        <v>20070808</v>
      </c>
      <c r="BK602">
        <v>43.48</v>
      </c>
      <c r="BL602" t="s">
        <v>116</v>
      </c>
      <c r="BM602" t="s">
        <v>116</v>
      </c>
      <c r="BN602">
        <v>2445.17</v>
      </c>
      <c r="BO602">
        <v>366.8</v>
      </c>
      <c r="BP602">
        <v>32.04</v>
      </c>
      <c r="BQ602">
        <v>83.69</v>
      </c>
      <c r="BR602">
        <v>2261.6799999999998</v>
      </c>
      <c r="BS602">
        <v>47.26</v>
      </c>
      <c r="BT602">
        <v>11.9</v>
      </c>
      <c r="BU602">
        <v>1717.46</v>
      </c>
      <c r="BV602">
        <v>1601.56</v>
      </c>
      <c r="BW602">
        <v>25.12</v>
      </c>
      <c r="BX602">
        <v>50.35</v>
      </c>
      <c r="BY602">
        <v>388.39</v>
      </c>
      <c r="BZ602">
        <v>266.77999999999997</v>
      </c>
      <c r="CA602">
        <v>66.64</v>
      </c>
      <c r="CB602">
        <v>1.81</v>
      </c>
      <c r="CC602">
        <v>64.97</v>
      </c>
      <c r="CD602">
        <v>48.32</v>
      </c>
      <c r="CE602">
        <v>48.87</v>
      </c>
      <c r="CF602">
        <v>48.77</v>
      </c>
      <c r="CG602">
        <v>222.29</v>
      </c>
      <c r="CH602">
        <v>-56.43</v>
      </c>
      <c r="CI602">
        <v>-71.069999999999993</v>
      </c>
      <c r="CJ602">
        <v>75883</v>
      </c>
      <c r="CK602">
        <v>21132</v>
      </c>
      <c r="CL602" t="s">
        <v>3867</v>
      </c>
      <c r="CM602">
        <v>30.73</v>
      </c>
      <c r="CN602">
        <v>27.12</v>
      </c>
      <c r="CO602">
        <v>1.1399999999999999</v>
      </c>
      <c r="CP602">
        <v>-7.4</v>
      </c>
      <c r="CQ602">
        <v>1.08</v>
      </c>
      <c r="CR602">
        <v>4.68</v>
      </c>
      <c r="CS602" t="s">
        <v>3868</v>
      </c>
      <c r="CT602">
        <v>8.44</v>
      </c>
      <c r="CU602">
        <v>0</v>
      </c>
      <c r="CV602">
        <v>1.1599999999999999</v>
      </c>
      <c r="CW602">
        <v>5.1100000000000003</v>
      </c>
      <c r="CX602">
        <v>-1.3</v>
      </c>
      <c r="CY602">
        <v>15</v>
      </c>
      <c r="CZ602" t="s">
        <v>3869</v>
      </c>
      <c r="DA602">
        <v>31.31</v>
      </c>
      <c r="DB602">
        <v>17.16</v>
      </c>
      <c r="DC602">
        <v>12.58</v>
      </c>
      <c r="DD602">
        <v>0</v>
      </c>
      <c r="DE602">
        <v>24607</v>
      </c>
      <c r="DF602">
        <v>2146</v>
      </c>
      <c r="DG602" t="s">
        <v>116</v>
      </c>
      <c r="DH602" t="s">
        <v>116</v>
      </c>
      <c r="DI602" t="s">
        <v>116</v>
      </c>
    </row>
    <row r="603" spans="1:113" x14ac:dyDescent="0.4">
      <c r="A603" t="str">
        <f>"002147"</f>
        <v>002147</v>
      </c>
      <c r="B603" t="s">
        <v>3870</v>
      </c>
      <c r="C603">
        <v>0.93</v>
      </c>
      <c r="D603">
        <v>2.17</v>
      </c>
      <c r="E603">
        <v>0.02</v>
      </c>
      <c r="F603">
        <v>2.16</v>
      </c>
      <c r="G603">
        <v>2.17</v>
      </c>
      <c r="H603">
        <v>74240</v>
      </c>
      <c r="I603">
        <v>1870</v>
      </c>
      <c r="J603">
        <v>0</v>
      </c>
      <c r="K603">
        <v>1.38</v>
      </c>
      <c r="L603">
        <v>2.16</v>
      </c>
      <c r="M603">
        <v>2.21</v>
      </c>
      <c r="N603">
        <v>2.16</v>
      </c>
      <c r="O603">
        <v>2.15</v>
      </c>
      <c r="P603" t="s">
        <v>116</v>
      </c>
      <c r="Q603">
        <v>16227370</v>
      </c>
      <c r="R603">
        <v>0.56999999999999995</v>
      </c>
      <c r="S603" t="s">
        <v>148</v>
      </c>
      <c r="T603" t="s">
        <v>575</v>
      </c>
      <c r="U603">
        <v>2.33</v>
      </c>
      <c r="V603">
        <v>2.19</v>
      </c>
      <c r="W603">
        <v>36237</v>
      </c>
      <c r="X603">
        <v>38003</v>
      </c>
      <c r="Y603">
        <v>0.95</v>
      </c>
      <c r="Z603">
        <v>1209</v>
      </c>
      <c r="AA603">
        <v>756</v>
      </c>
      <c r="AB603" t="s">
        <v>116</v>
      </c>
      <c r="AC603">
        <v>6100</v>
      </c>
      <c r="AD603">
        <v>0</v>
      </c>
      <c r="AE603" t="s">
        <v>116</v>
      </c>
      <c r="AF603" t="s">
        <v>116</v>
      </c>
      <c r="AG603">
        <v>5.37</v>
      </c>
      <c r="AH603" t="s">
        <v>3871</v>
      </c>
      <c r="AI603" t="s">
        <v>3872</v>
      </c>
      <c r="AJ603">
        <v>1.61</v>
      </c>
      <c r="AK603">
        <v>615</v>
      </c>
      <c r="AL603">
        <v>121</v>
      </c>
      <c r="AM603">
        <v>2.2000000000000001E-3</v>
      </c>
      <c r="AN603">
        <v>1</v>
      </c>
      <c r="AO603">
        <v>-4.82</v>
      </c>
      <c r="AP603">
        <v>7.96</v>
      </c>
      <c r="AQ603">
        <v>4.33</v>
      </c>
      <c r="AR603">
        <v>-30</v>
      </c>
      <c r="AS603">
        <v>1.38</v>
      </c>
      <c r="AT603" t="s">
        <v>3871</v>
      </c>
      <c r="AU603" t="s">
        <v>116</v>
      </c>
      <c r="AV603" t="s">
        <v>116</v>
      </c>
      <c r="AW603">
        <v>0.06</v>
      </c>
      <c r="BA603">
        <v>0.47</v>
      </c>
      <c r="BB603">
        <v>2.79</v>
      </c>
      <c r="BC603">
        <v>0.47</v>
      </c>
      <c r="BD603">
        <v>1.66</v>
      </c>
      <c r="BE603">
        <v>0.46</v>
      </c>
      <c r="BF603">
        <v>-1.81</v>
      </c>
      <c r="BG603">
        <v>0.46</v>
      </c>
      <c r="BH603">
        <v>-0.73</v>
      </c>
      <c r="BI603">
        <v>20191030</v>
      </c>
      <c r="BJ603">
        <v>20070808</v>
      </c>
      <c r="BK603">
        <v>18.28</v>
      </c>
      <c r="BL603" t="s">
        <v>116</v>
      </c>
      <c r="BM603" t="s">
        <v>116</v>
      </c>
      <c r="BN603">
        <v>142.08000000000001</v>
      </c>
      <c r="BO603">
        <v>75.52</v>
      </c>
      <c r="BP603">
        <v>2.5</v>
      </c>
      <c r="BQ603">
        <v>45.09</v>
      </c>
      <c r="BR603">
        <v>80.44</v>
      </c>
      <c r="BS603">
        <v>16.260000000000002</v>
      </c>
      <c r="BT603">
        <v>1.37</v>
      </c>
      <c r="BU603">
        <v>56.72</v>
      </c>
      <c r="BV603">
        <v>48.78</v>
      </c>
      <c r="BW603">
        <v>1.82</v>
      </c>
      <c r="BX603">
        <v>24.88</v>
      </c>
      <c r="BY603">
        <v>13.38</v>
      </c>
      <c r="BZ603">
        <v>9.74</v>
      </c>
      <c r="CA603">
        <v>-2.87</v>
      </c>
      <c r="CB603">
        <v>0.01</v>
      </c>
      <c r="CC603">
        <v>-3.1</v>
      </c>
      <c r="CD603">
        <v>-2.73</v>
      </c>
      <c r="CE603">
        <v>-2.66</v>
      </c>
      <c r="CF603">
        <v>-3.15</v>
      </c>
      <c r="CG603">
        <v>29.97</v>
      </c>
      <c r="CH603">
        <v>-0.14000000000000001</v>
      </c>
      <c r="CI603">
        <v>-0.19</v>
      </c>
      <c r="CJ603">
        <v>25404</v>
      </c>
      <c r="CK603">
        <v>21138</v>
      </c>
      <c r="CL603" t="s">
        <v>3873</v>
      </c>
      <c r="CM603">
        <v>-314.99</v>
      </c>
      <c r="CN603">
        <v>-10.44</v>
      </c>
      <c r="CO603">
        <v>0.53</v>
      </c>
      <c r="CP603">
        <v>-273.60000000000002</v>
      </c>
      <c r="CQ603">
        <v>2.96</v>
      </c>
      <c r="CR603">
        <v>0</v>
      </c>
      <c r="CS603" t="s">
        <v>3874</v>
      </c>
      <c r="CT603">
        <v>4.13</v>
      </c>
      <c r="CU603">
        <v>0</v>
      </c>
      <c r="CV603">
        <v>1.36</v>
      </c>
      <c r="CW603">
        <v>1.64</v>
      </c>
      <c r="CX603">
        <v>-0.01</v>
      </c>
      <c r="CY603">
        <v>53.15</v>
      </c>
      <c r="CZ603" t="s">
        <v>1813</v>
      </c>
      <c r="DA603">
        <v>27.18</v>
      </c>
      <c r="DB603">
        <v>-21.49</v>
      </c>
      <c r="DC603">
        <v>-19.91</v>
      </c>
      <c r="DD603">
        <v>0.16</v>
      </c>
      <c r="DE603">
        <v>1417</v>
      </c>
      <c r="DF603">
        <v>2147</v>
      </c>
      <c r="DG603" t="s">
        <v>116</v>
      </c>
      <c r="DH603" t="s">
        <v>116</v>
      </c>
      <c r="DI603" t="s">
        <v>116</v>
      </c>
    </row>
    <row r="604" spans="1:113" x14ac:dyDescent="0.4">
      <c r="A604" t="str">
        <f>"002148"</f>
        <v>002148</v>
      </c>
      <c r="B604" t="s">
        <v>3875</v>
      </c>
      <c r="C604">
        <v>-1.65</v>
      </c>
      <c r="D604">
        <v>5.36</v>
      </c>
      <c r="E604">
        <v>-0.09</v>
      </c>
      <c r="F604">
        <v>5.36</v>
      </c>
      <c r="G604">
        <v>5.37</v>
      </c>
      <c r="H604">
        <v>80207</v>
      </c>
      <c r="I604">
        <v>468</v>
      </c>
      <c r="J604">
        <v>0</v>
      </c>
      <c r="K604">
        <v>1.81</v>
      </c>
      <c r="L604">
        <v>5.44</v>
      </c>
      <c r="M604">
        <v>5.5</v>
      </c>
      <c r="N604">
        <v>5.34</v>
      </c>
      <c r="O604">
        <v>5.45</v>
      </c>
      <c r="P604">
        <v>281.29000000000002</v>
      </c>
      <c r="Q604">
        <v>43607376</v>
      </c>
      <c r="R604">
        <v>0.84</v>
      </c>
      <c r="S604" t="s">
        <v>1384</v>
      </c>
      <c r="T604" t="s">
        <v>165</v>
      </c>
      <c r="U604">
        <v>2.94</v>
      </c>
      <c r="V604">
        <v>5.44</v>
      </c>
      <c r="W604">
        <v>40494</v>
      </c>
      <c r="X604">
        <v>39713</v>
      </c>
      <c r="Y604">
        <v>1.02</v>
      </c>
      <c r="Z604">
        <v>75</v>
      </c>
      <c r="AA604">
        <v>466</v>
      </c>
      <c r="AB604" t="s">
        <v>116</v>
      </c>
      <c r="AC604">
        <v>113200</v>
      </c>
      <c r="AD604">
        <v>0.01</v>
      </c>
      <c r="AE604" t="s">
        <v>116</v>
      </c>
      <c r="AF604" t="s">
        <v>116</v>
      </c>
      <c r="AG604">
        <v>4.4400000000000004</v>
      </c>
      <c r="AH604" t="s">
        <v>3876</v>
      </c>
      <c r="AI604" t="s">
        <v>235</v>
      </c>
      <c r="AJ604">
        <v>-0.97</v>
      </c>
      <c r="AK604">
        <v>2199</v>
      </c>
      <c r="AL604">
        <v>36</v>
      </c>
      <c r="AM604">
        <v>8.0000000000000004E-4</v>
      </c>
      <c r="AN604">
        <v>-1</v>
      </c>
      <c r="AO604">
        <v>1.91</v>
      </c>
      <c r="AP604">
        <v>6.56</v>
      </c>
      <c r="AQ604">
        <v>-2.72</v>
      </c>
      <c r="AR604">
        <v>-9.84</v>
      </c>
      <c r="AS604">
        <v>1.94</v>
      </c>
      <c r="AT604" t="s">
        <v>1226</v>
      </c>
      <c r="AU604">
        <v>271.67</v>
      </c>
      <c r="AV604">
        <v>72.709999999999994</v>
      </c>
      <c r="AW604">
        <v>1.65</v>
      </c>
      <c r="BA604">
        <v>-0.18</v>
      </c>
      <c r="BB604">
        <v>0.92</v>
      </c>
      <c r="BC604">
        <v>-2.02</v>
      </c>
      <c r="BD604">
        <v>-0.24</v>
      </c>
      <c r="BE604">
        <v>-1.47</v>
      </c>
      <c r="BF604">
        <v>-2.5499999999999998</v>
      </c>
      <c r="BG604">
        <v>0.37</v>
      </c>
      <c r="BH604">
        <v>-1.41</v>
      </c>
      <c r="BI604">
        <v>20191025</v>
      </c>
      <c r="BJ604">
        <v>20070810</v>
      </c>
      <c r="BK604">
        <v>5.66</v>
      </c>
      <c r="BL604" t="s">
        <v>116</v>
      </c>
      <c r="BM604" t="s">
        <v>116</v>
      </c>
      <c r="BN604">
        <v>12.77</v>
      </c>
      <c r="BO604">
        <v>11.46</v>
      </c>
      <c r="BP604">
        <v>0.22</v>
      </c>
      <c r="BQ604">
        <v>8.61</v>
      </c>
      <c r="BR604">
        <v>6.85</v>
      </c>
      <c r="BS604">
        <v>1.93</v>
      </c>
      <c r="BT604">
        <v>0</v>
      </c>
      <c r="BU604">
        <v>0.97</v>
      </c>
      <c r="BV604">
        <v>0.01</v>
      </c>
      <c r="BW604">
        <v>0.38</v>
      </c>
      <c r="BX604">
        <v>2.2999999999999998</v>
      </c>
      <c r="BY604">
        <v>1.54</v>
      </c>
      <c r="BZ604">
        <v>0.89</v>
      </c>
      <c r="CA604">
        <v>7.0000000000000007E-2</v>
      </c>
      <c r="CB604">
        <v>0</v>
      </c>
      <c r="CC604">
        <v>7.0000000000000007E-2</v>
      </c>
      <c r="CD604">
        <v>0.06</v>
      </c>
      <c r="CE604">
        <v>0.08</v>
      </c>
      <c r="CF604">
        <v>-0.1</v>
      </c>
      <c r="CG604">
        <v>3.67</v>
      </c>
      <c r="CH604">
        <v>0.08</v>
      </c>
      <c r="CI604">
        <v>-0.16</v>
      </c>
      <c r="CJ604">
        <v>52544</v>
      </c>
      <c r="CK604">
        <v>7874</v>
      </c>
      <c r="CL604" t="s">
        <v>3877</v>
      </c>
      <c r="CM604">
        <v>-79.069999999999993</v>
      </c>
      <c r="CN604">
        <v>-17.97</v>
      </c>
      <c r="CO604">
        <v>2.65</v>
      </c>
      <c r="CP604">
        <v>386.82</v>
      </c>
      <c r="CQ604">
        <v>19.73</v>
      </c>
      <c r="CR604">
        <v>0.46</v>
      </c>
      <c r="CS604" t="s">
        <v>342</v>
      </c>
      <c r="CT604">
        <v>2.02</v>
      </c>
      <c r="CU604">
        <v>0</v>
      </c>
      <c r="CV604">
        <v>0.41</v>
      </c>
      <c r="CW604">
        <v>0.65</v>
      </c>
      <c r="CX604">
        <v>0.01</v>
      </c>
      <c r="CY604">
        <v>89.67</v>
      </c>
      <c r="CZ604" t="s">
        <v>3878</v>
      </c>
      <c r="DA604">
        <v>42</v>
      </c>
      <c r="DB604">
        <v>4.67</v>
      </c>
      <c r="DC604">
        <v>5.26</v>
      </c>
      <c r="DD604">
        <v>0.27</v>
      </c>
      <c r="DE604">
        <v>302</v>
      </c>
      <c r="DF604">
        <v>2148</v>
      </c>
      <c r="DG604" t="s">
        <v>116</v>
      </c>
      <c r="DH604" t="s">
        <v>116</v>
      </c>
      <c r="DI604" t="s">
        <v>116</v>
      </c>
    </row>
    <row r="605" spans="1:113" x14ac:dyDescent="0.4">
      <c r="A605" t="str">
        <f>"002149"</f>
        <v>002149</v>
      </c>
      <c r="B605" t="s">
        <v>3879</v>
      </c>
      <c r="C605">
        <v>-0.51</v>
      </c>
      <c r="D605">
        <v>7.74</v>
      </c>
      <c r="E605">
        <v>-0.04</v>
      </c>
      <c r="F605">
        <v>7.74</v>
      </c>
      <c r="G605">
        <v>7.75</v>
      </c>
      <c r="H605">
        <v>103869</v>
      </c>
      <c r="I605">
        <v>558</v>
      </c>
      <c r="J605">
        <v>0.13</v>
      </c>
      <c r="K605">
        <v>2.44</v>
      </c>
      <c r="L605">
        <v>7.78</v>
      </c>
      <c r="M605">
        <v>7.99</v>
      </c>
      <c r="N605">
        <v>7.73</v>
      </c>
      <c r="O605">
        <v>7.78</v>
      </c>
      <c r="P605">
        <v>59.93</v>
      </c>
      <c r="Q605">
        <v>81512680</v>
      </c>
      <c r="R605">
        <v>1.61</v>
      </c>
      <c r="S605" t="s">
        <v>1509</v>
      </c>
      <c r="T605" t="s">
        <v>913</v>
      </c>
      <c r="U605">
        <v>3.34</v>
      </c>
      <c r="V605">
        <v>7.85</v>
      </c>
      <c r="W605">
        <v>49889</v>
      </c>
      <c r="X605">
        <v>53980</v>
      </c>
      <c r="Y605">
        <v>0.92</v>
      </c>
      <c r="Z605">
        <v>491</v>
      </c>
      <c r="AA605">
        <v>468</v>
      </c>
      <c r="AB605" t="s">
        <v>116</v>
      </c>
      <c r="AC605">
        <v>71600</v>
      </c>
      <c r="AD605">
        <v>0</v>
      </c>
      <c r="AE605" t="s">
        <v>116</v>
      </c>
      <c r="AF605" t="s">
        <v>116</v>
      </c>
      <c r="AG605">
        <v>4.25</v>
      </c>
      <c r="AH605" t="s">
        <v>3880</v>
      </c>
      <c r="AI605" t="s">
        <v>1639</v>
      </c>
      <c r="AJ605">
        <v>0.16</v>
      </c>
      <c r="AK605">
        <v>2189</v>
      </c>
      <c r="AL605">
        <v>47</v>
      </c>
      <c r="AM605">
        <v>1.1000000000000001E-3</v>
      </c>
      <c r="AN605">
        <v>-1</v>
      </c>
      <c r="AO605">
        <v>1.58</v>
      </c>
      <c r="AP605">
        <v>10.26</v>
      </c>
      <c r="AQ605">
        <v>-4.09</v>
      </c>
      <c r="AR605">
        <v>48.56</v>
      </c>
      <c r="AS605">
        <v>4.1500000000000004</v>
      </c>
      <c r="AT605" t="s">
        <v>3881</v>
      </c>
      <c r="AU605">
        <v>51.18</v>
      </c>
      <c r="AV605">
        <v>54.59</v>
      </c>
      <c r="AW605">
        <v>1.1299999999999999</v>
      </c>
      <c r="BA605">
        <v>0</v>
      </c>
      <c r="BB605">
        <v>2.7</v>
      </c>
      <c r="BC605">
        <v>-0.64</v>
      </c>
      <c r="BD605">
        <v>0.87</v>
      </c>
      <c r="BE605">
        <v>-0.51</v>
      </c>
      <c r="BF605">
        <v>-3.13</v>
      </c>
      <c r="BG605">
        <v>0.13</v>
      </c>
      <c r="BH605">
        <v>-1.38</v>
      </c>
      <c r="BI605">
        <v>20191216</v>
      </c>
      <c r="BJ605">
        <v>20070810</v>
      </c>
      <c r="BK605">
        <v>4.25</v>
      </c>
      <c r="BL605" t="s">
        <v>116</v>
      </c>
      <c r="BM605" t="s">
        <v>116</v>
      </c>
      <c r="BN605">
        <v>45.84</v>
      </c>
      <c r="BO605">
        <v>17.989999999999998</v>
      </c>
      <c r="BP605">
        <v>3.26</v>
      </c>
      <c r="BQ605">
        <v>53.64</v>
      </c>
      <c r="BR605">
        <v>27.82</v>
      </c>
      <c r="BS605">
        <v>12.76</v>
      </c>
      <c r="BT605">
        <v>2.56</v>
      </c>
      <c r="BU605">
        <v>21.29</v>
      </c>
      <c r="BV605">
        <v>11.22</v>
      </c>
      <c r="BW605">
        <v>7.9</v>
      </c>
      <c r="BX605">
        <v>12.62</v>
      </c>
      <c r="BY605">
        <v>14.79</v>
      </c>
      <c r="BZ605">
        <v>11.77</v>
      </c>
      <c r="CA605">
        <v>0.93</v>
      </c>
      <c r="CB605">
        <v>0.04</v>
      </c>
      <c r="CC605">
        <v>0.93</v>
      </c>
      <c r="CD605">
        <v>0.77</v>
      </c>
      <c r="CE605">
        <v>0.41</v>
      </c>
      <c r="CF605">
        <v>0.33</v>
      </c>
      <c r="CG605">
        <v>0.55000000000000004</v>
      </c>
      <c r="CH605">
        <v>-0.02</v>
      </c>
      <c r="CI605">
        <v>2.5</v>
      </c>
      <c r="CJ605">
        <v>36648</v>
      </c>
      <c r="CK605">
        <v>6824</v>
      </c>
      <c r="CL605" t="s">
        <v>3861</v>
      </c>
      <c r="CM605">
        <v>10.79</v>
      </c>
      <c r="CN605">
        <v>27.48</v>
      </c>
      <c r="CO605">
        <v>1.83</v>
      </c>
      <c r="CP605">
        <v>-1887.37</v>
      </c>
      <c r="CQ605">
        <v>2.23</v>
      </c>
      <c r="CR605">
        <v>1.29</v>
      </c>
      <c r="CS605" t="s">
        <v>454</v>
      </c>
      <c r="CT605">
        <v>4.2300000000000004</v>
      </c>
      <c r="CU605">
        <v>0</v>
      </c>
      <c r="CV605">
        <v>2.97</v>
      </c>
      <c r="CW605">
        <v>0.13</v>
      </c>
      <c r="CX605">
        <v>0</v>
      </c>
      <c r="CY605">
        <v>39.25</v>
      </c>
      <c r="CZ605" t="s">
        <v>3882</v>
      </c>
      <c r="DA605">
        <v>20.43</v>
      </c>
      <c r="DB605">
        <v>6.3</v>
      </c>
      <c r="DC605">
        <v>2.79</v>
      </c>
      <c r="DD605">
        <v>0.57999999999999996</v>
      </c>
      <c r="DE605">
        <v>1433</v>
      </c>
      <c r="DF605">
        <v>2149</v>
      </c>
      <c r="DG605" t="s">
        <v>116</v>
      </c>
      <c r="DH605" t="s">
        <v>116</v>
      </c>
      <c r="DI605" t="s">
        <v>116</v>
      </c>
    </row>
    <row r="606" spans="1:113" x14ac:dyDescent="0.4">
      <c r="A606" t="str">
        <f>"002150"</f>
        <v>002150</v>
      </c>
      <c r="B606" t="s">
        <v>3883</v>
      </c>
      <c r="C606">
        <v>-3.42</v>
      </c>
      <c r="D606">
        <v>6.77</v>
      </c>
      <c r="E606">
        <v>-0.24</v>
      </c>
      <c r="F606">
        <v>6.76</v>
      </c>
      <c r="G606">
        <v>6.77</v>
      </c>
      <c r="H606">
        <v>97273</v>
      </c>
      <c r="I606">
        <v>1151</v>
      </c>
      <c r="J606">
        <v>-0.28000000000000003</v>
      </c>
      <c r="K606">
        <v>2.74</v>
      </c>
      <c r="L606">
        <v>6.97</v>
      </c>
      <c r="M606">
        <v>7.16</v>
      </c>
      <c r="N606">
        <v>6.77</v>
      </c>
      <c r="O606">
        <v>7.01</v>
      </c>
      <c r="P606">
        <v>15.91</v>
      </c>
      <c r="Q606">
        <v>67544216</v>
      </c>
      <c r="R606">
        <v>0.77</v>
      </c>
      <c r="S606" t="s">
        <v>996</v>
      </c>
      <c r="T606" t="s">
        <v>323</v>
      </c>
      <c r="U606">
        <v>5.56</v>
      </c>
      <c r="V606">
        <v>6.94</v>
      </c>
      <c r="W606">
        <v>61216</v>
      </c>
      <c r="X606">
        <v>36057</v>
      </c>
      <c r="Y606">
        <v>1.7</v>
      </c>
      <c r="Z606">
        <v>205</v>
      </c>
      <c r="AA606">
        <v>30</v>
      </c>
      <c r="AB606" t="s">
        <v>116</v>
      </c>
      <c r="AC606">
        <v>690000</v>
      </c>
      <c r="AD606">
        <v>0.06</v>
      </c>
      <c r="AE606" t="s">
        <v>116</v>
      </c>
      <c r="AF606" t="s">
        <v>116</v>
      </c>
      <c r="AG606">
        <v>3.55</v>
      </c>
      <c r="AH606" t="s">
        <v>749</v>
      </c>
      <c r="AI606" t="s">
        <v>3884</v>
      </c>
      <c r="AJ606">
        <v>-2.74</v>
      </c>
      <c r="AK606">
        <v>1815</v>
      </c>
      <c r="AL606">
        <v>54</v>
      </c>
      <c r="AM606">
        <v>1.5E-3</v>
      </c>
      <c r="AN606">
        <v>-1</v>
      </c>
      <c r="AO606">
        <v>0.15</v>
      </c>
      <c r="AP606">
        <v>19.61</v>
      </c>
      <c r="AQ606">
        <v>23.09</v>
      </c>
      <c r="AR606">
        <v>45.47</v>
      </c>
      <c r="AS606">
        <v>6.31</v>
      </c>
      <c r="AT606" t="s">
        <v>3885</v>
      </c>
      <c r="AU606">
        <v>16.87</v>
      </c>
      <c r="AV606">
        <v>19.920000000000002</v>
      </c>
      <c r="AW606">
        <v>0.9</v>
      </c>
      <c r="BA606">
        <v>-0.56999999999999995</v>
      </c>
      <c r="BB606">
        <v>2.14</v>
      </c>
      <c r="BC606">
        <v>-3.42</v>
      </c>
      <c r="BD606">
        <v>-0.94</v>
      </c>
      <c r="BE606">
        <v>-2.87</v>
      </c>
      <c r="BF606">
        <v>-5.45</v>
      </c>
      <c r="BG606">
        <v>0</v>
      </c>
      <c r="BH606">
        <v>-2.48</v>
      </c>
      <c r="BI606">
        <v>20191223</v>
      </c>
      <c r="BJ606">
        <v>20070810</v>
      </c>
      <c r="BK606">
        <v>3.57</v>
      </c>
      <c r="BL606" t="s">
        <v>116</v>
      </c>
      <c r="BM606" t="s">
        <v>116</v>
      </c>
      <c r="BN606">
        <v>16.489999999999998</v>
      </c>
      <c r="BO606">
        <v>12.67</v>
      </c>
      <c r="BP606">
        <v>0.85</v>
      </c>
      <c r="BQ606">
        <v>18.02</v>
      </c>
      <c r="BR606">
        <v>12.45</v>
      </c>
      <c r="BS606">
        <v>3.21</v>
      </c>
      <c r="BT606">
        <v>0.43</v>
      </c>
      <c r="BU606">
        <v>2.92</v>
      </c>
      <c r="BV606">
        <v>1.76</v>
      </c>
      <c r="BW606">
        <v>1.73</v>
      </c>
      <c r="BX606">
        <v>3.41</v>
      </c>
      <c r="BY606">
        <v>10.74</v>
      </c>
      <c r="BZ606">
        <v>7.83</v>
      </c>
      <c r="CA606">
        <v>1.77</v>
      </c>
      <c r="CB606">
        <v>0.03</v>
      </c>
      <c r="CC606">
        <v>1.77</v>
      </c>
      <c r="CD606">
        <v>1.31</v>
      </c>
      <c r="CE606">
        <v>1.1399999999999999</v>
      </c>
      <c r="CF606">
        <v>1.1299999999999999</v>
      </c>
      <c r="CG606">
        <v>4.93</v>
      </c>
      <c r="CH606">
        <v>1.46</v>
      </c>
      <c r="CI606">
        <v>-0.53</v>
      </c>
      <c r="CJ606">
        <v>16502</v>
      </c>
      <c r="CK606">
        <v>9349</v>
      </c>
      <c r="CL606" t="s">
        <v>3886</v>
      </c>
      <c r="CM606">
        <v>23.81</v>
      </c>
      <c r="CN606">
        <v>14.93</v>
      </c>
      <c r="CO606">
        <v>1.91</v>
      </c>
      <c r="CP606">
        <v>16.54</v>
      </c>
      <c r="CQ606">
        <v>2.25</v>
      </c>
      <c r="CR606">
        <v>1.7</v>
      </c>
      <c r="CS606" t="s">
        <v>786</v>
      </c>
      <c r="CT606">
        <v>3.55</v>
      </c>
      <c r="CU606">
        <v>0</v>
      </c>
      <c r="CV606">
        <v>0.96</v>
      </c>
      <c r="CW606">
        <v>1.38</v>
      </c>
      <c r="CX606">
        <v>0.41</v>
      </c>
      <c r="CY606">
        <v>76.83</v>
      </c>
      <c r="CZ606" t="s">
        <v>3887</v>
      </c>
      <c r="DA606">
        <v>27.06</v>
      </c>
      <c r="DB606">
        <v>16.47</v>
      </c>
      <c r="DC606">
        <v>10.59</v>
      </c>
      <c r="DD606">
        <v>0.05</v>
      </c>
      <c r="DE606">
        <v>1269</v>
      </c>
      <c r="DF606">
        <v>2150</v>
      </c>
      <c r="DG606" t="s">
        <v>116</v>
      </c>
      <c r="DH606" t="s">
        <v>116</v>
      </c>
      <c r="DI606" t="s">
        <v>116</v>
      </c>
    </row>
    <row r="607" spans="1:113" x14ac:dyDescent="0.4">
      <c r="A607" t="str">
        <f>"002151"</f>
        <v>002151</v>
      </c>
      <c r="B607" t="s">
        <v>3888</v>
      </c>
      <c r="C607">
        <v>2.4</v>
      </c>
      <c r="D607">
        <v>24.75</v>
      </c>
      <c r="E607">
        <v>0.57999999999999996</v>
      </c>
      <c r="F607">
        <v>24.75</v>
      </c>
      <c r="G607">
        <v>24.76</v>
      </c>
      <c r="H607">
        <v>330545</v>
      </c>
      <c r="I607">
        <v>3411</v>
      </c>
      <c r="J607">
        <v>0</v>
      </c>
      <c r="K607">
        <v>9.14</v>
      </c>
      <c r="L607">
        <v>24.19</v>
      </c>
      <c r="M607">
        <v>25.99</v>
      </c>
      <c r="N607">
        <v>24.19</v>
      </c>
      <c r="O607">
        <v>24.17</v>
      </c>
      <c r="P607">
        <v>3185.93</v>
      </c>
      <c r="Q607">
        <v>827327936</v>
      </c>
      <c r="R607">
        <v>2.4</v>
      </c>
      <c r="S607" t="s">
        <v>465</v>
      </c>
      <c r="T607" t="s">
        <v>165</v>
      </c>
      <c r="U607">
        <v>7.45</v>
      </c>
      <c r="V607">
        <v>25.03</v>
      </c>
      <c r="W607">
        <v>142172</v>
      </c>
      <c r="X607">
        <v>188373</v>
      </c>
      <c r="Y607">
        <v>0.75</v>
      </c>
      <c r="Z607">
        <v>201</v>
      </c>
      <c r="AA607">
        <v>81</v>
      </c>
      <c r="AB607" t="s">
        <v>116</v>
      </c>
      <c r="AC607">
        <v>1613500</v>
      </c>
      <c r="AD607">
        <v>0.03</v>
      </c>
      <c r="AE607" t="s">
        <v>116</v>
      </c>
      <c r="AF607" t="s">
        <v>116</v>
      </c>
      <c r="AG607">
        <v>3.61</v>
      </c>
      <c r="AH607" t="s">
        <v>3889</v>
      </c>
      <c r="AI607" t="s">
        <v>3890</v>
      </c>
      <c r="AJ607">
        <v>3.08</v>
      </c>
      <c r="AK607">
        <v>4150</v>
      </c>
      <c r="AL607">
        <v>80</v>
      </c>
      <c r="AM607">
        <v>2.2000000000000001E-3</v>
      </c>
      <c r="AN607">
        <v>5</v>
      </c>
      <c r="AO607">
        <v>3.08</v>
      </c>
      <c r="AP607">
        <v>19.329999999999998</v>
      </c>
      <c r="AQ607">
        <v>10.64</v>
      </c>
      <c r="AR607">
        <v>17.690000000000001</v>
      </c>
      <c r="AS607">
        <v>12.42</v>
      </c>
      <c r="AT607" t="s">
        <v>3891</v>
      </c>
      <c r="AU607">
        <v>216.92</v>
      </c>
      <c r="AV607">
        <v>113.69</v>
      </c>
      <c r="AW607">
        <v>0.72</v>
      </c>
      <c r="BA607">
        <v>0.08</v>
      </c>
      <c r="BB607">
        <v>7.53</v>
      </c>
      <c r="BC607">
        <v>0.08</v>
      </c>
      <c r="BD607">
        <v>3.55</v>
      </c>
      <c r="BE607">
        <v>2.3199999999999998</v>
      </c>
      <c r="BF607">
        <v>-4.7699999999999996</v>
      </c>
      <c r="BG607">
        <v>2.3199999999999998</v>
      </c>
      <c r="BH607">
        <v>-1.1599999999999999</v>
      </c>
      <c r="BI607">
        <v>20191029</v>
      </c>
      <c r="BJ607">
        <v>20070813</v>
      </c>
      <c r="BK607">
        <v>4.9000000000000004</v>
      </c>
      <c r="BL607" t="s">
        <v>116</v>
      </c>
      <c r="BM607" t="s">
        <v>116</v>
      </c>
      <c r="BN607">
        <v>69.010000000000005</v>
      </c>
      <c r="BO607">
        <v>39.11</v>
      </c>
      <c r="BP607">
        <v>4.55</v>
      </c>
      <c r="BQ607">
        <v>36.729999999999997</v>
      </c>
      <c r="BR607">
        <v>35.270000000000003</v>
      </c>
      <c r="BS607">
        <v>6.55</v>
      </c>
      <c r="BT607">
        <v>6.4</v>
      </c>
      <c r="BU607">
        <v>18.78</v>
      </c>
      <c r="BV607">
        <v>7.6</v>
      </c>
      <c r="BW607">
        <v>11.07</v>
      </c>
      <c r="BX607">
        <v>30.95</v>
      </c>
      <c r="BY607">
        <v>19.93</v>
      </c>
      <c r="BZ607">
        <v>14.51</v>
      </c>
      <c r="CA607">
        <v>0.14000000000000001</v>
      </c>
      <c r="CB607">
        <v>0.2</v>
      </c>
      <c r="CC607">
        <v>0.17</v>
      </c>
      <c r="CD607">
        <v>-0.05</v>
      </c>
      <c r="CE607">
        <v>0.03</v>
      </c>
      <c r="CF607">
        <v>-0.35</v>
      </c>
      <c r="CG607">
        <v>3.31</v>
      </c>
      <c r="CH607">
        <v>0.5</v>
      </c>
      <c r="CI607">
        <v>-3.22</v>
      </c>
      <c r="CJ607">
        <v>79265</v>
      </c>
      <c r="CK607">
        <v>3358</v>
      </c>
      <c r="CL607" t="s">
        <v>3892</v>
      </c>
      <c r="CM607">
        <v>-94.68</v>
      </c>
      <c r="CN607">
        <v>-8.73</v>
      </c>
      <c r="CO607">
        <v>3.1</v>
      </c>
      <c r="CP607">
        <v>241.19</v>
      </c>
      <c r="CQ607">
        <v>6.08</v>
      </c>
      <c r="CR607">
        <v>0.28000000000000003</v>
      </c>
      <c r="CS607" t="s">
        <v>1177</v>
      </c>
      <c r="CT607">
        <v>7.98</v>
      </c>
      <c r="CU607">
        <v>0</v>
      </c>
      <c r="CV607">
        <v>6.32</v>
      </c>
      <c r="CW607">
        <v>0.68</v>
      </c>
      <c r="CX607">
        <v>0.1</v>
      </c>
      <c r="CY607">
        <v>56.68</v>
      </c>
      <c r="CZ607" t="s">
        <v>3893</v>
      </c>
      <c r="DA607">
        <v>27.22</v>
      </c>
      <c r="DB607">
        <v>0.71</v>
      </c>
      <c r="DC607">
        <v>0.14000000000000001</v>
      </c>
      <c r="DD607">
        <v>1.1499999999999999</v>
      </c>
      <c r="DE607">
        <v>4443</v>
      </c>
      <c r="DF607">
        <v>2151</v>
      </c>
      <c r="DG607" t="s">
        <v>116</v>
      </c>
      <c r="DH607" t="s">
        <v>116</v>
      </c>
      <c r="DI607" t="s">
        <v>116</v>
      </c>
    </row>
    <row r="608" spans="1:113" x14ac:dyDescent="0.4">
      <c r="A608" t="str">
        <f>"002152"</f>
        <v>002152</v>
      </c>
      <c r="B608" t="s">
        <v>3894</v>
      </c>
      <c r="C608">
        <v>0.64</v>
      </c>
      <c r="D608">
        <v>9.42</v>
      </c>
      <c r="E608">
        <v>0.06</v>
      </c>
      <c r="F608">
        <v>9.42</v>
      </c>
      <c r="G608">
        <v>9.43</v>
      </c>
      <c r="H608">
        <v>865805</v>
      </c>
      <c r="I608">
        <v>13054</v>
      </c>
      <c r="J608">
        <v>-0.2</v>
      </c>
      <c r="K608">
        <v>3.62</v>
      </c>
      <c r="L608">
        <v>9.4</v>
      </c>
      <c r="M608">
        <v>9.84</v>
      </c>
      <c r="N608">
        <v>9.33</v>
      </c>
      <c r="O608">
        <v>9.36</v>
      </c>
      <c r="P608">
        <v>33.78</v>
      </c>
      <c r="Q608">
        <v>830323392</v>
      </c>
      <c r="R608">
        <v>1.4</v>
      </c>
      <c r="S608" t="s">
        <v>241</v>
      </c>
      <c r="T608" t="s">
        <v>551</v>
      </c>
      <c r="U608">
        <v>5.45</v>
      </c>
      <c r="V608">
        <v>9.59</v>
      </c>
      <c r="W608">
        <v>400309</v>
      </c>
      <c r="X608">
        <v>465496</v>
      </c>
      <c r="Y608">
        <v>0.86</v>
      </c>
      <c r="Z608">
        <v>2177</v>
      </c>
      <c r="AA608">
        <v>1163</v>
      </c>
      <c r="AB608" t="s">
        <v>116</v>
      </c>
      <c r="AC608">
        <v>3912500</v>
      </c>
      <c r="AD608">
        <v>0.04</v>
      </c>
      <c r="AE608" t="s">
        <v>116</v>
      </c>
      <c r="AF608" t="s">
        <v>116</v>
      </c>
      <c r="AG608">
        <v>23.93</v>
      </c>
      <c r="AH608" t="s">
        <v>3895</v>
      </c>
      <c r="AI608" t="s">
        <v>3896</v>
      </c>
      <c r="AJ608">
        <v>1.32</v>
      </c>
      <c r="AK608">
        <v>4401</v>
      </c>
      <c r="AL608">
        <v>197</v>
      </c>
      <c r="AM608">
        <v>8.0000000000000004E-4</v>
      </c>
      <c r="AN608">
        <v>4</v>
      </c>
      <c r="AO608">
        <v>8.0299999999999994</v>
      </c>
      <c r="AP608">
        <v>20.149999999999999</v>
      </c>
      <c r="AQ608">
        <v>14.46</v>
      </c>
      <c r="AR608">
        <v>71.58</v>
      </c>
      <c r="AS608">
        <v>7.75</v>
      </c>
      <c r="AT608" t="s">
        <v>3897</v>
      </c>
      <c r="AU608">
        <v>31.22</v>
      </c>
      <c r="AV608">
        <v>33.85</v>
      </c>
      <c r="AW608">
        <v>1.59</v>
      </c>
      <c r="BA608">
        <v>0.43</v>
      </c>
      <c r="BB608">
        <v>5.13</v>
      </c>
      <c r="BC608">
        <v>-0.32</v>
      </c>
      <c r="BD608">
        <v>2.46</v>
      </c>
      <c r="BE608">
        <v>0.21</v>
      </c>
      <c r="BF608">
        <v>-4.2699999999999996</v>
      </c>
      <c r="BG608">
        <v>0.96</v>
      </c>
      <c r="BH608">
        <v>-1.82</v>
      </c>
      <c r="BI608">
        <v>20191223</v>
      </c>
      <c r="BJ608">
        <v>20070813</v>
      </c>
      <c r="BK608">
        <v>24.09</v>
      </c>
      <c r="BL608" t="s">
        <v>116</v>
      </c>
      <c r="BM608" t="s">
        <v>116</v>
      </c>
      <c r="BN608">
        <v>132.1</v>
      </c>
      <c r="BO608">
        <v>89.25</v>
      </c>
      <c r="BP608">
        <v>8.44</v>
      </c>
      <c r="BQ608">
        <v>26.05</v>
      </c>
      <c r="BR608">
        <v>86.79</v>
      </c>
      <c r="BS608">
        <v>11.19</v>
      </c>
      <c r="BT608">
        <v>2.15</v>
      </c>
      <c r="BU608">
        <v>33.42</v>
      </c>
      <c r="BV608">
        <v>21.37</v>
      </c>
      <c r="BW608">
        <v>14.58</v>
      </c>
      <c r="BX608">
        <v>20.85</v>
      </c>
      <c r="BY608">
        <v>40.72</v>
      </c>
      <c r="BZ608">
        <v>24.59</v>
      </c>
      <c r="CA608">
        <v>7.19</v>
      </c>
      <c r="CB608">
        <v>0.44</v>
      </c>
      <c r="CC608">
        <v>7.21</v>
      </c>
      <c r="CD608">
        <v>6.05</v>
      </c>
      <c r="CE608">
        <v>5.04</v>
      </c>
      <c r="CF608">
        <v>4.2699999999999996</v>
      </c>
      <c r="CG608">
        <v>40.270000000000003</v>
      </c>
      <c r="CH608">
        <v>-3.07</v>
      </c>
      <c r="CI608">
        <v>-8.64</v>
      </c>
      <c r="CJ608">
        <v>74869</v>
      </c>
      <c r="CK608">
        <v>14927</v>
      </c>
      <c r="CL608" t="s">
        <v>3898</v>
      </c>
      <c r="CM608">
        <v>12.67</v>
      </c>
      <c r="CN608">
        <v>25.06</v>
      </c>
      <c r="CO608">
        <v>2.54</v>
      </c>
      <c r="CP608">
        <v>-73.930000000000007</v>
      </c>
      <c r="CQ608">
        <v>5.57</v>
      </c>
      <c r="CR608">
        <v>1.27</v>
      </c>
      <c r="CS608" t="s">
        <v>3899</v>
      </c>
      <c r="CT608">
        <v>3.7</v>
      </c>
      <c r="CU608">
        <v>0</v>
      </c>
      <c r="CV608">
        <v>0.87</v>
      </c>
      <c r="CW608">
        <v>1.67</v>
      </c>
      <c r="CX608">
        <v>-0.13</v>
      </c>
      <c r="CY608">
        <v>67.56</v>
      </c>
      <c r="CZ608" t="s">
        <v>3900</v>
      </c>
      <c r="DA608">
        <v>39.6</v>
      </c>
      <c r="DB608">
        <v>17.649999999999999</v>
      </c>
      <c r="DC608">
        <v>12.37</v>
      </c>
      <c r="DD608">
        <v>3.04</v>
      </c>
      <c r="DE608">
        <v>25956</v>
      </c>
      <c r="DF608">
        <v>2152</v>
      </c>
      <c r="DG608" t="s">
        <v>116</v>
      </c>
      <c r="DH608" t="s">
        <v>116</v>
      </c>
      <c r="DI608" t="s">
        <v>116</v>
      </c>
    </row>
    <row r="609" spans="1:113" x14ac:dyDescent="0.4">
      <c r="A609" t="str">
        <f>"002153"</f>
        <v>002153</v>
      </c>
      <c r="B609" t="s">
        <v>3901</v>
      </c>
      <c r="C609">
        <v>-0.36</v>
      </c>
      <c r="D609">
        <v>38.89</v>
      </c>
      <c r="E609">
        <v>-0.14000000000000001</v>
      </c>
      <c r="F609">
        <v>38.89</v>
      </c>
      <c r="G609">
        <v>38.9</v>
      </c>
      <c r="H609">
        <v>64098</v>
      </c>
      <c r="I609">
        <v>505</v>
      </c>
      <c r="J609">
        <v>-0.25</v>
      </c>
      <c r="K609">
        <v>1.32</v>
      </c>
      <c r="L609">
        <v>39.200000000000003</v>
      </c>
      <c r="M609">
        <v>39.94</v>
      </c>
      <c r="N609">
        <v>38.85</v>
      </c>
      <c r="O609">
        <v>39.03</v>
      </c>
      <c r="P609">
        <v>96.81</v>
      </c>
      <c r="Q609">
        <v>252198624</v>
      </c>
      <c r="R609">
        <v>1.29</v>
      </c>
      <c r="S609" t="s">
        <v>607</v>
      </c>
      <c r="T609" t="s">
        <v>165</v>
      </c>
      <c r="U609">
        <v>2.79</v>
      </c>
      <c r="V609">
        <v>39.35</v>
      </c>
      <c r="W609">
        <v>30351</v>
      </c>
      <c r="X609">
        <v>33747</v>
      </c>
      <c r="Y609">
        <v>0.9</v>
      </c>
      <c r="Z609">
        <v>41</v>
      </c>
      <c r="AA609">
        <v>179</v>
      </c>
      <c r="AB609" t="s">
        <v>116</v>
      </c>
      <c r="AC609">
        <v>850600</v>
      </c>
      <c r="AD609">
        <v>0.01</v>
      </c>
      <c r="AE609" t="s">
        <v>116</v>
      </c>
      <c r="AF609" t="s">
        <v>116</v>
      </c>
      <c r="AG609">
        <v>4.8600000000000003</v>
      </c>
      <c r="AH609" t="s">
        <v>3902</v>
      </c>
      <c r="AI609" t="s">
        <v>3903</v>
      </c>
      <c r="AJ609">
        <v>0.32</v>
      </c>
      <c r="AK609">
        <v>3606</v>
      </c>
      <c r="AL609">
        <v>18</v>
      </c>
      <c r="AM609">
        <v>4.0000000000000002E-4</v>
      </c>
      <c r="AN609">
        <v>-1</v>
      </c>
      <c r="AO609">
        <v>6.34</v>
      </c>
      <c r="AP609">
        <v>7.76</v>
      </c>
      <c r="AQ609">
        <v>-3.59</v>
      </c>
      <c r="AR609">
        <v>50.39</v>
      </c>
      <c r="AS609">
        <v>2.13</v>
      </c>
      <c r="AT609" t="s">
        <v>3904</v>
      </c>
      <c r="AU609">
        <v>88.5</v>
      </c>
      <c r="AV609">
        <v>89.61</v>
      </c>
      <c r="AW609">
        <v>1.3</v>
      </c>
      <c r="BA609">
        <v>0.44</v>
      </c>
      <c r="BB609">
        <v>2.33</v>
      </c>
      <c r="BC609">
        <v>-0.46</v>
      </c>
      <c r="BD609">
        <v>0.81</v>
      </c>
      <c r="BE609">
        <v>-0.79</v>
      </c>
      <c r="BF609">
        <v>-2.63</v>
      </c>
      <c r="BG609">
        <v>0.1</v>
      </c>
      <c r="BH609">
        <v>-1.17</v>
      </c>
      <c r="BI609">
        <v>20191029</v>
      </c>
      <c r="BJ609">
        <v>20070813</v>
      </c>
      <c r="BK609">
        <v>10.68</v>
      </c>
      <c r="BL609" t="s">
        <v>116</v>
      </c>
      <c r="BM609" t="s">
        <v>116</v>
      </c>
      <c r="BN609">
        <v>107.05</v>
      </c>
      <c r="BO609">
        <v>85.64</v>
      </c>
      <c r="BP609">
        <v>6.83</v>
      </c>
      <c r="BQ609">
        <v>13.62</v>
      </c>
      <c r="BR609">
        <v>66.33</v>
      </c>
      <c r="BS609">
        <v>3.17</v>
      </c>
      <c r="BT609">
        <v>8.25</v>
      </c>
      <c r="BU609">
        <v>14.18</v>
      </c>
      <c r="BV609">
        <v>4.63</v>
      </c>
      <c r="BW609">
        <v>6.46</v>
      </c>
      <c r="BX609">
        <v>41.46</v>
      </c>
      <c r="BY609">
        <v>24.37</v>
      </c>
      <c r="BZ609">
        <v>12.85</v>
      </c>
      <c r="CA609">
        <v>4.08</v>
      </c>
      <c r="CB609">
        <v>-0.25</v>
      </c>
      <c r="CC609">
        <v>4.12</v>
      </c>
      <c r="CD609">
        <v>3.64</v>
      </c>
      <c r="CE609">
        <v>3.22</v>
      </c>
      <c r="CF609">
        <v>3.13</v>
      </c>
      <c r="CG609">
        <v>30.41</v>
      </c>
      <c r="CH609">
        <v>0.17</v>
      </c>
      <c r="CI609">
        <v>-7.27</v>
      </c>
      <c r="CJ609">
        <v>14218</v>
      </c>
      <c r="CK609">
        <v>21158</v>
      </c>
      <c r="CL609" t="s">
        <v>3905</v>
      </c>
      <c r="CM609">
        <v>1.83</v>
      </c>
      <c r="CN609">
        <v>22.43</v>
      </c>
      <c r="CO609">
        <v>4.8499999999999996</v>
      </c>
      <c r="CP609">
        <v>2396.2800000000002</v>
      </c>
      <c r="CQ609">
        <v>17.04</v>
      </c>
      <c r="CR609">
        <v>0.26</v>
      </c>
      <c r="CS609" t="s">
        <v>3906</v>
      </c>
      <c r="CT609">
        <v>8.02</v>
      </c>
      <c r="CU609">
        <v>0</v>
      </c>
      <c r="CV609">
        <v>3.88</v>
      </c>
      <c r="CW609">
        <v>2.85</v>
      </c>
      <c r="CX609">
        <v>0.02</v>
      </c>
      <c r="CY609">
        <v>80</v>
      </c>
      <c r="CZ609" t="s">
        <v>1972</v>
      </c>
      <c r="DA609">
        <v>47.29</v>
      </c>
      <c r="DB609">
        <v>16.760000000000002</v>
      </c>
      <c r="DC609">
        <v>13.2</v>
      </c>
      <c r="DD609">
        <v>2.35</v>
      </c>
      <c r="DE609">
        <v>4417</v>
      </c>
      <c r="DF609">
        <v>2153</v>
      </c>
      <c r="DG609" t="s">
        <v>116</v>
      </c>
      <c r="DH609" t="s">
        <v>116</v>
      </c>
      <c r="DI609" t="s">
        <v>116</v>
      </c>
    </row>
    <row r="610" spans="1:113" x14ac:dyDescent="0.4">
      <c r="A610" t="str">
        <f>"002154"</f>
        <v>002154</v>
      </c>
      <c r="B610" t="s">
        <v>3907</v>
      </c>
      <c r="C610">
        <v>-1.57</v>
      </c>
      <c r="D610">
        <v>3.14</v>
      </c>
      <c r="E610">
        <v>-0.05</v>
      </c>
      <c r="F610">
        <v>3.13</v>
      </c>
      <c r="G610">
        <v>3.14</v>
      </c>
      <c r="H610">
        <v>198654</v>
      </c>
      <c r="I610">
        <v>1501</v>
      </c>
      <c r="J610">
        <v>-0.31</v>
      </c>
      <c r="K610">
        <v>1.79</v>
      </c>
      <c r="L610">
        <v>3.18</v>
      </c>
      <c r="M610">
        <v>3.25</v>
      </c>
      <c r="N610">
        <v>3.13</v>
      </c>
      <c r="O610">
        <v>3.19</v>
      </c>
      <c r="P610">
        <v>17.559999999999999</v>
      </c>
      <c r="Q610">
        <v>63191760</v>
      </c>
      <c r="R610">
        <v>0.75</v>
      </c>
      <c r="S610" t="s">
        <v>3070</v>
      </c>
      <c r="T610" t="s">
        <v>590</v>
      </c>
      <c r="U610">
        <v>3.76</v>
      </c>
      <c r="V610">
        <v>3.18</v>
      </c>
      <c r="W610">
        <v>112357</v>
      </c>
      <c r="X610">
        <v>86297</v>
      </c>
      <c r="Y610">
        <v>1.3</v>
      </c>
      <c r="Z610">
        <v>4993</v>
      </c>
      <c r="AA610">
        <v>373</v>
      </c>
      <c r="AB610" t="s">
        <v>116</v>
      </c>
      <c r="AC610">
        <v>191400</v>
      </c>
      <c r="AD610">
        <v>0.01</v>
      </c>
      <c r="AE610" t="s">
        <v>116</v>
      </c>
      <c r="AF610" t="s">
        <v>116</v>
      </c>
      <c r="AG610">
        <v>11.07</v>
      </c>
      <c r="AH610" t="s">
        <v>3908</v>
      </c>
      <c r="AI610" t="s">
        <v>3909</v>
      </c>
      <c r="AJ610">
        <v>-0.89</v>
      </c>
      <c r="AK610">
        <v>1572</v>
      </c>
      <c r="AL610">
        <v>126</v>
      </c>
      <c r="AM610">
        <v>1.1000000000000001E-3</v>
      </c>
      <c r="AN610">
        <v>-2</v>
      </c>
      <c r="AO610">
        <v>-1.26</v>
      </c>
      <c r="AP610">
        <v>3.29</v>
      </c>
      <c r="AQ610">
        <v>9.7899999999999991</v>
      </c>
      <c r="AR610">
        <v>7.17</v>
      </c>
      <c r="AS610">
        <v>2.23</v>
      </c>
      <c r="AT610" t="s">
        <v>2054</v>
      </c>
      <c r="AU610">
        <v>26.45</v>
      </c>
      <c r="AV610">
        <v>73.760000000000005</v>
      </c>
      <c r="AW610">
        <v>0.55000000000000004</v>
      </c>
      <c r="BA610">
        <v>-0.31</v>
      </c>
      <c r="BB610">
        <v>1.88</v>
      </c>
      <c r="BC610">
        <v>-1.88</v>
      </c>
      <c r="BD610">
        <v>-0.28000000000000003</v>
      </c>
      <c r="BE610">
        <v>-1.26</v>
      </c>
      <c r="BF610">
        <v>-3.38</v>
      </c>
      <c r="BG610">
        <v>0.32</v>
      </c>
      <c r="BH610">
        <v>-1.29</v>
      </c>
      <c r="BI610">
        <v>20191031</v>
      </c>
      <c r="BJ610">
        <v>20070816</v>
      </c>
      <c r="BK610">
        <v>12.18</v>
      </c>
      <c r="BL610" t="s">
        <v>116</v>
      </c>
      <c r="BM610" t="s">
        <v>116</v>
      </c>
      <c r="BN610">
        <v>43.79</v>
      </c>
      <c r="BO610">
        <v>27.71</v>
      </c>
      <c r="BP610">
        <v>0.7</v>
      </c>
      <c r="BQ610">
        <v>35.11</v>
      </c>
      <c r="BR610">
        <v>20.45</v>
      </c>
      <c r="BS610">
        <v>5.92</v>
      </c>
      <c r="BT610">
        <v>2.67</v>
      </c>
      <c r="BU610">
        <v>14.3</v>
      </c>
      <c r="BV610">
        <v>11</v>
      </c>
      <c r="BW610">
        <v>4.62</v>
      </c>
      <c r="BX610">
        <v>2.85</v>
      </c>
      <c r="BY610">
        <v>21.69</v>
      </c>
      <c r="BZ610">
        <v>8.19</v>
      </c>
      <c r="CA610">
        <v>1.98</v>
      </c>
      <c r="CB610">
        <v>0.08</v>
      </c>
      <c r="CC610">
        <v>2.0099999999999998</v>
      </c>
      <c r="CD610">
        <v>1.58</v>
      </c>
      <c r="CE610">
        <v>1.63</v>
      </c>
      <c r="CF610">
        <v>1.1499999999999999</v>
      </c>
      <c r="CG610">
        <v>10.58</v>
      </c>
      <c r="CH610">
        <v>-0.6</v>
      </c>
      <c r="CI610">
        <v>-1.76</v>
      </c>
      <c r="CJ610">
        <v>91001</v>
      </c>
      <c r="CK610">
        <v>9784</v>
      </c>
      <c r="CL610" t="s">
        <v>3910</v>
      </c>
      <c r="CM610">
        <v>131.28</v>
      </c>
      <c r="CN610">
        <v>3.34</v>
      </c>
      <c r="CO610">
        <v>1.38</v>
      </c>
      <c r="CP610">
        <v>-63.87</v>
      </c>
      <c r="CQ610">
        <v>1.76</v>
      </c>
      <c r="CR610">
        <v>3.18</v>
      </c>
      <c r="CS610" t="s">
        <v>2620</v>
      </c>
      <c r="CT610">
        <v>2.2799999999999998</v>
      </c>
      <c r="CU610">
        <v>0</v>
      </c>
      <c r="CV610">
        <v>0.23</v>
      </c>
      <c r="CW610">
        <v>0.87</v>
      </c>
      <c r="CX610">
        <v>-0.05</v>
      </c>
      <c r="CY610">
        <v>63.29</v>
      </c>
      <c r="CZ610" t="s">
        <v>3911</v>
      </c>
      <c r="DA610">
        <v>62.22</v>
      </c>
      <c r="DB610">
        <v>9.15</v>
      </c>
      <c r="DC610">
        <v>7.53</v>
      </c>
      <c r="DD610">
        <v>0.5</v>
      </c>
      <c r="DE610">
        <v>8027</v>
      </c>
      <c r="DF610">
        <v>2154</v>
      </c>
      <c r="DG610" t="s">
        <v>116</v>
      </c>
      <c r="DH610" t="s">
        <v>116</v>
      </c>
      <c r="DI610" t="s">
        <v>116</v>
      </c>
    </row>
    <row r="611" spans="1:113" x14ac:dyDescent="0.4">
      <c r="A611" t="str">
        <f>"002155"</f>
        <v>002155</v>
      </c>
      <c r="B611" t="s">
        <v>3912</v>
      </c>
      <c r="C611">
        <v>1.17</v>
      </c>
      <c r="D611">
        <v>7.78</v>
      </c>
      <c r="E611">
        <v>0.09</v>
      </c>
      <c r="F611">
        <v>7.77</v>
      </c>
      <c r="G611">
        <v>7.78</v>
      </c>
      <c r="H611">
        <v>366935</v>
      </c>
      <c r="I611">
        <v>3202</v>
      </c>
      <c r="J611">
        <v>0</v>
      </c>
      <c r="K611">
        <v>3.05</v>
      </c>
      <c r="L611">
        <v>7.72</v>
      </c>
      <c r="M611">
        <v>7.94</v>
      </c>
      <c r="N611">
        <v>7.7</v>
      </c>
      <c r="O611">
        <v>7.69</v>
      </c>
      <c r="P611">
        <v>69.14</v>
      </c>
      <c r="Q611">
        <v>286767872</v>
      </c>
      <c r="R611">
        <v>1.94</v>
      </c>
      <c r="S611" t="s">
        <v>871</v>
      </c>
      <c r="T611" t="s">
        <v>599</v>
      </c>
      <c r="U611">
        <v>3.12</v>
      </c>
      <c r="V611">
        <v>7.82</v>
      </c>
      <c r="W611">
        <v>166167</v>
      </c>
      <c r="X611">
        <v>200768</v>
      </c>
      <c r="Y611">
        <v>0.83</v>
      </c>
      <c r="Z611">
        <v>524</v>
      </c>
      <c r="AA611">
        <v>1599</v>
      </c>
      <c r="AB611" t="s">
        <v>116</v>
      </c>
      <c r="AC611">
        <v>2871800</v>
      </c>
      <c r="AD611">
        <v>0.05</v>
      </c>
      <c r="AE611" t="s">
        <v>116</v>
      </c>
      <c r="AF611" t="s">
        <v>116</v>
      </c>
      <c r="AG611">
        <v>12.02</v>
      </c>
      <c r="AH611" t="s">
        <v>3913</v>
      </c>
      <c r="AI611" t="s">
        <v>3914</v>
      </c>
      <c r="AJ611">
        <v>1.85</v>
      </c>
      <c r="AK611">
        <v>3974</v>
      </c>
      <c r="AL611">
        <v>92</v>
      </c>
      <c r="AM611">
        <v>8.0000000000000004E-4</v>
      </c>
      <c r="AN611">
        <v>4</v>
      </c>
      <c r="AO611">
        <v>2.09</v>
      </c>
      <c r="AP611">
        <v>8.51</v>
      </c>
      <c r="AQ611">
        <v>-9.2200000000000006</v>
      </c>
      <c r="AR611">
        <v>-0.38</v>
      </c>
      <c r="AS611">
        <v>5.08</v>
      </c>
      <c r="AT611" t="s">
        <v>3915</v>
      </c>
      <c r="AU611">
        <v>48.55</v>
      </c>
      <c r="AV611">
        <v>34.58</v>
      </c>
      <c r="AW611">
        <v>0.65</v>
      </c>
      <c r="BA611">
        <v>0.39</v>
      </c>
      <c r="BB611">
        <v>3.25</v>
      </c>
      <c r="BC611">
        <v>0.13</v>
      </c>
      <c r="BD611">
        <v>1.63</v>
      </c>
      <c r="BE611">
        <v>0.78</v>
      </c>
      <c r="BF611">
        <v>-2.02</v>
      </c>
      <c r="BG611">
        <v>1.04</v>
      </c>
      <c r="BH611">
        <v>-0.46</v>
      </c>
      <c r="BI611">
        <v>20191025</v>
      </c>
      <c r="BJ611">
        <v>20070816</v>
      </c>
      <c r="BK611">
        <v>12.02</v>
      </c>
      <c r="BL611" t="s">
        <v>116</v>
      </c>
      <c r="BM611" t="s">
        <v>116</v>
      </c>
      <c r="BN611">
        <v>70.59</v>
      </c>
      <c r="BO611">
        <v>49.15</v>
      </c>
      <c r="BP611">
        <v>0.92</v>
      </c>
      <c r="BQ611">
        <v>29.08</v>
      </c>
      <c r="BR611">
        <v>16.649999999999999</v>
      </c>
      <c r="BS611">
        <v>28.44</v>
      </c>
      <c r="BT611">
        <v>5.84</v>
      </c>
      <c r="BU611">
        <v>18.72</v>
      </c>
      <c r="BV611">
        <v>4.96</v>
      </c>
      <c r="BW611">
        <v>1.58</v>
      </c>
      <c r="BX611">
        <v>12.91</v>
      </c>
      <c r="BY611">
        <v>113.25</v>
      </c>
      <c r="BZ611">
        <v>105.31</v>
      </c>
      <c r="CA611">
        <v>1.3</v>
      </c>
      <c r="CB611">
        <v>0.02</v>
      </c>
      <c r="CC611">
        <v>1.27</v>
      </c>
      <c r="CD611">
        <v>1</v>
      </c>
      <c r="CE611">
        <v>1.01</v>
      </c>
      <c r="CF611">
        <v>1.02</v>
      </c>
      <c r="CG611">
        <v>21.23</v>
      </c>
      <c r="CH611">
        <v>3.68</v>
      </c>
      <c r="CI611">
        <v>-0.05</v>
      </c>
      <c r="CJ611">
        <v>102817</v>
      </c>
      <c r="CK611">
        <v>7024</v>
      </c>
      <c r="CL611" t="s">
        <v>3916</v>
      </c>
      <c r="CM611">
        <v>-43.4</v>
      </c>
      <c r="CN611">
        <v>17.47</v>
      </c>
      <c r="CO611">
        <v>1.9</v>
      </c>
      <c r="CP611">
        <v>25.38</v>
      </c>
      <c r="CQ611">
        <v>0.83</v>
      </c>
      <c r="CR611">
        <v>0.51</v>
      </c>
      <c r="CS611" t="s">
        <v>3917</v>
      </c>
      <c r="CT611">
        <v>4.09</v>
      </c>
      <c r="CU611">
        <v>0</v>
      </c>
      <c r="CV611">
        <v>1.07</v>
      </c>
      <c r="CW611">
        <v>1.77</v>
      </c>
      <c r="CX611">
        <v>0.31</v>
      </c>
      <c r="CY611">
        <v>69.62</v>
      </c>
      <c r="CZ611" t="s">
        <v>171</v>
      </c>
      <c r="DA611">
        <v>7.01</v>
      </c>
      <c r="DB611">
        <v>1.1499999999999999</v>
      </c>
      <c r="DC611">
        <v>0.9</v>
      </c>
      <c r="DD611">
        <v>1.94</v>
      </c>
      <c r="DE611">
        <v>6511</v>
      </c>
      <c r="DF611">
        <v>2155</v>
      </c>
      <c r="DG611" t="s">
        <v>116</v>
      </c>
      <c r="DH611" t="s">
        <v>116</v>
      </c>
      <c r="DI611" t="s">
        <v>116</v>
      </c>
    </row>
    <row r="612" spans="1:113" x14ac:dyDescent="0.4">
      <c r="A612" t="str">
        <f>"002156"</f>
        <v>002156</v>
      </c>
      <c r="B612" t="s">
        <v>3918</v>
      </c>
      <c r="C612">
        <v>-5.45</v>
      </c>
      <c r="D612">
        <v>16.47</v>
      </c>
      <c r="E612">
        <v>-0.95</v>
      </c>
      <c r="F612">
        <v>16.47</v>
      </c>
      <c r="G612">
        <v>16.48</v>
      </c>
      <c r="H612">
        <v>559931</v>
      </c>
      <c r="I612">
        <v>6616</v>
      </c>
      <c r="J612">
        <v>0.49</v>
      </c>
      <c r="K612">
        <v>4.8499999999999996</v>
      </c>
      <c r="L612">
        <v>17.61</v>
      </c>
      <c r="M612">
        <v>17.98</v>
      </c>
      <c r="N612">
        <v>16.27</v>
      </c>
      <c r="O612">
        <v>17.420000000000002</v>
      </c>
      <c r="P612" t="s">
        <v>116</v>
      </c>
      <c r="Q612">
        <v>954038272</v>
      </c>
      <c r="R612">
        <v>1.25</v>
      </c>
      <c r="S612" t="s">
        <v>3507</v>
      </c>
      <c r="T612" t="s">
        <v>323</v>
      </c>
      <c r="U612">
        <v>9.82</v>
      </c>
      <c r="V612">
        <v>17.04</v>
      </c>
      <c r="W612">
        <v>299582</v>
      </c>
      <c r="X612">
        <v>260349</v>
      </c>
      <c r="Y612">
        <v>1.1499999999999999</v>
      </c>
      <c r="Z612">
        <v>176</v>
      </c>
      <c r="AA612">
        <v>163</v>
      </c>
      <c r="AB612" t="s">
        <v>116</v>
      </c>
      <c r="AC612">
        <v>2761200</v>
      </c>
      <c r="AD612">
        <v>0.03</v>
      </c>
      <c r="AE612" t="s">
        <v>116</v>
      </c>
      <c r="AF612" t="s">
        <v>116</v>
      </c>
      <c r="AG612">
        <v>11.54</v>
      </c>
      <c r="AH612" t="s">
        <v>3919</v>
      </c>
      <c r="AI612" t="s">
        <v>3920</v>
      </c>
      <c r="AJ612">
        <v>-4.7699999999999996</v>
      </c>
      <c r="AK612">
        <v>4582</v>
      </c>
      <c r="AL612">
        <v>122</v>
      </c>
      <c r="AM612">
        <v>1.1000000000000001E-3</v>
      </c>
      <c r="AN612">
        <v>-2</v>
      </c>
      <c r="AO612">
        <v>0.06</v>
      </c>
      <c r="AP612">
        <v>27.38</v>
      </c>
      <c r="AQ612">
        <v>43.22</v>
      </c>
      <c r="AR612">
        <v>132.22999999999999</v>
      </c>
      <c r="AS612">
        <v>10.81</v>
      </c>
      <c r="AT612" t="s">
        <v>3921</v>
      </c>
      <c r="AU612" t="s">
        <v>116</v>
      </c>
      <c r="AV612">
        <v>149.69</v>
      </c>
      <c r="AW612">
        <v>1.71</v>
      </c>
      <c r="BA612">
        <v>1.0900000000000001</v>
      </c>
      <c r="BB612">
        <v>3.21</v>
      </c>
      <c r="BC612">
        <v>-6.6</v>
      </c>
      <c r="BD612">
        <v>-2.19</v>
      </c>
      <c r="BE612">
        <v>-6.47</v>
      </c>
      <c r="BF612">
        <v>-8.4</v>
      </c>
      <c r="BG612">
        <v>1.23</v>
      </c>
      <c r="BH612">
        <v>-3.26</v>
      </c>
      <c r="BI612">
        <v>20191030</v>
      </c>
      <c r="BJ612">
        <v>20070816</v>
      </c>
      <c r="BK612">
        <v>11.54</v>
      </c>
      <c r="BL612" t="s">
        <v>116</v>
      </c>
      <c r="BM612" t="s">
        <v>116</v>
      </c>
      <c r="BN612">
        <v>157.24</v>
      </c>
      <c r="BO612">
        <v>60.81</v>
      </c>
      <c r="BP612">
        <v>3.85</v>
      </c>
      <c r="BQ612">
        <v>58.88</v>
      </c>
      <c r="BR612">
        <v>57.35</v>
      </c>
      <c r="BS612">
        <v>67.239999999999995</v>
      </c>
      <c r="BT612">
        <v>2.52</v>
      </c>
      <c r="BU612">
        <v>68.87</v>
      </c>
      <c r="BV612">
        <v>16.920000000000002</v>
      </c>
      <c r="BW612">
        <v>20.69</v>
      </c>
      <c r="BX612">
        <v>37.44</v>
      </c>
      <c r="BY612">
        <v>60.55</v>
      </c>
      <c r="BZ612">
        <v>52.73</v>
      </c>
      <c r="CA612">
        <v>-0.68</v>
      </c>
      <c r="CB612">
        <v>0</v>
      </c>
      <c r="CC612">
        <v>-0.62</v>
      </c>
      <c r="CD612">
        <v>-0.15</v>
      </c>
      <c r="CE612">
        <v>-0.27</v>
      </c>
      <c r="CF612">
        <v>-1.17</v>
      </c>
      <c r="CG612">
        <v>9.27</v>
      </c>
      <c r="CH612">
        <v>7.35</v>
      </c>
      <c r="CI612">
        <v>1.38</v>
      </c>
      <c r="CJ612">
        <v>65206</v>
      </c>
      <c r="CK612">
        <v>7946</v>
      </c>
      <c r="CL612" t="s">
        <v>3922</v>
      </c>
      <c r="CM612">
        <v>-116.98</v>
      </c>
      <c r="CN612">
        <v>10.48</v>
      </c>
      <c r="CO612">
        <v>3.12</v>
      </c>
      <c r="CP612">
        <v>25.84</v>
      </c>
      <c r="CQ612">
        <v>3.14</v>
      </c>
      <c r="CR612">
        <v>0.23</v>
      </c>
      <c r="CS612" t="s">
        <v>1689</v>
      </c>
      <c r="CT612">
        <v>5.27</v>
      </c>
      <c r="CU612">
        <v>0</v>
      </c>
      <c r="CV612">
        <v>3.25</v>
      </c>
      <c r="CW612">
        <v>0.8</v>
      </c>
      <c r="CX612">
        <v>0.64</v>
      </c>
      <c r="CY612">
        <v>38.68</v>
      </c>
      <c r="CZ612" t="s">
        <v>3923</v>
      </c>
      <c r="DA612">
        <v>12.91</v>
      </c>
      <c r="DB612">
        <v>-1.1299999999999999</v>
      </c>
      <c r="DC612">
        <v>-0.45</v>
      </c>
      <c r="DD612">
        <v>5.16</v>
      </c>
      <c r="DE612">
        <v>11566</v>
      </c>
      <c r="DF612">
        <v>2156</v>
      </c>
      <c r="DG612" t="s">
        <v>116</v>
      </c>
      <c r="DH612" t="s">
        <v>116</v>
      </c>
      <c r="DI612" t="s">
        <v>116</v>
      </c>
    </row>
    <row r="613" spans="1:113" x14ac:dyDescent="0.4">
      <c r="A613" t="str">
        <f>"002157"</f>
        <v>002157</v>
      </c>
      <c r="B613" t="s">
        <v>3924</v>
      </c>
      <c r="C613">
        <v>3.8</v>
      </c>
      <c r="D613">
        <v>15.85</v>
      </c>
      <c r="E613">
        <v>0.57999999999999996</v>
      </c>
      <c r="F613">
        <v>15.85</v>
      </c>
      <c r="G613">
        <v>15.86</v>
      </c>
      <c r="H613">
        <v>1196428</v>
      </c>
      <c r="I613">
        <v>10469</v>
      </c>
      <c r="J613">
        <v>0.06</v>
      </c>
      <c r="K613">
        <v>5.39</v>
      </c>
      <c r="L613">
        <v>15.22</v>
      </c>
      <c r="M613">
        <v>16.059999999999999</v>
      </c>
      <c r="N613">
        <v>15.16</v>
      </c>
      <c r="O613">
        <v>15.27</v>
      </c>
      <c r="P613">
        <v>580.92999999999995</v>
      </c>
      <c r="Q613">
        <v>1881011584</v>
      </c>
      <c r="R613">
        <v>1.57</v>
      </c>
      <c r="S613" t="s">
        <v>389</v>
      </c>
      <c r="T613" t="s">
        <v>683</v>
      </c>
      <c r="U613">
        <v>5.89</v>
      </c>
      <c r="V613">
        <v>15.72</v>
      </c>
      <c r="W613">
        <v>532344</v>
      </c>
      <c r="X613">
        <v>664084</v>
      </c>
      <c r="Y613">
        <v>0.8</v>
      </c>
      <c r="Z613">
        <v>8086</v>
      </c>
      <c r="AA613">
        <v>2432</v>
      </c>
      <c r="AB613" t="s">
        <v>116</v>
      </c>
      <c r="AC613">
        <v>3528000</v>
      </c>
      <c r="AD613">
        <v>0.02</v>
      </c>
      <c r="AE613" t="s">
        <v>116</v>
      </c>
      <c r="AF613" t="s">
        <v>116</v>
      </c>
      <c r="AG613">
        <v>22.18</v>
      </c>
      <c r="AH613" t="s">
        <v>3925</v>
      </c>
      <c r="AI613" t="s">
        <v>3926</v>
      </c>
      <c r="AJ613">
        <v>4.4800000000000004</v>
      </c>
      <c r="AK613">
        <v>4647</v>
      </c>
      <c r="AL613">
        <v>257</v>
      </c>
      <c r="AM613">
        <v>1.1999999999999999E-3</v>
      </c>
      <c r="AN613">
        <v>3</v>
      </c>
      <c r="AO613">
        <v>4.7699999999999996</v>
      </c>
      <c r="AP613">
        <v>8.41</v>
      </c>
      <c r="AQ613">
        <v>10.99</v>
      </c>
      <c r="AR613">
        <v>200.76</v>
      </c>
      <c r="AS613">
        <v>9.66</v>
      </c>
      <c r="AT613" t="s">
        <v>3927</v>
      </c>
      <c r="AU613">
        <v>186.68</v>
      </c>
      <c r="AV613">
        <v>201.24</v>
      </c>
      <c r="AW613">
        <v>0.43</v>
      </c>
      <c r="BA613">
        <v>-0.33</v>
      </c>
      <c r="BB613">
        <v>5.17</v>
      </c>
      <c r="BC613">
        <v>-0.72</v>
      </c>
      <c r="BD613">
        <v>2.96</v>
      </c>
      <c r="BE613">
        <v>4.1399999999999997</v>
      </c>
      <c r="BF613">
        <v>-1.31</v>
      </c>
      <c r="BG613">
        <v>4.55</v>
      </c>
      <c r="BH613">
        <v>0.84</v>
      </c>
      <c r="BI613">
        <v>20191226</v>
      </c>
      <c r="BJ613">
        <v>20070817</v>
      </c>
      <c r="BK613">
        <v>24.56</v>
      </c>
      <c r="BL613" t="s">
        <v>116</v>
      </c>
      <c r="BM613" t="s">
        <v>116</v>
      </c>
      <c r="BN613">
        <v>259.52999999999997</v>
      </c>
      <c r="BO613">
        <v>75.53</v>
      </c>
      <c r="BP613">
        <v>2.85</v>
      </c>
      <c r="BQ613">
        <v>69.8</v>
      </c>
      <c r="BR613">
        <v>99.55</v>
      </c>
      <c r="BS613">
        <v>93.21</v>
      </c>
      <c r="BT613">
        <v>3.49</v>
      </c>
      <c r="BU613">
        <v>137.63</v>
      </c>
      <c r="BV613">
        <v>56.67</v>
      </c>
      <c r="BW613">
        <v>6.73</v>
      </c>
      <c r="BX613">
        <v>30.38</v>
      </c>
      <c r="BY613">
        <v>175.64</v>
      </c>
      <c r="BZ613">
        <v>155.38999999999999</v>
      </c>
      <c r="CA613">
        <v>2.13</v>
      </c>
      <c r="CB613">
        <v>-0.04</v>
      </c>
      <c r="CC613">
        <v>0.95</v>
      </c>
      <c r="CD613">
        <v>0.82</v>
      </c>
      <c r="CE613">
        <v>0.5</v>
      </c>
      <c r="CF613">
        <v>1.73</v>
      </c>
      <c r="CG613">
        <v>20.34</v>
      </c>
      <c r="CH613">
        <v>0.45</v>
      </c>
      <c r="CI613">
        <v>-3.15</v>
      </c>
      <c r="CJ613">
        <v>142800</v>
      </c>
      <c r="CK613">
        <v>8669</v>
      </c>
      <c r="CL613" t="s">
        <v>3928</v>
      </c>
      <c r="CM613">
        <v>42.9</v>
      </c>
      <c r="CN613">
        <v>-0.12</v>
      </c>
      <c r="CO613">
        <v>5.15</v>
      </c>
      <c r="CP613">
        <v>866.21</v>
      </c>
      <c r="CQ613">
        <v>2.2200000000000002</v>
      </c>
      <c r="CR613">
        <v>0.24</v>
      </c>
      <c r="CS613" t="s">
        <v>3929</v>
      </c>
      <c r="CT613">
        <v>3.08</v>
      </c>
      <c r="CU613">
        <v>0</v>
      </c>
      <c r="CV613">
        <v>1.24</v>
      </c>
      <c r="CW613">
        <v>0.83</v>
      </c>
      <c r="CX613">
        <v>0.02</v>
      </c>
      <c r="CY613">
        <v>29.1</v>
      </c>
      <c r="CZ613" t="s">
        <v>3930</v>
      </c>
      <c r="DA613">
        <v>11.53</v>
      </c>
      <c r="DB613">
        <v>1.21</v>
      </c>
      <c r="DC613">
        <v>0.28999999999999998</v>
      </c>
      <c r="DD613">
        <v>2.1800000000000002</v>
      </c>
      <c r="DE613">
        <v>16465</v>
      </c>
      <c r="DF613">
        <v>2157</v>
      </c>
      <c r="DG613" t="s">
        <v>116</v>
      </c>
      <c r="DH613" t="s">
        <v>116</v>
      </c>
      <c r="DI613" t="s">
        <v>116</v>
      </c>
    </row>
    <row r="614" spans="1:113" x14ac:dyDescent="0.4">
      <c r="A614" t="str">
        <f>"002158"</f>
        <v>002158</v>
      </c>
      <c r="B614" t="s">
        <v>3931</v>
      </c>
      <c r="C614">
        <v>-1.47</v>
      </c>
      <c r="D614">
        <v>8.7100000000000009</v>
      </c>
      <c r="E614">
        <v>-0.13</v>
      </c>
      <c r="F614">
        <v>8.7100000000000009</v>
      </c>
      <c r="G614">
        <v>8.7200000000000006</v>
      </c>
      <c r="H614">
        <v>74441</v>
      </c>
      <c r="I614">
        <v>468</v>
      </c>
      <c r="J614">
        <v>-0.22</v>
      </c>
      <c r="K614">
        <v>1.4</v>
      </c>
      <c r="L614">
        <v>8.8800000000000008</v>
      </c>
      <c r="M614">
        <v>8.9</v>
      </c>
      <c r="N614">
        <v>8.6999999999999993</v>
      </c>
      <c r="O614">
        <v>8.84</v>
      </c>
      <c r="P614">
        <v>20.51</v>
      </c>
      <c r="Q614">
        <v>65569612</v>
      </c>
      <c r="R614">
        <v>1.4</v>
      </c>
      <c r="S614" t="s">
        <v>598</v>
      </c>
      <c r="T614" t="s">
        <v>1653</v>
      </c>
      <c r="U614">
        <v>2.2599999999999998</v>
      </c>
      <c r="V614">
        <v>8.81</v>
      </c>
      <c r="W614">
        <v>50417</v>
      </c>
      <c r="X614">
        <v>24024</v>
      </c>
      <c r="Y614">
        <v>2.1</v>
      </c>
      <c r="Z614">
        <v>46</v>
      </c>
      <c r="AA614">
        <v>864</v>
      </c>
      <c r="AB614" t="s">
        <v>116</v>
      </c>
      <c r="AC614">
        <v>426200</v>
      </c>
      <c r="AD614">
        <v>0.02</v>
      </c>
      <c r="AE614" t="s">
        <v>116</v>
      </c>
      <c r="AF614" t="s">
        <v>116</v>
      </c>
      <c r="AG614">
        <v>5.3</v>
      </c>
      <c r="AH614" t="s">
        <v>3932</v>
      </c>
      <c r="AI614" t="s">
        <v>2749</v>
      </c>
      <c r="AJ614">
        <v>-0.79</v>
      </c>
      <c r="AK614">
        <v>2220</v>
      </c>
      <c r="AL614">
        <v>34</v>
      </c>
      <c r="AM614">
        <v>5.9999999999999995E-4</v>
      </c>
      <c r="AN614">
        <v>-1</v>
      </c>
      <c r="AO614">
        <v>-0.45</v>
      </c>
      <c r="AP614">
        <v>5.45</v>
      </c>
      <c r="AQ614">
        <v>10.39</v>
      </c>
      <c r="AR614">
        <v>24.07</v>
      </c>
      <c r="AS614">
        <v>3.69</v>
      </c>
      <c r="AT614" t="s">
        <v>3933</v>
      </c>
      <c r="AU614">
        <v>21.82</v>
      </c>
      <c r="AV614">
        <v>23</v>
      </c>
      <c r="AW614">
        <v>0.84</v>
      </c>
      <c r="BA614">
        <v>0.45</v>
      </c>
      <c r="BB614">
        <v>0.68</v>
      </c>
      <c r="BC614">
        <v>-1.58</v>
      </c>
      <c r="BD614">
        <v>-0.36</v>
      </c>
      <c r="BE614">
        <v>-1.91</v>
      </c>
      <c r="BF614">
        <v>-2.13</v>
      </c>
      <c r="BG614">
        <v>0.11</v>
      </c>
      <c r="BH614">
        <v>-1.1100000000000001</v>
      </c>
      <c r="BI614">
        <v>20191107</v>
      </c>
      <c r="BJ614">
        <v>20070817</v>
      </c>
      <c r="BK614">
        <v>5.35</v>
      </c>
      <c r="BL614" t="s">
        <v>116</v>
      </c>
      <c r="BM614" t="s">
        <v>116</v>
      </c>
      <c r="BN614">
        <v>34.01</v>
      </c>
      <c r="BO614">
        <v>19.54</v>
      </c>
      <c r="BP614">
        <v>0.15</v>
      </c>
      <c r="BQ614">
        <v>42.12</v>
      </c>
      <c r="BR614">
        <v>23.84</v>
      </c>
      <c r="BS614">
        <v>7.5</v>
      </c>
      <c r="BT614">
        <v>0.73</v>
      </c>
      <c r="BU614">
        <v>12.06</v>
      </c>
      <c r="BV614">
        <v>5.21</v>
      </c>
      <c r="BW614">
        <v>4.09</v>
      </c>
      <c r="BX614">
        <v>4.3499999999999996</v>
      </c>
      <c r="BY614">
        <v>12.57</v>
      </c>
      <c r="BZ614">
        <v>8.23</v>
      </c>
      <c r="CA614">
        <v>2.06</v>
      </c>
      <c r="CB614">
        <v>0.25</v>
      </c>
      <c r="CC614">
        <v>2.0499999999999998</v>
      </c>
      <c r="CD614">
        <v>1.7</v>
      </c>
      <c r="CE614">
        <v>1.7</v>
      </c>
      <c r="CF614">
        <v>1.46</v>
      </c>
      <c r="CG614">
        <v>8.39</v>
      </c>
      <c r="CH614">
        <v>1.76</v>
      </c>
      <c r="CI614">
        <v>0.1</v>
      </c>
      <c r="CJ614">
        <v>34744</v>
      </c>
      <c r="CK614">
        <v>5812</v>
      </c>
      <c r="CL614" t="s">
        <v>708</v>
      </c>
      <c r="CM614">
        <v>6.87</v>
      </c>
      <c r="CN614">
        <v>-0.75</v>
      </c>
      <c r="CO614">
        <v>2.39</v>
      </c>
      <c r="CP614">
        <v>26.53</v>
      </c>
      <c r="CQ614">
        <v>3.71</v>
      </c>
      <c r="CR614">
        <v>1.72</v>
      </c>
      <c r="CS614" t="s">
        <v>786</v>
      </c>
      <c r="CT614">
        <v>3.65</v>
      </c>
      <c r="CU614">
        <v>0</v>
      </c>
      <c r="CV614">
        <v>0.81</v>
      </c>
      <c r="CW614">
        <v>1.57</v>
      </c>
      <c r="CX614">
        <v>0.33</v>
      </c>
      <c r="CY614">
        <v>57.44</v>
      </c>
      <c r="CZ614" t="s">
        <v>3934</v>
      </c>
      <c r="DA614">
        <v>34.5</v>
      </c>
      <c r="DB614">
        <v>16.36</v>
      </c>
      <c r="DC614">
        <v>13.56</v>
      </c>
      <c r="DD614">
        <v>0.86</v>
      </c>
      <c r="DE614">
        <v>1720</v>
      </c>
      <c r="DF614">
        <v>2158</v>
      </c>
      <c r="DG614" t="s">
        <v>116</v>
      </c>
      <c r="DH614" t="s">
        <v>116</v>
      </c>
      <c r="DI614" t="s">
        <v>116</v>
      </c>
    </row>
    <row r="615" spans="1:113" x14ac:dyDescent="0.4">
      <c r="A615" t="str">
        <f>"002159"</f>
        <v>002159</v>
      </c>
      <c r="B615" t="s">
        <v>3935</v>
      </c>
      <c r="C615">
        <v>-0.41</v>
      </c>
      <c r="D615">
        <v>12.22</v>
      </c>
      <c r="E615">
        <v>-0.05</v>
      </c>
      <c r="F615">
        <v>12.22</v>
      </c>
      <c r="G615">
        <v>12.23</v>
      </c>
      <c r="H615">
        <v>8205</v>
      </c>
      <c r="I615">
        <v>37</v>
      </c>
      <c r="J615">
        <v>0.08</v>
      </c>
      <c r="K615">
        <v>0.59</v>
      </c>
      <c r="L615">
        <v>12.28</v>
      </c>
      <c r="M615">
        <v>12.44</v>
      </c>
      <c r="N615">
        <v>12.19</v>
      </c>
      <c r="O615">
        <v>12.27</v>
      </c>
      <c r="P615">
        <v>70.56</v>
      </c>
      <c r="Q615">
        <v>10095684</v>
      </c>
      <c r="R615">
        <v>0.83</v>
      </c>
      <c r="S615" t="s">
        <v>1412</v>
      </c>
      <c r="T615" t="s">
        <v>774</v>
      </c>
      <c r="U615">
        <v>2.04</v>
      </c>
      <c r="V615">
        <v>12.3</v>
      </c>
      <c r="W615">
        <v>4754</v>
      </c>
      <c r="X615">
        <v>3451</v>
      </c>
      <c r="Y615">
        <v>1.38</v>
      </c>
      <c r="Z615">
        <v>256</v>
      </c>
      <c r="AA615">
        <v>36</v>
      </c>
      <c r="AB615" t="s">
        <v>116</v>
      </c>
      <c r="AC615">
        <v>11100</v>
      </c>
      <c r="AD615">
        <v>0</v>
      </c>
      <c r="AE615" t="s">
        <v>116</v>
      </c>
      <c r="AF615" t="s">
        <v>116</v>
      </c>
      <c r="AG615">
        <v>1.39</v>
      </c>
      <c r="AH615" t="s">
        <v>3936</v>
      </c>
      <c r="AI615" t="s">
        <v>3937</v>
      </c>
      <c r="AJ615">
        <v>0.27</v>
      </c>
      <c r="AK615">
        <v>741</v>
      </c>
      <c r="AL615">
        <v>11</v>
      </c>
      <c r="AM615">
        <v>8.0000000000000004E-4</v>
      </c>
      <c r="AN615">
        <v>-2</v>
      </c>
      <c r="AO615">
        <v>0.32</v>
      </c>
      <c r="AP615">
        <v>1.66</v>
      </c>
      <c r="AQ615">
        <v>-9.75</v>
      </c>
      <c r="AR615">
        <v>-30.49</v>
      </c>
      <c r="AS615">
        <v>0.88</v>
      </c>
      <c r="AT615" t="s">
        <v>3938</v>
      </c>
      <c r="AU615" t="s">
        <v>116</v>
      </c>
      <c r="AV615">
        <v>12.58</v>
      </c>
      <c r="AW615">
        <v>1</v>
      </c>
      <c r="BA615">
        <v>0.08</v>
      </c>
      <c r="BB615">
        <v>1.39</v>
      </c>
      <c r="BC615">
        <v>-0.65</v>
      </c>
      <c r="BD615">
        <v>0.28000000000000003</v>
      </c>
      <c r="BE615">
        <v>-0.49</v>
      </c>
      <c r="BF615">
        <v>-1.77</v>
      </c>
      <c r="BG615">
        <v>0.25</v>
      </c>
      <c r="BH615">
        <v>-0.69</v>
      </c>
      <c r="BI615">
        <v>20191121</v>
      </c>
      <c r="BJ615">
        <v>20070817</v>
      </c>
      <c r="BK615">
        <v>1.39</v>
      </c>
      <c r="BL615" t="s">
        <v>116</v>
      </c>
      <c r="BM615" t="s">
        <v>116</v>
      </c>
      <c r="BN615">
        <v>31.41</v>
      </c>
      <c r="BO615">
        <v>11.15</v>
      </c>
      <c r="BP615">
        <v>0.66</v>
      </c>
      <c r="BQ615">
        <v>62.4</v>
      </c>
      <c r="BR615">
        <v>8.43</v>
      </c>
      <c r="BS615">
        <v>13</v>
      </c>
      <c r="BT615">
        <v>0.56000000000000005</v>
      </c>
      <c r="BU615">
        <v>10.61</v>
      </c>
      <c r="BV615">
        <v>0.03</v>
      </c>
      <c r="BW615">
        <v>0.12</v>
      </c>
      <c r="BX615">
        <v>4.59</v>
      </c>
      <c r="BY615">
        <v>5.23</v>
      </c>
      <c r="BZ615">
        <v>2.1800000000000002</v>
      </c>
      <c r="CA615">
        <v>0.83</v>
      </c>
      <c r="CB615">
        <v>0</v>
      </c>
      <c r="CC615">
        <v>0.81</v>
      </c>
      <c r="CD615">
        <v>0.27</v>
      </c>
      <c r="CE615">
        <v>0.18</v>
      </c>
      <c r="CF615">
        <v>0.13</v>
      </c>
      <c r="CG615">
        <v>2.97</v>
      </c>
      <c r="CH615">
        <v>1.98</v>
      </c>
      <c r="CI615">
        <v>-1.76</v>
      </c>
      <c r="CJ615">
        <v>9785</v>
      </c>
      <c r="CK615">
        <v>9507</v>
      </c>
      <c r="CL615" t="s">
        <v>3939</v>
      </c>
      <c r="CM615">
        <v>-88.66</v>
      </c>
      <c r="CN615">
        <v>3.76</v>
      </c>
      <c r="CO615">
        <v>1.52</v>
      </c>
      <c r="CP615">
        <v>8.57</v>
      </c>
      <c r="CQ615">
        <v>3.24</v>
      </c>
      <c r="CR615">
        <v>0</v>
      </c>
      <c r="CS615" t="s">
        <v>2655</v>
      </c>
      <c r="CT615">
        <v>8.0399999999999991</v>
      </c>
      <c r="CU615">
        <v>0</v>
      </c>
      <c r="CV615">
        <v>3.31</v>
      </c>
      <c r="CW615">
        <v>2.14</v>
      </c>
      <c r="CX615">
        <v>1.43</v>
      </c>
      <c r="CY615">
        <v>35.5</v>
      </c>
      <c r="CZ615" t="s">
        <v>951</v>
      </c>
      <c r="DA615">
        <v>58.35</v>
      </c>
      <c r="DB615">
        <v>15.97</v>
      </c>
      <c r="DC615">
        <v>3.45</v>
      </c>
      <c r="DD615">
        <v>0</v>
      </c>
      <c r="DE615">
        <v>1474</v>
      </c>
      <c r="DF615">
        <v>2159</v>
      </c>
      <c r="DG615" t="s">
        <v>116</v>
      </c>
      <c r="DH615" t="s">
        <v>116</v>
      </c>
      <c r="DI615" t="s">
        <v>116</v>
      </c>
    </row>
    <row r="616" spans="1:113" x14ac:dyDescent="0.4">
      <c r="A616" t="str">
        <f>"002160"</f>
        <v>002160</v>
      </c>
      <c r="B616" t="s">
        <v>3940</v>
      </c>
      <c r="C616">
        <v>0.67</v>
      </c>
      <c r="D616">
        <v>3.01</v>
      </c>
      <c r="E616">
        <v>0.02</v>
      </c>
      <c r="F616">
        <v>3.01</v>
      </c>
      <c r="G616">
        <v>3.02</v>
      </c>
      <c r="H616">
        <v>134925</v>
      </c>
      <c r="I616">
        <v>775</v>
      </c>
      <c r="J616">
        <v>0</v>
      </c>
      <c r="K616">
        <v>1.98</v>
      </c>
      <c r="L616">
        <v>2.98</v>
      </c>
      <c r="M616">
        <v>3.1</v>
      </c>
      <c r="N616">
        <v>2.96</v>
      </c>
      <c r="O616">
        <v>2.99</v>
      </c>
      <c r="P616">
        <v>153.11000000000001</v>
      </c>
      <c r="Q616">
        <v>40952232</v>
      </c>
      <c r="R616">
        <v>1.92</v>
      </c>
      <c r="S616" t="s">
        <v>1428</v>
      </c>
      <c r="T616" t="s">
        <v>323</v>
      </c>
      <c r="U616">
        <v>4.68</v>
      </c>
      <c r="V616">
        <v>3.04</v>
      </c>
      <c r="W616">
        <v>67839</v>
      </c>
      <c r="X616">
        <v>67086</v>
      </c>
      <c r="Y616">
        <v>1.01</v>
      </c>
      <c r="Z616">
        <v>863</v>
      </c>
      <c r="AA616">
        <v>633</v>
      </c>
      <c r="AB616" t="s">
        <v>116</v>
      </c>
      <c r="AC616">
        <v>78400</v>
      </c>
      <c r="AD616">
        <v>0.01</v>
      </c>
      <c r="AE616" t="s">
        <v>116</v>
      </c>
      <c r="AF616" t="s">
        <v>116</v>
      </c>
      <c r="AG616">
        <v>6.82</v>
      </c>
      <c r="AH616" t="s">
        <v>1235</v>
      </c>
      <c r="AI616" t="s">
        <v>3941</v>
      </c>
      <c r="AJ616">
        <v>1.35</v>
      </c>
      <c r="AK616">
        <v>1363</v>
      </c>
      <c r="AL616">
        <v>99</v>
      </c>
      <c r="AM616">
        <v>1.5E-3</v>
      </c>
      <c r="AN616">
        <v>2</v>
      </c>
      <c r="AO616">
        <v>0.67</v>
      </c>
      <c r="AP616">
        <v>6.74</v>
      </c>
      <c r="AQ616">
        <v>-0.99</v>
      </c>
      <c r="AR616">
        <v>-18.43</v>
      </c>
      <c r="AS616">
        <v>3.41</v>
      </c>
      <c r="AT616" t="s">
        <v>3942</v>
      </c>
      <c r="AU616" t="s">
        <v>116</v>
      </c>
      <c r="AV616" t="s">
        <v>116</v>
      </c>
      <c r="AW616">
        <v>1</v>
      </c>
      <c r="BA616">
        <v>-0.33</v>
      </c>
      <c r="BB616">
        <v>3.68</v>
      </c>
      <c r="BC616">
        <v>-1</v>
      </c>
      <c r="BD616">
        <v>1.51</v>
      </c>
      <c r="BE616">
        <v>1.01</v>
      </c>
      <c r="BF616">
        <v>-2.9</v>
      </c>
      <c r="BG616">
        <v>1.69</v>
      </c>
      <c r="BH616">
        <v>-0.84</v>
      </c>
      <c r="BI616">
        <v>20191023</v>
      </c>
      <c r="BJ616">
        <v>20070821</v>
      </c>
      <c r="BK616">
        <v>7.96</v>
      </c>
      <c r="BL616" t="s">
        <v>116</v>
      </c>
      <c r="BM616" t="s">
        <v>116</v>
      </c>
      <c r="BN616">
        <v>62.74</v>
      </c>
      <c r="BO616">
        <v>30.15</v>
      </c>
      <c r="BP616">
        <v>-0.02</v>
      </c>
      <c r="BQ616">
        <v>51.98</v>
      </c>
      <c r="BR616">
        <v>34.31</v>
      </c>
      <c r="BS616">
        <v>16.920000000000002</v>
      </c>
      <c r="BT616">
        <v>1.74</v>
      </c>
      <c r="BU616">
        <v>28.65</v>
      </c>
      <c r="BV616">
        <v>11.33</v>
      </c>
      <c r="BW616">
        <v>8.59</v>
      </c>
      <c r="BX616">
        <v>23.39</v>
      </c>
      <c r="BY616">
        <v>31.75</v>
      </c>
      <c r="BZ616">
        <v>27.19</v>
      </c>
      <c r="CA616">
        <v>0.19</v>
      </c>
      <c r="CB616">
        <v>-0.01</v>
      </c>
      <c r="CC616">
        <v>0.19</v>
      </c>
      <c r="CD616">
        <v>0.11</v>
      </c>
      <c r="CE616">
        <v>0.12</v>
      </c>
      <c r="CF616">
        <v>0.08</v>
      </c>
      <c r="CG616">
        <v>-1.74</v>
      </c>
      <c r="CH616">
        <v>0.48</v>
      </c>
      <c r="CI616">
        <v>0.01</v>
      </c>
      <c r="CJ616">
        <v>42815</v>
      </c>
      <c r="CK616">
        <v>9246</v>
      </c>
      <c r="CL616" t="s">
        <v>3239</v>
      </c>
      <c r="CM616">
        <v>-56.79</v>
      </c>
      <c r="CN616">
        <v>7.79</v>
      </c>
      <c r="CO616">
        <v>0.79</v>
      </c>
      <c r="CP616">
        <v>49.99</v>
      </c>
      <c r="CQ616">
        <v>0.75</v>
      </c>
      <c r="CR616">
        <v>0</v>
      </c>
      <c r="CS616" t="s">
        <v>3943</v>
      </c>
      <c r="CT616">
        <v>3.79</v>
      </c>
      <c r="CU616">
        <v>0</v>
      </c>
      <c r="CV616">
        <v>2.94</v>
      </c>
      <c r="CW616">
        <v>-0.22</v>
      </c>
      <c r="CX616">
        <v>0.06</v>
      </c>
      <c r="CY616">
        <v>48.05</v>
      </c>
      <c r="CZ616" t="s">
        <v>3944</v>
      </c>
      <c r="DA616">
        <v>14.37</v>
      </c>
      <c r="DB616">
        <v>0.6</v>
      </c>
      <c r="DC616">
        <v>0.37</v>
      </c>
      <c r="DD616">
        <v>1.05</v>
      </c>
      <c r="DE616">
        <v>1456</v>
      </c>
      <c r="DF616">
        <v>2160</v>
      </c>
      <c r="DG616" t="s">
        <v>116</v>
      </c>
      <c r="DH616" t="s">
        <v>116</v>
      </c>
      <c r="DI616" t="s">
        <v>116</v>
      </c>
    </row>
    <row r="617" spans="1:113" x14ac:dyDescent="0.4">
      <c r="A617" t="str">
        <f>"002161"</f>
        <v>002161</v>
      </c>
      <c r="B617" t="s">
        <v>3945</v>
      </c>
      <c r="C617">
        <v>-4.38</v>
      </c>
      <c r="D617">
        <v>9.61</v>
      </c>
      <c r="E617">
        <v>-0.44</v>
      </c>
      <c r="F617">
        <v>9.61</v>
      </c>
      <c r="G617">
        <v>9.6199999999999992</v>
      </c>
      <c r="H617">
        <v>387242</v>
      </c>
      <c r="I617">
        <v>5255</v>
      </c>
      <c r="J617">
        <v>0</v>
      </c>
      <c r="K617">
        <v>5.54</v>
      </c>
      <c r="L617">
        <v>10.029999999999999</v>
      </c>
      <c r="M617">
        <v>10.050000000000001</v>
      </c>
      <c r="N617">
        <v>9.6</v>
      </c>
      <c r="O617">
        <v>10.050000000000001</v>
      </c>
      <c r="P617">
        <v>6.84</v>
      </c>
      <c r="Q617">
        <v>380644160</v>
      </c>
      <c r="R617">
        <v>1.04</v>
      </c>
      <c r="S617" t="s">
        <v>465</v>
      </c>
      <c r="T617" t="s">
        <v>115</v>
      </c>
      <c r="U617">
        <v>4.4800000000000004</v>
      </c>
      <c r="V617">
        <v>9.83</v>
      </c>
      <c r="W617">
        <v>235422</v>
      </c>
      <c r="X617">
        <v>151820</v>
      </c>
      <c r="Y617">
        <v>1.55</v>
      </c>
      <c r="Z617">
        <v>1082</v>
      </c>
      <c r="AA617">
        <v>1688</v>
      </c>
      <c r="AB617" t="s">
        <v>116</v>
      </c>
      <c r="AC617">
        <v>358100</v>
      </c>
      <c r="AD617">
        <v>0.01</v>
      </c>
      <c r="AE617" t="s">
        <v>116</v>
      </c>
      <c r="AF617" t="s">
        <v>116</v>
      </c>
      <c r="AG617">
        <v>6.99</v>
      </c>
      <c r="AH617" t="s">
        <v>3946</v>
      </c>
      <c r="AI617" t="s">
        <v>3947</v>
      </c>
      <c r="AJ617">
        <v>-3.7</v>
      </c>
      <c r="AK617">
        <v>4085</v>
      </c>
      <c r="AL617">
        <v>95</v>
      </c>
      <c r="AM617">
        <v>1.4E-3</v>
      </c>
      <c r="AN617">
        <v>-1</v>
      </c>
      <c r="AO617">
        <v>-2.04</v>
      </c>
      <c r="AP617">
        <v>6.54</v>
      </c>
      <c r="AQ617">
        <v>31.64</v>
      </c>
      <c r="AR617">
        <v>77.31</v>
      </c>
      <c r="AS617">
        <v>7.4</v>
      </c>
      <c r="AT617" t="s">
        <v>3948</v>
      </c>
      <c r="AU617">
        <v>10.56</v>
      </c>
      <c r="AV617" t="s">
        <v>116</v>
      </c>
      <c r="AW617">
        <v>1.34</v>
      </c>
      <c r="BA617">
        <v>-0.2</v>
      </c>
      <c r="BB617">
        <v>0</v>
      </c>
      <c r="BC617">
        <v>-4.4800000000000004</v>
      </c>
      <c r="BD617">
        <v>-2.19</v>
      </c>
      <c r="BE617">
        <v>-4.1900000000000004</v>
      </c>
      <c r="BF617">
        <v>-4.38</v>
      </c>
      <c r="BG617">
        <v>0.1</v>
      </c>
      <c r="BH617">
        <v>-2.19</v>
      </c>
      <c r="BI617">
        <v>20191205</v>
      </c>
      <c r="BJ617">
        <v>20070821</v>
      </c>
      <c r="BK617">
        <v>7.4</v>
      </c>
      <c r="BL617" t="s">
        <v>116</v>
      </c>
      <c r="BM617" t="s">
        <v>116</v>
      </c>
      <c r="BN617">
        <v>25.95</v>
      </c>
      <c r="BO617">
        <v>20.69</v>
      </c>
      <c r="BP617">
        <v>0.04</v>
      </c>
      <c r="BQ617">
        <v>20.09</v>
      </c>
      <c r="BR617">
        <v>17.04</v>
      </c>
      <c r="BS617">
        <v>1.66</v>
      </c>
      <c r="BT617">
        <v>1.32</v>
      </c>
      <c r="BU617">
        <v>4.4400000000000004</v>
      </c>
      <c r="BV617">
        <v>2.5499999999999998</v>
      </c>
      <c r="BW617">
        <v>2.1</v>
      </c>
      <c r="BX617">
        <v>3.31</v>
      </c>
      <c r="BY617">
        <v>4.38</v>
      </c>
      <c r="BZ617">
        <v>2.4500000000000002</v>
      </c>
      <c r="CA617">
        <v>7.88</v>
      </c>
      <c r="CB617">
        <v>8.32</v>
      </c>
      <c r="CC617">
        <v>7.89</v>
      </c>
      <c r="CD617">
        <v>7.77</v>
      </c>
      <c r="CE617">
        <v>7.79</v>
      </c>
      <c r="CF617">
        <v>0.22</v>
      </c>
      <c r="CG617">
        <v>9.39</v>
      </c>
      <c r="CH617">
        <v>-0.74</v>
      </c>
      <c r="CI617">
        <v>-0.28999999999999998</v>
      </c>
      <c r="CJ617">
        <v>96904</v>
      </c>
      <c r="CK617">
        <v>5402</v>
      </c>
      <c r="CL617" t="s">
        <v>3949</v>
      </c>
      <c r="CM617">
        <v>1168.82</v>
      </c>
      <c r="CN617">
        <v>50.79</v>
      </c>
      <c r="CO617">
        <v>3.44</v>
      </c>
      <c r="CP617">
        <v>-96.43</v>
      </c>
      <c r="CQ617">
        <v>16.23</v>
      </c>
      <c r="CR617">
        <v>0</v>
      </c>
      <c r="CS617" t="s">
        <v>3950</v>
      </c>
      <c r="CT617">
        <v>2.8</v>
      </c>
      <c r="CU617">
        <v>0</v>
      </c>
      <c r="CV617">
        <v>0.45</v>
      </c>
      <c r="CW617">
        <v>1.27</v>
      </c>
      <c r="CX617">
        <v>-0.1</v>
      </c>
      <c r="CY617">
        <v>79.739999999999995</v>
      </c>
      <c r="CZ617" t="s">
        <v>3951</v>
      </c>
      <c r="DA617">
        <v>43.97</v>
      </c>
      <c r="DB617">
        <v>179.95</v>
      </c>
      <c r="DC617">
        <v>177.91</v>
      </c>
      <c r="DD617">
        <v>0.42</v>
      </c>
      <c r="DE617">
        <v>655</v>
      </c>
      <c r="DF617">
        <v>2161</v>
      </c>
      <c r="DG617" t="s">
        <v>116</v>
      </c>
      <c r="DH617" t="s">
        <v>116</v>
      </c>
      <c r="DI617" t="s">
        <v>116</v>
      </c>
    </row>
    <row r="618" spans="1:113" x14ac:dyDescent="0.4">
      <c r="A618" t="str">
        <f>"002162"</f>
        <v>002162</v>
      </c>
      <c r="B618" t="s">
        <v>3952</v>
      </c>
      <c r="C618">
        <v>-1.1200000000000001</v>
      </c>
      <c r="D618">
        <v>3.52</v>
      </c>
      <c r="E618">
        <v>-0.04</v>
      </c>
      <c r="F618">
        <v>3.52</v>
      </c>
      <c r="G618">
        <v>3.53</v>
      </c>
      <c r="H618">
        <v>46914</v>
      </c>
      <c r="I618">
        <v>808</v>
      </c>
      <c r="J618">
        <v>-0.27</v>
      </c>
      <c r="K618">
        <v>0.55000000000000004</v>
      </c>
      <c r="L618">
        <v>3.58</v>
      </c>
      <c r="M618">
        <v>3.58</v>
      </c>
      <c r="N618">
        <v>3.52</v>
      </c>
      <c r="O618">
        <v>3.56</v>
      </c>
      <c r="P618">
        <v>65.87</v>
      </c>
      <c r="Q618">
        <v>16669130</v>
      </c>
      <c r="R618">
        <v>1.22</v>
      </c>
      <c r="S618" t="s">
        <v>559</v>
      </c>
      <c r="T618" t="s">
        <v>1653</v>
      </c>
      <c r="U618">
        <v>1.69</v>
      </c>
      <c r="V618">
        <v>3.55</v>
      </c>
      <c r="W618">
        <v>26868</v>
      </c>
      <c r="X618">
        <v>20046</v>
      </c>
      <c r="Y618">
        <v>1.34</v>
      </c>
      <c r="Z618">
        <v>877</v>
      </c>
      <c r="AA618">
        <v>20</v>
      </c>
      <c r="AB618" t="s">
        <v>116</v>
      </c>
      <c r="AC618">
        <v>39700</v>
      </c>
      <c r="AD618">
        <v>0</v>
      </c>
      <c r="AE618" t="s">
        <v>116</v>
      </c>
      <c r="AF618" t="s">
        <v>116</v>
      </c>
      <c r="AG618">
        <v>8.5299999999999994</v>
      </c>
      <c r="AH618" t="s">
        <v>2132</v>
      </c>
      <c r="AI618" t="s">
        <v>3953</v>
      </c>
      <c r="AJ618">
        <v>-0.44</v>
      </c>
      <c r="AK618">
        <v>896</v>
      </c>
      <c r="AL618">
        <v>52</v>
      </c>
      <c r="AM618">
        <v>5.9999999999999995E-4</v>
      </c>
      <c r="AN618">
        <v>-1</v>
      </c>
      <c r="AO618">
        <v>0.56999999999999995</v>
      </c>
      <c r="AP618">
        <v>5.71</v>
      </c>
      <c r="AQ618">
        <v>10.69</v>
      </c>
      <c r="AR618">
        <v>23.94</v>
      </c>
      <c r="AS618">
        <v>1.2</v>
      </c>
      <c r="AT618" t="s">
        <v>3954</v>
      </c>
      <c r="AU618">
        <v>77.47</v>
      </c>
      <c r="AV618">
        <v>123.44</v>
      </c>
      <c r="AW618">
        <v>0.92</v>
      </c>
      <c r="BA618">
        <v>0.56000000000000005</v>
      </c>
      <c r="BB618">
        <v>0.56000000000000005</v>
      </c>
      <c r="BC618">
        <v>-1.1200000000000001</v>
      </c>
      <c r="BD618">
        <v>-0.19</v>
      </c>
      <c r="BE618">
        <v>-1.68</v>
      </c>
      <c r="BF618">
        <v>-1.68</v>
      </c>
      <c r="BG618">
        <v>0</v>
      </c>
      <c r="BH618">
        <v>-0.93</v>
      </c>
      <c r="BI618">
        <v>20191223</v>
      </c>
      <c r="BJ618">
        <v>20070823</v>
      </c>
      <c r="BK618">
        <v>8.5399999999999991</v>
      </c>
      <c r="BL618" t="s">
        <v>116</v>
      </c>
      <c r="BM618" t="s">
        <v>116</v>
      </c>
      <c r="BN618">
        <v>22.75</v>
      </c>
      <c r="BO618">
        <v>9.74</v>
      </c>
      <c r="BP618">
        <v>0.14000000000000001</v>
      </c>
      <c r="BQ618">
        <v>56.54</v>
      </c>
      <c r="BR618">
        <v>7.41</v>
      </c>
      <c r="BS618">
        <v>5.24</v>
      </c>
      <c r="BT618">
        <v>0.7</v>
      </c>
      <c r="BU618">
        <v>8.74</v>
      </c>
      <c r="BV618">
        <v>3.57</v>
      </c>
      <c r="BW618">
        <v>1.71</v>
      </c>
      <c r="BX618">
        <v>0.72</v>
      </c>
      <c r="BY618">
        <v>8.5</v>
      </c>
      <c r="BZ618">
        <v>5.57</v>
      </c>
      <c r="CA618">
        <v>0.41</v>
      </c>
      <c r="CB618">
        <v>0.06</v>
      </c>
      <c r="CC618">
        <v>0.4</v>
      </c>
      <c r="CD618">
        <v>0.33</v>
      </c>
      <c r="CE618">
        <v>0.34</v>
      </c>
      <c r="CF618">
        <v>0.24</v>
      </c>
      <c r="CG618">
        <v>-1.45</v>
      </c>
      <c r="CH618">
        <v>0.71</v>
      </c>
      <c r="CI618">
        <v>-0.88</v>
      </c>
      <c r="CJ618">
        <v>54766</v>
      </c>
      <c r="CK618">
        <v>7149</v>
      </c>
      <c r="CL618" t="s">
        <v>3955</v>
      </c>
      <c r="CM618">
        <v>73.06</v>
      </c>
      <c r="CN618">
        <v>21.4</v>
      </c>
      <c r="CO618">
        <v>3.09</v>
      </c>
      <c r="CP618">
        <v>42.36</v>
      </c>
      <c r="CQ618">
        <v>3.53</v>
      </c>
      <c r="CR618">
        <v>0</v>
      </c>
      <c r="CS618" t="s">
        <v>778</v>
      </c>
      <c r="CT618">
        <v>1.1399999999999999</v>
      </c>
      <c r="CU618">
        <v>0</v>
      </c>
      <c r="CV618">
        <v>0.08</v>
      </c>
      <c r="CW618">
        <v>-0.17</v>
      </c>
      <c r="CX618">
        <v>0.08</v>
      </c>
      <c r="CY618">
        <v>42.82</v>
      </c>
      <c r="CZ618" t="s">
        <v>938</v>
      </c>
      <c r="DA618">
        <v>34.51</v>
      </c>
      <c r="DB618">
        <v>4.8600000000000003</v>
      </c>
      <c r="DC618">
        <v>4.0199999999999996</v>
      </c>
      <c r="DD618">
        <v>0.06</v>
      </c>
      <c r="DE618">
        <v>931</v>
      </c>
      <c r="DF618">
        <v>2162</v>
      </c>
      <c r="DG618" t="s">
        <v>116</v>
      </c>
      <c r="DH618" t="s">
        <v>116</v>
      </c>
      <c r="DI618" t="s">
        <v>116</v>
      </c>
    </row>
    <row r="619" spans="1:113" x14ac:dyDescent="0.4">
      <c r="A619" t="str">
        <f>"002163"</f>
        <v>002163</v>
      </c>
      <c r="B619" t="s">
        <v>3956</v>
      </c>
      <c r="C619">
        <v>10.02</v>
      </c>
      <c r="D619">
        <v>5.16</v>
      </c>
      <c r="E619">
        <v>0.47</v>
      </c>
      <c r="F619">
        <v>5.16</v>
      </c>
      <c r="G619" t="s">
        <v>116</v>
      </c>
      <c r="H619">
        <v>28586</v>
      </c>
      <c r="I619">
        <v>88</v>
      </c>
      <c r="J619">
        <v>0</v>
      </c>
      <c r="K619">
        <v>0.36</v>
      </c>
      <c r="L619">
        <v>5.16</v>
      </c>
      <c r="M619">
        <v>5.16</v>
      </c>
      <c r="N619">
        <v>5.16</v>
      </c>
      <c r="O619">
        <v>4.6900000000000004</v>
      </c>
      <c r="P619">
        <v>756.77</v>
      </c>
      <c r="Q619">
        <v>14750376</v>
      </c>
      <c r="R619">
        <v>0.5</v>
      </c>
      <c r="S619" t="s">
        <v>3331</v>
      </c>
      <c r="T619" t="s">
        <v>115</v>
      </c>
      <c r="U619">
        <v>0</v>
      </c>
      <c r="V619">
        <v>5.16</v>
      </c>
      <c r="W619">
        <v>25244</v>
      </c>
      <c r="X619">
        <v>3342</v>
      </c>
      <c r="Y619">
        <v>7.55</v>
      </c>
      <c r="Z619">
        <v>125926</v>
      </c>
      <c r="AA619">
        <v>0</v>
      </c>
      <c r="AB619" t="s">
        <v>116</v>
      </c>
      <c r="AC619">
        <v>3403500</v>
      </c>
      <c r="AD619">
        <v>0.12</v>
      </c>
      <c r="AE619">
        <v>4.41</v>
      </c>
      <c r="AF619">
        <v>64977816</v>
      </c>
      <c r="AG619">
        <v>8.0299999999999994</v>
      </c>
      <c r="AH619" t="s">
        <v>3957</v>
      </c>
      <c r="AI619" t="s">
        <v>3957</v>
      </c>
      <c r="AJ619">
        <v>10.7</v>
      </c>
      <c r="AK619">
        <v>478</v>
      </c>
      <c r="AL619">
        <v>60</v>
      </c>
      <c r="AM619">
        <v>6.9999999999999999E-4</v>
      </c>
      <c r="AN619">
        <v>2</v>
      </c>
      <c r="AO619">
        <v>9.08</v>
      </c>
      <c r="AP619">
        <v>15.7</v>
      </c>
      <c r="AQ619">
        <v>12.91</v>
      </c>
      <c r="AR619">
        <v>2.79</v>
      </c>
      <c r="AS619">
        <v>0.5</v>
      </c>
      <c r="AT619" t="s">
        <v>3958</v>
      </c>
      <c r="AU619">
        <v>49.69</v>
      </c>
      <c r="AV619">
        <v>127</v>
      </c>
      <c r="AW619">
        <v>0.84</v>
      </c>
      <c r="BA619">
        <v>10.02</v>
      </c>
      <c r="BB619">
        <v>10.02</v>
      </c>
      <c r="BC619">
        <v>10.02</v>
      </c>
      <c r="BD619">
        <v>10.02</v>
      </c>
      <c r="BE619">
        <v>0</v>
      </c>
      <c r="BF619">
        <v>0</v>
      </c>
      <c r="BG619">
        <v>0</v>
      </c>
      <c r="BH619">
        <v>0</v>
      </c>
      <c r="BI619">
        <v>20191204</v>
      </c>
      <c r="BJ619">
        <v>20070823</v>
      </c>
      <c r="BK619">
        <v>8.0399999999999991</v>
      </c>
      <c r="BL619" t="s">
        <v>116</v>
      </c>
      <c r="BM619" t="s">
        <v>116</v>
      </c>
      <c r="BN619">
        <v>46.27</v>
      </c>
      <c r="BO619">
        <v>6.85</v>
      </c>
      <c r="BP619">
        <v>2.77</v>
      </c>
      <c r="BQ619">
        <v>79.209999999999994</v>
      </c>
      <c r="BR619">
        <v>30.2</v>
      </c>
      <c r="BS619">
        <v>10.91</v>
      </c>
      <c r="BT619">
        <v>1.36</v>
      </c>
      <c r="BU619">
        <v>35.549999999999997</v>
      </c>
      <c r="BV619">
        <v>8.64</v>
      </c>
      <c r="BW619">
        <v>10.43</v>
      </c>
      <c r="BX619">
        <v>5.05</v>
      </c>
      <c r="BY619">
        <v>30.96</v>
      </c>
      <c r="BZ619">
        <v>27.3</v>
      </c>
      <c r="CA619">
        <v>0.14000000000000001</v>
      </c>
      <c r="CB619">
        <v>-0.49</v>
      </c>
      <c r="CC619">
        <v>0.34</v>
      </c>
      <c r="CD619">
        <v>0.2</v>
      </c>
      <c r="CE619">
        <v>0.04</v>
      </c>
      <c r="CF619">
        <v>-0.39</v>
      </c>
      <c r="CG619">
        <v>-6.87</v>
      </c>
      <c r="CH619">
        <v>0.51</v>
      </c>
      <c r="CI619">
        <v>-0.28000000000000003</v>
      </c>
      <c r="CJ619">
        <v>51104</v>
      </c>
      <c r="CK619">
        <v>11081</v>
      </c>
      <c r="CL619" t="s">
        <v>378</v>
      </c>
      <c r="CM619">
        <v>108.8</v>
      </c>
      <c r="CN619">
        <v>-7</v>
      </c>
      <c r="CO619">
        <v>6.05</v>
      </c>
      <c r="CP619">
        <v>82.07</v>
      </c>
      <c r="CQ619">
        <v>1.34</v>
      </c>
      <c r="CR619">
        <v>0</v>
      </c>
      <c r="CS619" t="s">
        <v>1701</v>
      </c>
      <c r="CT619">
        <v>0.85</v>
      </c>
      <c r="CU619">
        <v>0</v>
      </c>
      <c r="CV619">
        <v>0.63</v>
      </c>
      <c r="CW619">
        <v>-0.85</v>
      </c>
      <c r="CX619">
        <v>0.06</v>
      </c>
      <c r="CY619">
        <v>14.8</v>
      </c>
      <c r="CZ619" t="s">
        <v>3959</v>
      </c>
      <c r="DA619">
        <v>11.82</v>
      </c>
      <c r="DB619">
        <v>0.46</v>
      </c>
      <c r="DC619">
        <v>0.13</v>
      </c>
      <c r="DD619">
        <v>0.68</v>
      </c>
      <c r="DE619">
        <v>3840</v>
      </c>
      <c r="DF619">
        <v>2163</v>
      </c>
      <c r="DG619" t="s">
        <v>116</v>
      </c>
      <c r="DH619" t="s">
        <v>116</v>
      </c>
      <c r="DI619" t="s">
        <v>116</v>
      </c>
    </row>
    <row r="620" spans="1:113" x14ac:dyDescent="0.4">
      <c r="A620" t="str">
        <f>"002164"</f>
        <v>002164</v>
      </c>
      <c r="B620" t="s">
        <v>3960</v>
      </c>
      <c r="C620">
        <v>-0.26</v>
      </c>
      <c r="D620">
        <v>3.77</v>
      </c>
      <c r="E620">
        <v>-0.01</v>
      </c>
      <c r="F620">
        <v>3.77</v>
      </c>
      <c r="G620">
        <v>3.78</v>
      </c>
      <c r="H620">
        <v>47316</v>
      </c>
      <c r="I620">
        <v>148</v>
      </c>
      <c r="J620">
        <v>-0.25</v>
      </c>
      <c r="K620">
        <v>1.08</v>
      </c>
      <c r="L620">
        <v>3.79</v>
      </c>
      <c r="M620">
        <v>3.84</v>
      </c>
      <c r="N620">
        <v>3.77</v>
      </c>
      <c r="O620">
        <v>3.78</v>
      </c>
      <c r="P620">
        <v>22.87</v>
      </c>
      <c r="Q620">
        <v>18028212</v>
      </c>
      <c r="R620">
        <v>0.74</v>
      </c>
      <c r="S620" t="s">
        <v>397</v>
      </c>
      <c r="T620" t="s">
        <v>590</v>
      </c>
      <c r="U620">
        <v>1.85</v>
      </c>
      <c r="V620">
        <v>3.81</v>
      </c>
      <c r="W620">
        <v>24902</v>
      </c>
      <c r="X620">
        <v>22414</v>
      </c>
      <c r="Y620">
        <v>1.1100000000000001</v>
      </c>
      <c r="Z620">
        <v>993</v>
      </c>
      <c r="AA620">
        <v>682</v>
      </c>
      <c r="AB620" t="s">
        <v>116</v>
      </c>
      <c r="AC620">
        <v>9100</v>
      </c>
      <c r="AD620">
        <v>0</v>
      </c>
      <c r="AE620" t="s">
        <v>116</v>
      </c>
      <c r="AF620" t="s">
        <v>116</v>
      </c>
      <c r="AG620">
        <v>4.3600000000000003</v>
      </c>
      <c r="AH620" t="s">
        <v>3961</v>
      </c>
      <c r="AI620" t="s">
        <v>3962</v>
      </c>
      <c r="AJ620">
        <v>0.41</v>
      </c>
      <c r="AK620">
        <v>790</v>
      </c>
      <c r="AL620">
        <v>60</v>
      </c>
      <c r="AM620">
        <v>1.4E-3</v>
      </c>
      <c r="AN620">
        <v>-1</v>
      </c>
      <c r="AO620">
        <v>0.01</v>
      </c>
      <c r="AP620">
        <v>4.1399999999999997</v>
      </c>
      <c r="AQ620">
        <v>-7.37</v>
      </c>
      <c r="AR620">
        <v>39.630000000000003</v>
      </c>
      <c r="AS620">
        <v>1.82</v>
      </c>
      <c r="AT620" t="s">
        <v>3963</v>
      </c>
      <c r="AU620">
        <v>5.52</v>
      </c>
      <c r="AV620" t="s">
        <v>116</v>
      </c>
      <c r="AW620">
        <v>1.08</v>
      </c>
      <c r="BA620">
        <v>0.26</v>
      </c>
      <c r="BB620">
        <v>1.59</v>
      </c>
      <c r="BC620">
        <v>-0.26</v>
      </c>
      <c r="BD620">
        <v>0.8</v>
      </c>
      <c r="BE620">
        <v>-0.53</v>
      </c>
      <c r="BF620">
        <v>-1.82</v>
      </c>
      <c r="BG620">
        <v>0</v>
      </c>
      <c r="BH620">
        <v>-1.06</v>
      </c>
      <c r="BI620">
        <v>20191223</v>
      </c>
      <c r="BJ620">
        <v>20070823</v>
      </c>
      <c r="BK620">
        <v>6.99</v>
      </c>
      <c r="BL620" t="s">
        <v>116</v>
      </c>
      <c r="BM620" t="s">
        <v>116</v>
      </c>
      <c r="BN620">
        <v>17.239999999999998</v>
      </c>
      <c r="BO620">
        <v>6.63</v>
      </c>
      <c r="BP620">
        <v>0.01</v>
      </c>
      <c r="BQ620">
        <v>61.47</v>
      </c>
      <c r="BR620">
        <v>8.69</v>
      </c>
      <c r="BS620">
        <v>5.43</v>
      </c>
      <c r="BT620">
        <v>1.6</v>
      </c>
      <c r="BU620">
        <v>6.7</v>
      </c>
      <c r="BV620">
        <v>2.78</v>
      </c>
      <c r="BW620">
        <v>2.2200000000000002</v>
      </c>
      <c r="BX620">
        <v>23.46</v>
      </c>
      <c r="BY620">
        <v>7.1</v>
      </c>
      <c r="BZ620">
        <v>4.9000000000000004</v>
      </c>
      <c r="CA620">
        <v>1.1000000000000001</v>
      </c>
      <c r="CB620">
        <v>0.02</v>
      </c>
      <c r="CC620">
        <v>1.08</v>
      </c>
      <c r="CD620">
        <v>0.87</v>
      </c>
      <c r="CE620">
        <v>0.86</v>
      </c>
      <c r="CF620">
        <v>0.46</v>
      </c>
      <c r="CG620">
        <v>-24.28</v>
      </c>
      <c r="CH620">
        <v>0.81</v>
      </c>
      <c r="CI620">
        <v>-0.14000000000000001</v>
      </c>
      <c r="CJ620">
        <v>40920</v>
      </c>
      <c r="CK620">
        <v>6361</v>
      </c>
      <c r="CL620" t="s">
        <v>3363</v>
      </c>
      <c r="CM620">
        <v>102.71</v>
      </c>
      <c r="CN620">
        <v>-94.02</v>
      </c>
      <c r="CO620">
        <v>3.98</v>
      </c>
      <c r="CP620">
        <v>32.65</v>
      </c>
      <c r="CQ620">
        <v>3.72</v>
      </c>
      <c r="CR620">
        <v>0</v>
      </c>
      <c r="CS620" t="s">
        <v>868</v>
      </c>
      <c r="CT620">
        <v>0.95</v>
      </c>
      <c r="CU620">
        <v>0</v>
      </c>
      <c r="CV620">
        <v>3.36</v>
      </c>
      <c r="CW620">
        <v>-3.47</v>
      </c>
      <c r="CX620">
        <v>0.12</v>
      </c>
      <c r="CY620">
        <v>38.450000000000003</v>
      </c>
      <c r="CZ620" t="s">
        <v>3717</v>
      </c>
      <c r="DA620">
        <v>30.92</v>
      </c>
      <c r="DB620">
        <v>15.55</v>
      </c>
      <c r="DC620">
        <v>12.18</v>
      </c>
      <c r="DD620">
        <v>0.3</v>
      </c>
      <c r="DE620">
        <v>1428</v>
      </c>
      <c r="DF620">
        <v>2164</v>
      </c>
      <c r="DG620" t="s">
        <v>116</v>
      </c>
      <c r="DH620" t="s">
        <v>116</v>
      </c>
      <c r="DI620" t="s">
        <v>116</v>
      </c>
    </row>
    <row r="621" spans="1:113" x14ac:dyDescent="0.4">
      <c r="A621" t="str">
        <f>"002165"</f>
        <v>002165</v>
      </c>
      <c r="B621" t="s">
        <v>3964</v>
      </c>
      <c r="C621">
        <v>-0.7</v>
      </c>
      <c r="D621">
        <v>4.28</v>
      </c>
      <c r="E621">
        <v>-0.03</v>
      </c>
      <c r="F621">
        <v>4.28</v>
      </c>
      <c r="G621">
        <v>4.29</v>
      </c>
      <c r="H621">
        <v>27312</v>
      </c>
      <c r="I621">
        <v>109</v>
      </c>
      <c r="J621">
        <v>0</v>
      </c>
      <c r="K621">
        <v>0.46</v>
      </c>
      <c r="L621">
        <v>4.33</v>
      </c>
      <c r="M621">
        <v>4.3499999999999996</v>
      </c>
      <c r="N621">
        <v>4.28</v>
      </c>
      <c r="O621">
        <v>4.3099999999999996</v>
      </c>
      <c r="P621">
        <v>29.34</v>
      </c>
      <c r="Q621">
        <v>11767963</v>
      </c>
      <c r="R621">
        <v>0.96</v>
      </c>
      <c r="S621" t="s">
        <v>891</v>
      </c>
      <c r="T621" t="s">
        <v>323</v>
      </c>
      <c r="U621">
        <v>1.62</v>
      </c>
      <c r="V621">
        <v>4.3099999999999996</v>
      </c>
      <c r="W621">
        <v>15943</v>
      </c>
      <c r="X621">
        <v>11369</v>
      </c>
      <c r="Y621">
        <v>1.4</v>
      </c>
      <c r="Z621">
        <v>1064</v>
      </c>
      <c r="AA621">
        <v>566</v>
      </c>
      <c r="AB621" t="s">
        <v>116</v>
      </c>
      <c r="AC621">
        <v>48900</v>
      </c>
      <c r="AD621">
        <v>0</v>
      </c>
      <c r="AE621" t="s">
        <v>116</v>
      </c>
      <c r="AF621" t="s">
        <v>116</v>
      </c>
      <c r="AG621">
        <v>5.93</v>
      </c>
      <c r="AH621" t="s">
        <v>2353</v>
      </c>
      <c r="AI621" t="s">
        <v>3123</v>
      </c>
      <c r="AJ621">
        <v>-0.02</v>
      </c>
      <c r="AK621">
        <v>787</v>
      </c>
      <c r="AL621">
        <v>35</v>
      </c>
      <c r="AM621">
        <v>5.9999999999999995E-4</v>
      </c>
      <c r="AN621">
        <v>-1</v>
      </c>
      <c r="AO621">
        <v>-0.46</v>
      </c>
      <c r="AP621">
        <v>5.42</v>
      </c>
      <c r="AQ621">
        <v>-6.14</v>
      </c>
      <c r="AR621">
        <v>25.51</v>
      </c>
      <c r="AS621">
        <v>0.66</v>
      </c>
      <c r="AT621" t="s">
        <v>3965</v>
      </c>
      <c r="AU621">
        <v>36.590000000000003</v>
      </c>
      <c r="AV621">
        <v>88.62</v>
      </c>
      <c r="AW621">
        <v>1</v>
      </c>
      <c r="BA621">
        <v>0.46</v>
      </c>
      <c r="BB621">
        <v>0.93</v>
      </c>
      <c r="BC621">
        <v>-0.7</v>
      </c>
      <c r="BD621">
        <v>-0.03</v>
      </c>
      <c r="BE621">
        <v>-1.1499999999999999</v>
      </c>
      <c r="BF621">
        <v>-1.61</v>
      </c>
      <c r="BG621">
        <v>0</v>
      </c>
      <c r="BH621">
        <v>-0.67</v>
      </c>
      <c r="BI621">
        <v>20191225</v>
      </c>
      <c r="BJ621">
        <v>20070913</v>
      </c>
      <c r="BK621">
        <v>6.02</v>
      </c>
      <c r="BL621" t="s">
        <v>116</v>
      </c>
      <c r="BM621" t="s">
        <v>116</v>
      </c>
      <c r="BN621">
        <v>40.69</v>
      </c>
      <c r="BO621">
        <v>15.43</v>
      </c>
      <c r="BP621">
        <v>0.08</v>
      </c>
      <c r="BQ621">
        <v>61.89</v>
      </c>
      <c r="BR621">
        <v>18.3</v>
      </c>
      <c r="BS621">
        <v>6.02</v>
      </c>
      <c r="BT621">
        <v>2.3199999999999998</v>
      </c>
      <c r="BU621">
        <v>19.010000000000002</v>
      </c>
      <c r="BV621">
        <v>2.75</v>
      </c>
      <c r="BW621">
        <v>3.48</v>
      </c>
      <c r="BX621">
        <v>2.98</v>
      </c>
      <c r="BY621">
        <v>18</v>
      </c>
      <c r="BZ621">
        <v>14.3</v>
      </c>
      <c r="CA621">
        <v>0.84</v>
      </c>
      <c r="CB621">
        <v>0.02</v>
      </c>
      <c r="CC621">
        <v>0.84</v>
      </c>
      <c r="CD621">
        <v>0.66</v>
      </c>
      <c r="CE621">
        <v>0.66</v>
      </c>
      <c r="CF621">
        <v>0.6</v>
      </c>
      <c r="CG621">
        <v>5.57</v>
      </c>
      <c r="CH621">
        <v>-1.23</v>
      </c>
      <c r="CI621">
        <v>0.61</v>
      </c>
      <c r="CJ621">
        <v>34000</v>
      </c>
      <c r="CK621">
        <v>12173</v>
      </c>
      <c r="CL621" t="s">
        <v>2325</v>
      </c>
      <c r="CM621">
        <v>168.5</v>
      </c>
      <c r="CN621">
        <v>-4.41</v>
      </c>
      <c r="CO621">
        <v>1.67</v>
      </c>
      <c r="CP621">
        <v>-20.9</v>
      </c>
      <c r="CQ621">
        <v>1.43</v>
      </c>
      <c r="CR621">
        <v>0.93</v>
      </c>
      <c r="CS621" t="s">
        <v>3966</v>
      </c>
      <c r="CT621">
        <v>2.56</v>
      </c>
      <c r="CU621">
        <v>0</v>
      </c>
      <c r="CV621">
        <v>0.5</v>
      </c>
      <c r="CW621">
        <v>0.93</v>
      </c>
      <c r="CX621">
        <v>-0.2</v>
      </c>
      <c r="CY621">
        <v>37.92</v>
      </c>
      <c r="CZ621" t="s">
        <v>1183</v>
      </c>
      <c r="DA621">
        <v>20.57</v>
      </c>
      <c r="DB621">
        <v>4.6900000000000004</v>
      </c>
      <c r="DC621">
        <v>3.66</v>
      </c>
      <c r="DD621">
        <v>0.41</v>
      </c>
      <c r="DE621">
        <v>1178</v>
      </c>
      <c r="DF621">
        <v>2165</v>
      </c>
      <c r="DG621" t="s">
        <v>116</v>
      </c>
      <c r="DH621" t="s">
        <v>116</v>
      </c>
      <c r="DI621" t="s">
        <v>116</v>
      </c>
    </row>
    <row r="622" spans="1:113" x14ac:dyDescent="0.4">
      <c r="A622" t="str">
        <f>"002166"</f>
        <v>002166</v>
      </c>
      <c r="B622" t="s">
        <v>3967</v>
      </c>
      <c r="C622">
        <v>-0.95</v>
      </c>
      <c r="D622">
        <v>7.28</v>
      </c>
      <c r="E622">
        <v>-7.0000000000000007E-2</v>
      </c>
      <c r="F622">
        <v>7.27</v>
      </c>
      <c r="G622">
        <v>7.28</v>
      </c>
      <c r="H622">
        <v>47311</v>
      </c>
      <c r="I622">
        <v>393</v>
      </c>
      <c r="J622">
        <v>0</v>
      </c>
      <c r="K622">
        <v>1.07</v>
      </c>
      <c r="L622">
        <v>7.37</v>
      </c>
      <c r="M622">
        <v>7.39</v>
      </c>
      <c r="N622">
        <v>7.27</v>
      </c>
      <c r="O622">
        <v>7.35</v>
      </c>
      <c r="P622">
        <v>48.87</v>
      </c>
      <c r="Q622">
        <v>34699784</v>
      </c>
      <c r="R622">
        <v>0.84</v>
      </c>
      <c r="S622" t="s">
        <v>781</v>
      </c>
      <c r="T622" t="s">
        <v>982</v>
      </c>
      <c r="U622">
        <v>1.63</v>
      </c>
      <c r="V622">
        <v>7.33</v>
      </c>
      <c r="W622">
        <v>31405</v>
      </c>
      <c r="X622">
        <v>15906</v>
      </c>
      <c r="Y622">
        <v>1.97</v>
      </c>
      <c r="Z622">
        <v>588</v>
      </c>
      <c r="AA622">
        <v>152</v>
      </c>
      <c r="AB622" t="s">
        <v>116</v>
      </c>
      <c r="AC622">
        <v>0</v>
      </c>
      <c r="AD622">
        <v>0</v>
      </c>
      <c r="AE622" t="s">
        <v>116</v>
      </c>
      <c r="AF622" t="s">
        <v>116</v>
      </c>
      <c r="AG622">
        <v>4.4400000000000004</v>
      </c>
      <c r="AH622" t="s">
        <v>3968</v>
      </c>
      <c r="AI622" t="s">
        <v>3969</v>
      </c>
      <c r="AJ622">
        <v>-0.27</v>
      </c>
      <c r="AK622">
        <v>1260</v>
      </c>
      <c r="AL622">
        <v>38</v>
      </c>
      <c r="AM622">
        <v>8.0000000000000004E-4</v>
      </c>
      <c r="AN622">
        <v>-2</v>
      </c>
      <c r="AO622">
        <v>0.84</v>
      </c>
      <c r="AP622">
        <v>5.05</v>
      </c>
      <c r="AQ622">
        <v>0.97</v>
      </c>
      <c r="AR622">
        <v>31.33</v>
      </c>
      <c r="AS622">
        <v>1.33</v>
      </c>
      <c r="AT622" t="s">
        <v>1797</v>
      </c>
      <c r="AU622">
        <v>61.11</v>
      </c>
      <c r="AV622">
        <v>50.39</v>
      </c>
      <c r="AW622">
        <v>0.75</v>
      </c>
      <c r="BA622">
        <v>0.27</v>
      </c>
      <c r="BB622">
        <v>0.54</v>
      </c>
      <c r="BC622">
        <v>-1.0900000000000001</v>
      </c>
      <c r="BD622">
        <v>-0.21</v>
      </c>
      <c r="BE622">
        <v>-1.22</v>
      </c>
      <c r="BF622">
        <v>-1.49</v>
      </c>
      <c r="BG622">
        <v>0.14000000000000001</v>
      </c>
      <c r="BH622">
        <v>-0.74</v>
      </c>
      <c r="BI622">
        <v>20191030</v>
      </c>
      <c r="BJ622">
        <v>20070913</v>
      </c>
      <c r="BK622">
        <v>5.65</v>
      </c>
      <c r="BL622" t="s">
        <v>116</v>
      </c>
      <c r="BM622" t="s">
        <v>116</v>
      </c>
      <c r="BN622">
        <v>24.51</v>
      </c>
      <c r="BO622">
        <v>16.2</v>
      </c>
      <c r="BP622">
        <v>0</v>
      </c>
      <c r="BQ622">
        <v>33.93</v>
      </c>
      <c r="BR622">
        <v>16.32</v>
      </c>
      <c r="BS622">
        <v>5.59</v>
      </c>
      <c r="BT622">
        <v>0.51</v>
      </c>
      <c r="BU622">
        <v>7</v>
      </c>
      <c r="BV622">
        <v>10.87</v>
      </c>
      <c r="BW622">
        <v>0.83</v>
      </c>
      <c r="BX622">
        <v>6.04</v>
      </c>
      <c r="BY622">
        <v>3.91</v>
      </c>
      <c r="BZ622">
        <v>2.56</v>
      </c>
      <c r="CA622">
        <v>0.74</v>
      </c>
      <c r="CB622">
        <v>0.09</v>
      </c>
      <c r="CC622">
        <v>0.74</v>
      </c>
      <c r="CD622">
        <v>0.63</v>
      </c>
      <c r="CE622">
        <v>0.63</v>
      </c>
      <c r="CF622">
        <v>0.56000000000000005</v>
      </c>
      <c r="CG622">
        <v>4.0199999999999996</v>
      </c>
      <c r="CH622">
        <v>-0.78</v>
      </c>
      <c r="CI622">
        <v>3.44</v>
      </c>
      <c r="CJ622">
        <v>59071</v>
      </c>
      <c r="CK622">
        <v>6029</v>
      </c>
      <c r="CL622" t="s">
        <v>2055</v>
      </c>
      <c r="CM622">
        <v>-18.489999999999998</v>
      </c>
      <c r="CN622">
        <v>-14.23</v>
      </c>
      <c r="CO622">
        <v>2.54</v>
      </c>
      <c r="CP622">
        <v>-52.76</v>
      </c>
      <c r="CQ622">
        <v>10.53</v>
      </c>
      <c r="CR622">
        <v>0.69</v>
      </c>
      <c r="CS622" t="s">
        <v>505</v>
      </c>
      <c r="CT622">
        <v>2.87</v>
      </c>
      <c r="CU622">
        <v>0</v>
      </c>
      <c r="CV622">
        <v>1.07</v>
      </c>
      <c r="CW622">
        <v>0.71</v>
      </c>
      <c r="CX622">
        <v>-0.14000000000000001</v>
      </c>
      <c r="CY622">
        <v>66.08</v>
      </c>
      <c r="CZ622" t="s">
        <v>3754</v>
      </c>
      <c r="DA622">
        <v>34.43</v>
      </c>
      <c r="DB622">
        <v>18.98</v>
      </c>
      <c r="DC622">
        <v>16.170000000000002</v>
      </c>
      <c r="DD622">
        <v>0.08</v>
      </c>
      <c r="DE622">
        <v>513</v>
      </c>
      <c r="DF622">
        <v>2166</v>
      </c>
      <c r="DG622" t="s">
        <v>116</v>
      </c>
      <c r="DH622" t="s">
        <v>116</v>
      </c>
      <c r="DI622" t="s">
        <v>116</v>
      </c>
    </row>
    <row r="623" spans="1:113" x14ac:dyDescent="0.4">
      <c r="A623" t="str">
        <f>"002167"</f>
        <v>002167</v>
      </c>
      <c r="B623" t="s">
        <v>3970</v>
      </c>
      <c r="C623">
        <v>0.87</v>
      </c>
      <c r="D623">
        <v>6.97</v>
      </c>
      <c r="E623">
        <v>0.06</v>
      </c>
      <c r="F623">
        <v>6.96</v>
      </c>
      <c r="G623">
        <v>6.97</v>
      </c>
      <c r="H623">
        <v>136017</v>
      </c>
      <c r="I623">
        <v>2322</v>
      </c>
      <c r="J623">
        <v>-0.28000000000000003</v>
      </c>
      <c r="K623">
        <v>2.2000000000000002</v>
      </c>
      <c r="L623">
        <v>6.98</v>
      </c>
      <c r="M623">
        <v>7.19</v>
      </c>
      <c r="N623">
        <v>6.91</v>
      </c>
      <c r="O623">
        <v>6.91</v>
      </c>
      <c r="P623">
        <v>409.8</v>
      </c>
      <c r="Q623">
        <v>95848232</v>
      </c>
      <c r="R623">
        <v>1.82</v>
      </c>
      <c r="S623" t="s">
        <v>1509</v>
      </c>
      <c r="T623" t="s">
        <v>551</v>
      </c>
      <c r="U623">
        <v>4.05</v>
      </c>
      <c r="V623">
        <v>7.05</v>
      </c>
      <c r="W623">
        <v>63905</v>
      </c>
      <c r="X623">
        <v>72112</v>
      </c>
      <c r="Y623">
        <v>0.89</v>
      </c>
      <c r="Z623">
        <v>373</v>
      </c>
      <c r="AA623">
        <v>433</v>
      </c>
      <c r="AB623" t="s">
        <v>116</v>
      </c>
      <c r="AC623">
        <v>425800</v>
      </c>
      <c r="AD623">
        <v>0.01</v>
      </c>
      <c r="AE623" t="s">
        <v>116</v>
      </c>
      <c r="AF623" t="s">
        <v>116</v>
      </c>
      <c r="AG623">
        <v>6.19</v>
      </c>
      <c r="AH623" t="s">
        <v>3971</v>
      </c>
      <c r="AI623" t="s">
        <v>3972</v>
      </c>
      <c r="AJ623">
        <v>1.55</v>
      </c>
      <c r="AK623">
        <v>2366</v>
      </c>
      <c r="AL623">
        <v>57</v>
      </c>
      <c r="AM623">
        <v>8.9999999999999998E-4</v>
      </c>
      <c r="AN623">
        <v>4</v>
      </c>
      <c r="AO623">
        <v>2.96</v>
      </c>
      <c r="AP623">
        <v>7.89</v>
      </c>
      <c r="AQ623">
        <v>8.91</v>
      </c>
      <c r="AR623">
        <v>32.01</v>
      </c>
      <c r="AS623">
        <v>3</v>
      </c>
      <c r="AT623" t="s">
        <v>3444</v>
      </c>
      <c r="AU623">
        <v>1250.54</v>
      </c>
      <c r="AV623">
        <v>407.23</v>
      </c>
      <c r="AW623">
        <v>0.35</v>
      </c>
      <c r="BA623">
        <v>1.01</v>
      </c>
      <c r="BB623">
        <v>4.05</v>
      </c>
      <c r="BC623">
        <v>0</v>
      </c>
      <c r="BD623">
        <v>1.98</v>
      </c>
      <c r="BE623">
        <v>-0.14000000000000001</v>
      </c>
      <c r="BF623">
        <v>-3.06</v>
      </c>
      <c r="BG623">
        <v>0.87</v>
      </c>
      <c r="BH623">
        <v>-1.1100000000000001</v>
      </c>
      <c r="BI623">
        <v>20191031</v>
      </c>
      <c r="BJ623">
        <v>20070913</v>
      </c>
      <c r="BK623">
        <v>6.21</v>
      </c>
      <c r="BL623" t="s">
        <v>116</v>
      </c>
      <c r="BM623" t="s">
        <v>116</v>
      </c>
      <c r="BN623">
        <v>23.52</v>
      </c>
      <c r="BO623">
        <v>10.49</v>
      </c>
      <c r="BP623">
        <v>-0.38</v>
      </c>
      <c r="BQ623">
        <v>56.99</v>
      </c>
      <c r="BR623">
        <v>6.31</v>
      </c>
      <c r="BS623">
        <v>8.1</v>
      </c>
      <c r="BT623">
        <v>5.43</v>
      </c>
      <c r="BU623">
        <v>11.21</v>
      </c>
      <c r="BV623">
        <v>4.07</v>
      </c>
      <c r="BW623">
        <v>1.08</v>
      </c>
      <c r="BX623">
        <v>5.98</v>
      </c>
      <c r="BY623">
        <v>3.35</v>
      </c>
      <c r="BZ623">
        <v>2.35</v>
      </c>
      <c r="CA623">
        <v>0.1</v>
      </c>
      <c r="CB623">
        <v>0.18</v>
      </c>
      <c r="CC623">
        <v>0.1</v>
      </c>
      <c r="CD623">
        <v>0.08</v>
      </c>
      <c r="CE623">
        <v>0.08</v>
      </c>
      <c r="CF623">
        <v>0.05</v>
      </c>
      <c r="CG623">
        <v>-1.24</v>
      </c>
      <c r="CH623">
        <v>0.76</v>
      </c>
      <c r="CI623">
        <v>-0.75</v>
      </c>
      <c r="CJ623">
        <v>52776</v>
      </c>
      <c r="CK623">
        <v>8600</v>
      </c>
      <c r="CL623" t="s">
        <v>3973</v>
      </c>
      <c r="CM623">
        <v>-47.5</v>
      </c>
      <c r="CN623">
        <v>-20.65</v>
      </c>
      <c r="CO623">
        <v>4.12</v>
      </c>
      <c r="CP623">
        <v>56.75</v>
      </c>
      <c r="CQ623">
        <v>12.9</v>
      </c>
      <c r="CR623">
        <v>0</v>
      </c>
      <c r="CS623" t="s">
        <v>910</v>
      </c>
      <c r="CT623">
        <v>1.69</v>
      </c>
      <c r="CU623">
        <v>0</v>
      </c>
      <c r="CV623">
        <v>0.96</v>
      </c>
      <c r="CW623">
        <v>-0.2</v>
      </c>
      <c r="CX623">
        <v>0.12</v>
      </c>
      <c r="CY623">
        <v>44.62</v>
      </c>
      <c r="CZ623" t="s">
        <v>3974</v>
      </c>
      <c r="DA623">
        <v>29.99</v>
      </c>
      <c r="DB623">
        <v>3.05</v>
      </c>
      <c r="DC623">
        <v>2.36</v>
      </c>
      <c r="DD623">
        <v>7.0000000000000007E-2</v>
      </c>
      <c r="DE623">
        <v>878</v>
      </c>
      <c r="DF623">
        <v>2167</v>
      </c>
      <c r="DG623" t="s">
        <v>116</v>
      </c>
      <c r="DH623" t="s">
        <v>116</v>
      </c>
      <c r="DI623" t="s">
        <v>116</v>
      </c>
    </row>
    <row r="624" spans="1:113" x14ac:dyDescent="0.4">
      <c r="A624" t="str">
        <f>"002168"</f>
        <v>002168</v>
      </c>
      <c r="B624" t="s">
        <v>3975</v>
      </c>
      <c r="C624">
        <v>-0.74</v>
      </c>
      <c r="D624">
        <v>8.07</v>
      </c>
      <c r="E624">
        <v>-0.06</v>
      </c>
      <c r="F624">
        <v>8.06</v>
      </c>
      <c r="G624">
        <v>8.07</v>
      </c>
      <c r="H624">
        <v>63720</v>
      </c>
      <c r="I624">
        <v>793</v>
      </c>
      <c r="J624">
        <v>-0.11</v>
      </c>
      <c r="K624">
        <v>0.8</v>
      </c>
      <c r="L624">
        <v>8.15</v>
      </c>
      <c r="M624">
        <v>8.2200000000000006</v>
      </c>
      <c r="N624">
        <v>8.07</v>
      </c>
      <c r="O624">
        <v>8.1300000000000008</v>
      </c>
      <c r="P624">
        <v>49.74</v>
      </c>
      <c r="Q624">
        <v>51966860</v>
      </c>
      <c r="R624">
        <v>1.03</v>
      </c>
      <c r="S624" t="s">
        <v>1384</v>
      </c>
      <c r="T624" t="s">
        <v>115</v>
      </c>
      <c r="U624">
        <v>1.85</v>
      </c>
      <c r="V624">
        <v>8.16</v>
      </c>
      <c r="W624">
        <v>39040</v>
      </c>
      <c r="X624">
        <v>24680</v>
      </c>
      <c r="Y624">
        <v>1.58</v>
      </c>
      <c r="Z624">
        <v>600</v>
      </c>
      <c r="AA624">
        <v>586</v>
      </c>
      <c r="AB624" t="s">
        <v>116</v>
      </c>
      <c r="AC624">
        <v>69300</v>
      </c>
      <c r="AD624">
        <v>0</v>
      </c>
      <c r="AE624" t="s">
        <v>116</v>
      </c>
      <c r="AF624" t="s">
        <v>116</v>
      </c>
      <c r="AG624">
        <v>7.95</v>
      </c>
      <c r="AH624" t="s">
        <v>3976</v>
      </c>
      <c r="AI624" t="s">
        <v>3977</v>
      </c>
      <c r="AJ624">
        <v>-0.06</v>
      </c>
      <c r="AK624">
        <v>1477</v>
      </c>
      <c r="AL624">
        <v>43</v>
      </c>
      <c r="AM624">
        <v>5.0000000000000001E-4</v>
      </c>
      <c r="AN624">
        <v>-1</v>
      </c>
      <c r="AO624">
        <v>-0.86</v>
      </c>
      <c r="AP624">
        <v>0.25</v>
      </c>
      <c r="AQ624">
        <v>-8.5</v>
      </c>
      <c r="AR624">
        <v>-18.399999999999999</v>
      </c>
      <c r="AS624">
        <v>1.1499999999999999</v>
      </c>
      <c r="AT624" t="s">
        <v>3978</v>
      </c>
      <c r="AU624">
        <v>59.8</v>
      </c>
      <c r="AV624">
        <v>19.239999999999998</v>
      </c>
      <c r="AW624">
        <v>1.25</v>
      </c>
      <c r="BA624">
        <v>0.25</v>
      </c>
      <c r="BB624">
        <v>1.1100000000000001</v>
      </c>
      <c r="BC624">
        <v>-0.74</v>
      </c>
      <c r="BD624">
        <v>0.31</v>
      </c>
      <c r="BE624">
        <v>-0.98</v>
      </c>
      <c r="BF624">
        <v>-1.82</v>
      </c>
      <c r="BG624">
        <v>0</v>
      </c>
      <c r="BH624">
        <v>-1.05</v>
      </c>
      <c r="BI624">
        <v>20191029</v>
      </c>
      <c r="BJ624">
        <v>20070919</v>
      </c>
      <c r="BK624">
        <v>8.02</v>
      </c>
      <c r="BL624" t="s">
        <v>116</v>
      </c>
      <c r="BM624" t="s">
        <v>116</v>
      </c>
      <c r="BN624">
        <v>37.19</v>
      </c>
      <c r="BO624">
        <v>18.96</v>
      </c>
      <c r="BP624">
        <v>1.67</v>
      </c>
      <c r="BQ624">
        <v>44.55</v>
      </c>
      <c r="BR624">
        <v>16.440000000000001</v>
      </c>
      <c r="BS624">
        <v>0.88</v>
      </c>
      <c r="BT624">
        <v>0.14000000000000001</v>
      </c>
      <c r="BU624">
        <v>15.51</v>
      </c>
      <c r="BV624">
        <v>0.62</v>
      </c>
      <c r="BW624">
        <v>3.52</v>
      </c>
      <c r="BX624">
        <v>3.68</v>
      </c>
      <c r="BY624">
        <v>6.77</v>
      </c>
      <c r="BZ624">
        <v>2.21</v>
      </c>
      <c r="CA624">
        <v>1.1399999999999999</v>
      </c>
      <c r="CB624">
        <v>7.0000000000000007E-2</v>
      </c>
      <c r="CC624">
        <v>1.1599999999999999</v>
      </c>
      <c r="CD624">
        <v>1.45</v>
      </c>
      <c r="CE624">
        <v>0.98</v>
      </c>
      <c r="CF624">
        <v>0.96</v>
      </c>
      <c r="CG624">
        <v>7.4</v>
      </c>
      <c r="CH624">
        <v>-2.3199999999999998</v>
      </c>
      <c r="CI624">
        <v>-4.2699999999999996</v>
      </c>
      <c r="CJ624">
        <v>50537</v>
      </c>
      <c r="CK624">
        <v>11003</v>
      </c>
      <c r="CL624" t="s">
        <v>3979</v>
      </c>
      <c r="CM624">
        <v>-70.040000000000006</v>
      </c>
      <c r="CN624">
        <v>-55.54</v>
      </c>
      <c r="CO624">
        <v>3.41</v>
      </c>
      <c r="CP624">
        <v>-27.91</v>
      </c>
      <c r="CQ624">
        <v>9.56</v>
      </c>
      <c r="CR624">
        <v>0</v>
      </c>
      <c r="CS624" t="s">
        <v>3604</v>
      </c>
      <c r="CT624">
        <v>2.36</v>
      </c>
      <c r="CU624">
        <v>0</v>
      </c>
      <c r="CV624">
        <v>0.46</v>
      </c>
      <c r="CW624">
        <v>0.92</v>
      </c>
      <c r="CX624">
        <v>-0.28999999999999998</v>
      </c>
      <c r="CY624">
        <v>50.97</v>
      </c>
      <c r="CZ624" t="s">
        <v>3980</v>
      </c>
      <c r="DA624">
        <v>67.33</v>
      </c>
      <c r="DB624">
        <v>16.84</v>
      </c>
      <c r="DC624">
        <v>14.42</v>
      </c>
      <c r="DD624">
        <v>0.51</v>
      </c>
      <c r="DE624">
        <v>876</v>
      </c>
      <c r="DF624">
        <v>2168</v>
      </c>
      <c r="DG624" t="s">
        <v>116</v>
      </c>
      <c r="DH624" t="s">
        <v>116</v>
      </c>
      <c r="DI624" t="s">
        <v>116</v>
      </c>
    </row>
    <row r="625" spans="1:113" x14ac:dyDescent="0.4">
      <c r="A625" t="str">
        <f>"002169"</f>
        <v>002169</v>
      </c>
      <c r="B625" t="s">
        <v>3981</v>
      </c>
      <c r="C625">
        <v>-1.79</v>
      </c>
      <c r="D625">
        <v>7.15</v>
      </c>
      <c r="E625">
        <v>-0.13</v>
      </c>
      <c r="F625">
        <v>7.15</v>
      </c>
      <c r="G625">
        <v>7.16</v>
      </c>
      <c r="H625">
        <v>321324</v>
      </c>
      <c r="I625">
        <v>3894</v>
      </c>
      <c r="J625">
        <v>-0.13</v>
      </c>
      <c r="K625">
        <v>4.2300000000000004</v>
      </c>
      <c r="L625">
        <v>7.28</v>
      </c>
      <c r="M625">
        <v>7.36</v>
      </c>
      <c r="N625">
        <v>7.13</v>
      </c>
      <c r="O625">
        <v>7.28</v>
      </c>
      <c r="P625">
        <v>96.71</v>
      </c>
      <c r="Q625">
        <v>232910944</v>
      </c>
      <c r="R625">
        <v>0.89</v>
      </c>
      <c r="S625" t="s">
        <v>397</v>
      </c>
      <c r="T625" t="s">
        <v>551</v>
      </c>
      <c r="U625">
        <v>3.16</v>
      </c>
      <c r="V625">
        <v>7.25</v>
      </c>
      <c r="W625">
        <v>174557</v>
      </c>
      <c r="X625">
        <v>146767</v>
      </c>
      <c r="Y625">
        <v>1.19</v>
      </c>
      <c r="Z625">
        <v>810</v>
      </c>
      <c r="AA625">
        <v>1344</v>
      </c>
      <c r="AB625" t="s">
        <v>116</v>
      </c>
      <c r="AC625">
        <v>2014400</v>
      </c>
      <c r="AD625">
        <v>0.05</v>
      </c>
      <c r="AE625" t="s">
        <v>116</v>
      </c>
      <c r="AF625" t="s">
        <v>116</v>
      </c>
      <c r="AG625">
        <v>7.6</v>
      </c>
      <c r="AH625" t="s">
        <v>3982</v>
      </c>
      <c r="AI625" t="s">
        <v>3983</v>
      </c>
      <c r="AJ625">
        <v>-1.1100000000000001</v>
      </c>
      <c r="AK625">
        <v>3615</v>
      </c>
      <c r="AL625">
        <v>89</v>
      </c>
      <c r="AM625">
        <v>1.1999999999999999E-3</v>
      </c>
      <c r="AN625">
        <v>-1</v>
      </c>
      <c r="AO625">
        <v>3.92</v>
      </c>
      <c r="AP625">
        <v>7.04</v>
      </c>
      <c r="AQ625">
        <v>-13.02</v>
      </c>
      <c r="AR625">
        <v>103.13</v>
      </c>
      <c r="AS625">
        <v>5.56</v>
      </c>
      <c r="AT625" t="s">
        <v>3984</v>
      </c>
      <c r="AU625">
        <v>144.49</v>
      </c>
      <c r="AV625">
        <v>71.37</v>
      </c>
      <c r="AW625">
        <v>1.84</v>
      </c>
      <c r="BA625">
        <v>0</v>
      </c>
      <c r="BB625">
        <v>1.1000000000000001</v>
      </c>
      <c r="BC625">
        <v>-2.06</v>
      </c>
      <c r="BD625">
        <v>-0.43</v>
      </c>
      <c r="BE625">
        <v>-1.79</v>
      </c>
      <c r="BF625">
        <v>-2.85</v>
      </c>
      <c r="BG625">
        <v>0.28000000000000003</v>
      </c>
      <c r="BH625">
        <v>-1.35</v>
      </c>
      <c r="BI625">
        <v>20191220</v>
      </c>
      <c r="BJ625">
        <v>20070919</v>
      </c>
      <c r="BK625">
        <v>7.88</v>
      </c>
      <c r="BL625" t="s">
        <v>116</v>
      </c>
      <c r="BM625" t="s">
        <v>116</v>
      </c>
      <c r="BN625">
        <v>55.24</v>
      </c>
      <c r="BO625">
        <v>27.1</v>
      </c>
      <c r="BP625">
        <v>2.5</v>
      </c>
      <c r="BQ625">
        <v>46.43</v>
      </c>
      <c r="BR625">
        <v>31.39</v>
      </c>
      <c r="BS625">
        <v>9.9499999999999993</v>
      </c>
      <c r="BT625">
        <v>5.15</v>
      </c>
      <c r="BU625">
        <v>18.91</v>
      </c>
      <c r="BV625">
        <v>6.33</v>
      </c>
      <c r="BW625">
        <v>13.97</v>
      </c>
      <c r="BX625">
        <v>15.42</v>
      </c>
      <c r="BY625">
        <v>16.03</v>
      </c>
      <c r="BZ625">
        <v>12.99</v>
      </c>
      <c r="CA625">
        <v>0.48</v>
      </c>
      <c r="CB625">
        <v>0.32</v>
      </c>
      <c r="CC625">
        <v>0.48</v>
      </c>
      <c r="CD625">
        <v>0.41</v>
      </c>
      <c r="CE625">
        <v>0.44</v>
      </c>
      <c r="CF625">
        <v>7.0000000000000007E-2</v>
      </c>
      <c r="CG625">
        <v>4.38</v>
      </c>
      <c r="CH625">
        <v>-7.0000000000000007E-2</v>
      </c>
      <c r="CI625">
        <v>-0.38</v>
      </c>
      <c r="CJ625">
        <v>58672</v>
      </c>
      <c r="CK625">
        <v>9844</v>
      </c>
      <c r="CL625" t="s">
        <v>1604</v>
      </c>
      <c r="CM625">
        <v>-47.76</v>
      </c>
      <c r="CN625">
        <v>-15.9</v>
      </c>
      <c r="CO625">
        <v>2.08</v>
      </c>
      <c r="CP625">
        <v>-815.33</v>
      </c>
      <c r="CQ625">
        <v>3.51</v>
      </c>
      <c r="CR625">
        <v>0.82</v>
      </c>
      <c r="CS625" t="s">
        <v>2069</v>
      </c>
      <c r="CT625">
        <v>3.44</v>
      </c>
      <c r="CU625">
        <v>0</v>
      </c>
      <c r="CV625">
        <v>1.96</v>
      </c>
      <c r="CW625">
        <v>0.56000000000000005</v>
      </c>
      <c r="CX625">
        <v>-0.01</v>
      </c>
      <c r="CY625">
        <v>49.05</v>
      </c>
      <c r="CZ625" t="s">
        <v>951</v>
      </c>
      <c r="DA625">
        <v>19</v>
      </c>
      <c r="DB625">
        <v>2.99</v>
      </c>
      <c r="DC625">
        <v>2.72</v>
      </c>
      <c r="DD625">
        <v>0.53</v>
      </c>
      <c r="DE625">
        <v>1810</v>
      </c>
      <c r="DF625">
        <v>2169</v>
      </c>
      <c r="DG625" t="s">
        <v>116</v>
      </c>
      <c r="DH625" t="s">
        <v>116</v>
      </c>
      <c r="DI625" t="s">
        <v>116</v>
      </c>
    </row>
    <row r="626" spans="1:113" x14ac:dyDescent="0.4">
      <c r="A626" t="str">
        <f>"002170"</f>
        <v>002170</v>
      </c>
      <c r="B626" t="s">
        <v>3985</v>
      </c>
      <c r="C626">
        <v>-0.31</v>
      </c>
      <c r="D626">
        <v>3.23</v>
      </c>
      <c r="E626">
        <v>-0.01</v>
      </c>
      <c r="F626">
        <v>3.23</v>
      </c>
      <c r="G626">
        <v>3.24</v>
      </c>
      <c r="H626">
        <v>70607</v>
      </c>
      <c r="I626">
        <v>484</v>
      </c>
      <c r="J626">
        <v>0</v>
      </c>
      <c r="K626">
        <v>1.02</v>
      </c>
      <c r="L626">
        <v>3.25</v>
      </c>
      <c r="M626">
        <v>3.27</v>
      </c>
      <c r="N626">
        <v>3.21</v>
      </c>
      <c r="O626">
        <v>3.24</v>
      </c>
      <c r="P626">
        <v>112.38</v>
      </c>
      <c r="Q626">
        <v>22870860</v>
      </c>
      <c r="R626">
        <v>1.07</v>
      </c>
      <c r="S626" t="s">
        <v>697</v>
      </c>
      <c r="T626" t="s">
        <v>115</v>
      </c>
      <c r="U626">
        <v>1.85</v>
      </c>
      <c r="V626">
        <v>3.24</v>
      </c>
      <c r="W626">
        <v>35215</v>
      </c>
      <c r="X626">
        <v>35392</v>
      </c>
      <c r="Y626">
        <v>0.99</v>
      </c>
      <c r="Z626">
        <v>81</v>
      </c>
      <c r="AA626">
        <v>940</v>
      </c>
      <c r="AB626" t="s">
        <v>116</v>
      </c>
      <c r="AC626">
        <v>65300</v>
      </c>
      <c r="AD626">
        <v>0</v>
      </c>
      <c r="AE626" t="s">
        <v>116</v>
      </c>
      <c r="AF626" t="s">
        <v>116</v>
      </c>
      <c r="AG626">
        <v>6.93</v>
      </c>
      <c r="AH626" t="s">
        <v>1227</v>
      </c>
      <c r="AI626" t="s">
        <v>1125</v>
      </c>
      <c r="AJ626">
        <v>0.37</v>
      </c>
      <c r="AK626">
        <v>809</v>
      </c>
      <c r="AL626">
        <v>87</v>
      </c>
      <c r="AM626">
        <v>1.2999999999999999E-3</v>
      </c>
      <c r="AN626">
        <v>-1</v>
      </c>
      <c r="AO626">
        <v>0.62</v>
      </c>
      <c r="AP626">
        <v>4.53</v>
      </c>
      <c r="AQ626">
        <v>2.87</v>
      </c>
      <c r="AR626">
        <v>10.62</v>
      </c>
      <c r="AS626">
        <v>1.35</v>
      </c>
      <c r="AT626" t="s">
        <v>3986</v>
      </c>
      <c r="AU626">
        <v>204.56</v>
      </c>
      <c r="AV626">
        <v>310.08999999999997</v>
      </c>
      <c r="AW626">
        <v>0.72</v>
      </c>
      <c r="BA626">
        <v>0.31</v>
      </c>
      <c r="BB626">
        <v>0.93</v>
      </c>
      <c r="BC626">
        <v>-0.93</v>
      </c>
      <c r="BD626">
        <v>-0.02</v>
      </c>
      <c r="BE626">
        <v>-0.62</v>
      </c>
      <c r="BF626">
        <v>-1.22</v>
      </c>
      <c r="BG626">
        <v>0.62</v>
      </c>
      <c r="BH626">
        <v>-0.28000000000000003</v>
      </c>
      <c r="BI626">
        <v>20191025</v>
      </c>
      <c r="BJ626">
        <v>20070919</v>
      </c>
      <c r="BK626">
        <v>8.8699999999999992</v>
      </c>
      <c r="BL626" t="s">
        <v>116</v>
      </c>
      <c r="BM626" t="s">
        <v>116</v>
      </c>
      <c r="BN626">
        <v>33.549999999999997</v>
      </c>
      <c r="BO626">
        <v>18.97</v>
      </c>
      <c r="BP626">
        <v>0.32</v>
      </c>
      <c r="BQ626">
        <v>42.48</v>
      </c>
      <c r="BR626">
        <v>7.97</v>
      </c>
      <c r="BS626">
        <v>11.96</v>
      </c>
      <c r="BT626">
        <v>3.33</v>
      </c>
      <c r="BU626">
        <v>11.52</v>
      </c>
      <c r="BV626">
        <v>2.59</v>
      </c>
      <c r="BW626">
        <v>1.43</v>
      </c>
      <c r="BX626">
        <v>4.84</v>
      </c>
      <c r="BY626">
        <v>15.68</v>
      </c>
      <c r="BZ626">
        <v>13.23</v>
      </c>
      <c r="CA626">
        <v>0.24</v>
      </c>
      <c r="CB626">
        <v>-0.04</v>
      </c>
      <c r="CC626">
        <v>0.22</v>
      </c>
      <c r="CD626">
        <v>0.17</v>
      </c>
      <c r="CE626">
        <v>0.19</v>
      </c>
      <c r="CF626">
        <v>0.16</v>
      </c>
      <c r="CG626">
        <v>4.2</v>
      </c>
      <c r="CH626">
        <v>5.25</v>
      </c>
      <c r="CI626">
        <v>0.73</v>
      </c>
      <c r="CJ626">
        <v>65602</v>
      </c>
      <c r="CK626">
        <v>7967</v>
      </c>
      <c r="CL626" t="s">
        <v>3987</v>
      </c>
      <c r="CM626">
        <v>33.21</v>
      </c>
      <c r="CN626">
        <v>-2.02</v>
      </c>
      <c r="CO626">
        <v>1.51</v>
      </c>
      <c r="CP626">
        <v>5.45</v>
      </c>
      <c r="CQ626">
        <v>1.83</v>
      </c>
      <c r="CR626">
        <v>0</v>
      </c>
      <c r="CS626" t="s">
        <v>3988</v>
      </c>
      <c r="CT626">
        <v>2.14</v>
      </c>
      <c r="CU626">
        <v>0</v>
      </c>
      <c r="CV626">
        <v>0.55000000000000004</v>
      </c>
      <c r="CW626">
        <v>0.47</v>
      </c>
      <c r="CX626">
        <v>0.59</v>
      </c>
      <c r="CY626">
        <v>56.55</v>
      </c>
      <c r="CZ626" t="s">
        <v>3989</v>
      </c>
      <c r="DA626">
        <v>15.61</v>
      </c>
      <c r="DB626">
        <v>1.53</v>
      </c>
      <c r="DC626">
        <v>1.22</v>
      </c>
      <c r="DD626">
        <v>0.23</v>
      </c>
      <c r="DE626">
        <v>2563</v>
      </c>
      <c r="DF626">
        <v>2170</v>
      </c>
      <c r="DG626" t="s">
        <v>116</v>
      </c>
      <c r="DH626" t="s">
        <v>116</v>
      </c>
      <c r="DI626" t="s">
        <v>116</v>
      </c>
    </row>
    <row r="627" spans="1:113" x14ac:dyDescent="0.4">
      <c r="A627" t="str">
        <f>"002171"</f>
        <v>002171</v>
      </c>
      <c r="B627" t="s">
        <v>3990</v>
      </c>
      <c r="C627">
        <v>-1.9</v>
      </c>
      <c r="D627">
        <v>7.23</v>
      </c>
      <c r="E627">
        <v>-0.14000000000000001</v>
      </c>
      <c r="F627">
        <v>7.23</v>
      </c>
      <c r="G627">
        <v>7.24</v>
      </c>
      <c r="H627">
        <v>244086</v>
      </c>
      <c r="I627">
        <v>1817</v>
      </c>
      <c r="J627">
        <v>0.28000000000000003</v>
      </c>
      <c r="K627">
        <v>2.31</v>
      </c>
      <c r="L627">
        <v>7.31</v>
      </c>
      <c r="M627">
        <v>7.44</v>
      </c>
      <c r="N627">
        <v>7.18</v>
      </c>
      <c r="O627">
        <v>7.37</v>
      </c>
      <c r="P627">
        <v>20.3</v>
      </c>
      <c r="Q627">
        <v>178178224</v>
      </c>
      <c r="R627">
        <v>0.91</v>
      </c>
      <c r="S627" t="s">
        <v>1517</v>
      </c>
      <c r="T627" t="s">
        <v>575</v>
      </c>
      <c r="U627">
        <v>3.53</v>
      </c>
      <c r="V627">
        <v>7.3</v>
      </c>
      <c r="W627">
        <v>140766</v>
      </c>
      <c r="X627">
        <v>103320</v>
      </c>
      <c r="Y627">
        <v>1.36</v>
      </c>
      <c r="Z627">
        <v>964</v>
      </c>
      <c r="AA627">
        <v>318</v>
      </c>
      <c r="AB627" t="s">
        <v>116</v>
      </c>
      <c r="AC627">
        <v>950300</v>
      </c>
      <c r="AD627">
        <v>0.02</v>
      </c>
      <c r="AE627" t="s">
        <v>116</v>
      </c>
      <c r="AF627" t="s">
        <v>116</v>
      </c>
      <c r="AG627">
        <v>10.55</v>
      </c>
      <c r="AH627" t="s">
        <v>3991</v>
      </c>
      <c r="AI627" t="s">
        <v>3992</v>
      </c>
      <c r="AJ627">
        <v>-1.22</v>
      </c>
      <c r="AK627">
        <v>2983</v>
      </c>
      <c r="AL627">
        <v>82</v>
      </c>
      <c r="AM627">
        <v>8.0000000000000004E-4</v>
      </c>
      <c r="AN627">
        <v>-1</v>
      </c>
      <c r="AO627">
        <v>2.41</v>
      </c>
      <c r="AP627">
        <v>18.14</v>
      </c>
      <c r="AQ627">
        <v>15.5</v>
      </c>
      <c r="AR627">
        <v>56.16</v>
      </c>
      <c r="AS627">
        <v>3.92</v>
      </c>
      <c r="AT627" t="s">
        <v>3993</v>
      </c>
      <c r="AU627">
        <v>21.25</v>
      </c>
      <c r="AV627">
        <v>23.6</v>
      </c>
      <c r="AW627">
        <v>1.3</v>
      </c>
      <c r="BA627">
        <v>-0.81</v>
      </c>
      <c r="BB627">
        <v>0.95</v>
      </c>
      <c r="BC627">
        <v>-2.58</v>
      </c>
      <c r="BD627">
        <v>-0.95</v>
      </c>
      <c r="BE627">
        <v>-1.0900000000000001</v>
      </c>
      <c r="BF627">
        <v>-2.82</v>
      </c>
      <c r="BG627">
        <v>0.7</v>
      </c>
      <c r="BH627">
        <v>-0.95</v>
      </c>
      <c r="BI627">
        <v>20191021</v>
      </c>
      <c r="BJ627">
        <v>20070921</v>
      </c>
      <c r="BK627">
        <v>13.34</v>
      </c>
      <c r="BL627" t="s">
        <v>116</v>
      </c>
      <c r="BM627" t="s">
        <v>116</v>
      </c>
      <c r="BN627">
        <v>82.13</v>
      </c>
      <c r="BO627">
        <v>55.86</v>
      </c>
      <c r="BP627">
        <v>1.1299999999999999</v>
      </c>
      <c r="BQ627">
        <v>30.61</v>
      </c>
      <c r="BR627">
        <v>47.8</v>
      </c>
      <c r="BS627">
        <v>10.06</v>
      </c>
      <c r="BT627">
        <v>3.82</v>
      </c>
      <c r="BU627">
        <v>23.73</v>
      </c>
      <c r="BV627">
        <v>14.93</v>
      </c>
      <c r="BW627">
        <v>14.17</v>
      </c>
      <c r="BX627">
        <v>28.23</v>
      </c>
      <c r="BY627">
        <v>117.23</v>
      </c>
      <c r="BZ627">
        <v>108.1</v>
      </c>
      <c r="CA627">
        <v>4.2300000000000004</v>
      </c>
      <c r="CB627">
        <v>0.41</v>
      </c>
      <c r="CC627">
        <v>4.2</v>
      </c>
      <c r="CD627">
        <v>3.67</v>
      </c>
      <c r="CE627">
        <v>3.56</v>
      </c>
      <c r="CF627">
        <v>2.35</v>
      </c>
      <c r="CG627">
        <v>13.51</v>
      </c>
      <c r="CH627">
        <v>-4</v>
      </c>
      <c r="CI627">
        <v>-1.71</v>
      </c>
      <c r="CJ627">
        <v>39991</v>
      </c>
      <c r="CK627">
        <v>15586</v>
      </c>
      <c r="CL627" t="s">
        <v>3994</v>
      </c>
      <c r="CM627">
        <v>14.48</v>
      </c>
      <c r="CN627">
        <v>20.28</v>
      </c>
      <c r="CO627">
        <v>1.73</v>
      </c>
      <c r="CP627">
        <v>-24.12</v>
      </c>
      <c r="CQ627">
        <v>0.82</v>
      </c>
      <c r="CR627">
        <v>0</v>
      </c>
      <c r="CS627" t="s">
        <v>3995</v>
      </c>
      <c r="CT627">
        <v>4.1900000000000004</v>
      </c>
      <c r="CU627">
        <v>0</v>
      </c>
      <c r="CV627">
        <v>2.12</v>
      </c>
      <c r="CW627">
        <v>1.01</v>
      </c>
      <c r="CX627">
        <v>-0.3</v>
      </c>
      <c r="CY627">
        <v>68.010000000000005</v>
      </c>
      <c r="CZ627" t="s">
        <v>1549</v>
      </c>
      <c r="DA627">
        <v>7.79</v>
      </c>
      <c r="DB627">
        <v>3.61</v>
      </c>
      <c r="DC627">
        <v>3.04</v>
      </c>
      <c r="DD627">
        <v>3.32</v>
      </c>
      <c r="DE627">
        <v>5279</v>
      </c>
      <c r="DF627">
        <v>2171</v>
      </c>
      <c r="DG627" t="s">
        <v>116</v>
      </c>
      <c r="DH627" t="s">
        <v>116</v>
      </c>
      <c r="DI627" t="s">
        <v>116</v>
      </c>
    </row>
    <row r="628" spans="1:113" x14ac:dyDescent="0.4">
      <c r="A628" t="str">
        <f>"002172"</f>
        <v>002172</v>
      </c>
      <c r="B628" t="s">
        <v>3996</v>
      </c>
      <c r="C628">
        <v>0</v>
      </c>
      <c r="D628">
        <v>3.74</v>
      </c>
      <c r="E628">
        <v>0</v>
      </c>
      <c r="F628">
        <v>3.74</v>
      </c>
      <c r="G628">
        <v>3.75</v>
      </c>
      <c r="H628">
        <v>46660</v>
      </c>
      <c r="I628">
        <v>270</v>
      </c>
      <c r="J628">
        <v>0</v>
      </c>
      <c r="K628">
        <v>0.6</v>
      </c>
      <c r="L628">
        <v>3.74</v>
      </c>
      <c r="M628">
        <v>3.81</v>
      </c>
      <c r="N628">
        <v>3.74</v>
      </c>
      <c r="O628">
        <v>3.74</v>
      </c>
      <c r="P628" t="s">
        <v>116</v>
      </c>
      <c r="Q628">
        <v>17611338</v>
      </c>
      <c r="R628">
        <v>1.02</v>
      </c>
      <c r="S628" t="s">
        <v>630</v>
      </c>
      <c r="T628" t="s">
        <v>323</v>
      </c>
      <c r="U628">
        <v>1.87</v>
      </c>
      <c r="V628">
        <v>3.77</v>
      </c>
      <c r="W628">
        <v>19535</v>
      </c>
      <c r="X628">
        <v>27125</v>
      </c>
      <c r="Y628">
        <v>0.72</v>
      </c>
      <c r="Z628">
        <v>399</v>
      </c>
      <c r="AA628">
        <v>783</v>
      </c>
      <c r="AB628" t="s">
        <v>116</v>
      </c>
      <c r="AC628">
        <v>0</v>
      </c>
      <c r="AD628">
        <v>0</v>
      </c>
      <c r="AE628" t="s">
        <v>116</v>
      </c>
      <c r="AF628" t="s">
        <v>116</v>
      </c>
      <c r="AG628">
        <v>7.73</v>
      </c>
      <c r="AH628" t="s">
        <v>3997</v>
      </c>
      <c r="AI628" t="s">
        <v>3998</v>
      </c>
      <c r="AJ628">
        <v>0.68</v>
      </c>
      <c r="AK628">
        <v>537</v>
      </c>
      <c r="AL628">
        <v>87</v>
      </c>
      <c r="AM628">
        <v>1.1000000000000001E-3</v>
      </c>
      <c r="AN628">
        <v>0</v>
      </c>
      <c r="AO628">
        <v>-0.8</v>
      </c>
      <c r="AP628">
        <v>3.03</v>
      </c>
      <c r="AQ628">
        <v>8.41</v>
      </c>
      <c r="AR628">
        <v>-2.6</v>
      </c>
      <c r="AS628">
        <v>1.04</v>
      </c>
      <c r="AT628" t="s">
        <v>3999</v>
      </c>
      <c r="AU628" t="s">
        <v>116</v>
      </c>
      <c r="AV628">
        <v>280.32</v>
      </c>
      <c r="AW628">
        <v>0.59</v>
      </c>
      <c r="BA628">
        <v>0</v>
      </c>
      <c r="BB628">
        <v>1.87</v>
      </c>
      <c r="BC628">
        <v>0</v>
      </c>
      <c r="BD628">
        <v>0.92</v>
      </c>
      <c r="BE628">
        <v>0</v>
      </c>
      <c r="BF628">
        <v>-1.84</v>
      </c>
      <c r="BG628">
        <v>0</v>
      </c>
      <c r="BH628">
        <v>-0.92</v>
      </c>
      <c r="BI628">
        <v>20191028</v>
      </c>
      <c r="BJ628">
        <v>20070921</v>
      </c>
      <c r="BK628">
        <v>7.76</v>
      </c>
      <c r="BL628" t="s">
        <v>116</v>
      </c>
      <c r="BM628" t="s">
        <v>116</v>
      </c>
      <c r="BN628">
        <v>68.98</v>
      </c>
      <c r="BO628">
        <v>15.44</v>
      </c>
      <c r="BP628">
        <v>0.19</v>
      </c>
      <c r="BQ628">
        <v>77.34</v>
      </c>
      <c r="BR628">
        <v>27.24</v>
      </c>
      <c r="BS628">
        <v>23.41</v>
      </c>
      <c r="BT628">
        <v>2.19</v>
      </c>
      <c r="BU628">
        <v>43.66</v>
      </c>
      <c r="BV628">
        <v>4.58</v>
      </c>
      <c r="BW628">
        <v>3.33</v>
      </c>
      <c r="BX628">
        <v>11.51</v>
      </c>
      <c r="BY628">
        <v>24.22</v>
      </c>
      <c r="BZ628">
        <v>22.53</v>
      </c>
      <c r="CA628">
        <v>-4.24</v>
      </c>
      <c r="CB628">
        <v>0</v>
      </c>
      <c r="CC628">
        <v>-4.21</v>
      </c>
      <c r="CD628">
        <v>-4.32</v>
      </c>
      <c r="CE628">
        <v>-2.93</v>
      </c>
      <c r="CF628">
        <v>-2.98</v>
      </c>
      <c r="CG628">
        <v>-3.77</v>
      </c>
      <c r="CH628">
        <v>1.05</v>
      </c>
      <c r="CI628">
        <v>-0.51</v>
      </c>
      <c r="CJ628">
        <v>46498</v>
      </c>
      <c r="CK628">
        <v>9695</v>
      </c>
      <c r="CL628" t="s">
        <v>2473</v>
      </c>
      <c r="CM628">
        <v>-1272.82</v>
      </c>
      <c r="CN628">
        <v>-35.86</v>
      </c>
      <c r="CO628">
        <v>1.88</v>
      </c>
      <c r="CP628">
        <v>27.61</v>
      </c>
      <c r="CQ628">
        <v>1.2</v>
      </c>
      <c r="CR628">
        <v>0</v>
      </c>
      <c r="CS628" t="s">
        <v>4000</v>
      </c>
      <c r="CT628">
        <v>1.99</v>
      </c>
      <c r="CU628">
        <v>0</v>
      </c>
      <c r="CV628">
        <v>1.48</v>
      </c>
      <c r="CW628">
        <v>-0.49</v>
      </c>
      <c r="CX628">
        <v>0.14000000000000001</v>
      </c>
      <c r="CY628">
        <v>22.38</v>
      </c>
      <c r="CZ628" t="s">
        <v>4001</v>
      </c>
      <c r="DA628">
        <v>6.96</v>
      </c>
      <c r="DB628">
        <v>-17.53</v>
      </c>
      <c r="DC628">
        <v>-12.08</v>
      </c>
      <c r="DD628">
        <v>0.2</v>
      </c>
      <c r="DE628">
        <v>5040</v>
      </c>
      <c r="DF628">
        <v>2172</v>
      </c>
      <c r="DG628" t="s">
        <v>116</v>
      </c>
      <c r="DH628" t="s">
        <v>116</v>
      </c>
      <c r="DI628" t="s">
        <v>116</v>
      </c>
    </row>
    <row r="629" spans="1:113" x14ac:dyDescent="0.4">
      <c r="A629" t="str">
        <f>"002173"</f>
        <v>002173</v>
      </c>
      <c r="B629" t="s">
        <v>4002</v>
      </c>
      <c r="C629">
        <v>-1.76</v>
      </c>
      <c r="D629">
        <v>6.13</v>
      </c>
      <c r="E629">
        <v>-0.11</v>
      </c>
      <c r="F629">
        <v>6.13</v>
      </c>
      <c r="G629">
        <v>6.14</v>
      </c>
      <c r="H629">
        <v>26828</v>
      </c>
      <c r="I629">
        <v>474</v>
      </c>
      <c r="J629">
        <v>-0.32</v>
      </c>
      <c r="K629">
        <v>0.72</v>
      </c>
      <c r="L629">
        <v>6.21</v>
      </c>
      <c r="M629">
        <v>6.25</v>
      </c>
      <c r="N629">
        <v>6.13</v>
      </c>
      <c r="O629">
        <v>6.24</v>
      </c>
      <c r="P629" t="s">
        <v>116</v>
      </c>
      <c r="Q629">
        <v>16572949</v>
      </c>
      <c r="R629">
        <v>0.56000000000000005</v>
      </c>
      <c r="S629" t="s">
        <v>559</v>
      </c>
      <c r="T629" t="s">
        <v>590</v>
      </c>
      <c r="U629">
        <v>1.92</v>
      </c>
      <c r="V629">
        <v>6.18</v>
      </c>
      <c r="W629">
        <v>16994</v>
      </c>
      <c r="X629">
        <v>9834</v>
      </c>
      <c r="Y629">
        <v>1.73</v>
      </c>
      <c r="Z629">
        <v>440</v>
      </c>
      <c r="AA629">
        <v>193</v>
      </c>
      <c r="AB629" t="s">
        <v>116</v>
      </c>
      <c r="AC629">
        <v>9900</v>
      </c>
      <c r="AD629">
        <v>0</v>
      </c>
      <c r="AE629" t="s">
        <v>116</v>
      </c>
      <c r="AF629" t="s">
        <v>116</v>
      </c>
      <c r="AG629">
        <v>3.71</v>
      </c>
      <c r="AH629" t="s">
        <v>4003</v>
      </c>
      <c r="AI629" t="s">
        <v>4004</v>
      </c>
      <c r="AJ629">
        <v>-1.08</v>
      </c>
      <c r="AK629">
        <v>972</v>
      </c>
      <c r="AL629">
        <v>28</v>
      </c>
      <c r="AM629">
        <v>6.9999999999999999E-4</v>
      </c>
      <c r="AN629">
        <v>-1</v>
      </c>
      <c r="AO629">
        <v>-0.65</v>
      </c>
      <c r="AP629">
        <v>13.94</v>
      </c>
      <c r="AQ629">
        <v>-3.16</v>
      </c>
      <c r="AR629">
        <v>-15.56</v>
      </c>
      <c r="AS629">
        <v>1.36</v>
      </c>
      <c r="AT629" t="s">
        <v>2072</v>
      </c>
      <c r="AU629" t="s">
        <v>116</v>
      </c>
      <c r="AV629">
        <v>93.95</v>
      </c>
      <c r="AW629">
        <v>0.94</v>
      </c>
      <c r="BA629">
        <v>-0.48</v>
      </c>
      <c r="BB629">
        <v>0.16</v>
      </c>
      <c r="BC629">
        <v>-1.76</v>
      </c>
      <c r="BD629">
        <v>-1</v>
      </c>
      <c r="BE629">
        <v>-1.29</v>
      </c>
      <c r="BF629">
        <v>-1.92</v>
      </c>
      <c r="BG629">
        <v>0</v>
      </c>
      <c r="BH629">
        <v>-0.76</v>
      </c>
      <c r="BI629">
        <v>20191031</v>
      </c>
      <c r="BJ629">
        <v>20070925</v>
      </c>
      <c r="BK629">
        <v>4.55</v>
      </c>
      <c r="BL629" t="s">
        <v>116</v>
      </c>
      <c r="BM629" t="s">
        <v>116</v>
      </c>
      <c r="BN629">
        <v>39.89</v>
      </c>
      <c r="BO629">
        <v>35.549999999999997</v>
      </c>
      <c r="BP629">
        <v>0.01</v>
      </c>
      <c r="BQ629">
        <v>10.86</v>
      </c>
      <c r="BR629">
        <v>14.04</v>
      </c>
      <c r="BS629">
        <v>10.93</v>
      </c>
      <c r="BT629">
        <v>1.21</v>
      </c>
      <c r="BU629">
        <v>2.34</v>
      </c>
      <c r="BV629">
        <v>0.55000000000000004</v>
      </c>
      <c r="BW629">
        <v>2.61</v>
      </c>
      <c r="BX629">
        <v>27.54</v>
      </c>
      <c r="BY629">
        <v>7.17</v>
      </c>
      <c r="BZ629">
        <v>5.37</v>
      </c>
      <c r="CA629">
        <v>0.31</v>
      </c>
      <c r="CB629">
        <v>0.2</v>
      </c>
      <c r="CC629">
        <v>-0.46</v>
      </c>
      <c r="CD629">
        <v>-0.61</v>
      </c>
      <c r="CE629">
        <v>-0.61</v>
      </c>
      <c r="CF629">
        <v>0.06</v>
      </c>
      <c r="CG629">
        <v>3.22</v>
      </c>
      <c r="CH629">
        <v>0.69</v>
      </c>
      <c r="CI629">
        <v>2.62</v>
      </c>
      <c r="CJ629">
        <v>15664</v>
      </c>
      <c r="CK629">
        <v>12627</v>
      </c>
      <c r="CL629" t="s">
        <v>4005</v>
      </c>
      <c r="CM629">
        <v>-149.57</v>
      </c>
      <c r="CN629">
        <v>-9.59</v>
      </c>
      <c r="CO629">
        <v>0.78</v>
      </c>
      <c r="CP629">
        <v>40.56</v>
      </c>
      <c r="CQ629">
        <v>3.89</v>
      </c>
      <c r="CR629">
        <v>0</v>
      </c>
      <c r="CS629" t="s">
        <v>4006</v>
      </c>
      <c r="CT629">
        <v>7.82</v>
      </c>
      <c r="CU629">
        <v>0</v>
      </c>
      <c r="CV629">
        <v>6.05</v>
      </c>
      <c r="CW629">
        <v>0.71</v>
      </c>
      <c r="CX629">
        <v>0.15</v>
      </c>
      <c r="CY629">
        <v>89.12</v>
      </c>
      <c r="CZ629" t="s">
        <v>4007</v>
      </c>
      <c r="DA629">
        <v>25.13</v>
      </c>
      <c r="DB629">
        <v>4.34</v>
      </c>
      <c r="DC629">
        <v>-8.48</v>
      </c>
      <c r="DD629">
        <v>0.01</v>
      </c>
      <c r="DE629">
        <v>3676</v>
      </c>
      <c r="DF629">
        <v>2173</v>
      </c>
      <c r="DG629" t="s">
        <v>116</v>
      </c>
      <c r="DH629" t="s">
        <v>116</v>
      </c>
      <c r="DI629" t="s">
        <v>116</v>
      </c>
    </row>
    <row r="630" spans="1:113" x14ac:dyDescent="0.4">
      <c r="A630" t="str">
        <f>"002174"</f>
        <v>002174</v>
      </c>
      <c r="B630" t="s">
        <v>4008</v>
      </c>
      <c r="C630">
        <v>-2.85</v>
      </c>
      <c r="D630">
        <v>23.19</v>
      </c>
      <c r="E630">
        <v>-0.68</v>
      </c>
      <c r="F630">
        <v>23.18</v>
      </c>
      <c r="G630">
        <v>23.19</v>
      </c>
      <c r="H630">
        <v>292301</v>
      </c>
      <c r="I630">
        <v>3413</v>
      </c>
      <c r="J630">
        <v>-0.03</v>
      </c>
      <c r="K630">
        <v>4.53</v>
      </c>
      <c r="L630">
        <v>23.89</v>
      </c>
      <c r="M630">
        <v>24.51</v>
      </c>
      <c r="N630">
        <v>23.09</v>
      </c>
      <c r="O630">
        <v>23.87</v>
      </c>
      <c r="P630">
        <v>21.91</v>
      </c>
      <c r="Q630">
        <v>694684736</v>
      </c>
      <c r="R630">
        <v>0.72</v>
      </c>
      <c r="S630" t="s">
        <v>1384</v>
      </c>
      <c r="T630" t="s">
        <v>975</v>
      </c>
      <c r="U630">
        <v>5.95</v>
      </c>
      <c r="V630">
        <v>23.77</v>
      </c>
      <c r="W630">
        <v>150679</v>
      </c>
      <c r="X630">
        <v>141622</v>
      </c>
      <c r="Y630">
        <v>1.06</v>
      </c>
      <c r="Z630">
        <v>64</v>
      </c>
      <c r="AA630">
        <v>172</v>
      </c>
      <c r="AB630" t="s">
        <v>116</v>
      </c>
      <c r="AC630">
        <v>3891700</v>
      </c>
      <c r="AD630">
        <v>0.04</v>
      </c>
      <c r="AE630" t="s">
        <v>116</v>
      </c>
      <c r="AF630" t="s">
        <v>116</v>
      </c>
      <c r="AG630">
        <v>6.45</v>
      </c>
      <c r="AH630" t="s">
        <v>4009</v>
      </c>
      <c r="AI630" t="s">
        <v>4010</v>
      </c>
      <c r="AJ630">
        <v>-2.17</v>
      </c>
      <c r="AK630">
        <v>4153</v>
      </c>
      <c r="AL630">
        <v>70</v>
      </c>
      <c r="AM630">
        <v>1.1000000000000001E-3</v>
      </c>
      <c r="AN630">
        <v>-2</v>
      </c>
      <c r="AO630">
        <v>-1.74</v>
      </c>
      <c r="AP630">
        <v>48.37</v>
      </c>
      <c r="AQ630">
        <v>49.42</v>
      </c>
      <c r="AR630">
        <v>24.74</v>
      </c>
      <c r="AS630">
        <v>6.3</v>
      </c>
      <c r="AT630" t="s">
        <v>4011</v>
      </c>
      <c r="AU630">
        <v>19.97</v>
      </c>
      <c r="AV630">
        <v>20.420000000000002</v>
      </c>
      <c r="AW630">
        <v>1.26</v>
      </c>
      <c r="BA630">
        <v>0.08</v>
      </c>
      <c r="BB630">
        <v>2.68</v>
      </c>
      <c r="BC630">
        <v>-3.27</v>
      </c>
      <c r="BD630">
        <v>-0.44</v>
      </c>
      <c r="BE630">
        <v>-2.93</v>
      </c>
      <c r="BF630">
        <v>-5.39</v>
      </c>
      <c r="BG630">
        <v>0.43</v>
      </c>
      <c r="BH630">
        <v>-2.41</v>
      </c>
      <c r="BI630">
        <v>20191024</v>
      </c>
      <c r="BJ630">
        <v>20070925</v>
      </c>
      <c r="BK630">
        <v>8.8800000000000008</v>
      </c>
      <c r="BL630" t="s">
        <v>116</v>
      </c>
      <c r="BM630" t="s">
        <v>116</v>
      </c>
      <c r="BN630">
        <v>94.25</v>
      </c>
      <c r="BO630">
        <v>54.67</v>
      </c>
      <c r="BP630">
        <v>-0.04</v>
      </c>
      <c r="BQ630">
        <v>42.03</v>
      </c>
      <c r="BR630">
        <v>60.2</v>
      </c>
      <c r="BS630">
        <v>7.19</v>
      </c>
      <c r="BT630">
        <v>2.93</v>
      </c>
      <c r="BU630">
        <v>29.6</v>
      </c>
      <c r="BV630">
        <v>0</v>
      </c>
      <c r="BW630">
        <v>10.86</v>
      </c>
      <c r="BX630">
        <v>8.56</v>
      </c>
      <c r="BY630">
        <v>26.42</v>
      </c>
      <c r="BZ630">
        <v>12.18</v>
      </c>
      <c r="CA630">
        <v>7.26</v>
      </c>
      <c r="CB630">
        <v>1</v>
      </c>
      <c r="CC630">
        <v>7.26</v>
      </c>
      <c r="CD630">
        <v>7.05</v>
      </c>
      <c r="CE630">
        <v>7.05</v>
      </c>
      <c r="CF630">
        <v>6.17</v>
      </c>
      <c r="CG630">
        <v>39.299999999999997</v>
      </c>
      <c r="CH630">
        <v>1.63</v>
      </c>
      <c r="CI630">
        <v>8.31</v>
      </c>
      <c r="CJ630">
        <v>39569</v>
      </c>
      <c r="CK630">
        <v>11730</v>
      </c>
      <c r="CL630" t="s">
        <v>4012</v>
      </c>
      <c r="CM630">
        <v>3.29</v>
      </c>
      <c r="CN630">
        <v>0.73</v>
      </c>
      <c r="CO630">
        <v>3.88</v>
      </c>
      <c r="CP630">
        <v>126.7</v>
      </c>
      <c r="CQ630">
        <v>7.8</v>
      </c>
      <c r="CR630">
        <v>0</v>
      </c>
      <c r="CS630" t="s">
        <v>4013</v>
      </c>
      <c r="CT630">
        <v>5.97</v>
      </c>
      <c r="CU630">
        <v>5.97</v>
      </c>
      <c r="CV630">
        <v>0.96</v>
      </c>
      <c r="CW630">
        <v>4.42</v>
      </c>
      <c r="CX630">
        <v>0.18</v>
      </c>
      <c r="CY630">
        <v>58.01</v>
      </c>
      <c r="CZ630" t="s">
        <v>4014</v>
      </c>
      <c r="DA630">
        <v>53.9</v>
      </c>
      <c r="DB630">
        <v>27.48</v>
      </c>
      <c r="DC630">
        <v>26.69</v>
      </c>
      <c r="DD630">
        <v>2.4300000000000002</v>
      </c>
      <c r="DE630">
        <v>1952</v>
      </c>
      <c r="DF630">
        <v>2174</v>
      </c>
      <c r="DG630" t="s">
        <v>116</v>
      </c>
      <c r="DH630" t="s">
        <v>116</v>
      </c>
      <c r="DI630" t="s">
        <v>116</v>
      </c>
    </row>
    <row r="631" spans="1:113" x14ac:dyDescent="0.4">
      <c r="A631" t="str">
        <f>"002175"</f>
        <v>002175</v>
      </c>
      <c r="B631" t="s">
        <v>4015</v>
      </c>
      <c r="C631">
        <v>-3.14</v>
      </c>
      <c r="D631">
        <v>1.85</v>
      </c>
      <c r="E631">
        <v>-0.06</v>
      </c>
      <c r="F631">
        <v>1.85</v>
      </c>
      <c r="G631">
        <v>1.86</v>
      </c>
      <c r="H631">
        <v>115725</v>
      </c>
      <c r="I631">
        <v>1605</v>
      </c>
      <c r="J631">
        <v>-0.53</v>
      </c>
      <c r="K631">
        <v>1.54</v>
      </c>
      <c r="L631">
        <v>1.86</v>
      </c>
      <c r="M631">
        <v>1.94</v>
      </c>
      <c r="N631">
        <v>1.85</v>
      </c>
      <c r="O631">
        <v>1.91</v>
      </c>
      <c r="P631" t="s">
        <v>116</v>
      </c>
      <c r="Q631">
        <v>21820456</v>
      </c>
      <c r="R631">
        <v>0.51</v>
      </c>
      <c r="S631" t="s">
        <v>2977</v>
      </c>
      <c r="T631" t="s">
        <v>982</v>
      </c>
      <c r="U631">
        <v>4.71</v>
      </c>
      <c r="V631">
        <v>1.89</v>
      </c>
      <c r="W631">
        <v>71590</v>
      </c>
      <c r="X631">
        <v>44135</v>
      </c>
      <c r="Y631">
        <v>1.62</v>
      </c>
      <c r="Z631">
        <v>2188</v>
      </c>
      <c r="AA631">
        <v>1139</v>
      </c>
      <c r="AB631" t="s">
        <v>116</v>
      </c>
      <c r="AC631">
        <v>916600</v>
      </c>
      <c r="AD631">
        <v>0.08</v>
      </c>
      <c r="AE631" t="s">
        <v>116</v>
      </c>
      <c r="AF631" t="s">
        <v>116</v>
      </c>
      <c r="AG631">
        <v>7.54</v>
      </c>
      <c r="AH631" t="s">
        <v>4016</v>
      </c>
      <c r="AI631" t="s">
        <v>4016</v>
      </c>
      <c r="AJ631">
        <v>-2.46</v>
      </c>
      <c r="AK631">
        <v>960</v>
      </c>
      <c r="AL631">
        <v>121</v>
      </c>
      <c r="AM631">
        <v>1.6000000000000001E-3</v>
      </c>
      <c r="AN631">
        <v>-1</v>
      </c>
      <c r="AO631">
        <v>-3.14</v>
      </c>
      <c r="AP631">
        <v>14.91</v>
      </c>
      <c r="AQ631">
        <v>-7.5</v>
      </c>
      <c r="AR631">
        <v>-45.43</v>
      </c>
      <c r="AS631">
        <v>1.9</v>
      </c>
      <c r="AT631" t="s">
        <v>4017</v>
      </c>
      <c r="AU631" t="s">
        <v>116</v>
      </c>
      <c r="AV631" t="s">
        <v>116</v>
      </c>
      <c r="AW631">
        <v>1.01</v>
      </c>
      <c r="BA631">
        <v>-2.62</v>
      </c>
      <c r="BB631">
        <v>1.57</v>
      </c>
      <c r="BC631">
        <v>-3.14</v>
      </c>
      <c r="BD631">
        <v>-1.28</v>
      </c>
      <c r="BE631">
        <v>-0.54</v>
      </c>
      <c r="BF631">
        <v>-4.6399999999999997</v>
      </c>
      <c r="BG631">
        <v>0</v>
      </c>
      <c r="BH631">
        <v>-1.86</v>
      </c>
      <c r="BI631">
        <v>20191106</v>
      </c>
      <c r="BJ631">
        <v>20071012</v>
      </c>
      <c r="BK631">
        <v>7.54</v>
      </c>
      <c r="BL631" t="s">
        <v>116</v>
      </c>
      <c r="BM631" t="s">
        <v>116</v>
      </c>
      <c r="BN631">
        <v>16.03</v>
      </c>
      <c r="BO631">
        <v>4.96</v>
      </c>
      <c r="BP631">
        <v>0.64</v>
      </c>
      <c r="BQ631">
        <v>65.05</v>
      </c>
      <c r="BR631">
        <v>6.4</v>
      </c>
      <c r="BS631">
        <v>3.51</v>
      </c>
      <c r="BT631">
        <v>0.56999999999999995</v>
      </c>
      <c r="BU631">
        <v>9.44</v>
      </c>
      <c r="BV631">
        <v>1.37</v>
      </c>
      <c r="BW631">
        <v>0.83</v>
      </c>
      <c r="BX631">
        <v>3.84</v>
      </c>
      <c r="BY631">
        <v>1.65</v>
      </c>
      <c r="BZ631">
        <v>1.23</v>
      </c>
      <c r="CA631">
        <v>-0.78</v>
      </c>
      <c r="CB631">
        <v>-0.01</v>
      </c>
      <c r="CC631">
        <v>-0.78</v>
      </c>
      <c r="CD631">
        <v>-0.74</v>
      </c>
      <c r="CE631">
        <v>-0.68</v>
      </c>
      <c r="CF631">
        <v>-0.71</v>
      </c>
      <c r="CG631">
        <v>-6.65</v>
      </c>
      <c r="CH631">
        <v>0.04</v>
      </c>
      <c r="CI631">
        <v>-0.62</v>
      </c>
      <c r="CJ631">
        <v>71211</v>
      </c>
      <c r="CK631">
        <v>8543</v>
      </c>
      <c r="CL631" t="s">
        <v>4018</v>
      </c>
      <c r="CM631">
        <v>35.74</v>
      </c>
      <c r="CN631">
        <v>-5.46</v>
      </c>
      <c r="CO631">
        <v>2.81</v>
      </c>
      <c r="CP631">
        <v>320.12</v>
      </c>
      <c r="CQ631">
        <v>8.4700000000000006</v>
      </c>
      <c r="CR631">
        <v>0</v>
      </c>
      <c r="CS631" t="s">
        <v>4019</v>
      </c>
      <c r="CT631">
        <v>0.66</v>
      </c>
      <c r="CU631">
        <v>0</v>
      </c>
      <c r="CV631">
        <v>0.51</v>
      </c>
      <c r="CW631">
        <v>-0.88</v>
      </c>
      <c r="CX631">
        <v>0.01</v>
      </c>
      <c r="CY631">
        <v>30.94</v>
      </c>
      <c r="CZ631" t="s">
        <v>4020</v>
      </c>
      <c r="DA631">
        <v>25.39</v>
      </c>
      <c r="DB631">
        <v>-47.12</v>
      </c>
      <c r="DC631">
        <v>-41.31</v>
      </c>
      <c r="DD631">
        <v>0.02</v>
      </c>
      <c r="DE631">
        <v>961</v>
      </c>
      <c r="DF631">
        <v>2175</v>
      </c>
      <c r="DG631" t="s">
        <v>116</v>
      </c>
      <c r="DH631" t="s">
        <v>116</v>
      </c>
      <c r="DI631" t="s">
        <v>116</v>
      </c>
    </row>
    <row r="632" spans="1:113" x14ac:dyDescent="0.4">
      <c r="A632" t="str">
        <f>"002176"</f>
        <v>002176</v>
      </c>
      <c r="B632" t="s">
        <v>4021</v>
      </c>
      <c r="C632">
        <v>-2.33</v>
      </c>
      <c r="D632">
        <v>3.78</v>
      </c>
      <c r="E632">
        <v>-0.09</v>
      </c>
      <c r="F632">
        <v>3.78</v>
      </c>
      <c r="G632">
        <v>3.79</v>
      </c>
      <c r="H632">
        <v>831545</v>
      </c>
      <c r="I632">
        <v>7785</v>
      </c>
      <c r="J632">
        <v>-0.25</v>
      </c>
      <c r="K632">
        <v>4.88</v>
      </c>
      <c r="L632">
        <v>3.8</v>
      </c>
      <c r="M632">
        <v>3.93</v>
      </c>
      <c r="N632">
        <v>3.78</v>
      </c>
      <c r="O632">
        <v>3.87</v>
      </c>
      <c r="P632">
        <v>746.43</v>
      </c>
      <c r="Q632">
        <v>318906016</v>
      </c>
      <c r="R632">
        <v>0.94</v>
      </c>
      <c r="S632" t="s">
        <v>397</v>
      </c>
      <c r="T632" t="s">
        <v>683</v>
      </c>
      <c r="U632">
        <v>3.88</v>
      </c>
      <c r="V632">
        <v>3.84</v>
      </c>
      <c r="W632">
        <v>431472</v>
      </c>
      <c r="X632">
        <v>400072</v>
      </c>
      <c r="Y632">
        <v>1.08</v>
      </c>
      <c r="Z632">
        <v>3138</v>
      </c>
      <c r="AA632">
        <v>2768</v>
      </c>
      <c r="AB632" t="s">
        <v>116</v>
      </c>
      <c r="AC632">
        <v>4361300</v>
      </c>
      <c r="AD632">
        <v>0.08</v>
      </c>
      <c r="AE632" t="s">
        <v>116</v>
      </c>
      <c r="AF632" t="s">
        <v>116</v>
      </c>
      <c r="AG632">
        <v>17.05</v>
      </c>
      <c r="AH632" t="s">
        <v>4022</v>
      </c>
      <c r="AI632" t="s">
        <v>4023</v>
      </c>
      <c r="AJ632">
        <v>-1.65</v>
      </c>
      <c r="AK632">
        <v>3800</v>
      </c>
      <c r="AL632">
        <v>219</v>
      </c>
      <c r="AM632">
        <v>1.2999999999999999E-3</v>
      </c>
      <c r="AN632">
        <v>-1</v>
      </c>
      <c r="AO632">
        <v>0.26</v>
      </c>
      <c r="AP632">
        <v>17.760000000000002</v>
      </c>
      <c r="AQ632">
        <v>-5.74</v>
      </c>
      <c r="AR632">
        <v>-35.6</v>
      </c>
      <c r="AS632">
        <v>6.12</v>
      </c>
      <c r="AT632" t="s">
        <v>611</v>
      </c>
      <c r="AU632" t="s">
        <v>116</v>
      </c>
      <c r="AV632" t="s">
        <v>116</v>
      </c>
      <c r="AW632">
        <v>1.05</v>
      </c>
      <c r="BA632">
        <v>-1.81</v>
      </c>
      <c r="BB632">
        <v>1.55</v>
      </c>
      <c r="BC632">
        <v>-2.33</v>
      </c>
      <c r="BD632">
        <v>-0.9</v>
      </c>
      <c r="BE632">
        <v>-0.53</v>
      </c>
      <c r="BF632">
        <v>-3.82</v>
      </c>
      <c r="BG632">
        <v>0</v>
      </c>
      <c r="BH632">
        <v>-1.42</v>
      </c>
      <c r="BI632">
        <v>20191220</v>
      </c>
      <c r="BJ632">
        <v>20071012</v>
      </c>
      <c r="BK632">
        <v>17.059999999999999</v>
      </c>
      <c r="BL632" t="s">
        <v>116</v>
      </c>
      <c r="BM632" t="s">
        <v>116</v>
      </c>
      <c r="BN632">
        <v>88.74</v>
      </c>
      <c r="BO632">
        <v>35.14</v>
      </c>
      <c r="BP632">
        <v>1.23</v>
      </c>
      <c r="BQ632">
        <v>59.02</v>
      </c>
      <c r="BR632">
        <v>45.21</v>
      </c>
      <c r="BS632">
        <v>16.77</v>
      </c>
      <c r="BT632">
        <v>6.5</v>
      </c>
      <c r="BU632">
        <v>49.29</v>
      </c>
      <c r="BV632">
        <v>9.0299999999999994</v>
      </c>
      <c r="BW632">
        <v>16.13</v>
      </c>
      <c r="BX632">
        <v>28.12</v>
      </c>
      <c r="BY632">
        <v>20.96</v>
      </c>
      <c r="BZ632">
        <v>17.29</v>
      </c>
      <c r="CA632">
        <v>0.1</v>
      </c>
      <c r="CB632">
        <v>-0.08</v>
      </c>
      <c r="CC632">
        <v>0.2</v>
      </c>
      <c r="CD632">
        <v>0.06</v>
      </c>
      <c r="CE632">
        <v>0.06</v>
      </c>
      <c r="CF632">
        <v>-0.92</v>
      </c>
      <c r="CG632">
        <v>-9.43</v>
      </c>
      <c r="CH632">
        <v>0.89</v>
      </c>
      <c r="CI632">
        <v>-8.7100000000000009</v>
      </c>
      <c r="CJ632">
        <v>121547</v>
      </c>
      <c r="CK632">
        <v>11185</v>
      </c>
      <c r="CL632" t="s">
        <v>3722</v>
      </c>
      <c r="CM632">
        <v>-97.82</v>
      </c>
      <c r="CN632">
        <v>-9.4600000000000009</v>
      </c>
      <c r="CO632">
        <v>1.84</v>
      </c>
      <c r="CP632">
        <v>72.16</v>
      </c>
      <c r="CQ632">
        <v>3.08</v>
      </c>
      <c r="CR632">
        <v>0</v>
      </c>
      <c r="CS632" t="s">
        <v>2001</v>
      </c>
      <c r="CT632">
        <v>2.06</v>
      </c>
      <c r="CU632">
        <v>0</v>
      </c>
      <c r="CV632">
        <v>1.65</v>
      </c>
      <c r="CW632">
        <v>-0.55000000000000004</v>
      </c>
      <c r="CX632">
        <v>0.05</v>
      </c>
      <c r="CY632">
        <v>39.6</v>
      </c>
      <c r="CZ632" t="s">
        <v>1138</v>
      </c>
      <c r="DA632">
        <v>17.489999999999998</v>
      </c>
      <c r="DB632">
        <v>0.49</v>
      </c>
      <c r="DC632">
        <v>0.31</v>
      </c>
      <c r="DD632">
        <v>0.97</v>
      </c>
      <c r="DE632">
        <v>4456</v>
      </c>
      <c r="DF632">
        <v>2176</v>
      </c>
      <c r="DG632" t="s">
        <v>116</v>
      </c>
      <c r="DH632" t="s">
        <v>116</v>
      </c>
      <c r="DI632" t="s">
        <v>116</v>
      </c>
    </row>
    <row r="633" spans="1:113" x14ac:dyDescent="0.4">
      <c r="A633" t="str">
        <f>"002177"</f>
        <v>002177</v>
      </c>
      <c r="B633" t="s">
        <v>4024</v>
      </c>
      <c r="C633">
        <v>-1.97</v>
      </c>
      <c r="D633">
        <v>5.47</v>
      </c>
      <c r="E633">
        <v>-0.11</v>
      </c>
      <c r="F633">
        <v>5.46</v>
      </c>
      <c r="G633">
        <v>5.47</v>
      </c>
      <c r="H633">
        <v>153145</v>
      </c>
      <c r="I633">
        <v>1645</v>
      </c>
      <c r="J633">
        <v>0</v>
      </c>
      <c r="K633">
        <v>2.0099999999999998</v>
      </c>
      <c r="L633">
        <v>5.58</v>
      </c>
      <c r="M633">
        <v>5.63</v>
      </c>
      <c r="N633">
        <v>5.46</v>
      </c>
      <c r="O633">
        <v>5.58</v>
      </c>
      <c r="P633">
        <v>51.62</v>
      </c>
      <c r="Q633">
        <v>84915408</v>
      </c>
      <c r="R633">
        <v>0.83</v>
      </c>
      <c r="S633" t="s">
        <v>241</v>
      </c>
      <c r="T633" t="s">
        <v>551</v>
      </c>
      <c r="U633">
        <v>3.05</v>
      </c>
      <c r="V633">
        <v>5.54</v>
      </c>
      <c r="W633">
        <v>100089</v>
      </c>
      <c r="X633">
        <v>53056</v>
      </c>
      <c r="Y633">
        <v>1.89</v>
      </c>
      <c r="Z633">
        <v>3324</v>
      </c>
      <c r="AA633">
        <v>172</v>
      </c>
      <c r="AB633" t="s">
        <v>116</v>
      </c>
      <c r="AC633">
        <v>295700</v>
      </c>
      <c r="AD633">
        <v>0.01</v>
      </c>
      <c r="AE633" t="s">
        <v>116</v>
      </c>
      <c r="AF633" t="s">
        <v>116</v>
      </c>
      <c r="AG633">
        <v>7.61</v>
      </c>
      <c r="AH633" t="s">
        <v>4025</v>
      </c>
      <c r="AI633" t="s">
        <v>4025</v>
      </c>
      <c r="AJ633">
        <v>-1.29</v>
      </c>
      <c r="AK633">
        <v>2386</v>
      </c>
      <c r="AL633">
        <v>64</v>
      </c>
      <c r="AM633">
        <v>8.0000000000000004E-4</v>
      </c>
      <c r="AN633">
        <v>-1</v>
      </c>
      <c r="AO633">
        <v>1.1100000000000001</v>
      </c>
      <c r="AP633">
        <v>2.82</v>
      </c>
      <c r="AQ633">
        <v>-3.01</v>
      </c>
      <c r="AR633">
        <v>72.010000000000005</v>
      </c>
      <c r="AS633">
        <v>2.52</v>
      </c>
      <c r="AT633" t="s">
        <v>4026</v>
      </c>
      <c r="AU633" t="s">
        <v>116</v>
      </c>
      <c r="AV633" t="s">
        <v>116</v>
      </c>
      <c r="AW633">
        <v>1.69</v>
      </c>
      <c r="BA633">
        <v>0</v>
      </c>
      <c r="BB633">
        <v>0.9</v>
      </c>
      <c r="BC633">
        <v>-2.15</v>
      </c>
      <c r="BD633">
        <v>-0.63</v>
      </c>
      <c r="BE633">
        <v>-1.97</v>
      </c>
      <c r="BF633">
        <v>-2.84</v>
      </c>
      <c r="BG633">
        <v>0.18</v>
      </c>
      <c r="BH633">
        <v>-1.34</v>
      </c>
      <c r="BI633">
        <v>20191030</v>
      </c>
      <c r="BJ633">
        <v>20071101</v>
      </c>
      <c r="BK633">
        <v>7.61</v>
      </c>
      <c r="BL633" t="s">
        <v>116</v>
      </c>
      <c r="BM633" t="s">
        <v>116</v>
      </c>
      <c r="BN633">
        <v>17.71</v>
      </c>
      <c r="BO633">
        <v>16.45</v>
      </c>
      <c r="BP633">
        <v>0</v>
      </c>
      <c r="BQ633">
        <v>7.12</v>
      </c>
      <c r="BR633">
        <v>6.98</v>
      </c>
      <c r="BS633">
        <v>1.29</v>
      </c>
      <c r="BT633">
        <v>0.61</v>
      </c>
      <c r="BU633">
        <v>1.04</v>
      </c>
      <c r="BV633">
        <v>0.51</v>
      </c>
      <c r="BW633">
        <v>0.95</v>
      </c>
      <c r="BX633">
        <v>0.3</v>
      </c>
      <c r="BY633">
        <v>1.37</v>
      </c>
      <c r="BZ633">
        <v>0.84</v>
      </c>
      <c r="CA633">
        <v>0.72</v>
      </c>
      <c r="CB633">
        <v>0.91</v>
      </c>
      <c r="CC633">
        <v>0.65</v>
      </c>
      <c r="CD633">
        <v>0.6</v>
      </c>
      <c r="CE633">
        <v>0.6</v>
      </c>
      <c r="CF633">
        <v>-0.2</v>
      </c>
      <c r="CG633">
        <v>7.93</v>
      </c>
      <c r="CH633">
        <v>0.17</v>
      </c>
      <c r="CI633">
        <v>1.78</v>
      </c>
      <c r="CJ633">
        <v>111181</v>
      </c>
      <c r="CK633">
        <v>5473</v>
      </c>
      <c r="CL633" t="s">
        <v>1450</v>
      </c>
      <c r="CM633">
        <v>2201.91</v>
      </c>
      <c r="CN633">
        <v>-54.73</v>
      </c>
      <c r="CO633">
        <v>2.5299999999999998</v>
      </c>
      <c r="CP633">
        <v>241.99</v>
      </c>
      <c r="CQ633">
        <v>30.31</v>
      </c>
      <c r="CR633">
        <v>0</v>
      </c>
      <c r="CS633" t="s">
        <v>4027</v>
      </c>
      <c r="CT633">
        <v>2.16</v>
      </c>
      <c r="CU633">
        <v>0</v>
      </c>
      <c r="CV633">
        <v>0.04</v>
      </c>
      <c r="CW633">
        <v>1.04</v>
      </c>
      <c r="CX633">
        <v>0.02</v>
      </c>
      <c r="CY633">
        <v>92.88</v>
      </c>
      <c r="CZ633" t="s">
        <v>4028</v>
      </c>
      <c r="DA633">
        <v>38.75</v>
      </c>
      <c r="DB633">
        <v>52.16</v>
      </c>
      <c r="DC633">
        <v>44.03</v>
      </c>
      <c r="DD633">
        <v>0.25</v>
      </c>
      <c r="DE633">
        <v>456</v>
      </c>
      <c r="DF633">
        <v>2177</v>
      </c>
      <c r="DG633" t="s">
        <v>116</v>
      </c>
      <c r="DH633" t="s">
        <v>116</v>
      </c>
      <c r="DI633" t="s">
        <v>116</v>
      </c>
    </row>
    <row r="634" spans="1:113" x14ac:dyDescent="0.4">
      <c r="A634" t="str">
        <f>"002178"</f>
        <v>002178</v>
      </c>
      <c r="B634" t="s">
        <v>4029</v>
      </c>
      <c r="C634">
        <v>-0.73</v>
      </c>
      <c r="D634">
        <v>4.09</v>
      </c>
      <c r="E634">
        <v>-0.03</v>
      </c>
      <c r="F634">
        <v>4.08</v>
      </c>
      <c r="G634">
        <v>4.09</v>
      </c>
      <c r="H634">
        <v>124430</v>
      </c>
      <c r="I634">
        <v>2801</v>
      </c>
      <c r="J634">
        <v>0</v>
      </c>
      <c r="K634">
        <v>1.75</v>
      </c>
      <c r="L634">
        <v>4.0999999999999996</v>
      </c>
      <c r="M634">
        <v>4.2</v>
      </c>
      <c r="N634">
        <v>4.08</v>
      </c>
      <c r="O634">
        <v>4.12</v>
      </c>
      <c r="P634" t="s">
        <v>116</v>
      </c>
      <c r="Q634">
        <v>51361476</v>
      </c>
      <c r="R634">
        <v>0.71</v>
      </c>
      <c r="S634" t="s">
        <v>181</v>
      </c>
      <c r="T634" t="s">
        <v>1653</v>
      </c>
      <c r="U634">
        <v>2.91</v>
      </c>
      <c r="V634">
        <v>4.13</v>
      </c>
      <c r="W634">
        <v>71651</v>
      </c>
      <c r="X634">
        <v>52779</v>
      </c>
      <c r="Y634">
        <v>1.36</v>
      </c>
      <c r="Z634">
        <v>2667</v>
      </c>
      <c r="AA634">
        <v>454</v>
      </c>
      <c r="AB634" t="s">
        <v>116</v>
      </c>
      <c r="AC634">
        <v>344400</v>
      </c>
      <c r="AD634">
        <v>0.02</v>
      </c>
      <c r="AE634" t="s">
        <v>116</v>
      </c>
      <c r="AF634" t="s">
        <v>116</v>
      </c>
      <c r="AG634">
        <v>7.11</v>
      </c>
      <c r="AH634" t="s">
        <v>4030</v>
      </c>
      <c r="AI634" t="s">
        <v>4031</v>
      </c>
      <c r="AJ634">
        <v>-0.05</v>
      </c>
      <c r="AK634">
        <v>1281</v>
      </c>
      <c r="AL634">
        <v>97</v>
      </c>
      <c r="AM634">
        <v>1.4E-3</v>
      </c>
      <c r="AN634">
        <v>-1</v>
      </c>
      <c r="AO634">
        <v>-0.49</v>
      </c>
      <c r="AP634">
        <v>17.53</v>
      </c>
      <c r="AQ634">
        <v>14.57</v>
      </c>
      <c r="AR634">
        <v>11.44</v>
      </c>
      <c r="AS634">
        <v>2.75</v>
      </c>
      <c r="AT634" t="s">
        <v>4032</v>
      </c>
      <c r="AU634" t="s">
        <v>116</v>
      </c>
      <c r="AV634" t="s">
        <v>116</v>
      </c>
      <c r="AW634">
        <v>0.92</v>
      </c>
      <c r="BA634">
        <v>-0.49</v>
      </c>
      <c r="BB634">
        <v>1.94</v>
      </c>
      <c r="BC634">
        <v>-0.97</v>
      </c>
      <c r="BD634">
        <v>0.19</v>
      </c>
      <c r="BE634">
        <v>-0.24</v>
      </c>
      <c r="BF634">
        <v>-2.62</v>
      </c>
      <c r="BG634">
        <v>0.25</v>
      </c>
      <c r="BH634">
        <v>-0.92</v>
      </c>
      <c r="BI634">
        <v>20191031</v>
      </c>
      <c r="BJ634">
        <v>20071101</v>
      </c>
      <c r="BK634">
        <v>7.12</v>
      </c>
      <c r="BL634" t="s">
        <v>116</v>
      </c>
      <c r="BM634" t="s">
        <v>116</v>
      </c>
      <c r="BN634">
        <v>18.87</v>
      </c>
      <c r="BO634">
        <v>8.25</v>
      </c>
      <c r="BP634">
        <v>1.84</v>
      </c>
      <c r="BQ634">
        <v>46.53</v>
      </c>
      <c r="BR634">
        <v>14.87</v>
      </c>
      <c r="BS634">
        <v>1.07</v>
      </c>
      <c r="BT634">
        <v>0.06</v>
      </c>
      <c r="BU634">
        <v>8.23</v>
      </c>
      <c r="BV634">
        <v>4.93</v>
      </c>
      <c r="BW634">
        <v>4.4400000000000004</v>
      </c>
      <c r="BX634">
        <v>2.59</v>
      </c>
      <c r="BY634">
        <v>6.21</v>
      </c>
      <c r="BZ634">
        <v>5.1100000000000003</v>
      </c>
      <c r="CA634">
        <v>-0.19</v>
      </c>
      <c r="CB634">
        <v>0.04</v>
      </c>
      <c r="CC634">
        <v>-0.19</v>
      </c>
      <c r="CD634">
        <v>-0.19</v>
      </c>
      <c r="CE634">
        <v>-0.16</v>
      </c>
      <c r="CF634">
        <v>-0.19</v>
      </c>
      <c r="CG634">
        <v>-1.76</v>
      </c>
      <c r="CH634">
        <v>-1.27</v>
      </c>
      <c r="CI634">
        <v>-1.1100000000000001</v>
      </c>
      <c r="CJ634">
        <v>60254</v>
      </c>
      <c r="CK634">
        <v>7510</v>
      </c>
      <c r="CL634" t="s">
        <v>3910</v>
      </c>
      <c r="CM634">
        <v>-188.05</v>
      </c>
      <c r="CN634">
        <v>-23.27</v>
      </c>
      <c r="CO634">
        <v>3.53</v>
      </c>
      <c r="CP634">
        <v>-22.9</v>
      </c>
      <c r="CQ634">
        <v>4.6900000000000004</v>
      </c>
      <c r="CR634">
        <v>0</v>
      </c>
      <c r="CS634" t="s">
        <v>1538</v>
      </c>
      <c r="CT634">
        <v>1.1599999999999999</v>
      </c>
      <c r="CU634">
        <v>0</v>
      </c>
      <c r="CV634">
        <v>0.36</v>
      </c>
      <c r="CW634">
        <v>-0.25</v>
      </c>
      <c r="CX634">
        <v>-0.18</v>
      </c>
      <c r="CY634">
        <v>43.72</v>
      </c>
      <c r="CZ634" t="s">
        <v>4033</v>
      </c>
      <c r="DA634">
        <v>17.77</v>
      </c>
      <c r="DB634">
        <v>-3.02</v>
      </c>
      <c r="DC634">
        <v>-2.5</v>
      </c>
      <c r="DD634">
        <v>0.43</v>
      </c>
      <c r="DE634">
        <v>880</v>
      </c>
      <c r="DF634">
        <v>2178</v>
      </c>
      <c r="DG634" t="s">
        <v>116</v>
      </c>
      <c r="DH634" t="s">
        <v>116</v>
      </c>
      <c r="DI634" t="s">
        <v>116</v>
      </c>
    </row>
    <row r="635" spans="1:113" x14ac:dyDescent="0.4">
      <c r="A635" t="str">
        <f>"002179"</f>
        <v>002179</v>
      </c>
      <c r="B635" t="s">
        <v>4034</v>
      </c>
      <c r="C635">
        <v>0.72</v>
      </c>
      <c r="D635">
        <v>39.159999999999997</v>
      </c>
      <c r="E635">
        <v>0.28000000000000003</v>
      </c>
      <c r="F635">
        <v>39.15</v>
      </c>
      <c r="G635">
        <v>39.159999999999997</v>
      </c>
      <c r="H635">
        <v>61898</v>
      </c>
      <c r="I635">
        <v>267</v>
      </c>
      <c r="J635">
        <v>-0.09</v>
      </c>
      <c r="K635">
        <v>0.57999999999999996</v>
      </c>
      <c r="L635">
        <v>38.85</v>
      </c>
      <c r="M635">
        <v>39.549999999999997</v>
      </c>
      <c r="N635">
        <v>38.85</v>
      </c>
      <c r="O635">
        <v>38.880000000000003</v>
      </c>
      <c r="P635">
        <v>37.82</v>
      </c>
      <c r="Q635">
        <v>243211024</v>
      </c>
      <c r="R635">
        <v>1.29</v>
      </c>
      <c r="S635" t="s">
        <v>233</v>
      </c>
      <c r="T635" t="s">
        <v>652</v>
      </c>
      <c r="U635">
        <v>1.8</v>
      </c>
      <c r="V635">
        <v>39.29</v>
      </c>
      <c r="W635">
        <v>29213</v>
      </c>
      <c r="X635">
        <v>32685</v>
      </c>
      <c r="Y635">
        <v>0.89</v>
      </c>
      <c r="Z635">
        <v>11</v>
      </c>
      <c r="AA635">
        <v>152</v>
      </c>
      <c r="AB635" t="s">
        <v>116</v>
      </c>
      <c r="AC635">
        <v>1194600</v>
      </c>
      <c r="AD635">
        <v>0.01</v>
      </c>
      <c r="AE635" t="s">
        <v>116</v>
      </c>
      <c r="AF635" t="s">
        <v>116</v>
      </c>
      <c r="AG635">
        <v>10.62</v>
      </c>
      <c r="AH635" t="s">
        <v>4035</v>
      </c>
      <c r="AI635" t="s">
        <v>4036</v>
      </c>
      <c r="AJ635">
        <v>1.4</v>
      </c>
      <c r="AK635">
        <v>3303</v>
      </c>
      <c r="AL635">
        <v>19</v>
      </c>
      <c r="AM635">
        <v>2.0000000000000001E-4</v>
      </c>
      <c r="AN635">
        <v>3</v>
      </c>
      <c r="AO635">
        <v>1.74</v>
      </c>
      <c r="AP635">
        <v>1.66</v>
      </c>
      <c r="AQ635">
        <v>-3.59</v>
      </c>
      <c r="AR635">
        <v>51.74</v>
      </c>
      <c r="AS635">
        <v>1.19</v>
      </c>
      <c r="AT635" t="s">
        <v>4037</v>
      </c>
      <c r="AU635">
        <v>37.75</v>
      </c>
      <c r="AV635">
        <v>43.05</v>
      </c>
      <c r="AW635">
        <v>0.79</v>
      </c>
      <c r="BA635">
        <v>-0.08</v>
      </c>
      <c r="BB635">
        <v>1.72</v>
      </c>
      <c r="BC635">
        <v>-0.08</v>
      </c>
      <c r="BD635">
        <v>1.06</v>
      </c>
      <c r="BE635">
        <v>0.8</v>
      </c>
      <c r="BF635">
        <v>-0.99</v>
      </c>
      <c r="BG635">
        <v>0.8</v>
      </c>
      <c r="BH635">
        <v>-0.34</v>
      </c>
      <c r="BI635">
        <v>20191227</v>
      </c>
      <c r="BJ635">
        <v>20071101</v>
      </c>
      <c r="BK635">
        <v>10.7</v>
      </c>
      <c r="BL635" t="s">
        <v>116</v>
      </c>
      <c r="BM635" t="s">
        <v>116</v>
      </c>
      <c r="BN635">
        <v>148.68</v>
      </c>
      <c r="BO635">
        <v>73.599999999999994</v>
      </c>
      <c r="BP635">
        <v>5.67</v>
      </c>
      <c r="BQ635">
        <v>46.68</v>
      </c>
      <c r="BR635">
        <v>121.84</v>
      </c>
      <c r="BS635">
        <v>18.02</v>
      </c>
      <c r="BT635">
        <v>1.92</v>
      </c>
      <c r="BU635">
        <v>60.49</v>
      </c>
      <c r="BV635">
        <v>21.75</v>
      </c>
      <c r="BW635">
        <v>53.61</v>
      </c>
      <c r="BX635">
        <v>14.08</v>
      </c>
      <c r="BY635">
        <v>68.92</v>
      </c>
      <c r="BZ635">
        <v>45.73</v>
      </c>
      <c r="CA635">
        <v>9.86</v>
      </c>
      <c r="CB635">
        <v>0.14000000000000001</v>
      </c>
      <c r="CC635">
        <v>9.93</v>
      </c>
      <c r="CD635">
        <v>9.02</v>
      </c>
      <c r="CE635">
        <v>8.31</v>
      </c>
      <c r="CF635">
        <v>8.16</v>
      </c>
      <c r="CG635">
        <v>37.31</v>
      </c>
      <c r="CH635">
        <v>1.5</v>
      </c>
      <c r="CI635">
        <v>-2.48</v>
      </c>
      <c r="CJ635">
        <v>33149</v>
      </c>
      <c r="CK635">
        <v>15628</v>
      </c>
      <c r="CL635" t="s">
        <v>4038</v>
      </c>
      <c r="CM635">
        <v>19.22</v>
      </c>
      <c r="CN635">
        <v>19.34</v>
      </c>
      <c r="CO635">
        <v>5.68</v>
      </c>
      <c r="CP635">
        <v>279.68</v>
      </c>
      <c r="CQ635">
        <v>6.08</v>
      </c>
      <c r="CR635">
        <v>0.25</v>
      </c>
      <c r="CS635" t="s">
        <v>4039</v>
      </c>
      <c r="CT635">
        <v>6.89</v>
      </c>
      <c r="CU635">
        <v>6.89</v>
      </c>
      <c r="CV635">
        <v>1.32</v>
      </c>
      <c r="CW635">
        <v>3.49</v>
      </c>
      <c r="CX635">
        <v>0.14000000000000001</v>
      </c>
      <c r="CY635">
        <v>49.5</v>
      </c>
      <c r="CZ635" t="s">
        <v>4040</v>
      </c>
      <c r="DA635">
        <v>33.64</v>
      </c>
      <c r="DB635">
        <v>14.3</v>
      </c>
      <c r="DC635">
        <v>12.06</v>
      </c>
      <c r="DD635">
        <v>6.52</v>
      </c>
      <c r="DE635">
        <v>12612</v>
      </c>
      <c r="DF635">
        <v>2179</v>
      </c>
      <c r="DG635" t="s">
        <v>116</v>
      </c>
      <c r="DH635" t="s">
        <v>116</v>
      </c>
      <c r="DI635" t="s">
        <v>116</v>
      </c>
    </row>
    <row r="636" spans="1:113" x14ac:dyDescent="0.4">
      <c r="A636" t="str">
        <f>"002180"</f>
        <v>002180</v>
      </c>
      <c r="B636" t="s">
        <v>4041</v>
      </c>
      <c r="C636">
        <v>-3.2</v>
      </c>
      <c r="D636">
        <v>31.8</v>
      </c>
      <c r="E636">
        <v>-1.05</v>
      </c>
      <c r="F636">
        <v>31.8</v>
      </c>
      <c r="G636">
        <v>31.81</v>
      </c>
      <c r="H636">
        <v>114201</v>
      </c>
      <c r="I636">
        <v>1119</v>
      </c>
      <c r="J636">
        <v>-0.24</v>
      </c>
      <c r="K636">
        <v>1.1399999999999999</v>
      </c>
      <c r="L636">
        <v>32.75</v>
      </c>
      <c r="M636">
        <v>33.090000000000003</v>
      </c>
      <c r="N636">
        <v>31.75</v>
      </c>
      <c r="O636">
        <v>32.85</v>
      </c>
      <c r="P636">
        <v>36.049999999999997</v>
      </c>
      <c r="Q636">
        <v>369757152</v>
      </c>
      <c r="R636">
        <v>0.94</v>
      </c>
      <c r="S636" t="s">
        <v>241</v>
      </c>
      <c r="T636" t="s">
        <v>551</v>
      </c>
      <c r="U636">
        <v>4.08</v>
      </c>
      <c r="V636">
        <v>32.380000000000003</v>
      </c>
      <c r="W636">
        <v>63847</v>
      </c>
      <c r="X636">
        <v>50354</v>
      </c>
      <c r="Y636">
        <v>1.27</v>
      </c>
      <c r="Z636">
        <v>225</v>
      </c>
      <c r="AA636">
        <v>142</v>
      </c>
      <c r="AB636" t="s">
        <v>116</v>
      </c>
      <c r="AC636">
        <v>1372200</v>
      </c>
      <c r="AD636">
        <v>0.01</v>
      </c>
      <c r="AE636" t="s">
        <v>116</v>
      </c>
      <c r="AF636" t="s">
        <v>116</v>
      </c>
      <c r="AG636">
        <v>10.02</v>
      </c>
      <c r="AH636" t="s">
        <v>4042</v>
      </c>
      <c r="AI636" t="s">
        <v>4043</v>
      </c>
      <c r="AJ636">
        <v>-2.52</v>
      </c>
      <c r="AK636">
        <v>3699</v>
      </c>
      <c r="AL636">
        <v>31</v>
      </c>
      <c r="AM636">
        <v>2.9999999999999997E-4</v>
      </c>
      <c r="AN636">
        <v>-2</v>
      </c>
      <c r="AO636">
        <v>-2.78</v>
      </c>
      <c r="AP636">
        <v>12.37</v>
      </c>
      <c r="AQ636">
        <v>9.66</v>
      </c>
      <c r="AR636">
        <v>39.229999999999997</v>
      </c>
      <c r="AS636">
        <v>2.75</v>
      </c>
      <c r="AT636" t="s">
        <v>4044</v>
      </c>
      <c r="AU636">
        <v>29.2</v>
      </c>
      <c r="AV636">
        <v>35.57</v>
      </c>
      <c r="AW636">
        <v>1.2</v>
      </c>
      <c r="BA636">
        <v>-0.3</v>
      </c>
      <c r="BB636">
        <v>0.73</v>
      </c>
      <c r="BC636">
        <v>-3.35</v>
      </c>
      <c r="BD636">
        <v>-1.44</v>
      </c>
      <c r="BE636">
        <v>-2.9</v>
      </c>
      <c r="BF636">
        <v>-3.9</v>
      </c>
      <c r="BG636">
        <v>0.16</v>
      </c>
      <c r="BH636">
        <v>-1.76</v>
      </c>
      <c r="BI636">
        <v>20191120</v>
      </c>
      <c r="BJ636">
        <v>20071113</v>
      </c>
      <c r="BK636">
        <v>10.63</v>
      </c>
      <c r="BL636" t="s">
        <v>116</v>
      </c>
      <c r="BM636" t="s">
        <v>116</v>
      </c>
      <c r="BN636">
        <v>374.11</v>
      </c>
      <c r="BO636">
        <v>55.84</v>
      </c>
      <c r="BP636">
        <v>36.340000000000003</v>
      </c>
      <c r="BQ636">
        <v>75.36</v>
      </c>
      <c r="BR636">
        <v>115.88</v>
      </c>
      <c r="BS636">
        <v>31.32</v>
      </c>
      <c r="BT636">
        <v>74.02</v>
      </c>
      <c r="BU636">
        <v>150.57</v>
      </c>
      <c r="BV636">
        <v>30.59</v>
      </c>
      <c r="BW636">
        <v>29.42</v>
      </c>
      <c r="BX636">
        <v>14.33</v>
      </c>
      <c r="BY636">
        <v>168.25</v>
      </c>
      <c r="BZ636">
        <v>107.8</v>
      </c>
      <c r="CA636">
        <v>12.04</v>
      </c>
      <c r="CB636">
        <v>0.09</v>
      </c>
      <c r="CC636">
        <v>12</v>
      </c>
      <c r="CD636">
        <v>8.51</v>
      </c>
      <c r="CE636">
        <v>7.04</v>
      </c>
      <c r="CF636">
        <v>6.26</v>
      </c>
      <c r="CG636">
        <v>30.07</v>
      </c>
      <c r="CH636">
        <v>9.06</v>
      </c>
      <c r="CI636">
        <v>-0.44</v>
      </c>
      <c r="CJ636">
        <v>13549</v>
      </c>
      <c r="CK636">
        <v>30614</v>
      </c>
      <c r="CL636" t="s">
        <v>4045</v>
      </c>
      <c r="CM636">
        <v>41.85</v>
      </c>
      <c r="CN636">
        <v>5.86</v>
      </c>
      <c r="CO636">
        <v>6.06</v>
      </c>
      <c r="CP636">
        <v>37.340000000000003</v>
      </c>
      <c r="CQ636">
        <v>2.0099999999999998</v>
      </c>
      <c r="CR636">
        <v>0.25</v>
      </c>
      <c r="CS636" t="s">
        <v>4046</v>
      </c>
      <c r="CT636">
        <v>5.25</v>
      </c>
      <c r="CU636">
        <v>0</v>
      </c>
      <c r="CV636">
        <v>1.35</v>
      </c>
      <c r="CW636">
        <v>2.83</v>
      </c>
      <c r="CX636">
        <v>0.85</v>
      </c>
      <c r="CY636">
        <v>14.93</v>
      </c>
      <c r="CZ636" t="s">
        <v>4047</v>
      </c>
      <c r="DA636">
        <v>35.93</v>
      </c>
      <c r="DB636">
        <v>7.16</v>
      </c>
      <c r="DC636">
        <v>4.18</v>
      </c>
      <c r="DD636">
        <v>9.9600000000000009</v>
      </c>
      <c r="DE636">
        <v>16899</v>
      </c>
      <c r="DF636">
        <v>2180</v>
      </c>
      <c r="DG636" t="s">
        <v>116</v>
      </c>
      <c r="DH636" t="s">
        <v>116</v>
      </c>
      <c r="DI636" t="s">
        <v>116</v>
      </c>
    </row>
    <row r="637" spans="1:113" x14ac:dyDescent="0.4">
      <c r="A637" t="str">
        <f>"002181"</f>
        <v>002181</v>
      </c>
      <c r="B637" t="s">
        <v>4048</v>
      </c>
      <c r="C637">
        <v>-1.01</v>
      </c>
      <c r="D637">
        <v>5.9</v>
      </c>
      <c r="E637">
        <v>-0.06</v>
      </c>
      <c r="F637">
        <v>5.9</v>
      </c>
      <c r="G637">
        <v>5.91</v>
      </c>
      <c r="H637">
        <v>1019162</v>
      </c>
      <c r="I637">
        <v>7280</v>
      </c>
      <c r="J637">
        <v>-1.1599999999999999</v>
      </c>
      <c r="K637">
        <v>8.98</v>
      </c>
      <c r="L637">
        <v>6.28</v>
      </c>
      <c r="M637">
        <v>6.48</v>
      </c>
      <c r="N637">
        <v>5.83</v>
      </c>
      <c r="O637">
        <v>5.96</v>
      </c>
      <c r="P637">
        <v>49.09</v>
      </c>
      <c r="Q637">
        <v>633365888</v>
      </c>
      <c r="R637">
        <v>3.25</v>
      </c>
      <c r="S637" t="s">
        <v>1902</v>
      </c>
      <c r="T637" t="s">
        <v>551</v>
      </c>
      <c r="U637">
        <v>10.91</v>
      </c>
      <c r="V637">
        <v>6.21</v>
      </c>
      <c r="W637">
        <v>498465</v>
      </c>
      <c r="X637">
        <v>520697</v>
      </c>
      <c r="Y637">
        <v>0.96</v>
      </c>
      <c r="Z637">
        <v>410</v>
      </c>
      <c r="AA637">
        <v>470</v>
      </c>
      <c r="AB637" t="s">
        <v>116</v>
      </c>
      <c r="AC637">
        <v>22287700</v>
      </c>
      <c r="AD637">
        <v>0.96</v>
      </c>
      <c r="AE637" t="s">
        <v>116</v>
      </c>
      <c r="AF637" t="s">
        <v>116</v>
      </c>
      <c r="AG637">
        <v>11.34</v>
      </c>
      <c r="AH637" t="s">
        <v>4049</v>
      </c>
      <c r="AI637" t="s">
        <v>4050</v>
      </c>
      <c r="AJ637">
        <v>-0.33</v>
      </c>
      <c r="AK637">
        <v>3967</v>
      </c>
      <c r="AL637">
        <v>257</v>
      </c>
      <c r="AM637">
        <v>2.3E-3</v>
      </c>
      <c r="AN637">
        <v>-1</v>
      </c>
      <c r="AO637">
        <v>15</v>
      </c>
      <c r="AP637">
        <v>26.07</v>
      </c>
      <c r="AQ637">
        <v>38.17</v>
      </c>
      <c r="AR637">
        <v>63.98</v>
      </c>
      <c r="AS637">
        <v>27.55</v>
      </c>
      <c r="AT637" t="s">
        <v>4051</v>
      </c>
      <c r="AU637">
        <v>51.86</v>
      </c>
      <c r="AV637">
        <v>125.6</v>
      </c>
      <c r="AW637">
        <v>1.32</v>
      </c>
      <c r="BA637">
        <v>5.37</v>
      </c>
      <c r="BB637">
        <v>8.7200000000000006</v>
      </c>
      <c r="BC637">
        <v>-2.1800000000000002</v>
      </c>
      <c r="BD637">
        <v>4.2699999999999996</v>
      </c>
      <c r="BE637">
        <v>-6.05</v>
      </c>
      <c r="BF637">
        <v>-8.9499999999999993</v>
      </c>
      <c r="BG637">
        <v>1.2</v>
      </c>
      <c r="BH637">
        <v>-5.28</v>
      </c>
      <c r="BI637">
        <v>20191022</v>
      </c>
      <c r="BJ637">
        <v>20071116</v>
      </c>
      <c r="BK637">
        <v>11.61</v>
      </c>
      <c r="BL637" t="s">
        <v>116</v>
      </c>
      <c r="BM637" t="s">
        <v>116</v>
      </c>
      <c r="BN637">
        <v>44.92</v>
      </c>
      <c r="BO637">
        <v>40.549999999999997</v>
      </c>
      <c r="BP637">
        <v>0.09</v>
      </c>
      <c r="BQ637">
        <v>9.5399999999999991</v>
      </c>
      <c r="BR637">
        <v>26.24</v>
      </c>
      <c r="BS637">
        <v>1.62</v>
      </c>
      <c r="BT637">
        <v>7.31</v>
      </c>
      <c r="BU637">
        <v>2.67</v>
      </c>
      <c r="BV637">
        <v>1.2</v>
      </c>
      <c r="BW637">
        <v>1.9</v>
      </c>
      <c r="BX637">
        <v>13.4</v>
      </c>
      <c r="BY637">
        <v>4.92</v>
      </c>
      <c r="BZ637">
        <v>3.16</v>
      </c>
      <c r="CA637">
        <v>1.06</v>
      </c>
      <c r="CB637">
        <v>0.49</v>
      </c>
      <c r="CC637">
        <v>1.05</v>
      </c>
      <c r="CD637">
        <v>1.04</v>
      </c>
      <c r="CE637">
        <v>1.05</v>
      </c>
      <c r="CF637">
        <v>0.75</v>
      </c>
      <c r="CG637">
        <v>12.5</v>
      </c>
      <c r="CH637">
        <v>-0.92</v>
      </c>
      <c r="CI637">
        <v>1.75</v>
      </c>
      <c r="CJ637">
        <v>51177</v>
      </c>
      <c r="CK637">
        <v>7229</v>
      </c>
      <c r="CL637" t="s">
        <v>4052</v>
      </c>
      <c r="CM637">
        <v>286.11</v>
      </c>
      <c r="CN637">
        <v>-14.37</v>
      </c>
      <c r="CO637">
        <v>1.69</v>
      </c>
      <c r="CP637">
        <v>-74.39</v>
      </c>
      <c r="CQ637">
        <v>13.93</v>
      </c>
      <c r="CR637">
        <v>0.2</v>
      </c>
      <c r="CS637" t="s">
        <v>2739</v>
      </c>
      <c r="CT637">
        <v>3.49</v>
      </c>
      <c r="CU637">
        <v>0</v>
      </c>
      <c r="CV637">
        <v>1.1499999999999999</v>
      </c>
      <c r="CW637">
        <v>1.08</v>
      </c>
      <c r="CX637">
        <v>-0.08</v>
      </c>
      <c r="CY637">
        <v>90.27</v>
      </c>
      <c r="CZ637" t="s">
        <v>2621</v>
      </c>
      <c r="DA637">
        <v>35.770000000000003</v>
      </c>
      <c r="DB637">
        <v>21.59</v>
      </c>
      <c r="DC637">
        <v>21.29</v>
      </c>
      <c r="DD637">
        <v>0.02</v>
      </c>
      <c r="DE637">
        <v>2576</v>
      </c>
      <c r="DF637">
        <v>2181</v>
      </c>
      <c r="DG637" t="s">
        <v>116</v>
      </c>
      <c r="DH637" t="s">
        <v>116</v>
      </c>
      <c r="DI637" t="s">
        <v>116</v>
      </c>
    </row>
    <row r="638" spans="1:113" x14ac:dyDescent="0.4">
      <c r="A638" t="str">
        <f>"002182"</f>
        <v>002182</v>
      </c>
      <c r="B638" t="s">
        <v>4053</v>
      </c>
      <c r="C638">
        <v>-0.64</v>
      </c>
      <c r="D638">
        <v>9.33</v>
      </c>
      <c r="E638">
        <v>-0.06</v>
      </c>
      <c r="F638">
        <v>9.32</v>
      </c>
      <c r="G638">
        <v>9.33</v>
      </c>
      <c r="H638">
        <v>316042</v>
      </c>
      <c r="I638">
        <v>2032</v>
      </c>
      <c r="J638">
        <v>-0.31</v>
      </c>
      <c r="K638">
        <v>6.46</v>
      </c>
      <c r="L638">
        <v>9.4</v>
      </c>
      <c r="M638">
        <v>9.64</v>
      </c>
      <c r="N638">
        <v>9.31</v>
      </c>
      <c r="O638">
        <v>9.39</v>
      </c>
      <c r="P638">
        <v>8.74</v>
      </c>
      <c r="Q638">
        <v>299613472</v>
      </c>
      <c r="R638">
        <v>1.53</v>
      </c>
      <c r="S638" t="s">
        <v>1509</v>
      </c>
      <c r="T638" t="s">
        <v>323</v>
      </c>
      <c r="U638">
        <v>3.51</v>
      </c>
      <c r="V638">
        <v>9.48</v>
      </c>
      <c r="W638">
        <v>167286</v>
      </c>
      <c r="X638">
        <v>148756</v>
      </c>
      <c r="Y638">
        <v>1.1200000000000001</v>
      </c>
      <c r="Z638">
        <v>1240</v>
      </c>
      <c r="AA638">
        <v>101</v>
      </c>
      <c r="AB638" t="s">
        <v>116</v>
      </c>
      <c r="AC638">
        <v>350600</v>
      </c>
      <c r="AD638">
        <v>0.01</v>
      </c>
      <c r="AE638" t="s">
        <v>116</v>
      </c>
      <c r="AF638" t="s">
        <v>116</v>
      </c>
      <c r="AG638">
        <v>4.8899999999999997</v>
      </c>
      <c r="AH638" t="s">
        <v>400</v>
      </c>
      <c r="AI638" t="s">
        <v>4054</v>
      </c>
      <c r="AJ638">
        <v>0.04</v>
      </c>
      <c r="AK638">
        <v>3894</v>
      </c>
      <c r="AL638">
        <v>81</v>
      </c>
      <c r="AM638">
        <v>1.6999999999999999E-3</v>
      </c>
      <c r="AN638">
        <v>-1</v>
      </c>
      <c r="AO638">
        <v>-2</v>
      </c>
      <c r="AP638">
        <v>13.92</v>
      </c>
      <c r="AQ638">
        <v>7.49</v>
      </c>
      <c r="AR638">
        <v>51.95</v>
      </c>
      <c r="AS638">
        <v>7.8</v>
      </c>
      <c r="AT638" t="s">
        <v>4055</v>
      </c>
      <c r="AU638">
        <v>10.06</v>
      </c>
      <c r="AV638">
        <v>18.3</v>
      </c>
      <c r="AW638">
        <v>0.97</v>
      </c>
      <c r="BA638">
        <v>0.11</v>
      </c>
      <c r="BB638">
        <v>2.66</v>
      </c>
      <c r="BC638">
        <v>-0.85</v>
      </c>
      <c r="BD638">
        <v>0.96</v>
      </c>
      <c r="BE638">
        <v>-0.74</v>
      </c>
      <c r="BF638">
        <v>-3.22</v>
      </c>
      <c r="BG638">
        <v>0.21</v>
      </c>
      <c r="BH638">
        <v>-1.6</v>
      </c>
      <c r="BI638">
        <v>20191125</v>
      </c>
      <c r="BJ638">
        <v>20071113</v>
      </c>
      <c r="BK638">
        <v>6.46</v>
      </c>
      <c r="BL638" t="s">
        <v>116</v>
      </c>
      <c r="BM638" t="s">
        <v>116</v>
      </c>
      <c r="BN638">
        <v>50.6</v>
      </c>
      <c r="BO638">
        <v>22.8</v>
      </c>
      <c r="BP638">
        <v>0.01</v>
      </c>
      <c r="BQ638">
        <v>54.94</v>
      </c>
      <c r="BR638">
        <v>27.9</v>
      </c>
      <c r="BS638">
        <v>11.53</v>
      </c>
      <c r="BT638">
        <v>1.95</v>
      </c>
      <c r="BU638">
        <v>26.14</v>
      </c>
      <c r="BV638">
        <v>8.1300000000000008</v>
      </c>
      <c r="BW638">
        <v>12.66</v>
      </c>
      <c r="BX638">
        <v>4.66</v>
      </c>
      <c r="BY638">
        <v>39.369999999999997</v>
      </c>
      <c r="BZ638">
        <v>32.880000000000003</v>
      </c>
      <c r="CA638">
        <v>6.18</v>
      </c>
      <c r="CB638">
        <v>0.02</v>
      </c>
      <c r="CC638">
        <v>5.91</v>
      </c>
      <c r="CD638">
        <v>5.16</v>
      </c>
      <c r="CE638">
        <v>5.18</v>
      </c>
      <c r="CF638">
        <v>1.69</v>
      </c>
      <c r="CG638">
        <v>11.15</v>
      </c>
      <c r="CH638">
        <v>2.39</v>
      </c>
      <c r="CI638">
        <v>1.46</v>
      </c>
      <c r="CJ638">
        <v>55235</v>
      </c>
      <c r="CK638">
        <v>7337</v>
      </c>
      <c r="CL638" t="s">
        <v>3227</v>
      </c>
      <c r="CM638">
        <v>109.01</v>
      </c>
      <c r="CN638">
        <v>3.32</v>
      </c>
      <c r="CO638">
        <v>2.65</v>
      </c>
      <c r="CP638">
        <v>25.29</v>
      </c>
      <c r="CQ638">
        <v>1.53</v>
      </c>
      <c r="CR638">
        <v>1.07</v>
      </c>
      <c r="CS638" t="s">
        <v>4056</v>
      </c>
      <c r="CT638">
        <v>3.53</v>
      </c>
      <c r="CU638">
        <v>0</v>
      </c>
      <c r="CV638">
        <v>0.72</v>
      </c>
      <c r="CW638">
        <v>1.72</v>
      </c>
      <c r="CX638">
        <v>0.37</v>
      </c>
      <c r="CY638">
        <v>45.05</v>
      </c>
      <c r="CZ638" t="s">
        <v>4057</v>
      </c>
      <c r="DA638">
        <v>16.489999999999998</v>
      </c>
      <c r="DB638">
        <v>15.69</v>
      </c>
      <c r="DC638">
        <v>13.15</v>
      </c>
      <c r="DD638">
        <v>1.5</v>
      </c>
      <c r="DE638">
        <v>3094</v>
      </c>
      <c r="DF638">
        <v>2182</v>
      </c>
      <c r="DG638" t="s">
        <v>116</v>
      </c>
      <c r="DH638" t="s">
        <v>116</v>
      </c>
      <c r="DI638" t="s">
        <v>116</v>
      </c>
    </row>
    <row r="639" spans="1:113" x14ac:dyDescent="0.4">
      <c r="A639" t="str">
        <f>"002183"</f>
        <v>002183</v>
      </c>
      <c r="B639" t="s">
        <v>4058</v>
      </c>
      <c r="C639">
        <v>-0.48</v>
      </c>
      <c r="D639">
        <v>4.18</v>
      </c>
      <c r="E639">
        <v>-0.02</v>
      </c>
      <c r="F639">
        <v>4.17</v>
      </c>
      <c r="G639">
        <v>4.18</v>
      </c>
      <c r="H639">
        <v>177133</v>
      </c>
      <c r="I639">
        <v>2927</v>
      </c>
      <c r="J639">
        <v>-0.23</v>
      </c>
      <c r="K639">
        <v>0.84</v>
      </c>
      <c r="L639">
        <v>4.1900000000000004</v>
      </c>
      <c r="M639">
        <v>4.25</v>
      </c>
      <c r="N639">
        <v>4.18</v>
      </c>
      <c r="O639">
        <v>4.2</v>
      </c>
      <c r="P639">
        <v>93.62</v>
      </c>
      <c r="Q639">
        <v>74644632</v>
      </c>
      <c r="R639">
        <v>1.05</v>
      </c>
      <c r="S639" t="s">
        <v>3113</v>
      </c>
      <c r="T639" t="s">
        <v>115</v>
      </c>
      <c r="U639">
        <v>1.67</v>
      </c>
      <c r="V639">
        <v>4.21</v>
      </c>
      <c r="W639">
        <v>94429</v>
      </c>
      <c r="X639">
        <v>82704</v>
      </c>
      <c r="Y639">
        <v>1.1399999999999999</v>
      </c>
      <c r="Z639">
        <v>4152</v>
      </c>
      <c r="AA639">
        <v>270</v>
      </c>
      <c r="AB639" t="s">
        <v>116</v>
      </c>
      <c r="AC639">
        <v>146700</v>
      </c>
      <c r="AD639">
        <v>0</v>
      </c>
      <c r="AE639" t="s">
        <v>116</v>
      </c>
      <c r="AF639" t="s">
        <v>116</v>
      </c>
      <c r="AG639">
        <v>21.2</v>
      </c>
      <c r="AH639" t="s">
        <v>4059</v>
      </c>
      <c r="AI639" t="s">
        <v>4060</v>
      </c>
      <c r="AJ639">
        <v>0.2</v>
      </c>
      <c r="AK639">
        <v>1719</v>
      </c>
      <c r="AL639">
        <v>103</v>
      </c>
      <c r="AM639">
        <v>5.0000000000000001E-4</v>
      </c>
      <c r="AN639">
        <v>-1</v>
      </c>
      <c r="AO639">
        <v>0.24</v>
      </c>
      <c r="AP639">
        <v>2.4500000000000002</v>
      </c>
      <c r="AQ639">
        <v>-0.71</v>
      </c>
      <c r="AR639">
        <v>-16.23</v>
      </c>
      <c r="AS639">
        <v>1.31</v>
      </c>
      <c r="AT639" t="s">
        <v>4061</v>
      </c>
      <c r="AU639" t="s">
        <v>116</v>
      </c>
      <c r="AV639">
        <v>44.34</v>
      </c>
      <c r="AW639">
        <v>1.19</v>
      </c>
      <c r="BA639">
        <v>-0.24</v>
      </c>
      <c r="BB639">
        <v>1.19</v>
      </c>
      <c r="BC639">
        <v>-0.48</v>
      </c>
      <c r="BD639">
        <v>0.33</v>
      </c>
      <c r="BE639">
        <v>-0.24</v>
      </c>
      <c r="BF639">
        <v>-1.65</v>
      </c>
      <c r="BG639">
        <v>0</v>
      </c>
      <c r="BH639">
        <v>-0.81</v>
      </c>
      <c r="BI639">
        <v>20191030</v>
      </c>
      <c r="BJ639">
        <v>20071113</v>
      </c>
      <c r="BK639">
        <v>21.23</v>
      </c>
      <c r="BL639" t="s">
        <v>116</v>
      </c>
      <c r="BM639" t="s">
        <v>116</v>
      </c>
      <c r="BN639">
        <v>431.73</v>
      </c>
      <c r="BO639">
        <v>60.1</v>
      </c>
      <c r="BP639">
        <v>26.45</v>
      </c>
      <c r="BQ639">
        <v>79.95</v>
      </c>
      <c r="BR639">
        <v>345.86</v>
      </c>
      <c r="BS639">
        <v>14.85</v>
      </c>
      <c r="BT639">
        <v>10.94</v>
      </c>
      <c r="BU639">
        <v>303.23</v>
      </c>
      <c r="BV639">
        <v>81.680000000000007</v>
      </c>
      <c r="BW639">
        <v>127.75</v>
      </c>
      <c r="BX639">
        <v>13.04</v>
      </c>
      <c r="BY639">
        <v>474.98</v>
      </c>
      <c r="BZ639">
        <v>442.98</v>
      </c>
      <c r="CA639">
        <v>0.94</v>
      </c>
      <c r="CB639">
        <v>1.73</v>
      </c>
      <c r="CC639">
        <v>0.94</v>
      </c>
      <c r="CD639">
        <v>0.71</v>
      </c>
      <c r="CE639">
        <v>0.71</v>
      </c>
      <c r="CF639">
        <v>0.41</v>
      </c>
      <c r="CG639">
        <v>17.54</v>
      </c>
      <c r="CH639">
        <v>20.75</v>
      </c>
      <c r="CI639">
        <v>6.86</v>
      </c>
      <c r="CJ639">
        <v>106822</v>
      </c>
      <c r="CK639">
        <v>12665</v>
      </c>
      <c r="CL639" t="s">
        <v>289</v>
      </c>
      <c r="CM639">
        <v>-81.790000000000006</v>
      </c>
      <c r="CN639">
        <v>-11.65</v>
      </c>
      <c r="CO639">
        <v>1.48</v>
      </c>
      <c r="CP639">
        <v>4.28</v>
      </c>
      <c r="CQ639">
        <v>0.19</v>
      </c>
      <c r="CR639">
        <v>0.48</v>
      </c>
      <c r="CS639" t="s">
        <v>379</v>
      </c>
      <c r="CT639">
        <v>2.83</v>
      </c>
      <c r="CU639">
        <v>0</v>
      </c>
      <c r="CV639">
        <v>0.61</v>
      </c>
      <c r="CW639">
        <v>0.83</v>
      </c>
      <c r="CX639">
        <v>0.98</v>
      </c>
      <c r="CY639">
        <v>13.92</v>
      </c>
      <c r="CZ639" t="s">
        <v>4062</v>
      </c>
      <c r="DA639">
        <v>6.74</v>
      </c>
      <c r="DB639">
        <v>0.2</v>
      </c>
      <c r="DC639">
        <v>0.15</v>
      </c>
      <c r="DD639">
        <v>0.11</v>
      </c>
      <c r="DE639">
        <v>16486</v>
      </c>
      <c r="DF639">
        <v>2183</v>
      </c>
      <c r="DG639" t="s">
        <v>116</v>
      </c>
      <c r="DH639" t="s">
        <v>116</v>
      </c>
      <c r="DI639" t="s">
        <v>116</v>
      </c>
    </row>
    <row r="640" spans="1:113" x14ac:dyDescent="0.4">
      <c r="A640" t="str">
        <f>"002184"</f>
        <v>002184</v>
      </c>
      <c r="B640" t="s">
        <v>4063</v>
      </c>
      <c r="C640">
        <v>-1.3</v>
      </c>
      <c r="D640">
        <v>10.61</v>
      </c>
      <c r="E640">
        <v>-0.14000000000000001</v>
      </c>
      <c r="F640">
        <v>10.6</v>
      </c>
      <c r="G640">
        <v>10.61</v>
      </c>
      <c r="H640">
        <v>54442</v>
      </c>
      <c r="I640">
        <v>823</v>
      </c>
      <c r="J640">
        <v>0.09</v>
      </c>
      <c r="K640">
        <v>3.47</v>
      </c>
      <c r="L640">
        <v>10.76</v>
      </c>
      <c r="M640">
        <v>10.87</v>
      </c>
      <c r="N640">
        <v>10.58</v>
      </c>
      <c r="O640">
        <v>10.75</v>
      </c>
      <c r="P640">
        <v>116.57</v>
      </c>
      <c r="Q640">
        <v>58349432</v>
      </c>
      <c r="R640">
        <v>0.72</v>
      </c>
      <c r="S640" t="s">
        <v>607</v>
      </c>
      <c r="T640" t="s">
        <v>1653</v>
      </c>
      <c r="U640">
        <v>2.7</v>
      </c>
      <c r="V640">
        <v>10.72</v>
      </c>
      <c r="W640">
        <v>34772</v>
      </c>
      <c r="X640">
        <v>19670</v>
      </c>
      <c r="Y640">
        <v>1.77</v>
      </c>
      <c r="Z640">
        <v>386</v>
      </c>
      <c r="AA640">
        <v>12</v>
      </c>
      <c r="AB640" t="s">
        <v>116</v>
      </c>
      <c r="AC640">
        <v>206600</v>
      </c>
      <c r="AD640">
        <v>0.02</v>
      </c>
      <c r="AE640" t="s">
        <v>116</v>
      </c>
      <c r="AF640" t="s">
        <v>116</v>
      </c>
      <c r="AG640">
        <v>1.57</v>
      </c>
      <c r="AH640" t="s">
        <v>4064</v>
      </c>
      <c r="AI640" t="s">
        <v>4065</v>
      </c>
      <c r="AJ640">
        <v>-0.62</v>
      </c>
      <c r="AK640">
        <v>1807</v>
      </c>
      <c r="AL640">
        <v>30</v>
      </c>
      <c r="AM640">
        <v>1.9E-3</v>
      </c>
      <c r="AN640">
        <v>-2</v>
      </c>
      <c r="AO640">
        <v>-0.56000000000000005</v>
      </c>
      <c r="AP640">
        <v>8.0399999999999991</v>
      </c>
      <c r="AQ640">
        <v>1.24</v>
      </c>
      <c r="AR640">
        <v>13.72</v>
      </c>
      <c r="AS640">
        <v>4.5599999999999996</v>
      </c>
      <c r="AT640" t="s">
        <v>4066</v>
      </c>
      <c r="AU640" t="s">
        <v>116</v>
      </c>
      <c r="AV640" t="s">
        <v>116</v>
      </c>
      <c r="AW640">
        <v>1.0900000000000001</v>
      </c>
      <c r="BA640">
        <v>0.09</v>
      </c>
      <c r="BB640">
        <v>1.1200000000000001</v>
      </c>
      <c r="BC640">
        <v>-1.58</v>
      </c>
      <c r="BD640">
        <v>-0.3</v>
      </c>
      <c r="BE640">
        <v>-1.39</v>
      </c>
      <c r="BF640">
        <v>-2.39</v>
      </c>
      <c r="BG640">
        <v>0.28000000000000003</v>
      </c>
      <c r="BH640">
        <v>-1</v>
      </c>
      <c r="BI640">
        <v>20191202</v>
      </c>
      <c r="BJ640">
        <v>20071116</v>
      </c>
      <c r="BK640">
        <v>2.4</v>
      </c>
      <c r="BL640" t="s">
        <v>116</v>
      </c>
      <c r="BM640" t="s">
        <v>116</v>
      </c>
      <c r="BN640">
        <v>20.98</v>
      </c>
      <c r="BO640">
        <v>9.36</v>
      </c>
      <c r="BP640">
        <v>1.64</v>
      </c>
      <c r="BQ640">
        <v>47.54</v>
      </c>
      <c r="BR640">
        <v>15.14</v>
      </c>
      <c r="BS640">
        <v>2.48</v>
      </c>
      <c r="BT640">
        <v>0.19</v>
      </c>
      <c r="BU640">
        <v>9.85</v>
      </c>
      <c r="BV640">
        <v>4.32</v>
      </c>
      <c r="BW640">
        <v>6.33</v>
      </c>
      <c r="BX640">
        <v>5.66</v>
      </c>
      <c r="BY640">
        <v>13.79</v>
      </c>
      <c r="BZ640">
        <v>11.31</v>
      </c>
      <c r="CA640">
        <v>0.37</v>
      </c>
      <c r="CB640">
        <v>0</v>
      </c>
      <c r="CC640">
        <v>0.38</v>
      </c>
      <c r="CD640">
        <v>0.25</v>
      </c>
      <c r="CE640">
        <v>0.16</v>
      </c>
      <c r="CF640">
        <v>0.12</v>
      </c>
      <c r="CG640">
        <v>0.82</v>
      </c>
      <c r="CH640">
        <v>1.1000000000000001</v>
      </c>
      <c r="CI640">
        <v>-1.05</v>
      </c>
      <c r="CJ640">
        <v>27035</v>
      </c>
      <c r="CK640">
        <v>4415</v>
      </c>
      <c r="CL640" t="s">
        <v>2800</v>
      </c>
      <c r="CM640">
        <v>133.43</v>
      </c>
      <c r="CN640">
        <v>16.47</v>
      </c>
      <c r="CO640">
        <v>2.72</v>
      </c>
      <c r="CP640">
        <v>23.24</v>
      </c>
      <c r="CQ640">
        <v>1.85</v>
      </c>
      <c r="CR640">
        <v>0</v>
      </c>
      <c r="CS640" t="s">
        <v>4067</v>
      </c>
      <c r="CT640">
        <v>3.9</v>
      </c>
      <c r="CU640">
        <v>0</v>
      </c>
      <c r="CV640">
        <v>2.36</v>
      </c>
      <c r="CW640">
        <v>0.34</v>
      </c>
      <c r="CX640">
        <v>0.46</v>
      </c>
      <c r="CY640">
        <v>44.63</v>
      </c>
      <c r="CZ640" t="s">
        <v>1787</v>
      </c>
      <c r="DA640">
        <v>17.98</v>
      </c>
      <c r="DB640">
        <v>2.72</v>
      </c>
      <c r="DC640">
        <v>1.19</v>
      </c>
      <c r="DD640">
        <v>0.48</v>
      </c>
      <c r="DE640">
        <v>977</v>
      </c>
      <c r="DF640">
        <v>2184</v>
      </c>
      <c r="DG640" t="s">
        <v>116</v>
      </c>
      <c r="DH640" t="s">
        <v>116</v>
      </c>
      <c r="DI640" t="s">
        <v>116</v>
      </c>
    </row>
    <row r="641" spans="1:113" x14ac:dyDescent="0.4">
      <c r="A641" t="str">
        <f>"002185"</f>
        <v>002185</v>
      </c>
      <c r="B641" t="s">
        <v>4068</v>
      </c>
      <c r="C641">
        <v>1.04</v>
      </c>
      <c r="D641">
        <v>6.83</v>
      </c>
      <c r="E641">
        <v>7.0000000000000007E-2</v>
      </c>
      <c r="F641">
        <v>6.83</v>
      </c>
      <c r="G641">
        <v>6.84</v>
      </c>
      <c r="H641">
        <v>1987072</v>
      </c>
      <c r="I641">
        <v>18579</v>
      </c>
      <c r="J641">
        <v>0</v>
      </c>
      <c r="K641">
        <v>7.25</v>
      </c>
      <c r="L641">
        <v>6.8</v>
      </c>
      <c r="M641">
        <v>6.96</v>
      </c>
      <c r="N641">
        <v>6.62</v>
      </c>
      <c r="O641">
        <v>6.76</v>
      </c>
      <c r="P641">
        <v>83.75</v>
      </c>
      <c r="Q641">
        <v>1355822208</v>
      </c>
      <c r="R641">
        <v>1.59</v>
      </c>
      <c r="S641" t="s">
        <v>3507</v>
      </c>
      <c r="T641" t="s">
        <v>1122</v>
      </c>
      <c r="U641">
        <v>5.03</v>
      </c>
      <c r="V641">
        <v>6.82</v>
      </c>
      <c r="W641">
        <v>961148</v>
      </c>
      <c r="X641">
        <v>1025923</v>
      </c>
      <c r="Y641">
        <v>0.94</v>
      </c>
      <c r="Z641">
        <v>3064</v>
      </c>
      <c r="AA641">
        <v>7137</v>
      </c>
      <c r="AB641" t="s">
        <v>116</v>
      </c>
      <c r="AC641">
        <v>2962800</v>
      </c>
      <c r="AD641">
        <v>0.02</v>
      </c>
      <c r="AE641" t="s">
        <v>116</v>
      </c>
      <c r="AF641" t="s">
        <v>116</v>
      </c>
      <c r="AG641">
        <v>27.4</v>
      </c>
      <c r="AH641" t="s">
        <v>4069</v>
      </c>
      <c r="AI641" t="s">
        <v>4069</v>
      </c>
      <c r="AJ641">
        <v>1.71</v>
      </c>
      <c r="AK641">
        <v>4503</v>
      </c>
      <c r="AL641">
        <v>441</v>
      </c>
      <c r="AM641">
        <v>1.6000000000000001E-3</v>
      </c>
      <c r="AN641">
        <v>1</v>
      </c>
      <c r="AO641">
        <v>3.96</v>
      </c>
      <c r="AP641">
        <v>13.64</v>
      </c>
      <c r="AQ641">
        <v>21.1</v>
      </c>
      <c r="AR641">
        <v>82.59</v>
      </c>
      <c r="AS641">
        <v>9.82</v>
      </c>
      <c r="AT641" t="s">
        <v>4070</v>
      </c>
      <c r="AU641">
        <v>81.36</v>
      </c>
      <c r="AV641">
        <v>48.01</v>
      </c>
      <c r="AW641">
        <v>1.37</v>
      </c>
      <c r="BA641">
        <v>0.59</v>
      </c>
      <c r="BB641">
        <v>2.96</v>
      </c>
      <c r="BC641">
        <v>-2.0699999999999998</v>
      </c>
      <c r="BD641">
        <v>0.94</v>
      </c>
      <c r="BE641">
        <v>0.44</v>
      </c>
      <c r="BF641">
        <v>-1.87</v>
      </c>
      <c r="BG641">
        <v>3.17</v>
      </c>
      <c r="BH641">
        <v>0.1</v>
      </c>
      <c r="BI641">
        <v>20191026</v>
      </c>
      <c r="BJ641">
        <v>20071120</v>
      </c>
      <c r="BK641">
        <v>27.4</v>
      </c>
      <c r="BL641" t="s">
        <v>116</v>
      </c>
      <c r="BM641" t="s">
        <v>116</v>
      </c>
      <c r="BN641">
        <v>158.61000000000001</v>
      </c>
      <c r="BO641">
        <v>76.34</v>
      </c>
      <c r="BP641">
        <v>19.670000000000002</v>
      </c>
      <c r="BQ641">
        <v>39.47</v>
      </c>
      <c r="BR641">
        <v>53.86</v>
      </c>
      <c r="BS641">
        <v>79.91</v>
      </c>
      <c r="BT641">
        <v>4.08</v>
      </c>
      <c r="BU641">
        <v>44.29</v>
      </c>
      <c r="BV641">
        <v>14.23</v>
      </c>
      <c r="BW641">
        <v>14.51</v>
      </c>
      <c r="BX641">
        <v>21.62</v>
      </c>
      <c r="BY641">
        <v>61.07</v>
      </c>
      <c r="BZ641">
        <v>52.27</v>
      </c>
      <c r="CA641">
        <v>2.4500000000000002</v>
      </c>
      <c r="CB641">
        <v>0.02</v>
      </c>
      <c r="CC641">
        <v>2.48</v>
      </c>
      <c r="CD641">
        <v>1.9</v>
      </c>
      <c r="CE641">
        <v>1.68</v>
      </c>
      <c r="CF641">
        <v>0.83</v>
      </c>
      <c r="CG641">
        <v>24.73</v>
      </c>
      <c r="CH641">
        <v>9.25</v>
      </c>
      <c r="CI641">
        <v>-9.31</v>
      </c>
      <c r="CJ641">
        <v>132886</v>
      </c>
      <c r="CK641">
        <v>15234</v>
      </c>
      <c r="CL641" t="s">
        <v>603</v>
      </c>
      <c r="CM641">
        <v>-48.81</v>
      </c>
      <c r="CN641">
        <v>9.85</v>
      </c>
      <c r="CO641">
        <v>2.4500000000000002</v>
      </c>
      <c r="CP641">
        <v>20.23</v>
      </c>
      <c r="CQ641">
        <v>3.06</v>
      </c>
      <c r="CR641">
        <v>0.23</v>
      </c>
      <c r="CS641" t="s">
        <v>4071</v>
      </c>
      <c r="CT641">
        <v>2.79</v>
      </c>
      <c r="CU641">
        <v>0</v>
      </c>
      <c r="CV641">
        <v>0.79</v>
      </c>
      <c r="CW641">
        <v>0.9</v>
      </c>
      <c r="CX641">
        <v>0.34</v>
      </c>
      <c r="CY641">
        <v>48.13</v>
      </c>
      <c r="CZ641" t="s">
        <v>1637</v>
      </c>
      <c r="DA641">
        <v>14.41</v>
      </c>
      <c r="DB641">
        <v>4.01</v>
      </c>
      <c r="DC641">
        <v>2.74</v>
      </c>
      <c r="DD641">
        <v>2.77</v>
      </c>
      <c r="DE641">
        <v>13167</v>
      </c>
      <c r="DF641">
        <v>2185</v>
      </c>
      <c r="DG641" t="s">
        <v>116</v>
      </c>
      <c r="DH641" t="s">
        <v>116</v>
      </c>
      <c r="DI641" t="s">
        <v>116</v>
      </c>
    </row>
    <row r="642" spans="1:113" x14ac:dyDescent="0.4">
      <c r="A642" t="str">
        <f>"002186"</f>
        <v>002186</v>
      </c>
      <c r="B642" t="s">
        <v>4072</v>
      </c>
      <c r="C642">
        <v>-0.28999999999999998</v>
      </c>
      <c r="D642">
        <v>10.17</v>
      </c>
      <c r="E642">
        <v>-0.03</v>
      </c>
      <c r="F642">
        <v>10.17</v>
      </c>
      <c r="G642">
        <v>10.18</v>
      </c>
      <c r="H642">
        <v>11346</v>
      </c>
      <c r="I642">
        <v>317</v>
      </c>
      <c r="J642">
        <v>-0.09</v>
      </c>
      <c r="K642">
        <v>0.37</v>
      </c>
      <c r="L642">
        <v>10.199999999999999</v>
      </c>
      <c r="M642">
        <v>10.26</v>
      </c>
      <c r="N642">
        <v>10.16</v>
      </c>
      <c r="O642">
        <v>10.199999999999999</v>
      </c>
      <c r="P642">
        <v>44.73</v>
      </c>
      <c r="Q642">
        <v>11583489</v>
      </c>
      <c r="R642">
        <v>1.07</v>
      </c>
      <c r="S642" t="s">
        <v>156</v>
      </c>
      <c r="T642" t="s">
        <v>165</v>
      </c>
      <c r="U642">
        <v>0.98</v>
      </c>
      <c r="V642">
        <v>10.210000000000001</v>
      </c>
      <c r="W642">
        <v>6011</v>
      </c>
      <c r="X642">
        <v>5335</v>
      </c>
      <c r="Y642">
        <v>1.1299999999999999</v>
      </c>
      <c r="Z642">
        <v>70</v>
      </c>
      <c r="AA642">
        <v>10</v>
      </c>
      <c r="AB642" t="s">
        <v>116</v>
      </c>
      <c r="AC642">
        <v>51000</v>
      </c>
      <c r="AD642">
        <v>0</v>
      </c>
      <c r="AE642" t="s">
        <v>116</v>
      </c>
      <c r="AF642" t="s">
        <v>116</v>
      </c>
      <c r="AG642">
        <v>3.06</v>
      </c>
      <c r="AH642" t="s">
        <v>1921</v>
      </c>
      <c r="AI642" t="s">
        <v>1233</v>
      </c>
      <c r="AJ642">
        <v>0.38</v>
      </c>
      <c r="AK642">
        <v>497</v>
      </c>
      <c r="AL642">
        <v>23</v>
      </c>
      <c r="AM642">
        <v>6.9999999999999999E-4</v>
      </c>
      <c r="AN642">
        <v>-1</v>
      </c>
      <c r="AO642">
        <v>-0.19</v>
      </c>
      <c r="AP642">
        <v>2.31</v>
      </c>
      <c r="AQ642">
        <v>-6.18</v>
      </c>
      <c r="AR642">
        <v>-9.1999999999999993</v>
      </c>
      <c r="AS642">
        <v>0.65</v>
      </c>
      <c r="AT642" t="s">
        <v>3965</v>
      </c>
      <c r="AU642" t="s">
        <v>116</v>
      </c>
      <c r="AV642">
        <v>42.95</v>
      </c>
      <c r="AW642">
        <v>0.56000000000000005</v>
      </c>
      <c r="BA642">
        <v>0</v>
      </c>
      <c r="BB642">
        <v>0.59</v>
      </c>
      <c r="BC642">
        <v>-0.39</v>
      </c>
      <c r="BD642">
        <v>0.1</v>
      </c>
      <c r="BE642">
        <v>-0.28999999999999998</v>
      </c>
      <c r="BF642">
        <v>-0.88</v>
      </c>
      <c r="BG642">
        <v>0.1</v>
      </c>
      <c r="BH642">
        <v>-0.39</v>
      </c>
      <c r="BI642">
        <v>20191022</v>
      </c>
      <c r="BJ642">
        <v>20071120</v>
      </c>
      <c r="BK642">
        <v>3.08</v>
      </c>
      <c r="BL642" t="s">
        <v>116</v>
      </c>
      <c r="BM642" t="s">
        <v>116</v>
      </c>
      <c r="BN642">
        <v>20.2</v>
      </c>
      <c r="BO642">
        <v>15</v>
      </c>
      <c r="BP642">
        <v>0.78</v>
      </c>
      <c r="BQ642">
        <v>21.87</v>
      </c>
      <c r="BR642">
        <v>12.39</v>
      </c>
      <c r="BS642">
        <v>5.25</v>
      </c>
      <c r="BT642">
        <v>1.01</v>
      </c>
      <c r="BU642">
        <v>4.3099999999999996</v>
      </c>
      <c r="BV642">
        <v>0.85</v>
      </c>
      <c r="BW642">
        <v>0.71</v>
      </c>
      <c r="BX642">
        <v>5.4</v>
      </c>
      <c r="BY642">
        <v>11.91</v>
      </c>
      <c r="BZ642">
        <v>4.8899999999999997</v>
      </c>
      <c r="CA642">
        <v>0.79</v>
      </c>
      <c r="CB642">
        <v>0.33</v>
      </c>
      <c r="CC642">
        <v>0.79</v>
      </c>
      <c r="CD642">
        <v>0.51</v>
      </c>
      <c r="CE642">
        <v>0.53</v>
      </c>
      <c r="CF642">
        <v>0.39</v>
      </c>
      <c r="CG642">
        <v>4.96</v>
      </c>
      <c r="CH642">
        <v>0.85</v>
      </c>
      <c r="CI642">
        <v>-3.43</v>
      </c>
      <c r="CJ642">
        <v>23336</v>
      </c>
      <c r="CK642">
        <v>7463</v>
      </c>
      <c r="CL642" t="s">
        <v>4073</v>
      </c>
      <c r="CM642">
        <v>-59.09</v>
      </c>
      <c r="CN642">
        <v>-12.62</v>
      </c>
      <c r="CO642">
        <v>2.09</v>
      </c>
      <c r="CP642">
        <v>37.049999999999997</v>
      </c>
      <c r="CQ642">
        <v>2.63</v>
      </c>
      <c r="CR642">
        <v>1.77</v>
      </c>
      <c r="CS642" t="s">
        <v>4074</v>
      </c>
      <c r="CT642">
        <v>4.8600000000000003</v>
      </c>
      <c r="CU642">
        <v>0</v>
      </c>
      <c r="CV642">
        <v>1.75</v>
      </c>
      <c r="CW642">
        <v>1.61</v>
      </c>
      <c r="CX642">
        <v>0.27</v>
      </c>
      <c r="CY642">
        <v>74.260000000000005</v>
      </c>
      <c r="CZ642" t="s">
        <v>938</v>
      </c>
      <c r="DA642">
        <v>58.92</v>
      </c>
      <c r="DB642">
        <v>6.63</v>
      </c>
      <c r="DC642">
        <v>4.42</v>
      </c>
      <c r="DD642">
        <v>0.01</v>
      </c>
      <c r="DE642">
        <v>4817</v>
      </c>
      <c r="DF642">
        <v>2186</v>
      </c>
      <c r="DG642" t="s">
        <v>116</v>
      </c>
      <c r="DH642" t="s">
        <v>116</v>
      </c>
      <c r="DI642" t="s">
        <v>116</v>
      </c>
    </row>
    <row r="643" spans="1:113" x14ac:dyDescent="0.4">
      <c r="A643" t="str">
        <f>"002187"</f>
        <v>002187</v>
      </c>
      <c r="B643" t="s">
        <v>4075</v>
      </c>
      <c r="C643">
        <v>0.12</v>
      </c>
      <c r="D643">
        <v>8.51</v>
      </c>
      <c r="E643">
        <v>0.01</v>
      </c>
      <c r="F643">
        <v>8.51</v>
      </c>
      <c r="G643">
        <v>8.52</v>
      </c>
      <c r="H643">
        <v>21979</v>
      </c>
      <c r="I643">
        <v>1432</v>
      </c>
      <c r="J643">
        <v>0.12</v>
      </c>
      <c r="K643">
        <v>0.64</v>
      </c>
      <c r="L643">
        <v>8.49</v>
      </c>
      <c r="M643">
        <v>8.52</v>
      </c>
      <c r="N643">
        <v>8.4</v>
      </c>
      <c r="O643">
        <v>8.5</v>
      </c>
      <c r="P643">
        <v>14</v>
      </c>
      <c r="Q643">
        <v>18596884</v>
      </c>
      <c r="R643">
        <v>1.83</v>
      </c>
      <c r="S643" t="s">
        <v>746</v>
      </c>
      <c r="T643" t="s">
        <v>551</v>
      </c>
      <c r="U643">
        <v>1.41</v>
      </c>
      <c r="V643">
        <v>8.4600000000000009</v>
      </c>
      <c r="W643">
        <v>12830</v>
      </c>
      <c r="X643">
        <v>9149</v>
      </c>
      <c r="Y643">
        <v>1.4</v>
      </c>
      <c r="Z643">
        <v>42</v>
      </c>
      <c r="AA643">
        <v>336</v>
      </c>
      <c r="AB643" t="s">
        <v>116</v>
      </c>
      <c r="AC643">
        <v>52600</v>
      </c>
      <c r="AD643">
        <v>0</v>
      </c>
      <c r="AE643" t="s">
        <v>116</v>
      </c>
      <c r="AF643" t="s">
        <v>116</v>
      </c>
      <c r="AG643">
        <v>3.42</v>
      </c>
      <c r="AH643" t="s">
        <v>4076</v>
      </c>
      <c r="AI643" t="s">
        <v>4076</v>
      </c>
      <c r="AJ643">
        <v>0.8</v>
      </c>
      <c r="AK643">
        <v>825</v>
      </c>
      <c r="AL643">
        <v>27</v>
      </c>
      <c r="AM643">
        <v>8.0000000000000004E-4</v>
      </c>
      <c r="AN643">
        <v>4</v>
      </c>
      <c r="AO643">
        <v>2.54</v>
      </c>
      <c r="AP643">
        <v>5.19</v>
      </c>
      <c r="AQ643">
        <v>4.16</v>
      </c>
      <c r="AR643">
        <v>8.41</v>
      </c>
      <c r="AS643">
        <v>1.47</v>
      </c>
      <c r="AT643" t="s">
        <v>3855</v>
      </c>
      <c r="AU643">
        <v>14.27</v>
      </c>
      <c r="AV643">
        <v>14.49</v>
      </c>
      <c r="AW643">
        <v>0.49</v>
      </c>
      <c r="BA643">
        <v>-0.12</v>
      </c>
      <c r="BB643">
        <v>0.24</v>
      </c>
      <c r="BC643">
        <v>-1.18</v>
      </c>
      <c r="BD643">
        <v>-0.46</v>
      </c>
      <c r="BE643">
        <v>0.24</v>
      </c>
      <c r="BF643">
        <v>-0.12</v>
      </c>
      <c r="BG643">
        <v>1.31</v>
      </c>
      <c r="BH643">
        <v>0.57999999999999996</v>
      </c>
      <c r="BI643">
        <v>20191026</v>
      </c>
      <c r="BJ643">
        <v>20071122</v>
      </c>
      <c r="BK643">
        <v>3.42</v>
      </c>
      <c r="BL643" t="s">
        <v>116</v>
      </c>
      <c r="BM643" t="s">
        <v>116</v>
      </c>
      <c r="BN643">
        <v>42.18</v>
      </c>
      <c r="BO643">
        <v>27.98</v>
      </c>
      <c r="BP643">
        <v>0.18</v>
      </c>
      <c r="BQ643">
        <v>33.22</v>
      </c>
      <c r="BR643">
        <v>22.06</v>
      </c>
      <c r="BS643">
        <v>10.15</v>
      </c>
      <c r="BT643">
        <v>0.46</v>
      </c>
      <c r="BU643">
        <v>13.52</v>
      </c>
      <c r="BV643">
        <v>1.78</v>
      </c>
      <c r="BW643">
        <v>1.04</v>
      </c>
      <c r="BX643">
        <v>9.14</v>
      </c>
      <c r="BY643">
        <v>58.15</v>
      </c>
      <c r="BZ643">
        <v>49.11</v>
      </c>
      <c r="CA643">
        <v>1.78</v>
      </c>
      <c r="CB643">
        <v>0.01</v>
      </c>
      <c r="CC643">
        <v>1.77</v>
      </c>
      <c r="CD643">
        <v>1.57</v>
      </c>
      <c r="CE643">
        <v>1.56</v>
      </c>
      <c r="CF643">
        <v>1.47</v>
      </c>
      <c r="CG643">
        <v>12.65</v>
      </c>
      <c r="CH643">
        <v>0.51</v>
      </c>
      <c r="CI643">
        <v>-0.67</v>
      </c>
      <c r="CJ643">
        <v>18926</v>
      </c>
      <c r="CK643">
        <v>7891</v>
      </c>
      <c r="CL643" t="s">
        <v>4077</v>
      </c>
      <c r="CM643">
        <v>2.06</v>
      </c>
      <c r="CN643">
        <v>13.4</v>
      </c>
      <c r="CO643">
        <v>1.04</v>
      </c>
      <c r="CP643">
        <v>57.2</v>
      </c>
      <c r="CQ643">
        <v>0.5</v>
      </c>
      <c r="CR643">
        <v>3.53</v>
      </c>
      <c r="CS643" t="s">
        <v>4078</v>
      </c>
      <c r="CT643">
        <v>8.17</v>
      </c>
      <c r="CU643">
        <v>0</v>
      </c>
      <c r="CV643">
        <v>2.67</v>
      </c>
      <c r="CW643">
        <v>3.69</v>
      </c>
      <c r="CX643">
        <v>0.15</v>
      </c>
      <c r="CY643">
        <v>66.349999999999994</v>
      </c>
      <c r="CZ643" t="s">
        <v>4079</v>
      </c>
      <c r="DA643">
        <v>15.54</v>
      </c>
      <c r="DB643">
        <v>3.06</v>
      </c>
      <c r="DC643">
        <v>2.68</v>
      </c>
      <c r="DD643">
        <v>0</v>
      </c>
      <c r="DE643">
        <v>3276</v>
      </c>
      <c r="DF643">
        <v>2187</v>
      </c>
      <c r="DG643" t="s">
        <v>116</v>
      </c>
      <c r="DH643" t="s">
        <v>116</v>
      </c>
      <c r="DI643" t="s">
        <v>116</v>
      </c>
    </row>
    <row r="644" spans="1:113" x14ac:dyDescent="0.4">
      <c r="A644" t="str">
        <f>"002188"</f>
        <v>002188</v>
      </c>
      <c r="B644" t="s">
        <v>4080</v>
      </c>
      <c r="C644">
        <v>4.92</v>
      </c>
      <c r="D644">
        <v>3.84</v>
      </c>
      <c r="E644">
        <v>0.18</v>
      </c>
      <c r="F644">
        <v>3.84</v>
      </c>
      <c r="G644" t="s">
        <v>116</v>
      </c>
      <c r="H644">
        <v>25936</v>
      </c>
      <c r="I644">
        <v>100</v>
      </c>
      <c r="J644">
        <v>0</v>
      </c>
      <c r="K644">
        <v>1.07</v>
      </c>
      <c r="L644">
        <v>3.74</v>
      </c>
      <c r="M644">
        <v>3.84</v>
      </c>
      <c r="N644">
        <v>3.73</v>
      </c>
      <c r="O644">
        <v>3.66</v>
      </c>
      <c r="P644" t="s">
        <v>116</v>
      </c>
      <c r="Q644">
        <v>9892164</v>
      </c>
      <c r="R644">
        <v>0.41</v>
      </c>
      <c r="S644" t="s">
        <v>345</v>
      </c>
      <c r="T644" t="s">
        <v>590</v>
      </c>
      <c r="U644">
        <v>3.01</v>
      </c>
      <c r="V644">
        <v>3.81</v>
      </c>
      <c r="W644">
        <v>17802</v>
      </c>
      <c r="X644">
        <v>8134</v>
      </c>
      <c r="Y644">
        <v>2.19</v>
      </c>
      <c r="Z644">
        <v>11650</v>
      </c>
      <c r="AA644">
        <v>0</v>
      </c>
      <c r="AB644" t="s">
        <v>116</v>
      </c>
      <c r="AC644">
        <v>370300</v>
      </c>
      <c r="AD644">
        <v>0.05</v>
      </c>
      <c r="AE644">
        <v>0.45</v>
      </c>
      <c r="AF644">
        <v>4473600</v>
      </c>
      <c r="AG644">
        <v>2.41</v>
      </c>
      <c r="AH644" t="s">
        <v>4081</v>
      </c>
      <c r="AI644" t="s">
        <v>3467</v>
      </c>
      <c r="AJ644">
        <v>5.6</v>
      </c>
      <c r="AK644">
        <v>295</v>
      </c>
      <c r="AL644">
        <v>88</v>
      </c>
      <c r="AM644">
        <v>3.5999999999999999E-3</v>
      </c>
      <c r="AN644">
        <v>11</v>
      </c>
      <c r="AO644">
        <v>8.4700000000000006</v>
      </c>
      <c r="AP644">
        <v>39.64</v>
      </c>
      <c r="AQ644">
        <v>30.61</v>
      </c>
      <c r="AR644">
        <v>0.79</v>
      </c>
      <c r="AS644">
        <v>1.43</v>
      </c>
      <c r="AT644" t="s">
        <v>4082</v>
      </c>
      <c r="AU644" t="s">
        <v>116</v>
      </c>
      <c r="AV644" t="s">
        <v>116</v>
      </c>
      <c r="AW644">
        <v>0.51</v>
      </c>
      <c r="BA644">
        <v>2.19</v>
      </c>
      <c r="BB644">
        <v>4.92</v>
      </c>
      <c r="BC644">
        <v>1.91</v>
      </c>
      <c r="BD644">
        <v>4.21</v>
      </c>
      <c r="BE644">
        <v>2.67</v>
      </c>
      <c r="BF644">
        <v>0</v>
      </c>
      <c r="BG644">
        <v>2.95</v>
      </c>
      <c r="BH644">
        <v>0.71</v>
      </c>
      <c r="BI644">
        <v>20191108</v>
      </c>
      <c r="BJ644">
        <v>20071122</v>
      </c>
      <c r="BK644">
        <v>2.96</v>
      </c>
      <c r="BL644" t="s">
        <v>116</v>
      </c>
      <c r="BM644" t="s">
        <v>116</v>
      </c>
      <c r="BN644">
        <v>1.18</v>
      </c>
      <c r="BO644">
        <v>-6.66</v>
      </c>
      <c r="BP644">
        <v>0</v>
      </c>
      <c r="BQ644">
        <v>662.09</v>
      </c>
      <c r="BR644">
        <v>0.73</v>
      </c>
      <c r="BS644">
        <v>0.38</v>
      </c>
      <c r="BT644">
        <v>0.05</v>
      </c>
      <c r="BU644">
        <v>0.76</v>
      </c>
      <c r="BV644">
        <v>7.0000000000000007E-2</v>
      </c>
      <c r="BW644">
        <v>0.08</v>
      </c>
      <c r="BX644">
        <v>16.11</v>
      </c>
      <c r="BY644">
        <v>0.21</v>
      </c>
      <c r="BZ644">
        <v>0.19</v>
      </c>
      <c r="CA644">
        <v>-0.35</v>
      </c>
      <c r="CB644">
        <v>0</v>
      </c>
      <c r="CC644">
        <v>-0.36</v>
      </c>
      <c r="CD644">
        <v>-0.36</v>
      </c>
      <c r="CE644">
        <v>-0.36</v>
      </c>
      <c r="CF644">
        <v>-0.4</v>
      </c>
      <c r="CG644">
        <v>-25.8</v>
      </c>
      <c r="CH644">
        <v>-0.13</v>
      </c>
      <c r="CI644">
        <v>-0.06</v>
      </c>
      <c r="CJ644">
        <v>12812</v>
      </c>
      <c r="CK644">
        <v>14156</v>
      </c>
      <c r="CL644" t="s">
        <v>2195</v>
      </c>
      <c r="CM644">
        <v>92.86</v>
      </c>
      <c r="CN644">
        <v>-79.989999999999995</v>
      </c>
      <c r="CO644">
        <v>-1.71</v>
      </c>
      <c r="CP644">
        <v>-89.35</v>
      </c>
      <c r="CQ644">
        <v>54.02</v>
      </c>
      <c r="CR644">
        <v>0</v>
      </c>
      <c r="CS644" t="s">
        <v>2384</v>
      </c>
      <c r="CT644">
        <v>-2.25</v>
      </c>
      <c r="CU644">
        <v>0</v>
      </c>
      <c r="CV644">
        <v>5.45</v>
      </c>
      <c r="CW644">
        <v>-8.73</v>
      </c>
      <c r="CX644">
        <v>-0.04</v>
      </c>
      <c r="CY644">
        <v>-562.09</v>
      </c>
      <c r="CZ644" t="s">
        <v>116</v>
      </c>
      <c r="DA644">
        <v>8.9700000000000006</v>
      </c>
      <c r="DB644">
        <v>-165.15</v>
      </c>
      <c r="DC644">
        <v>-169.13</v>
      </c>
      <c r="DD644">
        <v>0</v>
      </c>
      <c r="DE644">
        <v>657</v>
      </c>
      <c r="DF644">
        <v>2188</v>
      </c>
      <c r="DG644" t="s">
        <v>116</v>
      </c>
      <c r="DH644" t="s">
        <v>116</v>
      </c>
      <c r="DI644" t="s">
        <v>116</v>
      </c>
    </row>
    <row r="645" spans="1:113" x14ac:dyDescent="0.4">
      <c r="A645" t="str">
        <f>"002189"</f>
        <v>002189</v>
      </c>
      <c r="B645" t="s">
        <v>4083</v>
      </c>
      <c r="C645">
        <v>-2.94</v>
      </c>
      <c r="D645">
        <v>20.13</v>
      </c>
      <c r="E645">
        <v>-0.61</v>
      </c>
      <c r="F645">
        <v>20.12</v>
      </c>
      <c r="G645">
        <v>20.13</v>
      </c>
      <c r="H645">
        <v>55178</v>
      </c>
      <c r="I645">
        <v>675</v>
      </c>
      <c r="J645">
        <v>0.25</v>
      </c>
      <c r="K645">
        <v>2.77</v>
      </c>
      <c r="L645">
        <v>20.78</v>
      </c>
      <c r="M645">
        <v>20.92</v>
      </c>
      <c r="N645">
        <v>20.059999999999999</v>
      </c>
      <c r="O645">
        <v>20.74</v>
      </c>
      <c r="P645">
        <v>50.18</v>
      </c>
      <c r="Q645">
        <v>113016640</v>
      </c>
      <c r="R645">
        <v>0.91</v>
      </c>
      <c r="S645" t="s">
        <v>233</v>
      </c>
      <c r="T645" t="s">
        <v>652</v>
      </c>
      <c r="U645">
        <v>4.1500000000000004</v>
      </c>
      <c r="V645">
        <v>20.48</v>
      </c>
      <c r="W645">
        <v>33861</v>
      </c>
      <c r="X645">
        <v>21317</v>
      </c>
      <c r="Y645">
        <v>1.59</v>
      </c>
      <c r="Z645">
        <v>2</v>
      </c>
      <c r="AA645">
        <v>406</v>
      </c>
      <c r="AB645" t="s">
        <v>116</v>
      </c>
      <c r="AC645">
        <v>135100</v>
      </c>
      <c r="AD645">
        <v>0.01</v>
      </c>
      <c r="AE645" t="s">
        <v>116</v>
      </c>
      <c r="AF645" t="s">
        <v>116</v>
      </c>
      <c r="AG645">
        <v>1.99</v>
      </c>
      <c r="AH645" t="s">
        <v>4084</v>
      </c>
      <c r="AI645" t="s">
        <v>4085</v>
      </c>
      <c r="AJ645">
        <v>-2.2599999999999998</v>
      </c>
      <c r="AK645">
        <v>2598</v>
      </c>
      <c r="AL645">
        <v>21</v>
      </c>
      <c r="AM645">
        <v>1.1000000000000001E-3</v>
      </c>
      <c r="AN645">
        <v>-2</v>
      </c>
      <c r="AO645">
        <v>-2.98</v>
      </c>
      <c r="AP645">
        <v>5.67</v>
      </c>
      <c r="AQ645">
        <v>-6.33</v>
      </c>
      <c r="AR645">
        <v>62.5</v>
      </c>
      <c r="AS645">
        <v>4.8099999999999996</v>
      </c>
      <c r="AT645" t="s">
        <v>4086</v>
      </c>
      <c r="AU645">
        <v>31.64</v>
      </c>
      <c r="AV645">
        <v>32.590000000000003</v>
      </c>
      <c r="AW645">
        <v>1.52</v>
      </c>
      <c r="BA645">
        <v>0.19</v>
      </c>
      <c r="BB645">
        <v>0.87</v>
      </c>
      <c r="BC645">
        <v>-3.28</v>
      </c>
      <c r="BD645">
        <v>-1.24</v>
      </c>
      <c r="BE645">
        <v>-3.13</v>
      </c>
      <c r="BF645">
        <v>-3.78</v>
      </c>
      <c r="BG645">
        <v>0.35</v>
      </c>
      <c r="BH645">
        <v>-1.7</v>
      </c>
      <c r="BI645">
        <v>20191224</v>
      </c>
      <c r="BJ645">
        <v>20071203</v>
      </c>
      <c r="BK645">
        <v>2.63</v>
      </c>
      <c r="BL645" t="s">
        <v>116</v>
      </c>
      <c r="BM645" t="s">
        <v>116</v>
      </c>
      <c r="BN645">
        <v>30.38</v>
      </c>
      <c r="BO645">
        <v>13.28</v>
      </c>
      <c r="BP645">
        <v>0.23</v>
      </c>
      <c r="BQ645">
        <v>55.53</v>
      </c>
      <c r="BR645">
        <v>22.13</v>
      </c>
      <c r="BS645">
        <v>2.94</v>
      </c>
      <c r="BT645">
        <v>0.6</v>
      </c>
      <c r="BU645">
        <v>16.03</v>
      </c>
      <c r="BV645">
        <v>3.31</v>
      </c>
      <c r="BW645">
        <v>7.94</v>
      </c>
      <c r="BX645">
        <v>6.5</v>
      </c>
      <c r="BY645">
        <v>16.690000000000001</v>
      </c>
      <c r="BZ645">
        <v>13.59</v>
      </c>
      <c r="CA645">
        <v>0.82</v>
      </c>
      <c r="CB645">
        <v>0.01</v>
      </c>
      <c r="CC645">
        <v>0.83</v>
      </c>
      <c r="CD645">
        <v>0.8</v>
      </c>
      <c r="CE645">
        <v>0.79</v>
      </c>
      <c r="CF645">
        <v>0.75</v>
      </c>
      <c r="CG645">
        <v>3.89</v>
      </c>
      <c r="CH645">
        <v>0.59</v>
      </c>
      <c r="CI645">
        <v>2.72</v>
      </c>
      <c r="CJ645">
        <v>29924</v>
      </c>
      <c r="CK645">
        <v>3833</v>
      </c>
      <c r="CL645" t="s">
        <v>4087</v>
      </c>
      <c r="CM645">
        <v>6.53</v>
      </c>
      <c r="CN645">
        <v>3.56</v>
      </c>
      <c r="CO645">
        <v>3.98</v>
      </c>
      <c r="CP645">
        <v>89.99</v>
      </c>
      <c r="CQ645">
        <v>3.17</v>
      </c>
      <c r="CR645">
        <v>0.31</v>
      </c>
      <c r="CS645" t="s">
        <v>4088</v>
      </c>
      <c r="CT645">
        <v>5.0599999999999996</v>
      </c>
      <c r="CU645">
        <v>5.0599999999999996</v>
      </c>
      <c r="CV645">
        <v>2.4700000000000002</v>
      </c>
      <c r="CW645">
        <v>1.48</v>
      </c>
      <c r="CX645">
        <v>0.22</v>
      </c>
      <c r="CY645">
        <v>43.72</v>
      </c>
      <c r="CZ645" t="s">
        <v>4089</v>
      </c>
      <c r="DA645">
        <v>18.54</v>
      </c>
      <c r="DB645">
        <v>4.9400000000000004</v>
      </c>
      <c r="DC645">
        <v>4.7300000000000004</v>
      </c>
      <c r="DD645">
        <v>1.1299999999999999</v>
      </c>
      <c r="DE645">
        <v>2906</v>
      </c>
      <c r="DF645">
        <v>2189</v>
      </c>
      <c r="DG645" t="s">
        <v>116</v>
      </c>
      <c r="DH645" t="s">
        <v>116</v>
      </c>
      <c r="DI645" t="s">
        <v>116</v>
      </c>
    </row>
    <row r="646" spans="1:113" x14ac:dyDescent="0.4">
      <c r="A646" t="str">
        <f>"002190"</f>
        <v>002190</v>
      </c>
      <c r="B646" t="s">
        <v>4090</v>
      </c>
      <c r="C646">
        <v>-2.42</v>
      </c>
      <c r="D646">
        <v>21.35</v>
      </c>
      <c r="E646">
        <v>-0.53</v>
      </c>
      <c r="F646">
        <v>21.33</v>
      </c>
      <c r="G646">
        <v>21.35</v>
      </c>
      <c r="H646">
        <v>33304</v>
      </c>
      <c r="I646">
        <v>423</v>
      </c>
      <c r="J646">
        <v>-0.32</v>
      </c>
      <c r="K646">
        <v>0.96</v>
      </c>
      <c r="L646">
        <v>21.8</v>
      </c>
      <c r="M646">
        <v>22.22</v>
      </c>
      <c r="N646">
        <v>21.35</v>
      </c>
      <c r="O646">
        <v>21.88</v>
      </c>
      <c r="P646">
        <v>9.6</v>
      </c>
      <c r="Q646">
        <v>72582216</v>
      </c>
      <c r="R646">
        <v>1.42</v>
      </c>
      <c r="S646" t="s">
        <v>293</v>
      </c>
      <c r="T646" t="s">
        <v>582</v>
      </c>
      <c r="U646">
        <v>3.98</v>
      </c>
      <c r="V646">
        <v>21.79</v>
      </c>
      <c r="W646">
        <v>20473</v>
      </c>
      <c r="X646">
        <v>12831</v>
      </c>
      <c r="Y646">
        <v>1.6</v>
      </c>
      <c r="Z646">
        <v>2</v>
      </c>
      <c r="AA646">
        <v>97</v>
      </c>
      <c r="AB646" t="s">
        <v>116</v>
      </c>
      <c r="AC646">
        <v>348800</v>
      </c>
      <c r="AD646">
        <v>0.01</v>
      </c>
      <c r="AE646" t="s">
        <v>116</v>
      </c>
      <c r="AF646" t="s">
        <v>116</v>
      </c>
      <c r="AG646">
        <v>3.45</v>
      </c>
      <c r="AH646" t="s">
        <v>4091</v>
      </c>
      <c r="AI646" t="s">
        <v>4092</v>
      </c>
      <c r="AJ646">
        <v>-1.74</v>
      </c>
      <c r="AK646">
        <v>1501</v>
      </c>
      <c r="AL646">
        <v>22</v>
      </c>
      <c r="AM646">
        <v>5.9999999999999995E-4</v>
      </c>
      <c r="AN646">
        <v>-1</v>
      </c>
      <c r="AO646">
        <v>-1.57</v>
      </c>
      <c r="AP646">
        <v>6.91</v>
      </c>
      <c r="AQ646">
        <v>9.6</v>
      </c>
      <c r="AR646">
        <v>32.28</v>
      </c>
      <c r="AS646">
        <v>2.02</v>
      </c>
      <c r="AT646" t="s">
        <v>517</v>
      </c>
      <c r="AU646">
        <v>15.53</v>
      </c>
      <c r="AV646" t="s">
        <v>116</v>
      </c>
      <c r="AW646">
        <v>0.72</v>
      </c>
      <c r="BA646">
        <v>-0.37</v>
      </c>
      <c r="BB646">
        <v>1.55</v>
      </c>
      <c r="BC646">
        <v>-2.42</v>
      </c>
      <c r="BD646">
        <v>-0.39</v>
      </c>
      <c r="BE646">
        <v>-2.06</v>
      </c>
      <c r="BF646">
        <v>-3.92</v>
      </c>
      <c r="BG646">
        <v>0</v>
      </c>
      <c r="BH646">
        <v>-2.0299999999999998</v>
      </c>
      <c r="BI646">
        <v>20191223</v>
      </c>
      <c r="BJ646">
        <v>20071203</v>
      </c>
      <c r="BK646">
        <v>3.59</v>
      </c>
      <c r="BL646" t="s">
        <v>116</v>
      </c>
      <c r="BM646" t="s">
        <v>116</v>
      </c>
      <c r="BN646">
        <v>32.450000000000003</v>
      </c>
      <c r="BO646">
        <v>24.18</v>
      </c>
      <c r="BP646">
        <v>1.32</v>
      </c>
      <c r="BQ646">
        <v>21.42</v>
      </c>
      <c r="BR646">
        <v>10.77</v>
      </c>
      <c r="BS646">
        <v>4.6399999999999997</v>
      </c>
      <c r="BT646">
        <v>0.77</v>
      </c>
      <c r="BU646">
        <v>5.83</v>
      </c>
      <c r="BV646">
        <v>3.59</v>
      </c>
      <c r="BW646">
        <v>5.68</v>
      </c>
      <c r="BX646">
        <v>13.12</v>
      </c>
      <c r="BY646">
        <v>13.61</v>
      </c>
      <c r="BZ646">
        <v>11.84</v>
      </c>
      <c r="CA646">
        <v>7.31</v>
      </c>
      <c r="CB646">
        <v>7.71</v>
      </c>
      <c r="CC646">
        <v>7.31</v>
      </c>
      <c r="CD646">
        <v>6.81</v>
      </c>
      <c r="CE646">
        <v>5.98</v>
      </c>
      <c r="CF646">
        <v>0.1</v>
      </c>
      <c r="CG646">
        <v>6.29</v>
      </c>
      <c r="CH646">
        <v>-0.76</v>
      </c>
      <c r="CI646">
        <v>-14.62</v>
      </c>
      <c r="CJ646">
        <v>37318</v>
      </c>
      <c r="CK646">
        <v>4414</v>
      </c>
      <c r="CL646" t="s">
        <v>4093</v>
      </c>
      <c r="CM646">
        <v>700.42</v>
      </c>
      <c r="CN646">
        <v>6.92</v>
      </c>
      <c r="CO646">
        <v>3.17</v>
      </c>
      <c r="CP646">
        <v>-101.26</v>
      </c>
      <c r="CQ646">
        <v>5.63</v>
      </c>
      <c r="CR646">
        <v>0</v>
      </c>
      <c r="CS646" t="s">
        <v>4094</v>
      </c>
      <c r="CT646">
        <v>6.74</v>
      </c>
      <c r="CU646">
        <v>0</v>
      </c>
      <c r="CV646">
        <v>3.66</v>
      </c>
      <c r="CW646">
        <v>1.75</v>
      </c>
      <c r="CX646">
        <v>-0.21</v>
      </c>
      <c r="CY646">
        <v>74.510000000000005</v>
      </c>
      <c r="CZ646" t="s">
        <v>4095</v>
      </c>
      <c r="DA646">
        <v>13</v>
      </c>
      <c r="DB646">
        <v>53.72</v>
      </c>
      <c r="DC646">
        <v>43.95</v>
      </c>
      <c r="DD646">
        <v>0.9</v>
      </c>
      <c r="DE646">
        <v>3245</v>
      </c>
      <c r="DF646">
        <v>2190</v>
      </c>
      <c r="DG646" t="s">
        <v>116</v>
      </c>
      <c r="DH646" t="s">
        <v>116</v>
      </c>
      <c r="DI646" t="s">
        <v>116</v>
      </c>
    </row>
    <row r="647" spans="1:113" x14ac:dyDescent="0.4">
      <c r="A647" t="str">
        <f>"002191"</f>
        <v>002191</v>
      </c>
      <c r="B647" t="s">
        <v>4096</v>
      </c>
      <c r="C647">
        <v>0.09</v>
      </c>
      <c r="D647">
        <v>11.6</v>
      </c>
      <c r="E647">
        <v>0.01</v>
      </c>
      <c r="F647">
        <v>11.59</v>
      </c>
      <c r="G647">
        <v>11.6</v>
      </c>
      <c r="H647">
        <v>263569</v>
      </c>
      <c r="I647">
        <v>3535</v>
      </c>
      <c r="J647">
        <v>0</v>
      </c>
      <c r="K647">
        <v>2.0699999999999998</v>
      </c>
      <c r="L647">
        <v>11.59</v>
      </c>
      <c r="M647">
        <v>11.88</v>
      </c>
      <c r="N647">
        <v>11.49</v>
      </c>
      <c r="O647">
        <v>11.59</v>
      </c>
      <c r="P647">
        <v>18.93</v>
      </c>
      <c r="Q647">
        <v>307302048</v>
      </c>
      <c r="R647">
        <v>1.29</v>
      </c>
      <c r="S647" t="s">
        <v>345</v>
      </c>
      <c r="T647" t="s">
        <v>115</v>
      </c>
      <c r="U647">
        <v>3.36</v>
      </c>
      <c r="V647">
        <v>11.66</v>
      </c>
      <c r="W647">
        <v>137259</v>
      </c>
      <c r="X647">
        <v>126310</v>
      </c>
      <c r="Y647">
        <v>1.0900000000000001</v>
      </c>
      <c r="Z647">
        <v>671</v>
      </c>
      <c r="AA647">
        <v>256</v>
      </c>
      <c r="AB647" t="s">
        <v>116</v>
      </c>
      <c r="AC647">
        <v>747600</v>
      </c>
      <c r="AD647">
        <v>0.01</v>
      </c>
      <c r="AE647" t="s">
        <v>116</v>
      </c>
      <c r="AF647" t="s">
        <v>116</v>
      </c>
      <c r="AG647">
        <v>12.72</v>
      </c>
      <c r="AH647" t="s">
        <v>4097</v>
      </c>
      <c r="AI647" t="s">
        <v>4098</v>
      </c>
      <c r="AJ647">
        <v>0.77</v>
      </c>
      <c r="AK647">
        <v>3511</v>
      </c>
      <c r="AL647">
        <v>75</v>
      </c>
      <c r="AM647">
        <v>5.9999999999999995E-4</v>
      </c>
      <c r="AN647">
        <v>2</v>
      </c>
      <c r="AO647">
        <v>-0.59</v>
      </c>
      <c r="AP647">
        <v>4.13</v>
      </c>
      <c r="AQ647">
        <v>21.59</v>
      </c>
      <c r="AR647">
        <v>54.46</v>
      </c>
      <c r="AS647">
        <v>3.33</v>
      </c>
      <c r="AT647" t="s">
        <v>4099</v>
      </c>
      <c r="AU647">
        <v>19.920000000000002</v>
      </c>
      <c r="AV647">
        <v>23.43</v>
      </c>
      <c r="AW647">
        <v>1.32</v>
      </c>
      <c r="BA647">
        <v>0</v>
      </c>
      <c r="BB647">
        <v>2.5</v>
      </c>
      <c r="BC647">
        <v>-0.86</v>
      </c>
      <c r="BD647">
        <v>0.6</v>
      </c>
      <c r="BE647">
        <v>0.09</v>
      </c>
      <c r="BF647">
        <v>-2.36</v>
      </c>
      <c r="BG647">
        <v>0.96</v>
      </c>
      <c r="BH647">
        <v>-0.51</v>
      </c>
      <c r="BI647">
        <v>20191223</v>
      </c>
      <c r="BJ647">
        <v>20071205</v>
      </c>
      <c r="BK647">
        <v>14.65</v>
      </c>
      <c r="BL647" t="s">
        <v>116</v>
      </c>
      <c r="BM647" t="s">
        <v>116</v>
      </c>
      <c r="BN647">
        <v>82.6</v>
      </c>
      <c r="BO647">
        <v>67.150000000000006</v>
      </c>
      <c r="BP647">
        <v>3.09</v>
      </c>
      <c r="BQ647">
        <v>14.97</v>
      </c>
      <c r="BR647">
        <v>30.67</v>
      </c>
      <c r="BS647">
        <v>16.93</v>
      </c>
      <c r="BT647">
        <v>2.96</v>
      </c>
      <c r="BU647">
        <v>11.87</v>
      </c>
      <c r="BV647">
        <v>7.72</v>
      </c>
      <c r="BW647">
        <v>8.61</v>
      </c>
      <c r="BX647">
        <v>14.36</v>
      </c>
      <c r="BY647">
        <v>28.84</v>
      </c>
      <c r="BZ647">
        <v>16.47</v>
      </c>
      <c r="CA647">
        <v>8.6300000000000008</v>
      </c>
      <c r="CB647">
        <v>0.7</v>
      </c>
      <c r="CC647">
        <v>8.67</v>
      </c>
      <c r="CD647">
        <v>7.38</v>
      </c>
      <c r="CE647">
        <v>6.73</v>
      </c>
      <c r="CF647">
        <v>6.6</v>
      </c>
      <c r="CG647">
        <v>33.369999999999997</v>
      </c>
      <c r="CH647">
        <v>6.06</v>
      </c>
      <c r="CI647">
        <v>1.51</v>
      </c>
      <c r="CJ647">
        <v>67984</v>
      </c>
      <c r="CK647">
        <v>11659</v>
      </c>
      <c r="CL647" t="s">
        <v>4100</v>
      </c>
      <c r="CM647">
        <v>23.44</v>
      </c>
      <c r="CN647">
        <v>21.35</v>
      </c>
      <c r="CO647">
        <v>2.5299999999999998</v>
      </c>
      <c r="CP647">
        <v>28.05</v>
      </c>
      <c r="CQ647">
        <v>5.89</v>
      </c>
      <c r="CR647">
        <v>2.59</v>
      </c>
      <c r="CS647" t="s">
        <v>672</v>
      </c>
      <c r="CT647">
        <v>4.58</v>
      </c>
      <c r="CU647">
        <v>0</v>
      </c>
      <c r="CV647">
        <v>0.98</v>
      </c>
      <c r="CW647">
        <v>2.2799999999999998</v>
      </c>
      <c r="CX647">
        <v>0.41</v>
      </c>
      <c r="CY647">
        <v>81.290000000000006</v>
      </c>
      <c r="CZ647" t="s">
        <v>4101</v>
      </c>
      <c r="DA647">
        <v>42.89</v>
      </c>
      <c r="DB647">
        <v>29.94</v>
      </c>
      <c r="DC647">
        <v>23.35</v>
      </c>
      <c r="DD647">
        <v>1.17</v>
      </c>
      <c r="DE647">
        <v>4404</v>
      </c>
      <c r="DF647">
        <v>2191</v>
      </c>
      <c r="DG647" t="s">
        <v>116</v>
      </c>
      <c r="DH647" t="s">
        <v>116</v>
      </c>
      <c r="DI647" t="s">
        <v>116</v>
      </c>
    </row>
    <row r="648" spans="1:113" x14ac:dyDescent="0.4">
      <c r="A648" t="str">
        <f>"002192"</f>
        <v>002192</v>
      </c>
      <c r="B648" t="s">
        <v>4102</v>
      </c>
      <c r="C648">
        <v>9.99</v>
      </c>
      <c r="D648">
        <v>23.35</v>
      </c>
      <c r="E648">
        <v>2.12</v>
      </c>
      <c r="F648">
        <v>23.35</v>
      </c>
      <c r="G648" t="s">
        <v>116</v>
      </c>
      <c r="H648">
        <v>188243</v>
      </c>
      <c r="I648">
        <v>1413</v>
      </c>
      <c r="J648">
        <v>0</v>
      </c>
      <c r="K648">
        <v>7.96</v>
      </c>
      <c r="L648">
        <v>21.79</v>
      </c>
      <c r="M648">
        <v>23.35</v>
      </c>
      <c r="N648">
        <v>21.53</v>
      </c>
      <c r="O648">
        <v>21.23</v>
      </c>
      <c r="P648" t="s">
        <v>116</v>
      </c>
      <c r="Q648">
        <v>425552576</v>
      </c>
      <c r="R648">
        <v>1.36</v>
      </c>
      <c r="S648" t="s">
        <v>682</v>
      </c>
      <c r="T648" t="s">
        <v>551</v>
      </c>
      <c r="U648">
        <v>8.57</v>
      </c>
      <c r="V648">
        <v>22.61</v>
      </c>
      <c r="W648">
        <v>105245</v>
      </c>
      <c r="X648">
        <v>82998</v>
      </c>
      <c r="Y648">
        <v>1.27</v>
      </c>
      <c r="Z648">
        <v>16363</v>
      </c>
      <c r="AA648">
        <v>0</v>
      </c>
      <c r="AB648" t="s">
        <v>116</v>
      </c>
      <c r="AC648">
        <v>11579200</v>
      </c>
      <c r="AD648">
        <v>0.27</v>
      </c>
      <c r="AE648">
        <v>0.09</v>
      </c>
      <c r="AF648">
        <v>38207604</v>
      </c>
      <c r="AG648">
        <v>2.36</v>
      </c>
      <c r="AH648" t="s">
        <v>4103</v>
      </c>
      <c r="AI648" t="s">
        <v>4104</v>
      </c>
      <c r="AJ648">
        <v>10.66</v>
      </c>
      <c r="AK648">
        <v>2083</v>
      </c>
      <c r="AL648">
        <v>90</v>
      </c>
      <c r="AM648">
        <v>3.8E-3</v>
      </c>
      <c r="AN648">
        <v>5</v>
      </c>
      <c r="AO648">
        <v>21.55</v>
      </c>
      <c r="AP648">
        <v>27.39</v>
      </c>
      <c r="AQ648">
        <v>44.76</v>
      </c>
      <c r="AR648">
        <v>28.02</v>
      </c>
      <c r="AS648">
        <v>9.68</v>
      </c>
      <c r="AT648" t="s">
        <v>3285</v>
      </c>
      <c r="AU648" t="s">
        <v>116</v>
      </c>
      <c r="AV648" t="s">
        <v>116</v>
      </c>
      <c r="AW648">
        <v>1.0900000000000001</v>
      </c>
      <c r="BA648">
        <v>2.64</v>
      </c>
      <c r="BB648">
        <v>9.99</v>
      </c>
      <c r="BC648">
        <v>1.41</v>
      </c>
      <c r="BD648">
        <v>6.48</v>
      </c>
      <c r="BE648">
        <v>7.16</v>
      </c>
      <c r="BF648">
        <v>0</v>
      </c>
      <c r="BG648">
        <v>8.4499999999999993</v>
      </c>
      <c r="BH648">
        <v>3.5</v>
      </c>
      <c r="BI648">
        <v>20191204</v>
      </c>
      <c r="BJ648">
        <v>20071205</v>
      </c>
      <c r="BK648">
        <v>2.6</v>
      </c>
      <c r="BL648" t="s">
        <v>116</v>
      </c>
      <c r="BM648" t="s">
        <v>116</v>
      </c>
      <c r="BN648">
        <v>11.46</v>
      </c>
      <c r="BO648">
        <v>7.18</v>
      </c>
      <c r="BP648">
        <v>0.54</v>
      </c>
      <c r="BQ648">
        <v>32.659999999999997</v>
      </c>
      <c r="BR648">
        <v>3.62</v>
      </c>
      <c r="BS648">
        <v>1.21</v>
      </c>
      <c r="BT648">
        <v>2.13</v>
      </c>
      <c r="BU648">
        <v>3.46</v>
      </c>
      <c r="BV648">
        <v>0.82</v>
      </c>
      <c r="BW648">
        <v>1.28</v>
      </c>
      <c r="BX648">
        <v>5.1100000000000003</v>
      </c>
      <c r="BY648">
        <v>1.94</v>
      </c>
      <c r="BZ648">
        <v>1.65</v>
      </c>
      <c r="CA648">
        <v>-0.56999999999999995</v>
      </c>
      <c r="CB648">
        <v>-0.15</v>
      </c>
      <c r="CC648">
        <v>-0.56999999999999995</v>
      </c>
      <c r="CD648">
        <v>-0.48</v>
      </c>
      <c r="CE648">
        <v>-0.45</v>
      </c>
      <c r="CF648">
        <v>-0.46</v>
      </c>
      <c r="CG648">
        <v>-0.68</v>
      </c>
      <c r="CH648">
        <v>-0.53</v>
      </c>
      <c r="CI648">
        <v>0.25</v>
      </c>
      <c r="CJ648">
        <v>28700</v>
      </c>
      <c r="CK648">
        <v>6777</v>
      </c>
      <c r="CL648" t="s">
        <v>4105</v>
      </c>
      <c r="CM648">
        <v>-557.84</v>
      </c>
      <c r="CN648">
        <v>-25.99</v>
      </c>
      <c r="CO648">
        <v>8.4499999999999993</v>
      </c>
      <c r="CP648">
        <v>-114.31</v>
      </c>
      <c r="CQ648">
        <v>31.32</v>
      </c>
      <c r="CR648">
        <v>0.86</v>
      </c>
      <c r="CS648" t="s">
        <v>3452</v>
      </c>
      <c r="CT648">
        <v>2.76</v>
      </c>
      <c r="CU648">
        <v>0</v>
      </c>
      <c r="CV648">
        <v>1.97</v>
      </c>
      <c r="CW648">
        <v>-0.26</v>
      </c>
      <c r="CX648">
        <v>-0.2</v>
      </c>
      <c r="CY648">
        <v>62.61</v>
      </c>
      <c r="CZ648" t="s">
        <v>4106</v>
      </c>
      <c r="DA648">
        <v>14.54</v>
      </c>
      <c r="DB648">
        <v>-29.67</v>
      </c>
      <c r="DC648">
        <v>-23.33</v>
      </c>
      <c r="DD648">
        <v>0.13</v>
      </c>
      <c r="DE648">
        <v>410</v>
      </c>
      <c r="DF648">
        <v>2192</v>
      </c>
      <c r="DG648" t="s">
        <v>116</v>
      </c>
      <c r="DH648" t="s">
        <v>116</v>
      </c>
      <c r="DI648" t="s">
        <v>116</v>
      </c>
    </row>
    <row r="649" spans="1:113" x14ac:dyDescent="0.4">
      <c r="A649" t="str">
        <f>"002193"</f>
        <v>002193</v>
      </c>
      <c r="B649" t="s">
        <v>4107</v>
      </c>
      <c r="C649">
        <v>-0.64</v>
      </c>
      <c r="D649">
        <v>7.8</v>
      </c>
      <c r="E649">
        <v>-0.05</v>
      </c>
      <c r="F649">
        <v>7.8</v>
      </c>
      <c r="G649">
        <v>7.81</v>
      </c>
      <c r="H649">
        <v>23606</v>
      </c>
      <c r="I649">
        <v>214</v>
      </c>
      <c r="J649">
        <v>-0.12</v>
      </c>
      <c r="K649">
        <v>0.9</v>
      </c>
      <c r="L649">
        <v>7.85</v>
      </c>
      <c r="M649">
        <v>7.92</v>
      </c>
      <c r="N649">
        <v>7.78</v>
      </c>
      <c r="O649">
        <v>7.85</v>
      </c>
      <c r="P649">
        <v>21.6</v>
      </c>
      <c r="Q649">
        <v>18564646</v>
      </c>
      <c r="R649">
        <v>1.04</v>
      </c>
      <c r="S649" t="s">
        <v>1420</v>
      </c>
      <c r="T649" t="s">
        <v>645</v>
      </c>
      <c r="U649">
        <v>1.78</v>
      </c>
      <c r="V649">
        <v>7.86</v>
      </c>
      <c r="W649">
        <v>13118</v>
      </c>
      <c r="X649">
        <v>10488</v>
      </c>
      <c r="Y649">
        <v>1.25</v>
      </c>
      <c r="Z649">
        <v>587</v>
      </c>
      <c r="AA649">
        <v>381</v>
      </c>
      <c r="AB649" t="s">
        <v>116</v>
      </c>
      <c r="AC649">
        <v>59500</v>
      </c>
      <c r="AD649">
        <v>0.01</v>
      </c>
      <c r="AE649" t="s">
        <v>116</v>
      </c>
      <c r="AF649" t="s">
        <v>116</v>
      </c>
      <c r="AG649">
        <v>2.61</v>
      </c>
      <c r="AH649" t="s">
        <v>4108</v>
      </c>
      <c r="AI649" t="s">
        <v>1916</v>
      </c>
      <c r="AJ649">
        <v>0.04</v>
      </c>
      <c r="AK649">
        <v>703</v>
      </c>
      <c r="AL649">
        <v>34</v>
      </c>
      <c r="AM649">
        <v>1.2999999999999999E-3</v>
      </c>
      <c r="AN649">
        <v>-1</v>
      </c>
      <c r="AO649">
        <v>0.38</v>
      </c>
      <c r="AP649">
        <v>1.69</v>
      </c>
      <c r="AQ649">
        <v>-12.16</v>
      </c>
      <c r="AR649">
        <v>-10.45</v>
      </c>
      <c r="AS649">
        <v>1.95</v>
      </c>
      <c r="AT649" t="s">
        <v>1772</v>
      </c>
      <c r="AU649">
        <v>18.72</v>
      </c>
      <c r="AV649">
        <v>20.62</v>
      </c>
      <c r="AW649">
        <v>0.91</v>
      </c>
      <c r="BA649">
        <v>0</v>
      </c>
      <c r="BB649">
        <v>0.89</v>
      </c>
      <c r="BC649">
        <v>-0.89</v>
      </c>
      <c r="BD649">
        <v>0.18</v>
      </c>
      <c r="BE649">
        <v>-0.64</v>
      </c>
      <c r="BF649">
        <v>-1.52</v>
      </c>
      <c r="BG649">
        <v>0.26</v>
      </c>
      <c r="BH649">
        <v>-0.82</v>
      </c>
      <c r="BI649">
        <v>20191023</v>
      </c>
      <c r="BJ649">
        <v>20071207</v>
      </c>
      <c r="BK649">
        <v>2.62</v>
      </c>
      <c r="BL649" t="s">
        <v>116</v>
      </c>
      <c r="BM649" t="s">
        <v>116</v>
      </c>
      <c r="BN649">
        <v>49.06</v>
      </c>
      <c r="BO649">
        <v>26.63</v>
      </c>
      <c r="BP649">
        <v>1.23</v>
      </c>
      <c r="BQ649">
        <v>43.21</v>
      </c>
      <c r="BR649">
        <v>32.31</v>
      </c>
      <c r="BS649">
        <v>12.89</v>
      </c>
      <c r="BT649">
        <v>1.75</v>
      </c>
      <c r="BU649">
        <v>19.98</v>
      </c>
      <c r="BV649">
        <v>6.3</v>
      </c>
      <c r="BW649">
        <v>8.2899999999999991</v>
      </c>
      <c r="BX649">
        <v>15.96</v>
      </c>
      <c r="BY649">
        <v>8.4</v>
      </c>
      <c r="BZ649">
        <v>6.07</v>
      </c>
      <c r="CA649">
        <v>0.82</v>
      </c>
      <c r="CB649">
        <v>0.25</v>
      </c>
      <c r="CC649">
        <v>0.82</v>
      </c>
      <c r="CD649">
        <v>0.71</v>
      </c>
      <c r="CE649">
        <v>0.71</v>
      </c>
      <c r="CF649">
        <v>0.49</v>
      </c>
      <c r="CG649">
        <v>7.22</v>
      </c>
      <c r="CH649">
        <v>-1.72</v>
      </c>
      <c r="CI649">
        <v>1.28</v>
      </c>
      <c r="CJ649">
        <v>16184</v>
      </c>
      <c r="CK649">
        <v>7470</v>
      </c>
      <c r="CL649" t="s">
        <v>4109</v>
      </c>
      <c r="CM649">
        <v>16.48</v>
      </c>
      <c r="CN649">
        <v>-5.07</v>
      </c>
      <c r="CO649">
        <v>0.77</v>
      </c>
      <c r="CP649">
        <v>-11.84</v>
      </c>
      <c r="CQ649">
        <v>2.4300000000000002</v>
      </c>
      <c r="CR649">
        <v>0.64</v>
      </c>
      <c r="CS649" t="s">
        <v>4110</v>
      </c>
      <c r="CT649">
        <v>10.18</v>
      </c>
      <c r="CU649">
        <v>0</v>
      </c>
      <c r="CV649">
        <v>6.1</v>
      </c>
      <c r="CW649">
        <v>2.76</v>
      </c>
      <c r="CX649">
        <v>-0.66</v>
      </c>
      <c r="CY649">
        <v>54.29</v>
      </c>
      <c r="CZ649" t="s">
        <v>4111</v>
      </c>
      <c r="DA649">
        <v>27.78</v>
      </c>
      <c r="DB649">
        <v>9.76</v>
      </c>
      <c r="DC649">
        <v>8.44</v>
      </c>
      <c r="DD649">
        <v>0.28000000000000003</v>
      </c>
      <c r="DE649">
        <v>4016</v>
      </c>
      <c r="DF649">
        <v>2193</v>
      </c>
      <c r="DG649" t="s">
        <v>116</v>
      </c>
      <c r="DH649" t="s">
        <v>116</v>
      </c>
      <c r="DI649" t="s">
        <v>116</v>
      </c>
    </row>
    <row r="650" spans="1:113" x14ac:dyDescent="0.4">
      <c r="A650" t="str">
        <f>"002194"</f>
        <v>002194</v>
      </c>
      <c r="B650" t="s">
        <v>4112</v>
      </c>
      <c r="C650">
        <v>-2.2599999999999998</v>
      </c>
      <c r="D650">
        <v>18.63</v>
      </c>
      <c r="E650">
        <v>-0.43</v>
      </c>
      <c r="F650">
        <v>18.63</v>
      </c>
      <c r="G650">
        <v>18.64</v>
      </c>
      <c r="H650">
        <v>86918</v>
      </c>
      <c r="I650">
        <v>580</v>
      </c>
      <c r="J650">
        <v>0.05</v>
      </c>
      <c r="K650">
        <v>2.34</v>
      </c>
      <c r="L650">
        <v>19</v>
      </c>
      <c r="M650">
        <v>19.149999999999999</v>
      </c>
      <c r="N650">
        <v>18.600000000000001</v>
      </c>
      <c r="O650">
        <v>19.059999999999999</v>
      </c>
      <c r="P650">
        <v>67.06</v>
      </c>
      <c r="Q650">
        <v>163610224</v>
      </c>
      <c r="R650">
        <v>0.99</v>
      </c>
      <c r="S650" t="s">
        <v>465</v>
      </c>
      <c r="T650" t="s">
        <v>774</v>
      </c>
      <c r="U650">
        <v>2.89</v>
      </c>
      <c r="V650">
        <v>18.82</v>
      </c>
      <c r="W650">
        <v>54589</v>
      </c>
      <c r="X650">
        <v>32329</v>
      </c>
      <c r="Y650">
        <v>1.69</v>
      </c>
      <c r="Z650">
        <v>384</v>
      </c>
      <c r="AA650">
        <v>229</v>
      </c>
      <c r="AB650" t="s">
        <v>116</v>
      </c>
      <c r="AC650">
        <v>378100</v>
      </c>
      <c r="AD650">
        <v>0.01</v>
      </c>
      <c r="AE650" t="s">
        <v>116</v>
      </c>
      <c r="AF650" t="s">
        <v>116</v>
      </c>
      <c r="AG650">
        <v>3.72</v>
      </c>
      <c r="AH650" t="s">
        <v>4113</v>
      </c>
      <c r="AI650" t="s">
        <v>4114</v>
      </c>
      <c r="AJ650">
        <v>-1.58</v>
      </c>
      <c r="AK650">
        <v>3005</v>
      </c>
      <c r="AL650">
        <v>29</v>
      </c>
      <c r="AM650">
        <v>8.0000000000000004E-4</v>
      </c>
      <c r="AN650">
        <v>-1</v>
      </c>
      <c r="AO650">
        <v>-1.22</v>
      </c>
      <c r="AP650">
        <v>0.32</v>
      </c>
      <c r="AQ650">
        <v>-18.04</v>
      </c>
      <c r="AR650">
        <v>196.18</v>
      </c>
      <c r="AS650">
        <v>5.87</v>
      </c>
      <c r="AT650" t="s">
        <v>4115</v>
      </c>
      <c r="AU650">
        <v>29.27</v>
      </c>
      <c r="AV650">
        <v>55.72</v>
      </c>
      <c r="AW650">
        <v>1.37</v>
      </c>
      <c r="BA650">
        <v>-0.31</v>
      </c>
      <c r="BB650">
        <v>0.47</v>
      </c>
      <c r="BC650">
        <v>-2.41</v>
      </c>
      <c r="BD650">
        <v>-1.24</v>
      </c>
      <c r="BE650">
        <v>-1.95</v>
      </c>
      <c r="BF650">
        <v>-2.72</v>
      </c>
      <c r="BG650">
        <v>0.16</v>
      </c>
      <c r="BH650">
        <v>-1.02</v>
      </c>
      <c r="BI650">
        <v>20191024</v>
      </c>
      <c r="BJ650">
        <v>20071207</v>
      </c>
      <c r="BK650">
        <v>5.65</v>
      </c>
      <c r="BL650" t="s">
        <v>116</v>
      </c>
      <c r="BM650" t="s">
        <v>116</v>
      </c>
      <c r="BN650">
        <v>22.24</v>
      </c>
      <c r="BO650">
        <v>17.22</v>
      </c>
      <c r="BP650">
        <v>0</v>
      </c>
      <c r="BQ650">
        <v>22.57</v>
      </c>
      <c r="BR650">
        <v>16.239999999999998</v>
      </c>
      <c r="BS650">
        <v>3.47</v>
      </c>
      <c r="BT650">
        <v>0.86</v>
      </c>
      <c r="BU650">
        <v>4.6900000000000004</v>
      </c>
      <c r="BV650">
        <v>2.82</v>
      </c>
      <c r="BW650">
        <v>4.55</v>
      </c>
      <c r="BX650">
        <v>8.25</v>
      </c>
      <c r="BY650">
        <v>11.98</v>
      </c>
      <c r="BZ650">
        <v>9.15</v>
      </c>
      <c r="CA650">
        <v>1.21</v>
      </c>
      <c r="CB650">
        <v>0.05</v>
      </c>
      <c r="CC650">
        <v>1.21</v>
      </c>
      <c r="CD650">
        <v>1.18</v>
      </c>
      <c r="CE650">
        <v>1.18</v>
      </c>
      <c r="CF650">
        <v>1.1399999999999999</v>
      </c>
      <c r="CG650">
        <v>1.57</v>
      </c>
      <c r="CH650">
        <v>1.26</v>
      </c>
      <c r="CI650">
        <v>-3.54</v>
      </c>
      <c r="CJ650">
        <v>58079</v>
      </c>
      <c r="CK650">
        <v>2548</v>
      </c>
      <c r="CL650" t="s">
        <v>1609</v>
      </c>
      <c r="CM650">
        <v>322.49</v>
      </c>
      <c r="CN650">
        <v>41.48</v>
      </c>
      <c r="CO650">
        <v>6.11</v>
      </c>
      <c r="CP650">
        <v>83.33</v>
      </c>
      <c r="CQ650">
        <v>8.7799999999999994</v>
      </c>
      <c r="CR650">
        <v>0.27</v>
      </c>
      <c r="CS650" t="s">
        <v>1959</v>
      </c>
      <c r="CT650">
        <v>3.05</v>
      </c>
      <c r="CU650">
        <v>0</v>
      </c>
      <c r="CV650">
        <v>1.46</v>
      </c>
      <c r="CW650">
        <v>0.28000000000000003</v>
      </c>
      <c r="CX650">
        <v>0.22</v>
      </c>
      <c r="CY650">
        <v>77.430000000000007</v>
      </c>
      <c r="CZ650" t="s">
        <v>2547</v>
      </c>
      <c r="DA650">
        <v>23.64</v>
      </c>
      <c r="DB650">
        <v>10.119999999999999</v>
      </c>
      <c r="DC650">
        <v>9.82</v>
      </c>
      <c r="DD650">
        <v>0.72</v>
      </c>
      <c r="DE650">
        <v>3336</v>
      </c>
      <c r="DF650">
        <v>2194</v>
      </c>
      <c r="DG650" t="s">
        <v>116</v>
      </c>
      <c r="DH650" t="s">
        <v>116</v>
      </c>
      <c r="DI650" t="s">
        <v>116</v>
      </c>
    </row>
    <row r="651" spans="1:113" x14ac:dyDescent="0.4">
      <c r="A651" t="str">
        <f>"002195"</f>
        <v>002195</v>
      </c>
      <c r="B651" t="s">
        <v>4116</v>
      </c>
      <c r="C651">
        <v>-0.62</v>
      </c>
      <c r="D651">
        <v>3.19</v>
      </c>
      <c r="E651">
        <v>-0.02</v>
      </c>
      <c r="F651">
        <v>3.19</v>
      </c>
      <c r="G651">
        <v>3.2</v>
      </c>
      <c r="H651">
        <v>1418240</v>
      </c>
      <c r="I651">
        <v>6759</v>
      </c>
      <c r="J651">
        <v>0</v>
      </c>
      <c r="K651">
        <v>2.5</v>
      </c>
      <c r="L651">
        <v>3.22</v>
      </c>
      <c r="M651">
        <v>3.3</v>
      </c>
      <c r="N651">
        <v>3.18</v>
      </c>
      <c r="O651">
        <v>3.21</v>
      </c>
      <c r="P651">
        <v>18.87</v>
      </c>
      <c r="Q651">
        <v>459666880</v>
      </c>
      <c r="R651">
        <v>1.17</v>
      </c>
      <c r="S651" t="s">
        <v>607</v>
      </c>
      <c r="T651" t="s">
        <v>1653</v>
      </c>
      <c r="U651">
        <v>3.74</v>
      </c>
      <c r="V651">
        <v>3.24</v>
      </c>
      <c r="W651">
        <v>795031</v>
      </c>
      <c r="X651">
        <v>623209</v>
      </c>
      <c r="Y651">
        <v>1.28</v>
      </c>
      <c r="Z651">
        <v>12873</v>
      </c>
      <c r="AA651">
        <v>15630</v>
      </c>
      <c r="AB651" t="s">
        <v>116</v>
      </c>
      <c r="AC651">
        <v>1601700</v>
      </c>
      <c r="AD651">
        <v>0.01</v>
      </c>
      <c r="AE651" t="s">
        <v>116</v>
      </c>
      <c r="AF651" t="s">
        <v>116</v>
      </c>
      <c r="AG651">
        <v>56.62</v>
      </c>
      <c r="AH651" t="s">
        <v>4117</v>
      </c>
      <c r="AI651" t="s">
        <v>4118</v>
      </c>
      <c r="AJ651">
        <v>0.06</v>
      </c>
      <c r="AK651">
        <v>3905</v>
      </c>
      <c r="AL651">
        <v>363</v>
      </c>
      <c r="AM651">
        <v>5.9999999999999995E-4</v>
      </c>
      <c r="AN651">
        <v>-1</v>
      </c>
      <c r="AO651">
        <v>0.63</v>
      </c>
      <c r="AP651">
        <v>5.63</v>
      </c>
      <c r="AQ651">
        <v>-4.78</v>
      </c>
      <c r="AR651">
        <v>13.31</v>
      </c>
      <c r="AS651">
        <v>3.36</v>
      </c>
      <c r="AT651" t="s">
        <v>4119</v>
      </c>
      <c r="AU651">
        <v>18.079999999999998</v>
      </c>
      <c r="AV651">
        <v>13.46</v>
      </c>
      <c r="AW651">
        <v>1.46</v>
      </c>
      <c r="BA651">
        <v>0.31</v>
      </c>
      <c r="BB651">
        <v>2.8</v>
      </c>
      <c r="BC651">
        <v>-0.93</v>
      </c>
      <c r="BD651">
        <v>0.97</v>
      </c>
      <c r="BE651">
        <v>-0.93</v>
      </c>
      <c r="BF651">
        <v>-3.33</v>
      </c>
      <c r="BG651">
        <v>0.31</v>
      </c>
      <c r="BH651">
        <v>-1.59</v>
      </c>
      <c r="BI651">
        <v>20191211</v>
      </c>
      <c r="BJ651">
        <v>20071212</v>
      </c>
      <c r="BK651">
        <v>57.7</v>
      </c>
      <c r="BL651" t="s">
        <v>116</v>
      </c>
      <c r="BM651" t="s">
        <v>116</v>
      </c>
      <c r="BN651">
        <v>112.64</v>
      </c>
      <c r="BO651">
        <v>99.93</v>
      </c>
      <c r="BP651">
        <v>0.94</v>
      </c>
      <c r="BQ651">
        <v>10.45</v>
      </c>
      <c r="BR651">
        <v>70.94</v>
      </c>
      <c r="BS651">
        <v>0.69</v>
      </c>
      <c r="BT651">
        <v>0.05</v>
      </c>
      <c r="BU651">
        <v>5.62</v>
      </c>
      <c r="BV651">
        <v>0</v>
      </c>
      <c r="BW651">
        <v>3.37</v>
      </c>
      <c r="BX651">
        <v>4.6900000000000004</v>
      </c>
      <c r="BY651">
        <v>21.91</v>
      </c>
      <c r="BZ651">
        <v>1.83</v>
      </c>
      <c r="CA651">
        <v>9.2200000000000006</v>
      </c>
      <c r="CB651">
        <v>0.78</v>
      </c>
      <c r="CC651">
        <v>9.2200000000000006</v>
      </c>
      <c r="CD651">
        <v>7.97</v>
      </c>
      <c r="CE651">
        <v>7.32</v>
      </c>
      <c r="CF651">
        <v>6.65</v>
      </c>
      <c r="CG651">
        <v>38.74</v>
      </c>
      <c r="CH651">
        <v>18.61</v>
      </c>
      <c r="CI651">
        <v>-2.93</v>
      </c>
      <c r="CJ651">
        <v>268576</v>
      </c>
      <c r="CK651">
        <v>15734</v>
      </c>
      <c r="CL651" t="s">
        <v>4120</v>
      </c>
      <c r="CM651">
        <v>-32.299999999999997</v>
      </c>
      <c r="CN651">
        <v>-10.33</v>
      </c>
      <c r="CO651">
        <v>1.84</v>
      </c>
      <c r="CP651">
        <v>9.89</v>
      </c>
      <c r="CQ651">
        <v>8.4</v>
      </c>
      <c r="CR651">
        <v>0.72</v>
      </c>
      <c r="CS651" t="s">
        <v>4121</v>
      </c>
      <c r="CT651">
        <v>1.73</v>
      </c>
      <c r="CU651">
        <v>0</v>
      </c>
      <c r="CV651">
        <v>0.08</v>
      </c>
      <c r="CW651">
        <v>0.67</v>
      </c>
      <c r="CX651">
        <v>0.32</v>
      </c>
      <c r="CY651">
        <v>88.72</v>
      </c>
      <c r="CZ651" t="s">
        <v>4122</v>
      </c>
      <c r="DA651">
        <v>91.63</v>
      </c>
      <c r="DB651">
        <v>42.08</v>
      </c>
      <c r="DC651">
        <v>33.4</v>
      </c>
      <c r="DD651">
        <v>2.19</v>
      </c>
      <c r="DE651">
        <v>906</v>
      </c>
      <c r="DF651">
        <v>2195</v>
      </c>
      <c r="DG651" t="s">
        <v>116</v>
      </c>
      <c r="DH651" t="s">
        <v>116</v>
      </c>
      <c r="DI651" t="s">
        <v>116</v>
      </c>
    </row>
    <row r="652" spans="1:113" x14ac:dyDescent="0.4">
      <c r="A652" t="str">
        <f>"002196"</f>
        <v>002196</v>
      </c>
      <c r="B652" t="s">
        <v>4123</v>
      </c>
      <c r="C652">
        <v>-1.46</v>
      </c>
      <c r="D652">
        <v>5.4</v>
      </c>
      <c r="E652">
        <v>-0.08</v>
      </c>
      <c r="F652">
        <v>5.4</v>
      </c>
      <c r="G652">
        <v>5.41</v>
      </c>
      <c r="H652">
        <v>47305</v>
      </c>
      <c r="I652">
        <v>558</v>
      </c>
      <c r="J652">
        <v>0</v>
      </c>
      <c r="K652">
        <v>1.28</v>
      </c>
      <c r="L652">
        <v>5.49</v>
      </c>
      <c r="M652">
        <v>5.53</v>
      </c>
      <c r="N652">
        <v>5.39</v>
      </c>
      <c r="O652">
        <v>5.48</v>
      </c>
      <c r="P652">
        <v>113.02</v>
      </c>
      <c r="Q652">
        <v>25778410</v>
      </c>
      <c r="R652">
        <v>0.86</v>
      </c>
      <c r="S652" t="s">
        <v>3176</v>
      </c>
      <c r="T652" t="s">
        <v>590</v>
      </c>
      <c r="U652">
        <v>2.5499999999999998</v>
      </c>
      <c r="V652">
        <v>5.45</v>
      </c>
      <c r="W652">
        <v>31188</v>
      </c>
      <c r="X652">
        <v>16117</v>
      </c>
      <c r="Y652">
        <v>1.94</v>
      </c>
      <c r="Z652">
        <v>272</v>
      </c>
      <c r="AA652">
        <v>273</v>
      </c>
      <c r="AB652" t="s">
        <v>116</v>
      </c>
      <c r="AC652">
        <v>45000</v>
      </c>
      <c r="AD652">
        <v>0</v>
      </c>
      <c r="AE652" t="s">
        <v>116</v>
      </c>
      <c r="AF652" t="s">
        <v>116</v>
      </c>
      <c r="AG652">
        <v>3.7</v>
      </c>
      <c r="AH652" t="s">
        <v>4124</v>
      </c>
      <c r="AI652" t="s">
        <v>3804</v>
      </c>
      <c r="AJ652">
        <v>-0.78</v>
      </c>
      <c r="AK652">
        <v>820</v>
      </c>
      <c r="AL652">
        <v>58</v>
      </c>
      <c r="AM652">
        <v>1.6000000000000001E-3</v>
      </c>
      <c r="AN652">
        <v>-1</v>
      </c>
      <c r="AO652">
        <v>-0.18</v>
      </c>
      <c r="AP652">
        <v>14.16</v>
      </c>
      <c r="AQ652">
        <v>0.93</v>
      </c>
      <c r="AR652">
        <v>6.51</v>
      </c>
      <c r="AS652">
        <v>1.58</v>
      </c>
      <c r="AT652" t="s">
        <v>4125</v>
      </c>
      <c r="AU652" t="s">
        <v>116</v>
      </c>
      <c r="AV652" t="s">
        <v>116</v>
      </c>
      <c r="AW652">
        <v>0.98</v>
      </c>
      <c r="BA652">
        <v>0.18</v>
      </c>
      <c r="BB652">
        <v>0.91</v>
      </c>
      <c r="BC652">
        <v>-1.64</v>
      </c>
      <c r="BD652">
        <v>-0.56000000000000005</v>
      </c>
      <c r="BE652">
        <v>-1.64</v>
      </c>
      <c r="BF652">
        <v>-2.35</v>
      </c>
      <c r="BG652">
        <v>0.19</v>
      </c>
      <c r="BH652">
        <v>-0.9</v>
      </c>
      <c r="BI652">
        <v>20191025</v>
      </c>
      <c r="BJ652">
        <v>20071212</v>
      </c>
      <c r="BK652">
        <v>4.6900000000000004</v>
      </c>
      <c r="BL652" t="s">
        <v>116</v>
      </c>
      <c r="BM652" t="s">
        <v>116</v>
      </c>
      <c r="BN652">
        <v>29.21</v>
      </c>
      <c r="BO652">
        <v>21.12</v>
      </c>
      <c r="BP652">
        <v>0.1</v>
      </c>
      <c r="BQ652">
        <v>27.37</v>
      </c>
      <c r="BR652">
        <v>13.44</v>
      </c>
      <c r="BS652">
        <v>5.23</v>
      </c>
      <c r="BT652">
        <v>1.53</v>
      </c>
      <c r="BU652">
        <v>7.43</v>
      </c>
      <c r="BV652">
        <v>3.44</v>
      </c>
      <c r="BW652">
        <v>4.34</v>
      </c>
      <c r="BX652">
        <v>17.3</v>
      </c>
      <c r="BY652">
        <v>8.49</v>
      </c>
      <c r="BZ652">
        <v>6.94</v>
      </c>
      <c r="CA652">
        <v>0.23</v>
      </c>
      <c r="CB652">
        <v>0.01</v>
      </c>
      <c r="CC652">
        <v>0.23</v>
      </c>
      <c r="CD652">
        <v>0.17</v>
      </c>
      <c r="CE652">
        <v>0.17</v>
      </c>
      <c r="CF652">
        <v>0.04</v>
      </c>
      <c r="CG652">
        <v>-1.23</v>
      </c>
      <c r="CH652">
        <v>0.52</v>
      </c>
      <c r="CI652">
        <v>-0.26</v>
      </c>
      <c r="CJ652">
        <v>27470</v>
      </c>
      <c r="CK652">
        <v>10930</v>
      </c>
      <c r="CL652" t="s">
        <v>4126</v>
      </c>
      <c r="CM652">
        <v>-70.489999999999995</v>
      </c>
      <c r="CN652">
        <v>-8.8000000000000007</v>
      </c>
      <c r="CO652">
        <v>1.2</v>
      </c>
      <c r="CP652">
        <v>48.23</v>
      </c>
      <c r="CQ652">
        <v>2.98</v>
      </c>
      <c r="CR652">
        <v>0</v>
      </c>
      <c r="CS652" t="s">
        <v>1223</v>
      </c>
      <c r="CT652">
        <v>4.51</v>
      </c>
      <c r="CU652">
        <v>0</v>
      </c>
      <c r="CV652">
        <v>3.69</v>
      </c>
      <c r="CW652">
        <v>-0.26</v>
      </c>
      <c r="CX652">
        <v>0.11</v>
      </c>
      <c r="CY652">
        <v>72.3</v>
      </c>
      <c r="CZ652" t="s">
        <v>3002</v>
      </c>
      <c r="DA652">
        <v>18.28</v>
      </c>
      <c r="DB652">
        <v>2.73</v>
      </c>
      <c r="DC652">
        <v>1.98</v>
      </c>
      <c r="DD652">
        <v>0.62</v>
      </c>
      <c r="DE652">
        <v>2406</v>
      </c>
      <c r="DF652">
        <v>2196</v>
      </c>
      <c r="DG652" t="s">
        <v>116</v>
      </c>
      <c r="DH652" t="s">
        <v>116</v>
      </c>
      <c r="DI652" t="s">
        <v>116</v>
      </c>
    </row>
    <row r="653" spans="1:113" x14ac:dyDescent="0.4">
      <c r="A653" t="str">
        <f>"002197"</f>
        <v>002197</v>
      </c>
      <c r="B653" t="s">
        <v>4127</v>
      </c>
      <c r="C653">
        <v>-2.63</v>
      </c>
      <c r="D653">
        <v>8.16</v>
      </c>
      <c r="E653">
        <v>-0.22</v>
      </c>
      <c r="F653">
        <v>8.15</v>
      </c>
      <c r="G653">
        <v>8.16</v>
      </c>
      <c r="H653">
        <v>229830</v>
      </c>
      <c r="I653">
        <v>1847</v>
      </c>
      <c r="J653">
        <v>-0.23</v>
      </c>
      <c r="K653">
        <v>5.29</v>
      </c>
      <c r="L653">
        <v>8.5</v>
      </c>
      <c r="M653">
        <v>8.5</v>
      </c>
      <c r="N653">
        <v>8.14</v>
      </c>
      <c r="O653">
        <v>8.3800000000000008</v>
      </c>
      <c r="P653">
        <v>160.97</v>
      </c>
      <c r="Q653">
        <v>191266976</v>
      </c>
      <c r="R653">
        <v>1.43</v>
      </c>
      <c r="S653" t="s">
        <v>2977</v>
      </c>
      <c r="T653" t="s">
        <v>115</v>
      </c>
      <c r="U653">
        <v>4.3</v>
      </c>
      <c r="V653">
        <v>8.32</v>
      </c>
      <c r="W653">
        <v>131141</v>
      </c>
      <c r="X653">
        <v>98689</v>
      </c>
      <c r="Y653">
        <v>1.33</v>
      </c>
      <c r="Z653">
        <v>430</v>
      </c>
      <c r="AA653">
        <v>1151</v>
      </c>
      <c r="AB653" t="s">
        <v>116</v>
      </c>
      <c r="AC653">
        <v>1444200</v>
      </c>
      <c r="AD653">
        <v>0.05</v>
      </c>
      <c r="AE653" t="s">
        <v>116</v>
      </c>
      <c r="AF653" t="s">
        <v>116</v>
      </c>
      <c r="AG653">
        <v>4.3499999999999996</v>
      </c>
      <c r="AH653" t="s">
        <v>4128</v>
      </c>
      <c r="AI653" t="s">
        <v>4129</v>
      </c>
      <c r="AJ653">
        <v>-1.95</v>
      </c>
      <c r="AK653">
        <v>3558</v>
      </c>
      <c r="AL653">
        <v>65</v>
      </c>
      <c r="AM653">
        <v>1.5E-3</v>
      </c>
      <c r="AN653">
        <v>-1</v>
      </c>
      <c r="AO653">
        <v>3.29</v>
      </c>
      <c r="AP653">
        <v>13.97</v>
      </c>
      <c r="AQ653">
        <v>-5.88</v>
      </c>
      <c r="AR653">
        <v>16.57</v>
      </c>
      <c r="AS653">
        <v>6.6</v>
      </c>
      <c r="AT653" t="s">
        <v>4130</v>
      </c>
      <c r="AU653" t="s">
        <v>116</v>
      </c>
      <c r="AV653" t="s">
        <v>116</v>
      </c>
      <c r="AW653">
        <v>2.16</v>
      </c>
      <c r="BA653">
        <v>1.43</v>
      </c>
      <c r="BB653">
        <v>1.43</v>
      </c>
      <c r="BC653">
        <v>-2.86</v>
      </c>
      <c r="BD653">
        <v>-0.69</v>
      </c>
      <c r="BE653">
        <v>-4</v>
      </c>
      <c r="BF653">
        <v>-4</v>
      </c>
      <c r="BG653">
        <v>0.25</v>
      </c>
      <c r="BH653">
        <v>-1.93</v>
      </c>
      <c r="BI653">
        <v>20191024</v>
      </c>
      <c r="BJ653">
        <v>20071218</v>
      </c>
      <c r="BK653">
        <v>5.15</v>
      </c>
      <c r="BL653" t="s">
        <v>116</v>
      </c>
      <c r="BM653" t="s">
        <v>116</v>
      </c>
      <c r="BN653">
        <v>57.29</v>
      </c>
      <c r="BO653">
        <v>23.94</v>
      </c>
      <c r="BP653">
        <v>0.1</v>
      </c>
      <c r="BQ653">
        <v>58.03</v>
      </c>
      <c r="BR653">
        <v>27.68</v>
      </c>
      <c r="BS653">
        <v>12.56</v>
      </c>
      <c r="BT653">
        <v>2.27</v>
      </c>
      <c r="BU653">
        <v>22.18</v>
      </c>
      <c r="BV653">
        <v>2.09</v>
      </c>
      <c r="BW653">
        <v>14.72</v>
      </c>
      <c r="BX653">
        <v>17.399999999999999</v>
      </c>
      <c r="BY653">
        <v>8.1199999999999992</v>
      </c>
      <c r="BZ653">
        <v>5.63</v>
      </c>
      <c r="CA653">
        <v>0.23</v>
      </c>
      <c r="CB653">
        <v>0</v>
      </c>
      <c r="CC653">
        <v>0.15</v>
      </c>
      <c r="CD653">
        <v>0.12</v>
      </c>
      <c r="CE653">
        <v>0.2</v>
      </c>
      <c r="CF653">
        <v>-7.0000000000000007E-2</v>
      </c>
      <c r="CG653">
        <v>1.63</v>
      </c>
      <c r="CH653">
        <v>1.81</v>
      </c>
      <c r="CI653">
        <v>2.12</v>
      </c>
      <c r="CJ653">
        <v>66473</v>
      </c>
      <c r="CK653">
        <v>5240</v>
      </c>
      <c r="CL653" t="s">
        <v>770</v>
      </c>
      <c r="CM653">
        <v>-46.2</v>
      </c>
      <c r="CN653">
        <v>-16.27</v>
      </c>
      <c r="CO653">
        <v>1.76</v>
      </c>
      <c r="CP653">
        <v>23.25</v>
      </c>
      <c r="CQ653">
        <v>5.17</v>
      </c>
      <c r="CR653">
        <v>0</v>
      </c>
      <c r="CS653" t="s">
        <v>2865</v>
      </c>
      <c r="CT653">
        <v>4.6500000000000004</v>
      </c>
      <c r="CU653">
        <v>0</v>
      </c>
      <c r="CV653">
        <v>3.38</v>
      </c>
      <c r="CW653">
        <v>0.32</v>
      </c>
      <c r="CX653">
        <v>0.35</v>
      </c>
      <c r="CY653">
        <v>41.79</v>
      </c>
      <c r="CZ653" t="s">
        <v>4131</v>
      </c>
      <c r="DA653">
        <v>30.69</v>
      </c>
      <c r="DB653">
        <v>2.81</v>
      </c>
      <c r="DC653">
        <v>2.41</v>
      </c>
      <c r="DD653">
        <v>0.52</v>
      </c>
      <c r="DE653">
        <v>1976</v>
      </c>
      <c r="DF653">
        <v>2197</v>
      </c>
      <c r="DG653" t="s">
        <v>116</v>
      </c>
      <c r="DH653" t="s">
        <v>116</v>
      </c>
      <c r="DI653" t="s">
        <v>116</v>
      </c>
    </row>
    <row r="654" spans="1:113" x14ac:dyDescent="0.4">
      <c r="A654" t="str">
        <f>"002198"</f>
        <v>002198</v>
      </c>
      <c r="B654" t="s">
        <v>4132</v>
      </c>
      <c r="C654">
        <v>-0.93</v>
      </c>
      <c r="D654">
        <v>5.32</v>
      </c>
      <c r="E654">
        <v>-0.05</v>
      </c>
      <c r="F654">
        <v>5.31</v>
      </c>
      <c r="G654">
        <v>5.32</v>
      </c>
      <c r="H654">
        <v>72615</v>
      </c>
      <c r="I654">
        <v>3583</v>
      </c>
      <c r="J654">
        <v>0.38</v>
      </c>
      <c r="K654">
        <v>1.43</v>
      </c>
      <c r="L654">
        <v>5.37</v>
      </c>
      <c r="M654">
        <v>5.43</v>
      </c>
      <c r="N654">
        <v>5.29</v>
      </c>
      <c r="O654">
        <v>5.37</v>
      </c>
      <c r="P654">
        <v>97.73</v>
      </c>
      <c r="Q654">
        <v>39024400</v>
      </c>
      <c r="R654">
        <v>0.81</v>
      </c>
      <c r="S654" t="s">
        <v>781</v>
      </c>
      <c r="T654" t="s">
        <v>551</v>
      </c>
      <c r="U654">
        <v>2.61</v>
      </c>
      <c r="V654">
        <v>5.37</v>
      </c>
      <c r="W654">
        <v>35723</v>
      </c>
      <c r="X654">
        <v>36892</v>
      </c>
      <c r="Y654">
        <v>0.97</v>
      </c>
      <c r="Z654">
        <v>279</v>
      </c>
      <c r="AA654">
        <v>481</v>
      </c>
      <c r="AB654" t="s">
        <v>116</v>
      </c>
      <c r="AC654">
        <v>38700</v>
      </c>
      <c r="AD654">
        <v>0</v>
      </c>
      <c r="AE654" t="s">
        <v>116</v>
      </c>
      <c r="AF654" t="s">
        <v>116</v>
      </c>
      <c r="AG654">
        <v>5.08</v>
      </c>
      <c r="AH654" t="s">
        <v>1150</v>
      </c>
      <c r="AI654" t="s">
        <v>1150</v>
      </c>
      <c r="AJ654">
        <v>-0.25</v>
      </c>
      <c r="AK654">
        <v>1299</v>
      </c>
      <c r="AL654">
        <v>56</v>
      </c>
      <c r="AM654">
        <v>1.1000000000000001E-3</v>
      </c>
      <c r="AN654">
        <v>-1</v>
      </c>
      <c r="AO654">
        <v>-1.48</v>
      </c>
      <c r="AP654">
        <v>0.38</v>
      </c>
      <c r="AQ654">
        <v>-13.5</v>
      </c>
      <c r="AR654">
        <v>4.5199999999999996</v>
      </c>
      <c r="AS654">
        <v>1.96</v>
      </c>
      <c r="AT654" t="s">
        <v>4133</v>
      </c>
      <c r="AU654">
        <v>68.23</v>
      </c>
      <c r="AV654">
        <v>75.25</v>
      </c>
      <c r="AW654">
        <v>1.35</v>
      </c>
      <c r="BA654">
        <v>0</v>
      </c>
      <c r="BB654">
        <v>1.1200000000000001</v>
      </c>
      <c r="BC654">
        <v>-1.49</v>
      </c>
      <c r="BD654">
        <v>0.08</v>
      </c>
      <c r="BE654">
        <v>-0.93</v>
      </c>
      <c r="BF654">
        <v>-2.0299999999999998</v>
      </c>
      <c r="BG654">
        <v>0.56999999999999995</v>
      </c>
      <c r="BH654">
        <v>-1.01</v>
      </c>
      <c r="BI654">
        <v>20191025</v>
      </c>
      <c r="BJ654">
        <v>20071218</v>
      </c>
      <c r="BK654">
        <v>5.08</v>
      </c>
      <c r="BL654" t="s">
        <v>116</v>
      </c>
      <c r="BM654" t="s">
        <v>116</v>
      </c>
      <c r="BN654">
        <v>9.6999999999999993</v>
      </c>
      <c r="BO654">
        <v>8.06</v>
      </c>
      <c r="BP654">
        <v>0</v>
      </c>
      <c r="BQ654">
        <v>16.88</v>
      </c>
      <c r="BR654">
        <v>4.0999999999999996</v>
      </c>
      <c r="BS654">
        <v>2.4</v>
      </c>
      <c r="BT654">
        <v>0.71</v>
      </c>
      <c r="BU654">
        <v>1.29</v>
      </c>
      <c r="BV654">
        <v>0.75</v>
      </c>
      <c r="BW654">
        <v>1.41</v>
      </c>
      <c r="BX654">
        <v>1.23</v>
      </c>
      <c r="BY654">
        <v>3.38</v>
      </c>
      <c r="BZ654">
        <v>0.74</v>
      </c>
      <c r="CA654">
        <v>0.24</v>
      </c>
      <c r="CB654">
        <v>0.01</v>
      </c>
      <c r="CC654">
        <v>0.25</v>
      </c>
      <c r="CD654">
        <v>0.21</v>
      </c>
      <c r="CE654">
        <v>0.21</v>
      </c>
      <c r="CF654">
        <v>0.19</v>
      </c>
      <c r="CG654">
        <v>1.48</v>
      </c>
      <c r="CH654">
        <v>-0.35</v>
      </c>
      <c r="CI654">
        <v>-0.67</v>
      </c>
      <c r="CJ654">
        <v>36235</v>
      </c>
      <c r="CK654">
        <v>10205</v>
      </c>
      <c r="CL654" t="s">
        <v>1208</v>
      </c>
      <c r="CM654">
        <v>21.7</v>
      </c>
      <c r="CN654">
        <v>0.92</v>
      </c>
      <c r="CO654">
        <v>3.35</v>
      </c>
      <c r="CP654">
        <v>-78.180000000000007</v>
      </c>
      <c r="CQ654">
        <v>7.99</v>
      </c>
      <c r="CR654">
        <v>0</v>
      </c>
      <c r="CS654" t="s">
        <v>765</v>
      </c>
      <c r="CT654">
        <v>1.59</v>
      </c>
      <c r="CU654">
        <v>0</v>
      </c>
      <c r="CV654">
        <v>0.24</v>
      </c>
      <c r="CW654">
        <v>0.28999999999999998</v>
      </c>
      <c r="CX654">
        <v>-7.0000000000000007E-2</v>
      </c>
      <c r="CY654">
        <v>83.12</v>
      </c>
      <c r="CZ654" t="s">
        <v>1203</v>
      </c>
      <c r="DA654">
        <v>78.11</v>
      </c>
      <c r="DB654">
        <v>6.97</v>
      </c>
      <c r="DC654">
        <v>6.13</v>
      </c>
      <c r="DD654">
        <v>0</v>
      </c>
      <c r="DE654">
        <v>1021</v>
      </c>
      <c r="DF654">
        <v>2198</v>
      </c>
      <c r="DG654" t="s">
        <v>116</v>
      </c>
      <c r="DH654" t="s">
        <v>116</v>
      </c>
      <c r="DI654" t="s">
        <v>116</v>
      </c>
    </row>
    <row r="655" spans="1:113" x14ac:dyDescent="0.4">
      <c r="A655" t="str">
        <f>"002199"</f>
        <v>002199</v>
      </c>
      <c r="B655" t="s">
        <v>4134</v>
      </c>
      <c r="C655">
        <v>-0.82</v>
      </c>
      <c r="D655">
        <v>9.6199999999999992</v>
      </c>
      <c r="E655">
        <v>-0.08</v>
      </c>
      <c r="F655">
        <v>9.6199999999999992</v>
      </c>
      <c r="G655">
        <v>9.6300000000000008</v>
      </c>
      <c r="H655">
        <v>141330</v>
      </c>
      <c r="I655">
        <v>1891</v>
      </c>
      <c r="J655">
        <v>0.31</v>
      </c>
      <c r="K655">
        <v>5.81</v>
      </c>
      <c r="L655">
        <v>9.75</v>
      </c>
      <c r="M655">
        <v>9.84</v>
      </c>
      <c r="N655">
        <v>9.52</v>
      </c>
      <c r="O655">
        <v>9.6999999999999993</v>
      </c>
      <c r="P655">
        <v>95.33</v>
      </c>
      <c r="Q655">
        <v>136980912</v>
      </c>
      <c r="R655">
        <v>1.1299999999999999</v>
      </c>
      <c r="S655" t="s">
        <v>233</v>
      </c>
      <c r="T655" t="s">
        <v>590</v>
      </c>
      <c r="U655">
        <v>3.3</v>
      </c>
      <c r="V655">
        <v>9.69</v>
      </c>
      <c r="W655">
        <v>73341</v>
      </c>
      <c r="X655">
        <v>67989</v>
      </c>
      <c r="Y655">
        <v>1.08</v>
      </c>
      <c r="Z655">
        <v>870</v>
      </c>
      <c r="AA655">
        <v>106</v>
      </c>
      <c r="AB655" t="s">
        <v>116</v>
      </c>
      <c r="AC655">
        <v>1112500</v>
      </c>
      <c r="AD655">
        <v>0.08</v>
      </c>
      <c r="AE655" t="s">
        <v>116</v>
      </c>
      <c r="AF655" t="s">
        <v>116</v>
      </c>
      <c r="AG655">
        <v>2.4300000000000002</v>
      </c>
      <c r="AH655" t="s">
        <v>4135</v>
      </c>
      <c r="AI655" t="s">
        <v>4135</v>
      </c>
      <c r="AJ655">
        <v>-0.15</v>
      </c>
      <c r="AK655">
        <v>2848</v>
      </c>
      <c r="AL655">
        <v>50</v>
      </c>
      <c r="AM655">
        <v>2E-3</v>
      </c>
      <c r="AN655">
        <v>-1</v>
      </c>
      <c r="AO655">
        <v>4.12</v>
      </c>
      <c r="AP655">
        <v>7.01</v>
      </c>
      <c r="AQ655">
        <v>-26.06</v>
      </c>
      <c r="AR655">
        <v>4.91</v>
      </c>
      <c r="AS655">
        <v>9.64</v>
      </c>
      <c r="AT655" t="s">
        <v>4136</v>
      </c>
      <c r="AU655" t="s">
        <v>116</v>
      </c>
      <c r="AV655" t="s">
        <v>116</v>
      </c>
      <c r="AW655">
        <v>0.6</v>
      </c>
      <c r="BA655">
        <v>0.52</v>
      </c>
      <c r="BB655">
        <v>1.44</v>
      </c>
      <c r="BC655">
        <v>-1.86</v>
      </c>
      <c r="BD655">
        <v>-0.08</v>
      </c>
      <c r="BE655">
        <v>-1.33</v>
      </c>
      <c r="BF655">
        <v>-2.2400000000000002</v>
      </c>
      <c r="BG655">
        <v>1.05</v>
      </c>
      <c r="BH655">
        <v>-0.75</v>
      </c>
      <c r="BI655">
        <v>20191225</v>
      </c>
      <c r="BJ655">
        <v>20071221</v>
      </c>
      <c r="BK655">
        <v>2.4300000000000002</v>
      </c>
      <c r="BL655" t="s">
        <v>116</v>
      </c>
      <c r="BM655" t="s">
        <v>116</v>
      </c>
      <c r="BN655">
        <v>4.78</v>
      </c>
      <c r="BO655">
        <v>4</v>
      </c>
      <c r="BP655">
        <v>0</v>
      </c>
      <c r="BQ655">
        <v>16.36</v>
      </c>
      <c r="BR655">
        <v>2.96</v>
      </c>
      <c r="BS655">
        <v>1.63</v>
      </c>
      <c r="BT655">
        <v>0.03</v>
      </c>
      <c r="BU655">
        <v>0.7</v>
      </c>
      <c r="BV655">
        <v>0.61</v>
      </c>
      <c r="BW655">
        <v>0.75</v>
      </c>
      <c r="BX655">
        <v>5.16</v>
      </c>
      <c r="BY655">
        <v>1.55</v>
      </c>
      <c r="BZ655">
        <v>1.33</v>
      </c>
      <c r="CA655">
        <v>0.21</v>
      </c>
      <c r="CB655">
        <v>0</v>
      </c>
      <c r="CC655">
        <v>0.18</v>
      </c>
      <c r="CD655">
        <v>0.18</v>
      </c>
      <c r="CE655">
        <v>0.18</v>
      </c>
      <c r="CF655">
        <v>-0.09</v>
      </c>
      <c r="CG655">
        <v>-3.78</v>
      </c>
      <c r="CH655">
        <v>0.06</v>
      </c>
      <c r="CI655">
        <v>0.83</v>
      </c>
      <c r="CJ655">
        <v>25335</v>
      </c>
      <c r="CK655">
        <v>5785</v>
      </c>
      <c r="CL655" t="s">
        <v>504</v>
      </c>
      <c r="CM655">
        <v>200.8</v>
      </c>
      <c r="CN655">
        <v>13.68</v>
      </c>
      <c r="CO655">
        <v>5.85</v>
      </c>
      <c r="CP655">
        <v>405.83</v>
      </c>
      <c r="CQ655">
        <v>15.12</v>
      </c>
      <c r="CR655">
        <v>0</v>
      </c>
      <c r="CS655" t="s">
        <v>3475</v>
      </c>
      <c r="CT655">
        <v>1.64</v>
      </c>
      <c r="CU655">
        <v>0</v>
      </c>
      <c r="CV655">
        <v>2.12</v>
      </c>
      <c r="CW655">
        <v>-1.55</v>
      </c>
      <c r="CX655">
        <v>0.02</v>
      </c>
      <c r="CY655">
        <v>83.64</v>
      </c>
      <c r="CZ655" t="s">
        <v>4137</v>
      </c>
      <c r="DA655">
        <v>14.11</v>
      </c>
      <c r="DB655">
        <v>13.71</v>
      </c>
      <c r="DC655">
        <v>11.89</v>
      </c>
      <c r="DD655">
        <v>0.09</v>
      </c>
      <c r="DE655">
        <v>561</v>
      </c>
      <c r="DF655">
        <v>2199</v>
      </c>
      <c r="DG655" t="s">
        <v>116</v>
      </c>
      <c r="DH655" t="s">
        <v>116</v>
      </c>
      <c r="DI655" t="s">
        <v>116</v>
      </c>
    </row>
    <row r="656" spans="1:113" x14ac:dyDescent="0.4">
      <c r="A656" t="str">
        <f>"002200"</f>
        <v>002200</v>
      </c>
      <c r="B656" t="s">
        <v>4138</v>
      </c>
      <c r="C656">
        <v>-1.71</v>
      </c>
      <c r="D656">
        <v>6.89</v>
      </c>
      <c r="E656">
        <v>-0.12</v>
      </c>
      <c r="F656">
        <v>6.89</v>
      </c>
      <c r="G656">
        <v>6.9</v>
      </c>
      <c r="H656">
        <v>15287</v>
      </c>
      <c r="I656">
        <v>233</v>
      </c>
      <c r="J656">
        <v>-0.13</v>
      </c>
      <c r="K656">
        <v>1.1599999999999999</v>
      </c>
      <c r="L656">
        <v>7.01</v>
      </c>
      <c r="M656">
        <v>7.05</v>
      </c>
      <c r="N656">
        <v>6.88</v>
      </c>
      <c r="O656">
        <v>7.01</v>
      </c>
      <c r="P656">
        <v>33.979999999999997</v>
      </c>
      <c r="Q656">
        <v>10675041</v>
      </c>
      <c r="R656">
        <v>1</v>
      </c>
      <c r="S656" t="s">
        <v>140</v>
      </c>
      <c r="T656" t="s">
        <v>1043</v>
      </c>
      <c r="U656">
        <v>2.4300000000000002</v>
      </c>
      <c r="V656">
        <v>6.98</v>
      </c>
      <c r="W656">
        <v>11329</v>
      </c>
      <c r="X656">
        <v>3958</v>
      </c>
      <c r="Y656">
        <v>2.86</v>
      </c>
      <c r="Z656">
        <v>84</v>
      </c>
      <c r="AA656">
        <v>193</v>
      </c>
      <c r="AB656" t="s">
        <v>116</v>
      </c>
      <c r="AC656">
        <v>60300</v>
      </c>
      <c r="AD656">
        <v>0.01</v>
      </c>
      <c r="AE656" t="s">
        <v>116</v>
      </c>
      <c r="AF656" t="s">
        <v>116</v>
      </c>
      <c r="AG656">
        <v>1.32</v>
      </c>
      <c r="AH656" t="s">
        <v>4139</v>
      </c>
      <c r="AI656" t="s">
        <v>4140</v>
      </c>
      <c r="AJ656">
        <v>-1.03</v>
      </c>
      <c r="AK656">
        <v>217</v>
      </c>
      <c r="AL656">
        <v>70</v>
      </c>
      <c r="AM656">
        <v>5.4000000000000003E-3</v>
      </c>
      <c r="AN656">
        <v>-1</v>
      </c>
      <c r="AO656">
        <v>-3.64</v>
      </c>
      <c r="AP656">
        <v>5.35</v>
      </c>
      <c r="AQ656">
        <v>20.45</v>
      </c>
      <c r="AR656">
        <v>23.04</v>
      </c>
      <c r="AS656">
        <v>1.48</v>
      </c>
      <c r="AT656" t="s">
        <v>4141</v>
      </c>
      <c r="AU656">
        <v>215.84</v>
      </c>
      <c r="AV656" t="s">
        <v>116</v>
      </c>
      <c r="AW656">
        <v>0.41</v>
      </c>
      <c r="BA656">
        <v>0</v>
      </c>
      <c r="BB656">
        <v>0.56999999999999995</v>
      </c>
      <c r="BC656">
        <v>-1.85</v>
      </c>
      <c r="BD656">
        <v>-0.38</v>
      </c>
      <c r="BE656">
        <v>-1.71</v>
      </c>
      <c r="BF656">
        <v>-2.27</v>
      </c>
      <c r="BG656">
        <v>0.15</v>
      </c>
      <c r="BH656">
        <v>-1.33</v>
      </c>
      <c r="BI656">
        <v>20191120</v>
      </c>
      <c r="BJ656">
        <v>20071221</v>
      </c>
      <c r="BK656">
        <v>1.84</v>
      </c>
      <c r="BL656" t="s">
        <v>116</v>
      </c>
      <c r="BM656" t="s">
        <v>116</v>
      </c>
      <c r="BN656">
        <v>35.99</v>
      </c>
      <c r="BO656">
        <v>1.87</v>
      </c>
      <c r="BP656">
        <v>2.4700000000000002</v>
      </c>
      <c r="BQ656">
        <v>87.96</v>
      </c>
      <c r="BR656">
        <v>23.37</v>
      </c>
      <c r="BS656">
        <v>0.56000000000000005</v>
      </c>
      <c r="BT656">
        <v>0.18</v>
      </c>
      <c r="BU656">
        <v>28.33</v>
      </c>
      <c r="BV656">
        <v>12.77</v>
      </c>
      <c r="BW656">
        <v>4.9000000000000004</v>
      </c>
      <c r="BX656">
        <v>7.73</v>
      </c>
      <c r="BY656">
        <v>4.83</v>
      </c>
      <c r="BZ656">
        <v>3.22</v>
      </c>
      <c r="CA656">
        <v>0.77</v>
      </c>
      <c r="CB656">
        <v>0.32</v>
      </c>
      <c r="CC656">
        <v>0.75</v>
      </c>
      <c r="CD656">
        <v>0.52</v>
      </c>
      <c r="CE656">
        <v>0.28000000000000003</v>
      </c>
      <c r="CF656">
        <v>-0.63</v>
      </c>
      <c r="CG656">
        <v>-8.1199999999999992</v>
      </c>
      <c r="CH656">
        <v>0.27</v>
      </c>
      <c r="CI656">
        <v>-1.7</v>
      </c>
      <c r="CJ656">
        <v>12255</v>
      </c>
      <c r="CK656">
        <v>8455</v>
      </c>
      <c r="CL656" t="s">
        <v>4109</v>
      </c>
      <c r="CM656">
        <v>112</v>
      </c>
      <c r="CN656">
        <v>68.36</v>
      </c>
      <c r="CO656">
        <v>6.8</v>
      </c>
      <c r="CP656">
        <v>46.6</v>
      </c>
      <c r="CQ656">
        <v>2.63</v>
      </c>
      <c r="CR656">
        <v>0</v>
      </c>
      <c r="CS656" t="s">
        <v>771</v>
      </c>
      <c r="CT656">
        <v>1.01</v>
      </c>
      <c r="CU656">
        <v>0</v>
      </c>
      <c r="CV656">
        <v>4.2</v>
      </c>
      <c r="CW656">
        <v>-4.41</v>
      </c>
      <c r="CX656">
        <v>0.15</v>
      </c>
      <c r="CY656">
        <v>5.18</v>
      </c>
      <c r="CZ656" t="s">
        <v>4142</v>
      </c>
      <c r="DA656">
        <v>33.299999999999997</v>
      </c>
      <c r="DB656">
        <v>15.97</v>
      </c>
      <c r="DC656">
        <v>5.8</v>
      </c>
      <c r="DD656">
        <v>0.03</v>
      </c>
      <c r="DE656">
        <v>381</v>
      </c>
      <c r="DF656">
        <v>2200</v>
      </c>
      <c r="DG656" t="s">
        <v>116</v>
      </c>
      <c r="DH656" t="s">
        <v>116</v>
      </c>
      <c r="DI656" t="s">
        <v>116</v>
      </c>
    </row>
    <row r="657" spans="1:113" x14ac:dyDescent="0.4">
      <c r="A657" t="str">
        <f>"002201"</f>
        <v>002201</v>
      </c>
      <c r="B657" t="s">
        <v>4143</v>
      </c>
      <c r="C657">
        <v>-2.64</v>
      </c>
      <c r="D657">
        <v>21.72</v>
      </c>
      <c r="E657">
        <v>-0.59</v>
      </c>
      <c r="F657">
        <v>21.72</v>
      </c>
      <c r="G657">
        <v>21.73</v>
      </c>
      <c r="H657">
        <v>165053</v>
      </c>
      <c r="I657">
        <v>1792</v>
      </c>
      <c r="J657">
        <v>0</v>
      </c>
      <c r="K657">
        <v>4.9800000000000004</v>
      </c>
      <c r="L657">
        <v>22.22</v>
      </c>
      <c r="M657">
        <v>22.37</v>
      </c>
      <c r="N657">
        <v>21.7</v>
      </c>
      <c r="O657">
        <v>22.31</v>
      </c>
      <c r="P657">
        <v>1059.3900000000001</v>
      </c>
      <c r="Q657">
        <v>361762976</v>
      </c>
      <c r="R657">
        <v>1.23</v>
      </c>
      <c r="S657" t="s">
        <v>195</v>
      </c>
      <c r="T657" t="s">
        <v>323</v>
      </c>
      <c r="U657">
        <v>3</v>
      </c>
      <c r="V657">
        <v>21.92</v>
      </c>
      <c r="W657">
        <v>93305</v>
      </c>
      <c r="X657">
        <v>71748</v>
      </c>
      <c r="Y657">
        <v>1.3</v>
      </c>
      <c r="Z657">
        <v>397</v>
      </c>
      <c r="AA657">
        <v>310</v>
      </c>
      <c r="AB657" t="s">
        <v>116</v>
      </c>
      <c r="AC657">
        <v>815500</v>
      </c>
      <c r="AD657">
        <v>0.02</v>
      </c>
      <c r="AE657" t="s">
        <v>116</v>
      </c>
      <c r="AF657" t="s">
        <v>116</v>
      </c>
      <c r="AG657">
        <v>3.32</v>
      </c>
      <c r="AH657" t="s">
        <v>4144</v>
      </c>
      <c r="AI657" t="s">
        <v>4145</v>
      </c>
      <c r="AJ657">
        <v>-1.97</v>
      </c>
      <c r="AK657">
        <v>3863</v>
      </c>
      <c r="AL657">
        <v>43</v>
      </c>
      <c r="AM657">
        <v>1.2999999999999999E-3</v>
      </c>
      <c r="AN657">
        <v>-1</v>
      </c>
      <c r="AO657">
        <v>-2.2000000000000002</v>
      </c>
      <c r="AP657">
        <v>-2.78</v>
      </c>
      <c r="AQ657">
        <v>-2.6</v>
      </c>
      <c r="AR657">
        <v>243.13</v>
      </c>
      <c r="AS657">
        <v>9.75</v>
      </c>
      <c r="AT657" t="s">
        <v>4146</v>
      </c>
      <c r="AU657">
        <v>443.56</v>
      </c>
      <c r="AV657">
        <v>388.16</v>
      </c>
      <c r="AW657">
        <v>0</v>
      </c>
      <c r="BA657">
        <v>-0.4</v>
      </c>
      <c r="BB657">
        <v>0.27</v>
      </c>
      <c r="BC657">
        <v>-2.73</v>
      </c>
      <c r="BD657">
        <v>-1.76</v>
      </c>
      <c r="BE657">
        <v>-2.25</v>
      </c>
      <c r="BF657">
        <v>-2.91</v>
      </c>
      <c r="BG657">
        <v>0.09</v>
      </c>
      <c r="BH657">
        <v>-0.89</v>
      </c>
      <c r="BI657">
        <v>20191213</v>
      </c>
      <c r="BJ657">
        <v>20071226</v>
      </c>
      <c r="BK657">
        <v>3.32</v>
      </c>
      <c r="BL657" t="s">
        <v>116</v>
      </c>
      <c r="BM657" t="s">
        <v>116</v>
      </c>
      <c r="BN657">
        <v>22.87</v>
      </c>
      <c r="BO657">
        <v>9.0399999999999991</v>
      </c>
      <c r="BP657">
        <v>0</v>
      </c>
      <c r="BQ657">
        <v>60.47</v>
      </c>
      <c r="BR657">
        <v>7.21</v>
      </c>
      <c r="BS657">
        <v>12.35</v>
      </c>
      <c r="BT657">
        <v>0.83</v>
      </c>
      <c r="BU657">
        <v>10.72</v>
      </c>
      <c r="BV657">
        <v>2.39</v>
      </c>
      <c r="BW657">
        <v>2.66</v>
      </c>
      <c r="BX657">
        <v>3.69</v>
      </c>
      <c r="BY657">
        <v>6.79</v>
      </c>
      <c r="BZ657">
        <v>5.09</v>
      </c>
      <c r="CA657">
        <v>0.1</v>
      </c>
      <c r="CB657">
        <v>0.02</v>
      </c>
      <c r="CC657">
        <v>0.11</v>
      </c>
      <c r="CD657">
        <v>0.05</v>
      </c>
      <c r="CE657">
        <v>0.05</v>
      </c>
      <c r="CF657">
        <v>-0.02</v>
      </c>
      <c r="CG657">
        <v>1.68</v>
      </c>
      <c r="CH657">
        <v>1.22</v>
      </c>
      <c r="CI657">
        <v>0.26</v>
      </c>
      <c r="CJ657">
        <v>61180</v>
      </c>
      <c r="CK657">
        <v>2767</v>
      </c>
      <c r="CL657" t="s">
        <v>1506</v>
      </c>
      <c r="CM657">
        <v>-31.25</v>
      </c>
      <c r="CN657">
        <v>-7.83</v>
      </c>
      <c r="CO657">
        <v>7.99</v>
      </c>
      <c r="CP657">
        <v>58.95</v>
      </c>
      <c r="CQ657">
        <v>10.64</v>
      </c>
      <c r="CR657">
        <v>0</v>
      </c>
      <c r="CS657" t="s">
        <v>3943</v>
      </c>
      <c r="CT657">
        <v>2.72</v>
      </c>
      <c r="CU657">
        <v>0</v>
      </c>
      <c r="CV657">
        <v>1.1100000000000001</v>
      </c>
      <c r="CW657">
        <v>0.51</v>
      </c>
      <c r="CX657">
        <v>0.37</v>
      </c>
      <c r="CY657">
        <v>39.53</v>
      </c>
      <c r="CZ657" t="s">
        <v>4147</v>
      </c>
      <c r="DA657">
        <v>25.02</v>
      </c>
      <c r="DB657">
        <v>1.46</v>
      </c>
      <c r="DC657">
        <v>0.75</v>
      </c>
      <c r="DD657">
        <v>0.24</v>
      </c>
      <c r="DE657">
        <v>2037</v>
      </c>
      <c r="DF657">
        <v>2201</v>
      </c>
      <c r="DG657" t="s">
        <v>116</v>
      </c>
      <c r="DH657" t="s">
        <v>116</v>
      </c>
      <c r="DI657" t="s">
        <v>116</v>
      </c>
    </row>
    <row r="658" spans="1:113" x14ac:dyDescent="0.4">
      <c r="A658" t="str">
        <f>"002202"</f>
        <v>002202</v>
      </c>
      <c r="B658" t="s">
        <v>4148</v>
      </c>
      <c r="C658">
        <v>0.7</v>
      </c>
      <c r="D658">
        <v>11.53</v>
      </c>
      <c r="E658">
        <v>0.08</v>
      </c>
      <c r="F658">
        <v>11.52</v>
      </c>
      <c r="G658">
        <v>11.53</v>
      </c>
      <c r="H658">
        <v>250434</v>
      </c>
      <c r="I658">
        <v>3112</v>
      </c>
      <c r="J658">
        <v>0</v>
      </c>
      <c r="K658">
        <v>0.74</v>
      </c>
      <c r="L658">
        <v>11.5</v>
      </c>
      <c r="M658">
        <v>11.67</v>
      </c>
      <c r="N658">
        <v>11.42</v>
      </c>
      <c r="O658">
        <v>11.45</v>
      </c>
      <c r="P658">
        <v>22.97</v>
      </c>
      <c r="Q658">
        <v>289318784</v>
      </c>
      <c r="R658">
        <v>1.17</v>
      </c>
      <c r="S658" t="s">
        <v>397</v>
      </c>
      <c r="T658" t="s">
        <v>616</v>
      </c>
      <c r="U658">
        <v>2.1800000000000002</v>
      </c>
      <c r="V658">
        <v>11.55</v>
      </c>
      <c r="W658">
        <v>111894</v>
      </c>
      <c r="X658">
        <v>138540</v>
      </c>
      <c r="Y658">
        <v>0.81</v>
      </c>
      <c r="Z658">
        <v>1901</v>
      </c>
      <c r="AA658">
        <v>372</v>
      </c>
      <c r="AB658" t="s">
        <v>116</v>
      </c>
      <c r="AC658">
        <v>1580100</v>
      </c>
      <c r="AD658">
        <v>0.01</v>
      </c>
      <c r="AE658" t="s">
        <v>116</v>
      </c>
      <c r="AF658" t="s">
        <v>116</v>
      </c>
      <c r="AG658">
        <v>33.869999999999997</v>
      </c>
      <c r="AH658" t="s">
        <v>4149</v>
      </c>
      <c r="AI658" t="s">
        <v>4150</v>
      </c>
      <c r="AJ658">
        <v>1.38</v>
      </c>
      <c r="AK658">
        <v>3639</v>
      </c>
      <c r="AL658">
        <v>69</v>
      </c>
      <c r="AM658">
        <v>2.0000000000000001E-4</v>
      </c>
      <c r="AN658">
        <v>2</v>
      </c>
      <c r="AO658">
        <v>-0.77</v>
      </c>
      <c r="AP658">
        <v>-0.52</v>
      </c>
      <c r="AQ658">
        <v>-8.93</v>
      </c>
      <c r="AR658">
        <v>24.44</v>
      </c>
      <c r="AS658">
        <v>1.4</v>
      </c>
      <c r="AT658" t="s">
        <v>4151</v>
      </c>
      <c r="AU658">
        <v>20.399999999999999</v>
      </c>
      <c r="AV658">
        <v>15.14</v>
      </c>
      <c r="AW658">
        <v>1.21</v>
      </c>
      <c r="BA658">
        <v>0.44</v>
      </c>
      <c r="BB658">
        <v>1.92</v>
      </c>
      <c r="BC658">
        <v>-0.26</v>
      </c>
      <c r="BD658">
        <v>0.9</v>
      </c>
      <c r="BE658">
        <v>0.26</v>
      </c>
      <c r="BF658">
        <v>-1.2</v>
      </c>
      <c r="BG658">
        <v>0.96</v>
      </c>
      <c r="BH658">
        <v>-0.2</v>
      </c>
      <c r="BI658">
        <v>20191026</v>
      </c>
      <c r="BJ658">
        <v>20071226</v>
      </c>
      <c r="BK658">
        <v>42.25</v>
      </c>
      <c r="BL658" t="s">
        <v>116</v>
      </c>
      <c r="BM658">
        <v>7.74</v>
      </c>
      <c r="BN658">
        <v>1030.47</v>
      </c>
      <c r="BO658">
        <v>298.25</v>
      </c>
      <c r="BP658">
        <v>15.53</v>
      </c>
      <c r="BQ658">
        <v>69.55</v>
      </c>
      <c r="BR658">
        <v>475.93</v>
      </c>
      <c r="BS658">
        <v>194.6</v>
      </c>
      <c r="BT658">
        <v>34.83</v>
      </c>
      <c r="BU658">
        <v>442.33</v>
      </c>
      <c r="BV658">
        <v>100.72</v>
      </c>
      <c r="BW658">
        <v>196.17</v>
      </c>
      <c r="BX658">
        <v>120.84</v>
      </c>
      <c r="BY658">
        <v>247.35</v>
      </c>
      <c r="BZ658">
        <v>197.22</v>
      </c>
      <c r="CA658">
        <v>18.39</v>
      </c>
      <c r="CB658">
        <v>9.9</v>
      </c>
      <c r="CC658">
        <v>18.579999999999998</v>
      </c>
      <c r="CD658">
        <v>16.059999999999999</v>
      </c>
      <c r="CE658">
        <v>15.91</v>
      </c>
      <c r="CF658">
        <v>14.29</v>
      </c>
      <c r="CG658">
        <v>108.03</v>
      </c>
      <c r="CH658">
        <v>4.16</v>
      </c>
      <c r="CI658">
        <v>15.57</v>
      </c>
      <c r="CJ658">
        <v>115045</v>
      </c>
      <c r="CK658">
        <v>15557</v>
      </c>
      <c r="CL658" t="s">
        <v>4152</v>
      </c>
      <c r="CM658">
        <v>-34.24</v>
      </c>
      <c r="CN658">
        <v>38.840000000000003</v>
      </c>
      <c r="CO658">
        <v>1.75</v>
      </c>
      <c r="CP658">
        <v>117.22</v>
      </c>
      <c r="CQ658">
        <v>1.97</v>
      </c>
      <c r="CR658">
        <v>2.17</v>
      </c>
      <c r="CS658" t="s">
        <v>1074</v>
      </c>
      <c r="CT658">
        <v>6.59</v>
      </c>
      <c r="CU658">
        <v>6.59</v>
      </c>
      <c r="CV658">
        <v>2.86</v>
      </c>
      <c r="CW658">
        <v>2.56</v>
      </c>
      <c r="CX658">
        <v>0.1</v>
      </c>
      <c r="CY658">
        <v>28.94</v>
      </c>
      <c r="CZ658" t="s">
        <v>4153</v>
      </c>
      <c r="DA658">
        <v>20.27</v>
      </c>
      <c r="DB658">
        <v>7.43</v>
      </c>
      <c r="DC658">
        <v>6.43</v>
      </c>
      <c r="DD658">
        <v>6.09</v>
      </c>
      <c r="DE658">
        <v>8753</v>
      </c>
      <c r="DF658">
        <v>2202</v>
      </c>
      <c r="DG658" t="s">
        <v>116</v>
      </c>
      <c r="DH658" t="s">
        <v>116</v>
      </c>
      <c r="DI658" t="s">
        <v>116</v>
      </c>
    </row>
    <row r="659" spans="1:113" x14ac:dyDescent="0.4">
      <c r="A659" t="str">
        <f>"002203"</f>
        <v>002203</v>
      </c>
      <c r="B659" t="s">
        <v>4154</v>
      </c>
      <c r="C659">
        <v>0.1</v>
      </c>
      <c r="D659">
        <v>10.07</v>
      </c>
      <c r="E659">
        <v>0.01</v>
      </c>
      <c r="F659">
        <v>10.07</v>
      </c>
      <c r="G659">
        <v>10.08</v>
      </c>
      <c r="H659">
        <v>105152</v>
      </c>
      <c r="I659">
        <v>1110</v>
      </c>
      <c r="J659">
        <v>0</v>
      </c>
      <c r="K659">
        <v>0.57999999999999996</v>
      </c>
      <c r="L659">
        <v>10.06</v>
      </c>
      <c r="M659">
        <v>10.28</v>
      </c>
      <c r="N659">
        <v>10.039999999999999</v>
      </c>
      <c r="O659">
        <v>10.06</v>
      </c>
      <c r="P659">
        <v>17.989999999999998</v>
      </c>
      <c r="Q659">
        <v>106316552</v>
      </c>
      <c r="R659">
        <v>1.64</v>
      </c>
      <c r="S659" t="s">
        <v>1517</v>
      </c>
      <c r="T659" t="s">
        <v>590</v>
      </c>
      <c r="U659">
        <v>2.39</v>
      </c>
      <c r="V659">
        <v>10.11</v>
      </c>
      <c r="W659">
        <v>50815</v>
      </c>
      <c r="X659">
        <v>54337</v>
      </c>
      <c r="Y659">
        <v>0.94</v>
      </c>
      <c r="Z659">
        <v>343</v>
      </c>
      <c r="AA659">
        <v>1121</v>
      </c>
      <c r="AB659" t="s">
        <v>116</v>
      </c>
      <c r="AC659">
        <v>1414400</v>
      </c>
      <c r="AD659">
        <v>0.02</v>
      </c>
      <c r="AE659" t="s">
        <v>116</v>
      </c>
      <c r="AF659" t="s">
        <v>116</v>
      </c>
      <c r="AG659">
        <v>18.260000000000002</v>
      </c>
      <c r="AH659" t="s">
        <v>4155</v>
      </c>
      <c r="AI659" t="s">
        <v>4156</v>
      </c>
      <c r="AJ659">
        <v>0.78</v>
      </c>
      <c r="AK659">
        <v>2550</v>
      </c>
      <c r="AL659">
        <v>41</v>
      </c>
      <c r="AM659">
        <v>2.0000000000000001E-4</v>
      </c>
      <c r="AN659">
        <v>4</v>
      </c>
      <c r="AO659">
        <v>1.93</v>
      </c>
      <c r="AP659">
        <v>0.4</v>
      </c>
      <c r="AQ659">
        <v>-2.33</v>
      </c>
      <c r="AR659">
        <v>29.29</v>
      </c>
      <c r="AS659">
        <v>1.47</v>
      </c>
      <c r="AT659" t="s">
        <v>4157</v>
      </c>
      <c r="AU659">
        <v>18.96</v>
      </c>
      <c r="AV659">
        <v>21.63</v>
      </c>
      <c r="AW659">
        <v>0.49</v>
      </c>
      <c r="BA659">
        <v>0</v>
      </c>
      <c r="BB659">
        <v>2.19</v>
      </c>
      <c r="BC659">
        <v>-0.2</v>
      </c>
      <c r="BD659">
        <v>0.5</v>
      </c>
      <c r="BE659">
        <v>0.1</v>
      </c>
      <c r="BF659">
        <v>-2.04</v>
      </c>
      <c r="BG659">
        <v>0.3</v>
      </c>
      <c r="BH659">
        <v>-0.41</v>
      </c>
      <c r="BI659">
        <v>20191108</v>
      </c>
      <c r="BJ659">
        <v>20080116</v>
      </c>
      <c r="BK659">
        <v>19.52</v>
      </c>
      <c r="BL659" t="s">
        <v>116</v>
      </c>
      <c r="BM659" t="s">
        <v>116</v>
      </c>
      <c r="BN659">
        <v>239.05</v>
      </c>
      <c r="BO659">
        <v>84.65</v>
      </c>
      <c r="BP659">
        <v>3.63</v>
      </c>
      <c r="BQ659">
        <v>63.07</v>
      </c>
      <c r="BR659">
        <v>155.13999999999999</v>
      </c>
      <c r="BS659">
        <v>22.57</v>
      </c>
      <c r="BT659">
        <v>5.85</v>
      </c>
      <c r="BU659">
        <v>148.25</v>
      </c>
      <c r="BV659">
        <v>40.43</v>
      </c>
      <c r="BW659">
        <v>40.97</v>
      </c>
      <c r="BX659">
        <v>23.13</v>
      </c>
      <c r="BY659">
        <v>319.99</v>
      </c>
      <c r="BZ659">
        <v>299.01</v>
      </c>
      <c r="CA659">
        <v>9.66</v>
      </c>
      <c r="CB659">
        <v>1.88</v>
      </c>
      <c r="CC659">
        <v>10.07</v>
      </c>
      <c r="CD659">
        <v>8.34</v>
      </c>
      <c r="CE659">
        <v>8.19</v>
      </c>
      <c r="CF659">
        <v>6.87</v>
      </c>
      <c r="CG659">
        <v>43.23</v>
      </c>
      <c r="CH659">
        <v>19.53</v>
      </c>
      <c r="CI659">
        <v>1.05</v>
      </c>
      <c r="CJ659">
        <v>18981</v>
      </c>
      <c r="CK659">
        <v>37702</v>
      </c>
      <c r="CL659" t="s">
        <v>4158</v>
      </c>
      <c r="CM659">
        <v>18.55</v>
      </c>
      <c r="CN659">
        <v>0.03</v>
      </c>
      <c r="CO659">
        <v>2.3199999999999998</v>
      </c>
      <c r="CP659">
        <v>10.06</v>
      </c>
      <c r="CQ659">
        <v>0.61</v>
      </c>
      <c r="CR659">
        <v>0.7</v>
      </c>
      <c r="CS659" t="s">
        <v>2820</v>
      </c>
      <c r="CT659">
        <v>4.34</v>
      </c>
      <c r="CU659">
        <v>0</v>
      </c>
      <c r="CV659">
        <v>1.18</v>
      </c>
      <c r="CW659">
        <v>2.21</v>
      </c>
      <c r="CX659">
        <v>1</v>
      </c>
      <c r="CY659">
        <v>35.409999999999997</v>
      </c>
      <c r="CZ659" t="s">
        <v>4159</v>
      </c>
      <c r="DA659">
        <v>6.55</v>
      </c>
      <c r="DB659">
        <v>3.02</v>
      </c>
      <c r="DC659">
        <v>2.56</v>
      </c>
      <c r="DD659">
        <v>1.46</v>
      </c>
      <c r="DE659">
        <v>7132</v>
      </c>
      <c r="DF659">
        <v>2203</v>
      </c>
      <c r="DG659" t="s">
        <v>116</v>
      </c>
      <c r="DH659" t="s">
        <v>116</v>
      </c>
      <c r="DI659" t="s">
        <v>116</v>
      </c>
    </row>
    <row r="660" spans="1:113" x14ac:dyDescent="0.4">
      <c r="A660" t="str">
        <f>"002204"</f>
        <v>002204</v>
      </c>
      <c r="B660" t="s">
        <v>4160</v>
      </c>
      <c r="C660">
        <v>0.94</v>
      </c>
      <c r="D660">
        <v>3.21</v>
      </c>
      <c r="E660">
        <v>0.03</v>
      </c>
      <c r="F660">
        <v>3.2</v>
      </c>
      <c r="G660">
        <v>3.21</v>
      </c>
      <c r="H660">
        <v>47148</v>
      </c>
      <c r="I660">
        <v>140</v>
      </c>
      <c r="J660">
        <v>0</v>
      </c>
      <c r="K660">
        <v>0.24</v>
      </c>
      <c r="L660">
        <v>3.19</v>
      </c>
      <c r="M660">
        <v>3.25</v>
      </c>
      <c r="N660">
        <v>3.19</v>
      </c>
      <c r="O660">
        <v>3.18</v>
      </c>
      <c r="P660">
        <v>190.2</v>
      </c>
      <c r="Q660">
        <v>15219938</v>
      </c>
      <c r="R660">
        <v>1.23</v>
      </c>
      <c r="S660" t="s">
        <v>682</v>
      </c>
      <c r="T660" t="s">
        <v>434</v>
      </c>
      <c r="U660">
        <v>1.89</v>
      </c>
      <c r="V660">
        <v>3.23</v>
      </c>
      <c r="W660">
        <v>21865</v>
      </c>
      <c r="X660">
        <v>25283</v>
      </c>
      <c r="Y660">
        <v>0.86</v>
      </c>
      <c r="Z660">
        <v>2099</v>
      </c>
      <c r="AA660">
        <v>193</v>
      </c>
      <c r="AB660" t="s">
        <v>116</v>
      </c>
      <c r="AC660">
        <v>61900</v>
      </c>
      <c r="AD660">
        <v>0</v>
      </c>
      <c r="AE660" t="s">
        <v>116</v>
      </c>
      <c r="AF660" t="s">
        <v>116</v>
      </c>
      <c r="AG660">
        <v>19.309999999999999</v>
      </c>
      <c r="AH660" t="s">
        <v>4161</v>
      </c>
      <c r="AI660" t="s">
        <v>4161</v>
      </c>
      <c r="AJ660">
        <v>1.62</v>
      </c>
      <c r="AK660">
        <v>1267</v>
      </c>
      <c r="AL660">
        <v>37</v>
      </c>
      <c r="AM660">
        <v>2.0000000000000001E-4</v>
      </c>
      <c r="AN660">
        <v>2</v>
      </c>
      <c r="AO660">
        <v>1.25</v>
      </c>
      <c r="AP660">
        <v>3.88</v>
      </c>
      <c r="AQ660">
        <v>-3.02</v>
      </c>
      <c r="AR660">
        <v>9.3699999999999992</v>
      </c>
      <c r="AS660">
        <v>0.65</v>
      </c>
      <c r="AT660" t="s">
        <v>4162</v>
      </c>
      <c r="AU660">
        <v>32.69</v>
      </c>
      <c r="AV660">
        <v>402.77</v>
      </c>
      <c r="AW660">
        <v>0.81</v>
      </c>
      <c r="BA660">
        <v>0.31</v>
      </c>
      <c r="BB660">
        <v>2.2000000000000002</v>
      </c>
      <c r="BC660">
        <v>0.31</v>
      </c>
      <c r="BD660">
        <v>1.51</v>
      </c>
      <c r="BE660">
        <v>0.63</v>
      </c>
      <c r="BF660">
        <v>-1.23</v>
      </c>
      <c r="BG660">
        <v>0.63</v>
      </c>
      <c r="BH660">
        <v>-0.56999999999999995</v>
      </c>
      <c r="BI660">
        <v>20191030</v>
      </c>
      <c r="BJ660">
        <v>20080116</v>
      </c>
      <c r="BK660">
        <v>19.309999999999999</v>
      </c>
      <c r="BL660" t="s">
        <v>116</v>
      </c>
      <c r="BM660" t="s">
        <v>116</v>
      </c>
      <c r="BN660">
        <v>165.45</v>
      </c>
      <c r="BO660">
        <v>66.540000000000006</v>
      </c>
      <c r="BP660">
        <v>-0.49</v>
      </c>
      <c r="BQ660">
        <v>60.08</v>
      </c>
      <c r="BR660">
        <v>130.22999999999999</v>
      </c>
      <c r="BS660">
        <v>24.63</v>
      </c>
      <c r="BT660">
        <v>4.25</v>
      </c>
      <c r="BU660">
        <v>95.15</v>
      </c>
      <c r="BV660">
        <v>43.39</v>
      </c>
      <c r="BW660">
        <v>45.16</v>
      </c>
      <c r="BX660">
        <v>24.21</v>
      </c>
      <c r="BY660">
        <v>43.95</v>
      </c>
      <c r="BZ660">
        <v>35.590000000000003</v>
      </c>
      <c r="CA660">
        <v>0.4</v>
      </c>
      <c r="CB660">
        <v>-0.08</v>
      </c>
      <c r="CC660">
        <v>0.32</v>
      </c>
      <c r="CD660">
        <v>0.2</v>
      </c>
      <c r="CE660">
        <v>0.24</v>
      </c>
      <c r="CF660">
        <v>-0.35</v>
      </c>
      <c r="CG660">
        <v>19.75</v>
      </c>
      <c r="CH660">
        <v>4.17</v>
      </c>
      <c r="CI660">
        <v>1.97</v>
      </c>
      <c r="CJ660">
        <v>42698</v>
      </c>
      <c r="CK660">
        <v>17108</v>
      </c>
      <c r="CL660" t="s">
        <v>3469</v>
      </c>
      <c r="CM660">
        <v>116.32</v>
      </c>
      <c r="CN660">
        <v>36.65</v>
      </c>
      <c r="CO660">
        <v>0.93</v>
      </c>
      <c r="CP660">
        <v>14.85</v>
      </c>
      <c r="CQ660">
        <v>1.41</v>
      </c>
      <c r="CR660">
        <v>0.78</v>
      </c>
      <c r="CS660" t="s">
        <v>910</v>
      </c>
      <c r="CT660">
        <v>3.45</v>
      </c>
      <c r="CU660">
        <v>0</v>
      </c>
      <c r="CV660">
        <v>1.25</v>
      </c>
      <c r="CW660">
        <v>1.02</v>
      </c>
      <c r="CX660">
        <v>0.22</v>
      </c>
      <c r="CY660">
        <v>40.21</v>
      </c>
      <c r="CZ660" t="s">
        <v>911</v>
      </c>
      <c r="DA660">
        <v>19.010000000000002</v>
      </c>
      <c r="DB660">
        <v>0.9</v>
      </c>
      <c r="DC660">
        <v>0.56000000000000005</v>
      </c>
      <c r="DD660">
        <v>0.45</v>
      </c>
      <c r="DE660">
        <v>5588</v>
      </c>
      <c r="DF660">
        <v>2204</v>
      </c>
      <c r="DG660" t="s">
        <v>116</v>
      </c>
      <c r="DH660" t="s">
        <v>116</v>
      </c>
      <c r="DI660" t="s">
        <v>116</v>
      </c>
    </row>
    <row r="661" spans="1:113" x14ac:dyDescent="0.4">
      <c r="A661" t="str">
        <f>"002205"</f>
        <v>002205</v>
      </c>
      <c r="B661" t="s">
        <v>4163</v>
      </c>
      <c r="C661">
        <v>-1.07</v>
      </c>
      <c r="D661">
        <v>14.73</v>
      </c>
      <c r="E661">
        <v>-0.16</v>
      </c>
      <c r="F661">
        <v>14.73</v>
      </c>
      <c r="G661">
        <v>14.74</v>
      </c>
      <c r="H661">
        <v>42832</v>
      </c>
      <c r="I661">
        <v>676</v>
      </c>
      <c r="J661">
        <v>-0.06</v>
      </c>
      <c r="K661">
        <v>3.69</v>
      </c>
      <c r="L661">
        <v>14.93</v>
      </c>
      <c r="M661">
        <v>14.95</v>
      </c>
      <c r="N661">
        <v>14.7</v>
      </c>
      <c r="O661">
        <v>14.89</v>
      </c>
      <c r="P661">
        <v>770.36</v>
      </c>
      <c r="Q661">
        <v>63595200</v>
      </c>
      <c r="R661">
        <v>0.87</v>
      </c>
      <c r="S661" t="s">
        <v>249</v>
      </c>
      <c r="T661" t="s">
        <v>616</v>
      </c>
      <c r="U661">
        <v>1.68</v>
      </c>
      <c r="V661">
        <v>14.85</v>
      </c>
      <c r="W661">
        <v>26308</v>
      </c>
      <c r="X661">
        <v>16524</v>
      </c>
      <c r="Y661">
        <v>1.59</v>
      </c>
      <c r="Z661">
        <v>38</v>
      </c>
      <c r="AA661">
        <v>122</v>
      </c>
      <c r="AB661" t="s">
        <v>116</v>
      </c>
      <c r="AC661">
        <v>515100</v>
      </c>
      <c r="AD661">
        <v>0.04</v>
      </c>
      <c r="AE661" t="s">
        <v>116</v>
      </c>
      <c r="AF661" t="s">
        <v>116</v>
      </c>
      <c r="AG661">
        <v>1.1599999999999999</v>
      </c>
      <c r="AH661" t="s">
        <v>4164</v>
      </c>
      <c r="AI661" t="s">
        <v>4164</v>
      </c>
      <c r="AJ661">
        <v>-0.4</v>
      </c>
      <c r="AK661">
        <v>1623</v>
      </c>
      <c r="AL661">
        <v>26</v>
      </c>
      <c r="AM661">
        <v>2.3E-3</v>
      </c>
      <c r="AN661">
        <v>-1</v>
      </c>
      <c r="AO661">
        <v>-1.79</v>
      </c>
      <c r="AP661">
        <v>-40.32</v>
      </c>
      <c r="AQ661">
        <v>-27.44</v>
      </c>
      <c r="AR661">
        <v>25.9</v>
      </c>
      <c r="AS661">
        <v>5.28</v>
      </c>
      <c r="AT661" t="s">
        <v>4165</v>
      </c>
      <c r="AU661">
        <v>176.07</v>
      </c>
      <c r="AV661">
        <v>511.35</v>
      </c>
      <c r="AW661">
        <v>0.86</v>
      </c>
      <c r="BA661">
        <v>0.27</v>
      </c>
      <c r="BB661">
        <v>0.4</v>
      </c>
      <c r="BC661">
        <v>-1.28</v>
      </c>
      <c r="BD661">
        <v>-0.28000000000000003</v>
      </c>
      <c r="BE661">
        <v>-1.34</v>
      </c>
      <c r="BF661">
        <v>-1.47</v>
      </c>
      <c r="BG661">
        <v>0.2</v>
      </c>
      <c r="BH661">
        <v>-0.79</v>
      </c>
      <c r="BI661">
        <v>20191223</v>
      </c>
      <c r="BJ661">
        <v>20080123</v>
      </c>
      <c r="BK661">
        <v>1.1599999999999999</v>
      </c>
      <c r="BL661" t="s">
        <v>116</v>
      </c>
      <c r="BM661" t="s">
        <v>116</v>
      </c>
      <c r="BN661">
        <v>34.46</v>
      </c>
      <c r="BO661">
        <v>9.3699999999999992</v>
      </c>
      <c r="BP661">
        <v>1.46</v>
      </c>
      <c r="BQ661">
        <v>68.56</v>
      </c>
      <c r="BR661">
        <v>11.99</v>
      </c>
      <c r="BS661">
        <v>5.22</v>
      </c>
      <c r="BT661">
        <v>1.23</v>
      </c>
      <c r="BU661">
        <v>10.89</v>
      </c>
      <c r="BV661">
        <v>1.8</v>
      </c>
      <c r="BW661">
        <v>4.05</v>
      </c>
      <c r="BX661">
        <v>5.22</v>
      </c>
      <c r="BY661">
        <v>4.16</v>
      </c>
      <c r="BZ661">
        <v>3.25</v>
      </c>
      <c r="CA661">
        <v>-0.2</v>
      </c>
      <c r="CB661">
        <v>0</v>
      </c>
      <c r="CC661">
        <v>0.1</v>
      </c>
      <c r="CD661">
        <v>0.08</v>
      </c>
      <c r="CE661">
        <v>0.02</v>
      </c>
      <c r="CF661">
        <v>-0.17</v>
      </c>
      <c r="CG661">
        <v>2.63</v>
      </c>
      <c r="CH661">
        <v>0.89</v>
      </c>
      <c r="CI661">
        <v>0.52</v>
      </c>
      <c r="CJ661">
        <v>16516</v>
      </c>
      <c r="CK661">
        <v>4908</v>
      </c>
      <c r="CL661" t="s">
        <v>237</v>
      </c>
      <c r="CM661">
        <v>135.4</v>
      </c>
      <c r="CN661">
        <v>5.54</v>
      </c>
      <c r="CO661">
        <v>1.83</v>
      </c>
      <c r="CP661">
        <v>19.260000000000002</v>
      </c>
      <c r="CQ661">
        <v>4.1100000000000003</v>
      </c>
      <c r="CR661">
        <v>0</v>
      </c>
      <c r="CS661" t="s">
        <v>342</v>
      </c>
      <c r="CT661">
        <v>8.07</v>
      </c>
      <c r="CU661">
        <v>0</v>
      </c>
      <c r="CV661">
        <v>4.5</v>
      </c>
      <c r="CW661">
        <v>2.2599999999999998</v>
      </c>
      <c r="CX661">
        <v>0.76</v>
      </c>
      <c r="CY661">
        <v>27.2</v>
      </c>
      <c r="CZ661" t="s">
        <v>1138</v>
      </c>
      <c r="DA661">
        <v>21.87</v>
      </c>
      <c r="DB661">
        <v>-4.87</v>
      </c>
      <c r="DC661">
        <v>0.4</v>
      </c>
      <c r="DD661">
        <v>0.06</v>
      </c>
      <c r="DE661">
        <v>1120</v>
      </c>
      <c r="DF661">
        <v>2205</v>
      </c>
      <c r="DG661" t="s">
        <v>116</v>
      </c>
      <c r="DH661" t="s">
        <v>116</v>
      </c>
      <c r="DI661" t="s">
        <v>116</v>
      </c>
    </row>
    <row r="662" spans="1:113" x14ac:dyDescent="0.4">
      <c r="A662" t="str">
        <f>"002206"</f>
        <v>002206</v>
      </c>
      <c r="B662" t="s">
        <v>4166</v>
      </c>
      <c r="C662">
        <v>0</v>
      </c>
      <c r="D662">
        <v>3.68</v>
      </c>
      <c r="E662">
        <v>0</v>
      </c>
      <c r="F662">
        <v>3.67</v>
      </c>
      <c r="G662">
        <v>3.68</v>
      </c>
      <c r="H662">
        <v>62277</v>
      </c>
      <c r="I662">
        <v>316</v>
      </c>
      <c r="J662">
        <v>0</v>
      </c>
      <c r="K662">
        <v>0.64</v>
      </c>
      <c r="L662">
        <v>3.66</v>
      </c>
      <c r="M662">
        <v>3.72</v>
      </c>
      <c r="N662">
        <v>3.64</v>
      </c>
      <c r="O662">
        <v>3.68</v>
      </c>
      <c r="P662">
        <v>13.87</v>
      </c>
      <c r="Q662">
        <v>22962538</v>
      </c>
      <c r="R662">
        <v>1.1200000000000001</v>
      </c>
      <c r="S662" t="s">
        <v>630</v>
      </c>
      <c r="T662" t="s">
        <v>590</v>
      </c>
      <c r="U662">
        <v>2.17</v>
      </c>
      <c r="V662">
        <v>3.69</v>
      </c>
      <c r="W662">
        <v>29439</v>
      </c>
      <c r="X662">
        <v>32838</v>
      </c>
      <c r="Y662">
        <v>0.9</v>
      </c>
      <c r="Z662">
        <v>1965</v>
      </c>
      <c r="AA662">
        <v>32</v>
      </c>
      <c r="AB662" t="s">
        <v>116</v>
      </c>
      <c r="AC662">
        <v>151200</v>
      </c>
      <c r="AD662">
        <v>0.01</v>
      </c>
      <c r="AE662" t="s">
        <v>116</v>
      </c>
      <c r="AF662" t="s">
        <v>116</v>
      </c>
      <c r="AG662">
        <v>9.7100000000000009</v>
      </c>
      <c r="AH662" t="s">
        <v>4167</v>
      </c>
      <c r="AI662" t="s">
        <v>1072</v>
      </c>
      <c r="AJ662">
        <v>0.68</v>
      </c>
      <c r="AK662">
        <v>1120</v>
      </c>
      <c r="AL662">
        <v>56</v>
      </c>
      <c r="AM662">
        <v>5.9999999999999995E-4</v>
      </c>
      <c r="AN662">
        <v>0</v>
      </c>
      <c r="AO662">
        <v>0.55000000000000004</v>
      </c>
      <c r="AP662">
        <v>0.55000000000000004</v>
      </c>
      <c r="AQ662">
        <v>2.2200000000000002</v>
      </c>
      <c r="AR662">
        <v>1.94</v>
      </c>
      <c r="AS662">
        <v>0.9</v>
      </c>
      <c r="AT662" t="s">
        <v>4168</v>
      </c>
      <c r="AU662">
        <v>14.79</v>
      </c>
      <c r="AV662">
        <v>12.81</v>
      </c>
      <c r="AW662">
        <v>0.76</v>
      </c>
      <c r="BA662">
        <v>-0.54</v>
      </c>
      <c r="BB662">
        <v>1.0900000000000001</v>
      </c>
      <c r="BC662">
        <v>-1.0900000000000001</v>
      </c>
      <c r="BD662">
        <v>0.19</v>
      </c>
      <c r="BE662">
        <v>0.55000000000000004</v>
      </c>
      <c r="BF662">
        <v>-1.08</v>
      </c>
      <c r="BG662">
        <v>1.1000000000000001</v>
      </c>
      <c r="BH662">
        <v>-0.19</v>
      </c>
      <c r="BI662">
        <v>20191226</v>
      </c>
      <c r="BJ662">
        <v>20080123</v>
      </c>
      <c r="BK662">
        <v>12.23</v>
      </c>
      <c r="BL662" t="s">
        <v>116</v>
      </c>
      <c r="BM662" t="s">
        <v>116</v>
      </c>
      <c r="BN662">
        <v>52.43</v>
      </c>
      <c r="BO662">
        <v>27.31</v>
      </c>
      <c r="BP662">
        <v>0.24</v>
      </c>
      <c r="BQ662">
        <v>47.46</v>
      </c>
      <c r="BR662">
        <v>22.97</v>
      </c>
      <c r="BS662">
        <v>20.13</v>
      </c>
      <c r="BT662">
        <v>2.56</v>
      </c>
      <c r="BU662">
        <v>22.88</v>
      </c>
      <c r="BV662">
        <v>6.11</v>
      </c>
      <c r="BW662">
        <v>5.44</v>
      </c>
      <c r="BX662">
        <v>8.89</v>
      </c>
      <c r="BY662">
        <v>29.92</v>
      </c>
      <c r="BZ662">
        <v>24.17</v>
      </c>
      <c r="CA662">
        <v>2.86</v>
      </c>
      <c r="CB662">
        <v>0</v>
      </c>
      <c r="CC662">
        <v>2.86</v>
      </c>
      <c r="CD662">
        <v>2.4700000000000002</v>
      </c>
      <c r="CE662">
        <v>2.4300000000000002</v>
      </c>
      <c r="CF662">
        <v>2.31</v>
      </c>
      <c r="CG662">
        <v>6.33</v>
      </c>
      <c r="CH662">
        <v>5.18</v>
      </c>
      <c r="CI662">
        <v>2.52</v>
      </c>
      <c r="CJ662">
        <v>28000</v>
      </c>
      <c r="CK662">
        <v>24658</v>
      </c>
      <c r="CL662" t="s">
        <v>4169</v>
      </c>
      <c r="CM662">
        <v>-16.16</v>
      </c>
      <c r="CN662">
        <v>11.87</v>
      </c>
      <c r="CO662">
        <v>1.65</v>
      </c>
      <c r="CP662">
        <v>8.69</v>
      </c>
      <c r="CQ662">
        <v>1.5</v>
      </c>
      <c r="CR662">
        <v>5.29</v>
      </c>
      <c r="CS662" t="s">
        <v>1119</v>
      </c>
      <c r="CT662">
        <v>2.23</v>
      </c>
      <c r="CU662">
        <v>0</v>
      </c>
      <c r="CV662">
        <v>0.73</v>
      </c>
      <c r="CW662">
        <v>0.52</v>
      </c>
      <c r="CX662">
        <v>0.42</v>
      </c>
      <c r="CY662">
        <v>52.09</v>
      </c>
      <c r="CZ662" t="s">
        <v>3185</v>
      </c>
      <c r="DA662">
        <v>19.21</v>
      </c>
      <c r="DB662">
        <v>9.57</v>
      </c>
      <c r="DC662">
        <v>8.14</v>
      </c>
      <c r="DD662">
        <v>0.84</v>
      </c>
      <c r="DE662">
        <v>2435</v>
      </c>
      <c r="DF662">
        <v>2206</v>
      </c>
      <c r="DG662" t="s">
        <v>116</v>
      </c>
      <c r="DH662" t="s">
        <v>116</v>
      </c>
      <c r="DI662" t="s">
        <v>116</v>
      </c>
    </row>
    <row r="663" spans="1:113" x14ac:dyDescent="0.4">
      <c r="A663" t="str">
        <f>"002207"</f>
        <v>002207</v>
      </c>
      <c r="B663" t="s">
        <v>4170</v>
      </c>
      <c r="C663">
        <v>-0.34</v>
      </c>
      <c r="D663">
        <v>5.78</v>
      </c>
      <c r="E663">
        <v>-0.02</v>
      </c>
      <c r="F663">
        <v>5.78</v>
      </c>
      <c r="G663">
        <v>5.79</v>
      </c>
      <c r="H663">
        <v>9250</v>
      </c>
      <c r="I663">
        <v>17</v>
      </c>
      <c r="J663">
        <v>0</v>
      </c>
      <c r="K663">
        <v>0.39</v>
      </c>
      <c r="L663">
        <v>5.8</v>
      </c>
      <c r="M663">
        <v>5.82</v>
      </c>
      <c r="N663">
        <v>5.77</v>
      </c>
      <c r="O663">
        <v>5.8</v>
      </c>
      <c r="P663" t="s">
        <v>116</v>
      </c>
      <c r="Q663">
        <v>5360068</v>
      </c>
      <c r="R663">
        <v>0.96</v>
      </c>
      <c r="S663" t="s">
        <v>4171</v>
      </c>
      <c r="T663" t="s">
        <v>616</v>
      </c>
      <c r="U663">
        <v>0.86</v>
      </c>
      <c r="V663">
        <v>5.79</v>
      </c>
      <c r="W663">
        <v>4422</v>
      </c>
      <c r="X663">
        <v>4828</v>
      </c>
      <c r="Y663">
        <v>0.92</v>
      </c>
      <c r="Z663">
        <v>587</v>
      </c>
      <c r="AA663">
        <v>105</v>
      </c>
      <c r="AB663" t="s">
        <v>116</v>
      </c>
      <c r="AC663">
        <v>10400</v>
      </c>
      <c r="AD663">
        <v>0</v>
      </c>
      <c r="AE663" t="s">
        <v>116</v>
      </c>
      <c r="AF663" t="s">
        <v>116</v>
      </c>
      <c r="AG663">
        <v>2.37</v>
      </c>
      <c r="AH663" t="s">
        <v>4172</v>
      </c>
      <c r="AI663" t="s">
        <v>4173</v>
      </c>
      <c r="AJ663">
        <v>0.33</v>
      </c>
      <c r="AK663">
        <v>173</v>
      </c>
      <c r="AL663">
        <v>53</v>
      </c>
      <c r="AM663">
        <v>2.3E-3</v>
      </c>
      <c r="AN663">
        <v>-1</v>
      </c>
      <c r="AO663">
        <v>-1.02</v>
      </c>
      <c r="AP663">
        <v>-0.69</v>
      </c>
      <c r="AQ663">
        <v>-9.69</v>
      </c>
      <c r="AR663">
        <v>29.31</v>
      </c>
      <c r="AS663">
        <v>0.51</v>
      </c>
      <c r="AT663" t="s">
        <v>4174</v>
      </c>
      <c r="AU663" t="s">
        <v>116</v>
      </c>
      <c r="AV663" t="s">
        <v>116</v>
      </c>
      <c r="AW663">
        <v>0.42</v>
      </c>
      <c r="BA663">
        <v>0</v>
      </c>
      <c r="BB663">
        <v>0.34</v>
      </c>
      <c r="BC663">
        <v>-0.52</v>
      </c>
      <c r="BD663">
        <v>-0.09</v>
      </c>
      <c r="BE663">
        <v>-0.34</v>
      </c>
      <c r="BF663">
        <v>-0.69</v>
      </c>
      <c r="BG663">
        <v>0.17</v>
      </c>
      <c r="BH663">
        <v>-0.25</v>
      </c>
      <c r="BI663">
        <v>20191029</v>
      </c>
      <c r="BJ663">
        <v>20080128</v>
      </c>
      <c r="BK663">
        <v>2.39</v>
      </c>
      <c r="BL663" t="s">
        <v>116</v>
      </c>
      <c r="BM663" t="s">
        <v>116</v>
      </c>
      <c r="BN663">
        <v>3.84</v>
      </c>
      <c r="BO663">
        <v>0.12</v>
      </c>
      <c r="BP663">
        <v>0</v>
      </c>
      <c r="BQ663">
        <v>96.75</v>
      </c>
      <c r="BR663">
        <v>1.76</v>
      </c>
      <c r="BS663">
        <v>1.33</v>
      </c>
      <c r="BT663">
        <v>0.08</v>
      </c>
      <c r="BU663">
        <v>3.1</v>
      </c>
      <c r="BV663">
        <v>0.01</v>
      </c>
      <c r="BW663">
        <v>1.44</v>
      </c>
      <c r="BX663">
        <v>2.21</v>
      </c>
      <c r="BY663">
        <v>1.95</v>
      </c>
      <c r="BZ663">
        <v>1.61</v>
      </c>
      <c r="CA663">
        <v>0.09</v>
      </c>
      <c r="CB663">
        <v>0</v>
      </c>
      <c r="CC663">
        <v>-0.01</v>
      </c>
      <c r="CD663">
        <v>-0.01</v>
      </c>
      <c r="CE663">
        <v>-0.01</v>
      </c>
      <c r="CF663">
        <v>0.05</v>
      </c>
      <c r="CG663">
        <v>-5.01</v>
      </c>
      <c r="CH663">
        <v>0.21</v>
      </c>
      <c r="CI663">
        <v>-0.24</v>
      </c>
      <c r="CJ663">
        <v>19511</v>
      </c>
      <c r="CK663">
        <v>9310</v>
      </c>
      <c r="CL663" t="s">
        <v>2630</v>
      </c>
      <c r="CM663">
        <v>94.13</v>
      </c>
      <c r="CN663">
        <v>14.36</v>
      </c>
      <c r="CO663">
        <v>110.67</v>
      </c>
      <c r="CP663">
        <v>64.64</v>
      </c>
      <c r="CQ663">
        <v>7.09</v>
      </c>
      <c r="CR663">
        <v>0</v>
      </c>
      <c r="CS663" t="s">
        <v>1451</v>
      </c>
      <c r="CT663">
        <v>0.05</v>
      </c>
      <c r="CU663">
        <v>0</v>
      </c>
      <c r="CV663">
        <v>0.92</v>
      </c>
      <c r="CW663">
        <v>-2.1</v>
      </c>
      <c r="CX663">
        <v>0.09</v>
      </c>
      <c r="CY663">
        <v>3.25</v>
      </c>
      <c r="CZ663" t="s">
        <v>4175</v>
      </c>
      <c r="DA663">
        <v>17.57</v>
      </c>
      <c r="DB663">
        <v>4.37</v>
      </c>
      <c r="DC663">
        <v>-0.52</v>
      </c>
      <c r="DD663">
        <v>0</v>
      </c>
      <c r="DE663">
        <v>814</v>
      </c>
      <c r="DF663">
        <v>2207</v>
      </c>
      <c r="DG663" t="s">
        <v>116</v>
      </c>
      <c r="DH663" t="s">
        <v>116</v>
      </c>
      <c r="DI663" t="s">
        <v>116</v>
      </c>
    </row>
    <row r="664" spans="1:113" x14ac:dyDescent="0.4">
      <c r="A664" t="str">
        <f>"002208"</f>
        <v>002208</v>
      </c>
      <c r="B664" t="s">
        <v>4176</v>
      </c>
      <c r="C664">
        <v>0</v>
      </c>
      <c r="D664">
        <v>6.58</v>
      </c>
      <c r="E664">
        <v>0</v>
      </c>
      <c r="F664">
        <v>6.57</v>
      </c>
      <c r="G664">
        <v>6.58</v>
      </c>
      <c r="H664">
        <v>36967</v>
      </c>
      <c r="I664">
        <v>467</v>
      </c>
      <c r="J664">
        <v>0.15</v>
      </c>
      <c r="K664">
        <v>0.72</v>
      </c>
      <c r="L664">
        <v>6.58</v>
      </c>
      <c r="M664">
        <v>6.63</v>
      </c>
      <c r="N664">
        <v>6.54</v>
      </c>
      <c r="O664">
        <v>6.58</v>
      </c>
      <c r="P664">
        <v>27.76</v>
      </c>
      <c r="Q664">
        <v>24385338</v>
      </c>
      <c r="R664">
        <v>0.92</v>
      </c>
      <c r="S664" t="s">
        <v>148</v>
      </c>
      <c r="T664" t="s">
        <v>575</v>
      </c>
      <c r="U664">
        <v>1.37</v>
      </c>
      <c r="V664">
        <v>6.6</v>
      </c>
      <c r="W664">
        <v>20844</v>
      </c>
      <c r="X664">
        <v>16123</v>
      </c>
      <c r="Y664">
        <v>1.29</v>
      </c>
      <c r="Z664">
        <v>529</v>
      </c>
      <c r="AA664">
        <v>329</v>
      </c>
      <c r="AB664" t="s">
        <v>116</v>
      </c>
      <c r="AC664">
        <v>69700</v>
      </c>
      <c r="AD664">
        <v>0</v>
      </c>
      <c r="AE664" t="s">
        <v>116</v>
      </c>
      <c r="AF664" t="s">
        <v>116</v>
      </c>
      <c r="AG664">
        <v>5.1100000000000003</v>
      </c>
      <c r="AH664" t="s">
        <v>3286</v>
      </c>
      <c r="AI664" t="s">
        <v>4177</v>
      </c>
      <c r="AJ664">
        <v>0.68</v>
      </c>
      <c r="AK664">
        <v>955</v>
      </c>
      <c r="AL664">
        <v>39</v>
      </c>
      <c r="AM664">
        <v>8.0000000000000004E-4</v>
      </c>
      <c r="AN664">
        <v>0</v>
      </c>
      <c r="AO664">
        <v>0.77</v>
      </c>
      <c r="AP664">
        <v>1.08</v>
      </c>
      <c r="AQ664">
        <v>-1.64</v>
      </c>
      <c r="AR664">
        <v>7.65</v>
      </c>
      <c r="AS664">
        <v>1.73</v>
      </c>
      <c r="AT664" t="s">
        <v>4136</v>
      </c>
      <c r="AU664">
        <v>21.17</v>
      </c>
      <c r="AV664">
        <v>13.61</v>
      </c>
      <c r="AW664">
        <v>0.9</v>
      </c>
      <c r="BA664">
        <v>0</v>
      </c>
      <c r="BB664">
        <v>0.76</v>
      </c>
      <c r="BC664">
        <v>-0.61</v>
      </c>
      <c r="BD664">
        <v>0.25</v>
      </c>
      <c r="BE664">
        <v>0</v>
      </c>
      <c r="BF664">
        <v>-0.75</v>
      </c>
      <c r="BG664">
        <v>0.61</v>
      </c>
      <c r="BH664">
        <v>-0.25</v>
      </c>
      <c r="BI664">
        <v>20191024</v>
      </c>
      <c r="BJ664">
        <v>20080128</v>
      </c>
      <c r="BK664">
        <v>5.12</v>
      </c>
      <c r="BL664" t="s">
        <v>116</v>
      </c>
      <c r="BM664" t="s">
        <v>116</v>
      </c>
      <c r="BN664">
        <v>155.69</v>
      </c>
      <c r="BO664">
        <v>19.22</v>
      </c>
      <c r="BP664">
        <v>2.19</v>
      </c>
      <c r="BQ664">
        <v>86.25</v>
      </c>
      <c r="BR664">
        <v>153.24</v>
      </c>
      <c r="BS664">
        <v>0.62</v>
      </c>
      <c r="BT664">
        <v>0.02</v>
      </c>
      <c r="BU664">
        <v>121.46</v>
      </c>
      <c r="BV664">
        <v>104.23</v>
      </c>
      <c r="BW664">
        <v>0</v>
      </c>
      <c r="BX664">
        <v>0.98</v>
      </c>
      <c r="BY664">
        <v>9.8000000000000007</v>
      </c>
      <c r="BZ664">
        <v>4.37</v>
      </c>
      <c r="CA664">
        <v>2.44</v>
      </c>
      <c r="CB664">
        <v>0</v>
      </c>
      <c r="CC664">
        <v>2.4300000000000002</v>
      </c>
      <c r="CD664">
        <v>1.75</v>
      </c>
      <c r="CE664">
        <v>0.91</v>
      </c>
      <c r="CF664">
        <v>0.92</v>
      </c>
      <c r="CG664">
        <v>9.98</v>
      </c>
      <c r="CH664">
        <v>2.2400000000000002</v>
      </c>
      <c r="CI664">
        <v>1.36</v>
      </c>
      <c r="CJ664">
        <v>38524</v>
      </c>
      <c r="CK664">
        <v>5563</v>
      </c>
      <c r="CL664" t="s">
        <v>3124</v>
      </c>
      <c r="CM664">
        <v>-49.26</v>
      </c>
      <c r="CN664">
        <v>-34.96</v>
      </c>
      <c r="CO664">
        <v>1.75</v>
      </c>
      <c r="CP664">
        <v>15.06</v>
      </c>
      <c r="CQ664">
        <v>3.44</v>
      </c>
      <c r="CR664">
        <v>0.95</v>
      </c>
      <c r="CS664" t="s">
        <v>446</v>
      </c>
      <c r="CT664">
        <v>3.75</v>
      </c>
      <c r="CU664">
        <v>0</v>
      </c>
      <c r="CV664">
        <v>0.19</v>
      </c>
      <c r="CW664">
        <v>1.95</v>
      </c>
      <c r="CX664">
        <v>0.44</v>
      </c>
      <c r="CY664">
        <v>12.34</v>
      </c>
      <c r="CZ664" t="s">
        <v>2987</v>
      </c>
      <c r="DA664">
        <v>55.39</v>
      </c>
      <c r="DB664">
        <v>24.92</v>
      </c>
      <c r="DC664">
        <v>9.2899999999999991</v>
      </c>
      <c r="DD664">
        <v>0</v>
      </c>
      <c r="DE664">
        <v>221</v>
      </c>
      <c r="DF664">
        <v>2208</v>
      </c>
      <c r="DG664" t="s">
        <v>116</v>
      </c>
      <c r="DH664" t="s">
        <v>116</v>
      </c>
      <c r="DI664" t="s">
        <v>116</v>
      </c>
    </row>
    <row r="665" spans="1:113" x14ac:dyDescent="0.4">
      <c r="A665" t="str">
        <f>"002209"</f>
        <v>002209</v>
      </c>
      <c r="B665" t="s">
        <v>4178</v>
      </c>
      <c r="C665">
        <v>0.14000000000000001</v>
      </c>
      <c r="D665">
        <v>6.99</v>
      </c>
      <c r="E665">
        <v>0.01</v>
      </c>
      <c r="F665">
        <v>6.99</v>
      </c>
      <c r="G665">
        <v>7</v>
      </c>
      <c r="H665">
        <v>55125</v>
      </c>
      <c r="I665">
        <v>813</v>
      </c>
      <c r="J665">
        <v>0.28999999999999998</v>
      </c>
      <c r="K665">
        <v>3.57</v>
      </c>
      <c r="L665">
        <v>6.95</v>
      </c>
      <c r="M665">
        <v>7.09</v>
      </c>
      <c r="N665">
        <v>6.9</v>
      </c>
      <c r="O665">
        <v>6.98</v>
      </c>
      <c r="P665" t="s">
        <v>116</v>
      </c>
      <c r="Q665">
        <v>38671072</v>
      </c>
      <c r="R665">
        <v>1.44</v>
      </c>
      <c r="S665" t="s">
        <v>353</v>
      </c>
      <c r="T665" t="s">
        <v>551</v>
      </c>
      <c r="U665">
        <v>2.72</v>
      </c>
      <c r="V665">
        <v>7.02</v>
      </c>
      <c r="W665">
        <v>24119</v>
      </c>
      <c r="X665">
        <v>31006</v>
      </c>
      <c r="Y665">
        <v>0.78</v>
      </c>
      <c r="Z665">
        <v>280</v>
      </c>
      <c r="AA665">
        <v>60</v>
      </c>
      <c r="AB665" t="s">
        <v>116</v>
      </c>
      <c r="AC665">
        <v>456600</v>
      </c>
      <c r="AD665">
        <v>0.06</v>
      </c>
      <c r="AE665" t="s">
        <v>116</v>
      </c>
      <c r="AF665" t="s">
        <v>116</v>
      </c>
      <c r="AG665">
        <v>1.55</v>
      </c>
      <c r="AH665" t="s">
        <v>4179</v>
      </c>
      <c r="AI665" t="s">
        <v>4180</v>
      </c>
      <c r="AJ665">
        <v>0.82</v>
      </c>
      <c r="AK665">
        <v>1380</v>
      </c>
      <c r="AL665">
        <v>40</v>
      </c>
      <c r="AM665">
        <v>2.5999999999999999E-3</v>
      </c>
      <c r="AN665">
        <v>4</v>
      </c>
      <c r="AO665">
        <v>1.29</v>
      </c>
      <c r="AP665">
        <v>3.4</v>
      </c>
      <c r="AQ665">
        <v>2.34</v>
      </c>
      <c r="AR665">
        <v>2.88</v>
      </c>
      <c r="AS665">
        <v>4.8499999999999996</v>
      </c>
      <c r="AT665" t="s">
        <v>4181</v>
      </c>
      <c r="AU665" t="s">
        <v>116</v>
      </c>
      <c r="AV665">
        <v>131.91</v>
      </c>
      <c r="AW665">
        <v>0.67</v>
      </c>
      <c r="BA665">
        <v>-0.43</v>
      </c>
      <c r="BB665">
        <v>1.58</v>
      </c>
      <c r="BC665">
        <v>-1.1499999999999999</v>
      </c>
      <c r="BD665">
        <v>0.5</v>
      </c>
      <c r="BE665">
        <v>0.57999999999999996</v>
      </c>
      <c r="BF665">
        <v>-1.41</v>
      </c>
      <c r="BG665">
        <v>1.3</v>
      </c>
      <c r="BH665">
        <v>-0.36</v>
      </c>
      <c r="BI665">
        <v>20191030</v>
      </c>
      <c r="BJ665">
        <v>20080130</v>
      </c>
      <c r="BK665">
        <v>1.95</v>
      </c>
      <c r="BL665" t="s">
        <v>116</v>
      </c>
      <c r="BM665" t="s">
        <v>116</v>
      </c>
      <c r="BN665">
        <v>14.78</v>
      </c>
      <c r="BO665">
        <v>6.13</v>
      </c>
      <c r="BP665">
        <v>0</v>
      </c>
      <c r="BQ665">
        <v>58.55</v>
      </c>
      <c r="BR665">
        <v>10.28</v>
      </c>
      <c r="BS665">
        <v>3.51</v>
      </c>
      <c r="BT665">
        <v>0.2</v>
      </c>
      <c r="BU665">
        <v>7.86</v>
      </c>
      <c r="BV665">
        <v>4.16</v>
      </c>
      <c r="BW665">
        <v>3.82</v>
      </c>
      <c r="BX665">
        <v>2.23</v>
      </c>
      <c r="BY665">
        <v>4.82</v>
      </c>
      <c r="BZ665">
        <v>3.52</v>
      </c>
      <c r="CA665">
        <v>-0.36</v>
      </c>
      <c r="CB665">
        <v>0</v>
      </c>
      <c r="CC665">
        <v>-0.35</v>
      </c>
      <c r="CD665">
        <v>-0.28999999999999998</v>
      </c>
      <c r="CE665">
        <v>-0.28999999999999998</v>
      </c>
      <c r="CF665">
        <v>-0.38</v>
      </c>
      <c r="CG665">
        <v>1.6</v>
      </c>
      <c r="CH665">
        <v>-0.66</v>
      </c>
      <c r="CI665">
        <v>-0.52</v>
      </c>
      <c r="CJ665">
        <v>15061</v>
      </c>
      <c r="CK665">
        <v>7551</v>
      </c>
      <c r="CL665" t="s">
        <v>3861</v>
      </c>
      <c r="CM665">
        <v>-5384.01</v>
      </c>
      <c r="CN665">
        <v>-32.06</v>
      </c>
      <c r="CO665">
        <v>2.23</v>
      </c>
      <c r="CP665">
        <v>-20.76</v>
      </c>
      <c r="CQ665">
        <v>2.83</v>
      </c>
      <c r="CR665">
        <v>0.09</v>
      </c>
      <c r="CS665" t="s">
        <v>4182</v>
      </c>
      <c r="CT665">
        <v>3.14</v>
      </c>
      <c r="CU665">
        <v>0</v>
      </c>
      <c r="CV665">
        <v>1.1399999999999999</v>
      </c>
      <c r="CW665">
        <v>0.82</v>
      </c>
      <c r="CX665">
        <v>-0.34</v>
      </c>
      <c r="CY665">
        <v>41.45</v>
      </c>
      <c r="CZ665" t="s">
        <v>4183</v>
      </c>
      <c r="DA665">
        <v>27.08</v>
      </c>
      <c r="DB665">
        <v>-7.44</v>
      </c>
      <c r="DC665">
        <v>-6.05</v>
      </c>
      <c r="DD665">
        <v>0.18</v>
      </c>
      <c r="DE665">
        <v>1253</v>
      </c>
      <c r="DF665">
        <v>2209</v>
      </c>
      <c r="DG665" t="s">
        <v>116</v>
      </c>
      <c r="DH665" t="s">
        <v>116</v>
      </c>
      <c r="DI665" t="s">
        <v>116</v>
      </c>
    </row>
    <row r="666" spans="1:113" x14ac:dyDescent="0.4">
      <c r="A666" t="str">
        <f>"002210"</f>
        <v>002210</v>
      </c>
      <c r="B666" t="s">
        <v>4184</v>
      </c>
      <c r="C666">
        <v>-3.62</v>
      </c>
      <c r="D666">
        <v>1.33</v>
      </c>
      <c r="E666">
        <v>-0.05</v>
      </c>
      <c r="F666">
        <v>1.32</v>
      </c>
      <c r="G666">
        <v>1.33</v>
      </c>
      <c r="H666">
        <v>399553</v>
      </c>
      <c r="I666">
        <v>3414</v>
      </c>
      <c r="J666">
        <v>0</v>
      </c>
      <c r="K666">
        <v>3.02</v>
      </c>
      <c r="L666">
        <v>1.36</v>
      </c>
      <c r="M666">
        <v>1.4</v>
      </c>
      <c r="N666">
        <v>1.31</v>
      </c>
      <c r="O666">
        <v>1.38</v>
      </c>
      <c r="P666" t="s">
        <v>116</v>
      </c>
      <c r="Q666">
        <v>54100504</v>
      </c>
      <c r="R666">
        <v>0.64</v>
      </c>
      <c r="S666" t="s">
        <v>3113</v>
      </c>
      <c r="T666" t="s">
        <v>115</v>
      </c>
      <c r="U666">
        <v>6.52</v>
      </c>
      <c r="V666">
        <v>1.35</v>
      </c>
      <c r="W666">
        <v>251227</v>
      </c>
      <c r="X666">
        <v>148326</v>
      </c>
      <c r="Y666">
        <v>1.69</v>
      </c>
      <c r="Z666">
        <v>12371</v>
      </c>
      <c r="AA666">
        <v>1985</v>
      </c>
      <c r="AB666" t="s">
        <v>116</v>
      </c>
      <c r="AC666">
        <v>575500</v>
      </c>
      <c r="AD666">
        <v>0.14000000000000001</v>
      </c>
      <c r="AE666" t="s">
        <v>116</v>
      </c>
      <c r="AF666" t="s">
        <v>116</v>
      </c>
      <c r="AG666">
        <v>13.25</v>
      </c>
      <c r="AH666" t="s">
        <v>686</v>
      </c>
      <c r="AI666" t="s">
        <v>4185</v>
      </c>
      <c r="AJ666">
        <v>-2.94</v>
      </c>
      <c r="AK666">
        <v>1797</v>
      </c>
      <c r="AL666">
        <v>222</v>
      </c>
      <c r="AM666">
        <v>1.6999999999999999E-3</v>
      </c>
      <c r="AN666">
        <v>-3</v>
      </c>
      <c r="AO666">
        <v>-7.63</v>
      </c>
      <c r="AP666">
        <v>15.65</v>
      </c>
      <c r="AQ666">
        <v>6.4</v>
      </c>
      <c r="AR666">
        <v>-63.76</v>
      </c>
      <c r="AS666">
        <v>13.21</v>
      </c>
      <c r="AT666" t="s">
        <v>4186</v>
      </c>
      <c r="AU666" t="s">
        <v>116</v>
      </c>
      <c r="AV666" t="s">
        <v>116</v>
      </c>
      <c r="AW666">
        <v>0.41</v>
      </c>
      <c r="BA666">
        <v>-1.45</v>
      </c>
      <c r="BB666">
        <v>1.45</v>
      </c>
      <c r="BC666">
        <v>-5.07</v>
      </c>
      <c r="BD666">
        <v>-1.88</v>
      </c>
      <c r="BE666">
        <v>-2.21</v>
      </c>
      <c r="BF666">
        <v>-5</v>
      </c>
      <c r="BG666">
        <v>1.53</v>
      </c>
      <c r="BH666">
        <v>-1.74</v>
      </c>
      <c r="BI666">
        <v>20191030</v>
      </c>
      <c r="BJ666">
        <v>20080130</v>
      </c>
      <c r="BK666">
        <v>16.53</v>
      </c>
      <c r="BL666" t="s">
        <v>116</v>
      </c>
      <c r="BM666" t="s">
        <v>116</v>
      </c>
      <c r="BN666">
        <v>134.27000000000001</v>
      </c>
      <c r="BO666">
        <v>14.5</v>
      </c>
      <c r="BP666">
        <v>0</v>
      </c>
      <c r="BQ666">
        <v>89.2</v>
      </c>
      <c r="BR666">
        <v>108.99</v>
      </c>
      <c r="BS666">
        <v>0.04</v>
      </c>
      <c r="BT666">
        <v>1.53</v>
      </c>
      <c r="BU666">
        <v>117.61</v>
      </c>
      <c r="BV666">
        <v>0.25</v>
      </c>
      <c r="BW666">
        <v>17.2</v>
      </c>
      <c r="BX666">
        <v>5.01</v>
      </c>
      <c r="BY666">
        <v>2.39</v>
      </c>
      <c r="BZ666">
        <v>1.75</v>
      </c>
      <c r="CA666">
        <v>-5.45</v>
      </c>
      <c r="CB666">
        <v>0.36</v>
      </c>
      <c r="CC666">
        <v>-5.5</v>
      </c>
      <c r="CD666">
        <v>-5.64</v>
      </c>
      <c r="CE666">
        <v>-5.64</v>
      </c>
      <c r="CF666">
        <v>-5.48</v>
      </c>
      <c r="CG666">
        <v>-7.52</v>
      </c>
      <c r="CH666">
        <v>0.5</v>
      </c>
      <c r="CI666">
        <v>-0.04</v>
      </c>
      <c r="CJ666">
        <v>54622</v>
      </c>
      <c r="CK666">
        <v>5539</v>
      </c>
      <c r="CL666" t="s">
        <v>4187</v>
      </c>
      <c r="CM666">
        <v>-543.29</v>
      </c>
      <c r="CN666">
        <v>-99.43</v>
      </c>
      <c r="CO666">
        <v>1.52</v>
      </c>
      <c r="CP666">
        <v>43.63</v>
      </c>
      <c r="CQ666">
        <v>9.2100000000000009</v>
      </c>
      <c r="CR666">
        <v>0</v>
      </c>
      <c r="CS666" t="s">
        <v>4188</v>
      </c>
      <c r="CT666">
        <v>0.88</v>
      </c>
      <c r="CU666">
        <v>0</v>
      </c>
      <c r="CV666">
        <v>0.3</v>
      </c>
      <c r="CW666">
        <v>-0.45</v>
      </c>
      <c r="CX666">
        <v>0.03</v>
      </c>
      <c r="CY666">
        <v>10.8</v>
      </c>
      <c r="CZ666" t="s">
        <v>4189</v>
      </c>
      <c r="DA666">
        <v>26.66</v>
      </c>
      <c r="DB666">
        <v>-228.48</v>
      </c>
      <c r="DC666">
        <v>-236.37</v>
      </c>
      <c r="DD666">
        <v>0.05</v>
      </c>
      <c r="DE666">
        <v>433</v>
      </c>
      <c r="DF666">
        <v>2210</v>
      </c>
      <c r="DG666" t="s">
        <v>116</v>
      </c>
      <c r="DH666" t="s">
        <v>116</v>
      </c>
      <c r="DI666" t="s">
        <v>116</v>
      </c>
    </row>
    <row r="667" spans="1:113" x14ac:dyDescent="0.4">
      <c r="A667" t="str">
        <f>"002211"</f>
        <v>002211</v>
      </c>
      <c r="B667" t="s">
        <v>4190</v>
      </c>
      <c r="C667">
        <v>1.57</v>
      </c>
      <c r="D667">
        <v>6.46</v>
      </c>
      <c r="E667">
        <v>0.1</v>
      </c>
      <c r="F667">
        <v>6.46</v>
      </c>
      <c r="G667">
        <v>6.47</v>
      </c>
      <c r="H667">
        <v>122315</v>
      </c>
      <c r="I667">
        <v>1634</v>
      </c>
      <c r="J667">
        <v>0</v>
      </c>
      <c r="K667">
        <v>3.94</v>
      </c>
      <c r="L667">
        <v>6.36</v>
      </c>
      <c r="M667">
        <v>6.61</v>
      </c>
      <c r="N667">
        <v>6.3</v>
      </c>
      <c r="O667">
        <v>6.36</v>
      </c>
      <c r="P667">
        <v>10393.58</v>
      </c>
      <c r="Q667">
        <v>79253432</v>
      </c>
      <c r="R667">
        <v>1.07</v>
      </c>
      <c r="S667" t="s">
        <v>2541</v>
      </c>
      <c r="T667" t="s">
        <v>1653</v>
      </c>
      <c r="U667">
        <v>4.87</v>
      </c>
      <c r="V667">
        <v>6.48</v>
      </c>
      <c r="W667">
        <v>59049</v>
      </c>
      <c r="X667">
        <v>63266</v>
      </c>
      <c r="Y667">
        <v>0.93</v>
      </c>
      <c r="Z667">
        <v>566</v>
      </c>
      <c r="AA667">
        <v>633</v>
      </c>
      <c r="AB667" t="s">
        <v>116</v>
      </c>
      <c r="AC667">
        <v>63000</v>
      </c>
      <c r="AD667">
        <v>0</v>
      </c>
      <c r="AE667" t="s">
        <v>116</v>
      </c>
      <c r="AF667" t="s">
        <v>116</v>
      </c>
      <c r="AG667">
        <v>3.1</v>
      </c>
      <c r="AH667" t="s">
        <v>705</v>
      </c>
      <c r="AI667" t="s">
        <v>4191</v>
      </c>
      <c r="AJ667">
        <v>2.25</v>
      </c>
      <c r="AK667">
        <v>1905</v>
      </c>
      <c r="AL667">
        <v>64</v>
      </c>
      <c r="AM667">
        <v>2.0999999999999999E-3</v>
      </c>
      <c r="AN667">
        <v>2</v>
      </c>
      <c r="AO667">
        <v>0.47</v>
      </c>
      <c r="AP667">
        <v>5.9</v>
      </c>
      <c r="AQ667">
        <v>-1.82</v>
      </c>
      <c r="AR667">
        <v>37.450000000000003</v>
      </c>
      <c r="AS667">
        <v>4.79</v>
      </c>
      <c r="AT667" t="s">
        <v>4192</v>
      </c>
      <c r="AU667" t="s">
        <v>116</v>
      </c>
      <c r="AV667">
        <v>250.96</v>
      </c>
      <c r="AW667">
        <v>0.96</v>
      </c>
      <c r="BA667">
        <v>0</v>
      </c>
      <c r="BB667">
        <v>3.93</v>
      </c>
      <c r="BC667">
        <v>-0.94</v>
      </c>
      <c r="BD667">
        <v>1.88</v>
      </c>
      <c r="BE667">
        <v>1.57</v>
      </c>
      <c r="BF667">
        <v>-2.27</v>
      </c>
      <c r="BG667">
        <v>2.54</v>
      </c>
      <c r="BH667">
        <v>-0.31</v>
      </c>
      <c r="BI667">
        <v>20191025</v>
      </c>
      <c r="BJ667">
        <v>20080201</v>
      </c>
      <c r="BK667">
        <v>4.32</v>
      </c>
      <c r="BL667" t="s">
        <v>116</v>
      </c>
      <c r="BM667" t="s">
        <v>116</v>
      </c>
      <c r="BN667">
        <v>11.54</v>
      </c>
      <c r="BO667">
        <v>7.95</v>
      </c>
      <c r="BP667">
        <v>0</v>
      </c>
      <c r="BQ667">
        <v>31.14</v>
      </c>
      <c r="BR667">
        <v>9.09</v>
      </c>
      <c r="BS667">
        <v>1.38</v>
      </c>
      <c r="BT667">
        <v>0.36</v>
      </c>
      <c r="BU667">
        <v>3.59</v>
      </c>
      <c r="BV667">
        <v>2.77</v>
      </c>
      <c r="BW667">
        <v>0.47</v>
      </c>
      <c r="BX667">
        <v>10.27</v>
      </c>
      <c r="BY667">
        <v>6.75</v>
      </c>
      <c r="BZ667">
        <v>6.07</v>
      </c>
      <c r="CA667">
        <v>0.1</v>
      </c>
      <c r="CB667">
        <v>0.12</v>
      </c>
      <c r="CC667">
        <v>0.1</v>
      </c>
      <c r="CD667">
        <v>0</v>
      </c>
      <c r="CE667">
        <v>0</v>
      </c>
      <c r="CF667">
        <v>-0.01</v>
      </c>
      <c r="CG667">
        <v>-6.94</v>
      </c>
      <c r="CH667">
        <v>-2.61</v>
      </c>
      <c r="CI667">
        <v>-0.16</v>
      </c>
      <c r="CJ667">
        <v>41412</v>
      </c>
      <c r="CK667">
        <v>6163</v>
      </c>
      <c r="CL667" t="s">
        <v>1713</v>
      </c>
      <c r="CM667">
        <v>-98.62</v>
      </c>
      <c r="CN667">
        <v>-19.899999999999999</v>
      </c>
      <c r="CO667">
        <v>3.52</v>
      </c>
      <c r="CP667">
        <v>-10.71</v>
      </c>
      <c r="CQ667">
        <v>4.1399999999999997</v>
      </c>
      <c r="CR667">
        <v>0</v>
      </c>
      <c r="CS667" t="s">
        <v>222</v>
      </c>
      <c r="CT667">
        <v>1.84</v>
      </c>
      <c r="CU667">
        <v>0</v>
      </c>
      <c r="CV667">
        <v>2.38</v>
      </c>
      <c r="CW667">
        <v>-1.6</v>
      </c>
      <c r="CX667">
        <v>-0.6</v>
      </c>
      <c r="CY667">
        <v>68.86</v>
      </c>
      <c r="CZ667" t="s">
        <v>4193</v>
      </c>
      <c r="DA667">
        <v>10.039999999999999</v>
      </c>
      <c r="DB667">
        <v>1.51</v>
      </c>
      <c r="DC667">
        <v>0.03</v>
      </c>
      <c r="DD667">
        <v>0.22</v>
      </c>
      <c r="DE667">
        <v>426</v>
      </c>
      <c r="DF667">
        <v>2211</v>
      </c>
      <c r="DG667" t="s">
        <v>116</v>
      </c>
      <c r="DH667" t="s">
        <v>116</v>
      </c>
      <c r="DI667" t="s">
        <v>116</v>
      </c>
    </row>
    <row r="668" spans="1:113" x14ac:dyDescent="0.4">
      <c r="A668" t="str">
        <f>"002212"</f>
        <v>002212</v>
      </c>
      <c r="B668" t="s">
        <v>4194</v>
      </c>
      <c r="C668">
        <v>-2.3199999999999998</v>
      </c>
      <c r="D668">
        <v>19.399999999999999</v>
      </c>
      <c r="E668">
        <v>-0.46</v>
      </c>
      <c r="F668">
        <v>19.25</v>
      </c>
      <c r="G668">
        <v>19.399999999999999</v>
      </c>
      <c r="H668">
        <v>167448</v>
      </c>
      <c r="I668">
        <v>5313</v>
      </c>
      <c r="J668">
        <v>1.2</v>
      </c>
      <c r="K668">
        <v>1.87</v>
      </c>
      <c r="L668">
        <v>19.899999999999999</v>
      </c>
      <c r="M668">
        <v>19.98</v>
      </c>
      <c r="N668">
        <v>19.02</v>
      </c>
      <c r="O668">
        <v>19.86</v>
      </c>
      <c r="P668" t="s">
        <v>116</v>
      </c>
      <c r="Q668">
        <v>324869984</v>
      </c>
      <c r="R668">
        <v>0.88</v>
      </c>
      <c r="S668" t="s">
        <v>397</v>
      </c>
      <c r="T668" t="s">
        <v>551</v>
      </c>
      <c r="U668">
        <v>4.83</v>
      </c>
      <c r="V668">
        <v>19.399999999999999</v>
      </c>
      <c r="W668">
        <v>92324</v>
      </c>
      <c r="X668">
        <v>75124</v>
      </c>
      <c r="Y668">
        <v>1.23</v>
      </c>
      <c r="Z668">
        <v>5</v>
      </c>
      <c r="AA668">
        <v>769</v>
      </c>
      <c r="AB668" t="s">
        <v>116</v>
      </c>
      <c r="AC668">
        <v>465700</v>
      </c>
      <c r="AD668">
        <v>0</v>
      </c>
      <c r="AE668" t="s">
        <v>116</v>
      </c>
      <c r="AF668" t="s">
        <v>116</v>
      </c>
      <c r="AG668">
        <v>8.9600000000000009</v>
      </c>
      <c r="AH668" t="s">
        <v>4195</v>
      </c>
      <c r="AI668" t="s">
        <v>4196</v>
      </c>
      <c r="AJ668">
        <v>-1.64</v>
      </c>
      <c r="AK668">
        <v>3543</v>
      </c>
      <c r="AL668">
        <v>47</v>
      </c>
      <c r="AM668">
        <v>5.0000000000000001E-4</v>
      </c>
      <c r="AN668">
        <v>-1</v>
      </c>
      <c r="AO668">
        <v>-4.8099999999999996</v>
      </c>
      <c r="AP668">
        <v>21.63</v>
      </c>
      <c r="AQ668">
        <v>17.72</v>
      </c>
      <c r="AR668">
        <v>74.459999999999994</v>
      </c>
      <c r="AS668">
        <v>3.07</v>
      </c>
      <c r="AT668" t="s">
        <v>4197</v>
      </c>
      <c r="AU668">
        <v>64.569999999999993</v>
      </c>
      <c r="AV668">
        <v>46.31</v>
      </c>
      <c r="AW668">
        <v>1.9</v>
      </c>
      <c r="BA668">
        <v>0.2</v>
      </c>
      <c r="BB668">
        <v>0.6</v>
      </c>
      <c r="BC668">
        <v>-4.2300000000000004</v>
      </c>
      <c r="BD668">
        <v>-2.31</v>
      </c>
      <c r="BE668">
        <v>-2.5099999999999998</v>
      </c>
      <c r="BF668">
        <v>-2.9</v>
      </c>
      <c r="BG668">
        <v>2</v>
      </c>
      <c r="BH668">
        <v>-0.01</v>
      </c>
      <c r="BI668">
        <v>20191031</v>
      </c>
      <c r="BJ668">
        <v>20080201</v>
      </c>
      <c r="BK668">
        <v>11.58</v>
      </c>
      <c r="BL668" t="s">
        <v>116</v>
      </c>
      <c r="BM668" t="s">
        <v>116</v>
      </c>
      <c r="BN668">
        <v>99.84</v>
      </c>
      <c r="BO668">
        <v>84.04</v>
      </c>
      <c r="BP668">
        <v>7.0000000000000007E-2</v>
      </c>
      <c r="BQ668">
        <v>15.75</v>
      </c>
      <c r="BR668">
        <v>34.130000000000003</v>
      </c>
      <c r="BS668">
        <v>6.03</v>
      </c>
      <c r="BT668">
        <v>4.26</v>
      </c>
      <c r="BU668">
        <v>14.89</v>
      </c>
      <c r="BV668">
        <v>10.38</v>
      </c>
      <c r="BW668">
        <v>12.97</v>
      </c>
      <c r="BX668">
        <v>57.14</v>
      </c>
      <c r="BY668">
        <v>42.66</v>
      </c>
      <c r="BZ668">
        <v>34.31</v>
      </c>
      <c r="CA668">
        <v>-1.24</v>
      </c>
      <c r="CB668">
        <v>0</v>
      </c>
      <c r="CC668">
        <v>-1.23</v>
      </c>
      <c r="CD668">
        <v>-1.1200000000000001</v>
      </c>
      <c r="CE668">
        <v>-1.1200000000000001</v>
      </c>
      <c r="CF668">
        <v>-1.33</v>
      </c>
      <c r="CG668">
        <v>14.54</v>
      </c>
      <c r="CH668">
        <v>-0.81</v>
      </c>
      <c r="CI668">
        <v>-3.56</v>
      </c>
      <c r="CJ668">
        <v>11387</v>
      </c>
      <c r="CK668">
        <v>47935</v>
      </c>
      <c r="CL668" t="s">
        <v>4198</v>
      </c>
      <c r="CM668">
        <v>-545.36</v>
      </c>
      <c r="CN668">
        <v>-0.37</v>
      </c>
      <c r="CO668">
        <v>2.67</v>
      </c>
      <c r="CP668">
        <v>-278.33</v>
      </c>
      <c r="CQ668">
        <v>5.27</v>
      </c>
      <c r="CR668">
        <v>0</v>
      </c>
      <c r="CS668" t="s">
        <v>4199</v>
      </c>
      <c r="CT668">
        <v>7.25</v>
      </c>
      <c r="CU668">
        <v>0</v>
      </c>
      <c r="CV668">
        <v>4.93</v>
      </c>
      <c r="CW668">
        <v>1.25</v>
      </c>
      <c r="CX668">
        <v>-7.0000000000000007E-2</v>
      </c>
      <c r="CY668">
        <v>84.18</v>
      </c>
      <c r="CZ668" t="s">
        <v>4200</v>
      </c>
      <c r="DA668">
        <v>19.579999999999998</v>
      </c>
      <c r="DB668">
        <v>-2.91</v>
      </c>
      <c r="DC668">
        <v>-2.63</v>
      </c>
      <c r="DD668">
        <v>3.49</v>
      </c>
      <c r="DE668">
        <v>4658</v>
      </c>
      <c r="DF668">
        <v>2212</v>
      </c>
      <c r="DG668" t="s">
        <v>116</v>
      </c>
      <c r="DH668" t="s">
        <v>116</v>
      </c>
      <c r="DI668" t="s">
        <v>116</v>
      </c>
    </row>
    <row r="669" spans="1:113" x14ac:dyDescent="0.4">
      <c r="A669" t="str">
        <f>"002213"</f>
        <v>002213</v>
      </c>
      <c r="B669" t="s">
        <v>4201</v>
      </c>
      <c r="C669">
        <v>-1.94</v>
      </c>
      <c r="D669">
        <v>11.65</v>
      </c>
      <c r="E669">
        <v>-0.23</v>
      </c>
      <c r="F669">
        <v>11.64</v>
      </c>
      <c r="G669">
        <v>11.65</v>
      </c>
      <c r="H669">
        <v>72626</v>
      </c>
      <c r="I669">
        <v>749</v>
      </c>
      <c r="J669">
        <v>0</v>
      </c>
      <c r="K669">
        <v>3.53</v>
      </c>
      <c r="L669">
        <v>11.88</v>
      </c>
      <c r="M669">
        <v>12.08</v>
      </c>
      <c r="N669">
        <v>11.61</v>
      </c>
      <c r="O669">
        <v>11.88</v>
      </c>
      <c r="P669" t="s">
        <v>116</v>
      </c>
      <c r="Q669">
        <v>85725792</v>
      </c>
      <c r="R669">
        <v>0.89</v>
      </c>
      <c r="S669" t="s">
        <v>293</v>
      </c>
      <c r="T669" t="s">
        <v>115</v>
      </c>
      <c r="U669">
        <v>3.96</v>
      </c>
      <c r="V669">
        <v>11.8</v>
      </c>
      <c r="W669">
        <v>43604</v>
      </c>
      <c r="X669">
        <v>29022</v>
      </c>
      <c r="Y669">
        <v>1.5</v>
      </c>
      <c r="Z669">
        <v>141</v>
      </c>
      <c r="AA669">
        <v>347</v>
      </c>
      <c r="AB669" t="s">
        <v>116</v>
      </c>
      <c r="AC669">
        <v>1989900</v>
      </c>
      <c r="AD669">
        <v>0.11</v>
      </c>
      <c r="AE669" t="s">
        <v>116</v>
      </c>
      <c r="AF669" t="s">
        <v>116</v>
      </c>
      <c r="AG669">
        <v>2.06</v>
      </c>
      <c r="AH669" t="s">
        <v>4202</v>
      </c>
      <c r="AI669" t="s">
        <v>4202</v>
      </c>
      <c r="AJ669">
        <v>-1.26</v>
      </c>
      <c r="AK669">
        <v>2045</v>
      </c>
      <c r="AL669">
        <v>36</v>
      </c>
      <c r="AM669">
        <v>1.6999999999999999E-3</v>
      </c>
      <c r="AN669">
        <v>-1</v>
      </c>
      <c r="AO669">
        <v>2.91</v>
      </c>
      <c r="AP669">
        <v>14.44</v>
      </c>
      <c r="AQ669">
        <v>26.63</v>
      </c>
      <c r="AR669">
        <v>25.13</v>
      </c>
      <c r="AS669">
        <v>4.92</v>
      </c>
      <c r="AT669" t="s">
        <v>4203</v>
      </c>
      <c r="AU669" t="s">
        <v>116</v>
      </c>
      <c r="AV669">
        <v>2268.69</v>
      </c>
      <c r="AW669">
        <v>1.19</v>
      </c>
      <c r="BA669">
        <v>0</v>
      </c>
      <c r="BB669">
        <v>1.68</v>
      </c>
      <c r="BC669">
        <v>-2.27</v>
      </c>
      <c r="BD669">
        <v>-0.64</v>
      </c>
      <c r="BE669">
        <v>-1.94</v>
      </c>
      <c r="BF669">
        <v>-3.56</v>
      </c>
      <c r="BG669">
        <v>0.34</v>
      </c>
      <c r="BH669">
        <v>-1.29</v>
      </c>
      <c r="BI669">
        <v>20191025</v>
      </c>
      <c r="BJ669">
        <v>20080201</v>
      </c>
      <c r="BK669">
        <v>2.06</v>
      </c>
      <c r="BL669" t="s">
        <v>116</v>
      </c>
      <c r="BM669" t="s">
        <v>116</v>
      </c>
      <c r="BN669">
        <v>4.24</v>
      </c>
      <c r="BO669">
        <v>3.63</v>
      </c>
      <c r="BP669">
        <v>7.0000000000000007E-2</v>
      </c>
      <c r="BQ669">
        <v>12.73</v>
      </c>
      <c r="BR669">
        <v>3.41</v>
      </c>
      <c r="BS669">
        <v>0.71</v>
      </c>
      <c r="BT669">
        <v>0.1</v>
      </c>
      <c r="BU669">
        <v>0.54</v>
      </c>
      <c r="BV669">
        <v>0.34</v>
      </c>
      <c r="BW669">
        <v>0.38</v>
      </c>
      <c r="BX669">
        <v>0.01</v>
      </c>
      <c r="BY669">
        <v>0.87</v>
      </c>
      <c r="BZ669">
        <v>0.61</v>
      </c>
      <c r="CA669">
        <v>-0.04</v>
      </c>
      <c r="CB669">
        <v>0</v>
      </c>
      <c r="CC669">
        <v>-0.04</v>
      </c>
      <c r="CD669">
        <v>-0.04</v>
      </c>
      <c r="CE669">
        <v>-0.04</v>
      </c>
      <c r="CF669">
        <v>-0.05</v>
      </c>
      <c r="CG669">
        <v>1.3</v>
      </c>
      <c r="CH669">
        <v>-0.06</v>
      </c>
      <c r="CI669">
        <v>0.75</v>
      </c>
      <c r="CJ669">
        <v>13914</v>
      </c>
      <c r="CK669">
        <v>10613</v>
      </c>
      <c r="CL669" t="s">
        <v>4204</v>
      </c>
      <c r="CM669">
        <v>-274.7</v>
      </c>
      <c r="CN669">
        <v>19.3</v>
      </c>
      <c r="CO669">
        <v>6.61</v>
      </c>
      <c r="CP669">
        <v>-381.35</v>
      </c>
      <c r="CQ669">
        <v>27.52</v>
      </c>
      <c r="CR669">
        <v>0</v>
      </c>
      <c r="CS669" t="s">
        <v>1773</v>
      </c>
      <c r="CT669">
        <v>1.76</v>
      </c>
      <c r="CU669">
        <v>0</v>
      </c>
      <c r="CV669">
        <v>0</v>
      </c>
      <c r="CW669">
        <v>0.63</v>
      </c>
      <c r="CX669">
        <v>-0.03</v>
      </c>
      <c r="CY669">
        <v>85.6</v>
      </c>
      <c r="CZ669" t="s">
        <v>4205</v>
      </c>
      <c r="DA669">
        <v>30.25</v>
      </c>
      <c r="DB669">
        <v>-5.09</v>
      </c>
      <c r="DC669">
        <v>-4.6900000000000004</v>
      </c>
      <c r="DD669">
        <v>0.05</v>
      </c>
      <c r="DE669">
        <v>197</v>
      </c>
      <c r="DF669">
        <v>2213</v>
      </c>
      <c r="DG669" t="s">
        <v>116</v>
      </c>
      <c r="DH669" t="s">
        <v>116</v>
      </c>
      <c r="DI669" t="s">
        <v>116</v>
      </c>
    </row>
    <row r="670" spans="1:113" x14ac:dyDescent="0.4">
      <c r="A670" t="str">
        <f>"002214"</f>
        <v>002214</v>
      </c>
      <c r="B670" t="s">
        <v>4206</v>
      </c>
      <c r="C670">
        <v>-1.57</v>
      </c>
      <c r="D670">
        <v>10.64</v>
      </c>
      <c r="E670">
        <v>-0.17</v>
      </c>
      <c r="F670">
        <v>10.63</v>
      </c>
      <c r="G670">
        <v>10.64</v>
      </c>
      <c r="H670">
        <v>90794</v>
      </c>
      <c r="I670">
        <v>1021</v>
      </c>
      <c r="J670">
        <v>0</v>
      </c>
      <c r="K670">
        <v>2.54</v>
      </c>
      <c r="L670">
        <v>10.85</v>
      </c>
      <c r="M670">
        <v>10.94</v>
      </c>
      <c r="N670">
        <v>10.61</v>
      </c>
      <c r="O670">
        <v>10.81</v>
      </c>
      <c r="P670">
        <v>39.97</v>
      </c>
      <c r="Q670">
        <v>97485824</v>
      </c>
      <c r="R670">
        <v>1</v>
      </c>
      <c r="S670" t="s">
        <v>2977</v>
      </c>
      <c r="T670" t="s">
        <v>590</v>
      </c>
      <c r="U670">
        <v>3.05</v>
      </c>
      <c r="V670">
        <v>10.74</v>
      </c>
      <c r="W670">
        <v>49286</v>
      </c>
      <c r="X670">
        <v>41508</v>
      </c>
      <c r="Y670">
        <v>1.19</v>
      </c>
      <c r="Z670">
        <v>806</v>
      </c>
      <c r="AA670">
        <v>243</v>
      </c>
      <c r="AB670" t="s">
        <v>116</v>
      </c>
      <c r="AC670">
        <v>482100</v>
      </c>
      <c r="AD670">
        <v>0.01</v>
      </c>
      <c r="AE670" t="s">
        <v>116</v>
      </c>
      <c r="AF670" t="s">
        <v>116</v>
      </c>
      <c r="AG670">
        <v>3.57</v>
      </c>
      <c r="AH670" t="s">
        <v>4207</v>
      </c>
      <c r="AI670" t="s">
        <v>4208</v>
      </c>
      <c r="AJ670">
        <v>-0.89</v>
      </c>
      <c r="AK670">
        <v>2888</v>
      </c>
      <c r="AL670">
        <v>31</v>
      </c>
      <c r="AM670">
        <v>8.9999999999999998E-4</v>
      </c>
      <c r="AN670">
        <v>-1</v>
      </c>
      <c r="AO670">
        <v>2.0099999999999998</v>
      </c>
      <c r="AP670">
        <v>14.04</v>
      </c>
      <c r="AQ670">
        <v>-0.19</v>
      </c>
      <c r="AR670">
        <v>94.87</v>
      </c>
      <c r="AS670">
        <v>2.8</v>
      </c>
      <c r="AT670" t="s">
        <v>4209</v>
      </c>
      <c r="AU670">
        <v>42.88</v>
      </c>
      <c r="AV670">
        <v>88.93</v>
      </c>
      <c r="AW670">
        <v>1.28</v>
      </c>
      <c r="BA670">
        <v>0.37</v>
      </c>
      <c r="BB670">
        <v>1.2</v>
      </c>
      <c r="BC670">
        <v>-1.85</v>
      </c>
      <c r="BD670">
        <v>-0.67</v>
      </c>
      <c r="BE670">
        <v>-1.94</v>
      </c>
      <c r="BF670">
        <v>-2.74</v>
      </c>
      <c r="BG670">
        <v>0.28000000000000003</v>
      </c>
      <c r="BH670">
        <v>-0.9</v>
      </c>
      <c r="BI670">
        <v>20191031</v>
      </c>
      <c r="BJ670">
        <v>20080218</v>
      </c>
      <c r="BK670">
        <v>4.59</v>
      </c>
      <c r="BL670" t="s">
        <v>116</v>
      </c>
      <c r="BM670" t="s">
        <v>116</v>
      </c>
      <c r="BN670">
        <v>15.48</v>
      </c>
      <c r="BO670">
        <v>11.17</v>
      </c>
      <c r="BP670">
        <v>0.02</v>
      </c>
      <c r="BQ670">
        <v>27.72</v>
      </c>
      <c r="BR670">
        <v>11.84</v>
      </c>
      <c r="BS670">
        <v>0.9</v>
      </c>
      <c r="BT670">
        <v>0.17</v>
      </c>
      <c r="BU670">
        <v>4.0599999999999996</v>
      </c>
      <c r="BV670">
        <v>3.95</v>
      </c>
      <c r="BW670">
        <v>5.61</v>
      </c>
      <c r="BX670">
        <v>1.98</v>
      </c>
      <c r="BY670">
        <v>3.95</v>
      </c>
      <c r="BZ670">
        <v>1.57</v>
      </c>
      <c r="CA670">
        <v>1.03</v>
      </c>
      <c r="CB670">
        <v>0.01</v>
      </c>
      <c r="CC670">
        <v>1.03</v>
      </c>
      <c r="CD670">
        <v>0.92</v>
      </c>
      <c r="CE670">
        <v>0.92</v>
      </c>
      <c r="CF670">
        <v>0.84</v>
      </c>
      <c r="CG670">
        <v>4.07</v>
      </c>
      <c r="CH670">
        <v>0.28000000000000003</v>
      </c>
      <c r="CI670">
        <v>-0.14000000000000001</v>
      </c>
      <c r="CJ670">
        <v>37331</v>
      </c>
      <c r="CK670">
        <v>8678</v>
      </c>
      <c r="CL670" t="s">
        <v>1201</v>
      </c>
      <c r="CM670">
        <v>180.62</v>
      </c>
      <c r="CN670">
        <v>32.96</v>
      </c>
      <c r="CO670">
        <v>4.37</v>
      </c>
      <c r="CP670">
        <v>174.31</v>
      </c>
      <c r="CQ670">
        <v>12.34</v>
      </c>
      <c r="CR670">
        <v>0.28000000000000003</v>
      </c>
      <c r="CS670" t="s">
        <v>541</v>
      </c>
      <c r="CT670">
        <v>2.4300000000000002</v>
      </c>
      <c r="CU670">
        <v>0</v>
      </c>
      <c r="CV670">
        <v>0.43</v>
      </c>
      <c r="CW670">
        <v>0.89</v>
      </c>
      <c r="CX670">
        <v>0.06</v>
      </c>
      <c r="CY670">
        <v>72.14</v>
      </c>
      <c r="CZ670" t="s">
        <v>122</v>
      </c>
      <c r="DA670">
        <v>60.31</v>
      </c>
      <c r="DB670">
        <v>26.15</v>
      </c>
      <c r="DC670">
        <v>23.16</v>
      </c>
      <c r="DD670">
        <v>0.53</v>
      </c>
      <c r="DE670">
        <v>569</v>
      </c>
      <c r="DF670">
        <v>2214</v>
      </c>
      <c r="DG670" t="s">
        <v>116</v>
      </c>
      <c r="DH670" t="s">
        <v>116</v>
      </c>
      <c r="DI670" t="s">
        <v>116</v>
      </c>
    </row>
    <row r="671" spans="1:113" x14ac:dyDescent="0.4">
      <c r="A671" t="str">
        <f>"002215"</f>
        <v>002215</v>
      </c>
      <c r="B671" t="s">
        <v>4210</v>
      </c>
      <c r="C671">
        <v>-1.67</v>
      </c>
      <c r="D671">
        <v>6.48</v>
      </c>
      <c r="E671">
        <v>-0.11</v>
      </c>
      <c r="F671">
        <v>6.48</v>
      </c>
      <c r="G671">
        <v>6.49</v>
      </c>
      <c r="H671">
        <v>107153</v>
      </c>
      <c r="I671">
        <v>2227</v>
      </c>
      <c r="J671">
        <v>-0.45</v>
      </c>
      <c r="K671">
        <v>1.49</v>
      </c>
      <c r="L671">
        <v>6.65</v>
      </c>
      <c r="M671">
        <v>6.67</v>
      </c>
      <c r="N671">
        <v>6.48</v>
      </c>
      <c r="O671">
        <v>6.59</v>
      </c>
      <c r="P671">
        <v>16.899999999999999</v>
      </c>
      <c r="Q671">
        <v>70381888</v>
      </c>
      <c r="R671">
        <v>1.08</v>
      </c>
      <c r="S671" t="s">
        <v>697</v>
      </c>
      <c r="T671" t="s">
        <v>115</v>
      </c>
      <c r="U671">
        <v>2.88</v>
      </c>
      <c r="V671">
        <v>6.57</v>
      </c>
      <c r="W671">
        <v>59954</v>
      </c>
      <c r="X671">
        <v>47199</v>
      </c>
      <c r="Y671">
        <v>1.27</v>
      </c>
      <c r="Z671">
        <v>608</v>
      </c>
      <c r="AA671">
        <v>884</v>
      </c>
      <c r="AB671" t="s">
        <v>116</v>
      </c>
      <c r="AC671">
        <v>451800</v>
      </c>
      <c r="AD671">
        <v>0.01</v>
      </c>
      <c r="AE671" t="s">
        <v>116</v>
      </c>
      <c r="AF671" t="s">
        <v>116</v>
      </c>
      <c r="AG671">
        <v>7.18</v>
      </c>
      <c r="AH671" t="s">
        <v>4211</v>
      </c>
      <c r="AI671" t="s">
        <v>4212</v>
      </c>
      <c r="AJ671">
        <v>-0.99</v>
      </c>
      <c r="AK671">
        <v>1843</v>
      </c>
      <c r="AL671">
        <v>58</v>
      </c>
      <c r="AM671">
        <v>8.0000000000000004E-4</v>
      </c>
      <c r="AN671">
        <v>-1</v>
      </c>
      <c r="AO671">
        <v>-1.82</v>
      </c>
      <c r="AP671">
        <v>10.77</v>
      </c>
      <c r="AQ671">
        <v>7.64</v>
      </c>
      <c r="AR671">
        <v>-4.1399999999999997</v>
      </c>
      <c r="AS671">
        <v>2.13</v>
      </c>
      <c r="AT671" t="s">
        <v>4213</v>
      </c>
      <c r="AU671">
        <v>20.02</v>
      </c>
      <c r="AV671">
        <v>17.989999999999998</v>
      </c>
      <c r="AW671">
        <v>0.79</v>
      </c>
      <c r="BA671">
        <v>0.91</v>
      </c>
      <c r="BB671">
        <v>1.21</v>
      </c>
      <c r="BC671">
        <v>-1.67</v>
      </c>
      <c r="BD671">
        <v>-0.33</v>
      </c>
      <c r="BE671">
        <v>-2.56</v>
      </c>
      <c r="BF671">
        <v>-2.85</v>
      </c>
      <c r="BG671">
        <v>0</v>
      </c>
      <c r="BH671">
        <v>-1.34</v>
      </c>
      <c r="BI671">
        <v>20191119</v>
      </c>
      <c r="BJ671">
        <v>20080218</v>
      </c>
      <c r="BK671">
        <v>9.14</v>
      </c>
      <c r="BL671" t="s">
        <v>116</v>
      </c>
      <c r="BM671" t="s">
        <v>116</v>
      </c>
      <c r="BN671">
        <v>55.89</v>
      </c>
      <c r="BO671">
        <v>22.91</v>
      </c>
      <c r="BP671">
        <v>5.96</v>
      </c>
      <c r="BQ671">
        <v>48.33</v>
      </c>
      <c r="BR671">
        <v>38.51</v>
      </c>
      <c r="BS671">
        <v>3.5</v>
      </c>
      <c r="BT671">
        <v>2.96</v>
      </c>
      <c r="BU671">
        <v>26.27</v>
      </c>
      <c r="BV671">
        <v>11.26</v>
      </c>
      <c r="BW671">
        <v>12.03</v>
      </c>
      <c r="BX671">
        <v>3.08</v>
      </c>
      <c r="BY671">
        <v>32.15</v>
      </c>
      <c r="BZ671">
        <v>23.34</v>
      </c>
      <c r="CA671">
        <v>2.97</v>
      </c>
      <c r="CB671">
        <v>0.33</v>
      </c>
      <c r="CC671">
        <v>3.06</v>
      </c>
      <c r="CD671">
        <v>2.76</v>
      </c>
      <c r="CE671">
        <v>2.63</v>
      </c>
      <c r="CF671">
        <v>2.27</v>
      </c>
      <c r="CG671">
        <v>10.35</v>
      </c>
      <c r="CH671">
        <v>-2.27</v>
      </c>
      <c r="CI671">
        <v>-1.45</v>
      </c>
      <c r="CJ671">
        <v>51809</v>
      </c>
      <c r="CK671">
        <v>9703</v>
      </c>
      <c r="CL671" t="s">
        <v>4214</v>
      </c>
      <c r="CM671">
        <v>-11.25</v>
      </c>
      <c r="CN671">
        <v>2.98</v>
      </c>
      <c r="CO671">
        <v>2.59</v>
      </c>
      <c r="CP671">
        <v>-26.06</v>
      </c>
      <c r="CQ671">
        <v>1.84</v>
      </c>
      <c r="CR671">
        <v>0</v>
      </c>
      <c r="CS671" t="s">
        <v>4215</v>
      </c>
      <c r="CT671">
        <v>2.5099999999999998</v>
      </c>
      <c r="CU671">
        <v>0</v>
      </c>
      <c r="CV671">
        <v>0.34</v>
      </c>
      <c r="CW671">
        <v>1.1299999999999999</v>
      </c>
      <c r="CX671">
        <v>-0.25</v>
      </c>
      <c r="CY671">
        <v>40.99</v>
      </c>
      <c r="CZ671" t="s">
        <v>4216</v>
      </c>
      <c r="DA671">
        <v>27.39</v>
      </c>
      <c r="DB671">
        <v>9.2200000000000006</v>
      </c>
      <c r="DC671">
        <v>8.18</v>
      </c>
      <c r="DD671">
        <v>0.78</v>
      </c>
      <c r="DE671">
        <v>2922</v>
      </c>
      <c r="DF671">
        <v>2215</v>
      </c>
      <c r="DG671" t="s">
        <v>116</v>
      </c>
      <c r="DH671" t="s">
        <v>116</v>
      </c>
      <c r="DI671" t="s">
        <v>116</v>
      </c>
    </row>
    <row r="672" spans="1:113" x14ac:dyDescent="0.4">
      <c r="A672" t="str">
        <f>"002216"</f>
        <v>002216</v>
      </c>
      <c r="B672" t="s">
        <v>4217</v>
      </c>
      <c r="C672">
        <v>-1.97</v>
      </c>
      <c r="D672">
        <v>13.92</v>
      </c>
      <c r="E672">
        <v>-0.28000000000000003</v>
      </c>
      <c r="F672">
        <v>13.91</v>
      </c>
      <c r="G672">
        <v>13.92</v>
      </c>
      <c r="H672">
        <v>87616</v>
      </c>
      <c r="I672">
        <v>1082</v>
      </c>
      <c r="J672">
        <v>-0.35</v>
      </c>
      <c r="K672">
        <v>1.55</v>
      </c>
      <c r="L672">
        <v>14.02</v>
      </c>
      <c r="M672">
        <v>14.15</v>
      </c>
      <c r="N672">
        <v>13.77</v>
      </c>
      <c r="O672">
        <v>14.2</v>
      </c>
      <c r="P672">
        <v>71.569999999999993</v>
      </c>
      <c r="Q672">
        <v>122462152</v>
      </c>
      <c r="R672">
        <v>0.69</v>
      </c>
      <c r="S672" t="s">
        <v>863</v>
      </c>
      <c r="T672" t="s">
        <v>652</v>
      </c>
      <c r="U672">
        <v>2.68</v>
      </c>
      <c r="V672">
        <v>13.98</v>
      </c>
      <c r="W672">
        <v>46105</v>
      </c>
      <c r="X672">
        <v>41511</v>
      </c>
      <c r="Y672">
        <v>1.1100000000000001</v>
      </c>
      <c r="Z672">
        <v>245</v>
      </c>
      <c r="AA672">
        <v>244</v>
      </c>
      <c r="AB672" t="s">
        <v>116</v>
      </c>
      <c r="AC672">
        <v>989800</v>
      </c>
      <c r="AD672">
        <v>0.03</v>
      </c>
      <c r="AE672" t="s">
        <v>116</v>
      </c>
      <c r="AF672" t="s">
        <v>116</v>
      </c>
      <c r="AG672">
        <v>5.65</v>
      </c>
      <c r="AH672" t="s">
        <v>4218</v>
      </c>
      <c r="AI672" t="s">
        <v>4219</v>
      </c>
      <c r="AJ672">
        <v>-1.29</v>
      </c>
      <c r="AK672">
        <v>2368</v>
      </c>
      <c r="AL672">
        <v>37</v>
      </c>
      <c r="AM672">
        <v>6.9999999999999999E-4</v>
      </c>
      <c r="AN672">
        <v>-4</v>
      </c>
      <c r="AO672">
        <v>-3.33</v>
      </c>
      <c r="AP672">
        <v>16.78</v>
      </c>
      <c r="AQ672">
        <v>40.04</v>
      </c>
      <c r="AR672">
        <v>92</v>
      </c>
      <c r="AS672">
        <v>3.24</v>
      </c>
      <c r="AT672" t="s">
        <v>4220</v>
      </c>
      <c r="AU672">
        <v>86.25</v>
      </c>
      <c r="AV672">
        <v>109.18</v>
      </c>
      <c r="AW672">
        <v>0.2</v>
      </c>
      <c r="BA672">
        <v>-1.27</v>
      </c>
      <c r="BB672">
        <v>-0.35</v>
      </c>
      <c r="BC672">
        <v>-3.03</v>
      </c>
      <c r="BD672">
        <v>-1.57</v>
      </c>
      <c r="BE672">
        <v>-0.71</v>
      </c>
      <c r="BF672">
        <v>-1.63</v>
      </c>
      <c r="BG672">
        <v>1.0900000000000001</v>
      </c>
      <c r="BH672">
        <v>-0.4</v>
      </c>
      <c r="BI672">
        <v>20191223</v>
      </c>
      <c r="BJ672">
        <v>20080220</v>
      </c>
      <c r="BK672">
        <v>7.99</v>
      </c>
      <c r="BL672" t="s">
        <v>116</v>
      </c>
      <c r="BM672" t="s">
        <v>116</v>
      </c>
      <c r="BN672">
        <v>40.65</v>
      </c>
      <c r="BO672">
        <v>21.35</v>
      </c>
      <c r="BP672">
        <v>0.01</v>
      </c>
      <c r="BQ672">
        <v>47.45</v>
      </c>
      <c r="BR672">
        <v>19.12</v>
      </c>
      <c r="BS672">
        <v>16.95</v>
      </c>
      <c r="BT672">
        <v>2.0699999999999998</v>
      </c>
      <c r="BU672">
        <v>17.23</v>
      </c>
      <c r="BV672">
        <v>9</v>
      </c>
      <c r="BW672">
        <v>3</v>
      </c>
      <c r="BX672">
        <v>2.46</v>
      </c>
      <c r="BY672">
        <v>42.1</v>
      </c>
      <c r="BZ672">
        <v>28.34</v>
      </c>
      <c r="CA672">
        <v>1.26</v>
      </c>
      <c r="CB672">
        <v>0.01</v>
      </c>
      <c r="CC672">
        <v>1.27</v>
      </c>
      <c r="CD672">
        <v>1.17</v>
      </c>
      <c r="CE672">
        <v>1.17</v>
      </c>
      <c r="CF672">
        <v>0.87</v>
      </c>
      <c r="CG672">
        <v>10.44</v>
      </c>
      <c r="CH672">
        <v>-1.81</v>
      </c>
      <c r="CI672">
        <v>-3.08</v>
      </c>
      <c r="CJ672">
        <v>23894</v>
      </c>
      <c r="CK672">
        <v>11321</v>
      </c>
      <c r="CL672" t="s">
        <v>4221</v>
      </c>
      <c r="CM672">
        <v>30.26</v>
      </c>
      <c r="CN672">
        <v>0.43</v>
      </c>
      <c r="CO672">
        <v>5.21</v>
      </c>
      <c r="CP672">
        <v>-61.55</v>
      </c>
      <c r="CQ672">
        <v>2.64</v>
      </c>
      <c r="CR672">
        <v>0.22</v>
      </c>
      <c r="CS672" t="s">
        <v>4222</v>
      </c>
      <c r="CT672">
        <v>2.67</v>
      </c>
      <c r="CU672">
        <v>0</v>
      </c>
      <c r="CV672">
        <v>0.31</v>
      </c>
      <c r="CW672">
        <v>1.31</v>
      </c>
      <c r="CX672">
        <v>-0.23</v>
      </c>
      <c r="CY672">
        <v>52.53</v>
      </c>
      <c r="CZ672" t="s">
        <v>4223</v>
      </c>
      <c r="DA672">
        <v>32.68</v>
      </c>
      <c r="DB672">
        <v>2.99</v>
      </c>
      <c r="DC672">
        <v>2.77</v>
      </c>
      <c r="DD672">
        <v>0.17</v>
      </c>
      <c r="DE672">
        <v>6844</v>
      </c>
      <c r="DF672">
        <v>2216</v>
      </c>
      <c r="DG672" t="s">
        <v>116</v>
      </c>
      <c r="DH672" t="s">
        <v>116</v>
      </c>
      <c r="DI672" t="s">
        <v>116</v>
      </c>
    </row>
    <row r="673" spans="1:113" x14ac:dyDescent="0.4">
      <c r="A673" t="str">
        <f>"002217"</f>
        <v>002217</v>
      </c>
      <c r="B673" t="s">
        <v>4224</v>
      </c>
      <c r="C673">
        <v>-2.86</v>
      </c>
      <c r="D673">
        <v>5.44</v>
      </c>
      <c r="E673">
        <v>-0.16</v>
      </c>
      <c r="F673">
        <v>5.43</v>
      </c>
      <c r="G673">
        <v>5.44</v>
      </c>
      <c r="H673">
        <v>730945</v>
      </c>
      <c r="I673">
        <v>5974</v>
      </c>
      <c r="J673">
        <v>0</v>
      </c>
      <c r="K673">
        <v>2.71</v>
      </c>
      <c r="L673">
        <v>5.59</v>
      </c>
      <c r="M673">
        <v>5.64</v>
      </c>
      <c r="N673">
        <v>5.42</v>
      </c>
      <c r="O673">
        <v>5.6</v>
      </c>
      <c r="P673">
        <v>19.02</v>
      </c>
      <c r="Q673">
        <v>403604448</v>
      </c>
      <c r="R673">
        <v>1.08</v>
      </c>
      <c r="S673" t="s">
        <v>233</v>
      </c>
      <c r="T673" t="s">
        <v>975</v>
      </c>
      <c r="U673">
        <v>3.93</v>
      </c>
      <c r="V673">
        <v>5.52</v>
      </c>
      <c r="W673">
        <v>424585</v>
      </c>
      <c r="X673">
        <v>306360</v>
      </c>
      <c r="Y673">
        <v>1.39</v>
      </c>
      <c r="Z673">
        <v>1451</v>
      </c>
      <c r="AA673">
        <v>2033</v>
      </c>
      <c r="AB673" t="s">
        <v>116</v>
      </c>
      <c r="AC673">
        <v>1850300</v>
      </c>
      <c r="AD673">
        <v>0.02</v>
      </c>
      <c r="AE673" t="s">
        <v>116</v>
      </c>
      <c r="AF673" t="s">
        <v>116</v>
      </c>
      <c r="AG673">
        <v>27</v>
      </c>
      <c r="AH673" t="s">
        <v>4225</v>
      </c>
      <c r="AI673" t="s">
        <v>4226</v>
      </c>
      <c r="AJ673">
        <v>-2.1800000000000002</v>
      </c>
      <c r="AK673">
        <v>3838</v>
      </c>
      <c r="AL673">
        <v>190</v>
      </c>
      <c r="AM673">
        <v>6.9999999999999999E-4</v>
      </c>
      <c r="AN673">
        <v>-1</v>
      </c>
      <c r="AO673">
        <v>-0.19</v>
      </c>
      <c r="AP673">
        <v>11.48</v>
      </c>
      <c r="AQ673">
        <v>-10.38</v>
      </c>
      <c r="AR673">
        <v>17.34</v>
      </c>
      <c r="AS673">
        <v>4.0599999999999996</v>
      </c>
      <c r="AT673" t="s">
        <v>4227</v>
      </c>
      <c r="AU673">
        <v>20.21</v>
      </c>
      <c r="AV673">
        <v>12.48</v>
      </c>
      <c r="AW673">
        <v>1.96</v>
      </c>
      <c r="BA673">
        <v>-0.18</v>
      </c>
      <c r="BB673">
        <v>0.71</v>
      </c>
      <c r="BC673">
        <v>-3.21</v>
      </c>
      <c r="BD673">
        <v>-1.4</v>
      </c>
      <c r="BE673">
        <v>-2.68</v>
      </c>
      <c r="BF673">
        <v>-3.55</v>
      </c>
      <c r="BG673">
        <v>0.37</v>
      </c>
      <c r="BH673">
        <v>-1.46</v>
      </c>
      <c r="BI673">
        <v>20191024</v>
      </c>
      <c r="BJ673">
        <v>20080220</v>
      </c>
      <c r="BK673">
        <v>31.16</v>
      </c>
      <c r="BL673" t="s">
        <v>116</v>
      </c>
      <c r="BM673" t="s">
        <v>116</v>
      </c>
      <c r="BN673">
        <v>310.22000000000003</v>
      </c>
      <c r="BO673">
        <v>119.19</v>
      </c>
      <c r="BP673">
        <v>14.08</v>
      </c>
      <c r="BQ673">
        <v>57.04</v>
      </c>
      <c r="BR673">
        <v>200.65</v>
      </c>
      <c r="BS673">
        <v>47.77</v>
      </c>
      <c r="BT673">
        <v>3.66</v>
      </c>
      <c r="BU673">
        <v>158.46</v>
      </c>
      <c r="BV673">
        <v>48.04</v>
      </c>
      <c r="BW673">
        <v>79.8</v>
      </c>
      <c r="BX673">
        <v>44.55</v>
      </c>
      <c r="BY673">
        <v>115.58</v>
      </c>
      <c r="BZ673">
        <v>95.67</v>
      </c>
      <c r="CA673">
        <v>6.85</v>
      </c>
      <c r="CB673">
        <v>0.46</v>
      </c>
      <c r="CC673">
        <v>7.02</v>
      </c>
      <c r="CD673">
        <v>6.2</v>
      </c>
      <c r="CE673">
        <v>6.69</v>
      </c>
      <c r="CF673">
        <v>4.83</v>
      </c>
      <c r="CG673">
        <v>40.770000000000003</v>
      </c>
      <c r="CH673">
        <v>0.88</v>
      </c>
      <c r="CI673">
        <v>10.63</v>
      </c>
      <c r="CJ673">
        <v>104104</v>
      </c>
      <c r="CK673">
        <v>17289</v>
      </c>
      <c r="CL673" t="s">
        <v>540</v>
      </c>
      <c r="CM673">
        <v>-43.72</v>
      </c>
      <c r="CN673">
        <v>-12.12</v>
      </c>
      <c r="CO673">
        <v>1.42</v>
      </c>
      <c r="CP673">
        <v>193.33</v>
      </c>
      <c r="CQ673">
        <v>1.47</v>
      </c>
      <c r="CR673">
        <v>0.81</v>
      </c>
      <c r="CS673" t="s">
        <v>4228</v>
      </c>
      <c r="CT673">
        <v>3.82</v>
      </c>
      <c r="CU673">
        <v>0</v>
      </c>
      <c r="CV673">
        <v>1.43</v>
      </c>
      <c r="CW673">
        <v>1.31</v>
      </c>
      <c r="CX673">
        <v>0.03</v>
      </c>
      <c r="CY673">
        <v>38.42</v>
      </c>
      <c r="CZ673" t="s">
        <v>4229</v>
      </c>
      <c r="DA673">
        <v>17.23</v>
      </c>
      <c r="DB673">
        <v>5.93</v>
      </c>
      <c r="DC673">
        <v>5.78</v>
      </c>
      <c r="DD673">
        <v>3.59</v>
      </c>
      <c r="DE673">
        <v>27953</v>
      </c>
      <c r="DF673">
        <v>2217</v>
      </c>
      <c r="DG673" t="s">
        <v>116</v>
      </c>
      <c r="DH673" t="s">
        <v>116</v>
      </c>
      <c r="DI673" t="s">
        <v>116</v>
      </c>
    </row>
    <row r="674" spans="1:113" x14ac:dyDescent="0.4">
      <c r="A674" t="str">
        <f>"002218"</f>
        <v>002218</v>
      </c>
      <c r="B674" t="s">
        <v>4230</v>
      </c>
      <c r="C674">
        <v>-1.63</v>
      </c>
      <c r="D674">
        <v>3.01</v>
      </c>
      <c r="E674">
        <v>-0.05</v>
      </c>
      <c r="F674">
        <v>3.01</v>
      </c>
      <c r="G674">
        <v>3.02</v>
      </c>
      <c r="H674">
        <v>151256</v>
      </c>
      <c r="I674">
        <v>1110</v>
      </c>
      <c r="J674">
        <v>0</v>
      </c>
      <c r="K674">
        <v>1.24</v>
      </c>
      <c r="L674">
        <v>3.08</v>
      </c>
      <c r="M674">
        <v>3.1</v>
      </c>
      <c r="N674">
        <v>3</v>
      </c>
      <c r="O674">
        <v>3.06</v>
      </c>
      <c r="P674">
        <v>38.06</v>
      </c>
      <c r="Q674">
        <v>46113676</v>
      </c>
      <c r="R674">
        <v>1.38</v>
      </c>
      <c r="S674" t="s">
        <v>3507</v>
      </c>
      <c r="T674" t="s">
        <v>115</v>
      </c>
      <c r="U674">
        <v>3.27</v>
      </c>
      <c r="V674">
        <v>3.05</v>
      </c>
      <c r="W674">
        <v>93355</v>
      </c>
      <c r="X674">
        <v>57901</v>
      </c>
      <c r="Y674">
        <v>1.61</v>
      </c>
      <c r="Z674">
        <v>2283</v>
      </c>
      <c r="AA674">
        <v>2209</v>
      </c>
      <c r="AB674" t="s">
        <v>116</v>
      </c>
      <c r="AC674">
        <v>297800</v>
      </c>
      <c r="AD674">
        <v>0.01</v>
      </c>
      <c r="AE674" t="s">
        <v>116</v>
      </c>
      <c r="AF674" t="s">
        <v>116</v>
      </c>
      <c r="AG674">
        <v>12.16</v>
      </c>
      <c r="AH674" t="s">
        <v>4231</v>
      </c>
      <c r="AI674" t="s">
        <v>4232</v>
      </c>
      <c r="AJ674">
        <v>-0.96</v>
      </c>
      <c r="AK674">
        <v>1510</v>
      </c>
      <c r="AL674">
        <v>100</v>
      </c>
      <c r="AM674">
        <v>8.0000000000000004E-4</v>
      </c>
      <c r="AN674">
        <v>-1</v>
      </c>
      <c r="AO674">
        <v>2.04</v>
      </c>
      <c r="AP674">
        <v>6.36</v>
      </c>
      <c r="AQ674">
        <v>1.69</v>
      </c>
      <c r="AR674">
        <v>9.4499999999999993</v>
      </c>
      <c r="AS674">
        <v>2.2200000000000002</v>
      </c>
      <c r="AT674" t="s">
        <v>4233</v>
      </c>
      <c r="AU674">
        <v>41.67</v>
      </c>
      <c r="AV674">
        <v>41.85</v>
      </c>
      <c r="AW674">
        <v>0.91</v>
      </c>
      <c r="BA674">
        <v>0.65</v>
      </c>
      <c r="BB674">
        <v>1.31</v>
      </c>
      <c r="BC674">
        <v>-1.96</v>
      </c>
      <c r="BD674">
        <v>-0.37</v>
      </c>
      <c r="BE674">
        <v>-2.27</v>
      </c>
      <c r="BF674">
        <v>-2.9</v>
      </c>
      <c r="BG674">
        <v>0.33</v>
      </c>
      <c r="BH674">
        <v>-1.27</v>
      </c>
      <c r="BI674">
        <v>20191126</v>
      </c>
      <c r="BJ674">
        <v>20080228</v>
      </c>
      <c r="BK674">
        <v>12.36</v>
      </c>
      <c r="BL674" t="s">
        <v>116</v>
      </c>
      <c r="BM674" t="s">
        <v>116</v>
      </c>
      <c r="BN674">
        <v>62.66</v>
      </c>
      <c r="BO674">
        <v>29.53</v>
      </c>
      <c r="BP674">
        <v>0</v>
      </c>
      <c r="BQ674">
        <v>52.87</v>
      </c>
      <c r="BR674">
        <v>22.16</v>
      </c>
      <c r="BS674">
        <v>31.2</v>
      </c>
      <c r="BT674">
        <v>3.55</v>
      </c>
      <c r="BU674">
        <v>23.76</v>
      </c>
      <c r="BV674">
        <v>2.87</v>
      </c>
      <c r="BW674">
        <v>9.34</v>
      </c>
      <c r="BX674">
        <v>13.16</v>
      </c>
      <c r="BY674">
        <v>7.37</v>
      </c>
      <c r="BZ674">
        <v>5.01</v>
      </c>
      <c r="CA674">
        <v>0.81</v>
      </c>
      <c r="CB674">
        <v>0.05</v>
      </c>
      <c r="CC674">
        <v>0.82</v>
      </c>
      <c r="CD674">
        <v>0.73</v>
      </c>
      <c r="CE674">
        <v>0.73</v>
      </c>
      <c r="CF674">
        <v>0.56999999999999995</v>
      </c>
      <c r="CG674">
        <v>3.94</v>
      </c>
      <c r="CH674">
        <v>5.43</v>
      </c>
      <c r="CI674">
        <v>1.46</v>
      </c>
      <c r="CJ674">
        <v>63060</v>
      </c>
      <c r="CK674">
        <v>10818</v>
      </c>
      <c r="CL674" t="s">
        <v>3844</v>
      </c>
      <c r="CM674">
        <v>0.55000000000000004</v>
      </c>
      <c r="CN674">
        <v>-2.99</v>
      </c>
      <c r="CO674">
        <v>1.26</v>
      </c>
      <c r="CP674">
        <v>6.86</v>
      </c>
      <c r="CQ674">
        <v>5.05</v>
      </c>
      <c r="CR674">
        <v>0</v>
      </c>
      <c r="CS674" t="s">
        <v>4234</v>
      </c>
      <c r="CT674">
        <v>2.39</v>
      </c>
      <c r="CU674">
        <v>0</v>
      </c>
      <c r="CV674">
        <v>1.06</v>
      </c>
      <c r="CW674">
        <v>0.32</v>
      </c>
      <c r="CX674">
        <v>0.44</v>
      </c>
      <c r="CY674">
        <v>47.13</v>
      </c>
      <c r="CZ674" t="s">
        <v>4235</v>
      </c>
      <c r="DA674">
        <v>32.03</v>
      </c>
      <c r="DB674">
        <v>10.97</v>
      </c>
      <c r="DC674">
        <v>9.9499999999999993</v>
      </c>
      <c r="DD674">
        <v>0.02</v>
      </c>
      <c r="DE674">
        <v>1251</v>
      </c>
      <c r="DF674">
        <v>2218</v>
      </c>
      <c r="DG674" t="s">
        <v>116</v>
      </c>
      <c r="DH674" t="s">
        <v>116</v>
      </c>
      <c r="DI674" t="s">
        <v>116</v>
      </c>
    </row>
    <row r="675" spans="1:113" x14ac:dyDescent="0.4">
      <c r="A675" t="str">
        <f>"002219"</f>
        <v>002219</v>
      </c>
      <c r="B675" t="s">
        <v>4236</v>
      </c>
      <c r="C675">
        <v>-0.42</v>
      </c>
      <c r="D675">
        <v>2.36</v>
      </c>
      <c r="E675">
        <v>-0.01</v>
      </c>
      <c r="F675">
        <v>2.35</v>
      </c>
      <c r="G675">
        <v>2.36</v>
      </c>
      <c r="H675">
        <v>67681</v>
      </c>
      <c r="I675">
        <v>95</v>
      </c>
      <c r="J675">
        <v>0</v>
      </c>
      <c r="K675">
        <v>0.37</v>
      </c>
      <c r="L675">
        <v>2.37</v>
      </c>
      <c r="M675">
        <v>2.4</v>
      </c>
      <c r="N675">
        <v>2.35</v>
      </c>
      <c r="O675">
        <v>2.37</v>
      </c>
      <c r="P675" t="s">
        <v>116</v>
      </c>
      <c r="Q675">
        <v>16080300</v>
      </c>
      <c r="R675">
        <v>0.92</v>
      </c>
      <c r="S675" t="s">
        <v>781</v>
      </c>
      <c r="T675" t="s">
        <v>1122</v>
      </c>
      <c r="U675">
        <v>2.11</v>
      </c>
      <c r="V675">
        <v>2.38</v>
      </c>
      <c r="W675">
        <v>43573</v>
      </c>
      <c r="X675">
        <v>24108</v>
      </c>
      <c r="Y675">
        <v>1.81</v>
      </c>
      <c r="Z675">
        <v>3272</v>
      </c>
      <c r="AA675">
        <v>972</v>
      </c>
      <c r="AB675" t="s">
        <v>116</v>
      </c>
      <c r="AC675">
        <v>17100</v>
      </c>
      <c r="AD675">
        <v>0</v>
      </c>
      <c r="AE675" t="s">
        <v>116</v>
      </c>
      <c r="AF675" t="s">
        <v>116</v>
      </c>
      <c r="AG675">
        <v>18.440000000000001</v>
      </c>
      <c r="AH675" t="s">
        <v>3472</v>
      </c>
      <c r="AI675" t="s">
        <v>4237</v>
      </c>
      <c r="AJ675">
        <v>0.26</v>
      </c>
      <c r="AK675">
        <v>969</v>
      </c>
      <c r="AL675">
        <v>70</v>
      </c>
      <c r="AM675">
        <v>4.0000000000000002E-4</v>
      </c>
      <c r="AN675">
        <v>-1</v>
      </c>
      <c r="AO675">
        <v>0</v>
      </c>
      <c r="AP675">
        <v>2.16</v>
      </c>
      <c r="AQ675">
        <v>-9.92</v>
      </c>
      <c r="AR675">
        <v>-31.4</v>
      </c>
      <c r="AS675">
        <v>0.72</v>
      </c>
      <c r="AT675" t="s">
        <v>4238</v>
      </c>
      <c r="AU675" t="s">
        <v>116</v>
      </c>
      <c r="AV675" t="s">
        <v>116</v>
      </c>
      <c r="AW675">
        <v>0.97</v>
      </c>
      <c r="BA675">
        <v>0</v>
      </c>
      <c r="BB675">
        <v>1.27</v>
      </c>
      <c r="BC675">
        <v>-0.84</v>
      </c>
      <c r="BD675">
        <v>0.25</v>
      </c>
      <c r="BE675">
        <v>-0.42</v>
      </c>
      <c r="BF675">
        <v>-1.67</v>
      </c>
      <c r="BG675">
        <v>0.43</v>
      </c>
      <c r="BH675">
        <v>-0.67</v>
      </c>
      <c r="BI675">
        <v>20191029</v>
      </c>
      <c r="BJ675">
        <v>20080306</v>
      </c>
      <c r="BK675">
        <v>18.649999999999999</v>
      </c>
      <c r="BL675" t="s">
        <v>116</v>
      </c>
      <c r="BM675" t="s">
        <v>116</v>
      </c>
      <c r="BN675">
        <v>84.32</v>
      </c>
      <c r="BO675">
        <v>25.49</v>
      </c>
      <c r="BP675">
        <v>1.08</v>
      </c>
      <c r="BQ675">
        <v>68.489999999999995</v>
      </c>
      <c r="BR675">
        <v>20.58</v>
      </c>
      <c r="BS675">
        <v>19.22</v>
      </c>
      <c r="BT675">
        <v>4.53</v>
      </c>
      <c r="BU675">
        <v>29.82</v>
      </c>
      <c r="BV675">
        <v>2.82</v>
      </c>
      <c r="BW675">
        <v>14.07</v>
      </c>
      <c r="BX675">
        <v>10.82</v>
      </c>
      <c r="BY675">
        <v>27.39</v>
      </c>
      <c r="BZ675">
        <v>20.11</v>
      </c>
      <c r="CA675">
        <v>-0.83</v>
      </c>
      <c r="CB675">
        <v>-7.0000000000000007E-2</v>
      </c>
      <c r="CC675">
        <v>-0.76</v>
      </c>
      <c r="CD675">
        <v>-1.46</v>
      </c>
      <c r="CE675">
        <v>-1.69</v>
      </c>
      <c r="CF675">
        <v>-1.82</v>
      </c>
      <c r="CG675">
        <v>-4.8499999999999996</v>
      </c>
      <c r="CH675">
        <v>4.2699999999999996</v>
      </c>
      <c r="CI675">
        <v>-1.58</v>
      </c>
      <c r="CJ675">
        <v>49485</v>
      </c>
      <c r="CK675">
        <v>18979</v>
      </c>
      <c r="CL675" t="s">
        <v>2342</v>
      </c>
      <c r="CM675">
        <v>56.17</v>
      </c>
      <c r="CN675">
        <v>-1.1599999999999999</v>
      </c>
      <c r="CO675">
        <v>1.73</v>
      </c>
      <c r="CP675">
        <v>10.31</v>
      </c>
      <c r="CQ675">
        <v>1.61</v>
      </c>
      <c r="CR675">
        <v>0</v>
      </c>
      <c r="CS675" t="s">
        <v>4239</v>
      </c>
      <c r="CT675">
        <v>1.37</v>
      </c>
      <c r="CU675">
        <v>0</v>
      </c>
      <c r="CV675">
        <v>0.57999999999999996</v>
      </c>
      <c r="CW675">
        <v>-0.26</v>
      </c>
      <c r="CX675">
        <v>0.23</v>
      </c>
      <c r="CY675">
        <v>30.23</v>
      </c>
      <c r="CZ675" t="s">
        <v>3092</v>
      </c>
      <c r="DA675">
        <v>26.6</v>
      </c>
      <c r="DB675">
        <v>-3.04</v>
      </c>
      <c r="DC675">
        <v>-6.19</v>
      </c>
      <c r="DD675">
        <v>0.01</v>
      </c>
      <c r="DE675">
        <v>8608</v>
      </c>
      <c r="DF675">
        <v>2219</v>
      </c>
      <c r="DG675" t="s">
        <v>116</v>
      </c>
      <c r="DH675" t="s">
        <v>116</v>
      </c>
      <c r="DI675" t="s">
        <v>116</v>
      </c>
    </row>
    <row r="676" spans="1:113" x14ac:dyDescent="0.4">
      <c r="A676" t="str">
        <f>"002220"</f>
        <v>002220</v>
      </c>
      <c r="B676" t="s">
        <v>4240</v>
      </c>
      <c r="C676">
        <v>-4.38</v>
      </c>
      <c r="D676">
        <v>1.53</v>
      </c>
      <c r="E676">
        <v>-7.0000000000000007E-2</v>
      </c>
      <c r="F676">
        <v>1.53</v>
      </c>
      <c r="G676">
        <v>1.54</v>
      </c>
      <c r="H676">
        <v>275011</v>
      </c>
      <c r="I676">
        <v>6866</v>
      </c>
      <c r="J676">
        <v>0</v>
      </c>
      <c r="K676">
        <v>4.16</v>
      </c>
      <c r="L676">
        <v>1.6</v>
      </c>
      <c r="M676">
        <v>1.65</v>
      </c>
      <c r="N676">
        <v>1.52</v>
      </c>
      <c r="O676">
        <v>1.6</v>
      </c>
      <c r="P676" t="s">
        <v>116</v>
      </c>
      <c r="Q676">
        <v>43293084</v>
      </c>
      <c r="R676">
        <v>1.01</v>
      </c>
      <c r="S676" t="s">
        <v>863</v>
      </c>
      <c r="T676" t="s">
        <v>434</v>
      </c>
      <c r="U676">
        <v>8.1300000000000008</v>
      </c>
      <c r="V676">
        <v>1.57</v>
      </c>
      <c r="W676">
        <v>150760</v>
      </c>
      <c r="X676">
        <v>124251</v>
      </c>
      <c r="Y676">
        <v>1.21</v>
      </c>
      <c r="Z676">
        <v>594</v>
      </c>
      <c r="AA676">
        <v>1204</v>
      </c>
      <c r="AB676" t="s">
        <v>116</v>
      </c>
      <c r="AC676">
        <v>652200</v>
      </c>
      <c r="AD676">
        <v>0.11</v>
      </c>
      <c r="AE676" t="s">
        <v>116</v>
      </c>
      <c r="AF676" t="s">
        <v>116</v>
      </c>
      <c r="AG676">
        <v>6.61</v>
      </c>
      <c r="AH676" t="s">
        <v>4241</v>
      </c>
      <c r="AI676" t="s">
        <v>4242</v>
      </c>
      <c r="AJ676">
        <v>-3.7</v>
      </c>
      <c r="AK676">
        <v>1297</v>
      </c>
      <c r="AL676">
        <v>212</v>
      </c>
      <c r="AM676">
        <v>3.2000000000000002E-3</v>
      </c>
      <c r="AN676">
        <v>-1</v>
      </c>
      <c r="AO676">
        <v>-3.78</v>
      </c>
      <c r="AP676">
        <v>13.33</v>
      </c>
      <c r="AQ676">
        <v>17.690000000000001</v>
      </c>
      <c r="AR676">
        <v>-40</v>
      </c>
      <c r="AS676">
        <v>7.3</v>
      </c>
      <c r="AT676" t="s">
        <v>4243</v>
      </c>
      <c r="AU676" t="s">
        <v>116</v>
      </c>
      <c r="AV676" t="s">
        <v>116</v>
      </c>
      <c r="AW676">
        <v>0.37</v>
      </c>
      <c r="BA676">
        <v>0</v>
      </c>
      <c r="BB676">
        <v>3.12</v>
      </c>
      <c r="BC676">
        <v>-5</v>
      </c>
      <c r="BD676">
        <v>-1.61</v>
      </c>
      <c r="BE676">
        <v>-4.38</v>
      </c>
      <c r="BF676">
        <v>-7.27</v>
      </c>
      <c r="BG676">
        <v>0.66</v>
      </c>
      <c r="BH676">
        <v>-2.76</v>
      </c>
      <c r="BI676">
        <v>20191031</v>
      </c>
      <c r="BJ676">
        <v>20080228</v>
      </c>
      <c r="BK676">
        <v>7.66</v>
      </c>
      <c r="BL676" t="s">
        <v>116</v>
      </c>
      <c r="BM676" t="s">
        <v>116</v>
      </c>
      <c r="BN676">
        <v>46.85</v>
      </c>
      <c r="BO676">
        <v>21.43</v>
      </c>
      <c r="BP676">
        <v>-0.01</v>
      </c>
      <c r="BQ676">
        <v>54.28</v>
      </c>
      <c r="BR676">
        <v>25.49</v>
      </c>
      <c r="BS676">
        <v>19.899999999999999</v>
      </c>
      <c r="BT676">
        <v>0.71</v>
      </c>
      <c r="BU676">
        <v>23.71</v>
      </c>
      <c r="BV676">
        <v>0.85</v>
      </c>
      <c r="BW676">
        <v>12.48</v>
      </c>
      <c r="BX676">
        <v>7.89</v>
      </c>
      <c r="BY676">
        <v>2.85</v>
      </c>
      <c r="BZ676">
        <v>2.61</v>
      </c>
      <c r="CA676">
        <v>-4.37</v>
      </c>
      <c r="CB676">
        <v>0.01</v>
      </c>
      <c r="CC676">
        <v>-4.38</v>
      </c>
      <c r="CD676">
        <v>-4.41</v>
      </c>
      <c r="CE676">
        <v>-4.4000000000000004</v>
      </c>
      <c r="CF676">
        <v>-4.41</v>
      </c>
      <c r="CG676">
        <v>4.55</v>
      </c>
      <c r="CH676">
        <v>0.15</v>
      </c>
      <c r="CI676">
        <v>0.12</v>
      </c>
      <c r="CJ676">
        <v>24418</v>
      </c>
      <c r="CK676">
        <v>15433</v>
      </c>
      <c r="CL676" t="s">
        <v>619</v>
      </c>
      <c r="CM676">
        <v>-1368.28</v>
      </c>
      <c r="CN676">
        <v>-62.78</v>
      </c>
      <c r="CO676">
        <v>0.55000000000000004</v>
      </c>
      <c r="CP676">
        <v>76.930000000000007</v>
      </c>
      <c r="CQ676">
        <v>4.1100000000000003</v>
      </c>
      <c r="CR676">
        <v>0</v>
      </c>
      <c r="CS676" t="s">
        <v>4244</v>
      </c>
      <c r="CT676">
        <v>2.8</v>
      </c>
      <c r="CU676">
        <v>0</v>
      </c>
      <c r="CV676">
        <v>1.03</v>
      </c>
      <c r="CW676">
        <v>0.59</v>
      </c>
      <c r="CX676">
        <v>0.02</v>
      </c>
      <c r="CY676">
        <v>45.73</v>
      </c>
      <c r="CZ676" t="s">
        <v>4245</v>
      </c>
      <c r="DA676">
        <v>8.68</v>
      </c>
      <c r="DB676">
        <v>-153</v>
      </c>
      <c r="DC676">
        <v>-154.05000000000001</v>
      </c>
      <c r="DD676">
        <v>0</v>
      </c>
      <c r="DE676">
        <v>1368</v>
      </c>
      <c r="DF676">
        <v>2220</v>
      </c>
      <c r="DG676" t="s">
        <v>116</v>
      </c>
      <c r="DH676" t="s">
        <v>116</v>
      </c>
      <c r="DI676" t="s">
        <v>116</v>
      </c>
    </row>
    <row r="677" spans="1:113" x14ac:dyDescent="0.4">
      <c r="A677" t="str">
        <f>"002221"</f>
        <v>002221</v>
      </c>
      <c r="B677" t="s">
        <v>4246</v>
      </c>
      <c r="C677">
        <v>-1.29</v>
      </c>
      <c r="D677">
        <v>7.65</v>
      </c>
      <c r="E677">
        <v>-0.1</v>
      </c>
      <c r="F677">
        <v>7.65</v>
      </c>
      <c r="G677">
        <v>7.66</v>
      </c>
      <c r="H677">
        <v>160932</v>
      </c>
      <c r="I677">
        <v>3038</v>
      </c>
      <c r="J677">
        <v>-0.25</v>
      </c>
      <c r="K677">
        <v>1.05</v>
      </c>
      <c r="L677">
        <v>7.74</v>
      </c>
      <c r="M677">
        <v>7.81</v>
      </c>
      <c r="N677">
        <v>7.65</v>
      </c>
      <c r="O677">
        <v>7.75</v>
      </c>
      <c r="P677">
        <v>9.3699999999999992</v>
      </c>
      <c r="Q677">
        <v>124311232</v>
      </c>
      <c r="R677">
        <v>1.37</v>
      </c>
      <c r="S677" t="s">
        <v>536</v>
      </c>
      <c r="T677" t="s">
        <v>323</v>
      </c>
      <c r="U677">
        <v>2.06</v>
      </c>
      <c r="V677">
        <v>7.72</v>
      </c>
      <c r="W677">
        <v>89759</v>
      </c>
      <c r="X677">
        <v>71173</v>
      </c>
      <c r="Y677">
        <v>1.26</v>
      </c>
      <c r="Z677">
        <v>2507</v>
      </c>
      <c r="AA677">
        <v>565</v>
      </c>
      <c r="AB677" t="s">
        <v>116</v>
      </c>
      <c r="AC677">
        <v>291000</v>
      </c>
      <c r="AD677">
        <v>0</v>
      </c>
      <c r="AE677" t="s">
        <v>116</v>
      </c>
      <c r="AF677" t="s">
        <v>116</v>
      </c>
      <c r="AG677">
        <v>15.31</v>
      </c>
      <c r="AH677" t="s">
        <v>4247</v>
      </c>
      <c r="AI677" t="s">
        <v>4248</v>
      </c>
      <c r="AJ677">
        <v>-0.61</v>
      </c>
      <c r="AK677">
        <v>2247</v>
      </c>
      <c r="AL677">
        <v>72</v>
      </c>
      <c r="AM677">
        <v>5.0000000000000001E-4</v>
      </c>
      <c r="AN677">
        <v>-1</v>
      </c>
      <c r="AO677">
        <v>-1.41</v>
      </c>
      <c r="AP677">
        <v>-3.65</v>
      </c>
      <c r="AQ677">
        <v>-5.32</v>
      </c>
      <c r="AR677">
        <v>-4.6500000000000004</v>
      </c>
      <c r="AS677">
        <v>1.55</v>
      </c>
      <c r="AT677" t="s">
        <v>4249</v>
      </c>
      <c r="AU677">
        <v>10.64</v>
      </c>
      <c r="AV677">
        <v>11.7</v>
      </c>
      <c r="AW677">
        <v>0.82</v>
      </c>
      <c r="BA677">
        <v>-0.13</v>
      </c>
      <c r="BB677">
        <v>0.77</v>
      </c>
      <c r="BC677">
        <v>-1.29</v>
      </c>
      <c r="BD677">
        <v>-0.33</v>
      </c>
      <c r="BE677">
        <v>-1.1599999999999999</v>
      </c>
      <c r="BF677">
        <v>-2.0499999999999998</v>
      </c>
      <c r="BG677">
        <v>0</v>
      </c>
      <c r="BH677">
        <v>-0.96</v>
      </c>
      <c r="BI677">
        <v>20191024</v>
      </c>
      <c r="BJ677">
        <v>20080306</v>
      </c>
      <c r="BK677">
        <v>16.5</v>
      </c>
      <c r="BL677" t="s">
        <v>116</v>
      </c>
      <c r="BM677" t="s">
        <v>116</v>
      </c>
      <c r="BN677">
        <v>259.88</v>
      </c>
      <c r="BO677">
        <v>92.11</v>
      </c>
      <c r="BP677">
        <v>0.13</v>
      </c>
      <c r="BQ677">
        <v>64.510000000000005</v>
      </c>
      <c r="BR677">
        <v>151.69999999999999</v>
      </c>
      <c r="BS677">
        <v>76.989999999999995</v>
      </c>
      <c r="BT677">
        <v>9.4700000000000006</v>
      </c>
      <c r="BU677">
        <v>133.44999999999999</v>
      </c>
      <c r="BV677">
        <v>21.55</v>
      </c>
      <c r="BW677">
        <v>17.5</v>
      </c>
      <c r="BX677">
        <v>39.61</v>
      </c>
      <c r="BY677">
        <v>371.58</v>
      </c>
      <c r="BZ677">
        <v>351.28</v>
      </c>
      <c r="CA677">
        <v>12.95</v>
      </c>
      <c r="CB677">
        <v>0.44</v>
      </c>
      <c r="CC677">
        <v>13.18</v>
      </c>
      <c r="CD677">
        <v>10.130000000000001</v>
      </c>
      <c r="CE677">
        <v>10.1</v>
      </c>
      <c r="CF677">
        <v>7.99</v>
      </c>
      <c r="CG677">
        <v>40</v>
      </c>
      <c r="CH677">
        <v>14.93</v>
      </c>
      <c r="CI677">
        <v>-15.61</v>
      </c>
      <c r="CJ677">
        <v>33397</v>
      </c>
      <c r="CK677">
        <v>31036</v>
      </c>
      <c r="CL677" t="s">
        <v>341</v>
      </c>
      <c r="CM677">
        <v>11.95</v>
      </c>
      <c r="CN677">
        <v>7.73</v>
      </c>
      <c r="CO677">
        <v>1.37</v>
      </c>
      <c r="CP677">
        <v>8.4499999999999993</v>
      </c>
      <c r="CQ677">
        <v>0.34</v>
      </c>
      <c r="CR677">
        <v>0.47</v>
      </c>
      <c r="CS677" t="s">
        <v>4250</v>
      </c>
      <c r="CT677">
        <v>5.58</v>
      </c>
      <c r="CU677">
        <v>0</v>
      </c>
      <c r="CV677">
        <v>2.4</v>
      </c>
      <c r="CW677">
        <v>2.42</v>
      </c>
      <c r="CX677">
        <v>0.9</v>
      </c>
      <c r="CY677">
        <v>35.44</v>
      </c>
      <c r="CZ677" t="s">
        <v>4251</v>
      </c>
      <c r="DA677">
        <v>5.46</v>
      </c>
      <c r="DB677">
        <v>3.48</v>
      </c>
      <c r="DC677">
        <v>2.72</v>
      </c>
      <c r="DD677">
        <v>7.0000000000000007E-2</v>
      </c>
      <c r="DE677">
        <v>1620</v>
      </c>
      <c r="DF677">
        <v>2221</v>
      </c>
      <c r="DG677" t="s">
        <v>116</v>
      </c>
      <c r="DH677" t="s">
        <v>116</v>
      </c>
      <c r="DI677" t="s">
        <v>116</v>
      </c>
    </row>
    <row r="678" spans="1:113" x14ac:dyDescent="0.4">
      <c r="A678" t="str">
        <f>"002222"</f>
        <v>002222</v>
      </c>
      <c r="B678" t="s">
        <v>4252</v>
      </c>
      <c r="C678">
        <v>-3.02</v>
      </c>
      <c r="D678">
        <v>12.19</v>
      </c>
      <c r="E678">
        <v>-0.38</v>
      </c>
      <c r="F678">
        <v>12.19</v>
      </c>
      <c r="G678">
        <v>12.2</v>
      </c>
      <c r="H678">
        <v>140495</v>
      </c>
      <c r="I678">
        <v>1638</v>
      </c>
      <c r="J678">
        <v>0.08</v>
      </c>
      <c r="K678">
        <v>3.32</v>
      </c>
      <c r="L678">
        <v>12.56</v>
      </c>
      <c r="M678">
        <v>12.56</v>
      </c>
      <c r="N678">
        <v>12.15</v>
      </c>
      <c r="O678">
        <v>12.57</v>
      </c>
      <c r="P678">
        <v>35.369999999999997</v>
      </c>
      <c r="Q678">
        <v>173910800</v>
      </c>
      <c r="R678">
        <v>1.02</v>
      </c>
      <c r="S678" t="s">
        <v>233</v>
      </c>
      <c r="T678" t="s">
        <v>975</v>
      </c>
      <c r="U678">
        <v>3.26</v>
      </c>
      <c r="V678">
        <v>12.38</v>
      </c>
      <c r="W678">
        <v>90500</v>
      </c>
      <c r="X678">
        <v>49995</v>
      </c>
      <c r="Y678">
        <v>1.81</v>
      </c>
      <c r="Z678">
        <v>921</v>
      </c>
      <c r="AA678">
        <v>161</v>
      </c>
      <c r="AB678" t="s">
        <v>116</v>
      </c>
      <c r="AC678">
        <v>298900</v>
      </c>
      <c r="AD678">
        <v>0.01</v>
      </c>
      <c r="AE678" t="s">
        <v>116</v>
      </c>
      <c r="AF678" t="s">
        <v>116</v>
      </c>
      <c r="AG678">
        <v>4.2300000000000004</v>
      </c>
      <c r="AH678" t="s">
        <v>4253</v>
      </c>
      <c r="AI678" t="s">
        <v>4254</v>
      </c>
      <c r="AJ678">
        <v>-2.34</v>
      </c>
      <c r="AK678">
        <v>2540</v>
      </c>
      <c r="AL678">
        <v>55</v>
      </c>
      <c r="AM678">
        <v>1.2999999999999999E-3</v>
      </c>
      <c r="AN678">
        <v>-1</v>
      </c>
      <c r="AO678">
        <v>-0.33</v>
      </c>
      <c r="AP678">
        <v>11.02</v>
      </c>
      <c r="AQ678">
        <v>3.92</v>
      </c>
      <c r="AR678">
        <v>26.19</v>
      </c>
      <c r="AS678">
        <v>4.45</v>
      </c>
      <c r="AT678" t="s">
        <v>4255</v>
      </c>
      <c r="AU678">
        <v>40.119999999999997</v>
      </c>
      <c r="AV678">
        <v>34.65</v>
      </c>
      <c r="AW678">
        <v>1.0900000000000001</v>
      </c>
      <c r="BA678">
        <v>-0.08</v>
      </c>
      <c r="BB678">
        <v>-0.08</v>
      </c>
      <c r="BC678">
        <v>-3.34</v>
      </c>
      <c r="BD678">
        <v>-1.52</v>
      </c>
      <c r="BE678">
        <v>-2.95</v>
      </c>
      <c r="BF678">
        <v>-2.95</v>
      </c>
      <c r="BG678">
        <v>0.33</v>
      </c>
      <c r="BH678">
        <v>-1.5</v>
      </c>
      <c r="BI678">
        <v>20191023</v>
      </c>
      <c r="BJ678">
        <v>20080319</v>
      </c>
      <c r="BK678">
        <v>4.28</v>
      </c>
      <c r="BL678" t="s">
        <v>116</v>
      </c>
      <c r="BM678" t="s">
        <v>116</v>
      </c>
      <c r="BN678">
        <v>10.57</v>
      </c>
      <c r="BO678">
        <v>9.4499999999999993</v>
      </c>
      <c r="BP678">
        <v>0.21</v>
      </c>
      <c r="BQ678">
        <v>8.6</v>
      </c>
      <c r="BR678">
        <v>5.58</v>
      </c>
      <c r="BS678">
        <v>3.83</v>
      </c>
      <c r="BT678">
        <v>0.14000000000000001</v>
      </c>
      <c r="BU678">
        <v>0.66</v>
      </c>
      <c r="BV678">
        <v>1.64</v>
      </c>
      <c r="BW678">
        <v>1.43</v>
      </c>
      <c r="BX678">
        <v>0.66</v>
      </c>
      <c r="BY678">
        <v>3.88</v>
      </c>
      <c r="BZ678">
        <v>1.75</v>
      </c>
      <c r="CA678">
        <v>1.31</v>
      </c>
      <c r="CB678">
        <v>0.04</v>
      </c>
      <c r="CC678">
        <v>1.32</v>
      </c>
      <c r="CD678">
        <v>1.1299999999999999</v>
      </c>
      <c r="CE678">
        <v>1.1100000000000001</v>
      </c>
      <c r="CF678">
        <v>1.08</v>
      </c>
      <c r="CG678">
        <v>3.73</v>
      </c>
      <c r="CH678">
        <v>0.96</v>
      </c>
      <c r="CI678">
        <v>0.21</v>
      </c>
      <c r="CJ678">
        <v>49484</v>
      </c>
      <c r="CK678">
        <v>6378</v>
      </c>
      <c r="CL678" t="s">
        <v>4256</v>
      </c>
      <c r="CM678">
        <v>-15.66</v>
      </c>
      <c r="CN678">
        <v>0.37</v>
      </c>
      <c r="CO678">
        <v>5.51</v>
      </c>
      <c r="CP678">
        <v>54.09</v>
      </c>
      <c r="CQ678">
        <v>13.43</v>
      </c>
      <c r="CR678">
        <v>0.82</v>
      </c>
      <c r="CS678" t="s">
        <v>548</v>
      </c>
      <c r="CT678">
        <v>2.21</v>
      </c>
      <c r="CU678">
        <v>0</v>
      </c>
      <c r="CV678">
        <v>0.16</v>
      </c>
      <c r="CW678">
        <v>0.87</v>
      </c>
      <c r="CX678">
        <v>0.23</v>
      </c>
      <c r="CY678">
        <v>89.41</v>
      </c>
      <c r="CZ678" t="s">
        <v>4257</v>
      </c>
      <c r="DA678">
        <v>54.87</v>
      </c>
      <c r="DB678">
        <v>33.770000000000003</v>
      </c>
      <c r="DC678">
        <v>28.48</v>
      </c>
      <c r="DD678">
        <v>0.33</v>
      </c>
      <c r="DE678">
        <v>1130</v>
      </c>
      <c r="DF678">
        <v>2222</v>
      </c>
      <c r="DG678" t="s">
        <v>116</v>
      </c>
      <c r="DH678" t="s">
        <v>116</v>
      </c>
      <c r="DI678" t="s">
        <v>116</v>
      </c>
    </row>
    <row r="679" spans="1:113" x14ac:dyDescent="0.4">
      <c r="A679" t="str">
        <f>"002223"</f>
        <v>002223</v>
      </c>
      <c r="B679" t="s">
        <v>4258</v>
      </c>
      <c r="C679">
        <v>2.08</v>
      </c>
      <c r="D679">
        <v>19.66</v>
      </c>
      <c r="E679">
        <v>0.4</v>
      </c>
      <c r="F679">
        <v>19.649999999999999</v>
      </c>
      <c r="G679">
        <v>19.66</v>
      </c>
      <c r="H679">
        <v>131658</v>
      </c>
      <c r="I679">
        <v>1835</v>
      </c>
      <c r="J679">
        <v>0.05</v>
      </c>
      <c r="K679">
        <v>1.52</v>
      </c>
      <c r="L679">
        <v>19.190000000000001</v>
      </c>
      <c r="M679">
        <v>19.739999999999998</v>
      </c>
      <c r="N679">
        <v>19.190000000000001</v>
      </c>
      <c r="O679">
        <v>19.260000000000002</v>
      </c>
      <c r="P679">
        <v>20.73</v>
      </c>
      <c r="Q679">
        <v>257997728</v>
      </c>
      <c r="R679">
        <v>2.16</v>
      </c>
      <c r="S679" t="s">
        <v>559</v>
      </c>
      <c r="T679" t="s">
        <v>323</v>
      </c>
      <c r="U679">
        <v>2.86</v>
      </c>
      <c r="V679">
        <v>19.600000000000001</v>
      </c>
      <c r="W679">
        <v>50629</v>
      </c>
      <c r="X679">
        <v>81029</v>
      </c>
      <c r="Y679">
        <v>0.62</v>
      </c>
      <c r="Z679">
        <v>352</v>
      </c>
      <c r="AA679">
        <v>157</v>
      </c>
      <c r="AB679" t="s">
        <v>116</v>
      </c>
      <c r="AC679">
        <v>416400</v>
      </c>
      <c r="AD679">
        <v>0</v>
      </c>
      <c r="AE679" t="s">
        <v>116</v>
      </c>
      <c r="AF679" t="s">
        <v>116</v>
      </c>
      <c r="AG679">
        <v>8.67</v>
      </c>
      <c r="AH679" t="s">
        <v>4259</v>
      </c>
      <c r="AI679" t="s">
        <v>4260</v>
      </c>
      <c r="AJ679">
        <v>2.76</v>
      </c>
      <c r="AK679">
        <v>3738</v>
      </c>
      <c r="AL679">
        <v>35</v>
      </c>
      <c r="AM679">
        <v>4.0000000000000002E-4</v>
      </c>
      <c r="AN679">
        <v>2</v>
      </c>
      <c r="AO679">
        <v>2.02</v>
      </c>
      <c r="AP679">
        <v>0.67</v>
      </c>
      <c r="AQ679">
        <v>-9.82</v>
      </c>
      <c r="AR679">
        <v>1.03</v>
      </c>
      <c r="AS679">
        <v>2.37</v>
      </c>
      <c r="AT679" t="s">
        <v>3165</v>
      </c>
      <c r="AU679">
        <v>24.27</v>
      </c>
      <c r="AV679">
        <v>27.1</v>
      </c>
      <c r="AW679">
        <v>0.73</v>
      </c>
      <c r="BA679">
        <v>-0.36</v>
      </c>
      <c r="BB679">
        <v>2.4900000000000002</v>
      </c>
      <c r="BC679">
        <v>-0.36</v>
      </c>
      <c r="BD679">
        <v>1.74</v>
      </c>
      <c r="BE679">
        <v>2.4500000000000002</v>
      </c>
      <c r="BF679">
        <v>-0.41</v>
      </c>
      <c r="BG679">
        <v>2.4500000000000002</v>
      </c>
      <c r="BH679">
        <v>0.33</v>
      </c>
      <c r="BI679">
        <v>20191223</v>
      </c>
      <c r="BJ679">
        <v>20080418</v>
      </c>
      <c r="BK679">
        <v>10.02</v>
      </c>
      <c r="BL679" t="s">
        <v>116</v>
      </c>
      <c r="BM679" t="s">
        <v>116</v>
      </c>
      <c r="BN679">
        <v>74.97</v>
      </c>
      <c r="BO679">
        <v>60.6</v>
      </c>
      <c r="BP679">
        <v>0.85</v>
      </c>
      <c r="BQ679">
        <v>18.04</v>
      </c>
      <c r="BR679">
        <v>40.35</v>
      </c>
      <c r="BS679">
        <v>6.75</v>
      </c>
      <c r="BT679">
        <v>5.86</v>
      </c>
      <c r="BU679">
        <v>10.24</v>
      </c>
      <c r="BV679">
        <v>7.8</v>
      </c>
      <c r="BW679">
        <v>14.82</v>
      </c>
      <c r="BX679">
        <v>17.829999999999998</v>
      </c>
      <c r="BY679">
        <v>35.56</v>
      </c>
      <c r="BZ679">
        <v>20.65</v>
      </c>
      <c r="CA679">
        <v>8.23</v>
      </c>
      <c r="CB679">
        <v>0.15</v>
      </c>
      <c r="CC679">
        <v>8.48</v>
      </c>
      <c r="CD679">
        <v>7.19</v>
      </c>
      <c r="CE679">
        <v>7.13</v>
      </c>
      <c r="CF679">
        <v>6.85</v>
      </c>
      <c r="CG679">
        <v>29.53</v>
      </c>
      <c r="CH679">
        <v>1.35</v>
      </c>
      <c r="CI679">
        <v>-9.94</v>
      </c>
      <c r="CJ679">
        <v>54000</v>
      </c>
      <c r="CK679">
        <v>10290</v>
      </c>
      <c r="CL679" t="s">
        <v>4261</v>
      </c>
      <c r="CM679">
        <v>13.51</v>
      </c>
      <c r="CN679">
        <v>11.82</v>
      </c>
      <c r="CO679">
        <v>3.25</v>
      </c>
      <c r="CP679">
        <v>145.72</v>
      </c>
      <c r="CQ679">
        <v>5.54</v>
      </c>
      <c r="CR679">
        <v>0.76</v>
      </c>
      <c r="CS679" t="s">
        <v>4262</v>
      </c>
      <c r="CT679">
        <v>6.05</v>
      </c>
      <c r="CU679">
        <v>0</v>
      </c>
      <c r="CV679">
        <v>1.78</v>
      </c>
      <c r="CW679">
        <v>2.95</v>
      </c>
      <c r="CX679">
        <v>0.13</v>
      </c>
      <c r="CY679">
        <v>80.83</v>
      </c>
      <c r="CZ679" t="s">
        <v>4263</v>
      </c>
      <c r="DA679">
        <v>41.92</v>
      </c>
      <c r="DB679">
        <v>23.14</v>
      </c>
      <c r="DC679">
        <v>20.05</v>
      </c>
      <c r="DD679">
        <v>1.0900000000000001</v>
      </c>
      <c r="DE679">
        <v>4870</v>
      </c>
      <c r="DF679">
        <v>2223</v>
      </c>
      <c r="DG679" t="s">
        <v>116</v>
      </c>
      <c r="DH679" t="s">
        <v>116</v>
      </c>
      <c r="DI679" t="s">
        <v>116</v>
      </c>
    </row>
    <row r="680" spans="1:113" x14ac:dyDescent="0.4">
      <c r="A680" t="str">
        <f>"002224"</f>
        <v>002224</v>
      </c>
      <c r="B680" t="s">
        <v>4264</v>
      </c>
      <c r="C680">
        <v>-0.16</v>
      </c>
      <c r="D680">
        <v>6.11</v>
      </c>
      <c r="E680">
        <v>-0.01</v>
      </c>
      <c r="F680">
        <v>6.1</v>
      </c>
      <c r="G680">
        <v>6.11</v>
      </c>
      <c r="H680">
        <v>127223</v>
      </c>
      <c r="I680">
        <v>1495</v>
      </c>
      <c r="J680">
        <v>0</v>
      </c>
      <c r="K680">
        <v>2.4</v>
      </c>
      <c r="L680">
        <v>6.11</v>
      </c>
      <c r="M680">
        <v>6.23</v>
      </c>
      <c r="N680">
        <v>6.09</v>
      </c>
      <c r="O680">
        <v>6.12</v>
      </c>
      <c r="P680">
        <v>32.659999999999997</v>
      </c>
      <c r="Q680">
        <v>78341392</v>
      </c>
      <c r="R680">
        <v>1.07</v>
      </c>
      <c r="S680" t="s">
        <v>2541</v>
      </c>
      <c r="T680" t="s">
        <v>590</v>
      </c>
      <c r="U680">
        <v>2.29</v>
      </c>
      <c r="V680">
        <v>6.16</v>
      </c>
      <c r="W680">
        <v>65978</v>
      </c>
      <c r="X680">
        <v>61245</v>
      </c>
      <c r="Y680">
        <v>1.08</v>
      </c>
      <c r="Z680">
        <v>1799</v>
      </c>
      <c r="AA680">
        <v>974</v>
      </c>
      <c r="AB680" t="s">
        <v>116</v>
      </c>
      <c r="AC680">
        <v>113000</v>
      </c>
      <c r="AD680">
        <v>0</v>
      </c>
      <c r="AE680" t="s">
        <v>116</v>
      </c>
      <c r="AF680" t="s">
        <v>116</v>
      </c>
      <c r="AG680">
        <v>5.29</v>
      </c>
      <c r="AH680" t="s">
        <v>4265</v>
      </c>
      <c r="AI680" t="s">
        <v>4266</v>
      </c>
      <c r="AJ680">
        <v>0.52</v>
      </c>
      <c r="AK680">
        <v>2157</v>
      </c>
      <c r="AL680">
        <v>59</v>
      </c>
      <c r="AM680">
        <v>1.1000000000000001E-3</v>
      </c>
      <c r="AN680">
        <v>-1</v>
      </c>
      <c r="AO680">
        <v>0.99</v>
      </c>
      <c r="AP680">
        <v>8.5299999999999994</v>
      </c>
      <c r="AQ680">
        <v>-2.4</v>
      </c>
      <c r="AR680">
        <v>13.46</v>
      </c>
      <c r="AS680">
        <v>2.72</v>
      </c>
      <c r="AT680" t="s">
        <v>4267</v>
      </c>
      <c r="AU680">
        <v>48.54</v>
      </c>
      <c r="AV680">
        <v>53.02</v>
      </c>
      <c r="AW680">
        <v>1.33</v>
      </c>
      <c r="BA680">
        <v>-0.16</v>
      </c>
      <c r="BB680">
        <v>1.8</v>
      </c>
      <c r="BC680">
        <v>-0.49</v>
      </c>
      <c r="BD680">
        <v>0.62</v>
      </c>
      <c r="BE680">
        <v>0</v>
      </c>
      <c r="BF680">
        <v>-1.93</v>
      </c>
      <c r="BG680">
        <v>0.33</v>
      </c>
      <c r="BH680">
        <v>-0.78</v>
      </c>
      <c r="BI680">
        <v>20191028</v>
      </c>
      <c r="BJ680">
        <v>20080425</v>
      </c>
      <c r="BK680">
        <v>7.16</v>
      </c>
      <c r="BL680" t="s">
        <v>116</v>
      </c>
      <c r="BM680" t="s">
        <v>116</v>
      </c>
      <c r="BN680">
        <v>27.48</v>
      </c>
      <c r="BO680">
        <v>22.52</v>
      </c>
      <c r="BP680">
        <v>0.55000000000000004</v>
      </c>
      <c r="BQ680">
        <v>16.05</v>
      </c>
      <c r="BR680">
        <v>13.33</v>
      </c>
      <c r="BS680">
        <v>3.71</v>
      </c>
      <c r="BT680">
        <v>1.61</v>
      </c>
      <c r="BU680">
        <v>1.82</v>
      </c>
      <c r="BV680">
        <v>2.3199999999999998</v>
      </c>
      <c r="BW680">
        <v>1.19</v>
      </c>
      <c r="BX680">
        <v>4.09</v>
      </c>
      <c r="BY680">
        <v>7.01</v>
      </c>
      <c r="BZ680">
        <v>4.8499999999999996</v>
      </c>
      <c r="CA680">
        <v>1.1299999999999999</v>
      </c>
      <c r="CB680">
        <v>0.11</v>
      </c>
      <c r="CC680">
        <v>1.1299999999999999</v>
      </c>
      <c r="CD680">
        <v>0.99</v>
      </c>
      <c r="CE680">
        <v>1</v>
      </c>
      <c r="CF680">
        <v>0.86</v>
      </c>
      <c r="CG680">
        <v>9.07</v>
      </c>
      <c r="CH680">
        <v>1.5</v>
      </c>
      <c r="CI680">
        <v>-0.86</v>
      </c>
      <c r="CJ680">
        <v>69115</v>
      </c>
      <c r="CK680">
        <v>6758</v>
      </c>
      <c r="CL680" t="s">
        <v>4268</v>
      </c>
      <c r="CM680">
        <v>8.19</v>
      </c>
      <c r="CN680">
        <v>7.84</v>
      </c>
      <c r="CO680">
        <v>2.0099999999999998</v>
      </c>
      <c r="CP680">
        <v>29.19</v>
      </c>
      <c r="CQ680">
        <v>6.24</v>
      </c>
      <c r="CR680">
        <v>0.25</v>
      </c>
      <c r="CS680" t="s">
        <v>829</v>
      </c>
      <c r="CT680">
        <v>3.04</v>
      </c>
      <c r="CU680">
        <v>3.04</v>
      </c>
      <c r="CV680">
        <v>0.56999999999999995</v>
      </c>
      <c r="CW680">
        <v>1.27</v>
      </c>
      <c r="CX680">
        <v>0.21</v>
      </c>
      <c r="CY680">
        <v>81.95</v>
      </c>
      <c r="CZ680" t="s">
        <v>1832</v>
      </c>
      <c r="DA680">
        <v>30.73</v>
      </c>
      <c r="DB680">
        <v>16.079999999999998</v>
      </c>
      <c r="DC680">
        <v>14.34</v>
      </c>
      <c r="DD680">
        <v>0.24</v>
      </c>
      <c r="DE680">
        <v>1198</v>
      </c>
      <c r="DF680">
        <v>2224</v>
      </c>
      <c r="DG680" t="s">
        <v>116</v>
      </c>
      <c r="DH680" t="s">
        <v>116</v>
      </c>
      <c r="DI680" t="s">
        <v>116</v>
      </c>
    </row>
    <row r="681" spans="1:113" x14ac:dyDescent="0.4">
      <c r="A681" t="str">
        <f>"002225"</f>
        <v>002225</v>
      </c>
      <c r="B681" t="s">
        <v>4269</v>
      </c>
      <c r="C681">
        <v>-0.47</v>
      </c>
      <c r="D681">
        <v>4.21</v>
      </c>
      <c r="E681">
        <v>-0.02</v>
      </c>
      <c r="F681">
        <v>4.21</v>
      </c>
      <c r="G681">
        <v>4.22</v>
      </c>
      <c r="H681">
        <v>33707</v>
      </c>
      <c r="I681">
        <v>480</v>
      </c>
      <c r="J681">
        <v>-0.23</v>
      </c>
      <c r="K681">
        <v>0.49</v>
      </c>
      <c r="L681">
        <v>4.2300000000000004</v>
      </c>
      <c r="M681">
        <v>4.2699999999999996</v>
      </c>
      <c r="N681">
        <v>4.21</v>
      </c>
      <c r="O681">
        <v>4.2300000000000004</v>
      </c>
      <c r="P681">
        <v>16.05</v>
      </c>
      <c r="Q681">
        <v>14276875</v>
      </c>
      <c r="R681">
        <v>1.1200000000000001</v>
      </c>
      <c r="S681" t="s">
        <v>249</v>
      </c>
      <c r="T681" t="s">
        <v>652</v>
      </c>
      <c r="U681">
        <v>1.42</v>
      </c>
      <c r="V681">
        <v>4.24</v>
      </c>
      <c r="W681">
        <v>18399</v>
      </c>
      <c r="X681">
        <v>15308</v>
      </c>
      <c r="Y681">
        <v>1.2</v>
      </c>
      <c r="Z681">
        <v>273</v>
      </c>
      <c r="AA681">
        <v>75</v>
      </c>
      <c r="AB681" t="s">
        <v>116</v>
      </c>
      <c r="AC681">
        <v>12700</v>
      </c>
      <c r="AD681">
        <v>0</v>
      </c>
      <c r="AE681" t="s">
        <v>116</v>
      </c>
      <c r="AF681" t="s">
        <v>116</v>
      </c>
      <c r="AG681">
        <v>6.86</v>
      </c>
      <c r="AH681" t="s">
        <v>4270</v>
      </c>
      <c r="AI681" t="s">
        <v>3472</v>
      </c>
      <c r="AJ681">
        <v>0.21</v>
      </c>
      <c r="AK681">
        <v>650</v>
      </c>
      <c r="AL681">
        <v>52</v>
      </c>
      <c r="AM681">
        <v>8.0000000000000004E-4</v>
      </c>
      <c r="AN681">
        <v>-1</v>
      </c>
      <c r="AO681">
        <v>-0.24</v>
      </c>
      <c r="AP681">
        <v>3.44</v>
      </c>
      <c r="AQ681">
        <v>-3.44</v>
      </c>
      <c r="AR681">
        <v>-3.22</v>
      </c>
      <c r="AS681">
        <v>0.64</v>
      </c>
      <c r="AT681" t="s">
        <v>4271</v>
      </c>
      <c r="AU681">
        <v>16.64</v>
      </c>
      <c r="AV681">
        <v>19.309999999999999</v>
      </c>
      <c r="AW681">
        <v>0.82</v>
      </c>
      <c r="BA681">
        <v>0</v>
      </c>
      <c r="BB681">
        <v>0.95</v>
      </c>
      <c r="BC681">
        <v>-0.47</v>
      </c>
      <c r="BD681">
        <v>0.13</v>
      </c>
      <c r="BE681">
        <v>-0.47</v>
      </c>
      <c r="BF681">
        <v>-1.41</v>
      </c>
      <c r="BG681">
        <v>0</v>
      </c>
      <c r="BH681">
        <v>-0.61</v>
      </c>
      <c r="BI681">
        <v>20191026</v>
      </c>
      <c r="BJ681">
        <v>20080425</v>
      </c>
      <c r="BK681">
        <v>10.34</v>
      </c>
      <c r="BL681" t="s">
        <v>116</v>
      </c>
      <c r="BM681" t="s">
        <v>116</v>
      </c>
      <c r="BN681">
        <v>58.08</v>
      </c>
      <c r="BO681">
        <v>27.87</v>
      </c>
      <c r="BP681">
        <v>1.39</v>
      </c>
      <c r="BQ681">
        <v>49.62</v>
      </c>
      <c r="BR681">
        <v>41.38</v>
      </c>
      <c r="BS681">
        <v>6.16</v>
      </c>
      <c r="BT681">
        <v>3.25</v>
      </c>
      <c r="BU681">
        <v>28.21</v>
      </c>
      <c r="BV681">
        <v>11.42</v>
      </c>
      <c r="BW681">
        <v>14.28</v>
      </c>
      <c r="BX681">
        <v>9.08</v>
      </c>
      <c r="BY681">
        <v>31.24</v>
      </c>
      <c r="BZ681">
        <v>22</v>
      </c>
      <c r="CA681">
        <v>2.38</v>
      </c>
      <c r="CB681">
        <v>0.02</v>
      </c>
      <c r="CC681">
        <v>2.34</v>
      </c>
      <c r="CD681">
        <v>2.13</v>
      </c>
      <c r="CE681">
        <v>2.0299999999999998</v>
      </c>
      <c r="CF681">
        <v>2.0099999999999998</v>
      </c>
      <c r="CG681">
        <v>7.51</v>
      </c>
      <c r="CH681">
        <v>2.4700000000000002</v>
      </c>
      <c r="CI681">
        <v>1.94</v>
      </c>
      <c r="CJ681">
        <v>40305</v>
      </c>
      <c r="CK681">
        <v>12992</v>
      </c>
      <c r="CL681" t="s">
        <v>260</v>
      </c>
      <c r="CM681">
        <v>21.6</v>
      </c>
      <c r="CN681">
        <v>9.57</v>
      </c>
      <c r="CO681">
        <v>1.56</v>
      </c>
      <c r="CP681">
        <v>17.62</v>
      </c>
      <c r="CQ681">
        <v>1.39</v>
      </c>
      <c r="CR681">
        <v>1.43</v>
      </c>
      <c r="CS681" t="s">
        <v>1244</v>
      </c>
      <c r="CT681">
        <v>2.7</v>
      </c>
      <c r="CU681">
        <v>0</v>
      </c>
      <c r="CV681">
        <v>0.88</v>
      </c>
      <c r="CW681">
        <v>0.73</v>
      </c>
      <c r="CX681">
        <v>0.24</v>
      </c>
      <c r="CY681">
        <v>47.98</v>
      </c>
      <c r="CZ681" t="s">
        <v>3359</v>
      </c>
      <c r="DA681">
        <v>29.59</v>
      </c>
      <c r="DB681">
        <v>7.61</v>
      </c>
      <c r="DC681">
        <v>6.51</v>
      </c>
      <c r="DD681">
        <v>1.5</v>
      </c>
      <c r="DE681">
        <v>4165</v>
      </c>
      <c r="DF681">
        <v>2225</v>
      </c>
      <c r="DG681" t="s">
        <v>116</v>
      </c>
      <c r="DH681" t="s">
        <v>116</v>
      </c>
      <c r="DI681" t="s">
        <v>116</v>
      </c>
    </row>
    <row r="682" spans="1:113" x14ac:dyDescent="0.4">
      <c r="A682" t="str">
        <f>"002226"</f>
        <v>002226</v>
      </c>
      <c r="B682" t="s">
        <v>4272</v>
      </c>
      <c r="C682">
        <v>-1.29</v>
      </c>
      <c r="D682">
        <v>5.34</v>
      </c>
      <c r="E682">
        <v>-7.0000000000000007E-2</v>
      </c>
      <c r="F682">
        <v>5.33</v>
      </c>
      <c r="G682">
        <v>5.34</v>
      </c>
      <c r="H682">
        <v>61452</v>
      </c>
      <c r="I682">
        <v>399</v>
      </c>
      <c r="J682">
        <v>0.19</v>
      </c>
      <c r="K682">
        <v>0.64</v>
      </c>
      <c r="L682">
        <v>5.41</v>
      </c>
      <c r="M682">
        <v>5.44</v>
      </c>
      <c r="N682">
        <v>5.33</v>
      </c>
      <c r="O682">
        <v>5.41</v>
      </c>
      <c r="P682">
        <v>13.8</v>
      </c>
      <c r="Q682">
        <v>33150408</v>
      </c>
      <c r="R682">
        <v>0.93</v>
      </c>
      <c r="S682" t="s">
        <v>891</v>
      </c>
      <c r="T682" t="s">
        <v>575</v>
      </c>
      <c r="U682">
        <v>2.0299999999999998</v>
      </c>
      <c r="V682">
        <v>5.39</v>
      </c>
      <c r="W682">
        <v>34343</v>
      </c>
      <c r="X682">
        <v>27109</v>
      </c>
      <c r="Y682">
        <v>1.27</v>
      </c>
      <c r="Z682">
        <v>697</v>
      </c>
      <c r="AA682">
        <v>358</v>
      </c>
      <c r="AB682" t="s">
        <v>116</v>
      </c>
      <c r="AC682">
        <v>72000</v>
      </c>
      <c r="AD682">
        <v>0</v>
      </c>
      <c r="AE682" t="s">
        <v>116</v>
      </c>
      <c r="AF682" t="s">
        <v>116</v>
      </c>
      <c r="AG682">
        <v>9.58</v>
      </c>
      <c r="AH682" t="s">
        <v>4273</v>
      </c>
      <c r="AI682" t="s">
        <v>4274</v>
      </c>
      <c r="AJ682">
        <v>-0.62</v>
      </c>
      <c r="AK682">
        <v>1981</v>
      </c>
      <c r="AL682">
        <v>31</v>
      </c>
      <c r="AM682">
        <v>2.9999999999999997E-4</v>
      </c>
      <c r="AN682">
        <v>-1</v>
      </c>
      <c r="AO682">
        <v>-0.55000000000000004</v>
      </c>
      <c r="AP682">
        <v>4.5</v>
      </c>
      <c r="AQ682">
        <v>2.5</v>
      </c>
      <c r="AR682">
        <v>4.91</v>
      </c>
      <c r="AS682">
        <v>1.1499999999999999</v>
      </c>
      <c r="AT682" t="s">
        <v>3550</v>
      </c>
      <c r="AU682">
        <v>18.13</v>
      </c>
      <c r="AV682">
        <v>30.39</v>
      </c>
      <c r="AW682">
        <v>1</v>
      </c>
      <c r="BA682">
        <v>0</v>
      </c>
      <c r="BB682">
        <v>0.55000000000000004</v>
      </c>
      <c r="BC682">
        <v>-1.48</v>
      </c>
      <c r="BD682">
        <v>-0.28999999999999998</v>
      </c>
      <c r="BE682">
        <v>-1.29</v>
      </c>
      <c r="BF682">
        <v>-1.84</v>
      </c>
      <c r="BG682">
        <v>0.19</v>
      </c>
      <c r="BH682">
        <v>-1.01</v>
      </c>
      <c r="BI682">
        <v>20191023</v>
      </c>
      <c r="BJ682">
        <v>20080506</v>
      </c>
      <c r="BK682">
        <v>12.49</v>
      </c>
      <c r="BL682" t="s">
        <v>116</v>
      </c>
      <c r="BM682" t="s">
        <v>116</v>
      </c>
      <c r="BN682">
        <v>121.79</v>
      </c>
      <c r="BO682">
        <v>59.54</v>
      </c>
      <c r="BP682">
        <v>7.28</v>
      </c>
      <c r="BQ682">
        <v>45.14</v>
      </c>
      <c r="BR682">
        <v>36.57</v>
      </c>
      <c r="BS682">
        <v>61.27</v>
      </c>
      <c r="BT682">
        <v>4.42</v>
      </c>
      <c r="BU682">
        <v>16.05</v>
      </c>
      <c r="BV682">
        <v>1.79</v>
      </c>
      <c r="BW682">
        <v>14.98</v>
      </c>
      <c r="BX682">
        <v>33.17</v>
      </c>
      <c r="BY682">
        <v>24.5</v>
      </c>
      <c r="BZ682">
        <v>14.01</v>
      </c>
      <c r="CA682">
        <v>5.15</v>
      </c>
      <c r="CB682">
        <v>0.34</v>
      </c>
      <c r="CC682">
        <v>5.26</v>
      </c>
      <c r="CD682">
        <v>4.5199999999999996</v>
      </c>
      <c r="CE682">
        <v>3.62</v>
      </c>
      <c r="CF682">
        <v>3.18</v>
      </c>
      <c r="CG682">
        <v>12.31</v>
      </c>
      <c r="CH682">
        <v>5.2</v>
      </c>
      <c r="CI682">
        <v>-2.0699999999999998</v>
      </c>
      <c r="CJ682">
        <v>63766</v>
      </c>
      <c r="CK682">
        <v>8362</v>
      </c>
      <c r="CL682" t="s">
        <v>3131</v>
      </c>
      <c r="CM682">
        <v>69.42</v>
      </c>
      <c r="CN682">
        <v>20.63</v>
      </c>
      <c r="CO682">
        <v>1.1200000000000001</v>
      </c>
      <c r="CP682">
        <v>12.83</v>
      </c>
      <c r="CQ682">
        <v>2.72</v>
      </c>
      <c r="CR682">
        <v>0</v>
      </c>
      <c r="CS682" t="s">
        <v>3995</v>
      </c>
      <c r="CT682">
        <v>4.7699999999999996</v>
      </c>
      <c r="CU682">
        <v>0</v>
      </c>
      <c r="CV682">
        <v>2.66</v>
      </c>
      <c r="CW682">
        <v>0.99</v>
      </c>
      <c r="CX682">
        <v>0.42</v>
      </c>
      <c r="CY682">
        <v>48.89</v>
      </c>
      <c r="CZ682" t="s">
        <v>4275</v>
      </c>
      <c r="DA682">
        <v>42.83</v>
      </c>
      <c r="DB682">
        <v>21</v>
      </c>
      <c r="DC682">
        <v>14.79</v>
      </c>
      <c r="DD682">
        <v>0.3</v>
      </c>
      <c r="DE682">
        <v>4069</v>
      </c>
      <c r="DF682">
        <v>2226</v>
      </c>
      <c r="DG682" t="s">
        <v>116</v>
      </c>
      <c r="DH682" t="s">
        <v>116</v>
      </c>
      <c r="DI682" t="s">
        <v>116</v>
      </c>
    </row>
    <row r="683" spans="1:113" x14ac:dyDescent="0.4">
      <c r="A683" t="str">
        <f>"002227"</f>
        <v>002227</v>
      </c>
      <c r="B683" t="s">
        <v>4276</v>
      </c>
      <c r="C683">
        <v>-2.74</v>
      </c>
      <c r="D683">
        <v>11.01</v>
      </c>
      <c r="E683">
        <v>-0.31</v>
      </c>
      <c r="F683">
        <v>11.01</v>
      </c>
      <c r="G683">
        <v>11.02</v>
      </c>
      <c r="H683">
        <v>44212</v>
      </c>
      <c r="I683">
        <v>1055</v>
      </c>
      <c r="J683">
        <v>-0.17</v>
      </c>
      <c r="K683">
        <v>2.0099999999999998</v>
      </c>
      <c r="L683">
        <v>11.23</v>
      </c>
      <c r="M683">
        <v>11.31</v>
      </c>
      <c r="N683">
        <v>10.99</v>
      </c>
      <c r="O683">
        <v>11.32</v>
      </c>
      <c r="P683" t="s">
        <v>116</v>
      </c>
      <c r="Q683">
        <v>49187204</v>
      </c>
      <c r="R683">
        <v>0.95</v>
      </c>
      <c r="S683" t="s">
        <v>397</v>
      </c>
      <c r="T683" t="s">
        <v>115</v>
      </c>
      <c r="U683">
        <v>2.83</v>
      </c>
      <c r="V683">
        <v>11.13</v>
      </c>
      <c r="W683">
        <v>28292</v>
      </c>
      <c r="X683">
        <v>15920</v>
      </c>
      <c r="Y683">
        <v>1.78</v>
      </c>
      <c r="Z683">
        <v>56</v>
      </c>
      <c r="AA683">
        <v>11</v>
      </c>
      <c r="AB683" t="s">
        <v>116</v>
      </c>
      <c r="AC683">
        <v>1356600</v>
      </c>
      <c r="AD683">
        <v>0.16</v>
      </c>
      <c r="AE683" t="s">
        <v>116</v>
      </c>
      <c r="AF683" t="s">
        <v>116</v>
      </c>
      <c r="AG683">
        <v>2.2000000000000002</v>
      </c>
      <c r="AH683" t="s">
        <v>4277</v>
      </c>
      <c r="AI683" t="s">
        <v>4278</v>
      </c>
      <c r="AJ683">
        <v>-2.06</v>
      </c>
      <c r="AK683">
        <v>1677</v>
      </c>
      <c r="AL683">
        <v>26</v>
      </c>
      <c r="AM683">
        <v>1.1999999999999999E-3</v>
      </c>
      <c r="AN683">
        <v>-2</v>
      </c>
      <c r="AO683">
        <v>-2.91</v>
      </c>
      <c r="AP683">
        <v>9.5500000000000007</v>
      </c>
      <c r="AQ683">
        <v>-0.27</v>
      </c>
      <c r="AR683">
        <v>8.4700000000000006</v>
      </c>
      <c r="AS683">
        <v>5.78</v>
      </c>
      <c r="AT683" t="s">
        <v>4279</v>
      </c>
      <c r="AU683">
        <v>185.73</v>
      </c>
      <c r="AV683">
        <v>233.49</v>
      </c>
      <c r="AW683">
        <v>1.2</v>
      </c>
      <c r="BA683">
        <v>-0.8</v>
      </c>
      <c r="BB683">
        <v>-0.09</v>
      </c>
      <c r="BC683">
        <v>-2.92</v>
      </c>
      <c r="BD683">
        <v>-1.72</v>
      </c>
      <c r="BE683">
        <v>-1.96</v>
      </c>
      <c r="BF683">
        <v>-2.65</v>
      </c>
      <c r="BG683">
        <v>0.18</v>
      </c>
      <c r="BH683">
        <v>-1.02</v>
      </c>
      <c r="BI683">
        <v>20191029</v>
      </c>
      <c r="BJ683">
        <v>20080506</v>
      </c>
      <c r="BK683">
        <v>2.21</v>
      </c>
      <c r="BL683" t="s">
        <v>116</v>
      </c>
      <c r="BM683" t="s">
        <v>116</v>
      </c>
      <c r="BN683">
        <v>12.37</v>
      </c>
      <c r="BO683">
        <v>8.01</v>
      </c>
      <c r="BP683">
        <v>0.02</v>
      </c>
      <c r="BQ683">
        <v>35.1</v>
      </c>
      <c r="BR683">
        <v>5.46</v>
      </c>
      <c r="BS683">
        <v>2</v>
      </c>
      <c r="BT683">
        <v>0.3</v>
      </c>
      <c r="BU683">
        <v>2.08</v>
      </c>
      <c r="BV683">
        <v>2.31</v>
      </c>
      <c r="BW683">
        <v>2.12</v>
      </c>
      <c r="BX683">
        <v>3.16</v>
      </c>
      <c r="BY683">
        <v>2.0699999999999998</v>
      </c>
      <c r="BZ683">
        <v>1.4</v>
      </c>
      <c r="CA683">
        <v>-0.09</v>
      </c>
      <c r="CB683">
        <v>0</v>
      </c>
      <c r="CC683">
        <v>-0.1</v>
      </c>
      <c r="CD683">
        <v>-7.0000000000000007E-2</v>
      </c>
      <c r="CE683">
        <v>-7.0000000000000007E-2</v>
      </c>
      <c r="CF683">
        <v>-0.11</v>
      </c>
      <c r="CG683">
        <v>2</v>
      </c>
      <c r="CH683">
        <v>0.15</v>
      </c>
      <c r="CI683">
        <v>-0.22</v>
      </c>
      <c r="CJ683">
        <v>26773</v>
      </c>
      <c r="CK683">
        <v>2859</v>
      </c>
      <c r="CL683" t="s">
        <v>4280</v>
      </c>
      <c r="CM683">
        <v>27.1</v>
      </c>
      <c r="CN683">
        <v>3.57</v>
      </c>
      <c r="CO683">
        <v>3.03</v>
      </c>
      <c r="CP683">
        <v>158.79</v>
      </c>
      <c r="CQ683">
        <v>11.71</v>
      </c>
      <c r="CR683">
        <v>0.18</v>
      </c>
      <c r="CS683" t="s">
        <v>4281</v>
      </c>
      <c r="CT683">
        <v>3.63</v>
      </c>
      <c r="CU683">
        <v>0</v>
      </c>
      <c r="CV683">
        <v>1.43</v>
      </c>
      <c r="CW683">
        <v>0.91</v>
      </c>
      <c r="CX683">
        <v>7.0000000000000007E-2</v>
      </c>
      <c r="CY683">
        <v>64.73</v>
      </c>
      <c r="CZ683" t="s">
        <v>4282</v>
      </c>
      <c r="DA683">
        <v>32.549999999999997</v>
      </c>
      <c r="DB683">
        <v>-4.2699999999999996</v>
      </c>
      <c r="DC683">
        <v>-3.47</v>
      </c>
      <c r="DD683">
        <v>0.22</v>
      </c>
      <c r="DE683">
        <v>614</v>
      </c>
      <c r="DF683">
        <v>2227</v>
      </c>
      <c r="DG683" t="s">
        <v>116</v>
      </c>
      <c r="DH683" t="s">
        <v>116</v>
      </c>
      <c r="DI683" t="s">
        <v>116</v>
      </c>
    </row>
    <row r="684" spans="1:113" x14ac:dyDescent="0.4">
      <c r="A684" t="str">
        <f>"002228"</f>
        <v>002228</v>
      </c>
      <c r="B684" t="s">
        <v>4283</v>
      </c>
      <c r="C684">
        <v>-0.25</v>
      </c>
      <c r="D684">
        <v>3.99</v>
      </c>
      <c r="E684">
        <v>-0.01</v>
      </c>
      <c r="F684">
        <v>3.99</v>
      </c>
      <c r="G684">
        <v>4</v>
      </c>
      <c r="H684">
        <v>68275</v>
      </c>
      <c r="I684">
        <v>761</v>
      </c>
      <c r="J684">
        <v>-0.24</v>
      </c>
      <c r="K684">
        <v>0.59</v>
      </c>
      <c r="L684">
        <v>4.01</v>
      </c>
      <c r="M684">
        <v>4.03</v>
      </c>
      <c r="N684">
        <v>3.99</v>
      </c>
      <c r="O684">
        <v>4</v>
      </c>
      <c r="P684">
        <v>18</v>
      </c>
      <c r="Q684">
        <v>27373754</v>
      </c>
      <c r="R684">
        <v>0.7</v>
      </c>
      <c r="S684" t="s">
        <v>345</v>
      </c>
      <c r="T684" t="s">
        <v>975</v>
      </c>
      <c r="U684">
        <v>1</v>
      </c>
      <c r="V684">
        <v>4.01</v>
      </c>
      <c r="W684">
        <v>39608</v>
      </c>
      <c r="X684">
        <v>28667</v>
      </c>
      <c r="Y684">
        <v>1.38</v>
      </c>
      <c r="Z684">
        <v>2908</v>
      </c>
      <c r="AA684">
        <v>1350</v>
      </c>
      <c r="AB684" t="s">
        <v>116</v>
      </c>
      <c r="AC684">
        <v>24900</v>
      </c>
      <c r="AD684">
        <v>0</v>
      </c>
      <c r="AE684" t="s">
        <v>116</v>
      </c>
      <c r="AF684" t="s">
        <v>116</v>
      </c>
      <c r="AG684">
        <v>11.65</v>
      </c>
      <c r="AH684" t="s">
        <v>4284</v>
      </c>
      <c r="AI684" t="s">
        <v>4285</v>
      </c>
      <c r="AJ684">
        <v>0.43</v>
      </c>
      <c r="AK684">
        <v>847</v>
      </c>
      <c r="AL684">
        <v>81</v>
      </c>
      <c r="AM684">
        <v>6.9999999999999999E-4</v>
      </c>
      <c r="AN684">
        <v>-1</v>
      </c>
      <c r="AO684">
        <v>-1.24</v>
      </c>
      <c r="AP684">
        <v>2.0499999999999998</v>
      </c>
      <c r="AQ684">
        <v>2.57</v>
      </c>
      <c r="AR684">
        <v>-5.67</v>
      </c>
      <c r="AS684">
        <v>1.06</v>
      </c>
      <c r="AT684" t="s">
        <v>1884</v>
      </c>
      <c r="AU684">
        <v>19.04</v>
      </c>
      <c r="AV684">
        <v>20.02</v>
      </c>
      <c r="AW684">
        <v>0.65</v>
      </c>
      <c r="BA684">
        <v>0.25</v>
      </c>
      <c r="BB684">
        <v>0.75</v>
      </c>
      <c r="BC684">
        <v>-0.25</v>
      </c>
      <c r="BD684">
        <v>0.23</v>
      </c>
      <c r="BE684">
        <v>-0.5</v>
      </c>
      <c r="BF684">
        <v>-0.99</v>
      </c>
      <c r="BG684">
        <v>0</v>
      </c>
      <c r="BH684">
        <v>-0.48</v>
      </c>
      <c r="BI684">
        <v>20191031</v>
      </c>
      <c r="BJ684">
        <v>20080508</v>
      </c>
      <c r="BK684">
        <v>11.7</v>
      </c>
      <c r="BL684" t="s">
        <v>116</v>
      </c>
      <c r="BM684" t="s">
        <v>116</v>
      </c>
      <c r="BN684">
        <v>68.540000000000006</v>
      </c>
      <c r="BO684">
        <v>29.54</v>
      </c>
      <c r="BP684">
        <v>2.72</v>
      </c>
      <c r="BQ684">
        <v>52.94</v>
      </c>
      <c r="BR684">
        <v>46.56</v>
      </c>
      <c r="BS684">
        <v>12.62</v>
      </c>
      <c r="BT684">
        <v>5.0999999999999996</v>
      </c>
      <c r="BU684">
        <v>30.63</v>
      </c>
      <c r="BV684">
        <v>9.3800000000000008</v>
      </c>
      <c r="BW684">
        <v>25.15</v>
      </c>
      <c r="BX684">
        <v>4.2</v>
      </c>
      <c r="BY684">
        <v>82.51</v>
      </c>
      <c r="BZ684">
        <v>71.77</v>
      </c>
      <c r="CA684">
        <v>2.56</v>
      </c>
      <c r="CB684">
        <v>0.02</v>
      </c>
      <c r="CC684">
        <v>2.5499999999999998</v>
      </c>
      <c r="CD684">
        <v>2.14</v>
      </c>
      <c r="CE684">
        <v>1.94</v>
      </c>
      <c r="CF684">
        <v>1.77</v>
      </c>
      <c r="CG684">
        <v>12.25</v>
      </c>
      <c r="CH684">
        <v>4.13</v>
      </c>
      <c r="CI684">
        <v>1.73</v>
      </c>
      <c r="CJ684">
        <v>35438</v>
      </c>
      <c r="CK684">
        <v>18160</v>
      </c>
      <c r="CL684" t="s">
        <v>1898</v>
      </c>
      <c r="CM684">
        <v>6.59</v>
      </c>
      <c r="CN684">
        <v>-9.69</v>
      </c>
      <c r="CO684">
        <v>1.63</v>
      </c>
      <c r="CP684">
        <v>11.31</v>
      </c>
      <c r="CQ684">
        <v>0.56999999999999995</v>
      </c>
      <c r="CR684">
        <v>1.25</v>
      </c>
      <c r="CS684" t="s">
        <v>1297</v>
      </c>
      <c r="CT684">
        <v>2.4500000000000002</v>
      </c>
      <c r="CU684">
        <v>2.4500000000000002</v>
      </c>
      <c r="CV684">
        <v>0.36</v>
      </c>
      <c r="CW684">
        <v>1.05</v>
      </c>
      <c r="CX684">
        <v>0.35</v>
      </c>
      <c r="CY684">
        <v>43.09</v>
      </c>
      <c r="CZ684" t="s">
        <v>4286</v>
      </c>
      <c r="DA684">
        <v>13.02</v>
      </c>
      <c r="DB684">
        <v>3.1</v>
      </c>
      <c r="DC684">
        <v>2.36</v>
      </c>
      <c r="DD684">
        <v>1.02</v>
      </c>
      <c r="DE684">
        <v>8261</v>
      </c>
      <c r="DF684">
        <v>2228</v>
      </c>
      <c r="DG684" t="s">
        <v>116</v>
      </c>
      <c r="DH684" t="s">
        <v>116</v>
      </c>
      <c r="DI684" t="s">
        <v>116</v>
      </c>
    </row>
    <row r="685" spans="1:113" x14ac:dyDescent="0.4">
      <c r="A685" t="str">
        <f>"002229"</f>
        <v>002229</v>
      </c>
      <c r="B685" t="s">
        <v>4287</v>
      </c>
      <c r="C685">
        <v>-1.35</v>
      </c>
      <c r="D685">
        <v>6.59</v>
      </c>
      <c r="E685">
        <v>-0.09</v>
      </c>
      <c r="F685">
        <v>6.58</v>
      </c>
      <c r="G685">
        <v>6.59</v>
      </c>
      <c r="H685">
        <v>97224</v>
      </c>
      <c r="I685">
        <v>1520</v>
      </c>
      <c r="J685">
        <v>0.15</v>
      </c>
      <c r="K685">
        <v>2.37</v>
      </c>
      <c r="L685">
        <v>6.68</v>
      </c>
      <c r="M685">
        <v>6.74</v>
      </c>
      <c r="N685">
        <v>6.56</v>
      </c>
      <c r="O685">
        <v>6.68</v>
      </c>
      <c r="P685" t="s">
        <v>116</v>
      </c>
      <c r="Q685">
        <v>64688876</v>
      </c>
      <c r="R685">
        <v>0.7</v>
      </c>
      <c r="S685" t="s">
        <v>345</v>
      </c>
      <c r="T685" t="s">
        <v>975</v>
      </c>
      <c r="U685">
        <v>2.69</v>
      </c>
      <c r="V685">
        <v>6.65</v>
      </c>
      <c r="W685">
        <v>60213</v>
      </c>
      <c r="X685">
        <v>37011</v>
      </c>
      <c r="Y685">
        <v>1.63</v>
      </c>
      <c r="Z685">
        <v>451</v>
      </c>
      <c r="AA685">
        <v>1017</v>
      </c>
      <c r="AB685" t="s">
        <v>116</v>
      </c>
      <c r="AC685">
        <v>140300</v>
      </c>
      <c r="AD685">
        <v>0.01</v>
      </c>
      <c r="AE685" t="s">
        <v>116</v>
      </c>
      <c r="AF685" t="s">
        <v>116</v>
      </c>
      <c r="AG685">
        <v>4.0999999999999996</v>
      </c>
      <c r="AH685" t="s">
        <v>1798</v>
      </c>
      <c r="AI685" t="s">
        <v>4288</v>
      </c>
      <c r="AJ685">
        <v>-0.67</v>
      </c>
      <c r="AK685">
        <v>2080</v>
      </c>
      <c r="AL685">
        <v>47</v>
      </c>
      <c r="AM685">
        <v>1.1000000000000001E-3</v>
      </c>
      <c r="AN685">
        <v>-2</v>
      </c>
      <c r="AO685">
        <v>-1.2</v>
      </c>
      <c r="AP685">
        <v>6.81</v>
      </c>
      <c r="AQ685">
        <v>5.61</v>
      </c>
      <c r="AR685">
        <v>-8.98</v>
      </c>
      <c r="AS685">
        <v>2.93</v>
      </c>
      <c r="AT685" t="s">
        <v>4289</v>
      </c>
      <c r="AU685">
        <v>507.7</v>
      </c>
      <c r="AV685">
        <v>638.54</v>
      </c>
      <c r="AW685">
        <v>1.33</v>
      </c>
      <c r="BA685">
        <v>0</v>
      </c>
      <c r="BB685">
        <v>0.9</v>
      </c>
      <c r="BC685">
        <v>-1.8</v>
      </c>
      <c r="BD685">
        <v>-0.39</v>
      </c>
      <c r="BE685">
        <v>-1.35</v>
      </c>
      <c r="BF685">
        <v>-2.23</v>
      </c>
      <c r="BG685">
        <v>0.46</v>
      </c>
      <c r="BH685">
        <v>-0.95</v>
      </c>
      <c r="BI685">
        <v>20191031</v>
      </c>
      <c r="BJ685">
        <v>20080508</v>
      </c>
      <c r="BK685">
        <v>4.9800000000000004</v>
      </c>
      <c r="BL685" t="s">
        <v>116</v>
      </c>
      <c r="BM685" t="s">
        <v>116</v>
      </c>
      <c r="BN685">
        <v>21.08</v>
      </c>
      <c r="BO685">
        <v>16.68</v>
      </c>
      <c r="BP685">
        <v>1.05</v>
      </c>
      <c r="BQ685">
        <v>15.92</v>
      </c>
      <c r="BR685">
        <v>11.36</v>
      </c>
      <c r="BS685">
        <v>5.3</v>
      </c>
      <c r="BT685">
        <v>0.53</v>
      </c>
      <c r="BU685">
        <v>3.1</v>
      </c>
      <c r="BV685">
        <v>1.31</v>
      </c>
      <c r="BW685">
        <v>1</v>
      </c>
      <c r="BX685">
        <v>8.76</v>
      </c>
      <c r="BY685">
        <v>4.3600000000000003</v>
      </c>
      <c r="BZ685">
        <v>3.21</v>
      </c>
      <c r="CA685">
        <v>0.14000000000000001</v>
      </c>
      <c r="CB685">
        <v>0.06</v>
      </c>
      <c r="CC685">
        <v>0.14000000000000001</v>
      </c>
      <c r="CD685">
        <v>0.09</v>
      </c>
      <c r="CE685">
        <v>-0.04</v>
      </c>
      <c r="CF685">
        <v>-0.11</v>
      </c>
      <c r="CG685">
        <v>2.35</v>
      </c>
      <c r="CH685">
        <v>0.02</v>
      </c>
      <c r="CI685">
        <v>-4.6500000000000004</v>
      </c>
      <c r="CJ685">
        <v>43303</v>
      </c>
      <c r="CK685">
        <v>7660</v>
      </c>
      <c r="CL685" t="s">
        <v>1863</v>
      </c>
      <c r="CM685">
        <v>24.8</v>
      </c>
      <c r="CN685">
        <v>-11.85</v>
      </c>
      <c r="CO685">
        <v>1.97</v>
      </c>
      <c r="CP685">
        <v>1562.36</v>
      </c>
      <c r="CQ685">
        <v>7.54</v>
      </c>
      <c r="CR685">
        <v>0.46</v>
      </c>
      <c r="CS685" t="s">
        <v>2393</v>
      </c>
      <c r="CT685">
        <v>3.35</v>
      </c>
      <c r="CU685">
        <v>0</v>
      </c>
      <c r="CV685">
        <v>1.76</v>
      </c>
      <c r="CW685">
        <v>0.47</v>
      </c>
      <c r="CX685">
        <v>0</v>
      </c>
      <c r="CY685">
        <v>79.099999999999994</v>
      </c>
      <c r="CZ685" t="s">
        <v>4290</v>
      </c>
      <c r="DA685">
        <v>26.42</v>
      </c>
      <c r="DB685">
        <v>3.23</v>
      </c>
      <c r="DC685">
        <v>-0.92</v>
      </c>
      <c r="DD685">
        <v>0.11</v>
      </c>
      <c r="DE685">
        <v>1420</v>
      </c>
      <c r="DF685">
        <v>2229</v>
      </c>
      <c r="DG685" t="s">
        <v>116</v>
      </c>
      <c r="DH685" t="s">
        <v>116</v>
      </c>
      <c r="DI685" t="s">
        <v>116</v>
      </c>
    </row>
    <row r="686" spans="1:113" x14ac:dyDescent="0.4">
      <c r="A686" t="str">
        <f>"002230"</f>
        <v>002230</v>
      </c>
      <c r="B686" t="s">
        <v>4291</v>
      </c>
      <c r="C686">
        <v>-3.49</v>
      </c>
      <c r="D686">
        <v>34.299999999999997</v>
      </c>
      <c r="E686">
        <v>-1.24</v>
      </c>
      <c r="F686">
        <v>34.299999999999997</v>
      </c>
      <c r="G686">
        <v>34.31</v>
      </c>
      <c r="H686">
        <v>592988</v>
      </c>
      <c r="I686">
        <v>9911</v>
      </c>
      <c r="J686">
        <v>-0.22</v>
      </c>
      <c r="K686">
        <v>3.2</v>
      </c>
      <c r="L686">
        <v>35.4</v>
      </c>
      <c r="M686">
        <v>35.75</v>
      </c>
      <c r="N686">
        <v>34.299999999999997</v>
      </c>
      <c r="O686">
        <v>35.54</v>
      </c>
      <c r="P686">
        <v>151.38999999999999</v>
      </c>
      <c r="Q686">
        <v>2076793472</v>
      </c>
      <c r="R686">
        <v>1.44</v>
      </c>
      <c r="S686" t="s">
        <v>607</v>
      </c>
      <c r="T686" t="s">
        <v>575</v>
      </c>
      <c r="U686">
        <v>4.08</v>
      </c>
      <c r="V686">
        <v>35.020000000000003</v>
      </c>
      <c r="W686">
        <v>328404</v>
      </c>
      <c r="X686">
        <v>264584</v>
      </c>
      <c r="Y686">
        <v>1.24</v>
      </c>
      <c r="Z686">
        <v>611</v>
      </c>
      <c r="AA686">
        <v>404</v>
      </c>
      <c r="AB686" t="s">
        <v>116</v>
      </c>
      <c r="AC686">
        <v>15030800</v>
      </c>
      <c r="AD686">
        <v>0.03</v>
      </c>
      <c r="AE686" t="s">
        <v>116</v>
      </c>
      <c r="AF686" t="s">
        <v>116</v>
      </c>
      <c r="AG686">
        <v>18.510000000000002</v>
      </c>
      <c r="AH686" t="s">
        <v>4292</v>
      </c>
      <c r="AI686" t="s">
        <v>4293</v>
      </c>
      <c r="AJ686">
        <v>-2.81</v>
      </c>
      <c r="AK686">
        <v>4657</v>
      </c>
      <c r="AL686">
        <v>127</v>
      </c>
      <c r="AM686">
        <v>6.9999999999999999E-4</v>
      </c>
      <c r="AN686">
        <v>-1</v>
      </c>
      <c r="AO686">
        <v>1.72</v>
      </c>
      <c r="AP686">
        <v>4.07</v>
      </c>
      <c r="AQ686">
        <v>5.41</v>
      </c>
      <c r="AR686">
        <v>39.770000000000003</v>
      </c>
      <c r="AS686">
        <v>4.0599999999999996</v>
      </c>
      <c r="AT686" t="s">
        <v>4294</v>
      </c>
      <c r="AU686">
        <v>108.26</v>
      </c>
      <c r="AV686">
        <v>139.12</v>
      </c>
      <c r="AW686">
        <v>1.2</v>
      </c>
      <c r="BA686">
        <v>-0.39</v>
      </c>
      <c r="BB686">
        <v>0.59</v>
      </c>
      <c r="BC686">
        <v>-3.49</v>
      </c>
      <c r="BD686">
        <v>-1.46</v>
      </c>
      <c r="BE686">
        <v>-3.11</v>
      </c>
      <c r="BF686">
        <v>-4.0599999999999996</v>
      </c>
      <c r="BG686">
        <v>0</v>
      </c>
      <c r="BH686">
        <v>-2.0299999999999998</v>
      </c>
      <c r="BI686">
        <v>20191206</v>
      </c>
      <c r="BJ686">
        <v>20080512</v>
      </c>
      <c r="BK686">
        <v>21.99</v>
      </c>
      <c r="BL686" t="s">
        <v>116</v>
      </c>
      <c r="BM686" t="s">
        <v>116</v>
      </c>
      <c r="BN686">
        <v>192.05</v>
      </c>
      <c r="BO686">
        <v>112.07</v>
      </c>
      <c r="BP686">
        <v>3.43</v>
      </c>
      <c r="BQ686">
        <v>39.86</v>
      </c>
      <c r="BR686">
        <v>114.65</v>
      </c>
      <c r="BS686">
        <v>21.22</v>
      </c>
      <c r="BT686">
        <v>16.62</v>
      </c>
      <c r="BU686">
        <v>61.51</v>
      </c>
      <c r="BV686">
        <v>11.11</v>
      </c>
      <c r="BW686">
        <v>53.3</v>
      </c>
      <c r="BX686">
        <v>71.349999999999994</v>
      </c>
      <c r="BY686">
        <v>65.73</v>
      </c>
      <c r="BZ686">
        <v>34.020000000000003</v>
      </c>
      <c r="CA686">
        <v>4.6900000000000004</v>
      </c>
      <c r="CB686">
        <v>0.83</v>
      </c>
      <c r="CC686">
        <v>5.23</v>
      </c>
      <c r="CD686">
        <v>4.7699999999999996</v>
      </c>
      <c r="CE686">
        <v>3.74</v>
      </c>
      <c r="CF686">
        <v>0.7</v>
      </c>
      <c r="CG686">
        <v>24.94</v>
      </c>
      <c r="CH686">
        <v>-4.45</v>
      </c>
      <c r="CI686">
        <v>-3.5</v>
      </c>
      <c r="CJ686">
        <v>255311</v>
      </c>
      <c r="CK686">
        <v>5714</v>
      </c>
      <c r="CL686" t="s">
        <v>4295</v>
      </c>
      <c r="CM686">
        <v>70.510000000000005</v>
      </c>
      <c r="CN686">
        <v>24.41</v>
      </c>
      <c r="CO686">
        <v>6.73</v>
      </c>
      <c r="CP686">
        <v>-169.65</v>
      </c>
      <c r="CQ686">
        <v>11.47</v>
      </c>
      <c r="CR686">
        <v>0.28999999999999998</v>
      </c>
      <c r="CS686" t="s">
        <v>1971</v>
      </c>
      <c r="CT686">
        <v>5.0999999999999996</v>
      </c>
      <c r="CU686">
        <v>0</v>
      </c>
      <c r="CV686">
        <v>3.25</v>
      </c>
      <c r="CW686">
        <v>1.1299999999999999</v>
      </c>
      <c r="CX686">
        <v>-0.2</v>
      </c>
      <c r="CY686">
        <v>58.36</v>
      </c>
      <c r="CZ686" t="s">
        <v>4296</v>
      </c>
      <c r="DA686">
        <v>48.24</v>
      </c>
      <c r="DB686">
        <v>7.14</v>
      </c>
      <c r="DC686">
        <v>5.68</v>
      </c>
      <c r="DD686">
        <v>12</v>
      </c>
      <c r="DE686">
        <v>10970</v>
      </c>
      <c r="DF686">
        <v>2230</v>
      </c>
      <c r="DG686" t="s">
        <v>116</v>
      </c>
      <c r="DH686" t="s">
        <v>116</v>
      </c>
      <c r="DI686" t="s">
        <v>116</v>
      </c>
    </row>
    <row r="687" spans="1:113" x14ac:dyDescent="0.4">
      <c r="A687" t="str">
        <f>"002231"</f>
        <v>002231</v>
      </c>
      <c r="B687" t="s">
        <v>4297</v>
      </c>
      <c r="C687">
        <v>-0.71</v>
      </c>
      <c r="D687">
        <v>6.96</v>
      </c>
      <c r="E687">
        <v>-0.05</v>
      </c>
      <c r="F687">
        <v>6.96</v>
      </c>
      <c r="G687">
        <v>6.97</v>
      </c>
      <c r="H687">
        <v>46843</v>
      </c>
      <c r="I687">
        <v>466</v>
      </c>
      <c r="J687">
        <v>0</v>
      </c>
      <c r="K687">
        <v>1.62</v>
      </c>
      <c r="L687">
        <v>7</v>
      </c>
      <c r="M687">
        <v>7.09</v>
      </c>
      <c r="N687">
        <v>6.95</v>
      </c>
      <c r="O687">
        <v>7.01</v>
      </c>
      <c r="P687">
        <v>4550.4399999999996</v>
      </c>
      <c r="Q687">
        <v>32898136</v>
      </c>
      <c r="R687">
        <v>0.8</v>
      </c>
      <c r="S687" t="s">
        <v>465</v>
      </c>
      <c r="T687" t="s">
        <v>434</v>
      </c>
      <c r="U687">
        <v>2</v>
      </c>
      <c r="V687">
        <v>7.02</v>
      </c>
      <c r="W687">
        <v>28973</v>
      </c>
      <c r="X687">
        <v>17870</v>
      </c>
      <c r="Y687">
        <v>1.62</v>
      </c>
      <c r="Z687">
        <v>187</v>
      </c>
      <c r="AA687">
        <v>551</v>
      </c>
      <c r="AB687" t="s">
        <v>116</v>
      </c>
      <c r="AC687">
        <v>35000</v>
      </c>
      <c r="AD687">
        <v>0</v>
      </c>
      <c r="AE687" t="s">
        <v>116</v>
      </c>
      <c r="AF687" t="s">
        <v>116</v>
      </c>
      <c r="AG687">
        <v>2.89</v>
      </c>
      <c r="AH687" t="s">
        <v>4298</v>
      </c>
      <c r="AI687" t="s">
        <v>4299</v>
      </c>
      <c r="AJ687">
        <v>-0.03</v>
      </c>
      <c r="AK687">
        <v>1204</v>
      </c>
      <c r="AL687">
        <v>39</v>
      </c>
      <c r="AM687">
        <v>1.2999999999999999E-3</v>
      </c>
      <c r="AN687">
        <v>-1</v>
      </c>
      <c r="AO687">
        <v>-1</v>
      </c>
      <c r="AP687">
        <v>6.42</v>
      </c>
      <c r="AQ687">
        <v>-3.87</v>
      </c>
      <c r="AR687">
        <v>2.0499999999999998</v>
      </c>
      <c r="AS687">
        <v>3.86</v>
      </c>
      <c r="AT687" t="s">
        <v>4300</v>
      </c>
      <c r="AU687" t="s">
        <v>116</v>
      </c>
      <c r="AV687" t="s">
        <v>116</v>
      </c>
      <c r="AW687">
        <v>0.89</v>
      </c>
      <c r="BA687">
        <v>-0.14000000000000001</v>
      </c>
      <c r="BB687">
        <v>1.1399999999999999</v>
      </c>
      <c r="BC687">
        <v>-0.86</v>
      </c>
      <c r="BD687">
        <v>0.19</v>
      </c>
      <c r="BE687">
        <v>-0.56999999999999995</v>
      </c>
      <c r="BF687">
        <v>-1.83</v>
      </c>
      <c r="BG687">
        <v>0.14000000000000001</v>
      </c>
      <c r="BH687">
        <v>-0.9</v>
      </c>
      <c r="BI687">
        <v>20191024</v>
      </c>
      <c r="BJ687">
        <v>20080512</v>
      </c>
      <c r="BK687">
        <v>3.57</v>
      </c>
      <c r="BL687" t="s">
        <v>116</v>
      </c>
      <c r="BM687" t="s">
        <v>116</v>
      </c>
      <c r="BN687">
        <v>7.25</v>
      </c>
      <c r="BO687">
        <v>5.49</v>
      </c>
      <c r="BP687">
        <v>0</v>
      </c>
      <c r="BQ687">
        <v>24.3</v>
      </c>
      <c r="BR687">
        <v>6.54</v>
      </c>
      <c r="BS687">
        <v>0.4</v>
      </c>
      <c r="BT687">
        <v>0.02</v>
      </c>
      <c r="BU687">
        <v>1.76</v>
      </c>
      <c r="BV687">
        <v>3.25</v>
      </c>
      <c r="BW687">
        <v>1.91</v>
      </c>
      <c r="BX687">
        <v>1.66</v>
      </c>
      <c r="BY687">
        <v>1.68</v>
      </c>
      <c r="BZ687">
        <v>1.5</v>
      </c>
      <c r="CA687">
        <v>-0.01</v>
      </c>
      <c r="CB687">
        <v>0.01</v>
      </c>
      <c r="CC687">
        <v>0.01</v>
      </c>
      <c r="CD687">
        <v>0</v>
      </c>
      <c r="CE687">
        <v>0</v>
      </c>
      <c r="CF687">
        <v>-0.05</v>
      </c>
      <c r="CG687">
        <v>-0.04</v>
      </c>
      <c r="CH687">
        <v>-0.61</v>
      </c>
      <c r="CI687">
        <v>-0.73</v>
      </c>
      <c r="CJ687">
        <v>46516</v>
      </c>
      <c r="CK687">
        <v>2608</v>
      </c>
      <c r="CL687" t="s">
        <v>4301</v>
      </c>
      <c r="CM687">
        <v>108.72</v>
      </c>
      <c r="CN687">
        <v>-2.11</v>
      </c>
      <c r="CO687">
        <v>4.5199999999999996</v>
      </c>
      <c r="CP687">
        <v>-40.729999999999997</v>
      </c>
      <c r="CQ687">
        <v>14.76</v>
      </c>
      <c r="CR687">
        <v>0</v>
      </c>
      <c r="CS687" t="s">
        <v>4302</v>
      </c>
      <c r="CT687">
        <v>1.54</v>
      </c>
      <c r="CU687">
        <v>0</v>
      </c>
      <c r="CV687">
        <v>0.47</v>
      </c>
      <c r="CW687">
        <v>-0.01</v>
      </c>
      <c r="CX687">
        <v>-0.17</v>
      </c>
      <c r="CY687">
        <v>75.7</v>
      </c>
      <c r="CZ687" t="s">
        <v>3893</v>
      </c>
      <c r="DA687">
        <v>10.97</v>
      </c>
      <c r="DB687">
        <v>-0.73</v>
      </c>
      <c r="DC687">
        <v>0.24</v>
      </c>
      <c r="DD687">
        <v>0.03</v>
      </c>
      <c r="DE687">
        <v>168</v>
      </c>
      <c r="DF687">
        <v>2231</v>
      </c>
      <c r="DG687" t="s">
        <v>116</v>
      </c>
      <c r="DH687" t="s">
        <v>116</v>
      </c>
      <c r="DI687" t="s">
        <v>116</v>
      </c>
    </row>
    <row r="688" spans="1:113" x14ac:dyDescent="0.4">
      <c r="A688" t="str">
        <f>"002232"</f>
        <v>002232</v>
      </c>
      <c r="B688" t="s">
        <v>4303</v>
      </c>
      <c r="C688">
        <v>0.44</v>
      </c>
      <c r="D688">
        <v>9.0299999999999994</v>
      </c>
      <c r="E688">
        <v>0.04</v>
      </c>
      <c r="F688">
        <v>9.0299999999999994</v>
      </c>
      <c r="G688">
        <v>9.0399999999999991</v>
      </c>
      <c r="H688">
        <v>126140</v>
      </c>
      <c r="I688">
        <v>817</v>
      </c>
      <c r="J688">
        <v>-0.21</v>
      </c>
      <c r="K688">
        <v>3.12</v>
      </c>
      <c r="L688">
        <v>9.06</v>
      </c>
      <c r="M688">
        <v>9.4</v>
      </c>
      <c r="N688">
        <v>8.9600000000000009</v>
      </c>
      <c r="O688">
        <v>8.99</v>
      </c>
      <c r="P688">
        <v>65.98</v>
      </c>
      <c r="Q688">
        <v>115436656</v>
      </c>
      <c r="R688">
        <v>2.61</v>
      </c>
      <c r="S688" t="s">
        <v>607</v>
      </c>
      <c r="T688" t="s">
        <v>294</v>
      </c>
      <c r="U688">
        <v>4.8899999999999997</v>
      </c>
      <c r="V688">
        <v>9.15</v>
      </c>
      <c r="W688">
        <v>59692</v>
      </c>
      <c r="X688">
        <v>66448</v>
      </c>
      <c r="Y688">
        <v>0.9</v>
      </c>
      <c r="Z688">
        <v>123</v>
      </c>
      <c r="AA688">
        <v>94</v>
      </c>
      <c r="AB688" t="s">
        <v>116</v>
      </c>
      <c r="AC688">
        <v>192100</v>
      </c>
      <c r="AD688">
        <v>0.01</v>
      </c>
      <c r="AE688" t="s">
        <v>116</v>
      </c>
      <c r="AF688" t="s">
        <v>116</v>
      </c>
      <c r="AG688">
        <v>4.04</v>
      </c>
      <c r="AH688" t="s">
        <v>4304</v>
      </c>
      <c r="AI688" t="s">
        <v>4305</v>
      </c>
      <c r="AJ688">
        <v>1.1200000000000001</v>
      </c>
      <c r="AK688">
        <v>2816</v>
      </c>
      <c r="AL688">
        <v>45</v>
      </c>
      <c r="AM688">
        <v>1.1000000000000001E-3</v>
      </c>
      <c r="AN688">
        <v>4</v>
      </c>
      <c r="AO688">
        <v>0.77</v>
      </c>
      <c r="AP688">
        <v>12.87</v>
      </c>
      <c r="AQ688">
        <v>2.85</v>
      </c>
      <c r="AR688">
        <v>33.24</v>
      </c>
      <c r="AS688">
        <v>7.16</v>
      </c>
      <c r="AT688" t="s">
        <v>4306</v>
      </c>
      <c r="AU688">
        <v>49.88</v>
      </c>
      <c r="AV688">
        <v>51.12</v>
      </c>
      <c r="AW688">
        <v>1.3</v>
      </c>
      <c r="BA688">
        <v>0.78</v>
      </c>
      <c r="BB688">
        <v>4.5599999999999996</v>
      </c>
      <c r="BC688">
        <v>-0.33</v>
      </c>
      <c r="BD688">
        <v>1.8</v>
      </c>
      <c r="BE688">
        <v>-0.33</v>
      </c>
      <c r="BF688">
        <v>-3.94</v>
      </c>
      <c r="BG688">
        <v>0.78</v>
      </c>
      <c r="BH688">
        <v>-1.35</v>
      </c>
      <c r="BI688">
        <v>20191023</v>
      </c>
      <c r="BJ688">
        <v>20080509</v>
      </c>
      <c r="BK688">
        <v>4.09</v>
      </c>
      <c r="BL688" t="s">
        <v>116</v>
      </c>
      <c r="BM688" t="s">
        <v>116</v>
      </c>
      <c r="BN688">
        <v>18.09</v>
      </c>
      <c r="BO688">
        <v>11.33</v>
      </c>
      <c r="BP688">
        <v>0.98</v>
      </c>
      <c r="BQ688">
        <v>31.94</v>
      </c>
      <c r="BR688">
        <v>14.23</v>
      </c>
      <c r="BS688">
        <v>2.5499999999999998</v>
      </c>
      <c r="BT688">
        <v>0.48</v>
      </c>
      <c r="BU688">
        <v>4.97</v>
      </c>
      <c r="BV688">
        <v>2.0299999999999998</v>
      </c>
      <c r="BW688">
        <v>3.66</v>
      </c>
      <c r="BX688">
        <v>2.62</v>
      </c>
      <c r="BY688">
        <v>7.89</v>
      </c>
      <c r="BZ688">
        <v>6.76</v>
      </c>
      <c r="CA688">
        <v>0.53</v>
      </c>
      <c r="CB688">
        <v>0</v>
      </c>
      <c r="CC688">
        <v>0.53</v>
      </c>
      <c r="CD688">
        <v>0.45</v>
      </c>
      <c r="CE688">
        <v>0.42</v>
      </c>
      <c r="CF688">
        <v>0.34</v>
      </c>
      <c r="CG688">
        <v>3.96</v>
      </c>
      <c r="CH688">
        <v>-1.41</v>
      </c>
      <c r="CI688">
        <v>-1.44</v>
      </c>
      <c r="CJ688">
        <v>43934</v>
      </c>
      <c r="CK688">
        <v>4008</v>
      </c>
      <c r="CL688" t="s">
        <v>4307</v>
      </c>
      <c r="CM688">
        <v>4.46</v>
      </c>
      <c r="CN688">
        <v>-12.11</v>
      </c>
      <c r="CO688">
        <v>3.26</v>
      </c>
      <c r="CP688">
        <v>-26.11</v>
      </c>
      <c r="CQ688">
        <v>4.68</v>
      </c>
      <c r="CR688">
        <v>0.14000000000000001</v>
      </c>
      <c r="CS688" t="s">
        <v>2918</v>
      </c>
      <c r="CT688">
        <v>2.77</v>
      </c>
      <c r="CU688">
        <v>0</v>
      </c>
      <c r="CV688">
        <v>0.64</v>
      </c>
      <c r="CW688">
        <v>0.97</v>
      </c>
      <c r="CX688">
        <v>-0.35</v>
      </c>
      <c r="CY688">
        <v>62.64</v>
      </c>
      <c r="CZ688" t="s">
        <v>4308</v>
      </c>
      <c r="DA688">
        <v>14.27</v>
      </c>
      <c r="DB688">
        <v>6.73</v>
      </c>
      <c r="DC688">
        <v>5.31</v>
      </c>
      <c r="DD688">
        <v>0.11</v>
      </c>
      <c r="DE688">
        <v>1651</v>
      </c>
      <c r="DF688">
        <v>2232</v>
      </c>
      <c r="DG688" t="s">
        <v>116</v>
      </c>
      <c r="DH688" t="s">
        <v>116</v>
      </c>
      <c r="DI688" t="s">
        <v>116</v>
      </c>
    </row>
    <row r="689" spans="1:113" x14ac:dyDescent="0.4">
      <c r="A689" t="str">
        <f>"002233"</f>
        <v>002233</v>
      </c>
      <c r="B689" t="s">
        <v>4309</v>
      </c>
      <c r="C689">
        <v>0.83</v>
      </c>
      <c r="D689">
        <v>12.16</v>
      </c>
      <c r="E689">
        <v>0.1</v>
      </c>
      <c r="F689">
        <v>12.15</v>
      </c>
      <c r="G689">
        <v>12.16</v>
      </c>
      <c r="H689">
        <v>293274</v>
      </c>
      <c r="I689">
        <v>2689</v>
      </c>
      <c r="J689">
        <v>0.08</v>
      </c>
      <c r="K689">
        <v>2.52</v>
      </c>
      <c r="L689">
        <v>12.17</v>
      </c>
      <c r="M689">
        <v>12.34</v>
      </c>
      <c r="N689">
        <v>12.02</v>
      </c>
      <c r="O689">
        <v>12.06</v>
      </c>
      <c r="P689">
        <v>10.32</v>
      </c>
      <c r="Q689">
        <v>358430528</v>
      </c>
      <c r="R689">
        <v>1.57</v>
      </c>
      <c r="S689" t="s">
        <v>660</v>
      </c>
      <c r="T689" t="s">
        <v>551</v>
      </c>
      <c r="U689">
        <v>2.65</v>
      </c>
      <c r="V689">
        <v>12.22</v>
      </c>
      <c r="W689">
        <v>152390</v>
      </c>
      <c r="X689">
        <v>140884</v>
      </c>
      <c r="Y689">
        <v>1.08</v>
      </c>
      <c r="Z689">
        <v>2139</v>
      </c>
      <c r="AA689">
        <v>353</v>
      </c>
      <c r="AB689" t="s">
        <v>116</v>
      </c>
      <c r="AC689">
        <v>2300100</v>
      </c>
      <c r="AD689">
        <v>0.03</v>
      </c>
      <c r="AE689" t="s">
        <v>116</v>
      </c>
      <c r="AF689" t="s">
        <v>116</v>
      </c>
      <c r="AG689">
        <v>11.62</v>
      </c>
      <c r="AH689" t="s">
        <v>4310</v>
      </c>
      <c r="AI689" t="s">
        <v>4311</v>
      </c>
      <c r="AJ689">
        <v>1.51</v>
      </c>
      <c r="AK689">
        <v>3285</v>
      </c>
      <c r="AL689">
        <v>89</v>
      </c>
      <c r="AM689">
        <v>8.0000000000000004E-4</v>
      </c>
      <c r="AN689">
        <v>4</v>
      </c>
      <c r="AO689">
        <v>3.66</v>
      </c>
      <c r="AP689">
        <v>13.33</v>
      </c>
      <c r="AQ689">
        <v>27.06</v>
      </c>
      <c r="AR689">
        <v>30.33</v>
      </c>
      <c r="AS689">
        <v>4.3600000000000003</v>
      </c>
      <c r="AT689" t="s">
        <v>4312</v>
      </c>
      <c r="AU689">
        <v>9.49</v>
      </c>
      <c r="AV689">
        <v>8.41</v>
      </c>
      <c r="AW689">
        <v>0.67</v>
      </c>
      <c r="BA689">
        <v>0.91</v>
      </c>
      <c r="BB689">
        <v>2.3199999999999998</v>
      </c>
      <c r="BC689">
        <v>-0.33</v>
      </c>
      <c r="BD689">
        <v>1.34</v>
      </c>
      <c r="BE689">
        <v>-0.08</v>
      </c>
      <c r="BF689">
        <v>-1.46</v>
      </c>
      <c r="BG689">
        <v>1.1599999999999999</v>
      </c>
      <c r="BH689">
        <v>-0.51</v>
      </c>
      <c r="BI689">
        <v>20191022</v>
      </c>
      <c r="BJ689">
        <v>20080516</v>
      </c>
      <c r="BK689">
        <v>11.92</v>
      </c>
      <c r="BL689" t="s">
        <v>116</v>
      </c>
      <c r="BM689" t="s">
        <v>116</v>
      </c>
      <c r="BN689">
        <v>105.31</v>
      </c>
      <c r="BO689">
        <v>91.34</v>
      </c>
      <c r="BP689">
        <v>0.08</v>
      </c>
      <c r="BQ689">
        <v>13.19</v>
      </c>
      <c r="BR689">
        <v>44.55</v>
      </c>
      <c r="BS689">
        <v>28.58</v>
      </c>
      <c r="BT689">
        <v>6.38</v>
      </c>
      <c r="BU689">
        <v>12.3</v>
      </c>
      <c r="BV689">
        <v>6.31</v>
      </c>
      <c r="BW689">
        <v>0.48</v>
      </c>
      <c r="BX689">
        <v>37.340000000000003</v>
      </c>
      <c r="BY689">
        <v>44.32</v>
      </c>
      <c r="BZ689">
        <v>29.29</v>
      </c>
      <c r="CA689">
        <v>14.27</v>
      </c>
      <c r="CB689">
        <v>1.78</v>
      </c>
      <c r="CC689">
        <v>14.01</v>
      </c>
      <c r="CD689">
        <v>10.54</v>
      </c>
      <c r="CE689">
        <v>10.53</v>
      </c>
      <c r="CF689">
        <v>8.85</v>
      </c>
      <c r="CG689">
        <v>35.94</v>
      </c>
      <c r="CH689">
        <v>7.5</v>
      </c>
      <c r="CI689">
        <v>0.91</v>
      </c>
      <c r="CJ689">
        <v>58544</v>
      </c>
      <c r="CK689">
        <v>11501</v>
      </c>
      <c r="CL689" t="s">
        <v>4313</v>
      </c>
      <c r="CM689">
        <v>-15.65</v>
      </c>
      <c r="CN689">
        <v>-2.02</v>
      </c>
      <c r="CO689">
        <v>1.59</v>
      </c>
      <c r="CP689">
        <v>19.329999999999998</v>
      </c>
      <c r="CQ689">
        <v>3.27</v>
      </c>
      <c r="CR689">
        <v>6</v>
      </c>
      <c r="CS689" t="s">
        <v>4314</v>
      </c>
      <c r="CT689">
        <v>7.66</v>
      </c>
      <c r="CU689">
        <v>0</v>
      </c>
      <c r="CV689">
        <v>3.13</v>
      </c>
      <c r="CW689">
        <v>3.01</v>
      </c>
      <c r="CX689">
        <v>0.63</v>
      </c>
      <c r="CY689">
        <v>86.74</v>
      </c>
      <c r="CZ689" t="s">
        <v>4315</v>
      </c>
      <c r="DA689">
        <v>33.909999999999997</v>
      </c>
      <c r="DB689">
        <v>32.19</v>
      </c>
      <c r="DC689">
        <v>23.77</v>
      </c>
      <c r="DD689">
        <v>0.05</v>
      </c>
      <c r="DE689">
        <v>3143</v>
      </c>
      <c r="DF689">
        <v>2233</v>
      </c>
      <c r="DG689" t="s">
        <v>116</v>
      </c>
      <c r="DH689" t="s">
        <v>116</v>
      </c>
      <c r="DI689" t="s">
        <v>116</v>
      </c>
    </row>
    <row r="690" spans="1:113" x14ac:dyDescent="0.4">
      <c r="A690" t="str">
        <f>"002234"</f>
        <v>002234</v>
      </c>
      <c r="B690" t="s">
        <v>4316</v>
      </c>
      <c r="C690">
        <v>0.62</v>
      </c>
      <c r="D690">
        <v>31.08</v>
      </c>
      <c r="E690">
        <v>0.19</v>
      </c>
      <c r="F690">
        <v>31.07</v>
      </c>
      <c r="G690">
        <v>31.08</v>
      </c>
      <c r="H690">
        <v>97189</v>
      </c>
      <c r="I690">
        <v>1373</v>
      </c>
      <c r="J690">
        <v>-0.02</v>
      </c>
      <c r="K690">
        <v>4.71</v>
      </c>
      <c r="L690">
        <v>30.95</v>
      </c>
      <c r="M690">
        <v>31.54</v>
      </c>
      <c r="N690">
        <v>30.75</v>
      </c>
      <c r="O690">
        <v>30.89</v>
      </c>
      <c r="P690">
        <v>5.62</v>
      </c>
      <c r="Q690">
        <v>302893376</v>
      </c>
      <c r="R690">
        <v>1.1000000000000001</v>
      </c>
      <c r="S690" t="s">
        <v>449</v>
      </c>
      <c r="T690" t="s">
        <v>645</v>
      </c>
      <c r="U690">
        <v>2.56</v>
      </c>
      <c r="V690">
        <v>31.17</v>
      </c>
      <c r="W690">
        <v>47042</v>
      </c>
      <c r="X690">
        <v>50147</v>
      </c>
      <c r="Y690">
        <v>0.94</v>
      </c>
      <c r="Z690">
        <v>116</v>
      </c>
      <c r="AA690">
        <v>280</v>
      </c>
      <c r="AB690" t="s">
        <v>116</v>
      </c>
      <c r="AC690">
        <v>640700</v>
      </c>
      <c r="AD690">
        <v>0.01</v>
      </c>
      <c r="AE690" t="s">
        <v>116</v>
      </c>
      <c r="AF690" t="s">
        <v>116</v>
      </c>
      <c r="AG690">
        <v>2.06</v>
      </c>
      <c r="AH690" t="s">
        <v>4317</v>
      </c>
      <c r="AI690" t="s">
        <v>4318</v>
      </c>
      <c r="AJ690">
        <v>1.29</v>
      </c>
      <c r="AK690">
        <v>3732</v>
      </c>
      <c r="AL690">
        <v>26</v>
      </c>
      <c r="AM690">
        <v>1.2999999999999999E-3</v>
      </c>
      <c r="AN690">
        <v>1</v>
      </c>
      <c r="AO690">
        <v>0.85</v>
      </c>
      <c r="AP690">
        <v>-3.09</v>
      </c>
      <c r="AQ690">
        <v>1.67</v>
      </c>
      <c r="AR690">
        <v>171.44</v>
      </c>
      <c r="AS690">
        <v>5.58</v>
      </c>
      <c r="AT690" t="s">
        <v>3066</v>
      </c>
      <c r="AU690">
        <v>6.28</v>
      </c>
      <c r="AV690">
        <v>24.66</v>
      </c>
      <c r="AW690">
        <v>1.39</v>
      </c>
      <c r="BA690">
        <v>0.19</v>
      </c>
      <c r="BB690">
        <v>2.1</v>
      </c>
      <c r="BC690">
        <v>-0.45</v>
      </c>
      <c r="BD690">
        <v>0.89</v>
      </c>
      <c r="BE690">
        <v>0.42</v>
      </c>
      <c r="BF690">
        <v>-1.46</v>
      </c>
      <c r="BG690">
        <v>1.07</v>
      </c>
      <c r="BH690">
        <v>-0.28000000000000003</v>
      </c>
      <c r="BI690">
        <v>20191022</v>
      </c>
      <c r="BJ690">
        <v>20080516</v>
      </c>
      <c r="BK690">
        <v>3.02</v>
      </c>
      <c r="BL690" t="s">
        <v>116</v>
      </c>
      <c r="BM690" t="s">
        <v>116</v>
      </c>
      <c r="BN690">
        <v>30.6</v>
      </c>
      <c r="BO690">
        <v>23.79</v>
      </c>
      <c r="BP690">
        <v>7.0000000000000007E-2</v>
      </c>
      <c r="BQ690">
        <v>22.04</v>
      </c>
      <c r="BR690">
        <v>12.53</v>
      </c>
      <c r="BS690">
        <v>12.71</v>
      </c>
      <c r="BT690">
        <v>0.64</v>
      </c>
      <c r="BU690">
        <v>5.0599999999999996</v>
      </c>
      <c r="BV690">
        <v>4.32</v>
      </c>
      <c r="BW690">
        <v>0.47</v>
      </c>
      <c r="BX690">
        <v>8.68</v>
      </c>
      <c r="BY690">
        <v>23.28</v>
      </c>
      <c r="BZ690">
        <v>9.69</v>
      </c>
      <c r="CA690">
        <v>12.53</v>
      </c>
      <c r="CB690">
        <v>0.48</v>
      </c>
      <c r="CC690">
        <v>12.52</v>
      </c>
      <c r="CD690">
        <v>12.52</v>
      </c>
      <c r="CE690">
        <v>12.52</v>
      </c>
      <c r="CF690">
        <v>12.5</v>
      </c>
      <c r="CG690">
        <v>10.9</v>
      </c>
      <c r="CH690">
        <v>11.96</v>
      </c>
      <c r="CI690">
        <v>2.68</v>
      </c>
      <c r="CJ690">
        <v>45192</v>
      </c>
      <c r="CK690">
        <v>3855</v>
      </c>
      <c r="CL690" t="s">
        <v>4319</v>
      </c>
      <c r="CM690">
        <v>800.74</v>
      </c>
      <c r="CN690">
        <v>103.41</v>
      </c>
      <c r="CO690">
        <v>3.95</v>
      </c>
      <c r="CP690">
        <v>7.85</v>
      </c>
      <c r="CQ690">
        <v>4.03</v>
      </c>
      <c r="CR690">
        <v>0</v>
      </c>
      <c r="CS690" t="s">
        <v>4320</v>
      </c>
      <c r="CT690">
        <v>7.88</v>
      </c>
      <c r="CU690">
        <v>0</v>
      </c>
      <c r="CV690">
        <v>2.87</v>
      </c>
      <c r="CW690">
        <v>3.61</v>
      </c>
      <c r="CX690">
        <v>3.96</v>
      </c>
      <c r="CY690">
        <v>77.739999999999995</v>
      </c>
      <c r="CZ690" t="s">
        <v>4321</v>
      </c>
      <c r="DA690">
        <v>58.35</v>
      </c>
      <c r="DB690">
        <v>53.84</v>
      </c>
      <c r="DC690">
        <v>53.8</v>
      </c>
      <c r="DD690">
        <v>0.04</v>
      </c>
      <c r="DE690">
        <v>4592</v>
      </c>
      <c r="DF690">
        <v>2234</v>
      </c>
      <c r="DG690" t="s">
        <v>116</v>
      </c>
      <c r="DH690" t="s">
        <v>116</v>
      </c>
      <c r="DI690" t="s">
        <v>116</v>
      </c>
    </row>
    <row r="691" spans="1:113" x14ac:dyDescent="0.4">
      <c r="A691" t="str">
        <f>"002235"</f>
        <v>002235</v>
      </c>
      <c r="B691" t="s">
        <v>4322</v>
      </c>
      <c r="C691">
        <v>-3.67</v>
      </c>
      <c r="D691">
        <v>8.65</v>
      </c>
      <c r="E691">
        <v>-0.33</v>
      </c>
      <c r="F691">
        <v>8.65</v>
      </c>
      <c r="G691">
        <v>8.66</v>
      </c>
      <c r="H691">
        <v>494066</v>
      </c>
      <c r="I691">
        <v>6314</v>
      </c>
      <c r="J691">
        <v>-0.11</v>
      </c>
      <c r="K691">
        <v>9.16</v>
      </c>
      <c r="L691">
        <v>8.94</v>
      </c>
      <c r="M691">
        <v>9</v>
      </c>
      <c r="N691">
        <v>8.6199999999999992</v>
      </c>
      <c r="O691">
        <v>8.98</v>
      </c>
      <c r="P691">
        <v>43.37</v>
      </c>
      <c r="Q691">
        <v>435147936</v>
      </c>
      <c r="R691">
        <v>1.1100000000000001</v>
      </c>
      <c r="S691" t="s">
        <v>1384</v>
      </c>
      <c r="T691" t="s">
        <v>975</v>
      </c>
      <c r="U691">
        <v>4.2300000000000004</v>
      </c>
      <c r="V691">
        <v>8.81</v>
      </c>
      <c r="W691">
        <v>305363</v>
      </c>
      <c r="X691">
        <v>188703</v>
      </c>
      <c r="Y691">
        <v>1.62</v>
      </c>
      <c r="Z691">
        <v>2111</v>
      </c>
      <c r="AA691">
        <v>813</v>
      </c>
      <c r="AB691" t="s">
        <v>116</v>
      </c>
      <c r="AC691">
        <v>1647300</v>
      </c>
      <c r="AD691">
        <v>0.04</v>
      </c>
      <c r="AE691" t="s">
        <v>116</v>
      </c>
      <c r="AF691" t="s">
        <v>116</v>
      </c>
      <c r="AG691">
        <v>5.39</v>
      </c>
      <c r="AH691" t="s">
        <v>4285</v>
      </c>
      <c r="AI691" t="s">
        <v>4323</v>
      </c>
      <c r="AJ691">
        <v>-3</v>
      </c>
      <c r="AK691">
        <v>4365</v>
      </c>
      <c r="AL691">
        <v>113</v>
      </c>
      <c r="AM691">
        <v>2.0999999999999999E-3</v>
      </c>
      <c r="AN691">
        <v>-1</v>
      </c>
      <c r="AO691">
        <v>-0.23</v>
      </c>
      <c r="AP691">
        <v>3.22</v>
      </c>
      <c r="AQ691">
        <v>5.75</v>
      </c>
      <c r="AR691">
        <v>67.959999999999994</v>
      </c>
      <c r="AS691">
        <v>11.77</v>
      </c>
      <c r="AT691" t="s">
        <v>4324</v>
      </c>
      <c r="AU691">
        <v>52.62</v>
      </c>
      <c r="AV691">
        <v>66.63</v>
      </c>
      <c r="AW691">
        <v>1.83</v>
      </c>
      <c r="BA691">
        <v>-0.45</v>
      </c>
      <c r="BB691">
        <v>0.22</v>
      </c>
      <c r="BC691">
        <v>-4.01</v>
      </c>
      <c r="BD691">
        <v>-1.92</v>
      </c>
      <c r="BE691">
        <v>-3.24</v>
      </c>
      <c r="BF691">
        <v>-3.89</v>
      </c>
      <c r="BG691">
        <v>0.35</v>
      </c>
      <c r="BH691">
        <v>-1.75</v>
      </c>
      <c r="BI691">
        <v>20191129</v>
      </c>
      <c r="BJ691">
        <v>20080516</v>
      </c>
      <c r="BK691">
        <v>5.82</v>
      </c>
      <c r="BL691" t="s">
        <v>116</v>
      </c>
      <c r="BM691" t="s">
        <v>116</v>
      </c>
      <c r="BN691">
        <v>24.61</v>
      </c>
      <c r="BO691">
        <v>20.96</v>
      </c>
      <c r="BP691">
        <v>0</v>
      </c>
      <c r="BQ691">
        <v>14.85</v>
      </c>
      <c r="BR691">
        <v>12.45</v>
      </c>
      <c r="BS691">
        <v>1.66</v>
      </c>
      <c r="BT691">
        <v>0.47</v>
      </c>
      <c r="BU691">
        <v>3.65</v>
      </c>
      <c r="BV691">
        <v>0.44</v>
      </c>
      <c r="BW691">
        <v>3.02</v>
      </c>
      <c r="BX691">
        <v>15.81</v>
      </c>
      <c r="BY691">
        <v>2.85</v>
      </c>
      <c r="BZ691">
        <v>2.0299999999999998</v>
      </c>
      <c r="CA691">
        <v>0.16</v>
      </c>
      <c r="CB691">
        <v>0.16</v>
      </c>
      <c r="CC691">
        <v>0.86</v>
      </c>
      <c r="CD691">
        <v>0.87</v>
      </c>
      <c r="CE691">
        <v>0.87</v>
      </c>
      <c r="CF691">
        <v>-0.19</v>
      </c>
      <c r="CG691">
        <v>-0.91</v>
      </c>
      <c r="CH691">
        <v>0.26</v>
      </c>
      <c r="CI691">
        <v>0.39</v>
      </c>
      <c r="CJ691">
        <v>59054</v>
      </c>
      <c r="CK691">
        <v>7111</v>
      </c>
      <c r="CL691" t="s">
        <v>4325</v>
      </c>
      <c r="CM691">
        <v>30.05</v>
      </c>
      <c r="CN691">
        <v>-39.51</v>
      </c>
      <c r="CO691">
        <v>2.4</v>
      </c>
      <c r="CP691">
        <v>193.66</v>
      </c>
      <c r="CQ691">
        <v>17.68</v>
      </c>
      <c r="CR691">
        <v>0</v>
      </c>
      <c r="CS691" t="s">
        <v>829</v>
      </c>
      <c r="CT691">
        <v>3.6</v>
      </c>
      <c r="CU691">
        <v>0</v>
      </c>
      <c r="CV691">
        <v>2.72</v>
      </c>
      <c r="CW691">
        <v>-0.16</v>
      </c>
      <c r="CX691">
        <v>0.04</v>
      </c>
      <c r="CY691">
        <v>85.16</v>
      </c>
      <c r="CZ691" t="s">
        <v>4326</v>
      </c>
      <c r="DA691">
        <v>28.81</v>
      </c>
      <c r="DB691">
        <v>5.48</v>
      </c>
      <c r="DC691">
        <v>30.57</v>
      </c>
      <c r="DD691">
        <v>0.18</v>
      </c>
      <c r="DE691">
        <v>509</v>
      </c>
      <c r="DF691">
        <v>2235</v>
      </c>
      <c r="DG691" t="s">
        <v>116</v>
      </c>
      <c r="DH691" t="s">
        <v>116</v>
      </c>
      <c r="DI691" t="s">
        <v>116</v>
      </c>
    </row>
    <row r="692" spans="1:113" x14ac:dyDescent="0.4">
      <c r="A692" t="str">
        <f>"002236"</f>
        <v>002236</v>
      </c>
      <c r="B692" t="s">
        <v>4327</v>
      </c>
      <c r="C692">
        <v>-2.3199999999999998</v>
      </c>
      <c r="D692">
        <v>19.329999999999998</v>
      </c>
      <c r="E692">
        <v>-0.46</v>
      </c>
      <c r="F692">
        <v>19.329999999999998</v>
      </c>
      <c r="G692">
        <v>19.34</v>
      </c>
      <c r="H692">
        <v>455545</v>
      </c>
      <c r="I692">
        <v>5276</v>
      </c>
      <c r="J692">
        <v>0</v>
      </c>
      <c r="K692">
        <v>2.5099999999999998</v>
      </c>
      <c r="L692">
        <v>19.8</v>
      </c>
      <c r="M692">
        <v>20.05</v>
      </c>
      <c r="N692">
        <v>19.3</v>
      </c>
      <c r="O692">
        <v>19.79</v>
      </c>
      <c r="P692">
        <v>23.23</v>
      </c>
      <c r="Q692">
        <v>891246144</v>
      </c>
      <c r="R692">
        <v>1.1499999999999999</v>
      </c>
      <c r="S692" t="s">
        <v>2977</v>
      </c>
      <c r="T692" t="s">
        <v>590</v>
      </c>
      <c r="U692">
        <v>3.79</v>
      </c>
      <c r="V692">
        <v>19.559999999999999</v>
      </c>
      <c r="W692">
        <v>244695</v>
      </c>
      <c r="X692">
        <v>210850</v>
      </c>
      <c r="Y692">
        <v>1.1599999999999999</v>
      </c>
      <c r="Z692">
        <v>86</v>
      </c>
      <c r="AA692">
        <v>1209</v>
      </c>
      <c r="AB692" t="s">
        <v>116</v>
      </c>
      <c r="AC692">
        <v>1429600</v>
      </c>
      <c r="AD692">
        <v>0</v>
      </c>
      <c r="AE692" t="s">
        <v>116</v>
      </c>
      <c r="AF692" t="s">
        <v>116</v>
      </c>
      <c r="AG692">
        <v>18.14</v>
      </c>
      <c r="AH692" t="s">
        <v>4328</v>
      </c>
      <c r="AI692" t="s">
        <v>4329</v>
      </c>
      <c r="AJ692">
        <v>-1.65</v>
      </c>
      <c r="AK692">
        <v>4442</v>
      </c>
      <c r="AL692">
        <v>103</v>
      </c>
      <c r="AM692">
        <v>5.9999999999999995E-4</v>
      </c>
      <c r="AN692">
        <v>-1</v>
      </c>
      <c r="AO692">
        <v>1.36</v>
      </c>
      <c r="AP692">
        <v>14.11</v>
      </c>
      <c r="AQ692">
        <v>8.2899999999999991</v>
      </c>
      <c r="AR692">
        <v>70.16</v>
      </c>
      <c r="AS692">
        <v>3</v>
      </c>
      <c r="AT692" t="s">
        <v>4330</v>
      </c>
      <c r="AU692">
        <v>20.45</v>
      </c>
      <c r="AV692">
        <v>22.99</v>
      </c>
      <c r="AW692">
        <v>0.91</v>
      </c>
      <c r="BA692">
        <v>0.05</v>
      </c>
      <c r="BB692">
        <v>1.31</v>
      </c>
      <c r="BC692">
        <v>-2.48</v>
      </c>
      <c r="BD692">
        <v>-1.1399999999999999</v>
      </c>
      <c r="BE692">
        <v>-2.37</v>
      </c>
      <c r="BF692">
        <v>-3.59</v>
      </c>
      <c r="BG692">
        <v>0.16</v>
      </c>
      <c r="BH692">
        <v>-1.18</v>
      </c>
      <c r="BI692">
        <v>20191202</v>
      </c>
      <c r="BJ692">
        <v>20080520</v>
      </c>
      <c r="BK692">
        <v>30.08</v>
      </c>
      <c r="BL692" t="s">
        <v>116</v>
      </c>
      <c r="BM692" t="s">
        <v>116</v>
      </c>
      <c r="BN692">
        <v>279.2</v>
      </c>
      <c r="BO692">
        <v>141.30000000000001</v>
      </c>
      <c r="BP692">
        <v>2.83</v>
      </c>
      <c r="BQ692">
        <v>48.38</v>
      </c>
      <c r="BR692">
        <v>219</v>
      </c>
      <c r="BS692">
        <v>14.38</v>
      </c>
      <c r="BT692">
        <v>4.0599999999999996</v>
      </c>
      <c r="BU692">
        <v>125.02</v>
      </c>
      <c r="BV692">
        <v>40.56</v>
      </c>
      <c r="BW692">
        <v>116.4</v>
      </c>
      <c r="BX692">
        <v>16.3</v>
      </c>
      <c r="BY692">
        <v>164.28</v>
      </c>
      <c r="BZ692">
        <v>96.97</v>
      </c>
      <c r="CA692">
        <v>19.440000000000001</v>
      </c>
      <c r="CB692">
        <v>0.13</v>
      </c>
      <c r="CC692">
        <v>19.54</v>
      </c>
      <c r="CD692">
        <v>18.3</v>
      </c>
      <c r="CE692">
        <v>18.77</v>
      </c>
      <c r="CF692">
        <v>17.3</v>
      </c>
      <c r="CG692">
        <v>92.49</v>
      </c>
      <c r="CH692">
        <v>-5.38</v>
      </c>
      <c r="CI692">
        <v>-7.47</v>
      </c>
      <c r="CJ692">
        <v>106822</v>
      </c>
      <c r="CK692">
        <v>14226</v>
      </c>
      <c r="CL692" t="s">
        <v>4331</v>
      </c>
      <c r="CM692">
        <v>20.059999999999999</v>
      </c>
      <c r="CN692">
        <v>9.3000000000000007</v>
      </c>
      <c r="CO692">
        <v>4.0999999999999996</v>
      </c>
      <c r="CP692">
        <v>-108.03</v>
      </c>
      <c r="CQ692">
        <v>3.54</v>
      </c>
      <c r="CR692">
        <v>0.52</v>
      </c>
      <c r="CS692" t="s">
        <v>4250</v>
      </c>
      <c r="CT692">
        <v>4.71</v>
      </c>
      <c r="CU692">
        <v>4.71</v>
      </c>
      <c r="CV692">
        <v>0.54</v>
      </c>
      <c r="CW692">
        <v>3.07</v>
      </c>
      <c r="CX692">
        <v>-0.18</v>
      </c>
      <c r="CY692">
        <v>50.61</v>
      </c>
      <c r="CZ692" t="s">
        <v>4332</v>
      </c>
      <c r="DA692">
        <v>40.97</v>
      </c>
      <c r="DB692">
        <v>11.83</v>
      </c>
      <c r="DC692">
        <v>11.43</v>
      </c>
      <c r="DD692">
        <v>20.23</v>
      </c>
      <c r="DE692">
        <v>13608</v>
      </c>
      <c r="DF692">
        <v>2236</v>
      </c>
      <c r="DG692" t="s">
        <v>116</v>
      </c>
      <c r="DH692" t="s">
        <v>116</v>
      </c>
      <c r="DI692" t="s">
        <v>116</v>
      </c>
    </row>
    <row r="693" spans="1:113" x14ac:dyDescent="0.4">
      <c r="A693" t="str">
        <f>"002237"</f>
        <v>002237</v>
      </c>
      <c r="B693" t="s">
        <v>4333</v>
      </c>
      <c r="C693">
        <v>0.28999999999999998</v>
      </c>
      <c r="D693">
        <v>13.86</v>
      </c>
      <c r="E693">
        <v>0.04</v>
      </c>
      <c r="F693">
        <v>13.85</v>
      </c>
      <c r="G693">
        <v>13.86</v>
      </c>
      <c r="H693">
        <v>535948</v>
      </c>
      <c r="I693">
        <v>4544</v>
      </c>
      <c r="J693">
        <v>-0.13</v>
      </c>
      <c r="K693">
        <v>6.29</v>
      </c>
      <c r="L693">
        <v>13.98</v>
      </c>
      <c r="M693">
        <v>14.4</v>
      </c>
      <c r="N693">
        <v>13.78</v>
      </c>
      <c r="O693">
        <v>13.82</v>
      </c>
      <c r="P693">
        <v>37.29</v>
      </c>
      <c r="Q693">
        <v>755740928</v>
      </c>
      <c r="R693">
        <v>1.47</v>
      </c>
      <c r="S693" t="s">
        <v>871</v>
      </c>
      <c r="T693" t="s">
        <v>645</v>
      </c>
      <c r="U693">
        <v>4.49</v>
      </c>
      <c r="V693">
        <v>14.1</v>
      </c>
      <c r="W693">
        <v>268293</v>
      </c>
      <c r="X693">
        <v>267654</v>
      </c>
      <c r="Y693">
        <v>1</v>
      </c>
      <c r="Z693">
        <v>531</v>
      </c>
      <c r="AA693">
        <v>965</v>
      </c>
      <c r="AB693" t="s">
        <v>116</v>
      </c>
      <c r="AC693">
        <v>5831400</v>
      </c>
      <c r="AD693">
        <v>0.09</v>
      </c>
      <c r="AE693" t="s">
        <v>116</v>
      </c>
      <c r="AF693" t="s">
        <v>116</v>
      </c>
      <c r="AG693">
        <v>8.52</v>
      </c>
      <c r="AH693" t="s">
        <v>4334</v>
      </c>
      <c r="AI693" t="s">
        <v>4335</v>
      </c>
      <c r="AJ693">
        <v>0.97</v>
      </c>
      <c r="AK693">
        <v>4424</v>
      </c>
      <c r="AL693">
        <v>121</v>
      </c>
      <c r="AM693">
        <v>1.4E-3</v>
      </c>
      <c r="AN693">
        <v>1</v>
      </c>
      <c r="AO693">
        <v>2.66</v>
      </c>
      <c r="AP693">
        <v>10.09</v>
      </c>
      <c r="AQ693">
        <v>5.16</v>
      </c>
      <c r="AR693">
        <v>65.39</v>
      </c>
      <c r="AS693">
        <v>11.1</v>
      </c>
      <c r="AT693" t="s">
        <v>4336</v>
      </c>
      <c r="AU693">
        <v>38.869999999999997</v>
      </c>
      <c r="AV693">
        <v>31.1</v>
      </c>
      <c r="AW693">
        <v>0.56000000000000005</v>
      </c>
      <c r="BA693">
        <v>1.1599999999999999</v>
      </c>
      <c r="BB693">
        <v>4.2</v>
      </c>
      <c r="BC693">
        <v>-0.28999999999999998</v>
      </c>
      <c r="BD693">
        <v>2.0299999999999998</v>
      </c>
      <c r="BE693">
        <v>-0.86</v>
      </c>
      <c r="BF693">
        <v>-3.75</v>
      </c>
      <c r="BG693">
        <v>0.57999999999999996</v>
      </c>
      <c r="BH693">
        <v>-1.74</v>
      </c>
      <c r="BI693">
        <v>20191224</v>
      </c>
      <c r="BJ693">
        <v>20080520</v>
      </c>
      <c r="BK693">
        <v>9.1</v>
      </c>
      <c r="BL693" t="s">
        <v>116</v>
      </c>
      <c r="BM693" t="s">
        <v>116</v>
      </c>
      <c r="BN693">
        <v>150.97999999999999</v>
      </c>
      <c r="BO693">
        <v>45.94</v>
      </c>
      <c r="BP693">
        <v>-0.06</v>
      </c>
      <c r="BQ693">
        <v>69.61</v>
      </c>
      <c r="BR693">
        <v>98.66</v>
      </c>
      <c r="BS693">
        <v>45.03</v>
      </c>
      <c r="BT693">
        <v>3.69</v>
      </c>
      <c r="BU693">
        <v>101.73</v>
      </c>
      <c r="BV693">
        <v>55.22</v>
      </c>
      <c r="BW693">
        <v>1.18</v>
      </c>
      <c r="BX693">
        <v>7.68</v>
      </c>
      <c r="BY693">
        <v>206.24</v>
      </c>
      <c r="BZ693">
        <v>194.55</v>
      </c>
      <c r="CA693">
        <v>3.35</v>
      </c>
      <c r="CB693">
        <v>0.32</v>
      </c>
      <c r="CC693">
        <v>3.06</v>
      </c>
      <c r="CD693">
        <v>2.41</v>
      </c>
      <c r="CE693">
        <v>2.54</v>
      </c>
      <c r="CF693">
        <v>2.73</v>
      </c>
      <c r="CG693">
        <v>25.46</v>
      </c>
      <c r="CH693">
        <v>-0.41</v>
      </c>
      <c r="CI693">
        <v>2.41</v>
      </c>
      <c r="CJ693">
        <v>76650</v>
      </c>
      <c r="CK693">
        <v>6299</v>
      </c>
      <c r="CL693" t="s">
        <v>4337</v>
      </c>
      <c r="CM693">
        <v>-24.22</v>
      </c>
      <c r="CN693">
        <v>35.79</v>
      </c>
      <c r="CO693">
        <v>2.75</v>
      </c>
      <c r="CP693">
        <v>-310.83</v>
      </c>
      <c r="CQ693">
        <v>0.61</v>
      </c>
      <c r="CR693">
        <v>0</v>
      </c>
      <c r="CS693" t="s">
        <v>3995</v>
      </c>
      <c r="CT693">
        <v>5.05</v>
      </c>
      <c r="CU693">
        <v>0</v>
      </c>
      <c r="CV693">
        <v>0.84</v>
      </c>
      <c r="CW693">
        <v>2.8</v>
      </c>
      <c r="CX693">
        <v>-0.04</v>
      </c>
      <c r="CY693">
        <v>30.43</v>
      </c>
      <c r="CZ693" t="s">
        <v>4338</v>
      </c>
      <c r="DA693">
        <v>5.67</v>
      </c>
      <c r="DB693">
        <v>1.62</v>
      </c>
      <c r="DC693">
        <v>1.23</v>
      </c>
      <c r="DD693">
        <v>0.5</v>
      </c>
      <c r="DE693">
        <v>5522</v>
      </c>
      <c r="DF693">
        <v>2237</v>
      </c>
      <c r="DG693" t="s">
        <v>116</v>
      </c>
      <c r="DH693" t="s">
        <v>116</v>
      </c>
      <c r="DI693" t="s">
        <v>116</v>
      </c>
    </row>
    <row r="694" spans="1:113" x14ac:dyDescent="0.4">
      <c r="A694" t="str">
        <f>"002238"</f>
        <v>002238</v>
      </c>
      <c r="B694" t="s">
        <v>4339</v>
      </c>
      <c r="C694">
        <v>0</v>
      </c>
      <c r="D694">
        <v>7.95</v>
      </c>
      <c r="E694">
        <v>0</v>
      </c>
      <c r="F694">
        <v>7.95</v>
      </c>
      <c r="G694">
        <v>7.96</v>
      </c>
      <c r="H694">
        <v>51793</v>
      </c>
      <c r="I694">
        <v>1764</v>
      </c>
      <c r="J694">
        <v>0.38</v>
      </c>
      <c r="K694">
        <v>0.84</v>
      </c>
      <c r="L694">
        <v>7.98</v>
      </c>
      <c r="M694">
        <v>8.07</v>
      </c>
      <c r="N694">
        <v>7.9</v>
      </c>
      <c r="O694">
        <v>7.95</v>
      </c>
      <c r="P694">
        <v>22.94</v>
      </c>
      <c r="Q694">
        <v>41311740</v>
      </c>
      <c r="R694">
        <v>1.25</v>
      </c>
      <c r="S694" t="s">
        <v>589</v>
      </c>
      <c r="T694" t="s">
        <v>115</v>
      </c>
      <c r="U694">
        <v>2.14</v>
      </c>
      <c r="V694">
        <v>7.98</v>
      </c>
      <c r="W694">
        <v>29589</v>
      </c>
      <c r="X694">
        <v>22204</v>
      </c>
      <c r="Y694">
        <v>1.33</v>
      </c>
      <c r="Z694">
        <v>197</v>
      </c>
      <c r="AA694">
        <v>542</v>
      </c>
      <c r="AB694" t="s">
        <v>116</v>
      </c>
      <c r="AC694">
        <v>24700</v>
      </c>
      <c r="AD694">
        <v>0</v>
      </c>
      <c r="AE694" t="s">
        <v>116</v>
      </c>
      <c r="AF694" t="s">
        <v>116</v>
      </c>
      <c r="AG694">
        <v>6.17</v>
      </c>
      <c r="AH694" t="s">
        <v>4340</v>
      </c>
      <c r="AI694" t="s">
        <v>4340</v>
      </c>
      <c r="AJ694">
        <v>0.68</v>
      </c>
      <c r="AK694">
        <v>1449</v>
      </c>
      <c r="AL694">
        <v>36</v>
      </c>
      <c r="AM694">
        <v>5.9999999999999995E-4</v>
      </c>
      <c r="AN694">
        <v>0</v>
      </c>
      <c r="AO694">
        <v>1.66</v>
      </c>
      <c r="AP694">
        <v>9.1999999999999993</v>
      </c>
      <c r="AQ694">
        <v>-3.28</v>
      </c>
      <c r="AR694">
        <v>32.5</v>
      </c>
      <c r="AS694">
        <v>2.87</v>
      </c>
      <c r="AT694" t="s">
        <v>4341</v>
      </c>
      <c r="AU694">
        <v>23.71</v>
      </c>
      <c r="AV694">
        <v>24.89</v>
      </c>
      <c r="AW694">
        <v>1.39</v>
      </c>
      <c r="BA694">
        <v>0.38</v>
      </c>
      <c r="BB694">
        <v>1.51</v>
      </c>
      <c r="BC694">
        <v>-0.63</v>
      </c>
      <c r="BD694">
        <v>0.33</v>
      </c>
      <c r="BE694">
        <v>-0.38</v>
      </c>
      <c r="BF694">
        <v>-1.49</v>
      </c>
      <c r="BG694">
        <v>0.63</v>
      </c>
      <c r="BH694">
        <v>-0.33</v>
      </c>
      <c r="BI694">
        <v>20191030</v>
      </c>
      <c r="BJ694">
        <v>20080526</v>
      </c>
      <c r="BK694">
        <v>6.17</v>
      </c>
      <c r="BL694" t="s">
        <v>116</v>
      </c>
      <c r="BM694" t="s">
        <v>116</v>
      </c>
      <c r="BN694">
        <v>37.5</v>
      </c>
      <c r="BO694">
        <v>26.25</v>
      </c>
      <c r="BP694">
        <v>0.96</v>
      </c>
      <c r="BQ694">
        <v>27.45</v>
      </c>
      <c r="BR694">
        <v>15.91</v>
      </c>
      <c r="BS694">
        <v>10.19</v>
      </c>
      <c r="BT694">
        <v>3.08</v>
      </c>
      <c r="BU694">
        <v>9.42</v>
      </c>
      <c r="BV694">
        <v>0.27</v>
      </c>
      <c r="BW694">
        <v>0.99</v>
      </c>
      <c r="BX694">
        <v>2.21</v>
      </c>
      <c r="BY694">
        <v>11.53</v>
      </c>
      <c r="BZ694">
        <v>7.49</v>
      </c>
      <c r="CA694">
        <v>1.56</v>
      </c>
      <c r="CB694">
        <v>0.13</v>
      </c>
      <c r="CC694">
        <v>1.59</v>
      </c>
      <c r="CD694">
        <v>1.58</v>
      </c>
      <c r="CE694">
        <v>1.6</v>
      </c>
      <c r="CF694">
        <v>1.26</v>
      </c>
      <c r="CG694">
        <v>15.16</v>
      </c>
      <c r="CH694">
        <v>1.32</v>
      </c>
      <c r="CI694">
        <v>-1.85</v>
      </c>
      <c r="CJ694">
        <v>28797</v>
      </c>
      <c r="CK694">
        <v>6268</v>
      </c>
      <c r="CL694" t="s">
        <v>2763</v>
      </c>
      <c r="CM694">
        <v>6.49</v>
      </c>
      <c r="CN694">
        <v>1.1599999999999999</v>
      </c>
      <c r="CO694">
        <v>1.87</v>
      </c>
      <c r="CP694">
        <v>37.270000000000003</v>
      </c>
      <c r="CQ694">
        <v>4.26</v>
      </c>
      <c r="CR694">
        <v>6.29</v>
      </c>
      <c r="CS694" t="s">
        <v>4342</v>
      </c>
      <c r="CT694">
        <v>4.25</v>
      </c>
      <c r="CU694">
        <v>0</v>
      </c>
      <c r="CV694">
        <v>0.36</v>
      </c>
      <c r="CW694">
        <v>2.46</v>
      </c>
      <c r="CX694">
        <v>0.21</v>
      </c>
      <c r="CY694">
        <v>70</v>
      </c>
      <c r="CZ694" t="s">
        <v>4343</v>
      </c>
      <c r="DA694">
        <v>35.03</v>
      </c>
      <c r="DB694">
        <v>13.51</v>
      </c>
      <c r="DC694">
        <v>13.91</v>
      </c>
      <c r="DD694">
        <v>0.41</v>
      </c>
      <c r="DE694">
        <v>2260</v>
      </c>
      <c r="DF694">
        <v>2238</v>
      </c>
      <c r="DG694" t="s">
        <v>116</v>
      </c>
      <c r="DH694" t="s">
        <v>116</v>
      </c>
      <c r="DI694" t="s">
        <v>116</v>
      </c>
    </row>
    <row r="695" spans="1:113" x14ac:dyDescent="0.4">
      <c r="A695" t="str">
        <f>"002239"</f>
        <v>002239</v>
      </c>
      <c r="B695" t="s">
        <v>4344</v>
      </c>
      <c r="C695">
        <v>-1.1499999999999999</v>
      </c>
      <c r="D695">
        <v>1.72</v>
      </c>
      <c r="E695">
        <v>-0.02</v>
      </c>
      <c r="F695">
        <v>1.72</v>
      </c>
      <c r="G695">
        <v>1.73</v>
      </c>
      <c r="H695">
        <v>213978</v>
      </c>
      <c r="I695">
        <v>4898</v>
      </c>
      <c r="J695">
        <v>0</v>
      </c>
      <c r="K695">
        <v>0.69</v>
      </c>
      <c r="L695">
        <v>1.74</v>
      </c>
      <c r="M695">
        <v>1.75</v>
      </c>
      <c r="N695">
        <v>1.72</v>
      </c>
      <c r="O695">
        <v>1.74</v>
      </c>
      <c r="P695">
        <v>165.93</v>
      </c>
      <c r="Q695">
        <v>37042868</v>
      </c>
      <c r="R695">
        <v>1.1000000000000001</v>
      </c>
      <c r="S695" t="s">
        <v>293</v>
      </c>
      <c r="T695" t="s">
        <v>323</v>
      </c>
      <c r="U695">
        <v>1.72</v>
      </c>
      <c r="V695">
        <v>1.73</v>
      </c>
      <c r="W695">
        <v>142741</v>
      </c>
      <c r="X695">
        <v>71237</v>
      </c>
      <c r="Y695">
        <v>2</v>
      </c>
      <c r="Z695">
        <v>6920</v>
      </c>
      <c r="AA695">
        <v>8784</v>
      </c>
      <c r="AB695" t="s">
        <v>116</v>
      </c>
      <c r="AC695">
        <v>92000</v>
      </c>
      <c r="AD695">
        <v>0</v>
      </c>
      <c r="AE695" t="s">
        <v>116</v>
      </c>
      <c r="AF695" t="s">
        <v>116</v>
      </c>
      <c r="AG695">
        <v>30.92</v>
      </c>
      <c r="AH695" t="s">
        <v>4345</v>
      </c>
      <c r="AI695" t="s">
        <v>4346</v>
      </c>
      <c r="AJ695">
        <v>-0.47</v>
      </c>
      <c r="AK695">
        <v>1047</v>
      </c>
      <c r="AL695">
        <v>204</v>
      </c>
      <c r="AM695">
        <v>6.9999999999999999E-4</v>
      </c>
      <c r="AN695">
        <v>-1</v>
      </c>
      <c r="AO695">
        <v>-1.1499999999999999</v>
      </c>
      <c r="AP695">
        <v>-2.82</v>
      </c>
      <c r="AQ695">
        <v>2.38</v>
      </c>
      <c r="AR695">
        <v>-14</v>
      </c>
      <c r="AS695">
        <v>1.58</v>
      </c>
      <c r="AT695" t="s">
        <v>4347</v>
      </c>
      <c r="AU695" t="s">
        <v>116</v>
      </c>
      <c r="AV695">
        <v>135.32</v>
      </c>
      <c r="AW695">
        <v>1.1200000000000001</v>
      </c>
      <c r="BA695">
        <v>0</v>
      </c>
      <c r="BB695">
        <v>0.56999999999999995</v>
      </c>
      <c r="BC695">
        <v>-1.1499999999999999</v>
      </c>
      <c r="BD695">
        <v>-0.51</v>
      </c>
      <c r="BE695">
        <v>-1.1499999999999999</v>
      </c>
      <c r="BF695">
        <v>-1.71</v>
      </c>
      <c r="BG695">
        <v>0</v>
      </c>
      <c r="BH695">
        <v>-0.64</v>
      </c>
      <c r="BI695">
        <v>20191025</v>
      </c>
      <c r="BJ695">
        <v>20080522</v>
      </c>
      <c r="BK695">
        <v>31.31</v>
      </c>
      <c r="BL695" t="s">
        <v>116</v>
      </c>
      <c r="BM695" t="s">
        <v>116</v>
      </c>
      <c r="BN695">
        <v>82.87</v>
      </c>
      <c r="BO695">
        <v>52.07</v>
      </c>
      <c r="BP695">
        <v>0.08</v>
      </c>
      <c r="BQ695">
        <v>37.07</v>
      </c>
      <c r="BR695">
        <v>35.5</v>
      </c>
      <c r="BS695">
        <v>12.22</v>
      </c>
      <c r="BT695">
        <v>4.3899999999999997</v>
      </c>
      <c r="BU695">
        <v>24.37</v>
      </c>
      <c r="BV695">
        <v>10.050000000000001</v>
      </c>
      <c r="BW695">
        <v>9.83</v>
      </c>
      <c r="BX695">
        <v>8.9700000000000006</v>
      </c>
      <c r="BY695">
        <v>23.91</v>
      </c>
      <c r="BZ695">
        <v>19.78</v>
      </c>
      <c r="CA695">
        <v>0.14000000000000001</v>
      </c>
      <c r="CB695">
        <v>0.22</v>
      </c>
      <c r="CC695">
        <v>0.15</v>
      </c>
      <c r="CD695">
        <v>0.24</v>
      </c>
      <c r="CE695">
        <v>0.24</v>
      </c>
      <c r="CF695">
        <v>0.12</v>
      </c>
      <c r="CG695">
        <v>11.11</v>
      </c>
      <c r="CH695">
        <v>2.78</v>
      </c>
      <c r="CI695">
        <v>-0.21</v>
      </c>
      <c r="CJ695">
        <v>75355</v>
      </c>
      <c r="CK695">
        <v>17957</v>
      </c>
      <c r="CL695" t="s">
        <v>4348</v>
      </c>
      <c r="CM695">
        <v>-94.3</v>
      </c>
      <c r="CN695">
        <v>-23.3</v>
      </c>
      <c r="CO695">
        <v>1.03</v>
      </c>
      <c r="CP695">
        <v>19.350000000000001</v>
      </c>
      <c r="CQ695">
        <v>2.25</v>
      </c>
      <c r="CR695">
        <v>0</v>
      </c>
      <c r="CS695" t="s">
        <v>571</v>
      </c>
      <c r="CT695">
        <v>1.66</v>
      </c>
      <c r="CU695">
        <v>0</v>
      </c>
      <c r="CV695">
        <v>0.28999999999999998</v>
      </c>
      <c r="CW695">
        <v>0.35</v>
      </c>
      <c r="CX695">
        <v>0.09</v>
      </c>
      <c r="CY695">
        <v>62.84</v>
      </c>
      <c r="CZ695" t="s">
        <v>4349</v>
      </c>
      <c r="DA695">
        <v>17.28</v>
      </c>
      <c r="DB695">
        <v>0.56999999999999995</v>
      </c>
      <c r="DC695">
        <v>1.02</v>
      </c>
      <c r="DD695">
        <v>0.76</v>
      </c>
      <c r="DE695">
        <v>5915</v>
      </c>
      <c r="DF695">
        <v>2239</v>
      </c>
      <c r="DG695" t="s">
        <v>116</v>
      </c>
      <c r="DH695" t="s">
        <v>116</v>
      </c>
      <c r="DI695" t="s">
        <v>116</v>
      </c>
    </row>
    <row r="696" spans="1:113" x14ac:dyDescent="0.4">
      <c r="A696" t="str">
        <f>"002240"</f>
        <v>002240</v>
      </c>
      <c r="B696" t="s">
        <v>4350</v>
      </c>
      <c r="C696">
        <v>3.23</v>
      </c>
      <c r="D696">
        <v>7.66</v>
      </c>
      <c r="E696">
        <v>0.24</v>
      </c>
      <c r="F696">
        <v>7.65</v>
      </c>
      <c r="G696">
        <v>7.66</v>
      </c>
      <c r="H696">
        <v>265586</v>
      </c>
      <c r="I696">
        <v>2189</v>
      </c>
      <c r="J696">
        <v>-0.12</v>
      </c>
      <c r="K696">
        <v>5.41</v>
      </c>
      <c r="L696">
        <v>7.47</v>
      </c>
      <c r="M696">
        <v>8</v>
      </c>
      <c r="N696">
        <v>7.42</v>
      </c>
      <c r="O696">
        <v>7.42</v>
      </c>
      <c r="P696">
        <v>46.86</v>
      </c>
      <c r="Q696">
        <v>205115424</v>
      </c>
      <c r="R696">
        <v>2.14</v>
      </c>
      <c r="S696" t="s">
        <v>2640</v>
      </c>
      <c r="T696" t="s">
        <v>115</v>
      </c>
      <c r="U696">
        <v>7.82</v>
      </c>
      <c r="V696">
        <v>7.72</v>
      </c>
      <c r="W696">
        <v>116981</v>
      </c>
      <c r="X696">
        <v>148605</v>
      </c>
      <c r="Y696">
        <v>0.79</v>
      </c>
      <c r="Z696">
        <v>748</v>
      </c>
      <c r="AA696">
        <v>388</v>
      </c>
      <c r="AB696" t="s">
        <v>116</v>
      </c>
      <c r="AC696">
        <v>688700</v>
      </c>
      <c r="AD696">
        <v>0.03</v>
      </c>
      <c r="AE696" t="s">
        <v>116</v>
      </c>
      <c r="AF696" t="s">
        <v>116</v>
      </c>
      <c r="AG696">
        <v>4.91</v>
      </c>
      <c r="AH696" t="s">
        <v>4351</v>
      </c>
      <c r="AI696" t="s">
        <v>4352</v>
      </c>
      <c r="AJ696">
        <v>3.91</v>
      </c>
      <c r="AK696">
        <v>3116</v>
      </c>
      <c r="AL696">
        <v>85</v>
      </c>
      <c r="AM696">
        <v>1.6999999999999999E-3</v>
      </c>
      <c r="AN696">
        <v>4</v>
      </c>
      <c r="AO696">
        <v>5.8</v>
      </c>
      <c r="AP696">
        <v>6.24</v>
      </c>
      <c r="AQ696">
        <v>1.19</v>
      </c>
      <c r="AR696">
        <v>5.08</v>
      </c>
      <c r="AS696">
        <v>8.17</v>
      </c>
      <c r="AT696" t="s">
        <v>4353</v>
      </c>
      <c r="AU696">
        <v>43.58</v>
      </c>
      <c r="AV696">
        <v>31.46</v>
      </c>
      <c r="AW696">
        <v>0.92</v>
      </c>
      <c r="BA696">
        <v>0.67</v>
      </c>
      <c r="BB696">
        <v>7.82</v>
      </c>
      <c r="BC696">
        <v>0</v>
      </c>
      <c r="BD696">
        <v>4.09</v>
      </c>
      <c r="BE696">
        <v>2.54</v>
      </c>
      <c r="BF696">
        <v>-4.25</v>
      </c>
      <c r="BG696">
        <v>3.23</v>
      </c>
      <c r="BH696">
        <v>-0.85</v>
      </c>
      <c r="BI696">
        <v>20191205</v>
      </c>
      <c r="BJ696">
        <v>20080523</v>
      </c>
      <c r="BK696">
        <v>6.57</v>
      </c>
      <c r="BL696" t="s">
        <v>116</v>
      </c>
      <c r="BM696" t="s">
        <v>116</v>
      </c>
      <c r="BN696">
        <v>40.090000000000003</v>
      </c>
      <c r="BO696">
        <v>22.42</v>
      </c>
      <c r="BP696">
        <v>0.84</v>
      </c>
      <c r="BQ696">
        <v>41.97</v>
      </c>
      <c r="BR696">
        <v>18.98</v>
      </c>
      <c r="BS696">
        <v>14.17</v>
      </c>
      <c r="BT696">
        <v>1.42</v>
      </c>
      <c r="BU696">
        <v>14.14</v>
      </c>
      <c r="BV696">
        <v>10.65</v>
      </c>
      <c r="BW696">
        <v>2.48</v>
      </c>
      <c r="BX696">
        <v>15.12</v>
      </c>
      <c r="BY696">
        <v>17.11</v>
      </c>
      <c r="BZ696">
        <v>14.47</v>
      </c>
      <c r="CA696">
        <v>0.89</v>
      </c>
      <c r="CB696">
        <v>-7.0000000000000007E-2</v>
      </c>
      <c r="CC696">
        <v>0.89</v>
      </c>
      <c r="CD696">
        <v>0.82</v>
      </c>
      <c r="CE696">
        <v>0.81</v>
      </c>
      <c r="CF696">
        <v>0.77</v>
      </c>
      <c r="CG696">
        <v>1.48</v>
      </c>
      <c r="CH696">
        <v>1.69</v>
      </c>
      <c r="CI696">
        <v>-1.4</v>
      </c>
      <c r="CJ696">
        <v>37508</v>
      </c>
      <c r="CK696">
        <v>8671</v>
      </c>
      <c r="CL696" t="s">
        <v>4354</v>
      </c>
      <c r="CM696">
        <v>-35.58</v>
      </c>
      <c r="CN696">
        <v>-7.64</v>
      </c>
      <c r="CO696">
        <v>1.83</v>
      </c>
      <c r="CP696">
        <v>29.85</v>
      </c>
      <c r="CQ696">
        <v>2.94</v>
      </c>
      <c r="CR696">
        <v>0</v>
      </c>
      <c r="CS696" t="s">
        <v>829</v>
      </c>
      <c r="CT696">
        <v>4.1900000000000004</v>
      </c>
      <c r="CU696">
        <v>4.1900000000000004</v>
      </c>
      <c r="CV696">
        <v>2.2999999999999998</v>
      </c>
      <c r="CW696">
        <v>0.23</v>
      </c>
      <c r="CX696">
        <v>0.26</v>
      </c>
      <c r="CY696">
        <v>55.94</v>
      </c>
      <c r="CZ696" t="s">
        <v>1210</v>
      </c>
      <c r="DA696">
        <v>15.42</v>
      </c>
      <c r="DB696">
        <v>5.18</v>
      </c>
      <c r="DC696">
        <v>4.71</v>
      </c>
      <c r="DD696">
        <v>7.0000000000000007E-2</v>
      </c>
      <c r="DE696">
        <v>1906</v>
      </c>
      <c r="DF696">
        <v>2240</v>
      </c>
      <c r="DG696" t="s">
        <v>116</v>
      </c>
      <c r="DH696" t="s">
        <v>116</v>
      </c>
      <c r="DI696" t="s">
        <v>116</v>
      </c>
    </row>
    <row r="697" spans="1:113" x14ac:dyDescent="0.4">
      <c r="A697" t="str">
        <f>"002241"</f>
        <v>002241</v>
      </c>
      <c r="B697" t="s">
        <v>4355</v>
      </c>
      <c r="C697">
        <v>-0.44</v>
      </c>
      <c r="D697">
        <v>20.14</v>
      </c>
      <c r="E697">
        <v>-0.09</v>
      </c>
      <c r="F697">
        <v>20.14</v>
      </c>
      <c r="G697">
        <v>20.16</v>
      </c>
      <c r="H697">
        <v>455487</v>
      </c>
      <c r="I697">
        <v>5488</v>
      </c>
      <c r="J697">
        <v>-0.43</v>
      </c>
      <c r="K697">
        <v>1.65</v>
      </c>
      <c r="L697">
        <v>20.25</v>
      </c>
      <c r="M697">
        <v>20.56</v>
      </c>
      <c r="N697">
        <v>20</v>
      </c>
      <c r="O697">
        <v>20.23</v>
      </c>
      <c r="P697">
        <v>49.76</v>
      </c>
      <c r="Q697">
        <v>925838400</v>
      </c>
      <c r="R697">
        <v>0.92</v>
      </c>
      <c r="S697" t="s">
        <v>233</v>
      </c>
      <c r="T697" t="s">
        <v>645</v>
      </c>
      <c r="U697">
        <v>2.77</v>
      </c>
      <c r="V697">
        <v>20.329999999999998</v>
      </c>
      <c r="W697">
        <v>222165</v>
      </c>
      <c r="X697">
        <v>233321</v>
      </c>
      <c r="Y697">
        <v>0.95</v>
      </c>
      <c r="Z697">
        <v>6</v>
      </c>
      <c r="AA697">
        <v>16</v>
      </c>
      <c r="AB697" t="s">
        <v>116</v>
      </c>
      <c r="AC697">
        <v>3300900</v>
      </c>
      <c r="AD697">
        <v>0.01</v>
      </c>
      <c r="AE697" t="s">
        <v>116</v>
      </c>
      <c r="AF697" t="s">
        <v>116</v>
      </c>
      <c r="AG697">
        <v>27.66</v>
      </c>
      <c r="AH697" t="s">
        <v>4356</v>
      </c>
      <c r="AI697" t="s">
        <v>4357</v>
      </c>
      <c r="AJ697">
        <v>0.23</v>
      </c>
      <c r="AK697">
        <v>4448</v>
      </c>
      <c r="AL697">
        <v>102</v>
      </c>
      <c r="AM697">
        <v>4.0000000000000002E-4</v>
      </c>
      <c r="AN697">
        <v>-1</v>
      </c>
      <c r="AO697">
        <v>-1.42</v>
      </c>
      <c r="AP697">
        <v>3.87</v>
      </c>
      <c r="AQ697">
        <v>10.84</v>
      </c>
      <c r="AR697">
        <v>197.05</v>
      </c>
      <c r="AS697">
        <v>2.2400000000000002</v>
      </c>
      <c r="AT697" t="s">
        <v>4358</v>
      </c>
      <c r="AU697">
        <v>65.58</v>
      </c>
      <c r="AV697">
        <v>75.319999999999993</v>
      </c>
      <c r="AW697">
        <v>1.82</v>
      </c>
      <c r="BA697">
        <v>0.1</v>
      </c>
      <c r="BB697">
        <v>1.63</v>
      </c>
      <c r="BC697">
        <v>-1.1399999999999999</v>
      </c>
      <c r="BD697">
        <v>0.48</v>
      </c>
      <c r="BE697">
        <v>-0.54</v>
      </c>
      <c r="BF697">
        <v>-2.04</v>
      </c>
      <c r="BG697">
        <v>0.7</v>
      </c>
      <c r="BH697">
        <v>-0.92</v>
      </c>
      <c r="BI697">
        <v>20191225</v>
      </c>
      <c r="BJ697">
        <v>20080522</v>
      </c>
      <c r="BK697">
        <v>32.450000000000003</v>
      </c>
      <c r="BL697" t="s">
        <v>116</v>
      </c>
      <c r="BM697" t="s">
        <v>116</v>
      </c>
      <c r="BN697">
        <v>335.08</v>
      </c>
      <c r="BO697">
        <v>159.07</v>
      </c>
      <c r="BP697">
        <v>-0.12</v>
      </c>
      <c r="BQ697">
        <v>52.56</v>
      </c>
      <c r="BR697">
        <v>169.77</v>
      </c>
      <c r="BS697">
        <v>109.05</v>
      </c>
      <c r="BT697">
        <v>22.26</v>
      </c>
      <c r="BU697">
        <v>168.15</v>
      </c>
      <c r="BV697">
        <v>49.7</v>
      </c>
      <c r="BW697">
        <v>82.12</v>
      </c>
      <c r="BX697">
        <v>29.97</v>
      </c>
      <c r="BY697">
        <v>241.34</v>
      </c>
      <c r="BZ697">
        <v>202.42</v>
      </c>
      <c r="CA697">
        <v>11.99</v>
      </c>
      <c r="CB697">
        <v>-0.71</v>
      </c>
      <c r="CC697">
        <v>11.85</v>
      </c>
      <c r="CD697">
        <v>9.85</v>
      </c>
      <c r="CE697">
        <v>9.85</v>
      </c>
      <c r="CF697">
        <v>10.87</v>
      </c>
      <c r="CG697">
        <v>90.57</v>
      </c>
      <c r="CH697">
        <v>31.08</v>
      </c>
      <c r="CI697">
        <v>6.62</v>
      </c>
      <c r="CJ697">
        <v>114440</v>
      </c>
      <c r="CK697">
        <v>17782</v>
      </c>
      <c r="CL697" t="s">
        <v>4359</v>
      </c>
      <c r="CM697">
        <v>15.04</v>
      </c>
      <c r="CN697">
        <v>56.23</v>
      </c>
      <c r="CO697">
        <v>4.1100000000000003</v>
      </c>
      <c r="CP697">
        <v>21.03</v>
      </c>
      <c r="CQ697">
        <v>2.71</v>
      </c>
      <c r="CR697">
        <v>0.49</v>
      </c>
      <c r="CS697" t="s">
        <v>3626</v>
      </c>
      <c r="CT697">
        <v>4.9000000000000004</v>
      </c>
      <c r="CU697">
        <v>0</v>
      </c>
      <c r="CV697">
        <v>0.92</v>
      </c>
      <c r="CW697">
        <v>2.79</v>
      </c>
      <c r="CX697">
        <v>0.96</v>
      </c>
      <c r="CY697">
        <v>47.47</v>
      </c>
      <c r="CZ697" t="s">
        <v>4360</v>
      </c>
      <c r="DA697">
        <v>16.13</v>
      </c>
      <c r="DB697">
        <v>4.97</v>
      </c>
      <c r="DC697">
        <v>4.08</v>
      </c>
      <c r="DD697">
        <v>11.21</v>
      </c>
      <c r="DE697">
        <v>48652</v>
      </c>
      <c r="DF697">
        <v>2241</v>
      </c>
      <c r="DG697" t="s">
        <v>116</v>
      </c>
      <c r="DH697" t="s">
        <v>116</v>
      </c>
      <c r="DI697" t="s">
        <v>116</v>
      </c>
    </row>
    <row r="698" spans="1:113" x14ac:dyDescent="0.4">
      <c r="A698" t="str">
        <f>"002242"</f>
        <v>002242</v>
      </c>
      <c r="B698" t="s">
        <v>4361</v>
      </c>
      <c r="C698">
        <v>-2.1800000000000002</v>
      </c>
      <c r="D698">
        <v>22.9</v>
      </c>
      <c r="E698">
        <v>-0.51</v>
      </c>
      <c r="F698">
        <v>22.9</v>
      </c>
      <c r="G698">
        <v>22.91</v>
      </c>
      <c r="H698">
        <v>36247</v>
      </c>
      <c r="I698">
        <v>407</v>
      </c>
      <c r="J698">
        <v>-0.16</v>
      </c>
      <c r="K698">
        <v>0.48</v>
      </c>
      <c r="L698">
        <v>23.37</v>
      </c>
      <c r="M698">
        <v>23.41</v>
      </c>
      <c r="N698">
        <v>22.9</v>
      </c>
      <c r="O698">
        <v>23.41</v>
      </c>
      <c r="P698">
        <v>21.33</v>
      </c>
      <c r="Q698">
        <v>83774584</v>
      </c>
      <c r="R698">
        <v>0.97</v>
      </c>
      <c r="S698" t="s">
        <v>209</v>
      </c>
      <c r="T698" t="s">
        <v>645</v>
      </c>
      <c r="U698">
        <v>2.1800000000000002</v>
      </c>
      <c r="V698">
        <v>23.11</v>
      </c>
      <c r="W698">
        <v>22569</v>
      </c>
      <c r="X698">
        <v>13678</v>
      </c>
      <c r="Y698">
        <v>1.65</v>
      </c>
      <c r="Z698">
        <v>353</v>
      </c>
      <c r="AA698">
        <v>24</v>
      </c>
      <c r="AB698" t="s">
        <v>116</v>
      </c>
      <c r="AC698">
        <v>222000</v>
      </c>
      <c r="AD698">
        <v>0</v>
      </c>
      <c r="AE698" t="s">
        <v>116</v>
      </c>
      <c r="AF698" t="s">
        <v>116</v>
      </c>
      <c r="AG698">
        <v>7.63</v>
      </c>
      <c r="AH698" t="s">
        <v>4362</v>
      </c>
      <c r="AI698" t="s">
        <v>4363</v>
      </c>
      <c r="AJ698">
        <v>-1.5</v>
      </c>
      <c r="AK698">
        <v>2026</v>
      </c>
      <c r="AL698">
        <v>18</v>
      </c>
      <c r="AM698">
        <v>2.0000000000000001E-4</v>
      </c>
      <c r="AN698">
        <v>-2</v>
      </c>
      <c r="AO698">
        <v>-0.78</v>
      </c>
      <c r="AP698">
        <v>1.37</v>
      </c>
      <c r="AQ698">
        <v>7.06</v>
      </c>
      <c r="AR698">
        <v>55.68</v>
      </c>
      <c r="AS698">
        <v>1.46</v>
      </c>
      <c r="AT698" t="s">
        <v>4364</v>
      </c>
      <c r="AU698">
        <v>21.89</v>
      </c>
      <c r="AV698">
        <v>23.3</v>
      </c>
      <c r="AW698">
        <v>1.01</v>
      </c>
      <c r="BA698">
        <v>-0.17</v>
      </c>
      <c r="BB698">
        <v>0</v>
      </c>
      <c r="BC698">
        <v>-2.1800000000000002</v>
      </c>
      <c r="BD698">
        <v>-1.27</v>
      </c>
      <c r="BE698">
        <v>-2.0099999999999998</v>
      </c>
      <c r="BF698">
        <v>-2.1800000000000002</v>
      </c>
      <c r="BG698">
        <v>0</v>
      </c>
      <c r="BH698">
        <v>-0.91</v>
      </c>
      <c r="BI698">
        <v>20191031</v>
      </c>
      <c r="BJ698">
        <v>20080528</v>
      </c>
      <c r="BK698">
        <v>7.67</v>
      </c>
      <c r="BL698" t="s">
        <v>116</v>
      </c>
      <c r="BM698" t="s">
        <v>116</v>
      </c>
      <c r="BN698">
        <v>62.28</v>
      </c>
      <c r="BO698">
        <v>35.299999999999997</v>
      </c>
      <c r="BP698">
        <v>0.09</v>
      </c>
      <c r="BQ698">
        <v>43.17</v>
      </c>
      <c r="BR698">
        <v>43.61</v>
      </c>
      <c r="BS698">
        <v>6.83</v>
      </c>
      <c r="BT698">
        <v>1.24</v>
      </c>
      <c r="BU698">
        <v>26.73</v>
      </c>
      <c r="BV698">
        <v>7.08</v>
      </c>
      <c r="BW698">
        <v>4.8099999999999996</v>
      </c>
      <c r="BX698">
        <v>8.66</v>
      </c>
      <c r="BY698">
        <v>62.55</v>
      </c>
      <c r="BZ698">
        <v>42.32</v>
      </c>
      <c r="CA698">
        <v>7.16</v>
      </c>
      <c r="CB698">
        <v>0.53</v>
      </c>
      <c r="CC698">
        <v>7.13</v>
      </c>
      <c r="CD698">
        <v>6.08</v>
      </c>
      <c r="CE698">
        <v>6.18</v>
      </c>
      <c r="CF698">
        <v>5.83</v>
      </c>
      <c r="CG698">
        <v>14.77</v>
      </c>
      <c r="CH698">
        <v>9.2200000000000006</v>
      </c>
      <c r="CI698">
        <v>-2.5299999999999998</v>
      </c>
      <c r="CJ698">
        <v>27044</v>
      </c>
      <c r="CK698">
        <v>9192</v>
      </c>
      <c r="CL698" t="s">
        <v>4365</v>
      </c>
      <c r="CM698">
        <v>8.5399999999999991</v>
      </c>
      <c r="CN698">
        <v>15.02</v>
      </c>
      <c r="CO698">
        <v>4.9800000000000004</v>
      </c>
      <c r="CP698">
        <v>19.059999999999999</v>
      </c>
      <c r="CQ698">
        <v>2.81</v>
      </c>
      <c r="CR698">
        <v>5.68</v>
      </c>
      <c r="CS698" t="s">
        <v>4366</v>
      </c>
      <c r="CT698">
        <v>4.5999999999999996</v>
      </c>
      <c r="CU698">
        <v>0</v>
      </c>
      <c r="CV698">
        <v>1.1299999999999999</v>
      </c>
      <c r="CW698">
        <v>1.93</v>
      </c>
      <c r="CX698">
        <v>1.2</v>
      </c>
      <c r="CY698">
        <v>56.68</v>
      </c>
      <c r="CZ698" t="s">
        <v>4367</v>
      </c>
      <c r="DA698">
        <v>32.340000000000003</v>
      </c>
      <c r="DB698">
        <v>11.45</v>
      </c>
      <c r="DC698">
        <v>9.8800000000000008</v>
      </c>
      <c r="DD698">
        <v>2.11</v>
      </c>
      <c r="DE698">
        <v>2665</v>
      </c>
      <c r="DF698">
        <v>2242</v>
      </c>
      <c r="DG698" t="s">
        <v>116</v>
      </c>
      <c r="DH698" t="s">
        <v>116</v>
      </c>
      <c r="DI698" t="s">
        <v>116</v>
      </c>
    </row>
    <row r="699" spans="1:113" x14ac:dyDescent="0.4">
      <c r="A699" t="str">
        <f>"002243"</f>
        <v>002243</v>
      </c>
      <c r="B699" t="s">
        <v>4368</v>
      </c>
      <c r="C699">
        <v>1.77</v>
      </c>
      <c r="D699">
        <v>14.97</v>
      </c>
      <c r="E699">
        <v>0.26</v>
      </c>
      <c r="F699">
        <v>14.97</v>
      </c>
      <c r="G699">
        <v>14.98</v>
      </c>
      <c r="H699">
        <v>99335</v>
      </c>
      <c r="I699">
        <v>3026</v>
      </c>
      <c r="J699">
        <v>0.6</v>
      </c>
      <c r="K699">
        <v>2.72</v>
      </c>
      <c r="L699">
        <v>14.75</v>
      </c>
      <c r="M699">
        <v>15.16</v>
      </c>
      <c r="N699">
        <v>14.62</v>
      </c>
      <c r="O699">
        <v>14.71</v>
      </c>
      <c r="P699">
        <v>142.46</v>
      </c>
      <c r="Q699">
        <v>147723552</v>
      </c>
      <c r="R699">
        <v>1.05</v>
      </c>
      <c r="S699" t="s">
        <v>2444</v>
      </c>
      <c r="T699" t="s">
        <v>115</v>
      </c>
      <c r="U699">
        <v>3.67</v>
      </c>
      <c r="V699">
        <v>14.87</v>
      </c>
      <c r="W699">
        <v>49589</v>
      </c>
      <c r="X699">
        <v>49746</v>
      </c>
      <c r="Y699">
        <v>1</v>
      </c>
      <c r="Z699">
        <v>284</v>
      </c>
      <c r="AA699">
        <v>189</v>
      </c>
      <c r="AB699" t="s">
        <v>116</v>
      </c>
      <c r="AC699">
        <v>196200</v>
      </c>
      <c r="AD699">
        <v>0.01</v>
      </c>
      <c r="AE699" t="s">
        <v>116</v>
      </c>
      <c r="AF699" t="s">
        <v>116</v>
      </c>
      <c r="AG699">
        <v>3.65</v>
      </c>
      <c r="AH699" t="s">
        <v>4369</v>
      </c>
      <c r="AI699" t="s">
        <v>4370</v>
      </c>
      <c r="AJ699">
        <v>2.4500000000000002</v>
      </c>
      <c r="AK699">
        <v>2469</v>
      </c>
      <c r="AL699">
        <v>40</v>
      </c>
      <c r="AM699">
        <v>1.1000000000000001E-3</v>
      </c>
      <c r="AN699">
        <v>2</v>
      </c>
      <c r="AO699">
        <v>1.49</v>
      </c>
      <c r="AP699">
        <v>2.25</v>
      </c>
      <c r="AQ699">
        <v>5.8</v>
      </c>
      <c r="AR699">
        <v>8.7100000000000009</v>
      </c>
      <c r="AS699">
        <v>5.61</v>
      </c>
      <c r="AT699" t="s">
        <v>4371</v>
      </c>
      <c r="AU699">
        <v>145.78</v>
      </c>
      <c r="AV699">
        <v>212.35</v>
      </c>
      <c r="AW699">
        <v>0.65</v>
      </c>
      <c r="BA699">
        <v>0.27</v>
      </c>
      <c r="BB699">
        <v>3.06</v>
      </c>
      <c r="BC699">
        <v>-0.61</v>
      </c>
      <c r="BD699">
        <v>1.1000000000000001</v>
      </c>
      <c r="BE699">
        <v>1.49</v>
      </c>
      <c r="BF699">
        <v>-1.25</v>
      </c>
      <c r="BG699">
        <v>2.39</v>
      </c>
      <c r="BH699">
        <v>0.67</v>
      </c>
      <c r="BI699">
        <v>20191217</v>
      </c>
      <c r="BJ699">
        <v>20080528</v>
      </c>
      <c r="BK699">
        <v>11.65</v>
      </c>
      <c r="BL699" t="s">
        <v>116</v>
      </c>
      <c r="BM699" t="s">
        <v>116</v>
      </c>
      <c r="BN699">
        <v>20.81</v>
      </c>
      <c r="BO699">
        <v>16.260000000000002</v>
      </c>
      <c r="BP699">
        <v>0.77</v>
      </c>
      <c r="BQ699">
        <v>18.18</v>
      </c>
      <c r="BR699">
        <v>10.1</v>
      </c>
      <c r="BS699">
        <v>8.6</v>
      </c>
      <c r="BT699">
        <v>0.91</v>
      </c>
      <c r="BU699">
        <v>3.31</v>
      </c>
      <c r="BV699">
        <v>1.95</v>
      </c>
      <c r="BW699">
        <v>5.48</v>
      </c>
      <c r="BX699">
        <v>7.57</v>
      </c>
      <c r="BY699">
        <v>11.33</v>
      </c>
      <c r="BZ699">
        <v>8.5299999999999994</v>
      </c>
      <c r="CA699">
        <v>1.1100000000000001</v>
      </c>
      <c r="CB699">
        <v>0</v>
      </c>
      <c r="CC699">
        <v>1.1000000000000001</v>
      </c>
      <c r="CD699">
        <v>0.97</v>
      </c>
      <c r="CE699">
        <v>0.92</v>
      </c>
      <c r="CF699">
        <v>0.79</v>
      </c>
      <c r="CG699">
        <v>4.63</v>
      </c>
      <c r="CH699">
        <v>1.98</v>
      </c>
      <c r="CI699">
        <v>0.95</v>
      </c>
      <c r="CJ699">
        <v>34356</v>
      </c>
      <c r="CK699">
        <v>5150</v>
      </c>
      <c r="CL699" t="s">
        <v>4372</v>
      </c>
      <c r="CM699">
        <v>69.05</v>
      </c>
      <c r="CN699">
        <v>11.25</v>
      </c>
      <c r="CO699">
        <v>3.36</v>
      </c>
      <c r="CP699">
        <v>88.26</v>
      </c>
      <c r="CQ699">
        <v>15.38</v>
      </c>
      <c r="CR699">
        <v>0.1</v>
      </c>
      <c r="CS699" t="s">
        <v>3553</v>
      </c>
      <c r="CT699">
        <v>4.46</v>
      </c>
      <c r="CU699">
        <v>4.46</v>
      </c>
      <c r="CV699">
        <v>0.65</v>
      </c>
      <c r="CW699">
        <v>0.4</v>
      </c>
      <c r="CX699">
        <v>0.17</v>
      </c>
      <c r="CY699">
        <v>78.13</v>
      </c>
      <c r="CZ699" t="s">
        <v>4373</v>
      </c>
      <c r="DA699">
        <v>24.73</v>
      </c>
      <c r="DB699">
        <v>9.77</v>
      </c>
      <c r="DC699">
        <v>8.1</v>
      </c>
      <c r="DD699">
        <v>0.53</v>
      </c>
      <c r="DE699">
        <v>3792</v>
      </c>
      <c r="DF699">
        <v>2243</v>
      </c>
      <c r="DG699" t="s">
        <v>116</v>
      </c>
      <c r="DH699" t="s">
        <v>116</v>
      </c>
      <c r="DI699" t="s">
        <v>116</v>
      </c>
    </row>
    <row r="700" spans="1:113" x14ac:dyDescent="0.4">
      <c r="A700" t="str">
        <f>"002244"</f>
        <v>002244</v>
      </c>
      <c r="B700" t="s">
        <v>4374</v>
      </c>
      <c r="C700">
        <v>3.81</v>
      </c>
      <c r="D700">
        <v>4.91</v>
      </c>
      <c r="E700">
        <v>0.18</v>
      </c>
      <c r="F700">
        <v>4.9000000000000004</v>
      </c>
      <c r="G700">
        <v>4.91</v>
      </c>
      <c r="H700">
        <v>298656</v>
      </c>
      <c r="I700">
        <v>2822</v>
      </c>
      <c r="J700">
        <v>0.41</v>
      </c>
      <c r="K700">
        <v>1.1000000000000001</v>
      </c>
      <c r="L700">
        <v>4.76</v>
      </c>
      <c r="M700">
        <v>4.95</v>
      </c>
      <c r="N700">
        <v>4.7300000000000004</v>
      </c>
      <c r="O700">
        <v>4.7300000000000004</v>
      </c>
      <c r="P700">
        <v>13.3</v>
      </c>
      <c r="Q700">
        <v>145010688</v>
      </c>
      <c r="R700">
        <v>1.74</v>
      </c>
      <c r="S700" t="s">
        <v>148</v>
      </c>
      <c r="T700" t="s">
        <v>590</v>
      </c>
      <c r="U700">
        <v>4.6500000000000004</v>
      </c>
      <c r="V700">
        <v>4.8600000000000003</v>
      </c>
      <c r="W700">
        <v>125742</v>
      </c>
      <c r="X700">
        <v>172914</v>
      </c>
      <c r="Y700">
        <v>0.73</v>
      </c>
      <c r="Z700">
        <v>2875</v>
      </c>
      <c r="AA700">
        <v>797</v>
      </c>
      <c r="AB700" t="s">
        <v>116</v>
      </c>
      <c r="AC700">
        <v>451200</v>
      </c>
      <c r="AD700">
        <v>0.01</v>
      </c>
      <c r="AE700" t="s">
        <v>116</v>
      </c>
      <c r="AF700" t="s">
        <v>116</v>
      </c>
      <c r="AG700">
        <v>27.03</v>
      </c>
      <c r="AH700" t="s">
        <v>4375</v>
      </c>
      <c r="AI700" t="s">
        <v>4376</v>
      </c>
      <c r="AJ700">
        <v>4.4800000000000004</v>
      </c>
      <c r="AK700">
        <v>3057</v>
      </c>
      <c r="AL700">
        <v>98</v>
      </c>
      <c r="AM700">
        <v>4.0000000000000002E-4</v>
      </c>
      <c r="AN700">
        <v>2</v>
      </c>
      <c r="AO700">
        <v>5.15</v>
      </c>
      <c r="AP700">
        <v>14.45</v>
      </c>
      <c r="AQ700">
        <v>27.86</v>
      </c>
      <c r="AR700">
        <v>25.26</v>
      </c>
      <c r="AS700">
        <v>2.4</v>
      </c>
      <c r="AT700" t="s">
        <v>4377</v>
      </c>
      <c r="AU700">
        <v>11.14</v>
      </c>
      <c r="AV700">
        <v>12.55</v>
      </c>
      <c r="AW700">
        <v>0.37</v>
      </c>
      <c r="BA700">
        <v>0.63</v>
      </c>
      <c r="BB700">
        <v>4.6500000000000004</v>
      </c>
      <c r="BC700">
        <v>0</v>
      </c>
      <c r="BD700">
        <v>2.65</v>
      </c>
      <c r="BE700">
        <v>3.15</v>
      </c>
      <c r="BF700">
        <v>-0.81</v>
      </c>
      <c r="BG700">
        <v>3.81</v>
      </c>
      <c r="BH700">
        <v>1.1499999999999999</v>
      </c>
      <c r="BI700">
        <v>20191021</v>
      </c>
      <c r="BJ700">
        <v>20080529</v>
      </c>
      <c r="BK700">
        <v>31.11</v>
      </c>
      <c r="BL700" t="s">
        <v>116</v>
      </c>
      <c r="BM700" t="s">
        <v>116</v>
      </c>
      <c r="BN700">
        <v>1150.6500000000001</v>
      </c>
      <c r="BO700">
        <v>159.16</v>
      </c>
      <c r="BP700">
        <v>55.1</v>
      </c>
      <c r="BQ700">
        <v>81.38</v>
      </c>
      <c r="BR700">
        <v>1051.24</v>
      </c>
      <c r="BS700">
        <v>5.71</v>
      </c>
      <c r="BT700">
        <v>1.35</v>
      </c>
      <c r="BU700">
        <v>742.33</v>
      </c>
      <c r="BV700">
        <v>678.3</v>
      </c>
      <c r="BW700">
        <v>4.47</v>
      </c>
      <c r="BX700">
        <v>22.66</v>
      </c>
      <c r="BY700">
        <v>99.39</v>
      </c>
      <c r="BZ700">
        <v>59.41</v>
      </c>
      <c r="CA700">
        <v>24.56</v>
      </c>
      <c r="CB700">
        <v>3.47</v>
      </c>
      <c r="CC700">
        <v>24.42</v>
      </c>
      <c r="CD700">
        <v>18.37</v>
      </c>
      <c r="CE700">
        <v>8.61</v>
      </c>
      <c r="CF700">
        <v>8.6199999999999992</v>
      </c>
      <c r="CG700">
        <v>94.87</v>
      </c>
      <c r="CH700">
        <v>61.81</v>
      </c>
      <c r="CI700">
        <v>44.38</v>
      </c>
      <c r="CJ700">
        <v>43264</v>
      </c>
      <c r="CK700">
        <v>28797</v>
      </c>
      <c r="CL700" t="s">
        <v>4378</v>
      </c>
      <c r="CM700">
        <v>21.83</v>
      </c>
      <c r="CN700">
        <v>-18.75</v>
      </c>
      <c r="CO700">
        <v>0.96</v>
      </c>
      <c r="CP700">
        <v>2.4700000000000002</v>
      </c>
      <c r="CQ700">
        <v>1.54</v>
      </c>
      <c r="CR700">
        <v>1.22</v>
      </c>
      <c r="CS700" t="s">
        <v>4379</v>
      </c>
      <c r="CT700">
        <v>5.12</v>
      </c>
      <c r="CU700">
        <v>0</v>
      </c>
      <c r="CV700">
        <v>0.73</v>
      </c>
      <c r="CW700">
        <v>3.05</v>
      </c>
      <c r="CX700">
        <v>1.99</v>
      </c>
      <c r="CY700">
        <v>13.83</v>
      </c>
      <c r="CZ700" t="s">
        <v>737</v>
      </c>
      <c r="DA700">
        <v>40.22</v>
      </c>
      <c r="DB700">
        <v>24.71</v>
      </c>
      <c r="DC700">
        <v>8.67</v>
      </c>
      <c r="DD700">
        <v>0</v>
      </c>
      <c r="DE700">
        <v>1248</v>
      </c>
      <c r="DF700">
        <v>2244</v>
      </c>
      <c r="DG700" t="s">
        <v>116</v>
      </c>
      <c r="DH700" t="s">
        <v>116</v>
      </c>
      <c r="DI700" t="s">
        <v>116</v>
      </c>
    </row>
    <row r="701" spans="1:113" x14ac:dyDescent="0.4">
      <c r="A701" t="str">
        <f>"002245"</f>
        <v>002245</v>
      </c>
      <c r="B701" t="s">
        <v>4380</v>
      </c>
      <c r="C701">
        <v>-3.39</v>
      </c>
      <c r="D701">
        <v>3.99</v>
      </c>
      <c r="E701">
        <v>-0.14000000000000001</v>
      </c>
      <c r="F701">
        <v>3.99</v>
      </c>
      <c r="G701">
        <v>4</v>
      </c>
      <c r="H701">
        <v>165585</v>
      </c>
      <c r="I701">
        <v>1175</v>
      </c>
      <c r="J701">
        <v>-0.24</v>
      </c>
      <c r="K701">
        <v>1.81</v>
      </c>
      <c r="L701">
        <v>4.05</v>
      </c>
      <c r="M701">
        <v>4.0999999999999996</v>
      </c>
      <c r="N701">
        <v>3.98</v>
      </c>
      <c r="O701">
        <v>4.13</v>
      </c>
      <c r="P701">
        <v>30.62</v>
      </c>
      <c r="Q701">
        <v>66944496</v>
      </c>
      <c r="R701">
        <v>1.1299999999999999</v>
      </c>
      <c r="S701" t="s">
        <v>3113</v>
      </c>
      <c r="T701" t="s">
        <v>323</v>
      </c>
      <c r="U701">
        <v>2.91</v>
      </c>
      <c r="V701">
        <v>4.04</v>
      </c>
      <c r="W701">
        <v>106776</v>
      </c>
      <c r="X701">
        <v>58809</v>
      </c>
      <c r="Y701">
        <v>1.82</v>
      </c>
      <c r="Z701">
        <v>2678</v>
      </c>
      <c r="AA701">
        <v>1391</v>
      </c>
      <c r="AB701" t="s">
        <v>116</v>
      </c>
      <c r="AC701">
        <v>1243400</v>
      </c>
      <c r="AD701">
        <v>0.05</v>
      </c>
      <c r="AE701" t="s">
        <v>116</v>
      </c>
      <c r="AF701" t="s">
        <v>116</v>
      </c>
      <c r="AG701">
        <v>9.14</v>
      </c>
      <c r="AH701" t="s">
        <v>4381</v>
      </c>
      <c r="AI701" t="s">
        <v>4382</v>
      </c>
      <c r="AJ701">
        <v>-2.71</v>
      </c>
      <c r="AK701">
        <v>1625</v>
      </c>
      <c r="AL701">
        <v>102</v>
      </c>
      <c r="AM701">
        <v>1.1000000000000001E-3</v>
      </c>
      <c r="AN701">
        <v>-1</v>
      </c>
      <c r="AO701">
        <v>1.01</v>
      </c>
      <c r="AP701">
        <v>10.220000000000001</v>
      </c>
      <c r="AQ701">
        <v>11.76</v>
      </c>
      <c r="AR701">
        <v>3.5</v>
      </c>
      <c r="AS701">
        <v>2.8</v>
      </c>
      <c r="AT701" t="s">
        <v>4383</v>
      </c>
      <c r="AU701">
        <v>39.15</v>
      </c>
      <c r="AV701">
        <v>17.36</v>
      </c>
      <c r="AW701">
        <v>1.1200000000000001</v>
      </c>
      <c r="BA701">
        <v>-1.94</v>
      </c>
      <c r="BB701">
        <v>-0.73</v>
      </c>
      <c r="BC701">
        <v>-3.63</v>
      </c>
      <c r="BD701">
        <v>-2.11</v>
      </c>
      <c r="BE701">
        <v>-1.48</v>
      </c>
      <c r="BF701">
        <v>-2.68</v>
      </c>
      <c r="BG701">
        <v>0.25</v>
      </c>
      <c r="BH701">
        <v>-1.28</v>
      </c>
      <c r="BI701">
        <v>20191024</v>
      </c>
      <c r="BJ701">
        <v>20080605</v>
      </c>
      <c r="BK701">
        <v>9.81</v>
      </c>
      <c r="BL701" t="s">
        <v>116</v>
      </c>
      <c r="BM701" t="s">
        <v>116</v>
      </c>
      <c r="BN701">
        <v>69.16</v>
      </c>
      <c r="BO701">
        <v>20.79</v>
      </c>
      <c r="BP701">
        <v>8.51</v>
      </c>
      <c r="BQ701">
        <v>57.64</v>
      </c>
      <c r="BR701">
        <v>34.03</v>
      </c>
      <c r="BS701">
        <v>22.93</v>
      </c>
      <c r="BT701">
        <v>1.61</v>
      </c>
      <c r="BU701">
        <v>26.42</v>
      </c>
      <c r="BV701">
        <v>9.52</v>
      </c>
      <c r="BW701">
        <v>10.119999999999999</v>
      </c>
      <c r="BX701">
        <v>0</v>
      </c>
      <c r="BY701">
        <v>24.35</v>
      </c>
      <c r="BZ701">
        <v>21.45</v>
      </c>
      <c r="CA701">
        <v>1.51</v>
      </c>
      <c r="CB701">
        <v>0.03</v>
      </c>
      <c r="CC701">
        <v>1.59</v>
      </c>
      <c r="CD701">
        <v>1.37</v>
      </c>
      <c r="CE701">
        <v>0.96</v>
      </c>
      <c r="CF701">
        <v>0.25</v>
      </c>
      <c r="CG701">
        <v>10.47</v>
      </c>
      <c r="CH701">
        <v>7.04</v>
      </c>
      <c r="CI701">
        <v>0.18</v>
      </c>
      <c r="CJ701">
        <v>68956</v>
      </c>
      <c r="CK701">
        <v>8562</v>
      </c>
      <c r="CL701" t="s">
        <v>2637</v>
      </c>
      <c r="CM701">
        <v>-56.7</v>
      </c>
      <c r="CN701">
        <v>-22.97</v>
      </c>
      <c r="CO701">
        <v>1.93</v>
      </c>
      <c r="CP701">
        <v>5.56</v>
      </c>
      <c r="CQ701">
        <v>1.61</v>
      </c>
      <c r="CR701">
        <v>0.63</v>
      </c>
      <c r="CS701" t="s">
        <v>821</v>
      </c>
      <c r="CT701">
        <v>2.0699999999999998</v>
      </c>
      <c r="CU701">
        <v>2.0699999999999998</v>
      </c>
      <c r="CV701">
        <v>0</v>
      </c>
      <c r="CW701">
        <v>1.07</v>
      </c>
      <c r="CX701">
        <v>0.72</v>
      </c>
      <c r="CY701">
        <v>30.06</v>
      </c>
      <c r="CZ701" t="s">
        <v>4384</v>
      </c>
      <c r="DA701">
        <v>11.9</v>
      </c>
      <c r="DB701">
        <v>6.2</v>
      </c>
      <c r="DC701">
        <v>3.94</v>
      </c>
      <c r="DD701">
        <v>1.05</v>
      </c>
      <c r="DE701">
        <v>3115</v>
      </c>
      <c r="DF701">
        <v>2245</v>
      </c>
      <c r="DG701" t="s">
        <v>116</v>
      </c>
      <c r="DH701" t="s">
        <v>116</v>
      </c>
      <c r="DI701" t="s">
        <v>116</v>
      </c>
    </row>
    <row r="702" spans="1:113" x14ac:dyDescent="0.4">
      <c r="A702" t="str">
        <f>"002246"</f>
        <v>002246</v>
      </c>
      <c r="B702" t="s">
        <v>4385</v>
      </c>
      <c r="C702">
        <v>-0.13</v>
      </c>
      <c r="D702">
        <v>7.48</v>
      </c>
      <c r="E702">
        <v>-0.01</v>
      </c>
      <c r="F702">
        <v>7.48</v>
      </c>
      <c r="G702">
        <v>7.49</v>
      </c>
      <c r="H702">
        <v>34148</v>
      </c>
      <c r="I702">
        <v>503</v>
      </c>
      <c r="J702">
        <v>0</v>
      </c>
      <c r="K702">
        <v>0.76</v>
      </c>
      <c r="L702">
        <v>7.52</v>
      </c>
      <c r="M702">
        <v>7.59</v>
      </c>
      <c r="N702">
        <v>7.47</v>
      </c>
      <c r="O702">
        <v>7.49</v>
      </c>
      <c r="P702">
        <v>28.47</v>
      </c>
      <c r="Q702">
        <v>25683956</v>
      </c>
      <c r="R702">
        <v>1.27</v>
      </c>
      <c r="S702" t="s">
        <v>891</v>
      </c>
      <c r="T702" t="s">
        <v>582</v>
      </c>
      <c r="U702">
        <v>1.6</v>
      </c>
      <c r="V702">
        <v>7.52</v>
      </c>
      <c r="W702">
        <v>16995</v>
      </c>
      <c r="X702">
        <v>17153</v>
      </c>
      <c r="Y702">
        <v>0.99</v>
      </c>
      <c r="Z702">
        <v>127</v>
      </c>
      <c r="AA702">
        <v>371</v>
      </c>
      <c r="AB702" t="s">
        <v>116</v>
      </c>
      <c r="AC702">
        <v>72900</v>
      </c>
      <c r="AD702">
        <v>0</v>
      </c>
      <c r="AE702" t="s">
        <v>116</v>
      </c>
      <c r="AF702" t="s">
        <v>116</v>
      </c>
      <c r="AG702">
        <v>4.5</v>
      </c>
      <c r="AH702" t="s">
        <v>4386</v>
      </c>
      <c r="AI702" t="s">
        <v>4387</v>
      </c>
      <c r="AJ702">
        <v>0.55000000000000004</v>
      </c>
      <c r="AK702">
        <v>1348</v>
      </c>
      <c r="AL702">
        <v>25</v>
      </c>
      <c r="AM702">
        <v>5.9999999999999995E-4</v>
      </c>
      <c r="AN702">
        <v>-1</v>
      </c>
      <c r="AO702">
        <v>1.5</v>
      </c>
      <c r="AP702">
        <v>4.76</v>
      </c>
      <c r="AQ702">
        <v>-4.3499999999999996</v>
      </c>
      <c r="AR702">
        <v>14.11</v>
      </c>
      <c r="AS702">
        <v>1.53</v>
      </c>
      <c r="AT702" t="s">
        <v>4388</v>
      </c>
      <c r="AU702">
        <v>26.19</v>
      </c>
      <c r="AV702">
        <v>33.21</v>
      </c>
      <c r="AW702">
        <v>0.96</v>
      </c>
      <c r="BA702">
        <v>0.4</v>
      </c>
      <c r="BB702">
        <v>1.34</v>
      </c>
      <c r="BC702">
        <v>-0.27</v>
      </c>
      <c r="BD702">
        <v>0.42</v>
      </c>
      <c r="BE702">
        <v>-0.53</v>
      </c>
      <c r="BF702">
        <v>-1.45</v>
      </c>
      <c r="BG702">
        <v>0.13</v>
      </c>
      <c r="BH702">
        <v>-0.55000000000000004</v>
      </c>
      <c r="BI702">
        <v>20191223</v>
      </c>
      <c r="BJ702">
        <v>20080605</v>
      </c>
      <c r="BK702">
        <v>5.49</v>
      </c>
      <c r="BL702" t="s">
        <v>116</v>
      </c>
      <c r="BM702" t="s">
        <v>116</v>
      </c>
      <c r="BN702">
        <v>39.450000000000003</v>
      </c>
      <c r="BO702">
        <v>24.89</v>
      </c>
      <c r="BP702">
        <v>2.23</v>
      </c>
      <c r="BQ702">
        <v>31.25</v>
      </c>
      <c r="BR702">
        <v>26.38</v>
      </c>
      <c r="BS702">
        <v>8.74</v>
      </c>
      <c r="BT702">
        <v>3.32</v>
      </c>
      <c r="BU702">
        <v>11.72</v>
      </c>
      <c r="BV702">
        <v>5.65</v>
      </c>
      <c r="BW702">
        <v>7.21</v>
      </c>
      <c r="BX702">
        <v>9.9600000000000009</v>
      </c>
      <c r="BY702">
        <v>17.52</v>
      </c>
      <c r="BZ702">
        <v>13.08</v>
      </c>
      <c r="CA702">
        <v>1.1599999999999999</v>
      </c>
      <c r="CB702">
        <v>0.14000000000000001</v>
      </c>
      <c r="CC702">
        <v>1.2</v>
      </c>
      <c r="CD702">
        <v>1.07</v>
      </c>
      <c r="CE702">
        <v>1.08</v>
      </c>
      <c r="CF702">
        <v>0.8</v>
      </c>
      <c r="CG702">
        <v>8.6999999999999993</v>
      </c>
      <c r="CH702">
        <v>1.78</v>
      </c>
      <c r="CI702">
        <v>2.36</v>
      </c>
      <c r="CJ702">
        <v>38875</v>
      </c>
      <c r="CK702">
        <v>5755</v>
      </c>
      <c r="CL702" t="s">
        <v>4389</v>
      </c>
      <c r="CM702">
        <v>44.1</v>
      </c>
      <c r="CN702">
        <v>14.43</v>
      </c>
      <c r="CO702">
        <v>1.65</v>
      </c>
      <c r="CP702">
        <v>23.01</v>
      </c>
      <c r="CQ702">
        <v>2.34</v>
      </c>
      <c r="CR702">
        <v>0.74</v>
      </c>
      <c r="CS702" t="s">
        <v>4390</v>
      </c>
      <c r="CT702">
        <v>4.53</v>
      </c>
      <c r="CU702">
        <v>0</v>
      </c>
      <c r="CV702">
        <v>1.81</v>
      </c>
      <c r="CW702">
        <v>1.59</v>
      </c>
      <c r="CX702">
        <v>0.33</v>
      </c>
      <c r="CY702">
        <v>63.11</v>
      </c>
      <c r="CZ702" t="s">
        <v>4391</v>
      </c>
      <c r="DA702">
        <v>25.31</v>
      </c>
      <c r="DB702">
        <v>6.63</v>
      </c>
      <c r="DC702">
        <v>6.18</v>
      </c>
      <c r="DD702">
        <v>0.56999999999999995</v>
      </c>
      <c r="DE702">
        <v>3813</v>
      </c>
      <c r="DF702">
        <v>2246</v>
      </c>
      <c r="DG702" t="s">
        <v>116</v>
      </c>
      <c r="DH702" t="s">
        <v>116</v>
      </c>
      <c r="DI702" t="s">
        <v>116</v>
      </c>
    </row>
    <row r="703" spans="1:113" x14ac:dyDescent="0.4">
      <c r="A703" t="str">
        <f>"002247"</f>
        <v>002247</v>
      </c>
      <c r="B703" t="s">
        <v>4392</v>
      </c>
      <c r="C703">
        <v>-1.03</v>
      </c>
      <c r="D703">
        <v>2.89</v>
      </c>
      <c r="E703">
        <v>-0.03</v>
      </c>
      <c r="F703">
        <v>2.88</v>
      </c>
      <c r="G703">
        <v>2.89</v>
      </c>
      <c r="H703">
        <v>320239</v>
      </c>
      <c r="I703">
        <v>2844</v>
      </c>
      <c r="J703">
        <v>0</v>
      </c>
      <c r="K703">
        <v>5.88</v>
      </c>
      <c r="L703">
        <v>2.93</v>
      </c>
      <c r="M703">
        <v>3.02</v>
      </c>
      <c r="N703">
        <v>2.88</v>
      </c>
      <c r="O703">
        <v>2.92</v>
      </c>
      <c r="P703" t="s">
        <v>116</v>
      </c>
      <c r="Q703">
        <v>94685320</v>
      </c>
      <c r="R703">
        <v>1</v>
      </c>
      <c r="S703" t="s">
        <v>1384</v>
      </c>
      <c r="T703" t="s">
        <v>590</v>
      </c>
      <c r="U703">
        <v>4.79</v>
      </c>
      <c r="V703">
        <v>2.96</v>
      </c>
      <c r="W703">
        <v>164882</v>
      </c>
      <c r="X703">
        <v>155357</v>
      </c>
      <c r="Y703">
        <v>1.06</v>
      </c>
      <c r="Z703">
        <v>1959</v>
      </c>
      <c r="AA703">
        <v>530</v>
      </c>
      <c r="AB703" t="s">
        <v>116</v>
      </c>
      <c r="AC703">
        <v>871700</v>
      </c>
      <c r="AD703">
        <v>7.0000000000000007E-2</v>
      </c>
      <c r="AE703" t="s">
        <v>116</v>
      </c>
      <c r="AF703" t="s">
        <v>116</v>
      </c>
      <c r="AG703">
        <v>5.45</v>
      </c>
      <c r="AH703" t="s">
        <v>2300</v>
      </c>
      <c r="AI703" t="s">
        <v>4393</v>
      </c>
      <c r="AJ703">
        <v>-0.35</v>
      </c>
      <c r="AK703">
        <v>2119</v>
      </c>
      <c r="AL703">
        <v>151</v>
      </c>
      <c r="AM703">
        <v>2.8E-3</v>
      </c>
      <c r="AN703">
        <v>-2</v>
      </c>
      <c r="AO703">
        <v>-1.7</v>
      </c>
      <c r="AP703">
        <v>4.33</v>
      </c>
      <c r="AQ703">
        <v>1.4</v>
      </c>
      <c r="AR703">
        <v>-37.979999999999997</v>
      </c>
      <c r="AS703">
        <v>7.72</v>
      </c>
      <c r="AT703" t="s">
        <v>4394</v>
      </c>
      <c r="AU703" t="s">
        <v>116</v>
      </c>
      <c r="AV703" t="s">
        <v>116</v>
      </c>
      <c r="AW703">
        <v>1.43</v>
      </c>
      <c r="BA703">
        <v>0.34</v>
      </c>
      <c r="BB703">
        <v>3.42</v>
      </c>
      <c r="BC703">
        <v>-1.37</v>
      </c>
      <c r="BD703">
        <v>1.26</v>
      </c>
      <c r="BE703">
        <v>-1.37</v>
      </c>
      <c r="BF703">
        <v>-4.3</v>
      </c>
      <c r="BG703">
        <v>0.35</v>
      </c>
      <c r="BH703">
        <v>-2.2799999999999998</v>
      </c>
      <c r="BI703">
        <v>20191216</v>
      </c>
      <c r="BJ703">
        <v>20080612</v>
      </c>
      <c r="BK703">
        <v>8.51</v>
      </c>
      <c r="BL703" t="s">
        <v>116</v>
      </c>
      <c r="BM703" t="s">
        <v>116</v>
      </c>
      <c r="BN703">
        <v>31.5</v>
      </c>
      <c r="BO703">
        <v>20.170000000000002</v>
      </c>
      <c r="BP703">
        <v>-0.03</v>
      </c>
      <c r="BQ703">
        <v>36.07</v>
      </c>
      <c r="BR703">
        <v>22.43</v>
      </c>
      <c r="BS703">
        <v>3.44</v>
      </c>
      <c r="BT703">
        <v>1.21</v>
      </c>
      <c r="BU703">
        <v>10.49</v>
      </c>
      <c r="BV703">
        <v>1.1399999999999999</v>
      </c>
      <c r="BW703">
        <v>14.1</v>
      </c>
      <c r="BX703">
        <v>30.24</v>
      </c>
      <c r="BY703">
        <v>22.89</v>
      </c>
      <c r="BZ703">
        <v>20.399999999999999</v>
      </c>
      <c r="CA703">
        <v>-0.36</v>
      </c>
      <c r="CB703">
        <v>0.11</v>
      </c>
      <c r="CC703">
        <v>-0.35</v>
      </c>
      <c r="CD703">
        <v>-0.1</v>
      </c>
      <c r="CE703">
        <v>-7.0000000000000007E-2</v>
      </c>
      <c r="CF703">
        <v>-0.49</v>
      </c>
      <c r="CG703">
        <v>-19.149999999999999</v>
      </c>
      <c r="CH703">
        <v>0.44</v>
      </c>
      <c r="CI703">
        <v>-0.97</v>
      </c>
      <c r="CJ703">
        <v>40900</v>
      </c>
      <c r="CK703">
        <v>10142</v>
      </c>
      <c r="CL703" t="s">
        <v>1886</v>
      </c>
      <c r="CM703">
        <v>-102.08</v>
      </c>
      <c r="CN703">
        <v>-20.239999999999998</v>
      </c>
      <c r="CO703">
        <v>1.22</v>
      </c>
      <c r="CP703">
        <v>56.14</v>
      </c>
      <c r="CQ703">
        <v>1.07</v>
      </c>
      <c r="CR703">
        <v>0</v>
      </c>
      <c r="CS703" t="s">
        <v>4395</v>
      </c>
      <c r="CT703">
        <v>2.37</v>
      </c>
      <c r="CU703">
        <v>0</v>
      </c>
      <c r="CV703">
        <v>3.55</v>
      </c>
      <c r="CW703">
        <v>-2.25</v>
      </c>
      <c r="CX703">
        <v>0.05</v>
      </c>
      <c r="CY703">
        <v>64.03</v>
      </c>
      <c r="CZ703" t="s">
        <v>4396</v>
      </c>
      <c r="DA703">
        <v>10.87</v>
      </c>
      <c r="DB703">
        <v>-1.57</v>
      </c>
      <c r="DC703">
        <v>-0.32</v>
      </c>
      <c r="DD703">
        <v>0.44</v>
      </c>
      <c r="DE703">
        <v>1833</v>
      </c>
      <c r="DF703">
        <v>2247</v>
      </c>
      <c r="DG703" t="s">
        <v>116</v>
      </c>
      <c r="DH703" t="s">
        <v>116</v>
      </c>
      <c r="DI703" t="s">
        <v>116</v>
      </c>
    </row>
    <row r="704" spans="1:113" x14ac:dyDescent="0.4">
      <c r="A704" t="str">
        <f>"002248"</f>
        <v>002248</v>
      </c>
      <c r="B704" t="s">
        <v>4397</v>
      </c>
      <c r="C704">
        <v>-1.1399999999999999</v>
      </c>
      <c r="D704">
        <v>7.8</v>
      </c>
      <c r="E704">
        <v>-0.09</v>
      </c>
      <c r="F704">
        <v>7.8</v>
      </c>
      <c r="G704">
        <v>7.81</v>
      </c>
      <c r="H704">
        <v>12967</v>
      </c>
      <c r="I704">
        <v>194</v>
      </c>
      <c r="J704">
        <v>0.13</v>
      </c>
      <c r="K704">
        <v>0.44</v>
      </c>
      <c r="L704">
        <v>7.87</v>
      </c>
      <c r="M704">
        <v>7.93</v>
      </c>
      <c r="N704">
        <v>7.78</v>
      </c>
      <c r="O704">
        <v>7.89</v>
      </c>
      <c r="P704">
        <v>198</v>
      </c>
      <c r="Q704">
        <v>10208178</v>
      </c>
      <c r="R704">
        <v>0.82</v>
      </c>
      <c r="S704" t="s">
        <v>712</v>
      </c>
      <c r="T704" t="s">
        <v>645</v>
      </c>
      <c r="U704">
        <v>1.9</v>
      </c>
      <c r="V704">
        <v>7.87</v>
      </c>
      <c r="W704">
        <v>7582</v>
      </c>
      <c r="X704">
        <v>5385</v>
      </c>
      <c r="Y704">
        <v>1.41</v>
      </c>
      <c r="Z704">
        <v>50</v>
      </c>
      <c r="AA704">
        <v>100</v>
      </c>
      <c r="AB704" t="s">
        <v>116</v>
      </c>
      <c r="AC704">
        <v>201500</v>
      </c>
      <c r="AD704">
        <v>0.01</v>
      </c>
      <c r="AE704" t="s">
        <v>116</v>
      </c>
      <c r="AF704" t="s">
        <v>116</v>
      </c>
      <c r="AG704">
        <v>2.93</v>
      </c>
      <c r="AH704" t="s">
        <v>741</v>
      </c>
      <c r="AI704" t="s">
        <v>4398</v>
      </c>
      <c r="AJ704">
        <v>-0.46</v>
      </c>
      <c r="AK704">
        <v>510</v>
      </c>
      <c r="AL704">
        <v>25</v>
      </c>
      <c r="AM704">
        <v>8.9999999999999998E-4</v>
      </c>
      <c r="AN704">
        <v>-1</v>
      </c>
      <c r="AO704">
        <v>-0.89</v>
      </c>
      <c r="AP704">
        <v>2.36</v>
      </c>
      <c r="AQ704">
        <v>0</v>
      </c>
      <c r="AR704">
        <v>-10.34</v>
      </c>
      <c r="AS704">
        <v>0.54</v>
      </c>
      <c r="AT704" t="s">
        <v>4399</v>
      </c>
      <c r="AU704" t="s">
        <v>116</v>
      </c>
      <c r="AV704" t="s">
        <v>116</v>
      </c>
      <c r="AW704">
        <v>0.8</v>
      </c>
      <c r="BA704">
        <v>-0.25</v>
      </c>
      <c r="BB704">
        <v>0.51</v>
      </c>
      <c r="BC704">
        <v>-1.39</v>
      </c>
      <c r="BD704">
        <v>-0.22</v>
      </c>
      <c r="BE704">
        <v>-0.89</v>
      </c>
      <c r="BF704">
        <v>-1.64</v>
      </c>
      <c r="BG704">
        <v>0.26</v>
      </c>
      <c r="BH704">
        <v>-0.92</v>
      </c>
      <c r="BI704">
        <v>20191030</v>
      </c>
      <c r="BJ704">
        <v>20080612</v>
      </c>
      <c r="BK704">
        <v>3.07</v>
      </c>
      <c r="BL704" t="s">
        <v>116</v>
      </c>
      <c r="BM704" t="s">
        <v>116</v>
      </c>
      <c r="BN704">
        <v>6.38</v>
      </c>
      <c r="BO704">
        <v>1.1399999999999999</v>
      </c>
      <c r="BP704">
        <v>-0.4</v>
      </c>
      <c r="BQ704">
        <v>88.38</v>
      </c>
      <c r="BR704">
        <v>4.2300000000000004</v>
      </c>
      <c r="BS704">
        <v>1.32</v>
      </c>
      <c r="BT704">
        <v>0.08</v>
      </c>
      <c r="BU704">
        <v>5.28</v>
      </c>
      <c r="BV704">
        <v>2.62</v>
      </c>
      <c r="BW704">
        <v>0.32</v>
      </c>
      <c r="BX704">
        <v>7.34</v>
      </c>
      <c r="BY704">
        <v>1.1100000000000001</v>
      </c>
      <c r="BZ704">
        <v>1.02</v>
      </c>
      <c r="CA704">
        <v>0.09</v>
      </c>
      <c r="CB704">
        <v>0</v>
      </c>
      <c r="CC704">
        <v>0.03</v>
      </c>
      <c r="CD704">
        <v>0.03</v>
      </c>
      <c r="CE704">
        <v>0.09</v>
      </c>
      <c r="CF704">
        <v>-0.51</v>
      </c>
      <c r="CG704">
        <v>-9.98</v>
      </c>
      <c r="CH704">
        <v>-0.16</v>
      </c>
      <c r="CI704">
        <v>0.66</v>
      </c>
      <c r="CJ704">
        <v>22149</v>
      </c>
      <c r="CK704">
        <v>10798</v>
      </c>
      <c r="CL704" t="s">
        <v>177</v>
      </c>
      <c r="CM704">
        <v>105.39</v>
      </c>
      <c r="CN704">
        <v>83.95</v>
      </c>
      <c r="CO704">
        <v>21.09</v>
      </c>
      <c r="CP704">
        <v>-145.38</v>
      </c>
      <c r="CQ704">
        <v>21.63</v>
      </c>
      <c r="CR704">
        <v>0</v>
      </c>
      <c r="CS704" t="s">
        <v>2913</v>
      </c>
      <c r="CT704">
        <v>0.37</v>
      </c>
      <c r="CU704">
        <v>0</v>
      </c>
      <c r="CV704">
        <v>2.39</v>
      </c>
      <c r="CW704">
        <v>-3.25</v>
      </c>
      <c r="CX704">
        <v>-0.05</v>
      </c>
      <c r="CY704">
        <v>17.829999999999998</v>
      </c>
      <c r="CZ704" t="s">
        <v>4400</v>
      </c>
      <c r="DA704">
        <v>8.3000000000000007</v>
      </c>
      <c r="DB704">
        <v>8.0500000000000007</v>
      </c>
      <c r="DC704">
        <v>8.19</v>
      </c>
      <c r="DD704">
        <v>0.03</v>
      </c>
      <c r="DE704">
        <v>422</v>
      </c>
      <c r="DF704">
        <v>2248</v>
      </c>
      <c r="DG704" t="s">
        <v>116</v>
      </c>
      <c r="DH704" t="s">
        <v>116</v>
      </c>
      <c r="DI704" t="s">
        <v>116</v>
      </c>
    </row>
    <row r="705" spans="1:113" x14ac:dyDescent="0.4">
      <c r="A705" t="str">
        <f>"002249"</f>
        <v>002249</v>
      </c>
      <c r="B705" t="s">
        <v>4401</v>
      </c>
      <c r="C705">
        <v>-2.0099999999999998</v>
      </c>
      <c r="D705">
        <v>3.91</v>
      </c>
      <c r="E705">
        <v>-0.08</v>
      </c>
      <c r="F705">
        <v>3.91</v>
      </c>
      <c r="G705">
        <v>3.92</v>
      </c>
      <c r="H705">
        <v>253707</v>
      </c>
      <c r="I705">
        <v>912</v>
      </c>
      <c r="J705">
        <v>0</v>
      </c>
      <c r="K705">
        <v>1.55</v>
      </c>
      <c r="L705">
        <v>4.01</v>
      </c>
      <c r="M705">
        <v>4.0199999999999996</v>
      </c>
      <c r="N705">
        <v>3.9</v>
      </c>
      <c r="O705">
        <v>3.99</v>
      </c>
      <c r="P705">
        <v>26.21</v>
      </c>
      <c r="Q705">
        <v>100355440</v>
      </c>
      <c r="R705">
        <v>1.04</v>
      </c>
      <c r="S705" t="s">
        <v>397</v>
      </c>
      <c r="T705" t="s">
        <v>551</v>
      </c>
      <c r="U705">
        <v>3.01</v>
      </c>
      <c r="V705">
        <v>3.96</v>
      </c>
      <c r="W705">
        <v>151385</v>
      </c>
      <c r="X705">
        <v>102322</v>
      </c>
      <c r="Y705">
        <v>1.48</v>
      </c>
      <c r="Z705">
        <v>1109</v>
      </c>
      <c r="AA705">
        <v>1954</v>
      </c>
      <c r="AB705" t="s">
        <v>116</v>
      </c>
      <c r="AC705">
        <v>635200</v>
      </c>
      <c r="AD705">
        <v>0.01</v>
      </c>
      <c r="AE705" t="s">
        <v>116</v>
      </c>
      <c r="AF705" t="s">
        <v>116</v>
      </c>
      <c r="AG705">
        <v>16.36</v>
      </c>
      <c r="AH705" t="s">
        <v>4402</v>
      </c>
      <c r="AI705" t="s">
        <v>4403</v>
      </c>
      <c r="AJ705">
        <v>-1.33</v>
      </c>
      <c r="AK705">
        <v>2574</v>
      </c>
      <c r="AL705">
        <v>99</v>
      </c>
      <c r="AM705">
        <v>5.9999999999999995E-4</v>
      </c>
      <c r="AN705">
        <v>-1</v>
      </c>
      <c r="AO705">
        <v>0</v>
      </c>
      <c r="AP705">
        <v>10.14</v>
      </c>
      <c r="AQ705">
        <v>-2.0099999999999998</v>
      </c>
      <c r="AR705">
        <v>18.48</v>
      </c>
      <c r="AS705">
        <v>1.97</v>
      </c>
      <c r="AT705" t="s">
        <v>4404</v>
      </c>
      <c r="AU705" t="s">
        <v>116</v>
      </c>
      <c r="AV705" t="s">
        <v>116</v>
      </c>
      <c r="AW705">
        <v>1.1299999999999999</v>
      </c>
      <c r="BA705">
        <v>0.5</v>
      </c>
      <c r="BB705">
        <v>0.75</v>
      </c>
      <c r="BC705">
        <v>-2.2599999999999998</v>
      </c>
      <c r="BD705">
        <v>-0.86</v>
      </c>
      <c r="BE705">
        <v>-2.4900000000000002</v>
      </c>
      <c r="BF705">
        <v>-2.74</v>
      </c>
      <c r="BG705">
        <v>0.26</v>
      </c>
      <c r="BH705">
        <v>-1.1399999999999999</v>
      </c>
      <c r="BI705">
        <v>20191206</v>
      </c>
      <c r="BJ705">
        <v>20080619</v>
      </c>
      <c r="BK705">
        <v>23.66</v>
      </c>
      <c r="BL705" t="s">
        <v>116</v>
      </c>
      <c r="BM705" t="s">
        <v>116</v>
      </c>
      <c r="BN705">
        <v>142.44999999999999</v>
      </c>
      <c r="BO705">
        <v>69.72</v>
      </c>
      <c r="BP705">
        <v>1.59</v>
      </c>
      <c r="BQ705">
        <v>49.94</v>
      </c>
      <c r="BR705">
        <v>82.13</v>
      </c>
      <c r="BS705">
        <v>22.07</v>
      </c>
      <c r="BT705">
        <v>7.54</v>
      </c>
      <c r="BU705">
        <v>47.28</v>
      </c>
      <c r="BV705">
        <v>19.14</v>
      </c>
      <c r="BW705">
        <v>26.98</v>
      </c>
      <c r="BX705">
        <v>52.57</v>
      </c>
      <c r="BY705">
        <v>66.709999999999994</v>
      </c>
      <c r="BZ705">
        <v>55.07</v>
      </c>
      <c r="CA705">
        <v>3.29</v>
      </c>
      <c r="CB705">
        <v>2.4</v>
      </c>
      <c r="CC705">
        <v>3.37</v>
      </c>
      <c r="CD705">
        <v>2.4900000000000002</v>
      </c>
      <c r="CE705">
        <v>2.65</v>
      </c>
      <c r="CF705">
        <v>0.09</v>
      </c>
      <c r="CG705">
        <v>-13.68</v>
      </c>
      <c r="CH705">
        <v>-1.5</v>
      </c>
      <c r="CI705">
        <v>-2.16</v>
      </c>
      <c r="CJ705">
        <v>86893</v>
      </c>
      <c r="CK705">
        <v>14795</v>
      </c>
      <c r="CL705" t="s">
        <v>3650</v>
      </c>
      <c r="CM705">
        <v>82.97</v>
      </c>
      <c r="CN705">
        <v>5.85</v>
      </c>
      <c r="CO705">
        <v>1.33</v>
      </c>
      <c r="CP705">
        <v>-61.57</v>
      </c>
      <c r="CQ705">
        <v>1.39</v>
      </c>
      <c r="CR705">
        <v>0</v>
      </c>
      <c r="CS705" t="s">
        <v>2261</v>
      </c>
      <c r="CT705">
        <v>2.95</v>
      </c>
      <c r="CU705">
        <v>0</v>
      </c>
      <c r="CV705">
        <v>2.2200000000000002</v>
      </c>
      <c r="CW705">
        <v>-0.57999999999999996</v>
      </c>
      <c r="CX705">
        <v>-0.06</v>
      </c>
      <c r="CY705">
        <v>48.95</v>
      </c>
      <c r="CZ705" t="s">
        <v>4405</v>
      </c>
      <c r="DA705">
        <v>17.45</v>
      </c>
      <c r="DB705">
        <v>4.93</v>
      </c>
      <c r="DC705">
        <v>3.97</v>
      </c>
      <c r="DD705">
        <v>2.58</v>
      </c>
      <c r="DE705">
        <v>11744</v>
      </c>
      <c r="DF705">
        <v>2249</v>
      </c>
      <c r="DG705" t="s">
        <v>116</v>
      </c>
      <c r="DH705" t="s">
        <v>116</v>
      </c>
      <c r="DI705" t="s">
        <v>116</v>
      </c>
    </row>
    <row r="706" spans="1:113" x14ac:dyDescent="0.4">
      <c r="A706" t="str">
        <f>"002250"</f>
        <v>002250</v>
      </c>
      <c r="B706" t="s">
        <v>4406</v>
      </c>
      <c r="C706">
        <v>-0.74</v>
      </c>
      <c r="D706">
        <v>16.079999999999998</v>
      </c>
      <c r="E706">
        <v>-0.12</v>
      </c>
      <c r="F706">
        <v>16.079999999999998</v>
      </c>
      <c r="G706">
        <v>16.09</v>
      </c>
      <c r="H706">
        <v>69318</v>
      </c>
      <c r="I706">
        <v>779</v>
      </c>
      <c r="J706">
        <v>-0.18</v>
      </c>
      <c r="K706">
        <v>0.77</v>
      </c>
      <c r="L706">
        <v>16.2</v>
      </c>
      <c r="M706">
        <v>16.45</v>
      </c>
      <c r="N706">
        <v>16.05</v>
      </c>
      <c r="O706">
        <v>16.2</v>
      </c>
      <c r="P706">
        <v>38.01</v>
      </c>
      <c r="Q706">
        <v>112724168</v>
      </c>
      <c r="R706">
        <v>1.1399999999999999</v>
      </c>
      <c r="S706" t="s">
        <v>891</v>
      </c>
      <c r="T706" t="s">
        <v>590</v>
      </c>
      <c r="U706">
        <v>2.4700000000000002</v>
      </c>
      <c r="V706">
        <v>16.260000000000002</v>
      </c>
      <c r="W706">
        <v>29480</v>
      </c>
      <c r="X706">
        <v>39838</v>
      </c>
      <c r="Y706">
        <v>0.74</v>
      </c>
      <c r="Z706">
        <v>27</v>
      </c>
      <c r="AA706">
        <v>21</v>
      </c>
      <c r="AB706" t="s">
        <v>116</v>
      </c>
      <c r="AC706">
        <v>81000</v>
      </c>
      <c r="AD706">
        <v>0</v>
      </c>
      <c r="AE706" t="s">
        <v>116</v>
      </c>
      <c r="AF706" t="s">
        <v>116</v>
      </c>
      <c r="AG706">
        <v>8.9700000000000006</v>
      </c>
      <c r="AH706" t="s">
        <v>4407</v>
      </c>
      <c r="AI706" t="s">
        <v>4408</v>
      </c>
      <c r="AJ706">
        <v>-0.06</v>
      </c>
      <c r="AK706">
        <v>2756</v>
      </c>
      <c r="AL706">
        <v>25</v>
      </c>
      <c r="AM706">
        <v>2.9999999999999997E-4</v>
      </c>
      <c r="AN706">
        <v>-3</v>
      </c>
      <c r="AO706">
        <v>-1.71</v>
      </c>
      <c r="AP706">
        <v>14.86</v>
      </c>
      <c r="AQ706">
        <v>28.43</v>
      </c>
      <c r="AR706">
        <v>70.88</v>
      </c>
      <c r="AS706">
        <v>1.08</v>
      </c>
      <c r="AT706" t="s">
        <v>4409</v>
      </c>
      <c r="AU706">
        <v>42.61</v>
      </c>
      <c r="AV706">
        <v>395.83</v>
      </c>
      <c r="AW706">
        <v>0.52</v>
      </c>
      <c r="BA706">
        <v>0</v>
      </c>
      <c r="BB706">
        <v>1.54</v>
      </c>
      <c r="BC706">
        <v>-0.93</v>
      </c>
      <c r="BD706">
        <v>0.38</v>
      </c>
      <c r="BE706">
        <v>-0.74</v>
      </c>
      <c r="BF706">
        <v>-2.25</v>
      </c>
      <c r="BG706">
        <v>0.19</v>
      </c>
      <c r="BH706">
        <v>-1.1200000000000001</v>
      </c>
      <c r="BI706">
        <v>20191031</v>
      </c>
      <c r="BJ706">
        <v>20080619</v>
      </c>
      <c r="BK706">
        <v>9.24</v>
      </c>
      <c r="BL706" t="s">
        <v>116</v>
      </c>
      <c r="BM706" t="s">
        <v>116</v>
      </c>
      <c r="BN706">
        <v>94.47</v>
      </c>
      <c r="BO706">
        <v>59.9</v>
      </c>
      <c r="BP706">
        <v>0.69</v>
      </c>
      <c r="BQ706">
        <v>35.86</v>
      </c>
      <c r="BR706">
        <v>41.43</v>
      </c>
      <c r="BS706">
        <v>34.19</v>
      </c>
      <c r="BT706">
        <v>3</v>
      </c>
      <c r="BU706">
        <v>26.59</v>
      </c>
      <c r="BV706">
        <v>14.61</v>
      </c>
      <c r="BW706">
        <v>7.97</v>
      </c>
      <c r="BX706">
        <v>22.12</v>
      </c>
      <c r="BY706">
        <v>33.01</v>
      </c>
      <c r="BZ706">
        <v>20.27</v>
      </c>
      <c r="CA706">
        <v>4.6399999999999997</v>
      </c>
      <c r="CB706">
        <v>-0.21</v>
      </c>
      <c r="CC706">
        <v>4.34</v>
      </c>
      <c r="CD706">
        <v>3.33</v>
      </c>
      <c r="CE706">
        <v>2.93</v>
      </c>
      <c r="CF706">
        <v>3.31</v>
      </c>
      <c r="CG706">
        <v>27.19</v>
      </c>
      <c r="CH706">
        <v>8.5500000000000007</v>
      </c>
      <c r="CI706">
        <v>2.69</v>
      </c>
      <c r="CJ706">
        <v>20846</v>
      </c>
      <c r="CK706">
        <v>30803</v>
      </c>
      <c r="CL706" t="s">
        <v>4410</v>
      </c>
      <c r="CM706">
        <v>1734.56</v>
      </c>
      <c r="CN706">
        <v>26.65</v>
      </c>
      <c r="CO706">
        <v>2.48</v>
      </c>
      <c r="CP706">
        <v>17.38</v>
      </c>
      <c r="CQ706">
        <v>4.5</v>
      </c>
      <c r="CR706">
        <v>0.12</v>
      </c>
      <c r="CS706" t="s">
        <v>4411</v>
      </c>
      <c r="CT706">
        <v>6.48</v>
      </c>
      <c r="CU706">
        <v>0</v>
      </c>
      <c r="CV706">
        <v>2.39</v>
      </c>
      <c r="CW706">
        <v>2.94</v>
      </c>
      <c r="CX706">
        <v>0.93</v>
      </c>
      <c r="CY706">
        <v>63.41</v>
      </c>
      <c r="CZ706" t="s">
        <v>2327</v>
      </c>
      <c r="DA706">
        <v>38.6</v>
      </c>
      <c r="DB706">
        <v>14.06</v>
      </c>
      <c r="DC706">
        <v>8.8800000000000008</v>
      </c>
      <c r="DD706">
        <v>1.38</v>
      </c>
      <c r="DE706">
        <v>5311</v>
      </c>
      <c r="DF706">
        <v>2250</v>
      </c>
      <c r="DG706" t="s">
        <v>116</v>
      </c>
      <c r="DH706" t="s">
        <v>116</v>
      </c>
      <c r="DI706" t="s">
        <v>116</v>
      </c>
    </row>
    <row r="707" spans="1:113" x14ac:dyDescent="0.4">
      <c r="A707" t="str">
        <f>"002251"</f>
        <v>002251</v>
      </c>
      <c r="B707" t="s">
        <v>4412</v>
      </c>
      <c r="C707">
        <v>-0.68</v>
      </c>
      <c r="D707">
        <v>8.74</v>
      </c>
      <c r="E707">
        <v>-0.06</v>
      </c>
      <c r="F707">
        <v>8.7200000000000006</v>
      </c>
      <c r="G707">
        <v>8.74</v>
      </c>
      <c r="H707">
        <v>23091</v>
      </c>
      <c r="I707">
        <v>235</v>
      </c>
      <c r="J707">
        <v>-0.1</v>
      </c>
      <c r="K707">
        <v>0.27</v>
      </c>
      <c r="L707">
        <v>8.75</v>
      </c>
      <c r="M707">
        <v>8.89</v>
      </c>
      <c r="N707">
        <v>8.7100000000000009</v>
      </c>
      <c r="O707">
        <v>8.8000000000000007</v>
      </c>
      <c r="P707">
        <v>24.04</v>
      </c>
      <c r="Q707">
        <v>20315614</v>
      </c>
      <c r="R707">
        <v>0.72</v>
      </c>
      <c r="S707" t="s">
        <v>2064</v>
      </c>
      <c r="T707" t="s">
        <v>599</v>
      </c>
      <c r="U707">
        <v>2.0499999999999998</v>
      </c>
      <c r="V707">
        <v>8.8000000000000007</v>
      </c>
      <c r="W707">
        <v>15556</v>
      </c>
      <c r="X707">
        <v>7535</v>
      </c>
      <c r="Y707">
        <v>2.06</v>
      </c>
      <c r="Z707">
        <v>158</v>
      </c>
      <c r="AA707">
        <v>93</v>
      </c>
      <c r="AB707" t="s">
        <v>116</v>
      </c>
      <c r="AC707">
        <v>82300</v>
      </c>
      <c r="AD707">
        <v>0</v>
      </c>
      <c r="AE707" t="s">
        <v>116</v>
      </c>
      <c r="AF707" t="s">
        <v>116</v>
      </c>
      <c r="AG707">
        <v>8.64</v>
      </c>
      <c r="AH707" t="s">
        <v>4413</v>
      </c>
      <c r="AI707" t="s">
        <v>4413</v>
      </c>
      <c r="AJ707">
        <v>0</v>
      </c>
      <c r="AK707">
        <v>2091</v>
      </c>
      <c r="AL707">
        <v>11</v>
      </c>
      <c r="AM707">
        <v>1E-4</v>
      </c>
      <c r="AN707">
        <v>-3</v>
      </c>
      <c r="AO707">
        <v>-1.57</v>
      </c>
      <c r="AP707">
        <v>-2.89</v>
      </c>
      <c r="AQ707">
        <v>18.11</v>
      </c>
      <c r="AR707">
        <v>19.399999999999999</v>
      </c>
      <c r="AS707">
        <v>0.63</v>
      </c>
      <c r="AT707" t="s">
        <v>4414</v>
      </c>
      <c r="AU707">
        <v>47.73</v>
      </c>
      <c r="AV707">
        <v>48.54</v>
      </c>
      <c r="AW707">
        <v>1</v>
      </c>
      <c r="BA707">
        <v>-0.56999999999999995</v>
      </c>
      <c r="BB707">
        <v>1.02</v>
      </c>
      <c r="BC707">
        <v>-1.02</v>
      </c>
      <c r="BD707">
        <v>-0.02</v>
      </c>
      <c r="BE707">
        <v>-0.11</v>
      </c>
      <c r="BF707">
        <v>-1.69</v>
      </c>
      <c r="BG707">
        <v>0.34</v>
      </c>
      <c r="BH707">
        <v>-0.66</v>
      </c>
      <c r="BI707">
        <v>20191223</v>
      </c>
      <c r="BJ707">
        <v>20080619</v>
      </c>
      <c r="BK707">
        <v>8.64</v>
      </c>
      <c r="BL707" t="s">
        <v>116</v>
      </c>
      <c r="BM707" t="s">
        <v>116</v>
      </c>
      <c r="BN707">
        <v>234.36</v>
      </c>
      <c r="BO707">
        <v>76.16</v>
      </c>
      <c r="BP707">
        <v>2.73</v>
      </c>
      <c r="BQ707">
        <v>66.34</v>
      </c>
      <c r="BR707">
        <v>57.91</v>
      </c>
      <c r="BS707">
        <v>43.19</v>
      </c>
      <c r="BT707">
        <v>25.81</v>
      </c>
      <c r="BU707">
        <v>122.56</v>
      </c>
      <c r="BV707">
        <v>19.37</v>
      </c>
      <c r="BW707">
        <v>1.4</v>
      </c>
      <c r="BX707">
        <v>36.57</v>
      </c>
      <c r="BY707">
        <v>148</v>
      </c>
      <c r="BZ707">
        <v>112.07</v>
      </c>
      <c r="CA707">
        <v>3.09</v>
      </c>
      <c r="CB707">
        <v>-0.02</v>
      </c>
      <c r="CC707">
        <v>3.09</v>
      </c>
      <c r="CD707">
        <v>2.4300000000000002</v>
      </c>
      <c r="CE707">
        <v>2.36</v>
      </c>
      <c r="CF707">
        <v>2.16</v>
      </c>
      <c r="CG707">
        <v>11.65</v>
      </c>
      <c r="CH707">
        <v>9.85</v>
      </c>
      <c r="CI707">
        <v>3.91</v>
      </c>
      <c r="CJ707">
        <v>26751</v>
      </c>
      <c r="CK707">
        <v>13698</v>
      </c>
      <c r="CL707" t="s">
        <v>4415</v>
      </c>
      <c r="CM707">
        <v>1.1200000000000001</v>
      </c>
      <c r="CN707">
        <v>5.4</v>
      </c>
      <c r="CO707">
        <v>0.99</v>
      </c>
      <c r="CP707">
        <v>7.66</v>
      </c>
      <c r="CQ707">
        <v>0.51</v>
      </c>
      <c r="CR707">
        <v>1.1399999999999999</v>
      </c>
      <c r="CS707" t="s">
        <v>2331</v>
      </c>
      <c r="CT707">
        <v>8.82</v>
      </c>
      <c r="CU707">
        <v>0</v>
      </c>
      <c r="CV707">
        <v>4.2300000000000004</v>
      </c>
      <c r="CW707">
        <v>1.35</v>
      </c>
      <c r="CX707">
        <v>1.1399999999999999</v>
      </c>
      <c r="CY707">
        <v>32.5</v>
      </c>
      <c r="CZ707" t="s">
        <v>417</v>
      </c>
      <c r="DA707">
        <v>24.28</v>
      </c>
      <c r="DB707">
        <v>2.09</v>
      </c>
      <c r="DC707">
        <v>1.59</v>
      </c>
      <c r="DD707">
        <v>7.0000000000000007E-2</v>
      </c>
      <c r="DE707">
        <v>28810</v>
      </c>
      <c r="DF707">
        <v>2251</v>
      </c>
      <c r="DG707" t="s">
        <v>116</v>
      </c>
      <c r="DH707" t="s">
        <v>116</v>
      </c>
      <c r="DI707" t="s">
        <v>116</v>
      </c>
    </row>
    <row r="708" spans="1:113" x14ac:dyDescent="0.4">
      <c r="A708" t="str">
        <f>"002252"</f>
        <v>002252</v>
      </c>
      <c r="B708" t="s">
        <v>4416</v>
      </c>
      <c r="C708">
        <v>-1.08</v>
      </c>
      <c r="D708">
        <v>7.3</v>
      </c>
      <c r="E708">
        <v>-0.08</v>
      </c>
      <c r="F708">
        <v>7.3</v>
      </c>
      <c r="G708">
        <v>7.31</v>
      </c>
      <c r="H708">
        <v>340308</v>
      </c>
      <c r="I708">
        <v>3542</v>
      </c>
      <c r="J708">
        <v>0</v>
      </c>
      <c r="K708">
        <v>0.68</v>
      </c>
      <c r="L708">
        <v>7.4</v>
      </c>
      <c r="M708">
        <v>7.45</v>
      </c>
      <c r="N708">
        <v>7.29</v>
      </c>
      <c r="O708">
        <v>7.38</v>
      </c>
      <c r="P708">
        <v>44.95</v>
      </c>
      <c r="Q708">
        <v>250277680</v>
      </c>
      <c r="R708">
        <v>1.21</v>
      </c>
      <c r="S708" t="s">
        <v>132</v>
      </c>
      <c r="T708" t="s">
        <v>1653</v>
      </c>
      <c r="U708">
        <v>2.17</v>
      </c>
      <c r="V708">
        <v>7.35</v>
      </c>
      <c r="W708">
        <v>202898</v>
      </c>
      <c r="X708">
        <v>137410</v>
      </c>
      <c r="Y708">
        <v>1.48</v>
      </c>
      <c r="Z708">
        <v>1134</v>
      </c>
      <c r="AA708">
        <v>1152</v>
      </c>
      <c r="AB708" t="s">
        <v>116</v>
      </c>
      <c r="AC708">
        <v>1889200</v>
      </c>
      <c r="AD708">
        <v>0.02</v>
      </c>
      <c r="AE708" t="s">
        <v>116</v>
      </c>
      <c r="AF708" t="s">
        <v>116</v>
      </c>
      <c r="AG708">
        <v>49.72</v>
      </c>
      <c r="AH708" t="s">
        <v>4417</v>
      </c>
      <c r="AI708" t="s">
        <v>4418</v>
      </c>
      <c r="AJ708">
        <v>-0.41</v>
      </c>
      <c r="AK708">
        <v>3505</v>
      </c>
      <c r="AL708">
        <v>97</v>
      </c>
      <c r="AM708">
        <v>2.0000000000000001E-4</v>
      </c>
      <c r="AN708">
        <v>-1</v>
      </c>
      <c r="AO708">
        <v>-0.13</v>
      </c>
      <c r="AP708">
        <v>1.81</v>
      </c>
      <c r="AQ708">
        <v>-6.89</v>
      </c>
      <c r="AR708">
        <v>-8.86</v>
      </c>
      <c r="AS708">
        <v>2.14</v>
      </c>
      <c r="AT708" t="s">
        <v>4419</v>
      </c>
      <c r="AU708">
        <v>95.47</v>
      </c>
      <c r="AV708" t="s">
        <v>116</v>
      </c>
      <c r="AW708">
        <v>0.68</v>
      </c>
      <c r="BA708">
        <v>0.27</v>
      </c>
      <c r="BB708">
        <v>0.95</v>
      </c>
      <c r="BC708">
        <v>-1.22</v>
      </c>
      <c r="BD708">
        <v>-0.35</v>
      </c>
      <c r="BE708">
        <v>-1.35</v>
      </c>
      <c r="BF708">
        <v>-2.0099999999999998</v>
      </c>
      <c r="BG708">
        <v>0.14000000000000001</v>
      </c>
      <c r="BH708">
        <v>-0.74</v>
      </c>
      <c r="BI708">
        <v>20191127</v>
      </c>
      <c r="BJ708">
        <v>20080623</v>
      </c>
      <c r="BK708">
        <v>49.75</v>
      </c>
      <c r="BL708" t="s">
        <v>116</v>
      </c>
      <c r="BM708" t="s">
        <v>116</v>
      </c>
      <c r="BN708">
        <v>118.11</v>
      </c>
      <c r="BO708">
        <v>114.69</v>
      </c>
      <c r="BP708">
        <v>0.12</v>
      </c>
      <c r="BQ708">
        <v>2.79</v>
      </c>
      <c r="BR708">
        <v>44.06</v>
      </c>
      <c r="BS708">
        <v>10.49</v>
      </c>
      <c r="BT708">
        <v>1.8</v>
      </c>
      <c r="BU708">
        <v>2.73</v>
      </c>
      <c r="BV708">
        <v>18.38</v>
      </c>
      <c r="BW708">
        <v>7.32</v>
      </c>
      <c r="BX708">
        <v>30.77</v>
      </c>
      <c r="BY708">
        <v>19.16</v>
      </c>
      <c r="BZ708">
        <v>6.8</v>
      </c>
      <c r="CA708">
        <v>7.17</v>
      </c>
      <c r="CB708">
        <v>0.17</v>
      </c>
      <c r="CC708">
        <v>7.15</v>
      </c>
      <c r="CD708">
        <v>6.05</v>
      </c>
      <c r="CE708">
        <v>6.06</v>
      </c>
      <c r="CF708">
        <v>6.04</v>
      </c>
      <c r="CG708">
        <v>30.66</v>
      </c>
      <c r="CH708">
        <v>6.3</v>
      </c>
      <c r="CI708">
        <v>4.26</v>
      </c>
      <c r="CJ708">
        <v>110402</v>
      </c>
      <c r="CK708">
        <v>14373</v>
      </c>
      <c r="CL708" t="s">
        <v>4420</v>
      </c>
      <c r="CM708">
        <v>146.87</v>
      </c>
      <c r="CN708">
        <v>35.96</v>
      </c>
      <c r="CO708">
        <v>3.17</v>
      </c>
      <c r="CP708">
        <v>57.61</v>
      </c>
      <c r="CQ708">
        <v>18.96</v>
      </c>
      <c r="CR708">
        <v>0</v>
      </c>
      <c r="CS708" t="s">
        <v>3604</v>
      </c>
      <c r="CT708">
        <v>2.31</v>
      </c>
      <c r="CU708">
        <v>0</v>
      </c>
      <c r="CV708">
        <v>0.62</v>
      </c>
      <c r="CW708">
        <v>0.62</v>
      </c>
      <c r="CX708">
        <v>0.13</v>
      </c>
      <c r="CY708">
        <v>97.11</v>
      </c>
      <c r="CZ708" t="s">
        <v>1068</v>
      </c>
      <c r="DA708">
        <v>64.53</v>
      </c>
      <c r="DB708">
        <v>37.42</v>
      </c>
      <c r="DC708">
        <v>31.63</v>
      </c>
      <c r="DD708">
        <v>0.68</v>
      </c>
      <c r="DE708">
        <v>2990</v>
      </c>
      <c r="DF708">
        <v>2252</v>
      </c>
      <c r="DG708" t="s">
        <v>116</v>
      </c>
      <c r="DH708" t="s">
        <v>116</v>
      </c>
      <c r="DI708" t="s">
        <v>116</v>
      </c>
    </row>
    <row r="709" spans="1:113" x14ac:dyDescent="0.4">
      <c r="A709" t="str">
        <f>"002253"</f>
        <v>002253</v>
      </c>
      <c r="B709" t="s">
        <v>4421</v>
      </c>
      <c r="C709">
        <v>-1.35</v>
      </c>
      <c r="D709">
        <v>14.58</v>
      </c>
      <c r="E709">
        <v>-0.2</v>
      </c>
      <c r="F709">
        <v>14.57</v>
      </c>
      <c r="G709">
        <v>14.58</v>
      </c>
      <c r="H709">
        <v>33807</v>
      </c>
      <c r="I709">
        <v>212</v>
      </c>
      <c r="J709">
        <v>0</v>
      </c>
      <c r="K709">
        <v>1.63</v>
      </c>
      <c r="L709">
        <v>14.85</v>
      </c>
      <c r="M709">
        <v>14.95</v>
      </c>
      <c r="N709">
        <v>14.54</v>
      </c>
      <c r="O709">
        <v>14.78</v>
      </c>
      <c r="P709">
        <v>98.85</v>
      </c>
      <c r="Q709">
        <v>49819264</v>
      </c>
      <c r="R709">
        <v>1.1499999999999999</v>
      </c>
      <c r="S709" t="s">
        <v>607</v>
      </c>
      <c r="T709" t="s">
        <v>582</v>
      </c>
      <c r="U709">
        <v>2.77</v>
      </c>
      <c r="V709">
        <v>14.74</v>
      </c>
      <c r="W709">
        <v>18048</v>
      </c>
      <c r="X709">
        <v>15759</v>
      </c>
      <c r="Y709">
        <v>1.1499999999999999</v>
      </c>
      <c r="Z709">
        <v>93</v>
      </c>
      <c r="AA709">
        <v>524</v>
      </c>
      <c r="AB709" t="s">
        <v>116</v>
      </c>
      <c r="AC709">
        <v>96700</v>
      </c>
      <c r="AD709">
        <v>0</v>
      </c>
      <c r="AE709" t="s">
        <v>116</v>
      </c>
      <c r="AF709" t="s">
        <v>116</v>
      </c>
      <c r="AG709">
        <v>2.0699999999999998</v>
      </c>
      <c r="AH709" t="s">
        <v>4422</v>
      </c>
      <c r="AI709" t="s">
        <v>4423</v>
      </c>
      <c r="AJ709">
        <v>-0.67</v>
      </c>
      <c r="AK709">
        <v>2331</v>
      </c>
      <c r="AL709">
        <v>15</v>
      </c>
      <c r="AM709">
        <v>6.9999999999999999E-4</v>
      </c>
      <c r="AN709">
        <v>-1</v>
      </c>
      <c r="AO709">
        <v>2.9</v>
      </c>
      <c r="AP709">
        <v>8.89</v>
      </c>
      <c r="AQ709">
        <v>-2.34</v>
      </c>
      <c r="AR709">
        <v>11.3</v>
      </c>
      <c r="AS709">
        <v>2.0499999999999998</v>
      </c>
      <c r="AT709" t="s">
        <v>1378</v>
      </c>
      <c r="AU709">
        <v>67.680000000000007</v>
      </c>
      <c r="AV709">
        <v>59.88</v>
      </c>
      <c r="AW709">
        <v>1.21</v>
      </c>
      <c r="BA709">
        <v>0.47</v>
      </c>
      <c r="BB709">
        <v>1.1499999999999999</v>
      </c>
      <c r="BC709">
        <v>-1.62</v>
      </c>
      <c r="BD709">
        <v>-0.3</v>
      </c>
      <c r="BE709">
        <v>-1.82</v>
      </c>
      <c r="BF709">
        <v>-2.4700000000000002</v>
      </c>
      <c r="BG709">
        <v>0.28000000000000003</v>
      </c>
      <c r="BH709">
        <v>-1.06</v>
      </c>
      <c r="BI709">
        <v>20191025</v>
      </c>
      <c r="BJ709">
        <v>20080623</v>
      </c>
      <c r="BK709">
        <v>2.2599999999999998</v>
      </c>
      <c r="BL709" t="s">
        <v>116</v>
      </c>
      <c r="BM709" t="s">
        <v>116</v>
      </c>
      <c r="BN709">
        <v>16.309999999999999</v>
      </c>
      <c r="BO709">
        <v>13.55</v>
      </c>
      <c r="BP709">
        <v>0.47</v>
      </c>
      <c r="BQ709">
        <v>14.01</v>
      </c>
      <c r="BR709">
        <v>6.37</v>
      </c>
      <c r="BS709">
        <v>4.43</v>
      </c>
      <c r="BT709">
        <v>1.34</v>
      </c>
      <c r="BU709">
        <v>1.41</v>
      </c>
      <c r="BV709">
        <v>1.85</v>
      </c>
      <c r="BW709">
        <v>1.7</v>
      </c>
      <c r="BX709">
        <v>8.18</v>
      </c>
      <c r="BY709">
        <v>1.8</v>
      </c>
      <c r="BZ709">
        <v>1.21</v>
      </c>
      <c r="CA709">
        <v>0.27</v>
      </c>
      <c r="CB709">
        <v>-0.02</v>
      </c>
      <c r="CC709">
        <v>0.27</v>
      </c>
      <c r="CD709">
        <v>0.24</v>
      </c>
      <c r="CE709">
        <v>0.25</v>
      </c>
      <c r="CF709">
        <v>0.18</v>
      </c>
      <c r="CG709">
        <v>2.4900000000000002</v>
      </c>
      <c r="CH709">
        <v>0.24</v>
      </c>
      <c r="CI709">
        <v>-1.07</v>
      </c>
      <c r="CJ709">
        <v>40270</v>
      </c>
      <c r="CK709">
        <v>4096</v>
      </c>
      <c r="CL709" t="s">
        <v>1348</v>
      </c>
      <c r="CM709">
        <v>-20.25</v>
      </c>
      <c r="CN709">
        <v>-5.0999999999999996</v>
      </c>
      <c r="CO709">
        <v>2.4300000000000002</v>
      </c>
      <c r="CP709">
        <v>135</v>
      </c>
      <c r="CQ709">
        <v>18.27</v>
      </c>
      <c r="CR709">
        <v>0.82</v>
      </c>
      <c r="CS709" t="s">
        <v>4424</v>
      </c>
      <c r="CT709">
        <v>6.01</v>
      </c>
      <c r="CU709">
        <v>0</v>
      </c>
      <c r="CV709">
        <v>3.63</v>
      </c>
      <c r="CW709">
        <v>1.1000000000000001</v>
      </c>
      <c r="CX709">
        <v>0.11</v>
      </c>
      <c r="CY709">
        <v>83.09</v>
      </c>
      <c r="CZ709" t="s">
        <v>2285</v>
      </c>
      <c r="DA709">
        <v>32.83</v>
      </c>
      <c r="DB709">
        <v>15.19</v>
      </c>
      <c r="DC709">
        <v>13.86</v>
      </c>
      <c r="DD709">
        <v>0.16</v>
      </c>
      <c r="DE709">
        <v>683</v>
      </c>
      <c r="DF709">
        <v>2253</v>
      </c>
      <c r="DG709" t="s">
        <v>116</v>
      </c>
      <c r="DH709" t="s">
        <v>116</v>
      </c>
      <c r="DI709" t="s">
        <v>116</v>
      </c>
    </row>
    <row r="710" spans="1:113" x14ac:dyDescent="0.4">
      <c r="A710" t="str">
        <f>"002254"</f>
        <v>002254</v>
      </c>
      <c r="B710" t="s">
        <v>4425</v>
      </c>
      <c r="C710">
        <v>-0.48</v>
      </c>
      <c r="D710">
        <v>10.44</v>
      </c>
      <c r="E710">
        <v>-0.05</v>
      </c>
      <c r="F710">
        <v>10.43</v>
      </c>
      <c r="G710">
        <v>10.44</v>
      </c>
      <c r="H710">
        <v>32775</v>
      </c>
      <c r="I710">
        <v>650</v>
      </c>
      <c r="J710">
        <v>0.1</v>
      </c>
      <c r="K710">
        <v>0.54</v>
      </c>
      <c r="L710">
        <v>10.49</v>
      </c>
      <c r="M710">
        <v>10.53</v>
      </c>
      <c r="N710">
        <v>10.4</v>
      </c>
      <c r="O710">
        <v>10.49</v>
      </c>
      <c r="P710">
        <v>31.67</v>
      </c>
      <c r="Q710">
        <v>34353748</v>
      </c>
      <c r="R710">
        <v>0.56000000000000005</v>
      </c>
      <c r="S710" t="s">
        <v>630</v>
      </c>
      <c r="T710" t="s">
        <v>645</v>
      </c>
      <c r="U710">
        <v>1.24</v>
      </c>
      <c r="V710">
        <v>10.48</v>
      </c>
      <c r="W710">
        <v>18550</v>
      </c>
      <c r="X710">
        <v>14225</v>
      </c>
      <c r="Y710">
        <v>1.3</v>
      </c>
      <c r="Z710">
        <v>757</v>
      </c>
      <c r="AA710">
        <v>101</v>
      </c>
      <c r="AB710" t="s">
        <v>116</v>
      </c>
      <c r="AC710">
        <v>8400</v>
      </c>
      <c r="AD710">
        <v>0</v>
      </c>
      <c r="AE710" t="s">
        <v>116</v>
      </c>
      <c r="AF710" t="s">
        <v>116</v>
      </c>
      <c r="AG710">
        <v>6.11</v>
      </c>
      <c r="AH710" t="s">
        <v>4426</v>
      </c>
      <c r="AI710" t="s">
        <v>4426</v>
      </c>
      <c r="AJ710">
        <v>0.2</v>
      </c>
      <c r="AK710">
        <v>934</v>
      </c>
      <c r="AL710">
        <v>35</v>
      </c>
      <c r="AM710">
        <v>5.9999999999999995E-4</v>
      </c>
      <c r="AN710">
        <v>-2</v>
      </c>
      <c r="AO710">
        <v>-0.56999999999999995</v>
      </c>
      <c r="AP710">
        <v>0.68</v>
      </c>
      <c r="AQ710">
        <v>0.87</v>
      </c>
      <c r="AR710">
        <v>-3.24</v>
      </c>
      <c r="AS710">
        <v>0.83</v>
      </c>
      <c r="AT710" t="s">
        <v>3334</v>
      </c>
      <c r="AU710">
        <v>38.380000000000003</v>
      </c>
      <c r="AV710">
        <v>40.78</v>
      </c>
      <c r="AW710">
        <v>0.61</v>
      </c>
      <c r="BA710">
        <v>0</v>
      </c>
      <c r="BB710">
        <v>0.38</v>
      </c>
      <c r="BC710">
        <v>-0.86</v>
      </c>
      <c r="BD710">
        <v>-0.08</v>
      </c>
      <c r="BE710">
        <v>-0.48</v>
      </c>
      <c r="BF710">
        <v>-0.85</v>
      </c>
      <c r="BG710">
        <v>0.38</v>
      </c>
      <c r="BH710">
        <v>-0.4</v>
      </c>
      <c r="BI710">
        <v>20191107</v>
      </c>
      <c r="BJ710">
        <v>20080625</v>
      </c>
      <c r="BK710">
        <v>6.11</v>
      </c>
      <c r="BL710" t="s">
        <v>116</v>
      </c>
      <c r="BM710" t="s">
        <v>116</v>
      </c>
      <c r="BN710">
        <v>41.82</v>
      </c>
      <c r="BO710">
        <v>22.79</v>
      </c>
      <c r="BP710">
        <v>3.26</v>
      </c>
      <c r="BQ710">
        <v>37.71</v>
      </c>
      <c r="BR710">
        <v>22.02</v>
      </c>
      <c r="BS710">
        <v>14.7</v>
      </c>
      <c r="BT710">
        <v>1.67</v>
      </c>
      <c r="BU710">
        <v>7.19</v>
      </c>
      <c r="BV710">
        <v>4.71</v>
      </c>
      <c r="BW710">
        <v>2.74</v>
      </c>
      <c r="BX710">
        <v>2.2599999999999998</v>
      </c>
      <c r="BY710">
        <v>18.71</v>
      </c>
      <c r="BZ710">
        <v>15.34</v>
      </c>
      <c r="CA710">
        <v>1.62</v>
      </c>
      <c r="CB710">
        <v>0.14000000000000001</v>
      </c>
      <c r="CC710">
        <v>1.62</v>
      </c>
      <c r="CD710">
        <v>1.41</v>
      </c>
      <c r="CE710">
        <v>1.51</v>
      </c>
      <c r="CF710">
        <v>1.33</v>
      </c>
      <c r="CG710">
        <v>11.07</v>
      </c>
      <c r="CH710">
        <v>1.68</v>
      </c>
      <c r="CI710">
        <v>5.1100000000000003</v>
      </c>
      <c r="CJ710">
        <v>29000</v>
      </c>
      <c r="CK710">
        <v>13585</v>
      </c>
      <c r="CL710" t="s">
        <v>4427</v>
      </c>
      <c r="CM710">
        <v>6.92</v>
      </c>
      <c r="CN710">
        <v>19.190000000000001</v>
      </c>
      <c r="CO710">
        <v>2.8</v>
      </c>
      <c r="CP710">
        <v>37.94</v>
      </c>
      <c r="CQ710">
        <v>3.41</v>
      </c>
      <c r="CR710">
        <v>0.48</v>
      </c>
      <c r="CS710" t="s">
        <v>4428</v>
      </c>
      <c r="CT710">
        <v>3.73</v>
      </c>
      <c r="CU710">
        <v>0</v>
      </c>
      <c r="CV710">
        <v>0.37</v>
      </c>
      <c r="CW710">
        <v>1.81</v>
      </c>
      <c r="CX710">
        <v>0.28000000000000003</v>
      </c>
      <c r="CY710">
        <v>54.5</v>
      </c>
      <c r="CZ710" t="s">
        <v>4429</v>
      </c>
      <c r="DA710">
        <v>18.010000000000002</v>
      </c>
      <c r="DB710">
        <v>8.68</v>
      </c>
      <c r="DC710">
        <v>8.07</v>
      </c>
      <c r="DD710">
        <v>0.46</v>
      </c>
      <c r="DE710">
        <v>1724</v>
      </c>
      <c r="DF710">
        <v>2254</v>
      </c>
      <c r="DG710" t="s">
        <v>116</v>
      </c>
      <c r="DH710" t="s">
        <v>116</v>
      </c>
      <c r="DI710" t="s">
        <v>116</v>
      </c>
    </row>
    <row r="711" spans="1:113" x14ac:dyDescent="0.4">
      <c r="A711" t="str">
        <f>"002255"</f>
        <v>002255</v>
      </c>
      <c r="B711" t="s">
        <v>4430</v>
      </c>
      <c r="C711">
        <v>-0.31</v>
      </c>
      <c r="D711">
        <v>3.2</v>
      </c>
      <c r="E711">
        <v>-0.01</v>
      </c>
      <c r="F711">
        <v>3.19</v>
      </c>
      <c r="G711">
        <v>3.2</v>
      </c>
      <c r="H711">
        <v>71516</v>
      </c>
      <c r="I711">
        <v>578</v>
      </c>
      <c r="J711">
        <v>0</v>
      </c>
      <c r="K711">
        <v>1.1100000000000001</v>
      </c>
      <c r="L711">
        <v>3.21</v>
      </c>
      <c r="M711">
        <v>3.24</v>
      </c>
      <c r="N711">
        <v>3.19</v>
      </c>
      <c r="O711">
        <v>3.21</v>
      </c>
      <c r="P711">
        <v>30.98</v>
      </c>
      <c r="Q711">
        <v>23027102</v>
      </c>
      <c r="R711">
        <v>0.96</v>
      </c>
      <c r="S711" t="s">
        <v>682</v>
      </c>
      <c r="T711" t="s">
        <v>323</v>
      </c>
      <c r="U711">
        <v>1.56</v>
      </c>
      <c r="V711">
        <v>3.22</v>
      </c>
      <c r="W711">
        <v>36971</v>
      </c>
      <c r="X711">
        <v>34545</v>
      </c>
      <c r="Y711">
        <v>1.07</v>
      </c>
      <c r="Z711">
        <v>1817</v>
      </c>
      <c r="AA711">
        <v>1560</v>
      </c>
      <c r="AB711" t="s">
        <v>116</v>
      </c>
      <c r="AC711">
        <v>0</v>
      </c>
      <c r="AD711">
        <v>0</v>
      </c>
      <c r="AE711" t="s">
        <v>116</v>
      </c>
      <c r="AF711" t="s">
        <v>116</v>
      </c>
      <c r="AG711">
        <v>6.44</v>
      </c>
      <c r="AH711" t="s">
        <v>4431</v>
      </c>
      <c r="AI711" t="s">
        <v>4432</v>
      </c>
      <c r="AJ711">
        <v>0.37</v>
      </c>
      <c r="AK711">
        <v>1035</v>
      </c>
      <c r="AL711">
        <v>69</v>
      </c>
      <c r="AM711">
        <v>1.1000000000000001E-3</v>
      </c>
      <c r="AN711">
        <v>-1</v>
      </c>
      <c r="AO711">
        <v>0.01</v>
      </c>
      <c r="AP711">
        <v>2.56</v>
      </c>
      <c r="AQ711">
        <v>-25.75</v>
      </c>
      <c r="AR711">
        <v>-18.16</v>
      </c>
      <c r="AS711">
        <v>1.1599999999999999</v>
      </c>
      <c r="AT711" t="s">
        <v>2683</v>
      </c>
      <c r="AU711" t="s">
        <v>116</v>
      </c>
      <c r="AV711" t="s">
        <v>116</v>
      </c>
      <c r="AW711">
        <v>0.81</v>
      </c>
      <c r="BA711">
        <v>0</v>
      </c>
      <c r="BB711">
        <v>0.93</v>
      </c>
      <c r="BC711">
        <v>-0.62</v>
      </c>
      <c r="BD711">
        <v>0.31</v>
      </c>
      <c r="BE711">
        <v>-0.31</v>
      </c>
      <c r="BF711">
        <v>-1.23</v>
      </c>
      <c r="BG711">
        <v>0.31</v>
      </c>
      <c r="BH711">
        <v>-0.62</v>
      </c>
      <c r="BI711">
        <v>20191025</v>
      </c>
      <c r="BJ711">
        <v>20080625</v>
      </c>
      <c r="BK711">
        <v>8.42</v>
      </c>
      <c r="BL711" t="s">
        <v>116</v>
      </c>
      <c r="BM711" t="s">
        <v>116</v>
      </c>
      <c r="BN711">
        <v>75.650000000000006</v>
      </c>
      <c r="BO711">
        <v>38.159999999999997</v>
      </c>
      <c r="BP711">
        <v>1.61</v>
      </c>
      <c r="BQ711">
        <v>47.43</v>
      </c>
      <c r="BR711">
        <v>51.33</v>
      </c>
      <c r="BS711">
        <v>14.63</v>
      </c>
      <c r="BT711">
        <v>1.6</v>
      </c>
      <c r="BU711">
        <v>32.46</v>
      </c>
      <c r="BV711">
        <v>11.55</v>
      </c>
      <c r="BW711">
        <v>17.72</v>
      </c>
      <c r="BX711">
        <v>21.57</v>
      </c>
      <c r="BY711">
        <v>18.14</v>
      </c>
      <c r="BZ711">
        <v>14.68</v>
      </c>
      <c r="CA711">
        <v>0.89</v>
      </c>
      <c r="CB711">
        <v>0.05</v>
      </c>
      <c r="CC711">
        <v>0.83</v>
      </c>
      <c r="CD711">
        <v>0.54</v>
      </c>
      <c r="CE711">
        <v>0.65</v>
      </c>
      <c r="CF711">
        <v>0.37</v>
      </c>
      <c r="CG711">
        <v>7.17</v>
      </c>
      <c r="CH711">
        <v>-3.74</v>
      </c>
      <c r="CI711">
        <v>-3.08</v>
      </c>
      <c r="CJ711">
        <v>46829</v>
      </c>
      <c r="CK711">
        <v>13110</v>
      </c>
      <c r="CL711" t="s">
        <v>4433</v>
      </c>
      <c r="CM711">
        <v>-48.14</v>
      </c>
      <c r="CN711">
        <v>31.67</v>
      </c>
      <c r="CO711">
        <v>0.71</v>
      </c>
      <c r="CP711">
        <v>-7.21</v>
      </c>
      <c r="CQ711">
        <v>1.49</v>
      </c>
      <c r="CR711">
        <v>0</v>
      </c>
      <c r="CS711" t="s">
        <v>896</v>
      </c>
      <c r="CT711">
        <v>4.53</v>
      </c>
      <c r="CU711">
        <v>0</v>
      </c>
      <c r="CV711">
        <v>2.56</v>
      </c>
      <c r="CW711">
        <v>0.85</v>
      </c>
      <c r="CX711">
        <v>-0.44</v>
      </c>
      <c r="CY711">
        <v>50.44</v>
      </c>
      <c r="CZ711" t="s">
        <v>4434</v>
      </c>
      <c r="DA711">
        <v>19.09</v>
      </c>
      <c r="DB711">
        <v>4.9000000000000004</v>
      </c>
      <c r="DC711">
        <v>3.6</v>
      </c>
      <c r="DD711">
        <v>0.17</v>
      </c>
      <c r="DE711">
        <v>1315</v>
      </c>
      <c r="DF711">
        <v>2255</v>
      </c>
      <c r="DG711" t="s">
        <v>116</v>
      </c>
      <c r="DH711" t="s">
        <v>116</v>
      </c>
      <c r="DI711" t="s">
        <v>116</v>
      </c>
    </row>
    <row r="712" spans="1:113" x14ac:dyDescent="0.4">
      <c r="A712" t="str">
        <f>"002256"</f>
        <v>002256</v>
      </c>
      <c r="B712" t="s">
        <v>4435</v>
      </c>
      <c r="C712">
        <v>0</v>
      </c>
      <c r="D712">
        <v>2.56</v>
      </c>
      <c r="E712">
        <v>0</v>
      </c>
      <c r="F712">
        <v>2.56</v>
      </c>
      <c r="G712">
        <v>2.57</v>
      </c>
      <c r="H712">
        <v>287168</v>
      </c>
      <c r="I712">
        <v>2831</v>
      </c>
      <c r="J712">
        <v>0</v>
      </c>
      <c r="K712">
        <v>2.0699999999999998</v>
      </c>
      <c r="L712">
        <v>2.57</v>
      </c>
      <c r="M712">
        <v>2.63</v>
      </c>
      <c r="N712">
        <v>2.54</v>
      </c>
      <c r="O712">
        <v>2.56</v>
      </c>
      <c r="P712" t="s">
        <v>116</v>
      </c>
      <c r="Q712">
        <v>74150072</v>
      </c>
      <c r="R712">
        <v>1.01</v>
      </c>
      <c r="S712" t="s">
        <v>1192</v>
      </c>
      <c r="T712" t="s">
        <v>115</v>
      </c>
      <c r="U712">
        <v>3.52</v>
      </c>
      <c r="V712">
        <v>2.58</v>
      </c>
      <c r="W712">
        <v>148785</v>
      </c>
      <c r="X712">
        <v>138383</v>
      </c>
      <c r="Y712">
        <v>1.08</v>
      </c>
      <c r="Z712">
        <v>4182</v>
      </c>
      <c r="AA712">
        <v>5133</v>
      </c>
      <c r="AB712" t="s">
        <v>116</v>
      </c>
      <c r="AC712">
        <v>263700</v>
      </c>
      <c r="AD712">
        <v>0.01</v>
      </c>
      <c r="AE712" t="s">
        <v>116</v>
      </c>
      <c r="AF712" t="s">
        <v>116</v>
      </c>
      <c r="AG712">
        <v>13.89</v>
      </c>
      <c r="AH712" t="s">
        <v>4436</v>
      </c>
      <c r="AI712" t="s">
        <v>4437</v>
      </c>
      <c r="AJ712">
        <v>0.68</v>
      </c>
      <c r="AK712">
        <v>2241</v>
      </c>
      <c r="AL712">
        <v>128</v>
      </c>
      <c r="AM712">
        <v>8.9999999999999998E-4</v>
      </c>
      <c r="AN712">
        <v>0</v>
      </c>
      <c r="AO712">
        <v>-1.1599999999999999</v>
      </c>
      <c r="AP712">
        <v>3.64</v>
      </c>
      <c r="AQ712">
        <v>0.39</v>
      </c>
      <c r="AR712">
        <v>-13.22</v>
      </c>
      <c r="AS712">
        <v>3.17</v>
      </c>
      <c r="AT712" t="s">
        <v>4438</v>
      </c>
      <c r="AU712" t="s">
        <v>116</v>
      </c>
      <c r="AV712" t="s">
        <v>116</v>
      </c>
      <c r="AW712">
        <v>1.29</v>
      </c>
      <c r="BA712">
        <v>0.39</v>
      </c>
      <c r="BB712">
        <v>2.73</v>
      </c>
      <c r="BC712">
        <v>-0.78</v>
      </c>
      <c r="BD712">
        <v>0.86</v>
      </c>
      <c r="BE712">
        <v>-0.39</v>
      </c>
      <c r="BF712">
        <v>-2.66</v>
      </c>
      <c r="BG712">
        <v>0.79</v>
      </c>
      <c r="BH712">
        <v>-0.86</v>
      </c>
      <c r="BI712">
        <v>20191225</v>
      </c>
      <c r="BJ712">
        <v>20080625</v>
      </c>
      <c r="BK712">
        <v>18.82</v>
      </c>
      <c r="BL712" t="s">
        <v>116</v>
      </c>
      <c r="BM712" t="s">
        <v>116</v>
      </c>
      <c r="BN712">
        <v>30.48</v>
      </c>
      <c r="BO712">
        <v>19.04</v>
      </c>
      <c r="BP712">
        <v>0.26</v>
      </c>
      <c r="BQ712">
        <v>36.69</v>
      </c>
      <c r="BR712">
        <v>6.49</v>
      </c>
      <c r="BS712">
        <v>14.23</v>
      </c>
      <c r="BT712">
        <v>0.56999999999999995</v>
      </c>
      <c r="BU712">
        <v>4.78</v>
      </c>
      <c r="BV712">
        <v>0.32</v>
      </c>
      <c r="BW712">
        <v>4.43</v>
      </c>
      <c r="BX712">
        <v>0.28999999999999998</v>
      </c>
      <c r="BY712">
        <v>3.29</v>
      </c>
      <c r="BZ712">
        <v>1.99</v>
      </c>
      <c r="CA712">
        <v>-0.25</v>
      </c>
      <c r="CB712">
        <v>-0.02</v>
      </c>
      <c r="CC712">
        <v>-0.21</v>
      </c>
      <c r="CD712">
        <v>-0.3</v>
      </c>
      <c r="CE712">
        <v>-0.3</v>
      </c>
      <c r="CF712">
        <v>-0.4</v>
      </c>
      <c r="CG712">
        <v>-0.49</v>
      </c>
      <c r="CH712">
        <v>1.1599999999999999</v>
      </c>
      <c r="CI712">
        <v>-0.11</v>
      </c>
      <c r="CJ712">
        <v>91591</v>
      </c>
      <c r="CK712">
        <v>9886</v>
      </c>
      <c r="CL712" t="s">
        <v>1156</v>
      </c>
      <c r="CM712">
        <v>-135.24</v>
      </c>
      <c r="CN712">
        <v>-33.18</v>
      </c>
      <c r="CO712">
        <v>2.5299999999999998</v>
      </c>
      <c r="CP712">
        <v>41.54</v>
      </c>
      <c r="CQ712">
        <v>14.67</v>
      </c>
      <c r="CR712">
        <v>0</v>
      </c>
      <c r="CS712" t="s">
        <v>4439</v>
      </c>
      <c r="CT712">
        <v>1.01</v>
      </c>
      <c r="CU712">
        <v>0</v>
      </c>
      <c r="CV712">
        <v>0.02</v>
      </c>
      <c r="CW712">
        <v>-0.03</v>
      </c>
      <c r="CX712">
        <v>0.06</v>
      </c>
      <c r="CY712">
        <v>62.45</v>
      </c>
      <c r="CZ712" t="s">
        <v>4440</v>
      </c>
      <c r="DA712">
        <v>39.4</v>
      </c>
      <c r="DB712">
        <v>-7.55</v>
      </c>
      <c r="DC712">
        <v>-9.02</v>
      </c>
      <c r="DD712">
        <v>0.08</v>
      </c>
      <c r="DE712">
        <v>549</v>
      </c>
      <c r="DF712">
        <v>2256</v>
      </c>
      <c r="DG712" t="s">
        <v>116</v>
      </c>
      <c r="DH712" t="s">
        <v>116</v>
      </c>
      <c r="DI712" t="s">
        <v>116</v>
      </c>
    </row>
    <row r="713" spans="1:113" x14ac:dyDescent="0.4">
      <c r="A713" t="str">
        <f>"002258"</f>
        <v>002258</v>
      </c>
      <c r="B713" t="s">
        <v>4441</v>
      </c>
      <c r="C713">
        <v>-7.0000000000000007E-2</v>
      </c>
      <c r="D713">
        <v>13.65</v>
      </c>
      <c r="E713">
        <v>-0.01</v>
      </c>
      <c r="F713">
        <v>13.65</v>
      </c>
      <c r="G713">
        <v>13.66</v>
      </c>
      <c r="H713">
        <v>127073</v>
      </c>
      <c r="I713">
        <v>507</v>
      </c>
      <c r="J713">
        <v>-0.14000000000000001</v>
      </c>
      <c r="K713">
        <v>2.4300000000000002</v>
      </c>
      <c r="L713">
        <v>13.7</v>
      </c>
      <c r="M713">
        <v>14</v>
      </c>
      <c r="N713">
        <v>13.55</v>
      </c>
      <c r="O713">
        <v>13.66</v>
      </c>
      <c r="P713">
        <v>22.9</v>
      </c>
      <c r="Q713">
        <v>174170368</v>
      </c>
      <c r="R713">
        <v>1.38</v>
      </c>
      <c r="S713" t="s">
        <v>697</v>
      </c>
      <c r="T713" t="s">
        <v>582</v>
      </c>
      <c r="U713">
        <v>3.29</v>
      </c>
      <c r="V713">
        <v>13.71</v>
      </c>
      <c r="W713">
        <v>48474</v>
      </c>
      <c r="X713">
        <v>78599</v>
      </c>
      <c r="Y713">
        <v>0.62</v>
      </c>
      <c r="Z713">
        <v>273</v>
      </c>
      <c r="AA713">
        <v>108</v>
      </c>
      <c r="AB713" t="s">
        <v>116</v>
      </c>
      <c r="AC713">
        <v>2122100</v>
      </c>
      <c r="AD713">
        <v>0.06</v>
      </c>
      <c r="AE713" t="s">
        <v>116</v>
      </c>
      <c r="AF713" t="s">
        <v>116</v>
      </c>
      <c r="AG713">
        <v>5.22</v>
      </c>
      <c r="AH713" t="s">
        <v>4442</v>
      </c>
      <c r="AI713" t="s">
        <v>4443</v>
      </c>
      <c r="AJ713">
        <v>0.61</v>
      </c>
      <c r="AK713">
        <v>3028</v>
      </c>
      <c r="AL713">
        <v>42</v>
      </c>
      <c r="AM713">
        <v>8.0000000000000004E-4</v>
      </c>
      <c r="AN713">
        <v>-1</v>
      </c>
      <c r="AO713">
        <v>7.49</v>
      </c>
      <c r="AP713">
        <v>18.489999999999998</v>
      </c>
      <c r="AQ713">
        <v>15.78</v>
      </c>
      <c r="AR713">
        <v>5.49</v>
      </c>
      <c r="AS713">
        <v>5.0599999999999996</v>
      </c>
      <c r="AT713" t="s">
        <v>4444</v>
      </c>
      <c r="AU713">
        <v>18.190000000000001</v>
      </c>
      <c r="AV713">
        <v>12.39</v>
      </c>
      <c r="AW713">
        <v>0.88</v>
      </c>
      <c r="BA713">
        <v>0.28999999999999998</v>
      </c>
      <c r="BB713">
        <v>2.4900000000000002</v>
      </c>
      <c r="BC713">
        <v>-0.81</v>
      </c>
      <c r="BD713">
        <v>0.34</v>
      </c>
      <c r="BE713">
        <v>-0.36</v>
      </c>
      <c r="BF713">
        <v>-2.5</v>
      </c>
      <c r="BG713">
        <v>0.74</v>
      </c>
      <c r="BH713">
        <v>-0.41</v>
      </c>
      <c r="BI713">
        <v>20191026</v>
      </c>
      <c r="BJ713">
        <v>20080708</v>
      </c>
      <c r="BK713">
        <v>5.24</v>
      </c>
      <c r="BL713" t="s">
        <v>116</v>
      </c>
      <c r="BM713" t="s">
        <v>116</v>
      </c>
      <c r="BN713">
        <v>73.540000000000006</v>
      </c>
      <c r="BO713">
        <v>32.799999999999997</v>
      </c>
      <c r="BP713">
        <v>5.92</v>
      </c>
      <c r="BQ713">
        <v>47.35</v>
      </c>
      <c r="BR713">
        <v>29.99</v>
      </c>
      <c r="BS713">
        <v>28.11</v>
      </c>
      <c r="BT713">
        <v>3.67</v>
      </c>
      <c r="BU713">
        <v>22.15</v>
      </c>
      <c r="BV713">
        <v>10.199999999999999</v>
      </c>
      <c r="BW713">
        <v>8.33</v>
      </c>
      <c r="BX713">
        <v>8.1</v>
      </c>
      <c r="BY713">
        <v>30.24</v>
      </c>
      <c r="BZ713">
        <v>21.9</v>
      </c>
      <c r="CA713">
        <v>3.33</v>
      </c>
      <c r="CB713">
        <v>-0.01</v>
      </c>
      <c r="CC713">
        <v>3.38</v>
      </c>
      <c r="CD713">
        <v>2.77</v>
      </c>
      <c r="CE713">
        <v>2.34</v>
      </c>
      <c r="CF713">
        <v>2.33</v>
      </c>
      <c r="CG713">
        <v>15.46</v>
      </c>
      <c r="CH713">
        <v>3.99</v>
      </c>
      <c r="CI713">
        <v>0.34</v>
      </c>
      <c r="CJ713">
        <v>26489</v>
      </c>
      <c r="CK713">
        <v>9483</v>
      </c>
      <c r="CL713" t="s">
        <v>4445</v>
      </c>
      <c r="CM713">
        <v>-44.02</v>
      </c>
      <c r="CN713">
        <v>9.0399999999999991</v>
      </c>
      <c r="CO713">
        <v>2.3199999999999998</v>
      </c>
      <c r="CP713">
        <v>17.95</v>
      </c>
      <c r="CQ713">
        <v>2.37</v>
      </c>
      <c r="CR713">
        <v>1.47</v>
      </c>
      <c r="CS713" t="s">
        <v>4446</v>
      </c>
      <c r="CT713">
        <v>5.87</v>
      </c>
      <c r="CU713">
        <v>5.87</v>
      </c>
      <c r="CV713">
        <v>1.54</v>
      </c>
      <c r="CW713">
        <v>2.95</v>
      </c>
      <c r="CX713">
        <v>0.76</v>
      </c>
      <c r="CY713">
        <v>44.61</v>
      </c>
      <c r="CZ713" t="s">
        <v>4447</v>
      </c>
      <c r="DA713">
        <v>27.58</v>
      </c>
      <c r="DB713">
        <v>11.03</v>
      </c>
      <c r="DC713">
        <v>7.75</v>
      </c>
      <c r="DD713">
        <v>1.73</v>
      </c>
      <c r="DE713">
        <v>4648</v>
      </c>
      <c r="DF713">
        <v>2258</v>
      </c>
      <c r="DG713" t="s">
        <v>116</v>
      </c>
      <c r="DH713" t="s">
        <v>116</v>
      </c>
      <c r="DI713" t="s">
        <v>116</v>
      </c>
    </row>
    <row r="714" spans="1:113" x14ac:dyDescent="0.4">
      <c r="A714" t="str">
        <f>"002259"</f>
        <v>002259</v>
      </c>
      <c r="B714" t="s">
        <v>4448</v>
      </c>
      <c r="C714">
        <v>-2.68</v>
      </c>
      <c r="D714">
        <v>2.1800000000000002</v>
      </c>
      <c r="E714">
        <v>-0.06</v>
      </c>
      <c r="F714">
        <v>2.1800000000000002</v>
      </c>
      <c r="G714">
        <v>2.19</v>
      </c>
      <c r="H714">
        <v>38776</v>
      </c>
      <c r="I714">
        <v>1462</v>
      </c>
      <c r="J714">
        <v>-0.45</v>
      </c>
      <c r="K714">
        <v>0.54</v>
      </c>
      <c r="L714">
        <v>2.2400000000000002</v>
      </c>
      <c r="M714">
        <v>2.2599999999999998</v>
      </c>
      <c r="N714">
        <v>2.1800000000000002</v>
      </c>
      <c r="O714">
        <v>2.2400000000000002</v>
      </c>
      <c r="P714" t="s">
        <v>116</v>
      </c>
      <c r="Q714">
        <v>8593222</v>
      </c>
      <c r="R714">
        <v>0.68</v>
      </c>
      <c r="S714" t="s">
        <v>690</v>
      </c>
      <c r="T714" t="s">
        <v>582</v>
      </c>
      <c r="U714">
        <v>3.57</v>
      </c>
      <c r="V714">
        <v>2.2200000000000002</v>
      </c>
      <c r="W714">
        <v>27928</v>
      </c>
      <c r="X714">
        <v>10848</v>
      </c>
      <c r="Y714">
        <v>2.57</v>
      </c>
      <c r="Z714">
        <v>1257</v>
      </c>
      <c r="AA714">
        <v>51</v>
      </c>
      <c r="AB714" t="s">
        <v>116</v>
      </c>
      <c r="AC714">
        <v>57100</v>
      </c>
      <c r="AD714">
        <v>0</v>
      </c>
      <c r="AE714" t="s">
        <v>116</v>
      </c>
      <c r="AF714" t="s">
        <v>116</v>
      </c>
      <c r="AG714">
        <v>7.16</v>
      </c>
      <c r="AH714" t="s">
        <v>4449</v>
      </c>
      <c r="AI714" t="s">
        <v>4450</v>
      </c>
      <c r="AJ714">
        <v>-2</v>
      </c>
      <c r="AK714">
        <v>293</v>
      </c>
      <c r="AL714">
        <v>132</v>
      </c>
      <c r="AM714">
        <v>1.8E-3</v>
      </c>
      <c r="AN714">
        <v>-1</v>
      </c>
      <c r="AO714">
        <v>-4.8</v>
      </c>
      <c r="AP714">
        <v>-1.8</v>
      </c>
      <c r="AQ714">
        <v>1.4</v>
      </c>
      <c r="AR714">
        <v>-4.8</v>
      </c>
      <c r="AS714">
        <v>0.73</v>
      </c>
      <c r="AT714" t="s">
        <v>2133</v>
      </c>
      <c r="AU714" t="s">
        <v>116</v>
      </c>
      <c r="AV714" t="s">
        <v>116</v>
      </c>
      <c r="AW714">
        <v>0.15</v>
      </c>
      <c r="BA714">
        <v>0</v>
      </c>
      <c r="BB714">
        <v>0.89</v>
      </c>
      <c r="BC714">
        <v>-2.68</v>
      </c>
      <c r="BD714">
        <v>-1.07</v>
      </c>
      <c r="BE714">
        <v>-2.68</v>
      </c>
      <c r="BF714">
        <v>-3.54</v>
      </c>
      <c r="BG714">
        <v>0</v>
      </c>
      <c r="BH714">
        <v>-1.61</v>
      </c>
      <c r="BI714">
        <v>20191031</v>
      </c>
      <c r="BJ714">
        <v>20080716</v>
      </c>
      <c r="BK714">
        <v>7.52</v>
      </c>
      <c r="BL714" t="s">
        <v>116</v>
      </c>
      <c r="BM714" t="s">
        <v>116</v>
      </c>
      <c r="BN714">
        <v>27.14</v>
      </c>
      <c r="BO714">
        <v>14.15</v>
      </c>
      <c r="BP714">
        <v>2.64</v>
      </c>
      <c r="BQ714">
        <v>38.159999999999997</v>
      </c>
      <c r="BR714">
        <v>18.3</v>
      </c>
      <c r="BS714">
        <v>7.49</v>
      </c>
      <c r="BT714">
        <v>0.68</v>
      </c>
      <c r="BU714">
        <v>10</v>
      </c>
      <c r="BV714">
        <v>0.18</v>
      </c>
      <c r="BW714">
        <v>3.93</v>
      </c>
      <c r="BX714">
        <v>7.19</v>
      </c>
      <c r="BY714">
        <v>8.19</v>
      </c>
      <c r="BZ714">
        <v>7.69</v>
      </c>
      <c r="CA714">
        <v>-0.95</v>
      </c>
      <c r="CB714">
        <v>0</v>
      </c>
      <c r="CC714">
        <v>-0.95</v>
      </c>
      <c r="CD714">
        <v>-0.94</v>
      </c>
      <c r="CE714">
        <v>-0.82</v>
      </c>
      <c r="CF714">
        <v>-0.82</v>
      </c>
      <c r="CG714">
        <v>-0.95</v>
      </c>
      <c r="CH714">
        <v>0.12</v>
      </c>
      <c r="CI714">
        <v>-0.01</v>
      </c>
      <c r="CJ714">
        <v>29225</v>
      </c>
      <c r="CK714">
        <v>18179</v>
      </c>
      <c r="CL714" t="s">
        <v>4451</v>
      </c>
      <c r="CM714">
        <v>-102.54</v>
      </c>
      <c r="CN714">
        <v>10.72</v>
      </c>
      <c r="CO714">
        <v>1.1599999999999999</v>
      </c>
      <c r="CP714">
        <v>141.72</v>
      </c>
      <c r="CQ714">
        <v>2</v>
      </c>
      <c r="CR714">
        <v>0</v>
      </c>
      <c r="CS714" t="s">
        <v>4452</v>
      </c>
      <c r="CT714">
        <v>1.88</v>
      </c>
      <c r="CU714">
        <v>0</v>
      </c>
      <c r="CV714">
        <v>0.96</v>
      </c>
      <c r="CW714">
        <v>-0.13</v>
      </c>
      <c r="CX714">
        <v>0.02</v>
      </c>
      <c r="CY714">
        <v>52.13</v>
      </c>
      <c r="CZ714" t="s">
        <v>4453</v>
      </c>
      <c r="DA714">
        <v>6.14</v>
      </c>
      <c r="DB714">
        <v>-11.59</v>
      </c>
      <c r="DC714">
        <v>-10.029999999999999</v>
      </c>
      <c r="DD714">
        <v>0</v>
      </c>
      <c r="DE714">
        <v>437</v>
      </c>
      <c r="DF714">
        <v>2259</v>
      </c>
      <c r="DG714" t="s">
        <v>116</v>
      </c>
      <c r="DH714" t="s">
        <v>116</v>
      </c>
      <c r="DI714" t="s">
        <v>116</v>
      </c>
    </row>
    <row r="715" spans="1:113" x14ac:dyDescent="0.4">
      <c r="A715" t="str">
        <f>"002261"</f>
        <v>002261</v>
      </c>
      <c r="B715" t="s">
        <v>4454</v>
      </c>
      <c r="C715">
        <v>9.99</v>
      </c>
      <c r="D715">
        <v>9.36</v>
      </c>
      <c r="E715">
        <v>0.85</v>
      </c>
      <c r="F715">
        <v>9.36</v>
      </c>
      <c r="G715" t="s">
        <v>116</v>
      </c>
      <c r="H715">
        <v>1714421</v>
      </c>
      <c r="I715">
        <v>2964</v>
      </c>
      <c r="J715">
        <v>0</v>
      </c>
      <c r="K715">
        <v>19.5</v>
      </c>
      <c r="L715">
        <v>8.49</v>
      </c>
      <c r="M715">
        <v>9.36</v>
      </c>
      <c r="N715">
        <v>8.36</v>
      </c>
      <c r="O715">
        <v>8.51</v>
      </c>
      <c r="P715">
        <v>122.81</v>
      </c>
      <c r="Q715">
        <v>1555317888</v>
      </c>
      <c r="R715">
        <v>1.04</v>
      </c>
      <c r="S715" t="s">
        <v>1384</v>
      </c>
      <c r="T715" t="s">
        <v>599</v>
      </c>
      <c r="U715">
        <v>11.75</v>
      </c>
      <c r="V715">
        <v>9.07</v>
      </c>
      <c r="W715">
        <v>946161</v>
      </c>
      <c r="X715">
        <v>768260</v>
      </c>
      <c r="Y715">
        <v>1.23</v>
      </c>
      <c r="Z715">
        <v>54804</v>
      </c>
      <c r="AA715">
        <v>0</v>
      </c>
      <c r="AB715" t="s">
        <v>116</v>
      </c>
      <c r="AC715">
        <v>22155500</v>
      </c>
      <c r="AD715">
        <v>0.39</v>
      </c>
      <c r="AE715">
        <v>0.03</v>
      </c>
      <c r="AF715">
        <v>51296544</v>
      </c>
      <c r="AG715">
        <v>8.7899999999999991</v>
      </c>
      <c r="AH715" t="s">
        <v>4455</v>
      </c>
      <c r="AI715" t="s">
        <v>4456</v>
      </c>
      <c r="AJ715">
        <v>10.67</v>
      </c>
      <c r="AK715">
        <v>3588</v>
      </c>
      <c r="AL715">
        <v>478</v>
      </c>
      <c r="AM715">
        <v>5.4000000000000003E-3</v>
      </c>
      <c r="AN715">
        <v>5</v>
      </c>
      <c r="AO715">
        <v>25.63</v>
      </c>
      <c r="AP715">
        <v>79.650000000000006</v>
      </c>
      <c r="AQ715">
        <v>66.55</v>
      </c>
      <c r="AR715">
        <v>121.8</v>
      </c>
      <c r="AS715">
        <v>25.67</v>
      </c>
      <c r="AT715" t="s">
        <v>4457</v>
      </c>
      <c r="AU715" t="s">
        <v>116</v>
      </c>
      <c r="AV715" t="s">
        <v>116</v>
      </c>
      <c r="AW715">
        <v>0.62</v>
      </c>
      <c r="BA715">
        <v>-0.24</v>
      </c>
      <c r="BB715">
        <v>9.99</v>
      </c>
      <c r="BC715">
        <v>-1.76</v>
      </c>
      <c r="BD715">
        <v>6.6</v>
      </c>
      <c r="BE715">
        <v>10.25</v>
      </c>
      <c r="BF715">
        <v>0</v>
      </c>
      <c r="BG715">
        <v>11.96</v>
      </c>
      <c r="BH715">
        <v>3.38</v>
      </c>
      <c r="BI715">
        <v>20191224</v>
      </c>
      <c r="BJ715">
        <v>20080723</v>
      </c>
      <c r="BK715">
        <v>11.01</v>
      </c>
      <c r="BL715" t="s">
        <v>116</v>
      </c>
      <c r="BM715" t="s">
        <v>116</v>
      </c>
      <c r="BN715">
        <v>31.39</v>
      </c>
      <c r="BO715">
        <v>25.52</v>
      </c>
      <c r="BP715">
        <v>0.09</v>
      </c>
      <c r="BQ715">
        <v>18.43</v>
      </c>
      <c r="BR715">
        <v>14.57</v>
      </c>
      <c r="BS715">
        <v>1.58</v>
      </c>
      <c r="BT715">
        <v>0.96</v>
      </c>
      <c r="BU715">
        <v>4.13</v>
      </c>
      <c r="BV715">
        <v>2.0699999999999998</v>
      </c>
      <c r="BW715">
        <v>5.54</v>
      </c>
      <c r="BX715">
        <v>19.28</v>
      </c>
      <c r="BY715">
        <v>8.66</v>
      </c>
      <c r="BZ715">
        <v>4.3</v>
      </c>
      <c r="CA715">
        <v>0.57999999999999996</v>
      </c>
      <c r="CB715">
        <v>-0.01</v>
      </c>
      <c r="CC715">
        <v>0.56999999999999995</v>
      </c>
      <c r="CD715">
        <v>0.61</v>
      </c>
      <c r="CE715">
        <v>0.63</v>
      </c>
      <c r="CF715">
        <v>0.5</v>
      </c>
      <c r="CG715">
        <v>-5.53</v>
      </c>
      <c r="CH715">
        <v>-0.8</v>
      </c>
      <c r="CI715">
        <v>-1.21</v>
      </c>
      <c r="CJ715">
        <v>73821</v>
      </c>
      <c r="CK715">
        <v>9048</v>
      </c>
      <c r="CL715" t="s">
        <v>1635</v>
      </c>
      <c r="CM715">
        <v>25.5</v>
      </c>
      <c r="CN715">
        <v>7.55</v>
      </c>
      <c r="CO715">
        <v>4.04</v>
      </c>
      <c r="CP715">
        <v>-128.03</v>
      </c>
      <c r="CQ715">
        <v>11.9</v>
      </c>
      <c r="CR715">
        <v>0</v>
      </c>
      <c r="CS715" t="s">
        <v>2039</v>
      </c>
      <c r="CT715">
        <v>2.3199999999999998</v>
      </c>
      <c r="CU715">
        <v>0</v>
      </c>
      <c r="CV715">
        <v>1.75</v>
      </c>
      <c r="CW715">
        <v>-0.5</v>
      </c>
      <c r="CX715">
        <v>-7.0000000000000007E-2</v>
      </c>
      <c r="CY715">
        <v>81.28</v>
      </c>
      <c r="CZ715" t="s">
        <v>4458</v>
      </c>
      <c r="DA715">
        <v>50.37</v>
      </c>
      <c r="DB715">
        <v>6.7</v>
      </c>
      <c r="DC715">
        <v>7.27</v>
      </c>
      <c r="DD715">
        <v>0.94</v>
      </c>
      <c r="DE715">
        <v>3856</v>
      </c>
      <c r="DF715">
        <v>2261</v>
      </c>
      <c r="DG715" t="s">
        <v>116</v>
      </c>
      <c r="DH715" t="s">
        <v>116</v>
      </c>
      <c r="DI715" t="s">
        <v>116</v>
      </c>
    </row>
    <row r="716" spans="1:113" x14ac:dyDescent="0.4">
      <c r="A716" t="str">
        <f>"002262"</f>
        <v>002262</v>
      </c>
      <c r="B716" t="s">
        <v>4459</v>
      </c>
      <c r="C716">
        <v>0.09</v>
      </c>
      <c r="D716">
        <v>11.27</v>
      </c>
      <c r="E716">
        <v>0.01</v>
      </c>
      <c r="F716">
        <v>11.27</v>
      </c>
      <c r="G716">
        <v>11.28</v>
      </c>
      <c r="H716">
        <v>81096</v>
      </c>
      <c r="I716">
        <v>310</v>
      </c>
      <c r="J716">
        <v>-0.08</v>
      </c>
      <c r="K716">
        <v>0.91</v>
      </c>
      <c r="L716">
        <v>11.26</v>
      </c>
      <c r="M716">
        <v>11.39</v>
      </c>
      <c r="N716">
        <v>11.25</v>
      </c>
      <c r="O716">
        <v>11.26</v>
      </c>
      <c r="P716">
        <v>16.55</v>
      </c>
      <c r="Q716">
        <v>91807696</v>
      </c>
      <c r="R716">
        <v>1.18</v>
      </c>
      <c r="S716" t="s">
        <v>574</v>
      </c>
      <c r="T716" t="s">
        <v>323</v>
      </c>
      <c r="U716">
        <v>1.24</v>
      </c>
      <c r="V716">
        <v>11.32</v>
      </c>
      <c r="W716">
        <v>39806</v>
      </c>
      <c r="X716">
        <v>41290</v>
      </c>
      <c r="Y716">
        <v>0.96</v>
      </c>
      <c r="Z716">
        <v>204</v>
      </c>
      <c r="AA716">
        <v>447</v>
      </c>
      <c r="AB716" t="s">
        <v>116</v>
      </c>
      <c r="AC716">
        <v>128400</v>
      </c>
      <c r="AD716">
        <v>0</v>
      </c>
      <c r="AE716" t="s">
        <v>116</v>
      </c>
      <c r="AF716" t="s">
        <v>116</v>
      </c>
      <c r="AG716">
        <v>8.8699999999999992</v>
      </c>
      <c r="AH716" t="s">
        <v>4460</v>
      </c>
      <c r="AI716" t="s">
        <v>4461</v>
      </c>
      <c r="AJ716">
        <v>0.77</v>
      </c>
      <c r="AK716">
        <v>3321</v>
      </c>
      <c r="AL716">
        <v>24</v>
      </c>
      <c r="AM716">
        <v>2.9999999999999997E-4</v>
      </c>
      <c r="AN716">
        <v>2</v>
      </c>
      <c r="AO716">
        <v>-0.7</v>
      </c>
      <c r="AP716">
        <v>2.4500000000000002</v>
      </c>
      <c r="AQ716">
        <v>2.92</v>
      </c>
      <c r="AR716">
        <v>25.78</v>
      </c>
      <c r="AS716">
        <v>1.65</v>
      </c>
      <c r="AT716" t="s">
        <v>4462</v>
      </c>
      <c r="AU716">
        <v>18.43</v>
      </c>
      <c r="AV716">
        <v>21.89</v>
      </c>
      <c r="AW716">
        <v>0.95</v>
      </c>
      <c r="BA716">
        <v>0</v>
      </c>
      <c r="BB716">
        <v>1.1499999999999999</v>
      </c>
      <c r="BC716">
        <v>-0.09</v>
      </c>
      <c r="BD716">
        <v>0.54</v>
      </c>
      <c r="BE716">
        <v>0.09</v>
      </c>
      <c r="BF716">
        <v>-1.05</v>
      </c>
      <c r="BG716">
        <v>0.18</v>
      </c>
      <c r="BH716">
        <v>-0.45</v>
      </c>
      <c r="BI716">
        <v>20191023</v>
      </c>
      <c r="BJ716">
        <v>20080723</v>
      </c>
      <c r="BK716">
        <v>10.19</v>
      </c>
      <c r="BL716" t="s">
        <v>116</v>
      </c>
      <c r="BM716" t="s">
        <v>116</v>
      </c>
      <c r="BN716">
        <v>45.43</v>
      </c>
      <c r="BO716">
        <v>34.72</v>
      </c>
      <c r="BP716">
        <v>-0.1</v>
      </c>
      <c r="BQ716">
        <v>23.79</v>
      </c>
      <c r="BR716">
        <v>33.79</v>
      </c>
      <c r="BS716">
        <v>8.4499999999999993</v>
      </c>
      <c r="BT716">
        <v>1.07</v>
      </c>
      <c r="BU716">
        <v>9.89</v>
      </c>
      <c r="BV716">
        <v>4.3</v>
      </c>
      <c r="BW716">
        <v>9.6300000000000008</v>
      </c>
      <c r="BX716">
        <v>1.51</v>
      </c>
      <c r="BY716">
        <v>31.98</v>
      </c>
      <c r="BZ716">
        <v>12.62</v>
      </c>
      <c r="CA716">
        <v>6.03</v>
      </c>
      <c r="CB716">
        <v>-0.04</v>
      </c>
      <c r="CC716">
        <v>6.02</v>
      </c>
      <c r="CD716">
        <v>5.14</v>
      </c>
      <c r="CE716">
        <v>5.21</v>
      </c>
      <c r="CF716">
        <v>5.21</v>
      </c>
      <c r="CG716">
        <v>21.28</v>
      </c>
      <c r="CH716">
        <v>5.64</v>
      </c>
      <c r="CI716">
        <v>2.6</v>
      </c>
      <c r="CJ716">
        <v>50161</v>
      </c>
      <c r="CK716">
        <v>9798</v>
      </c>
      <c r="CL716" t="s">
        <v>4463</v>
      </c>
      <c r="CM716">
        <v>23.34</v>
      </c>
      <c r="CN716">
        <v>10.68</v>
      </c>
      <c r="CO716">
        <v>3.31</v>
      </c>
      <c r="CP716">
        <v>20.37</v>
      </c>
      <c r="CQ716">
        <v>3.59</v>
      </c>
      <c r="CR716">
        <v>0.53</v>
      </c>
      <c r="CS716" t="s">
        <v>4464</v>
      </c>
      <c r="CT716">
        <v>3.41</v>
      </c>
      <c r="CU716">
        <v>0</v>
      </c>
      <c r="CV716">
        <v>0.15</v>
      </c>
      <c r="CW716">
        <v>2.09</v>
      </c>
      <c r="CX716">
        <v>0.55000000000000004</v>
      </c>
      <c r="CY716">
        <v>76.44</v>
      </c>
      <c r="CZ716" t="s">
        <v>4465</v>
      </c>
      <c r="DA716">
        <v>60.53</v>
      </c>
      <c r="DB716">
        <v>18.850000000000001</v>
      </c>
      <c r="DC716">
        <v>16.29</v>
      </c>
      <c r="DD716">
        <v>1.27</v>
      </c>
      <c r="DE716">
        <v>4168</v>
      </c>
      <c r="DF716">
        <v>2262</v>
      </c>
      <c r="DG716" t="s">
        <v>116</v>
      </c>
      <c r="DH716" t="s">
        <v>116</v>
      </c>
      <c r="DI716" t="s">
        <v>116</v>
      </c>
    </row>
    <row r="717" spans="1:113" x14ac:dyDescent="0.4">
      <c r="A717" t="str">
        <f>"002263"</f>
        <v>002263</v>
      </c>
      <c r="B717" t="s">
        <v>4466</v>
      </c>
      <c r="C717">
        <v>0.49</v>
      </c>
      <c r="D717">
        <v>2.0699999999999998</v>
      </c>
      <c r="E717">
        <v>0.01</v>
      </c>
      <c r="F717">
        <v>2.06</v>
      </c>
      <c r="G717">
        <v>2.0699999999999998</v>
      </c>
      <c r="H717">
        <v>166431</v>
      </c>
      <c r="I717">
        <v>2722</v>
      </c>
      <c r="J717">
        <v>0.49</v>
      </c>
      <c r="K717">
        <v>0.89</v>
      </c>
      <c r="L717">
        <v>2.06</v>
      </c>
      <c r="M717">
        <v>2.09</v>
      </c>
      <c r="N717">
        <v>2.0499999999999998</v>
      </c>
      <c r="O717">
        <v>2.06</v>
      </c>
      <c r="P717">
        <v>94.69</v>
      </c>
      <c r="Q717">
        <v>34456036</v>
      </c>
      <c r="R717">
        <v>0.74</v>
      </c>
      <c r="S717" t="s">
        <v>2444</v>
      </c>
      <c r="T717" t="s">
        <v>590</v>
      </c>
      <c r="U717">
        <v>1.94</v>
      </c>
      <c r="V717">
        <v>2.0699999999999998</v>
      </c>
      <c r="W717">
        <v>102038</v>
      </c>
      <c r="X717">
        <v>64393</v>
      </c>
      <c r="Y717">
        <v>1.58</v>
      </c>
      <c r="Z717">
        <v>5707</v>
      </c>
      <c r="AA717">
        <v>10314</v>
      </c>
      <c r="AB717" t="s">
        <v>116</v>
      </c>
      <c r="AC717">
        <v>790200</v>
      </c>
      <c r="AD717">
        <v>0.03</v>
      </c>
      <c r="AE717" t="s">
        <v>116</v>
      </c>
      <c r="AF717" t="s">
        <v>116</v>
      </c>
      <c r="AG717">
        <v>18.78</v>
      </c>
      <c r="AH717" t="s">
        <v>4467</v>
      </c>
      <c r="AI717" t="s">
        <v>4467</v>
      </c>
      <c r="AJ717">
        <v>1.1599999999999999</v>
      </c>
      <c r="AK717">
        <v>764</v>
      </c>
      <c r="AL717">
        <v>218</v>
      </c>
      <c r="AM717">
        <v>1.1999999999999999E-3</v>
      </c>
      <c r="AN717">
        <v>1</v>
      </c>
      <c r="AO717">
        <v>-1.89</v>
      </c>
      <c r="AP717">
        <v>4.55</v>
      </c>
      <c r="AQ717">
        <v>15.64</v>
      </c>
      <c r="AR717">
        <v>23.95</v>
      </c>
      <c r="AS717">
        <v>1.23</v>
      </c>
      <c r="AT717" t="s">
        <v>4468</v>
      </c>
      <c r="AU717">
        <v>59.07</v>
      </c>
      <c r="AV717">
        <v>96.99</v>
      </c>
      <c r="AW717">
        <v>0.04</v>
      </c>
      <c r="BA717">
        <v>0</v>
      </c>
      <c r="BB717">
        <v>1.46</v>
      </c>
      <c r="BC717">
        <v>-0.49</v>
      </c>
      <c r="BD717">
        <v>0.5</v>
      </c>
      <c r="BE717">
        <v>0.49</v>
      </c>
      <c r="BF717">
        <v>-0.96</v>
      </c>
      <c r="BG717">
        <v>0.98</v>
      </c>
      <c r="BH717">
        <v>-0.01</v>
      </c>
      <c r="BI717">
        <v>20191030</v>
      </c>
      <c r="BJ717">
        <v>20080728</v>
      </c>
      <c r="BK717">
        <v>18.78</v>
      </c>
      <c r="BL717" t="s">
        <v>116</v>
      </c>
      <c r="BM717" t="s">
        <v>116</v>
      </c>
      <c r="BN717">
        <v>24.58</v>
      </c>
      <c r="BO717">
        <v>22.14</v>
      </c>
      <c r="BP717">
        <v>0</v>
      </c>
      <c r="BQ717">
        <v>9.92</v>
      </c>
      <c r="BR717">
        <v>6.67</v>
      </c>
      <c r="BS717">
        <v>16.82</v>
      </c>
      <c r="BT717">
        <v>0.66</v>
      </c>
      <c r="BU717">
        <v>1.68</v>
      </c>
      <c r="BV717">
        <v>1.61</v>
      </c>
      <c r="BW717">
        <v>1.4</v>
      </c>
      <c r="BX717">
        <v>8.1300000000000008</v>
      </c>
      <c r="BY717">
        <v>12.04</v>
      </c>
      <c r="BZ717">
        <v>10.78</v>
      </c>
      <c r="CA717">
        <v>0.28000000000000003</v>
      </c>
      <c r="CB717">
        <v>0</v>
      </c>
      <c r="CC717">
        <v>0.31</v>
      </c>
      <c r="CD717">
        <v>0.31</v>
      </c>
      <c r="CE717">
        <v>0.31</v>
      </c>
      <c r="CF717">
        <v>0.21</v>
      </c>
      <c r="CG717">
        <v>-5.16</v>
      </c>
      <c r="CH717">
        <v>0.86</v>
      </c>
      <c r="CI717">
        <v>-5.58</v>
      </c>
      <c r="CJ717">
        <v>83041</v>
      </c>
      <c r="CK717">
        <v>16307</v>
      </c>
      <c r="CL717" t="s">
        <v>3293</v>
      </c>
      <c r="CM717">
        <v>508.58</v>
      </c>
      <c r="CN717">
        <v>9.8800000000000008</v>
      </c>
      <c r="CO717">
        <v>1.76</v>
      </c>
      <c r="CP717">
        <v>45.27</v>
      </c>
      <c r="CQ717">
        <v>3.23</v>
      </c>
      <c r="CR717">
        <v>0</v>
      </c>
      <c r="CS717" t="s">
        <v>1315</v>
      </c>
      <c r="CT717">
        <v>1.18</v>
      </c>
      <c r="CU717">
        <v>0</v>
      </c>
      <c r="CV717">
        <v>0.43</v>
      </c>
      <c r="CW717">
        <v>-0.27</v>
      </c>
      <c r="CX717">
        <v>0.05</v>
      </c>
      <c r="CY717">
        <v>90.08</v>
      </c>
      <c r="CZ717" t="s">
        <v>4469</v>
      </c>
      <c r="DA717">
        <v>10.43</v>
      </c>
      <c r="DB717">
        <v>2.31</v>
      </c>
      <c r="DC717">
        <v>2.56</v>
      </c>
      <c r="DD717">
        <v>0.16</v>
      </c>
      <c r="DE717">
        <v>717</v>
      </c>
      <c r="DF717">
        <v>2263</v>
      </c>
      <c r="DG717" t="s">
        <v>116</v>
      </c>
      <c r="DH717" t="s">
        <v>116</v>
      </c>
      <c r="DI717" t="s">
        <v>116</v>
      </c>
    </row>
    <row r="718" spans="1:113" x14ac:dyDescent="0.4">
      <c r="A718" t="str">
        <f>"002264"</f>
        <v>002264</v>
      </c>
      <c r="B718" t="s">
        <v>4470</v>
      </c>
      <c r="C718">
        <v>-0.63</v>
      </c>
      <c r="D718">
        <v>4.7699999999999996</v>
      </c>
      <c r="E718">
        <v>-0.03</v>
      </c>
      <c r="F718">
        <v>4.76</v>
      </c>
      <c r="G718">
        <v>4.7699999999999996</v>
      </c>
      <c r="H718">
        <v>48414</v>
      </c>
      <c r="I718">
        <v>434</v>
      </c>
      <c r="J718">
        <v>0</v>
      </c>
      <c r="K718">
        <v>0.71</v>
      </c>
      <c r="L718">
        <v>4.82</v>
      </c>
      <c r="M718">
        <v>4.83</v>
      </c>
      <c r="N718">
        <v>4.75</v>
      </c>
      <c r="O718">
        <v>4.8</v>
      </c>
      <c r="P718" t="s">
        <v>116</v>
      </c>
      <c r="Q718">
        <v>23236324</v>
      </c>
      <c r="R718">
        <v>0.93</v>
      </c>
      <c r="S718" t="s">
        <v>2064</v>
      </c>
      <c r="T718" t="s">
        <v>975</v>
      </c>
      <c r="U718">
        <v>1.67</v>
      </c>
      <c r="V718">
        <v>4.8</v>
      </c>
      <c r="W718">
        <v>25658</v>
      </c>
      <c r="X718">
        <v>22756</v>
      </c>
      <c r="Y718">
        <v>1.1299999999999999</v>
      </c>
      <c r="Z718">
        <v>1227</v>
      </c>
      <c r="AA718">
        <v>152</v>
      </c>
      <c r="AB718" t="s">
        <v>116</v>
      </c>
      <c r="AC718">
        <v>181700</v>
      </c>
      <c r="AD718">
        <v>0.01</v>
      </c>
      <c r="AE718" t="s">
        <v>116</v>
      </c>
      <c r="AF718" t="s">
        <v>116</v>
      </c>
      <c r="AG718">
        <v>6.79</v>
      </c>
      <c r="AH718" t="s">
        <v>4471</v>
      </c>
      <c r="AI718" t="s">
        <v>4472</v>
      </c>
      <c r="AJ718">
        <v>0.05</v>
      </c>
      <c r="AK718">
        <v>807</v>
      </c>
      <c r="AL718">
        <v>60</v>
      </c>
      <c r="AM718">
        <v>8.9999999999999998E-4</v>
      </c>
      <c r="AN718">
        <v>-1</v>
      </c>
      <c r="AO718">
        <v>0.63</v>
      </c>
      <c r="AP718">
        <v>5.3</v>
      </c>
      <c r="AQ718">
        <v>-0.21</v>
      </c>
      <c r="AR718">
        <v>-16.75</v>
      </c>
      <c r="AS718">
        <v>1.63</v>
      </c>
      <c r="AT718" t="s">
        <v>4473</v>
      </c>
      <c r="AU718" t="s">
        <v>116</v>
      </c>
      <c r="AV718">
        <v>190.79</v>
      </c>
      <c r="AW718">
        <v>0.91</v>
      </c>
      <c r="BA718">
        <v>0.42</v>
      </c>
      <c r="BB718">
        <v>0.62</v>
      </c>
      <c r="BC718">
        <v>-1.04</v>
      </c>
      <c r="BD718">
        <v>-0.01</v>
      </c>
      <c r="BE718">
        <v>-1.04</v>
      </c>
      <c r="BF718">
        <v>-1.24</v>
      </c>
      <c r="BG718">
        <v>0.42</v>
      </c>
      <c r="BH718">
        <v>-0.61</v>
      </c>
      <c r="BI718">
        <v>20191105</v>
      </c>
      <c r="BJ718">
        <v>20080731</v>
      </c>
      <c r="BK718">
        <v>6.85</v>
      </c>
      <c r="BL718" t="s">
        <v>116</v>
      </c>
      <c r="BM718" t="s">
        <v>116</v>
      </c>
      <c r="BN718">
        <v>30.06</v>
      </c>
      <c r="BO718">
        <v>14.45</v>
      </c>
      <c r="BP718">
        <v>-0.37</v>
      </c>
      <c r="BQ718">
        <v>53.16</v>
      </c>
      <c r="BR718">
        <v>18.440000000000001</v>
      </c>
      <c r="BS718">
        <v>2.6</v>
      </c>
      <c r="BT718">
        <v>0.26</v>
      </c>
      <c r="BU718">
        <v>15.94</v>
      </c>
      <c r="BV718">
        <v>6.08</v>
      </c>
      <c r="BW718">
        <v>2.58</v>
      </c>
      <c r="BX718">
        <v>11.67</v>
      </c>
      <c r="BY718">
        <v>43.14</v>
      </c>
      <c r="BZ718">
        <v>33.11</v>
      </c>
      <c r="CA718">
        <v>-1.19</v>
      </c>
      <c r="CB718">
        <v>-0.38</v>
      </c>
      <c r="CC718">
        <v>-1.99</v>
      </c>
      <c r="CD718">
        <v>-2.15</v>
      </c>
      <c r="CE718">
        <v>-2.02</v>
      </c>
      <c r="CF718">
        <v>-0.88</v>
      </c>
      <c r="CG718">
        <v>-5</v>
      </c>
      <c r="CH718">
        <v>1.04</v>
      </c>
      <c r="CI718">
        <v>-0.89</v>
      </c>
      <c r="CJ718">
        <v>39292</v>
      </c>
      <c r="CK718">
        <v>7569</v>
      </c>
      <c r="CL718" t="s">
        <v>2538</v>
      </c>
      <c r="CM718">
        <v>-1403.55</v>
      </c>
      <c r="CN718">
        <v>-14.3</v>
      </c>
      <c r="CO718">
        <v>2.2599999999999998</v>
      </c>
      <c r="CP718">
        <v>31.41</v>
      </c>
      <c r="CQ718">
        <v>0.76</v>
      </c>
      <c r="CR718">
        <v>0</v>
      </c>
      <c r="CS718" t="s">
        <v>4474</v>
      </c>
      <c r="CT718">
        <v>2.11</v>
      </c>
      <c r="CU718">
        <v>2.11</v>
      </c>
      <c r="CV718">
        <v>1.7</v>
      </c>
      <c r="CW718">
        <v>-0.73</v>
      </c>
      <c r="CX718">
        <v>0.15</v>
      </c>
      <c r="CY718">
        <v>48.07</v>
      </c>
      <c r="CZ718" t="s">
        <v>4475</v>
      </c>
      <c r="DA718">
        <v>23.25</v>
      </c>
      <c r="DB718">
        <v>-2.76</v>
      </c>
      <c r="DC718">
        <v>-4.68</v>
      </c>
      <c r="DD718">
        <v>0</v>
      </c>
      <c r="DE718">
        <v>9208</v>
      </c>
      <c r="DF718">
        <v>2264</v>
      </c>
      <c r="DG718" t="s">
        <v>116</v>
      </c>
      <c r="DH718" t="s">
        <v>116</v>
      </c>
      <c r="DI718" t="s">
        <v>116</v>
      </c>
    </row>
    <row r="719" spans="1:113" x14ac:dyDescent="0.4">
      <c r="A719" t="str">
        <f>"002265"</f>
        <v>002265</v>
      </c>
      <c r="B719" t="s">
        <v>4476</v>
      </c>
      <c r="C719">
        <v>-0.11</v>
      </c>
      <c r="D719">
        <v>8.94</v>
      </c>
      <c r="E719">
        <v>-0.01</v>
      </c>
      <c r="F719">
        <v>8.94</v>
      </c>
      <c r="G719">
        <v>8.9499999999999993</v>
      </c>
      <c r="H719">
        <v>38616</v>
      </c>
      <c r="I719">
        <v>339</v>
      </c>
      <c r="J719">
        <v>0</v>
      </c>
      <c r="K719">
        <v>1.27</v>
      </c>
      <c r="L719">
        <v>9</v>
      </c>
      <c r="M719">
        <v>9.18</v>
      </c>
      <c r="N719">
        <v>8.93</v>
      </c>
      <c r="O719">
        <v>8.9499999999999993</v>
      </c>
      <c r="P719" t="s">
        <v>116</v>
      </c>
      <c r="Q719">
        <v>34956244</v>
      </c>
      <c r="R719">
        <v>1.1299999999999999</v>
      </c>
      <c r="S719" t="s">
        <v>293</v>
      </c>
      <c r="T719" t="s">
        <v>1043</v>
      </c>
      <c r="U719">
        <v>2.79</v>
      </c>
      <c r="V719">
        <v>9.0500000000000007</v>
      </c>
      <c r="W719">
        <v>18295</v>
      </c>
      <c r="X719">
        <v>20321</v>
      </c>
      <c r="Y719">
        <v>0.9</v>
      </c>
      <c r="Z719">
        <v>151</v>
      </c>
      <c r="AA719">
        <v>224</v>
      </c>
      <c r="AB719" t="s">
        <v>116</v>
      </c>
      <c r="AC719">
        <v>33300</v>
      </c>
      <c r="AD719">
        <v>0</v>
      </c>
      <c r="AE719" t="s">
        <v>116</v>
      </c>
      <c r="AF719" t="s">
        <v>116</v>
      </c>
      <c r="AG719">
        <v>3.04</v>
      </c>
      <c r="AH719" t="s">
        <v>2174</v>
      </c>
      <c r="AI719" t="s">
        <v>3726</v>
      </c>
      <c r="AJ719">
        <v>0.56999999999999995</v>
      </c>
      <c r="AK719">
        <v>1530</v>
      </c>
      <c r="AL719">
        <v>25</v>
      </c>
      <c r="AM719">
        <v>8.0000000000000004E-4</v>
      </c>
      <c r="AN719">
        <v>-1</v>
      </c>
      <c r="AO719">
        <v>-0.55000000000000004</v>
      </c>
      <c r="AP719">
        <v>9.42</v>
      </c>
      <c r="AQ719">
        <v>-5.3</v>
      </c>
      <c r="AR719">
        <v>-0.89</v>
      </c>
      <c r="AS719">
        <v>3.04</v>
      </c>
      <c r="AT719" t="s">
        <v>4477</v>
      </c>
      <c r="AU719" t="s">
        <v>116</v>
      </c>
      <c r="AV719" t="s">
        <v>116</v>
      </c>
      <c r="AW719">
        <v>0.9</v>
      </c>
      <c r="BA719">
        <v>0.56000000000000005</v>
      </c>
      <c r="BB719">
        <v>2.57</v>
      </c>
      <c r="BC719">
        <v>-0.22</v>
      </c>
      <c r="BD719">
        <v>1.1399999999999999</v>
      </c>
      <c r="BE719">
        <v>-0.67</v>
      </c>
      <c r="BF719">
        <v>-2.61</v>
      </c>
      <c r="BG719">
        <v>0.11</v>
      </c>
      <c r="BH719">
        <v>-1.25</v>
      </c>
      <c r="BI719">
        <v>20191024</v>
      </c>
      <c r="BJ719">
        <v>20080806</v>
      </c>
      <c r="BK719">
        <v>3.19</v>
      </c>
      <c r="BL719" t="s">
        <v>116</v>
      </c>
      <c r="BM719" t="s">
        <v>116</v>
      </c>
      <c r="BN719">
        <v>13.87</v>
      </c>
      <c r="BO719">
        <v>8.81</v>
      </c>
      <c r="BP719">
        <v>0.01</v>
      </c>
      <c r="BQ719">
        <v>36.33</v>
      </c>
      <c r="BR719">
        <v>5.9</v>
      </c>
      <c r="BS719">
        <v>4.33</v>
      </c>
      <c r="BT719">
        <v>0.37</v>
      </c>
      <c r="BU719">
        <v>3.82</v>
      </c>
      <c r="BV719">
        <v>1.71</v>
      </c>
      <c r="BW719">
        <v>2.31</v>
      </c>
      <c r="BX719">
        <v>5.72</v>
      </c>
      <c r="BY719">
        <v>5.03</v>
      </c>
      <c r="BZ719">
        <v>4.43</v>
      </c>
      <c r="CA719">
        <v>-0.28999999999999998</v>
      </c>
      <c r="CB719">
        <v>0.01</v>
      </c>
      <c r="CC719">
        <v>-0.22</v>
      </c>
      <c r="CD719">
        <v>-0.22</v>
      </c>
      <c r="CE719">
        <v>-0.22</v>
      </c>
      <c r="CF719">
        <v>-0.3</v>
      </c>
      <c r="CG719">
        <v>-0.42</v>
      </c>
      <c r="CH719">
        <v>0.23</v>
      </c>
      <c r="CI719">
        <v>-0.73</v>
      </c>
      <c r="CJ719">
        <v>37251</v>
      </c>
      <c r="CK719">
        <v>3406</v>
      </c>
      <c r="CL719" t="s">
        <v>4478</v>
      </c>
      <c r="CM719">
        <v>-2067.27</v>
      </c>
      <c r="CN719">
        <v>-13.05</v>
      </c>
      <c r="CO719">
        <v>3.23</v>
      </c>
      <c r="CP719">
        <v>123.69</v>
      </c>
      <c r="CQ719">
        <v>5.67</v>
      </c>
      <c r="CR719">
        <v>0</v>
      </c>
      <c r="CS719" t="s">
        <v>490</v>
      </c>
      <c r="CT719">
        <v>2.77</v>
      </c>
      <c r="CU719">
        <v>0</v>
      </c>
      <c r="CV719">
        <v>1.8</v>
      </c>
      <c r="CW719">
        <v>-0.13</v>
      </c>
      <c r="CX719">
        <v>7.0000000000000007E-2</v>
      </c>
      <c r="CY719">
        <v>63.57</v>
      </c>
      <c r="CZ719" t="s">
        <v>4479</v>
      </c>
      <c r="DA719">
        <v>11.89</v>
      </c>
      <c r="DB719">
        <v>-5.76</v>
      </c>
      <c r="DC719">
        <v>-4.47</v>
      </c>
      <c r="DD719">
        <v>0.15</v>
      </c>
      <c r="DE719">
        <v>2316</v>
      </c>
      <c r="DF719">
        <v>2265</v>
      </c>
      <c r="DG719" t="s">
        <v>116</v>
      </c>
      <c r="DH719" t="s">
        <v>116</v>
      </c>
      <c r="DI719" t="s">
        <v>116</v>
      </c>
    </row>
    <row r="720" spans="1:113" x14ac:dyDescent="0.4">
      <c r="A720" t="str">
        <f>"002266"</f>
        <v>002266</v>
      </c>
      <c r="B720" t="s">
        <v>4480</v>
      </c>
      <c r="C720">
        <v>-0.48</v>
      </c>
      <c r="D720">
        <v>4.1500000000000004</v>
      </c>
      <c r="E720">
        <v>-0.02</v>
      </c>
      <c r="F720">
        <v>4.1399999999999997</v>
      </c>
      <c r="G720">
        <v>4.1500000000000004</v>
      </c>
      <c r="H720">
        <v>83282</v>
      </c>
      <c r="I720">
        <v>1222</v>
      </c>
      <c r="J720">
        <v>0.24</v>
      </c>
      <c r="K720">
        <v>0.51</v>
      </c>
      <c r="L720">
        <v>4.1900000000000004</v>
      </c>
      <c r="M720">
        <v>4.1900000000000004</v>
      </c>
      <c r="N720">
        <v>4.1399999999999997</v>
      </c>
      <c r="O720">
        <v>4.17</v>
      </c>
      <c r="P720">
        <v>74.91</v>
      </c>
      <c r="Q720">
        <v>34676432</v>
      </c>
      <c r="R720">
        <v>0.92</v>
      </c>
      <c r="S720" t="s">
        <v>397</v>
      </c>
      <c r="T720" t="s">
        <v>590</v>
      </c>
      <c r="U720">
        <v>1.2</v>
      </c>
      <c r="V720">
        <v>4.16</v>
      </c>
      <c r="W720">
        <v>53769</v>
      </c>
      <c r="X720">
        <v>29513</v>
      </c>
      <c r="Y720">
        <v>1.82</v>
      </c>
      <c r="Z720">
        <v>1265</v>
      </c>
      <c r="AA720">
        <v>1692</v>
      </c>
      <c r="AB720" t="s">
        <v>116</v>
      </c>
      <c r="AC720">
        <v>37300</v>
      </c>
      <c r="AD720">
        <v>0</v>
      </c>
      <c r="AE720" t="s">
        <v>116</v>
      </c>
      <c r="AF720" t="s">
        <v>116</v>
      </c>
      <c r="AG720">
        <v>16.38</v>
      </c>
      <c r="AH720" t="s">
        <v>4481</v>
      </c>
      <c r="AI720" t="s">
        <v>4482</v>
      </c>
      <c r="AJ720">
        <v>0.2</v>
      </c>
      <c r="AK720">
        <v>2128</v>
      </c>
      <c r="AL720">
        <v>39</v>
      </c>
      <c r="AM720">
        <v>2.0000000000000001E-4</v>
      </c>
      <c r="AN720">
        <v>-3</v>
      </c>
      <c r="AO720">
        <v>-1.2</v>
      </c>
      <c r="AP720">
        <v>0.97</v>
      </c>
      <c r="AQ720">
        <v>-9.7799999999999994</v>
      </c>
      <c r="AR720">
        <v>2.2200000000000002</v>
      </c>
      <c r="AS720">
        <v>0.55000000000000004</v>
      </c>
      <c r="AT720" t="s">
        <v>4483</v>
      </c>
      <c r="AU720">
        <v>93.88</v>
      </c>
      <c r="AV720">
        <v>74.760000000000005</v>
      </c>
      <c r="AW720">
        <v>0.51</v>
      </c>
      <c r="BA720">
        <v>0.48</v>
      </c>
      <c r="BB720">
        <v>0.48</v>
      </c>
      <c r="BC720">
        <v>-0.72</v>
      </c>
      <c r="BD720">
        <v>-0.15</v>
      </c>
      <c r="BE720">
        <v>-0.95</v>
      </c>
      <c r="BF720">
        <v>-0.95</v>
      </c>
      <c r="BG720">
        <v>0.24</v>
      </c>
      <c r="BH720">
        <v>-0.33</v>
      </c>
      <c r="BI720">
        <v>20191226</v>
      </c>
      <c r="BJ720">
        <v>20080806</v>
      </c>
      <c r="BK720">
        <v>19.79</v>
      </c>
      <c r="BL720" t="s">
        <v>116</v>
      </c>
      <c r="BM720" t="s">
        <v>116</v>
      </c>
      <c r="BN720">
        <v>78.25</v>
      </c>
      <c r="BO720">
        <v>33.409999999999997</v>
      </c>
      <c r="BP720">
        <v>12.48</v>
      </c>
      <c r="BQ720">
        <v>41.35</v>
      </c>
      <c r="BR720">
        <v>24.95</v>
      </c>
      <c r="BS720">
        <v>5.95</v>
      </c>
      <c r="BT720">
        <v>6.26</v>
      </c>
      <c r="BU720">
        <v>29.98</v>
      </c>
      <c r="BV720">
        <v>9.76</v>
      </c>
      <c r="BW720">
        <v>2.15</v>
      </c>
      <c r="BX720">
        <v>2.25</v>
      </c>
      <c r="BY720">
        <v>7.98</v>
      </c>
      <c r="BZ720">
        <v>6.13</v>
      </c>
      <c r="CA720">
        <v>1.1200000000000001</v>
      </c>
      <c r="CB720">
        <v>1.22</v>
      </c>
      <c r="CC720">
        <v>1.08</v>
      </c>
      <c r="CD720">
        <v>0.96</v>
      </c>
      <c r="CE720">
        <v>0.82</v>
      </c>
      <c r="CF720">
        <v>0.49</v>
      </c>
      <c r="CG720">
        <v>9.23</v>
      </c>
      <c r="CH720">
        <v>-1.83</v>
      </c>
      <c r="CI720">
        <v>-2.06</v>
      </c>
      <c r="CJ720">
        <v>113980</v>
      </c>
      <c r="CK720">
        <v>13259</v>
      </c>
      <c r="CL720" t="s">
        <v>1424</v>
      </c>
      <c r="CM720">
        <v>-21.39</v>
      </c>
      <c r="CN720">
        <v>-1.32</v>
      </c>
      <c r="CO720">
        <v>2.46</v>
      </c>
      <c r="CP720">
        <v>-44.99</v>
      </c>
      <c r="CQ720">
        <v>10.29</v>
      </c>
      <c r="CR720">
        <v>0.24</v>
      </c>
      <c r="CS720" t="s">
        <v>145</v>
      </c>
      <c r="CT720">
        <v>1.69</v>
      </c>
      <c r="CU720">
        <v>0</v>
      </c>
      <c r="CV720">
        <v>0.11</v>
      </c>
      <c r="CW720">
        <v>0.47</v>
      </c>
      <c r="CX720">
        <v>-0.09</v>
      </c>
      <c r="CY720">
        <v>42.7</v>
      </c>
      <c r="CZ720" t="s">
        <v>822</v>
      </c>
      <c r="DA720">
        <v>23.25</v>
      </c>
      <c r="DB720">
        <v>14.04</v>
      </c>
      <c r="DC720">
        <v>10.3</v>
      </c>
      <c r="DD720">
        <v>0.34</v>
      </c>
      <c r="DE720">
        <v>1406</v>
      </c>
      <c r="DF720">
        <v>2266</v>
      </c>
      <c r="DG720" t="s">
        <v>116</v>
      </c>
      <c r="DH720" t="s">
        <v>116</v>
      </c>
      <c r="DI720" t="s">
        <v>116</v>
      </c>
    </row>
    <row r="721" spans="1:113" x14ac:dyDescent="0.4">
      <c r="A721" t="str">
        <f>"002267"</f>
        <v>002267</v>
      </c>
      <c r="B721" t="s">
        <v>4484</v>
      </c>
      <c r="C721">
        <v>-0.14000000000000001</v>
      </c>
      <c r="D721">
        <v>7.12</v>
      </c>
      <c r="E721">
        <v>-0.01</v>
      </c>
      <c r="F721">
        <v>7.11</v>
      </c>
      <c r="G721">
        <v>7.12</v>
      </c>
      <c r="H721">
        <v>36493</v>
      </c>
      <c r="I721">
        <v>161</v>
      </c>
      <c r="J721">
        <v>0.14000000000000001</v>
      </c>
      <c r="K721">
        <v>0.33</v>
      </c>
      <c r="L721">
        <v>7.12</v>
      </c>
      <c r="M721">
        <v>7.16</v>
      </c>
      <c r="N721">
        <v>7.1</v>
      </c>
      <c r="O721">
        <v>7.13</v>
      </c>
      <c r="P721">
        <v>24.85</v>
      </c>
      <c r="Q721">
        <v>26017292</v>
      </c>
      <c r="R721">
        <v>1.07</v>
      </c>
      <c r="S721" t="s">
        <v>690</v>
      </c>
      <c r="T721" t="s">
        <v>913</v>
      </c>
      <c r="U721">
        <v>0.84</v>
      </c>
      <c r="V721">
        <v>7.13</v>
      </c>
      <c r="W721">
        <v>18697</v>
      </c>
      <c r="X721">
        <v>17796</v>
      </c>
      <c r="Y721">
        <v>1.05</v>
      </c>
      <c r="Z721">
        <v>1248</v>
      </c>
      <c r="AA721">
        <v>844</v>
      </c>
      <c r="AB721" t="s">
        <v>116</v>
      </c>
      <c r="AC721">
        <v>50600</v>
      </c>
      <c r="AD721">
        <v>0</v>
      </c>
      <c r="AE721" t="s">
        <v>116</v>
      </c>
      <c r="AF721" t="s">
        <v>116</v>
      </c>
      <c r="AG721">
        <v>11.12</v>
      </c>
      <c r="AH721" t="s">
        <v>4485</v>
      </c>
      <c r="AI721" t="s">
        <v>4485</v>
      </c>
      <c r="AJ721">
        <v>0.54</v>
      </c>
      <c r="AK721">
        <v>701</v>
      </c>
      <c r="AL721">
        <v>52</v>
      </c>
      <c r="AM721">
        <v>5.0000000000000001E-4</v>
      </c>
      <c r="AN721">
        <v>-1</v>
      </c>
      <c r="AO721">
        <v>0</v>
      </c>
      <c r="AP721">
        <v>-0.97</v>
      </c>
      <c r="AQ721">
        <v>-0.84</v>
      </c>
      <c r="AR721">
        <v>-2.33</v>
      </c>
      <c r="AS721">
        <v>0.92</v>
      </c>
      <c r="AT721" t="s">
        <v>4486</v>
      </c>
      <c r="AU721">
        <v>26.89</v>
      </c>
      <c r="AV721">
        <v>19.59</v>
      </c>
      <c r="AW721">
        <v>0.64</v>
      </c>
      <c r="BA721">
        <v>-0.14000000000000001</v>
      </c>
      <c r="BB721">
        <v>0.42</v>
      </c>
      <c r="BC721">
        <v>-0.42</v>
      </c>
      <c r="BD721">
        <v>-0.01</v>
      </c>
      <c r="BE721">
        <v>0</v>
      </c>
      <c r="BF721">
        <v>-0.56000000000000005</v>
      </c>
      <c r="BG721">
        <v>0.28000000000000003</v>
      </c>
      <c r="BH721">
        <v>-0.13</v>
      </c>
      <c r="BI721">
        <v>20191117</v>
      </c>
      <c r="BJ721">
        <v>20080813</v>
      </c>
      <c r="BK721">
        <v>11.12</v>
      </c>
      <c r="BL721" t="s">
        <v>116</v>
      </c>
      <c r="BM721" t="s">
        <v>116</v>
      </c>
      <c r="BN721">
        <v>119.61</v>
      </c>
      <c r="BO721">
        <v>58.32</v>
      </c>
      <c r="BP721">
        <v>1.75</v>
      </c>
      <c r="BQ721">
        <v>49.78</v>
      </c>
      <c r="BR721">
        <v>19.010000000000002</v>
      </c>
      <c r="BS721">
        <v>71.349999999999994</v>
      </c>
      <c r="BT721">
        <v>4.8099999999999996</v>
      </c>
      <c r="BU721">
        <v>47.24</v>
      </c>
      <c r="BV721">
        <v>1.68</v>
      </c>
      <c r="BW721">
        <v>5.07</v>
      </c>
      <c r="BX721">
        <v>12.9</v>
      </c>
      <c r="BY721">
        <v>65.2</v>
      </c>
      <c r="BZ721">
        <v>59.38</v>
      </c>
      <c r="CA721">
        <v>3.25</v>
      </c>
      <c r="CB721">
        <v>-0.13</v>
      </c>
      <c r="CC721">
        <v>3.28</v>
      </c>
      <c r="CD721">
        <v>2.44</v>
      </c>
      <c r="CE721">
        <v>2.39</v>
      </c>
      <c r="CF721">
        <v>2.2999999999999998</v>
      </c>
      <c r="CG721">
        <v>26.65</v>
      </c>
      <c r="CH721">
        <v>14.84</v>
      </c>
      <c r="CI721">
        <v>-0.49</v>
      </c>
      <c r="CJ721">
        <v>38081</v>
      </c>
      <c r="CK721">
        <v>10387</v>
      </c>
      <c r="CL721" t="s">
        <v>4487</v>
      </c>
      <c r="CM721">
        <v>-31.48</v>
      </c>
      <c r="CN721">
        <v>12.41</v>
      </c>
      <c r="CO721">
        <v>1.36</v>
      </c>
      <c r="CP721">
        <v>5.34</v>
      </c>
      <c r="CQ721">
        <v>1.21</v>
      </c>
      <c r="CR721">
        <v>1.4</v>
      </c>
      <c r="CS721" t="s">
        <v>4228</v>
      </c>
      <c r="CT721">
        <v>5.24</v>
      </c>
      <c r="CU721">
        <v>0</v>
      </c>
      <c r="CV721">
        <v>1.1599999999999999</v>
      </c>
      <c r="CW721">
        <v>2.4</v>
      </c>
      <c r="CX721">
        <v>1.33</v>
      </c>
      <c r="CY721">
        <v>48.76</v>
      </c>
      <c r="CZ721" t="s">
        <v>4488</v>
      </c>
      <c r="DA721">
        <v>8.92</v>
      </c>
      <c r="DB721">
        <v>4.99</v>
      </c>
      <c r="DC721">
        <v>3.67</v>
      </c>
      <c r="DD721">
        <v>0.15</v>
      </c>
      <c r="DE721">
        <v>1822</v>
      </c>
      <c r="DF721">
        <v>2267</v>
      </c>
      <c r="DG721" t="s">
        <v>116</v>
      </c>
      <c r="DH721" t="s">
        <v>116</v>
      </c>
      <c r="DI721" t="s">
        <v>116</v>
      </c>
    </row>
    <row r="722" spans="1:113" x14ac:dyDescent="0.4">
      <c r="A722" t="str">
        <f>"002268"</f>
        <v>002268</v>
      </c>
      <c r="B722" t="s">
        <v>4489</v>
      </c>
      <c r="C722">
        <v>-2</v>
      </c>
      <c r="D722">
        <v>25.92</v>
      </c>
      <c r="E722">
        <v>-0.53</v>
      </c>
      <c r="F722">
        <v>25.92</v>
      </c>
      <c r="G722">
        <v>25.93</v>
      </c>
      <c r="H722">
        <v>149067</v>
      </c>
      <c r="I722">
        <v>1445</v>
      </c>
      <c r="J722">
        <v>0.12</v>
      </c>
      <c r="K722">
        <v>1.84</v>
      </c>
      <c r="L722">
        <v>26.45</v>
      </c>
      <c r="M722">
        <v>26.94</v>
      </c>
      <c r="N722">
        <v>25.8</v>
      </c>
      <c r="O722">
        <v>26.45</v>
      </c>
      <c r="P722" t="s">
        <v>116</v>
      </c>
      <c r="Q722">
        <v>393074592</v>
      </c>
      <c r="R722">
        <v>0.98</v>
      </c>
      <c r="S722" t="s">
        <v>607</v>
      </c>
      <c r="T722" t="s">
        <v>582</v>
      </c>
      <c r="U722">
        <v>4.3099999999999996</v>
      </c>
      <c r="V722">
        <v>26.37</v>
      </c>
      <c r="W722">
        <v>83433</v>
      </c>
      <c r="X722">
        <v>65634</v>
      </c>
      <c r="Y722">
        <v>1.27</v>
      </c>
      <c r="Z722">
        <v>835</v>
      </c>
      <c r="AA722">
        <v>909</v>
      </c>
      <c r="AB722" t="s">
        <v>116</v>
      </c>
      <c r="AC722">
        <v>6074800</v>
      </c>
      <c r="AD722">
        <v>0.04</v>
      </c>
      <c r="AE722" t="s">
        <v>116</v>
      </c>
      <c r="AF722" t="s">
        <v>116</v>
      </c>
      <c r="AG722">
        <v>8.1</v>
      </c>
      <c r="AH722" t="s">
        <v>4490</v>
      </c>
      <c r="AI722" t="s">
        <v>4491</v>
      </c>
      <c r="AJ722">
        <v>-1.32</v>
      </c>
      <c r="AK722">
        <v>3709</v>
      </c>
      <c r="AL722">
        <v>40</v>
      </c>
      <c r="AM722">
        <v>5.0000000000000001E-4</v>
      </c>
      <c r="AN722">
        <v>-1</v>
      </c>
      <c r="AO722">
        <v>1.25</v>
      </c>
      <c r="AP722">
        <v>9.0500000000000007</v>
      </c>
      <c r="AQ722">
        <v>-8.18</v>
      </c>
      <c r="AR722">
        <v>45.25</v>
      </c>
      <c r="AS722">
        <v>2.85</v>
      </c>
      <c r="AT722" t="s">
        <v>4492</v>
      </c>
      <c r="AU722">
        <v>167.07</v>
      </c>
      <c r="AV722">
        <v>180.77</v>
      </c>
      <c r="AW722">
        <v>1.36</v>
      </c>
      <c r="BA722">
        <v>0</v>
      </c>
      <c r="BB722">
        <v>1.85</v>
      </c>
      <c r="BC722">
        <v>-2.46</v>
      </c>
      <c r="BD722">
        <v>-0.31</v>
      </c>
      <c r="BE722">
        <v>-2</v>
      </c>
      <c r="BF722">
        <v>-3.79</v>
      </c>
      <c r="BG722">
        <v>0.47</v>
      </c>
      <c r="BH722">
        <v>-1.7</v>
      </c>
      <c r="BI722">
        <v>20191023</v>
      </c>
      <c r="BJ722">
        <v>20080811</v>
      </c>
      <c r="BK722">
        <v>8.3800000000000008</v>
      </c>
      <c r="BL722" t="s">
        <v>116</v>
      </c>
      <c r="BM722" t="s">
        <v>116</v>
      </c>
      <c r="BN722">
        <v>55.7</v>
      </c>
      <c r="BO722">
        <v>43.31</v>
      </c>
      <c r="BP722">
        <v>0.48</v>
      </c>
      <c r="BQ722">
        <v>21.38</v>
      </c>
      <c r="BR722">
        <v>36.909999999999997</v>
      </c>
      <c r="BS722">
        <v>2.56</v>
      </c>
      <c r="BT722">
        <v>0.85</v>
      </c>
      <c r="BU722">
        <v>11.25</v>
      </c>
      <c r="BV722">
        <v>3.77</v>
      </c>
      <c r="BW722">
        <v>18.28</v>
      </c>
      <c r="BX722">
        <v>25.91</v>
      </c>
      <c r="BY722">
        <v>10.43</v>
      </c>
      <c r="BZ722">
        <v>7.36</v>
      </c>
      <c r="CA722">
        <v>-0.91</v>
      </c>
      <c r="CB722">
        <v>-0.02</v>
      </c>
      <c r="CC722">
        <v>-0.87</v>
      </c>
      <c r="CD722">
        <v>-0.63</v>
      </c>
      <c r="CE722">
        <v>-0.64</v>
      </c>
      <c r="CF722">
        <v>-0.66</v>
      </c>
      <c r="CG722">
        <v>8.4700000000000006</v>
      </c>
      <c r="CH722">
        <v>-6.03</v>
      </c>
      <c r="CI722">
        <v>-9.23</v>
      </c>
      <c r="CJ722">
        <v>32250</v>
      </c>
      <c r="CK722">
        <v>16240</v>
      </c>
      <c r="CL722" t="s">
        <v>4493</v>
      </c>
      <c r="CM722">
        <v>13.42</v>
      </c>
      <c r="CN722">
        <v>0.13</v>
      </c>
      <c r="CO722">
        <v>5.0199999999999996</v>
      </c>
      <c r="CP722">
        <v>-36.06</v>
      </c>
      <c r="CQ722">
        <v>20.83</v>
      </c>
      <c r="CR722">
        <v>0.06</v>
      </c>
      <c r="CS722" t="s">
        <v>2302</v>
      </c>
      <c r="CT722">
        <v>5.17</v>
      </c>
      <c r="CU722">
        <v>0</v>
      </c>
      <c r="CV722">
        <v>3.09</v>
      </c>
      <c r="CW722">
        <v>1.01</v>
      </c>
      <c r="CX722">
        <v>-0.72</v>
      </c>
      <c r="CY722">
        <v>77.760000000000005</v>
      </c>
      <c r="CZ722" t="s">
        <v>4494</v>
      </c>
      <c r="DA722">
        <v>29.41</v>
      </c>
      <c r="DB722">
        <v>-8.68</v>
      </c>
      <c r="DC722">
        <v>-6.1</v>
      </c>
      <c r="DD722">
        <v>1.24</v>
      </c>
      <c r="DE722">
        <v>2078</v>
      </c>
      <c r="DF722">
        <v>2268</v>
      </c>
      <c r="DG722" t="s">
        <v>116</v>
      </c>
      <c r="DH722" t="s">
        <v>116</v>
      </c>
      <c r="DI722" t="s">
        <v>116</v>
      </c>
    </row>
    <row r="723" spans="1:113" x14ac:dyDescent="0.4">
      <c r="A723" t="str">
        <f>"002269"</f>
        <v>002269</v>
      </c>
      <c r="B723" t="s">
        <v>4495</v>
      </c>
      <c r="C723">
        <v>9.9499999999999993</v>
      </c>
      <c r="D723">
        <v>2.4300000000000002</v>
      </c>
      <c r="E723">
        <v>0.22</v>
      </c>
      <c r="F723">
        <v>2.4300000000000002</v>
      </c>
      <c r="G723" t="s">
        <v>116</v>
      </c>
      <c r="H723">
        <v>313378</v>
      </c>
      <c r="I723">
        <v>3677</v>
      </c>
      <c r="J723">
        <v>0</v>
      </c>
      <c r="K723">
        <v>1.25</v>
      </c>
      <c r="L723">
        <v>2.19</v>
      </c>
      <c r="M723">
        <v>2.4300000000000002</v>
      </c>
      <c r="N723">
        <v>2.19</v>
      </c>
      <c r="O723">
        <v>2.21</v>
      </c>
      <c r="P723" t="s">
        <v>116</v>
      </c>
      <c r="Q723">
        <v>75256424</v>
      </c>
      <c r="R723">
        <v>1.04</v>
      </c>
      <c r="S723" t="s">
        <v>3070</v>
      </c>
      <c r="T723" t="s">
        <v>1653</v>
      </c>
      <c r="U723">
        <v>10.86</v>
      </c>
      <c r="V723">
        <v>2.4</v>
      </c>
      <c r="W723">
        <v>265846</v>
      </c>
      <c r="X723">
        <v>47532</v>
      </c>
      <c r="Y723">
        <v>5.59</v>
      </c>
      <c r="Z723">
        <v>71135</v>
      </c>
      <c r="AA723">
        <v>0</v>
      </c>
      <c r="AB723" t="s">
        <v>116</v>
      </c>
      <c r="AC723">
        <v>484600</v>
      </c>
      <c r="AD723">
        <v>0.02</v>
      </c>
      <c r="AE723">
        <v>0.23</v>
      </c>
      <c r="AF723">
        <v>17285806</v>
      </c>
      <c r="AG723">
        <v>25.13</v>
      </c>
      <c r="AH723" t="s">
        <v>4496</v>
      </c>
      <c r="AI723" t="s">
        <v>4496</v>
      </c>
      <c r="AJ723">
        <v>10.63</v>
      </c>
      <c r="AK723">
        <v>1600</v>
      </c>
      <c r="AL723">
        <v>196</v>
      </c>
      <c r="AM723">
        <v>8.0000000000000004E-4</v>
      </c>
      <c r="AN723">
        <v>2</v>
      </c>
      <c r="AO723">
        <v>9.4499999999999993</v>
      </c>
      <c r="AP723">
        <v>26.56</v>
      </c>
      <c r="AQ723">
        <v>13.55</v>
      </c>
      <c r="AR723">
        <v>5.19</v>
      </c>
      <c r="AS723">
        <v>3.09</v>
      </c>
      <c r="AT723" t="s">
        <v>4497</v>
      </c>
      <c r="AU723" t="s">
        <v>116</v>
      </c>
      <c r="AV723">
        <v>151.27000000000001</v>
      </c>
      <c r="AW723">
        <v>0.09</v>
      </c>
      <c r="BA723">
        <v>-0.9</v>
      </c>
      <c r="BB723">
        <v>9.9499999999999993</v>
      </c>
      <c r="BC723">
        <v>-0.9</v>
      </c>
      <c r="BD723">
        <v>8.66</v>
      </c>
      <c r="BE723">
        <v>10.96</v>
      </c>
      <c r="BF723">
        <v>0</v>
      </c>
      <c r="BG723">
        <v>10.96</v>
      </c>
      <c r="BH723">
        <v>1.29</v>
      </c>
      <c r="BI723">
        <v>20191029</v>
      </c>
      <c r="BJ723">
        <v>20080828</v>
      </c>
      <c r="BK723">
        <v>25.13</v>
      </c>
      <c r="BL723" t="s">
        <v>116</v>
      </c>
      <c r="BM723" t="s">
        <v>116</v>
      </c>
      <c r="BN723">
        <v>70.72</v>
      </c>
      <c r="BO723">
        <v>26.36</v>
      </c>
      <c r="BP723">
        <v>0</v>
      </c>
      <c r="BQ723">
        <v>62.72</v>
      </c>
      <c r="BR723">
        <v>43.7</v>
      </c>
      <c r="BS723">
        <v>11.72</v>
      </c>
      <c r="BT723">
        <v>0.5</v>
      </c>
      <c r="BU723">
        <v>44.36</v>
      </c>
      <c r="BV723">
        <v>21.57</v>
      </c>
      <c r="BW723">
        <v>14.02</v>
      </c>
      <c r="BX723">
        <v>1.61</v>
      </c>
      <c r="BY723">
        <v>40.340000000000003</v>
      </c>
      <c r="BZ723">
        <v>23.63</v>
      </c>
      <c r="CA723">
        <v>-2.31</v>
      </c>
      <c r="CB723">
        <v>0.31</v>
      </c>
      <c r="CC723">
        <v>-2.36</v>
      </c>
      <c r="CD723">
        <v>-2.38</v>
      </c>
      <c r="CE723">
        <v>-2.38</v>
      </c>
      <c r="CF723">
        <v>-2.48</v>
      </c>
      <c r="CG723">
        <v>-5.61</v>
      </c>
      <c r="CH723">
        <v>0.51</v>
      </c>
      <c r="CI723">
        <v>-0.51</v>
      </c>
      <c r="CJ723">
        <v>61758</v>
      </c>
      <c r="CK723">
        <v>16435</v>
      </c>
      <c r="CL723" t="s">
        <v>2417</v>
      </c>
      <c r="CM723">
        <v>-692.42</v>
      </c>
      <c r="CN723">
        <v>-27.27</v>
      </c>
      <c r="CO723">
        <v>2.3199999999999998</v>
      </c>
      <c r="CP723">
        <v>120.74</v>
      </c>
      <c r="CQ723">
        <v>1.51</v>
      </c>
      <c r="CR723">
        <v>0</v>
      </c>
      <c r="CS723" t="s">
        <v>4498</v>
      </c>
      <c r="CT723">
        <v>1.05</v>
      </c>
      <c r="CU723">
        <v>0</v>
      </c>
      <c r="CV723">
        <v>0.06</v>
      </c>
      <c r="CW723">
        <v>-0.22</v>
      </c>
      <c r="CX723">
        <v>0.02</v>
      </c>
      <c r="CY723">
        <v>37.28</v>
      </c>
      <c r="CZ723" t="s">
        <v>4499</v>
      </c>
      <c r="DA723">
        <v>41.42</v>
      </c>
      <c r="DB723">
        <v>-5.72</v>
      </c>
      <c r="DC723">
        <v>-5.89</v>
      </c>
      <c r="DD723">
        <v>0.88</v>
      </c>
      <c r="DE723">
        <v>7969</v>
      </c>
      <c r="DF723">
        <v>2269</v>
      </c>
      <c r="DG723" t="s">
        <v>116</v>
      </c>
      <c r="DH723" t="s">
        <v>116</v>
      </c>
      <c r="DI723" t="s">
        <v>116</v>
      </c>
    </row>
    <row r="724" spans="1:113" x14ac:dyDescent="0.4">
      <c r="A724" t="str">
        <f>"002270"</f>
        <v>002270</v>
      </c>
      <c r="B724" t="s">
        <v>4500</v>
      </c>
      <c r="C724">
        <v>-0.4</v>
      </c>
      <c r="D724">
        <v>4.93</v>
      </c>
      <c r="E724">
        <v>-0.02</v>
      </c>
      <c r="F724">
        <v>4.92</v>
      </c>
      <c r="G724">
        <v>4.93</v>
      </c>
      <c r="H724">
        <v>63463</v>
      </c>
      <c r="I724">
        <v>984</v>
      </c>
      <c r="J724">
        <v>0</v>
      </c>
      <c r="K724">
        <v>0.86</v>
      </c>
      <c r="L724">
        <v>4.93</v>
      </c>
      <c r="M724">
        <v>5.0199999999999996</v>
      </c>
      <c r="N724">
        <v>4.91</v>
      </c>
      <c r="O724">
        <v>4.95</v>
      </c>
      <c r="P724">
        <v>27.95</v>
      </c>
      <c r="Q724">
        <v>31405256</v>
      </c>
      <c r="R724">
        <v>1.65</v>
      </c>
      <c r="S724" t="s">
        <v>397</v>
      </c>
      <c r="T724" t="s">
        <v>645</v>
      </c>
      <c r="U724">
        <v>2.2200000000000002</v>
      </c>
      <c r="V724">
        <v>4.95</v>
      </c>
      <c r="W724">
        <v>26013</v>
      </c>
      <c r="X724">
        <v>37450</v>
      </c>
      <c r="Y724">
        <v>0.69</v>
      </c>
      <c r="Z724">
        <v>757</v>
      </c>
      <c r="AA724">
        <v>242</v>
      </c>
      <c r="AB724" t="s">
        <v>116</v>
      </c>
      <c r="AC724">
        <v>98100</v>
      </c>
      <c r="AD724">
        <v>0</v>
      </c>
      <c r="AE724" t="s">
        <v>116</v>
      </c>
      <c r="AF724" t="s">
        <v>116</v>
      </c>
      <c r="AG724">
        <v>7.39</v>
      </c>
      <c r="AH724" t="s">
        <v>4501</v>
      </c>
      <c r="AI724" t="s">
        <v>4502</v>
      </c>
      <c r="AJ724">
        <v>0.27</v>
      </c>
      <c r="AK724">
        <v>1041</v>
      </c>
      <c r="AL724">
        <v>61</v>
      </c>
      <c r="AM724">
        <v>8.0000000000000004E-4</v>
      </c>
      <c r="AN724">
        <v>-1</v>
      </c>
      <c r="AO724">
        <v>-0.59</v>
      </c>
      <c r="AP724">
        <v>0.61</v>
      </c>
      <c r="AQ724">
        <v>-12.12</v>
      </c>
      <c r="AR724">
        <v>7.48</v>
      </c>
      <c r="AS724">
        <v>1.58</v>
      </c>
      <c r="AT724" t="s">
        <v>4503</v>
      </c>
      <c r="AU724">
        <v>19.600000000000001</v>
      </c>
      <c r="AV724">
        <v>22.82</v>
      </c>
      <c r="AW724">
        <v>0.53</v>
      </c>
      <c r="BA724">
        <v>-0.4</v>
      </c>
      <c r="BB724">
        <v>1.41</v>
      </c>
      <c r="BC724">
        <v>-0.81</v>
      </c>
      <c r="BD724">
        <v>-0.03</v>
      </c>
      <c r="BE724">
        <v>0</v>
      </c>
      <c r="BF724">
        <v>-1.79</v>
      </c>
      <c r="BG724">
        <v>0.41</v>
      </c>
      <c r="BH724">
        <v>-0.38</v>
      </c>
      <c r="BI724">
        <v>20191120</v>
      </c>
      <c r="BJ724">
        <v>20080905</v>
      </c>
      <c r="BK724">
        <v>7.59</v>
      </c>
      <c r="BL724" t="s">
        <v>116</v>
      </c>
      <c r="BM724" t="s">
        <v>116</v>
      </c>
      <c r="BN724">
        <v>38.46</v>
      </c>
      <c r="BO724">
        <v>23.37</v>
      </c>
      <c r="BP724">
        <v>0.06</v>
      </c>
      <c r="BQ724">
        <v>39.08</v>
      </c>
      <c r="BR724">
        <v>26.18</v>
      </c>
      <c r="BS724">
        <v>3.21</v>
      </c>
      <c r="BT724">
        <v>2.02</v>
      </c>
      <c r="BU724">
        <v>6.4</v>
      </c>
      <c r="BV724">
        <v>4.46</v>
      </c>
      <c r="BW724">
        <v>11.87</v>
      </c>
      <c r="BX724">
        <v>9.42</v>
      </c>
      <c r="BY724">
        <v>8.41</v>
      </c>
      <c r="BZ724">
        <v>4.1399999999999997</v>
      </c>
      <c r="CA724">
        <v>1.07</v>
      </c>
      <c r="CB724">
        <v>0.09</v>
      </c>
      <c r="CC724">
        <v>1.1299999999999999</v>
      </c>
      <c r="CD724">
        <v>1.07</v>
      </c>
      <c r="CE724">
        <v>1</v>
      </c>
      <c r="CF724">
        <v>0.86</v>
      </c>
      <c r="CG724">
        <v>12.86</v>
      </c>
      <c r="CH724">
        <v>0</v>
      </c>
      <c r="CI724">
        <v>-0.72</v>
      </c>
      <c r="CJ724">
        <v>27899</v>
      </c>
      <c r="CK724">
        <v>14369</v>
      </c>
      <c r="CL724" t="s">
        <v>2702</v>
      </c>
      <c r="CM724">
        <v>36.71</v>
      </c>
      <c r="CN724">
        <v>35.79</v>
      </c>
      <c r="CO724">
        <v>1.6</v>
      </c>
      <c r="CP724">
        <v>54247.07</v>
      </c>
      <c r="CQ724">
        <v>4.45</v>
      </c>
      <c r="CR724">
        <v>0.87</v>
      </c>
      <c r="CS724" t="s">
        <v>512</v>
      </c>
      <c r="CT724">
        <v>3.08</v>
      </c>
      <c r="CU724">
        <v>0</v>
      </c>
      <c r="CV724">
        <v>1.24</v>
      </c>
      <c r="CW724">
        <v>1.69</v>
      </c>
      <c r="CX724">
        <v>0</v>
      </c>
      <c r="CY724">
        <v>60.77</v>
      </c>
      <c r="CZ724" t="s">
        <v>1644</v>
      </c>
      <c r="DA724">
        <v>50.73</v>
      </c>
      <c r="DB724">
        <v>12.73</v>
      </c>
      <c r="DC724">
        <v>11.95</v>
      </c>
      <c r="DD724">
        <v>0.27</v>
      </c>
      <c r="DE724">
        <v>1662</v>
      </c>
      <c r="DF724">
        <v>2270</v>
      </c>
      <c r="DG724" t="s">
        <v>116</v>
      </c>
      <c r="DH724" t="s">
        <v>116</v>
      </c>
      <c r="DI724" t="s">
        <v>116</v>
      </c>
    </row>
    <row r="725" spans="1:113" x14ac:dyDescent="0.4">
      <c r="A725" t="str">
        <f>"002271"</f>
        <v>002271</v>
      </c>
      <c r="B725" t="s">
        <v>4504</v>
      </c>
      <c r="C725">
        <v>2.04</v>
      </c>
      <c r="D725">
        <v>25.48</v>
      </c>
      <c r="E725">
        <v>0.51</v>
      </c>
      <c r="F725">
        <v>25.47</v>
      </c>
      <c r="G725">
        <v>25.48</v>
      </c>
      <c r="H725">
        <v>225707</v>
      </c>
      <c r="I725">
        <v>1703</v>
      </c>
      <c r="J725">
        <v>0</v>
      </c>
      <c r="K725">
        <v>2.2799999999999998</v>
      </c>
      <c r="L725">
        <v>24.99</v>
      </c>
      <c r="M725">
        <v>25.85</v>
      </c>
      <c r="N725">
        <v>24.88</v>
      </c>
      <c r="O725">
        <v>24.97</v>
      </c>
      <c r="P725">
        <v>18.149999999999999</v>
      </c>
      <c r="Q725">
        <v>575409728</v>
      </c>
      <c r="R725">
        <v>1.62</v>
      </c>
      <c r="S725" t="s">
        <v>249</v>
      </c>
      <c r="T725" t="s">
        <v>165</v>
      </c>
      <c r="U725">
        <v>3.88</v>
      </c>
      <c r="V725">
        <v>25.49</v>
      </c>
      <c r="W725">
        <v>88140</v>
      </c>
      <c r="X725">
        <v>137567</v>
      </c>
      <c r="Y725">
        <v>0.64</v>
      </c>
      <c r="Z725">
        <v>8</v>
      </c>
      <c r="AA725">
        <v>189</v>
      </c>
      <c r="AB725" t="s">
        <v>116</v>
      </c>
      <c r="AC725">
        <v>794700</v>
      </c>
      <c r="AD725">
        <v>0</v>
      </c>
      <c r="AE725" t="s">
        <v>116</v>
      </c>
      <c r="AF725" t="s">
        <v>116</v>
      </c>
      <c r="AG725">
        <v>9.91</v>
      </c>
      <c r="AH725" t="s">
        <v>4505</v>
      </c>
      <c r="AI725" t="s">
        <v>4506</v>
      </c>
      <c r="AJ725">
        <v>2.72</v>
      </c>
      <c r="AK725">
        <v>4153</v>
      </c>
      <c r="AL725">
        <v>54</v>
      </c>
      <c r="AM725">
        <v>5.0000000000000001E-4</v>
      </c>
      <c r="AN725">
        <v>2</v>
      </c>
      <c r="AO725">
        <v>4.5999999999999996</v>
      </c>
      <c r="AP725">
        <v>6.17</v>
      </c>
      <c r="AQ725">
        <v>22.15</v>
      </c>
      <c r="AR725">
        <v>101.42</v>
      </c>
      <c r="AS725">
        <v>2.63</v>
      </c>
      <c r="AT725" t="s">
        <v>4507</v>
      </c>
      <c r="AU725">
        <v>19.34</v>
      </c>
      <c r="AV725">
        <v>25.13</v>
      </c>
      <c r="AW725">
        <v>1.07</v>
      </c>
      <c r="BA725">
        <v>0.08</v>
      </c>
      <c r="BB725">
        <v>3.52</v>
      </c>
      <c r="BC725">
        <v>-0.36</v>
      </c>
      <c r="BD725">
        <v>2.1</v>
      </c>
      <c r="BE725">
        <v>1.96</v>
      </c>
      <c r="BF725">
        <v>-1.43</v>
      </c>
      <c r="BG725">
        <v>2.41</v>
      </c>
      <c r="BH725">
        <v>-0.05</v>
      </c>
      <c r="BI725">
        <v>20191223</v>
      </c>
      <c r="BJ725">
        <v>20080910</v>
      </c>
      <c r="BK725">
        <v>14.88</v>
      </c>
      <c r="BL725" t="s">
        <v>116</v>
      </c>
      <c r="BM725" t="s">
        <v>116</v>
      </c>
      <c r="BN725">
        <v>209.47</v>
      </c>
      <c r="BO725">
        <v>92.06</v>
      </c>
      <c r="BP725">
        <v>1.93</v>
      </c>
      <c r="BQ725">
        <v>55.13</v>
      </c>
      <c r="BR725">
        <v>143.5</v>
      </c>
      <c r="BS725">
        <v>34.11</v>
      </c>
      <c r="BT725">
        <v>11.46</v>
      </c>
      <c r="BU725">
        <v>94.38</v>
      </c>
      <c r="BV725">
        <v>21.63</v>
      </c>
      <c r="BW725">
        <v>65.599999999999994</v>
      </c>
      <c r="BX725">
        <v>13.97</v>
      </c>
      <c r="BY725">
        <v>128.94999999999999</v>
      </c>
      <c r="BZ725">
        <v>81.93</v>
      </c>
      <c r="CA725">
        <v>19.489999999999998</v>
      </c>
      <c r="CB725">
        <v>0</v>
      </c>
      <c r="CC725">
        <v>19.46</v>
      </c>
      <c r="CD725">
        <v>15.76</v>
      </c>
      <c r="CE725">
        <v>15.66</v>
      </c>
      <c r="CF725">
        <v>13.04</v>
      </c>
      <c r="CG725">
        <v>63.19</v>
      </c>
      <c r="CH725">
        <v>-20.48</v>
      </c>
      <c r="CI725">
        <v>-31.45</v>
      </c>
      <c r="CJ725">
        <v>48925</v>
      </c>
      <c r="CK725">
        <v>17533</v>
      </c>
      <c r="CL725" t="s">
        <v>4508</v>
      </c>
      <c r="CM725">
        <v>40.549999999999997</v>
      </c>
      <c r="CN725">
        <v>38.64</v>
      </c>
      <c r="CO725">
        <v>4.32</v>
      </c>
      <c r="CP725">
        <v>-18.510000000000002</v>
      </c>
      <c r="CQ725">
        <v>2.94</v>
      </c>
      <c r="CR725">
        <v>1.1599999999999999</v>
      </c>
      <c r="CS725" t="s">
        <v>4509</v>
      </c>
      <c r="CT725">
        <v>5.89</v>
      </c>
      <c r="CU725">
        <v>5.89</v>
      </c>
      <c r="CV725">
        <v>0.94</v>
      </c>
      <c r="CW725">
        <v>4.25</v>
      </c>
      <c r="CX725">
        <v>-1.38</v>
      </c>
      <c r="CY725">
        <v>43.95</v>
      </c>
      <c r="CZ725" t="s">
        <v>4510</v>
      </c>
      <c r="DA725">
        <v>36.46</v>
      </c>
      <c r="DB725">
        <v>15.12</v>
      </c>
      <c r="DC725">
        <v>12.15</v>
      </c>
      <c r="DD725">
        <v>1.98</v>
      </c>
      <c r="DE725">
        <v>8084</v>
      </c>
      <c r="DF725">
        <v>2271</v>
      </c>
      <c r="DG725" t="s">
        <v>116</v>
      </c>
      <c r="DH725" t="s">
        <v>116</v>
      </c>
      <c r="DI725" t="s">
        <v>116</v>
      </c>
    </row>
    <row r="726" spans="1:113" x14ac:dyDescent="0.4">
      <c r="A726" t="str">
        <f>"002272"</f>
        <v>002272</v>
      </c>
      <c r="B726" t="s">
        <v>4511</v>
      </c>
      <c r="C726">
        <v>-1.54</v>
      </c>
      <c r="D726">
        <v>4.47</v>
      </c>
      <c r="E726">
        <v>-7.0000000000000007E-2</v>
      </c>
      <c r="F726">
        <v>4.46</v>
      </c>
      <c r="G726">
        <v>4.47</v>
      </c>
      <c r="H726">
        <v>27442</v>
      </c>
      <c r="I726">
        <v>272</v>
      </c>
      <c r="J726">
        <v>0.45</v>
      </c>
      <c r="K726">
        <v>0.85</v>
      </c>
      <c r="L726">
        <v>4.5199999999999996</v>
      </c>
      <c r="M726">
        <v>4.57</v>
      </c>
      <c r="N726">
        <v>4.45</v>
      </c>
      <c r="O726">
        <v>4.54</v>
      </c>
      <c r="P726">
        <v>32.85</v>
      </c>
      <c r="Q726">
        <v>12402288</v>
      </c>
      <c r="R726">
        <v>0.72</v>
      </c>
      <c r="S726" t="s">
        <v>996</v>
      </c>
      <c r="T726" t="s">
        <v>582</v>
      </c>
      <c r="U726">
        <v>2.64</v>
      </c>
      <c r="V726">
        <v>4.5199999999999996</v>
      </c>
      <c r="W726">
        <v>17899</v>
      </c>
      <c r="X726">
        <v>9543</v>
      </c>
      <c r="Y726">
        <v>1.88</v>
      </c>
      <c r="Z726">
        <v>517</v>
      </c>
      <c r="AA726">
        <v>1209</v>
      </c>
      <c r="AB726" t="s">
        <v>116</v>
      </c>
      <c r="AC726">
        <v>0</v>
      </c>
      <c r="AD726">
        <v>0</v>
      </c>
      <c r="AE726" t="s">
        <v>116</v>
      </c>
      <c r="AF726" t="s">
        <v>116</v>
      </c>
      <c r="AG726">
        <v>3.25</v>
      </c>
      <c r="AH726" t="s">
        <v>1406</v>
      </c>
      <c r="AI726" t="s">
        <v>4512</v>
      </c>
      <c r="AJ726">
        <v>-0.86</v>
      </c>
      <c r="AK726">
        <v>515</v>
      </c>
      <c r="AL726">
        <v>53</v>
      </c>
      <c r="AM726">
        <v>1.6000000000000001E-3</v>
      </c>
      <c r="AN726">
        <v>-1</v>
      </c>
      <c r="AO726">
        <v>-2.19</v>
      </c>
      <c r="AP726">
        <v>5.67</v>
      </c>
      <c r="AQ726">
        <v>-6.49</v>
      </c>
      <c r="AR726">
        <v>11.75</v>
      </c>
      <c r="AS726">
        <v>0.98</v>
      </c>
      <c r="AT726" t="s">
        <v>4513</v>
      </c>
      <c r="AU726">
        <v>144.57</v>
      </c>
      <c r="AV726">
        <v>42.75</v>
      </c>
      <c r="AW726">
        <v>1.1200000000000001</v>
      </c>
      <c r="BA726">
        <v>-0.44</v>
      </c>
      <c r="BB726">
        <v>0.66</v>
      </c>
      <c r="BC726">
        <v>-1.98</v>
      </c>
      <c r="BD726">
        <v>-0.45</v>
      </c>
      <c r="BE726">
        <v>-1.1100000000000001</v>
      </c>
      <c r="BF726">
        <v>-2.19</v>
      </c>
      <c r="BG726">
        <v>0.45</v>
      </c>
      <c r="BH726">
        <v>-1.0900000000000001</v>
      </c>
      <c r="BI726">
        <v>20191223</v>
      </c>
      <c r="BJ726">
        <v>20080919</v>
      </c>
      <c r="BK726">
        <v>4.3</v>
      </c>
      <c r="BL726" t="s">
        <v>116</v>
      </c>
      <c r="BM726" t="s">
        <v>116</v>
      </c>
      <c r="BN726">
        <v>17.760000000000002</v>
      </c>
      <c r="BO726">
        <v>12.89</v>
      </c>
      <c r="BP726">
        <v>0.04</v>
      </c>
      <c r="BQ726">
        <v>27.15</v>
      </c>
      <c r="BR726">
        <v>13.44</v>
      </c>
      <c r="BS726">
        <v>3.62</v>
      </c>
      <c r="BT726">
        <v>0.41</v>
      </c>
      <c r="BU726">
        <v>4.47</v>
      </c>
      <c r="BV726">
        <v>2.93</v>
      </c>
      <c r="BW726">
        <v>4.13</v>
      </c>
      <c r="BX726">
        <v>6.72</v>
      </c>
      <c r="BY726">
        <v>6.02</v>
      </c>
      <c r="BZ726">
        <v>4.88</v>
      </c>
      <c r="CA726">
        <v>0.4</v>
      </c>
      <c r="CB726">
        <v>0</v>
      </c>
      <c r="CC726">
        <v>0.52</v>
      </c>
      <c r="CD726">
        <v>0.43</v>
      </c>
      <c r="CE726">
        <v>0.44</v>
      </c>
      <c r="CF726">
        <v>-0.1</v>
      </c>
      <c r="CG726">
        <v>1.69</v>
      </c>
      <c r="CH726">
        <v>-0.8</v>
      </c>
      <c r="CI726">
        <v>-0.82</v>
      </c>
      <c r="CJ726">
        <v>27592</v>
      </c>
      <c r="CK726">
        <v>10159</v>
      </c>
      <c r="CL726" t="s">
        <v>2266</v>
      </c>
      <c r="CM726">
        <v>-41.92</v>
      </c>
      <c r="CN726">
        <v>55.84</v>
      </c>
      <c r="CO726">
        <v>1.49</v>
      </c>
      <c r="CP726">
        <v>-24.14</v>
      </c>
      <c r="CQ726">
        <v>3.19</v>
      </c>
      <c r="CR726">
        <v>0</v>
      </c>
      <c r="CS726" t="s">
        <v>4514</v>
      </c>
      <c r="CT726">
        <v>3</v>
      </c>
      <c r="CU726">
        <v>0</v>
      </c>
      <c r="CV726">
        <v>1.56</v>
      </c>
      <c r="CW726">
        <v>0.39</v>
      </c>
      <c r="CX726">
        <v>-0.19</v>
      </c>
      <c r="CY726">
        <v>72.62</v>
      </c>
      <c r="CZ726" t="s">
        <v>2262</v>
      </c>
      <c r="DA726">
        <v>18.95</v>
      </c>
      <c r="DB726">
        <v>6.64</v>
      </c>
      <c r="DC726">
        <v>7.29</v>
      </c>
      <c r="DD726">
        <v>0.19</v>
      </c>
      <c r="DE726">
        <v>1042</v>
      </c>
      <c r="DF726">
        <v>2272</v>
      </c>
      <c r="DG726" t="s">
        <v>116</v>
      </c>
      <c r="DH726" t="s">
        <v>116</v>
      </c>
      <c r="DI726" t="s">
        <v>116</v>
      </c>
    </row>
    <row r="727" spans="1:113" x14ac:dyDescent="0.4">
      <c r="A727" t="str">
        <f>"002273"</f>
        <v>002273</v>
      </c>
      <c r="B727" t="s">
        <v>4515</v>
      </c>
      <c r="C727">
        <v>-6.39</v>
      </c>
      <c r="D727">
        <v>15.96</v>
      </c>
      <c r="E727">
        <v>-1.0900000000000001</v>
      </c>
      <c r="F727">
        <v>15.96</v>
      </c>
      <c r="G727">
        <v>15.97</v>
      </c>
      <c r="H727">
        <v>901112</v>
      </c>
      <c r="I727">
        <v>17444</v>
      </c>
      <c r="J727">
        <v>-0.61</v>
      </c>
      <c r="K727">
        <v>8.09</v>
      </c>
      <c r="L727">
        <v>17</v>
      </c>
      <c r="M727">
        <v>17.05</v>
      </c>
      <c r="N727">
        <v>15.95</v>
      </c>
      <c r="O727">
        <v>17.05</v>
      </c>
      <c r="P727">
        <v>38.369999999999997</v>
      </c>
      <c r="Q727">
        <v>1484920832</v>
      </c>
      <c r="R727">
        <v>1.38</v>
      </c>
      <c r="S727" t="s">
        <v>233</v>
      </c>
      <c r="T727" t="s">
        <v>590</v>
      </c>
      <c r="U727">
        <v>6.45</v>
      </c>
      <c r="V727">
        <v>16.48</v>
      </c>
      <c r="W727">
        <v>507122</v>
      </c>
      <c r="X727">
        <v>393990</v>
      </c>
      <c r="Y727">
        <v>1.29</v>
      </c>
      <c r="Z727">
        <v>410</v>
      </c>
      <c r="AA727">
        <v>109</v>
      </c>
      <c r="AB727" t="s">
        <v>116</v>
      </c>
      <c r="AC727">
        <v>5149300</v>
      </c>
      <c r="AD727">
        <v>0.03</v>
      </c>
      <c r="AE727" t="s">
        <v>116</v>
      </c>
      <c r="AF727" t="s">
        <v>116</v>
      </c>
      <c r="AG727">
        <v>11.14</v>
      </c>
      <c r="AH727" t="s">
        <v>4516</v>
      </c>
      <c r="AI727" t="s">
        <v>4517</v>
      </c>
      <c r="AJ727">
        <v>-5.71</v>
      </c>
      <c r="AK727">
        <v>4608</v>
      </c>
      <c r="AL727">
        <v>196</v>
      </c>
      <c r="AM727">
        <v>1.8E-3</v>
      </c>
      <c r="AN727">
        <v>-1</v>
      </c>
      <c r="AO727">
        <v>-4.99</v>
      </c>
      <c r="AP727">
        <v>20.27</v>
      </c>
      <c r="AQ727">
        <v>-1.78</v>
      </c>
      <c r="AR727">
        <v>119.32</v>
      </c>
      <c r="AS727">
        <v>10.07</v>
      </c>
      <c r="AT727" t="s">
        <v>4518</v>
      </c>
      <c r="AU727">
        <v>43.48</v>
      </c>
      <c r="AV727">
        <v>39.28</v>
      </c>
      <c r="AW727">
        <v>2.38</v>
      </c>
      <c r="BA727">
        <v>-0.28999999999999998</v>
      </c>
      <c r="BB727">
        <v>0</v>
      </c>
      <c r="BC727">
        <v>-6.45</v>
      </c>
      <c r="BD727">
        <v>-3.35</v>
      </c>
      <c r="BE727">
        <v>-6.12</v>
      </c>
      <c r="BF727">
        <v>-6.39</v>
      </c>
      <c r="BG727">
        <v>0.06</v>
      </c>
      <c r="BH727">
        <v>-3.04</v>
      </c>
      <c r="BI727">
        <v>20191219</v>
      </c>
      <c r="BJ727">
        <v>20080919</v>
      </c>
      <c r="BK727">
        <v>11.53</v>
      </c>
      <c r="BL727" t="s">
        <v>116</v>
      </c>
      <c r="BM727" t="s">
        <v>116</v>
      </c>
      <c r="BN727">
        <v>61.32</v>
      </c>
      <c r="BO727">
        <v>41.93</v>
      </c>
      <c r="BP727">
        <v>1.4</v>
      </c>
      <c r="BQ727">
        <v>29.35</v>
      </c>
      <c r="BR727">
        <v>26.7</v>
      </c>
      <c r="BS727">
        <v>18.32</v>
      </c>
      <c r="BT727">
        <v>2.74</v>
      </c>
      <c r="BU727">
        <v>7.23</v>
      </c>
      <c r="BV727">
        <v>3.76</v>
      </c>
      <c r="BW727">
        <v>7.72</v>
      </c>
      <c r="BX727">
        <v>10.68</v>
      </c>
      <c r="BY727">
        <v>20.66</v>
      </c>
      <c r="BZ727">
        <v>15.19</v>
      </c>
      <c r="CA727">
        <v>4.05</v>
      </c>
      <c r="CB727">
        <v>1.42</v>
      </c>
      <c r="CC727">
        <v>4.0599999999999996</v>
      </c>
      <c r="CD727">
        <v>3.65</v>
      </c>
      <c r="CE727">
        <v>3.6</v>
      </c>
      <c r="CF727">
        <v>2.87</v>
      </c>
      <c r="CG727">
        <v>16.72</v>
      </c>
      <c r="CH727">
        <v>2.86</v>
      </c>
      <c r="CI727">
        <v>-0.66</v>
      </c>
      <c r="CJ727">
        <v>58214</v>
      </c>
      <c r="CK727">
        <v>15377</v>
      </c>
      <c r="CL727" t="s">
        <v>4519</v>
      </c>
      <c r="CM727">
        <v>-11.18</v>
      </c>
      <c r="CN727">
        <v>26.43</v>
      </c>
      <c r="CO727">
        <v>4.5</v>
      </c>
      <c r="CP727">
        <v>64.349999999999994</v>
      </c>
      <c r="CQ727">
        <v>8.91</v>
      </c>
      <c r="CR727">
        <v>0.47</v>
      </c>
      <c r="CS727" t="s">
        <v>4520</v>
      </c>
      <c r="CT727">
        <v>3.55</v>
      </c>
      <c r="CU727">
        <v>3.55</v>
      </c>
      <c r="CV727">
        <v>0.93</v>
      </c>
      <c r="CW727">
        <v>1.45</v>
      </c>
      <c r="CX727">
        <v>0.25</v>
      </c>
      <c r="CY727">
        <v>68.37</v>
      </c>
      <c r="CZ727" t="s">
        <v>1006</v>
      </c>
      <c r="DA727">
        <v>26.47</v>
      </c>
      <c r="DB727">
        <v>19.61</v>
      </c>
      <c r="DC727">
        <v>17.41</v>
      </c>
      <c r="DD727">
        <v>1.0900000000000001</v>
      </c>
      <c r="DE727">
        <v>4820</v>
      </c>
      <c r="DF727">
        <v>2273</v>
      </c>
      <c r="DG727" t="s">
        <v>116</v>
      </c>
      <c r="DH727" t="s">
        <v>116</v>
      </c>
      <c r="DI727" t="s">
        <v>116</v>
      </c>
    </row>
    <row r="728" spans="1:113" x14ac:dyDescent="0.4">
      <c r="A728" t="str">
        <f>"002274"</f>
        <v>002274</v>
      </c>
      <c r="B728" t="s">
        <v>4521</v>
      </c>
      <c r="C728">
        <v>-1.06</v>
      </c>
      <c r="D728">
        <v>6.54</v>
      </c>
      <c r="E728">
        <v>-7.0000000000000007E-2</v>
      </c>
      <c r="F728">
        <v>6.54</v>
      </c>
      <c r="G728">
        <v>6.55</v>
      </c>
      <c r="H728">
        <v>416869</v>
      </c>
      <c r="I728">
        <v>3765</v>
      </c>
      <c r="J728">
        <v>0</v>
      </c>
      <c r="K728">
        <v>4.4400000000000004</v>
      </c>
      <c r="L728">
        <v>6.56</v>
      </c>
      <c r="M728">
        <v>6.7</v>
      </c>
      <c r="N728">
        <v>6.48</v>
      </c>
      <c r="O728">
        <v>6.61</v>
      </c>
      <c r="P728">
        <v>18.61</v>
      </c>
      <c r="Q728">
        <v>274324800</v>
      </c>
      <c r="R728">
        <v>1.06</v>
      </c>
      <c r="S728" t="s">
        <v>697</v>
      </c>
      <c r="T728" t="s">
        <v>323</v>
      </c>
      <c r="U728">
        <v>3.33</v>
      </c>
      <c r="V728">
        <v>6.58</v>
      </c>
      <c r="W728">
        <v>232741</v>
      </c>
      <c r="X728">
        <v>184128</v>
      </c>
      <c r="Y728">
        <v>1.26</v>
      </c>
      <c r="Z728">
        <v>685</v>
      </c>
      <c r="AA728">
        <v>1579</v>
      </c>
      <c r="AB728" t="s">
        <v>116</v>
      </c>
      <c r="AC728">
        <v>2044100</v>
      </c>
      <c r="AD728">
        <v>0.06</v>
      </c>
      <c r="AE728" t="s">
        <v>116</v>
      </c>
      <c r="AF728" t="s">
        <v>116</v>
      </c>
      <c r="AG728">
        <v>9.3800000000000008</v>
      </c>
      <c r="AH728" t="s">
        <v>4522</v>
      </c>
      <c r="AI728" t="s">
        <v>4523</v>
      </c>
      <c r="AJ728">
        <v>-0.38</v>
      </c>
      <c r="AK728">
        <v>3478</v>
      </c>
      <c r="AL728">
        <v>120</v>
      </c>
      <c r="AM728">
        <v>1.2999999999999999E-3</v>
      </c>
      <c r="AN728">
        <v>-1</v>
      </c>
      <c r="AO728">
        <v>1.39</v>
      </c>
      <c r="AP728">
        <v>10.85</v>
      </c>
      <c r="AQ728">
        <v>-10.039999999999999</v>
      </c>
      <c r="AR728">
        <v>99.39</v>
      </c>
      <c r="AS728">
        <v>7.79</v>
      </c>
      <c r="AT728" t="s">
        <v>4524</v>
      </c>
      <c r="AU728">
        <v>22.99</v>
      </c>
      <c r="AV728">
        <v>43.85</v>
      </c>
      <c r="AW728">
        <v>1.55</v>
      </c>
      <c r="BA728">
        <v>-0.76</v>
      </c>
      <c r="BB728">
        <v>1.36</v>
      </c>
      <c r="BC728">
        <v>-1.97</v>
      </c>
      <c r="BD728">
        <v>-0.44</v>
      </c>
      <c r="BE728">
        <v>-0.3</v>
      </c>
      <c r="BF728">
        <v>-2.39</v>
      </c>
      <c r="BG728">
        <v>0.93</v>
      </c>
      <c r="BH728">
        <v>-0.61</v>
      </c>
      <c r="BI728">
        <v>20191223</v>
      </c>
      <c r="BJ728">
        <v>20080925</v>
      </c>
      <c r="BK728">
        <v>9.52</v>
      </c>
      <c r="BL728" t="s">
        <v>116</v>
      </c>
      <c r="BM728" t="s">
        <v>116</v>
      </c>
      <c r="BN728">
        <v>65.91</v>
      </c>
      <c r="BO728">
        <v>28.01</v>
      </c>
      <c r="BP728">
        <v>0.63</v>
      </c>
      <c r="BQ728">
        <v>56.55</v>
      </c>
      <c r="BR728">
        <v>13.33</v>
      </c>
      <c r="BS728">
        <v>39.85</v>
      </c>
      <c r="BT728">
        <v>1.74</v>
      </c>
      <c r="BU728">
        <v>34.700000000000003</v>
      </c>
      <c r="BV728">
        <v>5.79</v>
      </c>
      <c r="BW728">
        <v>1.03</v>
      </c>
      <c r="BX728">
        <v>12.32</v>
      </c>
      <c r="BY728">
        <v>50.29</v>
      </c>
      <c r="BZ728">
        <v>43.26</v>
      </c>
      <c r="CA728">
        <v>3.21</v>
      </c>
      <c r="CB728">
        <v>0.5</v>
      </c>
      <c r="CC728">
        <v>3.2</v>
      </c>
      <c r="CD728">
        <v>2.5099999999999998</v>
      </c>
      <c r="CE728">
        <v>2.5099999999999998</v>
      </c>
      <c r="CF728">
        <v>2.3199999999999998</v>
      </c>
      <c r="CG728">
        <v>4.5999999999999996</v>
      </c>
      <c r="CH728">
        <v>3.19</v>
      </c>
      <c r="CI728">
        <v>0.03</v>
      </c>
      <c r="CJ728">
        <v>65403</v>
      </c>
      <c r="CK728">
        <v>8180</v>
      </c>
      <c r="CL728" t="s">
        <v>4525</v>
      </c>
      <c r="CM728">
        <v>105.51</v>
      </c>
      <c r="CN728">
        <v>10.49</v>
      </c>
      <c r="CO728">
        <v>2.2200000000000002</v>
      </c>
      <c r="CP728">
        <v>19.510000000000002</v>
      </c>
      <c r="CQ728">
        <v>1.24</v>
      </c>
      <c r="CR728">
        <v>1.53</v>
      </c>
      <c r="CS728" t="s">
        <v>657</v>
      </c>
      <c r="CT728">
        <v>2.94</v>
      </c>
      <c r="CU728">
        <v>0</v>
      </c>
      <c r="CV728">
        <v>1.29</v>
      </c>
      <c r="CW728">
        <v>0.48</v>
      </c>
      <c r="CX728">
        <v>0.34</v>
      </c>
      <c r="CY728">
        <v>42.5</v>
      </c>
      <c r="CZ728" t="s">
        <v>4526</v>
      </c>
      <c r="DA728">
        <v>13.98</v>
      </c>
      <c r="DB728">
        <v>6.38</v>
      </c>
      <c r="DC728">
        <v>4.99</v>
      </c>
      <c r="DD728">
        <v>0.27</v>
      </c>
      <c r="DE728">
        <v>3447</v>
      </c>
      <c r="DF728">
        <v>2274</v>
      </c>
      <c r="DG728" t="s">
        <v>116</v>
      </c>
      <c r="DH728" t="s">
        <v>116</v>
      </c>
      <c r="DI728" t="s">
        <v>116</v>
      </c>
    </row>
    <row r="729" spans="1:113" x14ac:dyDescent="0.4">
      <c r="A729" t="str">
        <f>"002275"</f>
        <v>002275</v>
      </c>
      <c r="B729" t="s">
        <v>4527</v>
      </c>
      <c r="C729">
        <v>-0.23</v>
      </c>
      <c r="D729">
        <v>12.92</v>
      </c>
      <c r="E729">
        <v>-0.03</v>
      </c>
      <c r="F729">
        <v>12.91</v>
      </c>
      <c r="G729">
        <v>12.92</v>
      </c>
      <c r="H729">
        <v>3768</v>
      </c>
      <c r="I729">
        <v>72</v>
      </c>
      <c r="J729">
        <v>-0.14000000000000001</v>
      </c>
      <c r="K729">
        <v>7.0000000000000007E-2</v>
      </c>
      <c r="L729">
        <v>12.97</v>
      </c>
      <c r="M729">
        <v>12.99</v>
      </c>
      <c r="N729">
        <v>12.9</v>
      </c>
      <c r="O729">
        <v>12.95</v>
      </c>
      <c r="P729">
        <v>17.3</v>
      </c>
      <c r="Q729">
        <v>4880039</v>
      </c>
      <c r="R729">
        <v>0.92</v>
      </c>
      <c r="S729" t="s">
        <v>781</v>
      </c>
      <c r="T729" t="s">
        <v>982</v>
      </c>
      <c r="U729">
        <v>0.69</v>
      </c>
      <c r="V729">
        <v>12.95</v>
      </c>
      <c r="W729">
        <v>2427</v>
      </c>
      <c r="X729">
        <v>1341</v>
      </c>
      <c r="Y729">
        <v>1.81</v>
      </c>
      <c r="Z729">
        <v>110</v>
      </c>
      <c r="AA729">
        <v>96</v>
      </c>
      <c r="AB729" t="s">
        <v>116</v>
      </c>
      <c r="AC729">
        <v>40200</v>
      </c>
      <c r="AD729">
        <v>0</v>
      </c>
      <c r="AE729" t="s">
        <v>116</v>
      </c>
      <c r="AF729" t="s">
        <v>116</v>
      </c>
      <c r="AG729">
        <v>5.33</v>
      </c>
      <c r="AH729" t="s">
        <v>4528</v>
      </c>
      <c r="AI729" t="s">
        <v>339</v>
      </c>
      <c r="AJ729">
        <v>0.45</v>
      </c>
      <c r="AK729">
        <v>314</v>
      </c>
      <c r="AL729">
        <v>12</v>
      </c>
      <c r="AM729">
        <v>2.0000000000000001E-4</v>
      </c>
      <c r="AN729">
        <v>-1</v>
      </c>
      <c r="AO729">
        <v>0.55000000000000004</v>
      </c>
      <c r="AP729">
        <v>2.38</v>
      </c>
      <c r="AQ729">
        <v>-3.37</v>
      </c>
      <c r="AR729">
        <v>3.78</v>
      </c>
      <c r="AS729">
        <v>0.25</v>
      </c>
      <c r="AT729" t="s">
        <v>234</v>
      </c>
      <c r="AU729">
        <v>20.22</v>
      </c>
      <c r="AV729">
        <v>18.45</v>
      </c>
      <c r="AW729">
        <v>0.6</v>
      </c>
      <c r="BA729">
        <v>0.15</v>
      </c>
      <c r="BB729">
        <v>0.31</v>
      </c>
      <c r="BC729">
        <v>-0.39</v>
      </c>
      <c r="BD729">
        <v>0.01</v>
      </c>
      <c r="BE729">
        <v>-0.39</v>
      </c>
      <c r="BF729">
        <v>-0.54</v>
      </c>
      <c r="BG729">
        <v>0.16</v>
      </c>
      <c r="BH729">
        <v>-0.24</v>
      </c>
      <c r="BI729">
        <v>20191024</v>
      </c>
      <c r="BJ729">
        <v>20090710</v>
      </c>
      <c r="BK729">
        <v>5.9</v>
      </c>
      <c r="BL729" t="s">
        <v>116</v>
      </c>
      <c r="BM729" t="s">
        <v>116</v>
      </c>
      <c r="BN729">
        <v>32.72</v>
      </c>
      <c r="BO729">
        <v>27.54</v>
      </c>
      <c r="BP729">
        <v>0</v>
      </c>
      <c r="BQ729">
        <v>15.84</v>
      </c>
      <c r="BR729">
        <v>19.420000000000002</v>
      </c>
      <c r="BS729">
        <v>9.5500000000000007</v>
      </c>
      <c r="BT729">
        <v>1.7</v>
      </c>
      <c r="BU729">
        <v>3.51</v>
      </c>
      <c r="BV729">
        <v>1.86</v>
      </c>
      <c r="BW729">
        <v>1.63</v>
      </c>
      <c r="BX729">
        <v>6.9</v>
      </c>
      <c r="BY729">
        <v>11.27</v>
      </c>
      <c r="BZ729">
        <v>3.04</v>
      </c>
      <c r="CA729">
        <v>3.94</v>
      </c>
      <c r="CB729">
        <v>-0.13</v>
      </c>
      <c r="CC729">
        <v>3.92</v>
      </c>
      <c r="CD729">
        <v>3.31</v>
      </c>
      <c r="CE729">
        <v>3.31</v>
      </c>
      <c r="CF729">
        <v>3.17</v>
      </c>
      <c r="CG729">
        <v>13.52</v>
      </c>
      <c r="CH729">
        <v>4.05</v>
      </c>
      <c r="CI729">
        <v>-1.0900000000000001</v>
      </c>
      <c r="CJ729">
        <v>16648</v>
      </c>
      <c r="CK729">
        <v>9020</v>
      </c>
      <c r="CL729" t="s">
        <v>4529</v>
      </c>
      <c r="CM729">
        <v>-9.8699999999999992</v>
      </c>
      <c r="CN729">
        <v>1.34</v>
      </c>
      <c r="CO729">
        <v>2.77</v>
      </c>
      <c r="CP729">
        <v>18.829999999999998</v>
      </c>
      <c r="CQ729">
        <v>6.76</v>
      </c>
      <c r="CR729">
        <v>2.67</v>
      </c>
      <c r="CS729" t="s">
        <v>306</v>
      </c>
      <c r="CT729">
        <v>4.67</v>
      </c>
      <c r="CU729">
        <v>0</v>
      </c>
      <c r="CV729">
        <v>1.17</v>
      </c>
      <c r="CW729">
        <v>2.29</v>
      </c>
      <c r="CX729">
        <v>0.69</v>
      </c>
      <c r="CY729">
        <v>84.16</v>
      </c>
      <c r="CZ729" t="s">
        <v>4530</v>
      </c>
      <c r="DA729">
        <v>73.05</v>
      </c>
      <c r="DB729">
        <v>34.93</v>
      </c>
      <c r="DC729">
        <v>29.33</v>
      </c>
      <c r="DD729">
        <v>0.56999999999999995</v>
      </c>
      <c r="DE729">
        <v>2397</v>
      </c>
      <c r="DF729">
        <v>2275</v>
      </c>
      <c r="DG729" t="s">
        <v>116</v>
      </c>
      <c r="DH729" t="s">
        <v>116</v>
      </c>
      <c r="DI729" t="s">
        <v>116</v>
      </c>
    </row>
    <row r="730" spans="1:113" x14ac:dyDescent="0.4">
      <c r="A730" t="str">
        <f>"002276"</f>
        <v>002276</v>
      </c>
      <c r="B730" t="s">
        <v>4531</v>
      </c>
      <c r="C730">
        <v>-1.33</v>
      </c>
      <c r="D730">
        <v>8.1300000000000008</v>
      </c>
      <c r="E730">
        <v>-0.11</v>
      </c>
      <c r="F730">
        <v>8.1199999999999992</v>
      </c>
      <c r="G730">
        <v>8.1300000000000008</v>
      </c>
      <c r="H730">
        <v>570705</v>
      </c>
      <c r="I730">
        <v>6594</v>
      </c>
      <c r="J730">
        <v>0.74</v>
      </c>
      <c r="K730">
        <v>5.52</v>
      </c>
      <c r="L730">
        <v>8.2200000000000006</v>
      </c>
      <c r="M730">
        <v>8.32</v>
      </c>
      <c r="N730">
        <v>8.02</v>
      </c>
      <c r="O730">
        <v>8.24</v>
      </c>
      <c r="P730">
        <v>37.090000000000003</v>
      </c>
      <c r="Q730">
        <v>465265472</v>
      </c>
      <c r="R730">
        <v>1.29</v>
      </c>
      <c r="S730" t="s">
        <v>397</v>
      </c>
      <c r="T730" t="s">
        <v>590</v>
      </c>
      <c r="U730">
        <v>3.64</v>
      </c>
      <c r="V730">
        <v>8.15</v>
      </c>
      <c r="W730">
        <v>330918</v>
      </c>
      <c r="X730">
        <v>239787</v>
      </c>
      <c r="Y730">
        <v>1.38</v>
      </c>
      <c r="Z730">
        <v>634</v>
      </c>
      <c r="AA730">
        <v>103</v>
      </c>
      <c r="AB730" t="s">
        <v>116</v>
      </c>
      <c r="AC730">
        <v>5688200</v>
      </c>
      <c r="AD730">
        <v>0.11</v>
      </c>
      <c r="AE730" t="s">
        <v>116</v>
      </c>
      <c r="AF730" t="s">
        <v>116</v>
      </c>
      <c r="AG730">
        <v>10.34</v>
      </c>
      <c r="AH730" t="s">
        <v>4532</v>
      </c>
      <c r="AI730" t="s">
        <v>4533</v>
      </c>
      <c r="AJ730">
        <v>-0.66</v>
      </c>
      <c r="AK730">
        <v>4068</v>
      </c>
      <c r="AL730">
        <v>140</v>
      </c>
      <c r="AM730">
        <v>1.4E-3</v>
      </c>
      <c r="AN730">
        <v>-1</v>
      </c>
      <c r="AO730">
        <v>7.68</v>
      </c>
      <c r="AP730">
        <v>21.52</v>
      </c>
      <c r="AQ730">
        <v>43.39</v>
      </c>
      <c r="AR730">
        <v>61.95</v>
      </c>
      <c r="AS730">
        <v>8.83</v>
      </c>
      <c r="AT730" t="s">
        <v>1737</v>
      </c>
      <c r="AU730">
        <v>39.159999999999997</v>
      </c>
      <c r="AV730">
        <v>75.36</v>
      </c>
      <c r="AW730">
        <v>0.98</v>
      </c>
      <c r="BA730">
        <v>-0.24</v>
      </c>
      <c r="BB730">
        <v>0.97</v>
      </c>
      <c r="BC730">
        <v>-2.67</v>
      </c>
      <c r="BD730">
        <v>-1.06</v>
      </c>
      <c r="BE730">
        <v>-1.0900000000000001</v>
      </c>
      <c r="BF730">
        <v>-2.2799999999999998</v>
      </c>
      <c r="BG730">
        <v>1.37</v>
      </c>
      <c r="BH730">
        <v>-0.27</v>
      </c>
      <c r="BI730">
        <v>20191225</v>
      </c>
      <c r="BJ730">
        <v>20090710</v>
      </c>
      <c r="BK730">
        <v>10.35</v>
      </c>
      <c r="BL730" t="s">
        <v>116</v>
      </c>
      <c r="BM730" t="s">
        <v>116</v>
      </c>
      <c r="BN730">
        <v>77.739999999999995</v>
      </c>
      <c r="BO730">
        <v>41.67</v>
      </c>
      <c r="BP730">
        <v>0.28999999999999998</v>
      </c>
      <c r="BQ730">
        <v>46.03</v>
      </c>
      <c r="BR730">
        <v>60.84</v>
      </c>
      <c r="BS730">
        <v>9.7100000000000009</v>
      </c>
      <c r="BT730">
        <v>1.85</v>
      </c>
      <c r="BU730">
        <v>35.28</v>
      </c>
      <c r="BV730">
        <v>8.5299999999999994</v>
      </c>
      <c r="BW730">
        <v>32.61</v>
      </c>
      <c r="BX730">
        <v>15.55</v>
      </c>
      <c r="BY730">
        <v>71.78</v>
      </c>
      <c r="BZ730">
        <v>59.94</v>
      </c>
      <c r="CA730">
        <v>1.96</v>
      </c>
      <c r="CB730">
        <v>0.02</v>
      </c>
      <c r="CC730">
        <v>1.98</v>
      </c>
      <c r="CD730">
        <v>1.82</v>
      </c>
      <c r="CE730">
        <v>1.7</v>
      </c>
      <c r="CF730">
        <v>1.46</v>
      </c>
      <c r="CG730">
        <v>13.87</v>
      </c>
      <c r="CH730">
        <v>4.58</v>
      </c>
      <c r="CI730">
        <v>0.8</v>
      </c>
      <c r="CJ730">
        <v>104000</v>
      </c>
      <c r="CK730">
        <v>6213</v>
      </c>
      <c r="CL730" t="s">
        <v>1863</v>
      </c>
      <c r="CM730">
        <v>154.26</v>
      </c>
      <c r="CN730">
        <v>13.35</v>
      </c>
      <c r="CO730">
        <v>2.02</v>
      </c>
      <c r="CP730">
        <v>18.39</v>
      </c>
      <c r="CQ730">
        <v>1.17</v>
      </c>
      <c r="CR730">
        <v>0.25</v>
      </c>
      <c r="CS730" t="s">
        <v>1514</v>
      </c>
      <c r="CT730">
        <v>4.0199999999999996</v>
      </c>
      <c r="CU730">
        <v>0</v>
      </c>
      <c r="CV730">
        <v>1.5</v>
      </c>
      <c r="CW730">
        <v>1.34</v>
      </c>
      <c r="CX730">
        <v>0.44</v>
      </c>
      <c r="CY730">
        <v>53.6</v>
      </c>
      <c r="CZ730" t="s">
        <v>1396</v>
      </c>
      <c r="DA730">
        <v>16.489999999999998</v>
      </c>
      <c r="DB730">
        <v>2.74</v>
      </c>
      <c r="DC730">
        <v>2.37</v>
      </c>
      <c r="DD730">
        <v>2.5</v>
      </c>
      <c r="DE730">
        <v>4943</v>
      </c>
      <c r="DF730">
        <v>2276</v>
      </c>
      <c r="DG730" t="s">
        <v>116</v>
      </c>
      <c r="DH730" t="s">
        <v>116</v>
      </c>
      <c r="DI730" t="s">
        <v>116</v>
      </c>
    </row>
    <row r="731" spans="1:113" x14ac:dyDescent="0.4">
      <c r="A731" t="str">
        <f>"002277"</f>
        <v>002277</v>
      </c>
      <c r="B731" t="s">
        <v>4534</v>
      </c>
      <c r="C731">
        <v>-0.31</v>
      </c>
      <c r="D731">
        <v>3.23</v>
      </c>
      <c r="E731">
        <v>-0.01</v>
      </c>
      <c r="F731">
        <v>3.23</v>
      </c>
      <c r="G731">
        <v>3.24</v>
      </c>
      <c r="H731">
        <v>80106</v>
      </c>
      <c r="I731">
        <v>490</v>
      </c>
      <c r="J731">
        <v>0</v>
      </c>
      <c r="K731">
        <v>0.56999999999999995</v>
      </c>
      <c r="L731">
        <v>3.24</v>
      </c>
      <c r="M731">
        <v>3.27</v>
      </c>
      <c r="N731">
        <v>3.23</v>
      </c>
      <c r="O731">
        <v>3.24</v>
      </c>
      <c r="P731">
        <v>10.48</v>
      </c>
      <c r="Q731">
        <v>26045294</v>
      </c>
      <c r="R731">
        <v>1.18</v>
      </c>
      <c r="S731" t="s">
        <v>746</v>
      </c>
      <c r="T731" t="s">
        <v>599</v>
      </c>
      <c r="U731">
        <v>1.23</v>
      </c>
      <c r="V731">
        <v>3.25</v>
      </c>
      <c r="W731">
        <v>40850</v>
      </c>
      <c r="X731">
        <v>39256</v>
      </c>
      <c r="Y731">
        <v>1.04</v>
      </c>
      <c r="Z731">
        <v>4395</v>
      </c>
      <c r="AA731">
        <v>1571</v>
      </c>
      <c r="AB731" t="s">
        <v>116</v>
      </c>
      <c r="AC731">
        <v>278600</v>
      </c>
      <c r="AD731">
        <v>0.01</v>
      </c>
      <c r="AE731" t="s">
        <v>116</v>
      </c>
      <c r="AF731" t="s">
        <v>116</v>
      </c>
      <c r="AG731">
        <v>13.94</v>
      </c>
      <c r="AH731" t="s">
        <v>4535</v>
      </c>
      <c r="AI731" t="s">
        <v>4535</v>
      </c>
      <c r="AJ731">
        <v>0.37</v>
      </c>
      <c r="AK731">
        <v>754</v>
      </c>
      <c r="AL731">
        <v>106</v>
      </c>
      <c r="AM731">
        <v>8.0000000000000004E-4</v>
      </c>
      <c r="AN731">
        <v>-1</v>
      </c>
      <c r="AO731">
        <v>0</v>
      </c>
      <c r="AP731">
        <v>2.87</v>
      </c>
      <c r="AQ731">
        <v>1.89</v>
      </c>
      <c r="AR731">
        <v>3.86</v>
      </c>
      <c r="AS731">
        <v>0.85</v>
      </c>
      <c r="AT731" t="s">
        <v>4536</v>
      </c>
      <c r="AU731">
        <v>15.93</v>
      </c>
      <c r="AV731">
        <v>9.93</v>
      </c>
      <c r="AW731">
        <v>0.79</v>
      </c>
      <c r="BA731">
        <v>0</v>
      </c>
      <c r="BB731">
        <v>0.93</v>
      </c>
      <c r="BC731">
        <v>-0.31</v>
      </c>
      <c r="BD731">
        <v>0.35</v>
      </c>
      <c r="BE731">
        <v>-0.31</v>
      </c>
      <c r="BF731">
        <v>-1.22</v>
      </c>
      <c r="BG731">
        <v>0</v>
      </c>
      <c r="BH731">
        <v>-0.66</v>
      </c>
      <c r="BI731">
        <v>20191224</v>
      </c>
      <c r="BJ731">
        <v>20090717</v>
      </c>
      <c r="BK731">
        <v>13.94</v>
      </c>
      <c r="BL731" t="s">
        <v>116</v>
      </c>
      <c r="BM731" t="s">
        <v>116</v>
      </c>
      <c r="BN731">
        <v>159.03</v>
      </c>
      <c r="BO731">
        <v>68.290000000000006</v>
      </c>
      <c r="BP731">
        <v>7.56</v>
      </c>
      <c r="BQ731">
        <v>52.31</v>
      </c>
      <c r="BR731">
        <v>48.96</v>
      </c>
      <c r="BS731">
        <v>32.4</v>
      </c>
      <c r="BT731">
        <v>3.2</v>
      </c>
      <c r="BU731">
        <v>40.130000000000003</v>
      </c>
      <c r="BV731">
        <v>28.23</v>
      </c>
      <c r="BW731">
        <v>1.1000000000000001</v>
      </c>
      <c r="BX731">
        <v>10.83</v>
      </c>
      <c r="BY731">
        <v>44.11</v>
      </c>
      <c r="BZ731">
        <v>34.880000000000003</v>
      </c>
      <c r="CA731">
        <v>3.26</v>
      </c>
      <c r="CB731">
        <v>2.88</v>
      </c>
      <c r="CC731">
        <v>3.2</v>
      </c>
      <c r="CD731">
        <v>2.2799999999999998</v>
      </c>
      <c r="CE731">
        <v>3.22</v>
      </c>
      <c r="CF731">
        <v>3.22</v>
      </c>
      <c r="CG731">
        <v>38.020000000000003</v>
      </c>
      <c r="CH731">
        <v>-2.2400000000000002</v>
      </c>
      <c r="CI731">
        <v>0.53</v>
      </c>
      <c r="CJ731">
        <v>48400</v>
      </c>
      <c r="CK731">
        <v>19581</v>
      </c>
      <c r="CL731" t="s">
        <v>4537</v>
      </c>
      <c r="CM731">
        <v>-34.659999999999997</v>
      </c>
      <c r="CN731">
        <v>-16.8</v>
      </c>
      <c r="CO731">
        <v>0.66</v>
      </c>
      <c r="CP731">
        <v>-20.14</v>
      </c>
      <c r="CQ731">
        <v>1.02</v>
      </c>
      <c r="CR731">
        <v>1.55</v>
      </c>
      <c r="CS731" t="s">
        <v>4538</v>
      </c>
      <c r="CT731">
        <v>4.9000000000000004</v>
      </c>
      <c r="CU731">
        <v>0</v>
      </c>
      <c r="CV731">
        <v>0.78</v>
      </c>
      <c r="CW731">
        <v>2.73</v>
      </c>
      <c r="CX731">
        <v>-0.16</v>
      </c>
      <c r="CY731">
        <v>42.94</v>
      </c>
      <c r="CZ731" t="s">
        <v>1925</v>
      </c>
      <c r="DA731">
        <v>20.93</v>
      </c>
      <c r="DB731">
        <v>7.39</v>
      </c>
      <c r="DC731">
        <v>7.3</v>
      </c>
      <c r="DD731">
        <v>0</v>
      </c>
      <c r="DE731">
        <v>3992</v>
      </c>
      <c r="DF731">
        <v>2277</v>
      </c>
      <c r="DG731" t="s">
        <v>116</v>
      </c>
      <c r="DH731" t="s">
        <v>116</v>
      </c>
      <c r="DI731" t="s">
        <v>116</v>
      </c>
    </row>
    <row r="732" spans="1:113" x14ac:dyDescent="0.4">
      <c r="A732" t="str">
        <f>"002278"</f>
        <v>002278</v>
      </c>
      <c r="B732" t="s">
        <v>4539</v>
      </c>
      <c r="C732">
        <v>-0.32</v>
      </c>
      <c r="D732">
        <v>6.32</v>
      </c>
      <c r="E732">
        <v>-0.02</v>
      </c>
      <c r="F732">
        <v>6.3</v>
      </c>
      <c r="G732">
        <v>6.32</v>
      </c>
      <c r="H732">
        <v>25715</v>
      </c>
      <c r="I732">
        <v>1113</v>
      </c>
      <c r="J732">
        <v>0.64</v>
      </c>
      <c r="K732">
        <v>0.75</v>
      </c>
      <c r="L732">
        <v>6.34</v>
      </c>
      <c r="M732">
        <v>6.37</v>
      </c>
      <c r="N732">
        <v>6.26</v>
      </c>
      <c r="O732">
        <v>6.34</v>
      </c>
      <c r="P732">
        <v>53.87</v>
      </c>
      <c r="Q732">
        <v>16251036</v>
      </c>
      <c r="R732">
        <v>0.56000000000000005</v>
      </c>
      <c r="S732" t="s">
        <v>2426</v>
      </c>
      <c r="T732" t="s">
        <v>1653</v>
      </c>
      <c r="U732">
        <v>1.74</v>
      </c>
      <c r="V732">
        <v>6.32</v>
      </c>
      <c r="W732">
        <v>16288</v>
      </c>
      <c r="X732">
        <v>9427</v>
      </c>
      <c r="Y732">
        <v>1.73</v>
      </c>
      <c r="Z732">
        <v>7</v>
      </c>
      <c r="AA732">
        <v>502</v>
      </c>
      <c r="AB732" t="s">
        <v>116</v>
      </c>
      <c r="AC732">
        <v>0</v>
      </c>
      <c r="AD732">
        <v>0</v>
      </c>
      <c r="AE732" t="s">
        <v>116</v>
      </c>
      <c r="AF732" t="s">
        <v>116</v>
      </c>
      <c r="AG732">
        <v>3.44</v>
      </c>
      <c r="AH732" t="s">
        <v>4540</v>
      </c>
      <c r="AI732" t="s">
        <v>4541</v>
      </c>
      <c r="AJ732">
        <v>0.36</v>
      </c>
      <c r="AK732">
        <v>729</v>
      </c>
      <c r="AL732">
        <v>35</v>
      </c>
      <c r="AM732">
        <v>1E-3</v>
      </c>
      <c r="AN732">
        <v>-3</v>
      </c>
      <c r="AO732">
        <v>-1.56</v>
      </c>
      <c r="AP732">
        <v>9.15</v>
      </c>
      <c r="AQ732">
        <v>7.67</v>
      </c>
      <c r="AR732">
        <v>-4.0999999999999996</v>
      </c>
      <c r="AS732">
        <v>1.06</v>
      </c>
      <c r="AT732" t="s">
        <v>4542</v>
      </c>
      <c r="AU732">
        <v>48.9</v>
      </c>
      <c r="AV732">
        <v>77.28</v>
      </c>
      <c r="AW732">
        <v>0.68</v>
      </c>
      <c r="BA732">
        <v>0</v>
      </c>
      <c r="BB732">
        <v>0.47</v>
      </c>
      <c r="BC732">
        <v>-1.26</v>
      </c>
      <c r="BD732">
        <v>-0.32</v>
      </c>
      <c r="BE732">
        <v>-0.32</v>
      </c>
      <c r="BF732">
        <v>-0.78</v>
      </c>
      <c r="BG732">
        <v>0.96</v>
      </c>
      <c r="BH732">
        <v>0.01</v>
      </c>
      <c r="BI732">
        <v>20191024</v>
      </c>
      <c r="BJ732">
        <v>20090811</v>
      </c>
      <c r="BK732">
        <v>3.64</v>
      </c>
      <c r="BL732" t="s">
        <v>116</v>
      </c>
      <c r="BM732" t="s">
        <v>116</v>
      </c>
      <c r="BN732">
        <v>15.95</v>
      </c>
      <c r="BO732">
        <v>11.21</v>
      </c>
      <c r="BP732">
        <v>0.59</v>
      </c>
      <c r="BQ732">
        <v>26</v>
      </c>
      <c r="BR732">
        <v>10.97</v>
      </c>
      <c r="BS732">
        <v>2.67</v>
      </c>
      <c r="BT732">
        <v>0.45</v>
      </c>
      <c r="BU732">
        <v>3.78</v>
      </c>
      <c r="BV732">
        <v>4.41</v>
      </c>
      <c r="BW732">
        <v>4.5599999999999996</v>
      </c>
      <c r="BX732">
        <v>4.78</v>
      </c>
      <c r="BY732">
        <v>5.28</v>
      </c>
      <c r="BZ732">
        <v>3.42</v>
      </c>
      <c r="CA732">
        <v>0.31</v>
      </c>
      <c r="CB732">
        <v>0.04</v>
      </c>
      <c r="CC732">
        <v>0.34</v>
      </c>
      <c r="CD732">
        <v>0.32</v>
      </c>
      <c r="CE732">
        <v>0.32</v>
      </c>
      <c r="CF732">
        <v>0.18</v>
      </c>
      <c r="CG732">
        <v>2.0299999999999998</v>
      </c>
      <c r="CH732">
        <v>-0.6</v>
      </c>
      <c r="CI732">
        <v>-0.49</v>
      </c>
      <c r="CJ732">
        <v>19028</v>
      </c>
      <c r="CK732">
        <v>12719</v>
      </c>
      <c r="CL732" t="s">
        <v>4543</v>
      </c>
      <c r="CM732">
        <v>117.16</v>
      </c>
      <c r="CN732">
        <v>16.73</v>
      </c>
      <c r="CO732">
        <v>2.0499999999999998</v>
      </c>
      <c r="CP732">
        <v>-38.6</v>
      </c>
      <c r="CQ732">
        <v>4.3499999999999996</v>
      </c>
      <c r="CR732">
        <v>0.79</v>
      </c>
      <c r="CS732" t="s">
        <v>687</v>
      </c>
      <c r="CT732">
        <v>3.08</v>
      </c>
      <c r="CU732">
        <v>0</v>
      </c>
      <c r="CV732">
        <v>1.31</v>
      </c>
      <c r="CW732">
        <v>0.56000000000000005</v>
      </c>
      <c r="CX732">
        <v>-0.16</v>
      </c>
      <c r="CY732">
        <v>70.27</v>
      </c>
      <c r="CZ732" t="s">
        <v>4544</v>
      </c>
      <c r="DA732">
        <v>35.25</v>
      </c>
      <c r="DB732">
        <v>5.95</v>
      </c>
      <c r="DC732">
        <v>6.06</v>
      </c>
      <c r="DD732">
        <v>0.52</v>
      </c>
      <c r="DE732">
        <v>912</v>
      </c>
      <c r="DF732">
        <v>2278</v>
      </c>
      <c r="DG732" t="s">
        <v>116</v>
      </c>
      <c r="DH732" t="s">
        <v>116</v>
      </c>
      <c r="DI732" t="s">
        <v>116</v>
      </c>
    </row>
    <row r="733" spans="1:113" x14ac:dyDescent="0.4">
      <c r="A733" t="str">
        <f>"002279"</f>
        <v>002279</v>
      </c>
      <c r="B733" t="s">
        <v>4545</v>
      </c>
      <c r="C733">
        <v>1.87</v>
      </c>
      <c r="D733">
        <v>6</v>
      </c>
      <c r="E733">
        <v>0.11</v>
      </c>
      <c r="F733">
        <v>5.99</v>
      </c>
      <c r="G733">
        <v>6</v>
      </c>
      <c r="H733">
        <v>231206</v>
      </c>
      <c r="I733">
        <v>2087</v>
      </c>
      <c r="J733">
        <v>-0.16</v>
      </c>
      <c r="K733">
        <v>3.8</v>
      </c>
      <c r="L733">
        <v>5.88</v>
      </c>
      <c r="M733">
        <v>6.18</v>
      </c>
      <c r="N733">
        <v>5.86</v>
      </c>
      <c r="O733">
        <v>5.89</v>
      </c>
      <c r="P733">
        <v>482.99</v>
      </c>
      <c r="Q733">
        <v>139680768</v>
      </c>
      <c r="R733">
        <v>1.95</v>
      </c>
      <c r="S733" t="s">
        <v>607</v>
      </c>
      <c r="T733" t="s">
        <v>165</v>
      </c>
      <c r="U733">
        <v>5.43</v>
      </c>
      <c r="V733">
        <v>6.04</v>
      </c>
      <c r="W733">
        <v>104626</v>
      </c>
      <c r="X733">
        <v>126580</v>
      </c>
      <c r="Y733">
        <v>0.83</v>
      </c>
      <c r="Z733">
        <v>987</v>
      </c>
      <c r="AA733">
        <v>3605</v>
      </c>
      <c r="AB733" t="s">
        <v>116</v>
      </c>
      <c r="AC733">
        <v>84100</v>
      </c>
      <c r="AD733">
        <v>0</v>
      </c>
      <c r="AE733" t="s">
        <v>116</v>
      </c>
      <c r="AF733" t="s">
        <v>116</v>
      </c>
      <c r="AG733">
        <v>6.09</v>
      </c>
      <c r="AH733" t="s">
        <v>4546</v>
      </c>
      <c r="AI733" t="s">
        <v>4547</v>
      </c>
      <c r="AJ733">
        <v>2.5499999999999998</v>
      </c>
      <c r="AK733">
        <v>2814</v>
      </c>
      <c r="AL733">
        <v>82</v>
      </c>
      <c r="AM733">
        <v>1.2999999999999999E-3</v>
      </c>
      <c r="AN733">
        <v>4</v>
      </c>
      <c r="AO733">
        <v>3.63</v>
      </c>
      <c r="AP733">
        <v>6.38</v>
      </c>
      <c r="AQ733">
        <v>-3.54</v>
      </c>
      <c r="AR733">
        <v>-15.61</v>
      </c>
      <c r="AS733">
        <v>6.63</v>
      </c>
      <c r="AT733" t="s">
        <v>4548</v>
      </c>
      <c r="AU733" t="s">
        <v>116</v>
      </c>
      <c r="AV733" t="s">
        <v>116</v>
      </c>
      <c r="AW733">
        <v>1.47</v>
      </c>
      <c r="BA733">
        <v>-0.17</v>
      </c>
      <c r="BB733">
        <v>4.92</v>
      </c>
      <c r="BC733">
        <v>-0.51</v>
      </c>
      <c r="BD733">
        <v>2.57</v>
      </c>
      <c r="BE733">
        <v>2.04</v>
      </c>
      <c r="BF733">
        <v>-2.91</v>
      </c>
      <c r="BG733">
        <v>2.39</v>
      </c>
      <c r="BH733">
        <v>-0.7</v>
      </c>
      <c r="BI733">
        <v>20191120</v>
      </c>
      <c r="BJ733">
        <v>20090811</v>
      </c>
      <c r="BK733">
        <v>7.11</v>
      </c>
      <c r="BL733" t="s">
        <v>116</v>
      </c>
      <c r="BM733" t="s">
        <v>116</v>
      </c>
      <c r="BN733">
        <v>29.22</v>
      </c>
      <c r="BO733">
        <v>11.11</v>
      </c>
      <c r="BP733">
        <v>0.2</v>
      </c>
      <c r="BQ733">
        <v>61.28</v>
      </c>
      <c r="BR733">
        <v>16.989999999999998</v>
      </c>
      <c r="BS733">
        <v>2.1800000000000002</v>
      </c>
      <c r="BT733">
        <v>1.0900000000000001</v>
      </c>
      <c r="BU733">
        <v>8.2200000000000006</v>
      </c>
      <c r="BV733">
        <v>0.25</v>
      </c>
      <c r="BW733">
        <v>5.47</v>
      </c>
      <c r="BX733">
        <v>2.7</v>
      </c>
      <c r="BY733">
        <v>18.55</v>
      </c>
      <c r="BZ733">
        <v>12.78</v>
      </c>
      <c r="CA733">
        <v>-0.05</v>
      </c>
      <c r="CB733">
        <v>7.0000000000000007E-2</v>
      </c>
      <c r="CC733">
        <v>0.01</v>
      </c>
      <c r="CD733">
        <v>-0.04</v>
      </c>
      <c r="CE733">
        <v>7.0000000000000007E-2</v>
      </c>
      <c r="CF733">
        <v>-0.05</v>
      </c>
      <c r="CG733">
        <v>-0.28000000000000003</v>
      </c>
      <c r="CH733">
        <v>-2.66</v>
      </c>
      <c r="CI733">
        <v>-3.54</v>
      </c>
      <c r="CJ733">
        <v>49311</v>
      </c>
      <c r="CK733">
        <v>7068</v>
      </c>
      <c r="CL733" t="s">
        <v>4549</v>
      </c>
      <c r="CM733">
        <v>-96.04</v>
      </c>
      <c r="CN733">
        <v>9.32</v>
      </c>
      <c r="CO733">
        <v>4.46</v>
      </c>
      <c r="CP733">
        <v>-16.03</v>
      </c>
      <c r="CQ733">
        <v>2.2999999999999998</v>
      </c>
      <c r="CR733">
        <v>0</v>
      </c>
      <c r="CS733" t="s">
        <v>930</v>
      </c>
      <c r="CT733">
        <v>1.35</v>
      </c>
      <c r="CU733">
        <v>1.35</v>
      </c>
      <c r="CV733">
        <v>0.38</v>
      </c>
      <c r="CW733">
        <v>-0.04</v>
      </c>
      <c r="CX733">
        <v>-0.37</v>
      </c>
      <c r="CY733">
        <v>38.020000000000003</v>
      </c>
      <c r="CZ733" t="s">
        <v>3959</v>
      </c>
      <c r="DA733">
        <v>31.1</v>
      </c>
      <c r="DB733">
        <v>-0.28999999999999998</v>
      </c>
      <c r="DC733">
        <v>0.36</v>
      </c>
      <c r="DD733">
        <v>2.29</v>
      </c>
      <c r="DE733">
        <v>2894</v>
      </c>
      <c r="DF733">
        <v>2279</v>
      </c>
      <c r="DG733" t="s">
        <v>116</v>
      </c>
      <c r="DH733" t="s">
        <v>116</v>
      </c>
      <c r="DI733" t="s">
        <v>116</v>
      </c>
    </row>
    <row r="734" spans="1:113" x14ac:dyDescent="0.4">
      <c r="A734" t="str">
        <f>"002280"</f>
        <v>002280</v>
      </c>
      <c r="B734" t="s">
        <v>4550</v>
      </c>
      <c r="C734">
        <v>-0.5</v>
      </c>
      <c r="D734">
        <v>3.98</v>
      </c>
      <c r="E734">
        <v>-0.02</v>
      </c>
      <c r="F734">
        <v>3.97</v>
      </c>
      <c r="G734">
        <v>3.98</v>
      </c>
      <c r="H734">
        <v>801308</v>
      </c>
      <c r="I734">
        <v>10639</v>
      </c>
      <c r="J734">
        <v>-0.24</v>
      </c>
      <c r="K734">
        <v>4.55</v>
      </c>
      <c r="L734">
        <v>4</v>
      </c>
      <c r="M734">
        <v>4.12</v>
      </c>
      <c r="N734">
        <v>3.98</v>
      </c>
      <c r="O734">
        <v>4</v>
      </c>
      <c r="P734">
        <v>307.88</v>
      </c>
      <c r="Q734">
        <v>324559584</v>
      </c>
      <c r="R734">
        <v>1.21</v>
      </c>
      <c r="S734" t="s">
        <v>607</v>
      </c>
      <c r="T734" t="s">
        <v>590</v>
      </c>
      <c r="U734">
        <v>3.5</v>
      </c>
      <c r="V734">
        <v>4.05</v>
      </c>
      <c r="W734">
        <v>367274</v>
      </c>
      <c r="X734">
        <v>434034</v>
      </c>
      <c r="Y734">
        <v>0.85</v>
      </c>
      <c r="Z734">
        <v>3131</v>
      </c>
      <c r="AA734">
        <v>2550</v>
      </c>
      <c r="AB734" t="s">
        <v>116</v>
      </c>
      <c r="AC734">
        <v>1078800</v>
      </c>
      <c r="AD734">
        <v>0.02</v>
      </c>
      <c r="AE734" t="s">
        <v>116</v>
      </c>
      <c r="AF734" t="s">
        <v>116</v>
      </c>
      <c r="AG734">
        <v>17.63</v>
      </c>
      <c r="AH734" t="s">
        <v>4551</v>
      </c>
      <c r="AI734" t="s">
        <v>4552</v>
      </c>
      <c r="AJ734">
        <v>0.18</v>
      </c>
      <c r="AK734">
        <v>3522</v>
      </c>
      <c r="AL734">
        <v>228</v>
      </c>
      <c r="AM734">
        <v>1.2999999999999999E-3</v>
      </c>
      <c r="AN734">
        <v>-1</v>
      </c>
      <c r="AO734">
        <v>0.25</v>
      </c>
      <c r="AP734">
        <v>-1</v>
      </c>
      <c r="AQ734">
        <v>19.52</v>
      </c>
      <c r="AR734">
        <v>2.84</v>
      </c>
      <c r="AS734">
        <v>6.04</v>
      </c>
      <c r="AT734" t="s">
        <v>1581</v>
      </c>
      <c r="AU734" t="s">
        <v>116</v>
      </c>
      <c r="AV734" t="s">
        <v>116</v>
      </c>
      <c r="AW734">
        <v>1.92</v>
      </c>
      <c r="BA734">
        <v>0</v>
      </c>
      <c r="BB734">
        <v>3</v>
      </c>
      <c r="BC734">
        <v>-0.5</v>
      </c>
      <c r="BD734">
        <v>1.26</v>
      </c>
      <c r="BE734">
        <v>-0.5</v>
      </c>
      <c r="BF734">
        <v>-3.4</v>
      </c>
      <c r="BG734">
        <v>0</v>
      </c>
      <c r="BH734">
        <v>-1.76</v>
      </c>
      <c r="BI734">
        <v>20191025</v>
      </c>
      <c r="BJ734">
        <v>20090821</v>
      </c>
      <c r="BK734">
        <v>21.77</v>
      </c>
      <c r="BL734" t="s">
        <v>116</v>
      </c>
      <c r="BM734" t="s">
        <v>116</v>
      </c>
      <c r="BN734">
        <v>123.26</v>
      </c>
      <c r="BO734">
        <v>52.94</v>
      </c>
      <c r="BP734">
        <v>7.4</v>
      </c>
      <c r="BQ734">
        <v>51.04</v>
      </c>
      <c r="BR734">
        <v>64.290000000000006</v>
      </c>
      <c r="BS734">
        <v>8.26</v>
      </c>
      <c r="BT734">
        <v>2.4</v>
      </c>
      <c r="BU734">
        <v>52.44</v>
      </c>
      <c r="BV734">
        <v>8.44</v>
      </c>
      <c r="BW734">
        <v>27.97</v>
      </c>
      <c r="BX734">
        <v>30.13</v>
      </c>
      <c r="BY734">
        <v>108.63</v>
      </c>
      <c r="BZ734">
        <v>92.83</v>
      </c>
      <c r="CA734">
        <v>0.36</v>
      </c>
      <c r="CB734">
        <v>2.31</v>
      </c>
      <c r="CC734">
        <v>0.62</v>
      </c>
      <c r="CD734">
        <v>0.16</v>
      </c>
      <c r="CE734">
        <v>0.21</v>
      </c>
      <c r="CF734">
        <v>-2.04</v>
      </c>
      <c r="CG734">
        <v>-0.17</v>
      </c>
      <c r="CH734">
        <v>-2.77</v>
      </c>
      <c r="CI734">
        <v>-4.42</v>
      </c>
      <c r="CJ734">
        <v>124092</v>
      </c>
      <c r="CK734">
        <v>10697</v>
      </c>
      <c r="CL734" t="s">
        <v>4553</v>
      </c>
      <c r="CM734">
        <v>-85.06</v>
      </c>
      <c r="CN734">
        <v>-2.46</v>
      </c>
      <c r="CO734">
        <v>1.64</v>
      </c>
      <c r="CP734">
        <v>-31.28</v>
      </c>
      <c r="CQ734">
        <v>0.8</v>
      </c>
      <c r="CR734">
        <v>0</v>
      </c>
      <c r="CS734" t="s">
        <v>888</v>
      </c>
      <c r="CT734">
        <v>2.4300000000000002</v>
      </c>
      <c r="CU734">
        <v>0</v>
      </c>
      <c r="CV734">
        <v>1.38</v>
      </c>
      <c r="CW734">
        <v>-0.01</v>
      </c>
      <c r="CX734">
        <v>-0.13</v>
      </c>
      <c r="CY734">
        <v>42.95</v>
      </c>
      <c r="CZ734" t="s">
        <v>4554</v>
      </c>
      <c r="DA734">
        <v>14.54</v>
      </c>
      <c r="DB734">
        <v>0.33</v>
      </c>
      <c r="DC734">
        <v>0.19</v>
      </c>
      <c r="DD734">
        <v>1.01</v>
      </c>
      <c r="DE734">
        <v>2991</v>
      </c>
      <c r="DF734">
        <v>2280</v>
      </c>
      <c r="DG734" t="s">
        <v>116</v>
      </c>
      <c r="DH734" t="s">
        <v>116</v>
      </c>
      <c r="DI734" t="s">
        <v>116</v>
      </c>
    </row>
    <row r="735" spans="1:113" x14ac:dyDescent="0.4">
      <c r="A735" t="str">
        <f>"002281"</f>
        <v>002281</v>
      </c>
      <c r="B735" t="s">
        <v>4555</v>
      </c>
      <c r="C735">
        <v>0.03</v>
      </c>
      <c r="D735">
        <v>29.55</v>
      </c>
      <c r="E735">
        <v>0.01</v>
      </c>
      <c r="F735">
        <v>29.55</v>
      </c>
      <c r="G735">
        <v>29.56</v>
      </c>
      <c r="H735">
        <v>143379</v>
      </c>
      <c r="I735">
        <v>930</v>
      </c>
      <c r="J735">
        <v>-0.23</v>
      </c>
      <c r="K735">
        <v>2.2799999999999998</v>
      </c>
      <c r="L735">
        <v>29.62</v>
      </c>
      <c r="M735">
        <v>30.42</v>
      </c>
      <c r="N735">
        <v>29.52</v>
      </c>
      <c r="O735">
        <v>29.54</v>
      </c>
      <c r="P735">
        <v>56.49</v>
      </c>
      <c r="Q735">
        <v>429252160</v>
      </c>
      <c r="R735">
        <v>1.21</v>
      </c>
      <c r="S735" t="s">
        <v>465</v>
      </c>
      <c r="T735" t="s">
        <v>774</v>
      </c>
      <c r="U735">
        <v>3.05</v>
      </c>
      <c r="V735">
        <v>29.94</v>
      </c>
      <c r="W735">
        <v>66598</v>
      </c>
      <c r="X735">
        <v>76781</v>
      </c>
      <c r="Y735">
        <v>0.87</v>
      </c>
      <c r="Z735">
        <v>55</v>
      </c>
      <c r="AA735">
        <v>771</v>
      </c>
      <c r="AB735" t="s">
        <v>116</v>
      </c>
      <c r="AC735">
        <v>1061000</v>
      </c>
      <c r="AD735">
        <v>0.01</v>
      </c>
      <c r="AE735" t="s">
        <v>116</v>
      </c>
      <c r="AF735" t="s">
        <v>116</v>
      </c>
      <c r="AG735">
        <v>6.29</v>
      </c>
      <c r="AH735" t="s">
        <v>4556</v>
      </c>
      <c r="AI735" t="s">
        <v>4557</v>
      </c>
      <c r="AJ735">
        <v>0.71</v>
      </c>
      <c r="AK735">
        <v>3537</v>
      </c>
      <c r="AL735">
        <v>41</v>
      </c>
      <c r="AM735">
        <v>5.9999999999999995E-4</v>
      </c>
      <c r="AN735">
        <v>1</v>
      </c>
      <c r="AO735">
        <v>2.77</v>
      </c>
      <c r="AP735">
        <v>5.91</v>
      </c>
      <c r="AQ735">
        <v>2.21</v>
      </c>
      <c r="AR735">
        <v>10.72</v>
      </c>
      <c r="AS735">
        <v>4.18</v>
      </c>
      <c r="AT735" t="s">
        <v>4558</v>
      </c>
      <c r="AU735">
        <v>59.72</v>
      </c>
      <c r="AV735">
        <v>60.13</v>
      </c>
      <c r="AW735">
        <v>0.88</v>
      </c>
      <c r="BA735">
        <v>0.27</v>
      </c>
      <c r="BB735">
        <v>2.98</v>
      </c>
      <c r="BC735">
        <v>-7.0000000000000007E-2</v>
      </c>
      <c r="BD735">
        <v>1.35</v>
      </c>
      <c r="BE735">
        <v>-0.24</v>
      </c>
      <c r="BF735">
        <v>-2.86</v>
      </c>
      <c r="BG735">
        <v>0.1</v>
      </c>
      <c r="BH735">
        <v>-1.31</v>
      </c>
      <c r="BI735">
        <v>20191026</v>
      </c>
      <c r="BJ735">
        <v>20090821</v>
      </c>
      <c r="BK735">
        <v>6.77</v>
      </c>
      <c r="BL735" t="s">
        <v>116</v>
      </c>
      <c r="BM735" t="s">
        <v>116</v>
      </c>
      <c r="BN735">
        <v>71.23</v>
      </c>
      <c r="BO735">
        <v>44.04</v>
      </c>
      <c r="BP735">
        <v>0.26</v>
      </c>
      <c r="BQ735">
        <v>37.81</v>
      </c>
      <c r="BR735">
        <v>55.86</v>
      </c>
      <c r="BS735">
        <v>10.67</v>
      </c>
      <c r="BT735">
        <v>1.01</v>
      </c>
      <c r="BU735">
        <v>23.73</v>
      </c>
      <c r="BV735">
        <v>15.13</v>
      </c>
      <c r="BW735">
        <v>20.32</v>
      </c>
      <c r="BX735">
        <v>21.79</v>
      </c>
      <c r="BY735">
        <v>38.96</v>
      </c>
      <c r="BZ735">
        <v>31.23</v>
      </c>
      <c r="CA735">
        <v>2.5099999999999998</v>
      </c>
      <c r="CB735">
        <v>-0.02</v>
      </c>
      <c r="CC735">
        <v>2.5099999999999998</v>
      </c>
      <c r="CD735">
        <v>2.38</v>
      </c>
      <c r="CE735">
        <v>2.66</v>
      </c>
      <c r="CF735">
        <v>2.39</v>
      </c>
      <c r="CG735">
        <v>15.82</v>
      </c>
      <c r="CH735">
        <v>0.25</v>
      </c>
      <c r="CI735">
        <v>4.92</v>
      </c>
      <c r="CJ735">
        <v>60950</v>
      </c>
      <c r="CK735">
        <v>5625</v>
      </c>
      <c r="CL735" t="s">
        <v>4559</v>
      </c>
      <c r="CM735">
        <v>0.87</v>
      </c>
      <c r="CN735">
        <v>6.46</v>
      </c>
      <c r="CO735">
        <v>4.54</v>
      </c>
      <c r="CP735">
        <v>793.93</v>
      </c>
      <c r="CQ735">
        <v>5.14</v>
      </c>
      <c r="CR735">
        <v>0.57999999999999996</v>
      </c>
      <c r="CS735" t="s">
        <v>4560</v>
      </c>
      <c r="CT735">
        <v>6.5</v>
      </c>
      <c r="CU735">
        <v>0</v>
      </c>
      <c r="CV735">
        <v>3.22</v>
      </c>
      <c r="CW735">
        <v>2.34</v>
      </c>
      <c r="CX735">
        <v>0.04</v>
      </c>
      <c r="CY735">
        <v>61.82</v>
      </c>
      <c r="CZ735" t="s">
        <v>4561</v>
      </c>
      <c r="DA735">
        <v>19.84</v>
      </c>
      <c r="DB735">
        <v>6.43</v>
      </c>
      <c r="DC735">
        <v>6.82</v>
      </c>
      <c r="DD735">
        <v>3.11</v>
      </c>
      <c r="DE735">
        <v>4449</v>
      </c>
      <c r="DF735">
        <v>2281</v>
      </c>
      <c r="DG735" t="s">
        <v>116</v>
      </c>
      <c r="DH735" t="s">
        <v>116</v>
      </c>
      <c r="DI735" t="s">
        <v>116</v>
      </c>
    </row>
    <row r="736" spans="1:113" x14ac:dyDescent="0.4">
      <c r="A736" t="str">
        <f>"002282"</f>
        <v>002282</v>
      </c>
      <c r="B736" t="s">
        <v>4562</v>
      </c>
      <c r="C736">
        <v>-1.32</v>
      </c>
      <c r="D736">
        <v>8.23</v>
      </c>
      <c r="E736">
        <v>-0.11</v>
      </c>
      <c r="F736">
        <v>8.23</v>
      </c>
      <c r="G736">
        <v>8.24</v>
      </c>
      <c r="H736">
        <v>15191</v>
      </c>
      <c r="I736">
        <v>651</v>
      </c>
      <c r="J736">
        <v>-0.47</v>
      </c>
      <c r="K736">
        <v>0.65</v>
      </c>
      <c r="L736">
        <v>8.34</v>
      </c>
      <c r="M736">
        <v>8.5</v>
      </c>
      <c r="N736">
        <v>8.23</v>
      </c>
      <c r="O736">
        <v>8.34</v>
      </c>
      <c r="P736">
        <v>41.69</v>
      </c>
      <c r="Q736">
        <v>12711599</v>
      </c>
      <c r="R736">
        <v>0.99</v>
      </c>
      <c r="S736" t="s">
        <v>353</v>
      </c>
      <c r="T736" t="s">
        <v>608</v>
      </c>
      <c r="U736">
        <v>3.24</v>
      </c>
      <c r="V736">
        <v>8.3699999999999992</v>
      </c>
      <c r="W736">
        <v>9863</v>
      </c>
      <c r="X736">
        <v>5328</v>
      </c>
      <c r="Y736">
        <v>1.85</v>
      </c>
      <c r="Z736">
        <v>303</v>
      </c>
      <c r="AA736">
        <v>53</v>
      </c>
      <c r="AB736" t="s">
        <v>116</v>
      </c>
      <c r="AC736">
        <v>5000</v>
      </c>
      <c r="AD736">
        <v>0</v>
      </c>
      <c r="AE736" t="s">
        <v>116</v>
      </c>
      <c r="AF736" t="s">
        <v>116</v>
      </c>
      <c r="AG736">
        <v>2.35</v>
      </c>
      <c r="AH736" t="s">
        <v>3460</v>
      </c>
      <c r="AI736" t="s">
        <v>4563</v>
      </c>
      <c r="AJ736">
        <v>-0.64</v>
      </c>
      <c r="AK736">
        <v>528</v>
      </c>
      <c r="AL736">
        <v>29</v>
      </c>
      <c r="AM736">
        <v>1.1999999999999999E-3</v>
      </c>
      <c r="AN736">
        <v>-1</v>
      </c>
      <c r="AO736">
        <v>-1.2</v>
      </c>
      <c r="AP736">
        <v>3.39</v>
      </c>
      <c r="AQ736">
        <v>-6.16</v>
      </c>
      <c r="AR736">
        <v>-1.2</v>
      </c>
      <c r="AS736">
        <v>0.82</v>
      </c>
      <c r="AT736" t="s">
        <v>2689</v>
      </c>
      <c r="AU736">
        <v>48.42</v>
      </c>
      <c r="AV736">
        <v>41.81</v>
      </c>
      <c r="AW736">
        <v>1.1399999999999999</v>
      </c>
      <c r="BA736">
        <v>0</v>
      </c>
      <c r="BB736">
        <v>1.92</v>
      </c>
      <c r="BC736">
        <v>-1.32</v>
      </c>
      <c r="BD736">
        <v>0.33</v>
      </c>
      <c r="BE736">
        <v>-1.32</v>
      </c>
      <c r="BF736">
        <v>-3.18</v>
      </c>
      <c r="BG736">
        <v>0</v>
      </c>
      <c r="BH736">
        <v>-1.65</v>
      </c>
      <c r="BI736">
        <v>20191028</v>
      </c>
      <c r="BJ736">
        <v>20090821</v>
      </c>
      <c r="BK736">
        <v>4.38</v>
      </c>
      <c r="BL736" t="s">
        <v>116</v>
      </c>
      <c r="BM736" t="s">
        <v>116</v>
      </c>
      <c r="BN736">
        <v>27.53</v>
      </c>
      <c r="BO736">
        <v>22.08</v>
      </c>
      <c r="BP736">
        <v>0.27</v>
      </c>
      <c r="BQ736">
        <v>18.829999999999998</v>
      </c>
      <c r="BR736">
        <v>10.210000000000001</v>
      </c>
      <c r="BS736">
        <v>5.55</v>
      </c>
      <c r="BT736">
        <v>1.22</v>
      </c>
      <c r="BU736">
        <v>4.9800000000000004</v>
      </c>
      <c r="BV736">
        <v>3.53</v>
      </c>
      <c r="BW736">
        <v>3.95</v>
      </c>
      <c r="BX736">
        <v>14.41</v>
      </c>
      <c r="BY736">
        <v>8.36</v>
      </c>
      <c r="BZ736">
        <v>6.01</v>
      </c>
      <c r="CA736">
        <v>0.84</v>
      </c>
      <c r="CB736">
        <v>0.06</v>
      </c>
      <c r="CC736">
        <v>0.84</v>
      </c>
      <c r="CD736">
        <v>0.65</v>
      </c>
      <c r="CE736">
        <v>0.65</v>
      </c>
      <c r="CF736">
        <v>0.57999999999999996</v>
      </c>
      <c r="CG736">
        <v>2.61</v>
      </c>
      <c r="CH736">
        <v>0.87</v>
      </c>
      <c r="CI736">
        <v>0.1</v>
      </c>
      <c r="CJ736">
        <v>24907</v>
      </c>
      <c r="CK736">
        <v>7452</v>
      </c>
      <c r="CL736" t="s">
        <v>4564</v>
      </c>
      <c r="CM736">
        <v>-15.36</v>
      </c>
      <c r="CN736">
        <v>3.65</v>
      </c>
      <c r="CO736">
        <v>1.63</v>
      </c>
      <c r="CP736">
        <v>41.59</v>
      </c>
      <c r="CQ736">
        <v>4.3099999999999996</v>
      </c>
      <c r="CR736">
        <v>0.36</v>
      </c>
      <c r="CS736" t="s">
        <v>1195</v>
      </c>
      <c r="CT736">
        <v>5.04</v>
      </c>
      <c r="CU736">
        <v>0</v>
      </c>
      <c r="CV736">
        <v>3.29</v>
      </c>
      <c r="CW736">
        <v>0.6</v>
      </c>
      <c r="CX736">
        <v>0.2</v>
      </c>
      <c r="CY736">
        <v>80.19</v>
      </c>
      <c r="CZ736" t="s">
        <v>4565</v>
      </c>
      <c r="DA736">
        <v>28.05</v>
      </c>
      <c r="DB736">
        <v>10.11</v>
      </c>
      <c r="DC736">
        <v>7.76</v>
      </c>
      <c r="DD736">
        <v>0.26</v>
      </c>
      <c r="DE736">
        <v>1766</v>
      </c>
      <c r="DF736">
        <v>2282</v>
      </c>
      <c r="DG736" t="s">
        <v>116</v>
      </c>
      <c r="DH736" t="s">
        <v>116</v>
      </c>
      <c r="DI736" t="s">
        <v>116</v>
      </c>
    </row>
    <row r="737" spans="1:113" x14ac:dyDescent="0.4">
      <c r="A737" t="str">
        <f>"002283"</f>
        <v>002283</v>
      </c>
      <c r="B737" t="s">
        <v>4566</v>
      </c>
      <c r="C737">
        <v>-0.54</v>
      </c>
      <c r="D737">
        <v>3.65</v>
      </c>
      <c r="E737">
        <v>-0.02</v>
      </c>
      <c r="F737">
        <v>3.64</v>
      </c>
      <c r="G737">
        <v>3.65</v>
      </c>
      <c r="H737">
        <v>47175</v>
      </c>
      <c r="I737">
        <v>98</v>
      </c>
      <c r="J737">
        <v>0.27</v>
      </c>
      <c r="K737">
        <v>0.49</v>
      </c>
      <c r="L737">
        <v>3.67</v>
      </c>
      <c r="M737">
        <v>3.7</v>
      </c>
      <c r="N737">
        <v>3.63</v>
      </c>
      <c r="O737">
        <v>3.67</v>
      </c>
      <c r="P737">
        <v>12.17</v>
      </c>
      <c r="Q737">
        <v>17342040</v>
      </c>
      <c r="R737">
        <v>0.8</v>
      </c>
      <c r="S737" t="s">
        <v>293</v>
      </c>
      <c r="T737" t="s">
        <v>645</v>
      </c>
      <c r="U737">
        <v>1.91</v>
      </c>
      <c r="V737">
        <v>3.68</v>
      </c>
      <c r="W737">
        <v>29520</v>
      </c>
      <c r="X737">
        <v>17655</v>
      </c>
      <c r="Y737">
        <v>1.67</v>
      </c>
      <c r="Z737">
        <v>937</v>
      </c>
      <c r="AA737">
        <v>1961</v>
      </c>
      <c r="AB737" t="s">
        <v>116</v>
      </c>
      <c r="AC737">
        <v>5100</v>
      </c>
      <c r="AD737">
        <v>0</v>
      </c>
      <c r="AE737" t="s">
        <v>116</v>
      </c>
      <c r="AF737" t="s">
        <v>116</v>
      </c>
      <c r="AG737">
        <v>9.6300000000000008</v>
      </c>
      <c r="AH737" t="s">
        <v>4567</v>
      </c>
      <c r="AI737" t="s">
        <v>1687</v>
      </c>
      <c r="AJ737">
        <v>0.13</v>
      </c>
      <c r="AK737">
        <v>653</v>
      </c>
      <c r="AL737">
        <v>72</v>
      </c>
      <c r="AM737">
        <v>8.0000000000000004E-4</v>
      </c>
      <c r="AN737">
        <v>-1</v>
      </c>
      <c r="AO737">
        <v>-1.07</v>
      </c>
      <c r="AP737">
        <v>2.2400000000000002</v>
      </c>
      <c r="AQ737">
        <v>0</v>
      </c>
      <c r="AR737">
        <v>9.9700000000000006</v>
      </c>
      <c r="AS737">
        <v>0.66</v>
      </c>
      <c r="AT737" t="s">
        <v>4568</v>
      </c>
      <c r="AU737">
        <v>11.43</v>
      </c>
      <c r="AV737">
        <v>12.02</v>
      </c>
      <c r="AW737">
        <v>0.62</v>
      </c>
      <c r="BA737">
        <v>0</v>
      </c>
      <c r="BB737">
        <v>0.82</v>
      </c>
      <c r="BC737">
        <v>-1.0900000000000001</v>
      </c>
      <c r="BD737">
        <v>0.17</v>
      </c>
      <c r="BE737">
        <v>-0.54</v>
      </c>
      <c r="BF737">
        <v>-1.35</v>
      </c>
      <c r="BG737">
        <v>0.55000000000000004</v>
      </c>
      <c r="BH737">
        <v>-0.71</v>
      </c>
      <c r="BI737">
        <v>20191029</v>
      </c>
      <c r="BJ737">
        <v>20090821</v>
      </c>
      <c r="BK737">
        <v>11.28</v>
      </c>
      <c r="BL737" t="s">
        <v>116</v>
      </c>
      <c r="BM737" t="s">
        <v>116</v>
      </c>
      <c r="BN737">
        <v>69.86</v>
      </c>
      <c r="BO737">
        <v>44.64</v>
      </c>
      <c r="BP737">
        <v>0</v>
      </c>
      <c r="BQ737">
        <v>36.11</v>
      </c>
      <c r="BR737">
        <v>33.78</v>
      </c>
      <c r="BS737">
        <v>26.61</v>
      </c>
      <c r="BT737">
        <v>2.5099999999999998</v>
      </c>
      <c r="BU737">
        <v>23.8</v>
      </c>
      <c r="BV737">
        <v>10.029999999999999</v>
      </c>
      <c r="BW737">
        <v>9.14</v>
      </c>
      <c r="BX737">
        <v>13.79</v>
      </c>
      <c r="BY737">
        <v>26.14</v>
      </c>
      <c r="BZ737">
        <v>19.38</v>
      </c>
      <c r="CA737">
        <v>3.22</v>
      </c>
      <c r="CB737">
        <v>0.02</v>
      </c>
      <c r="CC737">
        <v>3.02</v>
      </c>
      <c r="CD737">
        <v>2.54</v>
      </c>
      <c r="CE737">
        <v>2.54</v>
      </c>
      <c r="CF737">
        <v>2.4900000000000002</v>
      </c>
      <c r="CG737">
        <v>17.649999999999999</v>
      </c>
      <c r="CH737">
        <v>5.39</v>
      </c>
      <c r="CI737">
        <v>-0.08</v>
      </c>
      <c r="CJ737">
        <v>50485</v>
      </c>
      <c r="CK737">
        <v>14232</v>
      </c>
      <c r="CL737" t="s">
        <v>3949</v>
      </c>
      <c r="CM737">
        <v>7.54</v>
      </c>
      <c r="CN737">
        <v>0.94</v>
      </c>
      <c r="CO737">
        <v>0.92</v>
      </c>
      <c r="CP737">
        <v>7.63</v>
      </c>
      <c r="CQ737">
        <v>1.57</v>
      </c>
      <c r="CR737">
        <v>0.85</v>
      </c>
      <c r="CS737" t="s">
        <v>3753</v>
      </c>
      <c r="CT737">
        <v>3.96</v>
      </c>
      <c r="CU737">
        <v>0</v>
      </c>
      <c r="CV737">
        <v>1.22</v>
      </c>
      <c r="CW737">
        <v>1.57</v>
      </c>
      <c r="CX737">
        <v>0.48</v>
      </c>
      <c r="CY737">
        <v>63.89</v>
      </c>
      <c r="CZ737" t="s">
        <v>4569</v>
      </c>
      <c r="DA737">
        <v>25.86</v>
      </c>
      <c r="DB737">
        <v>12.32</v>
      </c>
      <c r="DC737">
        <v>9.6999999999999993</v>
      </c>
      <c r="DD737">
        <v>1.36</v>
      </c>
      <c r="DE737">
        <v>3142</v>
      </c>
      <c r="DF737">
        <v>2283</v>
      </c>
      <c r="DG737" t="s">
        <v>116</v>
      </c>
      <c r="DH737" t="s">
        <v>116</v>
      </c>
      <c r="DI737" t="s">
        <v>116</v>
      </c>
    </row>
    <row r="738" spans="1:113" x14ac:dyDescent="0.4">
      <c r="A738" t="str">
        <f>"002284"</f>
        <v>002284</v>
      </c>
      <c r="B738" t="s">
        <v>4570</v>
      </c>
      <c r="C738">
        <v>-2.61</v>
      </c>
      <c r="D738">
        <v>5.22</v>
      </c>
      <c r="E738">
        <v>-0.14000000000000001</v>
      </c>
      <c r="F738">
        <v>5.22</v>
      </c>
      <c r="G738">
        <v>5.23</v>
      </c>
      <c r="H738">
        <v>273967</v>
      </c>
      <c r="I738">
        <v>3476</v>
      </c>
      <c r="J738">
        <v>-0.18</v>
      </c>
      <c r="K738">
        <v>3.99</v>
      </c>
      <c r="L738">
        <v>5.39</v>
      </c>
      <c r="M738">
        <v>5.51</v>
      </c>
      <c r="N738">
        <v>5.2</v>
      </c>
      <c r="O738">
        <v>5.36</v>
      </c>
      <c r="P738" t="s">
        <v>116</v>
      </c>
      <c r="Q738">
        <v>146644144</v>
      </c>
      <c r="R738">
        <v>0.55000000000000004</v>
      </c>
      <c r="S738" t="s">
        <v>293</v>
      </c>
      <c r="T738" t="s">
        <v>590</v>
      </c>
      <c r="U738">
        <v>5.78</v>
      </c>
      <c r="V738">
        <v>5.35</v>
      </c>
      <c r="W738">
        <v>164036</v>
      </c>
      <c r="X738">
        <v>109931</v>
      </c>
      <c r="Y738">
        <v>1.49</v>
      </c>
      <c r="Z738">
        <v>1938</v>
      </c>
      <c r="AA738">
        <v>696</v>
      </c>
      <c r="AB738" t="s">
        <v>116</v>
      </c>
      <c r="AC738">
        <v>680800</v>
      </c>
      <c r="AD738">
        <v>0.03</v>
      </c>
      <c r="AE738" t="s">
        <v>116</v>
      </c>
      <c r="AF738" t="s">
        <v>116</v>
      </c>
      <c r="AG738">
        <v>6.86</v>
      </c>
      <c r="AH738" t="s">
        <v>2387</v>
      </c>
      <c r="AI738" t="s">
        <v>2617</v>
      </c>
      <c r="AJ738">
        <v>-1.93</v>
      </c>
      <c r="AK738">
        <v>2720</v>
      </c>
      <c r="AL738">
        <v>101</v>
      </c>
      <c r="AM738">
        <v>1.5E-3</v>
      </c>
      <c r="AN738">
        <v>-2</v>
      </c>
      <c r="AO738">
        <v>-1.7</v>
      </c>
      <c r="AP738">
        <v>14.47</v>
      </c>
      <c r="AQ738">
        <v>6.31</v>
      </c>
      <c r="AR738">
        <v>22.82</v>
      </c>
      <c r="AS738">
        <v>7.13</v>
      </c>
      <c r="AT738" t="s">
        <v>885</v>
      </c>
      <c r="AU738" t="s">
        <v>116</v>
      </c>
      <c r="AV738">
        <v>483.3</v>
      </c>
      <c r="AW738">
        <v>0.74</v>
      </c>
      <c r="BA738">
        <v>0.56000000000000005</v>
      </c>
      <c r="BB738">
        <v>2.8</v>
      </c>
      <c r="BC738">
        <v>-2.99</v>
      </c>
      <c r="BD738">
        <v>-0.14000000000000001</v>
      </c>
      <c r="BE738">
        <v>-3.15</v>
      </c>
      <c r="BF738">
        <v>-5.26</v>
      </c>
      <c r="BG738">
        <v>0.38</v>
      </c>
      <c r="BH738">
        <v>-2.4700000000000002</v>
      </c>
      <c r="BI738">
        <v>20191025</v>
      </c>
      <c r="BJ738">
        <v>20090828</v>
      </c>
      <c r="BK738">
        <v>7.38</v>
      </c>
      <c r="BL738" t="s">
        <v>116</v>
      </c>
      <c r="BM738" t="s">
        <v>116</v>
      </c>
      <c r="BN738">
        <v>58.03</v>
      </c>
      <c r="BO738">
        <v>27.13</v>
      </c>
      <c r="BP738">
        <v>0.38</v>
      </c>
      <c r="BQ738">
        <v>52.59</v>
      </c>
      <c r="BR738">
        <v>32.68</v>
      </c>
      <c r="BS738">
        <v>17.670000000000002</v>
      </c>
      <c r="BT738">
        <v>1.6</v>
      </c>
      <c r="BU738">
        <v>20.239999999999998</v>
      </c>
      <c r="BV738">
        <v>5.69</v>
      </c>
      <c r="BW738">
        <v>5.98</v>
      </c>
      <c r="BX738">
        <v>11.37</v>
      </c>
      <c r="BY738">
        <v>22.52</v>
      </c>
      <c r="BZ738">
        <v>19.62</v>
      </c>
      <c r="CA738">
        <v>-0.68</v>
      </c>
      <c r="CB738">
        <v>0</v>
      </c>
      <c r="CC738">
        <v>-0.68</v>
      </c>
      <c r="CD738">
        <v>-0.73</v>
      </c>
      <c r="CE738">
        <v>-0.75</v>
      </c>
      <c r="CF738">
        <v>-0.97</v>
      </c>
      <c r="CG738">
        <v>5</v>
      </c>
      <c r="CH738">
        <v>1.34</v>
      </c>
      <c r="CI738">
        <v>2.04</v>
      </c>
      <c r="CJ738">
        <v>71346</v>
      </c>
      <c r="CK738">
        <v>5385</v>
      </c>
      <c r="CL738" t="s">
        <v>2649</v>
      </c>
      <c r="CM738">
        <v>-311.73</v>
      </c>
      <c r="CN738">
        <v>-22.61</v>
      </c>
      <c r="CO738">
        <v>1.52</v>
      </c>
      <c r="CP738">
        <v>28.66</v>
      </c>
      <c r="CQ738">
        <v>1.71</v>
      </c>
      <c r="CR738">
        <v>0</v>
      </c>
      <c r="CS738" t="s">
        <v>4571</v>
      </c>
      <c r="CT738">
        <v>3.42</v>
      </c>
      <c r="CU738">
        <v>3.42</v>
      </c>
      <c r="CV738">
        <v>1.54</v>
      </c>
      <c r="CW738">
        <v>0.68</v>
      </c>
      <c r="CX738">
        <v>0.18</v>
      </c>
      <c r="CY738">
        <v>46.76</v>
      </c>
      <c r="CZ738" t="s">
        <v>4572</v>
      </c>
      <c r="DA738">
        <v>12.87</v>
      </c>
      <c r="DB738">
        <v>-3.03</v>
      </c>
      <c r="DC738">
        <v>-3.32</v>
      </c>
      <c r="DD738">
        <v>1.1399999999999999</v>
      </c>
      <c r="DE738">
        <v>3191</v>
      </c>
      <c r="DF738">
        <v>2284</v>
      </c>
      <c r="DG738" t="s">
        <v>116</v>
      </c>
      <c r="DH738" t="s">
        <v>116</v>
      </c>
      <c r="DI738" t="s">
        <v>116</v>
      </c>
    </row>
    <row r="739" spans="1:113" x14ac:dyDescent="0.4">
      <c r="A739" t="str">
        <f>"002285"</f>
        <v>002285</v>
      </c>
      <c r="B739" t="s">
        <v>4573</v>
      </c>
      <c r="C739">
        <v>4.2</v>
      </c>
      <c r="D739">
        <v>3.72</v>
      </c>
      <c r="E739">
        <v>0.15</v>
      </c>
      <c r="F739">
        <v>3.71</v>
      </c>
      <c r="G739">
        <v>3.72</v>
      </c>
      <c r="H739">
        <v>519108</v>
      </c>
      <c r="I739">
        <v>10414</v>
      </c>
      <c r="J739">
        <v>0.54</v>
      </c>
      <c r="K739">
        <v>2.58</v>
      </c>
      <c r="L739">
        <v>3.55</v>
      </c>
      <c r="M739">
        <v>3.85</v>
      </c>
      <c r="N739">
        <v>3.53</v>
      </c>
      <c r="O739">
        <v>3.57</v>
      </c>
      <c r="P739">
        <v>86.64</v>
      </c>
      <c r="Q739">
        <v>190348480</v>
      </c>
      <c r="R739">
        <v>1.91</v>
      </c>
      <c r="S739" t="s">
        <v>419</v>
      </c>
      <c r="T739" t="s">
        <v>115</v>
      </c>
      <c r="U739">
        <v>8.9600000000000009</v>
      </c>
      <c r="V739">
        <v>3.67</v>
      </c>
      <c r="W739">
        <v>242017</v>
      </c>
      <c r="X739">
        <v>277091</v>
      </c>
      <c r="Y739">
        <v>0.87</v>
      </c>
      <c r="Z739">
        <v>6396</v>
      </c>
      <c r="AA739">
        <v>7821</v>
      </c>
      <c r="AB739" t="s">
        <v>116</v>
      </c>
      <c r="AC739">
        <v>698300</v>
      </c>
      <c r="AD739">
        <v>0.02</v>
      </c>
      <c r="AE739" t="s">
        <v>116</v>
      </c>
      <c r="AF739" t="s">
        <v>116</v>
      </c>
      <c r="AG739">
        <v>20.100000000000001</v>
      </c>
      <c r="AH739" t="s">
        <v>4574</v>
      </c>
      <c r="AI739" t="s">
        <v>4575</v>
      </c>
      <c r="AJ739">
        <v>4.88</v>
      </c>
      <c r="AK739">
        <v>2372</v>
      </c>
      <c r="AL739">
        <v>219</v>
      </c>
      <c r="AM739">
        <v>1.1000000000000001E-3</v>
      </c>
      <c r="AN739">
        <v>3</v>
      </c>
      <c r="AO739">
        <v>6.59</v>
      </c>
      <c r="AP739">
        <v>16.61</v>
      </c>
      <c r="AQ739">
        <v>-2.87</v>
      </c>
      <c r="AR739">
        <v>-26.47</v>
      </c>
      <c r="AS739">
        <v>5.19</v>
      </c>
      <c r="AT739" t="s">
        <v>4576</v>
      </c>
      <c r="AU739">
        <v>71.63</v>
      </c>
      <c r="AV739">
        <v>18.28</v>
      </c>
      <c r="AW739">
        <v>1.21</v>
      </c>
      <c r="BA739">
        <v>-0.56000000000000005</v>
      </c>
      <c r="BB739">
        <v>7.84</v>
      </c>
      <c r="BC739">
        <v>-1.1200000000000001</v>
      </c>
      <c r="BD739">
        <v>2.71</v>
      </c>
      <c r="BE739">
        <v>4.79</v>
      </c>
      <c r="BF739">
        <v>-3.38</v>
      </c>
      <c r="BG739">
        <v>5.38</v>
      </c>
      <c r="BH739">
        <v>1.49</v>
      </c>
      <c r="BI739">
        <v>20191022</v>
      </c>
      <c r="BJ739">
        <v>20090828</v>
      </c>
      <c r="BK739">
        <v>20.43</v>
      </c>
      <c r="BL739" t="s">
        <v>116</v>
      </c>
      <c r="BM739" t="s">
        <v>116</v>
      </c>
      <c r="BN739">
        <v>123.44</v>
      </c>
      <c r="BO739">
        <v>53.52</v>
      </c>
      <c r="BP739">
        <v>0.85</v>
      </c>
      <c r="BQ739">
        <v>55.96</v>
      </c>
      <c r="BR739">
        <v>96.82</v>
      </c>
      <c r="BS739">
        <v>1.4</v>
      </c>
      <c r="BT739">
        <v>0.05</v>
      </c>
      <c r="BU739">
        <v>64.02</v>
      </c>
      <c r="BV739">
        <v>0.35</v>
      </c>
      <c r="BW739">
        <v>11.86</v>
      </c>
      <c r="BX739">
        <v>5.84</v>
      </c>
      <c r="BY739">
        <v>46.75</v>
      </c>
      <c r="BZ739">
        <v>41.31</v>
      </c>
      <c r="CA739">
        <v>1.1200000000000001</v>
      </c>
      <c r="CB739">
        <v>0.2</v>
      </c>
      <c r="CC739">
        <v>1.37</v>
      </c>
      <c r="CD739">
        <v>0.61</v>
      </c>
      <c r="CE739">
        <v>0.66</v>
      </c>
      <c r="CF739">
        <v>0.26</v>
      </c>
      <c r="CG739">
        <v>20.05</v>
      </c>
      <c r="CH739">
        <v>8.86</v>
      </c>
      <c r="CI739">
        <v>2.77</v>
      </c>
      <c r="CJ739">
        <v>63938</v>
      </c>
      <c r="CK739">
        <v>15657</v>
      </c>
      <c r="CL739" t="s">
        <v>4577</v>
      </c>
      <c r="CM739">
        <v>-82.48</v>
      </c>
      <c r="CN739">
        <v>-13.11</v>
      </c>
      <c r="CO739">
        <v>1.42</v>
      </c>
      <c r="CP739">
        <v>8.58</v>
      </c>
      <c r="CQ739">
        <v>1.63</v>
      </c>
      <c r="CR739">
        <v>0.56000000000000005</v>
      </c>
      <c r="CS739" t="s">
        <v>1284</v>
      </c>
      <c r="CT739">
        <v>2.62</v>
      </c>
      <c r="CU739">
        <v>0</v>
      </c>
      <c r="CV739">
        <v>0.28999999999999998</v>
      </c>
      <c r="CW739">
        <v>0.98</v>
      </c>
      <c r="CX739">
        <v>0.43</v>
      </c>
      <c r="CY739">
        <v>43.36</v>
      </c>
      <c r="CZ739" t="s">
        <v>4578</v>
      </c>
      <c r="DA739">
        <v>11.66</v>
      </c>
      <c r="DB739">
        <v>2.4</v>
      </c>
      <c r="DC739">
        <v>1.41</v>
      </c>
      <c r="DD739">
        <v>0.7</v>
      </c>
      <c r="DE739">
        <v>27870</v>
      </c>
      <c r="DF739">
        <v>2285</v>
      </c>
      <c r="DG739" t="s">
        <v>116</v>
      </c>
      <c r="DH739" t="s">
        <v>116</v>
      </c>
      <c r="DI739" t="s">
        <v>116</v>
      </c>
    </row>
    <row r="740" spans="1:113" x14ac:dyDescent="0.4">
      <c r="A740" t="str">
        <f>"002286"</f>
        <v>002286</v>
      </c>
      <c r="B740" t="s">
        <v>4579</v>
      </c>
      <c r="C740">
        <v>-0.66</v>
      </c>
      <c r="D740">
        <v>5.99</v>
      </c>
      <c r="E740">
        <v>-0.04</v>
      </c>
      <c r="F740">
        <v>5.99</v>
      </c>
      <c r="G740">
        <v>6.01</v>
      </c>
      <c r="H740">
        <v>24600</v>
      </c>
      <c r="I740">
        <v>189</v>
      </c>
      <c r="J740">
        <v>-0.16</v>
      </c>
      <c r="K740">
        <v>0.67</v>
      </c>
      <c r="L740">
        <v>6.02</v>
      </c>
      <c r="M740">
        <v>6.08</v>
      </c>
      <c r="N740">
        <v>5.99</v>
      </c>
      <c r="O740">
        <v>6.03</v>
      </c>
      <c r="P740">
        <v>41.37</v>
      </c>
      <c r="Q740">
        <v>14831021</v>
      </c>
      <c r="R740">
        <v>0.86</v>
      </c>
      <c r="S740" t="s">
        <v>863</v>
      </c>
      <c r="T740" t="s">
        <v>645</v>
      </c>
      <c r="U740">
        <v>1.49</v>
      </c>
      <c r="V740">
        <v>6.03</v>
      </c>
      <c r="W740">
        <v>16164</v>
      </c>
      <c r="X740">
        <v>8436</v>
      </c>
      <c r="Y740">
        <v>1.92</v>
      </c>
      <c r="Z740">
        <v>314</v>
      </c>
      <c r="AA740">
        <v>289</v>
      </c>
      <c r="AB740" t="s">
        <v>116</v>
      </c>
      <c r="AC740">
        <v>1449600</v>
      </c>
      <c r="AD740">
        <v>0.13</v>
      </c>
      <c r="AE740" t="s">
        <v>116</v>
      </c>
      <c r="AF740" t="s">
        <v>116</v>
      </c>
      <c r="AG740">
        <v>3.69</v>
      </c>
      <c r="AH740" t="s">
        <v>4580</v>
      </c>
      <c r="AI740" t="s">
        <v>4580</v>
      </c>
      <c r="AJ740">
        <v>0.02</v>
      </c>
      <c r="AK740">
        <v>910</v>
      </c>
      <c r="AL740">
        <v>27</v>
      </c>
      <c r="AM740">
        <v>6.9999999999999999E-4</v>
      </c>
      <c r="AN740">
        <v>-1</v>
      </c>
      <c r="AO740">
        <v>-0.99</v>
      </c>
      <c r="AP740">
        <v>1.87</v>
      </c>
      <c r="AQ740">
        <v>6.77</v>
      </c>
      <c r="AR740">
        <v>10.31</v>
      </c>
      <c r="AS740">
        <v>1.31</v>
      </c>
      <c r="AT740" t="s">
        <v>2383</v>
      </c>
      <c r="AU740">
        <v>56.39</v>
      </c>
      <c r="AV740">
        <v>51.49</v>
      </c>
      <c r="AW740">
        <v>0.76</v>
      </c>
      <c r="BA740">
        <v>-0.17</v>
      </c>
      <c r="BB740">
        <v>0.83</v>
      </c>
      <c r="BC740">
        <v>-0.66</v>
      </c>
      <c r="BD740">
        <v>-0.02</v>
      </c>
      <c r="BE740">
        <v>-0.5</v>
      </c>
      <c r="BF740">
        <v>-1.48</v>
      </c>
      <c r="BG740">
        <v>0</v>
      </c>
      <c r="BH740">
        <v>-0.65</v>
      </c>
      <c r="BI740">
        <v>20191202</v>
      </c>
      <c r="BJ740">
        <v>20090828</v>
      </c>
      <c r="BK740">
        <v>3.69</v>
      </c>
      <c r="BL740" t="s">
        <v>116</v>
      </c>
      <c r="BM740" t="s">
        <v>116</v>
      </c>
      <c r="BN740">
        <v>25.8</v>
      </c>
      <c r="BO740">
        <v>15.73</v>
      </c>
      <c r="BP740">
        <v>0</v>
      </c>
      <c r="BQ740">
        <v>39.06</v>
      </c>
      <c r="BR740">
        <v>9.94</v>
      </c>
      <c r="BS740">
        <v>11.73</v>
      </c>
      <c r="BT740">
        <v>1.35</v>
      </c>
      <c r="BU740">
        <v>9.5299999999999994</v>
      </c>
      <c r="BV740">
        <v>1.97</v>
      </c>
      <c r="BW740">
        <v>1.79</v>
      </c>
      <c r="BX740">
        <v>8.01</v>
      </c>
      <c r="BY740">
        <v>13.1</v>
      </c>
      <c r="BZ740">
        <v>11.11</v>
      </c>
      <c r="CA740">
        <v>0.47</v>
      </c>
      <c r="CB740">
        <v>0.02</v>
      </c>
      <c r="CC740">
        <v>0.48</v>
      </c>
      <c r="CD740">
        <v>0.4</v>
      </c>
      <c r="CE740">
        <v>0.4</v>
      </c>
      <c r="CF740">
        <v>0.3</v>
      </c>
      <c r="CG740">
        <v>3.47</v>
      </c>
      <c r="CH740">
        <v>0.95</v>
      </c>
      <c r="CI740">
        <v>-1.27</v>
      </c>
      <c r="CJ740">
        <v>15618</v>
      </c>
      <c r="CK740">
        <v>12063</v>
      </c>
      <c r="CL740" t="s">
        <v>237</v>
      </c>
      <c r="CM740">
        <v>-8.5</v>
      </c>
      <c r="CN740">
        <v>4.37</v>
      </c>
      <c r="CO740">
        <v>1.41</v>
      </c>
      <c r="CP740">
        <v>23.19</v>
      </c>
      <c r="CQ740">
        <v>1.69</v>
      </c>
      <c r="CR740">
        <v>0.5</v>
      </c>
      <c r="CS740" t="s">
        <v>3966</v>
      </c>
      <c r="CT740">
        <v>4.26</v>
      </c>
      <c r="CU740">
        <v>0</v>
      </c>
      <c r="CV740">
        <v>2.17</v>
      </c>
      <c r="CW740">
        <v>0.94</v>
      </c>
      <c r="CX740">
        <v>0.26</v>
      </c>
      <c r="CY740">
        <v>60.94</v>
      </c>
      <c r="CZ740" t="s">
        <v>1285</v>
      </c>
      <c r="DA740">
        <v>15.22</v>
      </c>
      <c r="DB740">
        <v>3.62</v>
      </c>
      <c r="DC740">
        <v>3.06</v>
      </c>
      <c r="DD740">
        <v>0.03</v>
      </c>
      <c r="DE740">
        <v>1052</v>
      </c>
      <c r="DF740">
        <v>2286</v>
      </c>
      <c r="DG740" t="s">
        <v>116</v>
      </c>
      <c r="DH740" t="s">
        <v>116</v>
      </c>
      <c r="DI740" t="s">
        <v>116</v>
      </c>
    </row>
    <row r="741" spans="1:113" x14ac:dyDescent="0.4">
      <c r="A741" t="str">
        <f>"002287"</f>
        <v>002287</v>
      </c>
      <c r="B741" t="s">
        <v>4581</v>
      </c>
      <c r="C741">
        <v>-1.06</v>
      </c>
      <c r="D741">
        <v>21.56</v>
      </c>
      <c r="E741">
        <v>-0.23</v>
      </c>
      <c r="F741">
        <v>21.56</v>
      </c>
      <c r="G741">
        <v>21.57</v>
      </c>
      <c r="H741">
        <v>10474</v>
      </c>
      <c r="I741">
        <v>241</v>
      </c>
      <c r="J741">
        <v>0</v>
      </c>
      <c r="K741">
        <v>0.2</v>
      </c>
      <c r="L741">
        <v>21.83</v>
      </c>
      <c r="M741">
        <v>21.96</v>
      </c>
      <c r="N741">
        <v>21.53</v>
      </c>
      <c r="O741">
        <v>21.79</v>
      </c>
      <c r="P741">
        <v>31.14</v>
      </c>
      <c r="Q741">
        <v>22701374</v>
      </c>
      <c r="R741">
        <v>1.1200000000000001</v>
      </c>
      <c r="S741" t="s">
        <v>781</v>
      </c>
      <c r="T741" t="s">
        <v>2028</v>
      </c>
      <c r="U741">
        <v>1.97</v>
      </c>
      <c r="V741">
        <v>21.67</v>
      </c>
      <c r="W741">
        <v>6081</v>
      </c>
      <c r="X741">
        <v>4393</v>
      </c>
      <c r="Y741">
        <v>1.38</v>
      </c>
      <c r="Z741">
        <v>71</v>
      </c>
      <c r="AA741">
        <v>19</v>
      </c>
      <c r="AB741" t="s">
        <v>116</v>
      </c>
      <c r="AC741">
        <v>117900</v>
      </c>
      <c r="AD741">
        <v>0.01</v>
      </c>
      <c r="AE741" t="s">
        <v>116</v>
      </c>
      <c r="AF741" t="s">
        <v>116</v>
      </c>
      <c r="AG741">
        <v>5.27</v>
      </c>
      <c r="AH741" t="s">
        <v>4582</v>
      </c>
      <c r="AI741" t="s">
        <v>4583</v>
      </c>
      <c r="AJ741">
        <v>-0.38</v>
      </c>
      <c r="AK741">
        <v>839</v>
      </c>
      <c r="AL741">
        <v>12</v>
      </c>
      <c r="AM741">
        <v>2.0000000000000001E-4</v>
      </c>
      <c r="AN741">
        <v>-1</v>
      </c>
      <c r="AO741">
        <v>-0.05</v>
      </c>
      <c r="AP741">
        <v>0.28000000000000003</v>
      </c>
      <c r="AQ741">
        <v>4.8600000000000003</v>
      </c>
      <c r="AR741">
        <v>13.73</v>
      </c>
      <c r="AS741">
        <v>1.95</v>
      </c>
      <c r="AT741" t="s">
        <v>4584</v>
      </c>
      <c r="AU741">
        <v>32.82</v>
      </c>
      <c r="AV741">
        <v>35.86</v>
      </c>
      <c r="AW741">
        <v>0.71</v>
      </c>
      <c r="BA741">
        <v>0.18</v>
      </c>
      <c r="BB741">
        <v>0.78</v>
      </c>
      <c r="BC741">
        <v>-1.19</v>
      </c>
      <c r="BD741">
        <v>-0.53</v>
      </c>
      <c r="BE741">
        <v>-1.24</v>
      </c>
      <c r="BF741">
        <v>-1.82</v>
      </c>
      <c r="BG741">
        <v>0.14000000000000001</v>
      </c>
      <c r="BH741">
        <v>-0.52</v>
      </c>
      <c r="BI741">
        <v>20191223</v>
      </c>
      <c r="BJ741">
        <v>20090828</v>
      </c>
      <c r="BK741">
        <v>5.3</v>
      </c>
      <c r="BL741" t="s">
        <v>116</v>
      </c>
      <c r="BM741" t="s">
        <v>116</v>
      </c>
      <c r="BN741">
        <v>27.64</v>
      </c>
      <c r="BO741">
        <v>21.52</v>
      </c>
      <c r="BP741">
        <v>0.16</v>
      </c>
      <c r="BQ741">
        <v>21.55</v>
      </c>
      <c r="BR741">
        <v>19.36</v>
      </c>
      <c r="BS741">
        <v>4.6100000000000003</v>
      </c>
      <c r="BT741">
        <v>0.46</v>
      </c>
      <c r="BU741">
        <v>5.28</v>
      </c>
      <c r="BV741">
        <v>0.62</v>
      </c>
      <c r="BW741">
        <v>1.98</v>
      </c>
      <c r="BX741">
        <v>4.5199999999999996</v>
      </c>
      <c r="BY741">
        <v>9.7100000000000009</v>
      </c>
      <c r="BZ741">
        <v>1.18</v>
      </c>
      <c r="CA741">
        <v>3.04</v>
      </c>
      <c r="CB741">
        <v>0.17</v>
      </c>
      <c r="CC741">
        <v>3.04</v>
      </c>
      <c r="CD741">
        <v>2.75</v>
      </c>
      <c r="CE741">
        <v>2.75</v>
      </c>
      <c r="CF741">
        <v>2.57</v>
      </c>
      <c r="CG741">
        <v>9.6300000000000008</v>
      </c>
      <c r="CH741">
        <v>2.62</v>
      </c>
      <c r="CI741">
        <v>8.2899999999999991</v>
      </c>
      <c r="CJ741">
        <v>16112</v>
      </c>
      <c r="CK741">
        <v>3326</v>
      </c>
      <c r="CL741" t="s">
        <v>4585</v>
      </c>
      <c r="CM741">
        <v>12.03</v>
      </c>
      <c r="CN741">
        <v>13.36</v>
      </c>
      <c r="CO741">
        <v>5.31</v>
      </c>
      <c r="CP741">
        <v>43.69</v>
      </c>
      <c r="CQ741">
        <v>11.78</v>
      </c>
      <c r="CR741">
        <v>1.46</v>
      </c>
      <c r="CS741" t="s">
        <v>4586</v>
      </c>
      <c r="CT741">
        <v>4.0599999999999996</v>
      </c>
      <c r="CU741">
        <v>4.0599999999999996</v>
      </c>
      <c r="CV741">
        <v>0.85</v>
      </c>
      <c r="CW741">
        <v>1.82</v>
      </c>
      <c r="CX741">
        <v>0.49</v>
      </c>
      <c r="CY741">
        <v>77.86</v>
      </c>
      <c r="CZ741" t="s">
        <v>4587</v>
      </c>
      <c r="DA741">
        <v>87.82</v>
      </c>
      <c r="DB741">
        <v>31.34</v>
      </c>
      <c r="DC741">
        <v>28.36</v>
      </c>
      <c r="DD741">
        <v>0.3</v>
      </c>
      <c r="DE741">
        <v>1934</v>
      </c>
      <c r="DF741">
        <v>2287</v>
      </c>
      <c r="DG741" t="s">
        <v>116</v>
      </c>
      <c r="DH741" t="s">
        <v>116</v>
      </c>
      <c r="DI741" t="s">
        <v>116</v>
      </c>
    </row>
    <row r="742" spans="1:113" x14ac:dyDescent="0.4">
      <c r="A742" t="str">
        <f>"002288"</f>
        <v>002288</v>
      </c>
      <c r="B742" t="s">
        <v>4588</v>
      </c>
      <c r="C742">
        <v>-3.27</v>
      </c>
      <c r="D742">
        <v>5.03</v>
      </c>
      <c r="E742">
        <v>-0.17</v>
      </c>
      <c r="F742">
        <v>5.03</v>
      </c>
      <c r="G742">
        <v>5.04</v>
      </c>
      <c r="H742">
        <v>424546</v>
      </c>
      <c r="I742">
        <v>2788</v>
      </c>
      <c r="J742">
        <v>-0.19</v>
      </c>
      <c r="K742">
        <v>5.61</v>
      </c>
      <c r="L742">
        <v>5.31</v>
      </c>
      <c r="M742">
        <v>5.38</v>
      </c>
      <c r="N742">
        <v>5.03</v>
      </c>
      <c r="O742">
        <v>5.2</v>
      </c>
      <c r="P742">
        <v>137.09</v>
      </c>
      <c r="Q742">
        <v>220232704</v>
      </c>
      <c r="R742">
        <v>1.56</v>
      </c>
      <c r="S742" t="s">
        <v>233</v>
      </c>
      <c r="T742" t="s">
        <v>551</v>
      </c>
      <c r="U742">
        <v>6.73</v>
      </c>
      <c r="V742">
        <v>5.19</v>
      </c>
      <c r="W742">
        <v>228985</v>
      </c>
      <c r="X742">
        <v>195561</v>
      </c>
      <c r="Y742">
        <v>1.17</v>
      </c>
      <c r="Z742">
        <v>3584</v>
      </c>
      <c r="AA742">
        <v>658</v>
      </c>
      <c r="AB742" t="s">
        <v>116</v>
      </c>
      <c r="AC742">
        <v>4884700</v>
      </c>
      <c r="AD742">
        <v>0.18</v>
      </c>
      <c r="AE742" t="s">
        <v>116</v>
      </c>
      <c r="AF742" t="s">
        <v>116</v>
      </c>
      <c r="AG742">
        <v>7.57</v>
      </c>
      <c r="AH742" t="s">
        <v>4589</v>
      </c>
      <c r="AI742" t="s">
        <v>4590</v>
      </c>
      <c r="AJ742">
        <v>-2.59</v>
      </c>
      <c r="AK742">
        <v>3069</v>
      </c>
      <c r="AL742">
        <v>138</v>
      </c>
      <c r="AM742">
        <v>1.8E-3</v>
      </c>
      <c r="AN742">
        <v>-1</v>
      </c>
      <c r="AO742">
        <v>0.81</v>
      </c>
      <c r="AP742">
        <v>16.440000000000001</v>
      </c>
      <c r="AQ742">
        <v>5.45</v>
      </c>
      <c r="AR742">
        <v>11.53</v>
      </c>
      <c r="AS742">
        <v>8.31</v>
      </c>
      <c r="AT742" t="s">
        <v>893</v>
      </c>
      <c r="AU742">
        <v>240.85</v>
      </c>
      <c r="AV742">
        <v>135.77000000000001</v>
      </c>
      <c r="AW742">
        <v>1.5</v>
      </c>
      <c r="BA742">
        <v>2.12</v>
      </c>
      <c r="BB742">
        <v>3.46</v>
      </c>
      <c r="BC742">
        <v>-3.27</v>
      </c>
      <c r="BD742">
        <v>-0.24</v>
      </c>
      <c r="BE742">
        <v>-5.27</v>
      </c>
      <c r="BF742">
        <v>-6.51</v>
      </c>
      <c r="BG742">
        <v>0</v>
      </c>
      <c r="BH742">
        <v>-3.03</v>
      </c>
      <c r="BI742">
        <v>20191224</v>
      </c>
      <c r="BJ742">
        <v>20090903</v>
      </c>
      <c r="BK742">
        <v>9.32</v>
      </c>
      <c r="BL742" t="s">
        <v>116</v>
      </c>
      <c r="BM742" t="s">
        <v>116</v>
      </c>
      <c r="BN742">
        <v>29.3</v>
      </c>
      <c r="BO742">
        <v>15.78</v>
      </c>
      <c r="BP742">
        <v>0.06</v>
      </c>
      <c r="BQ742">
        <v>45.9</v>
      </c>
      <c r="BR742">
        <v>14.57</v>
      </c>
      <c r="BS742">
        <v>6.38</v>
      </c>
      <c r="BT742">
        <v>1.02</v>
      </c>
      <c r="BU742">
        <v>12.89</v>
      </c>
      <c r="BV742">
        <v>6.76</v>
      </c>
      <c r="BW742">
        <v>4.05</v>
      </c>
      <c r="BX742">
        <v>5.49</v>
      </c>
      <c r="BY742">
        <v>10.19</v>
      </c>
      <c r="BZ742">
        <v>7.89</v>
      </c>
      <c r="CA742">
        <v>0.55000000000000004</v>
      </c>
      <c r="CB742">
        <v>0.05</v>
      </c>
      <c r="CC742">
        <v>0.21</v>
      </c>
      <c r="CD742">
        <v>0.25</v>
      </c>
      <c r="CE742">
        <v>0.26</v>
      </c>
      <c r="CF742">
        <v>0.52</v>
      </c>
      <c r="CG742">
        <v>0.76</v>
      </c>
      <c r="CH742">
        <v>0.37</v>
      </c>
      <c r="CI742">
        <v>-0.16</v>
      </c>
      <c r="CJ742">
        <v>83347</v>
      </c>
      <c r="CK742">
        <v>6132</v>
      </c>
      <c r="CL742" t="s">
        <v>1243</v>
      </c>
      <c r="CM742">
        <v>-37</v>
      </c>
      <c r="CN742">
        <v>0.49</v>
      </c>
      <c r="CO742">
        <v>2.97</v>
      </c>
      <c r="CP742">
        <v>127.68</v>
      </c>
      <c r="CQ742">
        <v>4.5999999999999996</v>
      </c>
      <c r="CR742">
        <v>0</v>
      </c>
      <c r="CS742" t="s">
        <v>2295</v>
      </c>
      <c r="CT742">
        <v>1.69</v>
      </c>
      <c r="CU742">
        <v>0</v>
      </c>
      <c r="CV742">
        <v>0.59</v>
      </c>
      <c r="CW742">
        <v>0.08</v>
      </c>
      <c r="CX742">
        <v>0.04</v>
      </c>
      <c r="CY742">
        <v>53.88</v>
      </c>
      <c r="CZ742" t="s">
        <v>4591</v>
      </c>
      <c r="DA742">
        <v>22.62</v>
      </c>
      <c r="DB742">
        <v>5.36</v>
      </c>
      <c r="DC742">
        <v>2.5099999999999998</v>
      </c>
      <c r="DD742">
        <v>0.53</v>
      </c>
      <c r="DE742">
        <v>2068</v>
      </c>
      <c r="DF742">
        <v>2288</v>
      </c>
      <c r="DG742" t="s">
        <v>116</v>
      </c>
      <c r="DH742" t="s">
        <v>116</v>
      </c>
      <c r="DI742" t="s">
        <v>116</v>
      </c>
    </row>
    <row r="743" spans="1:113" x14ac:dyDescent="0.4">
      <c r="A743" t="str">
        <f>"002289"</f>
        <v>002289</v>
      </c>
      <c r="B743" t="s">
        <v>4592</v>
      </c>
      <c r="C743">
        <v>0.37</v>
      </c>
      <c r="D743">
        <v>8.07</v>
      </c>
      <c r="E743">
        <v>0.03</v>
      </c>
      <c r="F743">
        <v>8.07</v>
      </c>
      <c r="G743">
        <v>8.08</v>
      </c>
      <c r="H743">
        <v>15758</v>
      </c>
      <c r="I743">
        <v>174</v>
      </c>
      <c r="J743">
        <v>0.25</v>
      </c>
      <c r="K743">
        <v>0.61</v>
      </c>
      <c r="L743">
        <v>8.0399999999999991</v>
      </c>
      <c r="M743">
        <v>8.23</v>
      </c>
      <c r="N743">
        <v>8.02</v>
      </c>
      <c r="O743">
        <v>8.0399999999999991</v>
      </c>
      <c r="P743" t="s">
        <v>116</v>
      </c>
      <c r="Q743">
        <v>12834196</v>
      </c>
      <c r="R743">
        <v>0.92</v>
      </c>
      <c r="S743" t="s">
        <v>233</v>
      </c>
      <c r="T743" t="s">
        <v>115</v>
      </c>
      <c r="U743">
        <v>2.61</v>
      </c>
      <c r="V743">
        <v>8.14</v>
      </c>
      <c r="W743">
        <v>9441</v>
      </c>
      <c r="X743">
        <v>6317</v>
      </c>
      <c r="Y743">
        <v>1.49</v>
      </c>
      <c r="Z743">
        <v>36</v>
      </c>
      <c r="AA743">
        <v>18</v>
      </c>
      <c r="AB743" t="s">
        <v>116</v>
      </c>
      <c r="AC743">
        <v>0</v>
      </c>
      <c r="AD743">
        <v>0</v>
      </c>
      <c r="AE743" t="s">
        <v>116</v>
      </c>
      <c r="AF743" t="s">
        <v>116</v>
      </c>
      <c r="AG743">
        <v>2.59</v>
      </c>
      <c r="AH743" t="s">
        <v>2175</v>
      </c>
      <c r="AI743" t="s">
        <v>4593</v>
      </c>
      <c r="AJ743">
        <v>1.05</v>
      </c>
      <c r="AK743">
        <v>292</v>
      </c>
      <c r="AL743">
        <v>54</v>
      </c>
      <c r="AM743">
        <v>2.0999999999999999E-3</v>
      </c>
      <c r="AN743">
        <v>1</v>
      </c>
      <c r="AO743">
        <v>-2.89</v>
      </c>
      <c r="AP743">
        <v>19.03</v>
      </c>
      <c r="AQ743">
        <v>21.17</v>
      </c>
      <c r="AR743">
        <v>65.709999999999994</v>
      </c>
      <c r="AS743">
        <v>0.99</v>
      </c>
      <c r="AT743" t="s">
        <v>4594</v>
      </c>
      <c r="AU743" t="s">
        <v>116</v>
      </c>
      <c r="AV743" t="s">
        <v>116</v>
      </c>
      <c r="AW743">
        <v>0.38</v>
      </c>
      <c r="BA743">
        <v>0</v>
      </c>
      <c r="BB743">
        <v>2.36</v>
      </c>
      <c r="BC743">
        <v>-0.25</v>
      </c>
      <c r="BD743">
        <v>1.3</v>
      </c>
      <c r="BE743">
        <v>0.37</v>
      </c>
      <c r="BF743">
        <v>-1.94</v>
      </c>
      <c r="BG743">
        <v>0.62</v>
      </c>
      <c r="BH743">
        <v>-0.93</v>
      </c>
      <c r="BI743">
        <v>20191212</v>
      </c>
      <c r="BJ743">
        <v>20090903</v>
      </c>
      <c r="BK743">
        <v>2.8</v>
      </c>
      <c r="BL743" t="s">
        <v>116</v>
      </c>
      <c r="BM743" t="s">
        <v>116</v>
      </c>
      <c r="BN743">
        <v>5.05</v>
      </c>
      <c r="BO743">
        <v>2.66</v>
      </c>
      <c r="BP743">
        <v>0</v>
      </c>
      <c r="BQ743">
        <v>47.44</v>
      </c>
      <c r="BR743">
        <v>1.68</v>
      </c>
      <c r="BS743">
        <v>2.89</v>
      </c>
      <c r="BT743">
        <v>0.31</v>
      </c>
      <c r="BU743">
        <v>1.85</v>
      </c>
      <c r="BV743">
        <v>0.48</v>
      </c>
      <c r="BW743">
        <v>0.59</v>
      </c>
      <c r="BX743">
        <v>17.05</v>
      </c>
      <c r="BY743">
        <v>1.63</v>
      </c>
      <c r="BZ743">
        <v>1.6</v>
      </c>
      <c r="CA743">
        <v>-0.51</v>
      </c>
      <c r="CB743">
        <v>0</v>
      </c>
      <c r="CC743">
        <v>-0.51</v>
      </c>
      <c r="CD743">
        <v>-0.51</v>
      </c>
      <c r="CE743">
        <v>-0.51</v>
      </c>
      <c r="CF743">
        <v>-0.6</v>
      </c>
      <c r="CG743">
        <v>-17.36</v>
      </c>
      <c r="CH743">
        <v>-0.16</v>
      </c>
      <c r="CI743">
        <v>-0.18</v>
      </c>
      <c r="CJ743">
        <v>13000</v>
      </c>
      <c r="CK743">
        <v>12254</v>
      </c>
      <c r="CL743" t="s">
        <v>4595</v>
      </c>
      <c r="CM743">
        <v>24.22</v>
      </c>
      <c r="CN743">
        <v>-31.89</v>
      </c>
      <c r="CO743">
        <v>8.51</v>
      </c>
      <c r="CP743">
        <v>-139.06</v>
      </c>
      <c r="CQ743">
        <v>13.91</v>
      </c>
      <c r="CR743">
        <v>0</v>
      </c>
      <c r="CS743" t="s">
        <v>4596</v>
      </c>
      <c r="CT743">
        <v>0.95</v>
      </c>
      <c r="CU743">
        <v>0</v>
      </c>
      <c r="CV743">
        <v>6.08</v>
      </c>
      <c r="CW743">
        <v>-6.19</v>
      </c>
      <c r="CX743">
        <v>-0.06</v>
      </c>
      <c r="CY743">
        <v>52.56</v>
      </c>
      <c r="CZ743" t="s">
        <v>4597</v>
      </c>
      <c r="DA743">
        <v>1.59</v>
      </c>
      <c r="DB743">
        <v>-31.51</v>
      </c>
      <c r="DC743">
        <v>-31.41</v>
      </c>
      <c r="DD743">
        <v>0.09</v>
      </c>
      <c r="DE743">
        <v>1188</v>
      </c>
      <c r="DF743">
        <v>2289</v>
      </c>
      <c r="DG743" t="s">
        <v>116</v>
      </c>
      <c r="DH743" t="s">
        <v>116</v>
      </c>
      <c r="DI743" t="s">
        <v>116</v>
      </c>
    </row>
    <row r="744" spans="1:113" x14ac:dyDescent="0.4">
      <c r="A744" t="str">
        <f>"002290"</f>
        <v>002290</v>
      </c>
      <c r="B744" t="s">
        <v>4598</v>
      </c>
      <c r="C744">
        <v>-1.87</v>
      </c>
      <c r="D744">
        <v>5.24</v>
      </c>
      <c r="E744">
        <v>-0.1</v>
      </c>
      <c r="F744">
        <v>5.23</v>
      </c>
      <c r="G744">
        <v>5.24</v>
      </c>
      <c r="H744">
        <v>11358</v>
      </c>
      <c r="I744">
        <v>430</v>
      </c>
      <c r="J744">
        <v>0.38</v>
      </c>
      <c r="K744">
        <v>0.53</v>
      </c>
      <c r="L744">
        <v>5.33</v>
      </c>
      <c r="M744">
        <v>5.38</v>
      </c>
      <c r="N744">
        <v>5.2</v>
      </c>
      <c r="O744">
        <v>5.34</v>
      </c>
      <c r="P744" t="s">
        <v>116</v>
      </c>
      <c r="Q744">
        <v>5981890</v>
      </c>
      <c r="R744">
        <v>0.7</v>
      </c>
      <c r="S744" t="s">
        <v>209</v>
      </c>
      <c r="T744" t="s">
        <v>323</v>
      </c>
      <c r="U744">
        <v>3.37</v>
      </c>
      <c r="V744">
        <v>5.27</v>
      </c>
      <c r="W744">
        <v>7397</v>
      </c>
      <c r="X744">
        <v>3961</v>
      </c>
      <c r="Y744">
        <v>1.87</v>
      </c>
      <c r="Z744">
        <v>25</v>
      </c>
      <c r="AA744">
        <v>54</v>
      </c>
      <c r="AB744" t="s">
        <v>116</v>
      </c>
      <c r="AC744">
        <v>26700</v>
      </c>
      <c r="AD744">
        <v>0</v>
      </c>
      <c r="AE744" t="s">
        <v>116</v>
      </c>
      <c r="AF744" t="s">
        <v>116</v>
      </c>
      <c r="AG744">
        <v>2.16</v>
      </c>
      <c r="AH744" t="s">
        <v>4599</v>
      </c>
      <c r="AI744" t="s">
        <v>4600</v>
      </c>
      <c r="AJ744">
        <v>-1.19</v>
      </c>
      <c r="AK744">
        <v>262</v>
      </c>
      <c r="AL744">
        <v>43</v>
      </c>
      <c r="AM744">
        <v>2E-3</v>
      </c>
      <c r="AN744">
        <v>-2</v>
      </c>
      <c r="AO744">
        <v>-2.96</v>
      </c>
      <c r="AP744">
        <v>11.73</v>
      </c>
      <c r="AQ744">
        <v>5.43</v>
      </c>
      <c r="AR744">
        <v>-45.59</v>
      </c>
      <c r="AS744">
        <v>1.0900000000000001</v>
      </c>
      <c r="AT744" t="s">
        <v>4601</v>
      </c>
      <c r="AU744" t="s">
        <v>116</v>
      </c>
      <c r="AV744">
        <v>20.239999999999998</v>
      </c>
      <c r="AW744">
        <v>0.36</v>
      </c>
      <c r="BA744">
        <v>-0.19</v>
      </c>
      <c r="BB744">
        <v>0.75</v>
      </c>
      <c r="BC744">
        <v>-2.62</v>
      </c>
      <c r="BD744">
        <v>-1.37</v>
      </c>
      <c r="BE744">
        <v>-1.69</v>
      </c>
      <c r="BF744">
        <v>-2.6</v>
      </c>
      <c r="BG744">
        <v>0.77</v>
      </c>
      <c r="BH744">
        <v>-0.5</v>
      </c>
      <c r="BI744">
        <v>20191025</v>
      </c>
      <c r="BJ744">
        <v>20090903</v>
      </c>
      <c r="BK744">
        <v>2.4300000000000002</v>
      </c>
      <c r="BL744" t="s">
        <v>116</v>
      </c>
      <c r="BM744" t="s">
        <v>116</v>
      </c>
      <c r="BN744">
        <v>24.17</v>
      </c>
      <c r="BO744">
        <v>8.8699999999999992</v>
      </c>
      <c r="BP744">
        <v>0</v>
      </c>
      <c r="BQ744">
        <v>63.3</v>
      </c>
      <c r="BR744">
        <v>21.25</v>
      </c>
      <c r="BS744">
        <v>2.11</v>
      </c>
      <c r="BT744">
        <v>0.74</v>
      </c>
      <c r="BU744">
        <v>15.19</v>
      </c>
      <c r="BV744">
        <v>3.26</v>
      </c>
      <c r="BW744">
        <v>10.48</v>
      </c>
      <c r="BX744">
        <v>7.76</v>
      </c>
      <c r="BY744">
        <v>12.46</v>
      </c>
      <c r="BZ744">
        <v>10.62</v>
      </c>
      <c r="CA744">
        <v>-3.41</v>
      </c>
      <c r="CB744">
        <v>0.06</v>
      </c>
      <c r="CC744">
        <v>-3.41</v>
      </c>
      <c r="CD744">
        <v>-3.55</v>
      </c>
      <c r="CE744">
        <v>-3.55</v>
      </c>
      <c r="CF744">
        <v>-3.66</v>
      </c>
      <c r="CG744">
        <v>-1.75</v>
      </c>
      <c r="CH744">
        <v>1.21</v>
      </c>
      <c r="CI744">
        <v>-0.25</v>
      </c>
      <c r="CJ744">
        <v>16742</v>
      </c>
      <c r="CK744">
        <v>6229</v>
      </c>
      <c r="CL744" t="s">
        <v>3844</v>
      </c>
      <c r="CM744">
        <v>-555.21</v>
      </c>
      <c r="CN744">
        <v>0.13</v>
      </c>
      <c r="CO744">
        <v>1.43</v>
      </c>
      <c r="CP744">
        <v>10.55</v>
      </c>
      <c r="CQ744">
        <v>1.02</v>
      </c>
      <c r="CR744">
        <v>0</v>
      </c>
      <c r="CS744" t="s">
        <v>4602</v>
      </c>
      <c r="CT744">
        <v>3.66</v>
      </c>
      <c r="CU744">
        <v>0</v>
      </c>
      <c r="CV744">
        <v>3.2</v>
      </c>
      <c r="CW744">
        <v>-0.72</v>
      </c>
      <c r="CX744">
        <v>0.5</v>
      </c>
      <c r="CY744">
        <v>36.700000000000003</v>
      </c>
      <c r="CZ744" t="s">
        <v>4603</v>
      </c>
      <c r="DA744">
        <v>14.71</v>
      </c>
      <c r="DB744">
        <v>-27.37</v>
      </c>
      <c r="DC744">
        <v>-28.48</v>
      </c>
      <c r="DD744">
        <v>0.4</v>
      </c>
      <c r="DE744">
        <v>828</v>
      </c>
      <c r="DF744">
        <v>2290</v>
      </c>
      <c r="DG744" t="s">
        <v>116</v>
      </c>
      <c r="DH744" t="s">
        <v>116</v>
      </c>
      <c r="DI744" t="s">
        <v>116</v>
      </c>
    </row>
    <row r="745" spans="1:113" x14ac:dyDescent="0.4">
      <c r="A745" t="str">
        <f>"002291"</f>
        <v>002291</v>
      </c>
      <c r="B745" t="s">
        <v>4604</v>
      </c>
      <c r="C745">
        <v>10.02</v>
      </c>
      <c r="D745">
        <v>18.559999999999999</v>
      </c>
      <c r="E745">
        <v>1.69</v>
      </c>
      <c r="F745">
        <v>18.559999999999999</v>
      </c>
      <c r="G745" t="s">
        <v>116</v>
      </c>
      <c r="H745">
        <v>460481</v>
      </c>
      <c r="I745">
        <v>534</v>
      </c>
      <c r="J745">
        <v>0</v>
      </c>
      <c r="K745">
        <v>11.54</v>
      </c>
      <c r="L745">
        <v>18.25</v>
      </c>
      <c r="M745">
        <v>18.559999999999999</v>
      </c>
      <c r="N745">
        <v>18</v>
      </c>
      <c r="O745">
        <v>16.87</v>
      </c>
      <c r="P745">
        <v>87.27</v>
      </c>
      <c r="Q745">
        <v>848340608</v>
      </c>
      <c r="R745">
        <v>0.82</v>
      </c>
      <c r="S745" t="s">
        <v>3070</v>
      </c>
      <c r="T745" t="s">
        <v>551</v>
      </c>
      <c r="U745">
        <v>3.32</v>
      </c>
      <c r="V745">
        <v>18.420000000000002</v>
      </c>
      <c r="W745">
        <v>300953</v>
      </c>
      <c r="X745">
        <v>159528</v>
      </c>
      <c r="Y745">
        <v>1.89</v>
      </c>
      <c r="Z745">
        <v>19021</v>
      </c>
      <c r="AA745">
        <v>0</v>
      </c>
      <c r="AB745" t="s">
        <v>116</v>
      </c>
      <c r="AC745">
        <v>38419900</v>
      </c>
      <c r="AD745">
        <v>1.1100000000000001</v>
      </c>
      <c r="AE745">
        <v>0.04</v>
      </c>
      <c r="AF745">
        <v>35302976</v>
      </c>
      <c r="AG745">
        <v>3.99</v>
      </c>
      <c r="AH745" t="s">
        <v>4605</v>
      </c>
      <c r="AI745" t="s">
        <v>4606</v>
      </c>
      <c r="AJ745">
        <v>10.7</v>
      </c>
      <c r="AK745">
        <v>2017</v>
      </c>
      <c r="AL745">
        <v>228</v>
      </c>
      <c r="AM745">
        <v>5.7000000000000002E-3</v>
      </c>
      <c r="AN745">
        <v>11</v>
      </c>
      <c r="AO745">
        <v>27.04</v>
      </c>
      <c r="AP745">
        <v>170.16</v>
      </c>
      <c r="AQ745">
        <v>269.72000000000003</v>
      </c>
      <c r="AR745">
        <v>313.36</v>
      </c>
      <c r="AS745">
        <v>24.29</v>
      </c>
      <c r="AT745" t="s">
        <v>2874</v>
      </c>
      <c r="AU745">
        <v>129.69</v>
      </c>
      <c r="AV745">
        <v>1368.72</v>
      </c>
      <c r="AW745">
        <v>1.95</v>
      </c>
      <c r="BA745">
        <v>8.18</v>
      </c>
      <c r="BB745">
        <v>10.02</v>
      </c>
      <c r="BC745">
        <v>6.7</v>
      </c>
      <c r="BD745">
        <v>9.2100000000000009</v>
      </c>
      <c r="BE745">
        <v>1.7</v>
      </c>
      <c r="BF745">
        <v>0</v>
      </c>
      <c r="BG745">
        <v>3.11</v>
      </c>
      <c r="BH745">
        <v>0.81</v>
      </c>
      <c r="BI745">
        <v>20191028</v>
      </c>
      <c r="BJ745">
        <v>20090903</v>
      </c>
      <c r="BK745">
        <v>6.59</v>
      </c>
      <c r="BL745" t="s">
        <v>116</v>
      </c>
      <c r="BM745" t="s">
        <v>116</v>
      </c>
      <c r="BN745">
        <v>50.71</v>
      </c>
      <c r="BO745">
        <v>29.56</v>
      </c>
      <c r="BP745">
        <v>0.6</v>
      </c>
      <c r="BQ745">
        <v>40.520000000000003</v>
      </c>
      <c r="BR745">
        <v>28.14</v>
      </c>
      <c r="BS745">
        <v>1.1399999999999999</v>
      </c>
      <c r="BT745">
        <v>0.39</v>
      </c>
      <c r="BU745">
        <v>18.190000000000001</v>
      </c>
      <c r="BV745">
        <v>13.24</v>
      </c>
      <c r="BW745">
        <v>9.9700000000000006</v>
      </c>
      <c r="BX745">
        <v>20.45</v>
      </c>
      <c r="BY745">
        <v>13.69</v>
      </c>
      <c r="BZ745">
        <v>6.9</v>
      </c>
      <c r="CA745">
        <v>1.19</v>
      </c>
      <c r="CB745">
        <v>-0.01</v>
      </c>
      <c r="CC745">
        <v>1.21</v>
      </c>
      <c r="CD745">
        <v>1.1299999999999999</v>
      </c>
      <c r="CE745">
        <v>1.05</v>
      </c>
      <c r="CF745">
        <v>1.03</v>
      </c>
      <c r="CG745">
        <v>1.82</v>
      </c>
      <c r="CH745">
        <v>1.41</v>
      </c>
      <c r="CI745">
        <v>1.33</v>
      </c>
      <c r="CJ745">
        <v>20424</v>
      </c>
      <c r="CK745">
        <v>9281</v>
      </c>
      <c r="CL745" t="s">
        <v>4607</v>
      </c>
      <c r="CM745">
        <v>432.56</v>
      </c>
      <c r="CN745">
        <v>20.22</v>
      </c>
      <c r="CO745">
        <v>4.1399999999999997</v>
      </c>
      <c r="CP745">
        <v>86.75</v>
      </c>
      <c r="CQ745">
        <v>8.93</v>
      </c>
      <c r="CR745">
        <v>0</v>
      </c>
      <c r="CS745" t="s">
        <v>702</v>
      </c>
      <c r="CT745">
        <v>4.49</v>
      </c>
      <c r="CU745">
        <v>0</v>
      </c>
      <c r="CV745">
        <v>3.1</v>
      </c>
      <c r="CW745">
        <v>0.28000000000000003</v>
      </c>
      <c r="CX745">
        <v>0.21</v>
      </c>
      <c r="CY745">
        <v>58.3</v>
      </c>
      <c r="CZ745" t="s">
        <v>506</v>
      </c>
      <c r="DA745">
        <v>49.58</v>
      </c>
      <c r="DB745">
        <v>8.69</v>
      </c>
      <c r="DC745">
        <v>7.68</v>
      </c>
      <c r="DD745">
        <v>0.31</v>
      </c>
      <c r="DE745">
        <v>5667</v>
      </c>
      <c r="DF745">
        <v>2291</v>
      </c>
      <c r="DG745" t="s">
        <v>116</v>
      </c>
      <c r="DH745" t="s">
        <v>116</v>
      </c>
      <c r="DI745" t="s">
        <v>116</v>
      </c>
    </row>
    <row r="746" spans="1:113" x14ac:dyDescent="0.4">
      <c r="A746" t="str">
        <f>"002292"</f>
        <v>002292</v>
      </c>
      <c r="B746" t="s">
        <v>4608</v>
      </c>
      <c r="C746">
        <v>4.38</v>
      </c>
      <c r="D746">
        <v>10</v>
      </c>
      <c r="E746">
        <v>0.42</v>
      </c>
      <c r="F746">
        <v>9.99</v>
      </c>
      <c r="G746">
        <v>10</v>
      </c>
      <c r="H746">
        <v>388558</v>
      </c>
      <c r="I746">
        <v>6757</v>
      </c>
      <c r="J746">
        <v>0.4</v>
      </c>
      <c r="K746">
        <v>4.78</v>
      </c>
      <c r="L746">
        <v>9.57</v>
      </c>
      <c r="M746">
        <v>10.050000000000001</v>
      </c>
      <c r="N746">
        <v>9.5299999999999994</v>
      </c>
      <c r="O746">
        <v>9.58</v>
      </c>
      <c r="P746">
        <v>85.9</v>
      </c>
      <c r="Q746">
        <v>384722336</v>
      </c>
      <c r="R746">
        <v>1.17</v>
      </c>
      <c r="S746" t="s">
        <v>589</v>
      </c>
      <c r="T746" t="s">
        <v>551</v>
      </c>
      <c r="U746">
        <v>5.43</v>
      </c>
      <c r="V746">
        <v>9.9</v>
      </c>
      <c r="W746">
        <v>190326</v>
      </c>
      <c r="X746">
        <v>198232</v>
      </c>
      <c r="Y746">
        <v>0.96</v>
      </c>
      <c r="Z746">
        <v>235</v>
      </c>
      <c r="AA746">
        <v>1368</v>
      </c>
      <c r="AB746" t="s">
        <v>116</v>
      </c>
      <c r="AC746">
        <v>603900</v>
      </c>
      <c r="AD746">
        <v>0.01</v>
      </c>
      <c r="AE746" t="s">
        <v>116</v>
      </c>
      <c r="AF746" t="s">
        <v>116</v>
      </c>
      <c r="AG746">
        <v>8.14</v>
      </c>
      <c r="AH746" t="s">
        <v>4609</v>
      </c>
      <c r="AI746" t="s">
        <v>4610</v>
      </c>
      <c r="AJ746">
        <v>5.0599999999999996</v>
      </c>
      <c r="AK746">
        <v>3826</v>
      </c>
      <c r="AL746">
        <v>102</v>
      </c>
      <c r="AM746">
        <v>1.1999999999999999E-3</v>
      </c>
      <c r="AN746">
        <v>3</v>
      </c>
      <c r="AO746">
        <v>7.3</v>
      </c>
      <c r="AP746">
        <v>20.63</v>
      </c>
      <c r="AQ746">
        <v>60</v>
      </c>
      <c r="AR746">
        <v>76.680000000000007</v>
      </c>
      <c r="AS746">
        <v>6.52</v>
      </c>
      <c r="AT746" t="s">
        <v>4611</v>
      </c>
      <c r="AU746" t="s">
        <v>116</v>
      </c>
      <c r="AV746" t="s">
        <v>116</v>
      </c>
      <c r="AW746">
        <v>1.45</v>
      </c>
      <c r="BA746">
        <v>-0.1</v>
      </c>
      <c r="BB746">
        <v>4.91</v>
      </c>
      <c r="BC746">
        <v>-0.52</v>
      </c>
      <c r="BD746">
        <v>3.35</v>
      </c>
      <c r="BE746">
        <v>4.49</v>
      </c>
      <c r="BF746">
        <v>-0.5</v>
      </c>
      <c r="BG746">
        <v>4.93</v>
      </c>
      <c r="BH746">
        <v>1.03</v>
      </c>
      <c r="BI746">
        <v>20191030</v>
      </c>
      <c r="BJ746">
        <v>20090910</v>
      </c>
      <c r="BK746">
        <v>13.57</v>
      </c>
      <c r="BL746" t="s">
        <v>116</v>
      </c>
      <c r="BM746" t="s">
        <v>116</v>
      </c>
      <c r="BN746">
        <v>61.4</v>
      </c>
      <c r="BO746">
        <v>40.340000000000003</v>
      </c>
      <c r="BP746">
        <v>0.73</v>
      </c>
      <c r="BQ746">
        <v>33.119999999999997</v>
      </c>
      <c r="BR746">
        <v>21.18</v>
      </c>
      <c r="BS746">
        <v>2.91</v>
      </c>
      <c r="BT746">
        <v>2.79</v>
      </c>
      <c r="BU746">
        <v>19.489999999999998</v>
      </c>
      <c r="BV746">
        <v>8.1</v>
      </c>
      <c r="BW746">
        <v>5.42</v>
      </c>
      <c r="BX746">
        <v>20.98</v>
      </c>
      <c r="BY746">
        <v>20.52</v>
      </c>
      <c r="BZ746">
        <v>10.81</v>
      </c>
      <c r="CA746">
        <v>1.1299999999999999</v>
      </c>
      <c r="CB746">
        <v>-0.05</v>
      </c>
      <c r="CC746">
        <v>1.32</v>
      </c>
      <c r="CD746">
        <v>1.1299999999999999</v>
      </c>
      <c r="CE746">
        <v>1.19</v>
      </c>
      <c r="CF746">
        <v>0.92</v>
      </c>
      <c r="CG746">
        <v>3.05</v>
      </c>
      <c r="CH746">
        <v>1.98</v>
      </c>
      <c r="CI746">
        <v>-2.67</v>
      </c>
      <c r="CJ746">
        <v>77230</v>
      </c>
      <c r="CK746">
        <v>7721</v>
      </c>
      <c r="CL746" t="s">
        <v>4087</v>
      </c>
      <c r="CM746">
        <v>63.23</v>
      </c>
      <c r="CN746">
        <v>-3.63</v>
      </c>
      <c r="CO746">
        <v>3.36</v>
      </c>
      <c r="CP746">
        <v>68.61</v>
      </c>
      <c r="CQ746">
        <v>6.61</v>
      </c>
      <c r="CR746">
        <v>0</v>
      </c>
      <c r="CS746" t="s">
        <v>2201</v>
      </c>
      <c r="CT746">
        <v>2.97</v>
      </c>
      <c r="CU746">
        <v>0</v>
      </c>
      <c r="CV746">
        <v>1.55</v>
      </c>
      <c r="CW746">
        <v>0.22</v>
      </c>
      <c r="CX746">
        <v>0.15</v>
      </c>
      <c r="CY746">
        <v>65.69</v>
      </c>
      <c r="CZ746" t="s">
        <v>4565</v>
      </c>
      <c r="DA746">
        <v>47.33</v>
      </c>
      <c r="DB746">
        <v>5.49</v>
      </c>
      <c r="DC746">
        <v>5.78</v>
      </c>
      <c r="DD746">
        <v>1.35</v>
      </c>
      <c r="DE746">
        <v>4122</v>
      </c>
      <c r="DF746">
        <v>2292</v>
      </c>
      <c r="DG746" t="s">
        <v>116</v>
      </c>
      <c r="DH746" t="s">
        <v>116</v>
      </c>
      <c r="DI746" t="s">
        <v>116</v>
      </c>
    </row>
    <row r="747" spans="1:113" x14ac:dyDescent="0.4">
      <c r="A747" t="str">
        <f>"002293"</f>
        <v>002293</v>
      </c>
      <c r="B747" t="s">
        <v>4612</v>
      </c>
      <c r="C747">
        <v>-0.11</v>
      </c>
      <c r="D747">
        <v>9.0399999999999991</v>
      </c>
      <c r="E747">
        <v>-0.01</v>
      </c>
      <c r="F747">
        <v>9.0299999999999994</v>
      </c>
      <c r="G747">
        <v>9.0399999999999991</v>
      </c>
      <c r="H747">
        <v>14450</v>
      </c>
      <c r="I747">
        <v>60</v>
      </c>
      <c r="J747">
        <v>0</v>
      </c>
      <c r="K747">
        <v>0.19</v>
      </c>
      <c r="L747">
        <v>9.07</v>
      </c>
      <c r="M747">
        <v>9.1199999999999992</v>
      </c>
      <c r="N747">
        <v>9</v>
      </c>
      <c r="O747">
        <v>9.0500000000000007</v>
      </c>
      <c r="P747">
        <v>15.73</v>
      </c>
      <c r="Q747">
        <v>13089626</v>
      </c>
      <c r="R747">
        <v>0.79</v>
      </c>
      <c r="S747" t="s">
        <v>1420</v>
      </c>
      <c r="T747" t="s">
        <v>323</v>
      </c>
      <c r="U747">
        <v>1.33</v>
      </c>
      <c r="V747">
        <v>9.06</v>
      </c>
      <c r="W747">
        <v>7737</v>
      </c>
      <c r="X747">
        <v>6713</v>
      </c>
      <c r="Y747">
        <v>1.1499999999999999</v>
      </c>
      <c r="Z747">
        <v>287</v>
      </c>
      <c r="AA747">
        <v>51</v>
      </c>
      <c r="AB747" t="s">
        <v>116</v>
      </c>
      <c r="AC747">
        <v>44900</v>
      </c>
      <c r="AD747">
        <v>0</v>
      </c>
      <c r="AE747" t="s">
        <v>116</v>
      </c>
      <c r="AF747" t="s">
        <v>116</v>
      </c>
      <c r="AG747">
        <v>7.78</v>
      </c>
      <c r="AH747" t="s">
        <v>4613</v>
      </c>
      <c r="AI747" t="s">
        <v>4614</v>
      </c>
      <c r="AJ747">
        <v>0.56999999999999995</v>
      </c>
      <c r="AK747">
        <v>802</v>
      </c>
      <c r="AL747">
        <v>18</v>
      </c>
      <c r="AM747">
        <v>2.0000000000000001E-4</v>
      </c>
      <c r="AN747">
        <v>-2</v>
      </c>
      <c r="AO747">
        <v>1.24</v>
      </c>
      <c r="AP747">
        <v>4.87</v>
      </c>
      <c r="AQ747">
        <v>0.22</v>
      </c>
      <c r="AR747">
        <v>20.53</v>
      </c>
      <c r="AS747">
        <v>0.47</v>
      </c>
      <c r="AT747" t="s">
        <v>4615</v>
      </c>
      <c r="AU747">
        <v>14.57</v>
      </c>
      <c r="AV747">
        <v>14.06</v>
      </c>
      <c r="AW747">
        <v>0.32</v>
      </c>
      <c r="BA747">
        <v>0.22</v>
      </c>
      <c r="BB747">
        <v>0.77</v>
      </c>
      <c r="BC747">
        <v>-0.55000000000000004</v>
      </c>
      <c r="BD747">
        <v>0.1</v>
      </c>
      <c r="BE747">
        <v>-0.33</v>
      </c>
      <c r="BF747">
        <v>-0.88</v>
      </c>
      <c r="BG747">
        <v>0.44</v>
      </c>
      <c r="BH747">
        <v>-0.21</v>
      </c>
      <c r="BI747">
        <v>20191217</v>
      </c>
      <c r="BJ747">
        <v>20090910</v>
      </c>
      <c r="BK747">
        <v>8.31</v>
      </c>
      <c r="BL747" t="s">
        <v>116</v>
      </c>
      <c r="BM747" t="s">
        <v>116</v>
      </c>
      <c r="BN747">
        <v>51.91</v>
      </c>
      <c r="BO747">
        <v>38.71</v>
      </c>
      <c r="BP747">
        <v>0.92</v>
      </c>
      <c r="BQ747">
        <v>23.64</v>
      </c>
      <c r="BR747">
        <v>38.450000000000003</v>
      </c>
      <c r="BS747">
        <v>3.57</v>
      </c>
      <c r="BT747">
        <v>2.99</v>
      </c>
      <c r="BU747">
        <v>11.43</v>
      </c>
      <c r="BV747">
        <v>13.02</v>
      </c>
      <c r="BW747">
        <v>5.63</v>
      </c>
      <c r="BX747">
        <v>7.93</v>
      </c>
      <c r="BY747">
        <v>33.950000000000003</v>
      </c>
      <c r="BZ747">
        <v>19.2</v>
      </c>
      <c r="CA747">
        <v>4.0199999999999996</v>
      </c>
      <c r="CB747">
        <v>0.28999999999999998</v>
      </c>
      <c r="CC747">
        <v>4.58</v>
      </c>
      <c r="CD747">
        <v>3.68</v>
      </c>
      <c r="CE747">
        <v>3.58</v>
      </c>
      <c r="CF747">
        <v>2.97</v>
      </c>
      <c r="CG747">
        <v>19.32</v>
      </c>
      <c r="CH747">
        <v>4.12</v>
      </c>
      <c r="CI747">
        <v>7.18</v>
      </c>
      <c r="CJ747">
        <v>29192</v>
      </c>
      <c r="CK747">
        <v>10571</v>
      </c>
      <c r="CL747" t="s">
        <v>4616</v>
      </c>
      <c r="CM747">
        <v>-5</v>
      </c>
      <c r="CN747">
        <v>-1.64</v>
      </c>
      <c r="CO747">
        <v>1.94</v>
      </c>
      <c r="CP747">
        <v>18.22</v>
      </c>
      <c r="CQ747">
        <v>2.21</v>
      </c>
      <c r="CR747">
        <v>4.0199999999999996</v>
      </c>
      <c r="CS747" t="s">
        <v>4617</v>
      </c>
      <c r="CT747">
        <v>4.66</v>
      </c>
      <c r="CU747">
        <v>0</v>
      </c>
      <c r="CV747">
        <v>0.95</v>
      </c>
      <c r="CW747">
        <v>2.3199999999999998</v>
      </c>
      <c r="CX747">
        <v>0.5</v>
      </c>
      <c r="CY747">
        <v>74.58</v>
      </c>
      <c r="CZ747" t="s">
        <v>4618</v>
      </c>
      <c r="DA747">
        <v>43.44</v>
      </c>
      <c r="DB747">
        <v>11.83</v>
      </c>
      <c r="DC747">
        <v>10.55</v>
      </c>
      <c r="DD747">
        <v>0.75</v>
      </c>
      <c r="DE747">
        <v>3584</v>
      </c>
      <c r="DF747">
        <v>2293</v>
      </c>
      <c r="DG747" t="s">
        <v>116</v>
      </c>
      <c r="DH747" t="s">
        <v>116</v>
      </c>
      <c r="DI747" t="s">
        <v>116</v>
      </c>
    </row>
    <row r="748" spans="1:113" x14ac:dyDescent="0.4">
      <c r="A748" t="str">
        <f>"002294"</f>
        <v>002294</v>
      </c>
      <c r="B748" t="s">
        <v>4619</v>
      </c>
      <c r="C748">
        <v>3.46</v>
      </c>
      <c r="D748">
        <v>19.760000000000002</v>
      </c>
      <c r="E748">
        <v>0.66</v>
      </c>
      <c r="F748">
        <v>19.75</v>
      </c>
      <c r="G748">
        <v>19.760000000000002</v>
      </c>
      <c r="H748">
        <v>153373</v>
      </c>
      <c r="I748">
        <v>595</v>
      </c>
      <c r="J748">
        <v>0.1</v>
      </c>
      <c r="K748">
        <v>1.47</v>
      </c>
      <c r="L748">
        <v>19.22</v>
      </c>
      <c r="M748">
        <v>20.329999999999998</v>
      </c>
      <c r="N748">
        <v>19.22</v>
      </c>
      <c r="O748">
        <v>19.100000000000001</v>
      </c>
      <c r="P748">
        <v>21.62</v>
      </c>
      <c r="Q748">
        <v>304489664</v>
      </c>
      <c r="R748">
        <v>3.63</v>
      </c>
      <c r="S748" t="s">
        <v>574</v>
      </c>
      <c r="T748" t="s">
        <v>115</v>
      </c>
      <c r="U748">
        <v>5.81</v>
      </c>
      <c r="V748">
        <v>19.850000000000001</v>
      </c>
      <c r="W748">
        <v>71040</v>
      </c>
      <c r="X748">
        <v>82333</v>
      </c>
      <c r="Y748">
        <v>0.86</v>
      </c>
      <c r="Z748">
        <v>956</v>
      </c>
      <c r="AA748">
        <v>121</v>
      </c>
      <c r="AB748" t="s">
        <v>116</v>
      </c>
      <c r="AC748">
        <v>1212800</v>
      </c>
      <c r="AD748">
        <v>0.02</v>
      </c>
      <c r="AE748" t="s">
        <v>116</v>
      </c>
      <c r="AF748" t="s">
        <v>116</v>
      </c>
      <c r="AG748">
        <v>10.46</v>
      </c>
      <c r="AH748" t="s">
        <v>4620</v>
      </c>
      <c r="AI748" t="s">
        <v>4621</v>
      </c>
      <c r="AJ748">
        <v>4.13</v>
      </c>
      <c r="AK748">
        <v>3472</v>
      </c>
      <c r="AL748">
        <v>44</v>
      </c>
      <c r="AM748">
        <v>4.0000000000000002E-4</v>
      </c>
      <c r="AN748">
        <v>2</v>
      </c>
      <c r="AO748">
        <v>5.9</v>
      </c>
      <c r="AP748">
        <v>6.47</v>
      </c>
      <c r="AQ748">
        <v>1.96</v>
      </c>
      <c r="AR748">
        <v>-1.64</v>
      </c>
      <c r="AS748">
        <v>4.57</v>
      </c>
      <c r="AT748" t="s">
        <v>4622</v>
      </c>
      <c r="AU748">
        <v>20.16</v>
      </c>
      <c r="AV748">
        <v>14.17</v>
      </c>
      <c r="AW748">
        <v>0.68</v>
      </c>
      <c r="BA748">
        <v>0.63</v>
      </c>
      <c r="BB748">
        <v>6.44</v>
      </c>
      <c r="BC748">
        <v>0.63</v>
      </c>
      <c r="BD748">
        <v>3.94</v>
      </c>
      <c r="BE748">
        <v>2.81</v>
      </c>
      <c r="BF748">
        <v>-2.8</v>
      </c>
      <c r="BG748">
        <v>2.81</v>
      </c>
      <c r="BH748">
        <v>-0.49</v>
      </c>
      <c r="BI748">
        <v>20191127</v>
      </c>
      <c r="BJ748">
        <v>20090910</v>
      </c>
      <c r="BK748">
        <v>10.46</v>
      </c>
      <c r="BL748" t="s">
        <v>116</v>
      </c>
      <c r="BM748" t="s">
        <v>116</v>
      </c>
      <c r="BN748">
        <v>78.430000000000007</v>
      </c>
      <c r="BO748">
        <v>65.44</v>
      </c>
      <c r="BP748">
        <v>1.84</v>
      </c>
      <c r="BQ748">
        <v>14.21</v>
      </c>
      <c r="BR748">
        <v>33.159999999999997</v>
      </c>
      <c r="BS748">
        <v>11.93</v>
      </c>
      <c r="BT748">
        <v>10.18</v>
      </c>
      <c r="BU748">
        <v>7.54</v>
      </c>
      <c r="BV748">
        <v>5.29</v>
      </c>
      <c r="BW748">
        <v>8.68</v>
      </c>
      <c r="BX748">
        <v>1.44</v>
      </c>
      <c r="BY748">
        <v>35.64</v>
      </c>
      <c r="BZ748">
        <v>7.47</v>
      </c>
      <c r="CA748">
        <v>8.4700000000000006</v>
      </c>
      <c r="CB748">
        <v>-0.03</v>
      </c>
      <c r="CC748">
        <v>8.5399999999999991</v>
      </c>
      <c r="CD748">
        <v>6.91</v>
      </c>
      <c r="CE748">
        <v>7.17</v>
      </c>
      <c r="CF748">
        <v>6.62</v>
      </c>
      <c r="CG748">
        <v>48.27</v>
      </c>
      <c r="CH748">
        <v>12.62</v>
      </c>
      <c r="CI748">
        <v>3.94</v>
      </c>
      <c r="CJ748">
        <v>68526</v>
      </c>
      <c r="CK748">
        <v>4901</v>
      </c>
      <c r="CL748" t="s">
        <v>4623</v>
      </c>
      <c r="CM748">
        <v>-37.659999999999997</v>
      </c>
      <c r="CN748">
        <v>0.82</v>
      </c>
      <c r="CO748">
        <v>3.16</v>
      </c>
      <c r="CP748">
        <v>16.37</v>
      </c>
      <c r="CQ748">
        <v>5.8</v>
      </c>
      <c r="CR748">
        <v>4.05</v>
      </c>
      <c r="CS748" t="s">
        <v>4624</v>
      </c>
      <c r="CT748">
        <v>6.26</v>
      </c>
      <c r="CU748">
        <v>0</v>
      </c>
      <c r="CV748">
        <v>0.14000000000000001</v>
      </c>
      <c r="CW748">
        <v>4.6100000000000003</v>
      </c>
      <c r="CX748">
        <v>1.21</v>
      </c>
      <c r="CY748">
        <v>83.44</v>
      </c>
      <c r="CZ748" t="s">
        <v>4625</v>
      </c>
      <c r="DA748">
        <v>79.040000000000006</v>
      </c>
      <c r="DB748">
        <v>23.77</v>
      </c>
      <c r="DC748">
        <v>20.12</v>
      </c>
      <c r="DD748">
        <v>5.95</v>
      </c>
      <c r="DE748">
        <v>4622</v>
      </c>
      <c r="DF748">
        <v>2294</v>
      </c>
      <c r="DG748" t="s">
        <v>116</v>
      </c>
      <c r="DH748" t="s">
        <v>116</v>
      </c>
      <c r="DI748" t="s">
        <v>116</v>
      </c>
    </row>
    <row r="749" spans="1:113" x14ac:dyDescent="0.4">
      <c r="A749" t="str">
        <f>"002295"</f>
        <v>002295</v>
      </c>
      <c r="B749" t="s">
        <v>4626</v>
      </c>
      <c r="C749">
        <v>1.33</v>
      </c>
      <c r="D749">
        <v>7.62</v>
      </c>
      <c r="E749">
        <v>0.1</v>
      </c>
      <c r="F749">
        <v>7.61</v>
      </c>
      <c r="G749">
        <v>7.62</v>
      </c>
      <c r="H749">
        <v>26676</v>
      </c>
      <c r="I749">
        <v>416</v>
      </c>
      <c r="J749">
        <v>0.26</v>
      </c>
      <c r="K749">
        <v>1.07</v>
      </c>
      <c r="L749">
        <v>7.52</v>
      </c>
      <c r="M749">
        <v>7.72</v>
      </c>
      <c r="N749">
        <v>7.48</v>
      </c>
      <c r="O749">
        <v>7.52</v>
      </c>
      <c r="P749">
        <v>28.84</v>
      </c>
      <c r="Q749">
        <v>20232228</v>
      </c>
      <c r="R749">
        <v>1.76</v>
      </c>
      <c r="S749" t="s">
        <v>1517</v>
      </c>
      <c r="T749" t="s">
        <v>551</v>
      </c>
      <c r="U749">
        <v>3.19</v>
      </c>
      <c r="V749">
        <v>7.58</v>
      </c>
      <c r="W749">
        <v>12220</v>
      </c>
      <c r="X749">
        <v>14456</v>
      </c>
      <c r="Y749">
        <v>0.85</v>
      </c>
      <c r="Z749">
        <v>256</v>
      </c>
      <c r="AA749">
        <v>7</v>
      </c>
      <c r="AB749" t="s">
        <v>116</v>
      </c>
      <c r="AC749">
        <v>3800</v>
      </c>
      <c r="AD749">
        <v>0</v>
      </c>
      <c r="AE749" t="s">
        <v>116</v>
      </c>
      <c r="AF749" t="s">
        <v>116</v>
      </c>
      <c r="AG749">
        <v>2.5</v>
      </c>
      <c r="AH749" t="s">
        <v>1240</v>
      </c>
      <c r="AI749" t="s">
        <v>4627</v>
      </c>
      <c r="AJ749">
        <v>2.0099999999999998</v>
      </c>
      <c r="AK749">
        <v>691</v>
      </c>
      <c r="AL749">
        <v>39</v>
      </c>
      <c r="AM749">
        <v>1.5E-3</v>
      </c>
      <c r="AN749">
        <v>2</v>
      </c>
      <c r="AO749">
        <v>1.06</v>
      </c>
      <c r="AP749">
        <v>5.0999999999999996</v>
      </c>
      <c r="AQ749">
        <v>-1.42</v>
      </c>
      <c r="AR749">
        <v>-0.65</v>
      </c>
      <c r="AS749">
        <v>1.93</v>
      </c>
      <c r="AT749" t="s">
        <v>4628</v>
      </c>
      <c r="AU749">
        <v>35.44</v>
      </c>
      <c r="AV749">
        <v>39.96</v>
      </c>
      <c r="AW749">
        <v>0.5</v>
      </c>
      <c r="BA749">
        <v>0</v>
      </c>
      <c r="BB749">
        <v>2.66</v>
      </c>
      <c r="BC749">
        <v>-0.53</v>
      </c>
      <c r="BD749">
        <v>0.86</v>
      </c>
      <c r="BE749">
        <v>1.33</v>
      </c>
      <c r="BF749">
        <v>-1.3</v>
      </c>
      <c r="BG749">
        <v>1.87</v>
      </c>
      <c r="BH749">
        <v>0.47</v>
      </c>
      <c r="BI749">
        <v>20191024</v>
      </c>
      <c r="BJ749">
        <v>20090929</v>
      </c>
      <c r="BK749">
        <v>2.5099999999999998</v>
      </c>
      <c r="BL749" t="s">
        <v>116</v>
      </c>
      <c r="BM749" t="s">
        <v>116</v>
      </c>
      <c r="BN749">
        <v>19.95</v>
      </c>
      <c r="BO749">
        <v>11.86</v>
      </c>
      <c r="BP749">
        <v>0</v>
      </c>
      <c r="BQ749">
        <v>40.57</v>
      </c>
      <c r="BR749">
        <v>16.260000000000002</v>
      </c>
      <c r="BS749">
        <v>1.37</v>
      </c>
      <c r="BT749">
        <v>0.41</v>
      </c>
      <c r="BU749">
        <v>7.91</v>
      </c>
      <c r="BV749">
        <v>2.29</v>
      </c>
      <c r="BW749">
        <v>7.83</v>
      </c>
      <c r="BX749">
        <v>6.17</v>
      </c>
      <c r="BY749">
        <v>39.49</v>
      </c>
      <c r="BZ749">
        <v>38.14</v>
      </c>
      <c r="CA749">
        <v>0.63</v>
      </c>
      <c r="CB749">
        <v>-0.01</v>
      </c>
      <c r="CC749">
        <v>0.63</v>
      </c>
      <c r="CD749">
        <v>0.5</v>
      </c>
      <c r="CE749">
        <v>0.5</v>
      </c>
      <c r="CF749">
        <v>0.38</v>
      </c>
      <c r="CG749">
        <v>2.85</v>
      </c>
      <c r="CH749">
        <v>2.27</v>
      </c>
      <c r="CI749">
        <v>0.74</v>
      </c>
      <c r="CJ749">
        <v>14869</v>
      </c>
      <c r="CK749">
        <v>9294</v>
      </c>
      <c r="CL749" t="s">
        <v>2702</v>
      </c>
      <c r="CM749">
        <v>13.97</v>
      </c>
      <c r="CN749">
        <v>-10.46</v>
      </c>
      <c r="CO749">
        <v>1.61</v>
      </c>
      <c r="CP749">
        <v>8.4</v>
      </c>
      <c r="CQ749">
        <v>0.48</v>
      </c>
      <c r="CR749">
        <v>0.79</v>
      </c>
      <c r="CS749" t="s">
        <v>729</v>
      </c>
      <c r="CT749">
        <v>4.7300000000000004</v>
      </c>
      <c r="CU749">
        <v>0</v>
      </c>
      <c r="CV749">
        <v>2.46</v>
      </c>
      <c r="CW749">
        <v>1.1399999999999999</v>
      </c>
      <c r="CX749">
        <v>0.91</v>
      </c>
      <c r="CY749">
        <v>59.43</v>
      </c>
      <c r="CZ749" t="s">
        <v>4629</v>
      </c>
      <c r="DA749">
        <v>3.43</v>
      </c>
      <c r="DB749">
        <v>1.6</v>
      </c>
      <c r="DC749">
        <v>1.26</v>
      </c>
      <c r="DD749">
        <v>0.09</v>
      </c>
      <c r="DE749">
        <v>660</v>
      </c>
      <c r="DF749">
        <v>2295</v>
      </c>
      <c r="DG749" t="s">
        <v>116</v>
      </c>
      <c r="DH749" t="s">
        <v>116</v>
      </c>
      <c r="DI749" t="s">
        <v>116</v>
      </c>
    </row>
    <row r="750" spans="1:113" x14ac:dyDescent="0.4">
      <c r="A750" t="str">
        <f>"002296"</f>
        <v>002296</v>
      </c>
      <c r="B750" t="s">
        <v>4630</v>
      </c>
      <c r="C750">
        <v>-4.21</v>
      </c>
      <c r="D750">
        <v>7.96</v>
      </c>
      <c r="E750">
        <v>-0.35</v>
      </c>
      <c r="F750">
        <v>7.95</v>
      </c>
      <c r="G750">
        <v>7.96</v>
      </c>
      <c r="H750">
        <v>197331</v>
      </c>
      <c r="I750">
        <v>6114</v>
      </c>
      <c r="J750">
        <v>-1.1100000000000001</v>
      </c>
      <c r="K750">
        <v>6</v>
      </c>
      <c r="L750">
        <v>8.3000000000000007</v>
      </c>
      <c r="M750">
        <v>8.3800000000000008</v>
      </c>
      <c r="N750">
        <v>7.96</v>
      </c>
      <c r="O750">
        <v>8.31</v>
      </c>
      <c r="P750">
        <v>38.729999999999997</v>
      </c>
      <c r="Q750">
        <v>161506960</v>
      </c>
      <c r="R750">
        <v>1.1299999999999999</v>
      </c>
      <c r="S750" t="s">
        <v>465</v>
      </c>
      <c r="T750" t="s">
        <v>652</v>
      </c>
      <c r="U750">
        <v>5.05</v>
      </c>
      <c r="V750">
        <v>8.18</v>
      </c>
      <c r="W750">
        <v>116604</v>
      </c>
      <c r="X750">
        <v>80727</v>
      </c>
      <c r="Y750">
        <v>1.44</v>
      </c>
      <c r="Z750">
        <v>104</v>
      </c>
      <c r="AA750">
        <v>2289</v>
      </c>
      <c r="AB750" t="s">
        <v>116</v>
      </c>
      <c r="AC750">
        <v>642400</v>
      </c>
      <c r="AD750">
        <v>0.02</v>
      </c>
      <c r="AE750" t="s">
        <v>116</v>
      </c>
      <c r="AF750" t="s">
        <v>116</v>
      </c>
      <c r="AG750">
        <v>3.29</v>
      </c>
      <c r="AH750" t="s">
        <v>4631</v>
      </c>
      <c r="AI750" t="s">
        <v>4632</v>
      </c>
      <c r="AJ750">
        <v>-3.53</v>
      </c>
      <c r="AK750">
        <v>3093</v>
      </c>
      <c r="AL750">
        <v>64</v>
      </c>
      <c r="AM750">
        <v>1.9E-3</v>
      </c>
      <c r="AN750">
        <v>-1</v>
      </c>
      <c r="AO750">
        <v>-3.63</v>
      </c>
      <c r="AP750">
        <v>11.02</v>
      </c>
      <c r="AQ750">
        <v>18.98</v>
      </c>
      <c r="AR750">
        <v>56.08</v>
      </c>
      <c r="AS750">
        <v>6.3</v>
      </c>
      <c r="AT750" t="s">
        <v>4633</v>
      </c>
      <c r="AU750">
        <v>65.040000000000006</v>
      </c>
      <c r="AV750">
        <v>108.11</v>
      </c>
      <c r="AW750">
        <v>1.41</v>
      </c>
      <c r="BA750">
        <v>-0.12</v>
      </c>
      <c r="BB750">
        <v>0.84</v>
      </c>
      <c r="BC750">
        <v>-4.21</v>
      </c>
      <c r="BD750">
        <v>-1.51</v>
      </c>
      <c r="BE750">
        <v>-4.0999999999999996</v>
      </c>
      <c r="BF750">
        <v>-5.01</v>
      </c>
      <c r="BG750">
        <v>0</v>
      </c>
      <c r="BH750">
        <v>-2.7</v>
      </c>
      <c r="BI750">
        <v>20191026</v>
      </c>
      <c r="BJ750">
        <v>20090929</v>
      </c>
      <c r="BK750">
        <v>3.77</v>
      </c>
      <c r="BL750" t="s">
        <v>116</v>
      </c>
      <c r="BM750" t="s">
        <v>116</v>
      </c>
      <c r="BN750">
        <v>18.309999999999999</v>
      </c>
      <c r="BO750">
        <v>14.88</v>
      </c>
      <c r="BP750">
        <v>0.28999999999999998</v>
      </c>
      <c r="BQ750">
        <v>17.13</v>
      </c>
      <c r="BR750">
        <v>12.24</v>
      </c>
      <c r="BS750">
        <v>1.78</v>
      </c>
      <c r="BT750">
        <v>0.5</v>
      </c>
      <c r="BU750">
        <v>2.9</v>
      </c>
      <c r="BV750">
        <v>2.76</v>
      </c>
      <c r="BW750">
        <v>4.25</v>
      </c>
      <c r="BX750">
        <v>6.68</v>
      </c>
      <c r="BY750">
        <v>2.96</v>
      </c>
      <c r="BZ750">
        <v>1.56</v>
      </c>
      <c r="CA750">
        <v>0.61</v>
      </c>
      <c r="CB750">
        <v>-0.01</v>
      </c>
      <c r="CC750">
        <v>0.61</v>
      </c>
      <c r="CD750">
        <v>0.56000000000000005</v>
      </c>
      <c r="CE750">
        <v>0.57999999999999996</v>
      </c>
      <c r="CF750">
        <v>0.5</v>
      </c>
      <c r="CG750">
        <v>3.75</v>
      </c>
      <c r="CH750">
        <v>1.1399999999999999</v>
      </c>
      <c r="CI750">
        <v>-2.4500000000000002</v>
      </c>
      <c r="CJ750">
        <v>45111</v>
      </c>
      <c r="CK750">
        <v>6945</v>
      </c>
      <c r="CL750" t="s">
        <v>4634</v>
      </c>
      <c r="CM750">
        <v>46.26</v>
      </c>
      <c r="CN750">
        <v>11.07</v>
      </c>
      <c r="CO750">
        <v>2.0099999999999998</v>
      </c>
      <c r="CP750">
        <v>26.2</v>
      </c>
      <c r="CQ750">
        <v>10.119999999999999</v>
      </c>
      <c r="CR750">
        <v>0</v>
      </c>
      <c r="CS750" t="s">
        <v>4635</v>
      </c>
      <c r="CT750">
        <v>3.95</v>
      </c>
      <c r="CU750">
        <v>0</v>
      </c>
      <c r="CV750">
        <v>1.77</v>
      </c>
      <c r="CW750">
        <v>1</v>
      </c>
      <c r="CX750">
        <v>0.3</v>
      </c>
      <c r="CY750">
        <v>81.28</v>
      </c>
      <c r="CZ750" t="s">
        <v>3754</v>
      </c>
      <c r="DA750">
        <v>47.4</v>
      </c>
      <c r="DB750">
        <v>20.69</v>
      </c>
      <c r="DC750">
        <v>19.600000000000001</v>
      </c>
      <c r="DD750">
        <v>0.48</v>
      </c>
      <c r="DE750">
        <v>766</v>
      </c>
      <c r="DF750">
        <v>2296</v>
      </c>
      <c r="DG750" t="s">
        <v>116</v>
      </c>
      <c r="DH750" t="s">
        <v>116</v>
      </c>
      <c r="DI750" t="s">
        <v>116</v>
      </c>
    </row>
    <row r="751" spans="1:113" x14ac:dyDescent="0.4">
      <c r="A751" t="str">
        <f>"002297"</f>
        <v>002297</v>
      </c>
      <c r="B751" t="s">
        <v>4636</v>
      </c>
      <c r="C751">
        <v>-0.93</v>
      </c>
      <c r="D751">
        <v>6.38</v>
      </c>
      <c r="E751">
        <v>-0.06</v>
      </c>
      <c r="F751">
        <v>6.38</v>
      </c>
      <c r="G751">
        <v>6.39</v>
      </c>
      <c r="H751">
        <v>53321</v>
      </c>
      <c r="I751">
        <v>297</v>
      </c>
      <c r="J751">
        <v>-0.15</v>
      </c>
      <c r="K751">
        <v>1.1299999999999999</v>
      </c>
      <c r="L751">
        <v>6.45</v>
      </c>
      <c r="M751">
        <v>6.55</v>
      </c>
      <c r="N751">
        <v>6.37</v>
      </c>
      <c r="O751">
        <v>6.44</v>
      </c>
      <c r="P751" t="s">
        <v>116</v>
      </c>
      <c r="Q751">
        <v>34462516</v>
      </c>
      <c r="R751">
        <v>1.3</v>
      </c>
      <c r="S751" t="s">
        <v>933</v>
      </c>
      <c r="T751" t="s">
        <v>599</v>
      </c>
      <c r="U751">
        <v>2.8</v>
      </c>
      <c r="V751">
        <v>6.46</v>
      </c>
      <c r="W751">
        <v>27094</v>
      </c>
      <c r="X751">
        <v>26227</v>
      </c>
      <c r="Y751">
        <v>1.03</v>
      </c>
      <c r="Z751">
        <v>225</v>
      </c>
      <c r="AA751">
        <v>535</v>
      </c>
      <c r="AB751" t="s">
        <v>116</v>
      </c>
      <c r="AC751">
        <v>33500</v>
      </c>
      <c r="AD751">
        <v>0</v>
      </c>
      <c r="AE751" t="s">
        <v>116</v>
      </c>
      <c r="AF751" t="s">
        <v>116</v>
      </c>
      <c r="AG751">
        <v>4.7</v>
      </c>
      <c r="AH751" t="s">
        <v>4637</v>
      </c>
      <c r="AI751" t="s">
        <v>4638</v>
      </c>
      <c r="AJ751">
        <v>-0.25</v>
      </c>
      <c r="AK751">
        <v>1270</v>
      </c>
      <c r="AL751">
        <v>42</v>
      </c>
      <c r="AM751">
        <v>8.9999999999999998E-4</v>
      </c>
      <c r="AN751">
        <v>-1</v>
      </c>
      <c r="AO751">
        <v>-0.78</v>
      </c>
      <c r="AP751">
        <v>3.74</v>
      </c>
      <c r="AQ751">
        <v>-9.6300000000000008</v>
      </c>
      <c r="AR751">
        <v>7.05</v>
      </c>
      <c r="AS751">
        <v>1.78</v>
      </c>
      <c r="AT751" t="s">
        <v>4639</v>
      </c>
      <c r="AU751">
        <v>426.72</v>
      </c>
      <c r="AV751">
        <v>111.09</v>
      </c>
      <c r="AW751">
        <v>1.0900000000000001</v>
      </c>
      <c r="BA751">
        <v>0.16</v>
      </c>
      <c r="BB751">
        <v>1.71</v>
      </c>
      <c r="BC751">
        <v>-1.0900000000000001</v>
      </c>
      <c r="BD751">
        <v>0.36</v>
      </c>
      <c r="BE751">
        <v>-1.0900000000000001</v>
      </c>
      <c r="BF751">
        <v>-2.6</v>
      </c>
      <c r="BG751">
        <v>0.16</v>
      </c>
      <c r="BH751">
        <v>-1.29</v>
      </c>
      <c r="BI751">
        <v>20191024</v>
      </c>
      <c r="BJ751">
        <v>20090929</v>
      </c>
      <c r="BK751">
        <v>4.71</v>
      </c>
      <c r="BL751" t="s">
        <v>116</v>
      </c>
      <c r="BM751" t="s">
        <v>116</v>
      </c>
      <c r="BN751">
        <v>21.18</v>
      </c>
      <c r="BO751">
        <v>15.28</v>
      </c>
      <c r="BP751">
        <v>0.21</v>
      </c>
      <c r="BQ751">
        <v>26.85</v>
      </c>
      <c r="BR751">
        <v>11.57</v>
      </c>
      <c r="BS751">
        <v>4.97</v>
      </c>
      <c r="BT751">
        <v>1.72</v>
      </c>
      <c r="BU751">
        <v>3.91</v>
      </c>
      <c r="BV751">
        <v>3.54</v>
      </c>
      <c r="BW751">
        <v>1.75</v>
      </c>
      <c r="BX751">
        <v>11.47</v>
      </c>
      <c r="BY751">
        <v>2.69</v>
      </c>
      <c r="BZ751">
        <v>2.09</v>
      </c>
      <c r="CA751">
        <v>-0.13</v>
      </c>
      <c r="CB751">
        <v>-0.12</v>
      </c>
      <c r="CC751">
        <v>-0.13</v>
      </c>
      <c r="CD751">
        <v>-0.15</v>
      </c>
      <c r="CE751">
        <v>-0.14000000000000001</v>
      </c>
      <c r="CF751">
        <v>-0.28000000000000003</v>
      </c>
      <c r="CG751">
        <v>-1.0900000000000001</v>
      </c>
      <c r="CH751">
        <v>-0.27</v>
      </c>
      <c r="CI751">
        <v>-0.51</v>
      </c>
      <c r="CJ751">
        <v>48596</v>
      </c>
      <c r="CK751">
        <v>6173</v>
      </c>
      <c r="CL751" t="s">
        <v>4640</v>
      </c>
      <c r="CM751">
        <v>-325.16000000000003</v>
      </c>
      <c r="CN751">
        <v>-34.729999999999997</v>
      </c>
      <c r="CO751">
        <v>1.97</v>
      </c>
      <c r="CP751">
        <v>-110.77</v>
      </c>
      <c r="CQ751">
        <v>11.16</v>
      </c>
      <c r="CR751">
        <v>0</v>
      </c>
      <c r="CS751" t="s">
        <v>4641</v>
      </c>
      <c r="CT751">
        <v>3.24</v>
      </c>
      <c r="CU751">
        <v>0</v>
      </c>
      <c r="CV751">
        <v>2.4300000000000002</v>
      </c>
      <c r="CW751">
        <v>-0.23</v>
      </c>
      <c r="CX751">
        <v>-0.06</v>
      </c>
      <c r="CY751">
        <v>72.14</v>
      </c>
      <c r="CZ751" t="s">
        <v>4642</v>
      </c>
      <c r="DA751">
        <v>22.4</v>
      </c>
      <c r="DB751">
        <v>-4.8099999999999996</v>
      </c>
      <c r="DC751">
        <v>-5.15</v>
      </c>
      <c r="DD751">
        <v>0.12</v>
      </c>
      <c r="DE751">
        <v>624</v>
      </c>
      <c r="DF751">
        <v>2297</v>
      </c>
      <c r="DG751" t="s">
        <v>116</v>
      </c>
      <c r="DH751" t="s">
        <v>116</v>
      </c>
      <c r="DI751" t="s">
        <v>116</v>
      </c>
    </row>
    <row r="752" spans="1:113" x14ac:dyDescent="0.4">
      <c r="A752" t="str">
        <f>"002298"</f>
        <v>002298</v>
      </c>
      <c r="B752" t="s">
        <v>4643</v>
      </c>
      <c r="C752">
        <v>-0.67</v>
      </c>
      <c r="D752">
        <v>7.45</v>
      </c>
      <c r="E752">
        <v>-0.05</v>
      </c>
      <c r="F752">
        <v>7.44</v>
      </c>
      <c r="G752">
        <v>7.45</v>
      </c>
      <c r="H752">
        <v>102625</v>
      </c>
      <c r="I752">
        <v>547</v>
      </c>
      <c r="J752">
        <v>0</v>
      </c>
      <c r="K752">
        <v>1.94</v>
      </c>
      <c r="L752">
        <v>7.56</v>
      </c>
      <c r="M752">
        <v>7.69</v>
      </c>
      <c r="N752">
        <v>7.43</v>
      </c>
      <c r="O752">
        <v>7.5</v>
      </c>
      <c r="P752">
        <v>23.27</v>
      </c>
      <c r="Q752">
        <v>77779560</v>
      </c>
      <c r="R752">
        <v>1.03</v>
      </c>
      <c r="S752" t="s">
        <v>607</v>
      </c>
      <c r="T752" t="s">
        <v>575</v>
      </c>
      <c r="U752">
        <v>3.47</v>
      </c>
      <c r="V752">
        <v>7.58</v>
      </c>
      <c r="W752">
        <v>58335</v>
      </c>
      <c r="X752">
        <v>44290</v>
      </c>
      <c r="Y752">
        <v>1.32</v>
      </c>
      <c r="Z752">
        <v>1198</v>
      </c>
      <c r="AA752">
        <v>411</v>
      </c>
      <c r="AB752" t="s">
        <v>116</v>
      </c>
      <c r="AC752">
        <v>779400</v>
      </c>
      <c r="AD752">
        <v>0.02</v>
      </c>
      <c r="AE752" t="s">
        <v>116</v>
      </c>
      <c r="AF752" t="s">
        <v>116</v>
      </c>
      <c r="AG752">
        <v>5.28</v>
      </c>
      <c r="AH752" t="s">
        <v>4644</v>
      </c>
      <c r="AI752" t="s">
        <v>4645</v>
      </c>
      <c r="AJ752">
        <v>0.01</v>
      </c>
      <c r="AK752">
        <v>2064</v>
      </c>
      <c r="AL752">
        <v>50</v>
      </c>
      <c r="AM752">
        <v>8.9999999999999998E-4</v>
      </c>
      <c r="AN752">
        <v>-1</v>
      </c>
      <c r="AO752">
        <v>-0.93</v>
      </c>
      <c r="AP752">
        <v>4.34</v>
      </c>
      <c r="AQ752">
        <v>-2.61</v>
      </c>
      <c r="AR752">
        <v>27.38</v>
      </c>
      <c r="AS752">
        <v>2.38</v>
      </c>
      <c r="AT752" t="s">
        <v>2628</v>
      </c>
      <c r="AU752">
        <v>23.1</v>
      </c>
      <c r="AV752">
        <v>29.48</v>
      </c>
      <c r="AW752">
        <v>0.89</v>
      </c>
      <c r="BA752">
        <v>0.8</v>
      </c>
      <c r="BB752">
        <v>2.5299999999999998</v>
      </c>
      <c r="BC752">
        <v>-0.93</v>
      </c>
      <c r="BD752">
        <v>1.05</v>
      </c>
      <c r="BE752">
        <v>-1.46</v>
      </c>
      <c r="BF752">
        <v>-3.12</v>
      </c>
      <c r="BG752">
        <v>0.27</v>
      </c>
      <c r="BH752">
        <v>-1.72</v>
      </c>
      <c r="BI752">
        <v>20191106</v>
      </c>
      <c r="BJ752">
        <v>20090929</v>
      </c>
      <c r="BK752">
        <v>6.92</v>
      </c>
      <c r="BL752" t="s">
        <v>116</v>
      </c>
      <c r="BM752" t="s">
        <v>116</v>
      </c>
      <c r="BN752">
        <v>65.680000000000007</v>
      </c>
      <c r="BO752">
        <v>43.32</v>
      </c>
      <c r="BP752">
        <v>1.86</v>
      </c>
      <c r="BQ752">
        <v>31.2</v>
      </c>
      <c r="BR752">
        <v>35.090000000000003</v>
      </c>
      <c r="BS752">
        <v>5.4</v>
      </c>
      <c r="BT752">
        <v>5.47</v>
      </c>
      <c r="BU752">
        <v>18.03</v>
      </c>
      <c r="BV752">
        <v>15.55</v>
      </c>
      <c r="BW752">
        <v>9.57</v>
      </c>
      <c r="BX752">
        <v>28.25</v>
      </c>
      <c r="BY752">
        <v>20.55</v>
      </c>
      <c r="BZ752">
        <v>15.05</v>
      </c>
      <c r="CA752">
        <v>1.78</v>
      </c>
      <c r="CB752">
        <v>0.01</v>
      </c>
      <c r="CC752">
        <v>1.79</v>
      </c>
      <c r="CD752">
        <v>1.42</v>
      </c>
      <c r="CE752">
        <v>1.66</v>
      </c>
      <c r="CF752">
        <v>1.53</v>
      </c>
      <c r="CG752">
        <v>9.1300000000000008</v>
      </c>
      <c r="CH752">
        <v>-4.1500000000000004</v>
      </c>
      <c r="CI752">
        <v>-3.54</v>
      </c>
      <c r="CJ752">
        <v>44280</v>
      </c>
      <c r="CK752">
        <v>9734</v>
      </c>
      <c r="CL752" t="s">
        <v>1898</v>
      </c>
      <c r="CM752">
        <v>41.02</v>
      </c>
      <c r="CN752">
        <v>32.799999999999997</v>
      </c>
      <c r="CO752">
        <v>1.19</v>
      </c>
      <c r="CP752">
        <v>-12.41</v>
      </c>
      <c r="CQ752">
        <v>2.5099999999999998</v>
      </c>
      <c r="CR752">
        <v>0.69</v>
      </c>
      <c r="CS752" t="s">
        <v>3553</v>
      </c>
      <c r="CT752">
        <v>6.27</v>
      </c>
      <c r="CU752">
        <v>0</v>
      </c>
      <c r="CV752">
        <v>4.09</v>
      </c>
      <c r="CW752">
        <v>1.32</v>
      </c>
      <c r="CX752">
        <v>-0.6</v>
      </c>
      <c r="CY752">
        <v>65.959999999999994</v>
      </c>
      <c r="CZ752" t="s">
        <v>1523</v>
      </c>
      <c r="DA752">
        <v>26.77</v>
      </c>
      <c r="DB752">
        <v>8.68</v>
      </c>
      <c r="DC752">
        <v>8.08</v>
      </c>
      <c r="DD752">
        <v>0.72</v>
      </c>
      <c r="DE752">
        <v>2003</v>
      </c>
      <c r="DF752">
        <v>2298</v>
      </c>
      <c r="DG752" t="s">
        <v>116</v>
      </c>
      <c r="DH752" t="s">
        <v>116</v>
      </c>
      <c r="DI752" t="s">
        <v>116</v>
      </c>
    </row>
    <row r="753" spans="1:113" x14ac:dyDescent="0.4">
      <c r="A753" t="str">
        <f>"002299"</f>
        <v>002299</v>
      </c>
      <c r="B753" t="s">
        <v>4646</v>
      </c>
      <c r="C753">
        <v>-0.81</v>
      </c>
      <c r="D753">
        <v>24.34</v>
      </c>
      <c r="E753">
        <v>-0.2</v>
      </c>
      <c r="F753">
        <v>24.34</v>
      </c>
      <c r="G753">
        <v>24.35</v>
      </c>
      <c r="H753">
        <v>175848</v>
      </c>
      <c r="I753">
        <v>2103</v>
      </c>
      <c r="J753">
        <v>0</v>
      </c>
      <c r="K753">
        <v>1.58</v>
      </c>
      <c r="L753">
        <v>24.53</v>
      </c>
      <c r="M753">
        <v>24.63</v>
      </c>
      <c r="N753">
        <v>24.29</v>
      </c>
      <c r="O753">
        <v>24.54</v>
      </c>
      <c r="P753">
        <v>8.36</v>
      </c>
      <c r="Q753">
        <v>428961088</v>
      </c>
      <c r="R753">
        <v>1.01</v>
      </c>
      <c r="S753" t="s">
        <v>449</v>
      </c>
      <c r="T753" t="s">
        <v>975</v>
      </c>
      <c r="U753">
        <v>1.39</v>
      </c>
      <c r="V753">
        <v>24.39</v>
      </c>
      <c r="W753">
        <v>100325</v>
      </c>
      <c r="X753">
        <v>75523</v>
      </c>
      <c r="Y753">
        <v>1.33</v>
      </c>
      <c r="Z753">
        <v>878</v>
      </c>
      <c r="AA753">
        <v>97</v>
      </c>
      <c r="AB753" t="s">
        <v>116</v>
      </c>
      <c r="AC753">
        <v>1089100</v>
      </c>
      <c r="AD753">
        <v>0.01</v>
      </c>
      <c r="AE753" t="s">
        <v>116</v>
      </c>
      <c r="AF753" t="s">
        <v>116</v>
      </c>
      <c r="AG753">
        <v>11.11</v>
      </c>
      <c r="AH753" t="s">
        <v>4647</v>
      </c>
      <c r="AI753" t="s">
        <v>4648</v>
      </c>
      <c r="AJ753">
        <v>-0.14000000000000001</v>
      </c>
      <c r="AK753">
        <v>4197</v>
      </c>
      <c r="AL753">
        <v>42</v>
      </c>
      <c r="AM753">
        <v>4.0000000000000002E-4</v>
      </c>
      <c r="AN753">
        <v>-1</v>
      </c>
      <c r="AO753">
        <v>3.37</v>
      </c>
      <c r="AP753">
        <v>2.44</v>
      </c>
      <c r="AQ753">
        <v>-2.0099999999999998</v>
      </c>
      <c r="AR753">
        <v>56.63</v>
      </c>
      <c r="AS753">
        <v>3.75</v>
      </c>
      <c r="AT753" t="s">
        <v>4649</v>
      </c>
      <c r="AU753">
        <v>8.86</v>
      </c>
      <c r="AV753">
        <v>20.04</v>
      </c>
      <c r="AW753">
        <v>0.64</v>
      </c>
      <c r="BA753">
        <v>-0.04</v>
      </c>
      <c r="BB753">
        <v>0.37</v>
      </c>
      <c r="BC753">
        <v>-1.02</v>
      </c>
      <c r="BD753">
        <v>-0.6</v>
      </c>
      <c r="BE753">
        <v>-0.77</v>
      </c>
      <c r="BF753">
        <v>-1.18</v>
      </c>
      <c r="BG753">
        <v>0.21</v>
      </c>
      <c r="BH753">
        <v>-0.22</v>
      </c>
      <c r="BI753">
        <v>20191019</v>
      </c>
      <c r="BJ753">
        <v>20091021</v>
      </c>
      <c r="BK753">
        <v>12.39</v>
      </c>
      <c r="BL753" t="s">
        <v>116</v>
      </c>
      <c r="BM753" t="s">
        <v>116</v>
      </c>
      <c r="BN753">
        <v>142.03</v>
      </c>
      <c r="BO753">
        <v>91.7</v>
      </c>
      <c r="BP753">
        <v>0.01</v>
      </c>
      <c r="BQ753">
        <v>35.43</v>
      </c>
      <c r="BR753">
        <v>32.06</v>
      </c>
      <c r="BS753">
        <v>95.99</v>
      </c>
      <c r="BT753">
        <v>2.13</v>
      </c>
      <c r="BU753">
        <v>47.05</v>
      </c>
      <c r="BV753">
        <v>16.22</v>
      </c>
      <c r="BW753">
        <v>7.55</v>
      </c>
      <c r="BX753">
        <v>41.83</v>
      </c>
      <c r="BY753">
        <v>103.11</v>
      </c>
      <c r="BZ753">
        <v>69.39</v>
      </c>
      <c r="CA753">
        <v>28.29</v>
      </c>
      <c r="CB753">
        <v>0.09</v>
      </c>
      <c r="CC753">
        <v>27.98</v>
      </c>
      <c r="CD753">
        <v>27.32</v>
      </c>
      <c r="CE753">
        <v>27.05</v>
      </c>
      <c r="CF753">
        <v>27.05</v>
      </c>
      <c r="CG753">
        <v>33.979999999999997</v>
      </c>
      <c r="CH753">
        <v>34.659999999999997</v>
      </c>
      <c r="CI753">
        <v>-7.94</v>
      </c>
      <c r="CJ753">
        <v>42642</v>
      </c>
      <c r="CK753">
        <v>10996</v>
      </c>
      <c r="CL753" t="s">
        <v>4650</v>
      </c>
      <c r="CM753">
        <v>236.34</v>
      </c>
      <c r="CN753">
        <v>27.99</v>
      </c>
      <c r="CO753">
        <v>3.29</v>
      </c>
      <c r="CP753">
        <v>8.6999999999999993</v>
      </c>
      <c r="CQ753">
        <v>2.93</v>
      </c>
      <c r="CR753">
        <v>10.27</v>
      </c>
      <c r="CS753" t="s">
        <v>4651</v>
      </c>
      <c r="CT753">
        <v>7.4</v>
      </c>
      <c r="CU753">
        <v>0</v>
      </c>
      <c r="CV753">
        <v>3.37</v>
      </c>
      <c r="CW753">
        <v>2.74</v>
      </c>
      <c r="CX753">
        <v>2.8</v>
      </c>
      <c r="CY753">
        <v>64.56</v>
      </c>
      <c r="CZ753" t="s">
        <v>4652</v>
      </c>
      <c r="DA753">
        <v>32.700000000000003</v>
      </c>
      <c r="DB753">
        <v>27.44</v>
      </c>
      <c r="DC753">
        <v>26.24</v>
      </c>
      <c r="DD753">
        <v>0.3</v>
      </c>
      <c r="DE753">
        <v>22507</v>
      </c>
      <c r="DF753">
        <v>2299</v>
      </c>
      <c r="DG753" t="s">
        <v>116</v>
      </c>
      <c r="DH753" t="s">
        <v>116</v>
      </c>
      <c r="DI753" t="s">
        <v>116</v>
      </c>
    </row>
    <row r="754" spans="1:113" x14ac:dyDescent="0.4">
      <c r="A754" t="str">
        <f>"002300"</f>
        <v>002300</v>
      </c>
      <c r="B754" t="s">
        <v>4653</v>
      </c>
      <c r="C754">
        <v>-0.76</v>
      </c>
      <c r="D754">
        <v>6.57</v>
      </c>
      <c r="E754">
        <v>-0.05</v>
      </c>
      <c r="F754">
        <v>6.56</v>
      </c>
      <c r="G754">
        <v>6.57</v>
      </c>
      <c r="H754">
        <v>30722</v>
      </c>
      <c r="I754">
        <v>685</v>
      </c>
      <c r="J754">
        <v>0</v>
      </c>
      <c r="K754">
        <v>0.51</v>
      </c>
      <c r="L754">
        <v>6.63</v>
      </c>
      <c r="M754">
        <v>6.66</v>
      </c>
      <c r="N754">
        <v>6.55</v>
      </c>
      <c r="O754">
        <v>6.62</v>
      </c>
      <c r="P754">
        <v>23.1</v>
      </c>
      <c r="Q754">
        <v>20284426</v>
      </c>
      <c r="R754">
        <v>1.04</v>
      </c>
      <c r="S754" t="s">
        <v>397</v>
      </c>
      <c r="T754" t="s">
        <v>975</v>
      </c>
      <c r="U754">
        <v>1.66</v>
      </c>
      <c r="V754">
        <v>6.6</v>
      </c>
      <c r="W754">
        <v>19380</v>
      </c>
      <c r="X754">
        <v>11342</v>
      </c>
      <c r="Y754">
        <v>1.71</v>
      </c>
      <c r="Z754">
        <v>234</v>
      </c>
      <c r="AA754">
        <v>503</v>
      </c>
      <c r="AB754" t="s">
        <v>116</v>
      </c>
      <c r="AC754">
        <v>122000</v>
      </c>
      <c r="AD754">
        <v>0.01</v>
      </c>
      <c r="AE754" t="s">
        <v>116</v>
      </c>
      <c r="AF754" t="s">
        <v>116</v>
      </c>
      <c r="AG754">
        <v>5.97</v>
      </c>
      <c r="AH754" t="s">
        <v>4654</v>
      </c>
      <c r="AI754" t="s">
        <v>4654</v>
      </c>
      <c r="AJ754">
        <v>-0.08</v>
      </c>
      <c r="AK754">
        <v>1062</v>
      </c>
      <c r="AL754">
        <v>29</v>
      </c>
      <c r="AM754">
        <v>5.0000000000000001E-4</v>
      </c>
      <c r="AN754">
        <v>-1</v>
      </c>
      <c r="AO754">
        <v>0.15</v>
      </c>
      <c r="AP754">
        <v>3.3</v>
      </c>
      <c r="AQ754">
        <v>-4.92</v>
      </c>
      <c r="AR754">
        <v>36.619999999999997</v>
      </c>
      <c r="AS754">
        <v>1.25</v>
      </c>
      <c r="AT754" t="s">
        <v>4655</v>
      </c>
      <c r="AU754">
        <v>24.21</v>
      </c>
      <c r="AV754">
        <v>34.76</v>
      </c>
      <c r="AW754">
        <v>0.82</v>
      </c>
      <c r="BA754">
        <v>0.15</v>
      </c>
      <c r="BB754">
        <v>0.6</v>
      </c>
      <c r="BC754">
        <v>-1.06</v>
      </c>
      <c r="BD754">
        <v>-0.26</v>
      </c>
      <c r="BE754">
        <v>-0.9</v>
      </c>
      <c r="BF754">
        <v>-1.35</v>
      </c>
      <c r="BG754">
        <v>0.31</v>
      </c>
      <c r="BH754">
        <v>-0.49</v>
      </c>
      <c r="BI754">
        <v>20191028</v>
      </c>
      <c r="BJ754">
        <v>20091021</v>
      </c>
      <c r="BK754">
        <v>5.97</v>
      </c>
      <c r="BL754" t="s">
        <v>116</v>
      </c>
      <c r="BM754" t="s">
        <v>116</v>
      </c>
      <c r="BN754">
        <v>42.96</v>
      </c>
      <c r="BO754">
        <v>14.06</v>
      </c>
      <c r="BP754">
        <v>0.84</v>
      </c>
      <c r="BQ754">
        <v>65.319999999999993</v>
      </c>
      <c r="BR754">
        <v>26.62</v>
      </c>
      <c r="BS754">
        <v>12.36</v>
      </c>
      <c r="BT754">
        <v>1.74</v>
      </c>
      <c r="BU754">
        <v>26.58</v>
      </c>
      <c r="BV754">
        <v>6.09</v>
      </c>
      <c r="BW754">
        <v>12.97</v>
      </c>
      <c r="BX754">
        <v>3.48</v>
      </c>
      <c r="BY754">
        <v>48.29</v>
      </c>
      <c r="BZ754">
        <v>44.09</v>
      </c>
      <c r="CA754">
        <v>1.79</v>
      </c>
      <c r="CB754">
        <v>0.04</v>
      </c>
      <c r="CC754">
        <v>1.79</v>
      </c>
      <c r="CD754">
        <v>1.34</v>
      </c>
      <c r="CE754">
        <v>1.27</v>
      </c>
      <c r="CF754">
        <v>1.07</v>
      </c>
      <c r="CG754">
        <v>2.48</v>
      </c>
      <c r="CH754">
        <v>-1.03</v>
      </c>
      <c r="CI754">
        <v>2.36</v>
      </c>
      <c r="CJ754">
        <v>50741</v>
      </c>
      <c r="CK754">
        <v>4827</v>
      </c>
      <c r="CL754" t="s">
        <v>511</v>
      </c>
      <c r="CM754">
        <v>62.88</v>
      </c>
      <c r="CN754">
        <v>31.18</v>
      </c>
      <c r="CO754">
        <v>2.79</v>
      </c>
      <c r="CP754">
        <v>-38.14</v>
      </c>
      <c r="CQ754">
        <v>0.81</v>
      </c>
      <c r="CR754">
        <v>1.66</v>
      </c>
      <c r="CS754" t="s">
        <v>3294</v>
      </c>
      <c r="CT754">
        <v>2.36</v>
      </c>
      <c r="CU754">
        <v>0</v>
      </c>
      <c r="CV754">
        <v>0.57999999999999996</v>
      </c>
      <c r="CW754">
        <v>0.42</v>
      </c>
      <c r="CX754">
        <v>-0.17</v>
      </c>
      <c r="CY754">
        <v>32.729999999999997</v>
      </c>
      <c r="CZ754" t="s">
        <v>4656</v>
      </c>
      <c r="DA754">
        <v>8.6999999999999993</v>
      </c>
      <c r="DB754">
        <v>3.71</v>
      </c>
      <c r="DC754">
        <v>2.64</v>
      </c>
      <c r="DD754">
        <v>0.13</v>
      </c>
      <c r="DE754">
        <v>2154</v>
      </c>
      <c r="DF754">
        <v>2300</v>
      </c>
      <c r="DG754" t="s">
        <v>116</v>
      </c>
      <c r="DH754" t="s">
        <v>116</v>
      </c>
      <c r="DI754" t="s">
        <v>116</v>
      </c>
    </row>
    <row r="755" spans="1:113" x14ac:dyDescent="0.4">
      <c r="A755" t="str">
        <f>"002301"</f>
        <v>002301</v>
      </c>
      <c r="B755" t="s">
        <v>4657</v>
      </c>
      <c r="C755">
        <v>-2.3199999999999998</v>
      </c>
      <c r="D755">
        <v>11.78</v>
      </c>
      <c r="E755">
        <v>-0.28000000000000003</v>
      </c>
      <c r="F755">
        <v>11.77</v>
      </c>
      <c r="G755">
        <v>11.78</v>
      </c>
      <c r="H755">
        <v>83848</v>
      </c>
      <c r="I755">
        <v>670</v>
      </c>
      <c r="J755">
        <v>-0.24</v>
      </c>
      <c r="K755">
        <v>1.31</v>
      </c>
      <c r="L755">
        <v>12.01</v>
      </c>
      <c r="M755">
        <v>12.19</v>
      </c>
      <c r="N755">
        <v>11.75</v>
      </c>
      <c r="O755">
        <v>12.06</v>
      </c>
      <c r="P755">
        <v>35.36</v>
      </c>
      <c r="Q755">
        <v>100370600</v>
      </c>
      <c r="R755">
        <v>1.33</v>
      </c>
      <c r="S755" t="s">
        <v>217</v>
      </c>
      <c r="T755" t="s">
        <v>115</v>
      </c>
      <c r="U755">
        <v>3.65</v>
      </c>
      <c r="V755">
        <v>11.97</v>
      </c>
      <c r="W755">
        <v>50602</v>
      </c>
      <c r="X755">
        <v>33246</v>
      </c>
      <c r="Y755">
        <v>1.52</v>
      </c>
      <c r="Z755">
        <v>135</v>
      </c>
      <c r="AA755">
        <v>121</v>
      </c>
      <c r="AB755" t="s">
        <v>116</v>
      </c>
      <c r="AC755">
        <v>61300</v>
      </c>
      <c r="AD755">
        <v>0</v>
      </c>
      <c r="AE755" t="s">
        <v>116</v>
      </c>
      <c r="AF755" t="s">
        <v>116</v>
      </c>
      <c r="AG755">
        <v>6.4</v>
      </c>
      <c r="AH755" t="s">
        <v>4658</v>
      </c>
      <c r="AI755" t="s">
        <v>4659</v>
      </c>
      <c r="AJ755">
        <v>-1.64</v>
      </c>
      <c r="AK755">
        <v>2735</v>
      </c>
      <c r="AL755">
        <v>31</v>
      </c>
      <c r="AM755">
        <v>5.0000000000000001E-4</v>
      </c>
      <c r="AN755">
        <v>-3</v>
      </c>
      <c r="AO755">
        <v>-4.2300000000000004</v>
      </c>
      <c r="AP755">
        <v>-7.32</v>
      </c>
      <c r="AQ755">
        <v>-0.34</v>
      </c>
      <c r="AR755">
        <v>44.36</v>
      </c>
      <c r="AS755">
        <v>2.74</v>
      </c>
      <c r="AT755" t="s">
        <v>2682</v>
      </c>
      <c r="AU755">
        <v>36.770000000000003</v>
      </c>
      <c r="AV755">
        <v>45.09</v>
      </c>
      <c r="AW755">
        <v>0.61</v>
      </c>
      <c r="BA755">
        <v>-0.41</v>
      </c>
      <c r="BB755">
        <v>1.08</v>
      </c>
      <c r="BC755">
        <v>-2.57</v>
      </c>
      <c r="BD755">
        <v>-0.74</v>
      </c>
      <c r="BE755">
        <v>-1.92</v>
      </c>
      <c r="BF755">
        <v>-3.36</v>
      </c>
      <c r="BG755">
        <v>0.26</v>
      </c>
      <c r="BH755">
        <v>-1.58</v>
      </c>
      <c r="BI755">
        <v>20191030</v>
      </c>
      <c r="BJ755">
        <v>20091021</v>
      </c>
      <c r="BK755">
        <v>7.34</v>
      </c>
      <c r="BL755" t="s">
        <v>116</v>
      </c>
      <c r="BM755" t="s">
        <v>116</v>
      </c>
      <c r="BN755">
        <v>75.39</v>
      </c>
      <c r="BO755">
        <v>34.369999999999997</v>
      </c>
      <c r="BP755">
        <v>0.01</v>
      </c>
      <c r="BQ755">
        <v>54.41</v>
      </c>
      <c r="BR755">
        <v>56.54</v>
      </c>
      <c r="BS755">
        <v>4.4000000000000004</v>
      </c>
      <c r="BT755">
        <v>1</v>
      </c>
      <c r="BU755">
        <v>40.21</v>
      </c>
      <c r="BV755">
        <v>3.91</v>
      </c>
      <c r="BW755">
        <v>12.92</v>
      </c>
      <c r="BX755">
        <v>20.23</v>
      </c>
      <c r="BY755">
        <v>43.5</v>
      </c>
      <c r="BZ755">
        <v>37.15</v>
      </c>
      <c r="CA755">
        <v>2.17</v>
      </c>
      <c r="CB755">
        <v>0.31</v>
      </c>
      <c r="CC755">
        <v>2.1800000000000002</v>
      </c>
      <c r="CD755">
        <v>1.84</v>
      </c>
      <c r="CE755">
        <v>1.83</v>
      </c>
      <c r="CF755">
        <v>1.61</v>
      </c>
      <c r="CG755">
        <v>7.32</v>
      </c>
      <c r="CH755">
        <v>1.89</v>
      </c>
      <c r="CI755">
        <v>6.66</v>
      </c>
      <c r="CJ755">
        <v>10582</v>
      </c>
      <c r="CK755">
        <v>28915</v>
      </c>
      <c r="CL755" t="s">
        <v>4660</v>
      </c>
      <c r="CM755">
        <v>30.99</v>
      </c>
      <c r="CN755">
        <v>58.01</v>
      </c>
      <c r="CO755">
        <v>2.52</v>
      </c>
      <c r="CP755">
        <v>45.82</v>
      </c>
      <c r="CQ755">
        <v>1.99</v>
      </c>
      <c r="CR755">
        <v>2.19</v>
      </c>
      <c r="CS755" t="s">
        <v>3995</v>
      </c>
      <c r="CT755">
        <v>4.68</v>
      </c>
      <c r="CU755">
        <v>0</v>
      </c>
      <c r="CV755">
        <v>2.76</v>
      </c>
      <c r="CW755">
        <v>1</v>
      </c>
      <c r="CX755">
        <v>0.26</v>
      </c>
      <c r="CY755">
        <v>45.59</v>
      </c>
      <c r="CZ755" t="s">
        <v>4661</v>
      </c>
      <c r="DA755">
        <v>14.6</v>
      </c>
      <c r="DB755">
        <v>4.99</v>
      </c>
      <c r="DC755">
        <v>4.22</v>
      </c>
      <c r="DD755">
        <v>0.38</v>
      </c>
      <c r="DE755">
        <v>3358</v>
      </c>
      <c r="DF755">
        <v>2301</v>
      </c>
      <c r="DG755" t="s">
        <v>116</v>
      </c>
      <c r="DH755" t="s">
        <v>116</v>
      </c>
      <c r="DI755" t="s">
        <v>116</v>
      </c>
    </row>
    <row r="756" spans="1:113" x14ac:dyDescent="0.4">
      <c r="A756" t="str">
        <f>"002302"</f>
        <v>002302</v>
      </c>
      <c r="B756" t="s">
        <v>4662</v>
      </c>
      <c r="C756">
        <v>-0.82</v>
      </c>
      <c r="D756">
        <v>10.83</v>
      </c>
      <c r="E756">
        <v>-0.09</v>
      </c>
      <c r="F756">
        <v>10.82</v>
      </c>
      <c r="G756">
        <v>10.83</v>
      </c>
      <c r="H756">
        <v>195426</v>
      </c>
      <c r="I756">
        <v>1284</v>
      </c>
      <c r="J756">
        <v>0.19</v>
      </c>
      <c r="K756">
        <v>1.58</v>
      </c>
      <c r="L756">
        <v>10.85</v>
      </c>
      <c r="M756">
        <v>10.96</v>
      </c>
      <c r="N756">
        <v>10.77</v>
      </c>
      <c r="O756">
        <v>10.92</v>
      </c>
      <c r="P756">
        <v>16.760000000000002</v>
      </c>
      <c r="Q756">
        <v>211939904</v>
      </c>
      <c r="R756">
        <v>1.1100000000000001</v>
      </c>
      <c r="S756" t="s">
        <v>660</v>
      </c>
      <c r="T756" t="s">
        <v>616</v>
      </c>
      <c r="U756">
        <v>1.74</v>
      </c>
      <c r="V756">
        <v>10.84</v>
      </c>
      <c r="W756">
        <v>105409</v>
      </c>
      <c r="X756">
        <v>90017</v>
      </c>
      <c r="Y756">
        <v>1.17</v>
      </c>
      <c r="Z756">
        <v>1033</v>
      </c>
      <c r="AA756">
        <v>500</v>
      </c>
      <c r="AB756" t="s">
        <v>116</v>
      </c>
      <c r="AC756">
        <v>480700</v>
      </c>
      <c r="AD756">
        <v>0.01</v>
      </c>
      <c r="AE756" t="s">
        <v>116</v>
      </c>
      <c r="AF756" t="s">
        <v>116</v>
      </c>
      <c r="AG756">
        <v>12.39</v>
      </c>
      <c r="AH756" t="s">
        <v>4663</v>
      </c>
      <c r="AI756" t="s">
        <v>4664</v>
      </c>
      <c r="AJ756">
        <v>-0.15</v>
      </c>
      <c r="AK756">
        <v>3205</v>
      </c>
      <c r="AL756">
        <v>61</v>
      </c>
      <c r="AM756">
        <v>5.0000000000000001E-4</v>
      </c>
      <c r="AN756">
        <v>-3</v>
      </c>
      <c r="AO756">
        <v>-3.56</v>
      </c>
      <c r="AP756">
        <v>-2.34</v>
      </c>
      <c r="AQ756">
        <v>-2.96</v>
      </c>
      <c r="AR756">
        <v>23.49</v>
      </c>
      <c r="AS756">
        <v>3.95</v>
      </c>
      <c r="AT756" t="s">
        <v>4665</v>
      </c>
      <c r="AU756">
        <v>19.75</v>
      </c>
      <c r="AV756">
        <v>45.06</v>
      </c>
      <c r="AW756">
        <v>0.82</v>
      </c>
      <c r="BA756">
        <v>-0.64</v>
      </c>
      <c r="BB756">
        <v>0.37</v>
      </c>
      <c r="BC756">
        <v>-1.37</v>
      </c>
      <c r="BD756">
        <v>-0.69</v>
      </c>
      <c r="BE756">
        <v>-0.18</v>
      </c>
      <c r="BF756">
        <v>-1.19</v>
      </c>
      <c r="BG756">
        <v>0.56000000000000005</v>
      </c>
      <c r="BH756">
        <v>-0.14000000000000001</v>
      </c>
      <c r="BI756">
        <v>20191223</v>
      </c>
      <c r="BJ756">
        <v>20091103</v>
      </c>
      <c r="BK756">
        <v>12.62</v>
      </c>
      <c r="BL756" t="s">
        <v>116</v>
      </c>
      <c r="BM756" t="s">
        <v>116</v>
      </c>
      <c r="BN756">
        <v>257.38</v>
      </c>
      <c r="BO756">
        <v>71.150000000000006</v>
      </c>
      <c r="BP756">
        <v>5.48</v>
      </c>
      <c r="BQ756">
        <v>70.23</v>
      </c>
      <c r="BR756">
        <v>224.69</v>
      </c>
      <c r="BS756">
        <v>21.47</v>
      </c>
      <c r="BT756">
        <v>4.28</v>
      </c>
      <c r="BU756">
        <v>166.94</v>
      </c>
      <c r="BV756">
        <v>4.2300000000000004</v>
      </c>
      <c r="BW756">
        <v>163.22</v>
      </c>
      <c r="BX756">
        <v>28.06</v>
      </c>
      <c r="BY756">
        <v>166.54</v>
      </c>
      <c r="BZ756">
        <v>148.35</v>
      </c>
      <c r="CA756">
        <v>8.2799999999999994</v>
      </c>
      <c r="CB756">
        <v>0.06</v>
      </c>
      <c r="CC756">
        <v>8.42</v>
      </c>
      <c r="CD756">
        <v>6.7</v>
      </c>
      <c r="CE756">
        <v>6.12</v>
      </c>
      <c r="CF756">
        <v>6</v>
      </c>
      <c r="CG756">
        <v>28.95</v>
      </c>
      <c r="CH756">
        <v>-11.2</v>
      </c>
      <c r="CI756">
        <v>-3.11</v>
      </c>
      <c r="CJ756">
        <v>77617</v>
      </c>
      <c r="CK756">
        <v>6379</v>
      </c>
      <c r="CL756" t="s">
        <v>4666</v>
      </c>
      <c r="CM756">
        <v>174.25</v>
      </c>
      <c r="CN756">
        <v>24.23</v>
      </c>
      <c r="CO756">
        <v>1.92</v>
      </c>
      <c r="CP756">
        <v>-12.2</v>
      </c>
      <c r="CQ756">
        <v>0.82</v>
      </c>
      <c r="CR756">
        <v>0.65</v>
      </c>
      <c r="CS756" t="s">
        <v>4667</v>
      </c>
      <c r="CT756">
        <v>5.64</v>
      </c>
      <c r="CU756">
        <v>0</v>
      </c>
      <c r="CV756">
        <v>2.2200000000000002</v>
      </c>
      <c r="CW756">
        <v>2.29</v>
      </c>
      <c r="CX756">
        <v>-0.89</v>
      </c>
      <c r="CY756">
        <v>27.64</v>
      </c>
      <c r="CZ756" t="s">
        <v>4668</v>
      </c>
      <c r="DA756">
        <v>10.92</v>
      </c>
      <c r="DB756">
        <v>4.97</v>
      </c>
      <c r="DC756">
        <v>3.67</v>
      </c>
      <c r="DD756">
        <v>3.1</v>
      </c>
      <c r="DE756">
        <v>5446</v>
      </c>
      <c r="DF756">
        <v>2302</v>
      </c>
      <c r="DG756" t="s">
        <v>116</v>
      </c>
      <c r="DH756" t="s">
        <v>116</v>
      </c>
      <c r="DI756" t="s">
        <v>116</v>
      </c>
    </row>
    <row r="757" spans="1:113" x14ac:dyDescent="0.4">
      <c r="A757" t="str">
        <f>"002303"</f>
        <v>002303</v>
      </c>
      <c r="B757" t="s">
        <v>4669</v>
      </c>
      <c r="C757">
        <v>-1.51</v>
      </c>
      <c r="D757">
        <v>5.22</v>
      </c>
      <c r="E757">
        <v>-0.08</v>
      </c>
      <c r="F757">
        <v>5.21</v>
      </c>
      <c r="G757">
        <v>5.22</v>
      </c>
      <c r="H757">
        <v>237882</v>
      </c>
      <c r="I757">
        <v>3102</v>
      </c>
      <c r="J757">
        <v>0</v>
      </c>
      <c r="K757">
        <v>1.55</v>
      </c>
      <c r="L757">
        <v>5.29</v>
      </c>
      <c r="M757">
        <v>5.37</v>
      </c>
      <c r="N757">
        <v>5.18</v>
      </c>
      <c r="O757">
        <v>5.3</v>
      </c>
      <c r="P757">
        <v>19.829999999999998</v>
      </c>
      <c r="Q757">
        <v>125973904</v>
      </c>
      <c r="R757">
        <v>0.92</v>
      </c>
      <c r="S757" t="s">
        <v>824</v>
      </c>
      <c r="T757" t="s">
        <v>115</v>
      </c>
      <c r="U757">
        <v>3.58</v>
      </c>
      <c r="V757">
        <v>5.3</v>
      </c>
      <c r="W757">
        <v>137106</v>
      </c>
      <c r="X757">
        <v>100776</v>
      </c>
      <c r="Y757">
        <v>1.36</v>
      </c>
      <c r="Z757">
        <v>5253</v>
      </c>
      <c r="AA757">
        <v>3703</v>
      </c>
      <c r="AB757" t="s">
        <v>116</v>
      </c>
      <c r="AC757">
        <v>259700</v>
      </c>
      <c r="AD757">
        <v>0.01</v>
      </c>
      <c r="AE757" t="s">
        <v>116</v>
      </c>
      <c r="AF757" t="s">
        <v>116</v>
      </c>
      <c r="AG757">
        <v>15.31</v>
      </c>
      <c r="AH757" t="s">
        <v>4670</v>
      </c>
      <c r="AI757" t="s">
        <v>4671</v>
      </c>
      <c r="AJ757">
        <v>-0.83</v>
      </c>
      <c r="AK757">
        <v>2346</v>
      </c>
      <c r="AL757">
        <v>101</v>
      </c>
      <c r="AM757">
        <v>6.9999999999999999E-4</v>
      </c>
      <c r="AN757">
        <v>-1</v>
      </c>
      <c r="AO757">
        <v>-1.69</v>
      </c>
      <c r="AP757">
        <v>8.75</v>
      </c>
      <c r="AQ757">
        <v>6.97</v>
      </c>
      <c r="AR757">
        <v>17.3</v>
      </c>
      <c r="AS757">
        <v>3.38</v>
      </c>
      <c r="AT757" t="s">
        <v>4146</v>
      </c>
      <c r="AU757">
        <v>19.48</v>
      </c>
      <c r="AV757">
        <v>19.920000000000002</v>
      </c>
      <c r="AW757">
        <v>1.74</v>
      </c>
      <c r="BA757">
        <v>-0.19</v>
      </c>
      <c r="BB757">
        <v>1.32</v>
      </c>
      <c r="BC757">
        <v>-2.2599999999999998</v>
      </c>
      <c r="BD757">
        <v>-0.08</v>
      </c>
      <c r="BE757">
        <v>-1.32</v>
      </c>
      <c r="BF757">
        <v>-2.79</v>
      </c>
      <c r="BG757">
        <v>0.77</v>
      </c>
      <c r="BH757">
        <v>-1.43</v>
      </c>
      <c r="BI757">
        <v>20191029</v>
      </c>
      <c r="BJ757">
        <v>20091103</v>
      </c>
      <c r="BK757">
        <v>15.31</v>
      </c>
      <c r="BL757" t="s">
        <v>116</v>
      </c>
      <c r="BM757" t="s">
        <v>116</v>
      </c>
      <c r="BN757">
        <v>70.12</v>
      </c>
      <c r="BO757">
        <v>50.05</v>
      </c>
      <c r="BP757">
        <v>1.08</v>
      </c>
      <c r="BQ757">
        <v>27.08</v>
      </c>
      <c r="BR757">
        <v>35.42</v>
      </c>
      <c r="BS757">
        <v>11.7</v>
      </c>
      <c r="BT757">
        <v>5.2</v>
      </c>
      <c r="BU757">
        <v>17.68</v>
      </c>
      <c r="BV757">
        <v>7.79</v>
      </c>
      <c r="BW757">
        <v>9.52</v>
      </c>
      <c r="BX757">
        <v>12.43</v>
      </c>
      <c r="BY757">
        <v>23.81</v>
      </c>
      <c r="BZ757">
        <v>16.03</v>
      </c>
      <c r="CA757">
        <v>3.63</v>
      </c>
      <c r="CB757">
        <v>0.13</v>
      </c>
      <c r="CC757">
        <v>3.61</v>
      </c>
      <c r="CD757">
        <v>2.99</v>
      </c>
      <c r="CE757">
        <v>3.02</v>
      </c>
      <c r="CF757">
        <v>2.9</v>
      </c>
      <c r="CG757">
        <v>14.62</v>
      </c>
      <c r="CH757">
        <v>3.24</v>
      </c>
      <c r="CI757">
        <v>0.03</v>
      </c>
      <c r="CJ757">
        <v>54718</v>
      </c>
      <c r="CK757">
        <v>12872</v>
      </c>
      <c r="CL757" t="s">
        <v>4077</v>
      </c>
      <c r="CM757">
        <v>3.14</v>
      </c>
      <c r="CN757">
        <v>2.25</v>
      </c>
      <c r="CO757">
        <v>1.6</v>
      </c>
      <c r="CP757">
        <v>24.7</v>
      </c>
      <c r="CQ757">
        <v>3.36</v>
      </c>
      <c r="CR757">
        <v>3.83</v>
      </c>
      <c r="CS757" t="s">
        <v>4390</v>
      </c>
      <c r="CT757">
        <v>3.27</v>
      </c>
      <c r="CU757">
        <v>0</v>
      </c>
      <c r="CV757">
        <v>0.81</v>
      </c>
      <c r="CW757">
        <v>0.96</v>
      </c>
      <c r="CX757">
        <v>0.21</v>
      </c>
      <c r="CY757">
        <v>71.37</v>
      </c>
      <c r="CZ757" t="s">
        <v>3318</v>
      </c>
      <c r="DA757">
        <v>32.659999999999997</v>
      </c>
      <c r="DB757">
        <v>15.26</v>
      </c>
      <c r="DC757">
        <v>12.7</v>
      </c>
      <c r="DD757">
        <v>0.92</v>
      </c>
      <c r="DE757">
        <v>4344</v>
      </c>
      <c r="DF757">
        <v>2303</v>
      </c>
      <c r="DG757" t="s">
        <v>116</v>
      </c>
      <c r="DH757" t="s">
        <v>116</v>
      </c>
      <c r="DI757" t="s">
        <v>116</v>
      </c>
    </row>
    <row r="758" spans="1:113" x14ac:dyDescent="0.4">
      <c r="A758" t="str">
        <f>"002304"</f>
        <v>002304</v>
      </c>
      <c r="B758" t="s">
        <v>4672</v>
      </c>
      <c r="C758">
        <v>0.84</v>
      </c>
      <c r="D758">
        <v>108.3</v>
      </c>
      <c r="E758">
        <v>0.9</v>
      </c>
      <c r="F758">
        <v>108.29</v>
      </c>
      <c r="G758">
        <v>108.3</v>
      </c>
      <c r="H758">
        <v>53778</v>
      </c>
      <c r="I758">
        <v>586</v>
      </c>
      <c r="J758">
        <v>0.06</v>
      </c>
      <c r="K758">
        <v>0.43</v>
      </c>
      <c r="L758">
        <v>108.14</v>
      </c>
      <c r="M758">
        <v>110.32</v>
      </c>
      <c r="N758">
        <v>107.4</v>
      </c>
      <c r="O758">
        <v>107.4</v>
      </c>
      <c r="P758">
        <v>17.13</v>
      </c>
      <c r="Q758">
        <v>585966400</v>
      </c>
      <c r="R758">
        <v>1.21</v>
      </c>
      <c r="S758" t="s">
        <v>1212</v>
      </c>
      <c r="T758" t="s">
        <v>323</v>
      </c>
      <c r="U758">
        <v>2.72</v>
      </c>
      <c r="V758">
        <v>108.96</v>
      </c>
      <c r="W758">
        <v>28272</v>
      </c>
      <c r="X758">
        <v>25506</v>
      </c>
      <c r="Y758">
        <v>1.1100000000000001</v>
      </c>
      <c r="Z758">
        <v>2</v>
      </c>
      <c r="AA758">
        <v>229</v>
      </c>
      <c r="AB758" t="s">
        <v>116</v>
      </c>
      <c r="AC758">
        <v>2638600</v>
      </c>
      <c r="AD758">
        <v>0</v>
      </c>
      <c r="AE758" t="s">
        <v>116</v>
      </c>
      <c r="AF758" t="s">
        <v>116</v>
      </c>
      <c r="AG758">
        <v>12.49</v>
      </c>
      <c r="AH758" t="s">
        <v>4673</v>
      </c>
      <c r="AI758" t="s">
        <v>4674</v>
      </c>
      <c r="AJ758">
        <v>1.52</v>
      </c>
      <c r="AK758">
        <v>4133</v>
      </c>
      <c r="AL758">
        <v>13</v>
      </c>
      <c r="AM758">
        <v>1E-4</v>
      </c>
      <c r="AN758">
        <v>1</v>
      </c>
      <c r="AO758">
        <v>-0.4</v>
      </c>
      <c r="AP758">
        <v>10.3</v>
      </c>
      <c r="AQ758">
        <v>3.65</v>
      </c>
      <c r="AR758">
        <v>18.329999999999998</v>
      </c>
      <c r="AS758">
        <v>1.04</v>
      </c>
      <c r="AT758" t="s">
        <v>4675</v>
      </c>
      <c r="AU758">
        <v>19.850000000000001</v>
      </c>
      <c r="AV758">
        <v>20.11</v>
      </c>
      <c r="AW758">
        <v>0.54</v>
      </c>
      <c r="BA758">
        <v>0.69</v>
      </c>
      <c r="BB758">
        <v>2.72</v>
      </c>
      <c r="BC758">
        <v>0</v>
      </c>
      <c r="BD758">
        <v>1.45</v>
      </c>
      <c r="BE758">
        <v>0.15</v>
      </c>
      <c r="BF758">
        <v>-1.83</v>
      </c>
      <c r="BG758">
        <v>0.84</v>
      </c>
      <c r="BH758">
        <v>-0.61</v>
      </c>
      <c r="BI758">
        <v>20191030</v>
      </c>
      <c r="BJ758">
        <v>20091106</v>
      </c>
      <c r="BK758">
        <v>15.07</v>
      </c>
      <c r="BL758" t="s">
        <v>116</v>
      </c>
      <c r="BM758" t="s">
        <v>116</v>
      </c>
      <c r="BN758">
        <v>462.97</v>
      </c>
      <c r="BO758">
        <v>362.75</v>
      </c>
      <c r="BP758">
        <v>-0.15</v>
      </c>
      <c r="BQ758">
        <v>21.68</v>
      </c>
      <c r="BR758">
        <v>308.45</v>
      </c>
      <c r="BS758">
        <v>73.81</v>
      </c>
      <c r="BT758">
        <v>17.510000000000002</v>
      </c>
      <c r="BU758">
        <v>96.14</v>
      </c>
      <c r="BV758">
        <v>133.01</v>
      </c>
      <c r="BW758">
        <v>0.08</v>
      </c>
      <c r="BX758">
        <v>7.42</v>
      </c>
      <c r="BY758">
        <v>210.98</v>
      </c>
      <c r="BZ758">
        <v>59.77</v>
      </c>
      <c r="CA758">
        <v>94.93</v>
      </c>
      <c r="CB758">
        <v>5.96</v>
      </c>
      <c r="CC758">
        <v>95</v>
      </c>
      <c r="CD758">
        <v>71.52</v>
      </c>
      <c r="CE758">
        <v>71.459999999999994</v>
      </c>
      <c r="CF758">
        <v>65.47</v>
      </c>
      <c r="CG758">
        <v>332.74</v>
      </c>
      <c r="CH758">
        <v>17.190000000000001</v>
      </c>
      <c r="CI758">
        <v>-6.88</v>
      </c>
      <c r="CJ758">
        <v>95046</v>
      </c>
      <c r="CK758">
        <v>5415</v>
      </c>
      <c r="CL758" t="s">
        <v>4676</v>
      </c>
      <c r="CM758">
        <v>1.53</v>
      </c>
      <c r="CN758">
        <v>0.63</v>
      </c>
      <c r="CO758">
        <v>4.5</v>
      </c>
      <c r="CP758">
        <v>94.92</v>
      </c>
      <c r="CQ758">
        <v>7.74</v>
      </c>
      <c r="CR758">
        <v>2.95</v>
      </c>
      <c r="CS758" t="s">
        <v>4677</v>
      </c>
      <c r="CT758">
        <v>24.07</v>
      </c>
      <c r="CU758">
        <v>0</v>
      </c>
      <c r="CV758">
        <v>0.49</v>
      </c>
      <c r="CW758">
        <v>22.08</v>
      </c>
      <c r="CX758">
        <v>1.1399999999999999</v>
      </c>
      <c r="CY758">
        <v>78.349999999999994</v>
      </c>
      <c r="CZ758" t="s">
        <v>4678</v>
      </c>
      <c r="DA758">
        <v>71.67</v>
      </c>
      <c r="DB758">
        <v>44.99</v>
      </c>
      <c r="DC758">
        <v>33.869999999999997</v>
      </c>
      <c r="DD758">
        <v>0.3</v>
      </c>
      <c r="DE758">
        <v>15290</v>
      </c>
      <c r="DF758">
        <v>2304</v>
      </c>
      <c r="DG758" t="s">
        <v>116</v>
      </c>
      <c r="DH758" t="s">
        <v>116</v>
      </c>
      <c r="DI758" t="s">
        <v>116</v>
      </c>
    </row>
    <row r="759" spans="1:113" x14ac:dyDescent="0.4">
      <c r="A759" t="str">
        <f>"002305"</f>
        <v>002305</v>
      </c>
      <c r="B759" t="s">
        <v>4679</v>
      </c>
      <c r="C759">
        <v>0</v>
      </c>
      <c r="D759">
        <v>2.17</v>
      </c>
      <c r="E759">
        <v>0</v>
      </c>
      <c r="F759">
        <v>2.17</v>
      </c>
      <c r="G759">
        <v>2.1800000000000002</v>
      </c>
      <c r="H759">
        <v>138295</v>
      </c>
      <c r="I759">
        <v>508</v>
      </c>
      <c r="J759">
        <v>0</v>
      </c>
      <c r="K759">
        <v>0.8</v>
      </c>
      <c r="L759">
        <v>2.16</v>
      </c>
      <c r="M759">
        <v>2.2000000000000002</v>
      </c>
      <c r="N759">
        <v>2.16</v>
      </c>
      <c r="O759">
        <v>2.17</v>
      </c>
      <c r="P759">
        <v>94.26</v>
      </c>
      <c r="Q759">
        <v>30153660</v>
      </c>
      <c r="R759">
        <v>1.45</v>
      </c>
      <c r="S759" t="s">
        <v>148</v>
      </c>
      <c r="T759" t="s">
        <v>774</v>
      </c>
      <c r="U759">
        <v>1.84</v>
      </c>
      <c r="V759">
        <v>2.1800000000000002</v>
      </c>
      <c r="W759">
        <v>65802</v>
      </c>
      <c r="X759">
        <v>72493</v>
      </c>
      <c r="Y759">
        <v>0.91</v>
      </c>
      <c r="Z759">
        <v>676</v>
      </c>
      <c r="AA759">
        <v>4854</v>
      </c>
      <c r="AB759" t="s">
        <v>116</v>
      </c>
      <c r="AC759">
        <v>18600</v>
      </c>
      <c r="AD759">
        <v>0</v>
      </c>
      <c r="AE759" t="s">
        <v>116</v>
      </c>
      <c r="AF759" t="s">
        <v>116</v>
      </c>
      <c r="AG759">
        <v>17.32</v>
      </c>
      <c r="AH759" t="s">
        <v>4351</v>
      </c>
      <c r="AI759" t="s">
        <v>3160</v>
      </c>
      <c r="AJ759">
        <v>0.68</v>
      </c>
      <c r="AK759">
        <v>1167</v>
      </c>
      <c r="AL759">
        <v>119</v>
      </c>
      <c r="AM759">
        <v>6.9999999999999999E-4</v>
      </c>
      <c r="AN759">
        <v>0</v>
      </c>
      <c r="AO759">
        <v>0</v>
      </c>
      <c r="AP759">
        <v>0.93</v>
      </c>
      <c r="AQ759">
        <v>0.93</v>
      </c>
      <c r="AR759">
        <v>-23.32</v>
      </c>
      <c r="AS759">
        <v>1.73</v>
      </c>
      <c r="AT759" t="s">
        <v>4680</v>
      </c>
      <c r="AU759">
        <v>44.5</v>
      </c>
      <c r="AV759">
        <v>44.62</v>
      </c>
      <c r="AW759">
        <v>0.73</v>
      </c>
      <c r="BA759">
        <v>-0.46</v>
      </c>
      <c r="BB759">
        <v>1.38</v>
      </c>
      <c r="BC759">
        <v>-0.46</v>
      </c>
      <c r="BD759">
        <v>0.48</v>
      </c>
      <c r="BE759">
        <v>0.46</v>
      </c>
      <c r="BF759">
        <v>-1.36</v>
      </c>
      <c r="BG759">
        <v>0.46</v>
      </c>
      <c r="BH759">
        <v>-0.48</v>
      </c>
      <c r="BI759">
        <v>20191024</v>
      </c>
      <c r="BJ759">
        <v>20091106</v>
      </c>
      <c r="BK759">
        <v>17.34</v>
      </c>
      <c r="BL759" t="s">
        <v>116</v>
      </c>
      <c r="BM759" t="s">
        <v>116</v>
      </c>
      <c r="BN759">
        <v>239.76</v>
      </c>
      <c r="BO759">
        <v>44.67</v>
      </c>
      <c r="BP759">
        <v>8.35</v>
      </c>
      <c r="BQ759">
        <v>77.89</v>
      </c>
      <c r="BR759">
        <v>229.35</v>
      </c>
      <c r="BS759">
        <v>6.52</v>
      </c>
      <c r="BT759">
        <v>0.01</v>
      </c>
      <c r="BU759">
        <v>93.94</v>
      </c>
      <c r="BV759">
        <v>176.08</v>
      </c>
      <c r="BW759">
        <v>8.31</v>
      </c>
      <c r="BX759">
        <v>13.07</v>
      </c>
      <c r="BY759">
        <v>40.08</v>
      </c>
      <c r="BZ759">
        <v>35.840000000000003</v>
      </c>
      <c r="CA759">
        <v>2.27</v>
      </c>
      <c r="CB759">
        <v>0.9</v>
      </c>
      <c r="CC759">
        <v>2.2799999999999998</v>
      </c>
      <c r="CD759">
        <v>1.63</v>
      </c>
      <c r="CE759">
        <v>0.3</v>
      </c>
      <c r="CF759">
        <v>0.28999999999999998</v>
      </c>
      <c r="CG759">
        <v>12.02</v>
      </c>
      <c r="CH759">
        <v>-1.73</v>
      </c>
      <c r="CI759">
        <v>0.89</v>
      </c>
      <c r="CJ759">
        <v>53371</v>
      </c>
      <c r="CK759">
        <v>14948</v>
      </c>
      <c r="CL759" t="s">
        <v>4681</v>
      </c>
      <c r="CM759">
        <v>0.78</v>
      </c>
      <c r="CN759">
        <v>126.32</v>
      </c>
      <c r="CO759">
        <v>0.84</v>
      </c>
      <c r="CP759">
        <v>-21.77</v>
      </c>
      <c r="CQ759">
        <v>0.94</v>
      </c>
      <c r="CR759">
        <v>2.2999999999999998</v>
      </c>
      <c r="CS759" t="s">
        <v>4682</v>
      </c>
      <c r="CT759">
        <v>2.58</v>
      </c>
      <c r="CU759">
        <v>0</v>
      </c>
      <c r="CV759">
        <v>0.75</v>
      </c>
      <c r="CW759">
        <v>0.69</v>
      </c>
      <c r="CX759">
        <v>-0.1</v>
      </c>
      <c r="CY759">
        <v>18.63</v>
      </c>
      <c r="CZ759" t="s">
        <v>3930</v>
      </c>
      <c r="DA759">
        <v>10.59</v>
      </c>
      <c r="DB759">
        <v>5.65</v>
      </c>
      <c r="DC759">
        <v>0.75</v>
      </c>
      <c r="DD759">
        <v>0</v>
      </c>
      <c r="DE759">
        <v>696</v>
      </c>
      <c r="DF759">
        <v>2305</v>
      </c>
      <c r="DG759" t="s">
        <v>116</v>
      </c>
      <c r="DH759" t="s">
        <v>116</v>
      </c>
      <c r="DI759" t="s">
        <v>116</v>
      </c>
    </row>
    <row r="760" spans="1:113" x14ac:dyDescent="0.4">
      <c r="A760" t="str">
        <f>"002306"</f>
        <v>002306</v>
      </c>
      <c r="B760" t="s">
        <v>4683</v>
      </c>
      <c r="C760">
        <v>0.78</v>
      </c>
      <c r="D760">
        <v>2.58</v>
      </c>
      <c r="E760">
        <v>0.02</v>
      </c>
      <c r="F760">
        <v>2.57</v>
      </c>
      <c r="G760">
        <v>2.58</v>
      </c>
      <c r="H760">
        <v>24284</v>
      </c>
      <c r="I760">
        <v>511</v>
      </c>
      <c r="J760">
        <v>0</v>
      </c>
      <c r="K760">
        <v>0.31</v>
      </c>
      <c r="L760">
        <v>2.57</v>
      </c>
      <c r="M760">
        <v>2.59</v>
      </c>
      <c r="N760">
        <v>2.5499999999999998</v>
      </c>
      <c r="O760">
        <v>2.56</v>
      </c>
      <c r="P760" t="s">
        <v>116</v>
      </c>
      <c r="Q760">
        <v>6228921</v>
      </c>
      <c r="R760">
        <v>0.75</v>
      </c>
      <c r="S760" t="s">
        <v>156</v>
      </c>
      <c r="T760" t="s">
        <v>165</v>
      </c>
      <c r="U760">
        <v>1.56</v>
      </c>
      <c r="V760">
        <v>2.57</v>
      </c>
      <c r="W760">
        <v>13319</v>
      </c>
      <c r="X760">
        <v>10965</v>
      </c>
      <c r="Y760">
        <v>1.21</v>
      </c>
      <c r="Z760">
        <v>56</v>
      </c>
      <c r="AA760">
        <v>147</v>
      </c>
      <c r="AB760" t="s">
        <v>116</v>
      </c>
      <c r="AC760">
        <v>25700</v>
      </c>
      <c r="AD760">
        <v>0</v>
      </c>
      <c r="AE760" t="s">
        <v>116</v>
      </c>
      <c r="AF760" t="s">
        <v>116</v>
      </c>
      <c r="AG760">
        <v>7.92</v>
      </c>
      <c r="AH760" t="s">
        <v>1461</v>
      </c>
      <c r="AI760" t="s">
        <v>4684</v>
      </c>
      <c r="AJ760">
        <v>1.46</v>
      </c>
      <c r="AK760">
        <v>248</v>
      </c>
      <c r="AL760">
        <v>98</v>
      </c>
      <c r="AM760">
        <v>1.1999999999999999E-3</v>
      </c>
      <c r="AN760">
        <v>1</v>
      </c>
      <c r="AO760">
        <v>-1.1499999999999999</v>
      </c>
      <c r="AP760">
        <v>5.74</v>
      </c>
      <c r="AQ760">
        <v>-9.4700000000000006</v>
      </c>
      <c r="AR760">
        <v>-19.88</v>
      </c>
      <c r="AS760">
        <v>0.4</v>
      </c>
      <c r="AT760" t="s">
        <v>4685</v>
      </c>
      <c r="AU760">
        <v>313.60000000000002</v>
      </c>
      <c r="AV760">
        <v>257.02999999999997</v>
      </c>
      <c r="AW760">
        <v>0.3</v>
      </c>
      <c r="BA760">
        <v>0.39</v>
      </c>
      <c r="BB760">
        <v>1.17</v>
      </c>
      <c r="BC760">
        <v>-0.39</v>
      </c>
      <c r="BD760">
        <v>0.2</v>
      </c>
      <c r="BE760">
        <v>0.39</v>
      </c>
      <c r="BF760">
        <v>-0.39</v>
      </c>
      <c r="BG760">
        <v>1.18</v>
      </c>
      <c r="BH760">
        <v>0.57999999999999996</v>
      </c>
      <c r="BI760">
        <v>20191029</v>
      </c>
      <c r="BJ760">
        <v>20091111</v>
      </c>
      <c r="BK760">
        <v>8</v>
      </c>
      <c r="BL760" t="s">
        <v>116</v>
      </c>
      <c r="BM760" t="s">
        <v>116</v>
      </c>
      <c r="BN760">
        <v>0.66</v>
      </c>
      <c r="BO760">
        <v>7.0000000000000007E-2</v>
      </c>
      <c r="BP760">
        <v>0</v>
      </c>
      <c r="BQ760">
        <v>89.47</v>
      </c>
      <c r="BR760">
        <v>0.4</v>
      </c>
      <c r="BS760">
        <v>0.04</v>
      </c>
      <c r="BT760">
        <v>0</v>
      </c>
      <c r="BU760">
        <v>0.56000000000000005</v>
      </c>
      <c r="BV760">
        <v>0</v>
      </c>
      <c r="BW760">
        <v>7.0000000000000007E-2</v>
      </c>
      <c r="BX760">
        <v>3.25</v>
      </c>
      <c r="BY760">
        <v>0.6</v>
      </c>
      <c r="BZ760">
        <v>0.35</v>
      </c>
      <c r="CA760">
        <v>-0.17</v>
      </c>
      <c r="CB760">
        <v>0</v>
      </c>
      <c r="CC760">
        <v>-0.17</v>
      </c>
      <c r="CD760">
        <v>-0.17</v>
      </c>
      <c r="CE760">
        <v>-0.17</v>
      </c>
      <c r="CF760">
        <v>-0.17</v>
      </c>
      <c r="CG760">
        <v>-11.53</v>
      </c>
      <c r="CH760">
        <v>-0.14000000000000001</v>
      </c>
      <c r="CI760">
        <v>-0.24</v>
      </c>
      <c r="CJ760">
        <v>39220</v>
      </c>
      <c r="CK760">
        <v>15362</v>
      </c>
      <c r="CL760" t="s">
        <v>4451</v>
      </c>
      <c r="CM760">
        <v>-9.2799999999999994</v>
      </c>
      <c r="CN760">
        <v>2.83</v>
      </c>
      <c r="CO760">
        <v>305.54000000000002</v>
      </c>
      <c r="CP760">
        <v>-143.33000000000001</v>
      </c>
      <c r="CQ760">
        <v>34.51</v>
      </c>
      <c r="CR760">
        <v>0</v>
      </c>
      <c r="CS760" t="s">
        <v>2584</v>
      </c>
      <c r="CT760">
        <v>0.01</v>
      </c>
      <c r="CU760">
        <v>0</v>
      </c>
      <c r="CV760">
        <v>0.41</v>
      </c>
      <c r="CW760">
        <v>-1.44</v>
      </c>
      <c r="CX760">
        <v>-0.02</v>
      </c>
      <c r="CY760">
        <v>10.29</v>
      </c>
      <c r="CZ760" t="s">
        <v>4686</v>
      </c>
      <c r="DA760">
        <v>41.54</v>
      </c>
      <c r="DB760">
        <v>-27.98</v>
      </c>
      <c r="DC760">
        <v>-28.52</v>
      </c>
      <c r="DD760">
        <v>0</v>
      </c>
      <c r="DE760">
        <v>468</v>
      </c>
      <c r="DF760">
        <v>2306</v>
      </c>
      <c r="DG760" t="s">
        <v>116</v>
      </c>
      <c r="DH760" t="s">
        <v>116</v>
      </c>
      <c r="DI760" t="s">
        <v>116</v>
      </c>
    </row>
    <row r="761" spans="1:113" x14ac:dyDescent="0.4">
      <c r="A761" t="str">
        <f>"002307"</f>
        <v>002307</v>
      </c>
      <c r="B761" t="s">
        <v>4687</v>
      </c>
      <c r="C761">
        <v>0</v>
      </c>
      <c r="D761">
        <v>5.73</v>
      </c>
      <c r="E761">
        <v>0</v>
      </c>
      <c r="F761">
        <v>5.72</v>
      </c>
      <c r="G761">
        <v>5.73</v>
      </c>
      <c r="H761">
        <v>114051</v>
      </c>
      <c r="I761">
        <v>1170</v>
      </c>
      <c r="J761">
        <v>0</v>
      </c>
      <c r="K761">
        <v>1.28</v>
      </c>
      <c r="L761">
        <v>5.73</v>
      </c>
      <c r="M761">
        <v>5.8</v>
      </c>
      <c r="N761">
        <v>5.7</v>
      </c>
      <c r="O761">
        <v>5.73</v>
      </c>
      <c r="P761">
        <v>103.53</v>
      </c>
      <c r="Q761">
        <v>65604656</v>
      </c>
      <c r="R761">
        <v>1.46</v>
      </c>
      <c r="S761" t="s">
        <v>181</v>
      </c>
      <c r="T761" t="s">
        <v>616</v>
      </c>
      <c r="U761">
        <v>1.75</v>
      </c>
      <c r="V761">
        <v>5.75</v>
      </c>
      <c r="W761">
        <v>54479</v>
      </c>
      <c r="X761">
        <v>59572</v>
      </c>
      <c r="Y761">
        <v>0.91</v>
      </c>
      <c r="Z761">
        <v>634</v>
      </c>
      <c r="AA761">
        <v>2212</v>
      </c>
      <c r="AB761" t="s">
        <v>116</v>
      </c>
      <c r="AC761">
        <v>64200</v>
      </c>
      <c r="AD761">
        <v>0</v>
      </c>
      <c r="AE761" t="s">
        <v>116</v>
      </c>
      <c r="AF761" t="s">
        <v>116</v>
      </c>
      <c r="AG761">
        <v>8.92</v>
      </c>
      <c r="AH761" t="s">
        <v>4688</v>
      </c>
      <c r="AI761" t="s">
        <v>4689</v>
      </c>
      <c r="AJ761">
        <v>0.68</v>
      </c>
      <c r="AK761">
        <v>1530</v>
      </c>
      <c r="AL761">
        <v>75</v>
      </c>
      <c r="AM761">
        <v>8.0000000000000004E-4</v>
      </c>
      <c r="AN761">
        <v>0</v>
      </c>
      <c r="AO761">
        <v>0</v>
      </c>
      <c r="AP761">
        <v>1.6</v>
      </c>
      <c r="AQ761">
        <v>-4.66</v>
      </c>
      <c r="AR761">
        <v>7.3</v>
      </c>
      <c r="AS761">
        <v>2.4</v>
      </c>
      <c r="AT761" t="s">
        <v>4690</v>
      </c>
      <c r="AU761">
        <v>87.33</v>
      </c>
      <c r="AV761">
        <v>96.87</v>
      </c>
      <c r="AW761">
        <v>0.84</v>
      </c>
      <c r="BA761">
        <v>0</v>
      </c>
      <c r="BB761">
        <v>1.22</v>
      </c>
      <c r="BC761">
        <v>-0.52</v>
      </c>
      <c r="BD761">
        <v>0.39</v>
      </c>
      <c r="BE761">
        <v>0</v>
      </c>
      <c r="BF761">
        <v>-1.21</v>
      </c>
      <c r="BG761">
        <v>0.53</v>
      </c>
      <c r="BH761">
        <v>-0.39</v>
      </c>
      <c r="BI761">
        <v>20191025</v>
      </c>
      <c r="BJ761">
        <v>20091111</v>
      </c>
      <c r="BK761">
        <v>8.98</v>
      </c>
      <c r="BL761" t="s">
        <v>116</v>
      </c>
      <c r="BM761" t="s">
        <v>116</v>
      </c>
      <c r="BN761">
        <v>267.64999999999998</v>
      </c>
      <c r="BO761">
        <v>18.43</v>
      </c>
      <c r="BP761">
        <v>19.63</v>
      </c>
      <c r="BQ761">
        <v>85.78</v>
      </c>
      <c r="BR761">
        <v>132.85</v>
      </c>
      <c r="BS761">
        <v>6.3</v>
      </c>
      <c r="BT761">
        <v>1.51</v>
      </c>
      <c r="BU761">
        <v>135.69</v>
      </c>
      <c r="BV761">
        <v>41.19</v>
      </c>
      <c r="BW761">
        <v>32.5</v>
      </c>
      <c r="BX761">
        <v>3.37</v>
      </c>
      <c r="BY761">
        <v>66.760000000000005</v>
      </c>
      <c r="BZ761">
        <v>60.34</v>
      </c>
      <c r="CA761">
        <v>0.65</v>
      </c>
      <c r="CB761">
        <v>0.09</v>
      </c>
      <c r="CC761">
        <v>0.75</v>
      </c>
      <c r="CD761">
        <v>0.31</v>
      </c>
      <c r="CE761">
        <v>0.37</v>
      </c>
      <c r="CF761">
        <v>0.17</v>
      </c>
      <c r="CG761">
        <v>4.78</v>
      </c>
      <c r="CH761">
        <v>-2.94</v>
      </c>
      <c r="CI761">
        <v>3.49</v>
      </c>
      <c r="CJ761">
        <v>87846</v>
      </c>
      <c r="CK761">
        <v>5406</v>
      </c>
      <c r="CL761" t="s">
        <v>4691</v>
      </c>
      <c r="CM761">
        <v>18.43</v>
      </c>
      <c r="CN761">
        <v>18.46</v>
      </c>
      <c r="CO761">
        <v>2.79</v>
      </c>
      <c r="CP761">
        <v>-17.48</v>
      </c>
      <c r="CQ761">
        <v>0.77</v>
      </c>
      <c r="CR761">
        <v>0</v>
      </c>
      <c r="CS761" t="s">
        <v>145</v>
      </c>
      <c r="CT761">
        <v>2.0499999999999998</v>
      </c>
      <c r="CU761">
        <v>0</v>
      </c>
      <c r="CV761">
        <v>0.38</v>
      </c>
      <c r="CW761">
        <v>0.53</v>
      </c>
      <c r="CX761">
        <v>-0.33</v>
      </c>
      <c r="CY761">
        <v>6.89</v>
      </c>
      <c r="CZ761" t="s">
        <v>4692</v>
      </c>
      <c r="DA761">
        <v>9.6199999999999992</v>
      </c>
      <c r="DB761">
        <v>0.98</v>
      </c>
      <c r="DC761">
        <v>0.56000000000000005</v>
      </c>
      <c r="DD761">
        <v>0</v>
      </c>
      <c r="DE761">
        <v>4850</v>
      </c>
      <c r="DF761">
        <v>2307</v>
      </c>
      <c r="DG761" t="s">
        <v>116</v>
      </c>
      <c r="DH761" t="s">
        <v>116</v>
      </c>
      <c r="DI761" t="s">
        <v>116</v>
      </c>
    </row>
    <row r="762" spans="1:113" x14ac:dyDescent="0.4">
      <c r="A762" t="str">
        <f>"002308"</f>
        <v>002308</v>
      </c>
      <c r="B762" t="s">
        <v>4693</v>
      </c>
      <c r="C762">
        <v>0.66</v>
      </c>
      <c r="D762">
        <v>4.6100000000000003</v>
      </c>
      <c r="E762">
        <v>0.03</v>
      </c>
      <c r="F762">
        <v>4.5999999999999996</v>
      </c>
      <c r="G762">
        <v>4.6100000000000003</v>
      </c>
      <c r="H762">
        <v>193834</v>
      </c>
      <c r="I762">
        <v>1601</v>
      </c>
      <c r="J762">
        <v>0.22</v>
      </c>
      <c r="K762">
        <v>2.15</v>
      </c>
      <c r="L762">
        <v>4.58</v>
      </c>
      <c r="M762">
        <v>4.67</v>
      </c>
      <c r="N762">
        <v>4.53</v>
      </c>
      <c r="O762">
        <v>4.58</v>
      </c>
      <c r="P762">
        <v>34.700000000000003</v>
      </c>
      <c r="Q762">
        <v>89231520</v>
      </c>
      <c r="R762">
        <v>1.74</v>
      </c>
      <c r="S762" t="s">
        <v>241</v>
      </c>
      <c r="T762" t="s">
        <v>551</v>
      </c>
      <c r="U762">
        <v>3.06</v>
      </c>
      <c r="V762">
        <v>4.5999999999999996</v>
      </c>
      <c r="W762">
        <v>92245</v>
      </c>
      <c r="X762">
        <v>101589</v>
      </c>
      <c r="Y762">
        <v>0.91</v>
      </c>
      <c r="Z762">
        <v>108</v>
      </c>
      <c r="AA762">
        <v>1555</v>
      </c>
      <c r="AB762" t="s">
        <v>116</v>
      </c>
      <c r="AC762">
        <v>256500</v>
      </c>
      <c r="AD762">
        <v>0.01</v>
      </c>
      <c r="AE762" t="s">
        <v>116</v>
      </c>
      <c r="AF762" t="s">
        <v>116</v>
      </c>
      <c r="AG762">
        <v>9.0299999999999994</v>
      </c>
      <c r="AH762" t="s">
        <v>3649</v>
      </c>
      <c r="AI762" t="s">
        <v>4694</v>
      </c>
      <c r="AJ762">
        <v>1.33</v>
      </c>
      <c r="AK762">
        <v>2035</v>
      </c>
      <c r="AL762">
        <v>95</v>
      </c>
      <c r="AM762">
        <v>1.1000000000000001E-3</v>
      </c>
      <c r="AN762">
        <v>2</v>
      </c>
      <c r="AO762">
        <v>1.1000000000000001</v>
      </c>
      <c r="AP762">
        <v>6.22</v>
      </c>
      <c r="AQ762">
        <v>5.49</v>
      </c>
      <c r="AR762">
        <v>3.6</v>
      </c>
      <c r="AS762">
        <v>3.26</v>
      </c>
      <c r="AT762" t="s">
        <v>4695</v>
      </c>
      <c r="AU762">
        <v>41.1</v>
      </c>
      <c r="AV762">
        <v>26.37</v>
      </c>
      <c r="AW762">
        <v>1.2</v>
      </c>
      <c r="BA762">
        <v>0</v>
      </c>
      <c r="BB762">
        <v>1.97</v>
      </c>
      <c r="BC762">
        <v>-1.0900000000000001</v>
      </c>
      <c r="BD762">
        <v>0.51</v>
      </c>
      <c r="BE762">
        <v>0.66</v>
      </c>
      <c r="BF762">
        <v>-1.28</v>
      </c>
      <c r="BG762">
        <v>1.77</v>
      </c>
      <c r="BH762">
        <v>0.14000000000000001</v>
      </c>
      <c r="BI762">
        <v>20191126</v>
      </c>
      <c r="BJ762">
        <v>20091127</v>
      </c>
      <c r="BK762">
        <v>9.06</v>
      </c>
      <c r="BL762" t="s">
        <v>116</v>
      </c>
      <c r="BM762" t="s">
        <v>116</v>
      </c>
      <c r="BN762">
        <v>41.85</v>
      </c>
      <c r="BO762">
        <v>36.31</v>
      </c>
      <c r="BP762">
        <v>0.19</v>
      </c>
      <c r="BQ762">
        <v>12.79</v>
      </c>
      <c r="BR762">
        <v>14.83</v>
      </c>
      <c r="BS762">
        <v>3.84</v>
      </c>
      <c r="BT762">
        <v>1.1000000000000001</v>
      </c>
      <c r="BU762">
        <v>2.78</v>
      </c>
      <c r="BV762">
        <v>1.93</v>
      </c>
      <c r="BW762">
        <v>2.56</v>
      </c>
      <c r="BX762">
        <v>14.5</v>
      </c>
      <c r="BY762">
        <v>7.96</v>
      </c>
      <c r="BZ762">
        <v>3.61</v>
      </c>
      <c r="CA762">
        <v>1.17</v>
      </c>
      <c r="CB762">
        <v>0.12</v>
      </c>
      <c r="CC762">
        <v>1.17</v>
      </c>
      <c r="CD762">
        <v>0.98</v>
      </c>
      <c r="CE762">
        <v>0.9</v>
      </c>
      <c r="CF762">
        <v>0.71</v>
      </c>
      <c r="CG762">
        <v>11.08</v>
      </c>
      <c r="CH762">
        <v>0.38</v>
      </c>
      <c r="CI762">
        <v>-5.47</v>
      </c>
      <c r="CJ762">
        <v>44964</v>
      </c>
      <c r="CK762">
        <v>13221</v>
      </c>
      <c r="CL762" t="s">
        <v>2605</v>
      </c>
      <c r="CM762">
        <v>-38.61</v>
      </c>
      <c r="CN762">
        <v>-3.52</v>
      </c>
      <c r="CO762">
        <v>1.1499999999999999</v>
      </c>
      <c r="CP762">
        <v>108.66</v>
      </c>
      <c r="CQ762">
        <v>5.25</v>
      </c>
      <c r="CR762">
        <v>0</v>
      </c>
      <c r="CS762" t="s">
        <v>2448</v>
      </c>
      <c r="CT762">
        <v>4.01</v>
      </c>
      <c r="CU762">
        <v>0</v>
      </c>
      <c r="CV762">
        <v>1.6</v>
      </c>
      <c r="CW762">
        <v>1.22</v>
      </c>
      <c r="CX762">
        <v>0.04</v>
      </c>
      <c r="CY762">
        <v>86.76</v>
      </c>
      <c r="CZ762" t="s">
        <v>1086</v>
      </c>
      <c r="DA762">
        <v>54.65</v>
      </c>
      <c r="DB762">
        <v>14.65</v>
      </c>
      <c r="DC762">
        <v>11.34</v>
      </c>
      <c r="DD762">
        <v>0.63</v>
      </c>
      <c r="DE762">
        <v>2522</v>
      </c>
      <c r="DF762">
        <v>2308</v>
      </c>
      <c r="DG762" t="s">
        <v>116</v>
      </c>
      <c r="DH762" t="s">
        <v>116</v>
      </c>
      <c r="DI762" t="s">
        <v>116</v>
      </c>
    </row>
    <row r="763" spans="1:113" x14ac:dyDescent="0.4">
      <c r="A763" t="str">
        <f>"002309"</f>
        <v>002309</v>
      </c>
      <c r="B763" t="s">
        <v>4696</v>
      </c>
      <c r="C763">
        <v>1.81</v>
      </c>
      <c r="D763">
        <v>6.19</v>
      </c>
      <c r="E763">
        <v>0.11</v>
      </c>
      <c r="F763">
        <v>6.18</v>
      </c>
      <c r="G763">
        <v>6.19</v>
      </c>
      <c r="H763">
        <v>84565</v>
      </c>
      <c r="I763">
        <v>1305</v>
      </c>
      <c r="J763">
        <v>0</v>
      </c>
      <c r="K763">
        <v>1.21</v>
      </c>
      <c r="L763">
        <v>6.08</v>
      </c>
      <c r="M763">
        <v>6.25</v>
      </c>
      <c r="N763">
        <v>6.08</v>
      </c>
      <c r="O763">
        <v>6.08</v>
      </c>
      <c r="P763">
        <v>196.21</v>
      </c>
      <c r="Q763">
        <v>52329584</v>
      </c>
      <c r="R763">
        <v>1.75</v>
      </c>
      <c r="S763" t="s">
        <v>397</v>
      </c>
      <c r="T763" t="s">
        <v>323</v>
      </c>
      <c r="U763">
        <v>2.8</v>
      </c>
      <c r="V763">
        <v>6.19</v>
      </c>
      <c r="W763">
        <v>38269</v>
      </c>
      <c r="X763">
        <v>46296</v>
      </c>
      <c r="Y763">
        <v>0.83</v>
      </c>
      <c r="Z763">
        <v>781</v>
      </c>
      <c r="AA763">
        <v>379</v>
      </c>
      <c r="AB763" t="s">
        <v>116</v>
      </c>
      <c r="AC763">
        <v>85700</v>
      </c>
      <c r="AD763">
        <v>0</v>
      </c>
      <c r="AE763" t="s">
        <v>116</v>
      </c>
      <c r="AF763" t="s">
        <v>116</v>
      </c>
      <c r="AG763">
        <v>6.96</v>
      </c>
      <c r="AH763" t="s">
        <v>3237</v>
      </c>
      <c r="AI763" t="s">
        <v>4697</v>
      </c>
      <c r="AJ763">
        <v>2.4900000000000002</v>
      </c>
      <c r="AK763">
        <v>1997</v>
      </c>
      <c r="AL763">
        <v>42</v>
      </c>
      <c r="AM763">
        <v>5.9999999999999995E-4</v>
      </c>
      <c r="AN763">
        <v>4</v>
      </c>
      <c r="AO763">
        <v>2.66</v>
      </c>
      <c r="AP763">
        <v>5.81</v>
      </c>
      <c r="AQ763">
        <v>-8.43</v>
      </c>
      <c r="AR763">
        <v>-25.78</v>
      </c>
      <c r="AS763">
        <v>1.65</v>
      </c>
      <c r="AT763" t="s">
        <v>4698</v>
      </c>
      <c r="AU763" t="s">
        <v>116</v>
      </c>
      <c r="AV763" t="s">
        <v>116</v>
      </c>
      <c r="AW763">
        <v>1.22</v>
      </c>
      <c r="BA763">
        <v>0</v>
      </c>
      <c r="BB763">
        <v>2.8</v>
      </c>
      <c r="BC763">
        <v>0</v>
      </c>
      <c r="BD763">
        <v>1.78</v>
      </c>
      <c r="BE763">
        <v>1.81</v>
      </c>
      <c r="BF763">
        <v>-0.96</v>
      </c>
      <c r="BG763">
        <v>1.81</v>
      </c>
      <c r="BH763">
        <v>0.03</v>
      </c>
      <c r="BI763">
        <v>20191029</v>
      </c>
      <c r="BJ763">
        <v>20091127</v>
      </c>
      <c r="BK763">
        <v>8.7200000000000006</v>
      </c>
      <c r="BL763" t="s">
        <v>116</v>
      </c>
      <c r="BM763" t="s">
        <v>116</v>
      </c>
      <c r="BN763">
        <v>255.34</v>
      </c>
      <c r="BO763">
        <v>86.42</v>
      </c>
      <c r="BP763">
        <v>3.67</v>
      </c>
      <c r="BQ763">
        <v>64.72</v>
      </c>
      <c r="BR763">
        <v>191.93</v>
      </c>
      <c r="BS763">
        <v>39.5</v>
      </c>
      <c r="BT763">
        <v>4.4800000000000004</v>
      </c>
      <c r="BU763">
        <v>144.07</v>
      </c>
      <c r="BV763">
        <v>46.88</v>
      </c>
      <c r="BW763">
        <v>70.44</v>
      </c>
      <c r="BX763">
        <v>61.34</v>
      </c>
      <c r="BY763">
        <v>84.78</v>
      </c>
      <c r="BZ763">
        <v>69.709999999999994</v>
      </c>
      <c r="CA763">
        <v>1.29</v>
      </c>
      <c r="CB763">
        <v>0.11</v>
      </c>
      <c r="CC763">
        <v>1.17</v>
      </c>
      <c r="CD763">
        <v>0.68</v>
      </c>
      <c r="CE763">
        <v>0.21</v>
      </c>
      <c r="CF763">
        <v>-0.38</v>
      </c>
      <c r="CG763">
        <v>16.16</v>
      </c>
      <c r="CH763">
        <v>14.94</v>
      </c>
      <c r="CI763">
        <v>0.61</v>
      </c>
      <c r="CJ763">
        <v>30590</v>
      </c>
      <c r="CK763">
        <v>16771</v>
      </c>
      <c r="CL763" t="s">
        <v>4699</v>
      </c>
      <c r="CM763">
        <v>-64.650000000000006</v>
      </c>
      <c r="CN763">
        <v>-27.79</v>
      </c>
      <c r="CO763">
        <v>0.62</v>
      </c>
      <c r="CP763">
        <v>3.61</v>
      </c>
      <c r="CQ763">
        <v>0.64</v>
      </c>
      <c r="CR763">
        <v>0</v>
      </c>
      <c r="CS763" t="s">
        <v>4700</v>
      </c>
      <c r="CT763">
        <v>9.91</v>
      </c>
      <c r="CU763">
        <v>0</v>
      </c>
      <c r="CV763">
        <v>7.04</v>
      </c>
      <c r="CW763">
        <v>1.85</v>
      </c>
      <c r="CX763">
        <v>1.71</v>
      </c>
      <c r="CY763">
        <v>33.85</v>
      </c>
      <c r="CZ763" t="s">
        <v>4701</v>
      </c>
      <c r="DA763">
        <v>17.78</v>
      </c>
      <c r="DB763">
        <v>1.52</v>
      </c>
      <c r="DC763">
        <v>0.24</v>
      </c>
      <c r="DD763">
        <v>2.99</v>
      </c>
      <c r="DE763">
        <v>8284</v>
      </c>
      <c r="DF763">
        <v>2309</v>
      </c>
      <c r="DG763" t="s">
        <v>116</v>
      </c>
      <c r="DH763" t="s">
        <v>116</v>
      </c>
      <c r="DI763" t="s">
        <v>116</v>
      </c>
    </row>
    <row r="764" spans="1:113" x14ac:dyDescent="0.4">
      <c r="A764" t="str">
        <f>"002310"</f>
        <v>002310</v>
      </c>
      <c r="B764" t="s">
        <v>4702</v>
      </c>
      <c r="C764">
        <v>0.81</v>
      </c>
      <c r="D764">
        <v>4.95</v>
      </c>
      <c r="E764">
        <v>0.04</v>
      </c>
      <c r="F764">
        <v>4.9400000000000004</v>
      </c>
      <c r="G764">
        <v>4.95</v>
      </c>
      <c r="H764">
        <v>245647</v>
      </c>
      <c r="I764">
        <v>1664</v>
      </c>
      <c r="J764">
        <v>0</v>
      </c>
      <c r="K764">
        <v>1.49</v>
      </c>
      <c r="L764">
        <v>4.91</v>
      </c>
      <c r="M764">
        <v>5.05</v>
      </c>
      <c r="N764">
        <v>4.9000000000000004</v>
      </c>
      <c r="O764">
        <v>4.91</v>
      </c>
      <c r="P764" t="s">
        <v>116</v>
      </c>
      <c r="Q764">
        <v>122488008</v>
      </c>
      <c r="R764">
        <v>1.31</v>
      </c>
      <c r="S764" t="s">
        <v>181</v>
      </c>
      <c r="T764" t="s">
        <v>165</v>
      </c>
      <c r="U764">
        <v>3.05</v>
      </c>
      <c r="V764">
        <v>4.99</v>
      </c>
      <c r="W764">
        <v>112560</v>
      </c>
      <c r="X764">
        <v>133087</v>
      </c>
      <c r="Y764">
        <v>0.85</v>
      </c>
      <c r="Z764">
        <v>2677</v>
      </c>
      <c r="AA764">
        <v>913</v>
      </c>
      <c r="AB764" t="s">
        <v>116</v>
      </c>
      <c r="AC764">
        <v>106500</v>
      </c>
      <c r="AD764">
        <v>0</v>
      </c>
      <c r="AE764" t="s">
        <v>116</v>
      </c>
      <c r="AF764" t="s">
        <v>116</v>
      </c>
      <c r="AG764">
        <v>16.47</v>
      </c>
      <c r="AH764" t="s">
        <v>4703</v>
      </c>
      <c r="AI764" t="s">
        <v>4704</v>
      </c>
      <c r="AJ764">
        <v>1.49</v>
      </c>
      <c r="AK764">
        <v>2608</v>
      </c>
      <c r="AL764">
        <v>94</v>
      </c>
      <c r="AM764">
        <v>5.9999999999999995E-4</v>
      </c>
      <c r="AN764">
        <v>2</v>
      </c>
      <c r="AO764">
        <v>0.81</v>
      </c>
      <c r="AP764">
        <v>7.84</v>
      </c>
      <c r="AQ764">
        <v>-3.13</v>
      </c>
      <c r="AR764">
        <v>-27.91</v>
      </c>
      <c r="AS764">
        <v>2.12</v>
      </c>
      <c r="AT764" t="s">
        <v>4705</v>
      </c>
      <c r="AU764" t="s">
        <v>116</v>
      </c>
      <c r="AV764">
        <v>8.33</v>
      </c>
      <c r="AW764">
        <v>0.7</v>
      </c>
      <c r="BA764">
        <v>0</v>
      </c>
      <c r="BB764">
        <v>2.85</v>
      </c>
      <c r="BC764">
        <v>-0.2</v>
      </c>
      <c r="BD764">
        <v>1.55</v>
      </c>
      <c r="BE764">
        <v>0.81</v>
      </c>
      <c r="BF764">
        <v>-1.98</v>
      </c>
      <c r="BG764">
        <v>1.02</v>
      </c>
      <c r="BH764">
        <v>-0.74</v>
      </c>
      <c r="BI764">
        <v>20191108</v>
      </c>
      <c r="BJ764">
        <v>20091127</v>
      </c>
      <c r="BK764">
        <v>26.85</v>
      </c>
      <c r="BL764" t="s">
        <v>116</v>
      </c>
      <c r="BM764" t="s">
        <v>116</v>
      </c>
      <c r="BN764">
        <v>414.54</v>
      </c>
      <c r="BO764">
        <v>116.34</v>
      </c>
      <c r="BP764">
        <v>2.65</v>
      </c>
      <c r="BQ764">
        <v>71.3</v>
      </c>
      <c r="BR764">
        <v>261.11</v>
      </c>
      <c r="BS764">
        <v>11.99</v>
      </c>
      <c r="BT764">
        <v>7.28</v>
      </c>
      <c r="BU764">
        <v>248.09</v>
      </c>
      <c r="BV764">
        <v>145.74</v>
      </c>
      <c r="BW764">
        <v>93.06</v>
      </c>
      <c r="BX764">
        <v>18.170000000000002</v>
      </c>
      <c r="BY764">
        <v>38.36</v>
      </c>
      <c r="BZ764">
        <v>27.58</v>
      </c>
      <c r="CA764">
        <v>-8.9</v>
      </c>
      <c r="CB764">
        <v>-0.54</v>
      </c>
      <c r="CC764">
        <v>-9</v>
      </c>
      <c r="CD764">
        <v>-8.92</v>
      </c>
      <c r="CE764">
        <v>-8.86</v>
      </c>
      <c r="CF764">
        <v>-8.6999999999999993</v>
      </c>
      <c r="CG764">
        <v>64.290000000000006</v>
      </c>
      <c r="CH764">
        <v>-14.3</v>
      </c>
      <c r="CI764">
        <v>-4.34</v>
      </c>
      <c r="CJ764">
        <v>117841</v>
      </c>
      <c r="CK764">
        <v>9840</v>
      </c>
      <c r="CL764" t="s">
        <v>4706</v>
      </c>
      <c r="CM764">
        <v>-190.81</v>
      </c>
      <c r="CN764">
        <v>-60.24</v>
      </c>
      <c r="CO764">
        <v>1.1399999999999999</v>
      </c>
      <c r="CP764">
        <v>-9.3000000000000007</v>
      </c>
      <c r="CQ764">
        <v>3.47</v>
      </c>
      <c r="CR764">
        <v>1.9</v>
      </c>
      <c r="CS764" t="s">
        <v>4707</v>
      </c>
      <c r="CT764">
        <v>4.33</v>
      </c>
      <c r="CU764">
        <v>0</v>
      </c>
      <c r="CV764">
        <v>0.68</v>
      </c>
      <c r="CW764">
        <v>2.39</v>
      </c>
      <c r="CX764">
        <v>-0.53</v>
      </c>
      <c r="CY764">
        <v>28.07</v>
      </c>
      <c r="CZ764" t="s">
        <v>4708</v>
      </c>
      <c r="DA764">
        <v>28.1</v>
      </c>
      <c r="DB764">
        <v>-23.21</v>
      </c>
      <c r="DC764">
        <v>-23.08</v>
      </c>
      <c r="DD764">
        <v>1.2</v>
      </c>
      <c r="DE764">
        <v>5244</v>
      </c>
      <c r="DF764">
        <v>2310</v>
      </c>
      <c r="DG764" t="s">
        <v>116</v>
      </c>
      <c r="DH764" t="s">
        <v>116</v>
      </c>
      <c r="DI764" t="s">
        <v>116</v>
      </c>
    </row>
    <row r="765" spans="1:113" x14ac:dyDescent="0.4">
      <c r="A765" t="str">
        <f>"002311"</f>
        <v>002311</v>
      </c>
      <c r="B765" t="s">
        <v>4709</v>
      </c>
      <c r="C765">
        <v>2.2599999999999998</v>
      </c>
      <c r="D765">
        <v>34.770000000000003</v>
      </c>
      <c r="E765">
        <v>0.77</v>
      </c>
      <c r="F765">
        <v>34.770000000000003</v>
      </c>
      <c r="G765">
        <v>34.78</v>
      </c>
      <c r="H765">
        <v>74993</v>
      </c>
      <c r="I765">
        <v>280</v>
      </c>
      <c r="J765">
        <v>0.12</v>
      </c>
      <c r="K765">
        <v>0.48</v>
      </c>
      <c r="L765">
        <v>34</v>
      </c>
      <c r="M765">
        <v>35.07</v>
      </c>
      <c r="N765">
        <v>33.99</v>
      </c>
      <c r="O765">
        <v>34</v>
      </c>
      <c r="P765">
        <v>29.19</v>
      </c>
      <c r="Q765">
        <v>260247472</v>
      </c>
      <c r="R765">
        <v>1.24</v>
      </c>
      <c r="S765" t="s">
        <v>389</v>
      </c>
      <c r="T765" t="s">
        <v>551</v>
      </c>
      <c r="U765">
        <v>3.18</v>
      </c>
      <c r="V765">
        <v>34.700000000000003</v>
      </c>
      <c r="W765">
        <v>28151</v>
      </c>
      <c r="X765">
        <v>46842</v>
      </c>
      <c r="Y765">
        <v>0.6</v>
      </c>
      <c r="Z765">
        <v>4</v>
      </c>
      <c r="AA765">
        <v>65</v>
      </c>
      <c r="AB765" t="s">
        <v>116</v>
      </c>
      <c r="AC765">
        <v>309400</v>
      </c>
      <c r="AD765">
        <v>0</v>
      </c>
      <c r="AE765" t="s">
        <v>116</v>
      </c>
      <c r="AF765" t="s">
        <v>116</v>
      </c>
      <c r="AG765">
        <v>15.53</v>
      </c>
      <c r="AH765" t="s">
        <v>4710</v>
      </c>
      <c r="AI765" t="s">
        <v>4711</v>
      </c>
      <c r="AJ765">
        <v>2.94</v>
      </c>
      <c r="AK765">
        <v>3740</v>
      </c>
      <c r="AL765">
        <v>20</v>
      </c>
      <c r="AM765">
        <v>1E-4</v>
      </c>
      <c r="AN765">
        <v>2</v>
      </c>
      <c r="AO765">
        <v>2.06</v>
      </c>
      <c r="AP765">
        <v>13.26</v>
      </c>
      <c r="AQ765">
        <v>7.25</v>
      </c>
      <c r="AR765">
        <v>52.03</v>
      </c>
      <c r="AS765">
        <v>1.17</v>
      </c>
      <c r="AT765" t="s">
        <v>4712</v>
      </c>
      <c r="AU765">
        <v>34.82</v>
      </c>
      <c r="AV765">
        <v>38.24</v>
      </c>
      <c r="AW765">
        <v>0.69</v>
      </c>
      <c r="BA765">
        <v>0</v>
      </c>
      <c r="BB765">
        <v>3.15</v>
      </c>
      <c r="BC765">
        <v>-0.03</v>
      </c>
      <c r="BD765">
        <v>2.0699999999999998</v>
      </c>
      <c r="BE765">
        <v>2.2599999999999998</v>
      </c>
      <c r="BF765">
        <v>-0.86</v>
      </c>
      <c r="BG765">
        <v>2.29</v>
      </c>
      <c r="BH765">
        <v>0.2</v>
      </c>
      <c r="BI765">
        <v>20191022</v>
      </c>
      <c r="BJ765">
        <v>20091127</v>
      </c>
      <c r="BK765">
        <v>15.81</v>
      </c>
      <c r="BL765" t="s">
        <v>116</v>
      </c>
      <c r="BM765" t="s">
        <v>116</v>
      </c>
      <c r="BN765">
        <v>182.61</v>
      </c>
      <c r="BO765">
        <v>88.65</v>
      </c>
      <c r="BP765">
        <v>5.76</v>
      </c>
      <c r="BQ765">
        <v>48.29</v>
      </c>
      <c r="BR765">
        <v>87.52</v>
      </c>
      <c r="BS765">
        <v>55.1</v>
      </c>
      <c r="BT765">
        <v>11</v>
      </c>
      <c r="BU765">
        <v>76.92</v>
      </c>
      <c r="BV765">
        <v>36.65</v>
      </c>
      <c r="BW765">
        <v>23</v>
      </c>
      <c r="BX765">
        <v>21.01</v>
      </c>
      <c r="BY765">
        <v>355.13</v>
      </c>
      <c r="BZ765">
        <v>312.62</v>
      </c>
      <c r="CA765">
        <v>18.07</v>
      </c>
      <c r="CB765">
        <v>1.71</v>
      </c>
      <c r="CC765">
        <v>17.96</v>
      </c>
      <c r="CD765">
        <v>15.02</v>
      </c>
      <c r="CE765">
        <v>14.12</v>
      </c>
      <c r="CF765">
        <v>13.72</v>
      </c>
      <c r="CG765">
        <v>48.17</v>
      </c>
      <c r="CH765">
        <v>20.010000000000002</v>
      </c>
      <c r="CI765">
        <v>-11.32</v>
      </c>
      <c r="CJ765">
        <v>12385</v>
      </c>
      <c r="CK765">
        <v>51910</v>
      </c>
      <c r="CL765" t="s">
        <v>4713</v>
      </c>
      <c r="CM765">
        <v>11.13</v>
      </c>
      <c r="CN765">
        <v>15.18</v>
      </c>
      <c r="CO765">
        <v>6.2</v>
      </c>
      <c r="CP765">
        <v>27.47</v>
      </c>
      <c r="CQ765">
        <v>1.55</v>
      </c>
      <c r="CR765">
        <v>0.86</v>
      </c>
      <c r="CS765" t="s">
        <v>4714</v>
      </c>
      <c r="CT765">
        <v>5.61</v>
      </c>
      <c r="CU765">
        <v>0</v>
      </c>
      <c r="CV765">
        <v>1.33</v>
      </c>
      <c r="CW765">
        <v>3.05</v>
      </c>
      <c r="CX765">
        <v>1.27</v>
      </c>
      <c r="CY765">
        <v>48.55</v>
      </c>
      <c r="CZ765" t="s">
        <v>4715</v>
      </c>
      <c r="DA765">
        <v>11.97</v>
      </c>
      <c r="DB765">
        <v>5.09</v>
      </c>
      <c r="DC765">
        <v>3.98</v>
      </c>
      <c r="DD765">
        <v>2.63</v>
      </c>
      <c r="DE765">
        <v>17389</v>
      </c>
      <c r="DF765">
        <v>2311</v>
      </c>
      <c r="DG765" t="s">
        <v>116</v>
      </c>
      <c r="DH765" t="s">
        <v>116</v>
      </c>
      <c r="DI765" t="s">
        <v>116</v>
      </c>
    </row>
    <row r="766" spans="1:113" x14ac:dyDescent="0.4">
      <c r="A766" t="str">
        <f>"002312"</f>
        <v>002312</v>
      </c>
      <c r="B766" t="s">
        <v>4716</v>
      </c>
      <c r="C766">
        <v>0</v>
      </c>
      <c r="D766">
        <v>4.16</v>
      </c>
      <c r="E766">
        <v>0</v>
      </c>
      <c r="F766">
        <v>4.1500000000000004</v>
      </c>
      <c r="G766">
        <v>4.16</v>
      </c>
      <c r="H766">
        <v>123787</v>
      </c>
      <c r="I766">
        <v>1377</v>
      </c>
      <c r="J766">
        <v>0.24</v>
      </c>
      <c r="K766">
        <v>0.92</v>
      </c>
      <c r="L766">
        <v>4.16</v>
      </c>
      <c r="M766">
        <v>4.1900000000000004</v>
      </c>
      <c r="N766">
        <v>4.1399999999999997</v>
      </c>
      <c r="O766">
        <v>4.16</v>
      </c>
      <c r="P766" t="s">
        <v>116</v>
      </c>
      <c r="Q766">
        <v>51642720</v>
      </c>
      <c r="R766">
        <v>0.94</v>
      </c>
      <c r="S766" t="s">
        <v>241</v>
      </c>
      <c r="T766" t="s">
        <v>582</v>
      </c>
      <c r="U766">
        <v>1.2</v>
      </c>
      <c r="V766">
        <v>4.17</v>
      </c>
      <c r="W766">
        <v>68197</v>
      </c>
      <c r="X766">
        <v>55590</v>
      </c>
      <c r="Y766">
        <v>1.23</v>
      </c>
      <c r="Z766">
        <v>2591</v>
      </c>
      <c r="AA766">
        <v>34</v>
      </c>
      <c r="AB766" t="s">
        <v>116</v>
      </c>
      <c r="AC766">
        <v>116900</v>
      </c>
      <c r="AD766">
        <v>0</v>
      </c>
      <c r="AE766" t="s">
        <v>116</v>
      </c>
      <c r="AF766" t="s">
        <v>116</v>
      </c>
      <c r="AG766">
        <v>13.49</v>
      </c>
      <c r="AH766" t="s">
        <v>4717</v>
      </c>
      <c r="AI766" t="s">
        <v>4718</v>
      </c>
      <c r="AJ766">
        <v>0.68</v>
      </c>
      <c r="AK766">
        <v>1273</v>
      </c>
      <c r="AL766">
        <v>97</v>
      </c>
      <c r="AM766">
        <v>6.9999999999999999E-4</v>
      </c>
      <c r="AN766">
        <v>0</v>
      </c>
      <c r="AO766">
        <v>0</v>
      </c>
      <c r="AP766">
        <v>-0.24</v>
      </c>
      <c r="AQ766">
        <v>5.85</v>
      </c>
      <c r="AR766">
        <v>32.909999999999997</v>
      </c>
      <c r="AS766">
        <v>1.24</v>
      </c>
      <c r="AT766" t="s">
        <v>3957</v>
      </c>
      <c r="AU766" t="s">
        <v>116</v>
      </c>
      <c r="AV766" t="s">
        <v>116</v>
      </c>
      <c r="AW766">
        <v>0.61</v>
      </c>
      <c r="BA766">
        <v>0</v>
      </c>
      <c r="BB766">
        <v>0.72</v>
      </c>
      <c r="BC766">
        <v>-0.48</v>
      </c>
      <c r="BD766">
        <v>0.28999999999999998</v>
      </c>
      <c r="BE766">
        <v>0</v>
      </c>
      <c r="BF766">
        <v>-0.72</v>
      </c>
      <c r="BG766">
        <v>0.48</v>
      </c>
      <c r="BH766">
        <v>-0.28999999999999998</v>
      </c>
      <c r="BI766">
        <v>20191226</v>
      </c>
      <c r="BJ766">
        <v>20091203</v>
      </c>
      <c r="BK766">
        <v>13.78</v>
      </c>
      <c r="BL766" t="s">
        <v>116</v>
      </c>
      <c r="BM766" t="s">
        <v>116</v>
      </c>
      <c r="BN766">
        <v>33.79</v>
      </c>
      <c r="BO766">
        <v>31.2</v>
      </c>
      <c r="BP766">
        <v>0</v>
      </c>
      <c r="BQ766">
        <v>7.68</v>
      </c>
      <c r="BR766">
        <v>21.28</v>
      </c>
      <c r="BS766">
        <v>1.76</v>
      </c>
      <c r="BT766">
        <v>0.08</v>
      </c>
      <c r="BU766">
        <v>2.5099999999999998</v>
      </c>
      <c r="BV766">
        <v>0</v>
      </c>
      <c r="BW766">
        <v>1.76</v>
      </c>
      <c r="BX766">
        <v>28.4</v>
      </c>
      <c r="BY766">
        <v>5.69</v>
      </c>
      <c r="BZ766">
        <v>5.04</v>
      </c>
      <c r="CA766">
        <v>-0.83</v>
      </c>
      <c r="CB766">
        <v>-1.43</v>
      </c>
      <c r="CC766">
        <v>-0.83</v>
      </c>
      <c r="CD766">
        <v>-0.93</v>
      </c>
      <c r="CE766">
        <v>-0.93</v>
      </c>
      <c r="CF766">
        <v>-1.26</v>
      </c>
      <c r="CG766">
        <v>-11.11</v>
      </c>
      <c r="CH766">
        <v>-1.1399999999999999</v>
      </c>
      <c r="CI766">
        <v>0</v>
      </c>
      <c r="CJ766">
        <v>77447</v>
      </c>
      <c r="CK766">
        <v>12869</v>
      </c>
      <c r="CL766" t="s">
        <v>4525</v>
      </c>
      <c r="CM766">
        <v>38.47</v>
      </c>
      <c r="CN766">
        <v>7.95</v>
      </c>
      <c r="CO766">
        <v>1.84</v>
      </c>
      <c r="CP766">
        <v>-50.25</v>
      </c>
      <c r="CQ766">
        <v>10.07</v>
      </c>
      <c r="CR766">
        <v>0</v>
      </c>
      <c r="CS766" t="s">
        <v>4719</v>
      </c>
      <c r="CT766">
        <v>2.2599999999999998</v>
      </c>
      <c r="CU766">
        <v>0</v>
      </c>
      <c r="CV766">
        <v>2.06</v>
      </c>
      <c r="CW766">
        <v>-0.81</v>
      </c>
      <c r="CX766">
        <v>-0.08</v>
      </c>
      <c r="CY766">
        <v>92.32</v>
      </c>
      <c r="CZ766" t="s">
        <v>4720</v>
      </c>
      <c r="DA766">
        <v>11.42</v>
      </c>
      <c r="DB766">
        <v>-14.55</v>
      </c>
      <c r="DC766">
        <v>-16.329999999999998</v>
      </c>
      <c r="DD766">
        <v>0.04</v>
      </c>
      <c r="DE766">
        <v>10877</v>
      </c>
      <c r="DF766">
        <v>2312</v>
      </c>
      <c r="DG766" t="s">
        <v>116</v>
      </c>
      <c r="DH766" t="s">
        <v>116</v>
      </c>
      <c r="DI766" t="s">
        <v>116</v>
      </c>
    </row>
    <row r="767" spans="1:113" x14ac:dyDescent="0.4">
      <c r="A767" t="str">
        <f>"002313"</f>
        <v>002313</v>
      </c>
      <c r="B767" t="s">
        <v>4721</v>
      </c>
      <c r="C767">
        <v>-2.27</v>
      </c>
      <c r="D767">
        <v>19.84</v>
      </c>
      <c r="E767">
        <v>-0.46</v>
      </c>
      <c r="F767">
        <v>19.829999999999998</v>
      </c>
      <c r="G767">
        <v>19.84</v>
      </c>
      <c r="H767">
        <v>47733</v>
      </c>
      <c r="I767">
        <v>398</v>
      </c>
      <c r="J767">
        <v>-0.04</v>
      </c>
      <c r="K767">
        <v>1.53</v>
      </c>
      <c r="L767">
        <v>20.25</v>
      </c>
      <c r="M767">
        <v>20.53</v>
      </c>
      <c r="N767">
        <v>19.760000000000002</v>
      </c>
      <c r="O767">
        <v>20.3</v>
      </c>
      <c r="P767">
        <v>57.69</v>
      </c>
      <c r="Q767">
        <v>95887432</v>
      </c>
      <c r="R767">
        <v>1.1100000000000001</v>
      </c>
      <c r="S767" t="s">
        <v>465</v>
      </c>
      <c r="T767" t="s">
        <v>115</v>
      </c>
      <c r="U767">
        <v>3.79</v>
      </c>
      <c r="V767">
        <v>20.09</v>
      </c>
      <c r="W767">
        <v>27872</v>
      </c>
      <c r="X767">
        <v>19861</v>
      </c>
      <c r="Y767">
        <v>1.4</v>
      </c>
      <c r="Z767">
        <v>19</v>
      </c>
      <c r="AA767">
        <v>41</v>
      </c>
      <c r="AB767" t="s">
        <v>116</v>
      </c>
      <c r="AC767">
        <v>417200</v>
      </c>
      <c r="AD767">
        <v>0.01</v>
      </c>
      <c r="AE767" t="s">
        <v>116</v>
      </c>
      <c r="AF767" t="s">
        <v>116</v>
      </c>
      <c r="AG767">
        <v>3.11</v>
      </c>
      <c r="AH767" t="s">
        <v>4722</v>
      </c>
      <c r="AI767" t="s">
        <v>4723</v>
      </c>
      <c r="AJ767">
        <v>-1.59</v>
      </c>
      <c r="AK767">
        <v>2343</v>
      </c>
      <c r="AL767">
        <v>20</v>
      </c>
      <c r="AM767">
        <v>6.9999999999999999E-4</v>
      </c>
      <c r="AN767">
        <v>-1</v>
      </c>
      <c r="AO767">
        <v>-1.39</v>
      </c>
      <c r="AP767">
        <v>4.8600000000000003</v>
      </c>
      <c r="AQ767">
        <v>-1.78</v>
      </c>
      <c r="AR767">
        <v>-12.04</v>
      </c>
      <c r="AS767">
        <v>2.46</v>
      </c>
      <c r="AT767" t="s">
        <v>4724</v>
      </c>
      <c r="AU767">
        <v>126.25</v>
      </c>
      <c r="AV767">
        <v>86.34</v>
      </c>
      <c r="AW767">
        <v>1.37</v>
      </c>
      <c r="BA767">
        <v>-0.25</v>
      </c>
      <c r="BB767">
        <v>1.1299999999999999</v>
      </c>
      <c r="BC767">
        <v>-2.66</v>
      </c>
      <c r="BD767">
        <v>-1.04</v>
      </c>
      <c r="BE767">
        <v>-2.02</v>
      </c>
      <c r="BF767">
        <v>-3.36</v>
      </c>
      <c r="BG767">
        <v>0.4</v>
      </c>
      <c r="BH767">
        <v>-1.22</v>
      </c>
      <c r="BI767">
        <v>20191224</v>
      </c>
      <c r="BJ767">
        <v>20091203</v>
      </c>
      <c r="BK767">
        <v>3.12</v>
      </c>
      <c r="BL767" t="s">
        <v>116</v>
      </c>
      <c r="BM767" t="s">
        <v>116</v>
      </c>
      <c r="BN767">
        <v>79.510000000000005</v>
      </c>
      <c r="BO767">
        <v>21.04</v>
      </c>
      <c r="BP767">
        <v>0.21</v>
      </c>
      <c r="BQ767">
        <v>73.27</v>
      </c>
      <c r="BR767">
        <v>65.180000000000007</v>
      </c>
      <c r="BS767">
        <v>3.3</v>
      </c>
      <c r="BT767">
        <v>2.2400000000000002</v>
      </c>
      <c r="BU767">
        <v>55.27</v>
      </c>
      <c r="BV767">
        <v>29.01</v>
      </c>
      <c r="BW767">
        <v>18.79</v>
      </c>
      <c r="BX767">
        <v>10.57</v>
      </c>
      <c r="BY767">
        <v>34.24</v>
      </c>
      <c r="BZ767">
        <v>27.8</v>
      </c>
      <c r="CA767">
        <v>0.74</v>
      </c>
      <c r="CB767">
        <v>0</v>
      </c>
      <c r="CC767">
        <v>0.81</v>
      </c>
      <c r="CD767">
        <v>0.73</v>
      </c>
      <c r="CE767">
        <v>0.8</v>
      </c>
      <c r="CF767">
        <v>0.72</v>
      </c>
      <c r="CG767">
        <v>6.73</v>
      </c>
      <c r="CH767">
        <v>-6.69</v>
      </c>
      <c r="CI767">
        <v>-0.89</v>
      </c>
      <c r="CJ767">
        <v>20000</v>
      </c>
      <c r="CK767">
        <v>9692</v>
      </c>
      <c r="CL767" t="s">
        <v>4725</v>
      </c>
      <c r="CM767">
        <v>-21.98</v>
      </c>
      <c r="CN767">
        <v>27.68</v>
      </c>
      <c r="CO767">
        <v>2.94</v>
      </c>
      <c r="CP767">
        <v>-9.25</v>
      </c>
      <c r="CQ767">
        <v>1.81</v>
      </c>
      <c r="CR767">
        <v>0.13</v>
      </c>
      <c r="CS767" t="s">
        <v>4726</v>
      </c>
      <c r="CT767">
        <v>6.75</v>
      </c>
      <c r="CU767">
        <v>0</v>
      </c>
      <c r="CV767">
        <v>3.39</v>
      </c>
      <c r="CW767">
        <v>2.16</v>
      </c>
      <c r="CX767">
        <v>-2.15</v>
      </c>
      <c r="CY767">
        <v>26.47</v>
      </c>
      <c r="CZ767" t="s">
        <v>520</v>
      </c>
      <c r="DA767">
        <v>18.79</v>
      </c>
      <c r="DB767">
        <v>2.16</v>
      </c>
      <c r="DC767">
        <v>2.35</v>
      </c>
      <c r="DD767">
        <v>1.0900000000000001</v>
      </c>
      <c r="DE767">
        <v>2915</v>
      </c>
      <c r="DF767">
        <v>2313</v>
      </c>
      <c r="DG767" t="s">
        <v>116</v>
      </c>
      <c r="DH767" t="s">
        <v>116</v>
      </c>
      <c r="DI767" t="s">
        <v>116</v>
      </c>
    </row>
    <row r="768" spans="1:113" x14ac:dyDescent="0.4">
      <c r="A768" t="str">
        <f>"002314"</f>
        <v>002314</v>
      </c>
      <c r="B768" t="s">
        <v>4727</v>
      </c>
      <c r="C768">
        <v>0.66</v>
      </c>
      <c r="D768">
        <v>3.06</v>
      </c>
      <c r="E768">
        <v>0.02</v>
      </c>
      <c r="F768">
        <v>3.05</v>
      </c>
      <c r="G768">
        <v>3.06</v>
      </c>
      <c r="H768">
        <v>66249</v>
      </c>
      <c r="I768">
        <v>782</v>
      </c>
      <c r="J768">
        <v>0.33</v>
      </c>
      <c r="K768">
        <v>0.57999999999999996</v>
      </c>
      <c r="L768">
        <v>3.04</v>
      </c>
      <c r="M768">
        <v>3.09</v>
      </c>
      <c r="N768">
        <v>3.04</v>
      </c>
      <c r="O768">
        <v>3.04</v>
      </c>
      <c r="P768">
        <v>77.89</v>
      </c>
      <c r="Q768">
        <v>20317204</v>
      </c>
      <c r="R768">
        <v>1.62</v>
      </c>
      <c r="S768" t="s">
        <v>148</v>
      </c>
      <c r="T768" t="s">
        <v>115</v>
      </c>
      <c r="U768">
        <v>1.64</v>
      </c>
      <c r="V768">
        <v>3.07</v>
      </c>
      <c r="W768">
        <v>33056</v>
      </c>
      <c r="X768">
        <v>33193</v>
      </c>
      <c r="Y768">
        <v>1</v>
      </c>
      <c r="Z768">
        <v>117</v>
      </c>
      <c r="AA768">
        <v>3467</v>
      </c>
      <c r="AB768" t="s">
        <v>116</v>
      </c>
      <c r="AC768">
        <v>257200</v>
      </c>
      <c r="AD768">
        <v>0.01</v>
      </c>
      <c r="AE768" t="s">
        <v>116</v>
      </c>
      <c r="AF768" t="s">
        <v>116</v>
      </c>
      <c r="AG768">
        <v>11.37</v>
      </c>
      <c r="AH768" t="s">
        <v>4728</v>
      </c>
      <c r="AI768" t="s">
        <v>4729</v>
      </c>
      <c r="AJ768">
        <v>1.34</v>
      </c>
      <c r="AK768">
        <v>668</v>
      </c>
      <c r="AL768">
        <v>99</v>
      </c>
      <c r="AM768">
        <v>8.9999999999999998E-4</v>
      </c>
      <c r="AN768">
        <v>2</v>
      </c>
      <c r="AO768">
        <v>0.99</v>
      </c>
      <c r="AP768">
        <v>4.4400000000000004</v>
      </c>
      <c r="AQ768">
        <v>-3.77</v>
      </c>
      <c r="AR768">
        <v>6.62</v>
      </c>
      <c r="AS768">
        <v>0.96</v>
      </c>
      <c r="AT768" t="s">
        <v>4730</v>
      </c>
      <c r="AU768">
        <v>23.48</v>
      </c>
      <c r="AV768">
        <v>16.420000000000002</v>
      </c>
      <c r="AW768">
        <v>0.81</v>
      </c>
      <c r="BA768">
        <v>0</v>
      </c>
      <c r="BB768">
        <v>1.64</v>
      </c>
      <c r="BC768">
        <v>0</v>
      </c>
      <c r="BD768">
        <v>0.88</v>
      </c>
      <c r="BE768">
        <v>0.66</v>
      </c>
      <c r="BF768">
        <v>-0.97</v>
      </c>
      <c r="BG768">
        <v>0.66</v>
      </c>
      <c r="BH768">
        <v>-0.22</v>
      </c>
      <c r="BI768">
        <v>20191202</v>
      </c>
      <c r="BJ768">
        <v>20091203</v>
      </c>
      <c r="BK768">
        <v>27.08</v>
      </c>
      <c r="BL768" t="s">
        <v>116</v>
      </c>
      <c r="BM768" t="s">
        <v>116</v>
      </c>
      <c r="BN768">
        <v>361.47</v>
      </c>
      <c r="BO768">
        <v>81.59</v>
      </c>
      <c r="BP768">
        <v>27.74</v>
      </c>
      <c r="BQ768">
        <v>69.75</v>
      </c>
      <c r="BR768">
        <v>219.77</v>
      </c>
      <c r="BS768">
        <v>23.43</v>
      </c>
      <c r="BT768">
        <v>39.159999999999997</v>
      </c>
      <c r="BU768">
        <v>155.77000000000001</v>
      </c>
      <c r="BV768">
        <v>132.38</v>
      </c>
      <c r="BW768">
        <v>8.5399999999999991</v>
      </c>
      <c r="BX768">
        <v>27.47</v>
      </c>
      <c r="BY768">
        <v>30.92</v>
      </c>
      <c r="BZ768">
        <v>17.64</v>
      </c>
      <c r="CA768">
        <v>2.63</v>
      </c>
      <c r="CB768">
        <v>0.61</v>
      </c>
      <c r="CC768">
        <v>2.54</v>
      </c>
      <c r="CD768">
        <v>1.28</v>
      </c>
      <c r="CE768">
        <v>0.8</v>
      </c>
      <c r="CF768">
        <v>0.68</v>
      </c>
      <c r="CG768">
        <v>24.13</v>
      </c>
      <c r="CH768">
        <v>-3.55</v>
      </c>
      <c r="CI768">
        <v>-9.35</v>
      </c>
      <c r="CJ768">
        <v>49616</v>
      </c>
      <c r="CK768">
        <v>13894</v>
      </c>
      <c r="CL768" t="s">
        <v>1394</v>
      </c>
      <c r="CM768">
        <v>-65.53</v>
      </c>
      <c r="CN768">
        <v>-27.65</v>
      </c>
      <c r="CO768">
        <v>1.02</v>
      </c>
      <c r="CP768">
        <v>-23.33</v>
      </c>
      <c r="CQ768">
        <v>2.68</v>
      </c>
      <c r="CR768">
        <v>0</v>
      </c>
      <c r="CS768" t="s">
        <v>944</v>
      </c>
      <c r="CT768">
        <v>3.01</v>
      </c>
      <c r="CU768">
        <v>0</v>
      </c>
      <c r="CV768">
        <v>1.01</v>
      </c>
      <c r="CW768">
        <v>0.89</v>
      </c>
      <c r="CX768">
        <v>-0.13</v>
      </c>
      <c r="CY768">
        <v>22.57</v>
      </c>
      <c r="CZ768" t="s">
        <v>4731</v>
      </c>
      <c r="DA768">
        <v>42.94</v>
      </c>
      <c r="DB768">
        <v>8.49</v>
      </c>
      <c r="DC768">
        <v>2.58</v>
      </c>
      <c r="DD768">
        <v>0.16</v>
      </c>
      <c r="DE768">
        <v>4054</v>
      </c>
      <c r="DF768">
        <v>2314</v>
      </c>
      <c r="DG768" t="s">
        <v>116</v>
      </c>
      <c r="DH768" t="s">
        <v>116</v>
      </c>
      <c r="DI768" t="s">
        <v>116</v>
      </c>
    </row>
    <row r="769" spans="1:113" x14ac:dyDescent="0.4">
      <c r="A769" t="str">
        <f>"002315"</f>
        <v>002315</v>
      </c>
      <c r="B769" t="s">
        <v>4732</v>
      </c>
      <c r="C769">
        <v>-1.56</v>
      </c>
      <c r="D769">
        <v>18.88</v>
      </c>
      <c r="E769">
        <v>-0.3</v>
      </c>
      <c r="F769">
        <v>18.88</v>
      </c>
      <c r="G769">
        <v>18.89</v>
      </c>
      <c r="H769">
        <v>30940</v>
      </c>
      <c r="I769">
        <v>244</v>
      </c>
      <c r="J769">
        <v>-0.04</v>
      </c>
      <c r="K769">
        <v>2.64</v>
      </c>
      <c r="L769">
        <v>19.27</v>
      </c>
      <c r="M769">
        <v>19.420000000000002</v>
      </c>
      <c r="N769">
        <v>18.87</v>
      </c>
      <c r="O769">
        <v>19.18</v>
      </c>
      <c r="P769">
        <v>21</v>
      </c>
      <c r="Q769">
        <v>59149632</v>
      </c>
      <c r="R769">
        <v>0.88</v>
      </c>
      <c r="S769" t="s">
        <v>1384</v>
      </c>
      <c r="T769" t="s">
        <v>323</v>
      </c>
      <c r="U769">
        <v>2.87</v>
      </c>
      <c r="V769">
        <v>19.12</v>
      </c>
      <c r="W769">
        <v>18469</v>
      </c>
      <c r="X769">
        <v>12471</v>
      </c>
      <c r="Y769">
        <v>1.48</v>
      </c>
      <c r="Z769">
        <v>218</v>
      </c>
      <c r="AA769">
        <v>149</v>
      </c>
      <c r="AB769" t="s">
        <v>116</v>
      </c>
      <c r="AC769">
        <v>119500</v>
      </c>
      <c r="AD769">
        <v>0.01</v>
      </c>
      <c r="AE769" t="s">
        <v>116</v>
      </c>
      <c r="AF769" t="s">
        <v>116</v>
      </c>
      <c r="AG769">
        <v>1.17</v>
      </c>
      <c r="AH769" t="s">
        <v>4238</v>
      </c>
      <c r="AI769" t="s">
        <v>4733</v>
      </c>
      <c r="AJ769">
        <v>-0.89</v>
      </c>
      <c r="AK769">
        <v>2266</v>
      </c>
      <c r="AL769">
        <v>14</v>
      </c>
      <c r="AM769">
        <v>1.1999999999999999E-3</v>
      </c>
      <c r="AN769">
        <v>-1</v>
      </c>
      <c r="AO769">
        <v>2.06</v>
      </c>
      <c r="AP769">
        <v>5.47</v>
      </c>
      <c r="AQ769">
        <v>3.34</v>
      </c>
      <c r="AR769">
        <v>66.930000000000007</v>
      </c>
      <c r="AS769">
        <v>3.31</v>
      </c>
      <c r="AT769" t="s">
        <v>4734</v>
      </c>
      <c r="AU769">
        <v>29.34</v>
      </c>
      <c r="AV769">
        <v>78.8</v>
      </c>
      <c r="AW769">
        <v>1.47</v>
      </c>
      <c r="BA769">
        <v>0.47</v>
      </c>
      <c r="BB769">
        <v>1.25</v>
      </c>
      <c r="BC769">
        <v>-1.62</v>
      </c>
      <c r="BD769">
        <v>-0.33</v>
      </c>
      <c r="BE769">
        <v>-2.02</v>
      </c>
      <c r="BF769">
        <v>-2.78</v>
      </c>
      <c r="BG769">
        <v>0.05</v>
      </c>
      <c r="BH769">
        <v>-1.24</v>
      </c>
      <c r="BI769">
        <v>20191023</v>
      </c>
      <c r="BJ769">
        <v>20091209</v>
      </c>
      <c r="BK769">
        <v>2.35</v>
      </c>
      <c r="BL769" t="s">
        <v>116</v>
      </c>
      <c r="BM769" t="s">
        <v>116</v>
      </c>
      <c r="BN769">
        <v>26.97</v>
      </c>
      <c r="BO769">
        <v>20.190000000000001</v>
      </c>
      <c r="BP769">
        <v>0.18</v>
      </c>
      <c r="BQ769">
        <v>24.51</v>
      </c>
      <c r="BR769">
        <v>14.82</v>
      </c>
      <c r="BS769">
        <v>0.67</v>
      </c>
      <c r="BT769">
        <v>0.86</v>
      </c>
      <c r="BU769">
        <v>6.1</v>
      </c>
      <c r="BV769">
        <v>0.02</v>
      </c>
      <c r="BW769">
        <v>0.66</v>
      </c>
      <c r="BX769">
        <v>10.79</v>
      </c>
      <c r="BY769">
        <v>7.27</v>
      </c>
      <c r="BZ769">
        <v>1.89</v>
      </c>
      <c r="CA769">
        <v>1.88</v>
      </c>
      <c r="CB769">
        <v>0.69</v>
      </c>
      <c r="CC769">
        <v>1.89</v>
      </c>
      <c r="CD769">
        <v>1.57</v>
      </c>
      <c r="CE769">
        <v>1.58</v>
      </c>
      <c r="CF769">
        <v>0.82</v>
      </c>
      <c r="CG769">
        <v>4.1500000000000004</v>
      </c>
      <c r="CH769">
        <v>-1.1499999999999999</v>
      </c>
      <c r="CI769">
        <v>-3</v>
      </c>
      <c r="CJ769">
        <v>22214</v>
      </c>
      <c r="CK769">
        <v>4204</v>
      </c>
      <c r="CL769" t="s">
        <v>4735</v>
      </c>
      <c r="CM769">
        <v>149.31</v>
      </c>
      <c r="CN769">
        <v>14.27</v>
      </c>
      <c r="CO769">
        <v>2.2000000000000002</v>
      </c>
      <c r="CP769">
        <v>-38.64</v>
      </c>
      <c r="CQ769">
        <v>6.11</v>
      </c>
      <c r="CR769">
        <v>2.65</v>
      </c>
      <c r="CS769" t="s">
        <v>4736</v>
      </c>
      <c r="CT769">
        <v>8.59</v>
      </c>
      <c r="CU769">
        <v>0</v>
      </c>
      <c r="CV769">
        <v>4.59</v>
      </c>
      <c r="CW769">
        <v>1.77</v>
      </c>
      <c r="CX769">
        <v>-0.49</v>
      </c>
      <c r="CY769">
        <v>74.83</v>
      </c>
      <c r="CZ769" t="s">
        <v>4737</v>
      </c>
      <c r="DA769">
        <v>73.97</v>
      </c>
      <c r="DB769">
        <v>25.84</v>
      </c>
      <c r="DC769">
        <v>21.81</v>
      </c>
      <c r="DD769">
        <v>0.69</v>
      </c>
      <c r="DE769">
        <v>2013</v>
      </c>
      <c r="DF769">
        <v>2315</v>
      </c>
      <c r="DG769" t="s">
        <v>116</v>
      </c>
      <c r="DH769" t="s">
        <v>116</v>
      </c>
      <c r="DI769" t="s">
        <v>116</v>
      </c>
    </row>
    <row r="770" spans="1:113" x14ac:dyDescent="0.4">
      <c r="A770" t="str">
        <f>"002316"</f>
        <v>002316</v>
      </c>
      <c r="B770" t="s">
        <v>4738</v>
      </c>
      <c r="C770">
        <v>-1.29</v>
      </c>
      <c r="D770">
        <v>7.67</v>
      </c>
      <c r="E770">
        <v>-0.1</v>
      </c>
      <c r="F770">
        <v>7.66</v>
      </c>
      <c r="G770">
        <v>7.67</v>
      </c>
      <c r="H770">
        <v>112017</v>
      </c>
      <c r="I770">
        <v>1626</v>
      </c>
      <c r="J770">
        <v>0</v>
      </c>
      <c r="K770">
        <v>3.82</v>
      </c>
      <c r="L770">
        <v>7.79</v>
      </c>
      <c r="M770">
        <v>7.84</v>
      </c>
      <c r="N770">
        <v>7.67</v>
      </c>
      <c r="O770">
        <v>7.77</v>
      </c>
      <c r="P770">
        <v>61.39</v>
      </c>
      <c r="Q770">
        <v>86966008</v>
      </c>
      <c r="R770">
        <v>0.87</v>
      </c>
      <c r="S770" t="s">
        <v>607</v>
      </c>
      <c r="T770" t="s">
        <v>115</v>
      </c>
      <c r="U770">
        <v>2.19</v>
      </c>
      <c r="V770">
        <v>7.76</v>
      </c>
      <c r="W770">
        <v>60012</v>
      </c>
      <c r="X770">
        <v>52005</v>
      </c>
      <c r="Y770">
        <v>1.1499999999999999</v>
      </c>
      <c r="Z770">
        <v>894</v>
      </c>
      <c r="AA770">
        <v>212</v>
      </c>
      <c r="AB770" t="s">
        <v>116</v>
      </c>
      <c r="AC770">
        <v>384000</v>
      </c>
      <c r="AD770">
        <v>0.02</v>
      </c>
      <c r="AE770" t="s">
        <v>116</v>
      </c>
      <c r="AF770" t="s">
        <v>116</v>
      </c>
      <c r="AG770">
        <v>2.93</v>
      </c>
      <c r="AH770" t="s">
        <v>4739</v>
      </c>
      <c r="AI770" t="s">
        <v>4740</v>
      </c>
      <c r="AJ770">
        <v>-0.61</v>
      </c>
      <c r="AK770">
        <v>2472</v>
      </c>
      <c r="AL770">
        <v>45</v>
      </c>
      <c r="AM770">
        <v>1.5E-3</v>
      </c>
      <c r="AN770">
        <v>-2</v>
      </c>
      <c r="AO770">
        <v>-2.2999999999999998</v>
      </c>
      <c r="AP770">
        <v>-1.03</v>
      </c>
      <c r="AQ770">
        <v>-34.5</v>
      </c>
      <c r="AR770">
        <v>9.9600000000000009</v>
      </c>
      <c r="AS770">
        <v>4.63</v>
      </c>
      <c r="AT770" t="s">
        <v>1827</v>
      </c>
      <c r="AU770">
        <v>39.68</v>
      </c>
      <c r="AV770">
        <v>30.14</v>
      </c>
      <c r="AW770">
        <v>2.5499999999999998</v>
      </c>
      <c r="BA770">
        <v>0.26</v>
      </c>
      <c r="BB770">
        <v>0.9</v>
      </c>
      <c r="BC770">
        <v>-1.29</v>
      </c>
      <c r="BD770">
        <v>-0.08</v>
      </c>
      <c r="BE770">
        <v>-1.54</v>
      </c>
      <c r="BF770">
        <v>-2.17</v>
      </c>
      <c r="BG770">
        <v>0</v>
      </c>
      <c r="BH770">
        <v>-1.21</v>
      </c>
      <c r="BI770">
        <v>20191211</v>
      </c>
      <c r="BJ770">
        <v>20091209</v>
      </c>
      <c r="BK770">
        <v>3.93</v>
      </c>
      <c r="BL770" t="s">
        <v>116</v>
      </c>
      <c r="BM770" t="s">
        <v>116</v>
      </c>
      <c r="BN770">
        <v>33.090000000000003</v>
      </c>
      <c r="BO770">
        <v>9.1300000000000008</v>
      </c>
      <c r="BP770">
        <v>1.88</v>
      </c>
      <c r="BQ770">
        <v>66.709999999999994</v>
      </c>
      <c r="BR770">
        <v>15.45</v>
      </c>
      <c r="BS770">
        <v>4.07</v>
      </c>
      <c r="BT770">
        <v>0.44</v>
      </c>
      <c r="BU770">
        <v>18.62</v>
      </c>
      <c r="BV770">
        <v>1.1100000000000001</v>
      </c>
      <c r="BW770">
        <v>4.66</v>
      </c>
      <c r="BX770">
        <v>1.91</v>
      </c>
      <c r="BY770">
        <v>31.31</v>
      </c>
      <c r="BZ770">
        <v>23.69</v>
      </c>
      <c r="CA770">
        <v>2.02</v>
      </c>
      <c r="CB770">
        <v>-0.01</v>
      </c>
      <c r="CC770">
        <v>2.04</v>
      </c>
      <c r="CD770">
        <v>1.68</v>
      </c>
      <c r="CE770">
        <v>0.37</v>
      </c>
      <c r="CF770">
        <v>0.24</v>
      </c>
      <c r="CG770">
        <v>2.84</v>
      </c>
      <c r="CH770">
        <v>2.34</v>
      </c>
      <c r="CI770">
        <v>-0.75</v>
      </c>
      <c r="CJ770">
        <v>35310</v>
      </c>
      <c r="CK770">
        <v>6849</v>
      </c>
      <c r="CL770" t="s">
        <v>4741</v>
      </c>
      <c r="CM770">
        <v>-39.479999999999997</v>
      </c>
      <c r="CN770">
        <v>14</v>
      </c>
      <c r="CO770">
        <v>3.3</v>
      </c>
      <c r="CP770">
        <v>12.87</v>
      </c>
      <c r="CQ770">
        <v>0.96</v>
      </c>
      <c r="CR770">
        <v>0.2</v>
      </c>
      <c r="CS770" t="s">
        <v>3590</v>
      </c>
      <c r="CT770">
        <v>2.3199999999999998</v>
      </c>
      <c r="CU770">
        <v>0</v>
      </c>
      <c r="CV770">
        <v>0.49</v>
      </c>
      <c r="CW770">
        <v>0.72</v>
      </c>
      <c r="CX770">
        <v>0.6</v>
      </c>
      <c r="CY770">
        <v>27.61</v>
      </c>
      <c r="CZ770" t="s">
        <v>2745</v>
      </c>
      <c r="DA770">
        <v>24.34</v>
      </c>
      <c r="DB770">
        <v>6.45</v>
      </c>
      <c r="DC770">
        <v>1.18</v>
      </c>
      <c r="DD770">
        <v>0.79</v>
      </c>
      <c r="DE770">
        <v>1250</v>
      </c>
      <c r="DF770">
        <v>2316</v>
      </c>
      <c r="DG770" t="s">
        <v>116</v>
      </c>
      <c r="DH770" t="s">
        <v>116</v>
      </c>
      <c r="DI770" t="s">
        <v>116</v>
      </c>
    </row>
    <row r="771" spans="1:113" x14ac:dyDescent="0.4">
      <c r="A771" t="str">
        <f>"002317"</f>
        <v>002317</v>
      </c>
      <c r="B771" t="s">
        <v>4742</v>
      </c>
      <c r="C771">
        <v>-0.08</v>
      </c>
      <c r="D771">
        <v>11.99</v>
      </c>
      <c r="E771">
        <v>-0.01</v>
      </c>
      <c r="F771">
        <v>11.99</v>
      </c>
      <c r="G771">
        <v>12</v>
      </c>
      <c r="H771">
        <v>456919</v>
      </c>
      <c r="I771">
        <v>2448</v>
      </c>
      <c r="J771">
        <v>0.08</v>
      </c>
      <c r="K771">
        <v>5.84</v>
      </c>
      <c r="L771">
        <v>12.1</v>
      </c>
      <c r="M771">
        <v>12.87</v>
      </c>
      <c r="N771">
        <v>11.81</v>
      </c>
      <c r="O771">
        <v>12</v>
      </c>
      <c r="P771">
        <v>19.87</v>
      </c>
      <c r="Q771">
        <v>564796352</v>
      </c>
      <c r="R771">
        <v>2.2599999999999998</v>
      </c>
      <c r="S771" t="s">
        <v>781</v>
      </c>
      <c r="T771" t="s">
        <v>551</v>
      </c>
      <c r="U771">
        <v>8.83</v>
      </c>
      <c r="V771">
        <v>12.36</v>
      </c>
      <c r="W771">
        <v>221520</v>
      </c>
      <c r="X771">
        <v>235399</v>
      </c>
      <c r="Y771">
        <v>0.94</v>
      </c>
      <c r="Z771">
        <v>31</v>
      </c>
      <c r="AA771">
        <v>804</v>
      </c>
      <c r="AB771" t="s">
        <v>116</v>
      </c>
      <c r="AC771">
        <v>5319200</v>
      </c>
      <c r="AD771">
        <v>7.0000000000000007E-2</v>
      </c>
      <c r="AE771" t="s">
        <v>116</v>
      </c>
      <c r="AF771" t="s">
        <v>116</v>
      </c>
      <c r="AG771">
        <v>7.82</v>
      </c>
      <c r="AH771" t="s">
        <v>4743</v>
      </c>
      <c r="AI771" t="s">
        <v>4744</v>
      </c>
      <c r="AJ771">
        <v>0.6</v>
      </c>
      <c r="AK771">
        <v>3750</v>
      </c>
      <c r="AL771">
        <v>122</v>
      </c>
      <c r="AM771">
        <v>1.6000000000000001E-3</v>
      </c>
      <c r="AN771">
        <v>-1</v>
      </c>
      <c r="AO771">
        <v>13.55</v>
      </c>
      <c r="AP771">
        <v>21.73</v>
      </c>
      <c r="AQ771">
        <v>15.73</v>
      </c>
      <c r="AR771">
        <v>47.12</v>
      </c>
      <c r="AS771">
        <v>6.86</v>
      </c>
      <c r="AT771" t="s">
        <v>4745</v>
      </c>
      <c r="AU771">
        <v>21.52</v>
      </c>
      <c r="AV771">
        <v>22.42</v>
      </c>
      <c r="AW771">
        <v>0.91</v>
      </c>
      <c r="BA771">
        <v>0.83</v>
      </c>
      <c r="BB771">
        <v>7.25</v>
      </c>
      <c r="BC771">
        <v>-1.58</v>
      </c>
      <c r="BD771">
        <v>3.01</v>
      </c>
      <c r="BE771">
        <v>-0.91</v>
      </c>
      <c r="BF771">
        <v>-6.84</v>
      </c>
      <c r="BG771">
        <v>1.52</v>
      </c>
      <c r="BH771">
        <v>-3.09</v>
      </c>
      <c r="BI771">
        <v>20191023</v>
      </c>
      <c r="BJ771">
        <v>20091211</v>
      </c>
      <c r="BK771">
        <v>8.14</v>
      </c>
      <c r="BL771" t="s">
        <v>116</v>
      </c>
      <c r="BM771" t="s">
        <v>116</v>
      </c>
      <c r="BN771">
        <v>53.67</v>
      </c>
      <c r="BO771">
        <v>40.97</v>
      </c>
      <c r="BP771">
        <v>0.54</v>
      </c>
      <c r="BQ771">
        <v>22.66</v>
      </c>
      <c r="BR771">
        <v>24.66</v>
      </c>
      <c r="BS771">
        <v>6.05</v>
      </c>
      <c r="BT771">
        <v>3.31</v>
      </c>
      <c r="BU771">
        <v>7.7</v>
      </c>
      <c r="BV771">
        <v>3.32</v>
      </c>
      <c r="BW771">
        <v>6.51</v>
      </c>
      <c r="BX771">
        <v>14.17</v>
      </c>
      <c r="BY771">
        <v>19.190000000000001</v>
      </c>
      <c r="BZ771">
        <v>6.99</v>
      </c>
      <c r="CA771">
        <v>4.46</v>
      </c>
      <c r="CB771">
        <v>-0.01</v>
      </c>
      <c r="CC771">
        <v>4.4400000000000004</v>
      </c>
      <c r="CD771">
        <v>3.71</v>
      </c>
      <c r="CE771">
        <v>3.69</v>
      </c>
      <c r="CF771">
        <v>3.58</v>
      </c>
      <c r="CG771">
        <v>17.48</v>
      </c>
      <c r="CH771">
        <v>2.89</v>
      </c>
      <c r="CI771">
        <v>-0.9</v>
      </c>
      <c r="CJ771">
        <v>30082</v>
      </c>
      <c r="CK771">
        <v>22138</v>
      </c>
      <c r="CL771" t="s">
        <v>4746</v>
      </c>
      <c r="CM771">
        <v>5.16</v>
      </c>
      <c r="CN771">
        <v>10.14</v>
      </c>
      <c r="CO771">
        <v>2.38</v>
      </c>
      <c r="CP771">
        <v>33.83</v>
      </c>
      <c r="CQ771">
        <v>5.09</v>
      </c>
      <c r="CR771">
        <v>1.65</v>
      </c>
      <c r="CS771" t="s">
        <v>4747</v>
      </c>
      <c r="CT771">
        <v>5.03</v>
      </c>
      <c r="CU771">
        <v>0</v>
      </c>
      <c r="CV771">
        <v>1.74</v>
      </c>
      <c r="CW771">
        <v>2.15</v>
      </c>
      <c r="CX771">
        <v>0.35</v>
      </c>
      <c r="CY771">
        <v>76.33</v>
      </c>
      <c r="CZ771" t="s">
        <v>966</v>
      </c>
      <c r="DA771">
        <v>63.6</v>
      </c>
      <c r="DB771">
        <v>23.22</v>
      </c>
      <c r="DC771">
        <v>19.21</v>
      </c>
      <c r="DD771">
        <v>0.56000000000000005</v>
      </c>
      <c r="DE771">
        <v>1801</v>
      </c>
      <c r="DF771">
        <v>2317</v>
      </c>
      <c r="DG771" t="s">
        <v>116</v>
      </c>
      <c r="DH771" t="s">
        <v>116</v>
      </c>
      <c r="DI771" t="s">
        <v>116</v>
      </c>
    </row>
    <row r="772" spans="1:113" x14ac:dyDescent="0.4">
      <c r="A772" t="str">
        <f>"002318"</f>
        <v>002318</v>
      </c>
      <c r="B772" t="s">
        <v>4748</v>
      </c>
      <c r="C772">
        <v>-1.94</v>
      </c>
      <c r="D772">
        <v>9.09</v>
      </c>
      <c r="E772">
        <v>-0.18</v>
      </c>
      <c r="F772">
        <v>9.08</v>
      </c>
      <c r="G772">
        <v>9.09</v>
      </c>
      <c r="H772">
        <v>127114</v>
      </c>
      <c r="I772">
        <v>675</v>
      </c>
      <c r="J772">
        <v>0.22</v>
      </c>
      <c r="K772">
        <v>1.55</v>
      </c>
      <c r="L772">
        <v>9.27</v>
      </c>
      <c r="M772">
        <v>9.2799999999999994</v>
      </c>
      <c r="N772">
        <v>9.07</v>
      </c>
      <c r="O772">
        <v>9.27</v>
      </c>
      <c r="P772">
        <v>14.79</v>
      </c>
      <c r="Q772">
        <v>116462024</v>
      </c>
      <c r="R772">
        <v>1.18</v>
      </c>
      <c r="S772" t="s">
        <v>1839</v>
      </c>
      <c r="T772" t="s">
        <v>590</v>
      </c>
      <c r="U772">
        <v>2.27</v>
      </c>
      <c r="V772">
        <v>9.16</v>
      </c>
      <c r="W772">
        <v>77698</v>
      </c>
      <c r="X772">
        <v>49416</v>
      </c>
      <c r="Y772">
        <v>1.57</v>
      </c>
      <c r="Z772">
        <v>245</v>
      </c>
      <c r="AA772">
        <v>243</v>
      </c>
      <c r="AB772" t="s">
        <v>116</v>
      </c>
      <c r="AC772">
        <v>567300</v>
      </c>
      <c r="AD772">
        <v>0.01</v>
      </c>
      <c r="AE772" t="s">
        <v>116</v>
      </c>
      <c r="AF772" t="s">
        <v>116</v>
      </c>
      <c r="AG772">
        <v>8.18</v>
      </c>
      <c r="AH772" t="s">
        <v>4749</v>
      </c>
      <c r="AI772" t="s">
        <v>4750</v>
      </c>
      <c r="AJ772">
        <v>-1.26</v>
      </c>
      <c r="AK772">
        <v>3251</v>
      </c>
      <c r="AL772">
        <v>39</v>
      </c>
      <c r="AM772">
        <v>5.0000000000000001E-4</v>
      </c>
      <c r="AN772">
        <v>-2</v>
      </c>
      <c r="AO772">
        <v>-1.93</v>
      </c>
      <c r="AP772">
        <v>5.57</v>
      </c>
      <c r="AQ772">
        <v>17.899999999999999</v>
      </c>
      <c r="AR772">
        <v>50.5</v>
      </c>
      <c r="AS772">
        <v>2.65</v>
      </c>
      <c r="AT772" t="s">
        <v>4751</v>
      </c>
      <c r="AU772">
        <v>16.07</v>
      </c>
      <c r="AV772">
        <v>25.19</v>
      </c>
      <c r="AW772">
        <v>0.67</v>
      </c>
      <c r="BA772">
        <v>0</v>
      </c>
      <c r="BB772">
        <v>0.11</v>
      </c>
      <c r="BC772">
        <v>-2.16</v>
      </c>
      <c r="BD772">
        <v>-1.1599999999999999</v>
      </c>
      <c r="BE772">
        <v>-1.94</v>
      </c>
      <c r="BF772">
        <v>-2.0499999999999998</v>
      </c>
      <c r="BG772">
        <v>0.22</v>
      </c>
      <c r="BH772">
        <v>-0.78</v>
      </c>
      <c r="BI772">
        <v>20191030</v>
      </c>
      <c r="BJ772">
        <v>20091211</v>
      </c>
      <c r="BK772">
        <v>8.42</v>
      </c>
      <c r="BL772" t="s">
        <v>116</v>
      </c>
      <c r="BM772" t="s">
        <v>116</v>
      </c>
      <c r="BN772">
        <v>55.87</v>
      </c>
      <c r="BO772">
        <v>33.08</v>
      </c>
      <c r="BP772">
        <v>1.41</v>
      </c>
      <c r="BQ772">
        <v>38.28</v>
      </c>
      <c r="BR772">
        <v>33.72</v>
      </c>
      <c r="BS772">
        <v>14.61</v>
      </c>
      <c r="BT772">
        <v>2.14</v>
      </c>
      <c r="BU772">
        <v>11.02</v>
      </c>
      <c r="BV772">
        <v>11.86</v>
      </c>
      <c r="BW772">
        <v>7.08</v>
      </c>
      <c r="BX772">
        <v>7.67</v>
      </c>
      <c r="BY772">
        <v>32.81</v>
      </c>
      <c r="BZ772">
        <v>23.6</v>
      </c>
      <c r="CA772">
        <v>4.5999999999999996</v>
      </c>
      <c r="CB772">
        <v>7.0000000000000007E-2</v>
      </c>
      <c r="CC772">
        <v>4.5999999999999996</v>
      </c>
      <c r="CD772">
        <v>3.93</v>
      </c>
      <c r="CE772">
        <v>3.88</v>
      </c>
      <c r="CF772">
        <v>3.65</v>
      </c>
      <c r="CG772">
        <v>13.32</v>
      </c>
      <c r="CH772">
        <v>4.17</v>
      </c>
      <c r="CI772">
        <v>-1.86</v>
      </c>
      <c r="CJ772">
        <v>43880</v>
      </c>
      <c r="CK772">
        <v>10946</v>
      </c>
      <c r="CL772" t="s">
        <v>722</v>
      </c>
      <c r="CM772">
        <v>79.930000000000007</v>
      </c>
      <c r="CN772">
        <v>9.9</v>
      </c>
      <c r="CO772">
        <v>2.46</v>
      </c>
      <c r="CP772">
        <v>18.34</v>
      </c>
      <c r="CQ772">
        <v>2.33</v>
      </c>
      <c r="CR772">
        <v>3.3</v>
      </c>
      <c r="CS772" t="s">
        <v>4752</v>
      </c>
      <c r="CT772">
        <v>3.69</v>
      </c>
      <c r="CU772">
        <v>3.69</v>
      </c>
      <c r="CV772">
        <v>0.91</v>
      </c>
      <c r="CW772">
        <v>1.58</v>
      </c>
      <c r="CX772">
        <v>0.5</v>
      </c>
      <c r="CY772">
        <v>59.2</v>
      </c>
      <c r="CZ772" t="s">
        <v>4753</v>
      </c>
      <c r="DA772">
        <v>28.07</v>
      </c>
      <c r="DB772">
        <v>14.01</v>
      </c>
      <c r="DC772">
        <v>11.82</v>
      </c>
      <c r="DD772">
        <v>1.29</v>
      </c>
      <c r="DE772">
        <v>2856</v>
      </c>
      <c r="DF772">
        <v>2318</v>
      </c>
      <c r="DG772" t="s">
        <v>116</v>
      </c>
      <c r="DH772" t="s">
        <v>116</v>
      </c>
      <c r="DI772" t="s">
        <v>116</v>
      </c>
    </row>
    <row r="773" spans="1:113" x14ac:dyDescent="0.4">
      <c r="A773" t="str">
        <f>"002319"</f>
        <v>002319</v>
      </c>
      <c r="B773" t="s">
        <v>4754</v>
      </c>
      <c r="C773">
        <v>-1.54</v>
      </c>
      <c r="D773">
        <v>8.9600000000000009</v>
      </c>
      <c r="E773">
        <v>-0.14000000000000001</v>
      </c>
      <c r="F773">
        <v>8.9600000000000009</v>
      </c>
      <c r="G773">
        <v>8.98</v>
      </c>
      <c r="H773">
        <v>33043</v>
      </c>
      <c r="I773">
        <v>428</v>
      </c>
      <c r="J773">
        <v>-0.1</v>
      </c>
      <c r="K773">
        <v>1.65</v>
      </c>
      <c r="L773">
        <v>9</v>
      </c>
      <c r="M773">
        <v>9.1999999999999993</v>
      </c>
      <c r="N773">
        <v>8.9</v>
      </c>
      <c r="O773">
        <v>9.1</v>
      </c>
      <c r="P773" t="s">
        <v>116</v>
      </c>
      <c r="Q773">
        <v>30074400</v>
      </c>
      <c r="R773">
        <v>0.66</v>
      </c>
      <c r="S773" t="s">
        <v>1192</v>
      </c>
      <c r="T773" t="s">
        <v>551</v>
      </c>
      <c r="U773">
        <v>3.3</v>
      </c>
      <c r="V773">
        <v>9.1</v>
      </c>
      <c r="W773">
        <v>18034</v>
      </c>
      <c r="X773">
        <v>15009</v>
      </c>
      <c r="Y773">
        <v>1.2</v>
      </c>
      <c r="Z773">
        <v>285</v>
      </c>
      <c r="AA773">
        <v>31</v>
      </c>
      <c r="AB773" t="s">
        <v>116</v>
      </c>
      <c r="AC773">
        <v>162000</v>
      </c>
      <c r="AD773">
        <v>0.01</v>
      </c>
      <c r="AE773" t="s">
        <v>116</v>
      </c>
      <c r="AF773" t="s">
        <v>116</v>
      </c>
      <c r="AG773">
        <v>2</v>
      </c>
      <c r="AH773" t="s">
        <v>4755</v>
      </c>
      <c r="AI773" t="s">
        <v>4755</v>
      </c>
      <c r="AJ773">
        <v>-0.86</v>
      </c>
      <c r="AK773">
        <v>1177</v>
      </c>
      <c r="AL773">
        <v>28</v>
      </c>
      <c r="AM773">
        <v>1.4E-3</v>
      </c>
      <c r="AN773">
        <v>-1</v>
      </c>
      <c r="AO773">
        <v>-3.02</v>
      </c>
      <c r="AP773">
        <v>17.89</v>
      </c>
      <c r="AQ773">
        <v>-7.25</v>
      </c>
      <c r="AR773">
        <v>-41.4</v>
      </c>
      <c r="AS773">
        <v>2.23</v>
      </c>
      <c r="AT773" t="s">
        <v>4756</v>
      </c>
      <c r="AU773" t="s">
        <v>116</v>
      </c>
      <c r="AV773" t="s">
        <v>116</v>
      </c>
      <c r="AW773">
        <v>2.02</v>
      </c>
      <c r="BA773">
        <v>-1.1000000000000001</v>
      </c>
      <c r="BB773">
        <v>1.1000000000000001</v>
      </c>
      <c r="BC773">
        <v>-2.2000000000000002</v>
      </c>
      <c r="BD773">
        <v>0.02</v>
      </c>
      <c r="BE773">
        <v>-0.44</v>
      </c>
      <c r="BF773">
        <v>-2.61</v>
      </c>
      <c r="BG773">
        <v>0.67</v>
      </c>
      <c r="BH773">
        <v>-1.56</v>
      </c>
      <c r="BI773">
        <v>20191025</v>
      </c>
      <c r="BJ773">
        <v>20091211</v>
      </c>
      <c r="BK773">
        <v>2</v>
      </c>
      <c r="BL773" t="s">
        <v>116</v>
      </c>
      <c r="BM773" t="s">
        <v>116</v>
      </c>
      <c r="BN773">
        <v>9.2200000000000006</v>
      </c>
      <c r="BO773">
        <v>4.18</v>
      </c>
      <c r="BP773">
        <v>0</v>
      </c>
      <c r="BQ773">
        <v>54.62</v>
      </c>
      <c r="BR773">
        <v>2.33</v>
      </c>
      <c r="BS773">
        <v>3.88</v>
      </c>
      <c r="BT773">
        <v>0.2</v>
      </c>
      <c r="BU773">
        <v>5.03</v>
      </c>
      <c r="BV773">
        <v>0.47</v>
      </c>
      <c r="BW773">
        <v>1.61</v>
      </c>
      <c r="BX773">
        <v>1.04</v>
      </c>
      <c r="BY773">
        <v>3.37</v>
      </c>
      <c r="BZ773">
        <v>2.58</v>
      </c>
      <c r="CA773">
        <v>-0.1</v>
      </c>
      <c r="CB773">
        <v>0</v>
      </c>
      <c r="CC773">
        <v>-0.1</v>
      </c>
      <c r="CD773">
        <v>-0.14000000000000001</v>
      </c>
      <c r="CE773">
        <v>-0.14000000000000001</v>
      </c>
      <c r="CF773">
        <v>-0.15</v>
      </c>
      <c r="CG773">
        <v>0.85</v>
      </c>
      <c r="CH773">
        <v>0.21</v>
      </c>
      <c r="CI773">
        <v>-0.05</v>
      </c>
      <c r="CJ773">
        <v>15609</v>
      </c>
      <c r="CK773">
        <v>9479</v>
      </c>
      <c r="CL773" t="s">
        <v>4757</v>
      </c>
      <c r="CM773">
        <v>-665.32</v>
      </c>
      <c r="CN773">
        <v>-7.32</v>
      </c>
      <c r="CO773">
        <v>4.28</v>
      </c>
      <c r="CP773">
        <v>85.34</v>
      </c>
      <c r="CQ773">
        <v>5.32</v>
      </c>
      <c r="CR773">
        <v>0</v>
      </c>
      <c r="CS773" t="s">
        <v>490</v>
      </c>
      <c r="CT773">
        <v>2.09</v>
      </c>
      <c r="CU773">
        <v>0</v>
      </c>
      <c r="CV773">
        <v>0.52</v>
      </c>
      <c r="CW773">
        <v>0.43</v>
      </c>
      <c r="CX773">
        <v>0.1</v>
      </c>
      <c r="CY773">
        <v>45.38</v>
      </c>
      <c r="CZ773" t="s">
        <v>4758</v>
      </c>
      <c r="DA773">
        <v>23.41</v>
      </c>
      <c r="DB773">
        <v>-2.98</v>
      </c>
      <c r="DC773">
        <v>-4.24</v>
      </c>
      <c r="DD773">
        <v>0.11</v>
      </c>
      <c r="DE773">
        <v>338</v>
      </c>
      <c r="DF773">
        <v>2319</v>
      </c>
      <c r="DG773" t="s">
        <v>116</v>
      </c>
      <c r="DH773" t="s">
        <v>116</v>
      </c>
      <c r="DI773" t="s">
        <v>116</v>
      </c>
    </row>
    <row r="774" spans="1:113" x14ac:dyDescent="0.4">
      <c r="A774" t="str">
        <f>"002320"</f>
        <v>002320</v>
      </c>
      <c r="B774" t="s">
        <v>4759</v>
      </c>
      <c r="C774">
        <v>-0.24</v>
      </c>
      <c r="D774">
        <v>12.27</v>
      </c>
      <c r="E774">
        <v>-0.03</v>
      </c>
      <c r="F774">
        <v>12.27</v>
      </c>
      <c r="G774">
        <v>12.28</v>
      </c>
      <c r="H774">
        <v>127093</v>
      </c>
      <c r="I774">
        <v>1494</v>
      </c>
      <c r="J774">
        <v>0.33</v>
      </c>
      <c r="K774">
        <v>1.52</v>
      </c>
      <c r="L774">
        <v>12.4</v>
      </c>
      <c r="M774">
        <v>12.43</v>
      </c>
      <c r="N774">
        <v>12.05</v>
      </c>
      <c r="O774">
        <v>12.3</v>
      </c>
      <c r="P774">
        <v>52.19</v>
      </c>
      <c r="Q774">
        <v>155321504</v>
      </c>
      <c r="R774">
        <v>0.57999999999999996</v>
      </c>
      <c r="S774" t="s">
        <v>940</v>
      </c>
      <c r="T774" t="s">
        <v>851</v>
      </c>
      <c r="U774">
        <v>3.09</v>
      </c>
      <c r="V774">
        <v>12.22</v>
      </c>
      <c r="W774">
        <v>74123</v>
      </c>
      <c r="X774">
        <v>52970</v>
      </c>
      <c r="Y774">
        <v>1.4</v>
      </c>
      <c r="Z774">
        <v>212</v>
      </c>
      <c r="AA774">
        <v>236</v>
      </c>
      <c r="AB774" t="s">
        <v>116</v>
      </c>
      <c r="AC774">
        <v>439000</v>
      </c>
      <c r="AD774">
        <v>0.01</v>
      </c>
      <c r="AE774" t="s">
        <v>116</v>
      </c>
      <c r="AF774" t="s">
        <v>116</v>
      </c>
      <c r="AG774">
        <v>8.3800000000000008</v>
      </c>
      <c r="AH774" t="s">
        <v>4760</v>
      </c>
      <c r="AI774" t="s">
        <v>4761</v>
      </c>
      <c r="AJ774">
        <v>0.43</v>
      </c>
      <c r="AK774">
        <v>2623</v>
      </c>
      <c r="AL774">
        <v>48</v>
      </c>
      <c r="AM774">
        <v>5.9999999999999995E-4</v>
      </c>
      <c r="AN774">
        <v>-2</v>
      </c>
      <c r="AO774">
        <v>0.66</v>
      </c>
      <c r="AP774">
        <v>31.79</v>
      </c>
      <c r="AQ774">
        <v>55.32</v>
      </c>
      <c r="AR774">
        <v>38.380000000000003</v>
      </c>
      <c r="AS774">
        <v>4.76</v>
      </c>
      <c r="AT774" t="s">
        <v>4762</v>
      </c>
      <c r="AU774">
        <v>69.709999999999994</v>
      </c>
      <c r="AV774">
        <v>57.73</v>
      </c>
      <c r="AW774">
        <v>1.1499999999999999</v>
      </c>
      <c r="BA774">
        <v>0.81</v>
      </c>
      <c r="BB774">
        <v>1.06</v>
      </c>
      <c r="BC774">
        <v>-2.0299999999999998</v>
      </c>
      <c r="BD774">
        <v>-0.64</v>
      </c>
      <c r="BE774">
        <v>-1.05</v>
      </c>
      <c r="BF774">
        <v>-1.29</v>
      </c>
      <c r="BG774">
        <v>1.83</v>
      </c>
      <c r="BH774">
        <v>0.4</v>
      </c>
      <c r="BI774">
        <v>20191213</v>
      </c>
      <c r="BJ774">
        <v>20091216</v>
      </c>
      <c r="BK774">
        <v>9.91</v>
      </c>
      <c r="BL774" t="s">
        <v>116</v>
      </c>
      <c r="BM774" t="s">
        <v>116</v>
      </c>
      <c r="BN774">
        <v>39.56</v>
      </c>
      <c r="BO774">
        <v>37.1</v>
      </c>
      <c r="BP774">
        <v>0</v>
      </c>
      <c r="BQ774">
        <v>6.22</v>
      </c>
      <c r="BR774">
        <v>15.89</v>
      </c>
      <c r="BS774">
        <v>22.45</v>
      </c>
      <c r="BT774">
        <v>0.44</v>
      </c>
      <c r="BU774">
        <v>2.15</v>
      </c>
      <c r="BV774">
        <v>0.14000000000000001</v>
      </c>
      <c r="BW774">
        <v>0.4</v>
      </c>
      <c r="BX774">
        <v>15.36</v>
      </c>
      <c r="BY774">
        <v>8.5500000000000007</v>
      </c>
      <c r="BZ774">
        <v>5.37</v>
      </c>
      <c r="CA774">
        <v>2.35</v>
      </c>
      <c r="CB774">
        <v>0.01</v>
      </c>
      <c r="CC774">
        <v>2.35</v>
      </c>
      <c r="CD774">
        <v>1.75</v>
      </c>
      <c r="CE774">
        <v>1.75</v>
      </c>
      <c r="CF774">
        <v>1.74</v>
      </c>
      <c r="CG774">
        <v>9.67</v>
      </c>
      <c r="CH774">
        <v>2.87</v>
      </c>
      <c r="CI774">
        <v>1.45</v>
      </c>
      <c r="CJ774">
        <v>30000</v>
      </c>
      <c r="CK774">
        <v>8903</v>
      </c>
      <c r="CL774" t="s">
        <v>4763</v>
      </c>
      <c r="CM774">
        <v>-17.170000000000002</v>
      </c>
      <c r="CN774">
        <v>4.74</v>
      </c>
      <c r="CO774">
        <v>3.28</v>
      </c>
      <c r="CP774">
        <v>42.41</v>
      </c>
      <c r="CQ774">
        <v>14.21</v>
      </c>
      <c r="CR774">
        <v>0.81</v>
      </c>
      <c r="CS774" t="s">
        <v>586</v>
      </c>
      <c r="CT774">
        <v>3.75</v>
      </c>
      <c r="CU774">
        <v>0</v>
      </c>
      <c r="CV774">
        <v>1.55</v>
      </c>
      <c r="CW774">
        <v>0.98</v>
      </c>
      <c r="CX774">
        <v>0.28999999999999998</v>
      </c>
      <c r="CY774">
        <v>93.78</v>
      </c>
      <c r="CZ774" t="s">
        <v>4764</v>
      </c>
      <c r="DA774">
        <v>37.159999999999997</v>
      </c>
      <c r="DB774">
        <v>27.51</v>
      </c>
      <c r="DC774">
        <v>20.420000000000002</v>
      </c>
      <c r="DD774">
        <v>0</v>
      </c>
      <c r="DE774">
        <v>1239</v>
      </c>
      <c r="DF774">
        <v>2320</v>
      </c>
      <c r="DG774" t="s">
        <v>116</v>
      </c>
      <c r="DH774" t="s">
        <v>116</v>
      </c>
      <c r="DI774" t="s">
        <v>116</v>
      </c>
    </row>
    <row r="775" spans="1:113" x14ac:dyDescent="0.4">
      <c r="A775" t="str">
        <f>"002321"</f>
        <v>002321</v>
      </c>
      <c r="B775" t="s">
        <v>4765</v>
      </c>
      <c r="C775">
        <v>-0.54</v>
      </c>
      <c r="D775">
        <v>5.5</v>
      </c>
      <c r="E775">
        <v>-0.03</v>
      </c>
      <c r="F775">
        <v>5.5</v>
      </c>
      <c r="G775">
        <v>5.51</v>
      </c>
      <c r="H775">
        <v>111068</v>
      </c>
      <c r="I775">
        <v>542</v>
      </c>
      <c r="J775">
        <v>-0.17</v>
      </c>
      <c r="K775">
        <v>2.09</v>
      </c>
      <c r="L775">
        <v>5.54</v>
      </c>
      <c r="M775">
        <v>5.59</v>
      </c>
      <c r="N775">
        <v>5.48</v>
      </c>
      <c r="O775">
        <v>5.53</v>
      </c>
      <c r="P775">
        <v>29.77</v>
      </c>
      <c r="Q775">
        <v>61535912</v>
      </c>
      <c r="R775">
        <v>1.1599999999999999</v>
      </c>
      <c r="S775" t="s">
        <v>449</v>
      </c>
      <c r="T775" t="s">
        <v>652</v>
      </c>
      <c r="U775">
        <v>1.99</v>
      </c>
      <c r="V775">
        <v>5.54</v>
      </c>
      <c r="W775">
        <v>62221</v>
      </c>
      <c r="X775">
        <v>48847</v>
      </c>
      <c r="Y775">
        <v>1.27</v>
      </c>
      <c r="Z775">
        <v>1165</v>
      </c>
      <c r="AA775">
        <v>2549</v>
      </c>
      <c r="AB775" t="s">
        <v>116</v>
      </c>
      <c r="AC775">
        <v>513600</v>
      </c>
      <c r="AD775">
        <v>0.03</v>
      </c>
      <c r="AE775" t="s">
        <v>116</v>
      </c>
      <c r="AF775" t="s">
        <v>116</v>
      </c>
      <c r="AG775">
        <v>5.31</v>
      </c>
      <c r="AH775" t="s">
        <v>4766</v>
      </c>
      <c r="AI775" t="s">
        <v>4767</v>
      </c>
      <c r="AJ775">
        <v>0.14000000000000001</v>
      </c>
      <c r="AK775">
        <v>1848</v>
      </c>
      <c r="AL775">
        <v>60</v>
      </c>
      <c r="AM775">
        <v>1.1000000000000001E-3</v>
      </c>
      <c r="AN775">
        <v>-1</v>
      </c>
      <c r="AO775">
        <v>-0.71</v>
      </c>
      <c r="AP775">
        <v>4.96</v>
      </c>
      <c r="AQ775">
        <v>-5.17</v>
      </c>
      <c r="AR775">
        <v>6.59</v>
      </c>
      <c r="AS775">
        <v>3.03</v>
      </c>
      <c r="AT775" t="s">
        <v>159</v>
      </c>
      <c r="AU775">
        <v>28.23</v>
      </c>
      <c r="AV775">
        <v>24.72</v>
      </c>
      <c r="AW775">
        <v>1.1399999999999999</v>
      </c>
      <c r="BA775">
        <v>0.18</v>
      </c>
      <c r="BB775">
        <v>1.08</v>
      </c>
      <c r="BC775">
        <v>-0.9</v>
      </c>
      <c r="BD775">
        <v>0.19</v>
      </c>
      <c r="BE775">
        <v>-0.72</v>
      </c>
      <c r="BF775">
        <v>-1.61</v>
      </c>
      <c r="BG775">
        <v>0.36</v>
      </c>
      <c r="BH775">
        <v>-0.73</v>
      </c>
      <c r="BI775">
        <v>20191212</v>
      </c>
      <c r="BJ775">
        <v>20091216</v>
      </c>
      <c r="BK775">
        <v>5.34</v>
      </c>
      <c r="BL775" t="s">
        <v>116</v>
      </c>
      <c r="BM775" t="s">
        <v>116</v>
      </c>
      <c r="BN775">
        <v>81.84</v>
      </c>
      <c r="BO775">
        <v>26.37</v>
      </c>
      <c r="BP775">
        <v>4.17</v>
      </c>
      <c r="BQ775">
        <v>62.68</v>
      </c>
      <c r="BR775">
        <v>52.05</v>
      </c>
      <c r="BS775">
        <v>20.67</v>
      </c>
      <c r="BT775">
        <v>3.27</v>
      </c>
      <c r="BU775">
        <v>48.92</v>
      </c>
      <c r="BV775">
        <v>10.65</v>
      </c>
      <c r="BW775">
        <v>5.44</v>
      </c>
      <c r="BX775">
        <v>16.149999999999999</v>
      </c>
      <c r="BY775">
        <v>43.1</v>
      </c>
      <c r="BZ775">
        <v>40.28</v>
      </c>
      <c r="CA775">
        <v>0.86</v>
      </c>
      <c r="CB775">
        <v>0.05</v>
      </c>
      <c r="CC775">
        <v>1</v>
      </c>
      <c r="CD775">
        <v>0.85</v>
      </c>
      <c r="CE775">
        <v>0.74</v>
      </c>
      <c r="CF775">
        <v>0.43</v>
      </c>
      <c r="CG775">
        <v>4.4800000000000004</v>
      </c>
      <c r="CH775">
        <v>0.72</v>
      </c>
      <c r="CI775">
        <v>3.4</v>
      </c>
      <c r="CJ775">
        <v>52725</v>
      </c>
      <c r="CK775">
        <v>6956</v>
      </c>
      <c r="CL775" t="s">
        <v>2835</v>
      </c>
      <c r="CM775">
        <v>-16.649999999999999</v>
      </c>
      <c r="CN775">
        <v>3.8</v>
      </c>
      <c r="CO775">
        <v>1.1100000000000001</v>
      </c>
      <c r="CP775">
        <v>41.06</v>
      </c>
      <c r="CQ775">
        <v>0.68</v>
      </c>
      <c r="CR775">
        <v>0</v>
      </c>
      <c r="CS775" t="s">
        <v>416</v>
      </c>
      <c r="CT775">
        <v>4.9400000000000004</v>
      </c>
      <c r="CU775">
        <v>0</v>
      </c>
      <c r="CV775">
        <v>3.02</v>
      </c>
      <c r="CW775">
        <v>0.84</v>
      </c>
      <c r="CX775">
        <v>0.13</v>
      </c>
      <c r="CY775">
        <v>32.229999999999997</v>
      </c>
      <c r="CZ775" t="s">
        <v>1960</v>
      </c>
      <c r="DA775">
        <v>6.53</v>
      </c>
      <c r="DB775">
        <v>1.99</v>
      </c>
      <c r="DC775">
        <v>1.72</v>
      </c>
      <c r="DD775">
        <v>0.01</v>
      </c>
      <c r="DE775">
        <v>3410</v>
      </c>
      <c r="DF775">
        <v>2321</v>
      </c>
      <c r="DG775" t="s">
        <v>116</v>
      </c>
      <c r="DH775" t="s">
        <v>116</v>
      </c>
      <c r="DI775" t="s">
        <v>116</v>
      </c>
    </row>
    <row r="776" spans="1:113" x14ac:dyDescent="0.4">
      <c r="A776" t="str">
        <f>"002322"</f>
        <v>002322</v>
      </c>
      <c r="B776" t="s">
        <v>4768</v>
      </c>
      <c r="C776">
        <v>-0.76</v>
      </c>
      <c r="D776">
        <v>11.69</v>
      </c>
      <c r="E776">
        <v>-0.09</v>
      </c>
      <c r="F776">
        <v>11.69</v>
      </c>
      <c r="G776">
        <v>11.7</v>
      </c>
      <c r="H776">
        <v>15251</v>
      </c>
      <c r="I776">
        <v>95</v>
      </c>
      <c r="J776">
        <v>0</v>
      </c>
      <c r="K776">
        <v>0.43</v>
      </c>
      <c r="L776">
        <v>11.81</v>
      </c>
      <c r="M776">
        <v>11.9</v>
      </c>
      <c r="N776">
        <v>11.67</v>
      </c>
      <c r="O776">
        <v>11.78</v>
      </c>
      <c r="P776">
        <v>22.82</v>
      </c>
      <c r="Q776">
        <v>17984850</v>
      </c>
      <c r="R776">
        <v>0.95</v>
      </c>
      <c r="S776" t="s">
        <v>607</v>
      </c>
      <c r="T776" t="s">
        <v>590</v>
      </c>
      <c r="U776">
        <v>1.95</v>
      </c>
      <c r="V776">
        <v>11.79</v>
      </c>
      <c r="W776">
        <v>8264</v>
      </c>
      <c r="X776">
        <v>6987</v>
      </c>
      <c r="Y776">
        <v>1.18</v>
      </c>
      <c r="Z776">
        <v>3</v>
      </c>
      <c r="AA776">
        <v>170</v>
      </c>
      <c r="AB776" t="s">
        <v>116</v>
      </c>
      <c r="AC776">
        <v>0</v>
      </c>
      <c r="AD776">
        <v>0</v>
      </c>
      <c r="AE776" t="s">
        <v>116</v>
      </c>
      <c r="AF776" t="s">
        <v>116</v>
      </c>
      <c r="AG776">
        <v>3.51</v>
      </c>
      <c r="AH776" t="s">
        <v>4769</v>
      </c>
      <c r="AI776" t="s">
        <v>4770</v>
      </c>
      <c r="AJ776">
        <v>-0.09</v>
      </c>
      <c r="AK776">
        <v>901</v>
      </c>
      <c r="AL776">
        <v>17</v>
      </c>
      <c r="AM776">
        <v>5.0000000000000001E-4</v>
      </c>
      <c r="AN776">
        <v>-1</v>
      </c>
      <c r="AO776">
        <v>-0.08</v>
      </c>
      <c r="AP776">
        <v>4.38</v>
      </c>
      <c r="AQ776">
        <v>-10.9</v>
      </c>
      <c r="AR776">
        <v>37.049999999999997</v>
      </c>
      <c r="AS776">
        <v>0.69</v>
      </c>
      <c r="AT776" t="s">
        <v>1884</v>
      </c>
      <c r="AU776">
        <v>17.45</v>
      </c>
      <c r="AV776">
        <v>18.07</v>
      </c>
      <c r="AW776">
        <v>1.1200000000000001</v>
      </c>
      <c r="BA776">
        <v>0.25</v>
      </c>
      <c r="BB776">
        <v>1.02</v>
      </c>
      <c r="BC776">
        <v>-0.93</v>
      </c>
      <c r="BD776">
        <v>0.11</v>
      </c>
      <c r="BE776">
        <v>-1.02</v>
      </c>
      <c r="BF776">
        <v>-1.76</v>
      </c>
      <c r="BG776">
        <v>0.17</v>
      </c>
      <c r="BH776">
        <v>-0.87</v>
      </c>
      <c r="BI776">
        <v>20191025</v>
      </c>
      <c r="BJ776">
        <v>20091218</v>
      </c>
      <c r="BK776">
        <v>3.97</v>
      </c>
      <c r="BL776" t="s">
        <v>116</v>
      </c>
      <c r="BM776" t="s">
        <v>116</v>
      </c>
      <c r="BN776">
        <v>35.1</v>
      </c>
      <c r="BO776">
        <v>28.19</v>
      </c>
      <c r="BP776">
        <v>0</v>
      </c>
      <c r="BQ776">
        <v>19.68</v>
      </c>
      <c r="BR776">
        <v>11.65</v>
      </c>
      <c r="BS776">
        <v>2.62</v>
      </c>
      <c r="BT776">
        <v>0.49</v>
      </c>
      <c r="BU776">
        <v>6.83</v>
      </c>
      <c r="BV776">
        <v>2.78</v>
      </c>
      <c r="BW776">
        <v>4.29</v>
      </c>
      <c r="BX776">
        <v>18.920000000000002</v>
      </c>
      <c r="BY776">
        <v>5.58</v>
      </c>
      <c r="BZ776">
        <v>2.14</v>
      </c>
      <c r="CA776">
        <v>1.66</v>
      </c>
      <c r="CB776">
        <v>0.12</v>
      </c>
      <c r="CC776">
        <v>1.67</v>
      </c>
      <c r="CD776">
        <v>1.52</v>
      </c>
      <c r="CE776">
        <v>1.52</v>
      </c>
      <c r="CF776">
        <v>1.42</v>
      </c>
      <c r="CG776">
        <v>7.41</v>
      </c>
      <c r="CH776">
        <v>0.92</v>
      </c>
      <c r="CI776">
        <v>-2.4300000000000002</v>
      </c>
      <c r="CJ776">
        <v>19036</v>
      </c>
      <c r="CK776">
        <v>11538</v>
      </c>
      <c r="CL776" t="s">
        <v>4771</v>
      </c>
      <c r="CM776">
        <v>6.42</v>
      </c>
      <c r="CN776">
        <v>0.32</v>
      </c>
      <c r="CO776">
        <v>1.64</v>
      </c>
      <c r="CP776">
        <v>50.19</v>
      </c>
      <c r="CQ776">
        <v>8.3000000000000007</v>
      </c>
      <c r="CR776">
        <v>4.41</v>
      </c>
      <c r="CS776" t="s">
        <v>335</v>
      </c>
      <c r="CT776">
        <v>7.11</v>
      </c>
      <c r="CU776">
        <v>0</v>
      </c>
      <c r="CV776">
        <v>4.7699999999999996</v>
      </c>
      <c r="CW776">
        <v>1.87</v>
      </c>
      <c r="CX776">
        <v>0.23</v>
      </c>
      <c r="CY776">
        <v>80.319999999999993</v>
      </c>
      <c r="CZ776" t="s">
        <v>737</v>
      </c>
      <c r="DA776">
        <v>61.62</v>
      </c>
      <c r="DB776">
        <v>29.7</v>
      </c>
      <c r="DC776">
        <v>27.29</v>
      </c>
      <c r="DD776">
        <v>0.75</v>
      </c>
      <c r="DE776">
        <v>1871</v>
      </c>
      <c r="DF776">
        <v>2322</v>
      </c>
      <c r="DG776" t="s">
        <v>116</v>
      </c>
      <c r="DH776" t="s">
        <v>116</v>
      </c>
      <c r="DI776" t="s">
        <v>116</v>
      </c>
    </row>
    <row r="777" spans="1:113" x14ac:dyDescent="0.4">
      <c r="A777" t="str">
        <f>"002323"</f>
        <v>002323</v>
      </c>
      <c r="B777" t="s">
        <v>4772</v>
      </c>
      <c r="C777">
        <v>4.9800000000000004</v>
      </c>
      <c r="D777">
        <v>3.16</v>
      </c>
      <c r="E777">
        <v>0.15</v>
      </c>
      <c r="F777">
        <v>3.16</v>
      </c>
      <c r="G777" t="s">
        <v>116</v>
      </c>
      <c r="H777">
        <v>339587</v>
      </c>
      <c r="I777">
        <v>422</v>
      </c>
      <c r="J777">
        <v>0</v>
      </c>
      <c r="K777">
        <v>10.69</v>
      </c>
      <c r="L777">
        <v>3.16</v>
      </c>
      <c r="M777">
        <v>3.16</v>
      </c>
      <c r="N777">
        <v>3</v>
      </c>
      <c r="O777">
        <v>3.01</v>
      </c>
      <c r="P777" t="s">
        <v>116</v>
      </c>
      <c r="Q777">
        <v>106371256</v>
      </c>
      <c r="R777">
        <v>141.49</v>
      </c>
      <c r="S777" t="s">
        <v>181</v>
      </c>
      <c r="T777" t="s">
        <v>323</v>
      </c>
      <c r="U777">
        <v>5.32</v>
      </c>
      <c r="V777">
        <v>3.13</v>
      </c>
      <c r="W777">
        <v>235456</v>
      </c>
      <c r="X777">
        <v>104131</v>
      </c>
      <c r="Y777">
        <v>2.2599999999999998</v>
      </c>
      <c r="Z777">
        <v>46085</v>
      </c>
      <c r="AA777">
        <v>0</v>
      </c>
      <c r="AB777" t="s">
        <v>116</v>
      </c>
      <c r="AC777">
        <v>294200</v>
      </c>
      <c r="AD777">
        <v>0.05</v>
      </c>
      <c r="AE777">
        <v>0.14000000000000001</v>
      </c>
      <c r="AF777">
        <v>14562860</v>
      </c>
      <c r="AG777">
        <v>3.18</v>
      </c>
      <c r="AH777" t="s">
        <v>4773</v>
      </c>
      <c r="AI777" t="s">
        <v>4774</v>
      </c>
      <c r="AJ777">
        <v>5.66</v>
      </c>
      <c r="AK777">
        <v>985</v>
      </c>
      <c r="AL777">
        <v>345</v>
      </c>
      <c r="AM777">
        <v>1.09E-2</v>
      </c>
      <c r="AN777">
        <v>18</v>
      </c>
      <c r="AO777">
        <v>15.75</v>
      </c>
      <c r="AP777">
        <v>141.22</v>
      </c>
      <c r="AQ777">
        <v>141.22</v>
      </c>
      <c r="AR777">
        <v>141.22</v>
      </c>
      <c r="AS777">
        <v>18.440000000000001</v>
      </c>
      <c r="AT777" t="s">
        <v>4775</v>
      </c>
      <c r="AU777" t="s">
        <v>116</v>
      </c>
      <c r="AV777" t="s">
        <v>116</v>
      </c>
      <c r="AW777">
        <v>0.36</v>
      </c>
      <c r="BA777">
        <v>4.9800000000000004</v>
      </c>
      <c r="BB777">
        <v>4.9800000000000004</v>
      </c>
      <c r="BC777">
        <v>-0.33</v>
      </c>
      <c r="BD777">
        <v>4.07</v>
      </c>
      <c r="BE777">
        <v>0</v>
      </c>
      <c r="BF777">
        <v>0</v>
      </c>
      <c r="BG777">
        <v>5.33</v>
      </c>
      <c r="BH777">
        <v>0.92</v>
      </c>
      <c r="BI777">
        <v>20191025</v>
      </c>
      <c r="BJ777">
        <v>20091218</v>
      </c>
      <c r="BK777">
        <v>7.46</v>
      </c>
      <c r="BL777" t="s">
        <v>116</v>
      </c>
      <c r="BM777" t="s">
        <v>116</v>
      </c>
      <c r="BN777">
        <v>15.96</v>
      </c>
      <c r="BO777">
        <v>3.67</v>
      </c>
      <c r="BP777">
        <v>0</v>
      </c>
      <c r="BQ777">
        <v>76.98</v>
      </c>
      <c r="BR777">
        <v>14.89</v>
      </c>
      <c r="BS777">
        <v>0.17</v>
      </c>
      <c r="BT777">
        <v>0.57999999999999996</v>
      </c>
      <c r="BU777">
        <v>11.79</v>
      </c>
      <c r="BV777">
        <v>2.63</v>
      </c>
      <c r="BW777">
        <v>10.41</v>
      </c>
      <c r="BX777">
        <v>0.91</v>
      </c>
      <c r="BY777">
        <v>0.56000000000000005</v>
      </c>
      <c r="BZ777">
        <v>0.55000000000000004</v>
      </c>
      <c r="CA777">
        <v>-0.24</v>
      </c>
      <c r="CB777">
        <v>0</v>
      </c>
      <c r="CC777">
        <v>-0.28999999999999998</v>
      </c>
      <c r="CD777">
        <v>-0.28999999999999998</v>
      </c>
      <c r="CE777">
        <v>-0.28999999999999998</v>
      </c>
      <c r="CF777">
        <v>-0.23</v>
      </c>
      <c r="CG777">
        <v>0.86</v>
      </c>
      <c r="CH777">
        <v>0.01</v>
      </c>
      <c r="CI777">
        <v>0.01</v>
      </c>
      <c r="CJ777">
        <v>35180</v>
      </c>
      <c r="CK777">
        <v>5234</v>
      </c>
      <c r="CL777" t="s">
        <v>4776</v>
      </c>
      <c r="CM777">
        <v>-953.71</v>
      </c>
      <c r="CN777">
        <v>-81.67</v>
      </c>
      <c r="CO777">
        <v>6.42</v>
      </c>
      <c r="CP777">
        <v>1908.87</v>
      </c>
      <c r="CQ777">
        <v>41.75</v>
      </c>
      <c r="CR777">
        <v>0</v>
      </c>
      <c r="CS777" t="s">
        <v>4777</v>
      </c>
      <c r="CT777">
        <v>0.49</v>
      </c>
      <c r="CU777">
        <v>0</v>
      </c>
      <c r="CV777">
        <v>0.12</v>
      </c>
      <c r="CW777">
        <v>0.12</v>
      </c>
      <c r="CX777">
        <v>0</v>
      </c>
      <c r="CY777">
        <v>22.99</v>
      </c>
      <c r="CZ777" t="s">
        <v>4778</v>
      </c>
      <c r="DA777">
        <v>2.57</v>
      </c>
      <c r="DB777">
        <v>-42.15</v>
      </c>
      <c r="DC777">
        <v>-50.72</v>
      </c>
      <c r="DD777">
        <v>0.02</v>
      </c>
      <c r="DE777">
        <v>378</v>
      </c>
      <c r="DF777">
        <v>2323</v>
      </c>
      <c r="DG777" t="s">
        <v>116</v>
      </c>
      <c r="DH777" t="s">
        <v>116</v>
      </c>
      <c r="DI777" t="s">
        <v>116</v>
      </c>
    </row>
    <row r="778" spans="1:113" x14ac:dyDescent="0.4">
      <c r="A778" t="str">
        <f>"002324"</f>
        <v>002324</v>
      </c>
      <c r="B778" t="s">
        <v>4779</v>
      </c>
      <c r="C778">
        <v>0.08</v>
      </c>
      <c r="D778">
        <v>13.23</v>
      </c>
      <c r="E778">
        <v>0.01</v>
      </c>
      <c r="F778">
        <v>13.23</v>
      </c>
      <c r="G778">
        <v>13.24</v>
      </c>
      <c r="H778">
        <v>34492</v>
      </c>
      <c r="I778">
        <v>86</v>
      </c>
      <c r="J778">
        <v>0.15</v>
      </c>
      <c r="K778">
        <v>1.1200000000000001</v>
      </c>
      <c r="L778">
        <v>13.23</v>
      </c>
      <c r="M778">
        <v>13.32</v>
      </c>
      <c r="N778">
        <v>13.17</v>
      </c>
      <c r="O778">
        <v>13.22</v>
      </c>
      <c r="P778">
        <v>46.76</v>
      </c>
      <c r="Q778">
        <v>45657416</v>
      </c>
      <c r="R778">
        <v>0.89</v>
      </c>
      <c r="S778" t="s">
        <v>2444</v>
      </c>
      <c r="T778" t="s">
        <v>1653</v>
      </c>
      <c r="U778">
        <v>1.1299999999999999</v>
      </c>
      <c r="V778">
        <v>13.24</v>
      </c>
      <c r="W778">
        <v>18882</v>
      </c>
      <c r="X778">
        <v>15610</v>
      </c>
      <c r="Y778">
        <v>1.21</v>
      </c>
      <c r="Z778">
        <v>265</v>
      </c>
      <c r="AA778">
        <v>574</v>
      </c>
      <c r="AB778" t="s">
        <v>116</v>
      </c>
      <c r="AC778">
        <v>33100</v>
      </c>
      <c r="AD778">
        <v>0</v>
      </c>
      <c r="AE778" t="s">
        <v>116</v>
      </c>
      <c r="AF778" t="s">
        <v>116</v>
      </c>
      <c r="AG778">
        <v>3.07</v>
      </c>
      <c r="AH778" t="s">
        <v>3322</v>
      </c>
      <c r="AI778" t="s">
        <v>4780</v>
      </c>
      <c r="AJ778">
        <v>0.75</v>
      </c>
      <c r="AK778">
        <v>3068</v>
      </c>
      <c r="AL778">
        <v>11</v>
      </c>
      <c r="AM778">
        <v>4.0000000000000002E-4</v>
      </c>
      <c r="AN778">
        <v>4</v>
      </c>
      <c r="AO778">
        <v>1.3</v>
      </c>
      <c r="AP778">
        <v>3.76</v>
      </c>
      <c r="AQ778">
        <v>12.12</v>
      </c>
      <c r="AR778">
        <v>75.680000000000007</v>
      </c>
      <c r="AS778">
        <v>1.71</v>
      </c>
      <c r="AT778" t="s">
        <v>4781</v>
      </c>
      <c r="AU778">
        <v>78.95</v>
      </c>
      <c r="AV778">
        <v>96.62</v>
      </c>
      <c r="AW778">
        <v>0.53</v>
      </c>
      <c r="BA778">
        <v>0.08</v>
      </c>
      <c r="BB778">
        <v>0.76</v>
      </c>
      <c r="BC778">
        <v>-0.38</v>
      </c>
      <c r="BD778">
        <v>0.13</v>
      </c>
      <c r="BE778">
        <v>0</v>
      </c>
      <c r="BF778">
        <v>-0.68</v>
      </c>
      <c r="BG778">
        <v>0.46</v>
      </c>
      <c r="BH778">
        <v>-0.06</v>
      </c>
      <c r="BI778">
        <v>20191023</v>
      </c>
      <c r="BJ778">
        <v>20091218</v>
      </c>
      <c r="BK778">
        <v>5.28</v>
      </c>
      <c r="BL778" t="s">
        <v>116</v>
      </c>
      <c r="BM778" t="s">
        <v>116</v>
      </c>
      <c r="BN778">
        <v>37.729999999999997</v>
      </c>
      <c r="BO778">
        <v>23.76</v>
      </c>
      <c r="BP778">
        <v>0.04</v>
      </c>
      <c r="BQ778">
        <v>36.93</v>
      </c>
      <c r="BR778">
        <v>23.98</v>
      </c>
      <c r="BS778">
        <v>8.5500000000000007</v>
      </c>
      <c r="BT778">
        <v>1.31</v>
      </c>
      <c r="BU778">
        <v>13.6</v>
      </c>
      <c r="BV778">
        <v>6.01</v>
      </c>
      <c r="BW778">
        <v>12.06</v>
      </c>
      <c r="BX778">
        <v>3.38</v>
      </c>
      <c r="BY778">
        <v>25.9</v>
      </c>
      <c r="BZ778">
        <v>20.91</v>
      </c>
      <c r="CA778">
        <v>1.0900000000000001</v>
      </c>
      <c r="CB778">
        <v>0</v>
      </c>
      <c r="CC778">
        <v>1.35</v>
      </c>
      <c r="CD778">
        <v>1.1100000000000001</v>
      </c>
      <c r="CE778">
        <v>1.1200000000000001</v>
      </c>
      <c r="CF778">
        <v>0.89</v>
      </c>
      <c r="CG778">
        <v>13.05</v>
      </c>
      <c r="CH778">
        <v>4.3099999999999996</v>
      </c>
      <c r="CI778">
        <v>-0.28000000000000003</v>
      </c>
      <c r="CJ778">
        <v>10195</v>
      </c>
      <c r="CK778">
        <v>19801</v>
      </c>
      <c r="CL778" t="s">
        <v>4782</v>
      </c>
      <c r="CM778">
        <v>16.89</v>
      </c>
      <c r="CN778">
        <v>-3.7</v>
      </c>
      <c r="CO778">
        <v>2.94</v>
      </c>
      <c r="CP778">
        <v>16.23</v>
      </c>
      <c r="CQ778">
        <v>2.7</v>
      </c>
      <c r="CR778">
        <v>1.1599999999999999</v>
      </c>
      <c r="CS778" t="s">
        <v>313</v>
      </c>
      <c r="CT778">
        <v>4.5</v>
      </c>
      <c r="CU778">
        <v>0</v>
      </c>
      <c r="CV778">
        <v>0.64</v>
      </c>
      <c r="CW778">
        <v>2.4700000000000002</v>
      </c>
      <c r="CX778">
        <v>0.82</v>
      </c>
      <c r="CY778">
        <v>62.96</v>
      </c>
      <c r="CZ778" t="s">
        <v>1925</v>
      </c>
      <c r="DA778">
        <v>19.260000000000002</v>
      </c>
      <c r="DB778">
        <v>4.22</v>
      </c>
      <c r="DC778">
        <v>4.33</v>
      </c>
      <c r="DD778">
        <v>1.65</v>
      </c>
      <c r="DE778">
        <v>1274</v>
      </c>
      <c r="DF778">
        <v>2324</v>
      </c>
      <c r="DG778" t="s">
        <v>116</v>
      </c>
      <c r="DH778" t="s">
        <v>116</v>
      </c>
      <c r="DI778" t="s">
        <v>116</v>
      </c>
    </row>
    <row r="779" spans="1:113" x14ac:dyDescent="0.4">
      <c r="A779" t="str">
        <f>"002325"</f>
        <v>002325</v>
      </c>
      <c r="B779" t="s">
        <v>4783</v>
      </c>
      <c r="C779">
        <v>-0.31</v>
      </c>
      <c r="D779">
        <v>3.2</v>
      </c>
      <c r="E779">
        <v>-0.01</v>
      </c>
      <c r="F779">
        <v>3.19</v>
      </c>
      <c r="G779">
        <v>3.2</v>
      </c>
      <c r="H779">
        <v>68625</v>
      </c>
      <c r="I779">
        <v>3628</v>
      </c>
      <c r="J779">
        <v>0.95</v>
      </c>
      <c r="K779">
        <v>0.74</v>
      </c>
      <c r="L779">
        <v>3.21</v>
      </c>
      <c r="M779">
        <v>3.22</v>
      </c>
      <c r="N779">
        <v>3.17</v>
      </c>
      <c r="O779">
        <v>3.21</v>
      </c>
      <c r="P779">
        <v>27.77</v>
      </c>
      <c r="Q779">
        <v>21946688</v>
      </c>
      <c r="R779">
        <v>0.99</v>
      </c>
      <c r="S779" t="s">
        <v>3331</v>
      </c>
      <c r="T779" t="s">
        <v>115</v>
      </c>
      <c r="U779">
        <v>1.56</v>
      </c>
      <c r="V779">
        <v>3.2</v>
      </c>
      <c r="W779">
        <v>37080</v>
      </c>
      <c r="X779">
        <v>31545</v>
      </c>
      <c r="Y779">
        <v>1.18</v>
      </c>
      <c r="Z779">
        <v>1633</v>
      </c>
      <c r="AA779">
        <v>1168</v>
      </c>
      <c r="AB779" t="s">
        <v>116</v>
      </c>
      <c r="AC779">
        <v>49100</v>
      </c>
      <c r="AD779">
        <v>0</v>
      </c>
      <c r="AE779" t="s">
        <v>116</v>
      </c>
      <c r="AF779" t="s">
        <v>116</v>
      </c>
      <c r="AG779">
        <v>9.3000000000000007</v>
      </c>
      <c r="AH779" t="s">
        <v>1467</v>
      </c>
      <c r="AI779" t="s">
        <v>427</v>
      </c>
      <c r="AJ779">
        <v>0.37</v>
      </c>
      <c r="AK779">
        <v>665</v>
      </c>
      <c r="AL779">
        <v>103</v>
      </c>
      <c r="AM779">
        <v>1.1000000000000001E-3</v>
      </c>
      <c r="AN779">
        <v>-1</v>
      </c>
      <c r="AO779">
        <v>0</v>
      </c>
      <c r="AP779">
        <v>3.9</v>
      </c>
      <c r="AQ779">
        <v>5.96</v>
      </c>
      <c r="AR779">
        <v>10.34</v>
      </c>
      <c r="AS779">
        <v>0.92</v>
      </c>
      <c r="AT779" t="s">
        <v>4784</v>
      </c>
      <c r="AU779" t="s">
        <v>116</v>
      </c>
      <c r="AV779" t="s">
        <v>116</v>
      </c>
      <c r="AW779">
        <v>0.8</v>
      </c>
      <c r="BA779">
        <v>0</v>
      </c>
      <c r="BB779">
        <v>0.31</v>
      </c>
      <c r="BC779">
        <v>-1.25</v>
      </c>
      <c r="BD779">
        <v>-0.37</v>
      </c>
      <c r="BE779">
        <v>-0.31</v>
      </c>
      <c r="BF779">
        <v>-0.62</v>
      </c>
      <c r="BG779">
        <v>0.95</v>
      </c>
      <c r="BH779">
        <v>0.06</v>
      </c>
      <c r="BI779">
        <v>20191029</v>
      </c>
      <c r="BJ779">
        <v>20091222</v>
      </c>
      <c r="BK779">
        <v>12.49</v>
      </c>
      <c r="BL779" t="s">
        <v>116</v>
      </c>
      <c r="BM779" t="s">
        <v>116</v>
      </c>
      <c r="BN779">
        <v>123.35</v>
      </c>
      <c r="BO779">
        <v>33.020000000000003</v>
      </c>
      <c r="BP779">
        <v>5.71</v>
      </c>
      <c r="BQ779">
        <v>68.61</v>
      </c>
      <c r="BR779">
        <v>88.64</v>
      </c>
      <c r="BS779">
        <v>13.46</v>
      </c>
      <c r="BT779">
        <v>4.33</v>
      </c>
      <c r="BU779">
        <v>64.69</v>
      </c>
      <c r="BV779">
        <v>0.35</v>
      </c>
      <c r="BW779">
        <v>59.05</v>
      </c>
      <c r="BX779">
        <v>8.74</v>
      </c>
      <c r="BY779">
        <v>29.11</v>
      </c>
      <c r="BZ779">
        <v>23.15</v>
      </c>
      <c r="CA779">
        <v>1.73</v>
      </c>
      <c r="CB779">
        <v>0.03</v>
      </c>
      <c r="CC779">
        <v>1.7</v>
      </c>
      <c r="CD779">
        <v>1.36</v>
      </c>
      <c r="CE779">
        <v>1.08</v>
      </c>
      <c r="CF779">
        <v>1.08</v>
      </c>
      <c r="CG779">
        <v>10.19</v>
      </c>
      <c r="CH779">
        <v>1.82</v>
      </c>
      <c r="CI779">
        <v>-4.84</v>
      </c>
      <c r="CJ779">
        <v>51344</v>
      </c>
      <c r="CK779">
        <v>14479</v>
      </c>
      <c r="CL779" t="s">
        <v>579</v>
      </c>
      <c r="CM779">
        <v>-23.71</v>
      </c>
      <c r="CN779">
        <v>-4.38</v>
      </c>
      <c r="CO779">
        <v>1.25</v>
      </c>
      <c r="CP779">
        <v>21.96</v>
      </c>
      <c r="CQ779">
        <v>1.37</v>
      </c>
      <c r="CR779">
        <v>0.31</v>
      </c>
      <c r="CS779" t="s">
        <v>1469</v>
      </c>
      <c r="CT779">
        <v>2.57</v>
      </c>
      <c r="CU779">
        <v>2.57</v>
      </c>
      <c r="CV779">
        <v>0.7</v>
      </c>
      <c r="CW779">
        <v>0.82</v>
      </c>
      <c r="CX779">
        <v>0.15</v>
      </c>
      <c r="CY779">
        <v>26.77</v>
      </c>
      <c r="CZ779" t="s">
        <v>4785</v>
      </c>
      <c r="DA779">
        <v>20.47</v>
      </c>
      <c r="DB779">
        <v>5.93</v>
      </c>
      <c r="DC779">
        <v>3.71</v>
      </c>
      <c r="DD779">
        <v>0.8</v>
      </c>
      <c r="DE779">
        <v>2340</v>
      </c>
      <c r="DF779">
        <v>2325</v>
      </c>
      <c r="DG779" t="s">
        <v>116</v>
      </c>
      <c r="DH779" t="s">
        <v>116</v>
      </c>
      <c r="DI779" t="s">
        <v>116</v>
      </c>
    </row>
    <row r="780" spans="1:113" x14ac:dyDescent="0.4">
      <c r="A780" t="str">
        <f>"002326"</f>
        <v>002326</v>
      </c>
      <c r="B780" t="s">
        <v>4786</v>
      </c>
      <c r="C780">
        <v>-2.81</v>
      </c>
      <c r="D780">
        <v>10.039999999999999</v>
      </c>
      <c r="E780">
        <v>-0.28999999999999998</v>
      </c>
      <c r="F780">
        <v>10.029999999999999</v>
      </c>
      <c r="G780">
        <v>10.039999999999999</v>
      </c>
      <c r="H780">
        <v>339000</v>
      </c>
      <c r="I780">
        <v>3287</v>
      </c>
      <c r="J780">
        <v>0.3</v>
      </c>
      <c r="K780">
        <v>5.09</v>
      </c>
      <c r="L780">
        <v>10.28</v>
      </c>
      <c r="M780">
        <v>10.4</v>
      </c>
      <c r="N780">
        <v>9.9700000000000006</v>
      </c>
      <c r="O780">
        <v>10.33</v>
      </c>
      <c r="P780">
        <v>20.84</v>
      </c>
      <c r="Q780">
        <v>344972960</v>
      </c>
      <c r="R780">
        <v>1.0900000000000001</v>
      </c>
      <c r="S780" t="s">
        <v>891</v>
      </c>
      <c r="T780" t="s">
        <v>590</v>
      </c>
      <c r="U780">
        <v>4.16</v>
      </c>
      <c r="V780">
        <v>10.18</v>
      </c>
      <c r="W780">
        <v>204598</v>
      </c>
      <c r="X780">
        <v>134402</v>
      </c>
      <c r="Y780">
        <v>1.52</v>
      </c>
      <c r="Z780">
        <v>382</v>
      </c>
      <c r="AA780">
        <v>559</v>
      </c>
      <c r="AB780" t="s">
        <v>116</v>
      </c>
      <c r="AC780">
        <v>2040600</v>
      </c>
      <c r="AD780">
        <v>0.04</v>
      </c>
      <c r="AE780" t="s">
        <v>116</v>
      </c>
      <c r="AF780" t="s">
        <v>116</v>
      </c>
      <c r="AG780">
        <v>6.66</v>
      </c>
      <c r="AH780" t="s">
        <v>4787</v>
      </c>
      <c r="AI780" t="s">
        <v>4788</v>
      </c>
      <c r="AJ780">
        <v>-2.13</v>
      </c>
      <c r="AK780">
        <v>3936</v>
      </c>
      <c r="AL780">
        <v>86</v>
      </c>
      <c r="AM780">
        <v>1.2999999999999999E-3</v>
      </c>
      <c r="AN780">
        <v>-1</v>
      </c>
      <c r="AO780">
        <v>3.08</v>
      </c>
      <c r="AP780">
        <v>5.91</v>
      </c>
      <c r="AQ780">
        <v>11.76</v>
      </c>
      <c r="AR780">
        <v>57.83</v>
      </c>
      <c r="AS780">
        <v>6.65</v>
      </c>
      <c r="AT780" t="s">
        <v>4789</v>
      </c>
      <c r="AU780">
        <v>24.44</v>
      </c>
      <c r="AV780">
        <v>19.98</v>
      </c>
      <c r="AW780">
        <v>1.52</v>
      </c>
      <c r="BA780">
        <v>-0.48</v>
      </c>
      <c r="BB780">
        <v>0.68</v>
      </c>
      <c r="BC780">
        <v>-3.48</v>
      </c>
      <c r="BD780">
        <v>-1.49</v>
      </c>
      <c r="BE780">
        <v>-2.33</v>
      </c>
      <c r="BF780">
        <v>-3.46</v>
      </c>
      <c r="BG780">
        <v>0.7</v>
      </c>
      <c r="BH780">
        <v>-1.32</v>
      </c>
      <c r="BI780">
        <v>20191106</v>
      </c>
      <c r="BJ780">
        <v>20091222</v>
      </c>
      <c r="BK780">
        <v>8.7899999999999991</v>
      </c>
      <c r="BL780" t="s">
        <v>116</v>
      </c>
      <c r="BM780" t="s">
        <v>116</v>
      </c>
      <c r="BN780">
        <v>69.540000000000006</v>
      </c>
      <c r="BO780">
        <v>32.090000000000003</v>
      </c>
      <c r="BP780">
        <v>1.6</v>
      </c>
      <c r="BQ780">
        <v>51.57</v>
      </c>
      <c r="BR780">
        <v>28.43</v>
      </c>
      <c r="BS780">
        <v>19.39</v>
      </c>
      <c r="BT780">
        <v>5.14</v>
      </c>
      <c r="BU780">
        <v>31.14</v>
      </c>
      <c r="BV780">
        <v>6.41</v>
      </c>
      <c r="BW780">
        <v>7.36</v>
      </c>
      <c r="BX780">
        <v>8.99</v>
      </c>
      <c r="BY780">
        <v>26.68</v>
      </c>
      <c r="BZ780">
        <v>18.82</v>
      </c>
      <c r="CA780">
        <v>3.77</v>
      </c>
      <c r="CB780">
        <v>0.1</v>
      </c>
      <c r="CC780">
        <v>3.85</v>
      </c>
      <c r="CD780">
        <v>3.13</v>
      </c>
      <c r="CE780">
        <v>3.18</v>
      </c>
      <c r="CF780">
        <v>2.71</v>
      </c>
      <c r="CG780">
        <v>13.02</v>
      </c>
      <c r="CH780">
        <v>2.56</v>
      </c>
      <c r="CI780">
        <v>-1.1599999999999999</v>
      </c>
      <c r="CJ780">
        <v>65078</v>
      </c>
      <c r="CK780">
        <v>7835</v>
      </c>
      <c r="CL780" t="s">
        <v>4790</v>
      </c>
      <c r="CM780">
        <v>-20.23</v>
      </c>
      <c r="CN780">
        <v>26.18</v>
      </c>
      <c r="CO780">
        <v>2.75</v>
      </c>
      <c r="CP780">
        <v>34.450000000000003</v>
      </c>
      <c r="CQ780">
        <v>3.31</v>
      </c>
      <c r="CR780">
        <v>1.39</v>
      </c>
      <c r="CS780" t="s">
        <v>4791</v>
      </c>
      <c r="CT780">
        <v>3.65</v>
      </c>
      <c r="CU780">
        <v>0</v>
      </c>
      <c r="CV780">
        <v>1.02</v>
      </c>
      <c r="CW780">
        <v>1.48</v>
      </c>
      <c r="CX780">
        <v>0.28999999999999998</v>
      </c>
      <c r="CY780">
        <v>46.14</v>
      </c>
      <c r="CZ780" t="s">
        <v>4792</v>
      </c>
      <c r="DA780">
        <v>29.44</v>
      </c>
      <c r="DB780">
        <v>14.15</v>
      </c>
      <c r="DC780">
        <v>11.9</v>
      </c>
      <c r="DD780">
        <v>0.67</v>
      </c>
      <c r="DE780">
        <v>2966</v>
      </c>
      <c r="DF780">
        <v>2326</v>
      </c>
      <c r="DG780" t="s">
        <v>116</v>
      </c>
      <c r="DH780" t="s">
        <v>116</v>
      </c>
      <c r="DI780" t="s">
        <v>116</v>
      </c>
    </row>
    <row r="781" spans="1:113" x14ac:dyDescent="0.4">
      <c r="A781" t="str">
        <f>"002327"</f>
        <v>002327</v>
      </c>
      <c r="B781" t="s">
        <v>4793</v>
      </c>
      <c r="C781">
        <v>1.05</v>
      </c>
      <c r="D781">
        <v>6.75</v>
      </c>
      <c r="E781">
        <v>7.0000000000000007E-2</v>
      </c>
      <c r="F781">
        <v>6.75</v>
      </c>
      <c r="G781">
        <v>6.76</v>
      </c>
      <c r="H781">
        <v>59041</v>
      </c>
      <c r="I781">
        <v>379</v>
      </c>
      <c r="J781">
        <v>0.3</v>
      </c>
      <c r="K781">
        <v>1.18</v>
      </c>
      <c r="L781">
        <v>6.68</v>
      </c>
      <c r="M781">
        <v>6.86</v>
      </c>
      <c r="N781">
        <v>6.65</v>
      </c>
      <c r="O781">
        <v>6.68</v>
      </c>
      <c r="P781">
        <v>17.489999999999998</v>
      </c>
      <c r="Q781">
        <v>40066492</v>
      </c>
      <c r="R781">
        <v>2.65</v>
      </c>
      <c r="S781" t="s">
        <v>1420</v>
      </c>
      <c r="T781" t="s">
        <v>115</v>
      </c>
      <c r="U781">
        <v>3.14</v>
      </c>
      <c r="V781">
        <v>6.79</v>
      </c>
      <c r="W781">
        <v>25231</v>
      </c>
      <c r="X781">
        <v>33810</v>
      </c>
      <c r="Y781">
        <v>0.75</v>
      </c>
      <c r="Z781">
        <v>89</v>
      </c>
      <c r="AA781">
        <v>20</v>
      </c>
      <c r="AB781" t="s">
        <v>116</v>
      </c>
      <c r="AC781">
        <v>38700</v>
      </c>
      <c r="AD781">
        <v>0</v>
      </c>
      <c r="AE781" t="s">
        <v>116</v>
      </c>
      <c r="AF781" t="s">
        <v>116</v>
      </c>
      <c r="AG781">
        <v>4.99</v>
      </c>
      <c r="AH781" t="s">
        <v>4794</v>
      </c>
      <c r="AI781" t="s">
        <v>4718</v>
      </c>
      <c r="AJ781">
        <v>1.73</v>
      </c>
      <c r="AK781">
        <v>1655</v>
      </c>
      <c r="AL781">
        <v>36</v>
      </c>
      <c r="AM781">
        <v>6.9999999999999999E-4</v>
      </c>
      <c r="AN781">
        <v>2</v>
      </c>
      <c r="AO781">
        <v>1.66</v>
      </c>
      <c r="AP781">
        <v>3.21</v>
      </c>
      <c r="AQ781">
        <v>1.96</v>
      </c>
      <c r="AR781">
        <v>-3.71</v>
      </c>
      <c r="AS781">
        <v>1.51</v>
      </c>
      <c r="AT781" t="s">
        <v>4795</v>
      </c>
      <c r="AU781">
        <v>11.5</v>
      </c>
      <c r="AV781">
        <v>10.55</v>
      </c>
      <c r="AW781">
        <v>0.43</v>
      </c>
      <c r="BA781">
        <v>0</v>
      </c>
      <c r="BB781">
        <v>2.69</v>
      </c>
      <c r="BC781">
        <v>-0.45</v>
      </c>
      <c r="BD781">
        <v>1.59</v>
      </c>
      <c r="BE781">
        <v>1.05</v>
      </c>
      <c r="BF781">
        <v>-1.6</v>
      </c>
      <c r="BG781">
        <v>1.5</v>
      </c>
      <c r="BH781">
        <v>-0.54</v>
      </c>
      <c r="BI781">
        <v>20191206</v>
      </c>
      <c r="BJ781">
        <v>20091230</v>
      </c>
      <c r="BK781">
        <v>8.49</v>
      </c>
      <c r="BL781" t="s">
        <v>116</v>
      </c>
      <c r="BM781" t="s">
        <v>116</v>
      </c>
      <c r="BN781">
        <v>42.22</v>
      </c>
      <c r="BO781">
        <v>32.53</v>
      </c>
      <c r="BP781">
        <v>0</v>
      </c>
      <c r="BQ781">
        <v>22.95</v>
      </c>
      <c r="BR781">
        <v>24.28</v>
      </c>
      <c r="BS781">
        <v>9.84</v>
      </c>
      <c r="BT781">
        <v>1.0900000000000001</v>
      </c>
      <c r="BU781">
        <v>9.5299999999999994</v>
      </c>
      <c r="BV781">
        <v>8.33</v>
      </c>
      <c r="BW781">
        <v>0.8</v>
      </c>
      <c r="BX781">
        <v>2.38</v>
      </c>
      <c r="BY781">
        <v>16.77</v>
      </c>
      <c r="BZ781">
        <v>8.09</v>
      </c>
      <c r="CA781">
        <v>2.91</v>
      </c>
      <c r="CB781">
        <v>0.41</v>
      </c>
      <c r="CC781">
        <v>2.93</v>
      </c>
      <c r="CD781">
        <v>2.46</v>
      </c>
      <c r="CE781">
        <v>2.46</v>
      </c>
      <c r="CF781">
        <v>2.11</v>
      </c>
      <c r="CG781">
        <v>22.36</v>
      </c>
      <c r="CH781">
        <v>6.4</v>
      </c>
      <c r="CI781">
        <v>-0.46</v>
      </c>
      <c r="CJ781">
        <v>32738</v>
      </c>
      <c r="CK781">
        <v>11908</v>
      </c>
      <c r="CL781" t="s">
        <v>4543</v>
      </c>
      <c r="CM781">
        <v>-15.44</v>
      </c>
      <c r="CN781">
        <v>-4.88</v>
      </c>
      <c r="CO781">
        <v>1.76</v>
      </c>
      <c r="CP781">
        <v>8.9499999999999993</v>
      </c>
      <c r="CQ781">
        <v>3.42</v>
      </c>
      <c r="CR781">
        <v>7.5</v>
      </c>
      <c r="CS781" t="s">
        <v>3995</v>
      </c>
      <c r="CT781">
        <v>3.83</v>
      </c>
      <c r="CU781">
        <v>0</v>
      </c>
      <c r="CV781">
        <v>0.28000000000000003</v>
      </c>
      <c r="CW781">
        <v>2.63</v>
      </c>
      <c r="CX781">
        <v>0.75</v>
      </c>
      <c r="CY781">
        <v>77.05</v>
      </c>
      <c r="CZ781" t="s">
        <v>4796</v>
      </c>
      <c r="DA781">
        <v>51.78</v>
      </c>
      <c r="DB781">
        <v>17.34</v>
      </c>
      <c r="DC781">
        <v>14.66</v>
      </c>
      <c r="DD781">
        <v>0.51</v>
      </c>
      <c r="DE781">
        <v>5671</v>
      </c>
      <c r="DF781">
        <v>2327</v>
      </c>
      <c r="DG781" t="s">
        <v>116</v>
      </c>
      <c r="DH781" t="s">
        <v>116</v>
      </c>
      <c r="DI781" t="s">
        <v>116</v>
      </c>
    </row>
    <row r="782" spans="1:113" x14ac:dyDescent="0.4">
      <c r="A782" t="str">
        <f>"002328"</f>
        <v>002328</v>
      </c>
      <c r="B782" t="s">
        <v>4797</v>
      </c>
      <c r="C782">
        <v>1.27</v>
      </c>
      <c r="D782">
        <v>3.99</v>
      </c>
      <c r="E782">
        <v>0.05</v>
      </c>
      <c r="F782">
        <v>3.99</v>
      </c>
      <c r="G782">
        <v>4</v>
      </c>
      <c r="H782">
        <v>129045</v>
      </c>
      <c r="I782">
        <v>1393</v>
      </c>
      <c r="J782">
        <v>0.25</v>
      </c>
      <c r="K782">
        <v>2.34</v>
      </c>
      <c r="L782">
        <v>3.93</v>
      </c>
      <c r="M782">
        <v>4.1399999999999997</v>
      </c>
      <c r="N782">
        <v>3.91</v>
      </c>
      <c r="O782">
        <v>3.94</v>
      </c>
      <c r="P782">
        <v>28.63</v>
      </c>
      <c r="Q782">
        <v>51906640</v>
      </c>
      <c r="R782">
        <v>2.33</v>
      </c>
      <c r="S782" t="s">
        <v>293</v>
      </c>
      <c r="T782" t="s">
        <v>1653</v>
      </c>
      <c r="U782">
        <v>5.84</v>
      </c>
      <c r="V782">
        <v>4.0199999999999996</v>
      </c>
      <c r="W782">
        <v>67661</v>
      </c>
      <c r="X782">
        <v>61384</v>
      </c>
      <c r="Y782">
        <v>1.1000000000000001</v>
      </c>
      <c r="Z782">
        <v>373</v>
      </c>
      <c r="AA782">
        <v>1534</v>
      </c>
      <c r="AB782" t="s">
        <v>116</v>
      </c>
      <c r="AC782">
        <v>6300</v>
      </c>
      <c r="AD782">
        <v>0</v>
      </c>
      <c r="AE782" t="s">
        <v>116</v>
      </c>
      <c r="AF782" t="s">
        <v>116</v>
      </c>
      <c r="AG782">
        <v>5.51</v>
      </c>
      <c r="AH782" t="s">
        <v>4798</v>
      </c>
      <c r="AI782" t="s">
        <v>584</v>
      </c>
      <c r="AJ782">
        <v>1.95</v>
      </c>
      <c r="AK782">
        <v>1543</v>
      </c>
      <c r="AL782">
        <v>84</v>
      </c>
      <c r="AM782">
        <v>1.5E-3</v>
      </c>
      <c r="AN782">
        <v>4</v>
      </c>
      <c r="AO782">
        <v>2.31</v>
      </c>
      <c r="AP782">
        <v>10.220000000000001</v>
      </c>
      <c r="AQ782">
        <v>6.4</v>
      </c>
      <c r="AR782">
        <v>23.6</v>
      </c>
      <c r="AS782">
        <v>2.69</v>
      </c>
      <c r="AT782" t="s">
        <v>4799</v>
      </c>
      <c r="AU782">
        <v>28.4</v>
      </c>
      <c r="AV782">
        <v>30.32</v>
      </c>
      <c r="AW782">
        <v>1.37</v>
      </c>
      <c r="BA782">
        <v>-0.25</v>
      </c>
      <c r="BB782">
        <v>5.08</v>
      </c>
      <c r="BC782">
        <v>-0.76</v>
      </c>
      <c r="BD782">
        <v>2.09</v>
      </c>
      <c r="BE782">
        <v>1.53</v>
      </c>
      <c r="BF782">
        <v>-3.62</v>
      </c>
      <c r="BG782">
        <v>2.0499999999999998</v>
      </c>
      <c r="BH782">
        <v>-0.82</v>
      </c>
      <c r="BI782">
        <v>20191023</v>
      </c>
      <c r="BJ782">
        <v>20091230</v>
      </c>
      <c r="BK782">
        <v>7.62</v>
      </c>
      <c r="BL782" t="s">
        <v>116</v>
      </c>
      <c r="BM782" t="s">
        <v>116</v>
      </c>
      <c r="BN782">
        <v>39.53</v>
      </c>
      <c r="BO782">
        <v>25.3</v>
      </c>
      <c r="BP782">
        <v>4.99</v>
      </c>
      <c r="BQ782">
        <v>23.37</v>
      </c>
      <c r="BR782">
        <v>16.91</v>
      </c>
      <c r="BS782">
        <v>12.31</v>
      </c>
      <c r="BT782">
        <v>1.42</v>
      </c>
      <c r="BU782">
        <v>8.85</v>
      </c>
      <c r="BV782">
        <v>3.97</v>
      </c>
      <c r="BW782">
        <v>2.62</v>
      </c>
      <c r="BX782">
        <v>8.9</v>
      </c>
      <c r="BY782">
        <v>26.23</v>
      </c>
      <c r="BZ782">
        <v>22.81</v>
      </c>
      <c r="CA782">
        <v>1.66</v>
      </c>
      <c r="CB782">
        <v>0.21</v>
      </c>
      <c r="CC782">
        <v>1.67</v>
      </c>
      <c r="CD782">
        <v>1.28</v>
      </c>
      <c r="CE782">
        <v>0.8</v>
      </c>
      <c r="CF782">
        <v>0.56999999999999995</v>
      </c>
      <c r="CG782">
        <v>7.87</v>
      </c>
      <c r="CH782">
        <v>3.45</v>
      </c>
      <c r="CI782">
        <v>-0.02</v>
      </c>
      <c r="CJ782">
        <v>34475</v>
      </c>
      <c r="CK782">
        <v>13937</v>
      </c>
      <c r="CL782" t="s">
        <v>742</v>
      </c>
      <c r="CM782">
        <v>9.31</v>
      </c>
      <c r="CN782">
        <v>-5.6</v>
      </c>
      <c r="CO782">
        <v>1.2</v>
      </c>
      <c r="CP782">
        <v>8.8000000000000007</v>
      </c>
      <c r="CQ782">
        <v>1.1599999999999999</v>
      </c>
      <c r="CR782">
        <v>1.65</v>
      </c>
      <c r="CS782" t="s">
        <v>4800</v>
      </c>
      <c r="CT782">
        <v>3.32</v>
      </c>
      <c r="CU782">
        <v>0</v>
      </c>
      <c r="CV782">
        <v>1.17</v>
      </c>
      <c r="CW782">
        <v>1.03</v>
      </c>
      <c r="CX782">
        <v>0.45</v>
      </c>
      <c r="CY782">
        <v>64.010000000000005</v>
      </c>
      <c r="CZ782" t="s">
        <v>4801</v>
      </c>
      <c r="DA782">
        <v>13.04</v>
      </c>
      <c r="DB782">
        <v>6.34</v>
      </c>
      <c r="DC782">
        <v>3.04</v>
      </c>
      <c r="DD782">
        <v>0.31</v>
      </c>
      <c r="DE782">
        <v>2400</v>
      </c>
      <c r="DF782">
        <v>2328</v>
      </c>
      <c r="DG782" t="s">
        <v>116</v>
      </c>
      <c r="DH782" t="s">
        <v>116</v>
      </c>
      <c r="DI782" t="s">
        <v>116</v>
      </c>
    </row>
    <row r="783" spans="1:113" x14ac:dyDescent="0.4">
      <c r="A783" t="str">
        <f>"002329"</f>
        <v>002329</v>
      </c>
      <c r="B783" t="s">
        <v>4802</v>
      </c>
      <c r="C783">
        <v>0</v>
      </c>
      <c r="D783">
        <v>4.0599999999999996</v>
      </c>
      <c r="E783">
        <v>0</v>
      </c>
      <c r="F783">
        <v>4.04</v>
      </c>
      <c r="G783">
        <v>4.0599999999999996</v>
      </c>
      <c r="H783">
        <v>61761</v>
      </c>
      <c r="I783">
        <v>1107</v>
      </c>
      <c r="J783">
        <v>0.25</v>
      </c>
      <c r="K783">
        <v>1.24</v>
      </c>
      <c r="L783">
        <v>4.09</v>
      </c>
      <c r="M783">
        <v>4.1100000000000003</v>
      </c>
      <c r="N783">
        <v>4.03</v>
      </c>
      <c r="O783">
        <v>4.0599999999999996</v>
      </c>
      <c r="P783">
        <v>126.67</v>
      </c>
      <c r="Q783">
        <v>25159544</v>
      </c>
      <c r="R783">
        <v>1.05</v>
      </c>
      <c r="S783" t="s">
        <v>4803</v>
      </c>
      <c r="T783" t="s">
        <v>982</v>
      </c>
      <c r="U783">
        <v>1.97</v>
      </c>
      <c r="V783">
        <v>4.07</v>
      </c>
      <c r="W783">
        <v>35318</v>
      </c>
      <c r="X783">
        <v>26443</v>
      </c>
      <c r="Y783">
        <v>1.34</v>
      </c>
      <c r="Z783">
        <v>2126</v>
      </c>
      <c r="AA783">
        <v>2060</v>
      </c>
      <c r="AB783" t="s">
        <v>116</v>
      </c>
      <c r="AC783">
        <v>78900</v>
      </c>
      <c r="AD783">
        <v>0</v>
      </c>
      <c r="AE783" t="s">
        <v>116</v>
      </c>
      <c r="AF783" t="s">
        <v>116</v>
      </c>
      <c r="AG783">
        <v>4.97</v>
      </c>
      <c r="AH783" t="s">
        <v>4804</v>
      </c>
      <c r="AI783" t="s">
        <v>4805</v>
      </c>
      <c r="AJ783">
        <v>0.68</v>
      </c>
      <c r="AK783">
        <v>1059</v>
      </c>
      <c r="AL783">
        <v>58</v>
      </c>
      <c r="AM783">
        <v>1.1999999999999999E-3</v>
      </c>
      <c r="AN783">
        <v>0</v>
      </c>
      <c r="AO783">
        <v>3.58</v>
      </c>
      <c r="AP783">
        <v>10.93</v>
      </c>
      <c r="AQ783">
        <v>0.5</v>
      </c>
      <c r="AR783">
        <v>24.92</v>
      </c>
      <c r="AS783">
        <v>1.36</v>
      </c>
      <c r="AT783" t="s">
        <v>3455</v>
      </c>
      <c r="AU783" t="s">
        <v>116</v>
      </c>
      <c r="AV783" t="s">
        <v>116</v>
      </c>
      <c r="AW783">
        <v>1.24</v>
      </c>
      <c r="BA783">
        <v>0.74</v>
      </c>
      <c r="BB783">
        <v>1.23</v>
      </c>
      <c r="BC783">
        <v>-0.74</v>
      </c>
      <c r="BD783">
        <v>0.34</v>
      </c>
      <c r="BE783">
        <v>-0.73</v>
      </c>
      <c r="BF783">
        <v>-1.22</v>
      </c>
      <c r="BG783">
        <v>0.74</v>
      </c>
      <c r="BH783">
        <v>-0.34</v>
      </c>
      <c r="BI783">
        <v>20191026</v>
      </c>
      <c r="BJ783">
        <v>20100106</v>
      </c>
      <c r="BK783">
        <v>8.3800000000000008</v>
      </c>
      <c r="BL783" t="s">
        <v>116</v>
      </c>
      <c r="BM783" t="s">
        <v>116</v>
      </c>
      <c r="BN783">
        <v>49.46</v>
      </c>
      <c r="BO783">
        <v>21.52</v>
      </c>
      <c r="BP783">
        <v>2.77</v>
      </c>
      <c r="BQ783">
        <v>50.88</v>
      </c>
      <c r="BR783">
        <v>28.12</v>
      </c>
      <c r="BS783">
        <v>8.77</v>
      </c>
      <c r="BT783">
        <v>3.31</v>
      </c>
      <c r="BU783">
        <v>15.88</v>
      </c>
      <c r="BV783">
        <v>1.77</v>
      </c>
      <c r="BW783">
        <v>7.82</v>
      </c>
      <c r="BX783">
        <v>11.8</v>
      </c>
      <c r="BY783">
        <v>15.81</v>
      </c>
      <c r="BZ783">
        <v>11.52</v>
      </c>
      <c r="CA783">
        <v>0.56000000000000005</v>
      </c>
      <c r="CB783">
        <v>0.05</v>
      </c>
      <c r="CC783">
        <v>0.62</v>
      </c>
      <c r="CD783">
        <v>0.52</v>
      </c>
      <c r="CE783">
        <v>0.2</v>
      </c>
      <c r="CF783">
        <v>-0.03</v>
      </c>
      <c r="CG783">
        <v>0.85</v>
      </c>
      <c r="CH783">
        <v>-0.76</v>
      </c>
      <c r="CI783">
        <v>-0.78</v>
      </c>
      <c r="CJ783">
        <v>62678</v>
      </c>
      <c r="CK783">
        <v>7256</v>
      </c>
      <c r="CL783" t="s">
        <v>875</v>
      </c>
      <c r="CM783">
        <v>145.59</v>
      </c>
      <c r="CN783">
        <v>-2.13</v>
      </c>
      <c r="CO783">
        <v>1.58</v>
      </c>
      <c r="CP783">
        <v>-44.46</v>
      </c>
      <c r="CQ783">
        <v>2.15</v>
      </c>
      <c r="CR783">
        <v>0</v>
      </c>
      <c r="CS783" t="s">
        <v>4700</v>
      </c>
      <c r="CT783">
        <v>2.57</v>
      </c>
      <c r="CU783">
        <v>0</v>
      </c>
      <c r="CV783">
        <v>1.41</v>
      </c>
      <c r="CW783">
        <v>0.1</v>
      </c>
      <c r="CX783">
        <v>-0.09</v>
      </c>
      <c r="CY783">
        <v>43.51</v>
      </c>
      <c r="CZ783" t="s">
        <v>1316</v>
      </c>
      <c r="DA783">
        <v>27.12</v>
      </c>
      <c r="DB783">
        <v>3.54</v>
      </c>
      <c r="DC783">
        <v>1.27</v>
      </c>
      <c r="DD783">
        <v>0.31</v>
      </c>
      <c r="DE783">
        <v>1730</v>
      </c>
      <c r="DF783">
        <v>2329</v>
      </c>
      <c r="DG783" t="s">
        <v>116</v>
      </c>
      <c r="DH783" t="s">
        <v>116</v>
      </c>
      <c r="DI783" t="s">
        <v>116</v>
      </c>
    </row>
    <row r="784" spans="1:113" x14ac:dyDescent="0.4">
      <c r="A784" t="str">
        <f>"002330"</f>
        <v>002330</v>
      </c>
      <c r="B784" t="s">
        <v>4806</v>
      </c>
      <c r="C784">
        <v>1.89</v>
      </c>
      <c r="D784">
        <v>8.07</v>
      </c>
      <c r="E784">
        <v>0.15</v>
      </c>
      <c r="F784">
        <v>8.07</v>
      </c>
      <c r="G784">
        <v>8.08</v>
      </c>
      <c r="H784">
        <v>169493</v>
      </c>
      <c r="I784">
        <v>3921</v>
      </c>
      <c r="J784">
        <v>0.25</v>
      </c>
      <c r="K784">
        <v>3.38</v>
      </c>
      <c r="L784">
        <v>7.92</v>
      </c>
      <c r="M784">
        <v>8.07</v>
      </c>
      <c r="N784">
        <v>7.89</v>
      </c>
      <c r="O784">
        <v>7.92</v>
      </c>
      <c r="P784">
        <v>450.66</v>
      </c>
      <c r="Q784">
        <v>135316416</v>
      </c>
      <c r="R784">
        <v>1.19</v>
      </c>
      <c r="S784" t="s">
        <v>863</v>
      </c>
      <c r="T784" t="s">
        <v>645</v>
      </c>
      <c r="U784">
        <v>2.27</v>
      </c>
      <c r="V784">
        <v>7.98</v>
      </c>
      <c r="W784">
        <v>73288</v>
      </c>
      <c r="X784">
        <v>96205</v>
      </c>
      <c r="Y784">
        <v>0.76</v>
      </c>
      <c r="Z784">
        <v>218</v>
      </c>
      <c r="AA784">
        <v>878</v>
      </c>
      <c r="AB784" t="s">
        <v>116</v>
      </c>
      <c r="AC784">
        <v>213800</v>
      </c>
      <c r="AD784">
        <v>0.02</v>
      </c>
      <c r="AE784" t="s">
        <v>116</v>
      </c>
      <c r="AF784" t="s">
        <v>116</v>
      </c>
      <c r="AG784">
        <v>5.0199999999999996</v>
      </c>
      <c r="AH784" t="s">
        <v>3038</v>
      </c>
      <c r="AI784" t="s">
        <v>4807</v>
      </c>
      <c r="AJ784">
        <v>2.57</v>
      </c>
      <c r="AK784">
        <v>2577</v>
      </c>
      <c r="AL784">
        <v>66</v>
      </c>
      <c r="AM784">
        <v>1.2999999999999999E-3</v>
      </c>
      <c r="AN784">
        <v>1</v>
      </c>
      <c r="AO784">
        <v>1.63</v>
      </c>
      <c r="AP784">
        <v>-0.74</v>
      </c>
      <c r="AQ784">
        <v>30.79</v>
      </c>
      <c r="AR784">
        <v>86.81</v>
      </c>
      <c r="AS784">
        <v>12.36</v>
      </c>
      <c r="AT784" t="s">
        <v>4808</v>
      </c>
      <c r="AU784">
        <v>433.88</v>
      </c>
      <c r="AV784">
        <v>506.29</v>
      </c>
      <c r="AW784">
        <v>0.56999999999999995</v>
      </c>
      <c r="BA784">
        <v>0</v>
      </c>
      <c r="BB784">
        <v>1.89</v>
      </c>
      <c r="BC784">
        <v>-0.38</v>
      </c>
      <c r="BD784">
        <v>0.8</v>
      </c>
      <c r="BE784">
        <v>1.89</v>
      </c>
      <c r="BF784">
        <v>0</v>
      </c>
      <c r="BG784">
        <v>2.2799999999999998</v>
      </c>
      <c r="BH784">
        <v>1.0900000000000001</v>
      </c>
      <c r="BI784">
        <v>20191223</v>
      </c>
      <c r="BJ784">
        <v>20100106</v>
      </c>
      <c r="BK784">
        <v>5.0199999999999996</v>
      </c>
      <c r="BL784" t="s">
        <v>116</v>
      </c>
      <c r="BM784" t="s">
        <v>116</v>
      </c>
      <c r="BN784">
        <v>19.05</v>
      </c>
      <c r="BO784">
        <v>13.38</v>
      </c>
      <c r="BP784">
        <v>0.04</v>
      </c>
      <c r="BQ784">
        <v>29.57</v>
      </c>
      <c r="BR784">
        <v>7.59</v>
      </c>
      <c r="BS784">
        <v>7.89</v>
      </c>
      <c r="BT784">
        <v>1.73</v>
      </c>
      <c r="BU784">
        <v>5.61</v>
      </c>
      <c r="BV784">
        <v>2.48</v>
      </c>
      <c r="BW784">
        <v>2.08</v>
      </c>
      <c r="BX784">
        <v>4.87</v>
      </c>
      <c r="BY784">
        <v>16.649999999999999</v>
      </c>
      <c r="BZ784">
        <v>14.87</v>
      </c>
      <c r="CA784">
        <v>0.01</v>
      </c>
      <c r="CB784">
        <v>-0.01</v>
      </c>
      <c r="CC784">
        <v>0.02</v>
      </c>
      <c r="CD784">
        <v>7.0000000000000007E-2</v>
      </c>
      <c r="CE784">
        <v>7.0000000000000007E-2</v>
      </c>
      <c r="CF784">
        <v>0.05</v>
      </c>
      <c r="CG784">
        <v>3.28</v>
      </c>
      <c r="CH784">
        <v>0.23</v>
      </c>
      <c r="CI784">
        <v>0.21</v>
      </c>
      <c r="CJ784">
        <v>38664</v>
      </c>
      <c r="CK784">
        <v>3547</v>
      </c>
      <c r="CL784" t="s">
        <v>4809</v>
      </c>
      <c r="CM784">
        <v>24.7</v>
      </c>
      <c r="CN784">
        <v>13.1</v>
      </c>
      <c r="CO784">
        <v>3.03</v>
      </c>
      <c r="CP784">
        <v>174.71</v>
      </c>
      <c r="CQ784">
        <v>2.4300000000000002</v>
      </c>
      <c r="CR784">
        <v>0</v>
      </c>
      <c r="CS784" t="s">
        <v>910</v>
      </c>
      <c r="CT784">
        <v>2.66</v>
      </c>
      <c r="CU784">
        <v>0</v>
      </c>
      <c r="CV784">
        <v>0.97</v>
      </c>
      <c r="CW784">
        <v>0.65</v>
      </c>
      <c r="CX784">
        <v>0.05</v>
      </c>
      <c r="CY784">
        <v>70.209999999999994</v>
      </c>
      <c r="CZ784" t="s">
        <v>3760</v>
      </c>
      <c r="DA784">
        <v>10.65</v>
      </c>
      <c r="DB784">
        <v>7.0000000000000007E-2</v>
      </c>
      <c r="DC784">
        <v>0.41</v>
      </c>
      <c r="DD784">
        <v>0.01</v>
      </c>
      <c r="DE784">
        <v>2089</v>
      </c>
      <c r="DF784">
        <v>2330</v>
      </c>
      <c r="DG784" t="s">
        <v>116</v>
      </c>
      <c r="DH784" t="s">
        <v>116</v>
      </c>
      <c r="DI784" t="s">
        <v>116</v>
      </c>
    </row>
    <row r="785" spans="1:113" x14ac:dyDescent="0.4">
      <c r="A785" t="str">
        <f>"002331"</f>
        <v>002331</v>
      </c>
      <c r="B785" t="s">
        <v>4810</v>
      </c>
      <c r="C785">
        <v>0.2</v>
      </c>
      <c r="D785">
        <v>9.8699999999999992</v>
      </c>
      <c r="E785">
        <v>0.02</v>
      </c>
      <c r="F785">
        <v>9.86</v>
      </c>
      <c r="G785">
        <v>9.8699999999999992</v>
      </c>
      <c r="H785">
        <v>19557</v>
      </c>
      <c r="I785">
        <v>362</v>
      </c>
      <c r="J785">
        <v>0.2</v>
      </c>
      <c r="K785">
        <v>0.57999999999999996</v>
      </c>
      <c r="L785">
        <v>9.85</v>
      </c>
      <c r="M785">
        <v>10.02</v>
      </c>
      <c r="N785">
        <v>9.8000000000000007</v>
      </c>
      <c r="O785">
        <v>9.85</v>
      </c>
      <c r="P785">
        <v>37.869999999999997</v>
      </c>
      <c r="Q785">
        <v>19406592</v>
      </c>
      <c r="R785">
        <v>1.1299999999999999</v>
      </c>
      <c r="S785" t="s">
        <v>607</v>
      </c>
      <c r="T785" t="s">
        <v>575</v>
      </c>
      <c r="U785">
        <v>2.23</v>
      </c>
      <c r="V785">
        <v>9.92</v>
      </c>
      <c r="W785">
        <v>11354</v>
      </c>
      <c r="X785">
        <v>8203</v>
      </c>
      <c r="Y785">
        <v>1.38</v>
      </c>
      <c r="Z785">
        <v>6</v>
      </c>
      <c r="AA785">
        <v>291</v>
      </c>
      <c r="AB785" t="s">
        <v>116</v>
      </c>
      <c r="AC785">
        <v>0</v>
      </c>
      <c r="AD785">
        <v>0</v>
      </c>
      <c r="AE785" t="s">
        <v>116</v>
      </c>
      <c r="AF785" t="s">
        <v>116</v>
      </c>
      <c r="AG785">
        <v>3.37</v>
      </c>
      <c r="AH785" t="s">
        <v>4811</v>
      </c>
      <c r="AI785" t="s">
        <v>3736</v>
      </c>
      <c r="AJ785">
        <v>0.88</v>
      </c>
      <c r="AK785">
        <v>1018</v>
      </c>
      <c r="AL785">
        <v>19</v>
      </c>
      <c r="AM785">
        <v>5.9999999999999995E-4</v>
      </c>
      <c r="AN785">
        <v>4</v>
      </c>
      <c r="AO785">
        <v>1.1200000000000001</v>
      </c>
      <c r="AP785">
        <v>8.94</v>
      </c>
      <c r="AQ785">
        <v>-3.14</v>
      </c>
      <c r="AR785">
        <v>10.53</v>
      </c>
      <c r="AS785">
        <v>0.78</v>
      </c>
      <c r="AT785" t="s">
        <v>4812</v>
      </c>
      <c r="AU785">
        <v>34.56</v>
      </c>
      <c r="AV785">
        <v>38.43</v>
      </c>
      <c r="AW785">
        <v>1.41</v>
      </c>
      <c r="BA785">
        <v>0</v>
      </c>
      <c r="BB785">
        <v>1.73</v>
      </c>
      <c r="BC785">
        <v>-0.51</v>
      </c>
      <c r="BD785">
        <v>0.74</v>
      </c>
      <c r="BE785">
        <v>0.2</v>
      </c>
      <c r="BF785">
        <v>-1.5</v>
      </c>
      <c r="BG785">
        <v>0.71</v>
      </c>
      <c r="BH785">
        <v>-0.54</v>
      </c>
      <c r="BI785">
        <v>20191203</v>
      </c>
      <c r="BJ785">
        <v>20100106</v>
      </c>
      <c r="BK785">
        <v>4.12</v>
      </c>
      <c r="BL785" t="s">
        <v>116</v>
      </c>
      <c r="BM785" t="s">
        <v>116</v>
      </c>
      <c r="BN785">
        <v>28.3</v>
      </c>
      <c r="BO785">
        <v>20.93</v>
      </c>
      <c r="BP785">
        <v>0.71</v>
      </c>
      <c r="BQ785">
        <v>23.55</v>
      </c>
      <c r="BR785">
        <v>18.8</v>
      </c>
      <c r="BS785">
        <v>3.53</v>
      </c>
      <c r="BT785">
        <v>1.58</v>
      </c>
      <c r="BU785">
        <v>6.63</v>
      </c>
      <c r="BV785">
        <v>3.93</v>
      </c>
      <c r="BW785">
        <v>5.42</v>
      </c>
      <c r="BX785">
        <v>10.43</v>
      </c>
      <c r="BY785">
        <v>8.81</v>
      </c>
      <c r="BZ785">
        <v>6.13</v>
      </c>
      <c r="CA785">
        <v>0.95</v>
      </c>
      <c r="CB785">
        <v>0</v>
      </c>
      <c r="CC785">
        <v>0.96</v>
      </c>
      <c r="CD785">
        <v>0.8</v>
      </c>
      <c r="CE785">
        <v>0.81</v>
      </c>
      <c r="CF785">
        <v>0.74</v>
      </c>
      <c r="CG785">
        <v>5.87</v>
      </c>
      <c r="CH785">
        <v>-1</v>
      </c>
      <c r="CI785">
        <v>-1.78</v>
      </c>
      <c r="CJ785">
        <v>31427</v>
      </c>
      <c r="CK785">
        <v>7959</v>
      </c>
      <c r="CL785" t="s">
        <v>4813</v>
      </c>
      <c r="CM785">
        <v>17.239999999999998</v>
      </c>
      <c r="CN785">
        <v>19.920000000000002</v>
      </c>
      <c r="CO785">
        <v>1.94</v>
      </c>
      <c r="CP785">
        <v>-40.64</v>
      </c>
      <c r="CQ785">
        <v>4.62</v>
      </c>
      <c r="CR785">
        <v>0.3</v>
      </c>
      <c r="CS785" t="s">
        <v>3110</v>
      </c>
      <c r="CT785">
        <v>5.08</v>
      </c>
      <c r="CU785">
        <v>0</v>
      </c>
      <c r="CV785">
        <v>2.5299999999999998</v>
      </c>
      <c r="CW785">
        <v>1.42</v>
      </c>
      <c r="CX785">
        <v>-0.24</v>
      </c>
      <c r="CY785">
        <v>73.95</v>
      </c>
      <c r="CZ785" t="s">
        <v>4814</v>
      </c>
      <c r="DA785">
        <v>30.43</v>
      </c>
      <c r="DB785">
        <v>10.81</v>
      </c>
      <c r="DC785">
        <v>9.14</v>
      </c>
      <c r="DD785">
        <v>0.61</v>
      </c>
      <c r="DE785">
        <v>1416</v>
      </c>
      <c r="DF785">
        <v>2331</v>
      </c>
      <c r="DG785" t="s">
        <v>116</v>
      </c>
      <c r="DH785" t="s">
        <v>116</v>
      </c>
      <c r="DI785" t="s">
        <v>116</v>
      </c>
    </row>
    <row r="786" spans="1:113" x14ac:dyDescent="0.4">
      <c r="A786" t="str">
        <f>"002332"</f>
        <v>002332</v>
      </c>
      <c r="B786" t="s">
        <v>4815</v>
      </c>
      <c r="C786">
        <v>0.2</v>
      </c>
      <c r="D786">
        <v>9.7899999999999991</v>
      </c>
      <c r="E786">
        <v>0.02</v>
      </c>
      <c r="F786">
        <v>9.7799999999999994</v>
      </c>
      <c r="G786">
        <v>9.7899999999999991</v>
      </c>
      <c r="H786">
        <v>215236</v>
      </c>
      <c r="I786">
        <v>3046</v>
      </c>
      <c r="J786">
        <v>0</v>
      </c>
      <c r="K786">
        <v>2.38</v>
      </c>
      <c r="L786">
        <v>9.74</v>
      </c>
      <c r="M786">
        <v>9.91</v>
      </c>
      <c r="N786">
        <v>9.6</v>
      </c>
      <c r="O786">
        <v>9.77</v>
      </c>
      <c r="P786">
        <v>23.13</v>
      </c>
      <c r="Q786">
        <v>210718112</v>
      </c>
      <c r="R786">
        <v>0.94</v>
      </c>
      <c r="S786" t="s">
        <v>132</v>
      </c>
      <c r="T786" t="s">
        <v>590</v>
      </c>
      <c r="U786">
        <v>3.17</v>
      </c>
      <c r="V786">
        <v>9.7899999999999991</v>
      </c>
      <c r="W786">
        <v>112352</v>
      </c>
      <c r="X786">
        <v>102884</v>
      </c>
      <c r="Y786">
        <v>1.0900000000000001</v>
      </c>
      <c r="Z786">
        <v>383</v>
      </c>
      <c r="AA786">
        <v>2384</v>
      </c>
      <c r="AB786" t="s">
        <v>116</v>
      </c>
      <c r="AC786">
        <v>968200</v>
      </c>
      <c r="AD786">
        <v>0.01</v>
      </c>
      <c r="AE786" t="s">
        <v>116</v>
      </c>
      <c r="AF786" t="s">
        <v>116</v>
      </c>
      <c r="AG786">
        <v>9.0399999999999991</v>
      </c>
      <c r="AH786" t="s">
        <v>4816</v>
      </c>
      <c r="AI786" t="s">
        <v>4817</v>
      </c>
      <c r="AJ786">
        <v>0.88</v>
      </c>
      <c r="AK786">
        <v>2873</v>
      </c>
      <c r="AL786">
        <v>75</v>
      </c>
      <c r="AM786">
        <v>8.0000000000000004E-4</v>
      </c>
      <c r="AN786">
        <v>1</v>
      </c>
      <c r="AO786">
        <v>1.45</v>
      </c>
      <c r="AP786">
        <v>-8.68</v>
      </c>
      <c r="AQ786">
        <v>32.479999999999997</v>
      </c>
      <c r="AR786">
        <v>61.42</v>
      </c>
      <c r="AS786">
        <v>3.05</v>
      </c>
      <c r="AT786" t="s">
        <v>4818</v>
      </c>
      <c r="AU786">
        <v>23.57</v>
      </c>
      <c r="AV786">
        <v>29.76</v>
      </c>
      <c r="AW786">
        <v>1.01</v>
      </c>
      <c r="BA786">
        <v>-0.31</v>
      </c>
      <c r="BB786">
        <v>1.43</v>
      </c>
      <c r="BC786">
        <v>-1.74</v>
      </c>
      <c r="BD786">
        <v>0.21</v>
      </c>
      <c r="BE786">
        <v>0.51</v>
      </c>
      <c r="BF786">
        <v>-1.21</v>
      </c>
      <c r="BG786">
        <v>1.98</v>
      </c>
      <c r="BH786">
        <v>0</v>
      </c>
      <c r="BI786">
        <v>20191111</v>
      </c>
      <c r="BJ786">
        <v>20100112</v>
      </c>
      <c r="BK786">
        <v>9.16</v>
      </c>
      <c r="BL786" t="s">
        <v>116</v>
      </c>
      <c r="BM786" t="s">
        <v>116</v>
      </c>
      <c r="BN786">
        <v>58.41</v>
      </c>
      <c r="BO786">
        <v>28.26</v>
      </c>
      <c r="BP786">
        <v>1.1499999999999999</v>
      </c>
      <c r="BQ786">
        <v>49.64</v>
      </c>
      <c r="BR786">
        <v>29.45</v>
      </c>
      <c r="BS786">
        <v>12.11</v>
      </c>
      <c r="BT786">
        <v>1.98</v>
      </c>
      <c r="BU786">
        <v>16.53</v>
      </c>
      <c r="BV786">
        <v>6.78</v>
      </c>
      <c r="BW786">
        <v>8.3000000000000007</v>
      </c>
      <c r="BX786">
        <v>8.57</v>
      </c>
      <c r="BY786">
        <v>27.69</v>
      </c>
      <c r="BZ786">
        <v>10.89</v>
      </c>
      <c r="CA786">
        <v>4.16</v>
      </c>
      <c r="CB786">
        <v>0.21</v>
      </c>
      <c r="CC786">
        <v>4.04</v>
      </c>
      <c r="CD786">
        <v>3.26</v>
      </c>
      <c r="CE786">
        <v>2.91</v>
      </c>
      <c r="CF786">
        <v>2.83</v>
      </c>
      <c r="CG786">
        <v>8.99</v>
      </c>
      <c r="CH786">
        <v>4.03</v>
      </c>
      <c r="CI786">
        <v>1.31</v>
      </c>
      <c r="CJ786">
        <v>31000</v>
      </c>
      <c r="CK786">
        <v>22791</v>
      </c>
      <c r="CL786" t="s">
        <v>4819</v>
      </c>
      <c r="CM786">
        <v>37.4</v>
      </c>
      <c r="CN786">
        <v>4.49</v>
      </c>
      <c r="CO786">
        <v>3.17</v>
      </c>
      <c r="CP786">
        <v>22.26</v>
      </c>
      <c r="CQ786">
        <v>3.24</v>
      </c>
      <c r="CR786">
        <v>0.66</v>
      </c>
      <c r="CS786" t="s">
        <v>4411</v>
      </c>
      <c r="CT786">
        <v>3.08</v>
      </c>
      <c r="CU786">
        <v>0</v>
      </c>
      <c r="CV786">
        <v>0.94</v>
      </c>
      <c r="CW786">
        <v>0.98</v>
      </c>
      <c r="CX786">
        <v>0.44</v>
      </c>
      <c r="CY786">
        <v>48.39</v>
      </c>
      <c r="CZ786" t="s">
        <v>4820</v>
      </c>
      <c r="DA786">
        <v>60.68</v>
      </c>
      <c r="DB786">
        <v>15.01</v>
      </c>
      <c r="DC786">
        <v>10.5</v>
      </c>
      <c r="DD786">
        <v>1.1000000000000001</v>
      </c>
      <c r="DE786">
        <v>3828</v>
      </c>
      <c r="DF786">
        <v>2332</v>
      </c>
      <c r="DG786" t="s">
        <v>116</v>
      </c>
      <c r="DH786" t="s">
        <v>116</v>
      </c>
      <c r="DI786" t="s">
        <v>116</v>
      </c>
    </row>
    <row r="787" spans="1:113" x14ac:dyDescent="0.4">
      <c r="A787" t="str">
        <f>"002333"</f>
        <v>002333</v>
      </c>
      <c r="B787" t="s">
        <v>4821</v>
      </c>
      <c r="C787">
        <v>0.44</v>
      </c>
      <c r="D787">
        <v>4.58</v>
      </c>
      <c r="E787">
        <v>0.02</v>
      </c>
      <c r="F787">
        <v>4.57</v>
      </c>
      <c r="G787">
        <v>4.58</v>
      </c>
      <c r="H787">
        <v>25783</v>
      </c>
      <c r="I787">
        <v>258</v>
      </c>
      <c r="J787">
        <v>0.44</v>
      </c>
      <c r="K787">
        <v>0.53</v>
      </c>
      <c r="L787">
        <v>4.5599999999999996</v>
      </c>
      <c r="M787">
        <v>4.59</v>
      </c>
      <c r="N787">
        <v>4.53</v>
      </c>
      <c r="O787">
        <v>4.5599999999999996</v>
      </c>
      <c r="P787">
        <v>45.26</v>
      </c>
      <c r="Q787">
        <v>11754399</v>
      </c>
      <c r="R787">
        <v>0.51</v>
      </c>
      <c r="S787" t="s">
        <v>1428</v>
      </c>
      <c r="T787" t="s">
        <v>323</v>
      </c>
      <c r="U787">
        <v>1.32</v>
      </c>
      <c r="V787">
        <v>4.5599999999999996</v>
      </c>
      <c r="W787">
        <v>13775</v>
      </c>
      <c r="X787">
        <v>12008</v>
      </c>
      <c r="Y787">
        <v>1.1499999999999999</v>
      </c>
      <c r="Z787">
        <v>52</v>
      </c>
      <c r="AA787">
        <v>319</v>
      </c>
      <c r="AB787" t="s">
        <v>116</v>
      </c>
      <c r="AC787">
        <v>0</v>
      </c>
      <c r="AD787">
        <v>0</v>
      </c>
      <c r="AE787" t="s">
        <v>116</v>
      </c>
      <c r="AF787" t="s">
        <v>116</v>
      </c>
      <c r="AG787">
        <v>4.8499999999999996</v>
      </c>
      <c r="AH787" t="s">
        <v>4822</v>
      </c>
      <c r="AI787" t="s">
        <v>4823</v>
      </c>
      <c r="AJ787">
        <v>1.1200000000000001</v>
      </c>
      <c r="AK787">
        <v>379</v>
      </c>
      <c r="AL787">
        <v>68</v>
      </c>
      <c r="AM787">
        <v>1.4E-3</v>
      </c>
      <c r="AN787">
        <v>1</v>
      </c>
      <c r="AO787">
        <v>-2.75</v>
      </c>
      <c r="AP787">
        <v>0.44</v>
      </c>
      <c r="AQ787">
        <v>-1.93</v>
      </c>
      <c r="AR787">
        <v>-19.079999999999998</v>
      </c>
      <c r="AS787">
        <v>1.65</v>
      </c>
      <c r="AT787" t="s">
        <v>4141</v>
      </c>
      <c r="AU787" t="s">
        <v>116</v>
      </c>
      <c r="AV787" t="s">
        <v>116</v>
      </c>
      <c r="AW787">
        <v>0.21</v>
      </c>
      <c r="BA787">
        <v>0</v>
      </c>
      <c r="BB787">
        <v>0.66</v>
      </c>
      <c r="BC787">
        <v>-0.66</v>
      </c>
      <c r="BD787">
        <v>-0.02</v>
      </c>
      <c r="BE787">
        <v>0.44</v>
      </c>
      <c r="BF787">
        <v>-0.22</v>
      </c>
      <c r="BG787">
        <v>1.1000000000000001</v>
      </c>
      <c r="BH787">
        <v>0.46</v>
      </c>
      <c r="BI787">
        <v>20191223</v>
      </c>
      <c r="BJ787">
        <v>20100112</v>
      </c>
      <c r="BK787">
        <v>5.03</v>
      </c>
      <c r="BL787" t="s">
        <v>116</v>
      </c>
      <c r="BM787" t="s">
        <v>116</v>
      </c>
      <c r="BN787">
        <v>13.52</v>
      </c>
      <c r="BO787">
        <v>12.56</v>
      </c>
      <c r="BP787">
        <v>0</v>
      </c>
      <c r="BQ787">
        <v>7.09</v>
      </c>
      <c r="BR787">
        <v>7.54</v>
      </c>
      <c r="BS787">
        <v>4.59</v>
      </c>
      <c r="BT787">
        <v>1.0900000000000001</v>
      </c>
      <c r="BU787">
        <v>0.9</v>
      </c>
      <c r="BV787">
        <v>1.0900000000000001</v>
      </c>
      <c r="BW787">
        <v>0.55000000000000004</v>
      </c>
      <c r="BX787">
        <v>4.54</v>
      </c>
      <c r="BY787">
        <v>5.35</v>
      </c>
      <c r="BZ787">
        <v>5.05</v>
      </c>
      <c r="CA787">
        <v>0.4</v>
      </c>
      <c r="CB787">
        <v>1</v>
      </c>
      <c r="CC787">
        <v>0.39</v>
      </c>
      <c r="CD787">
        <v>0.32</v>
      </c>
      <c r="CE787">
        <v>0.38</v>
      </c>
      <c r="CF787">
        <v>-0.51</v>
      </c>
      <c r="CG787">
        <v>2.0099999999999998</v>
      </c>
      <c r="CH787">
        <v>-0.02</v>
      </c>
      <c r="CI787">
        <v>1.21</v>
      </c>
      <c r="CJ787">
        <v>13386</v>
      </c>
      <c r="CK787">
        <v>11653</v>
      </c>
      <c r="CL787" t="s">
        <v>757</v>
      </c>
      <c r="CM787">
        <v>157.6</v>
      </c>
      <c r="CN787">
        <v>-32.06</v>
      </c>
      <c r="CO787">
        <v>1.83</v>
      </c>
      <c r="CP787">
        <v>-1084.3800000000001</v>
      </c>
      <c r="CQ787">
        <v>4.3</v>
      </c>
      <c r="CR787">
        <v>4.37</v>
      </c>
      <c r="CS787" t="s">
        <v>3475</v>
      </c>
      <c r="CT787">
        <v>2.5</v>
      </c>
      <c r="CU787">
        <v>0</v>
      </c>
      <c r="CV787">
        <v>0.9</v>
      </c>
      <c r="CW787">
        <v>0.4</v>
      </c>
      <c r="CX787">
        <v>0</v>
      </c>
      <c r="CY787">
        <v>92.88</v>
      </c>
      <c r="CZ787" t="s">
        <v>4824</v>
      </c>
      <c r="DA787">
        <v>5.66</v>
      </c>
      <c r="DB787">
        <v>7.54</v>
      </c>
      <c r="DC787">
        <v>7.13</v>
      </c>
      <c r="DD787">
        <v>0.08</v>
      </c>
      <c r="DE787">
        <v>1440</v>
      </c>
      <c r="DF787">
        <v>2333</v>
      </c>
      <c r="DG787" t="s">
        <v>116</v>
      </c>
      <c r="DH787" t="s">
        <v>116</v>
      </c>
      <c r="DI787" t="s">
        <v>116</v>
      </c>
    </row>
    <row r="788" spans="1:113" x14ac:dyDescent="0.4">
      <c r="A788" t="str">
        <f>"002334"</f>
        <v>002334</v>
      </c>
      <c r="B788" t="s">
        <v>4825</v>
      </c>
      <c r="C788">
        <v>-0.46</v>
      </c>
      <c r="D788">
        <v>4.32</v>
      </c>
      <c r="E788">
        <v>-0.02</v>
      </c>
      <c r="F788">
        <v>4.32</v>
      </c>
      <c r="G788">
        <v>4.33</v>
      </c>
      <c r="H788">
        <v>52022</v>
      </c>
      <c r="I788">
        <v>685</v>
      </c>
      <c r="J788">
        <v>-0.22</v>
      </c>
      <c r="K788">
        <v>0.86</v>
      </c>
      <c r="L788">
        <v>4.32</v>
      </c>
      <c r="M788">
        <v>4.4000000000000004</v>
      </c>
      <c r="N788">
        <v>4.3099999999999996</v>
      </c>
      <c r="O788">
        <v>4.34</v>
      </c>
      <c r="P788" t="s">
        <v>116</v>
      </c>
      <c r="Q788">
        <v>22646700</v>
      </c>
      <c r="R788">
        <v>0.65</v>
      </c>
      <c r="S788" t="s">
        <v>397</v>
      </c>
      <c r="T788" t="s">
        <v>115</v>
      </c>
      <c r="U788">
        <v>2.0699999999999998</v>
      </c>
      <c r="V788">
        <v>4.3499999999999996</v>
      </c>
      <c r="W788">
        <v>29023</v>
      </c>
      <c r="X788">
        <v>22999</v>
      </c>
      <c r="Y788">
        <v>1.26</v>
      </c>
      <c r="Z788">
        <v>260</v>
      </c>
      <c r="AA788">
        <v>461</v>
      </c>
      <c r="AB788" t="s">
        <v>116</v>
      </c>
      <c r="AC788">
        <v>11200</v>
      </c>
      <c r="AD788">
        <v>0</v>
      </c>
      <c r="AE788" t="s">
        <v>116</v>
      </c>
      <c r="AF788" t="s">
        <v>116</v>
      </c>
      <c r="AG788">
        <v>6.08</v>
      </c>
      <c r="AH788" t="s">
        <v>4826</v>
      </c>
      <c r="AI788" t="s">
        <v>4827</v>
      </c>
      <c r="AJ788">
        <v>0.22</v>
      </c>
      <c r="AK788">
        <v>813</v>
      </c>
      <c r="AL788">
        <v>64</v>
      </c>
      <c r="AM788">
        <v>1.1000000000000001E-3</v>
      </c>
      <c r="AN788">
        <v>-1</v>
      </c>
      <c r="AO788">
        <v>-2.48</v>
      </c>
      <c r="AP788">
        <v>5.88</v>
      </c>
      <c r="AQ788">
        <v>-8.4700000000000006</v>
      </c>
      <c r="AR788">
        <v>2.13</v>
      </c>
      <c r="AS788">
        <v>0.89</v>
      </c>
      <c r="AT788" t="s">
        <v>2353</v>
      </c>
      <c r="AU788" t="s">
        <v>116</v>
      </c>
      <c r="AV788">
        <v>14.52</v>
      </c>
      <c r="AW788">
        <v>0.73</v>
      </c>
      <c r="BA788">
        <v>-0.46</v>
      </c>
      <c r="BB788">
        <v>1.38</v>
      </c>
      <c r="BC788">
        <v>-0.69</v>
      </c>
      <c r="BD788">
        <v>0.31</v>
      </c>
      <c r="BE788">
        <v>0</v>
      </c>
      <c r="BF788">
        <v>-1.82</v>
      </c>
      <c r="BG788">
        <v>0.23</v>
      </c>
      <c r="BH788">
        <v>-0.77</v>
      </c>
      <c r="BI788">
        <v>20191212</v>
      </c>
      <c r="BJ788">
        <v>20100113</v>
      </c>
      <c r="BK788">
        <v>7.53</v>
      </c>
      <c r="BL788" t="s">
        <v>116</v>
      </c>
      <c r="BM788" t="s">
        <v>116</v>
      </c>
      <c r="BN788">
        <v>31.92</v>
      </c>
      <c r="BO788">
        <v>18.45</v>
      </c>
      <c r="BP788">
        <v>0.94</v>
      </c>
      <c r="BQ788">
        <v>39.26</v>
      </c>
      <c r="BR788">
        <v>21.04</v>
      </c>
      <c r="BS788">
        <v>4.84</v>
      </c>
      <c r="BT788">
        <v>1.1499999999999999</v>
      </c>
      <c r="BU788">
        <v>12.15</v>
      </c>
      <c r="BV788">
        <v>5.09</v>
      </c>
      <c r="BW788">
        <v>7.86</v>
      </c>
      <c r="BX788">
        <v>2.33</v>
      </c>
      <c r="BY788">
        <v>16.37</v>
      </c>
      <c r="BZ788">
        <v>10.36</v>
      </c>
      <c r="CA788">
        <v>0.21</v>
      </c>
      <c r="CB788">
        <v>0.05</v>
      </c>
      <c r="CC788">
        <v>-0.75</v>
      </c>
      <c r="CD788">
        <v>-0.93</v>
      </c>
      <c r="CE788">
        <v>-0.39</v>
      </c>
      <c r="CF788">
        <v>0.04</v>
      </c>
      <c r="CG788">
        <v>7.83</v>
      </c>
      <c r="CH788">
        <v>0.52</v>
      </c>
      <c r="CI788">
        <v>-0.48</v>
      </c>
      <c r="CJ788">
        <v>64302</v>
      </c>
      <c r="CK788">
        <v>9135</v>
      </c>
      <c r="CL788" t="s">
        <v>895</v>
      </c>
      <c r="CM788">
        <v>-121.14</v>
      </c>
      <c r="CN788">
        <v>0.1</v>
      </c>
      <c r="CO788">
        <v>1.76</v>
      </c>
      <c r="CP788">
        <v>62.64</v>
      </c>
      <c r="CQ788">
        <v>1.99</v>
      </c>
      <c r="CR788">
        <v>1.1399999999999999</v>
      </c>
      <c r="CS788" t="s">
        <v>1707</v>
      </c>
      <c r="CT788">
        <v>2.4500000000000002</v>
      </c>
      <c r="CU788">
        <v>0</v>
      </c>
      <c r="CV788">
        <v>0.31</v>
      </c>
      <c r="CW788">
        <v>1.04</v>
      </c>
      <c r="CX788">
        <v>7.0000000000000007E-2</v>
      </c>
      <c r="CY788">
        <v>57.8</v>
      </c>
      <c r="CZ788" t="s">
        <v>4828</v>
      </c>
      <c r="DA788">
        <v>36.72</v>
      </c>
      <c r="DB788">
        <v>1.31</v>
      </c>
      <c r="DC788">
        <v>-2.41</v>
      </c>
      <c r="DD788">
        <v>2</v>
      </c>
      <c r="DE788">
        <v>3426</v>
      </c>
      <c r="DF788">
        <v>2334</v>
      </c>
      <c r="DG788" t="s">
        <v>116</v>
      </c>
      <c r="DH788" t="s">
        <v>116</v>
      </c>
      <c r="DI788" t="s">
        <v>116</v>
      </c>
    </row>
    <row r="789" spans="1:113" x14ac:dyDescent="0.4">
      <c r="A789" t="str">
        <f>"002335"</f>
        <v>002335</v>
      </c>
      <c r="B789" t="s">
        <v>4829</v>
      </c>
      <c r="C789">
        <v>-1.51</v>
      </c>
      <c r="D789">
        <v>16.350000000000001</v>
      </c>
      <c r="E789">
        <v>-0.25</v>
      </c>
      <c r="F789">
        <v>16.350000000000001</v>
      </c>
      <c r="G789">
        <v>16.36</v>
      </c>
      <c r="H789">
        <v>28111</v>
      </c>
      <c r="I789">
        <v>217</v>
      </c>
      <c r="J789">
        <v>0</v>
      </c>
      <c r="K789">
        <v>1.26</v>
      </c>
      <c r="L789">
        <v>16.63</v>
      </c>
      <c r="M789">
        <v>16.77</v>
      </c>
      <c r="N789">
        <v>16.34</v>
      </c>
      <c r="O789">
        <v>16.600000000000001</v>
      </c>
      <c r="P789">
        <v>25.01</v>
      </c>
      <c r="Q789">
        <v>46514588</v>
      </c>
      <c r="R789">
        <v>1.21</v>
      </c>
      <c r="S789" t="s">
        <v>397</v>
      </c>
      <c r="T789" t="s">
        <v>975</v>
      </c>
      <c r="U789">
        <v>2.59</v>
      </c>
      <c r="V789">
        <v>16.55</v>
      </c>
      <c r="W789">
        <v>15764</v>
      </c>
      <c r="X789">
        <v>12347</v>
      </c>
      <c r="Y789">
        <v>1.28</v>
      </c>
      <c r="Z789">
        <v>202</v>
      </c>
      <c r="AA789">
        <v>292</v>
      </c>
      <c r="AB789" t="s">
        <v>116</v>
      </c>
      <c r="AC789">
        <v>158000</v>
      </c>
      <c r="AD789">
        <v>0.01</v>
      </c>
      <c r="AE789" t="s">
        <v>116</v>
      </c>
      <c r="AF789" t="s">
        <v>116</v>
      </c>
      <c r="AG789">
        <v>2.23</v>
      </c>
      <c r="AH789" t="s">
        <v>2829</v>
      </c>
      <c r="AI789" t="s">
        <v>4830</v>
      </c>
      <c r="AJ789">
        <v>-0.83</v>
      </c>
      <c r="AK789">
        <v>1411</v>
      </c>
      <c r="AL789">
        <v>20</v>
      </c>
      <c r="AM789">
        <v>8.9999999999999998E-4</v>
      </c>
      <c r="AN789">
        <v>-2</v>
      </c>
      <c r="AO789">
        <v>0.61</v>
      </c>
      <c r="AP789">
        <v>8.1300000000000008</v>
      </c>
      <c r="AQ789">
        <v>-9.4700000000000006</v>
      </c>
      <c r="AR789">
        <v>16.2</v>
      </c>
      <c r="AS789">
        <v>2.52</v>
      </c>
      <c r="AT789" t="s">
        <v>4831</v>
      </c>
      <c r="AU789">
        <v>45.7</v>
      </c>
      <c r="AV789">
        <v>59.38</v>
      </c>
      <c r="AW789">
        <v>1.1299999999999999</v>
      </c>
      <c r="BA789">
        <v>0.18</v>
      </c>
      <c r="BB789">
        <v>1.02</v>
      </c>
      <c r="BC789">
        <v>-1.57</v>
      </c>
      <c r="BD789">
        <v>-0.32</v>
      </c>
      <c r="BE789">
        <v>-1.68</v>
      </c>
      <c r="BF789">
        <v>-2.5</v>
      </c>
      <c r="BG789">
        <v>0.06</v>
      </c>
      <c r="BH789">
        <v>-1.18</v>
      </c>
      <c r="BI789">
        <v>20191024</v>
      </c>
      <c r="BJ789">
        <v>20100113</v>
      </c>
      <c r="BK789">
        <v>2.72</v>
      </c>
      <c r="BL789" t="s">
        <v>116</v>
      </c>
      <c r="BM789" t="s">
        <v>116</v>
      </c>
      <c r="BN789">
        <v>77.760000000000005</v>
      </c>
      <c r="BO789">
        <v>31.49</v>
      </c>
      <c r="BP789">
        <v>2.31</v>
      </c>
      <c r="BQ789">
        <v>56.54</v>
      </c>
      <c r="BR789">
        <v>31.67</v>
      </c>
      <c r="BS789">
        <v>16.13</v>
      </c>
      <c r="BT789">
        <v>3.96</v>
      </c>
      <c r="BU789">
        <v>24.73</v>
      </c>
      <c r="BV789">
        <v>5.37</v>
      </c>
      <c r="BW789">
        <v>17.3</v>
      </c>
      <c r="BX789">
        <v>21.35</v>
      </c>
      <c r="BY789">
        <v>25.8</v>
      </c>
      <c r="BZ789">
        <v>17.89</v>
      </c>
      <c r="CA789">
        <v>1.7</v>
      </c>
      <c r="CB789">
        <v>-0.01</v>
      </c>
      <c r="CC789">
        <v>1.68</v>
      </c>
      <c r="CD789">
        <v>1.44</v>
      </c>
      <c r="CE789">
        <v>1.33</v>
      </c>
      <c r="CF789">
        <v>1.1399999999999999</v>
      </c>
      <c r="CG789">
        <v>6.15</v>
      </c>
      <c r="CH789">
        <v>2.95</v>
      </c>
      <c r="CI789">
        <v>-4.33</v>
      </c>
      <c r="CJ789">
        <v>20462</v>
      </c>
      <c r="CK789">
        <v>5451</v>
      </c>
      <c r="CL789" t="s">
        <v>213</v>
      </c>
      <c r="CM789">
        <v>20.2</v>
      </c>
      <c r="CN789">
        <v>16.77</v>
      </c>
      <c r="CO789">
        <v>1.41</v>
      </c>
      <c r="CP789">
        <v>15.06</v>
      </c>
      <c r="CQ789">
        <v>1.72</v>
      </c>
      <c r="CR789">
        <v>6.12</v>
      </c>
      <c r="CS789" t="s">
        <v>1677</v>
      </c>
      <c r="CT789">
        <v>11.6</v>
      </c>
      <c r="CU789">
        <v>0</v>
      </c>
      <c r="CV789">
        <v>7.86</v>
      </c>
      <c r="CW789">
        <v>2.2599999999999998</v>
      </c>
      <c r="CX789">
        <v>1.0900000000000001</v>
      </c>
      <c r="CY789">
        <v>40.49</v>
      </c>
      <c r="CZ789" t="s">
        <v>4832</v>
      </c>
      <c r="DA789">
        <v>30.65</v>
      </c>
      <c r="DB789">
        <v>6.59</v>
      </c>
      <c r="DC789">
        <v>5.16</v>
      </c>
      <c r="DD789">
        <v>1.46</v>
      </c>
      <c r="DE789">
        <v>4038</v>
      </c>
      <c r="DF789">
        <v>2335</v>
      </c>
      <c r="DG789" t="s">
        <v>116</v>
      </c>
      <c r="DH789" t="s">
        <v>116</v>
      </c>
      <c r="DI789" t="s">
        <v>116</v>
      </c>
    </row>
    <row r="790" spans="1:113" x14ac:dyDescent="0.4">
      <c r="A790" t="str">
        <f>"002336"</f>
        <v>002336</v>
      </c>
      <c r="B790" t="s">
        <v>4833</v>
      </c>
      <c r="C790">
        <v>-0.57999999999999996</v>
      </c>
      <c r="D790">
        <v>5.17</v>
      </c>
      <c r="E790">
        <v>-0.03</v>
      </c>
      <c r="F790">
        <v>5.17</v>
      </c>
      <c r="G790">
        <v>5.18</v>
      </c>
      <c r="H790">
        <v>7329</v>
      </c>
      <c r="I790">
        <v>24</v>
      </c>
      <c r="J790">
        <v>0</v>
      </c>
      <c r="K790">
        <v>0.2</v>
      </c>
      <c r="L790">
        <v>5.2</v>
      </c>
      <c r="M790">
        <v>5.22</v>
      </c>
      <c r="N790">
        <v>5.16</v>
      </c>
      <c r="O790">
        <v>5.2</v>
      </c>
      <c r="P790" t="s">
        <v>116</v>
      </c>
      <c r="Q790">
        <v>3801708</v>
      </c>
      <c r="R790">
        <v>0.71</v>
      </c>
      <c r="S790" t="s">
        <v>2064</v>
      </c>
      <c r="T790" t="s">
        <v>115</v>
      </c>
      <c r="U790">
        <v>1.1499999999999999</v>
      </c>
      <c r="V790">
        <v>5.19</v>
      </c>
      <c r="W790">
        <v>4411</v>
      </c>
      <c r="X790">
        <v>2918</v>
      </c>
      <c r="Y790">
        <v>1.51</v>
      </c>
      <c r="Z790">
        <v>76</v>
      </c>
      <c r="AA790">
        <v>106</v>
      </c>
      <c r="AB790" t="s">
        <v>116</v>
      </c>
      <c r="AC790">
        <v>104000</v>
      </c>
      <c r="AD790">
        <v>0.02</v>
      </c>
      <c r="AE790" t="s">
        <v>116</v>
      </c>
      <c r="AF790" t="s">
        <v>116</v>
      </c>
      <c r="AG790">
        <v>3.73</v>
      </c>
      <c r="AH790" t="s">
        <v>4834</v>
      </c>
      <c r="AI790" t="s">
        <v>4835</v>
      </c>
      <c r="AJ790">
        <v>0.1</v>
      </c>
      <c r="AK790">
        <v>180</v>
      </c>
      <c r="AL790">
        <v>41</v>
      </c>
      <c r="AM790">
        <v>1.1000000000000001E-3</v>
      </c>
      <c r="AN790">
        <v>-3</v>
      </c>
      <c r="AO790">
        <v>-2.4500000000000002</v>
      </c>
      <c r="AP790">
        <v>4.66</v>
      </c>
      <c r="AQ790">
        <v>-6.51</v>
      </c>
      <c r="AR790">
        <v>-9.59</v>
      </c>
      <c r="AS790">
        <v>0.65</v>
      </c>
      <c r="AT790" t="s">
        <v>4836</v>
      </c>
      <c r="AU790" t="s">
        <v>116</v>
      </c>
      <c r="AV790" t="s">
        <v>116</v>
      </c>
      <c r="AW790">
        <v>0.44</v>
      </c>
      <c r="BA790">
        <v>0</v>
      </c>
      <c r="BB790">
        <v>0.38</v>
      </c>
      <c r="BC790">
        <v>-0.77</v>
      </c>
      <c r="BD790">
        <v>-0.25</v>
      </c>
      <c r="BE790">
        <v>-0.57999999999999996</v>
      </c>
      <c r="BF790">
        <v>-0.96</v>
      </c>
      <c r="BG790">
        <v>0.19</v>
      </c>
      <c r="BH790">
        <v>-0.33</v>
      </c>
      <c r="BI790">
        <v>20191030</v>
      </c>
      <c r="BJ790">
        <v>20100113</v>
      </c>
      <c r="BK790">
        <v>4.4000000000000004</v>
      </c>
      <c r="BL790" t="s">
        <v>116</v>
      </c>
      <c r="BM790" t="s">
        <v>116</v>
      </c>
      <c r="BN790">
        <v>44.83</v>
      </c>
      <c r="BO790">
        <v>13.07</v>
      </c>
      <c r="BP790">
        <v>0.01</v>
      </c>
      <c r="BQ790">
        <v>70.83</v>
      </c>
      <c r="BR790">
        <v>20.94</v>
      </c>
      <c r="BS790">
        <v>14.07</v>
      </c>
      <c r="BT790">
        <v>1.1200000000000001</v>
      </c>
      <c r="BU790">
        <v>31.07</v>
      </c>
      <c r="BV790">
        <v>12.8</v>
      </c>
      <c r="BW790">
        <v>7.0000000000000007E-2</v>
      </c>
      <c r="BX790">
        <v>24.36</v>
      </c>
      <c r="BY790">
        <v>58.56</v>
      </c>
      <c r="BZ790">
        <v>44.92</v>
      </c>
      <c r="CA790">
        <v>-1.17</v>
      </c>
      <c r="CB790">
        <v>0</v>
      </c>
      <c r="CC790">
        <v>-0.96</v>
      </c>
      <c r="CD790">
        <v>-1.1000000000000001</v>
      </c>
      <c r="CE790">
        <v>-1.0900000000000001</v>
      </c>
      <c r="CF790">
        <v>-1.35</v>
      </c>
      <c r="CG790">
        <v>-17.309999999999999</v>
      </c>
      <c r="CH790">
        <v>0.45</v>
      </c>
      <c r="CI790">
        <v>0.1</v>
      </c>
      <c r="CJ790">
        <v>13977</v>
      </c>
      <c r="CK790">
        <v>8036</v>
      </c>
      <c r="CL790" t="s">
        <v>4837</v>
      </c>
      <c r="CM790">
        <v>-946.76</v>
      </c>
      <c r="CN790">
        <v>-6.32</v>
      </c>
      <c r="CO790">
        <v>1.74</v>
      </c>
      <c r="CP790">
        <v>50.37</v>
      </c>
      <c r="CQ790">
        <v>0.39</v>
      </c>
      <c r="CR790">
        <v>0</v>
      </c>
      <c r="CS790" t="s">
        <v>4838</v>
      </c>
      <c r="CT790">
        <v>2.97</v>
      </c>
      <c r="CU790">
        <v>0</v>
      </c>
      <c r="CV790">
        <v>5.54</v>
      </c>
      <c r="CW790">
        <v>-3.93</v>
      </c>
      <c r="CX790">
        <v>0.1</v>
      </c>
      <c r="CY790">
        <v>29.14</v>
      </c>
      <c r="CZ790" t="s">
        <v>4839</v>
      </c>
      <c r="DA790">
        <v>23.3</v>
      </c>
      <c r="DB790">
        <v>-2.0099999999999998</v>
      </c>
      <c r="DC790">
        <v>-1.86</v>
      </c>
      <c r="DD790">
        <v>0</v>
      </c>
      <c r="DE790">
        <v>12912</v>
      </c>
      <c r="DF790">
        <v>2336</v>
      </c>
      <c r="DG790" t="s">
        <v>116</v>
      </c>
      <c r="DH790" t="s">
        <v>116</v>
      </c>
      <c r="DI790" t="s">
        <v>116</v>
      </c>
    </row>
    <row r="791" spans="1:113" x14ac:dyDescent="0.4">
      <c r="A791" t="str">
        <f>"002337"</f>
        <v>002337</v>
      </c>
      <c r="B791" t="s">
        <v>4840</v>
      </c>
      <c r="C791">
        <v>-0.55000000000000004</v>
      </c>
      <c r="D791">
        <v>3.6</v>
      </c>
      <c r="E791">
        <v>-0.02</v>
      </c>
      <c r="F791">
        <v>3.59</v>
      </c>
      <c r="G791">
        <v>3.6</v>
      </c>
      <c r="H791">
        <v>34660</v>
      </c>
      <c r="I791">
        <v>373</v>
      </c>
      <c r="J791">
        <v>0</v>
      </c>
      <c r="K791">
        <v>0.59</v>
      </c>
      <c r="L791">
        <v>3.61</v>
      </c>
      <c r="M791">
        <v>3.64</v>
      </c>
      <c r="N791">
        <v>3.6</v>
      </c>
      <c r="O791">
        <v>3.62</v>
      </c>
      <c r="P791" t="s">
        <v>116</v>
      </c>
      <c r="Q791">
        <v>12544917</v>
      </c>
      <c r="R791">
        <v>0.67</v>
      </c>
      <c r="S791" t="s">
        <v>2426</v>
      </c>
      <c r="T791" t="s">
        <v>1035</v>
      </c>
      <c r="U791">
        <v>1.1000000000000001</v>
      </c>
      <c r="V791">
        <v>3.62</v>
      </c>
      <c r="W791">
        <v>21410</v>
      </c>
      <c r="X791">
        <v>13250</v>
      </c>
      <c r="Y791">
        <v>1.62</v>
      </c>
      <c r="Z791">
        <v>255</v>
      </c>
      <c r="AA791">
        <v>144</v>
      </c>
      <c r="AB791" t="s">
        <v>116</v>
      </c>
      <c r="AC791">
        <v>10100</v>
      </c>
      <c r="AD791">
        <v>0</v>
      </c>
      <c r="AE791" t="s">
        <v>116</v>
      </c>
      <c r="AF791" t="s">
        <v>116</v>
      </c>
      <c r="AG791">
        <v>5.88</v>
      </c>
      <c r="AH791" t="s">
        <v>3146</v>
      </c>
      <c r="AI791" t="s">
        <v>2512</v>
      </c>
      <c r="AJ791">
        <v>0.13</v>
      </c>
      <c r="AK791">
        <v>676</v>
      </c>
      <c r="AL791">
        <v>51</v>
      </c>
      <c r="AM791">
        <v>8.9999999999999998E-4</v>
      </c>
      <c r="AN791">
        <v>-1</v>
      </c>
      <c r="AO791">
        <v>-0.54</v>
      </c>
      <c r="AP791">
        <v>4.96</v>
      </c>
      <c r="AQ791">
        <v>-8.86</v>
      </c>
      <c r="AR791">
        <v>-4.26</v>
      </c>
      <c r="AS791">
        <v>0.92</v>
      </c>
      <c r="AT791" t="s">
        <v>190</v>
      </c>
      <c r="AU791">
        <v>126.39</v>
      </c>
      <c r="AV791">
        <v>286</v>
      </c>
      <c r="AW791">
        <v>1.1399999999999999</v>
      </c>
      <c r="BA791">
        <v>-0.28000000000000003</v>
      </c>
      <c r="BB791">
        <v>0.55000000000000004</v>
      </c>
      <c r="BC791">
        <v>-0.55000000000000004</v>
      </c>
      <c r="BD791">
        <v>-0.02</v>
      </c>
      <c r="BE791">
        <v>-0.28000000000000003</v>
      </c>
      <c r="BF791">
        <v>-1.1000000000000001</v>
      </c>
      <c r="BG791">
        <v>0</v>
      </c>
      <c r="BH791">
        <v>-0.54</v>
      </c>
      <c r="BI791">
        <v>20191029</v>
      </c>
      <c r="BJ791">
        <v>20100115</v>
      </c>
      <c r="BK791">
        <v>5.89</v>
      </c>
      <c r="BL791" t="s">
        <v>116</v>
      </c>
      <c r="BM791" t="s">
        <v>116</v>
      </c>
      <c r="BN791">
        <v>15.76</v>
      </c>
      <c r="BO791">
        <v>12.04</v>
      </c>
      <c r="BP791">
        <v>0.91</v>
      </c>
      <c r="BQ791">
        <v>17.86</v>
      </c>
      <c r="BR791">
        <v>12.64</v>
      </c>
      <c r="BS791">
        <v>2.0499999999999998</v>
      </c>
      <c r="BT791">
        <v>0.32</v>
      </c>
      <c r="BU791">
        <v>2.8</v>
      </c>
      <c r="BV791">
        <v>3.87</v>
      </c>
      <c r="BW791">
        <v>2.84</v>
      </c>
      <c r="BX791">
        <v>4.25</v>
      </c>
      <c r="BY791">
        <v>2.4900000000000002</v>
      </c>
      <c r="BZ791">
        <v>1.7</v>
      </c>
      <c r="CA791">
        <v>-0.04</v>
      </c>
      <c r="CB791">
        <v>0.12</v>
      </c>
      <c r="CC791">
        <v>-7.0000000000000007E-2</v>
      </c>
      <c r="CD791">
        <v>-0.06</v>
      </c>
      <c r="CE791">
        <v>-0.06</v>
      </c>
      <c r="CF791">
        <v>-0.09</v>
      </c>
      <c r="CG791">
        <v>1.23</v>
      </c>
      <c r="CH791">
        <v>0.13</v>
      </c>
      <c r="CI791">
        <v>-0.77</v>
      </c>
      <c r="CJ791">
        <v>72348</v>
      </c>
      <c r="CK791">
        <v>5202</v>
      </c>
      <c r="CL791" t="s">
        <v>4841</v>
      </c>
      <c r="CM791">
        <v>62.02</v>
      </c>
      <c r="CN791">
        <v>-6.76</v>
      </c>
      <c r="CO791">
        <v>1.76</v>
      </c>
      <c r="CP791">
        <v>168.47</v>
      </c>
      <c r="CQ791">
        <v>8.51</v>
      </c>
      <c r="CR791">
        <v>0</v>
      </c>
      <c r="CS791" t="s">
        <v>848</v>
      </c>
      <c r="CT791">
        <v>2.0499999999999998</v>
      </c>
      <c r="CU791">
        <v>0</v>
      </c>
      <c r="CV791">
        <v>0.72</v>
      </c>
      <c r="CW791">
        <v>0.21</v>
      </c>
      <c r="CX791">
        <v>0.02</v>
      </c>
      <c r="CY791">
        <v>76.39</v>
      </c>
      <c r="CZ791" t="s">
        <v>4842</v>
      </c>
      <c r="DA791">
        <v>31.63</v>
      </c>
      <c r="DB791">
        <v>-1.64</v>
      </c>
      <c r="DC791">
        <v>-2.2999999999999998</v>
      </c>
      <c r="DD791">
        <v>0.23</v>
      </c>
      <c r="DE791">
        <v>838</v>
      </c>
      <c r="DF791">
        <v>2337</v>
      </c>
      <c r="DG791" t="s">
        <v>116</v>
      </c>
      <c r="DH791" t="s">
        <v>116</v>
      </c>
      <c r="DI791" t="s">
        <v>116</v>
      </c>
    </row>
    <row r="792" spans="1:113" x14ac:dyDescent="0.4">
      <c r="A792" t="str">
        <f>"002338"</f>
        <v>002338</v>
      </c>
      <c r="B792" t="s">
        <v>4843</v>
      </c>
      <c r="C792">
        <v>-8.94</v>
      </c>
      <c r="D792">
        <v>13.75</v>
      </c>
      <c r="E792">
        <v>-1.35</v>
      </c>
      <c r="F792">
        <v>13.74</v>
      </c>
      <c r="G792">
        <v>13.75</v>
      </c>
      <c r="H792">
        <v>151483</v>
      </c>
      <c r="I792">
        <v>552</v>
      </c>
      <c r="J792">
        <v>-0.06</v>
      </c>
      <c r="K792">
        <v>6.31</v>
      </c>
      <c r="L792">
        <v>14.11</v>
      </c>
      <c r="M792">
        <v>14.39</v>
      </c>
      <c r="N792">
        <v>13.59</v>
      </c>
      <c r="O792">
        <v>15.1</v>
      </c>
      <c r="P792">
        <v>85.76</v>
      </c>
      <c r="Q792">
        <v>210060160</v>
      </c>
      <c r="R792">
        <v>2.4500000000000002</v>
      </c>
      <c r="S792" t="s">
        <v>2977</v>
      </c>
      <c r="T792" t="s">
        <v>294</v>
      </c>
      <c r="U792">
        <v>5.3</v>
      </c>
      <c r="V792">
        <v>13.87</v>
      </c>
      <c r="W792">
        <v>84373</v>
      </c>
      <c r="X792">
        <v>67110</v>
      </c>
      <c r="Y792">
        <v>1.26</v>
      </c>
      <c r="Z792">
        <v>163</v>
      </c>
      <c r="AA792">
        <v>240</v>
      </c>
      <c r="AB792" t="s">
        <v>116</v>
      </c>
      <c r="AC792">
        <v>6558401</v>
      </c>
      <c r="AD792">
        <v>0.34</v>
      </c>
      <c r="AE792" t="s">
        <v>116</v>
      </c>
      <c r="AF792" t="s">
        <v>116</v>
      </c>
      <c r="AG792">
        <v>2.4</v>
      </c>
      <c r="AH792" t="s">
        <v>4844</v>
      </c>
      <c r="AI792" t="s">
        <v>4844</v>
      </c>
      <c r="AJ792">
        <v>-8.26</v>
      </c>
      <c r="AK792">
        <v>2899</v>
      </c>
      <c r="AL792">
        <v>52</v>
      </c>
      <c r="AM792">
        <v>2.2000000000000001E-3</v>
      </c>
      <c r="AN792">
        <v>-1</v>
      </c>
      <c r="AO792">
        <v>-5.83</v>
      </c>
      <c r="AP792">
        <v>13.64</v>
      </c>
      <c r="AQ792">
        <v>-2.69</v>
      </c>
      <c r="AR792">
        <v>24.32</v>
      </c>
      <c r="AS792">
        <v>11.01</v>
      </c>
      <c r="AT792" t="s">
        <v>776</v>
      </c>
      <c r="AU792">
        <v>81.27</v>
      </c>
      <c r="AV792">
        <v>80.88</v>
      </c>
      <c r="AW792">
        <v>1.08</v>
      </c>
      <c r="BA792">
        <v>-6.56</v>
      </c>
      <c r="BB792">
        <v>-4.7</v>
      </c>
      <c r="BC792">
        <v>-10</v>
      </c>
      <c r="BD792">
        <v>-8.17</v>
      </c>
      <c r="BE792">
        <v>-2.5499999999999998</v>
      </c>
      <c r="BF792">
        <v>-4.45</v>
      </c>
      <c r="BG792">
        <v>1.18</v>
      </c>
      <c r="BH792">
        <v>-0.77</v>
      </c>
      <c r="BI792">
        <v>20191023</v>
      </c>
      <c r="BJ792">
        <v>20100115</v>
      </c>
      <c r="BK792">
        <v>2.4</v>
      </c>
      <c r="BL792" t="s">
        <v>116</v>
      </c>
      <c r="BM792" t="s">
        <v>116</v>
      </c>
      <c r="BN792">
        <v>10.28</v>
      </c>
      <c r="BO792">
        <v>8.31</v>
      </c>
      <c r="BP792">
        <v>0.74</v>
      </c>
      <c r="BQ792">
        <v>11.89</v>
      </c>
      <c r="BR792">
        <v>7.32</v>
      </c>
      <c r="BS792">
        <v>1.77</v>
      </c>
      <c r="BT792">
        <v>0.18</v>
      </c>
      <c r="BU792">
        <v>0.75</v>
      </c>
      <c r="BV792">
        <v>2.54</v>
      </c>
      <c r="BW792">
        <v>1.92</v>
      </c>
      <c r="BX792">
        <v>2.5299999999999998</v>
      </c>
      <c r="BY792">
        <v>2.66</v>
      </c>
      <c r="BZ792">
        <v>1.62</v>
      </c>
      <c r="CA792">
        <v>0.35</v>
      </c>
      <c r="CB792">
        <v>0.08</v>
      </c>
      <c r="CC792">
        <v>0.34</v>
      </c>
      <c r="CD792">
        <v>0.31</v>
      </c>
      <c r="CE792">
        <v>0.28999999999999998</v>
      </c>
      <c r="CF792">
        <v>0.21</v>
      </c>
      <c r="CG792">
        <v>2.77</v>
      </c>
      <c r="CH792">
        <v>0.18</v>
      </c>
      <c r="CI792">
        <v>0.09</v>
      </c>
      <c r="CJ792">
        <v>15980</v>
      </c>
      <c r="CK792">
        <v>8612</v>
      </c>
      <c r="CL792" t="s">
        <v>4845</v>
      </c>
      <c r="CM792">
        <v>-0.66</v>
      </c>
      <c r="CN792">
        <v>5.34</v>
      </c>
      <c r="CO792">
        <v>3.97</v>
      </c>
      <c r="CP792">
        <v>179.99</v>
      </c>
      <c r="CQ792">
        <v>12.39</v>
      </c>
      <c r="CR792">
        <v>0.36</v>
      </c>
      <c r="CS792" t="s">
        <v>505</v>
      </c>
      <c r="CT792">
        <v>3.46</v>
      </c>
      <c r="CU792">
        <v>0</v>
      </c>
      <c r="CV792">
        <v>1.05</v>
      </c>
      <c r="CW792">
        <v>1.1599999999999999</v>
      </c>
      <c r="CX792">
        <v>0.08</v>
      </c>
      <c r="CY792">
        <v>80.88</v>
      </c>
      <c r="CZ792" t="s">
        <v>4846</v>
      </c>
      <c r="DA792">
        <v>39.33</v>
      </c>
      <c r="DB792">
        <v>12.98</v>
      </c>
      <c r="DC792">
        <v>10.84</v>
      </c>
      <c r="DD792">
        <v>0.27</v>
      </c>
      <c r="DE792">
        <v>1200</v>
      </c>
      <c r="DF792">
        <v>2338</v>
      </c>
      <c r="DG792" t="s">
        <v>116</v>
      </c>
      <c r="DH792" t="s">
        <v>116</v>
      </c>
      <c r="DI792" t="s">
        <v>116</v>
      </c>
    </row>
    <row r="793" spans="1:113" x14ac:dyDescent="0.4">
      <c r="A793" t="str">
        <f>"002339"</f>
        <v>002339</v>
      </c>
      <c r="B793" t="s">
        <v>4847</v>
      </c>
      <c r="C793">
        <v>-1.37</v>
      </c>
      <c r="D793">
        <v>6.48</v>
      </c>
      <c r="E793">
        <v>-0.09</v>
      </c>
      <c r="F793">
        <v>6.48</v>
      </c>
      <c r="G793">
        <v>6.49</v>
      </c>
      <c r="H793">
        <v>59770</v>
      </c>
      <c r="I793">
        <v>747</v>
      </c>
      <c r="J793">
        <v>-0.3</v>
      </c>
      <c r="K793">
        <v>1.39</v>
      </c>
      <c r="L793">
        <v>6.6</v>
      </c>
      <c r="M793">
        <v>6.68</v>
      </c>
      <c r="N793">
        <v>6.48</v>
      </c>
      <c r="O793">
        <v>6.57</v>
      </c>
      <c r="P793" t="s">
        <v>116</v>
      </c>
      <c r="Q793">
        <v>39123468</v>
      </c>
      <c r="R793">
        <v>1.19</v>
      </c>
      <c r="S793" t="s">
        <v>397</v>
      </c>
      <c r="T793" t="s">
        <v>645</v>
      </c>
      <c r="U793">
        <v>3.04</v>
      </c>
      <c r="V793">
        <v>6.55</v>
      </c>
      <c r="W793">
        <v>33887</v>
      </c>
      <c r="X793">
        <v>25883</v>
      </c>
      <c r="Y793">
        <v>1.31</v>
      </c>
      <c r="Z793">
        <v>1075</v>
      </c>
      <c r="AA793">
        <v>127</v>
      </c>
      <c r="AB793" t="s">
        <v>116</v>
      </c>
      <c r="AC793">
        <v>238300</v>
      </c>
      <c r="AD793">
        <v>0.01</v>
      </c>
      <c r="AE793" t="s">
        <v>116</v>
      </c>
      <c r="AF793" t="s">
        <v>116</v>
      </c>
      <c r="AG793">
        <v>4.29</v>
      </c>
      <c r="AH793" t="s">
        <v>4848</v>
      </c>
      <c r="AI793" t="s">
        <v>4849</v>
      </c>
      <c r="AJ793">
        <v>-0.69</v>
      </c>
      <c r="AK793">
        <v>1264</v>
      </c>
      <c r="AL793">
        <v>47</v>
      </c>
      <c r="AM793">
        <v>1.1000000000000001E-3</v>
      </c>
      <c r="AN793">
        <v>-1</v>
      </c>
      <c r="AO793">
        <v>1.25</v>
      </c>
      <c r="AP793">
        <v>6.75</v>
      </c>
      <c r="AQ793">
        <v>2.5299999999999998</v>
      </c>
      <c r="AR793">
        <v>39.01</v>
      </c>
      <c r="AS793">
        <v>1.58</v>
      </c>
      <c r="AT793" t="s">
        <v>4850</v>
      </c>
      <c r="AU793">
        <v>373.99</v>
      </c>
      <c r="AV793">
        <v>45.18</v>
      </c>
      <c r="AW793">
        <v>1.2</v>
      </c>
      <c r="BA793">
        <v>0.46</v>
      </c>
      <c r="BB793">
        <v>1.67</v>
      </c>
      <c r="BC793">
        <v>-1.37</v>
      </c>
      <c r="BD793">
        <v>-0.37</v>
      </c>
      <c r="BE793">
        <v>-1.82</v>
      </c>
      <c r="BF793">
        <v>-2.99</v>
      </c>
      <c r="BG793">
        <v>0</v>
      </c>
      <c r="BH793">
        <v>-1</v>
      </c>
      <c r="BI793">
        <v>20191031</v>
      </c>
      <c r="BJ793">
        <v>20100122</v>
      </c>
      <c r="BK793">
        <v>5.12</v>
      </c>
      <c r="BL793" t="s">
        <v>116</v>
      </c>
      <c r="BM793" t="s">
        <v>116</v>
      </c>
      <c r="BN793">
        <v>33.659999999999997</v>
      </c>
      <c r="BO793">
        <v>17.2</v>
      </c>
      <c r="BP793">
        <v>2.29</v>
      </c>
      <c r="BQ793">
        <v>42.1</v>
      </c>
      <c r="BR793">
        <v>24.54</v>
      </c>
      <c r="BS793">
        <v>2.52</v>
      </c>
      <c r="BT793">
        <v>2.0299999999999998</v>
      </c>
      <c r="BU793">
        <v>10.28</v>
      </c>
      <c r="BV793">
        <v>5.38</v>
      </c>
      <c r="BW793">
        <v>11.83</v>
      </c>
      <c r="BX793">
        <v>4.83</v>
      </c>
      <c r="BY793">
        <v>9.7799999999999994</v>
      </c>
      <c r="BZ793">
        <v>6.19</v>
      </c>
      <c r="CA793">
        <v>-0.15</v>
      </c>
      <c r="CB793">
        <v>-0.03</v>
      </c>
      <c r="CC793">
        <v>-0.01</v>
      </c>
      <c r="CD793">
        <v>-0.13</v>
      </c>
      <c r="CE793">
        <v>-0.28000000000000003</v>
      </c>
      <c r="CF793">
        <v>-0.42</v>
      </c>
      <c r="CG793">
        <v>6.78</v>
      </c>
      <c r="CH793">
        <v>-0.77</v>
      </c>
      <c r="CI793">
        <v>-2.17</v>
      </c>
      <c r="CJ793">
        <v>41955</v>
      </c>
      <c r="CK793">
        <v>8996</v>
      </c>
      <c r="CL793" t="s">
        <v>4109</v>
      </c>
      <c r="CM793">
        <v>-177.3</v>
      </c>
      <c r="CN793">
        <v>-16.7</v>
      </c>
      <c r="CO793">
        <v>1.93</v>
      </c>
      <c r="CP793">
        <v>-42.94</v>
      </c>
      <c r="CQ793">
        <v>3.39</v>
      </c>
      <c r="CR793">
        <v>0.71</v>
      </c>
      <c r="CS793" t="s">
        <v>1445</v>
      </c>
      <c r="CT793">
        <v>3.36</v>
      </c>
      <c r="CU793">
        <v>0</v>
      </c>
      <c r="CV793">
        <v>0.94</v>
      </c>
      <c r="CW793">
        <v>1.33</v>
      </c>
      <c r="CX793">
        <v>-0.15</v>
      </c>
      <c r="CY793">
        <v>51.11</v>
      </c>
      <c r="CZ793" t="s">
        <v>4851</v>
      </c>
      <c r="DA793">
        <v>36.72</v>
      </c>
      <c r="DB793">
        <v>-1.5</v>
      </c>
      <c r="DC793">
        <v>-2.88</v>
      </c>
      <c r="DD793">
        <v>0.88</v>
      </c>
      <c r="DE793">
        <v>2515</v>
      </c>
      <c r="DF793">
        <v>2339</v>
      </c>
      <c r="DG793" t="s">
        <v>116</v>
      </c>
      <c r="DH793" t="s">
        <v>116</v>
      </c>
      <c r="DI793" t="s">
        <v>116</v>
      </c>
    </row>
    <row r="794" spans="1:113" x14ac:dyDescent="0.4">
      <c r="A794" t="str">
        <f>"002340"</f>
        <v>002340</v>
      </c>
      <c r="B794" t="s">
        <v>4852</v>
      </c>
      <c r="C794">
        <v>0.63</v>
      </c>
      <c r="D794">
        <v>4.83</v>
      </c>
      <c r="E794">
        <v>0.03</v>
      </c>
      <c r="F794">
        <v>4.83</v>
      </c>
      <c r="G794">
        <v>4.84</v>
      </c>
      <c r="H794">
        <v>2278386</v>
      </c>
      <c r="I794">
        <v>24385</v>
      </c>
      <c r="J794">
        <v>-0.2</v>
      </c>
      <c r="K794">
        <v>5.52</v>
      </c>
      <c r="L794">
        <v>4.82</v>
      </c>
      <c r="M794">
        <v>5.01</v>
      </c>
      <c r="N794">
        <v>4.8</v>
      </c>
      <c r="O794">
        <v>4.8</v>
      </c>
      <c r="P794">
        <v>24.9</v>
      </c>
      <c r="Q794">
        <v>1118882048</v>
      </c>
      <c r="R794">
        <v>1.42</v>
      </c>
      <c r="S794" t="s">
        <v>1509</v>
      </c>
      <c r="T794" t="s">
        <v>115</v>
      </c>
      <c r="U794">
        <v>4.38</v>
      </c>
      <c r="V794">
        <v>4.91</v>
      </c>
      <c r="W794">
        <v>976686</v>
      </c>
      <c r="X794">
        <v>1301700</v>
      </c>
      <c r="Y794">
        <v>0.75</v>
      </c>
      <c r="Z794">
        <v>1465</v>
      </c>
      <c r="AA794">
        <v>10438</v>
      </c>
      <c r="AB794" t="s">
        <v>116</v>
      </c>
      <c r="AC794">
        <v>1849000</v>
      </c>
      <c r="AD794">
        <v>0.01</v>
      </c>
      <c r="AE794" t="s">
        <v>116</v>
      </c>
      <c r="AF794" t="s">
        <v>116</v>
      </c>
      <c r="AG794">
        <v>41.25</v>
      </c>
      <c r="AH794" t="s">
        <v>4853</v>
      </c>
      <c r="AI794" t="s">
        <v>4854</v>
      </c>
      <c r="AJ794">
        <v>1.3</v>
      </c>
      <c r="AK794">
        <v>4511</v>
      </c>
      <c r="AL794">
        <v>505</v>
      </c>
      <c r="AM794">
        <v>1.1999999999999999E-3</v>
      </c>
      <c r="AN794">
        <v>2</v>
      </c>
      <c r="AO794">
        <v>-0.41</v>
      </c>
      <c r="AP794">
        <v>19.260000000000002</v>
      </c>
      <c r="AQ794">
        <v>6.86</v>
      </c>
      <c r="AR794">
        <v>26.77</v>
      </c>
      <c r="AS794">
        <v>6.3</v>
      </c>
      <c r="AT794" t="s">
        <v>4855</v>
      </c>
      <c r="AU794">
        <v>24.56</v>
      </c>
      <c r="AV794">
        <v>27.44</v>
      </c>
      <c r="AW794">
        <v>0.93</v>
      </c>
      <c r="BA794">
        <v>0.42</v>
      </c>
      <c r="BB794">
        <v>4.38</v>
      </c>
      <c r="BC794">
        <v>0</v>
      </c>
      <c r="BD794">
        <v>2.31</v>
      </c>
      <c r="BE794">
        <v>0.21</v>
      </c>
      <c r="BF794">
        <v>-3.59</v>
      </c>
      <c r="BG794">
        <v>0.63</v>
      </c>
      <c r="BH794">
        <v>-1.68</v>
      </c>
      <c r="BI794">
        <v>20191105</v>
      </c>
      <c r="BJ794">
        <v>20100122</v>
      </c>
      <c r="BK794">
        <v>41.5</v>
      </c>
      <c r="BL794" t="s">
        <v>116</v>
      </c>
      <c r="BM794" t="s">
        <v>116</v>
      </c>
      <c r="BN794">
        <v>265.12</v>
      </c>
      <c r="BO794">
        <v>103.21</v>
      </c>
      <c r="BP794">
        <v>5.96</v>
      </c>
      <c r="BQ794">
        <v>58.82</v>
      </c>
      <c r="BR794">
        <v>136.71</v>
      </c>
      <c r="BS794">
        <v>64.489999999999995</v>
      </c>
      <c r="BT794">
        <v>16.46</v>
      </c>
      <c r="BU794">
        <v>114.43</v>
      </c>
      <c r="BV794">
        <v>57.7</v>
      </c>
      <c r="BW794">
        <v>22.81</v>
      </c>
      <c r="BX794">
        <v>34.44</v>
      </c>
      <c r="BY794">
        <v>98.33</v>
      </c>
      <c r="BZ794">
        <v>79.31</v>
      </c>
      <c r="CA794">
        <v>7.61</v>
      </c>
      <c r="CB794">
        <v>0.49</v>
      </c>
      <c r="CC794">
        <v>7.73</v>
      </c>
      <c r="CD794">
        <v>6.35</v>
      </c>
      <c r="CE794">
        <v>6.04</v>
      </c>
      <c r="CF794">
        <v>5.55</v>
      </c>
      <c r="CG794">
        <v>26.73</v>
      </c>
      <c r="CH794">
        <v>4.58</v>
      </c>
      <c r="CI794">
        <v>-7.74</v>
      </c>
      <c r="CJ794">
        <v>220708</v>
      </c>
      <c r="CK794">
        <v>16388</v>
      </c>
      <c r="CL794" t="s">
        <v>4856</v>
      </c>
      <c r="CM794">
        <v>16.57</v>
      </c>
      <c r="CN794">
        <v>-3.89</v>
      </c>
      <c r="CO794">
        <v>1.94</v>
      </c>
      <c r="CP794">
        <v>43.74</v>
      </c>
      <c r="CQ794">
        <v>2.04</v>
      </c>
      <c r="CR794">
        <v>0.62</v>
      </c>
      <c r="CS794" t="s">
        <v>4857</v>
      </c>
      <c r="CT794">
        <v>2.4900000000000002</v>
      </c>
      <c r="CU794">
        <v>0</v>
      </c>
      <c r="CV794">
        <v>0.83</v>
      </c>
      <c r="CW794">
        <v>0.64</v>
      </c>
      <c r="CX794">
        <v>0.11</v>
      </c>
      <c r="CY794">
        <v>38.93</v>
      </c>
      <c r="CZ794" t="s">
        <v>3839</v>
      </c>
      <c r="DA794">
        <v>19.34</v>
      </c>
      <c r="DB794">
        <v>7.74</v>
      </c>
      <c r="DC794">
        <v>6.14</v>
      </c>
      <c r="DD794">
        <v>3.28</v>
      </c>
      <c r="DE794">
        <v>4912</v>
      </c>
      <c r="DF794">
        <v>2340</v>
      </c>
      <c r="DG794" t="s">
        <v>116</v>
      </c>
      <c r="DH794" t="s">
        <v>116</v>
      </c>
      <c r="DI794" t="s">
        <v>116</v>
      </c>
    </row>
    <row r="795" spans="1:113" x14ac:dyDescent="0.4">
      <c r="A795" t="str">
        <f>"002341"</f>
        <v>002341</v>
      </c>
      <c r="B795" t="s">
        <v>4858</v>
      </c>
      <c r="C795">
        <v>-3.71</v>
      </c>
      <c r="D795">
        <v>5.71</v>
      </c>
      <c r="E795">
        <v>-0.22</v>
      </c>
      <c r="F795">
        <v>5.71</v>
      </c>
      <c r="G795">
        <v>5.72</v>
      </c>
      <c r="H795">
        <v>384672</v>
      </c>
      <c r="I795">
        <v>6677</v>
      </c>
      <c r="J795">
        <v>-0.16</v>
      </c>
      <c r="K795">
        <v>5.22</v>
      </c>
      <c r="L795">
        <v>5.87</v>
      </c>
      <c r="M795">
        <v>5.87</v>
      </c>
      <c r="N795">
        <v>5.66</v>
      </c>
      <c r="O795">
        <v>5.93</v>
      </c>
      <c r="P795">
        <v>122.04</v>
      </c>
      <c r="Q795">
        <v>221817616</v>
      </c>
      <c r="R795">
        <v>0.68</v>
      </c>
      <c r="S795" t="s">
        <v>891</v>
      </c>
      <c r="T795" t="s">
        <v>115</v>
      </c>
      <c r="U795">
        <v>3.54</v>
      </c>
      <c r="V795">
        <v>5.77</v>
      </c>
      <c r="W795">
        <v>223910</v>
      </c>
      <c r="X795">
        <v>160762</v>
      </c>
      <c r="Y795">
        <v>1.39</v>
      </c>
      <c r="Z795">
        <v>2653</v>
      </c>
      <c r="AA795">
        <v>520</v>
      </c>
      <c r="AB795" t="s">
        <v>116</v>
      </c>
      <c r="AC795">
        <v>1381200</v>
      </c>
      <c r="AD795">
        <v>0.04</v>
      </c>
      <c r="AE795" t="s">
        <v>116</v>
      </c>
      <c r="AF795" t="s">
        <v>116</v>
      </c>
      <c r="AG795">
        <v>7.38</v>
      </c>
      <c r="AH795" t="s">
        <v>4859</v>
      </c>
      <c r="AI795" t="s">
        <v>4860</v>
      </c>
      <c r="AJ795">
        <v>-3.03</v>
      </c>
      <c r="AK795">
        <v>3452</v>
      </c>
      <c r="AL795">
        <v>111</v>
      </c>
      <c r="AM795">
        <v>1.5E-3</v>
      </c>
      <c r="AN795">
        <v>-2</v>
      </c>
      <c r="AO795">
        <v>-1.39</v>
      </c>
      <c r="AP795">
        <v>11.09</v>
      </c>
      <c r="AQ795">
        <v>6.53</v>
      </c>
      <c r="AR795">
        <v>-51.83</v>
      </c>
      <c r="AS795">
        <v>6.08</v>
      </c>
      <c r="AT795" t="s">
        <v>4861</v>
      </c>
      <c r="AU795">
        <v>185.36</v>
      </c>
      <c r="AV795">
        <v>21.85</v>
      </c>
      <c r="AW795">
        <v>1.79</v>
      </c>
      <c r="BA795">
        <v>-1.01</v>
      </c>
      <c r="BB795">
        <v>-1.01</v>
      </c>
      <c r="BC795">
        <v>-4.55</v>
      </c>
      <c r="BD795">
        <v>-2.76</v>
      </c>
      <c r="BE795">
        <v>-2.73</v>
      </c>
      <c r="BF795">
        <v>-2.73</v>
      </c>
      <c r="BG795">
        <v>0.88</v>
      </c>
      <c r="BH795">
        <v>-0.95</v>
      </c>
      <c r="BI795">
        <v>20191023</v>
      </c>
      <c r="BJ795">
        <v>20100122</v>
      </c>
      <c r="BK795">
        <v>11.52</v>
      </c>
      <c r="BL795" t="s">
        <v>116</v>
      </c>
      <c r="BM795" t="s">
        <v>116</v>
      </c>
      <c r="BN795">
        <v>96.88</v>
      </c>
      <c r="BO795">
        <v>51.58</v>
      </c>
      <c r="BP795">
        <v>-0.12</v>
      </c>
      <c r="BQ795">
        <v>46.88</v>
      </c>
      <c r="BR795">
        <v>41.73</v>
      </c>
      <c r="BS795">
        <v>20.079999999999998</v>
      </c>
      <c r="BT795">
        <v>4.9800000000000004</v>
      </c>
      <c r="BU795">
        <v>35.69</v>
      </c>
      <c r="BV795">
        <v>7.53</v>
      </c>
      <c r="BW795">
        <v>17.329999999999998</v>
      </c>
      <c r="BX795">
        <v>32.299999999999997</v>
      </c>
      <c r="BY795">
        <v>24.42</v>
      </c>
      <c r="BZ795">
        <v>19.64</v>
      </c>
      <c r="CA795">
        <v>0.43</v>
      </c>
      <c r="CB795">
        <v>0.01</v>
      </c>
      <c r="CC795">
        <v>0.43</v>
      </c>
      <c r="CD795">
        <v>0.38</v>
      </c>
      <c r="CE795">
        <v>0.4</v>
      </c>
      <c r="CF795">
        <v>0.12</v>
      </c>
      <c r="CG795">
        <v>7.49</v>
      </c>
      <c r="CH795">
        <v>-5.88</v>
      </c>
      <c r="CI795">
        <v>-6.73</v>
      </c>
      <c r="CJ795">
        <v>66045</v>
      </c>
      <c r="CK795">
        <v>9578</v>
      </c>
      <c r="CL795" t="s">
        <v>260</v>
      </c>
      <c r="CM795">
        <v>-86.79</v>
      </c>
      <c r="CN795">
        <v>-3.45</v>
      </c>
      <c r="CO795">
        <v>1.28</v>
      </c>
      <c r="CP795">
        <v>-11.19</v>
      </c>
      <c r="CQ795">
        <v>2.69</v>
      </c>
      <c r="CR795">
        <v>0.47</v>
      </c>
      <c r="CS795" t="s">
        <v>958</v>
      </c>
      <c r="CT795">
        <v>4.4800000000000004</v>
      </c>
      <c r="CU795">
        <v>0</v>
      </c>
      <c r="CV795">
        <v>2.8</v>
      </c>
      <c r="CW795">
        <v>0.65</v>
      </c>
      <c r="CX795">
        <v>-0.51</v>
      </c>
      <c r="CY795">
        <v>53.24</v>
      </c>
      <c r="CZ795" t="s">
        <v>1356</v>
      </c>
      <c r="DA795">
        <v>19.55</v>
      </c>
      <c r="DB795">
        <v>1.76</v>
      </c>
      <c r="DC795">
        <v>1.66</v>
      </c>
      <c r="DD795">
        <v>0.69</v>
      </c>
      <c r="DE795">
        <v>2969</v>
      </c>
      <c r="DF795">
        <v>2341</v>
      </c>
      <c r="DG795" t="s">
        <v>116</v>
      </c>
      <c r="DH795" t="s">
        <v>116</v>
      </c>
      <c r="DI795" t="s">
        <v>116</v>
      </c>
    </row>
    <row r="796" spans="1:113" x14ac:dyDescent="0.4">
      <c r="A796" t="str">
        <f>"002342"</f>
        <v>002342</v>
      </c>
      <c r="B796" t="s">
        <v>4862</v>
      </c>
      <c r="C796">
        <v>-0.32</v>
      </c>
      <c r="D796">
        <v>3.11</v>
      </c>
      <c r="E796">
        <v>-0.01</v>
      </c>
      <c r="F796">
        <v>3.11</v>
      </c>
      <c r="G796">
        <v>3.12</v>
      </c>
      <c r="H796">
        <v>65464</v>
      </c>
      <c r="I796">
        <v>792</v>
      </c>
      <c r="J796">
        <v>0.32</v>
      </c>
      <c r="K796">
        <v>0.74</v>
      </c>
      <c r="L796">
        <v>3.13</v>
      </c>
      <c r="M796">
        <v>3.15</v>
      </c>
      <c r="N796">
        <v>3.1</v>
      </c>
      <c r="O796">
        <v>3.12</v>
      </c>
      <c r="P796">
        <v>129.94999999999999</v>
      </c>
      <c r="Q796">
        <v>20485632</v>
      </c>
      <c r="R796">
        <v>1.58</v>
      </c>
      <c r="S796" t="s">
        <v>996</v>
      </c>
      <c r="T796" t="s">
        <v>608</v>
      </c>
      <c r="U796">
        <v>1.6</v>
      </c>
      <c r="V796">
        <v>3.13</v>
      </c>
      <c r="W796">
        <v>35257</v>
      </c>
      <c r="X796">
        <v>30207</v>
      </c>
      <c r="Y796">
        <v>1.17</v>
      </c>
      <c r="Z796">
        <v>362</v>
      </c>
      <c r="AA796">
        <v>1190</v>
      </c>
      <c r="AB796" t="s">
        <v>116</v>
      </c>
      <c r="AC796">
        <v>47300</v>
      </c>
      <c r="AD796">
        <v>0</v>
      </c>
      <c r="AE796" t="s">
        <v>116</v>
      </c>
      <c r="AF796" t="s">
        <v>116</v>
      </c>
      <c r="AG796">
        <v>8.81</v>
      </c>
      <c r="AH796" t="s">
        <v>4863</v>
      </c>
      <c r="AI796" t="s">
        <v>921</v>
      </c>
      <c r="AJ796">
        <v>0.36</v>
      </c>
      <c r="AK796">
        <v>895</v>
      </c>
      <c r="AL796">
        <v>73</v>
      </c>
      <c r="AM796">
        <v>8.0000000000000004E-4</v>
      </c>
      <c r="AN796">
        <v>-1</v>
      </c>
      <c r="AO796">
        <v>-0.32</v>
      </c>
      <c r="AP796">
        <v>2.98</v>
      </c>
      <c r="AQ796">
        <v>-3.42</v>
      </c>
      <c r="AR796">
        <v>-5.96</v>
      </c>
      <c r="AS796">
        <v>1.05</v>
      </c>
      <c r="AT796" t="s">
        <v>1155</v>
      </c>
      <c r="AU796">
        <v>153.33000000000001</v>
      </c>
      <c r="AV796">
        <v>167.57</v>
      </c>
      <c r="AW796">
        <v>0.77</v>
      </c>
      <c r="BA796">
        <v>0.32</v>
      </c>
      <c r="BB796">
        <v>0.96</v>
      </c>
      <c r="BC796">
        <v>-0.64</v>
      </c>
      <c r="BD796">
        <v>0.3</v>
      </c>
      <c r="BE796">
        <v>-0.64</v>
      </c>
      <c r="BF796">
        <v>-1.27</v>
      </c>
      <c r="BG796">
        <v>0.32</v>
      </c>
      <c r="BH796">
        <v>-0.62</v>
      </c>
      <c r="BI796">
        <v>20191025</v>
      </c>
      <c r="BJ796">
        <v>20100126</v>
      </c>
      <c r="BK796">
        <v>9.6</v>
      </c>
      <c r="BL796" t="s">
        <v>116</v>
      </c>
      <c r="BM796" t="s">
        <v>116</v>
      </c>
      <c r="BN796">
        <v>40.43</v>
      </c>
      <c r="BO796">
        <v>24.3</v>
      </c>
      <c r="BP796">
        <v>0</v>
      </c>
      <c r="BQ796">
        <v>39.9</v>
      </c>
      <c r="BR796">
        <v>22.98</v>
      </c>
      <c r="BS796">
        <v>13.1</v>
      </c>
      <c r="BT796">
        <v>1.48</v>
      </c>
      <c r="BU796">
        <v>14.8</v>
      </c>
      <c r="BV796">
        <v>8.34</v>
      </c>
      <c r="BW796">
        <v>7.39</v>
      </c>
      <c r="BX796">
        <v>6.73</v>
      </c>
      <c r="BY796">
        <v>14.24</v>
      </c>
      <c r="BZ796">
        <v>11.36</v>
      </c>
      <c r="CA796">
        <v>0.2</v>
      </c>
      <c r="CB796">
        <v>0</v>
      </c>
      <c r="CC796">
        <v>0.2</v>
      </c>
      <c r="CD796">
        <v>0.17</v>
      </c>
      <c r="CE796">
        <v>0.17</v>
      </c>
      <c r="CF796">
        <v>0.12</v>
      </c>
      <c r="CG796">
        <v>6.75</v>
      </c>
      <c r="CH796">
        <v>-0.26</v>
      </c>
      <c r="CI796">
        <v>-0.74</v>
      </c>
      <c r="CJ796">
        <v>89176</v>
      </c>
      <c r="CK796">
        <v>7006</v>
      </c>
      <c r="CL796" t="s">
        <v>1557</v>
      </c>
      <c r="CM796">
        <v>10.62</v>
      </c>
      <c r="CN796">
        <v>13.02</v>
      </c>
      <c r="CO796">
        <v>1.23</v>
      </c>
      <c r="CP796">
        <v>-114.69</v>
      </c>
      <c r="CQ796">
        <v>2.1</v>
      </c>
      <c r="CR796">
        <v>0.1</v>
      </c>
      <c r="CS796" t="s">
        <v>4864</v>
      </c>
      <c r="CT796">
        <v>2.5299999999999998</v>
      </c>
      <c r="CU796">
        <v>0</v>
      </c>
      <c r="CV796">
        <v>0.7</v>
      </c>
      <c r="CW796">
        <v>0.7</v>
      </c>
      <c r="CX796">
        <v>-0.03</v>
      </c>
      <c r="CY796">
        <v>60.1</v>
      </c>
      <c r="CZ796" t="s">
        <v>3878</v>
      </c>
      <c r="DA796">
        <v>20.21</v>
      </c>
      <c r="DB796">
        <v>1.37</v>
      </c>
      <c r="DC796">
        <v>1.21</v>
      </c>
      <c r="DD796">
        <v>0.04</v>
      </c>
      <c r="DE796">
        <v>2257</v>
      </c>
      <c r="DF796">
        <v>2342</v>
      </c>
      <c r="DG796" t="s">
        <v>116</v>
      </c>
      <c r="DH796" t="s">
        <v>116</v>
      </c>
      <c r="DI796" t="s">
        <v>116</v>
      </c>
    </row>
    <row r="797" spans="1:113" x14ac:dyDescent="0.4">
      <c r="A797" t="str">
        <f>"002343"</f>
        <v>002343</v>
      </c>
      <c r="B797" t="s">
        <v>4865</v>
      </c>
      <c r="C797">
        <v>2.1</v>
      </c>
      <c r="D797">
        <v>11.65</v>
      </c>
      <c r="E797">
        <v>0.24</v>
      </c>
      <c r="F797">
        <v>11.65</v>
      </c>
      <c r="G797">
        <v>11.66</v>
      </c>
      <c r="H797">
        <v>453952</v>
      </c>
      <c r="I797">
        <v>4217</v>
      </c>
      <c r="J797">
        <v>-0.42</v>
      </c>
      <c r="K797">
        <v>11.28</v>
      </c>
      <c r="L797">
        <v>11.41</v>
      </c>
      <c r="M797">
        <v>12.21</v>
      </c>
      <c r="N797">
        <v>11.39</v>
      </c>
      <c r="O797">
        <v>11.41</v>
      </c>
      <c r="P797">
        <v>46.17</v>
      </c>
      <c r="Q797">
        <v>539106304</v>
      </c>
      <c r="R797">
        <v>1.39</v>
      </c>
      <c r="S797" t="s">
        <v>589</v>
      </c>
      <c r="T797" t="s">
        <v>590</v>
      </c>
      <c r="U797">
        <v>7.19</v>
      </c>
      <c r="V797">
        <v>11.88</v>
      </c>
      <c r="W797">
        <v>231403</v>
      </c>
      <c r="X797">
        <v>222549</v>
      </c>
      <c r="Y797">
        <v>1.04</v>
      </c>
      <c r="Z797">
        <v>1305</v>
      </c>
      <c r="AA797">
        <v>504</v>
      </c>
      <c r="AB797" t="s">
        <v>116</v>
      </c>
      <c r="AC797">
        <v>2868500</v>
      </c>
      <c r="AD797">
        <v>0.08</v>
      </c>
      <c r="AE797" t="s">
        <v>116</v>
      </c>
      <c r="AF797" t="s">
        <v>116</v>
      </c>
      <c r="AG797">
        <v>4.0199999999999996</v>
      </c>
      <c r="AH797" t="s">
        <v>212</v>
      </c>
      <c r="AI797" t="s">
        <v>4866</v>
      </c>
      <c r="AJ797">
        <v>2.78</v>
      </c>
      <c r="AK797">
        <v>4073</v>
      </c>
      <c r="AL797">
        <v>111</v>
      </c>
      <c r="AM797">
        <v>2.8E-3</v>
      </c>
      <c r="AN797">
        <v>4</v>
      </c>
      <c r="AO797">
        <v>4.21</v>
      </c>
      <c r="AP797">
        <v>48.41</v>
      </c>
      <c r="AQ797">
        <v>45.08</v>
      </c>
      <c r="AR797">
        <v>29.16</v>
      </c>
      <c r="AS797">
        <v>13.7</v>
      </c>
      <c r="AT797" t="s">
        <v>4867</v>
      </c>
      <c r="AU797" t="s">
        <v>116</v>
      </c>
      <c r="AV797" t="s">
        <v>116</v>
      </c>
      <c r="AW797">
        <v>1.61</v>
      </c>
      <c r="BA797">
        <v>0</v>
      </c>
      <c r="BB797">
        <v>7.01</v>
      </c>
      <c r="BC797">
        <v>-0.18</v>
      </c>
      <c r="BD797">
        <v>4.08</v>
      </c>
      <c r="BE797">
        <v>2.1</v>
      </c>
      <c r="BF797">
        <v>-4.59</v>
      </c>
      <c r="BG797">
        <v>2.2799999999999998</v>
      </c>
      <c r="BH797">
        <v>-1.98</v>
      </c>
      <c r="BI797">
        <v>20191224</v>
      </c>
      <c r="BJ797">
        <v>20100126</v>
      </c>
      <c r="BK797">
        <v>4.75</v>
      </c>
      <c r="BL797" t="s">
        <v>116</v>
      </c>
      <c r="BM797" t="s">
        <v>116</v>
      </c>
      <c r="BN797">
        <v>23.51</v>
      </c>
      <c r="BO797">
        <v>15.66</v>
      </c>
      <c r="BP797">
        <v>0.51</v>
      </c>
      <c r="BQ797">
        <v>31.26</v>
      </c>
      <c r="BR797">
        <v>21.09</v>
      </c>
      <c r="BS797">
        <v>0.31</v>
      </c>
      <c r="BT797">
        <v>7.0000000000000007E-2</v>
      </c>
      <c r="BU797">
        <v>7.32</v>
      </c>
      <c r="BV797">
        <v>8.09</v>
      </c>
      <c r="BW797">
        <v>8.65</v>
      </c>
      <c r="BX797">
        <v>8.52</v>
      </c>
      <c r="BY797">
        <v>8.51</v>
      </c>
      <c r="BZ797">
        <v>6.84</v>
      </c>
      <c r="CA797">
        <v>0.96</v>
      </c>
      <c r="CB797">
        <v>0</v>
      </c>
      <c r="CC797">
        <v>0.97</v>
      </c>
      <c r="CD797">
        <v>0.85</v>
      </c>
      <c r="CE797">
        <v>0.9</v>
      </c>
      <c r="CF797">
        <v>0.87</v>
      </c>
      <c r="CG797">
        <v>0.8</v>
      </c>
      <c r="CH797">
        <v>2.17</v>
      </c>
      <c r="CI797">
        <v>-2.19</v>
      </c>
      <c r="CJ797">
        <v>40942</v>
      </c>
      <c r="CK797">
        <v>8094</v>
      </c>
      <c r="CL797" t="s">
        <v>4868</v>
      </c>
      <c r="CM797">
        <v>-63.38</v>
      </c>
      <c r="CN797">
        <v>-36.03</v>
      </c>
      <c r="CO797">
        <v>3.53</v>
      </c>
      <c r="CP797">
        <v>25.45</v>
      </c>
      <c r="CQ797">
        <v>6.5</v>
      </c>
      <c r="CR797">
        <v>0</v>
      </c>
      <c r="CS797" t="s">
        <v>3584</v>
      </c>
      <c r="CT797">
        <v>3.3</v>
      </c>
      <c r="CU797">
        <v>0</v>
      </c>
      <c r="CV797">
        <v>1.79</v>
      </c>
      <c r="CW797">
        <v>0.17</v>
      </c>
      <c r="CX797">
        <v>0.46</v>
      </c>
      <c r="CY797">
        <v>66.59</v>
      </c>
      <c r="CZ797" t="s">
        <v>4869</v>
      </c>
      <c r="DA797">
        <v>19.66</v>
      </c>
      <c r="DB797">
        <v>11.22</v>
      </c>
      <c r="DC797">
        <v>10.56</v>
      </c>
      <c r="DD797">
        <v>0.02</v>
      </c>
      <c r="DE797">
        <v>213</v>
      </c>
      <c r="DF797">
        <v>2343</v>
      </c>
      <c r="DG797" t="s">
        <v>116</v>
      </c>
      <c r="DH797" t="s">
        <v>116</v>
      </c>
      <c r="DI797" t="s">
        <v>116</v>
      </c>
    </row>
    <row r="798" spans="1:113" x14ac:dyDescent="0.4">
      <c r="A798" t="str">
        <f>"002344"</f>
        <v>002344</v>
      </c>
      <c r="B798" t="s">
        <v>4870</v>
      </c>
      <c r="C798">
        <v>1.67</v>
      </c>
      <c r="D798">
        <v>4.26</v>
      </c>
      <c r="E798">
        <v>7.0000000000000007E-2</v>
      </c>
      <c r="F798">
        <v>4.26</v>
      </c>
      <c r="G798">
        <v>4.2699999999999996</v>
      </c>
      <c r="H798">
        <v>232914</v>
      </c>
      <c r="I798">
        <v>2539</v>
      </c>
      <c r="J798">
        <v>-0.46</v>
      </c>
      <c r="K798">
        <v>1.83</v>
      </c>
      <c r="L798">
        <v>4.21</v>
      </c>
      <c r="M798">
        <v>4.47</v>
      </c>
      <c r="N798">
        <v>4.21</v>
      </c>
      <c r="O798">
        <v>4.1900000000000004</v>
      </c>
      <c r="P798">
        <v>16.88</v>
      </c>
      <c r="Q798">
        <v>100510720</v>
      </c>
      <c r="R798">
        <v>3.68</v>
      </c>
      <c r="S798" t="s">
        <v>4871</v>
      </c>
      <c r="T798" t="s">
        <v>590</v>
      </c>
      <c r="U798">
        <v>6.21</v>
      </c>
      <c r="V798">
        <v>4.32</v>
      </c>
      <c r="W798">
        <v>109667</v>
      </c>
      <c r="X798">
        <v>123247</v>
      </c>
      <c r="Y798">
        <v>0.89</v>
      </c>
      <c r="Z798">
        <v>848</v>
      </c>
      <c r="AA798">
        <v>1078</v>
      </c>
      <c r="AB798" t="s">
        <v>116</v>
      </c>
      <c r="AC798">
        <v>1737900</v>
      </c>
      <c r="AD798">
        <v>7.0000000000000007E-2</v>
      </c>
      <c r="AE798" t="s">
        <v>116</v>
      </c>
      <c r="AF798" t="s">
        <v>116</v>
      </c>
      <c r="AG798">
        <v>12.75</v>
      </c>
      <c r="AH798" t="s">
        <v>4872</v>
      </c>
      <c r="AI798" t="s">
        <v>4873</v>
      </c>
      <c r="AJ798">
        <v>2.35</v>
      </c>
      <c r="AK798">
        <v>1862</v>
      </c>
      <c r="AL798">
        <v>125</v>
      </c>
      <c r="AM798">
        <v>1E-3</v>
      </c>
      <c r="AN798">
        <v>2</v>
      </c>
      <c r="AO798">
        <v>2.41</v>
      </c>
      <c r="AP798">
        <v>3.9</v>
      </c>
      <c r="AQ798">
        <v>0.71</v>
      </c>
      <c r="AR798">
        <v>-5.94</v>
      </c>
      <c r="AS798">
        <v>3.91</v>
      </c>
      <c r="AT798" t="s">
        <v>4874</v>
      </c>
      <c r="AU798">
        <v>17.64</v>
      </c>
      <c r="AV798">
        <v>15</v>
      </c>
      <c r="AW798">
        <v>0.69</v>
      </c>
      <c r="BA798">
        <v>0.48</v>
      </c>
      <c r="BB798">
        <v>6.68</v>
      </c>
      <c r="BC798">
        <v>0.48</v>
      </c>
      <c r="BD798">
        <v>2.99</v>
      </c>
      <c r="BE798">
        <v>1.19</v>
      </c>
      <c r="BF798">
        <v>-4.7</v>
      </c>
      <c r="BG798">
        <v>1.19</v>
      </c>
      <c r="BH798">
        <v>-1.32</v>
      </c>
      <c r="BI798">
        <v>20191024</v>
      </c>
      <c r="BJ798">
        <v>20100126</v>
      </c>
      <c r="BK798">
        <v>12.83</v>
      </c>
      <c r="BL798" t="s">
        <v>116</v>
      </c>
      <c r="BM798" t="s">
        <v>116</v>
      </c>
      <c r="BN798">
        <v>113.53</v>
      </c>
      <c r="BO798">
        <v>76.930000000000007</v>
      </c>
      <c r="BP798">
        <v>0.42</v>
      </c>
      <c r="BQ798">
        <v>31.86</v>
      </c>
      <c r="BR798">
        <v>30.08</v>
      </c>
      <c r="BS798">
        <v>3.88</v>
      </c>
      <c r="BT798">
        <v>0.2</v>
      </c>
      <c r="BU798">
        <v>28.06</v>
      </c>
      <c r="BV798">
        <v>13.66</v>
      </c>
      <c r="BW798">
        <v>0.05</v>
      </c>
      <c r="BX798">
        <v>18.059999999999999</v>
      </c>
      <c r="BY798">
        <v>10.42</v>
      </c>
      <c r="BZ798">
        <v>4.72</v>
      </c>
      <c r="CA798">
        <v>3.26</v>
      </c>
      <c r="CB798">
        <v>0.22</v>
      </c>
      <c r="CC798">
        <v>3.33</v>
      </c>
      <c r="CD798">
        <v>2.37</v>
      </c>
      <c r="CE798">
        <v>2.4300000000000002</v>
      </c>
      <c r="CF798">
        <v>2.14</v>
      </c>
      <c r="CG798">
        <v>42.14</v>
      </c>
      <c r="CH798">
        <v>9.14</v>
      </c>
      <c r="CI798">
        <v>6.16</v>
      </c>
      <c r="CJ798">
        <v>37240</v>
      </c>
      <c r="CK798">
        <v>15990</v>
      </c>
      <c r="CL798" t="s">
        <v>4875</v>
      </c>
      <c r="CM798">
        <v>-18.3</v>
      </c>
      <c r="CN798">
        <v>-6.91</v>
      </c>
      <c r="CO798">
        <v>0.71</v>
      </c>
      <c r="CP798">
        <v>5.98</v>
      </c>
      <c r="CQ798">
        <v>5.24</v>
      </c>
      <c r="CR798">
        <v>0.49</v>
      </c>
      <c r="CS798" t="s">
        <v>3584</v>
      </c>
      <c r="CT798">
        <v>6</v>
      </c>
      <c r="CU798">
        <v>0</v>
      </c>
      <c r="CV798">
        <v>1.41</v>
      </c>
      <c r="CW798">
        <v>3.28</v>
      </c>
      <c r="CX798">
        <v>0.71</v>
      </c>
      <c r="CY798">
        <v>67.77</v>
      </c>
      <c r="CZ798" t="s">
        <v>193</v>
      </c>
      <c r="DA798">
        <v>54.71</v>
      </c>
      <c r="DB798">
        <v>31.32</v>
      </c>
      <c r="DC798">
        <v>23.29</v>
      </c>
      <c r="DD798">
        <v>0.01</v>
      </c>
      <c r="DE798">
        <v>1332</v>
      </c>
      <c r="DF798">
        <v>2344</v>
      </c>
      <c r="DG798" t="s">
        <v>116</v>
      </c>
      <c r="DH798" t="s">
        <v>116</v>
      </c>
      <c r="DI798" t="s">
        <v>116</v>
      </c>
    </row>
    <row r="799" spans="1:113" x14ac:dyDescent="0.4">
      <c r="A799" t="str">
        <f>"002345"</f>
        <v>002345</v>
      </c>
      <c r="B799" t="s">
        <v>4876</v>
      </c>
      <c r="C799">
        <v>0.25</v>
      </c>
      <c r="D799">
        <v>4</v>
      </c>
      <c r="E799">
        <v>0.01</v>
      </c>
      <c r="F799">
        <v>3.99</v>
      </c>
      <c r="G799">
        <v>4</v>
      </c>
      <c r="H799">
        <v>138776</v>
      </c>
      <c r="I799">
        <v>469</v>
      </c>
      <c r="J799">
        <v>0</v>
      </c>
      <c r="K799">
        <v>1.58</v>
      </c>
      <c r="L799">
        <v>3.98</v>
      </c>
      <c r="M799">
        <v>4.0599999999999996</v>
      </c>
      <c r="N799">
        <v>3.98</v>
      </c>
      <c r="O799">
        <v>3.99</v>
      </c>
      <c r="P799">
        <v>13.68</v>
      </c>
      <c r="Q799">
        <v>55740400</v>
      </c>
      <c r="R799">
        <v>1.46</v>
      </c>
      <c r="S799" t="s">
        <v>3070</v>
      </c>
      <c r="T799" t="s">
        <v>551</v>
      </c>
      <c r="U799">
        <v>2.0099999999999998</v>
      </c>
      <c r="V799">
        <v>4.0199999999999996</v>
      </c>
      <c r="W799">
        <v>73369</v>
      </c>
      <c r="X799">
        <v>65407</v>
      </c>
      <c r="Y799">
        <v>1.1200000000000001</v>
      </c>
      <c r="Z799">
        <v>1217</v>
      </c>
      <c r="AA799">
        <v>2207</v>
      </c>
      <c r="AB799" t="s">
        <v>116</v>
      </c>
      <c r="AC799">
        <v>129300</v>
      </c>
      <c r="AD799">
        <v>0.01</v>
      </c>
      <c r="AE799" t="s">
        <v>116</v>
      </c>
      <c r="AF799" t="s">
        <v>116</v>
      </c>
      <c r="AG799">
        <v>8.7899999999999991</v>
      </c>
      <c r="AH799" t="s">
        <v>4567</v>
      </c>
      <c r="AI799" t="s">
        <v>4877</v>
      </c>
      <c r="AJ799">
        <v>0.93</v>
      </c>
      <c r="AK799">
        <v>1691</v>
      </c>
      <c r="AL799">
        <v>82</v>
      </c>
      <c r="AM799">
        <v>8.9999999999999998E-4</v>
      </c>
      <c r="AN799">
        <v>4</v>
      </c>
      <c r="AO799">
        <v>2.2999999999999998</v>
      </c>
      <c r="AP799">
        <v>4.4400000000000004</v>
      </c>
      <c r="AQ799">
        <v>-2.68</v>
      </c>
      <c r="AR799">
        <v>-10.51</v>
      </c>
      <c r="AS799">
        <v>3.32</v>
      </c>
      <c r="AT799" t="s">
        <v>4878</v>
      </c>
      <c r="AU799">
        <v>86.46</v>
      </c>
      <c r="AV799">
        <v>50.98</v>
      </c>
      <c r="AW799">
        <v>0.76</v>
      </c>
      <c r="BA799">
        <v>-0.25</v>
      </c>
      <c r="BB799">
        <v>1.75</v>
      </c>
      <c r="BC799">
        <v>-0.25</v>
      </c>
      <c r="BD799">
        <v>0.67</v>
      </c>
      <c r="BE799">
        <v>0.5</v>
      </c>
      <c r="BF799">
        <v>-1.48</v>
      </c>
      <c r="BG799">
        <v>0.5</v>
      </c>
      <c r="BH799">
        <v>-0.42</v>
      </c>
      <c r="BI799">
        <v>20191031</v>
      </c>
      <c r="BJ799">
        <v>20100128</v>
      </c>
      <c r="BK799">
        <v>9.0500000000000007</v>
      </c>
      <c r="BL799" t="s">
        <v>116</v>
      </c>
      <c r="BM799" t="s">
        <v>116</v>
      </c>
      <c r="BN799">
        <v>51.91</v>
      </c>
      <c r="BO799">
        <v>35.049999999999997</v>
      </c>
      <c r="BP799">
        <v>0.35</v>
      </c>
      <c r="BQ799">
        <v>31.81</v>
      </c>
      <c r="BR799">
        <v>29.74</v>
      </c>
      <c r="BS799">
        <v>2.25</v>
      </c>
      <c r="BT799">
        <v>1.39</v>
      </c>
      <c r="BU799">
        <v>15.71</v>
      </c>
      <c r="BV799">
        <v>20.2</v>
      </c>
      <c r="BW799">
        <v>1.99</v>
      </c>
      <c r="BX799">
        <v>14.24</v>
      </c>
      <c r="BY799">
        <v>26.69</v>
      </c>
      <c r="BZ799">
        <v>16.71</v>
      </c>
      <c r="CA799">
        <v>2.33</v>
      </c>
      <c r="CB799">
        <v>0.49</v>
      </c>
      <c r="CC799">
        <v>2.35</v>
      </c>
      <c r="CD799">
        <v>1.99</v>
      </c>
      <c r="CE799">
        <v>1.99</v>
      </c>
      <c r="CF799">
        <v>1.83</v>
      </c>
      <c r="CG799">
        <v>11.32</v>
      </c>
      <c r="CH799">
        <v>2.2200000000000002</v>
      </c>
      <c r="CI799">
        <v>-1.42</v>
      </c>
      <c r="CJ799">
        <v>34961</v>
      </c>
      <c r="CK799">
        <v>11948</v>
      </c>
      <c r="CL799" t="s">
        <v>4879</v>
      </c>
      <c r="CM799">
        <v>-12.8</v>
      </c>
      <c r="CN799">
        <v>10.38</v>
      </c>
      <c r="CO799">
        <v>1.03</v>
      </c>
      <c r="CP799">
        <v>16.34</v>
      </c>
      <c r="CQ799">
        <v>1.36</v>
      </c>
      <c r="CR799">
        <v>0</v>
      </c>
      <c r="CS799" t="s">
        <v>4880</v>
      </c>
      <c r="CT799">
        <v>3.87</v>
      </c>
      <c r="CU799">
        <v>0</v>
      </c>
      <c r="CV799">
        <v>1.57</v>
      </c>
      <c r="CW799">
        <v>1.25</v>
      </c>
      <c r="CX799">
        <v>0.24</v>
      </c>
      <c r="CY799">
        <v>67.52</v>
      </c>
      <c r="CZ799" t="s">
        <v>4881</v>
      </c>
      <c r="DA799">
        <v>37.39</v>
      </c>
      <c r="DB799">
        <v>8.74</v>
      </c>
      <c r="DC799">
        <v>7.44</v>
      </c>
      <c r="DD799">
        <v>0.42</v>
      </c>
      <c r="DE799">
        <v>6067</v>
      </c>
      <c r="DF799">
        <v>2345</v>
      </c>
      <c r="DG799" t="s">
        <v>116</v>
      </c>
      <c r="DH799" t="s">
        <v>116</v>
      </c>
      <c r="DI799" t="s">
        <v>116</v>
      </c>
    </row>
    <row r="800" spans="1:113" x14ac:dyDescent="0.4">
      <c r="A800" t="str">
        <f>"002346"</f>
        <v>002346</v>
      </c>
      <c r="B800" t="s">
        <v>4882</v>
      </c>
      <c r="C800">
        <v>-0.44</v>
      </c>
      <c r="D800">
        <v>11.27</v>
      </c>
      <c r="E800">
        <v>-0.05</v>
      </c>
      <c r="F800">
        <v>11.26</v>
      </c>
      <c r="G800">
        <v>11.27</v>
      </c>
      <c r="H800">
        <v>13711</v>
      </c>
      <c r="I800">
        <v>131</v>
      </c>
      <c r="J800">
        <v>0.09</v>
      </c>
      <c r="K800">
        <v>0.35</v>
      </c>
      <c r="L800">
        <v>11.4</v>
      </c>
      <c r="M800">
        <v>11.43</v>
      </c>
      <c r="N800">
        <v>11.25</v>
      </c>
      <c r="O800">
        <v>11.32</v>
      </c>
      <c r="P800">
        <v>50.03</v>
      </c>
      <c r="Q800">
        <v>15561160</v>
      </c>
      <c r="R800">
        <v>0.87</v>
      </c>
      <c r="S800" t="s">
        <v>397</v>
      </c>
      <c r="T800" t="s">
        <v>1653</v>
      </c>
      <c r="U800">
        <v>1.59</v>
      </c>
      <c r="V800">
        <v>11.35</v>
      </c>
      <c r="W800">
        <v>8309</v>
      </c>
      <c r="X800">
        <v>5402</v>
      </c>
      <c r="Y800">
        <v>1.54</v>
      </c>
      <c r="Z800">
        <v>119</v>
      </c>
      <c r="AA800">
        <v>85</v>
      </c>
      <c r="AB800" t="s">
        <v>116</v>
      </c>
      <c r="AC800">
        <v>5700</v>
      </c>
      <c r="AD800">
        <v>0</v>
      </c>
      <c r="AE800" t="s">
        <v>116</v>
      </c>
      <c r="AF800" t="s">
        <v>116</v>
      </c>
      <c r="AG800">
        <v>3.95</v>
      </c>
      <c r="AH800" t="s">
        <v>4883</v>
      </c>
      <c r="AI800" t="s">
        <v>4884</v>
      </c>
      <c r="AJ800">
        <v>0.24</v>
      </c>
      <c r="AK800">
        <v>608</v>
      </c>
      <c r="AL800">
        <v>23</v>
      </c>
      <c r="AM800">
        <v>5.9999999999999995E-4</v>
      </c>
      <c r="AN800">
        <v>-1</v>
      </c>
      <c r="AO800">
        <v>-0.26</v>
      </c>
      <c r="AP800">
        <v>4.16</v>
      </c>
      <c r="AQ800">
        <v>-2</v>
      </c>
      <c r="AR800">
        <v>-8.3699999999999992</v>
      </c>
      <c r="AS800">
        <v>1.32</v>
      </c>
      <c r="AT800" t="s">
        <v>4242</v>
      </c>
      <c r="AU800">
        <v>61.71</v>
      </c>
      <c r="AV800">
        <v>85.41</v>
      </c>
      <c r="AW800">
        <v>1.08</v>
      </c>
      <c r="BA800">
        <v>0.71</v>
      </c>
      <c r="BB800">
        <v>0.97</v>
      </c>
      <c r="BC800">
        <v>-0.62</v>
      </c>
      <c r="BD800">
        <v>0.26</v>
      </c>
      <c r="BE800">
        <v>-1.1399999999999999</v>
      </c>
      <c r="BF800">
        <v>-1.4</v>
      </c>
      <c r="BG800">
        <v>0.18</v>
      </c>
      <c r="BH800">
        <v>-0.7</v>
      </c>
      <c r="BI800">
        <v>20191025</v>
      </c>
      <c r="BJ800">
        <v>20100128</v>
      </c>
      <c r="BK800">
        <v>4.42</v>
      </c>
      <c r="BL800" t="s">
        <v>116</v>
      </c>
      <c r="BM800" t="s">
        <v>116</v>
      </c>
      <c r="BN800">
        <v>28.13</v>
      </c>
      <c r="BO800">
        <v>20.92</v>
      </c>
      <c r="BP800">
        <v>0.25</v>
      </c>
      <c r="BQ800">
        <v>24.75</v>
      </c>
      <c r="BR800">
        <v>5.84</v>
      </c>
      <c r="BS800">
        <v>3.06</v>
      </c>
      <c r="BT800">
        <v>0.87</v>
      </c>
      <c r="BU800">
        <v>5.96</v>
      </c>
      <c r="BV800">
        <v>1.03</v>
      </c>
      <c r="BW800">
        <v>2.9</v>
      </c>
      <c r="BX800">
        <v>5.21</v>
      </c>
      <c r="BY800">
        <v>2.92</v>
      </c>
      <c r="BZ800">
        <v>2.16</v>
      </c>
      <c r="CA800">
        <v>0.8</v>
      </c>
      <c r="CB800">
        <v>0.49</v>
      </c>
      <c r="CC800">
        <v>0.81</v>
      </c>
      <c r="CD800">
        <v>0.75</v>
      </c>
      <c r="CE800">
        <v>0.75</v>
      </c>
      <c r="CF800">
        <v>0.57999999999999996</v>
      </c>
      <c r="CG800">
        <v>10.27</v>
      </c>
      <c r="CH800">
        <v>1.59</v>
      </c>
      <c r="CI800">
        <v>-0.24</v>
      </c>
      <c r="CJ800">
        <v>26223</v>
      </c>
      <c r="CK800">
        <v>3970</v>
      </c>
      <c r="CL800" t="s">
        <v>3131</v>
      </c>
      <c r="CM800">
        <v>42.83</v>
      </c>
      <c r="CN800">
        <v>-34.090000000000003</v>
      </c>
      <c r="CO800">
        <v>2.38</v>
      </c>
      <c r="CP800">
        <v>31.25</v>
      </c>
      <c r="CQ800">
        <v>17.07</v>
      </c>
      <c r="CR800">
        <v>1.77</v>
      </c>
      <c r="CS800" t="s">
        <v>2316</v>
      </c>
      <c r="CT800">
        <v>4.74</v>
      </c>
      <c r="CU800">
        <v>0</v>
      </c>
      <c r="CV800">
        <v>1.18</v>
      </c>
      <c r="CW800">
        <v>2.33</v>
      </c>
      <c r="CX800">
        <v>0.36</v>
      </c>
      <c r="CY800">
        <v>74.37</v>
      </c>
      <c r="CZ800" t="s">
        <v>4885</v>
      </c>
      <c r="DA800">
        <v>25.77</v>
      </c>
      <c r="DB800">
        <v>27.55</v>
      </c>
      <c r="DC800">
        <v>25.58</v>
      </c>
      <c r="DD800">
        <v>0.02</v>
      </c>
      <c r="DE800">
        <v>446</v>
      </c>
      <c r="DF800">
        <v>2346</v>
      </c>
      <c r="DG800" t="s">
        <v>116</v>
      </c>
      <c r="DH800" t="s">
        <v>116</v>
      </c>
      <c r="DI800" t="s">
        <v>116</v>
      </c>
    </row>
    <row r="801" spans="1:113" x14ac:dyDescent="0.4">
      <c r="A801" t="str">
        <f>"002347"</f>
        <v>002347</v>
      </c>
      <c r="B801" t="s">
        <v>4886</v>
      </c>
      <c r="C801">
        <v>-1.33</v>
      </c>
      <c r="D801">
        <v>4.4400000000000004</v>
      </c>
      <c r="E801">
        <v>-0.06</v>
      </c>
      <c r="F801">
        <v>4.43</v>
      </c>
      <c r="G801">
        <v>4.4400000000000004</v>
      </c>
      <c r="H801">
        <v>55286</v>
      </c>
      <c r="I801">
        <v>320</v>
      </c>
      <c r="J801">
        <v>0</v>
      </c>
      <c r="K801">
        <v>1.75</v>
      </c>
      <c r="L801">
        <v>4.46</v>
      </c>
      <c r="M801">
        <v>4.53</v>
      </c>
      <c r="N801">
        <v>4.42</v>
      </c>
      <c r="O801">
        <v>4.5</v>
      </c>
      <c r="P801">
        <v>82.87</v>
      </c>
      <c r="Q801">
        <v>24752772</v>
      </c>
      <c r="R801">
        <v>1.43</v>
      </c>
      <c r="S801" t="s">
        <v>996</v>
      </c>
      <c r="T801" t="s">
        <v>575</v>
      </c>
      <c r="U801">
        <v>2.44</v>
      </c>
      <c r="V801">
        <v>4.4800000000000004</v>
      </c>
      <c r="W801">
        <v>30560</v>
      </c>
      <c r="X801">
        <v>24726</v>
      </c>
      <c r="Y801">
        <v>1.24</v>
      </c>
      <c r="Z801">
        <v>669</v>
      </c>
      <c r="AA801">
        <v>1055</v>
      </c>
      <c r="AB801" t="s">
        <v>116</v>
      </c>
      <c r="AC801">
        <v>192700</v>
      </c>
      <c r="AD801">
        <v>0.02</v>
      </c>
      <c r="AE801" t="s">
        <v>116</v>
      </c>
      <c r="AF801" t="s">
        <v>116</v>
      </c>
      <c r="AG801">
        <v>3.17</v>
      </c>
      <c r="AH801" t="s">
        <v>4887</v>
      </c>
      <c r="AI801" t="s">
        <v>577</v>
      </c>
      <c r="AJ801">
        <v>-0.65</v>
      </c>
      <c r="AK801">
        <v>1352</v>
      </c>
      <c r="AL801">
        <v>41</v>
      </c>
      <c r="AM801">
        <v>1.2999999999999999E-3</v>
      </c>
      <c r="AN801">
        <v>-1</v>
      </c>
      <c r="AO801">
        <v>0.91</v>
      </c>
      <c r="AP801">
        <v>3.26</v>
      </c>
      <c r="AQ801">
        <v>-0.67</v>
      </c>
      <c r="AR801">
        <v>20.98</v>
      </c>
      <c r="AS801">
        <v>2.19</v>
      </c>
      <c r="AT801" t="s">
        <v>4888</v>
      </c>
      <c r="AU801">
        <v>84.49</v>
      </c>
      <c r="AV801">
        <v>98.94</v>
      </c>
      <c r="AW801">
        <v>0.88</v>
      </c>
      <c r="BA801">
        <v>-0.89</v>
      </c>
      <c r="BB801">
        <v>0.67</v>
      </c>
      <c r="BC801">
        <v>-1.78</v>
      </c>
      <c r="BD801">
        <v>-0.51</v>
      </c>
      <c r="BE801">
        <v>-0.45</v>
      </c>
      <c r="BF801">
        <v>-1.99</v>
      </c>
      <c r="BG801">
        <v>0.45</v>
      </c>
      <c r="BH801">
        <v>-0.83</v>
      </c>
      <c r="BI801">
        <v>20191104</v>
      </c>
      <c r="BJ801">
        <v>20100128</v>
      </c>
      <c r="BK801">
        <v>4.47</v>
      </c>
      <c r="BL801" t="s">
        <v>116</v>
      </c>
      <c r="BM801" t="s">
        <v>116</v>
      </c>
      <c r="BN801">
        <v>21.94</v>
      </c>
      <c r="BO801">
        <v>11.47</v>
      </c>
      <c r="BP801">
        <v>0.1</v>
      </c>
      <c r="BQ801">
        <v>47.29</v>
      </c>
      <c r="BR801">
        <v>17.03</v>
      </c>
      <c r="BS801">
        <v>2.4700000000000002</v>
      </c>
      <c r="BT801">
        <v>0.6</v>
      </c>
      <c r="BU801">
        <v>10.02</v>
      </c>
      <c r="BV801">
        <v>5.6</v>
      </c>
      <c r="BW801">
        <v>5.63</v>
      </c>
      <c r="BX801">
        <v>4.9000000000000004</v>
      </c>
      <c r="BY801">
        <v>6.18</v>
      </c>
      <c r="BZ801">
        <v>4.38</v>
      </c>
      <c r="CA801">
        <v>0.26</v>
      </c>
      <c r="CB801">
        <v>-0.01</v>
      </c>
      <c r="CC801">
        <v>0.27</v>
      </c>
      <c r="CD801">
        <v>0.19</v>
      </c>
      <c r="CE801">
        <v>0.18</v>
      </c>
      <c r="CF801">
        <v>0.16</v>
      </c>
      <c r="CG801">
        <v>1.69</v>
      </c>
      <c r="CH801">
        <v>0.14000000000000001</v>
      </c>
      <c r="CI801">
        <v>-0.59</v>
      </c>
      <c r="CJ801">
        <v>37926</v>
      </c>
      <c r="CK801">
        <v>6652</v>
      </c>
      <c r="CL801" t="s">
        <v>875</v>
      </c>
      <c r="CM801">
        <v>23.6</v>
      </c>
      <c r="CN801">
        <v>16.739999999999998</v>
      </c>
      <c r="CO801">
        <v>1.73</v>
      </c>
      <c r="CP801">
        <v>142.80000000000001</v>
      </c>
      <c r="CQ801">
        <v>3.21</v>
      </c>
      <c r="CR801">
        <v>0</v>
      </c>
      <c r="CS801" t="s">
        <v>778</v>
      </c>
      <c r="CT801">
        <v>2.56</v>
      </c>
      <c r="CU801">
        <v>0</v>
      </c>
      <c r="CV801">
        <v>1.1000000000000001</v>
      </c>
      <c r="CW801">
        <v>0.38</v>
      </c>
      <c r="CX801">
        <v>0.03</v>
      </c>
      <c r="CY801">
        <v>52.26</v>
      </c>
      <c r="CZ801" t="s">
        <v>4889</v>
      </c>
      <c r="DA801">
        <v>29.15</v>
      </c>
      <c r="DB801">
        <v>4.17</v>
      </c>
      <c r="DC801">
        <v>2.91</v>
      </c>
      <c r="DD801">
        <v>0.35</v>
      </c>
      <c r="DE801">
        <v>984</v>
      </c>
      <c r="DF801">
        <v>2347</v>
      </c>
      <c r="DG801" t="s">
        <v>116</v>
      </c>
      <c r="DH801" t="s">
        <v>116</v>
      </c>
      <c r="DI801" t="s">
        <v>116</v>
      </c>
    </row>
    <row r="802" spans="1:113" x14ac:dyDescent="0.4">
      <c r="A802" t="str">
        <f>"002348"</f>
        <v>002348</v>
      </c>
      <c r="B802" t="s">
        <v>4890</v>
      </c>
      <c r="C802">
        <v>-1.81</v>
      </c>
      <c r="D802">
        <v>3.26</v>
      </c>
      <c r="E802">
        <v>-0.06</v>
      </c>
      <c r="F802">
        <v>3.26</v>
      </c>
      <c r="G802">
        <v>3.27</v>
      </c>
      <c r="H802">
        <v>95263</v>
      </c>
      <c r="I802">
        <v>857</v>
      </c>
      <c r="J802">
        <v>-0.3</v>
      </c>
      <c r="K802">
        <v>1.28</v>
      </c>
      <c r="L802">
        <v>3.31</v>
      </c>
      <c r="M802">
        <v>3.36</v>
      </c>
      <c r="N802">
        <v>3.26</v>
      </c>
      <c r="O802">
        <v>3.32</v>
      </c>
      <c r="P802">
        <v>99.13</v>
      </c>
      <c r="Q802">
        <v>31427720</v>
      </c>
      <c r="R802">
        <v>1.01</v>
      </c>
      <c r="S802" t="s">
        <v>217</v>
      </c>
      <c r="T802" t="s">
        <v>551</v>
      </c>
      <c r="U802">
        <v>3.01</v>
      </c>
      <c r="V802">
        <v>3.3</v>
      </c>
      <c r="W802">
        <v>63969</v>
      </c>
      <c r="X802">
        <v>31294</v>
      </c>
      <c r="Y802">
        <v>2.04</v>
      </c>
      <c r="Z802">
        <v>2058</v>
      </c>
      <c r="AA802">
        <v>736</v>
      </c>
      <c r="AB802" t="s">
        <v>116</v>
      </c>
      <c r="AC802">
        <v>37400</v>
      </c>
      <c r="AD802">
        <v>0</v>
      </c>
      <c r="AE802" t="s">
        <v>116</v>
      </c>
      <c r="AF802" t="s">
        <v>116</v>
      </c>
      <c r="AG802">
        <v>7.43</v>
      </c>
      <c r="AH802" t="s">
        <v>2845</v>
      </c>
      <c r="AI802" t="s">
        <v>4891</v>
      </c>
      <c r="AJ802">
        <v>-1.1299999999999999</v>
      </c>
      <c r="AK802">
        <v>733</v>
      </c>
      <c r="AL802">
        <v>130</v>
      </c>
      <c r="AM802">
        <v>1.6999999999999999E-3</v>
      </c>
      <c r="AN802">
        <v>-3</v>
      </c>
      <c r="AO802">
        <v>-3.55</v>
      </c>
      <c r="AP802">
        <v>0.62</v>
      </c>
      <c r="AQ802">
        <v>-4.96</v>
      </c>
      <c r="AR802">
        <v>5.84</v>
      </c>
      <c r="AS802">
        <v>1.97</v>
      </c>
      <c r="AT802" t="s">
        <v>4892</v>
      </c>
      <c r="AU802" t="s">
        <v>116</v>
      </c>
      <c r="AV802">
        <v>273.68</v>
      </c>
      <c r="AW802">
        <v>0.63</v>
      </c>
      <c r="BA802">
        <v>-0.3</v>
      </c>
      <c r="BB802">
        <v>1.2</v>
      </c>
      <c r="BC802">
        <v>-1.81</v>
      </c>
      <c r="BD802">
        <v>-0.63</v>
      </c>
      <c r="BE802">
        <v>-1.51</v>
      </c>
      <c r="BF802">
        <v>-2.98</v>
      </c>
      <c r="BG802">
        <v>0</v>
      </c>
      <c r="BH802">
        <v>-1.18</v>
      </c>
      <c r="BI802">
        <v>20191217</v>
      </c>
      <c r="BJ802">
        <v>20100203</v>
      </c>
      <c r="BK802">
        <v>9.4700000000000006</v>
      </c>
      <c r="BL802" t="s">
        <v>116</v>
      </c>
      <c r="BM802" t="s">
        <v>116</v>
      </c>
      <c r="BN802">
        <v>18.97</v>
      </c>
      <c r="BO802">
        <v>13.11</v>
      </c>
      <c r="BP802">
        <v>1.54</v>
      </c>
      <c r="BQ802">
        <v>22.79</v>
      </c>
      <c r="BR802">
        <v>8.08</v>
      </c>
      <c r="BS802">
        <v>6.34</v>
      </c>
      <c r="BT802">
        <v>1.0900000000000001</v>
      </c>
      <c r="BU802">
        <v>2.42</v>
      </c>
      <c r="BV802">
        <v>1.77</v>
      </c>
      <c r="BW802">
        <v>5.09</v>
      </c>
      <c r="BX802">
        <v>0.1</v>
      </c>
      <c r="BY802">
        <v>5.98</v>
      </c>
      <c r="BZ802">
        <v>4.13</v>
      </c>
      <c r="CA802">
        <v>0.49</v>
      </c>
      <c r="CB802">
        <v>0.13</v>
      </c>
      <c r="CC802">
        <v>0.49</v>
      </c>
      <c r="CD802">
        <v>0.45</v>
      </c>
      <c r="CE802">
        <v>0.23</v>
      </c>
      <c r="CF802">
        <v>0.1</v>
      </c>
      <c r="CG802">
        <v>2.85</v>
      </c>
      <c r="CH802">
        <v>-0.95</v>
      </c>
      <c r="CI802">
        <v>-1</v>
      </c>
      <c r="CJ802">
        <v>29570</v>
      </c>
      <c r="CK802">
        <v>16320</v>
      </c>
      <c r="CL802" t="s">
        <v>2775</v>
      </c>
      <c r="CM802">
        <v>-41.76</v>
      </c>
      <c r="CN802">
        <v>-10.09</v>
      </c>
      <c r="CO802">
        <v>2.35</v>
      </c>
      <c r="CP802">
        <v>-32.53</v>
      </c>
      <c r="CQ802">
        <v>5.16</v>
      </c>
      <c r="CR802">
        <v>0</v>
      </c>
      <c r="CS802" t="s">
        <v>3644</v>
      </c>
      <c r="CT802">
        <v>1.38</v>
      </c>
      <c r="CU802">
        <v>0</v>
      </c>
      <c r="CV802">
        <v>0.01</v>
      </c>
      <c r="CW802">
        <v>0.3</v>
      </c>
      <c r="CX802">
        <v>-0.1</v>
      </c>
      <c r="CY802">
        <v>69.12</v>
      </c>
      <c r="CZ802" t="s">
        <v>4893</v>
      </c>
      <c r="DA802">
        <v>30.92</v>
      </c>
      <c r="DB802">
        <v>8.23</v>
      </c>
      <c r="DC802">
        <v>3.91</v>
      </c>
      <c r="DD802">
        <v>0.18</v>
      </c>
      <c r="DE802">
        <v>1373</v>
      </c>
      <c r="DF802">
        <v>2348</v>
      </c>
      <c r="DG802" t="s">
        <v>116</v>
      </c>
      <c r="DH802" t="s">
        <v>116</v>
      </c>
      <c r="DI802" t="s">
        <v>116</v>
      </c>
    </row>
    <row r="803" spans="1:113" x14ac:dyDescent="0.4">
      <c r="A803" t="str">
        <f>"002349"</f>
        <v>002349</v>
      </c>
      <c r="B803" t="s">
        <v>4894</v>
      </c>
      <c r="C803">
        <v>0.46</v>
      </c>
      <c r="D803">
        <v>4.41</v>
      </c>
      <c r="E803">
        <v>0.02</v>
      </c>
      <c r="F803">
        <v>4.4000000000000004</v>
      </c>
      <c r="G803">
        <v>4.41</v>
      </c>
      <c r="H803">
        <v>21196</v>
      </c>
      <c r="I803">
        <v>683</v>
      </c>
      <c r="J803">
        <v>0.23</v>
      </c>
      <c r="K803">
        <v>0.26</v>
      </c>
      <c r="L803">
        <v>4.3899999999999997</v>
      </c>
      <c r="M803">
        <v>4.43</v>
      </c>
      <c r="N803">
        <v>4.37</v>
      </c>
      <c r="O803">
        <v>4.3899999999999997</v>
      </c>
      <c r="P803" t="s">
        <v>116</v>
      </c>
      <c r="Q803">
        <v>9329956</v>
      </c>
      <c r="R803">
        <v>1.1599999999999999</v>
      </c>
      <c r="S803" t="s">
        <v>781</v>
      </c>
      <c r="T803" t="s">
        <v>323</v>
      </c>
      <c r="U803">
        <v>1.37</v>
      </c>
      <c r="V803">
        <v>4.4000000000000004</v>
      </c>
      <c r="W803">
        <v>12468</v>
      </c>
      <c r="X803">
        <v>8728</v>
      </c>
      <c r="Y803">
        <v>1.43</v>
      </c>
      <c r="Z803">
        <v>1020</v>
      </c>
      <c r="AA803">
        <v>1647</v>
      </c>
      <c r="AB803" t="s">
        <v>116</v>
      </c>
      <c r="AC803">
        <v>3500</v>
      </c>
      <c r="AD803">
        <v>0</v>
      </c>
      <c r="AE803" t="s">
        <v>116</v>
      </c>
      <c r="AF803" t="s">
        <v>116</v>
      </c>
      <c r="AG803">
        <v>8.2100000000000009</v>
      </c>
      <c r="AH803" t="s">
        <v>4877</v>
      </c>
      <c r="AI803" t="s">
        <v>1995</v>
      </c>
      <c r="AJ803">
        <v>1.1299999999999999</v>
      </c>
      <c r="AK803">
        <v>561</v>
      </c>
      <c r="AL803">
        <v>38</v>
      </c>
      <c r="AM803">
        <v>5.0000000000000001E-4</v>
      </c>
      <c r="AN803">
        <v>2</v>
      </c>
      <c r="AO803">
        <v>0.46</v>
      </c>
      <c r="AP803">
        <v>2.3199999999999998</v>
      </c>
      <c r="AQ803">
        <v>-19.53</v>
      </c>
      <c r="AR803">
        <v>-22.36</v>
      </c>
      <c r="AS803">
        <v>0.63</v>
      </c>
      <c r="AT803" t="s">
        <v>4895</v>
      </c>
      <c r="AU803" t="s">
        <v>116</v>
      </c>
      <c r="AV803">
        <v>16.05</v>
      </c>
      <c r="AW803">
        <v>1.04</v>
      </c>
      <c r="BA803">
        <v>0</v>
      </c>
      <c r="BB803">
        <v>0.91</v>
      </c>
      <c r="BC803">
        <v>-0.46</v>
      </c>
      <c r="BD803">
        <v>0.27</v>
      </c>
      <c r="BE803">
        <v>0.46</v>
      </c>
      <c r="BF803">
        <v>-0.45</v>
      </c>
      <c r="BG803">
        <v>0.92</v>
      </c>
      <c r="BH803">
        <v>0.19</v>
      </c>
      <c r="BI803">
        <v>20191028</v>
      </c>
      <c r="BJ803">
        <v>20100203</v>
      </c>
      <c r="BK803">
        <v>8.36</v>
      </c>
      <c r="BL803" t="s">
        <v>116</v>
      </c>
      <c r="BM803" t="s">
        <v>116</v>
      </c>
      <c r="BN803">
        <v>33.18</v>
      </c>
      <c r="BO803">
        <v>20.309999999999999</v>
      </c>
      <c r="BP803">
        <v>4.49</v>
      </c>
      <c r="BQ803">
        <v>25.27</v>
      </c>
      <c r="BR803">
        <v>14.91</v>
      </c>
      <c r="BS803">
        <v>7.18</v>
      </c>
      <c r="BT803">
        <v>1.54</v>
      </c>
      <c r="BU803">
        <v>5.98</v>
      </c>
      <c r="BV803">
        <v>4.6399999999999997</v>
      </c>
      <c r="BW803">
        <v>5.48</v>
      </c>
      <c r="BX803">
        <v>8.68</v>
      </c>
      <c r="BY803">
        <v>9.4</v>
      </c>
      <c r="BZ803">
        <v>4.57</v>
      </c>
      <c r="CA803">
        <v>-1.59</v>
      </c>
      <c r="CB803">
        <v>0.09</v>
      </c>
      <c r="CC803">
        <v>-1.62</v>
      </c>
      <c r="CD803">
        <v>-1.91</v>
      </c>
      <c r="CE803">
        <v>-2.13</v>
      </c>
      <c r="CF803">
        <v>-2.19</v>
      </c>
      <c r="CG803">
        <v>3.92</v>
      </c>
      <c r="CH803">
        <v>2.08</v>
      </c>
      <c r="CI803">
        <v>1.06</v>
      </c>
      <c r="CJ803">
        <v>30216</v>
      </c>
      <c r="CK803">
        <v>11055</v>
      </c>
      <c r="CL803" t="s">
        <v>3689</v>
      </c>
      <c r="CM803">
        <v>-223.65</v>
      </c>
      <c r="CN803">
        <v>1.74</v>
      </c>
      <c r="CO803">
        <v>1.81</v>
      </c>
      <c r="CP803">
        <v>17.690000000000001</v>
      </c>
      <c r="CQ803">
        <v>3.92</v>
      </c>
      <c r="CR803">
        <v>1.1000000000000001</v>
      </c>
      <c r="CS803" t="s">
        <v>4896</v>
      </c>
      <c r="CT803">
        <v>2.4300000000000002</v>
      </c>
      <c r="CU803">
        <v>0</v>
      </c>
      <c r="CV803">
        <v>1.04</v>
      </c>
      <c r="CW803">
        <v>0.47</v>
      </c>
      <c r="CX803">
        <v>0.25</v>
      </c>
      <c r="CY803">
        <v>61.2</v>
      </c>
      <c r="CZ803" t="s">
        <v>4897</v>
      </c>
      <c r="DA803">
        <v>51.39</v>
      </c>
      <c r="DB803">
        <v>-16.91</v>
      </c>
      <c r="DC803">
        <v>-22.66</v>
      </c>
      <c r="DD803">
        <v>0.27</v>
      </c>
      <c r="DE803">
        <v>1506</v>
      </c>
      <c r="DF803">
        <v>2349</v>
      </c>
      <c r="DG803" t="s">
        <v>116</v>
      </c>
      <c r="DH803" t="s">
        <v>116</v>
      </c>
      <c r="DI803" t="s">
        <v>116</v>
      </c>
    </row>
    <row r="804" spans="1:113" x14ac:dyDescent="0.4">
      <c r="A804" t="str">
        <f>"002350"</f>
        <v>002350</v>
      </c>
      <c r="B804" t="s">
        <v>4898</v>
      </c>
      <c r="C804">
        <v>-0.89</v>
      </c>
      <c r="D804">
        <v>5.54</v>
      </c>
      <c r="E804">
        <v>-0.05</v>
      </c>
      <c r="F804">
        <v>5.54</v>
      </c>
      <c r="G804">
        <v>5.55</v>
      </c>
      <c r="H804">
        <v>21030</v>
      </c>
      <c r="I804">
        <v>113</v>
      </c>
      <c r="J804">
        <v>0</v>
      </c>
      <c r="K804">
        <v>0.43</v>
      </c>
      <c r="L804">
        <v>5.57</v>
      </c>
      <c r="M804">
        <v>5.61</v>
      </c>
      <c r="N804">
        <v>5.54</v>
      </c>
      <c r="O804">
        <v>5.59</v>
      </c>
      <c r="P804">
        <v>42.12</v>
      </c>
      <c r="Q804">
        <v>11717834</v>
      </c>
      <c r="R804">
        <v>0.98</v>
      </c>
      <c r="S804" t="s">
        <v>397</v>
      </c>
      <c r="T804" t="s">
        <v>165</v>
      </c>
      <c r="U804">
        <v>1.25</v>
      </c>
      <c r="V804">
        <v>5.57</v>
      </c>
      <c r="W804">
        <v>11772</v>
      </c>
      <c r="X804">
        <v>9258</v>
      </c>
      <c r="Y804">
        <v>1.27</v>
      </c>
      <c r="Z804">
        <v>601</v>
      </c>
      <c r="AA804">
        <v>311</v>
      </c>
      <c r="AB804" t="s">
        <v>116</v>
      </c>
      <c r="AC804">
        <v>93000</v>
      </c>
      <c r="AD804">
        <v>0.01</v>
      </c>
      <c r="AE804" t="s">
        <v>116</v>
      </c>
      <c r="AF804" t="s">
        <v>116</v>
      </c>
      <c r="AG804">
        <v>4.88</v>
      </c>
      <c r="AH804" t="s">
        <v>4899</v>
      </c>
      <c r="AI804" t="s">
        <v>4900</v>
      </c>
      <c r="AJ804">
        <v>-0.22</v>
      </c>
      <c r="AK804">
        <v>713</v>
      </c>
      <c r="AL804">
        <v>29</v>
      </c>
      <c r="AM804">
        <v>5.9999999999999995E-4</v>
      </c>
      <c r="AN804">
        <v>-1</v>
      </c>
      <c r="AO804">
        <v>1.1000000000000001</v>
      </c>
      <c r="AP804">
        <v>4.1399999999999997</v>
      </c>
      <c r="AQ804">
        <v>-2.81</v>
      </c>
      <c r="AR804">
        <v>-7.97</v>
      </c>
      <c r="AS804">
        <v>0.84</v>
      </c>
      <c r="AT804" t="s">
        <v>4901</v>
      </c>
      <c r="AU804">
        <v>32.08</v>
      </c>
      <c r="AV804">
        <v>26.7</v>
      </c>
      <c r="AW804">
        <v>0.84</v>
      </c>
      <c r="BA804">
        <v>-0.36</v>
      </c>
      <c r="BB804">
        <v>0.36</v>
      </c>
      <c r="BC804">
        <v>-0.89</v>
      </c>
      <c r="BD804">
        <v>-0.32</v>
      </c>
      <c r="BE804">
        <v>-0.54</v>
      </c>
      <c r="BF804">
        <v>-1.25</v>
      </c>
      <c r="BG804">
        <v>0</v>
      </c>
      <c r="BH804">
        <v>-0.56999999999999995</v>
      </c>
      <c r="BI804">
        <v>20191227</v>
      </c>
      <c r="BJ804">
        <v>20100203</v>
      </c>
      <c r="BK804">
        <v>4.93</v>
      </c>
      <c r="BL804" t="s">
        <v>116</v>
      </c>
      <c r="BM804" t="s">
        <v>116</v>
      </c>
      <c r="BN804">
        <v>35.299999999999997</v>
      </c>
      <c r="BO804">
        <v>17.55</v>
      </c>
      <c r="BP804">
        <v>1.85</v>
      </c>
      <c r="BQ804">
        <v>45.01</v>
      </c>
      <c r="BR804">
        <v>23.09</v>
      </c>
      <c r="BS804">
        <v>6.2</v>
      </c>
      <c r="BT804">
        <v>1.43</v>
      </c>
      <c r="BU804">
        <v>15.76</v>
      </c>
      <c r="BV804">
        <v>5.89</v>
      </c>
      <c r="BW804">
        <v>11.54</v>
      </c>
      <c r="BX804">
        <v>8.19</v>
      </c>
      <c r="BY804">
        <v>16.05</v>
      </c>
      <c r="BZ804">
        <v>12.1</v>
      </c>
      <c r="CA804">
        <v>0.57999999999999996</v>
      </c>
      <c r="CB804">
        <v>0.02</v>
      </c>
      <c r="CC804">
        <v>0.72</v>
      </c>
      <c r="CD804">
        <v>0.56999999999999995</v>
      </c>
      <c r="CE804">
        <v>0.49</v>
      </c>
      <c r="CF804">
        <v>0.37</v>
      </c>
      <c r="CG804">
        <v>4.72</v>
      </c>
      <c r="CH804">
        <v>0.11</v>
      </c>
      <c r="CI804">
        <v>-3.11</v>
      </c>
      <c r="CJ804">
        <v>33804</v>
      </c>
      <c r="CK804">
        <v>7415</v>
      </c>
      <c r="CL804" t="s">
        <v>221</v>
      </c>
      <c r="CM804">
        <v>-26.08</v>
      </c>
      <c r="CN804">
        <v>-7.2</v>
      </c>
      <c r="CO804">
        <v>1.56</v>
      </c>
      <c r="CP804">
        <v>251.3</v>
      </c>
      <c r="CQ804">
        <v>1.7</v>
      </c>
      <c r="CR804">
        <v>1.08</v>
      </c>
      <c r="CS804" t="s">
        <v>4902</v>
      </c>
      <c r="CT804">
        <v>3.56</v>
      </c>
      <c r="CU804">
        <v>0</v>
      </c>
      <c r="CV804">
        <v>1.66</v>
      </c>
      <c r="CW804">
        <v>0.96</v>
      </c>
      <c r="CX804">
        <v>0.02</v>
      </c>
      <c r="CY804">
        <v>49.74</v>
      </c>
      <c r="CZ804" t="s">
        <v>883</v>
      </c>
      <c r="DA804">
        <v>24.64</v>
      </c>
      <c r="DB804">
        <v>3.62</v>
      </c>
      <c r="DC804">
        <v>3.03</v>
      </c>
      <c r="DD804">
        <v>0.68</v>
      </c>
      <c r="DE804">
        <v>2071</v>
      </c>
      <c r="DF804">
        <v>2350</v>
      </c>
      <c r="DG804" t="s">
        <v>116</v>
      </c>
      <c r="DH804" t="s">
        <v>116</v>
      </c>
      <c r="DI804" t="s">
        <v>116</v>
      </c>
    </row>
    <row r="805" spans="1:113" x14ac:dyDescent="0.4">
      <c r="A805" t="str">
        <f>"002351"</f>
        <v>002351</v>
      </c>
      <c r="B805" t="s">
        <v>4903</v>
      </c>
      <c r="C805">
        <v>1.38</v>
      </c>
      <c r="D805">
        <v>24.94</v>
      </c>
      <c r="E805">
        <v>0.34</v>
      </c>
      <c r="F805">
        <v>24.94</v>
      </c>
      <c r="G805">
        <v>24.95</v>
      </c>
      <c r="H805">
        <v>778225</v>
      </c>
      <c r="I805">
        <v>9915</v>
      </c>
      <c r="J805">
        <v>-0.23</v>
      </c>
      <c r="K805">
        <v>26.71</v>
      </c>
      <c r="L805">
        <v>24.82</v>
      </c>
      <c r="M805">
        <v>26.42</v>
      </c>
      <c r="N805">
        <v>24.36</v>
      </c>
      <c r="O805">
        <v>24.6</v>
      </c>
      <c r="P805">
        <v>138.16</v>
      </c>
      <c r="Q805">
        <v>1974161280</v>
      </c>
      <c r="R805">
        <v>1.47</v>
      </c>
      <c r="S805" t="s">
        <v>241</v>
      </c>
      <c r="T805" t="s">
        <v>115</v>
      </c>
      <c r="U805">
        <v>8.3699999999999992</v>
      </c>
      <c r="V805">
        <v>25.37</v>
      </c>
      <c r="W805">
        <v>380331</v>
      </c>
      <c r="X805">
        <v>397894</v>
      </c>
      <c r="Y805">
        <v>0.96</v>
      </c>
      <c r="Z805">
        <v>329</v>
      </c>
      <c r="AA805">
        <v>1622</v>
      </c>
      <c r="AB805" t="s">
        <v>116</v>
      </c>
      <c r="AC805">
        <v>8292400</v>
      </c>
      <c r="AD805">
        <v>0.16</v>
      </c>
      <c r="AE805" t="s">
        <v>116</v>
      </c>
      <c r="AF805" t="s">
        <v>116</v>
      </c>
      <c r="AG805">
        <v>2.91</v>
      </c>
      <c r="AH805" t="s">
        <v>4904</v>
      </c>
      <c r="AI805" t="s">
        <v>4905</v>
      </c>
      <c r="AJ805">
        <v>2.06</v>
      </c>
      <c r="AK805">
        <v>4698</v>
      </c>
      <c r="AL805">
        <v>166</v>
      </c>
      <c r="AM805">
        <v>5.7000000000000002E-3</v>
      </c>
      <c r="AN805">
        <v>1</v>
      </c>
      <c r="AO805">
        <v>-1.31</v>
      </c>
      <c r="AP805">
        <v>62.37</v>
      </c>
      <c r="AQ805">
        <v>245.91</v>
      </c>
      <c r="AR805">
        <v>415.29</v>
      </c>
      <c r="AS805">
        <v>38.130000000000003</v>
      </c>
      <c r="AT805" t="s">
        <v>4906</v>
      </c>
      <c r="AU805">
        <v>185.56</v>
      </c>
      <c r="AV805">
        <v>276.92</v>
      </c>
      <c r="AW805">
        <v>2.38</v>
      </c>
      <c r="BA805">
        <v>0.89</v>
      </c>
      <c r="BB805">
        <v>7.4</v>
      </c>
      <c r="BC805">
        <v>-0.98</v>
      </c>
      <c r="BD805">
        <v>3.12</v>
      </c>
      <c r="BE805">
        <v>0.48</v>
      </c>
      <c r="BF805">
        <v>-5.6</v>
      </c>
      <c r="BG805">
        <v>2.38</v>
      </c>
      <c r="BH805">
        <v>-1.74</v>
      </c>
      <c r="BI805">
        <v>20191023</v>
      </c>
      <c r="BJ805">
        <v>20100205</v>
      </c>
      <c r="BK805">
        <v>5.93</v>
      </c>
      <c r="BL805" t="s">
        <v>116</v>
      </c>
      <c r="BM805" t="s">
        <v>116</v>
      </c>
      <c r="BN805">
        <v>21.09</v>
      </c>
      <c r="BO805">
        <v>18.29</v>
      </c>
      <c r="BP805">
        <v>7.0000000000000007E-2</v>
      </c>
      <c r="BQ805">
        <v>12.97</v>
      </c>
      <c r="BR805">
        <v>15.64</v>
      </c>
      <c r="BS805">
        <v>4.0999999999999996</v>
      </c>
      <c r="BT805">
        <v>0.64</v>
      </c>
      <c r="BU805">
        <v>2.54</v>
      </c>
      <c r="BV805">
        <v>3.86</v>
      </c>
      <c r="BW805">
        <v>1.22</v>
      </c>
      <c r="BX805">
        <v>7.53</v>
      </c>
      <c r="BY805">
        <v>7.88</v>
      </c>
      <c r="BZ805">
        <v>5.1100000000000003</v>
      </c>
      <c r="CA805">
        <v>1.01</v>
      </c>
      <c r="CB805">
        <v>0.21</v>
      </c>
      <c r="CC805">
        <v>1</v>
      </c>
      <c r="CD805">
        <v>0.79</v>
      </c>
      <c r="CE805">
        <v>0.8</v>
      </c>
      <c r="CF805">
        <v>0.57999999999999996</v>
      </c>
      <c r="CG805">
        <v>4.08</v>
      </c>
      <c r="CH805">
        <v>0.56000000000000005</v>
      </c>
      <c r="CI805">
        <v>-0.43</v>
      </c>
      <c r="CJ805">
        <v>32296</v>
      </c>
      <c r="CK805">
        <v>6319</v>
      </c>
      <c r="CL805" t="s">
        <v>4221</v>
      </c>
      <c r="CM805">
        <v>48.7</v>
      </c>
      <c r="CN805">
        <v>30.13</v>
      </c>
      <c r="CO805">
        <v>8.08</v>
      </c>
      <c r="CP805">
        <v>265.3</v>
      </c>
      <c r="CQ805">
        <v>18.760000000000002</v>
      </c>
      <c r="CR805">
        <v>0.4</v>
      </c>
      <c r="CS805" t="s">
        <v>2750</v>
      </c>
      <c r="CT805">
        <v>3.09</v>
      </c>
      <c r="CU805">
        <v>0</v>
      </c>
      <c r="CV805">
        <v>1.27</v>
      </c>
      <c r="CW805">
        <v>0.69</v>
      </c>
      <c r="CX805">
        <v>0.09</v>
      </c>
      <c r="CY805">
        <v>86.72</v>
      </c>
      <c r="CZ805" t="s">
        <v>4907</v>
      </c>
      <c r="DA805">
        <v>35.1</v>
      </c>
      <c r="DB805">
        <v>12.75</v>
      </c>
      <c r="DC805">
        <v>10.18</v>
      </c>
      <c r="DD805">
        <v>0.54</v>
      </c>
      <c r="DE805">
        <v>2234</v>
      </c>
      <c r="DF805">
        <v>2351</v>
      </c>
      <c r="DG805" t="s">
        <v>116</v>
      </c>
      <c r="DH805" t="s">
        <v>116</v>
      </c>
      <c r="DI805" t="s">
        <v>116</v>
      </c>
    </row>
    <row r="806" spans="1:113" x14ac:dyDescent="0.4">
      <c r="A806" t="str">
        <f>"002352"</f>
        <v>002352</v>
      </c>
      <c r="B806" t="s">
        <v>4908</v>
      </c>
      <c r="C806">
        <v>-0.64</v>
      </c>
      <c r="D806">
        <v>37.51</v>
      </c>
      <c r="E806">
        <v>-0.24</v>
      </c>
      <c r="F806">
        <v>37.51</v>
      </c>
      <c r="G806">
        <v>37.520000000000003</v>
      </c>
      <c r="H806">
        <v>97281</v>
      </c>
      <c r="I806">
        <v>914</v>
      </c>
      <c r="J806">
        <v>-0.26</v>
      </c>
      <c r="K806">
        <v>0.6</v>
      </c>
      <c r="L806">
        <v>37.75</v>
      </c>
      <c r="M806">
        <v>38.03</v>
      </c>
      <c r="N806">
        <v>37.380000000000003</v>
      </c>
      <c r="O806">
        <v>37.75</v>
      </c>
      <c r="P806">
        <v>28.81</v>
      </c>
      <c r="Q806">
        <v>367301696</v>
      </c>
      <c r="R806">
        <v>1.1499999999999999</v>
      </c>
      <c r="S806" t="s">
        <v>3113</v>
      </c>
      <c r="T806" t="s">
        <v>115</v>
      </c>
      <c r="U806">
        <v>1.72</v>
      </c>
      <c r="V806">
        <v>37.76</v>
      </c>
      <c r="W806">
        <v>49756</v>
      </c>
      <c r="X806">
        <v>47525</v>
      </c>
      <c r="Y806">
        <v>1.05</v>
      </c>
      <c r="Z806">
        <v>69</v>
      </c>
      <c r="AA806">
        <v>50</v>
      </c>
      <c r="AB806" t="s">
        <v>116</v>
      </c>
      <c r="AC806">
        <v>1177800</v>
      </c>
      <c r="AD806">
        <v>0</v>
      </c>
      <c r="AE806" t="s">
        <v>116</v>
      </c>
      <c r="AF806" t="s">
        <v>116</v>
      </c>
      <c r="AG806">
        <v>16.309999999999999</v>
      </c>
      <c r="AH806" t="s">
        <v>4909</v>
      </c>
      <c r="AI806" t="s">
        <v>4910</v>
      </c>
      <c r="AJ806">
        <v>0.04</v>
      </c>
      <c r="AK806">
        <v>3929</v>
      </c>
      <c r="AL806">
        <v>25</v>
      </c>
      <c r="AM806">
        <v>2.0000000000000001E-4</v>
      </c>
      <c r="AN806">
        <v>-3</v>
      </c>
      <c r="AO806">
        <v>-2.2999999999999998</v>
      </c>
      <c r="AP806">
        <v>-1.1599999999999999</v>
      </c>
      <c r="AQ806">
        <v>-4.34</v>
      </c>
      <c r="AR806">
        <v>15.27</v>
      </c>
      <c r="AS806">
        <v>1.1399999999999999</v>
      </c>
      <c r="AT806" t="s">
        <v>4911</v>
      </c>
      <c r="AU806">
        <v>28.12</v>
      </c>
      <c r="AV806">
        <v>36.35</v>
      </c>
      <c r="AW806">
        <v>0.86</v>
      </c>
      <c r="BA806">
        <v>0</v>
      </c>
      <c r="BB806">
        <v>0.74</v>
      </c>
      <c r="BC806">
        <v>-0.98</v>
      </c>
      <c r="BD806">
        <v>0.02</v>
      </c>
      <c r="BE806">
        <v>-0.64</v>
      </c>
      <c r="BF806">
        <v>-1.37</v>
      </c>
      <c r="BG806">
        <v>0.35</v>
      </c>
      <c r="BH806">
        <v>-0.65</v>
      </c>
      <c r="BI806">
        <v>20191105</v>
      </c>
      <c r="BJ806">
        <v>20100205</v>
      </c>
      <c r="BK806">
        <v>44.15</v>
      </c>
      <c r="BL806" t="s">
        <v>116</v>
      </c>
      <c r="BM806" t="s">
        <v>116</v>
      </c>
      <c r="BN806">
        <v>836.1</v>
      </c>
      <c r="BO806">
        <v>397.27</v>
      </c>
      <c r="BP806">
        <v>2.25</v>
      </c>
      <c r="BQ806">
        <v>52.22</v>
      </c>
      <c r="BR806">
        <v>348.3</v>
      </c>
      <c r="BS806">
        <v>156.06</v>
      </c>
      <c r="BT806">
        <v>98.69</v>
      </c>
      <c r="BU806">
        <v>282.14999999999998</v>
      </c>
      <c r="BV806">
        <v>7.86</v>
      </c>
      <c r="BW806">
        <v>94.72</v>
      </c>
      <c r="BX806">
        <v>160.1</v>
      </c>
      <c r="BY806">
        <v>787.7</v>
      </c>
      <c r="BZ806">
        <v>635.59</v>
      </c>
      <c r="CA806">
        <v>56.36</v>
      </c>
      <c r="CB806">
        <v>4.3899999999999997</v>
      </c>
      <c r="CC806">
        <v>56.18</v>
      </c>
      <c r="CD806">
        <v>41.9</v>
      </c>
      <c r="CE806">
        <v>43.11</v>
      </c>
      <c r="CF806">
        <v>35.11</v>
      </c>
      <c r="CG806">
        <v>182.92</v>
      </c>
      <c r="CH806">
        <v>76.47</v>
      </c>
      <c r="CI806">
        <v>-44.87</v>
      </c>
      <c r="CJ806">
        <v>60000</v>
      </c>
      <c r="CK806">
        <v>14201</v>
      </c>
      <c r="CL806" t="s">
        <v>4912</v>
      </c>
      <c r="CM806">
        <v>44.77</v>
      </c>
      <c r="CN806">
        <v>20.37</v>
      </c>
      <c r="CO806">
        <v>4.17</v>
      </c>
      <c r="CP806">
        <v>21.65</v>
      </c>
      <c r="CQ806">
        <v>2.1</v>
      </c>
      <c r="CR806">
        <v>0.56000000000000005</v>
      </c>
      <c r="CS806" t="s">
        <v>470</v>
      </c>
      <c r="CT806">
        <v>9</v>
      </c>
      <c r="CU806">
        <v>0</v>
      </c>
      <c r="CV806">
        <v>3.63</v>
      </c>
      <c r="CW806">
        <v>4.1399999999999997</v>
      </c>
      <c r="CX806">
        <v>1.73</v>
      </c>
      <c r="CY806">
        <v>47.52</v>
      </c>
      <c r="CZ806" t="s">
        <v>4913</v>
      </c>
      <c r="DA806">
        <v>19.309999999999999</v>
      </c>
      <c r="DB806">
        <v>7.15</v>
      </c>
      <c r="DC806">
        <v>5.47</v>
      </c>
      <c r="DD806">
        <v>9.41</v>
      </c>
      <c r="DE806">
        <v>135294</v>
      </c>
      <c r="DF806">
        <v>2352</v>
      </c>
      <c r="DG806" t="s">
        <v>116</v>
      </c>
      <c r="DH806" t="s">
        <v>116</v>
      </c>
      <c r="DI806" t="s">
        <v>116</v>
      </c>
    </row>
    <row r="807" spans="1:113" x14ac:dyDescent="0.4">
      <c r="A807" t="str">
        <f>"002353"</f>
        <v>002353</v>
      </c>
      <c r="B807" t="s">
        <v>4914</v>
      </c>
      <c r="C807">
        <v>2.16</v>
      </c>
      <c r="D807">
        <v>37.29</v>
      </c>
      <c r="E807">
        <v>0.79</v>
      </c>
      <c r="F807">
        <v>37.28</v>
      </c>
      <c r="G807">
        <v>37.29</v>
      </c>
      <c r="H807">
        <v>77632</v>
      </c>
      <c r="I807">
        <v>564</v>
      </c>
      <c r="J807">
        <v>0.24</v>
      </c>
      <c r="K807">
        <v>1.17</v>
      </c>
      <c r="L807">
        <v>36.28</v>
      </c>
      <c r="M807">
        <v>37.68</v>
      </c>
      <c r="N807">
        <v>36.28</v>
      </c>
      <c r="O807">
        <v>36.5</v>
      </c>
      <c r="P807">
        <v>29.6</v>
      </c>
      <c r="Q807">
        <v>288180640</v>
      </c>
      <c r="R807">
        <v>1.1100000000000001</v>
      </c>
      <c r="S807" t="s">
        <v>2426</v>
      </c>
      <c r="T807" t="s">
        <v>645</v>
      </c>
      <c r="U807">
        <v>3.84</v>
      </c>
      <c r="V807">
        <v>37.119999999999997</v>
      </c>
      <c r="W807">
        <v>34305</v>
      </c>
      <c r="X807">
        <v>43327</v>
      </c>
      <c r="Y807">
        <v>0.79</v>
      </c>
      <c r="Z807">
        <v>3</v>
      </c>
      <c r="AA807">
        <v>86</v>
      </c>
      <c r="AB807" t="s">
        <v>116</v>
      </c>
      <c r="AC807">
        <v>341000</v>
      </c>
      <c r="AD807">
        <v>0</v>
      </c>
      <c r="AE807" t="s">
        <v>116</v>
      </c>
      <c r="AF807" t="s">
        <v>116</v>
      </c>
      <c r="AG807">
        <v>6.66</v>
      </c>
      <c r="AH807" t="s">
        <v>4915</v>
      </c>
      <c r="AI807" t="s">
        <v>4916</v>
      </c>
      <c r="AJ807">
        <v>2.84</v>
      </c>
      <c r="AK807">
        <v>3625</v>
      </c>
      <c r="AL807">
        <v>21</v>
      </c>
      <c r="AM807">
        <v>2.9999999999999997E-4</v>
      </c>
      <c r="AN807">
        <v>2</v>
      </c>
      <c r="AO807">
        <v>4.28</v>
      </c>
      <c r="AP807">
        <v>17.600000000000001</v>
      </c>
      <c r="AQ807">
        <v>32.47</v>
      </c>
      <c r="AR807">
        <v>150.6</v>
      </c>
      <c r="AS807">
        <v>1.73</v>
      </c>
      <c r="AT807" t="s">
        <v>4917</v>
      </c>
      <c r="AU807">
        <v>30.86</v>
      </c>
      <c r="AV807">
        <v>58.06</v>
      </c>
      <c r="AW807">
        <v>0.98</v>
      </c>
      <c r="BA807">
        <v>-0.6</v>
      </c>
      <c r="BB807">
        <v>3.23</v>
      </c>
      <c r="BC807">
        <v>-0.6</v>
      </c>
      <c r="BD807">
        <v>1.7</v>
      </c>
      <c r="BE807">
        <v>2.78</v>
      </c>
      <c r="BF807">
        <v>-1.04</v>
      </c>
      <c r="BG807">
        <v>2.78</v>
      </c>
      <c r="BH807">
        <v>0.46</v>
      </c>
      <c r="BI807">
        <v>20191223</v>
      </c>
      <c r="BJ807">
        <v>20100205</v>
      </c>
      <c r="BK807">
        <v>9.58</v>
      </c>
      <c r="BL807" t="s">
        <v>116</v>
      </c>
      <c r="BM807" t="s">
        <v>116</v>
      </c>
      <c r="BN807">
        <v>143.72</v>
      </c>
      <c r="BO807">
        <v>92.8</v>
      </c>
      <c r="BP807">
        <v>2.59</v>
      </c>
      <c r="BQ807">
        <v>33.630000000000003</v>
      </c>
      <c r="BR807">
        <v>112.33</v>
      </c>
      <c r="BS807">
        <v>15.42</v>
      </c>
      <c r="BT807">
        <v>3.46</v>
      </c>
      <c r="BU807">
        <v>45.63</v>
      </c>
      <c r="BV807">
        <v>41.09</v>
      </c>
      <c r="BW807">
        <v>26.79</v>
      </c>
      <c r="BX807">
        <v>37.01</v>
      </c>
      <c r="BY807">
        <v>42.41</v>
      </c>
      <c r="BZ807">
        <v>26.96</v>
      </c>
      <c r="CA807">
        <v>10.56</v>
      </c>
      <c r="CB807">
        <v>0.31</v>
      </c>
      <c r="CC807">
        <v>10.57</v>
      </c>
      <c r="CD807">
        <v>9.1999999999999993</v>
      </c>
      <c r="CE807">
        <v>9.0500000000000007</v>
      </c>
      <c r="CF807">
        <v>8.75</v>
      </c>
      <c r="CG807">
        <v>43.43</v>
      </c>
      <c r="CH807">
        <v>-9.09</v>
      </c>
      <c r="CI807">
        <v>1.72</v>
      </c>
      <c r="CJ807">
        <v>33589</v>
      </c>
      <c r="CK807">
        <v>13388</v>
      </c>
      <c r="CL807" t="s">
        <v>4918</v>
      </c>
      <c r="CM807">
        <v>149.46</v>
      </c>
      <c r="CN807">
        <v>45.88</v>
      </c>
      <c r="CO807">
        <v>3.85</v>
      </c>
      <c r="CP807">
        <v>-39.31</v>
      </c>
      <c r="CQ807">
        <v>8.42</v>
      </c>
      <c r="CR807">
        <v>0.32</v>
      </c>
      <c r="CS807" t="s">
        <v>4919</v>
      </c>
      <c r="CT807">
        <v>9.69</v>
      </c>
      <c r="CU807">
        <v>0</v>
      </c>
      <c r="CV807">
        <v>3.86</v>
      </c>
      <c r="CW807">
        <v>4.53</v>
      </c>
      <c r="CX807">
        <v>-0.95</v>
      </c>
      <c r="CY807">
        <v>64.569999999999993</v>
      </c>
      <c r="CZ807" t="s">
        <v>4920</v>
      </c>
      <c r="DA807">
        <v>36.42</v>
      </c>
      <c r="DB807">
        <v>24.91</v>
      </c>
      <c r="DC807">
        <v>21.34</v>
      </c>
      <c r="DD807">
        <v>1.57</v>
      </c>
      <c r="DE807">
        <v>4431</v>
      </c>
      <c r="DF807">
        <v>2353</v>
      </c>
      <c r="DG807" t="s">
        <v>116</v>
      </c>
      <c r="DH807" t="s">
        <v>116</v>
      </c>
      <c r="DI807" t="s">
        <v>116</v>
      </c>
    </row>
    <row r="808" spans="1:113" x14ac:dyDescent="0.4">
      <c r="A808" t="str">
        <f>"002354"</f>
        <v>002354</v>
      </c>
      <c r="B808" t="s">
        <v>4921</v>
      </c>
      <c r="C808">
        <v>-4.82</v>
      </c>
      <c r="D808">
        <v>2.96</v>
      </c>
      <c r="E808">
        <v>-0.15</v>
      </c>
      <c r="F808">
        <v>2.96</v>
      </c>
      <c r="G808">
        <v>2.97</v>
      </c>
      <c r="H808">
        <v>604942</v>
      </c>
      <c r="I808">
        <v>5308</v>
      </c>
      <c r="J808">
        <v>0</v>
      </c>
      <c r="K808">
        <v>8.64</v>
      </c>
      <c r="L808">
        <v>3.03</v>
      </c>
      <c r="M808">
        <v>3.07</v>
      </c>
      <c r="N808">
        <v>2.95</v>
      </c>
      <c r="O808">
        <v>3.11</v>
      </c>
      <c r="P808" t="s">
        <v>116</v>
      </c>
      <c r="Q808">
        <v>182068160</v>
      </c>
      <c r="R808">
        <v>0.88</v>
      </c>
      <c r="S808" t="s">
        <v>1384</v>
      </c>
      <c r="T808" t="s">
        <v>434</v>
      </c>
      <c r="U808">
        <v>3.86</v>
      </c>
      <c r="V808">
        <v>3.01</v>
      </c>
      <c r="W808">
        <v>349445</v>
      </c>
      <c r="X808">
        <v>255497</v>
      </c>
      <c r="Y808">
        <v>1.37</v>
      </c>
      <c r="Z808">
        <v>1314</v>
      </c>
      <c r="AA808">
        <v>2444</v>
      </c>
      <c r="AB808" t="s">
        <v>116</v>
      </c>
      <c r="AC808">
        <v>2796700</v>
      </c>
      <c r="AD808">
        <v>0.15</v>
      </c>
      <c r="AE808" t="s">
        <v>116</v>
      </c>
      <c r="AF808" t="s">
        <v>116</v>
      </c>
      <c r="AG808">
        <v>7</v>
      </c>
      <c r="AH808" t="s">
        <v>2550</v>
      </c>
      <c r="AI808" t="s">
        <v>4922</v>
      </c>
      <c r="AJ808">
        <v>-4.1399999999999997</v>
      </c>
      <c r="AK808">
        <v>3189</v>
      </c>
      <c r="AL808">
        <v>190</v>
      </c>
      <c r="AM808">
        <v>2.7000000000000001E-3</v>
      </c>
      <c r="AN808">
        <v>-1</v>
      </c>
      <c r="AO808">
        <v>2.78</v>
      </c>
      <c r="AP808">
        <v>13.41</v>
      </c>
      <c r="AQ808">
        <v>-8.64</v>
      </c>
      <c r="AR808">
        <v>-43.51</v>
      </c>
      <c r="AS808">
        <v>9.56</v>
      </c>
      <c r="AT808" t="s">
        <v>203</v>
      </c>
      <c r="AU808" t="s">
        <v>116</v>
      </c>
      <c r="AV808" t="s">
        <v>116</v>
      </c>
      <c r="AW808">
        <v>2.21</v>
      </c>
      <c r="BA808">
        <v>-2.57</v>
      </c>
      <c r="BB808">
        <v>-1.29</v>
      </c>
      <c r="BC808">
        <v>-5.14</v>
      </c>
      <c r="BD808">
        <v>-3.23</v>
      </c>
      <c r="BE808">
        <v>-2.31</v>
      </c>
      <c r="BF808">
        <v>-3.58</v>
      </c>
      <c r="BG808">
        <v>0.34</v>
      </c>
      <c r="BH808">
        <v>-1.6</v>
      </c>
      <c r="BI808">
        <v>20191031</v>
      </c>
      <c r="BJ808">
        <v>20100209</v>
      </c>
      <c r="BK808">
        <v>9.32</v>
      </c>
      <c r="BL808" t="s">
        <v>116</v>
      </c>
      <c r="BM808" t="s">
        <v>116</v>
      </c>
      <c r="BN808">
        <v>72.53</v>
      </c>
      <c r="BO808">
        <v>15.91</v>
      </c>
      <c r="BP808">
        <v>2.29</v>
      </c>
      <c r="BQ808">
        <v>74.91</v>
      </c>
      <c r="BR808">
        <v>19.63</v>
      </c>
      <c r="BS808">
        <v>1.01</v>
      </c>
      <c r="BT808">
        <v>1.17</v>
      </c>
      <c r="BU808">
        <v>36.770000000000003</v>
      </c>
      <c r="BV808">
        <v>0.28999999999999998</v>
      </c>
      <c r="BW808">
        <v>4.5599999999999996</v>
      </c>
      <c r="BX808">
        <v>58.87</v>
      </c>
      <c r="BY808">
        <v>10.38</v>
      </c>
      <c r="BZ808">
        <v>4.6399999999999997</v>
      </c>
      <c r="CA808">
        <v>-2.62</v>
      </c>
      <c r="CB808">
        <v>0.52</v>
      </c>
      <c r="CC808">
        <v>-2.61</v>
      </c>
      <c r="CD808">
        <v>-3.24</v>
      </c>
      <c r="CE808">
        <v>-4.0599999999999996</v>
      </c>
      <c r="CF808">
        <v>-4.8600000000000003</v>
      </c>
      <c r="CG808">
        <v>-53.02</v>
      </c>
      <c r="CH808">
        <v>-1.02</v>
      </c>
      <c r="CI808">
        <v>-2.99</v>
      </c>
      <c r="CJ808">
        <v>51788</v>
      </c>
      <c r="CK808">
        <v>12223</v>
      </c>
      <c r="CL808" t="s">
        <v>4307</v>
      </c>
      <c r="CM808">
        <v>-261.61</v>
      </c>
      <c r="CN808">
        <v>-44.46</v>
      </c>
      <c r="CO808">
        <v>1.73</v>
      </c>
      <c r="CP808">
        <v>-27.11</v>
      </c>
      <c r="CQ808">
        <v>2.66</v>
      </c>
      <c r="CR808">
        <v>0</v>
      </c>
      <c r="CS808" t="s">
        <v>4923</v>
      </c>
      <c r="CT808">
        <v>1.71</v>
      </c>
      <c r="CU808">
        <v>0</v>
      </c>
      <c r="CV808">
        <v>6.32</v>
      </c>
      <c r="CW808">
        <v>-5.69</v>
      </c>
      <c r="CX808">
        <v>-0.11</v>
      </c>
      <c r="CY808">
        <v>21.93</v>
      </c>
      <c r="CZ808" t="s">
        <v>4924</v>
      </c>
      <c r="DA808">
        <v>55.28</v>
      </c>
      <c r="DB808">
        <v>-25.26</v>
      </c>
      <c r="DC808">
        <v>-39.14</v>
      </c>
      <c r="DD808">
        <v>1.6</v>
      </c>
      <c r="DE808">
        <v>1117</v>
      </c>
      <c r="DF808">
        <v>2354</v>
      </c>
      <c r="DG808" t="s">
        <v>116</v>
      </c>
      <c r="DH808" t="s">
        <v>116</v>
      </c>
      <c r="DI808" t="s">
        <v>116</v>
      </c>
    </row>
    <row r="809" spans="1:113" x14ac:dyDescent="0.4">
      <c r="A809" t="str">
        <f>"002355"</f>
        <v>002355</v>
      </c>
      <c r="B809" t="s">
        <v>4925</v>
      </c>
      <c r="C809">
        <v>-0.57999999999999996</v>
      </c>
      <c r="D809">
        <v>6.88</v>
      </c>
      <c r="E809">
        <v>-0.04</v>
      </c>
      <c r="F809">
        <v>6.87</v>
      </c>
      <c r="G809">
        <v>6.88</v>
      </c>
      <c r="H809">
        <v>58190</v>
      </c>
      <c r="I809">
        <v>577</v>
      </c>
      <c r="J809">
        <v>-0.14000000000000001</v>
      </c>
      <c r="K809">
        <v>1.01</v>
      </c>
      <c r="L809">
        <v>6.92</v>
      </c>
      <c r="M809">
        <v>6.96</v>
      </c>
      <c r="N809">
        <v>6.87</v>
      </c>
      <c r="O809">
        <v>6.92</v>
      </c>
      <c r="P809">
        <v>243.57</v>
      </c>
      <c r="Q809">
        <v>40202832</v>
      </c>
      <c r="R809">
        <v>0.68</v>
      </c>
      <c r="S809" t="s">
        <v>293</v>
      </c>
      <c r="T809" t="s">
        <v>645</v>
      </c>
      <c r="U809">
        <v>1.3</v>
      </c>
      <c r="V809">
        <v>6.91</v>
      </c>
      <c r="W809">
        <v>33732</v>
      </c>
      <c r="X809">
        <v>24458</v>
      </c>
      <c r="Y809">
        <v>1.38</v>
      </c>
      <c r="Z809">
        <v>1595</v>
      </c>
      <c r="AA809">
        <v>563</v>
      </c>
      <c r="AB809" t="s">
        <v>116</v>
      </c>
      <c r="AC809">
        <v>41500</v>
      </c>
      <c r="AD809">
        <v>0</v>
      </c>
      <c r="AE809" t="s">
        <v>116</v>
      </c>
      <c r="AF809" t="s">
        <v>116</v>
      </c>
      <c r="AG809">
        <v>5.78</v>
      </c>
      <c r="AH809" t="s">
        <v>3071</v>
      </c>
      <c r="AI809" t="s">
        <v>4926</v>
      </c>
      <c r="AJ809">
        <v>0.1</v>
      </c>
      <c r="AK809">
        <v>1541</v>
      </c>
      <c r="AL809">
        <v>38</v>
      </c>
      <c r="AM809">
        <v>6.9999999999999999E-4</v>
      </c>
      <c r="AN809">
        <v>-1</v>
      </c>
      <c r="AO809">
        <v>-1.02</v>
      </c>
      <c r="AP809">
        <v>22.2</v>
      </c>
      <c r="AQ809">
        <v>-4.58</v>
      </c>
      <c r="AR809">
        <v>-9.11</v>
      </c>
      <c r="AS809">
        <v>1.44</v>
      </c>
      <c r="AT809" t="s">
        <v>4927</v>
      </c>
      <c r="AU809" t="s">
        <v>116</v>
      </c>
      <c r="AV809" t="s">
        <v>116</v>
      </c>
      <c r="AW809">
        <v>1.72</v>
      </c>
      <c r="BA809">
        <v>0</v>
      </c>
      <c r="BB809">
        <v>0.57999999999999996</v>
      </c>
      <c r="BC809">
        <v>-0.72</v>
      </c>
      <c r="BD809">
        <v>-0.16</v>
      </c>
      <c r="BE809">
        <v>-0.57999999999999996</v>
      </c>
      <c r="BF809">
        <v>-1.1499999999999999</v>
      </c>
      <c r="BG809">
        <v>0.15</v>
      </c>
      <c r="BH809">
        <v>-0.42</v>
      </c>
      <c r="BI809">
        <v>20191225</v>
      </c>
      <c r="BJ809">
        <v>20100209</v>
      </c>
      <c r="BK809">
        <v>6.21</v>
      </c>
      <c r="BL809" t="s">
        <v>116</v>
      </c>
      <c r="BM809" t="s">
        <v>116</v>
      </c>
      <c r="BN809">
        <v>47.83</v>
      </c>
      <c r="BO809">
        <v>28.11</v>
      </c>
      <c r="BP809">
        <v>1.44</v>
      </c>
      <c r="BQ809">
        <v>38.21</v>
      </c>
      <c r="BR809">
        <v>29.4</v>
      </c>
      <c r="BS809">
        <v>9.0399999999999991</v>
      </c>
      <c r="BT809">
        <v>0.91</v>
      </c>
      <c r="BU809">
        <v>14.6</v>
      </c>
      <c r="BV809">
        <v>13.29</v>
      </c>
      <c r="BW809">
        <v>5.57</v>
      </c>
      <c r="BX809">
        <v>18.86</v>
      </c>
      <c r="BY809">
        <v>13.87</v>
      </c>
      <c r="BZ809">
        <v>11.88</v>
      </c>
      <c r="CA809">
        <v>0.34</v>
      </c>
      <c r="CB809">
        <v>0</v>
      </c>
      <c r="CC809">
        <v>0.37</v>
      </c>
      <c r="CD809">
        <v>0.28999999999999998</v>
      </c>
      <c r="CE809">
        <v>0.13</v>
      </c>
      <c r="CF809">
        <v>0.01</v>
      </c>
      <c r="CG809">
        <v>2.67</v>
      </c>
      <c r="CH809">
        <v>0.79</v>
      </c>
      <c r="CI809">
        <v>-0.82</v>
      </c>
      <c r="CJ809">
        <v>30136</v>
      </c>
      <c r="CK809">
        <v>13406</v>
      </c>
      <c r="CL809" t="s">
        <v>4928</v>
      </c>
      <c r="CM809">
        <v>-75.72</v>
      </c>
      <c r="CN809">
        <v>-0.72</v>
      </c>
      <c r="CO809">
        <v>1.53</v>
      </c>
      <c r="CP809">
        <v>53.9</v>
      </c>
      <c r="CQ809">
        <v>3.08</v>
      </c>
      <c r="CR809">
        <v>0</v>
      </c>
      <c r="CS809" t="s">
        <v>2404</v>
      </c>
      <c r="CT809">
        <v>4.5</v>
      </c>
      <c r="CU809">
        <v>4.5</v>
      </c>
      <c r="CV809">
        <v>3.04</v>
      </c>
      <c r="CW809">
        <v>0.43</v>
      </c>
      <c r="CX809">
        <v>0.13</v>
      </c>
      <c r="CY809">
        <v>58.78</v>
      </c>
      <c r="CZ809" t="s">
        <v>4349</v>
      </c>
      <c r="DA809">
        <v>14.34</v>
      </c>
      <c r="DB809">
        <v>2.46</v>
      </c>
      <c r="DC809">
        <v>0.95</v>
      </c>
      <c r="DD809">
        <v>0.36</v>
      </c>
      <c r="DE809">
        <v>2652</v>
      </c>
      <c r="DF809">
        <v>2355</v>
      </c>
      <c r="DG809" t="s">
        <v>116</v>
      </c>
      <c r="DH809" t="s">
        <v>116</v>
      </c>
      <c r="DI809" t="s">
        <v>116</v>
      </c>
    </row>
    <row r="810" spans="1:113" x14ac:dyDescent="0.4">
      <c r="A810" t="str">
        <f>"002356"</f>
        <v>002356</v>
      </c>
      <c r="B810" t="s">
        <v>4929</v>
      </c>
      <c r="C810">
        <v>-2.94</v>
      </c>
      <c r="D810">
        <v>2.31</v>
      </c>
      <c r="E810">
        <v>-7.0000000000000007E-2</v>
      </c>
      <c r="F810">
        <v>2.31</v>
      </c>
      <c r="G810">
        <v>2.3199999999999998</v>
      </c>
      <c r="H810">
        <v>105762</v>
      </c>
      <c r="I810">
        <v>3912</v>
      </c>
      <c r="J810">
        <v>-0.42</v>
      </c>
      <c r="K810">
        <v>2.2000000000000002</v>
      </c>
      <c r="L810">
        <v>2.36</v>
      </c>
      <c r="M810">
        <v>2.4700000000000002</v>
      </c>
      <c r="N810">
        <v>2.31</v>
      </c>
      <c r="O810">
        <v>2.38</v>
      </c>
      <c r="P810" t="s">
        <v>116</v>
      </c>
      <c r="Q810">
        <v>25041450</v>
      </c>
      <c r="R810">
        <v>0.65</v>
      </c>
      <c r="S810" t="s">
        <v>225</v>
      </c>
      <c r="T810" t="s">
        <v>115</v>
      </c>
      <c r="U810">
        <v>6.72</v>
      </c>
      <c r="V810">
        <v>2.37</v>
      </c>
      <c r="W810">
        <v>58703</v>
      </c>
      <c r="X810">
        <v>47059</v>
      </c>
      <c r="Y810">
        <v>1.25</v>
      </c>
      <c r="Z810">
        <v>839</v>
      </c>
      <c r="AA810">
        <v>1906</v>
      </c>
      <c r="AB810" t="s">
        <v>116</v>
      </c>
      <c r="AC810">
        <v>166400</v>
      </c>
      <c r="AD810">
        <v>0.03</v>
      </c>
      <c r="AE810" t="s">
        <v>116</v>
      </c>
      <c r="AF810" t="s">
        <v>116</v>
      </c>
      <c r="AG810">
        <v>4.8</v>
      </c>
      <c r="AH810" t="s">
        <v>1423</v>
      </c>
      <c r="AI810" t="s">
        <v>4930</v>
      </c>
      <c r="AJ810">
        <v>-2.2599999999999998</v>
      </c>
      <c r="AK810">
        <v>1176</v>
      </c>
      <c r="AL810">
        <v>90</v>
      </c>
      <c r="AM810">
        <v>1.9E-3</v>
      </c>
      <c r="AN810">
        <v>-3</v>
      </c>
      <c r="AO810">
        <v>-6.47</v>
      </c>
      <c r="AP810">
        <v>10</v>
      </c>
      <c r="AQ810">
        <v>6.45</v>
      </c>
      <c r="AR810">
        <v>-68.61</v>
      </c>
      <c r="AS810">
        <v>4.82</v>
      </c>
      <c r="AT810" t="s">
        <v>4931</v>
      </c>
      <c r="AU810" t="s">
        <v>116</v>
      </c>
      <c r="AV810" t="s">
        <v>116</v>
      </c>
      <c r="AW810">
        <v>0.36</v>
      </c>
      <c r="BA810">
        <v>-0.84</v>
      </c>
      <c r="BB810">
        <v>3.78</v>
      </c>
      <c r="BC810">
        <v>-2.94</v>
      </c>
      <c r="BD810">
        <v>-0.52</v>
      </c>
      <c r="BE810">
        <v>-2.12</v>
      </c>
      <c r="BF810">
        <v>-6.48</v>
      </c>
      <c r="BG810">
        <v>0</v>
      </c>
      <c r="BH810">
        <v>-2.42</v>
      </c>
      <c r="BI810">
        <v>20191031</v>
      </c>
      <c r="BJ810">
        <v>20100209</v>
      </c>
      <c r="BK810">
        <v>5.28</v>
      </c>
      <c r="BL810" t="s">
        <v>116</v>
      </c>
      <c r="BM810" t="s">
        <v>116</v>
      </c>
      <c r="BN810">
        <v>35.700000000000003</v>
      </c>
      <c r="BO810">
        <v>-2.63</v>
      </c>
      <c r="BP810">
        <v>-3.66</v>
      </c>
      <c r="BQ810">
        <v>117.6</v>
      </c>
      <c r="BR810">
        <v>21.34</v>
      </c>
      <c r="BS810">
        <v>1.52</v>
      </c>
      <c r="BT810">
        <v>0.59</v>
      </c>
      <c r="BU810">
        <v>31.62</v>
      </c>
      <c r="BV810">
        <v>3.4</v>
      </c>
      <c r="BW810">
        <v>4.25</v>
      </c>
      <c r="BX810">
        <v>7.85</v>
      </c>
      <c r="BY810">
        <v>6.67</v>
      </c>
      <c r="BZ810">
        <v>3.41</v>
      </c>
      <c r="CA810">
        <v>-7.75</v>
      </c>
      <c r="CB810">
        <v>-0.01</v>
      </c>
      <c r="CC810">
        <v>-7.72</v>
      </c>
      <c r="CD810">
        <v>-6.68</v>
      </c>
      <c r="CE810">
        <v>-4.17</v>
      </c>
      <c r="CF810">
        <v>-4.32</v>
      </c>
      <c r="CG810">
        <v>-16.05</v>
      </c>
      <c r="CH810">
        <v>0.47</v>
      </c>
      <c r="CI810">
        <v>0.03</v>
      </c>
      <c r="CJ810">
        <v>32621</v>
      </c>
      <c r="CK810">
        <v>6728</v>
      </c>
      <c r="CL810" t="s">
        <v>4932</v>
      </c>
      <c r="CM810">
        <v>-66.89</v>
      </c>
      <c r="CN810">
        <v>-58.06</v>
      </c>
      <c r="CO810">
        <v>-4.6399999999999997</v>
      </c>
      <c r="CP810">
        <v>25.69</v>
      </c>
      <c r="CQ810">
        <v>1.83</v>
      </c>
      <c r="CR810">
        <v>0</v>
      </c>
      <c r="CS810" t="s">
        <v>4933</v>
      </c>
      <c r="CT810">
        <v>-0.5</v>
      </c>
      <c r="CU810">
        <v>0</v>
      </c>
      <c r="CV810">
        <v>1.49</v>
      </c>
      <c r="CW810">
        <v>-3.04</v>
      </c>
      <c r="CX810">
        <v>0.09</v>
      </c>
      <c r="CY810">
        <v>-7.37</v>
      </c>
      <c r="CZ810" t="s">
        <v>116</v>
      </c>
      <c r="DA810">
        <v>48.77</v>
      </c>
      <c r="DB810">
        <v>-116.28</v>
      </c>
      <c r="DC810">
        <v>-62.49</v>
      </c>
      <c r="DD810">
        <v>0.11</v>
      </c>
      <c r="DE810">
        <v>2351</v>
      </c>
      <c r="DF810">
        <v>2356</v>
      </c>
      <c r="DG810" t="s">
        <v>116</v>
      </c>
      <c r="DH810" t="s">
        <v>116</v>
      </c>
      <c r="DI810" t="s">
        <v>116</v>
      </c>
    </row>
    <row r="811" spans="1:113" x14ac:dyDescent="0.4">
      <c r="A811" t="str">
        <f>"002357"</f>
        <v>002357</v>
      </c>
      <c r="B811" t="s">
        <v>4934</v>
      </c>
      <c r="C811">
        <v>-1.78</v>
      </c>
      <c r="D811">
        <v>6.07</v>
      </c>
      <c r="E811">
        <v>-0.11</v>
      </c>
      <c r="F811">
        <v>6.07</v>
      </c>
      <c r="G811">
        <v>6.08</v>
      </c>
      <c r="H811">
        <v>23986</v>
      </c>
      <c r="I811">
        <v>442</v>
      </c>
      <c r="J811">
        <v>-0.15</v>
      </c>
      <c r="K811">
        <v>0.77</v>
      </c>
      <c r="L811">
        <v>6.17</v>
      </c>
      <c r="M811">
        <v>6.2</v>
      </c>
      <c r="N811">
        <v>6.07</v>
      </c>
      <c r="O811">
        <v>6.18</v>
      </c>
      <c r="P811">
        <v>13.83</v>
      </c>
      <c r="Q811">
        <v>14719828</v>
      </c>
      <c r="R811">
        <v>1.37</v>
      </c>
      <c r="S811" t="s">
        <v>2041</v>
      </c>
      <c r="T811" t="s">
        <v>582</v>
      </c>
      <c r="U811">
        <v>2.1</v>
      </c>
      <c r="V811">
        <v>6.14</v>
      </c>
      <c r="W811">
        <v>15507</v>
      </c>
      <c r="X811">
        <v>8479</v>
      </c>
      <c r="Y811">
        <v>1.83</v>
      </c>
      <c r="Z811">
        <v>544</v>
      </c>
      <c r="AA811">
        <v>271</v>
      </c>
      <c r="AB811" t="s">
        <v>116</v>
      </c>
      <c r="AC811">
        <v>24100</v>
      </c>
      <c r="AD811">
        <v>0</v>
      </c>
      <c r="AE811" t="s">
        <v>116</v>
      </c>
      <c r="AF811" t="s">
        <v>116</v>
      </c>
      <c r="AG811">
        <v>3.13</v>
      </c>
      <c r="AH811" t="s">
        <v>1249</v>
      </c>
      <c r="AI811" t="s">
        <v>4935</v>
      </c>
      <c r="AJ811">
        <v>-1.1000000000000001</v>
      </c>
      <c r="AK811">
        <v>730</v>
      </c>
      <c r="AL811">
        <v>33</v>
      </c>
      <c r="AM811">
        <v>1E-3</v>
      </c>
      <c r="AN811">
        <v>-1</v>
      </c>
      <c r="AO811">
        <v>-0.82</v>
      </c>
      <c r="AP811">
        <v>4.66</v>
      </c>
      <c r="AQ811">
        <v>0.5</v>
      </c>
      <c r="AR811">
        <v>12.62</v>
      </c>
      <c r="AS811">
        <v>1.5</v>
      </c>
      <c r="AT811" t="s">
        <v>1628</v>
      </c>
      <c r="AU811">
        <v>20.7</v>
      </c>
      <c r="AV811">
        <v>50.6</v>
      </c>
      <c r="AW811">
        <v>0.84</v>
      </c>
      <c r="BA811">
        <v>-0.16</v>
      </c>
      <c r="BB811">
        <v>0.32</v>
      </c>
      <c r="BC811">
        <v>-1.78</v>
      </c>
      <c r="BD811">
        <v>-0.7</v>
      </c>
      <c r="BE811">
        <v>-1.62</v>
      </c>
      <c r="BF811">
        <v>-2.1</v>
      </c>
      <c r="BG811">
        <v>0</v>
      </c>
      <c r="BH811">
        <v>-1.08</v>
      </c>
      <c r="BI811">
        <v>20191025</v>
      </c>
      <c r="BJ811">
        <v>20100210</v>
      </c>
      <c r="BK811">
        <v>3.13</v>
      </c>
      <c r="BL811" t="s">
        <v>116</v>
      </c>
      <c r="BM811" t="s">
        <v>116</v>
      </c>
      <c r="BN811">
        <v>26.31</v>
      </c>
      <c r="BO811">
        <v>11.75</v>
      </c>
      <c r="BP811">
        <v>1.08</v>
      </c>
      <c r="BQ811">
        <v>51.22</v>
      </c>
      <c r="BR811">
        <v>2.98</v>
      </c>
      <c r="BS811">
        <v>6.07</v>
      </c>
      <c r="BT811">
        <v>2.14</v>
      </c>
      <c r="BU811">
        <v>8.69</v>
      </c>
      <c r="BV811">
        <v>0.01</v>
      </c>
      <c r="BW811">
        <v>0.8</v>
      </c>
      <c r="BX811">
        <v>1.87</v>
      </c>
      <c r="BY811">
        <v>6.79</v>
      </c>
      <c r="BZ811">
        <v>5.24</v>
      </c>
      <c r="CA811">
        <v>1.23</v>
      </c>
      <c r="CB811">
        <v>0.84</v>
      </c>
      <c r="CC811">
        <v>1.25</v>
      </c>
      <c r="CD811">
        <v>1.06</v>
      </c>
      <c r="CE811">
        <v>1.03</v>
      </c>
      <c r="CF811">
        <v>1.04</v>
      </c>
      <c r="CG811">
        <v>5.3</v>
      </c>
      <c r="CH811">
        <v>2.0699999999999998</v>
      </c>
      <c r="CI811">
        <v>-0.1</v>
      </c>
      <c r="CJ811">
        <v>19374</v>
      </c>
      <c r="CK811">
        <v>8229</v>
      </c>
      <c r="CL811" t="s">
        <v>3310</v>
      </c>
      <c r="CM811">
        <v>111.25</v>
      </c>
      <c r="CN811">
        <v>-5.69</v>
      </c>
      <c r="CO811">
        <v>1.62</v>
      </c>
      <c r="CP811">
        <v>9.19</v>
      </c>
      <c r="CQ811">
        <v>2.8</v>
      </c>
      <c r="CR811">
        <v>1.65</v>
      </c>
      <c r="CS811" t="s">
        <v>4936</v>
      </c>
      <c r="CT811">
        <v>3.75</v>
      </c>
      <c r="CU811">
        <v>0</v>
      </c>
      <c r="CV811">
        <v>0.6</v>
      </c>
      <c r="CW811">
        <v>1.69</v>
      </c>
      <c r="CX811">
        <v>0.66</v>
      </c>
      <c r="CY811">
        <v>44.67</v>
      </c>
      <c r="CZ811" t="s">
        <v>4937</v>
      </c>
      <c r="DA811">
        <v>22.81</v>
      </c>
      <c r="DB811">
        <v>18.12</v>
      </c>
      <c r="DC811">
        <v>15.19</v>
      </c>
      <c r="DD811">
        <v>0.02</v>
      </c>
      <c r="DE811">
        <v>2874</v>
      </c>
      <c r="DF811">
        <v>2357</v>
      </c>
      <c r="DG811" t="s">
        <v>116</v>
      </c>
      <c r="DH811" t="s">
        <v>116</v>
      </c>
      <c r="DI811" t="s">
        <v>116</v>
      </c>
    </row>
    <row r="812" spans="1:113" x14ac:dyDescent="0.4">
      <c r="A812" t="str">
        <f>"002358"</f>
        <v>002358</v>
      </c>
      <c r="B812" t="s">
        <v>4938</v>
      </c>
      <c r="C812">
        <v>0.74</v>
      </c>
      <c r="D812">
        <v>6.81</v>
      </c>
      <c r="E812">
        <v>0.05</v>
      </c>
      <c r="F812">
        <v>6.81</v>
      </c>
      <c r="G812">
        <v>6.82</v>
      </c>
      <c r="H812">
        <v>108612</v>
      </c>
      <c r="I812">
        <v>1954</v>
      </c>
      <c r="J812">
        <v>-0.14000000000000001</v>
      </c>
      <c r="K812">
        <v>1.19</v>
      </c>
      <c r="L812">
        <v>6.77</v>
      </c>
      <c r="M812">
        <v>6.92</v>
      </c>
      <c r="N812">
        <v>6.71</v>
      </c>
      <c r="O812">
        <v>6.76</v>
      </c>
      <c r="P812">
        <v>74.28</v>
      </c>
      <c r="Q812">
        <v>74241736</v>
      </c>
      <c r="R812">
        <v>1.44</v>
      </c>
      <c r="S812" t="s">
        <v>397</v>
      </c>
      <c r="T812" t="s">
        <v>652</v>
      </c>
      <c r="U812">
        <v>3.11</v>
      </c>
      <c r="V812">
        <v>6.84</v>
      </c>
      <c r="W812">
        <v>44511</v>
      </c>
      <c r="X812">
        <v>64101</v>
      </c>
      <c r="Y812">
        <v>0.69</v>
      </c>
      <c r="Z812">
        <v>699</v>
      </c>
      <c r="AA812">
        <v>331</v>
      </c>
      <c r="AB812" t="s">
        <v>116</v>
      </c>
      <c r="AC812">
        <v>360200</v>
      </c>
      <c r="AD812">
        <v>0.01</v>
      </c>
      <c r="AE812" t="s">
        <v>116</v>
      </c>
      <c r="AF812" t="s">
        <v>116</v>
      </c>
      <c r="AG812">
        <v>9.1</v>
      </c>
      <c r="AH812" t="s">
        <v>4161</v>
      </c>
      <c r="AI812" t="s">
        <v>2665</v>
      </c>
      <c r="AJ812">
        <v>1.42</v>
      </c>
      <c r="AK812">
        <v>2113</v>
      </c>
      <c r="AL812">
        <v>51</v>
      </c>
      <c r="AM812">
        <v>5.9999999999999995E-4</v>
      </c>
      <c r="AN812">
        <v>2</v>
      </c>
      <c r="AO812">
        <v>0.3</v>
      </c>
      <c r="AP812">
        <v>3.34</v>
      </c>
      <c r="AQ812">
        <v>-12.69</v>
      </c>
      <c r="AR812">
        <v>-61.53</v>
      </c>
      <c r="AS812">
        <v>2.4</v>
      </c>
      <c r="AT812" t="s">
        <v>4891</v>
      </c>
      <c r="AU812" t="s">
        <v>116</v>
      </c>
      <c r="AV812">
        <v>22.51</v>
      </c>
      <c r="AW812">
        <v>0.88</v>
      </c>
      <c r="BA812">
        <v>0.15</v>
      </c>
      <c r="BB812">
        <v>2.37</v>
      </c>
      <c r="BC812">
        <v>-0.74</v>
      </c>
      <c r="BD812">
        <v>1.1200000000000001</v>
      </c>
      <c r="BE812">
        <v>0.59</v>
      </c>
      <c r="BF812">
        <v>-1.59</v>
      </c>
      <c r="BG812">
        <v>1.49</v>
      </c>
      <c r="BH812">
        <v>-0.38</v>
      </c>
      <c r="BI812">
        <v>20191018</v>
      </c>
      <c r="BJ812">
        <v>20100210</v>
      </c>
      <c r="BK812">
        <v>9.3000000000000007</v>
      </c>
      <c r="BL812" t="s">
        <v>116</v>
      </c>
      <c r="BM812" t="s">
        <v>116</v>
      </c>
      <c r="BN812">
        <v>85.99</v>
      </c>
      <c r="BO812">
        <v>50.09</v>
      </c>
      <c r="BP812">
        <v>0.1</v>
      </c>
      <c r="BQ812">
        <v>41.63</v>
      </c>
      <c r="BR812">
        <v>55.48</v>
      </c>
      <c r="BS812">
        <v>25.54</v>
      </c>
      <c r="BT812">
        <v>1.46</v>
      </c>
      <c r="BU812">
        <v>35.14</v>
      </c>
      <c r="BV812">
        <v>6.84</v>
      </c>
      <c r="BW812">
        <v>31.1</v>
      </c>
      <c r="BX812">
        <v>23.87</v>
      </c>
      <c r="BY812">
        <v>10.6</v>
      </c>
      <c r="BZ812">
        <v>7.61</v>
      </c>
      <c r="CA812">
        <v>0.43</v>
      </c>
      <c r="CB812">
        <v>0.02</v>
      </c>
      <c r="CC812">
        <v>0.82</v>
      </c>
      <c r="CD812">
        <v>0.68</v>
      </c>
      <c r="CE812">
        <v>0.64</v>
      </c>
      <c r="CF812">
        <v>0.31</v>
      </c>
      <c r="CG812">
        <v>14.65</v>
      </c>
      <c r="CH812">
        <v>11.19</v>
      </c>
      <c r="CI812">
        <v>2.5</v>
      </c>
      <c r="CJ812">
        <v>67166</v>
      </c>
      <c r="CK812">
        <v>6751</v>
      </c>
      <c r="CL812" t="s">
        <v>4939</v>
      </c>
      <c r="CM812">
        <v>-84.7</v>
      </c>
      <c r="CN812">
        <v>-55.3</v>
      </c>
      <c r="CO812">
        <v>1.26</v>
      </c>
      <c r="CP812">
        <v>5.66</v>
      </c>
      <c r="CQ812">
        <v>5.97</v>
      </c>
      <c r="CR812">
        <v>1.47</v>
      </c>
      <c r="CS812" t="s">
        <v>1395</v>
      </c>
      <c r="CT812">
        <v>5.39</v>
      </c>
      <c r="CU812">
        <v>0</v>
      </c>
      <c r="CV812">
        <v>2.57</v>
      </c>
      <c r="CW812">
        <v>1.58</v>
      </c>
      <c r="CX812">
        <v>1.2</v>
      </c>
      <c r="CY812">
        <v>58.25</v>
      </c>
      <c r="CZ812" t="s">
        <v>4940</v>
      </c>
      <c r="DA812">
        <v>28.22</v>
      </c>
      <c r="DB812">
        <v>4.05</v>
      </c>
      <c r="DC812">
        <v>6.03</v>
      </c>
      <c r="DD812">
        <v>0.36</v>
      </c>
      <c r="DE812">
        <v>2904</v>
      </c>
      <c r="DF812">
        <v>2358</v>
      </c>
      <c r="DG812" t="s">
        <v>116</v>
      </c>
      <c r="DH812" t="s">
        <v>116</v>
      </c>
      <c r="DI812" t="s">
        <v>116</v>
      </c>
    </row>
    <row r="813" spans="1:113" x14ac:dyDescent="0.4">
      <c r="A813" t="str">
        <f>"002359"</f>
        <v>002359</v>
      </c>
      <c r="B813" t="s">
        <v>4941</v>
      </c>
      <c r="C813">
        <v>-0.92</v>
      </c>
      <c r="D813">
        <v>2.15</v>
      </c>
      <c r="E813">
        <v>-0.02</v>
      </c>
      <c r="F813">
        <v>2.15</v>
      </c>
      <c r="G813">
        <v>2.16</v>
      </c>
      <c r="H813">
        <v>196757</v>
      </c>
      <c r="I813">
        <v>763</v>
      </c>
      <c r="J813">
        <v>-0.45</v>
      </c>
      <c r="K813">
        <v>2.78</v>
      </c>
      <c r="L813">
        <v>2.15</v>
      </c>
      <c r="M813">
        <v>2.2599999999999998</v>
      </c>
      <c r="N813">
        <v>2.14</v>
      </c>
      <c r="O813">
        <v>2.17</v>
      </c>
      <c r="P813" t="s">
        <v>116</v>
      </c>
      <c r="Q813">
        <v>43198556</v>
      </c>
      <c r="R813">
        <v>0.56999999999999995</v>
      </c>
      <c r="S813" t="s">
        <v>465</v>
      </c>
      <c r="T813" t="s">
        <v>115</v>
      </c>
      <c r="U813">
        <v>5.53</v>
      </c>
      <c r="V813">
        <v>2.2000000000000002</v>
      </c>
      <c r="W813">
        <v>101338</v>
      </c>
      <c r="X813">
        <v>95419</v>
      </c>
      <c r="Y813">
        <v>1.06</v>
      </c>
      <c r="Z813">
        <v>4882</v>
      </c>
      <c r="AA813">
        <v>1101</v>
      </c>
      <c r="AB813" t="s">
        <v>116</v>
      </c>
      <c r="AC813">
        <v>331700</v>
      </c>
      <c r="AD813">
        <v>0.03</v>
      </c>
      <c r="AE813" t="s">
        <v>116</v>
      </c>
      <c r="AF813" t="s">
        <v>116</v>
      </c>
      <c r="AG813">
        <v>7.09</v>
      </c>
      <c r="AH813" t="s">
        <v>4942</v>
      </c>
      <c r="AI813" t="s">
        <v>1137</v>
      </c>
      <c r="AJ813">
        <v>-0.24</v>
      </c>
      <c r="AK813">
        <v>1601</v>
      </c>
      <c r="AL813">
        <v>123</v>
      </c>
      <c r="AM813">
        <v>1.6999999999999999E-3</v>
      </c>
      <c r="AN813">
        <v>-3</v>
      </c>
      <c r="AO813">
        <v>-7.32</v>
      </c>
      <c r="AP813">
        <v>13.76</v>
      </c>
      <c r="AQ813">
        <v>-2.71</v>
      </c>
      <c r="AR813">
        <v>-73.81</v>
      </c>
      <c r="AS813">
        <v>4.08</v>
      </c>
      <c r="AT813" t="s">
        <v>4943</v>
      </c>
      <c r="AU813" t="s">
        <v>116</v>
      </c>
      <c r="AV813" t="s">
        <v>116</v>
      </c>
      <c r="AW813">
        <v>0.19</v>
      </c>
      <c r="BA813">
        <v>-0.92</v>
      </c>
      <c r="BB813">
        <v>4.1500000000000004</v>
      </c>
      <c r="BC813">
        <v>-1.38</v>
      </c>
      <c r="BD813">
        <v>1.18</v>
      </c>
      <c r="BE813">
        <v>0</v>
      </c>
      <c r="BF813">
        <v>-4.87</v>
      </c>
      <c r="BG813">
        <v>0.47</v>
      </c>
      <c r="BH813">
        <v>-2.1</v>
      </c>
      <c r="BI813">
        <v>20191030</v>
      </c>
      <c r="BJ813">
        <v>20100210</v>
      </c>
      <c r="BK813">
        <v>10.87</v>
      </c>
      <c r="BL813" t="s">
        <v>116</v>
      </c>
      <c r="BM813" t="s">
        <v>116</v>
      </c>
      <c r="BN813">
        <v>157.46</v>
      </c>
      <c r="BO813">
        <v>42.63</v>
      </c>
      <c r="BP813">
        <v>0</v>
      </c>
      <c r="BQ813">
        <v>72.930000000000007</v>
      </c>
      <c r="BR813">
        <v>27.66</v>
      </c>
      <c r="BS813">
        <v>24.18</v>
      </c>
      <c r="BT813">
        <v>0.51</v>
      </c>
      <c r="BU813">
        <v>71.36</v>
      </c>
      <c r="BV813">
        <v>2.4900000000000002</v>
      </c>
      <c r="BW813">
        <v>15.4</v>
      </c>
      <c r="BX813">
        <v>47.59</v>
      </c>
      <c r="BY813">
        <v>4.92</v>
      </c>
      <c r="BZ813">
        <v>7.45</v>
      </c>
      <c r="CA813">
        <v>-7.93</v>
      </c>
      <c r="CB813">
        <v>0</v>
      </c>
      <c r="CC813">
        <v>-8.14</v>
      </c>
      <c r="CD813">
        <v>-7.2</v>
      </c>
      <c r="CE813">
        <v>-7.2</v>
      </c>
      <c r="CF813">
        <v>-7.12</v>
      </c>
      <c r="CG813">
        <v>-16.13</v>
      </c>
      <c r="CH813">
        <v>-1.8</v>
      </c>
      <c r="CI813">
        <v>-0.31</v>
      </c>
      <c r="CJ813">
        <v>44353</v>
      </c>
      <c r="CK813">
        <v>10884</v>
      </c>
      <c r="CL813" t="s">
        <v>4944</v>
      </c>
      <c r="CM813">
        <v>-234.4</v>
      </c>
      <c r="CN813">
        <v>-82.32</v>
      </c>
      <c r="CO813">
        <v>0.55000000000000004</v>
      </c>
      <c r="CP813">
        <v>-13</v>
      </c>
      <c r="CQ813">
        <v>4.75</v>
      </c>
      <c r="CR813">
        <v>0</v>
      </c>
      <c r="CS813" t="s">
        <v>4945</v>
      </c>
      <c r="CT813">
        <v>3.92</v>
      </c>
      <c r="CU813">
        <v>0</v>
      </c>
      <c r="CV813">
        <v>4.38</v>
      </c>
      <c r="CW813">
        <v>-1.48</v>
      </c>
      <c r="CX813">
        <v>-0.17</v>
      </c>
      <c r="CY813">
        <v>27.07</v>
      </c>
      <c r="CZ813" t="s">
        <v>4946</v>
      </c>
      <c r="DA813">
        <v>-51.34</v>
      </c>
      <c r="DB813">
        <v>-161.24</v>
      </c>
      <c r="DC813">
        <v>-146.35</v>
      </c>
      <c r="DD813">
        <v>0.16</v>
      </c>
      <c r="DE813">
        <v>1342</v>
      </c>
      <c r="DF813">
        <v>2359</v>
      </c>
      <c r="DG813" t="s">
        <v>116</v>
      </c>
      <c r="DH813" t="s">
        <v>116</v>
      </c>
      <c r="DI813" t="s">
        <v>116</v>
      </c>
    </row>
    <row r="814" spans="1:113" x14ac:dyDescent="0.4">
      <c r="A814" t="str">
        <f>"002360"</f>
        <v>002360</v>
      </c>
      <c r="B814" t="s">
        <v>4947</v>
      </c>
      <c r="C814">
        <v>-0.75</v>
      </c>
      <c r="D814">
        <v>5.27</v>
      </c>
      <c r="E814">
        <v>-0.04</v>
      </c>
      <c r="F814">
        <v>5.27</v>
      </c>
      <c r="G814">
        <v>5.28</v>
      </c>
      <c r="H814">
        <v>31946</v>
      </c>
      <c r="I814">
        <v>207</v>
      </c>
      <c r="J814">
        <v>0</v>
      </c>
      <c r="K814">
        <v>1.08</v>
      </c>
      <c r="L814">
        <v>5.32</v>
      </c>
      <c r="M814">
        <v>5.33</v>
      </c>
      <c r="N814">
        <v>5.26</v>
      </c>
      <c r="O814">
        <v>5.31</v>
      </c>
      <c r="P814">
        <v>12.19</v>
      </c>
      <c r="Q814">
        <v>16935060</v>
      </c>
      <c r="R814">
        <v>1.1399999999999999</v>
      </c>
      <c r="S814" t="s">
        <v>891</v>
      </c>
      <c r="T814" t="s">
        <v>675</v>
      </c>
      <c r="U814">
        <v>1.32</v>
      </c>
      <c r="V814">
        <v>5.3</v>
      </c>
      <c r="W814">
        <v>21730</v>
      </c>
      <c r="X814">
        <v>10216</v>
      </c>
      <c r="Y814">
        <v>2.13</v>
      </c>
      <c r="Z814">
        <v>205</v>
      </c>
      <c r="AA814">
        <v>733</v>
      </c>
      <c r="AB814" t="s">
        <v>116</v>
      </c>
      <c r="AC814">
        <v>101600</v>
      </c>
      <c r="AD814">
        <v>0.01</v>
      </c>
      <c r="AE814" t="s">
        <v>116</v>
      </c>
      <c r="AF814" t="s">
        <v>116</v>
      </c>
      <c r="AG814">
        <v>2.97</v>
      </c>
      <c r="AH814" t="s">
        <v>4948</v>
      </c>
      <c r="AI814" t="s">
        <v>4949</v>
      </c>
      <c r="AJ814">
        <v>-7.0000000000000007E-2</v>
      </c>
      <c r="AK814">
        <v>844</v>
      </c>
      <c r="AL814">
        <v>38</v>
      </c>
      <c r="AM814">
        <v>1.2999999999999999E-3</v>
      </c>
      <c r="AN814">
        <v>-1</v>
      </c>
      <c r="AO814">
        <v>-0.56000000000000005</v>
      </c>
      <c r="AP814">
        <v>3.33</v>
      </c>
      <c r="AQ814">
        <v>2.13</v>
      </c>
      <c r="AR814">
        <v>-1.68</v>
      </c>
      <c r="AS814">
        <v>1.1599999999999999</v>
      </c>
      <c r="AT814" t="s">
        <v>4950</v>
      </c>
      <c r="AU814">
        <v>13.33</v>
      </c>
      <c r="AV814">
        <v>14.36</v>
      </c>
      <c r="AW814">
        <v>0.7</v>
      </c>
      <c r="BA814">
        <v>0.19</v>
      </c>
      <c r="BB814">
        <v>0.38</v>
      </c>
      <c r="BC814">
        <v>-0.94</v>
      </c>
      <c r="BD814">
        <v>-0.17</v>
      </c>
      <c r="BE814">
        <v>-0.94</v>
      </c>
      <c r="BF814">
        <v>-1.1299999999999999</v>
      </c>
      <c r="BG814">
        <v>0.19</v>
      </c>
      <c r="BH814">
        <v>-0.59</v>
      </c>
      <c r="BI814">
        <v>20191029</v>
      </c>
      <c r="BJ814">
        <v>20100303</v>
      </c>
      <c r="BK814">
        <v>3.92</v>
      </c>
      <c r="BL814" t="s">
        <v>116</v>
      </c>
      <c r="BM814" t="s">
        <v>116</v>
      </c>
      <c r="BN814">
        <v>14.17</v>
      </c>
      <c r="BO814">
        <v>10.55</v>
      </c>
      <c r="BP814">
        <v>0.5</v>
      </c>
      <c r="BQ814">
        <v>22.07</v>
      </c>
      <c r="BR814">
        <v>7.37</v>
      </c>
      <c r="BS814">
        <v>3.81</v>
      </c>
      <c r="BT814">
        <v>1.38</v>
      </c>
      <c r="BU814">
        <v>2.4500000000000002</v>
      </c>
      <c r="BV814">
        <v>0.52</v>
      </c>
      <c r="BW814">
        <v>1.35</v>
      </c>
      <c r="BX814">
        <v>0.3</v>
      </c>
      <c r="BY814">
        <v>5.91</v>
      </c>
      <c r="BZ814">
        <v>3.47</v>
      </c>
      <c r="CA814">
        <v>1.63</v>
      </c>
      <c r="CB814">
        <v>0.46</v>
      </c>
      <c r="CC814">
        <v>1.65</v>
      </c>
      <c r="CD814">
        <v>1.26</v>
      </c>
      <c r="CE814">
        <v>1.27</v>
      </c>
      <c r="CF814">
        <v>0.85</v>
      </c>
      <c r="CG814">
        <v>6.85</v>
      </c>
      <c r="CH814">
        <v>0.93</v>
      </c>
      <c r="CI814">
        <v>1.62</v>
      </c>
      <c r="CJ814">
        <v>19682</v>
      </c>
      <c r="CK814">
        <v>14013</v>
      </c>
      <c r="CL814" t="s">
        <v>4951</v>
      </c>
      <c r="CM814">
        <v>9.57</v>
      </c>
      <c r="CN814">
        <v>-18.59</v>
      </c>
      <c r="CO814">
        <v>1.96</v>
      </c>
      <c r="CP814">
        <v>22.07</v>
      </c>
      <c r="CQ814">
        <v>3.49</v>
      </c>
      <c r="CR814">
        <v>1.81</v>
      </c>
      <c r="CS814" t="s">
        <v>4952</v>
      </c>
      <c r="CT814">
        <v>2.69</v>
      </c>
      <c r="CU814">
        <v>0</v>
      </c>
      <c r="CV814">
        <v>0.08</v>
      </c>
      <c r="CW814">
        <v>1.75</v>
      </c>
      <c r="CX814">
        <v>0.24</v>
      </c>
      <c r="CY814">
        <v>74.41</v>
      </c>
      <c r="CZ814" t="s">
        <v>4953</v>
      </c>
      <c r="DA814">
        <v>41.3</v>
      </c>
      <c r="DB814">
        <v>27.66</v>
      </c>
      <c r="DC814">
        <v>21.48</v>
      </c>
      <c r="DD814">
        <v>0.05</v>
      </c>
      <c r="DE814">
        <v>1919</v>
      </c>
      <c r="DF814">
        <v>2360</v>
      </c>
      <c r="DG814" t="s">
        <v>116</v>
      </c>
      <c r="DH814" t="s">
        <v>116</v>
      </c>
      <c r="DI814" t="s">
        <v>116</v>
      </c>
    </row>
    <row r="815" spans="1:113" x14ac:dyDescent="0.4">
      <c r="A815" t="str">
        <f>"002361"</f>
        <v>002361</v>
      </c>
      <c r="B815" t="s">
        <v>4954</v>
      </c>
      <c r="C815">
        <v>-0.92</v>
      </c>
      <c r="D815">
        <v>4.32</v>
      </c>
      <c r="E815">
        <v>-0.04</v>
      </c>
      <c r="F815">
        <v>4.3099999999999996</v>
      </c>
      <c r="G815">
        <v>4.32</v>
      </c>
      <c r="H815">
        <v>43449</v>
      </c>
      <c r="I815">
        <v>353</v>
      </c>
      <c r="J815">
        <v>0</v>
      </c>
      <c r="K815">
        <v>0.7</v>
      </c>
      <c r="L815">
        <v>4.34</v>
      </c>
      <c r="M815">
        <v>4.3899999999999997</v>
      </c>
      <c r="N815">
        <v>4.3099999999999996</v>
      </c>
      <c r="O815">
        <v>4.3600000000000003</v>
      </c>
      <c r="P815">
        <v>30.16</v>
      </c>
      <c r="Q815">
        <v>18954400</v>
      </c>
      <c r="R815">
        <v>1.0900000000000001</v>
      </c>
      <c r="S815" t="s">
        <v>891</v>
      </c>
      <c r="T815" t="s">
        <v>575</v>
      </c>
      <c r="U815">
        <v>1.83</v>
      </c>
      <c r="V815">
        <v>4.3600000000000003</v>
      </c>
      <c r="W815">
        <v>23796</v>
      </c>
      <c r="X815">
        <v>19653</v>
      </c>
      <c r="Y815">
        <v>1.21</v>
      </c>
      <c r="Z815">
        <v>635</v>
      </c>
      <c r="AA815">
        <v>189</v>
      </c>
      <c r="AB815" t="s">
        <v>116</v>
      </c>
      <c r="AC815">
        <v>0</v>
      </c>
      <c r="AD815">
        <v>0</v>
      </c>
      <c r="AE815" t="s">
        <v>116</v>
      </c>
      <c r="AF815" t="s">
        <v>116</v>
      </c>
      <c r="AG815">
        <v>6.25</v>
      </c>
      <c r="AH815" t="s">
        <v>4955</v>
      </c>
      <c r="AI815" t="s">
        <v>4956</v>
      </c>
      <c r="AJ815">
        <v>-0.24</v>
      </c>
      <c r="AK815">
        <v>802</v>
      </c>
      <c r="AL815">
        <v>54</v>
      </c>
      <c r="AM815">
        <v>8.9999999999999998E-4</v>
      </c>
      <c r="AN815">
        <v>-1</v>
      </c>
      <c r="AO815">
        <v>0.7</v>
      </c>
      <c r="AP815">
        <v>3.35</v>
      </c>
      <c r="AQ815">
        <v>-1.1399999999999999</v>
      </c>
      <c r="AR815">
        <v>21.98</v>
      </c>
      <c r="AS815">
        <v>0.8</v>
      </c>
      <c r="AT815" t="s">
        <v>2817</v>
      </c>
      <c r="AU815">
        <v>33.89</v>
      </c>
      <c r="AV815">
        <v>46.79</v>
      </c>
      <c r="AW815">
        <v>0.93</v>
      </c>
      <c r="BA815">
        <v>-0.46</v>
      </c>
      <c r="BB815">
        <v>0.69</v>
      </c>
      <c r="BC815">
        <v>-1.1499999999999999</v>
      </c>
      <c r="BD815">
        <v>0.06</v>
      </c>
      <c r="BE815">
        <v>-0.46</v>
      </c>
      <c r="BF815">
        <v>-1.59</v>
      </c>
      <c r="BG815">
        <v>0.23</v>
      </c>
      <c r="BH815">
        <v>-0.97</v>
      </c>
      <c r="BI815">
        <v>20191031</v>
      </c>
      <c r="BJ815">
        <v>20100303</v>
      </c>
      <c r="BK815">
        <v>8.3800000000000008</v>
      </c>
      <c r="BL815" t="s">
        <v>116</v>
      </c>
      <c r="BM815" t="s">
        <v>116</v>
      </c>
      <c r="BN815">
        <v>36.32</v>
      </c>
      <c r="BO815">
        <v>17.920000000000002</v>
      </c>
      <c r="BP815">
        <v>0.28999999999999998</v>
      </c>
      <c r="BQ815">
        <v>49.84</v>
      </c>
      <c r="BR815">
        <v>22.48</v>
      </c>
      <c r="BS815">
        <v>6.14</v>
      </c>
      <c r="BT815">
        <v>0.82</v>
      </c>
      <c r="BU815">
        <v>17.510000000000002</v>
      </c>
      <c r="BV815">
        <v>3.05</v>
      </c>
      <c r="BW815">
        <v>10.44</v>
      </c>
      <c r="BX815">
        <v>4.1100000000000003</v>
      </c>
      <c r="BY815">
        <v>15.08</v>
      </c>
      <c r="BZ815">
        <v>12.01</v>
      </c>
      <c r="CA815">
        <v>0.96</v>
      </c>
      <c r="CB815">
        <v>-0.03</v>
      </c>
      <c r="CC815">
        <v>1.01</v>
      </c>
      <c r="CD815">
        <v>0.92</v>
      </c>
      <c r="CE815">
        <v>0.9</v>
      </c>
      <c r="CF815">
        <v>0.8</v>
      </c>
      <c r="CG815">
        <v>5.52</v>
      </c>
      <c r="CH815">
        <v>0.17</v>
      </c>
      <c r="CI815">
        <v>-1.05</v>
      </c>
      <c r="CJ815">
        <v>46661</v>
      </c>
      <c r="CK815">
        <v>11648</v>
      </c>
      <c r="CL815" t="s">
        <v>1151</v>
      </c>
      <c r="CM815">
        <v>48.6</v>
      </c>
      <c r="CN815">
        <v>8.75</v>
      </c>
      <c r="CO815">
        <v>2.02</v>
      </c>
      <c r="CP815">
        <v>209.46</v>
      </c>
      <c r="CQ815">
        <v>2.4</v>
      </c>
      <c r="CR815">
        <v>2.2799999999999998</v>
      </c>
      <c r="CS815" t="s">
        <v>4957</v>
      </c>
      <c r="CT815">
        <v>2.14</v>
      </c>
      <c r="CU815">
        <v>0</v>
      </c>
      <c r="CV815">
        <v>0.49</v>
      </c>
      <c r="CW815">
        <v>0.66</v>
      </c>
      <c r="CX815">
        <v>0.02</v>
      </c>
      <c r="CY815">
        <v>49.35</v>
      </c>
      <c r="CZ815" t="s">
        <v>4958</v>
      </c>
      <c r="DA815">
        <v>20.32</v>
      </c>
      <c r="DB815">
        <v>6.34</v>
      </c>
      <c r="DC815">
        <v>5.97</v>
      </c>
      <c r="DD815">
        <v>0.64</v>
      </c>
      <c r="DE815">
        <v>1238</v>
      </c>
      <c r="DF815">
        <v>2361</v>
      </c>
      <c r="DG815" t="s">
        <v>116</v>
      </c>
      <c r="DH815" t="s">
        <v>116</v>
      </c>
      <c r="DI815" t="s">
        <v>116</v>
      </c>
    </row>
    <row r="816" spans="1:113" x14ac:dyDescent="0.4">
      <c r="A816" t="str">
        <f>"002362"</f>
        <v>002362</v>
      </c>
      <c r="B816" t="s">
        <v>4959</v>
      </c>
      <c r="C816">
        <v>-2.06</v>
      </c>
      <c r="D816">
        <v>16.170000000000002</v>
      </c>
      <c r="E816">
        <v>-0.34</v>
      </c>
      <c r="F816">
        <v>16.16</v>
      </c>
      <c r="G816">
        <v>16.170000000000002</v>
      </c>
      <c r="H816">
        <v>40324</v>
      </c>
      <c r="I816">
        <v>337</v>
      </c>
      <c r="J816">
        <v>-0.18</v>
      </c>
      <c r="K816">
        <v>2.2599999999999998</v>
      </c>
      <c r="L816">
        <v>16.5</v>
      </c>
      <c r="M816">
        <v>16.55</v>
      </c>
      <c r="N816">
        <v>16.12</v>
      </c>
      <c r="O816">
        <v>16.510000000000002</v>
      </c>
      <c r="P816">
        <v>95.56</v>
      </c>
      <c r="Q816">
        <v>65832676</v>
      </c>
      <c r="R816">
        <v>0.94</v>
      </c>
      <c r="S816" t="s">
        <v>241</v>
      </c>
      <c r="T816" t="s">
        <v>165</v>
      </c>
      <c r="U816">
        <v>2.6</v>
      </c>
      <c r="V816">
        <v>16.329999999999998</v>
      </c>
      <c r="W816">
        <v>27088</v>
      </c>
      <c r="X816">
        <v>13236</v>
      </c>
      <c r="Y816">
        <v>2.0499999999999998</v>
      </c>
      <c r="Z816">
        <v>53</v>
      </c>
      <c r="AA816">
        <v>87</v>
      </c>
      <c r="AB816" t="s">
        <v>116</v>
      </c>
      <c r="AC816">
        <v>237600</v>
      </c>
      <c r="AD816">
        <v>0.01</v>
      </c>
      <c r="AE816" t="s">
        <v>116</v>
      </c>
      <c r="AF816" t="s">
        <v>116</v>
      </c>
      <c r="AG816">
        <v>1.79</v>
      </c>
      <c r="AH816" t="s">
        <v>3997</v>
      </c>
      <c r="AI816" t="s">
        <v>4960</v>
      </c>
      <c r="AJ816">
        <v>-1.38</v>
      </c>
      <c r="AK816">
        <v>1801</v>
      </c>
      <c r="AL816">
        <v>22</v>
      </c>
      <c r="AM816">
        <v>1.2999999999999999E-3</v>
      </c>
      <c r="AN816">
        <v>-1</v>
      </c>
      <c r="AO816">
        <v>-0.73</v>
      </c>
      <c r="AP816">
        <v>4.8600000000000003</v>
      </c>
      <c r="AQ816">
        <v>-4.09</v>
      </c>
      <c r="AR816">
        <v>21.12</v>
      </c>
      <c r="AS816">
        <v>2.95</v>
      </c>
      <c r="AT816" t="s">
        <v>4961</v>
      </c>
      <c r="AU816">
        <v>211.74</v>
      </c>
      <c r="AV816">
        <v>221.17</v>
      </c>
      <c r="AW816">
        <v>1.46</v>
      </c>
      <c r="BA816">
        <v>-0.06</v>
      </c>
      <c r="BB816">
        <v>0.24</v>
      </c>
      <c r="BC816">
        <v>-2.36</v>
      </c>
      <c r="BD816">
        <v>-1.1200000000000001</v>
      </c>
      <c r="BE816">
        <v>-2</v>
      </c>
      <c r="BF816">
        <v>-2.2999999999999998</v>
      </c>
      <c r="BG816">
        <v>0.31</v>
      </c>
      <c r="BH816">
        <v>-0.94</v>
      </c>
      <c r="BI816">
        <v>20191024</v>
      </c>
      <c r="BJ816">
        <v>20100303</v>
      </c>
      <c r="BK816">
        <v>2.17</v>
      </c>
      <c r="BL816" t="s">
        <v>116</v>
      </c>
      <c r="BM816" t="s">
        <v>116</v>
      </c>
      <c r="BN816">
        <v>12.22</v>
      </c>
      <c r="BO816">
        <v>8.9499999999999993</v>
      </c>
      <c r="BP816">
        <v>0.46</v>
      </c>
      <c r="BQ816">
        <v>22.98</v>
      </c>
      <c r="BR816">
        <v>9.08</v>
      </c>
      <c r="BS816">
        <v>1.84</v>
      </c>
      <c r="BT816">
        <v>0.38</v>
      </c>
      <c r="BU816">
        <v>2.8</v>
      </c>
      <c r="BV816">
        <v>2.2799999999999998</v>
      </c>
      <c r="BW816">
        <v>1.76</v>
      </c>
      <c r="BX816">
        <v>10.220000000000001</v>
      </c>
      <c r="BY816">
        <v>6.23</v>
      </c>
      <c r="BZ816">
        <v>3.89</v>
      </c>
      <c r="CA816">
        <v>0.2</v>
      </c>
      <c r="CB816">
        <v>0.14000000000000001</v>
      </c>
      <c r="CC816">
        <v>0.24</v>
      </c>
      <c r="CD816">
        <v>0.24</v>
      </c>
      <c r="CE816">
        <v>0.28000000000000003</v>
      </c>
      <c r="CF816">
        <v>-0.02</v>
      </c>
      <c r="CG816">
        <v>-3.67</v>
      </c>
      <c r="CH816">
        <v>-0.31</v>
      </c>
      <c r="CI816">
        <v>-0.24</v>
      </c>
      <c r="CJ816">
        <v>48580</v>
      </c>
      <c r="CK816">
        <v>2813</v>
      </c>
      <c r="CL816" t="s">
        <v>4962</v>
      </c>
      <c r="CM816">
        <v>2.63</v>
      </c>
      <c r="CN816">
        <v>32.94</v>
      </c>
      <c r="CO816">
        <v>3.92</v>
      </c>
      <c r="CP816">
        <v>-112.89</v>
      </c>
      <c r="CQ816">
        <v>5.64</v>
      </c>
      <c r="CR816">
        <v>0</v>
      </c>
      <c r="CS816" t="s">
        <v>4121</v>
      </c>
      <c r="CT816">
        <v>4.13</v>
      </c>
      <c r="CU816">
        <v>0</v>
      </c>
      <c r="CV816">
        <v>4.71</v>
      </c>
      <c r="CW816">
        <v>-1.69</v>
      </c>
      <c r="CX816">
        <v>-0.14000000000000001</v>
      </c>
      <c r="CY816">
        <v>73.290000000000006</v>
      </c>
      <c r="CZ816" t="s">
        <v>4963</v>
      </c>
      <c r="DA816">
        <v>37.450000000000003</v>
      </c>
      <c r="DB816">
        <v>3.25</v>
      </c>
      <c r="DC816">
        <v>4.42</v>
      </c>
      <c r="DD816">
        <v>0.89</v>
      </c>
      <c r="DE816">
        <v>1532</v>
      </c>
      <c r="DF816">
        <v>2362</v>
      </c>
      <c r="DG816" t="s">
        <v>116</v>
      </c>
      <c r="DH816" t="s">
        <v>116</v>
      </c>
      <c r="DI816" t="s">
        <v>116</v>
      </c>
    </row>
    <row r="817" spans="1:113" x14ac:dyDescent="0.4">
      <c r="A817" t="str">
        <f>"002363"</f>
        <v>002363</v>
      </c>
      <c r="B817" t="s">
        <v>4964</v>
      </c>
      <c r="C817">
        <v>-2.29</v>
      </c>
      <c r="D817">
        <v>5.98</v>
      </c>
      <c r="E817">
        <v>-0.14000000000000001</v>
      </c>
      <c r="F817">
        <v>5.97</v>
      </c>
      <c r="G817">
        <v>5.98</v>
      </c>
      <c r="H817">
        <v>79199</v>
      </c>
      <c r="I817">
        <v>1622</v>
      </c>
      <c r="J817">
        <v>-0.16</v>
      </c>
      <c r="K817">
        <v>1.9</v>
      </c>
      <c r="L817">
        <v>6.1</v>
      </c>
      <c r="M817">
        <v>6.15</v>
      </c>
      <c r="N817">
        <v>5.98</v>
      </c>
      <c r="O817">
        <v>6.12</v>
      </c>
      <c r="P817">
        <v>27.06</v>
      </c>
      <c r="Q817">
        <v>48057648</v>
      </c>
      <c r="R817">
        <v>0.56999999999999995</v>
      </c>
      <c r="S817" t="s">
        <v>293</v>
      </c>
      <c r="T817" t="s">
        <v>645</v>
      </c>
      <c r="U817">
        <v>2.78</v>
      </c>
      <c r="V817">
        <v>6.07</v>
      </c>
      <c r="W817">
        <v>52009</v>
      </c>
      <c r="X817">
        <v>27190</v>
      </c>
      <c r="Y817">
        <v>1.91</v>
      </c>
      <c r="Z817">
        <v>637</v>
      </c>
      <c r="AA817">
        <v>86</v>
      </c>
      <c r="AB817" t="s">
        <v>116</v>
      </c>
      <c r="AC817">
        <v>175700</v>
      </c>
      <c r="AD817">
        <v>0.01</v>
      </c>
      <c r="AE817" t="s">
        <v>116</v>
      </c>
      <c r="AF817" t="s">
        <v>116</v>
      </c>
      <c r="AG817">
        <v>4.16</v>
      </c>
      <c r="AH817" t="s">
        <v>4965</v>
      </c>
      <c r="AI817" t="s">
        <v>4966</v>
      </c>
      <c r="AJ817">
        <v>-1.61</v>
      </c>
      <c r="AK817">
        <v>1415</v>
      </c>
      <c r="AL817">
        <v>56</v>
      </c>
      <c r="AM817">
        <v>1.2999999999999999E-3</v>
      </c>
      <c r="AN817">
        <v>-1</v>
      </c>
      <c r="AO817">
        <v>-4.63</v>
      </c>
      <c r="AP817">
        <v>-1.64</v>
      </c>
      <c r="AQ817">
        <v>9.93</v>
      </c>
      <c r="AR817">
        <v>26.16</v>
      </c>
      <c r="AS817">
        <v>3.3</v>
      </c>
      <c r="AT817" t="s">
        <v>4341</v>
      </c>
      <c r="AU817">
        <v>33.25</v>
      </c>
      <c r="AV817">
        <v>30.7</v>
      </c>
      <c r="AW817">
        <v>0.45</v>
      </c>
      <c r="BA817">
        <v>-0.33</v>
      </c>
      <c r="BB817">
        <v>0.49</v>
      </c>
      <c r="BC817">
        <v>-2.29</v>
      </c>
      <c r="BD817">
        <v>-0.85</v>
      </c>
      <c r="BE817">
        <v>-1.97</v>
      </c>
      <c r="BF817">
        <v>-2.76</v>
      </c>
      <c r="BG817">
        <v>0</v>
      </c>
      <c r="BH817">
        <v>-1.44</v>
      </c>
      <c r="BI817">
        <v>20191030</v>
      </c>
      <c r="BJ817">
        <v>20100305</v>
      </c>
      <c r="BK817">
        <v>4.16</v>
      </c>
      <c r="BL817" t="s">
        <v>116</v>
      </c>
      <c r="BM817" t="s">
        <v>116</v>
      </c>
      <c r="BN817">
        <v>33.869999999999997</v>
      </c>
      <c r="BO817">
        <v>23.66</v>
      </c>
      <c r="BP817">
        <v>0.69</v>
      </c>
      <c r="BQ817">
        <v>28.1</v>
      </c>
      <c r="BR817">
        <v>21.08</v>
      </c>
      <c r="BS817">
        <v>10.68</v>
      </c>
      <c r="BT817">
        <v>0.67</v>
      </c>
      <c r="BU817">
        <v>9.24</v>
      </c>
      <c r="BV817">
        <v>5.85</v>
      </c>
      <c r="BW817">
        <v>3.32</v>
      </c>
      <c r="BX817">
        <v>13.78</v>
      </c>
      <c r="BY817">
        <v>12.15</v>
      </c>
      <c r="BZ817">
        <v>10.26</v>
      </c>
      <c r="CA817">
        <v>0.82</v>
      </c>
      <c r="CB817">
        <v>0.09</v>
      </c>
      <c r="CC817">
        <v>0.82</v>
      </c>
      <c r="CD817">
        <v>0.69</v>
      </c>
      <c r="CE817">
        <v>0.69</v>
      </c>
      <c r="CF817">
        <v>0.59</v>
      </c>
      <c r="CG817">
        <v>5.15</v>
      </c>
      <c r="CH817">
        <v>1.52</v>
      </c>
      <c r="CI817">
        <v>0.45</v>
      </c>
      <c r="CJ817">
        <v>29589</v>
      </c>
      <c r="CK817">
        <v>8111</v>
      </c>
      <c r="CL817" t="s">
        <v>4967</v>
      </c>
      <c r="CM817">
        <v>-8.2799999999999994</v>
      </c>
      <c r="CN817">
        <v>-14.37</v>
      </c>
      <c r="CO817">
        <v>1.05</v>
      </c>
      <c r="CP817">
        <v>16.350000000000001</v>
      </c>
      <c r="CQ817">
        <v>2.0499999999999998</v>
      </c>
      <c r="CR817">
        <v>0.33</v>
      </c>
      <c r="CS817" t="s">
        <v>1297</v>
      </c>
      <c r="CT817">
        <v>5.69</v>
      </c>
      <c r="CU817">
        <v>0</v>
      </c>
      <c r="CV817">
        <v>3.31</v>
      </c>
      <c r="CW817">
        <v>1.24</v>
      </c>
      <c r="CX817">
        <v>0.37</v>
      </c>
      <c r="CY817">
        <v>69.849999999999994</v>
      </c>
      <c r="CZ817" t="s">
        <v>4968</v>
      </c>
      <c r="DA817">
        <v>15.53</v>
      </c>
      <c r="DB817">
        <v>6.76</v>
      </c>
      <c r="DC817">
        <v>5.68</v>
      </c>
      <c r="DD817">
        <v>0.1</v>
      </c>
      <c r="DE817">
        <v>2828</v>
      </c>
      <c r="DF817">
        <v>2363</v>
      </c>
      <c r="DG817" t="s">
        <v>116</v>
      </c>
      <c r="DH817" t="s">
        <v>116</v>
      </c>
      <c r="DI817" t="s">
        <v>116</v>
      </c>
    </row>
    <row r="818" spans="1:113" x14ac:dyDescent="0.4">
      <c r="A818" t="str">
        <f>"002364"</f>
        <v>002364</v>
      </c>
      <c r="B818" t="s">
        <v>4969</v>
      </c>
      <c r="C818">
        <v>-0.52</v>
      </c>
      <c r="D818">
        <v>11.53</v>
      </c>
      <c r="E818">
        <v>-0.06</v>
      </c>
      <c r="F818">
        <v>11.5</v>
      </c>
      <c r="G818">
        <v>11.53</v>
      </c>
      <c r="H818">
        <v>42889</v>
      </c>
      <c r="I818">
        <v>876</v>
      </c>
      <c r="J818">
        <v>0.26</v>
      </c>
      <c r="K818">
        <v>0.83</v>
      </c>
      <c r="L818">
        <v>11.59</v>
      </c>
      <c r="M818">
        <v>11.67</v>
      </c>
      <c r="N818">
        <v>11.47</v>
      </c>
      <c r="O818">
        <v>11.59</v>
      </c>
      <c r="P818">
        <v>78.11</v>
      </c>
      <c r="Q818">
        <v>49473672</v>
      </c>
      <c r="R818">
        <v>0.97</v>
      </c>
      <c r="S818" t="s">
        <v>397</v>
      </c>
      <c r="T818" t="s">
        <v>590</v>
      </c>
      <c r="U818">
        <v>1.73</v>
      </c>
      <c r="V818">
        <v>11.54</v>
      </c>
      <c r="W818">
        <v>28732</v>
      </c>
      <c r="X818">
        <v>14157</v>
      </c>
      <c r="Y818">
        <v>2.0299999999999998</v>
      </c>
      <c r="Z818">
        <v>124</v>
      </c>
      <c r="AA818">
        <v>83</v>
      </c>
      <c r="AB818" t="s">
        <v>116</v>
      </c>
      <c r="AC818">
        <v>182000</v>
      </c>
      <c r="AD818">
        <v>0.01</v>
      </c>
      <c r="AE818" t="s">
        <v>116</v>
      </c>
      <c r="AF818" t="s">
        <v>116</v>
      </c>
      <c r="AG818">
        <v>5.15</v>
      </c>
      <c r="AH818" t="s">
        <v>4970</v>
      </c>
      <c r="AI818" t="s">
        <v>4971</v>
      </c>
      <c r="AJ818">
        <v>0.16</v>
      </c>
      <c r="AK818">
        <v>1033</v>
      </c>
      <c r="AL818">
        <v>42</v>
      </c>
      <c r="AM818">
        <v>8.0000000000000004E-4</v>
      </c>
      <c r="AN818">
        <v>-1</v>
      </c>
      <c r="AO818">
        <v>-1.2</v>
      </c>
      <c r="AP818">
        <v>-0.86</v>
      </c>
      <c r="AQ818">
        <v>-7.02</v>
      </c>
      <c r="AR818">
        <v>-1.1100000000000001</v>
      </c>
      <c r="AS818">
        <v>1.4</v>
      </c>
      <c r="AT818" t="s">
        <v>4972</v>
      </c>
      <c r="AU818">
        <v>130.02000000000001</v>
      </c>
      <c r="AV818">
        <v>84.8</v>
      </c>
      <c r="AW818">
        <v>0.8</v>
      </c>
      <c r="BA818">
        <v>0</v>
      </c>
      <c r="BB818">
        <v>0.69</v>
      </c>
      <c r="BC818">
        <v>-1.04</v>
      </c>
      <c r="BD818">
        <v>-0.47</v>
      </c>
      <c r="BE818">
        <v>-0.52</v>
      </c>
      <c r="BF818">
        <v>-1.2</v>
      </c>
      <c r="BG818">
        <v>0.52</v>
      </c>
      <c r="BH818">
        <v>-0.05</v>
      </c>
      <c r="BI818">
        <v>20191030</v>
      </c>
      <c r="BJ818">
        <v>20100305</v>
      </c>
      <c r="BK818">
        <v>5.64</v>
      </c>
      <c r="BL818" t="s">
        <v>116</v>
      </c>
      <c r="BM818" t="s">
        <v>116</v>
      </c>
      <c r="BN818">
        <v>24.57</v>
      </c>
      <c r="BO818">
        <v>21.21</v>
      </c>
      <c r="BP818">
        <v>0.14000000000000001</v>
      </c>
      <c r="BQ818">
        <v>13.12</v>
      </c>
      <c r="BR818">
        <v>19.48</v>
      </c>
      <c r="BS818">
        <v>1.99</v>
      </c>
      <c r="BT818">
        <v>0.67</v>
      </c>
      <c r="BU818">
        <v>3.18</v>
      </c>
      <c r="BV818">
        <v>3.59</v>
      </c>
      <c r="BW818">
        <v>7.38</v>
      </c>
      <c r="BX818">
        <v>10.53</v>
      </c>
      <c r="BY818">
        <v>6.22</v>
      </c>
      <c r="BZ818">
        <v>3.87</v>
      </c>
      <c r="CA818">
        <v>0.67</v>
      </c>
      <c r="CB818">
        <v>-0.02</v>
      </c>
      <c r="CC818">
        <v>0.68</v>
      </c>
      <c r="CD818">
        <v>0.59</v>
      </c>
      <c r="CE818">
        <v>0.62</v>
      </c>
      <c r="CF818">
        <v>0.56000000000000005</v>
      </c>
      <c r="CG818">
        <v>6.82</v>
      </c>
      <c r="CH818">
        <v>-0.31</v>
      </c>
      <c r="CI818">
        <v>-3.75</v>
      </c>
      <c r="CJ818">
        <v>32296</v>
      </c>
      <c r="CK818">
        <v>9459</v>
      </c>
      <c r="CL818" t="s">
        <v>4973</v>
      </c>
      <c r="CM818">
        <v>-29.93</v>
      </c>
      <c r="CN818">
        <v>7.23</v>
      </c>
      <c r="CO818">
        <v>3.06</v>
      </c>
      <c r="CP818">
        <v>-211.16</v>
      </c>
      <c r="CQ818">
        <v>10.45</v>
      </c>
      <c r="CR818">
        <v>0.83</v>
      </c>
      <c r="CS818" t="s">
        <v>4424</v>
      </c>
      <c r="CT818">
        <v>3.76</v>
      </c>
      <c r="CU818">
        <v>0</v>
      </c>
      <c r="CV818">
        <v>1.87</v>
      </c>
      <c r="CW818">
        <v>1.21</v>
      </c>
      <c r="CX818">
        <v>-0.05</v>
      </c>
      <c r="CY818">
        <v>86.32</v>
      </c>
      <c r="CZ818" t="s">
        <v>4565</v>
      </c>
      <c r="DA818">
        <v>37.729999999999997</v>
      </c>
      <c r="DB818">
        <v>10.84</v>
      </c>
      <c r="DC818">
        <v>10.029999999999999</v>
      </c>
      <c r="DD818">
        <v>0.7</v>
      </c>
      <c r="DE818">
        <v>1783</v>
      </c>
      <c r="DF818">
        <v>2364</v>
      </c>
      <c r="DG818" t="s">
        <v>116</v>
      </c>
      <c r="DH818" t="s">
        <v>116</v>
      </c>
      <c r="DI818" t="s">
        <v>116</v>
      </c>
    </row>
    <row r="819" spans="1:113" x14ac:dyDescent="0.4">
      <c r="A819" t="str">
        <f>"002365"</f>
        <v>002365</v>
      </c>
      <c r="B819" t="s">
        <v>4974</v>
      </c>
      <c r="C819">
        <v>2.65</v>
      </c>
      <c r="D819">
        <v>9.68</v>
      </c>
      <c r="E819">
        <v>0.25</v>
      </c>
      <c r="F819">
        <v>9.67</v>
      </c>
      <c r="G819">
        <v>9.68</v>
      </c>
      <c r="H819">
        <v>159889</v>
      </c>
      <c r="I819">
        <v>1201</v>
      </c>
      <c r="J819">
        <v>-0.3</v>
      </c>
      <c r="K819">
        <v>6.63</v>
      </c>
      <c r="L819">
        <v>9.44</v>
      </c>
      <c r="M819">
        <v>10.18</v>
      </c>
      <c r="N819">
        <v>9.44</v>
      </c>
      <c r="O819">
        <v>9.43</v>
      </c>
      <c r="P819">
        <v>30.64</v>
      </c>
      <c r="Q819">
        <v>156728176</v>
      </c>
      <c r="R819">
        <v>1</v>
      </c>
      <c r="S819" t="s">
        <v>574</v>
      </c>
      <c r="T819" t="s">
        <v>774</v>
      </c>
      <c r="U819">
        <v>7.85</v>
      </c>
      <c r="V819">
        <v>9.8000000000000007</v>
      </c>
      <c r="W819">
        <v>78979</v>
      </c>
      <c r="X819">
        <v>80910</v>
      </c>
      <c r="Y819">
        <v>0.98</v>
      </c>
      <c r="Z819">
        <v>171</v>
      </c>
      <c r="AA819">
        <v>143</v>
      </c>
      <c r="AB819" t="s">
        <v>116</v>
      </c>
      <c r="AC819">
        <v>692000</v>
      </c>
      <c r="AD819">
        <v>0.03</v>
      </c>
      <c r="AE819" t="s">
        <v>116</v>
      </c>
      <c r="AF819" t="s">
        <v>116</v>
      </c>
      <c r="AG819">
        <v>2.41</v>
      </c>
      <c r="AH819" t="s">
        <v>4975</v>
      </c>
      <c r="AI819" t="s">
        <v>4976</v>
      </c>
      <c r="AJ819">
        <v>3.33</v>
      </c>
      <c r="AK819">
        <v>2676</v>
      </c>
      <c r="AL819">
        <v>60</v>
      </c>
      <c r="AM819">
        <v>2.5000000000000001E-3</v>
      </c>
      <c r="AN819">
        <v>2</v>
      </c>
      <c r="AO819">
        <v>1.46</v>
      </c>
      <c r="AP819">
        <v>17.760000000000002</v>
      </c>
      <c r="AQ819">
        <v>15.65</v>
      </c>
      <c r="AR819">
        <v>-6.38</v>
      </c>
      <c r="AS819">
        <v>7.45</v>
      </c>
      <c r="AT819" t="s">
        <v>259</v>
      </c>
      <c r="AU819">
        <v>29.54</v>
      </c>
      <c r="AV819">
        <v>15.97</v>
      </c>
      <c r="AW819">
        <v>1.04</v>
      </c>
      <c r="BA819">
        <v>0.11</v>
      </c>
      <c r="BB819">
        <v>7.95</v>
      </c>
      <c r="BC819">
        <v>0.11</v>
      </c>
      <c r="BD819">
        <v>3.95</v>
      </c>
      <c r="BE819">
        <v>2.54</v>
      </c>
      <c r="BF819">
        <v>-4.91</v>
      </c>
      <c r="BG819">
        <v>2.54</v>
      </c>
      <c r="BH819">
        <v>-1.3</v>
      </c>
      <c r="BI819">
        <v>20191026</v>
      </c>
      <c r="BJ819">
        <v>20100305</v>
      </c>
      <c r="BK819">
        <v>2.95</v>
      </c>
      <c r="BL819" t="s">
        <v>116</v>
      </c>
      <c r="BM819" t="s">
        <v>116</v>
      </c>
      <c r="BN819">
        <v>18.86</v>
      </c>
      <c r="BO819">
        <v>16.079999999999998</v>
      </c>
      <c r="BP819">
        <v>0.41</v>
      </c>
      <c r="BQ819">
        <v>12.58</v>
      </c>
      <c r="BR819">
        <v>7.29</v>
      </c>
      <c r="BS819">
        <v>9.74</v>
      </c>
      <c r="BT819">
        <v>0.89</v>
      </c>
      <c r="BU819">
        <v>1.92</v>
      </c>
      <c r="BV819">
        <v>0.89</v>
      </c>
      <c r="BW819">
        <v>1.35</v>
      </c>
      <c r="BX819">
        <v>7.01</v>
      </c>
      <c r="BY819">
        <v>10.1</v>
      </c>
      <c r="BZ819">
        <v>7.89</v>
      </c>
      <c r="CA819">
        <v>0.97</v>
      </c>
      <c r="CB819">
        <v>0.15</v>
      </c>
      <c r="CC819">
        <v>0.94</v>
      </c>
      <c r="CD819">
        <v>0.84</v>
      </c>
      <c r="CE819">
        <v>0.7</v>
      </c>
      <c r="CF819">
        <v>0.57999999999999996</v>
      </c>
      <c r="CG819">
        <v>5.9</v>
      </c>
      <c r="CH819">
        <v>1.36</v>
      </c>
      <c r="CI819">
        <v>0.55000000000000004</v>
      </c>
      <c r="CJ819">
        <v>28478</v>
      </c>
      <c r="CK819">
        <v>7539</v>
      </c>
      <c r="CL819" t="s">
        <v>4977</v>
      </c>
      <c r="CM819">
        <v>-54.01</v>
      </c>
      <c r="CN819">
        <v>38.74</v>
      </c>
      <c r="CO819">
        <v>1.77</v>
      </c>
      <c r="CP819">
        <v>21.03</v>
      </c>
      <c r="CQ819">
        <v>2.82</v>
      </c>
      <c r="CR819">
        <v>1.03</v>
      </c>
      <c r="CS819" t="s">
        <v>2045</v>
      </c>
      <c r="CT819">
        <v>5.46</v>
      </c>
      <c r="CU819">
        <v>0</v>
      </c>
      <c r="CV819">
        <v>2.38</v>
      </c>
      <c r="CW819">
        <v>2</v>
      </c>
      <c r="CX819">
        <v>0.46</v>
      </c>
      <c r="CY819">
        <v>85.25</v>
      </c>
      <c r="CZ819" t="s">
        <v>4978</v>
      </c>
      <c r="DA819">
        <v>21.85</v>
      </c>
      <c r="DB819">
        <v>9.61</v>
      </c>
      <c r="DC819">
        <v>6.91</v>
      </c>
      <c r="DD819">
        <v>0.43</v>
      </c>
      <c r="DE819">
        <v>831</v>
      </c>
      <c r="DF819">
        <v>2365</v>
      </c>
      <c r="DG819" t="s">
        <v>116</v>
      </c>
      <c r="DH819" t="s">
        <v>116</v>
      </c>
      <c r="DI819" t="s">
        <v>116</v>
      </c>
    </row>
    <row r="820" spans="1:113" x14ac:dyDescent="0.4">
      <c r="A820" t="str">
        <f>"002366"</f>
        <v>002366</v>
      </c>
      <c r="B820" t="s">
        <v>4979</v>
      </c>
      <c r="C820">
        <v>-0.28999999999999998</v>
      </c>
      <c r="D820">
        <v>6.96</v>
      </c>
      <c r="E820">
        <v>-0.02</v>
      </c>
      <c r="F820">
        <v>6.96</v>
      </c>
      <c r="G820">
        <v>6.97</v>
      </c>
      <c r="H820">
        <v>111729</v>
      </c>
      <c r="I820">
        <v>1618</v>
      </c>
      <c r="J820">
        <v>0</v>
      </c>
      <c r="K820">
        <v>2.2400000000000002</v>
      </c>
      <c r="L820">
        <v>6.98</v>
      </c>
      <c r="M820">
        <v>7.08</v>
      </c>
      <c r="N820">
        <v>6.95</v>
      </c>
      <c r="O820">
        <v>6.98</v>
      </c>
      <c r="P820">
        <v>36.53</v>
      </c>
      <c r="Q820">
        <v>78396584</v>
      </c>
      <c r="R820">
        <v>0.99</v>
      </c>
      <c r="S820" t="s">
        <v>682</v>
      </c>
      <c r="T820" t="s">
        <v>582</v>
      </c>
      <c r="U820">
        <v>1.86</v>
      </c>
      <c r="V820">
        <v>7.02</v>
      </c>
      <c r="W820">
        <v>54079</v>
      </c>
      <c r="X820">
        <v>57650</v>
      </c>
      <c r="Y820">
        <v>0.94</v>
      </c>
      <c r="Z820">
        <v>38</v>
      </c>
      <c r="AA820">
        <v>470</v>
      </c>
      <c r="AB820" t="s">
        <v>116</v>
      </c>
      <c r="AC820">
        <v>351800</v>
      </c>
      <c r="AD820">
        <v>0.01</v>
      </c>
      <c r="AE820" t="s">
        <v>116</v>
      </c>
      <c r="AF820" t="s">
        <v>116</v>
      </c>
      <c r="AG820">
        <v>5</v>
      </c>
      <c r="AH820" t="s">
        <v>4980</v>
      </c>
      <c r="AI820" t="s">
        <v>4981</v>
      </c>
      <c r="AJ820">
        <v>0.39</v>
      </c>
      <c r="AK820">
        <v>2254</v>
      </c>
      <c r="AL820">
        <v>50</v>
      </c>
      <c r="AM820">
        <v>1E-3</v>
      </c>
      <c r="AN820">
        <v>-1</v>
      </c>
      <c r="AO820">
        <v>0</v>
      </c>
      <c r="AP820">
        <v>-0.28999999999999998</v>
      </c>
      <c r="AQ820">
        <v>-15.74</v>
      </c>
      <c r="AR820">
        <v>-25.49</v>
      </c>
      <c r="AS820">
        <v>2.3199999999999998</v>
      </c>
      <c r="AT820" t="s">
        <v>4982</v>
      </c>
      <c r="AU820">
        <v>48.9</v>
      </c>
      <c r="AV820">
        <v>17.98</v>
      </c>
      <c r="AW820">
        <v>1.1599999999999999</v>
      </c>
      <c r="BA820">
        <v>0</v>
      </c>
      <c r="BB820">
        <v>1.43</v>
      </c>
      <c r="BC820">
        <v>-0.43</v>
      </c>
      <c r="BD820">
        <v>0.53</v>
      </c>
      <c r="BE820">
        <v>-0.28999999999999998</v>
      </c>
      <c r="BF820">
        <v>-1.69</v>
      </c>
      <c r="BG820">
        <v>0.14000000000000001</v>
      </c>
      <c r="BH820">
        <v>-0.81</v>
      </c>
      <c r="BI820">
        <v>20191224</v>
      </c>
      <c r="BJ820">
        <v>20100312</v>
      </c>
      <c r="BK820">
        <v>8.67</v>
      </c>
      <c r="BL820" t="s">
        <v>116</v>
      </c>
      <c r="BM820" t="s">
        <v>116</v>
      </c>
      <c r="BN820">
        <v>72.75</v>
      </c>
      <c r="BO820">
        <v>30.85</v>
      </c>
      <c r="BP820">
        <v>2.2999999999999998</v>
      </c>
      <c r="BQ820">
        <v>54.43</v>
      </c>
      <c r="BR820">
        <v>41.8</v>
      </c>
      <c r="BS820">
        <v>21.31</v>
      </c>
      <c r="BT820">
        <v>1.8</v>
      </c>
      <c r="BU820">
        <v>33.090000000000003</v>
      </c>
      <c r="BV820">
        <v>25.54</v>
      </c>
      <c r="BW820">
        <v>10.53</v>
      </c>
      <c r="BX820">
        <v>7.4</v>
      </c>
      <c r="BY820">
        <v>7.85</v>
      </c>
      <c r="BZ820">
        <v>4.05</v>
      </c>
      <c r="CA820">
        <v>1.53</v>
      </c>
      <c r="CB820">
        <v>0</v>
      </c>
      <c r="CC820">
        <v>1.52</v>
      </c>
      <c r="CD820">
        <v>1.27</v>
      </c>
      <c r="CE820">
        <v>1.24</v>
      </c>
      <c r="CF820">
        <v>1.1399999999999999</v>
      </c>
      <c r="CG820">
        <v>18.72</v>
      </c>
      <c r="CH820">
        <v>2.25</v>
      </c>
      <c r="CI820">
        <v>-0.27</v>
      </c>
      <c r="CJ820">
        <v>46446</v>
      </c>
      <c r="CK820">
        <v>10366</v>
      </c>
      <c r="CL820" t="s">
        <v>4983</v>
      </c>
      <c r="CM820">
        <v>-63.14</v>
      </c>
      <c r="CN820">
        <v>-24.36</v>
      </c>
      <c r="CO820">
        <v>1.96</v>
      </c>
      <c r="CP820">
        <v>26.83</v>
      </c>
      <c r="CQ820">
        <v>7.69</v>
      </c>
      <c r="CR820">
        <v>0.56000000000000005</v>
      </c>
      <c r="CS820" t="s">
        <v>4984</v>
      </c>
      <c r="CT820">
        <v>3.56</v>
      </c>
      <c r="CU820">
        <v>0</v>
      </c>
      <c r="CV820">
        <v>0.85</v>
      </c>
      <c r="CW820">
        <v>2.16</v>
      </c>
      <c r="CX820">
        <v>0.26</v>
      </c>
      <c r="CY820">
        <v>42.41</v>
      </c>
      <c r="CZ820" t="s">
        <v>527</v>
      </c>
      <c r="DA820">
        <v>48.37</v>
      </c>
      <c r="DB820">
        <v>19.46</v>
      </c>
      <c r="DC820">
        <v>15.79</v>
      </c>
      <c r="DD820">
        <v>0.65</v>
      </c>
      <c r="DE820">
        <v>1662</v>
      </c>
      <c r="DF820">
        <v>2366</v>
      </c>
      <c r="DG820" t="s">
        <v>116</v>
      </c>
      <c r="DH820" t="s">
        <v>116</v>
      </c>
      <c r="DI820" t="s">
        <v>116</v>
      </c>
    </row>
    <row r="821" spans="1:113" x14ac:dyDescent="0.4">
      <c r="A821" t="str">
        <f>"002367"</f>
        <v>002367</v>
      </c>
      <c r="B821" t="s">
        <v>4985</v>
      </c>
      <c r="C821">
        <v>-1.68</v>
      </c>
      <c r="D821">
        <v>7.59</v>
      </c>
      <c r="E821">
        <v>-0.13</v>
      </c>
      <c r="F821">
        <v>7.59</v>
      </c>
      <c r="G821">
        <v>7.6</v>
      </c>
      <c r="H821">
        <v>102646</v>
      </c>
      <c r="I821">
        <v>696</v>
      </c>
      <c r="J821">
        <v>-0.12</v>
      </c>
      <c r="K821">
        <v>1.96</v>
      </c>
      <c r="L821">
        <v>7.64</v>
      </c>
      <c r="M821">
        <v>7.76</v>
      </c>
      <c r="N821">
        <v>7.59</v>
      </c>
      <c r="O821">
        <v>7.72</v>
      </c>
      <c r="P821">
        <v>22.53</v>
      </c>
      <c r="Q821">
        <v>78665760</v>
      </c>
      <c r="R821">
        <v>0.93</v>
      </c>
      <c r="S821" t="s">
        <v>164</v>
      </c>
      <c r="T821" t="s">
        <v>323</v>
      </c>
      <c r="U821">
        <v>2.2000000000000002</v>
      </c>
      <c r="V821">
        <v>7.66</v>
      </c>
      <c r="W821">
        <v>45316</v>
      </c>
      <c r="X821">
        <v>57330</v>
      </c>
      <c r="Y821">
        <v>0.79</v>
      </c>
      <c r="Z821">
        <v>348</v>
      </c>
      <c r="AA821">
        <v>162</v>
      </c>
      <c r="AB821" t="s">
        <v>116</v>
      </c>
      <c r="AC821">
        <v>674000</v>
      </c>
      <c r="AD821">
        <v>0.02</v>
      </c>
      <c r="AE821" t="s">
        <v>116</v>
      </c>
      <c r="AF821" t="s">
        <v>116</v>
      </c>
      <c r="AG821">
        <v>5.24</v>
      </c>
      <c r="AH821" t="s">
        <v>1036</v>
      </c>
      <c r="AI821" t="s">
        <v>4986</v>
      </c>
      <c r="AJ821">
        <v>-1.01</v>
      </c>
      <c r="AK821">
        <v>3468</v>
      </c>
      <c r="AL821">
        <v>30</v>
      </c>
      <c r="AM821">
        <v>5.9999999999999995E-4</v>
      </c>
      <c r="AN821">
        <v>-1</v>
      </c>
      <c r="AO821">
        <v>-0.12</v>
      </c>
      <c r="AP821">
        <v>13.45</v>
      </c>
      <c r="AQ821">
        <v>0.13</v>
      </c>
      <c r="AR821">
        <v>50.6</v>
      </c>
      <c r="AS821">
        <v>2.46</v>
      </c>
      <c r="AT821" t="s">
        <v>4987</v>
      </c>
      <c r="AU821">
        <v>39.08</v>
      </c>
      <c r="AV821">
        <v>389.39</v>
      </c>
      <c r="AW821">
        <v>1</v>
      </c>
      <c r="BA821">
        <v>-1.04</v>
      </c>
      <c r="BB821">
        <v>0.52</v>
      </c>
      <c r="BC821">
        <v>-1.68</v>
      </c>
      <c r="BD821">
        <v>-0.73</v>
      </c>
      <c r="BE821">
        <v>-0.65</v>
      </c>
      <c r="BF821">
        <v>-2.19</v>
      </c>
      <c r="BG821">
        <v>0</v>
      </c>
      <c r="BH821">
        <v>-0.96</v>
      </c>
      <c r="BI821">
        <v>20191025</v>
      </c>
      <c r="BJ821">
        <v>20100312</v>
      </c>
      <c r="BK821">
        <v>7.98</v>
      </c>
      <c r="BL821" t="s">
        <v>116</v>
      </c>
      <c r="BM821" t="s">
        <v>116</v>
      </c>
      <c r="BN821">
        <v>54.37</v>
      </c>
      <c r="BO821">
        <v>29.26</v>
      </c>
      <c r="BP821">
        <v>0.3</v>
      </c>
      <c r="BQ821">
        <v>45.64</v>
      </c>
      <c r="BR821">
        <v>36.56</v>
      </c>
      <c r="BS821">
        <v>12.32</v>
      </c>
      <c r="BT821">
        <v>2.0499999999999998</v>
      </c>
      <c r="BU821">
        <v>23.74</v>
      </c>
      <c r="BV821">
        <v>9.49</v>
      </c>
      <c r="BW821">
        <v>9.1199999999999992</v>
      </c>
      <c r="BX821">
        <v>11.82</v>
      </c>
      <c r="BY821">
        <v>27.23</v>
      </c>
      <c r="BZ821">
        <v>19.190000000000001</v>
      </c>
      <c r="CA821">
        <v>2.46</v>
      </c>
      <c r="CB821">
        <v>0.23</v>
      </c>
      <c r="CC821">
        <v>2.4500000000000002</v>
      </c>
      <c r="CD821">
        <v>2.0099999999999998</v>
      </c>
      <c r="CE821">
        <v>2.02</v>
      </c>
      <c r="CF821">
        <v>1.62</v>
      </c>
      <c r="CG821">
        <v>7.16</v>
      </c>
      <c r="CH821">
        <v>2.1</v>
      </c>
      <c r="CI821">
        <v>2.2000000000000002</v>
      </c>
      <c r="CJ821">
        <v>41819</v>
      </c>
      <c r="CK821">
        <v>9980</v>
      </c>
      <c r="CL821" t="s">
        <v>2557</v>
      </c>
      <c r="CM821">
        <v>224.12</v>
      </c>
      <c r="CN821">
        <v>19.809999999999999</v>
      </c>
      <c r="CO821">
        <v>2.0699999999999998</v>
      </c>
      <c r="CP821">
        <v>28.88</v>
      </c>
      <c r="CQ821">
        <v>2.2200000000000002</v>
      </c>
      <c r="CR821">
        <v>6.94</v>
      </c>
      <c r="CS821" t="s">
        <v>4988</v>
      </c>
      <c r="CT821">
        <v>3.67</v>
      </c>
      <c r="CU821">
        <v>0</v>
      </c>
      <c r="CV821">
        <v>1.48</v>
      </c>
      <c r="CW821">
        <v>0.9</v>
      </c>
      <c r="CX821">
        <v>0.26</v>
      </c>
      <c r="CY821">
        <v>53.81</v>
      </c>
      <c r="CZ821" t="s">
        <v>3537</v>
      </c>
      <c r="DA821">
        <v>29.5</v>
      </c>
      <c r="DB821">
        <v>9.0500000000000007</v>
      </c>
      <c r="DC821">
        <v>7.4</v>
      </c>
      <c r="DD821">
        <v>1.1000000000000001</v>
      </c>
      <c r="DE821">
        <v>4737</v>
      </c>
      <c r="DF821">
        <v>2367</v>
      </c>
      <c r="DG821" t="s">
        <v>116</v>
      </c>
      <c r="DH821" t="s">
        <v>116</v>
      </c>
      <c r="DI821" t="s">
        <v>116</v>
      </c>
    </row>
    <row r="822" spans="1:113" x14ac:dyDescent="0.4">
      <c r="A822" t="str">
        <f>"002368"</f>
        <v>002368</v>
      </c>
      <c r="B822" t="s">
        <v>4989</v>
      </c>
      <c r="C822">
        <v>-3.04</v>
      </c>
      <c r="D822">
        <v>38.64</v>
      </c>
      <c r="E822">
        <v>-1.21</v>
      </c>
      <c r="F822">
        <v>38.630000000000003</v>
      </c>
      <c r="G822">
        <v>38.64</v>
      </c>
      <c r="H822">
        <v>85916</v>
      </c>
      <c r="I822">
        <v>738</v>
      </c>
      <c r="J822">
        <v>0.1</v>
      </c>
      <c r="K822">
        <v>2.12</v>
      </c>
      <c r="L822">
        <v>39.83</v>
      </c>
      <c r="M822">
        <v>39.83</v>
      </c>
      <c r="N822">
        <v>38.200000000000003</v>
      </c>
      <c r="O822">
        <v>39.85</v>
      </c>
      <c r="P822">
        <v>157.02000000000001</v>
      </c>
      <c r="Q822">
        <v>336782144</v>
      </c>
      <c r="R822">
        <v>0.86</v>
      </c>
      <c r="S822" t="s">
        <v>607</v>
      </c>
      <c r="T822" t="s">
        <v>165</v>
      </c>
      <c r="U822">
        <v>4.09</v>
      </c>
      <c r="V822">
        <v>39.200000000000003</v>
      </c>
      <c r="W822">
        <v>49543</v>
      </c>
      <c r="X822">
        <v>36373</v>
      </c>
      <c r="Y822">
        <v>1.36</v>
      </c>
      <c r="Z822">
        <v>8</v>
      </c>
      <c r="AA822">
        <v>2620</v>
      </c>
      <c r="AB822" t="s">
        <v>116</v>
      </c>
      <c r="AC822">
        <v>1816200</v>
      </c>
      <c r="AD822">
        <v>0.02</v>
      </c>
      <c r="AE822" t="s">
        <v>116</v>
      </c>
      <c r="AF822" t="s">
        <v>116</v>
      </c>
      <c r="AG822">
        <v>4.05</v>
      </c>
      <c r="AH822" t="s">
        <v>4990</v>
      </c>
      <c r="AI822" t="s">
        <v>4991</v>
      </c>
      <c r="AJ822">
        <v>-2.36</v>
      </c>
      <c r="AK822">
        <v>3392</v>
      </c>
      <c r="AL822">
        <v>25</v>
      </c>
      <c r="AM822">
        <v>5.9999999999999995E-4</v>
      </c>
      <c r="AN822">
        <v>-2</v>
      </c>
      <c r="AO822">
        <v>-2.92</v>
      </c>
      <c r="AP822">
        <v>13.08</v>
      </c>
      <c r="AQ822">
        <v>26.77</v>
      </c>
      <c r="AR822">
        <v>68.22</v>
      </c>
      <c r="AS822">
        <v>3.52</v>
      </c>
      <c r="AT822" t="s">
        <v>4992</v>
      </c>
      <c r="AU822">
        <v>49.41</v>
      </c>
      <c r="AV822">
        <v>50.45</v>
      </c>
      <c r="AW822">
        <v>1.1499999999999999</v>
      </c>
      <c r="BA822">
        <v>-0.05</v>
      </c>
      <c r="BB822">
        <v>-0.05</v>
      </c>
      <c r="BC822">
        <v>-4.1399999999999997</v>
      </c>
      <c r="BD822">
        <v>-1.63</v>
      </c>
      <c r="BE822">
        <v>-2.99</v>
      </c>
      <c r="BF822">
        <v>-2.99</v>
      </c>
      <c r="BG822">
        <v>1.1499999999999999</v>
      </c>
      <c r="BH822">
        <v>-1.4</v>
      </c>
      <c r="BI822">
        <v>20191031</v>
      </c>
      <c r="BJ822">
        <v>20100312</v>
      </c>
      <c r="BK822">
        <v>4.13</v>
      </c>
      <c r="BL822" t="s">
        <v>116</v>
      </c>
      <c r="BM822" t="s">
        <v>116</v>
      </c>
      <c r="BN822">
        <v>87.74</v>
      </c>
      <c r="BO822">
        <v>28.42</v>
      </c>
      <c r="BP822">
        <v>1.84</v>
      </c>
      <c r="BQ822">
        <v>65.52</v>
      </c>
      <c r="BR822">
        <v>62.61</v>
      </c>
      <c r="BS822">
        <v>8.2899999999999991</v>
      </c>
      <c r="BT822">
        <v>6.17</v>
      </c>
      <c r="BU822">
        <v>55.27</v>
      </c>
      <c r="BV822">
        <v>18.420000000000002</v>
      </c>
      <c r="BW822">
        <v>25.83</v>
      </c>
      <c r="BX822">
        <v>9.57</v>
      </c>
      <c r="BY822">
        <v>45.84</v>
      </c>
      <c r="BZ822">
        <v>34.89</v>
      </c>
      <c r="CA822">
        <v>0.54</v>
      </c>
      <c r="CB822">
        <v>0</v>
      </c>
      <c r="CC822">
        <v>0.54</v>
      </c>
      <c r="CD822">
        <v>0.69</v>
      </c>
      <c r="CE822">
        <v>0.76</v>
      </c>
      <c r="CF822">
        <v>0.6</v>
      </c>
      <c r="CG822">
        <v>13.14</v>
      </c>
      <c r="CH822">
        <v>-13.65</v>
      </c>
      <c r="CI822">
        <v>-11.59</v>
      </c>
      <c r="CJ822">
        <v>22368</v>
      </c>
      <c r="CK822">
        <v>10910</v>
      </c>
      <c r="CL822" t="s">
        <v>4993</v>
      </c>
      <c r="CM822">
        <v>9.58</v>
      </c>
      <c r="CN822">
        <v>18.02</v>
      </c>
      <c r="CO822">
        <v>5.61</v>
      </c>
      <c r="CP822">
        <v>-11.68</v>
      </c>
      <c r="CQ822">
        <v>3.48</v>
      </c>
      <c r="CR822">
        <v>0.6</v>
      </c>
      <c r="CS822" t="s">
        <v>246</v>
      </c>
      <c r="CT822">
        <v>6.88</v>
      </c>
      <c r="CU822">
        <v>0</v>
      </c>
      <c r="CV822">
        <v>2.3199999999999998</v>
      </c>
      <c r="CW822">
        <v>3.18</v>
      </c>
      <c r="CX822">
        <v>-3.31</v>
      </c>
      <c r="CY822">
        <v>32.39</v>
      </c>
      <c r="CZ822" t="s">
        <v>2801</v>
      </c>
      <c r="DA822">
        <v>23.89</v>
      </c>
      <c r="DB822">
        <v>1.18</v>
      </c>
      <c r="DC822">
        <v>1.66</v>
      </c>
      <c r="DD822">
        <v>1.2</v>
      </c>
      <c r="DE822">
        <v>4290</v>
      </c>
      <c r="DF822">
        <v>2368</v>
      </c>
      <c r="DG822" t="s">
        <v>116</v>
      </c>
      <c r="DH822" t="s">
        <v>116</v>
      </c>
      <c r="DI822" t="s">
        <v>116</v>
      </c>
    </row>
    <row r="823" spans="1:113" x14ac:dyDescent="0.4">
      <c r="A823" t="str">
        <f>"002369"</f>
        <v>002369</v>
      </c>
      <c r="B823" t="s">
        <v>4994</v>
      </c>
      <c r="C823">
        <v>-5.09</v>
      </c>
      <c r="D823">
        <v>9.1300000000000008</v>
      </c>
      <c r="E823">
        <v>-0.49</v>
      </c>
      <c r="F823">
        <v>9.1300000000000008</v>
      </c>
      <c r="G823">
        <v>9.14</v>
      </c>
      <c r="H823">
        <v>340381</v>
      </c>
      <c r="I823">
        <v>3593</v>
      </c>
      <c r="J823">
        <v>-0.21</v>
      </c>
      <c r="K823">
        <v>8.11</v>
      </c>
      <c r="L823">
        <v>9.6300000000000008</v>
      </c>
      <c r="M823">
        <v>9.67</v>
      </c>
      <c r="N823">
        <v>9.08</v>
      </c>
      <c r="O823">
        <v>9.6199999999999992</v>
      </c>
      <c r="P823">
        <v>98.09</v>
      </c>
      <c r="Q823">
        <v>319844128</v>
      </c>
      <c r="R823">
        <v>1.29</v>
      </c>
      <c r="S823" t="s">
        <v>465</v>
      </c>
      <c r="T823" t="s">
        <v>115</v>
      </c>
      <c r="U823">
        <v>6.13</v>
      </c>
      <c r="V823">
        <v>9.4</v>
      </c>
      <c r="W823">
        <v>198667</v>
      </c>
      <c r="X823">
        <v>141714</v>
      </c>
      <c r="Y823">
        <v>1.4</v>
      </c>
      <c r="Z823">
        <v>1071</v>
      </c>
      <c r="AA823">
        <v>2971</v>
      </c>
      <c r="AB823" t="s">
        <v>116</v>
      </c>
      <c r="AC823">
        <v>464200</v>
      </c>
      <c r="AD823">
        <v>0.01</v>
      </c>
      <c r="AE823" t="s">
        <v>116</v>
      </c>
      <c r="AF823" t="s">
        <v>116</v>
      </c>
      <c r="AG823">
        <v>4.2</v>
      </c>
      <c r="AH823" t="s">
        <v>4995</v>
      </c>
      <c r="AI823" t="s">
        <v>2812</v>
      </c>
      <c r="AJ823">
        <v>-4.41</v>
      </c>
      <c r="AK823">
        <v>3660</v>
      </c>
      <c r="AL823">
        <v>93</v>
      </c>
      <c r="AM823">
        <v>2.2000000000000001E-3</v>
      </c>
      <c r="AN823">
        <v>-1</v>
      </c>
      <c r="AO823">
        <v>-3.38</v>
      </c>
      <c r="AP823">
        <v>3.99</v>
      </c>
      <c r="AQ823">
        <v>10</v>
      </c>
      <c r="AR823">
        <v>23.38</v>
      </c>
      <c r="AS823">
        <v>8.31</v>
      </c>
      <c r="AT823" t="s">
        <v>4996</v>
      </c>
      <c r="AU823" t="s">
        <v>116</v>
      </c>
      <c r="AV823" t="s">
        <v>116</v>
      </c>
      <c r="AW823">
        <v>1.69</v>
      </c>
      <c r="BA823">
        <v>0.1</v>
      </c>
      <c r="BB823">
        <v>0.52</v>
      </c>
      <c r="BC823">
        <v>-5.61</v>
      </c>
      <c r="BD823">
        <v>-2.3199999999999998</v>
      </c>
      <c r="BE823">
        <v>-5.19</v>
      </c>
      <c r="BF823">
        <v>-5.58</v>
      </c>
      <c r="BG823">
        <v>0.55000000000000004</v>
      </c>
      <c r="BH823">
        <v>-2.77</v>
      </c>
      <c r="BI823">
        <v>20191226</v>
      </c>
      <c r="BJ823">
        <v>20100316</v>
      </c>
      <c r="BK823">
        <v>5.78</v>
      </c>
      <c r="BL823" t="s">
        <v>116</v>
      </c>
      <c r="BM823" t="s">
        <v>116</v>
      </c>
      <c r="BN823">
        <v>36.21</v>
      </c>
      <c r="BO823">
        <v>19.84</v>
      </c>
      <c r="BP823">
        <v>-0.05</v>
      </c>
      <c r="BQ823">
        <v>45.36</v>
      </c>
      <c r="BR823">
        <v>17.059999999999999</v>
      </c>
      <c r="BS823">
        <v>11.75</v>
      </c>
      <c r="BT823">
        <v>0.5</v>
      </c>
      <c r="BU823">
        <v>14.14</v>
      </c>
      <c r="BV823">
        <v>3.37</v>
      </c>
      <c r="BW823">
        <v>6.43</v>
      </c>
      <c r="BX823">
        <v>12.98</v>
      </c>
      <c r="BY823">
        <v>21.74</v>
      </c>
      <c r="BZ823">
        <v>18.91</v>
      </c>
      <c r="CA823">
        <v>0.43</v>
      </c>
      <c r="CB823">
        <v>0.12</v>
      </c>
      <c r="CC823">
        <v>0.42</v>
      </c>
      <c r="CD823">
        <v>0.38</v>
      </c>
      <c r="CE823">
        <v>0.4</v>
      </c>
      <c r="CF823">
        <v>0.12</v>
      </c>
      <c r="CG823">
        <v>1.1399999999999999</v>
      </c>
      <c r="CH823">
        <v>2.94</v>
      </c>
      <c r="CI823">
        <v>1.22</v>
      </c>
      <c r="CJ823">
        <v>54000</v>
      </c>
      <c r="CK823">
        <v>7587</v>
      </c>
      <c r="CL823" t="s">
        <v>4997</v>
      </c>
      <c r="CM823">
        <v>6.13</v>
      </c>
      <c r="CN823">
        <v>-4.0199999999999996</v>
      </c>
      <c r="CO823">
        <v>2.66</v>
      </c>
      <c r="CP823">
        <v>17.93</v>
      </c>
      <c r="CQ823">
        <v>2.4300000000000002</v>
      </c>
      <c r="CR823">
        <v>0</v>
      </c>
      <c r="CS823" t="s">
        <v>4071</v>
      </c>
      <c r="CT823">
        <v>3.43</v>
      </c>
      <c r="CU823">
        <v>0</v>
      </c>
      <c r="CV823">
        <v>2.25</v>
      </c>
      <c r="CW823">
        <v>0.2</v>
      </c>
      <c r="CX823">
        <v>0.51</v>
      </c>
      <c r="CY823">
        <v>54.79</v>
      </c>
      <c r="CZ823" t="s">
        <v>4998</v>
      </c>
      <c r="DA823">
        <v>13.05</v>
      </c>
      <c r="DB823">
        <v>1.96</v>
      </c>
      <c r="DC823">
        <v>1.86</v>
      </c>
      <c r="DD823">
        <v>1.1000000000000001</v>
      </c>
      <c r="DE823">
        <v>6851</v>
      </c>
      <c r="DF823">
        <v>2369</v>
      </c>
      <c r="DG823" t="s">
        <v>116</v>
      </c>
      <c r="DH823" t="s">
        <v>116</v>
      </c>
      <c r="DI823" t="s">
        <v>116</v>
      </c>
    </row>
    <row r="824" spans="1:113" x14ac:dyDescent="0.4">
      <c r="A824" t="str">
        <f>"002370"</f>
        <v>002370</v>
      </c>
      <c r="B824" t="s">
        <v>4999</v>
      </c>
      <c r="C824">
        <v>-1.55</v>
      </c>
      <c r="D824">
        <v>6.34</v>
      </c>
      <c r="E824">
        <v>-0.1</v>
      </c>
      <c r="F824">
        <v>6.34</v>
      </c>
      <c r="G824">
        <v>6.35</v>
      </c>
      <c r="H824">
        <v>186982</v>
      </c>
      <c r="I824">
        <v>3889</v>
      </c>
      <c r="J824">
        <v>-0.15</v>
      </c>
      <c r="K824">
        <v>4.03</v>
      </c>
      <c r="L824">
        <v>6.38</v>
      </c>
      <c r="M824">
        <v>6.49</v>
      </c>
      <c r="N824">
        <v>6.33</v>
      </c>
      <c r="O824">
        <v>6.44</v>
      </c>
      <c r="P824">
        <v>369.26</v>
      </c>
      <c r="Q824">
        <v>119658176</v>
      </c>
      <c r="R824">
        <v>0.75</v>
      </c>
      <c r="S824" t="s">
        <v>574</v>
      </c>
      <c r="T824" t="s">
        <v>590</v>
      </c>
      <c r="U824">
        <v>2.48</v>
      </c>
      <c r="V824">
        <v>6.4</v>
      </c>
      <c r="W824">
        <v>107325</v>
      </c>
      <c r="X824">
        <v>79657</v>
      </c>
      <c r="Y824">
        <v>1.35</v>
      </c>
      <c r="Z824">
        <v>1703</v>
      </c>
      <c r="AA824">
        <v>849</v>
      </c>
      <c r="AB824" t="s">
        <v>116</v>
      </c>
      <c r="AC824">
        <v>650800</v>
      </c>
      <c r="AD824">
        <v>0.04</v>
      </c>
      <c r="AE824" t="s">
        <v>116</v>
      </c>
      <c r="AF824" t="s">
        <v>116</v>
      </c>
      <c r="AG824">
        <v>4.6399999999999997</v>
      </c>
      <c r="AH824" t="s">
        <v>5000</v>
      </c>
      <c r="AI824" t="s">
        <v>4805</v>
      </c>
      <c r="AJ824">
        <v>-0.87</v>
      </c>
      <c r="AK824">
        <v>2455</v>
      </c>
      <c r="AL824">
        <v>76</v>
      </c>
      <c r="AM824">
        <v>1.6000000000000001E-3</v>
      </c>
      <c r="AN824">
        <v>-3</v>
      </c>
      <c r="AO824">
        <v>-7.57</v>
      </c>
      <c r="AP824">
        <v>0.96</v>
      </c>
      <c r="AQ824">
        <v>-27.63</v>
      </c>
      <c r="AR824">
        <v>-61.71</v>
      </c>
      <c r="AS824">
        <v>6.73</v>
      </c>
      <c r="AT824" t="s">
        <v>1829</v>
      </c>
      <c r="AU824">
        <v>70.680000000000007</v>
      </c>
      <c r="AV824">
        <v>16.37</v>
      </c>
      <c r="AW824">
        <v>1.77</v>
      </c>
      <c r="BA824">
        <v>-0.93</v>
      </c>
      <c r="BB824">
        <v>0.78</v>
      </c>
      <c r="BC824">
        <v>-1.71</v>
      </c>
      <c r="BD824">
        <v>-0.63</v>
      </c>
      <c r="BE824">
        <v>-0.63</v>
      </c>
      <c r="BF824">
        <v>-2.31</v>
      </c>
      <c r="BG824">
        <v>0.16</v>
      </c>
      <c r="BH824">
        <v>-0.92</v>
      </c>
      <c r="BI824">
        <v>20191030</v>
      </c>
      <c r="BJ824">
        <v>20100316</v>
      </c>
      <c r="BK824">
        <v>5.36</v>
      </c>
      <c r="BL824" t="s">
        <v>116</v>
      </c>
      <c r="BM824" t="s">
        <v>116</v>
      </c>
      <c r="BN824">
        <v>44.24</v>
      </c>
      <c r="BO824">
        <v>26.97</v>
      </c>
      <c r="BP824">
        <v>0.12</v>
      </c>
      <c r="BQ824">
        <v>38.76</v>
      </c>
      <c r="BR824">
        <v>21.09</v>
      </c>
      <c r="BS824">
        <v>3.98</v>
      </c>
      <c r="BT824">
        <v>0.92</v>
      </c>
      <c r="BU824">
        <v>2.46</v>
      </c>
      <c r="BV824">
        <v>1.92</v>
      </c>
      <c r="BW824">
        <v>4.4000000000000004</v>
      </c>
      <c r="BX824">
        <v>13.07</v>
      </c>
      <c r="BY824">
        <v>7.25</v>
      </c>
      <c r="BZ824">
        <v>4.51</v>
      </c>
      <c r="CA824">
        <v>0.18</v>
      </c>
      <c r="CB824">
        <v>0.03</v>
      </c>
      <c r="CC824">
        <v>0.18</v>
      </c>
      <c r="CD824">
        <v>7.0000000000000007E-2</v>
      </c>
      <c r="CE824">
        <v>7.0000000000000007E-2</v>
      </c>
      <c r="CF824">
        <v>-7.0000000000000007E-2</v>
      </c>
      <c r="CG824">
        <v>5.88</v>
      </c>
      <c r="CH824">
        <v>-0.41</v>
      </c>
      <c r="CI824">
        <v>7.37</v>
      </c>
      <c r="CJ824">
        <v>36862</v>
      </c>
      <c r="CK824">
        <v>7533</v>
      </c>
      <c r="CL824" t="s">
        <v>4879</v>
      </c>
      <c r="CM824">
        <v>-95.85</v>
      </c>
      <c r="CN824">
        <v>-24.37</v>
      </c>
      <c r="CO824">
        <v>1.36</v>
      </c>
      <c r="CP824">
        <v>-83.32</v>
      </c>
      <c r="CQ824">
        <v>4.6900000000000004</v>
      </c>
      <c r="CR824">
        <v>0.79</v>
      </c>
      <c r="CS824" t="s">
        <v>910</v>
      </c>
      <c r="CT824">
        <v>4.6500000000000004</v>
      </c>
      <c r="CU824">
        <v>4.6500000000000004</v>
      </c>
      <c r="CV824">
        <v>2.44</v>
      </c>
      <c r="CW824">
        <v>1.1000000000000001</v>
      </c>
      <c r="CX824">
        <v>-0.08</v>
      </c>
      <c r="CY824">
        <v>60.97</v>
      </c>
      <c r="CZ824" t="s">
        <v>572</v>
      </c>
      <c r="DA824">
        <v>37.840000000000003</v>
      </c>
      <c r="DB824">
        <v>2.48</v>
      </c>
      <c r="DC824">
        <v>0.95</v>
      </c>
      <c r="DD824">
        <v>0.34</v>
      </c>
      <c r="DE824">
        <v>1030</v>
      </c>
      <c r="DF824">
        <v>2370</v>
      </c>
      <c r="DG824" t="s">
        <v>116</v>
      </c>
      <c r="DH824" t="s">
        <v>116</v>
      </c>
      <c r="DI824" t="s">
        <v>116</v>
      </c>
    </row>
    <row r="825" spans="1:113" x14ac:dyDescent="0.4">
      <c r="A825" t="str">
        <f>"002371"</f>
        <v>002371</v>
      </c>
      <c r="B825" t="s">
        <v>5001</v>
      </c>
      <c r="C825">
        <v>-4.3600000000000003</v>
      </c>
      <c r="D825">
        <v>88.81</v>
      </c>
      <c r="E825">
        <v>-4.05</v>
      </c>
      <c r="F825">
        <v>88.8</v>
      </c>
      <c r="G825">
        <v>88.81</v>
      </c>
      <c r="H825">
        <v>113202</v>
      </c>
      <c r="I825">
        <v>1139</v>
      </c>
      <c r="J825">
        <v>-0.06</v>
      </c>
      <c r="K825">
        <v>2.4700000000000002</v>
      </c>
      <c r="L825">
        <v>92.5</v>
      </c>
      <c r="M825">
        <v>92.58</v>
      </c>
      <c r="N825">
        <v>88.18</v>
      </c>
      <c r="O825">
        <v>92.86</v>
      </c>
      <c r="P825">
        <v>148.96</v>
      </c>
      <c r="Q825">
        <v>1026405056</v>
      </c>
      <c r="R825">
        <v>0.97</v>
      </c>
      <c r="S825" t="s">
        <v>682</v>
      </c>
      <c r="T825" t="s">
        <v>165</v>
      </c>
      <c r="U825">
        <v>4.74</v>
      </c>
      <c r="V825">
        <v>90.67</v>
      </c>
      <c r="W825">
        <v>66712</v>
      </c>
      <c r="X825">
        <v>46490</v>
      </c>
      <c r="Y825">
        <v>1.43</v>
      </c>
      <c r="Z825">
        <v>67</v>
      </c>
      <c r="AA825">
        <v>89</v>
      </c>
      <c r="AB825" t="s">
        <v>116</v>
      </c>
      <c r="AC825">
        <v>2765800</v>
      </c>
      <c r="AD825">
        <v>0.01</v>
      </c>
      <c r="AE825" t="s">
        <v>116</v>
      </c>
      <c r="AF825" t="s">
        <v>116</v>
      </c>
      <c r="AG825">
        <v>4.58</v>
      </c>
      <c r="AH825" t="s">
        <v>5002</v>
      </c>
      <c r="AI825" t="s">
        <v>5003</v>
      </c>
      <c r="AJ825">
        <v>-3.68</v>
      </c>
      <c r="AK825">
        <v>4432</v>
      </c>
      <c r="AL825">
        <v>26</v>
      </c>
      <c r="AM825">
        <v>5.9999999999999995E-4</v>
      </c>
      <c r="AN825">
        <v>-2</v>
      </c>
      <c r="AO825">
        <v>2.68</v>
      </c>
      <c r="AP825">
        <v>13.57</v>
      </c>
      <c r="AQ825">
        <v>28.71</v>
      </c>
      <c r="AR825">
        <v>135.52000000000001</v>
      </c>
      <c r="AS825">
        <v>5.57</v>
      </c>
      <c r="AT825" t="s">
        <v>5004</v>
      </c>
      <c r="AU825">
        <v>153.19999999999999</v>
      </c>
      <c r="AV825">
        <v>186.46</v>
      </c>
      <c r="AW825">
        <v>1.56</v>
      </c>
      <c r="BA825">
        <v>-0.39</v>
      </c>
      <c r="BB825">
        <v>-0.3</v>
      </c>
      <c r="BC825">
        <v>-5.04</v>
      </c>
      <c r="BD825">
        <v>-2.36</v>
      </c>
      <c r="BE825">
        <v>-3.99</v>
      </c>
      <c r="BF825">
        <v>-4.07</v>
      </c>
      <c r="BG825">
        <v>0.71</v>
      </c>
      <c r="BH825">
        <v>-2</v>
      </c>
      <c r="BI825">
        <v>20191216</v>
      </c>
      <c r="BJ825">
        <v>20100316</v>
      </c>
      <c r="BK825">
        <v>4.91</v>
      </c>
      <c r="BL825" t="s">
        <v>116</v>
      </c>
      <c r="BM825" t="s">
        <v>116</v>
      </c>
      <c r="BN825">
        <v>109.53</v>
      </c>
      <c r="BO825">
        <v>37.43</v>
      </c>
      <c r="BP825">
        <v>2.2599999999999998</v>
      </c>
      <c r="BQ825">
        <v>63.76</v>
      </c>
      <c r="BR825">
        <v>61.15</v>
      </c>
      <c r="BS825">
        <v>18.59</v>
      </c>
      <c r="BT825">
        <v>14.22</v>
      </c>
      <c r="BU825">
        <v>40.64</v>
      </c>
      <c r="BV825">
        <v>35.89</v>
      </c>
      <c r="BW825">
        <v>11.19</v>
      </c>
      <c r="BX825">
        <v>19.05</v>
      </c>
      <c r="BY825">
        <v>27.37</v>
      </c>
      <c r="BZ825">
        <v>15.86</v>
      </c>
      <c r="CA825">
        <v>3.21</v>
      </c>
      <c r="CB825">
        <v>0</v>
      </c>
      <c r="CC825">
        <v>3.32</v>
      </c>
      <c r="CD825">
        <v>2.63</v>
      </c>
      <c r="CE825">
        <v>2.19</v>
      </c>
      <c r="CF825">
        <v>0.72</v>
      </c>
      <c r="CG825">
        <v>13.1</v>
      </c>
      <c r="CH825">
        <v>-9.6</v>
      </c>
      <c r="CI825">
        <v>-4.7</v>
      </c>
      <c r="CJ825">
        <v>30406</v>
      </c>
      <c r="CK825">
        <v>6679</v>
      </c>
      <c r="CL825" t="s">
        <v>5005</v>
      </c>
      <c r="CM825">
        <v>30.09</v>
      </c>
      <c r="CN825">
        <v>30.24</v>
      </c>
      <c r="CO825">
        <v>10.87</v>
      </c>
      <c r="CP825">
        <v>-45.37</v>
      </c>
      <c r="CQ825">
        <v>15.92</v>
      </c>
      <c r="CR825">
        <v>0.05</v>
      </c>
      <c r="CS825" t="s">
        <v>386</v>
      </c>
      <c r="CT825">
        <v>8.17</v>
      </c>
      <c r="CU825">
        <v>8.17</v>
      </c>
      <c r="CV825">
        <v>3.88</v>
      </c>
      <c r="CW825">
        <v>2.67</v>
      </c>
      <c r="CX825">
        <v>-1.96</v>
      </c>
      <c r="CY825">
        <v>34.18</v>
      </c>
      <c r="CZ825" t="s">
        <v>5006</v>
      </c>
      <c r="DA825">
        <v>42.05</v>
      </c>
      <c r="DB825">
        <v>11.72</v>
      </c>
      <c r="DC825">
        <v>8.02</v>
      </c>
      <c r="DD825">
        <v>3.53</v>
      </c>
      <c r="DE825">
        <v>4064</v>
      </c>
      <c r="DF825">
        <v>2371</v>
      </c>
      <c r="DG825" t="s">
        <v>116</v>
      </c>
      <c r="DH825" t="s">
        <v>116</v>
      </c>
      <c r="DI825" t="s">
        <v>116</v>
      </c>
    </row>
    <row r="826" spans="1:113" x14ac:dyDescent="0.4">
      <c r="A826" t="str">
        <f>"002372"</f>
        <v>002372</v>
      </c>
      <c r="B826" t="s">
        <v>5007</v>
      </c>
      <c r="C826">
        <v>-0.86</v>
      </c>
      <c r="D826">
        <v>12.67</v>
      </c>
      <c r="E826">
        <v>-0.11</v>
      </c>
      <c r="F826">
        <v>12.67</v>
      </c>
      <c r="G826">
        <v>12.68</v>
      </c>
      <c r="H826">
        <v>85963</v>
      </c>
      <c r="I826">
        <v>325</v>
      </c>
      <c r="J826">
        <v>0</v>
      </c>
      <c r="K826">
        <v>0.61</v>
      </c>
      <c r="L826">
        <v>12.79</v>
      </c>
      <c r="M826">
        <v>12.82</v>
      </c>
      <c r="N826">
        <v>12.62</v>
      </c>
      <c r="O826">
        <v>12.78</v>
      </c>
      <c r="P826">
        <v>21.59</v>
      </c>
      <c r="Q826">
        <v>109153488</v>
      </c>
      <c r="R826">
        <v>0.82</v>
      </c>
      <c r="S826" t="s">
        <v>249</v>
      </c>
      <c r="T826" t="s">
        <v>590</v>
      </c>
      <c r="U826">
        <v>1.56</v>
      </c>
      <c r="V826">
        <v>12.7</v>
      </c>
      <c r="W826">
        <v>52117</v>
      </c>
      <c r="X826">
        <v>33846</v>
      </c>
      <c r="Y826">
        <v>1.54</v>
      </c>
      <c r="Z826">
        <v>204</v>
      </c>
      <c r="AA826">
        <v>1616</v>
      </c>
      <c r="AB826" t="s">
        <v>116</v>
      </c>
      <c r="AC826">
        <v>117700</v>
      </c>
      <c r="AD826">
        <v>0</v>
      </c>
      <c r="AE826" t="s">
        <v>116</v>
      </c>
      <c r="AF826" t="s">
        <v>116</v>
      </c>
      <c r="AG826">
        <v>14.15</v>
      </c>
      <c r="AH826" t="s">
        <v>5008</v>
      </c>
      <c r="AI826" t="s">
        <v>5009</v>
      </c>
      <c r="AJ826">
        <v>-0.18</v>
      </c>
      <c r="AK826">
        <v>2480</v>
      </c>
      <c r="AL826">
        <v>35</v>
      </c>
      <c r="AM826">
        <v>2.0000000000000001E-4</v>
      </c>
      <c r="AN826">
        <v>-1</v>
      </c>
      <c r="AO826">
        <v>-1.32</v>
      </c>
      <c r="AP826">
        <v>3.68</v>
      </c>
      <c r="AQ826">
        <v>-20.81</v>
      </c>
      <c r="AR826">
        <v>1.97</v>
      </c>
      <c r="AS826">
        <v>1.84</v>
      </c>
      <c r="AT826" t="s">
        <v>5010</v>
      </c>
      <c r="AU826">
        <v>19.600000000000001</v>
      </c>
      <c r="AV826">
        <v>20.37</v>
      </c>
      <c r="AW826">
        <v>0.92</v>
      </c>
      <c r="BA826">
        <v>0.08</v>
      </c>
      <c r="BB826">
        <v>0.31</v>
      </c>
      <c r="BC826">
        <v>-1.25</v>
      </c>
      <c r="BD826">
        <v>-0.64</v>
      </c>
      <c r="BE826">
        <v>-0.94</v>
      </c>
      <c r="BF826">
        <v>-1.17</v>
      </c>
      <c r="BG826">
        <v>0.4</v>
      </c>
      <c r="BH826">
        <v>-0.22</v>
      </c>
      <c r="BI826">
        <v>20191029</v>
      </c>
      <c r="BJ826">
        <v>20100318</v>
      </c>
      <c r="BK826">
        <v>15.73</v>
      </c>
      <c r="BL826" t="s">
        <v>116</v>
      </c>
      <c r="BM826" t="s">
        <v>116</v>
      </c>
      <c r="BN826">
        <v>44.65</v>
      </c>
      <c r="BO826">
        <v>35.96</v>
      </c>
      <c r="BP826">
        <v>0.14000000000000001</v>
      </c>
      <c r="BQ826">
        <v>19.14</v>
      </c>
      <c r="BR826">
        <v>28.4</v>
      </c>
      <c r="BS826">
        <v>8.5299999999999994</v>
      </c>
      <c r="BT826">
        <v>2.67</v>
      </c>
      <c r="BU826">
        <v>8.2799999999999994</v>
      </c>
      <c r="BV826">
        <v>7.56</v>
      </c>
      <c r="BW826">
        <v>3.12</v>
      </c>
      <c r="BX826">
        <v>1.75</v>
      </c>
      <c r="BY826">
        <v>31.2</v>
      </c>
      <c r="BZ826">
        <v>16.600000000000001</v>
      </c>
      <c r="CA826">
        <v>8.2200000000000006</v>
      </c>
      <c r="CB826">
        <v>0.05</v>
      </c>
      <c r="CC826">
        <v>8.23</v>
      </c>
      <c r="CD826">
        <v>6.94</v>
      </c>
      <c r="CE826">
        <v>6.92</v>
      </c>
      <c r="CF826">
        <v>6.52</v>
      </c>
      <c r="CG826">
        <v>14.52</v>
      </c>
      <c r="CH826">
        <v>5.51</v>
      </c>
      <c r="CI826">
        <v>3.3</v>
      </c>
      <c r="CJ826">
        <v>23420</v>
      </c>
      <c r="CK826">
        <v>19988</v>
      </c>
      <c r="CL826" t="s">
        <v>5011</v>
      </c>
      <c r="CM826">
        <v>5.86</v>
      </c>
      <c r="CN826">
        <v>5.15</v>
      </c>
      <c r="CO826">
        <v>5.54</v>
      </c>
      <c r="CP826">
        <v>36.17</v>
      </c>
      <c r="CQ826">
        <v>6.39</v>
      </c>
      <c r="CR826">
        <v>3.95</v>
      </c>
      <c r="CS826" t="s">
        <v>604</v>
      </c>
      <c r="CT826">
        <v>2.29</v>
      </c>
      <c r="CU826">
        <v>0</v>
      </c>
      <c r="CV826">
        <v>0.11</v>
      </c>
      <c r="CW826">
        <v>0.92</v>
      </c>
      <c r="CX826">
        <v>0.35</v>
      </c>
      <c r="CY826">
        <v>80.540000000000006</v>
      </c>
      <c r="CZ826" t="s">
        <v>5012</v>
      </c>
      <c r="DA826">
        <v>46.8</v>
      </c>
      <c r="DB826">
        <v>26.34</v>
      </c>
      <c r="DC826">
        <v>22.19</v>
      </c>
      <c r="DD826">
        <v>1.03</v>
      </c>
      <c r="DE826">
        <v>4388</v>
      </c>
      <c r="DF826">
        <v>2372</v>
      </c>
      <c r="DG826" t="s">
        <v>116</v>
      </c>
      <c r="DH826" t="s">
        <v>116</v>
      </c>
      <c r="DI826" t="s">
        <v>116</v>
      </c>
    </row>
    <row r="827" spans="1:113" x14ac:dyDescent="0.4">
      <c r="A827" t="str">
        <f>"002373"</f>
        <v>002373</v>
      </c>
      <c r="B827" t="s">
        <v>5013</v>
      </c>
      <c r="C827">
        <v>-4.18</v>
      </c>
      <c r="D827">
        <v>18.100000000000001</v>
      </c>
      <c r="E827">
        <v>-0.79</v>
      </c>
      <c r="F827">
        <v>18.09</v>
      </c>
      <c r="G827">
        <v>18.100000000000001</v>
      </c>
      <c r="H827">
        <v>191950</v>
      </c>
      <c r="I827">
        <v>2519</v>
      </c>
      <c r="J827">
        <v>-0.16</v>
      </c>
      <c r="K827">
        <v>2.0099999999999998</v>
      </c>
      <c r="L827">
        <v>18.809999999999999</v>
      </c>
      <c r="M827">
        <v>18.989999999999998</v>
      </c>
      <c r="N827">
        <v>18.079999999999998</v>
      </c>
      <c r="O827">
        <v>18.89</v>
      </c>
      <c r="P827">
        <v>34.229999999999997</v>
      </c>
      <c r="Q827">
        <v>355336736</v>
      </c>
      <c r="R827">
        <v>1.1000000000000001</v>
      </c>
      <c r="S827" t="s">
        <v>607</v>
      </c>
      <c r="T827" t="s">
        <v>165</v>
      </c>
      <c r="U827">
        <v>4.82</v>
      </c>
      <c r="V827">
        <v>18.510000000000002</v>
      </c>
      <c r="W827">
        <v>115188</v>
      </c>
      <c r="X827">
        <v>76762</v>
      </c>
      <c r="Y827">
        <v>1.5</v>
      </c>
      <c r="Z827">
        <v>539</v>
      </c>
      <c r="AA827">
        <v>600</v>
      </c>
      <c r="AB827" t="s">
        <v>116</v>
      </c>
      <c r="AC827">
        <v>462700</v>
      </c>
      <c r="AD827">
        <v>0</v>
      </c>
      <c r="AE827" t="s">
        <v>116</v>
      </c>
      <c r="AF827" t="s">
        <v>116</v>
      </c>
      <c r="AG827">
        <v>9.5299999999999994</v>
      </c>
      <c r="AH827" t="s">
        <v>5014</v>
      </c>
      <c r="AI827" t="s">
        <v>5015</v>
      </c>
      <c r="AJ827">
        <v>-3.5</v>
      </c>
      <c r="AK827">
        <v>3915</v>
      </c>
      <c r="AL827">
        <v>49</v>
      </c>
      <c r="AM827">
        <v>5.0000000000000001E-4</v>
      </c>
      <c r="AN827">
        <v>-2</v>
      </c>
      <c r="AO827">
        <v>-0.82</v>
      </c>
      <c r="AP827">
        <v>7.87</v>
      </c>
      <c r="AQ827">
        <v>2.4900000000000002</v>
      </c>
      <c r="AR827">
        <v>63.58</v>
      </c>
      <c r="AS827">
        <v>2.63</v>
      </c>
      <c r="AT827" t="s">
        <v>5016</v>
      </c>
      <c r="AU827">
        <v>31.26</v>
      </c>
      <c r="AV827">
        <v>35.39</v>
      </c>
      <c r="AW827">
        <v>1.36</v>
      </c>
      <c r="BA827">
        <v>-0.42</v>
      </c>
      <c r="BB827">
        <v>0.53</v>
      </c>
      <c r="BC827">
        <v>-4.29</v>
      </c>
      <c r="BD827">
        <v>-2</v>
      </c>
      <c r="BE827">
        <v>-3.77</v>
      </c>
      <c r="BF827">
        <v>-4.6900000000000004</v>
      </c>
      <c r="BG827">
        <v>0.11</v>
      </c>
      <c r="BH827">
        <v>-2.1800000000000002</v>
      </c>
      <c r="BI827">
        <v>20191224</v>
      </c>
      <c r="BJ827">
        <v>20100318</v>
      </c>
      <c r="BK827">
        <v>14.91</v>
      </c>
      <c r="BL827" t="s">
        <v>116</v>
      </c>
      <c r="BM827" t="s">
        <v>116</v>
      </c>
      <c r="BN827">
        <v>143.62</v>
      </c>
      <c r="BO827">
        <v>85.38</v>
      </c>
      <c r="BP827">
        <v>3.44</v>
      </c>
      <c r="BQ827">
        <v>38.159999999999997</v>
      </c>
      <c r="BR827">
        <v>84.52</v>
      </c>
      <c r="BS827">
        <v>6.1</v>
      </c>
      <c r="BT827">
        <v>7.26</v>
      </c>
      <c r="BU827">
        <v>51.67</v>
      </c>
      <c r="BV827">
        <v>23.08</v>
      </c>
      <c r="BW827">
        <v>32.200000000000003</v>
      </c>
      <c r="BX827">
        <v>43.57</v>
      </c>
      <c r="BY827">
        <v>56.94</v>
      </c>
      <c r="BZ827">
        <v>39</v>
      </c>
      <c r="CA827">
        <v>6.59</v>
      </c>
      <c r="CB827">
        <v>0.02</v>
      </c>
      <c r="CC827">
        <v>6.59</v>
      </c>
      <c r="CD827">
        <v>6.24</v>
      </c>
      <c r="CE827">
        <v>5.91</v>
      </c>
      <c r="CF827">
        <v>5.23</v>
      </c>
      <c r="CG827">
        <v>27.38</v>
      </c>
      <c r="CH827">
        <v>-3.53</v>
      </c>
      <c r="CI827">
        <v>-7.36</v>
      </c>
      <c r="CJ827">
        <v>59846</v>
      </c>
      <c r="CK827">
        <v>12205</v>
      </c>
      <c r="CL827" t="s">
        <v>5017</v>
      </c>
      <c r="CM827">
        <v>20.54</v>
      </c>
      <c r="CN827">
        <v>26.33</v>
      </c>
      <c r="CO827">
        <v>3.15</v>
      </c>
      <c r="CP827">
        <v>-76.44</v>
      </c>
      <c r="CQ827">
        <v>4.74</v>
      </c>
      <c r="CR827">
        <v>0.3</v>
      </c>
      <c r="CS827" t="s">
        <v>4560</v>
      </c>
      <c r="CT827">
        <v>5.74</v>
      </c>
      <c r="CU827">
        <v>5.74</v>
      </c>
      <c r="CV827">
        <v>2.92</v>
      </c>
      <c r="CW827">
        <v>1.84</v>
      </c>
      <c r="CX827">
        <v>-0.24</v>
      </c>
      <c r="CY827">
        <v>59.45</v>
      </c>
      <c r="CZ827" t="s">
        <v>1997</v>
      </c>
      <c r="DA827">
        <v>31.51</v>
      </c>
      <c r="DB827">
        <v>11.58</v>
      </c>
      <c r="DC827">
        <v>10.39</v>
      </c>
      <c r="DD827">
        <v>4.8499999999999996</v>
      </c>
      <c r="DE827">
        <v>5384</v>
      </c>
      <c r="DF827">
        <v>2373</v>
      </c>
      <c r="DG827" t="s">
        <v>116</v>
      </c>
      <c r="DH827" t="s">
        <v>116</v>
      </c>
      <c r="DI827" t="s">
        <v>116</v>
      </c>
    </row>
    <row r="828" spans="1:113" x14ac:dyDescent="0.4">
      <c r="A828" t="str">
        <f>"002374"</f>
        <v>002374</v>
      </c>
      <c r="B828" t="s">
        <v>5018</v>
      </c>
      <c r="C828">
        <v>-1.37</v>
      </c>
      <c r="D828">
        <v>2.89</v>
      </c>
      <c r="E828">
        <v>-0.04</v>
      </c>
      <c r="F828">
        <v>2.89</v>
      </c>
      <c r="G828">
        <v>2.9</v>
      </c>
      <c r="H828">
        <v>86905</v>
      </c>
      <c r="I828">
        <v>1923</v>
      </c>
      <c r="J828">
        <v>0.35</v>
      </c>
      <c r="K828">
        <v>1.1000000000000001</v>
      </c>
      <c r="L828">
        <v>2.93</v>
      </c>
      <c r="M828">
        <v>2.95</v>
      </c>
      <c r="N828">
        <v>2.88</v>
      </c>
      <c r="O828">
        <v>2.93</v>
      </c>
      <c r="P828">
        <v>57.06</v>
      </c>
      <c r="Q828">
        <v>25279256</v>
      </c>
      <c r="R828">
        <v>1.8</v>
      </c>
      <c r="S828" t="s">
        <v>181</v>
      </c>
      <c r="T828" t="s">
        <v>645</v>
      </c>
      <c r="U828">
        <v>2.39</v>
      </c>
      <c r="V828">
        <v>2.91</v>
      </c>
      <c r="W828">
        <v>58423</v>
      </c>
      <c r="X828">
        <v>28482</v>
      </c>
      <c r="Y828">
        <v>2.0499999999999998</v>
      </c>
      <c r="Z828">
        <v>913</v>
      </c>
      <c r="AA828">
        <v>2784</v>
      </c>
      <c r="AB828" t="s">
        <v>116</v>
      </c>
      <c r="AC828">
        <v>5900</v>
      </c>
      <c r="AD828">
        <v>0</v>
      </c>
      <c r="AE828" t="s">
        <v>116</v>
      </c>
      <c r="AF828" t="s">
        <v>116</v>
      </c>
      <c r="AG828">
        <v>7.91</v>
      </c>
      <c r="AH828" t="s">
        <v>741</v>
      </c>
      <c r="AI828" t="s">
        <v>5019</v>
      </c>
      <c r="AJ828">
        <v>-0.69</v>
      </c>
      <c r="AK828">
        <v>772</v>
      </c>
      <c r="AL828">
        <v>113</v>
      </c>
      <c r="AM828">
        <v>1.4E-3</v>
      </c>
      <c r="AN828">
        <v>-1</v>
      </c>
      <c r="AO828">
        <v>-0.01</v>
      </c>
      <c r="AP828">
        <v>2.48</v>
      </c>
      <c r="AQ828">
        <v>2.12</v>
      </c>
      <c r="AR828">
        <v>-4.93</v>
      </c>
      <c r="AS828">
        <v>1.49</v>
      </c>
      <c r="AT828" t="s">
        <v>3420</v>
      </c>
      <c r="AU828" t="s">
        <v>116</v>
      </c>
      <c r="AV828" t="s">
        <v>116</v>
      </c>
      <c r="AW828">
        <v>0.77</v>
      </c>
      <c r="BA828">
        <v>0</v>
      </c>
      <c r="BB828">
        <v>0.68</v>
      </c>
      <c r="BC828">
        <v>-1.71</v>
      </c>
      <c r="BD828">
        <v>-0.72</v>
      </c>
      <c r="BE828">
        <v>-1.37</v>
      </c>
      <c r="BF828">
        <v>-2.0299999999999998</v>
      </c>
      <c r="BG828">
        <v>0.35</v>
      </c>
      <c r="BH828">
        <v>-0.64</v>
      </c>
      <c r="BI828">
        <v>20191031</v>
      </c>
      <c r="BJ828">
        <v>20100318</v>
      </c>
      <c r="BK828">
        <v>8.77</v>
      </c>
      <c r="BL828" t="s">
        <v>116</v>
      </c>
      <c r="BM828" t="s">
        <v>116</v>
      </c>
      <c r="BN828">
        <v>59.37</v>
      </c>
      <c r="BO828">
        <v>24.28</v>
      </c>
      <c r="BP828">
        <v>1.49</v>
      </c>
      <c r="BQ828">
        <v>56.6</v>
      </c>
      <c r="BR828">
        <v>22.85</v>
      </c>
      <c r="BS828">
        <v>6.51</v>
      </c>
      <c r="BT828">
        <v>1.18</v>
      </c>
      <c r="BU828">
        <v>23.32</v>
      </c>
      <c r="BV828">
        <v>8.06</v>
      </c>
      <c r="BW828">
        <v>10.02</v>
      </c>
      <c r="BX828">
        <v>18.059999999999999</v>
      </c>
      <c r="BY828">
        <v>7.34</v>
      </c>
      <c r="BZ828">
        <v>6.14</v>
      </c>
      <c r="CA828">
        <v>0.52</v>
      </c>
      <c r="CB828">
        <v>0</v>
      </c>
      <c r="CC828">
        <v>0.51</v>
      </c>
      <c r="CD828">
        <v>0.36</v>
      </c>
      <c r="CE828">
        <v>0.33</v>
      </c>
      <c r="CF828">
        <v>-0.11</v>
      </c>
      <c r="CG828">
        <v>-2.71</v>
      </c>
      <c r="CH828">
        <v>0.25</v>
      </c>
      <c r="CI828">
        <v>1.3</v>
      </c>
      <c r="CJ828">
        <v>34894</v>
      </c>
      <c r="CK828">
        <v>16730</v>
      </c>
      <c r="CL828" t="s">
        <v>5020</v>
      </c>
      <c r="CM828">
        <v>44.88</v>
      </c>
      <c r="CN828">
        <v>-24.32</v>
      </c>
      <c r="CO828">
        <v>1.04</v>
      </c>
      <c r="CP828">
        <v>101.63</v>
      </c>
      <c r="CQ828">
        <v>3.46</v>
      </c>
      <c r="CR828">
        <v>0</v>
      </c>
      <c r="CS828" t="s">
        <v>2865</v>
      </c>
      <c r="CT828">
        <v>2.77</v>
      </c>
      <c r="CU828">
        <v>0</v>
      </c>
      <c r="CV828">
        <v>2.06</v>
      </c>
      <c r="CW828">
        <v>-0.31</v>
      </c>
      <c r="CX828">
        <v>0.03</v>
      </c>
      <c r="CY828">
        <v>40.9</v>
      </c>
      <c r="CZ828" t="s">
        <v>5021</v>
      </c>
      <c r="DA828">
        <v>16.3</v>
      </c>
      <c r="DB828">
        <v>7.13</v>
      </c>
      <c r="DC828">
        <v>4.54</v>
      </c>
      <c r="DD828">
        <v>0.04</v>
      </c>
      <c r="DE828">
        <v>1886</v>
      </c>
      <c r="DF828">
        <v>2374</v>
      </c>
      <c r="DG828" t="s">
        <v>116</v>
      </c>
      <c r="DH828" t="s">
        <v>116</v>
      </c>
      <c r="DI828" t="s">
        <v>116</v>
      </c>
    </row>
    <row r="829" spans="1:113" x14ac:dyDescent="0.4">
      <c r="A829" t="str">
        <f>"002375"</f>
        <v>002375</v>
      </c>
      <c r="B829" t="s">
        <v>5022</v>
      </c>
      <c r="C829">
        <v>-1.05</v>
      </c>
      <c r="D829">
        <v>5.67</v>
      </c>
      <c r="E829">
        <v>-0.06</v>
      </c>
      <c r="F829">
        <v>5.66</v>
      </c>
      <c r="G829">
        <v>5.67</v>
      </c>
      <c r="H829">
        <v>46417</v>
      </c>
      <c r="I829">
        <v>799</v>
      </c>
      <c r="J829">
        <v>0.53</v>
      </c>
      <c r="K829">
        <v>0.38</v>
      </c>
      <c r="L829">
        <v>5.7</v>
      </c>
      <c r="M829">
        <v>5.77</v>
      </c>
      <c r="N829">
        <v>5.64</v>
      </c>
      <c r="O829">
        <v>5.73</v>
      </c>
      <c r="P829">
        <v>19.13</v>
      </c>
      <c r="Q829">
        <v>26537534</v>
      </c>
      <c r="R829">
        <v>0.98</v>
      </c>
      <c r="S829" t="s">
        <v>3331</v>
      </c>
      <c r="T829" t="s">
        <v>590</v>
      </c>
      <c r="U829">
        <v>2.27</v>
      </c>
      <c r="V829">
        <v>5.72</v>
      </c>
      <c r="W829">
        <v>28007</v>
      </c>
      <c r="X829">
        <v>18410</v>
      </c>
      <c r="Y829">
        <v>1.52</v>
      </c>
      <c r="Z829">
        <v>25</v>
      </c>
      <c r="AA829">
        <v>854</v>
      </c>
      <c r="AB829" t="s">
        <v>116</v>
      </c>
      <c r="AC829">
        <v>0</v>
      </c>
      <c r="AD829">
        <v>0</v>
      </c>
      <c r="AE829" t="s">
        <v>116</v>
      </c>
      <c r="AF829" t="s">
        <v>116</v>
      </c>
      <c r="AG829">
        <v>12.13</v>
      </c>
      <c r="AH829" t="s">
        <v>5023</v>
      </c>
      <c r="AI829" t="s">
        <v>5024</v>
      </c>
      <c r="AJ829">
        <v>-0.37</v>
      </c>
      <c r="AK829">
        <v>1184</v>
      </c>
      <c r="AL829">
        <v>39</v>
      </c>
      <c r="AM829">
        <v>2.9999999999999997E-4</v>
      </c>
      <c r="AN829">
        <v>-3</v>
      </c>
      <c r="AO829">
        <v>-1.73</v>
      </c>
      <c r="AP829">
        <v>1.43</v>
      </c>
      <c r="AQ829">
        <v>5</v>
      </c>
      <c r="AR829">
        <v>13.45</v>
      </c>
      <c r="AS829">
        <v>0.77</v>
      </c>
      <c r="AT829" t="s">
        <v>5025</v>
      </c>
      <c r="AU829">
        <v>21.42</v>
      </c>
      <c r="AV829">
        <v>20.6</v>
      </c>
      <c r="AW829">
        <v>0.84</v>
      </c>
      <c r="BA829">
        <v>-0.52</v>
      </c>
      <c r="BB829">
        <v>0.7</v>
      </c>
      <c r="BC829">
        <v>-1.57</v>
      </c>
      <c r="BD829">
        <v>-0.22</v>
      </c>
      <c r="BE829">
        <v>-0.53</v>
      </c>
      <c r="BF829">
        <v>-1.73</v>
      </c>
      <c r="BG829">
        <v>0.53</v>
      </c>
      <c r="BH829">
        <v>-0.82</v>
      </c>
      <c r="BI829">
        <v>20191226</v>
      </c>
      <c r="BJ829">
        <v>20100323</v>
      </c>
      <c r="BK829">
        <v>13.4</v>
      </c>
      <c r="BL829" t="s">
        <v>116</v>
      </c>
      <c r="BM829" t="s">
        <v>116</v>
      </c>
      <c r="BN829">
        <v>207.91</v>
      </c>
      <c r="BO829">
        <v>79.17</v>
      </c>
      <c r="BP829">
        <v>2.5</v>
      </c>
      <c r="BQ829">
        <v>60.72</v>
      </c>
      <c r="BR829">
        <v>177.33</v>
      </c>
      <c r="BS829">
        <v>7.52</v>
      </c>
      <c r="BT829">
        <v>2.42</v>
      </c>
      <c r="BU829">
        <v>125.21</v>
      </c>
      <c r="BV829">
        <v>21.3</v>
      </c>
      <c r="BW829">
        <v>122.81</v>
      </c>
      <c r="BX829">
        <v>19.09</v>
      </c>
      <c r="BY829">
        <v>75.13</v>
      </c>
      <c r="BZ829">
        <v>64.36</v>
      </c>
      <c r="CA829">
        <v>3.6</v>
      </c>
      <c r="CB829">
        <v>0.38</v>
      </c>
      <c r="CC829">
        <v>3.6</v>
      </c>
      <c r="CD829">
        <v>3.1</v>
      </c>
      <c r="CE829">
        <v>2.98</v>
      </c>
      <c r="CF829">
        <v>2.59</v>
      </c>
      <c r="CG829">
        <v>45.05</v>
      </c>
      <c r="CH829">
        <v>-6.7</v>
      </c>
      <c r="CI829">
        <v>-8.9600000000000009</v>
      </c>
      <c r="CJ829">
        <v>34415</v>
      </c>
      <c r="CK829">
        <v>17585</v>
      </c>
      <c r="CL829" t="s">
        <v>5026</v>
      </c>
      <c r="CM829">
        <v>-4.53</v>
      </c>
      <c r="CN829">
        <v>15.29</v>
      </c>
      <c r="CO829">
        <v>0.96</v>
      </c>
      <c r="CP829">
        <v>-11.34</v>
      </c>
      <c r="CQ829">
        <v>1.01</v>
      </c>
      <c r="CR829">
        <v>0.72</v>
      </c>
      <c r="CS829" t="s">
        <v>3753</v>
      </c>
      <c r="CT829">
        <v>5.91</v>
      </c>
      <c r="CU829">
        <v>0</v>
      </c>
      <c r="CV829">
        <v>1.42</v>
      </c>
      <c r="CW829">
        <v>3.36</v>
      </c>
      <c r="CX829">
        <v>-0.5</v>
      </c>
      <c r="CY829">
        <v>38.08</v>
      </c>
      <c r="CZ829" t="s">
        <v>1972</v>
      </c>
      <c r="DA829">
        <v>14.33</v>
      </c>
      <c r="DB829">
        <v>4.8</v>
      </c>
      <c r="DC829">
        <v>3.96</v>
      </c>
      <c r="DD829">
        <v>1.87</v>
      </c>
      <c r="DE829">
        <v>6153</v>
      </c>
      <c r="DF829">
        <v>2375</v>
      </c>
      <c r="DG829" t="s">
        <v>116</v>
      </c>
      <c r="DH829" t="s">
        <v>116</v>
      </c>
      <c r="DI829" t="s">
        <v>116</v>
      </c>
    </row>
    <row r="830" spans="1:113" x14ac:dyDescent="0.4">
      <c r="A830" t="str">
        <f>"002376"</f>
        <v>002376</v>
      </c>
      <c r="B830" t="s">
        <v>5027</v>
      </c>
      <c r="C830">
        <v>-0.99</v>
      </c>
      <c r="D830">
        <v>12.03</v>
      </c>
      <c r="E830">
        <v>-0.12</v>
      </c>
      <c r="F830">
        <v>12.03</v>
      </c>
      <c r="G830">
        <v>12.04</v>
      </c>
      <c r="H830">
        <v>55935</v>
      </c>
      <c r="I830">
        <v>1023</v>
      </c>
      <c r="J830">
        <v>0</v>
      </c>
      <c r="K830">
        <v>0.87</v>
      </c>
      <c r="L830">
        <v>12.13</v>
      </c>
      <c r="M830">
        <v>12.33</v>
      </c>
      <c r="N830">
        <v>12.02</v>
      </c>
      <c r="O830">
        <v>12.15</v>
      </c>
      <c r="P830">
        <v>27.37</v>
      </c>
      <c r="Q830">
        <v>68015832</v>
      </c>
      <c r="R830">
        <v>1.21</v>
      </c>
      <c r="S830" t="s">
        <v>241</v>
      </c>
      <c r="T830" t="s">
        <v>645</v>
      </c>
      <c r="U830">
        <v>2.5499999999999998</v>
      </c>
      <c r="V830">
        <v>12.16</v>
      </c>
      <c r="W830">
        <v>36738</v>
      </c>
      <c r="X830">
        <v>19197</v>
      </c>
      <c r="Y830">
        <v>1.91</v>
      </c>
      <c r="Z830">
        <v>359</v>
      </c>
      <c r="AA830">
        <v>289</v>
      </c>
      <c r="AB830" t="s">
        <v>116</v>
      </c>
      <c r="AC830">
        <v>228800</v>
      </c>
      <c r="AD830">
        <v>0</v>
      </c>
      <c r="AE830" t="s">
        <v>116</v>
      </c>
      <c r="AF830" t="s">
        <v>116</v>
      </c>
      <c r="AG830">
        <v>6.46</v>
      </c>
      <c r="AH830" t="s">
        <v>5028</v>
      </c>
      <c r="AI830" t="s">
        <v>5029</v>
      </c>
      <c r="AJ830">
        <v>-0.31</v>
      </c>
      <c r="AK830">
        <v>1722</v>
      </c>
      <c r="AL830">
        <v>32</v>
      </c>
      <c r="AM830">
        <v>5.0000000000000001E-4</v>
      </c>
      <c r="AN830">
        <v>-1</v>
      </c>
      <c r="AO830">
        <v>0.42</v>
      </c>
      <c r="AP830">
        <v>3.17</v>
      </c>
      <c r="AQ830">
        <v>-5.79</v>
      </c>
      <c r="AR830">
        <v>-20.54</v>
      </c>
      <c r="AS830">
        <v>1.28</v>
      </c>
      <c r="AT830" t="s">
        <v>5030</v>
      </c>
      <c r="AU830">
        <v>23.62</v>
      </c>
      <c r="AV830">
        <v>21.05</v>
      </c>
      <c r="AW830">
        <v>1.08</v>
      </c>
      <c r="BA830">
        <v>-0.16</v>
      </c>
      <c r="BB830">
        <v>1.48</v>
      </c>
      <c r="BC830">
        <v>-1.07</v>
      </c>
      <c r="BD830">
        <v>0.08</v>
      </c>
      <c r="BE830">
        <v>-0.82</v>
      </c>
      <c r="BF830">
        <v>-2.4300000000000002</v>
      </c>
      <c r="BG830">
        <v>0.08</v>
      </c>
      <c r="BH830">
        <v>-1.07</v>
      </c>
      <c r="BI830">
        <v>20191204</v>
      </c>
      <c r="BJ830">
        <v>20100323</v>
      </c>
      <c r="BK830">
        <v>6.66</v>
      </c>
      <c r="BL830" t="s">
        <v>116</v>
      </c>
      <c r="BM830" t="s">
        <v>116</v>
      </c>
      <c r="BN830">
        <v>48.18</v>
      </c>
      <c r="BO830">
        <v>32.85</v>
      </c>
      <c r="BP830">
        <v>2.79</v>
      </c>
      <c r="BQ830">
        <v>26.03</v>
      </c>
      <c r="BR830">
        <v>22.63</v>
      </c>
      <c r="BS830">
        <v>10.53</v>
      </c>
      <c r="BT830">
        <v>1.88</v>
      </c>
      <c r="BU830">
        <v>12.01</v>
      </c>
      <c r="BV830">
        <v>6.26</v>
      </c>
      <c r="BW830">
        <v>7.15</v>
      </c>
      <c r="BX830">
        <v>9.9499999999999993</v>
      </c>
      <c r="BY830">
        <v>15.59</v>
      </c>
      <c r="BZ830">
        <v>9.81</v>
      </c>
      <c r="CA830">
        <v>2.86</v>
      </c>
      <c r="CB830">
        <v>1.52</v>
      </c>
      <c r="CC830">
        <v>2.89</v>
      </c>
      <c r="CD830">
        <v>2.63</v>
      </c>
      <c r="CE830">
        <v>2.19</v>
      </c>
      <c r="CF830">
        <v>1.63</v>
      </c>
      <c r="CG830">
        <v>13.58</v>
      </c>
      <c r="CH830">
        <v>1.44</v>
      </c>
      <c r="CI830">
        <v>-0.79</v>
      </c>
      <c r="CJ830">
        <v>36478</v>
      </c>
      <c r="CK830">
        <v>11962</v>
      </c>
      <c r="CL830" t="s">
        <v>5031</v>
      </c>
      <c r="CM830">
        <v>-15.88</v>
      </c>
      <c r="CN830">
        <v>-13.21</v>
      </c>
      <c r="CO830">
        <v>2.44</v>
      </c>
      <c r="CP830">
        <v>55.56</v>
      </c>
      <c r="CQ830">
        <v>5.14</v>
      </c>
      <c r="CR830">
        <v>1.66</v>
      </c>
      <c r="CS830" t="s">
        <v>4952</v>
      </c>
      <c r="CT830">
        <v>4.93</v>
      </c>
      <c r="CU830">
        <v>0</v>
      </c>
      <c r="CV830">
        <v>1.49</v>
      </c>
      <c r="CW830">
        <v>2.04</v>
      </c>
      <c r="CX830">
        <v>0.22</v>
      </c>
      <c r="CY830">
        <v>68.180000000000007</v>
      </c>
      <c r="CZ830" t="s">
        <v>3055</v>
      </c>
      <c r="DA830">
        <v>37.03</v>
      </c>
      <c r="DB830">
        <v>18.32</v>
      </c>
      <c r="DC830">
        <v>14.08</v>
      </c>
      <c r="DD830">
        <v>2.59</v>
      </c>
      <c r="DE830">
        <v>4310</v>
      </c>
      <c r="DF830">
        <v>2376</v>
      </c>
      <c r="DG830" t="s">
        <v>116</v>
      </c>
      <c r="DH830" t="s">
        <v>116</v>
      </c>
      <c r="DI830" t="s">
        <v>116</v>
      </c>
    </row>
    <row r="831" spans="1:113" x14ac:dyDescent="0.4">
      <c r="A831" t="str">
        <f>"002377"</f>
        <v>002377</v>
      </c>
      <c r="B831" t="s">
        <v>5032</v>
      </c>
      <c r="C831">
        <v>0</v>
      </c>
      <c r="D831">
        <v>4.0199999999999996</v>
      </c>
      <c r="E831">
        <v>0</v>
      </c>
      <c r="F831">
        <v>4.0199999999999996</v>
      </c>
      <c r="G831">
        <v>4.03</v>
      </c>
      <c r="H831">
        <v>52418</v>
      </c>
      <c r="I831">
        <v>421</v>
      </c>
      <c r="J831">
        <v>0</v>
      </c>
      <c r="K831">
        <v>1.08</v>
      </c>
      <c r="L831">
        <v>4</v>
      </c>
      <c r="M831">
        <v>4.04</v>
      </c>
      <c r="N831">
        <v>3.99</v>
      </c>
      <c r="O831">
        <v>4.0199999999999996</v>
      </c>
      <c r="P831">
        <v>11.74</v>
      </c>
      <c r="Q831">
        <v>21073144</v>
      </c>
      <c r="R831">
        <v>1.21</v>
      </c>
      <c r="S831" t="s">
        <v>419</v>
      </c>
      <c r="T831" t="s">
        <v>774</v>
      </c>
      <c r="U831">
        <v>1.24</v>
      </c>
      <c r="V831">
        <v>4.0199999999999996</v>
      </c>
      <c r="W831">
        <v>30305</v>
      </c>
      <c r="X831">
        <v>22113</v>
      </c>
      <c r="Y831">
        <v>1.37</v>
      </c>
      <c r="Z831">
        <v>730</v>
      </c>
      <c r="AA831">
        <v>646</v>
      </c>
      <c r="AB831" t="s">
        <v>116</v>
      </c>
      <c r="AC831">
        <v>72400</v>
      </c>
      <c r="AD831">
        <v>0.01</v>
      </c>
      <c r="AE831" t="s">
        <v>116</v>
      </c>
      <c r="AF831" t="s">
        <v>116</v>
      </c>
      <c r="AG831">
        <v>4.8600000000000003</v>
      </c>
      <c r="AH831" t="s">
        <v>5033</v>
      </c>
      <c r="AI831" t="s">
        <v>5034</v>
      </c>
      <c r="AJ831">
        <v>0.68</v>
      </c>
      <c r="AK831">
        <v>1175</v>
      </c>
      <c r="AL831">
        <v>45</v>
      </c>
      <c r="AM831">
        <v>8.9999999999999998E-4</v>
      </c>
      <c r="AN831">
        <v>0</v>
      </c>
      <c r="AO831">
        <v>1.51</v>
      </c>
      <c r="AP831">
        <v>7.2</v>
      </c>
      <c r="AQ831">
        <v>3.34</v>
      </c>
      <c r="AR831">
        <v>-4.0599999999999996</v>
      </c>
      <c r="AS831">
        <v>1.96</v>
      </c>
      <c r="AT831" t="s">
        <v>5035</v>
      </c>
      <c r="AU831">
        <v>11.28</v>
      </c>
      <c r="AV831">
        <v>11.8</v>
      </c>
      <c r="AW831">
        <v>0.78</v>
      </c>
      <c r="BA831">
        <v>-0.5</v>
      </c>
      <c r="BB831">
        <v>0.5</v>
      </c>
      <c r="BC831">
        <v>-0.75</v>
      </c>
      <c r="BD831">
        <v>0.01</v>
      </c>
      <c r="BE831">
        <v>0.5</v>
      </c>
      <c r="BF831">
        <v>-0.5</v>
      </c>
      <c r="BG831">
        <v>0.75</v>
      </c>
      <c r="BH831">
        <v>-0.01</v>
      </c>
      <c r="BI831">
        <v>20191029</v>
      </c>
      <c r="BJ831">
        <v>20100323</v>
      </c>
      <c r="BK831">
        <v>9.16</v>
      </c>
      <c r="BL831" t="s">
        <v>116</v>
      </c>
      <c r="BM831" t="s">
        <v>116</v>
      </c>
      <c r="BN831">
        <v>70.91</v>
      </c>
      <c r="BO831">
        <v>53.09</v>
      </c>
      <c r="BP831">
        <v>1.24</v>
      </c>
      <c r="BQ831">
        <v>23.39</v>
      </c>
      <c r="BR831">
        <v>26.93</v>
      </c>
      <c r="BS831">
        <v>1.21</v>
      </c>
      <c r="BT831">
        <v>2.67</v>
      </c>
      <c r="BU831">
        <v>16.38</v>
      </c>
      <c r="BV831">
        <v>2.27</v>
      </c>
      <c r="BW831">
        <v>9.4</v>
      </c>
      <c r="BX831">
        <v>36.42</v>
      </c>
      <c r="BY831">
        <v>37.01</v>
      </c>
      <c r="BZ831">
        <v>31.18</v>
      </c>
      <c r="CA831">
        <v>2.58</v>
      </c>
      <c r="CB831">
        <v>0.03</v>
      </c>
      <c r="CC831">
        <v>2.57</v>
      </c>
      <c r="CD831">
        <v>2.27</v>
      </c>
      <c r="CE831">
        <v>2.35</v>
      </c>
      <c r="CF831">
        <v>2.27</v>
      </c>
      <c r="CG831">
        <v>7.24</v>
      </c>
      <c r="CH831">
        <v>0.62</v>
      </c>
      <c r="CI831">
        <v>-2.2799999999999998</v>
      </c>
      <c r="CJ831">
        <v>28805</v>
      </c>
      <c r="CK831">
        <v>9272</v>
      </c>
      <c r="CL831" t="s">
        <v>3654</v>
      </c>
      <c r="CM831">
        <v>6.56</v>
      </c>
      <c r="CN831">
        <v>14.83</v>
      </c>
      <c r="CO831">
        <v>0.69</v>
      </c>
      <c r="CP831">
        <v>59.5</v>
      </c>
      <c r="CQ831">
        <v>1</v>
      </c>
      <c r="CR831">
        <v>0</v>
      </c>
      <c r="CS831" t="s">
        <v>5036</v>
      </c>
      <c r="CT831">
        <v>5.79</v>
      </c>
      <c r="CU831">
        <v>0</v>
      </c>
      <c r="CV831">
        <v>3.97</v>
      </c>
      <c r="CW831">
        <v>0.79</v>
      </c>
      <c r="CX831">
        <v>7.0000000000000007E-2</v>
      </c>
      <c r="CY831">
        <v>74.87</v>
      </c>
      <c r="CZ831" t="s">
        <v>5037</v>
      </c>
      <c r="DA831">
        <v>15.75</v>
      </c>
      <c r="DB831">
        <v>6.97</v>
      </c>
      <c r="DC831">
        <v>6.36</v>
      </c>
      <c r="DD831">
        <v>0.61</v>
      </c>
      <c r="DE831">
        <v>5931</v>
      </c>
      <c r="DF831">
        <v>2377</v>
      </c>
      <c r="DG831" t="s">
        <v>116</v>
      </c>
      <c r="DH831" t="s">
        <v>116</v>
      </c>
      <c r="DI831" t="s">
        <v>116</v>
      </c>
    </row>
    <row r="832" spans="1:113" x14ac:dyDescent="0.4">
      <c r="A832" t="str">
        <f>"002378"</f>
        <v>002378</v>
      </c>
      <c r="B832" t="s">
        <v>5038</v>
      </c>
      <c r="C832">
        <v>1.32</v>
      </c>
      <c r="D832">
        <v>5.36</v>
      </c>
      <c r="E832">
        <v>7.0000000000000007E-2</v>
      </c>
      <c r="F832">
        <v>5.35</v>
      </c>
      <c r="G832">
        <v>5.36</v>
      </c>
      <c r="H832">
        <v>289664</v>
      </c>
      <c r="I832">
        <v>2031</v>
      </c>
      <c r="J832">
        <v>0</v>
      </c>
      <c r="K832">
        <v>3.14</v>
      </c>
      <c r="L832">
        <v>5.29</v>
      </c>
      <c r="M832">
        <v>5.57</v>
      </c>
      <c r="N832">
        <v>5.25</v>
      </c>
      <c r="O832">
        <v>5.29</v>
      </c>
      <c r="P832" t="s">
        <v>116</v>
      </c>
      <c r="Q832">
        <v>157193584</v>
      </c>
      <c r="R832">
        <v>2.88</v>
      </c>
      <c r="S832" t="s">
        <v>1509</v>
      </c>
      <c r="T832" t="s">
        <v>683</v>
      </c>
      <c r="U832">
        <v>6.05</v>
      </c>
      <c r="V832">
        <v>5.43</v>
      </c>
      <c r="W832">
        <v>143864</v>
      </c>
      <c r="X832">
        <v>145800</v>
      </c>
      <c r="Y832">
        <v>0.99</v>
      </c>
      <c r="Z832">
        <v>567</v>
      </c>
      <c r="AA832">
        <v>955</v>
      </c>
      <c r="AB832" t="s">
        <v>116</v>
      </c>
      <c r="AC832">
        <v>88900</v>
      </c>
      <c r="AD832">
        <v>0.01</v>
      </c>
      <c r="AE832" t="s">
        <v>116</v>
      </c>
      <c r="AF832" t="s">
        <v>116</v>
      </c>
      <c r="AG832">
        <v>9.23</v>
      </c>
      <c r="AH832" t="s">
        <v>421</v>
      </c>
      <c r="AI832" t="s">
        <v>5039</v>
      </c>
      <c r="AJ832">
        <v>2</v>
      </c>
      <c r="AK832">
        <v>3276</v>
      </c>
      <c r="AL832">
        <v>88</v>
      </c>
      <c r="AM832">
        <v>1E-3</v>
      </c>
      <c r="AN832">
        <v>2</v>
      </c>
      <c r="AO832">
        <v>1.1299999999999999</v>
      </c>
      <c r="AP832">
        <v>9.84</v>
      </c>
      <c r="AQ832">
        <v>-26.68</v>
      </c>
      <c r="AR832">
        <v>14.04</v>
      </c>
      <c r="AS832">
        <v>8.7899999999999991</v>
      </c>
      <c r="AT832" t="s">
        <v>5040</v>
      </c>
      <c r="AU832" t="s">
        <v>116</v>
      </c>
      <c r="AV832">
        <v>107.03</v>
      </c>
      <c r="AW832">
        <v>1.36</v>
      </c>
      <c r="BA832">
        <v>0</v>
      </c>
      <c r="BB832">
        <v>5.29</v>
      </c>
      <c r="BC832">
        <v>-0.76</v>
      </c>
      <c r="BD832">
        <v>2.59</v>
      </c>
      <c r="BE832">
        <v>1.32</v>
      </c>
      <c r="BF832">
        <v>-3.77</v>
      </c>
      <c r="BG832">
        <v>2.1</v>
      </c>
      <c r="BH832">
        <v>-1.26</v>
      </c>
      <c r="BI832">
        <v>20191126</v>
      </c>
      <c r="BJ832">
        <v>20100331</v>
      </c>
      <c r="BK832">
        <v>9.24</v>
      </c>
      <c r="BL832" t="s">
        <v>116</v>
      </c>
      <c r="BM832" t="s">
        <v>116</v>
      </c>
      <c r="BN832">
        <v>38.880000000000003</v>
      </c>
      <c r="BO832">
        <v>18.59</v>
      </c>
      <c r="BP832">
        <v>0.08</v>
      </c>
      <c r="BQ832">
        <v>51.97</v>
      </c>
      <c r="BR832">
        <v>19.41</v>
      </c>
      <c r="BS832">
        <v>12.37</v>
      </c>
      <c r="BT832">
        <v>1.57</v>
      </c>
      <c r="BU832">
        <v>13.78</v>
      </c>
      <c r="BV832">
        <v>7.88</v>
      </c>
      <c r="BW832">
        <v>4.97</v>
      </c>
      <c r="BX832">
        <v>5.77</v>
      </c>
      <c r="BY832">
        <v>13.83</v>
      </c>
      <c r="BZ832">
        <v>12.68</v>
      </c>
      <c r="CA832">
        <v>-1.1000000000000001</v>
      </c>
      <c r="CB832">
        <v>0.04</v>
      </c>
      <c r="CC832">
        <v>-1.1399999999999999</v>
      </c>
      <c r="CD832">
        <v>-1.1399999999999999</v>
      </c>
      <c r="CE832">
        <v>-1.1399999999999999</v>
      </c>
      <c r="CF832">
        <v>-1.59</v>
      </c>
      <c r="CG832">
        <v>1.54</v>
      </c>
      <c r="CH832">
        <v>2.52</v>
      </c>
      <c r="CI832">
        <v>1.58</v>
      </c>
      <c r="CJ832">
        <v>51242</v>
      </c>
      <c r="CK832">
        <v>6434</v>
      </c>
      <c r="CL832" t="s">
        <v>5041</v>
      </c>
      <c r="CM832">
        <v>-510.87</v>
      </c>
      <c r="CN832">
        <v>-0.2</v>
      </c>
      <c r="CO832">
        <v>2.66</v>
      </c>
      <c r="CP832">
        <v>19.68</v>
      </c>
      <c r="CQ832">
        <v>3.58</v>
      </c>
      <c r="CR832">
        <v>0.37</v>
      </c>
      <c r="CS832" t="s">
        <v>1237</v>
      </c>
      <c r="CT832">
        <v>2.0099999999999998</v>
      </c>
      <c r="CU832">
        <v>0</v>
      </c>
      <c r="CV832">
        <v>0.62</v>
      </c>
      <c r="CW832">
        <v>0.17</v>
      </c>
      <c r="CX832">
        <v>0.27</v>
      </c>
      <c r="CY832">
        <v>47.81</v>
      </c>
      <c r="CZ832" t="s">
        <v>2632</v>
      </c>
      <c r="DA832">
        <v>8.33</v>
      </c>
      <c r="DB832">
        <v>-7.96</v>
      </c>
      <c r="DC832">
        <v>-8.25</v>
      </c>
      <c r="DD832">
        <v>0.4</v>
      </c>
      <c r="DE832">
        <v>3419</v>
      </c>
      <c r="DF832">
        <v>2378</v>
      </c>
      <c r="DG832" t="s">
        <v>116</v>
      </c>
      <c r="DH832" t="s">
        <v>116</v>
      </c>
      <c r="DI832" t="s">
        <v>116</v>
      </c>
    </row>
    <row r="833" spans="1:113" x14ac:dyDescent="0.4">
      <c r="A833" t="str">
        <f>"002379"</f>
        <v>002379</v>
      </c>
      <c r="B833" t="s">
        <v>5042</v>
      </c>
      <c r="C833">
        <v>1.1200000000000001</v>
      </c>
      <c r="D833">
        <v>3.6</v>
      </c>
      <c r="E833">
        <v>0.04</v>
      </c>
      <c r="F833">
        <v>3.59</v>
      </c>
      <c r="G833">
        <v>3.6</v>
      </c>
      <c r="H833">
        <v>104939</v>
      </c>
      <c r="I833">
        <v>636</v>
      </c>
      <c r="J833">
        <v>0.28000000000000003</v>
      </c>
      <c r="K833">
        <v>1.1299999999999999</v>
      </c>
      <c r="L833">
        <v>3.58</v>
      </c>
      <c r="M833">
        <v>3.66</v>
      </c>
      <c r="N833">
        <v>3.56</v>
      </c>
      <c r="O833">
        <v>3.56</v>
      </c>
      <c r="P833">
        <v>7.83</v>
      </c>
      <c r="Q833">
        <v>37765152</v>
      </c>
      <c r="R833">
        <v>1.31</v>
      </c>
      <c r="S833" t="s">
        <v>1428</v>
      </c>
      <c r="T833" t="s">
        <v>645</v>
      </c>
      <c r="U833">
        <v>2.81</v>
      </c>
      <c r="V833">
        <v>3.6</v>
      </c>
      <c r="W833">
        <v>40294</v>
      </c>
      <c r="X833">
        <v>64645</v>
      </c>
      <c r="Y833">
        <v>0.62</v>
      </c>
      <c r="Z833">
        <v>67</v>
      </c>
      <c r="AA833">
        <v>2900</v>
      </c>
      <c r="AB833" t="s">
        <v>116</v>
      </c>
      <c r="AC833">
        <v>37600</v>
      </c>
      <c r="AD833">
        <v>0</v>
      </c>
      <c r="AE833" t="s">
        <v>116</v>
      </c>
      <c r="AF833" t="s">
        <v>116</v>
      </c>
      <c r="AG833">
        <v>9.26</v>
      </c>
      <c r="AH833" t="s">
        <v>5043</v>
      </c>
      <c r="AI833" t="s">
        <v>5043</v>
      </c>
      <c r="AJ833">
        <v>1.8</v>
      </c>
      <c r="AK833">
        <v>1660</v>
      </c>
      <c r="AL833">
        <v>63</v>
      </c>
      <c r="AM833">
        <v>6.9999999999999999E-4</v>
      </c>
      <c r="AN833">
        <v>2</v>
      </c>
      <c r="AO833">
        <v>1.1200000000000001</v>
      </c>
      <c r="AP833">
        <v>-1.64</v>
      </c>
      <c r="AQ833">
        <v>-10.45</v>
      </c>
      <c r="AR833">
        <v>31.39</v>
      </c>
      <c r="AS833">
        <v>1.76</v>
      </c>
      <c r="AT833" t="s">
        <v>5044</v>
      </c>
      <c r="AU833">
        <v>10.43</v>
      </c>
      <c r="AV833">
        <v>385.53</v>
      </c>
      <c r="AW833">
        <v>1.1499999999999999</v>
      </c>
      <c r="BA833">
        <v>0.56000000000000005</v>
      </c>
      <c r="BB833">
        <v>2.81</v>
      </c>
      <c r="BC833">
        <v>0</v>
      </c>
      <c r="BD833">
        <v>1.0900000000000001</v>
      </c>
      <c r="BE833">
        <v>0.56000000000000005</v>
      </c>
      <c r="BF833">
        <v>-1.64</v>
      </c>
      <c r="BG833">
        <v>1.1200000000000001</v>
      </c>
      <c r="BH833">
        <v>0.03</v>
      </c>
      <c r="BI833">
        <v>20191223</v>
      </c>
      <c r="BJ833">
        <v>20100331</v>
      </c>
      <c r="BK833">
        <v>9.26</v>
      </c>
      <c r="BL833" t="s">
        <v>116</v>
      </c>
      <c r="BM833" t="s">
        <v>116</v>
      </c>
      <c r="BN833">
        <v>25.38</v>
      </c>
      <c r="BO833">
        <v>15.79</v>
      </c>
      <c r="BP833">
        <v>0</v>
      </c>
      <c r="BQ833">
        <v>37.78</v>
      </c>
      <c r="BR833">
        <v>12.37</v>
      </c>
      <c r="BS833">
        <v>9.94</v>
      </c>
      <c r="BT833">
        <v>2.69</v>
      </c>
      <c r="BU833">
        <v>9.59</v>
      </c>
      <c r="BV833">
        <v>4.6500000000000004</v>
      </c>
      <c r="BW833">
        <v>2.87</v>
      </c>
      <c r="BX833">
        <v>5.68</v>
      </c>
      <c r="BY833">
        <v>22.01</v>
      </c>
      <c r="BZ833">
        <v>17.66</v>
      </c>
      <c r="CA833">
        <v>3.46</v>
      </c>
      <c r="CB833">
        <v>0</v>
      </c>
      <c r="CC833">
        <v>3.48</v>
      </c>
      <c r="CD833">
        <v>3.19</v>
      </c>
      <c r="CE833">
        <v>3.19</v>
      </c>
      <c r="CF833">
        <v>-0.16</v>
      </c>
      <c r="CG833">
        <v>0.73</v>
      </c>
      <c r="CH833">
        <v>-0.94</v>
      </c>
      <c r="CI833">
        <v>1.31</v>
      </c>
      <c r="CJ833">
        <v>39613</v>
      </c>
      <c r="CK833">
        <v>15075</v>
      </c>
      <c r="CL833" t="s">
        <v>1208</v>
      </c>
      <c r="CM833">
        <v>3741.07</v>
      </c>
      <c r="CN833">
        <v>101.48</v>
      </c>
      <c r="CO833">
        <v>2.11</v>
      </c>
      <c r="CP833">
        <v>-35.57</v>
      </c>
      <c r="CQ833">
        <v>1.52</v>
      </c>
      <c r="CR833">
        <v>0</v>
      </c>
      <c r="CS833" t="s">
        <v>5045</v>
      </c>
      <c r="CT833">
        <v>1.7</v>
      </c>
      <c r="CU833">
        <v>0</v>
      </c>
      <c r="CV833">
        <v>0.61</v>
      </c>
      <c r="CW833">
        <v>0.08</v>
      </c>
      <c r="CX833">
        <v>-0.1</v>
      </c>
      <c r="CY833">
        <v>62.22</v>
      </c>
      <c r="CZ833" t="s">
        <v>5046</v>
      </c>
      <c r="DA833">
        <v>19.75</v>
      </c>
      <c r="DB833">
        <v>15.72</v>
      </c>
      <c r="DC833">
        <v>14.51</v>
      </c>
      <c r="DD833">
        <v>0.2</v>
      </c>
      <c r="DE833">
        <v>905</v>
      </c>
      <c r="DF833">
        <v>2379</v>
      </c>
      <c r="DG833" t="s">
        <v>116</v>
      </c>
      <c r="DH833" t="s">
        <v>116</v>
      </c>
      <c r="DI833" t="s">
        <v>116</v>
      </c>
    </row>
    <row r="834" spans="1:113" x14ac:dyDescent="0.4">
      <c r="A834" t="str">
        <f>"002380"</f>
        <v>002380</v>
      </c>
      <c r="B834" t="s">
        <v>5047</v>
      </c>
      <c r="C834">
        <v>-1.57</v>
      </c>
      <c r="D834">
        <v>13.83</v>
      </c>
      <c r="E834">
        <v>-0.22</v>
      </c>
      <c r="F834">
        <v>13.83</v>
      </c>
      <c r="G834">
        <v>13.84</v>
      </c>
      <c r="H834">
        <v>12828</v>
      </c>
      <c r="I834">
        <v>74</v>
      </c>
      <c r="J834">
        <v>-0.13</v>
      </c>
      <c r="K834">
        <v>0.89</v>
      </c>
      <c r="L834">
        <v>14.07</v>
      </c>
      <c r="M834">
        <v>14.19</v>
      </c>
      <c r="N834">
        <v>13.8</v>
      </c>
      <c r="O834">
        <v>14.05</v>
      </c>
      <c r="P834">
        <v>29.16</v>
      </c>
      <c r="Q834">
        <v>17965298</v>
      </c>
      <c r="R834">
        <v>0.94</v>
      </c>
      <c r="S834" t="s">
        <v>397</v>
      </c>
      <c r="T834" t="s">
        <v>323</v>
      </c>
      <c r="U834">
        <v>2.78</v>
      </c>
      <c r="V834">
        <v>14</v>
      </c>
      <c r="W834">
        <v>8019</v>
      </c>
      <c r="X834">
        <v>4809</v>
      </c>
      <c r="Y834">
        <v>1.67</v>
      </c>
      <c r="Z834">
        <v>12</v>
      </c>
      <c r="AA834">
        <v>57</v>
      </c>
      <c r="AB834" t="s">
        <v>116</v>
      </c>
      <c r="AC834">
        <v>88600</v>
      </c>
      <c r="AD834">
        <v>0.01</v>
      </c>
      <c r="AE834" t="s">
        <v>116</v>
      </c>
      <c r="AF834" t="s">
        <v>116</v>
      </c>
      <c r="AG834">
        <v>1.43</v>
      </c>
      <c r="AH834" t="s">
        <v>5048</v>
      </c>
      <c r="AI834" t="s">
        <v>5049</v>
      </c>
      <c r="AJ834">
        <v>-0.89</v>
      </c>
      <c r="AK834">
        <v>958</v>
      </c>
      <c r="AL834">
        <v>13</v>
      </c>
      <c r="AM834">
        <v>8.9999999999999998E-4</v>
      </c>
      <c r="AN834">
        <v>-1</v>
      </c>
      <c r="AO834">
        <v>0.28999999999999998</v>
      </c>
      <c r="AP834">
        <v>5.73</v>
      </c>
      <c r="AQ834">
        <v>-8.11</v>
      </c>
      <c r="AR834">
        <v>33.880000000000003</v>
      </c>
      <c r="AS834">
        <v>1.1599999999999999</v>
      </c>
      <c r="AT834" t="s">
        <v>5050</v>
      </c>
      <c r="AU834">
        <v>26.68</v>
      </c>
      <c r="AV834">
        <v>29.58</v>
      </c>
      <c r="AW834">
        <v>1.1200000000000001</v>
      </c>
      <c r="BA834">
        <v>0.14000000000000001</v>
      </c>
      <c r="BB834">
        <v>1</v>
      </c>
      <c r="BC834">
        <v>-1.78</v>
      </c>
      <c r="BD834">
        <v>-0.32</v>
      </c>
      <c r="BE834">
        <v>-1.71</v>
      </c>
      <c r="BF834">
        <v>-2.54</v>
      </c>
      <c r="BG834">
        <v>0.22</v>
      </c>
      <c r="BH834">
        <v>-1.24</v>
      </c>
      <c r="BI834">
        <v>20191021</v>
      </c>
      <c r="BJ834">
        <v>20100331</v>
      </c>
      <c r="BK834">
        <v>2.4</v>
      </c>
      <c r="BL834" t="s">
        <v>116</v>
      </c>
      <c r="BM834" t="s">
        <v>116</v>
      </c>
      <c r="BN834">
        <v>25.33</v>
      </c>
      <c r="BO834">
        <v>21.67</v>
      </c>
      <c r="BP834">
        <v>0.16</v>
      </c>
      <c r="BQ834">
        <v>13.82</v>
      </c>
      <c r="BR834">
        <v>18.95</v>
      </c>
      <c r="BS834">
        <v>4.24</v>
      </c>
      <c r="BT834">
        <v>0.7</v>
      </c>
      <c r="BU834">
        <v>3.28</v>
      </c>
      <c r="BV834">
        <v>1.57</v>
      </c>
      <c r="BW834">
        <v>4.67</v>
      </c>
      <c r="BX834">
        <v>13.91</v>
      </c>
      <c r="BY834">
        <v>4.83</v>
      </c>
      <c r="BZ834">
        <v>2.79</v>
      </c>
      <c r="CA834">
        <v>1.01</v>
      </c>
      <c r="CB834">
        <v>0.06</v>
      </c>
      <c r="CC834">
        <v>1.01</v>
      </c>
      <c r="CD834">
        <v>0.87</v>
      </c>
      <c r="CE834">
        <v>0.85</v>
      </c>
      <c r="CF834">
        <v>0.7</v>
      </c>
      <c r="CG834">
        <v>4.66</v>
      </c>
      <c r="CH834">
        <v>0.38</v>
      </c>
      <c r="CI834">
        <v>0.63</v>
      </c>
      <c r="CJ834">
        <v>18747</v>
      </c>
      <c r="CK834">
        <v>5906</v>
      </c>
      <c r="CL834" t="s">
        <v>5051</v>
      </c>
      <c r="CM834">
        <v>16.7</v>
      </c>
      <c r="CN834">
        <v>22.49</v>
      </c>
      <c r="CO834">
        <v>1.53</v>
      </c>
      <c r="CP834">
        <v>87.54</v>
      </c>
      <c r="CQ834">
        <v>6.87</v>
      </c>
      <c r="CR834">
        <v>1.41</v>
      </c>
      <c r="CS834" t="s">
        <v>5052</v>
      </c>
      <c r="CT834">
        <v>9.0299999999999994</v>
      </c>
      <c r="CU834">
        <v>0</v>
      </c>
      <c r="CV834">
        <v>5.8</v>
      </c>
      <c r="CW834">
        <v>1.94</v>
      </c>
      <c r="CX834">
        <v>0.16</v>
      </c>
      <c r="CY834">
        <v>85.56</v>
      </c>
      <c r="CZ834" t="s">
        <v>5053</v>
      </c>
      <c r="DA834">
        <v>42.3</v>
      </c>
      <c r="DB834">
        <v>20.88</v>
      </c>
      <c r="DC834">
        <v>17.66</v>
      </c>
      <c r="DD834">
        <v>0.44</v>
      </c>
      <c r="DE834">
        <v>1037</v>
      </c>
      <c r="DF834">
        <v>2380</v>
      </c>
      <c r="DG834" t="s">
        <v>116</v>
      </c>
      <c r="DH834" t="s">
        <v>116</v>
      </c>
      <c r="DI834" t="s">
        <v>116</v>
      </c>
    </row>
    <row r="835" spans="1:113" x14ac:dyDescent="0.4">
      <c r="A835" t="str">
        <f>"002381"</f>
        <v>002381</v>
      </c>
      <c r="B835" t="s">
        <v>5054</v>
      </c>
      <c r="C835">
        <v>0.85</v>
      </c>
      <c r="D835">
        <v>8.33</v>
      </c>
      <c r="E835">
        <v>7.0000000000000007E-2</v>
      </c>
      <c r="F835">
        <v>8.32</v>
      </c>
      <c r="G835">
        <v>8.33</v>
      </c>
      <c r="H835">
        <v>68316</v>
      </c>
      <c r="I835">
        <v>4130</v>
      </c>
      <c r="J835">
        <v>0.48</v>
      </c>
      <c r="K835">
        <v>2.1800000000000002</v>
      </c>
      <c r="L835">
        <v>8.3000000000000007</v>
      </c>
      <c r="M835">
        <v>8.34</v>
      </c>
      <c r="N835">
        <v>8.18</v>
      </c>
      <c r="O835">
        <v>8.26</v>
      </c>
      <c r="P835">
        <v>13.75</v>
      </c>
      <c r="Q835">
        <v>56434252</v>
      </c>
      <c r="R835">
        <v>1.55</v>
      </c>
      <c r="S835" t="s">
        <v>2541</v>
      </c>
      <c r="T835" t="s">
        <v>590</v>
      </c>
      <c r="U835">
        <v>1.94</v>
      </c>
      <c r="V835">
        <v>8.26</v>
      </c>
      <c r="W835">
        <v>34006</v>
      </c>
      <c r="X835">
        <v>34310</v>
      </c>
      <c r="Y835">
        <v>0.99</v>
      </c>
      <c r="Z835">
        <v>71</v>
      </c>
      <c r="AA835">
        <v>5706</v>
      </c>
      <c r="AB835" t="s">
        <v>116</v>
      </c>
      <c r="AC835">
        <v>331200</v>
      </c>
      <c r="AD835">
        <v>0.02</v>
      </c>
      <c r="AE835" t="s">
        <v>116</v>
      </c>
      <c r="AF835" t="s">
        <v>116</v>
      </c>
      <c r="AG835">
        <v>3.13</v>
      </c>
      <c r="AH835" t="s">
        <v>5055</v>
      </c>
      <c r="AI835" t="s">
        <v>375</v>
      </c>
      <c r="AJ835">
        <v>1.53</v>
      </c>
      <c r="AK835">
        <v>1471</v>
      </c>
      <c r="AL835">
        <v>46</v>
      </c>
      <c r="AM835">
        <v>1.5E-3</v>
      </c>
      <c r="AN835">
        <v>4</v>
      </c>
      <c r="AO835">
        <v>2.08</v>
      </c>
      <c r="AP835">
        <v>8.6</v>
      </c>
      <c r="AQ835">
        <v>11.51</v>
      </c>
      <c r="AR835">
        <v>32.22</v>
      </c>
      <c r="AS835">
        <v>3.32</v>
      </c>
      <c r="AT835" t="s">
        <v>5056</v>
      </c>
      <c r="AU835">
        <v>15.37</v>
      </c>
      <c r="AV835">
        <v>21.92</v>
      </c>
      <c r="AW835">
        <v>0.71</v>
      </c>
      <c r="BA835">
        <v>0.48</v>
      </c>
      <c r="BB835">
        <v>0.97</v>
      </c>
      <c r="BC835">
        <v>-0.97</v>
      </c>
      <c r="BD835">
        <v>0.01</v>
      </c>
      <c r="BE835">
        <v>0.36</v>
      </c>
      <c r="BF835">
        <v>-0.12</v>
      </c>
      <c r="BG835">
        <v>1.83</v>
      </c>
      <c r="BH835">
        <v>0.84</v>
      </c>
      <c r="BI835">
        <v>20191022</v>
      </c>
      <c r="BJ835">
        <v>20100402</v>
      </c>
      <c r="BK835">
        <v>4.12</v>
      </c>
      <c r="BL835" t="s">
        <v>116</v>
      </c>
      <c r="BM835" t="s">
        <v>116</v>
      </c>
      <c r="BN835">
        <v>22.07</v>
      </c>
      <c r="BO835">
        <v>17.149999999999999</v>
      </c>
      <c r="BP835">
        <v>-0.05</v>
      </c>
      <c r="BQ835">
        <v>22.54</v>
      </c>
      <c r="BR835">
        <v>16.09</v>
      </c>
      <c r="BS835">
        <v>3.03</v>
      </c>
      <c r="BT835">
        <v>0.25</v>
      </c>
      <c r="BU835">
        <v>4.97</v>
      </c>
      <c r="BV835">
        <v>2.42</v>
      </c>
      <c r="BW835">
        <v>3.92</v>
      </c>
      <c r="BX835">
        <v>5.69</v>
      </c>
      <c r="BY835">
        <v>11.08</v>
      </c>
      <c r="BZ835">
        <v>7.6</v>
      </c>
      <c r="CA835">
        <v>2.25</v>
      </c>
      <c r="CB835">
        <v>0.05</v>
      </c>
      <c r="CC835">
        <v>2.2599999999999998</v>
      </c>
      <c r="CD835">
        <v>1.85</v>
      </c>
      <c r="CE835">
        <v>1.87</v>
      </c>
      <c r="CF835">
        <v>1.77</v>
      </c>
      <c r="CG835">
        <v>6.25</v>
      </c>
      <c r="CH835">
        <v>2.59</v>
      </c>
      <c r="CI835">
        <v>0.13</v>
      </c>
      <c r="CJ835">
        <v>31122</v>
      </c>
      <c r="CK835">
        <v>6608</v>
      </c>
      <c r="CL835" t="s">
        <v>1424</v>
      </c>
      <c r="CM835">
        <v>55.36</v>
      </c>
      <c r="CN835">
        <v>8.7100000000000009</v>
      </c>
      <c r="CO835">
        <v>2</v>
      </c>
      <c r="CP835">
        <v>13.26</v>
      </c>
      <c r="CQ835">
        <v>3.09</v>
      </c>
      <c r="CR835">
        <v>4.8</v>
      </c>
      <c r="CS835" t="s">
        <v>5057</v>
      </c>
      <c r="CT835">
        <v>4.17</v>
      </c>
      <c r="CU835">
        <v>0</v>
      </c>
      <c r="CV835">
        <v>1.38</v>
      </c>
      <c r="CW835">
        <v>1.52</v>
      </c>
      <c r="CX835">
        <v>0.63</v>
      </c>
      <c r="CY835">
        <v>77.709999999999994</v>
      </c>
      <c r="CZ835" t="s">
        <v>130</v>
      </c>
      <c r="DA835">
        <v>31.43</v>
      </c>
      <c r="DB835">
        <v>20.3</v>
      </c>
      <c r="DC835">
        <v>16.87</v>
      </c>
      <c r="DD835">
        <v>0.38</v>
      </c>
      <c r="DE835">
        <v>1152</v>
      </c>
      <c r="DF835">
        <v>2381</v>
      </c>
      <c r="DG835" t="s">
        <v>116</v>
      </c>
      <c r="DH835" t="s">
        <v>116</v>
      </c>
      <c r="DI835" t="s">
        <v>116</v>
      </c>
    </row>
    <row r="836" spans="1:113" x14ac:dyDescent="0.4">
      <c r="A836" t="str">
        <f>"002382"</f>
        <v>002382</v>
      </c>
      <c r="B836" t="s">
        <v>5058</v>
      </c>
      <c r="C836">
        <v>-5.23</v>
      </c>
      <c r="D836">
        <v>12.15</v>
      </c>
      <c r="E836">
        <v>-0.67</v>
      </c>
      <c r="F836">
        <v>12.14</v>
      </c>
      <c r="G836">
        <v>12.15</v>
      </c>
      <c r="H836">
        <v>203935</v>
      </c>
      <c r="I836">
        <v>575</v>
      </c>
      <c r="J836">
        <v>0.33</v>
      </c>
      <c r="K836">
        <v>3.18</v>
      </c>
      <c r="L836">
        <v>12.63</v>
      </c>
      <c r="M836">
        <v>12.63</v>
      </c>
      <c r="N836">
        <v>12.04</v>
      </c>
      <c r="O836">
        <v>12.82</v>
      </c>
      <c r="P836">
        <v>23.41</v>
      </c>
      <c r="Q836">
        <v>247861248</v>
      </c>
      <c r="R836">
        <v>8.25</v>
      </c>
      <c r="S836" t="s">
        <v>559</v>
      </c>
      <c r="T836" t="s">
        <v>645</v>
      </c>
      <c r="U836">
        <v>4.5999999999999996</v>
      </c>
      <c r="V836">
        <v>12.15</v>
      </c>
      <c r="W836">
        <v>135331</v>
      </c>
      <c r="X836">
        <v>68604</v>
      </c>
      <c r="Y836">
        <v>1.97</v>
      </c>
      <c r="Z836">
        <v>69</v>
      </c>
      <c r="AA836">
        <v>233</v>
      </c>
      <c r="AB836" t="s">
        <v>116</v>
      </c>
      <c r="AC836">
        <v>2832900</v>
      </c>
      <c r="AD836">
        <v>7.0000000000000007E-2</v>
      </c>
      <c r="AE836" t="s">
        <v>116</v>
      </c>
      <c r="AF836" t="s">
        <v>116</v>
      </c>
      <c r="AG836">
        <v>6.4</v>
      </c>
      <c r="AH836" t="s">
        <v>5059</v>
      </c>
      <c r="AI836" t="s">
        <v>5060</v>
      </c>
      <c r="AJ836">
        <v>-4.55</v>
      </c>
      <c r="AK836">
        <v>3105</v>
      </c>
      <c r="AL836">
        <v>66</v>
      </c>
      <c r="AM836">
        <v>1E-3</v>
      </c>
      <c r="AN836">
        <v>-1</v>
      </c>
      <c r="AO836">
        <v>-4.26</v>
      </c>
      <c r="AP836">
        <v>0.08</v>
      </c>
      <c r="AQ836">
        <v>-5.59</v>
      </c>
      <c r="AR836">
        <v>-18.02</v>
      </c>
      <c r="AS836">
        <v>6.27</v>
      </c>
      <c r="AT836" t="s">
        <v>5061</v>
      </c>
      <c r="AU836">
        <v>25.39</v>
      </c>
      <c r="AV836">
        <v>33.78</v>
      </c>
      <c r="AW836">
        <v>0.95</v>
      </c>
      <c r="BA836">
        <v>-1.48</v>
      </c>
      <c r="BB836">
        <v>-1.48</v>
      </c>
      <c r="BC836">
        <v>-6.08</v>
      </c>
      <c r="BD836">
        <v>-5.2</v>
      </c>
      <c r="BE836">
        <v>-3.8</v>
      </c>
      <c r="BF836">
        <v>-3.8</v>
      </c>
      <c r="BG836">
        <v>0.91</v>
      </c>
      <c r="BH836">
        <v>-0.03</v>
      </c>
      <c r="BI836">
        <v>20191122</v>
      </c>
      <c r="BJ836">
        <v>20100402</v>
      </c>
      <c r="BK836">
        <v>9.64</v>
      </c>
      <c r="BL836" t="s">
        <v>116</v>
      </c>
      <c r="BM836" t="s">
        <v>116</v>
      </c>
      <c r="BN836">
        <v>131.51</v>
      </c>
      <c r="BO836">
        <v>83.65</v>
      </c>
      <c r="BP836">
        <v>0.23</v>
      </c>
      <c r="BQ836">
        <v>36.21</v>
      </c>
      <c r="BR836">
        <v>34.229999999999997</v>
      </c>
      <c r="BS836">
        <v>16.04</v>
      </c>
      <c r="BT836">
        <v>9.68</v>
      </c>
      <c r="BU836">
        <v>22.26</v>
      </c>
      <c r="BV836">
        <v>4.12</v>
      </c>
      <c r="BW836">
        <v>6.55</v>
      </c>
      <c r="BX836">
        <v>56.67</v>
      </c>
      <c r="BY836">
        <v>25.99</v>
      </c>
      <c r="BZ836">
        <v>14.04</v>
      </c>
      <c r="CA836">
        <v>4.29</v>
      </c>
      <c r="CB836">
        <v>-0.01</v>
      </c>
      <c r="CC836">
        <v>4.63</v>
      </c>
      <c r="CD836">
        <v>3.96</v>
      </c>
      <c r="CE836">
        <v>3.75</v>
      </c>
      <c r="CF836">
        <v>3.46</v>
      </c>
      <c r="CG836">
        <v>10.82</v>
      </c>
      <c r="CH836">
        <v>5.86</v>
      </c>
      <c r="CI836">
        <v>4.07</v>
      </c>
      <c r="CJ836">
        <v>18632</v>
      </c>
      <c r="CK836">
        <v>17452</v>
      </c>
      <c r="CL836" t="s">
        <v>5062</v>
      </c>
      <c r="CM836">
        <v>43.99</v>
      </c>
      <c r="CN836">
        <v>44.91</v>
      </c>
      <c r="CO836">
        <v>1.4</v>
      </c>
      <c r="CP836">
        <v>20</v>
      </c>
      <c r="CQ836">
        <v>4.51</v>
      </c>
      <c r="CR836">
        <v>0.33</v>
      </c>
      <c r="CS836" t="s">
        <v>3710</v>
      </c>
      <c r="CT836">
        <v>8.68</v>
      </c>
      <c r="CU836">
        <v>0</v>
      </c>
      <c r="CV836">
        <v>5.88</v>
      </c>
      <c r="CW836">
        <v>1.1200000000000001</v>
      </c>
      <c r="CX836">
        <v>0.61</v>
      </c>
      <c r="CY836">
        <v>63.61</v>
      </c>
      <c r="CZ836" t="s">
        <v>5063</v>
      </c>
      <c r="DA836">
        <v>45.98</v>
      </c>
      <c r="DB836">
        <v>16.5</v>
      </c>
      <c r="DC836">
        <v>14.44</v>
      </c>
      <c r="DD836">
        <v>1.47</v>
      </c>
      <c r="DE836">
        <v>4465</v>
      </c>
      <c r="DF836">
        <v>2382</v>
      </c>
      <c r="DG836" t="s">
        <v>116</v>
      </c>
      <c r="DH836" t="s">
        <v>116</v>
      </c>
      <c r="DI836" t="s">
        <v>116</v>
      </c>
    </row>
    <row r="837" spans="1:113" x14ac:dyDescent="0.4">
      <c r="A837" t="str">
        <f>"002383"</f>
        <v>002383</v>
      </c>
      <c r="B837" t="s">
        <v>5064</v>
      </c>
      <c r="C837">
        <v>0.42</v>
      </c>
      <c r="D837">
        <v>9.58</v>
      </c>
      <c r="E837">
        <v>0.04</v>
      </c>
      <c r="F837">
        <v>9.57</v>
      </c>
      <c r="G837">
        <v>9.58</v>
      </c>
      <c r="H837">
        <v>133923</v>
      </c>
      <c r="I837">
        <v>2915</v>
      </c>
      <c r="J837">
        <v>0.1</v>
      </c>
      <c r="K837">
        <v>2.56</v>
      </c>
      <c r="L837">
        <v>9.5</v>
      </c>
      <c r="M837">
        <v>9.89</v>
      </c>
      <c r="N837">
        <v>9.5</v>
      </c>
      <c r="O837">
        <v>9.5399999999999991</v>
      </c>
      <c r="P837" t="s">
        <v>116</v>
      </c>
      <c r="Q837">
        <v>129871864</v>
      </c>
      <c r="R837">
        <v>2.4900000000000002</v>
      </c>
      <c r="S837" t="s">
        <v>465</v>
      </c>
      <c r="T837" t="s">
        <v>165</v>
      </c>
      <c r="U837">
        <v>4.09</v>
      </c>
      <c r="V837">
        <v>9.6999999999999993</v>
      </c>
      <c r="W837">
        <v>63355</v>
      </c>
      <c r="X837">
        <v>70568</v>
      </c>
      <c r="Y837">
        <v>0.9</v>
      </c>
      <c r="Z837">
        <v>176</v>
      </c>
      <c r="AA837">
        <v>6656</v>
      </c>
      <c r="AB837" t="s">
        <v>116</v>
      </c>
      <c r="AC837">
        <v>457900</v>
      </c>
      <c r="AD837">
        <v>0.01</v>
      </c>
      <c r="AE837" t="s">
        <v>116</v>
      </c>
      <c r="AF837" t="s">
        <v>116</v>
      </c>
      <c r="AG837">
        <v>5.23</v>
      </c>
      <c r="AH837" t="s">
        <v>2614</v>
      </c>
      <c r="AI837" t="s">
        <v>5065</v>
      </c>
      <c r="AJ837">
        <v>1.1000000000000001</v>
      </c>
      <c r="AK837">
        <v>2463</v>
      </c>
      <c r="AL837">
        <v>54</v>
      </c>
      <c r="AM837">
        <v>1E-3</v>
      </c>
      <c r="AN837">
        <v>1</v>
      </c>
      <c r="AO837">
        <v>-0.41</v>
      </c>
      <c r="AP837">
        <v>3.57</v>
      </c>
      <c r="AQ837">
        <v>-7.88</v>
      </c>
      <c r="AR837">
        <v>-19.02</v>
      </c>
      <c r="AS837">
        <v>2.93</v>
      </c>
      <c r="AT837" t="s">
        <v>5066</v>
      </c>
      <c r="AU837" t="s">
        <v>116</v>
      </c>
      <c r="AV837">
        <v>37.29</v>
      </c>
      <c r="AW837">
        <v>0.9</v>
      </c>
      <c r="BA837">
        <v>-0.42</v>
      </c>
      <c r="BB837">
        <v>3.67</v>
      </c>
      <c r="BC837">
        <v>-0.42</v>
      </c>
      <c r="BD837">
        <v>1.65</v>
      </c>
      <c r="BE837">
        <v>0.84</v>
      </c>
      <c r="BF837">
        <v>-3.13</v>
      </c>
      <c r="BG837">
        <v>0.84</v>
      </c>
      <c r="BH837">
        <v>-1.23</v>
      </c>
      <c r="BI837">
        <v>20191202</v>
      </c>
      <c r="BJ837">
        <v>20100402</v>
      </c>
      <c r="BK837">
        <v>7.45</v>
      </c>
      <c r="BL837" t="s">
        <v>116</v>
      </c>
      <c r="BM837" t="s">
        <v>116</v>
      </c>
      <c r="BN837">
        <v>84.66</v>
      </c>
      <c r="BO837">
        <v>38.380000000000003</v>
      </c>
      <c r="BP837">
        <v>0.75</v>
      </c>
      <c r="BQ837">
        <v>53.77</v>
      </c>
      <c r="BR837">
        <v>47.48</v>
      </c>
      <c r="BS837">
        <v>4.75</v>
      </c>
      <c r="BT837">
        <v>3.02</v>
      </c>
      <c r="BU837">
        <v>40.47</v>
      </c>
      <c r="BV837">
        <v>7.32</v>
      </c>
      <c r="BW837">
        <v>11.4</v>
      </c>
      <c r="BX837">
        <v>24.82</v>
      </c>
      <c r="BY837">
        <v>10.76</v>
      </c>
      <c r="BZ837">
        <v>5.0599999999999996</v>
      </c>
      <c r="CA837">
        <v>-0.67</v>
      </c>
      <c r="CB837">
        <v>0.24</v>
      </c>
      <c r="CC837">
        <v>-0.69</v>
      </c>
      <c r="CD837">
        <v>-0.56000000000000005</v>
      </c>
      <c r="CE837">
        <v>-0.49</v>
      </c>
      <c r="CF837">
        <v>-0.51</v>
      </c>
      <c r="CG837">
        <v>6.38</v>
      </c>
      <c r="CH837">
        <v>-4.59</v>
      </c>
      <c r="CI837">
        <v>1.07</v>
      </c>
      <c r="CJ837">
        <v>46135</v>
      </c>
      <c r="CK837">
        <v>9899</v>
      </c>
      <c r="CL837" t="s">
        <v>5067</v>
      </c>
      <c r="CM837">
        <v>-118.83</v>
      </c>
      <c r="CN837">
        <v>-70.97</v>
      </c>
      <c r="CO837">
        <v>1.86</v>
      </c>
      <c r="CP837">
        <v>-15.55</v>
      </c>
      <c r="CQ837">
        <v>6.63</v>
      </c>
      <c r="CR837">
        <v>0</v>
      </c>
      <c r="CS837" t="s">
        <v>2302</v>
      </c>
      <c r="CT837">
        <v>5.15</v>
      </c>
      <c r="CU837">
        <v>0</v>
      </c>
      <c r="CV837">
        <v>3.33</v>
      </c>
      <c r="CW837">
        <v>0.86</v>
      </c>
      <c r="CX837">
        <v>-0.62</v>
      </c>
      <c r="CY837">
        <v>45.34</v>
      </c>
      <c r="CZ837" t="s">
        <v>5068</v>
      </c>
      <c r="DA837">
        <v>53.02</v>
      </c>
      <c r="DB837">
        <v>-6.24</v>
      </c>
      <c r="DC837">
        <v>-4.58</v>
      </c>
      <c r="DD837">
        <v>1.17</v>
      </c>
      <c r="DE837">
        <v>2513</v>
      </c>
      <c r="DF837">
        <v>2383</v>
      </c>
      <c r="DG837" t="s">
        <v>116</v>
      </c>
      <c r="DH837" t="s">
        <v>116</v>
      </c>
      <c r="DI837" t="s">
        <v>116</v>
      </c>
    </row>
    <row r="838" spans="1:113" x14ac:dyDescent="0.4">
      <c r="A838" t="str">
        <f>"002384"</f>
        <v>002384</v>
      </c>
      <c r="B838" t="s">
        <v>5069</v>
      </c>
      <c r="C838">
        <v>-2.0099999999999998</v>
      </c>
      <c r="D838">
        <v>22.43</v>
      </c>
      <c r="E838">
        <v>-0.46</v>
      </c>
      <c r="F838">
        <v>22.42</v>
      </c>
      <c r="G838">
        <v>22.43</v>
      </c>
      <c r="H838">
        <v>378073</v>
      </c>
      <c r="I838">
        <v>1805</v>
      </c>
      <c r="J838">
        <v>-0.43</v>
      </c>
      <c r="K838">
        <v>3.09</v>
      </c>
      <c r="L838">
        <v>23.47</v>
      </c>
      <c r="M838">
        <v>23.47</v>
      </c>
      <c r="N838">
        <v>22.1</v>
      </c>
      <c r="O838">
        <v>22.89</v>
      </c>
      <c r="P838">
        <v>30.43</v>
      </c>
      <c r="Q838">
        <v>859549248</v>
      </c>
      <c r="R838">
        <v>1.07</v>
      </c>
      <c r="S838" t="s">
        <v>465</v>
      </c>
      <c r="T838" t="s">
        <v>323</v>
      </c>
      <c r="U838">
        <v>5.99</v>
      </c>
      <c r="V838">
        <v>22.74</v>
      </c>
      <c r="W838">
        <v>221762</v>
      </c>
      <c r="X838">
        <v>156311</v>
      </c>
      <c r="Y838">
        <v>1.42</v>
      </c>
      <c r="Z838">
        <v>77</v>
      </c>
      <c r="AA838">
        <v>970</v>
      </c>
      <c r="AB838" t="s">
        <v>116</v>
      </c>
      <c r="AC838">
        <v>8686200</v>
      </c>
      <c r="AD838">
        <v>0.04</v>
      </c>
      <c r="AE838" t="s">
        <v>116</v>
      </c>
      <c r="AF838" t="s">
        <v>116</v>
      </c>
      <c r="AG838">
        <v>12.23</v>
      </c>
      <c r="AH838" t="s">
        <v>5070</v>
      </c>
      <c r="AI838" t="s">
        <v>5071</v>
      </c>
      <c r="AJ838">
        <v>-1.33</v>
      </c>
      <c r="AK838">
        <v>4408</v>
      </c>
      <c r="AL838">
        <v>86</v>
      </c>
      <c r="AM838">
        <v>6.9999999999999999E-4</v>
      </c>
      <c r="AN838">
        <v>-1</v>
      </c>
      <c r="AO838">
        <v>2.41</v>
      </c>
      <c r="AP838">
        <v>17.43</v>
      </c>
      <c r="AQ838">
        <v>11.04</v>
      </c>
      <c r="AR838">
        <v>99.64</v>
      </c>
      <c r="AS838">
        <v>3.79</v>
      </c>
      <c r="AT838" t="s">
        <v>5072</v>
      </c>
      <c r="AU838">
        <v>35.26</v>
      </c>
      <c r="AV838">
        <v>44.43</v>
      </c>
      <c r="AW838">
        <v>1.81</v>
      </c>
      <c r="BA838">
        <v>2.5299999999999998</v>
      </c>
      <c r="BB838">
        <v>2.5299999999999998</v>
      </c>
      <c r="BC838">
        <v>-3.45</v>
      </c>
      <c r="BD838">
        <v>-0.68</v>
      </c>
      <c r="BE838">
        <v>-4.43</v>
      </c>
      <c r="BF838">
        <v>-4.43</v>
      </c>
      <c r="BG838">
        <v>1.49</v>
      </c>
      <c r="BH838">
        <v>-1.33</v>
      </c>
      <c r="BI838">
        <v>20191029</v>
      </c>
      <c r="BJ838">
        <v>20100409</v>
      </c>
      <c r="BK838">
        <v>16.07</v>
      </c>
      <c r="BL838" t="s">
        <v>116</v>
      </c>
      <c r="BM838" t="s">
        <v>116</v>
      </c>
      <c r="BN838">
        <v>329.08</v>
      </c>
      <c r="BO838">
        <v>91.14</v>
      </c>
      <c r="BP838">
        <v>0.19</v>
      </c>
      <c r="BQ838">
        <v>72.25</v>
      </c>
      <c r="BR838">
        <v>176.51</v>
      </c>
      <c r="BS838">
        <v>97.59</v>
      </c>
      <c r="BT838">
        <v>3.74</v>
      </c>
      <c r="BU838">
        <v>186.91</v>
      </c>
      <c r="BV838">
        <v>50.09</v>
      </c>
      <c r="BW838">
        <v>73.98</v>
      </c>
      <c r="BX838">
        <v>53.31</v>
      </c>
      <c r="BY838">
        <v>163.69</v>
      </c>
      <c r="BZ838">
        <v>136.02000000000001</v>
      </c>
      <c r="CA838">
        <v>10.27</v>
      </c>
      <c r="CB838">
        <v>0.22</v>
      </c>
      <c r="CC838">
        <v>10.27</v>
      </c>
      <c r="CD838">
        <v>8.8699999999999992</v>
      </c>
      <c r="CE838">
        <v>8.8800000000000008</v>
      </c>
      <c r="CF838">
        <v>6.93</v>
      </c>
      <c r="CG838">
        <v>23.64</v>
      </c>
      <c r="CH838">
        <v>13.02</v>
      </c>
      <c r="CI838">
        <v>-1.6</v>
      </c>
      <c r="CJ838">
        <v>64541</v>
      </c>
      <c r="CK838">
        <v>15449</v>
      </c>
      <c r="CL838" t="s">
        <v>5073</v>
      </c>
      <c r="CM838">
        <v>31.14</v>
      </c>
      <c r="CN838">
        <v>22.09</v>
      </c>
      <c r="CO838">
        <v>3.95</v>
      </c>
      <c r="CP838">
        <v>27.69</v>
      </c>
      <c r="CQ838">
        <v>2.2000000000000002</v>
      </c>
      <c r="CR838">
        <v>0.25</v>
      </c>
      <c r="CS838" t="s">
        <v>5074</v>
      </c>
      <c r="CT838">
        <v>5.67</v>
      </c>
      <c r="CU838">
        <v>0</v>
      </c>
      <c r="CV838">
        <v>3.32</v>
      </c>
      <c r="CW838">
        <v>1.47</v>
      </c>
      <c r="CX838">
        <v>0.81</v>
      </c>
      <c r="CY838">
        <v>27.69</v>
      </c>
      <c r="CZ838" t="s">
        <v>4920</v>
      </c>
      <c r="DA838">
        <v>16.899999999999999</v>
      </c>
      <c r="DB838">
        <v>6.27</v>
      </c>
      <c r="DC838">
        <v>5.43</v>
      </c>
      <c r="DD838">
        <v>4.07</v>
      </c>
      <c r="DE838">
        <v>20475</v>
      </c>
      <c r="DF838">
        <v>2384</v>
      </c>
      <c r="DG838" t="s">
        <v>116</v>
      </c>
      <c r="DH838" t="s">
        <v>116</v>
      </c>
      <c r="DI838" t="s">
        <v>116</v>
      </c>
    </row>
    <row r="839" spans="1:113" x14ac:dyDescent="0.4">
      <c r="A839" t="str">
        <f>"002385"</f>
        <v>002385</v>
      </c>
      <c r="B839" t="s">
        <v>5075</v>
      </c>
      <c r="C839">
        <v>1.23</v>
      </c>
      <c r="D839">
        <v>4.12</v>
      </c>
      <c r="E839">
        <v>0.05</v>
      </c>
      <c r="F839">
        <v>4.1100000000000003</v>
      </c>
      <c r="G839">
        <v>4.12</v>
      </c>
      <c r="H839">
        <v>509072</v>
      </c>
      <c r="I839">
        <v>7808</v>
      </c>
      <c r="J839">
        <v>0.24</v>
      </c>
      <c r="K839">
        <v>1.83</v>
      </c>
      <c r="L839">
        <v>4.08</v>
      </c>
      <c r="M839">
        <v>4.1500000000000004</v>
      </c>
      <c r="N839">
        <v>4.05</v>
      </c>
      <c r="O839">
        <v>4.07</v>
      </c>
      <c r="P839">
        <v>42.92</v>
      </c>
      <c r="Q839">
        <v>208684656</v>
      </c>
      <c r="R839">
        <v>1.57</v>
      </c>
      <c r="S839" t="s">
        <v>389</v>
      </c>
      <c r="T839" t="s">
        <v>165</v>
      </c>
      <c r="U839">
        <v>2.46</v>
      </c>
      <c r="V839">
        <v>4.0999999999999996</v>
      </c>
      <c r="W839">
        <v>218211</v>
      </c>
      <c r="X839">
        <v>290861</v>
      </c>
      <c r="Y839">
        <v>0.75</v>
      </c>
      <c r="Z839">
        <v>6788</v>
      </c>
      <c r="AA839">
        <v>161</v>
      </c>
      <c r="AB839" t="s">
        <v>116</v>
      </c>
      <c r="AC839">
        <v>337400</v>
      </c>
      <c r="AD839">
        <v>0</v>
      </c>
      <c r="AE839" t="s">
        <v>116</v>
      </c>
      <c r="AF839" t="s">
        <v>116</v>
      </c>
      <c r="AG839">
        <v>27.82</v>
      </c>
      <c r="AH839" t="s">
        <v>5076</v>
      </c>
      <c r="AI839" t="s">
        <v>5077</v>
      </c>
      <c r="AJ839">
        <v>1.91</v>
      </c>
      <c r="AK839">
        <v>3107</v>
      </c>
      <c r="AL839">
        <v>164</v>
      </c>
      <c r="AM839">
        <v>5.9999999999999995E-4</v>
      </c>
      <c r="AN839">
        <v>1</v>
      </c>
      <c r="AO839">
        <v>0</v>
      </c>
      <c r="AP839">
        <v>-3.72</v>
      </c>
      <c r="AQ839">
        <v>-7.82</v>
      </c>
      <c r="AR839">
        <v>34.32</v>
      </c>
      <c r="AS839">
        <v>2.0699999999999998</v>
      </c>
      <c r="AT839" t="s">
        <v>5078</v>
      </c>
      <c r="AU839">
        <v>46.92</v>
      </c>
      <c r="AV839">
        <v>34.1</v>
      </c>
      <c r="AW839">
        <v>0.63</v>
      </c>
      <c r="BA839">
        <v>0.25</v>
      </c>
      <c r="BB839">
        <v>1.97</v>
      </c>
      <c r="BC839">
        <v>-0.49</v>
      </c>
      <c r="BD839">
        <v>0.72</v>
      </c>
      <c r="BE839">
        <v>0.98</v>
      </c>
      <c r="BF839">
        <v>-0.72</v>
      </c>
      <c r="BG839">
        <v>1.73</v>
      </c>
      <c r="BH839">
        <v>0.51</v>
      </c>
      <c r="BI839">
        <v>20191213</v>
      </c>
      <c r="BJ839">
        <v>20100409</v>
      </c>
      <c r="BK839">
        <v>41.95</v>
      </c>
      <c r="BL839" t="s">
        <v>116</v>
      </c>
      <c r="BM839" t="s">
        <v>116</v>
      </c>
      <c r="BN839">
        <v>183.7</v>
      </c>
      <c r="BO839">
        <v>100.96</v>
      </c>
      <c r="BP839">
        <v>14.35</v>
      </c>
      <c r="BQ839">
        <v>37.229999999999997</v>
      </c>
      <c r="BR839">
        <v>67.150000000000006</v>
      </c>
      <c r="BS839">
        <v>55.09</v>
      </c>
      <c r="BT839">
        <v>16.05</v>
      </c>
      <c r="BU839">
        <v>53.06</v>
      </c>
      <c r="BV839">
        <v>18.829999999999998</v>
      </c>
      <c r="BW839">
        <v>18.489999999999998</v>
      </c>
      <c r="BX839">
        <v>14.64</v>
      </c>
      <c r="BY839">
        <v>122.23</v>
      </c>
      <c r="BZ839">
        <v>99.88</v>
      </c>
      <c r="CA839">
        <v>3.51</v>
      </c>
      <c r="CB839">
        <v>0.6</v>
      </c>
      <c r="CC839">
        <v>4.08</v>
      </c>
      <c r="CD839">
        <v>3.24</v>
      </c>
      <c r="CE839">
        <v>3.02</v>
      </c>
      <c r="CF839">
        <v>1.27</v>
      </c>
      <c r="CG839">
        <v>48.05</v>
      </c>
      <c r="CH839">
        <v>8.07</v>
      </c>
      <c r="CI839">
        <v>-2.44</v>
      </c>
      <c r="CJ839">
        <v>144000</v>
      </c>
      <c r="CK839">
        <v>17048</v>
      </c>
      <c r="CL839" t="s">
        <v>3080</v>
      </c>
      <c r="CM839">
        <v>-31.45</v>
      </c>
      <c r="CN839">
        <v>-14.03</v>
      </c>
      <c r="CO839">
        <v>1.71</v>
      </c>
      <c r="CP839">
        <v>21.43</v>
      </c>
      <c r="CQ839">
        <v>1.41</v>
      </c>
      <c r="CR839">
        <v>1.44</v>
      </c>
      <c r="CS839" t="s">
        <v>1303</v>
      </c>
      <c r="CT839">
        <v>2.41</v>
      </c>
      <c r="CU839">
        <v>0</v>
      </c>
      <c r="CV839">
        <v>0.35</v>
      </c>
      <c r="CW839">
        <v>1.1499999999999999</v>
      </c>
      <c r="CX839">
        <v>0.19</v>
      </c>
      <c r="CY839">
        <v>54.96</v>
      </c>
      <c r="CZ839" t="s">
        <v>5079</v>
      </c>
      <c r="DA839">
        <v>18.29</v>
      </c>
      <c r="DB839">
        <v>2.87</v>
      </c>
      <c r="DC839">
        <v>2.4700000000000002</v>
      </c>
      <c r="DD839">
        <v>2.54</v>
      </c>
      <c r="DE839">
        <v>17230</v>
      </c>
      <c r="DF839">
        <v>2385</v>
      </c>
      <c r="DG839" t="s">
        <v>116</v>
      </c>
      <c r="DH839" t="s">
        <v>116</v>
      </c>
      <c r="DI839" t="s">
        <v>116</v>
      </c>
    </row>
    <row r="840" spans="1:113" x14ac:dyDescent="0.4">
      <c r="A840" t="str">
        <f>"002386"</f>
        <v>002386</v>
      </c>
      <c r="B840" t="s">
        <v>5080</v>
      </c>
      <c r="C840">
        <v>-1.18</v>
      </c>
      <c r="D840">
        <v>5.86</v>
      </c>
      <c r="E840">
        <v>-7.0000000000000007E-2</v>
      </c>
      <c r="F840">
        <v>5.85</v>
      </c>
      <c r="G840">
        <v>5.86</v>
      </c>
      <c r="H840">
        <v>66101</v>
      </c>
      <c r="I840">
        <v>959</v>
      </c>
      <c r="J840">
        <v>0.17</v>
      </c>
      <c r="K840">
        <v>0.85</v>
      </c>
      <c r="L840">
        <v>5.96</v>
      </c>
      <c r="M840">
        <v>5.97</v>
      </c>
      <c r="N840">
        <v>5.85</v>
      </c>
      <c r="O840">
        <v>5.93</v>
      </c>
      <c r="P840">
        <v>43.6</v>
      </c>
      <c r="Q840">
        <v>39005592</v>
      </c>
      <c r="R840">
        <v>0.81</v>
      </c>
      <c r="S840" t="s">
        <v>891</v>
      </c>
      <c r="T840" t="s">
        <v>582</v>
      </c>
      <c r="U840">
        <v>2.02</v>
      </c>
      <c r="V840">
        <v>5.9</v>
      </c>
      <c r="W840">
        <v>42652</v>
      </c>
      <c r="X840">
        <v>23449</v>
      </c>
      <c r="Y840">
        <v>1.82</v>
      </c>
      <c r="Z840">
        <v>2586</v>
      </c>
      <c r="AA840">
        <v>214</v>
      </c>
      <c r="AB840" t="s">
        <v>116</v>
      </c>
      <c r="AC840">
        <v>349900</v>
      </c>
      <c r="AD840">
        <v>0.01</v>
      </c>
      <c r="AE840" t="s">
        <v>116</v>
      </c>
      <c r="AF840" t="s">
        <v>116</v>
      </c>
      <c r="AG840">
        <v>7.81</v>
      </c>
      <c r="AH840" t="s">
        <v>5081</v>
      </c>
      <c r="AI840" t="s">
        <v>5082</v>
      </c>
      <c r="AJ840">
        <v>-0.5</v>
      </c>
      <c r="AK840">
        <v>1235</v>
      </c>
      <c r="AL840">
        <v>54</v>
      </c>
      <c r="AM840">
        <v>6.9999999999999999E-4</v>
      </c>
      <c r="AN840">
        <v>-1</v>
      </c>
      <c r="AO840">
        <v>2.09</v>
      </c>
      <c r="AP840">
        <v>6.35</v>
      </c>
      <c r="AQ840">
        <v>-3.93</v>
      </c>
      <c r="AR840">
        <v>11.62</v>
      </c>
      <c r="AS840">
        <v>1.25</v>
      </c>
      <c r="AT840" t="s">
        <v>5083</v>
      </c>
      <c r="AU840">
        <v>53.58</v>
      </c>
      <c r="AV840">
        <v>29.49</v>
      </c>
      <c r="AW840">
        <v>1.03</v>
      </c>
      <c r="BA840">
        <v>0.51</v>
      </c>
      <c r="BB840">
        <v>0.67</v>
      </c>
      <c r="BC840">
        <v>-1.35</v>
      </c>
      <c r="BD840">
        <v>-0.49</v>
      </c>
      <c r="BE840">
        <v>-1.68</v>
      </c>
      <c r="BF840">
        <v>-1.84</v>
      </c>
      <c r="BG840">
        <v>0.17</v>
      </c>
      <c r="BH840">
        <v>-0.69</v>
      </c>
      <c r="BI840">
        <v>20191031</v>
      </c>
      <c r="BJ840">
        <v>20100409</v>
      </c>
      <c r="BK840">
        <v>7.81</v>
      </c>
      <c r="BL840" t="s">
        <v>116</v>
      </c>
      <c r="BM840" t="s">
        <v>116</v>
      </c>
      <c r="BN840">
        <v>142.13999999999999</v>
      </c>
      <c r="BO840">
        <v>49.73</v>
      </c>
      <c r="BP840">
        <v>1.34</v>
      </c>
      <c r="BQ840">
        <v>64.069999999999993</v>
      </c>
      <c r="BR840">
        <v>49.11</v>
      </c>
      <c r="BS840">
        <v>50.51</v>
      </c>
      <c r="BT840">
        <v>6.6</v>
      </c>
      <c r="BU840">
        <v>81.900000000000006</v>
      </c>
      <c r="BV840">
        <v>5.9</v>
      </c>
      <c r="BW840">
        <v>2.87</v>
      </c>
      <c r="BX840">
        <v>24.15</v>
      </c>
      <c r="BY840">
        <v>191.19</v>
      </c>
      <c r="BZ840">
        <v>180.76</v>
      </c>
      <c r="CA840">
        <v>1.03</v>
      </c>
      <c r="CB840">
        <v>-0.03</v>
      </c>
      <c r="CC840">
        <v>0.86</v>
      </c>
      <c r="CD840">
        <v>0.49</v>
      </c>
      <c r="CE840">
        <v>0.79</v>
      </c>
      <c r="CF840">
        <v>0.72</v>
      </c>
      <c r="CG840">
        <v>15.06</v>
      </c>
      <c r="CH840">
        <v>4.93</v>
      </c>
      <c r="CI840">
        <v>-1.48</v>
      </c>
      <c r="CJ840">
        <v>51808</v>
      </c>
      <c r="CK840">
        <v>10188</v>
      </c>
      <c r="CL840" t="s">
        <v>1348</v>
      </c>
      <c r="CM840">
        <v>-46.99</v>
      </c>
      <c r="CN840">
        <v>40.630000000000003</v>
      </c>
      <c r="CO840">
        <v>0.92</v>
      </c>
      <c r="CP840">
        <v>9.2799999999999994</v>
      </c>
      <c r="CQ840">
        <v>0.24</v>
      </c>
      <c r="CR840">
        <v>1.71</v>
      </c>
      <c r="CS840" t="s">
        <v>3235</v>
      </c>
      <c r="CT840">
        <v>6.37</v>
      </c>
      <c r="CU840">
        <v>0</v>
      </c>
      <c r="CV840">
        <v>3.09</v>
      </c>
      <c r="CW840">
        <v>1.93</v>
      </c>
      <c r="CX840">
        <v>0.63</v>
      </c>
      <c r="CY840">
        <v>34.99</v>
      </c>
      <c r="CZ840" t="s">
        <v>5084</v>
      </c>
      <c r="DA840">
        <v>5.45</v>
      </c>
      <c r="DB840">
        <v>0.54</v>
      </c>
      <c r="DC840">
        <v>0.41</v>
      </c>
      <c r="DD840">
        <v>1.19</v>
      </c>
      <c r="DE840">
        <v>4337</v>
      </c>
      <c r="DF840">
        <v>2386</v>
      </c>
      <c r="DG840" t="s">
        <v>116</v>
      </c>
      <c r="DH840" t="s">
        <v>116</v>
      </c>
      <c r="DI840" t="s">
        <v>116</v>
      </c>
    </row>
    <row r="841" spans="1:113" x14ac:dyDescent="0.4">
      <c r="A841" t="str">
        <f>"002387"</f>
        <v>002387</v>
      </c>
      <c r="B841" t="s">
        <v>5085</v>
      </c>
      <c r="C841">
        <v>-1.1299999999999999</v>
      </c>
      <c r="D841">
        <v>15.8</v>
      </c>
      <c r="E841">
        <v>-0.18</v>
      </c>
      <c r="F841">
        <v>15.8</v>
      </c>
      <c r="G841">
        <v>15.81</v>
      </c>
      <c r="H841">
        <v>70540</v>
      </c>
      <c r="I841">
        <v>3016</v>
      </c>
      <c r="J841">
        <v>0.45</v>
      </c>
      <c r="K841">
        <v>0.66</v>
      </c>
      <c r="L841">
        <v>15.91</v>
      </c>
      <c r="M841">
        <v>15.98</v>
      </c>
      <c r="N841">
        <v>15.69</v>
      </c>
      <c r="O841">
        <v>15.98</v>
      </c>
      <c r="P841" t="s">
        <v>116</v>
      </c>
      <c r="Q841">
        <v>111269472</v>
      </c>
      <c r="R841">
        <v>0.97</v>
      </c>
      <c r="S841" t="s">
        <v>233</v>
      </c>
      <c r="T841" t="s">
        <v>551</v>
      </c>
      <c r="U841">
        <v>1.81</v>
      </c>
      <c r="V841">
        <v>15.77</v>
      </c>
      <c r="W841">
        <v>39876</v>
      </c>
      <c r="X841">
        <v>30664</v>
      </c>
      <c r="Y841">
        <v>1.3</v>
      </c>
      <c r="Z841">
        <v>247</v>
      </c>
      <c r="AA841">
        <v>110</v>
      </c>
      <c r="AB841" t="s">
        <v>116</v>
      </c>
      <c r="AC841">
        <v>46100</v>
      </c>
      <c r="AD841">
        <v>0</v>
      </c>
      <c r="AE841" t="s">
        <v>116</v>
      </c>
      <c r="AF841" t="s">
        <v>116</v>
      </c>
      <c r="AG841">
        <v>10.68</v>
      </c>
      <c r="AH841" t="s">
        <v>5086</v>
      </c>
      <c r="AI841" t="s">
        <v>5087</v>
      </c>
      <c r="AJ841">
        <v>-0.45</v>
      </c>
      <c r="AK841">
        <v>2048</v>
      </c>
      <c r="AL841">
        <v>34</v>
      </c>
      <c r="AM841">
        <v>2.9999999999999997E-4</v>
      </c>
      <c r="AN841">
        <v>-2</v>
      </c>
      <c r="AO841">
        <v>-1.69</v>
      </c>
      <c r="AP841">
        <v>-3.25</v>
      </c>
      <c r="AQ841">
        <v>-6.89</v>
      </c>
      <c r="AR841">
        <v>107.35</v>
      </c>
      <c r="AS841">
        <v>0.89</v>
      </c>
      <c r="AT841" t="s">
        <v>5088</v>
      </c>
      <c r="AU841">
        <v>170.89</v>
      </c>
      <c r="AV841">
        <v>623.83000000000004</v>
      </c>
      <c r="AW841">
        <v>0.62</v>
      </c>
      <c r="BA841">
        <v>-0.44</v>
      </c>
      <c r="BB841">
        <v>0</v>
      </c>
      <c r="BC841">
        <v>-1.81</v>
      </c>
      <c r="BD841">
        <v>-1.29</v>
      </c>
      <c r="BE841">
        <v>-0.69</v>
      </c>
      <c r="BF841">
        <v>-1.1299999999999999</v>
      </c>
      <c r="BG841">
        <v>0.7</v>
      </c>
      <c r="BH841">
        <v>0.16</v>
      </c>
      <c r="BI841">
        <v>20191225</v>
      </c>
      <c r="BJ841">
        <v>20100413</v>
      </c>
      <c r="BK841">
        <v>13.68</v>
      </c>
      <c r="BL841" t="s">
        <v>116</v>
      </c>
      <c r="BM841" t="s">
        <v>116</v>
      </c>
      <c r="BN841">
        <v>376.18</v>
      </c>
      <c r="BO841">
        <v>148.47999999999999</v>
      </c>
      <c r="BP841">
        <v>57.99</v>
      </c>
      <c r="BQ841">
        <v>45.11</v>
      </c>
      <c r="BR841">
        <v>62.24</v>
      </c>
      <c r="BS841">
        <v>97.28</v>
      </c>
      <c r="BT841">
        <v>16.649999999999999</v>
      </c>
      <c r="BU841">
        <v>88.97</v>
      </c>
      <c r="BV841">
        <v>9.73</v>
      </c>
      <c r="BW841">
        <v>3.25</v>
      </c>
      <c r="BX841">
        <v>137.52000000000001</v>
      </c>
      <c r="BY841">
        <v>18.84</v>
      </c>
      <c r="BZ841">
        <v>13.22</v>
      </c>
      <c r="CA841">
        <v>-0.82</v>
      </c>
      <c r="CB841">
        <v>-0.04</v>
      </c>
      <c r="CC841">
        <v>-0.81</v>
      </c>
      <c r="CD841">
        <v>-1.02</v>
      </c>
      <c r="CE841">
        <v>-0.6</v>
      </c>
      <c r="CF841">
        <v>-5.64</v>
      </c>
      <c r="CG841">
        <v>-2.88</v>
      </c>
      <c r="CH841">
        <v>3.13</v>
      </c>
      <c r="CI841">
        <v>-39.26</v>
      </c>
      <c r="CJ841">
        <v>32107</v>
      </c>
      <c r="CK841">
        <v>24795</v>
      </c>
      <c r="CL841" t="s">
        <v>5089</v>
      </c>
      <c r="CM841">
        <v>60.35</v>
      </c>
      <c r="CN841">
        <v>102.45</v>
      </c>
      <c r="CO841">
        <v>1.46</v>
      </c>
      <c r="CP841">
        <v>69</v>
      </c>
      <c r="CQ841">
        <v>11.47</v>
      </c>
      <c r="CR841">
        <v>0</v>
      </c>
      <c r="CS841" t="s">
        <v>5090</v>
      </c>
      <c r="CT841">
        <v>10.86</v>
      </c>
      <c r="CU841">
        <v>0</v>
      </c>
      <c r="CV841">
        <v>10.050000000000001</v>
      </c>
      <c r="CW841">
        <v>-0.21</v>
      </c>
      <c r="CX841">
        <v>0.23</v>
      </c>
      <c r="CY841">
        <v>39.47</v>
      </c>
      <c r="CZ841" t="s">
        <v>5091</v>
      </c>
      <c r="DA841">
        <v>29.85</v>
      </c>
      <c r="DB841">
        <v>-4.3600000000000003</v>
      </c>
      <c r="DC841">
        <v>-3.2</v>
      </c>
      <c r="DD841">
        <v>2.75</v>
      </c>
      <c r="DE841">
        <v>7214</v>
      </c>
      <c r="DF841">
        <v>2387</v>
      </c>
      <c r="DG841" t="s">
        <v>116</v>
      </c>
      <c r="DH841" t="s">
        <v>116</v>
      </c>
      <c r="DI841" t="s">
        <v>116</v>
      </c>
    </row>
    <row r="842" spans="1:113" x14ac:dyDescent="0.4">
      <c r="A842" t="str">
        <f>"002388"</f>
        <v>002388</v>
      </c>
      <c r="B842" t="s">
        <v>5092</v>
      </c>
      <c r="C842">
        <v>-2.93</v>
      </c>
      <c r="D842">
        <v>7.28</v>
      </c>
      <c r="E842">
        <v>-0.22</v>
      </c>
      <c r="F842">
        <v>7.28</v>
      </c>
      <c r="G842">
        <v>7.29</v>
      </c>
      <c r="H842">
        <v>78917</v>
      </c>
      <c r="I842">
        <v>374</v>
      </c>
      <c r="J842">
        <v>-0.67</v>
      </c>
      <c r="K842">
        <v>1.97</v>
      </c>
      <c r="L842">
        <v>7.5</v>
      </c>
      <c r="M842">
        <v>7.54</v>
      </c>
      <c r="N842">
        <v>7.26</v>
      </c>
      <c r="O842">
        <v>7.5</v>
      </c>
      <c r="P842">
        <v>79.31</v>
      </c>
      <c r="Q842">
        <v>58239336</v>
      </c>
      <c r="R842">
        <v>0.63</v>
      </c>
      <c r="S842" t="s">
        <v>233</v>
      </c>
      <c r="T842" t="s">
        <v>115</v>
      </c>
      <c r="U842">
        <v>3.73</v>
      </c>
      <c r="V842">
        <v>7.38</v>
      </c>
      <c r="W842">
        <v>55163</v>
      </c>
      <c r="X842">
        <v>23754</v>
      </c>
      <c r="Y842">
        <v>2.3199999999999998</v>
      </c>
      <c r="Z842">
        <v>310</v>
      </c>
      <c r="AA842">
        <v>15</v>
      </c>
      <c r="AB842" t="s">
        <v>116</v>
      </c>
      <c r="AC842">
        <v>124500</v>
      </c>
      <c r="AD842">
        <v>0.01</v>
      </c>
      <c r="AE842" t="s">
        <v>116</v>
      </c>
      <c r="AF842" t="s">
        <v>116</v>
      </c>
      <c r="AG842">
        <v>4</v>
      </c>
      <c r="AH842" t="s">
        <v>4030</v>
      </c>
      <c r="AI842" t="s">
        <v>5093</v>
      </c>
      <c r="AJ842">
        <v>-2.25</v>
      </c>
      <c r="AK842">
        <v>2529</v>
      </c>
      <c r="AL842">
        <v>31</v>
      </c>
      <c r="AM842">
        <v>8.0000000000000004E-4</v>
      </c>
      <c r="AN842">
        <v>-2</v>
      </c>
      <c r="AO842">
        <v>0.27</v>
      </c>
      <c r="AP842">
        <v>8.98</v>
      </c>
      <c r="AQ842">
        <v>-10.57</v>
      </c>
      <c r="AR842">
        <v>32.85</v>
      </c>
      <c r="AS842">
        <v>4.38</v>
      </c>
      <c r="AT842" t="s">
        <v>1711</v>
      </c>
      <c r="AU842">
        <v>83.09</v>
      </c>
      <c r="AV842">
        <v>114.02</v>
      </c>
      <c r="AW842">
        <v>1.72</v>
      </c>
      <c r="BA842">
        <v>0</v>
      </c>
      <c r="BB842">
        <v>0.53</v>
      </c>
      <c r="BC842">
        <v>-3.2</v>
      </c>
      <c r="BD842">
        <v>-1.6</v>
      </c>
      <c r="BE842">
        <v>-2.93</v>
      </c>
      <c r="BF842">
        <v>-3.45</v>
      </c>
      <c r="BG842">
        <v>0.28000000000000003</v>
      </c>
      <c r="BH842">
        <v>-1.33</v>
      </c>
      <c r="BI842">
        <v>20191223</v>
      </c>
      <c r="BJ842">
        <v>20100413</v>
      </c>
      <c r="BK842">
        <v>5.04</v>
      </c>
      <c r="BL842" t="s">
        <v>116</v>
      </c>
      <c r="BM842" t="s">
        <v>116</v>
      </c>
      <c r="BN842">
        <v>20.079999999999998</v>
      </c>
      <c r="BO842">
        <v>11.71</v>
      </c>
      <c r="BP842">
        <v>1.22</v>
      </c>
      <c r="BQ842">
        <v>35.590000000000003</v>
      </c>
      <c r="BR842">
        <v>15.59</v>
      </c>
      <c r="BS842">
        <v>2.98</v>
      </c>
      <c r="BT842">
        <v>0.54</v>
      </c>
      <c r="BU842">
        <v>7.02</v>
      </c>
      <c r="BV842">
        <v>3.32</v>
      </c>
      <c r="BW842">
        <v>3.99</v>
      </c>
      <c r="BX842">
        <v>4.75</v>
      </c>
      <c r="BY842">
        <v>9.8000000000000007</v>
      </c>
      <c r="BZ842">
        <v>8.2899999999999991</v>
      </c>
      <c r="CA842">
        <v>0.4</v>
      </c>
      <c r="CB842">
        <v>0</v>
      </c>
      <c r="CC842">
        <v>0.4</v>
      </c>
      <c r="CD842">
        <v>0.28999999999999998</v>
      </c>
      <c r="CE842">
        <v>0.35</v>
      </c>
      <c r="CF842">
        <v>0.35</v>
      </c>
      <c r="CG842">
        <v>1.79</v>
      </c>
      <c r="CH842">
        <v>-1.6</v>
      </c>
      <c r="CI842">
        <v>-2.8</v>
      </c>
      <c r="CJ842">
        <v>40001</v>
      </c>
      <c r="CK842">
        <v>4506</v>
      </c>
      <c r="CL842" t="s">
        <v>5094</v>
      </c>
      <c r="CM842">
        <v>52.74</v>
      </c>
      <c r="CN842">
        <v>45.45</v>
      </c>
      <c r="CO842">
        <v>3.13</v>
      </c>
      <c r="CP842">
        <v>-22.9</v>
      </c>
      <c r="CQ842">
        <v>3.74</v>
      </c>
      <c r="CR842">
        <v>0</v>
      </c>
      <c r="CS842" t="s">
        <v>1395</v>
      </c>
      <c r="CT842">
        <v>2.3199999999999998</v>
      </c>
      <c r="CU842">
        <v>0</v>
      </c>
      <c r="CV842">
        <v>0.94</v>
      </c>
      <c r="CW842">
        <v>0.36</v>
      </c>
      <c r="CX842">
        <v>-0.32</v>
      </c>
      <c r="CY842">
        <v>58.31</v>
      </c>
      <c r="CZ842" t="s">
        <v>5095</v>
      </c>
      <c r="DA842">
        <v>15.35</v>
      </c>
      <c r="DB842">
        <v>4.0599999999999996</v>
      </c>
      <c r="DC842">
        <v>3.54</v>
      </c>
      <c r="DD842">
        <v>0.08</v>
      </c>
      <c r="DE842">
        <v>806</v>
      </c>
      <c r="DF842">
        <v>2388</v>
      </c>
      <c r="DG842" t="s">
        <v>116</v>
      </c>
      <c r="DH842" t="s">
        <v>116</v>
      </c>
      <c r="DI842" t="s">
        <v>116</v>
      </c>
    </row>
    <row r="843" spans="1:113" x14ac:dyDescent="0.4">
      <c r="A843" t="str">
        <f>"002389"</f>
        <v>002389</v>
      </c>
      <c r="B843" t="s">
        <v>5096</v>
      </c>
      <c r="C843">
        <v>-1.86</v>
      </c>
      <c r="D843">
        <v>11.08</v>
      </c>
      <c r="E843">
        <v>-0.21</v>
      </c>
      <c r="F843">
        <v>11.07</v>
      </c>
      <c r="G843">
        <v>11.08</v>
      </c>
      <c r="H843">
        <v>57776</v>
      </c>
      <c r="I843">
        <v>470</v>
      </c>
      <c r="J843">
        <v>0</v>
      </c>
      <c r="K843">
        <v>0.97</v>
      </c>
      <c r="L843">
        <v>11.32</v>
      </c>
      <c r="M843">
        <v>11.43</v>
      </c>
      <c r="N843">
        <v>11.02</v>
      </c>
      <c r="O843">
        <v>11.29</v>
      </c>
      <c r="P843">
        <v>89.75</v>
      </c>
      <c r="Q843">
        <v>64949992</v>
      </c>
      <c r="R843">
        <v>1.25</v>
      </c>
      <c r="S843" t="s">
        <v>233</v>
      </c>
      <c r="T843" t="s">
        <v>590</v>
      </c>
      <c r="U843">
        <v>3.63</v>
      </c>
      <c r="V843">
        <v>11.24</v>
      </c>
      <c r="W843">
        <v>31376</v>
      </c>
      <c r="X843">
        <v>26400</v>
      </c>
      <c r="Y843">
        <v>1.19</v>
      </c>
      <c r="Z843">
        <v>235</v>
      </c>
      <c r="AA843">
        <v>157</v>
      </c>
      <c r="AB843" t="s">
        <v>116</v>
      </c>
      <c r="AC843">
        <v>183400</v>
      </c>
      <c r="AD843">
        <v>0</v>
      </c>
      <c r="AE843" t="s">
        <v>116</v>
      </c>
      <c r="AF843" t="s">
        <v>116</v>
      </c>
      <c r="AG843">
        <v>5.97</v>
      </c>
      <c r="AH843" t="s">
        <v>5097</v>
      </c>
      <c r="AI843" t="s">
        <v>5098</v>
      </c>
      <c r="AJ843">
        <v>-1.18</v>
      </c>
      <c r="AK843">
        <v>2376</v>
      </c>
      <c r="AL843">
        <v>24</v>
      </c>
      <c r="AM843">
        <v>4.0000000000000002E-4</v>
      </c>
      <c r="AN843">
        <v>-1</v>
      </c>
      <c r="AO843">
        <v>1.37</v>
      </c>
      <c r="AP843">
        <v>7.89</v>
      </c>
      <c r="AQ843">
        <v>0.27</v>
      </c>
      <c r="AR843">
        <v>-9.0299999999999994</v>
      </c>
      <c r="AS843">
        <v>1.36</v>
      </c>
      <c r="AT843" t="s">
        <v>5099</v>
      </c>
      <c r="AU843">
        <v>42.54</v>
      </c>
      <c r="AV843">
        <v>43.35</v>
      </c>
      <c r="AW843">
        <v>0.81</v>
      </c>
      <c r="BA843">
        <v>0.27</v>
      </c>
      <c r="BB843">
        <v>1.24</v>
      </c>
      <c r="BC843">
        <v>-2.39</v>
      </c>
      <c r="BD843">
        <v>-0.43</v>
      </c>
      <c r="BE843">
        <v>-2.12</v>
      </c>
      <c r="BF843">
        <v>-3.06</v>
      </c>
      <c r="BG843">
        <v>0.54</v>
      </c>
      <c r="BH843">
        <v>-1.43</v>
      </c>
      <c r="BI843">
        <v>20191218</v>
      </c>
      <c r="BJ843">
        <v>20100413</v>
      </c>
      <c r="BK843">
        <v>9.4600000000000009</v>
      </c>
      <c r="BL843" t="s">
        <v>116</v>
      </c>
      <c r="BM843" t="s">
        <v>116</v>
      </c>
      <c r="BN843">
        <v>82.63</v>
      </c>
      <c r="BO843">
        <v>62.82</v>
      </c>
      <c r="BP843">
        <v>1.32</v>
      </c>
      <c r="BQ843">
        <v>22.37</v>
      </c>
      <c r="BR843">
        <v>36.299999999999997</v>
      </c>
      <c r="BS843">
        <v>17.899999999999999</v>
      </c>
      <c r="BT843">
        <v>13.54</v>
      </c>
      <c r="BU843">
        <v>17.18</v>
      </c>
      <c r="BV843">
        <v>7.07</v>
      </c>
      <c r="BW843">
        <v>18.95</v>
      </c>
      <c r="BX843">
        <v>47.77</v>
      </c>
      <c r="BY843">
        <v>16.899999999999999</v>
      </c>
      <c r="BZ843">
        <v>12.67</v>
      </c>
      <c r="CA843">
        <v>1.19</v>
      </c>
      <c r="CB843">
        <v>-0.01</v>
      </c>
      <c r="CC843">
        <v>1.18</v>
      </c>
      <c r="CD843">
        <v>1.02</v>
      </c>
      <c r="CE843">
        <v>0.88</v>
      </c>
      <c r="CF843">
        <v>0.83</v>
      </c>
      <c r="CG843">
        <v>4.8099999999999996</v>
      </c>
      <c r="CH843">
        <v>-0.78</v>
      </c>
      <c r="CI843">
        <v>-1.65</v>
      </c>
      <c r="CJ843">
        <v>37832</v>
      </c>
      <c r="CK843">
        <v>11270</v>
      </c>
      <c r="CL843" t="s">
        <v>5100</v>
      </c>
      <c r="CM843">
        <v>5.54</v>
      </c>
      <c r="CN843">
        <v>12.37</v>
      </c>
      <c r="CO843">
        <v>1.67</v>
      </c>
      <c r="CP843">
        <v>-133.61000000000001</v>
      </c>
      <c r="CQ843">
        <v>6.2</v>
      </c>
      <c r="CR843">
        <v>0.27</v>
      </c>
      <c r="CS843" t="s">
        <v>2836</v>
      </c>
      <c r="CT843">
        <v>6.64</v>
      </c>
      <c r="CU843">
        <v>0</v>
      </c>
      <c r="CV843">
        <v>5.05</v>
      </c>
      <c r="CW843">
        <v>0.51</v>
      </c>
      <c r="CX843">
        <v>-0.08</v>
      </c>
      <c r="CY843">
        <v>76.03</v>
      </c>
      <c r="CZ843" t="s">
        <v>4469</v>
      </c>
      <c r="DA843">
        <v>25.04</v>
      </c>
      <c r="DB843">
        <v>7.04</v>
      </c>
      <c r="DC843">
        <v>5.18</v>
      </c>
      <c r="DD843">
        <v>0.71</v>
      </c>
      <c r="DE843">
        <v>1892</v>
      </c>
      <c r="DF843">
        <v>2389</v>
      </c>
      <c r="DG843" t="s">
        <v>116</v>
      </c>
      <c r="DH843" t="s">
        <v>116</v>
      </c>
      <c r="DI843" t="s">
        <v>116</v>
      </c>
    </row>
    <row r="844" spans="1:113" x14ac:dyDescent="0.4">
      <c r="A844" t="str">
        <f>"002390"</f>
        <v>002390</v>
      </c>
      <c r="B844" t="s">
        <v>5101</v>
      </c>
      <c r="C844">
        <v>1.75</v>
      </c>
      <c r="D844">
        <v>5.23</v>
      </c>
      <c r="E844">
        <v>0.09</v>
      </c>
      <c r="F844">
        <v>5.22</v>
      </c>
      <c r="G844">
        <v>5.23</v>
      </c>
      <c r="H844">
        <v>113489</v>
      </c>
      <c r="I844">
        <v>917</v>
      </c>
      <c r="J844">
        <v>0.19</v>
      </c>
      <c r="K844">
        <v>0.71</v>
      </c>
      <c r="L844">
        <v>5.13</v>
      </c>
      <c r="M844">
        <v>5.25</v>
      </c>
      <c r="N844">
        <v>5.1100000000000003</v>
      </c>
      <c r="O844">
        <v>5.14</v>
      </c>
      <c r="P844">
        <v>32.67</v>
      </c>
      <c r="Q844">
        <v>58863360</v>
      </c>
      <c r="R844">
        <v>0.98</v>
      </c>
      <c r="S844" t="s">
        <v>781</v>
      </c>
      <c r="T844" t="s">
        <v>1056</v>
      </c>
      <c r="U844">
        <v>2.72</v>
      </c>
      <c r="V844">
        <v>5.19</v>
      </c>
      <c r="W844">
        <v>43762</v>
      </c>
      <c r="X844">
        <v>69727</v>
      </c>
      <c r="Y844">
        <v>0.63</v>
      </c>
      <c r="Z844">
        <v>1180</v>
      </c>
      <c r="AA844">
        <v>2065</v>
      </c>
      <c r="AB844" t="s">
        <v>116</v>
      </c>
      <c r="AC844">
        <v>175400</v>
      </c>
      <c r="AD844">
        <v>0</v>
      </c>
      <c r="AE844" t="s">
        <v>116</v>
      </c>
      <c r="AF844" t="s">
        <v>116</v>
      </c>
      <c r="AG844">
        <v>15.96</v>
      </c>
      <c r="AH844" t="s">
        <v>5102</v>
      </c>
      <c r="AI844" t="s">
        <v>5103</v>
      </c>
      <c r="AJ844">
        <v>2.4300000000000002</v>
      </c>
      <c r="AK844">
        <v>1878</v>
      </c>
      <c r="AL844">
        <v>60</v>
      </c>
      <c r="AM844">
        <v>4.0000000000000002E-4</v>
      </c>
      <c r="AN844">
        <v>1</v>
      </c>
      <c r="AO844">
        <v>0.57999999999999996</v>
      </c>
      <c r="AP844">
        <v>-3.68</v>
      </c>
      <c r="AQ844">
        <v>-7.43</v>
      </c>
      <c r="AR844">
        <v>27.87</v>
      </c>
      <c r="AS844">
        <v>1.06</v>
      </c>
      <c r="AT844" t="s">
        <v>5104</v>
      </c>
      <c r="AU844" t="s">
        <v>116</v>
      </c>
      <c r="AV844" t="s">
        <v>116</v>
      </c>
      <c r="AW844">
        <v>0.46</v>
      </c>
      <c r="BA844">
        <v>-0.19</v>
      </c>
      <c r="BB844">
        <v>2.14</v>
      </c>
      <c r="BC844">
        <v>-0.57999999999999996</v>
      </c>
      <c r="BD844">
        <v>0.91</v>
      </c>
      <c r="BE844">
        <v>1.95</v>
      </c>
      <c r="BF844">
        <v>-0.38</v>
      </c>
      <c r="BG844">
        <v>2.35</v>
      </c>
      <c r="BH844">
        <v>0.84</v>
      </c>
      <c r="BI844">
        <v>20191203</v>
      </c>
      <c r="BJ844">
        <v>20100416</v>
      </c>
      <c r="BK844">
        <v>16.670000000000002</v>
      </c>
      <c r="BL844" t="s">
        <v>116</v>
      </c>
      <c r="BM844" t="s">
        <v>116</v>
      </c>
      <c r="BN844">
        <v>102.59</v>
      </c>
      <c r="BO844">
        <v>48.81</v>
      </c>
      <c r="BP844">
        <v>1.83</v>
      </c>
      <c r="BQ844">
        <v>50.64</v>
      </c>
      <c r="BR844">
        <v>59.29</v>
      </c>
      <c r="BS844">
        <v>24.31</v>
      </c>
      <c r="BT844">
        <v>3.56</v>
      </c>
      <c r="BU844">
        <v>48.47</v>
      </c>
      <c r="BV844">
        <v>9.7100000000000009</v>
      </c>
      <c r="BW844">
        <v>29.2</v>
      </c>
      <c r="BX844">
        <v>36.24</v>
      </c>
      <c r="BY844">
        <v>50.18</v>
      </c>
      <c r="BZ844">
        <v>39.44</v>
      </c>
      <c r="CA844">
        <v>2.61</v>
      </c>
      <c r="CB844">
        <v>0.02</v>
      </c>
      <c r="CC844">
        <v>2.4900000000000002</v>
      </c>
      <c r="CD844">
        <v>1.99</v>
      </c>
      <c r="CE844">
        <v>2</v>
      </c>
      <c r="CF844">
        <v>1.96</v>
      </c>
      <c r="CG844">
        <v>-1.63</v>
      </c>
      <c r="CH844">
        <v>5.73</v>
      </c>
      <c r="CI844">
        <v>-4.92</v>
      </c>
      <c r="CJ844">
        <v>61058</v>
      </c>
      <c r="CK844">
        <v>17612</v>
      </c>
      <c r="CL844" t="s">
        <v>5105</v>
      </c>
      <c r="CM844">
        <v>-24.16</v>
      </c>
      <c r="CN844">
        <v>-0.14000000000000001</v>
      </c>
      <c r="CO844">
        <v>1.79</v>
      </c>
      <c r="CP844">
        <v>15.21</v>
      </c>
      <c r="CQ844">
        <v>1.74</v>
      </c>
      <c r="CR844">
        <v>0</v>
      </c>
      <c r="CS844" t="s">
        <v>505</v>
      </c>
      <c r="CT844">
        <v>2.93</v>
      </c>
      <c r="CU844">
        <v>0</v>
      </c>
      <c r="CV844">
        <v>2.17</v>
      </c>
      <c r="CW844">
        <v>-0.1</v>
      </c>
      <c r="CX844">
        <v>0.34</v>
      </c>
      <c r="CY844">
        <v>47.58</v>
      </c>
      <c r="CZ844" t="s">
        <v>4488</v>
      </c>
      <c r="DA844">
        <v>21.4</v>
      </c>
      <c r="DB844">
        <v>5.2</v>
      </c>
      <c r="DC844">
        <v>3.99</v>
      </c>
      <c r="DD844">
        <v>0.24</v>
      </c>
      <c r="DE844">
        <v>6994</v>
      </c>
      <c r="DF844">
        <v>2390</v>
      </c>
      <c r="DG844" t="s">
        <v>116</v>
      </c>
      <c r="DH844" t="s">
        <v>116</v>
      </c>
      <c r="DI844" t="s">
        <v>116</v>
      </c>
    </row>
    <row r="845" spans="1:113" x14ac:dyDescent="0.4">
      <c r="A845" t="str">
        <f>"002391"</f>
        <v>002391</v>
      </c>
      <c r="B845" t="s">
        <v>5106</v>
      </c>
      <c r="C845">
        <v>-0.74</v>
      </c>
      <c r="D845">
        <v>8.0399999999999991</v>
      </c>
      <c r="E845">
        <v>-0.06</v>
      </c>
      <c r="F845">
        <v>8.0299999999999994</v>
      </c>
      <c r="G845">
        <v>8.0399999999999991</v>
      </c>
      <c r="H845">
        <v>19518</v>
      </c>
      <c r="I845">
        <v>439</v>
      </c>
      <c r="J845">
        <v>0</v>
      </c>
      <c r="K845">
        <v>0.57999999999999996</v>
      </c>
      <c r="L845">
        <v>8.1300000000000008</v>
      </c>
      <c r="M845">
        <v>8.1300000000000008</v>
      </c>
      <c r="N845">
        <v>8.0299999999999994</v>
      </c>
      <c r="O845">
        <v>8.1</v>
      </c>
      <c r="P845">
        <v>11.34</v>
      </c>
      <c r="Q845">
        <v>15767203</v>
      </c>
      <c r="R845">
        <v>1.04</v>
      </c>
      <c r="S845" t="s">
        <v>697</v>
      </c>
      <c r="T845" t="s">
        <v>323</v>
      </c>
      <c r="U845">
        <v>1.23</v>
      </c>
      <c r="V845">
        <v>8.08</v>
      </c>
      <c r="W845">
        <v>11973</v>
      </c>
      <c r="X845">
        <v>7545</v>
      </c>
      <c r="Y845">
        <v>1.59</v>
      </c>
      <c r="Z845">
        <v>363</v>
      </c>
      <c r="AA845">
        <v>78</v>
      </c>
      <c r="AB845" t="s">
        <v>116</v>
      </c>
      <c r="AC845">
        <v>35000</v>
      </c>
      <c r="AD845">
        <v>0</v>
      </c>
      <c r="AE845" t="s">
        <v>116</v>
      </c>
      <c r="AF845" t="s">
        <v>116</v>
      </c>
      <c r="AG845">
        <v>3.35</v>
      </c>
      <c r="AH845" t="s">
        <v>5107</v>
      </c>
      <c r="AI845" t="s">
        <v>5108</v>
      </c>
      <c r="AJ845">
        <v>-0.06</v>
      </c>
      <c r="AK845">
        <v>740</v>
      </c>
      <c r="AL845">
        <v>26</v>
      </c>
      <c r="AM845">
        <v>8.0000000000000004E-4</v>
      </c>
      <c r="AN845">
        <v>-1</v>
      </c>
      <c r="AO845">
        <v>0</v>
      </c>
      <c r="AP845">
        <v>3.47</v>
      </c>
      <c r="AQ845">
        <v>-4.8499999999999996</v>
      </c>
      <c r="AR845">
        <v>17.66</v>
      </c>
      <c r="AS845">
        <v>0.69</v>
      </c>
      <c r="AT845" t="s">
        <v>5109</v>
      </c>
      <c r="AU845">
        <v>12.3</v>
      </c>
      <c r="AV845">
        <v>13.57</v>
      </c>
      <c r="AW845">
        <v>0.85</v>
      </c>
      <c r="BA845">
        <v>0.37</v>
      </c>
      <c r="BB845">
        <v>0.37</v>
      </c>
      <c r="BC845">
        <v>-0.86</v>
      </c>
      <c r="BD845">
        <v>-0.27</v>
      </c>
      <c r="BE845">
        <v>-1.1100000000000001</v>
      </c>
      <c r="BF845">
        <v>-1.1100000000000001</v>
      </c>
      <c r="BG845">
        <v>0.12</v>
      </c>
      <c r="BH845">
        <v>-0.47</v>
      </c>
      <c r="BI845">
        <v>20191209</v>
      </c>
      <c r="BJ845">
        <v>20100416</v>
      </c>
      <c r="BK845">
        <v>5.39</v>
      </c>
      <c r="BL845" t="s">
        <v>116</v>
      </c>
      <c r="BM845" t="s">
        <v>116</v>
      </c>
      <c r="BN845">
        <v>51.85</v>
      </c>
      <c r="BO845">
        <v>33.39</v>
      </c>
      <c r="BP845">
        <v>0.19</v>
      </c>
      <c r="BQ845">
        <v>35.229999999999997</v>
      </c>
      <c r="BR845">
        <v>26.98</v>
      </c>
      <c r="BS845">
        <v>18.02</v>
      </c>
      <c r="BT845">
        <v>1.22</v>
      </c>
      <c r="BU845">
        <v>9.8699999999999992</v>
      </c>
      <c r="BV845">
        <v>9.2899999999999991</v>
      </c>
      <c r="BW845">
        <v>5.69</v>
      </c>
      <c r="BX845">
        <v>14.5</v>
      </c>
      <c r="BY845">
        <v>25.56</v>
      </c>
      <c r="BZ845">
        <v>19.18</v>
      </c>
      <c r="CA845">
        <v>3.44</v>
      </c>
      <c r="CB845">
        <v>0.19</v>
      </c>
      <c r="CC845">
        <v>3.29</v>
      </c>
      <c r="CD845">
        <v>2.89</v>
      </c>
      <c r="CE845">
        <v>2.87</v>
      </c>
      <c r="CF845">
        <v>2.77</v>
      </c>
      <c r="CG845">
        <v>12.73</v>
      </c>
      <c r="CH845">
        <v>3.71</v>
      </c>
      <c r="CI845">
        <v>-1.81</v>
      </c>
      <c r="CJ845">
        <v>22754</v>
      </c>
      <c r="CK845">
        <v>12482</v>
      </c>
      <c r="CL845" t="s">
        <v>5110</v>
      </c>
      <c r="CM845">
        <v>13</v>
      </c>
      <c r="CN845">
        <v>11.73</v>
      </c>
      <c r="CO845">
        <v>1.33</v>
      </c>
      <c r="CP845">
        <v>11.69</v>
      </c>
      <c r="CQ845">
        <v>1.7</v>
      </c>
      <c r="CR845">
        <v>2.4900000000000002</v>
      </c>
      <c r="CS845" t="s">
        <v>814</v>
      </c>
      <c r="CT845">
        <v>6.03</v>
      </c>
      <c r="CU845">
        <v>6.03</v>
      </c>
      <c r="CV845">
        <v>2.69</v>
      </c>
      <c r="CW845">
        <v>2.36</v>
      </c>
      <c r="CX845">
        <v>0.69</v>
      </c>
      <c r="CY845">
        <v>64.400000000000006</v>
      </c>
      <c r="CZ845" t="s">
        <v>5111</v>
      </c>
      <c r="DA845">
        <v>24.97</v>
      </c>
      <c r="DB845">
        <v>13.48</v>
      </c>
      <c r="DC845">
        <v>11.22</v>
      </c>
      <c r="DD845">
        <v>1.03</v>
      </c>
      <c r="DE845">
        <v>1937</v>
      </c>
      <c r="DF845">
        <v>2391</v>
      </c>
      <c r="DG845" t="s">
        <v>116</v>
      </c>
      <c r="DH845" t="s">
        <v>116</v>
      </c>
      <c r="DI845" t="s">
        <v>116</v>
      </c>
    </row>
    <row r="846" spans="1:113" x14ac:dyDescent="0.4">
      <c r="A846" t="str">
        <f>"002392"</f>
        <v>002392</v>
      </c>
      <c r="B846" t="s">
        <v>5112</v>
      </c>
      <c r="C846">
        <v>-1.07</v>
      </c>
      <c r="D846">
        <v>3.69</v>
      </c>
      <c r="E846">
        <v>-0.04</v>
      </c>
      <c r="F846">
        <v>3.69</v>
      </c>
      <c r="G846">
        <v>3.7</v>
      </c>
      <c r="H846">
        <v>63275</v>
      </c>
      <c r="I846">
        <v>3355</v>
      </c>
      <c r="J846">
        <v>-0.26</v>
      </c>
      <c r="K846">
        <v>0.78</v>
      </c>
      <c r="L846">
        <v>3.7</v>
      </c>
      <c r="M846">
        <v>3.75</v>
      </c>
      <c r="N846">
        <v>3.69</v>
      </c>
      <c r="O846">
        <v>3.73</v>
      </c>
      <c r="P846">
        <v>10.66</v>
      </c>
      <c r="Q846">
        <v>23553554</v>
      </c>
      <c r="R846">
        <v>0.65</v>
      </c>
      <c r="S846" t="s">
        <v>249</v>
      </c>
      <c r="T846" t="s">
        <v>165</v>
      </c>
      <c r="U846">
        <v>1.61</v>
      </c>
      <c r="V846">
        <v>3.72</v>
      </c>
      <c r="W846">
        <v>36672</v>
      </c>
      <c r="X846">
        <v>26603</v>
      </c>
      <c r="Y846">
        <v>1.38</v>
      </c>
      <c r="Z846">
        <v>1187</v>
      </c>
      <c r="AA846">
        <v>808</v>
      </c>
      <c r="AB846" t="s">
        <v>116</v>
      </c>
      <c r="AC846">
        <v>213900</v>
      </c>
      <c r="AD846">
        <v>0.01</v>
      </c>
      <c r="AE846" t="s">
        <v>116</v>
      </c>
      <c r="AF846" t="s">
        <v>116</v>
      </c>
      <c r="AG846">
        <v>8.09</v>
      </c>
      <c r="AH846" t="s">
        <v>5113</v>
      </c>
      <c r="AI846" t="s">
        <v>5114</v>
      </c>
      <c r="AJ846">
        <v>-0.39</v>
      </c>
      <c r="AK846">
        <v>855</v>
      </c>
      <c r="AL846">
        <v>74</v>
      </c>
      <c r="AM846">
        <v>8.9999999999999998E-4</v>
      </c>
      <c r="AN846">
        <v>-1</v>
      </c>
      <c r="AO846">
        <v>-0.8</v>
      </c>
      <c r="AP846">
        <v>2.79</v>
      </c>
      <c r="AQ846">
        <v>-4.16</v>
      </c>
      <c r="AR846">
        <v>16.329999999999998</v>
      </c>
      <c r="AS846">
        <v>0.86</v>
      </c>
      <c r="AT846" t="s">
        <v>5115</v>
      </c>
      <c r="AU846">
        <v>10.89</v>
      </c>
      <c r="AV846">
        <v>13.19</v>
      </c>
      <c r="AW846">
        <v>0.68</v>
      </c>
      <c r="BA846">
        <v>-0.8</v>
      </c>
      <c r="BB846">
        <v>0.54</v>
      </c>
      <c r="BC846">
        <v>-1.07</v>
      </c>
      <c r="BD846">
        <v>-0.2</v>
      </c>
      <c r="BE846">
        <v>-0.27</v>
      </c>
      <c r="BF846">
        <v>-1.6</v>
      </c>
      <c r="BG846">
        <v>0</v>
      </c>
      <c r="BH846">
        <v>-0.87</v>
      </c>
      <c r="BI846">
        <v>20191031</v>
      </c>
      <c r="BJ846">
        <v>20100423</v>
      </c>
      <c r="BK846">
        <v>11.9</v>
      </c>
      <c r="BL846" t="s">
        <v>116</v>
      </c>
      <c r="BM846" t="s">
        <v>116</v>
      </c>
      <c r="BN846">
        <v>54.08</v>
      </c>
      <c r="BO846">
        <v>37.020000000000003</v>
      </c>
      <c r="BP846">
        <v>0.09</v>
      </c>
      <c r="BQ846">
        <v>31.38</v>
      </c>
      <c r="BR846">
        <v>39.61</v>
      </c>
      <c r="BS846">
        <v>6.5</v>
      </c>
      <c r="BT846">
        <v>4.32</v>
      </c>
      <c r="BU846">
        <v>16.16</v>
      </c>
      <c r="BV846">
        <v>7.17</v>
      </c>
      <c r="BW846">
        <v>13.59</v>
      </c>
      <c r="BX846">
        <v>9.8800000000000008</v>
      </c>
      <c r="BY846">
        <v>25.7</v>
      </c>
      <c r="BZ846">
        <v>16.55</v>
      </c>
      <c r="CA846">
        <v>3.71</v>
      </c>
      <c r="CB846">
        <v>0.11</v>
      </c>
      <c r="CC846">
        <v>3.63</v>
      </c>
      <c r="CD846">
        <v>3.1</v>
      </c>
      <c r="CE846">
        <v>3.09</v>
      </c>
      <c r="CF846">
        <v>3.08</v>
      </c>
      <c r="CG846">
        <v>14.25</v>
      </c>
      <c r="CH846">
        <v>1.28</v>
      </c>
      <c r="CI846">
        <v>-0.89</v>
      </c>
      <c r="CJ846">
        <v>77217</v>
      </c>
      <c r="CK846">
        <v>9547</v>
      </c>
      <c r="CL846" t="s">
        <v>777</v>
      </c>
      <c r="CM846">
        <v>29.44</v>
      </c>
      <c r="CN846">
        <v>9.1199999999999992</v>
      </c>
      <c r="CO846">
        <v>1.19</v>
      </c>
      <c r="CP846">
        <v>34.229999999999997</v>
      </c>
      <c r="CQ846">
        <v>1.71</v>
      </c>
      <c r="CR846">
        <v>0.76</v>
      </c>
      <c r="CS846" t="s">
        <v>4342</v>
      </c>
      <c r="CT846">
        <v>3.11</v>
      </c>
      <c r="CU846">
        <v>0</v>
      </c>
      <c r="CV846">
        <v>0.83</v>
      </c>
      <c r="CW846">
        <v>1.2</v>
      </c>
      <c r="CX846">
        <v>0.11</v>
      </c>
      <c r="CY846">
        <v>68.45</v>
      </c>
      <c r="CZ846" t="s">
        <v>3223</v>
      </c>
      <c r="DA846">
        <v>35.619999999999997</v>
      </c>
      <c r="DB846">
        <v>14.44</v>
      </c>
      <c r="DC846">
        <v>12.02</v>
      </c>
      <c r="DD846">
        <v>1.26</v>
      </c>
      <c r="DE846">
        <v>2418</v>
      </c>
      <c r="DF846">
        <v>2392</v>
      </c>
      <c r="DG846" t="s">
        <v>116</v>
      </c>
      <c r="DH846" t="s">
        <v>116</v>
      </c>
      <c r="DI846" t="s">
        <v>116</v>
      </c>
    </row>
    <row r="847" spans="1:113" x14ac:dyDescent="0.4">
      <c r="A847" t="str">
        <f>"002393"</f>
        <v>002393</v>
      </c>
      <c r="B847" t="s">
        <v>5116</v>
      </c>
      <c r="C847">
        <v>-0.98</v>
      </c>
      <c r="D847">
        <v>26.25</v>
      </c>
      <c r="E847">
        <v>-0.26</v>
      </c>
      <c r="F847">
        <v>26.25</v>
      </c>
      <c r="G847">
        <v>26.26</v>
      </c>
      <c r="H847">
        <v>14473</v>
      </c>
      <c r="I847">
        <v>187</v>
      </c>
      <c r="J847">
        <v>-0.18</v>
      </c>
      <c r="K847">
        <v>0.79</v>
      </c>
      <c r="L847">
        <v>26.6</v>
      </c>
      <c r="M847">
        <v>26.8</v>
      </c>
      <c r="N847">
        <v>26.21</v>
      </c>
      <c r="O847">
        <v>26.51</v>
      </c>
      <c r="P847">
        <v>26.65</v>
      </c>
      <c r="Q847">
        <v>38377292</v>
      </c>
      <c r="R847">
        <v>0.96</v>
      </c>
      <c r="S847" t="s">
        <v>574</v>
      </c>
      <c r="T847" t="s">
        <v>1035</v>
      </c>
      <c r="U847">
        <v>2.23</v>
      </c>
      <c r="V847">
        <v>26.52</v>
      </c>
      <c r="W847">
        <v>8051</v>
      </c>
      <c r="X847">
        <v>6422</v>
      </c>
      <c r="Y847">
        <v>1.25</v>
      </c>
      <c r="Z847">
        <v>44</v>
      </c>
      <c r="AA847">
        <v>18</v>
      </c>
      <c r="AB847" t="s">
        <v>116</v>
      </c>
      <c r="AC847">
        <v>77100</v>
      </c>
      <c r="AD847">
        <v>0</v>
      </c>
      <c r="AE847" t="s">
        <v>116</v>
      </c>
      <c r="AF847" t="s">
        <v>116</v>
      </c>
      <c r="AG847">
        <v>1.82</v>
      </c>
      <c r="AH847" t="s">
        <v>5117</v>
      </c>
      <c r="AI847" t="s">
        <v>5117</v>
      </c>
      <c r="AJ847">
        <v>-0.3</v>
      </c>
      <c r="AK847">
        <v>1276</v>
      </c>
      <c r="AL847">
        <v>11</v>
      </c>
      <c r="AM847">
        <v>5.9999999999999995E-4</v>
      </c>
      <c r="AN847">
        <v>-1</v>
      </c>
      <c r="AO847">
        <v>-1.62</v>
      </c>
      <c r="AP847">
        <v>4.92</v>
      </c>
      <c r="AQ847">
        <v>8.34</v>
      </c>
      <c r="AR847">
        <v>23.65</v>
      </c>
      <c r="AS847">
        <v>1.63</v>
      </c>
      <c r="AT847" t="s">
        <v>3841</v>
      </c>
      <c r="AU847">
        <v>22.3</v>
      </c>
      <c r="AV847">
        <v>25.89</v>
      </c>
      <c r="AW847">
        <v>0.97</v>
      </c>
      <c r="BA847">
        <v>0.34</v>
      </c>
      <c r="BB847">
        <v>1.0900000000000001</v>
      </c>
      <c r="BC847">
        <v>-1.1299999999999999</v>
      </c>
      <c r="BD847">
        <v>0.02</v>
      </c>
      <c r="BE847">
        <v>-1.32</v>
      </c>
      <c r="BF847">
        <v>-2.0499999999999998</v>
      </c>
      <c r="BG847">
        <v>0.15</v>
      </c>
      <c r="BH847">
        <v>-1.01</v>
      </c>
      <c r="BI847">
        <v>20191121</v>
      </c>
      <c r="BJ847">
        <v>20100423</v>
      </c>
      <c r="BK847">
        <v>1.82</v>
      </c>
      <c r="BL847" t="s">
        <v>116</v>
      </c>
      <c r="BM847" t="s">
        <v>116</v>
      </c>
      <c r="BN847">
        <v>56.2</v>
      </c>
      <c r="BO847">
        <v>46.53</v>
      </c>
      <c r="BP847">
        <v>0</v>
      </c>
      <c r="BQ847">
        <v>17.21</v>
      </c>
      <c r="BR847">
        <v>23.94</v>
      </c>
      <c r="BS847">
        <v>10.69</v>
      </c>
      <c r="BT847">
        <v>1.54</v>
      </c>
      <c r="BU847">
        <v>7.04</v>
      </c>
      <c r="BV847">
        <v>2.59</v>
      </c>
      <c r="BW847">
        <v>1.78</v>
      </c>
      <c r="BX847">
        <v>16.920000000000002</v>
      </c>
      <c r="BY847">
        <v>12.09</v>
      </c>
      <c r="BZ847">
        <v>3.37</v>
      </c>
      <c r="CA847">
        <v>1.58</v>
      </c>
      <c r="CB847">
        <v>0.05</v>
      </c>
      <c r="CC847">
        <v>1.6</v>
      </c>
      <c r="CD847">
        <v>1.35</v>
      </c>
      <c r="CE847">
        <v>1.35</v>
      </c>
      <c r="CF847">
        <v>1.33</v>
      </c>
      <c r="CG847">
        <v>10.26</v>
      </c>
      <c r="CH847">
        <v>2.3199999999999998</v>
      </c>
      <c r="CI847">
        <v>0.96</v>
      </c>
      <c r="CJ847">
        <v>21049</v>
      </c>
      <c r="CK847">
        <v>4216</v>
      </c>
      <c r="CL847" t="s">
        <v>5118</v>
      </c>
      <c r="CM847">
        <v>28.4</v>
      </c>
      <c r="CN847">
        <v>9.93</v>
      </c>
      <c r="CO847">
        <v>1.03</v>
      </c>
      <c r="CP847">
        <v>20.67</v>
      </c>
      <c r="CQ847">
        <v>3.96</v>
      </c>
      <c r="CR847">
        <v>1.1399999999999999</v>
      </c>
      <c r="CS847" t="s">
        <v>5119</v>
      </c>
      <c r="CT847">
        <v>25.5</v>
      </c>
      <c r="CU847">
        <v>0</v>
      </c>
      <c r="CV847">
        <v>9.27</v>
      </c>
      <c r="CW847">
        <v>5.63</v>
      </c>
      <c r="CX847">
        <v>1.27</v>
      </c>
      <c r="CY847">
        <v>82.79</v>
      </c>
      <c r="CZ847" t="s">
        <v>146</v>
      </c>
      <c r="DA847">
        <v>72.14</v>
      </c>
      <c r="DB847">
        <v>13.08</v>
      </c>
      <c r="DC847">
        <v>11.14</v>
      </c>
      <c r="DD847">
        <v>0.97</v>
      </c>
      <c r="DE847">
        <v>1652</v>
      </c>
      <c r="DF847">
        <v>2393</v>
      </c>
      <c r="DG847" t="s">
        <v>116</v>
      </c>
      <c r="DH847" t="s">
        <v>116</v>
      </c>
      <c r="DI847" t="s">
        <v>116</v>
      </c>
    </row>
    <row r="848" spans="1:113" x14ac:dyDescent="0.4">
      <c r="A848" t="str">
        <f>"002394"</f>
        <v>002394</v>
      </c>
      <c r="B848" t="s">
        <v>5120</v>
      </c>
      <c r="C848">
        <v>0.11</v>
      </c>
      <c r="D848">
        <v>9.35</v>
      </c>
      <c r="E848">
        <v>0.01</v>
      </c>
      <c r="F848">
        <v>9.33</v>
      </c>
      <c r="G848">
        <v>9.35</v>
      </c>
      <c r="H848">
        <v>13828</v>
      </c>
      <c r="I848">
        <v>103</v>
      </c>
      <c r="J848">
        <v>0.21</v>
      </c>
      <c r="K848">
        <v>0.43</v>
      </c>
      <c r="L848">
        <v>9.35</v>
      </c>
      <c r="M848">
        <v>9.4</v>
      </c>
      <c r="N848">
        <v>9.31</v>
      </c>
      <c r="O848">
        <v>9.34</v>
      </c>
      <c r="P848">
        <v>9.7200000000000006</v>
      </c>
      <c r="Q848">
        <v>12940878</v>
      </c>
      <c r="R848">
        <v>1.52</v>
      </c>
      <c r="S848" t="s">
        <v>1420</v>
      </c>
      <c r="T848" t="s">
        <v>323</v>
      </c>
      <c r="U848">
        <v>0.96</v>
      </c>
      <c r="V848">
        <v>9.36</v>
      </c>
      <c r="W848">
        <v>6103</v>
      </c>
      <c r="X848">
        <v>7725</v>
      </c>
      <c r="Y848">
        <v>0.79</v>
      </c>
      <c r="Z848">
        <v>251</v>
      </c>
      <c r="AA848">
        <v>36</v>
      </c>
      <c r="AB848" t="s">
        <v>116</v>
      </c>
      <c r="AC848">
        <v>180500</v>
      </c>
      <c r="AD848">
        <v>0.01</v>
      </c>
      <c r="AE848" t="s">
        <v>116</v>
      </c>
      <c r="AF848" t="s">
        <v>116</v>
      </c>
      <c r="AG848">
        <v>3.22</v>
      </c>
      <c r="AH848" t="s">
        <v>5121</v>
      </c>
      <c r="AI848" t="s">
        <v>5122</v>
      </c>
      <c r="AJ848">
        <v>0.79</v>
      </c>
      <c r="AK848">
        <v>459</v>
      </c>
      <c r="AL848">
        <v>30</v>
      </c>
      <c r="AM848">
        <v>8.9999999999999998E-4</v>
      </c>
      <c r="AN848">
        <v>2</v>
      </c>
      <c r="AO848">
        <v>0.44</v>
      </c>
      <c r="AP848">
        <v>2.52</v>
      </c>
      <c r="AQ848">
        <v>0.97</v>
      </c>
      <c r="AR848">
        <v>-1.37</v>
      </c>
      <c r="AS848">
        <v>0.8</v>
      </c>
      <c r="AT848" t="s">
        <v>5123</v>
      </c>
      <c r="AU848">
        <v>8.23</v>
      </c>
      <c r="AV848">
        <v>8.06</v>
      </c>
      <c r="AW848">
        <v>0.42</v>
      </c>
      <c r="BA848">
        <v>0.11</v>
      </c>
      <c r="BB848">
        <v>0.64</v>
      </c>
      <c r="BC848">
        <v>-0.32</v>
      </c>
      <c r="BD848">
        <v>0.2</v>
      </c>
      <c r="BE848">
        <v>0</v>
      </c>
      <c r="BF848">
        <v>-0.53</v>
      </c>
      <c r="BG848">
        <v>0.43</v>
      </c>
      <c r="BH848">
        <v>-0.09</v>
      </c>
      <c r="BI848">
        <v>20191023</v>
      </c>
      <c r="BJ848">
        <v>20100423</v>
      </c>
      <c r="BK848">
        <v>3.37</v>
      </c>
      <c r="BL848" t="s">
        <v>116</v>
      </c>
      <c r="BM848" t="s">
        <v>116</v>
      </c>
      <c r="BN848">
        <v>43.45</v>
      </c>
      <c r="BO848">
        <v>32.65</v>
      </c>
      <c r="BP848">
        <v>0.2</v>
      </c>
      <c r="BQ848">
        <v>24.4</v>
      </c>
      <c r="BR848">
        <v>26.85</v>
      </c>
      <c r="BS848">
        <v>13.22</v>
      </c>
      <c r="BT848">
        <v>1.03</v>
      </c>
      <c r="BU848">
        <v>9.9600000000000009</v>
      </c>
      <c r="BV848">
        <v>6.6</v>
      </c>
      <c r="BW848">
        <v>5.34</v>
      </c>
      <c r="BX848">
        <v>10.41</v>
      </c>
      <c r="BY848">
        <v>28.75</v>
      </c>
      <c r="BZ848">
        <v>23</v>
      </c>
      <c r="CA848">
        <v>3.17</v>
      </c>
      <c r="CB848">
        <v>0.33</v>
      </c>
      <c r="CC848">
        <v>3.17</v>
      </c>
      <c r="CD848">
        <v>2.4</v>
      </c>
      <c r="CE848">
        <v>2.4300000000000002</v>
      </c>
      <c r="CF848">
        <v>1.95</v>
      </c>
      <c r="CG848">
        <v>17.79</v>
      </c>
      <c r="CH848">
        <v>4.88</v>
      </c>
      <c r="CI848">
        <v>4.0999999999999996</v>
      </c>
      <c r="CJ848">
        <v>21140</v>
      </c>
      <c r="CK848">
        <v>8172</v>
      </c>
      <c r="CL848" t="s">
        <v>5124</v>
      </c>
      <c r="CM848">
        <v>-3.2</v>
      </c>
      <c r="CN848">
        <v>-10.48</v>
      </c>
      <c r="CO848">
        <v>0.96</v>
      </c>
      <c r="CP848">
        <v>6.44</v>
      </c>
      <c r="CQ848">
        <v>1.0900000000000001</v>
      </c>
      <c r="CR848">
        <v>6.42</v>
      </c>
      <c r="CS848" t="s">
        <v>5125</v>
      </c>
      <c r="CT848">
        <v>9.6999999999999993</v>
      </c>
      <c r="CU848">
        <v>0</v>
      </c>
      <c r="CV848">
        <v>3.09</v>
      </c>
      <c r="CW848">
        <v>5.28</v>
      </c>
      <c r="CX848">
        <v>1.45</v>
      </c>
      <c r="CY848">
        <v>75.13</v>
      </c>
      <c r="CZ848" t="s">
        <v>5126</v>
      </c>
      <c r="DA848">
        <v>20</v>
      </c>
      <c r="DB848">
        <v>11.01</v>
      </c>
      <c r="DC848">
        <v>8.4499999999999993</v>
      </c>
      <c r="DD848">
        <v>0.15</v>
      </c>
      <c r="DE848">
        <v>7572</v>
      </c>
      <c r="DF848">
        <v>2394</v>
      </c>
      <c r="DG848" t="s">
        <v>116</v>
      </c>
      <c r="DH848" t="s">
        <v>116</v>
      </c>
      <c r="DI848" t="s">
        <v>116</v>
      </c>
    </row>
    <row r="849" spans="1:113" x14ac:dyDescent="0.4">
      <c r="A849" t="str">
        <f>"002395"</f>
        <v>002395</v>
      </c>
      <c r="B849" t="s">
        <v>5127</v>
      </c>
      <c r="C849">
        <v>-0.23</v>
      </c>
      <c r="D849">
        <v>26.45</v>
      </c>
      <c r="E849">
        <v>-0.06</v>
      </c>
      <c r="F849">
        <v>26.45</v>
      </c>
      <c r="G849">
        <v>26.47</v>
      </c>
      <c r="H849">
        <v>19858</v>
      </c>
      <c r="I849">
        <v>36</v>
      </c>
      <c r="J849">
        <v>-0.14000000000000001</v>
      </c>
      <c r="K849">
        <v>1.1100000000000001</v>
      </c>
      <c r="L849">
        <v>26.85</v>
      </c>
      <c r="M849">
        <v>26.95</v>
      </c>
      <c r="N849">
        <v>26.13</v>
      </c>
      <c r="O849">
        <v>26.51</v>
      </c>
      <c r="P849">
        <v>146.54</v>
      </c>
      <c r="Q849">
        <v>53009184</v>
      </c>
      <c r="R849">
        <v>2.36</v>
      </c>
      <c r="S849" t="s">
        <v>2444</v>
      </c>
      <c r="T849" t="s">
        <v>323</v>
      </c>
      <c r="U849">
        <v>3.09</v>
      </c>
      <c r="V849">
        <v>26.69</v>
      </c>
      <c r="W849">
        <v>8685</v>
      </c>
      <c r="X849">
        <v>11173</v>
      </c>
      <c r="Y849">
        <v>0.78</v>
      </c>
      <c r="Z849">
        <v>89</v>
      </c>
      <c r="AA849">
        <v>1</v>
      </c>
      <c r="AB849" t="s">
        <v>116</v>
      </c>
      <c r="AC849">
        <v>507500</v>
      </c>
      <c r="AD849">
        <v>0.03</v>
      </c>
      <c r="AE849" t="s">
        <v>116</v>
      </c>
      <c r="AF849" t="s">
        <v>116</v>
      </c>
      <c r="AG849">
        <v>1.79</v>
      </c>
      <c r="AH849" t="s">
        <v>5128</v>
      </c>
      <c r="AI849" t="s">
        <v>5128</v>
      </c>
      <c r="AJ849">
        <v>0.45</v>
      </c>
      <c r="AK849">
        <v>810</v>
      </c>
      <c r="AL849">
        <v>25</v>
      </c>
      <c r="AM849">
        <v>1.4E-3</v>
      </c>
      <c r="AN849">
        <v>-3</v>
      </c>
      <c r="AO849">
        <v>-1.94</v>
      </c>
      <c r="AP849">
        <v>5.97</v>
      </c>
      <c r="AQ849">
        <v>21.33</v>
      </c>
      <c r="AR849">
        <v>149.76</v>
      </c>
      <c r="AS849">
        <v>3.15</v>
      </c>
      <c r="AT849" t="s">
        <v>2905</v>
      </c>
      <c r="AU849">
        <v>158.96</v>
      </c>
      <c r="AV849">
        <v>212.66</v>
      </c>
      <c r="AW849">
        <v>0.73</v>
      </c>
      <c r="BA849">
        <v>1.28</v>
      </c>
      <c r="BB849">
        <v>1.66</v>
      </c>
      <c r="BC849">
        <v>-1.43</v>
      </c>
      <c r="BD849">
        <v>0.7</v>
      </c>
      <c r="BE849">
        <v>-1.49</v>
      </c>
      <c r="BF849">
        <v>-1.86</v>
      </c>
      <c r="BG849">
        <v>1.22</v>
      </c>
      <c r="BH849">
        <v>-0.92</v>
      </c>
      <c r="BI849">
        <v>20191106</v>
      </c>
      <c r="BJ849">
        <v>20100429</v>
      </c>
      <c r="BK849">
        <v>1.79</v>
      </c>
      <c r="BL849" t="s">
        <v>116</v>
      </c>
      <c r="BM849" t="s">
        <v>116</v>
      </c>
      <c r="BN849">
        <v>12.74</v>
      </c>
      <c r="BO849">
        <v>8.4600000000000009</v>
      </c>
      <c r="BP849">
        <v>0</v>
      </c>
      <c r="BQ849">
        <v>33.58</v>
      </c>
      <c r="BR849">
        <v>8.0399999999999991</v>
      </c>
      <c r="BS849">
        <v>3.18</v>
      </c>
      <c r="BT849">
        <v>0.64</v>
      </c>
      <c r="BU849">
        <v>4.26</v>
      </c>
      <c r="BV849">
        <v>3.76</v>
      </c>
      <c r="BW849">
        <v>0.77</v>
      </c>
      <c r="BX849">
        <v>4.2699999999999996</v>
      </c>
      <c r="BY849">
        <v>10.09</v>
      </c>
      <c r="BZ849">
        <v>9.09</v>
      </c>
      <c r="CA849">
        <v>0.18</v>
      </c>
      <c r="CB849">
        <v>0</v>
      </c>
      <c r="CC849">
        <v>0.31</v>
      </c>
      <c r="CD849">
        <v>0.24</v>
      </c>
      <c r="CE849">
        <v>0.24</v>
      </c>
      <c r="CF849">
        <v>0.15</v>
      </c>
      <c r="CG849">
        <v>2.04</v>
      </c>
      <c r="CH849">
        <v>-0.06</v>
      </c>
      <c r="CI849">
        <v>-0.79</v>
      </c>
      <c r="CJ849">
        <v>6586</v>
      </c>
      <c r="CK849">
        <v>9575</v>
      </c>
      <c r="CL849" t="s">
        <v>5129</v>
      </c>
      <c r="CM849">
        <v>45</v>
      </c>
      <c r="CN849">
        <v>3.02</v>
      </c>
      <c r="CO849">
        <v>5.59</v>
      </c>
      <c r="CP849">
        <v>-835.45</v>
      </c>
      <c r="CQ849">
        <v>4.6900000000000004</v>
      </c>
      <c r="CR849">
        <v>0.76</v>
      </c>
      <c r="CS849" t="s">
        <v>2750</v>
      </c>
      <c r="CT849">
        <v>4.7300000000000004</v>
      </c>
      <c r="CU849">
        <v>0</v>
      </c>
      <c r="CV849">
        <v>2.39</v>
      </c>
      <c r="CW849">
        <v>1.1399999999999999</v>
      </c>
      <c r="CX849">
        <v>-0.03</v>
      </c>
      <c r="CY849">
        <v>66.42</v>
      </c>
      <c r="CZ849" t="s">
        <v>4544</v>
      </c>
      <c r="DA849">
        <v>9.89</v>
      </c>
      <c r="DB849">
        <v>1.79</v>
      </c>
      <c r="DC849">
        <v>2.4</v>
      </c>
      <c r="DD849">
        <v>0.34</v>
      </c>
      <c r="DE849">
        <v>842</v>
      </c>
      <c r="DF849">
        <v>2395</v>
      </c>
      <c r="DG849" t="s">
        <v>116</v>
      </c>
      <c r="DH849" t="s">
        <v>116</v>
      </c>
      <c r="DI849" t="s">
        <v>116</v>
      </c>
    </row>
    <row r="850" spans="1:113" x14ac:dyDescent="0.4">
      <c r="A850" t="str">
        <f>"002396"</f>
        <v>002396</v>
      </c>
      <c r="B850" t="s">
        <v>5130</v>
      </c>
      <c r="C850">
        <v>-2.3199999999999998</v>
      </c>
      <c r="D850">
        <v>33.61</v>
      </c>
      <c r="E850">
        <v>-0.8</v>
      </c>
      <c r="F850">
        <v>33.6</v>
      </c>
      <c r="G850">
        <v>33.61</v>
      </c>
      <c r="H850">
        <v>114733</v>
      </c>
      <c r="I850">
        <v>942</v>
      </c>
      <c r="J850">
        <v>-0.17</v>
      </c>
      <c r="K850">
        <v>2.0499999999999998</v>
      </c>
      <c r="L850">
        <v>34.6</v>
      </c>
      <c r="M850">
        <v>34.96</v>
      </c>
      <c r="N850">
        <v>33.520000000000003</v>
      </c>
      <c r="O850">
        <v>34.409999999999997</v>
      </c>
      <c r="P850">
        <v>30.61</v>
      </c>
      <c r="Q850">
        <v>392730112</v>
      </c>
      <c r="R850">
        <v>1.23</v>
      </c>
      <c r="S850" t="s">
        <v>465</v>
      </c>
      <c r="T850" t="s">
        <v>975</v>
      </c>
      <c r="U850">
        <v>4.18</v>
      </c>
      <c r="V850">
        <v>34.229999999999997</v>
      </c>
      <c r="W850">
        <v>66256</v>
      </c>
      <c r="X850">
        <v>48477</v>
      </c>
      <c r="Y850">
        <v>1.37</v>
      </c>
      <c r="Z850">
        <v>478</v>
      </c>
      <c r="AA850">
        <v>176</v>
      </c>
      <c r="AB850" t="s">
        <v>116</v>
      </c>
      <c r="AC850">
        <v>1034500</v>
      </c>
      <c r="AD850">
        <v>0.01</v>
      </c>
      <c r="AE850" t="s">
        <v>116</v>
      </c>
      <c r="AF850" t="s">
        <v>116</v>
      </c>
      <c r="AG850">
        <v>5.61</v>
      </c>
      <c r="AH850" t="s">
        <v>5131</v>
      </c>
      <c r="AI850" t="s">
        <v>5132</v>
      </c>
      <c r="AJ850">
        <v>-1.65</v>
      </c>
      <c r="AK850">
        <v>3603</v>
      </c>
      <c r="AL850">
        <v>32</v>
      </c>
      <c r="AM850">
        <v>5.9999999999999995E-4</v>
      </c>
      <c r="AN850">
        <v>-2</v>
      </c>
      <c r="AO850">
        <v>-2.8</v>
      </c>
      <c r="AP850">
        <v>6.09</v>
      </c>
      <c r="AQ850">
        <v>7.79</v>
      </c>
      <c r="AR850">
        <v>96.43</v>
      </c>
      <c r="AS850">
        <v>2.84</v>
      </c>
      <c r="AT850" t="s">
        <v>5133</v>
      </c>
      <c r="AU850">
        <v>29.74</v>
      </c>
      <c r="AV850">
        <v>33.72</v>
      </c>
      <c r="AW850">
        <v>1.42</v>
      </c>
      <c r="BA850">
        <v>0.55000000000000004</v>
      </c>
      <c r="BB850">
        <v>1.6</v>
      </c>
      <c r="BC850">
        <v>-2.59</v>
      </c>
      <c r="BD850">
        <v>-0.52</v>
      </c>
      <c r="BE850">
        <v>-2.86</v>
      </c>
      <c r="BF850">
        <v>-3.86</v>
      </c>
      <c r="BG850">
        <v>0.27</v>
      </c>
      <c r="BH850">
        <v>-1.8</v>
      </c>
      <c r="BI850">
        <v>20191030</v>
      </c>
      <c r="BJ850">
        <v>20100623</v>
      </c>
      <c r="BK850">
        <v>5.83</v>
      </c>
      <c r="BL850" t="s">
        <v>116</v>
      </c>
      <c r="BM850" t="s">
        <v>116</v>
      </c>
      <c r="BN850">
        <v>67.569999999999993</v>
      </c>
      <c r="BO850">
        <v>40.96</v>
      </c>
      <c r="BP850">
        <v>5.58</v>
      </c>
      <c r="BQ850">
        <v>31.13</v>
      </c>
      <c r="BR850">
        <v>51.34</v>
      </c>
      <c r="BS850">
        <v>5.56</v>
      </c>
      <c r="BT850">
        <v>1.1499999999999999</v>
      </c>
      <c r="BU850">
        <v>20.49</v>
      </c>
      <c r="BV850">
        <v>18.309999999999999</v>
      </c>
      <c r="BW850">
        <v>16.920000000000002</v>
      </c>
      <c r="BX850">
        <v>6.86</v>
      </c>
      <c r="BY850">
        <v>59.93</v>
      </c>
      <c r="BZ850">
        <v>37.39</v>
      </c>
      <c r="CA850">
        <v>7.04</v>
      </c>
      <c r="CB850">
        <v>0.26</v>
      </c>
      <c r="CC850">
        <v>7.05</v>
      </c>
      <c r="CD850">
        <v>6.7</v>
      </c>
      <c r="CE850">
        <v>4.8</v>
      </c>
      <c r="CF850">
        <v>4.34</v>
      </c>
      <c r="CG850">
        <v>26.15</v>
      </c>
      <c r="CH850">
        <v>-2.68</v>
      </c>
      <c r="CI850">
        <v>-8.35</v>
      </c>
      <c r="CJ850">
        <v>30749</v>
      </c>
      <c r="CK850">
        <v>13137</v>
      </c>
      <c r="CL850" t="s">
        <v>5134</v>
      </c>
      <c r="CM850">
        <v>19.350000000000001</v>
      </c>
      <c r="CN850">
        <v>-3.11</v>
      </c>
      <c r="CO850">
        <v>4.79</v>
      </c>
      <c r="CP850">
        <v>-73.099999999999994</v>
      </c>
      <c r="CQ850">
        <v>3.27</v>
      </c>
      <c r="CR850">
        <v>0.33</v>
      </c>
      <c r="CS850" t="s">
        <v>5135</v>
      </c>
      <c r="CT850">
        <v>7.02</v>
      </c>
      <c r="CU850">
        <v>0</v>
      </c>
      <c r="CV850">
        <v>1.18</v>
      </c>
      <c r="CW850">
        <v>4.4800000000000004</v>
      </c>
      <c r="CX850">
        <v>-0.46</v>
      </c>
      <c r="CY850">
        <v>60.62</v>
      </c>
      <c r="CZ850" t="s">
        <v>4753</v>
      </c>
      <c r="DA850">
        <v>37.61</v>
      </c>
      <c r="DB850">
        <v>11.74</v>
      </c>
      <c r="DC850">
        <v>8.01</v>
      </c>
      <c r="DD850">
        <v>7.25</v>
      </c>
      <c r="DE850">
        <v>8611</v>
      </c>
      <c r="DF850">
        <v>2396</v>
      </c>
      <c r="DG850" t="s">
        <v>116</v>
      </c>
      <c r="DH850" t="s">
        <v>116</v>
      </c>
      <c r="DI850" t="s">
        <v>116</v>
      </c>
    </row>
    <row r="851" spans="1:113" x14ac:dyDescent="0.4">
      <c r="A851" t="str">
        <f>"002397"</f>
        <v>002397</v>
      </c>
      <c r="B851" t="s">
        <v>5136</v>
      </c>
      <c r="C851">
        <v>0</v>
      </c>
      <c r="D851">
        <v>4.88</v>
      </c>
      <c r="E851">
        <v>0</v>
      </c>
      <c r="F851">
        <v>4.88</v>
      </c>
      <c r="G851">
        <v>4.8899999999999997</v>
      </c>
      <c r="H851">
        <v>27712</v>
      </c>
      <c r="I851">
        <v>125</v>
      </c>
      <c r="J851">
        <v>-0.19</v>
      </c>
      <c r="K851">
        <v>0.56999999999999995</v>
      </c>
      <c r="L851">
        <v>4.8600000000000003</v>
      </c>
      <c r="M851">
        <v>4.93</v>
      </c>
      <c r="N851">
        <v>4.8499999999999996</v>
      </c>
      <c r="O851">
        <v>4.88</v>
      </c>
      <c r="P851">
        <v>28.52</v>
      </c>
      <c r="Q851">
        <v>13571825</v>
      </c>
      <c r="R851">
        <v>0.64</v>
      </c>
      <c r="S851" t="s">
        <v>1420</v>
      </c>
      <c r="T851" t="s">
        <v>599</v>
      </c>
      <c r="U851">
        <v>1.64</v>
      </c>
      <c r="V851">
        <v>4.9000000000000004</v>
      </c>
      <c r="W851">
        <v>13721</v>
      </c>
      <c r="X851">
        <v>13991</v>
      </c>
      <c r="Y851">
        <v>0.98</v>
      </c>
      <c r="Z851">
        <v>176</v>
      </c>
      <c r="AA851">
        <v>391</v>
      </c>
      <c r="AB851" t="s">
        <v>116</v>
      </c>
      <c r="AC851">
        <v>73900</v>
      </c>
      <c r="AD851">
        <v>0.01</v>
      </c>
      <c r="AE851" t="s">
        <v>116</v>
      </c>
      <c r="AF851" t="s">
        <v>116</v>
      </c>
      <c r="AG851">
        <v>4.8499999999999996</v>
      </c>
      <c r="AH851" t="s">
        <v>5137</v>
      </c>
      <c r="AI851" t="s">
        <v>5138</v>
      </c>
      <c r="AJ851">
        <v>0.68</v>
      </c>
      <c r="AK851">
        <v>591</v>
      </c>
      <c r="AL851">
        <v>47</v>
      </c>
      <c r="AM851">
        <v>1E-3</v>
      </c>
      <c r="AN851">
        <v>0</v>
      </c>
      <c r="AO851">
        <v>-0.61</v>
      </c>
      <c r="AP851">
        <v>-6.69</v>
      </c>
      <c r="AQ851">
        <v>-1.41</v>
      </c>
      <c r="AR851">
        <v>23.16</v>
      </c>
      <c r="AS851">
        <v>0.95</v>
      </c>
      <c r="AT851" t="s">
        <v>5139</v>
      </c>
      <c r="AU851">
        <v>43.04</v>
      </c>
      <c r="AV851">
        <v>44.19</v>
      </c>
      <c r="AW851">
        <v>0.52</v>
      </c>
      <c r="BA851">
        <v>-0.41</v>
      </c>
      <c r="BB851">
        <v>1.02</v>
      </c>
      <c r="BC851">
        <v>-0.61</v>
      </c>
      <c r="BD851">
        <v>0.36</v>
      </c>
      <c r="BE851">
        <v>0.41</v>
      </c>
      <c r="BF851">
        <v>-1.01</v>
      </c>
      <c r="BG851">
        <v>0.62</v>
      </c>
      <c r="BH851">
        <v>-0.36</v>
      </c>
      <c r="BI851">
        <v>20191029</v>
      </c>
      <c r="BJ851">
        <v>20100429</v>
      </c>
      <c r="BK851">
        <v>7.64</v>
      </c>
      <c r="BL851" t="s">
        <v>116</v>
      </c>
      <c r="BM851" t="s">
        <v>116</v>
      </c>
      <c r="BN851">
        <v>36.450000000000003</v>
      </c>
      <c r="BO851">
        <v>19.29</v>
      </c>
      <c r="BP851">
        <v>1.17</v>
      </c>
      <c r="BQ851">
        <v>43.89</v>
      </c>
      <c r="BR851">
        <v>19.97</v>
      </c>
      <c r="BS851">
        <v>9.1999999999999993</v>
      </c>
      <c r="BT851">
        <v>1.38</v>
      </c>
      <c r="BU851">
        <v>14.85</v>
      </c>
      <c r="BV851">
        <v>7.85</v>
      </c>
      <c r="BW851">
        <v>3.87</v>
      </c>
      <c r="BX851">
        <v>7.53</v>
      </c>
      <c r="BY851">
        <v>16.88</v>
      </c>
      <c r="BZ851">
        <v>10.06</v>
      </c>
      <c r="CA851">
        <v>1.0900000000000001</v>
      </c>
      <c r="CB851">
        <v>0</v>
      </c>
      <c r="CC851">
        <v>1.08</v>
      </c>
      <c r="CD851">
        <v>0.95</v>
      </c>
      <c r="CE851">
        <v>0.98</v>
      </c>
      <c r="CF851">
        <v>0.94</v>
      </c>
      <c r="CG851">
        <v>4.16</v>
      </c>
      <c r="CH851">
        <v>0.81</v>
      </c>
      <c r="CI851">
        <v>-0.69</v>
      </c>
      <c r="CJ851">
        <v>32954</v>
      </c>
      <c r="CK851">
        <v>8862</v>
      </c>
      <c r="CL851" t="s">
        <v>2049</v>
      </c>
      <c r="CM851">
        <v>2.35</v>
      </c>
      <c r="CN851">
        <v>16.71</v>
      </c>
      <c r="CO851">
        <v>1.93</v>
      </c>
      <c r="CP851">
        <v>45.9</v>
      </c>
      <c r="CQ851">
        <v>2.21</v>
      </c>
      <c r="CR851">
        <v>3.07</v>
      </c>
      <c r="CS851" t="s">
        <v>5140</v>
      </c>
      <c r="CT851">
        <v>2.52</v>
      </c>
      <c r="CU851">
        <v>0</v>
      </c>
      <c r="CV851">
        <v>0.99</v>
      </c>
      <c r="CW851">
        <v>0.54</v>
      </c>
      <c r="CX851">
        <v>0.11</v>
      </c>
      <c r="CY851">
        <v>52.92</v>
      </c>
      <c r="CZ851" t="s">
        <v>5141</v>
      </c>
      <c r="DA851">
        <v>40.409999999999997</v>
      </c>
      <c r="DB851">
        <v>6.44</v>
      </c>
      <c r="DC851">
        <v>5.81</v>
      </c>
      <c r="DD851">
        <v>0.52</v>
      </c>
      <c r="DE851">
        <v>3876</v>
      </c>
      <c r="DF851">
        <v>2397</v>
      </c>
      <c r="DG851" t="s">
        <v>116</v>
      </c>
      <c r="DH851" t="s">
        <v>116</v>
      </c>
      <c r="DI851" t="s">
        <v>116</v>
      </c>
    </row>
    <row r="852" spans="1:113" x14ac:dyDescent="0.4">
      <c r="A852" t="str">
        <f>"002398"</f>
        <v>002398</v>
      </c>
      <c r="B852" t="s">
        <v>5142</v>
      </c>
      <c r="C852">
        <v>0</v>
      </c>
      <c r="D852">
        <v>5.9</v>
      </c>
      <c r="E852">
        <v>0</v>
      </c>
      <c r="F852">
        <v>5.9</v>
      </c>
      <c r="G852">
        <v>5.91</v>
      </c>
      <c r="H852">
        <v>51197</v>
      </c>
      <c r="I852">
        <v>363</v>
      </c>
      <c r="J852">
        <v>0</v>
      </c>
      <c r="K852">
        <v>0.97</v>
      </c>
      <c r="L852">
        <v>5.91</v>
      </c>
      <c r="M852">
        <v>5.94</v>
      </c>
      <c r="N852">
        <v>5.88</v>
      </c>
      <c r="O852">
        <v>5.9</v>
      </c>
      <c r="P852">
        <v>9.86</v>
      </c>
      <c r="Q852">
        <v>30246360</v>
      </c>
      <c r="R852">
        <v>0.94</v>
      </c>
      <c r="S852" t="s">
        <v>249</v>
      </c>
      <c r="T852" t="s">
        <v>975</v>
      </c>
      <c r="U852">
        <v>1.02</v>
      </c>
      <c r="V852">
        <v>5.91</v>
      </c>
      <c r="W852">
        <v>27097</v>
      </c>
      <c r="X852">
        <v>24100</v>
      </c>
      <c r="Y852">
        <v>1.1200000000000001</v>
      </c>
      <c r="Z852">
        <v>52</v>
      </c>
      <c r="AA852">
        <v>461</v>
      </c>
      <c r="AB852" t="s">
        <v>116</v>
      </c>
      <c r="AC852">
        <v>18300</v>
      </c>
      <c r="AD852">
        <v>0</v>
      </c>
      <c r="AE852" t="s">
        <v>116</v>
      </c>
      <c r="AF852" t="s">
        <v>116</v>
      </c>
      <c r="AG852">
        <v>5.3</v>
      </c>
      <c r="AH852" t="s">
        <v>5143</v>
      </c>
      <c r="AI852" t="s">
        <v>5144</v>
      </c>
      <c r="AJ852">
        <v>0.68</v>
      </c>
      <c r="AK852">
        <v>1651</v>
      </c>
      <c r="AL852">
        <v>31</v>
      </c>
      <c r="AM852">
        <v>5.9999999999999995E-4</v>
      </c>
      <c r="AN852">
        <v>0</v>
      </c>
      <c r="AO852">
        <v>2.4300000000000002</v>
      </c>
      <c r="AP852">
        <v>10.28</v>
      </c>
      <c r="AQ852">
        <v>6.69</v>
      </c>
      <c r="AR852">
        <v>33.479999999999997</v>
      </c>
      <c r="AS852">
        <v>1.1200000000000001</v>
      </c>
      <c r="AT852" t="s">
        <v>4432</v>
      </c>
      <c r="AU852">
        <v>11.43</v>
      </c>
      <c r="AV852">
        <v>16.399999999999999</v>
      </c>
      <c r="AW852">
        <v>0.75</v>
      </c>
      <c r="BA852">
        <v>0.17</v>
      </c>
      <c r="BB852">
        <v>0.68</v>
      </c>
      <c r="BC852">
        <v>-0.34</v>
      </c>
      <c r="BD852">
        <v>0.13</v>
      </c>
      <c r="BE852">
        <v>-0.17</v>
      </c>
      <c r="BF852">
        <v>-0.67</v>
      </c>
      <c r="BG852">
        <v>0.34</v>
      </c>
      <c r="BH852">
        <v>-0.13</v>
      </c>
      <c r="BI852">
        <v>20191105</v>
      </c>
      <c r="BJ852">
        <v>20100506</v>
      </c>
      <c r="BK852">
        <v>6.93</v>
      </c>
      <c r="BL852" t="s">
        <v>116</v>
      </c>
      <c r="BM852" t="s">
        <v>116</v>
      </c>
      <c r="BN852">
        <v>41.43</v>
      </c>
      <c r="BO852">
        <v>27.47</v>
      </c>
      <c r="BP852">
        <v>0.62</v>
      </c>
      <c r="BQ852">
        <v>32.22</v>
      </c>
      <c r="BR852">
        <v>29.23</v>
      </c>
      <c r="BS852">
        <v>3.76</v>
      </c>
      <c r="BT852">
        <v>1.1299999999999999</v>
      </c>
      <c r="BU852">
        <v>13.04</v>
      </c>
      <c r="BV852">
        <v>0.97</v>
      </c>
      <c r="BW852">
        <v>18.649999999999999</v>
      </c>
      <c r="BX852">
        <v>2.56</v>
      </c>
      <c r="BY852">
        <v>23.57</v>
      </c>
      <c r="BZ852">
        <v>16.41</v>
      </c>
      <c r="CA852">
        <v>3.8</v>
      </c>
      <c r="CB852">
        <v>0.19</v>
      </c>
      <c r="CC852">
        <v>3.8</v>
      </c>
      <c r="CD852">
        <v>3.23</v>
      </c>
      <c r="CE852">
        <v>3.11</v>
      </c>
      <c r="CF852">
        <v>2.94</v>
      </c>
      <c r="CG852">
        <v>17.5</v>
      </c>
      <c r="CH852">
        <v>2.11</v>
      </c>
      <c r="CI852">
        <v>-0.17</v>
      </c>
      <c r="CJ852">
        <v>22424</v>
      </c>
      <c r="CK852">
        <v>20371</v>
      </c>
      <c r="CL852" t="s">
        <v>5145</v>
      </c>
      <c r="CM852">
        <v>53.4</v>
      </c>
      <c r="CN852">
        <v>24.83</v>
      </c>
      <c r="CO852">
        <v>1.49</v>
      </c>
      <c r="CP852">
        <v>19.399999999999999</v>
      </c>
      <c r="CQ852">
        <v>1.73</v>
      </c>
      <c r="CR852">
        <v>1.19</v>
      </c>
      <c r="CS852" t="s">
        <v>5146</v>
      </c>
      <c r="CT852">
        <v>3.97</v>
      </c>
      <c r="CU852">
        <v>0</v>
      </c>
      <c r="CV852">
        <v>0.37</v>
      </c>
      <c r="CW852">
        <v>2.5299999999999998</v>
      </c>
      <c r="CX852">
        <v>0.3</v>
      </c>
      <c r="CY852">
        <v>66.290000000000006</v>
      </c>
      <c r="CZ852" t="s">
        <v>5147</v>
      </c>
      <c r="DA852">
        <v>30.38</v>
      </c>
      <c r="DB852">
        <v>16.14</v>
      </c>
      <c r="DC852">
        <v>13.19</v>
      </c>
      <c r="DD852">
        <v>0.66</v>
      </c>
      <c r="DE852">
        <v>2048</v>
      </c>
      <c r="DF852">
        <v>2398</v>
      </c>
      <c r="DG852" t="s">
        <v>116</v>
      </c>
      <c r="DH852" t="s">
        <v>116</v>
      </c>
      <c r="DI852" t="s">
        <v>116</v>
      </c>
    </row>
    <row r="853" spans="1:113" x14ac:dyDescent="0.4">
      <c r="A853" t="str">
        <f>"002399"</f>
        <v>002399</v>
      </c>
      <c r="B853" t="s">
        <v>5148</v>
      </c>
      <c r="C853">
        <v>-2.95</v>
      </c>
      <c r="D853">
        <v>19.059999999999999</v>
      </c>
      <c r="E853">
        <v>-0.57999999999999996</v>
      </c>
      <c r="F853">
        <v>19.059999999999999</v>
      </c>
      <c r="G853">
        <v>19.079999999999998</v>
      </c>
      <c r="H853">
        <v>95905</v>
      </c>
      <c r="I853">
        <v>873</v>
      </c>
      <c r="J853">
        <v>-0.25</v>
      </c>
      <c r="K853">
        <v>0.77</v>
      </c>
      <c r="L853">
        <v>19.54</v>
      </c>
      <c r="M853">
        <v>19.97</v>
      </c>
      <c r="N853">
        <v>19.02</v>
      </c>
      <c r="O853">
        <v>19.64</v>
      </c>
      <c r="P853">
        <v>26.56</v>
      </c>
      <c r="Q853">
        <v>185349680</v>
      </c>
      <c r="R853">
        <v>1.05</v>
      </c>
      <c r="S853" t="s">
        <v>574</v>
      </c>
      <c r="T853" t="s">
        <v>115</v>
      </c>
      <c r="U853">
        <v>4.84</v>
      </c>
      <c r="V853">
        <v>19.329999999999998</v>
      </c>
      <c r="W853">
        <v>53177</v>
      </c>
      <c r="X853">
        <v>42728</v>
      </c>
      <c r="Y853">
        <v>1.24</v>
      </c>
      <c r="Z853">
        <v>284</v>
      </c>
      <c r="AA853">
        <v>101</v>
      </c>
      <c r="AB853" t="s">
        <v>116</v>
      </c>
      <c r="AC853">
        <v>342000</v>
      </c>
      <c r="AD853">
        <v>0.01</v>
      </c>
      <c r="AE853" t="s">
        <v>116</v>
      </c>
      <c r="AF853" t="s">
        <v>116</v>
      </c>
      <c r="AG853">
        <v>12.47</v>
      </c>
      <c r="AH853" t="s">
        <v>5149</v>
      </c>
      <c r="AI853" t="s">
        <v>5149</v>
      </c>
      <c r="AJ853">
        <v>-2.27</v>
      </c>
      <c r="AK853">
        <v>2985</v>
      </c>
      <c r="AL853">
        <v>32</v>
      </c>
      <c r="AM853">
        <v>2.9999999999999997E-4</v>
      </c>
      <c r="AN853">
        <v>-1</v>
      </c>
      <c r="AO853">
        <v>3.03</v>
      </c>
      <c r="AP853">
        <v>10.43</v>
      </c>
      <c r="AQ853">
        <v>-7.79</v>
      </c>
      <c r="AR853">
        <v>-16.95</v>
      </c>
      <c r="AS853">
        <v>3.64</v>
      </c>
      <c r="AT853" t="s">
        <v>5150</v>
      </c>
      <c r="AU853">
        <v>28.41</v>
      </c>
      <c r="AV853">
        <v>38.58</v>
      </c>
      <c r="AW853">
        <v>1.31</v>
      </c>
      <c r="BA853">
        <v>-0.51</v>
      </c>
      <c r="BB853">
        <v>1.68</v>
      </c>
      <c r="BC853">
        <v>-3.16</v>
      </c>
      <c r="BD853">
        <v>-1.6</v>
      </c>
      <c r="BE853">
        <v>-2.46</v>
      </c>
      <c r="BF853">
        <v>-4.5599999999999996</v>
      </c>
      <c r="BG853">
        <v>0.21</v>
      </c>
      <c r="BH853">
        <v>-1.36</v>
      </c>
      <c r="BI853">
        <v>20191224</v>
      </c>
      <c r="BJ853">
        <v>20100506</v>
      </c>
      <c r="BK853">
        <v>12.47</v>
      </c>
      <c r="BL853" t="s">
        <v>116</v>
      </c>
      <c r="BM853" t="s">
        <v>116</v>
      </c>
      <c r="BN853">
        <v>148.07</v>
      </c>
      <c r="BO853">
        <v>68.349999999999994</v>
      </c>
      <c r="BP853">
        <v>1.25</v>
      </c>
      <c r="BQ853">
        <v>53</v>
      </c>
      <c r="BR853">
        <v>55.34</v>
      </c>
      <c r="BS853">
        <v>17.649999999999999</v>
      </c>
      <c r="BT853">
        <v>6.89</v>
      </c>
      <c r="BU853">
        <v>54.79</v>
      </c>
      <c r="BV853">
        <v>20.67</v>
      </c>
      <c r="BW853">
        <v>11.08</v>
      </c>
      <c r="BX853">
        <v>22.79</v>
      </c>
      <c r="BY853">
        <v>31.39</v>
      </c>
      <c r="BZ853">
        <v>20.28</v>
      </c>
      <c r="CA853">
        <v>7.74</v>
      </c>
      <c r="CB853">
        <v>5.12</v>
      </c>
      <c r="CC853">
        <v>7.75</v>
      </c>
      <c r="CD853">
        <v>6.57</v>
      </c>
      <c r="CE853">
        <v>6.71</v>
      </c>
      <c r="CF853">
        <v>2.2200000000000002</v>
      </c>
      <c r="CG853">
        <v>26.25</v>
      </c>
      <c r="CH853">
        <v>-1.51</v>
      </c>
      <c r="CI853">
        <v>-8.35</v>
      </c>
      <c r="CJ853">
        <v>26221</v>
      </c>
      <c r="CK853">
        <v>10040</v>
      </c>
      <c r="CL853" t="s">
        <v>5151</v>
      </c>
      <c r="CM853">
        <v>48.88</v>
      </c>
      <c r="CN853">
        <v>-5.79</v>
      </c>
      <c r="CO853">
        <v>3.48</v>
      </c>
      <c r="CP853">
        <v>-156.96</v>
      </c>
      <c r="CQ853">
        <v>7.57</v>
      </c>
      <c r="CR853">
        <v>0.52</v>
      </c>
      <c r="CS853" t="s">
        <v>3049</v>
      </c>
      <c r="CT853">
        <v>5.48</v>
      </c>
      <c r="CU853">
        <v>0</v>
      </c>
      <c r="CV853">
        <v>1.83</v>
      </c>
      <c r="CW853">
        <v>2.1</v>
      </c>
      <c r="CX853">
        <v>-0.12</v>
      </c>
      <c r="CY853">
        <v>46.16</v>
      </c>
      <c r="CZ853" t="s">
        <v>5152</v>
      </c>
      <c r="DA853">
        <v>35.4</v>
      </c>
      <c r="DB853">
        <v>24.67</v>
      </c>
      <c r="DC853">
        <v>21.39</v>
      </c>
      <c r="DD853">
        <v>1.1200000000000001</v>
      </c>
      <c r="DE853">
        <v>2333</v>
      </c>
      <c r="DF853">
        <v>2399</v>
      </c>
      <c r="DG853" t="s">
        <v>116</v>
      </c>
      <c r="DH853" t="s">
        <v>116</v>
      </c>
      <c r="DI853" t="s">
        <v>116</v>
      </c>
    </row>
    <row r="854" spans="1:113" x14ac:dyDescent="0.4">
      <c r="A854" t="str">
        <f>"002400"</f>
        <v>002400</v>
      </c>
      <c r="B854" t="s">
        <v>5153</v>
      </c>
      <c r="C854">
        <v>4.87</v>
      </c>
      <c r="D854">
        <v>3.23</v>
      </c>
      <c r="E854">
        <v>0.15</v>
      </c>
      <c r="F854">
        <v>3.23</v>
      </c>
      <c r="G854">
        <v>3.24</v>
      </c>
      <c r="H854">
        <v>1100872</v>
      </c>
      <c r="I854">
        <v>4639</v>
      </c>
      <c r="J854">
        <v>-0.3</v>
      </c>
      <c r="K854">
        <v>6.57</v>
      </c>
      <c r="L854">
        <v>3.09</v>
      </c>
      <c r="M854">
        <v>3.39</v>
      </c>
      <c r="N854">
        <v>3.08</v>
      </c>
      <c r="O854">
        <v>3.08</v>
      </c>
      <c r="P854">
        <v>38.299999999999997</v>
      </c>
      <c r="Q854">
        <v>360361760</v>
      </c>
      <c r="R854">
        <v>3.29</v>
      </c>
      <c r="S854" t="s">
        <v>345</v>
      </c>
      <c r="T854" t="s">
        <v>551</v>
      </c>
      <c r="U854">
        <v>10.06</v>
      </c>
      <c r="V854">
        <v>3.27</v>
      </c>
      <c r="W854">
        <v>472526</v>
      </c>
      <c r="X854">
        <v>628346</v>
      </c>
      <c r="Y854">
        <v>0.75</v>
      </c>
      <c r="Z854">
        <v>2578</v>
      </c>
      <c r="AA854">
        <v>2376</v>
      </c>
      <c r="AB854" t="s">
        <v>116</v>
      </c>
      <c r="AC854">
        <v>1248400</v>
      </c>
      <c r="AD854">
        <v>0.03</v>
      </c>
      <c r="AE854" t="s">
        <v>116</v>
      </c>
      <c r="AF854" t="s">
        <v>116</v>
      </c>
      <c r="AG854">
        <v>16.75</v>
      </c>
      <c r="AH854" t="s">
        <v>1312</v>
      </c>
      <c r="AI854" t="s">
        <v>5154</v>
      </c>
      <c r="AJ854">
        <v>5.55</v>
      </c>
      <c r="AK854">
        <v>3791</v>
      </c>
      <c r="AL854">
        <v>290</v>
      </c>
      <c r="AM854">
        <v>1.6999999999999999E-3</v>
      </c>
      <c r="AN854">
        <v>4</v>
      </c>
      <c r="AO854">
        <v>10.24</v>
      </c>
      <c r="AP854">
        <v>16.61</v>
      </c>
      <c r="AQ854">
        <v>13.73</v>
      </c>
      <c r="AR854">
        <v>9.49</v>
      </c>
      <c r="AS854">
        <v>8.43</v>
      </c>
      <c r="AT854" t="s">
        <v>5155</v>
      </c>
      <c r="AU854">
        <v>38.03</v>
      </c>
      <c r="AV854">
        <v>30.29</v>
      </c>
      <c r="AW854">
        <v>1.35</v>
      </c>
      <c r="BA854">
        <v>0.32</v>
      </c>
      <c r="BB854">
        <v>10.06</v>
      </c>
      <c r="BC854">
        <v>0</v>
      </c>
      <c r="BD854">
        <v>6.28</v>
      </c>
      <c r="BE854">
        <v>4.53</v>
      </c>
      <c r="BF854">
        <v>-4.72</v>
      </c>
      <c r="BG854">
        <v>4.87</v>
      </c>
      <c r="BH854">
        <v>-1.41</v>
      </c>
      <c r="BI854">
        <v>20191030</v>
      </c>
      <c r="BJ854">
        <v>20100506</v>
      </c>
      <c r="BK854">
        <v>17.43</v>
      </c>
      <c r="BL854" t="s">
        <v>116</v>
      </c>
      <c r="BM854" t="s">
        <v>116</v>
      </c>
      <c r="BN854">
        <v>91.75</v>
      </c>
      <c r="BO854">
        <v>52.99</v>
      </c>
      <c r="BP854">
        <v>3</v>
      </c>
      <c r="BQ854">
        <v>38.979999999999997</v>
      </c>
      <c r="BR854">
        <v>52.33</v>
      </c>
      <c r="BS854">
        <v>6.86</v>
      </c>
      <c r="BT854">
        <v>0.53</v>
      </c>
      <c r="BU854">
        <v>33.43</v>
      </c>
      <c r="BV854">
        <v>0</v>
      </c>
      <c r="BW854">
        <v>22.15</v>
      </c>
      <c r="BX854">
        <v>14.06</v>
      </c>
      <c r="BY854">
        <v>83.45</v>
      </c>
      <c r="BZ854">
        <v>73.489999999999995</v>
      </c>
      <c r="CA854">
        <v>1.69</v>
      </c>
      <c r="CB854">
        <v>0.53</v>
      </c>
      <c r="CC854">
        <v>1.8</v>
      </c>
      <c r="CD854">
        <v>1.35</v>
      </c>
      <c r="CE854">
        <v>1.1000000000000001</v>
      </c>
      <c r="CF854">
        <v>0.53</v>
      </c>
      <c r="CG854">
        <v>19.25</v>
      </c>
      <c r="CH854">
        <v>2.19</v>
      </c>
      <c r="CI854">
        <v>-0.88</v>
      </c>
      <c r="CJ854">
        <v>60901</v>
      </c>
      <c r="CK854">
        <v>21444</v>
      </c>
      <c r="CL854" t="s">
        <v>4997</v>
      </c>
      <c r="CM854">
        <v>-25.56</v>
      </c>
      <c r="CN854">
        <v>1.1100000000000001</v>
      </c>
      <c r="CO854">
        <v>1.06</v>
      </c>
      <c r="CP854">
        <v>25.67</v>
      </c>
      <c r="CQ854">
        <v>0.67</v>
      </c>
      <c r="CR854">
        <v>0.31</v>
      </c>
      <c r="CS854" t="s">
        <v>2373</v>
      </c>
      <c r="CT854">
        <v>3.04</v>
      </c>
      <c r="CU854">
        <v>0</v>
      </c>
      <c r="CV854">
        <v>0.81</v>
      </c>
      <c r="CW854">
        <v>1.1000000000000001</v>
      </c>
      <c r="CX854">
        <v>0.13</v>
      </c>
      <c r="CY854">
        <v>57.75</v>
      </c>
      <c r="CZ854" t="s">
        <v>5156</v>
      </c>
      <c r="DA854">
        <v>11.94</v>
      </c>
      <c r="DB854">
        <v>2.0299999999999998</v>
      </c>
      <c r="DC854">
        <v>1.32</v>
      </c>
      <c r="DD854">
        <v>1.6</v>
      </c>
      <c r="DE854">
        <v>2467</v>
      </c>
      <c r="DF854">
        <v>2400</v>
      </c>
      <c r="DG854" t="s">
        <v>116</v>
      </c>
      <c r="DH854" t="s">
        <v>116</v>
      </c>
      <c r="DI854" t="s">
        <v>116</v>
      </c>
    </row>
    <row r="855" spans="1:113" x14ac:dyDescent="0.4">
      <c r="A855" t="str">
        <f>"002401"</f>
        <v>002401</v>
      </c>
      <c r="B855" t="s">
        <v>5157</v>
      </c>
      <c r="C855">
        <v>-1.06</v>
      </c>
      <c r="D855">
        <v>11.23</v>
      </c>
      <c r="E855">
        <v>-0.12</v>
      </c>
      <c r="F855">
        <v>11.23</v>
      </c>
      <c r="G855">
        <v>11.24</v>
      </c>
      <c r="H855">
        <v>27143</v>
      </c>
      <c r="I855">
        <v>305</v>
      </c>
      <c r="J855">
        <v>0</v>
      </c>
      <c r="K855">
        <v>0.9</v>
      </c>
      <c r="L855">
        <v>11.36</v>
      </c>
      <c r="M855">
        <v>11.46</v>
      </c>
      <c r="N855">
        <v>11.19</v>
      </c>
      <c r="O855">
        <v>11.35</v>
      </c>
      <c r="P855">
        <v>34.799999999999997</v>
      </c>
      <c r="Q855">
        <v>30823968</v>
      </c>
      <c r="R855">
        <v>0.92</v>
      </c>
      <c r="S855" t="s">
        <v>607</v>
      </c>
      <c r="T855" t="s">
        <v>1653</v>
      </c>
      <c r="U855">
        <v>2.38</v>
      </c>
      <c r="V855">
        <v>11.36</v>
      </c>
      <c r="W855">
        <v>14982</v>
      </c>
      <c r="X855">
        <v>12161</v>
      </c>
      <c r="Y855">
        <v>1.23</v>
      </c>
      <c r="Z855">
        <v>97</v>
      </c>
      <c r="AA855">
        <v>22</v>
      </c>
      <c r="AB855" t="s">
        <v>116</v>
      </c>
      <c r="AC855">
        <v>73800</v>
      </c>
      <c r="AD855">
        <v>0</v>
      </c>
      <c r="AE855" t="s">
        <v>116</v>
      </c>
      <c r="AF855" t="s">
        <v>116</v>
      </c>
      <c r="AG855">
        <v>3.02</v>
      </c>
      <c r="AH855" t="s">
        <v>5158</v>
      </c>
      <c r="AI855" t="s">
        <v>5159</v>
      </c>
      <c r="AJ855">
        <v>-0.38</v>
      </c>
      <c r="AK855">
        <v>1607</v>
      </c>
      <c r="AL855">
        <v>17</v>
      </c>
      <c r="AM855">
        <v>5.9999999999999995E-4</v>
      </c>
      <c r="AN855">
        <v>-1</v>
      </c>
      <c r="AO855">
        <v>0.9</v>
      </c>
      <c r="AP855">
        <v>5.55</v>
      </c>
      <c r="AQ855">
        <v>-4.0999999999999996</v>
      </c>
      <c r="AR855">
        <v>25.9</v>
      </c>
      <c r="AS855">
        <v>1.8</v>
      </c>
      <c r="AT855" t="s">
        <v>5160</v>
      </c>
      <c r="AU855">
        <v>39.51</v>
      </c>
      <c r="AV855">
        <v>40.94</v>
      </c>
      <c r="AW855">
        <v>1.53</v>
      </c>
      <c r="BA855">
        <v>0.09</v>
      </c>
      <c r="BB855">
        <v>0.97</v>
      </c>
      <c r="BC855">
        <v>-1.41</v>
      </c>
      <c r="BD855">
        <v>0.06</v>
      </c>
      <c r="BE855">
        <v>-1.1399999999999999</v>
      </c>
      <c r="BF855">
        <v>-2.0099999999999998</v>
      </c>
      <c r="BG855">
        <v>0.36</v>
      </c>
      <c r="BH855">
        <v>-1.1100000000000001</v>
      </c>
      <c r="BI855">
        <v>20191022</v>
      </c>
      <c r="BJ855">
        <v>20100506</v>
      </c>
      <c r="BK855">
        <v>3.03</v>
      </c>
      <c r="BL855" t="s">
        <v>116</v>
      </c>
      <c r="BM855" t="s">
        <v>116</v>
      </c>
      <c r="BN855">
        <v>24.97</v>
      </c>
      <c r="BO855">
        <v>9.32</v>
      </c>
      <c r="BP855">
        <v>0.15</v>
      </c>
      <c r="BQ855">
        <v>62.08</v>
      </c>
      <c r="BR855">
        <v>23.02</v>
      </c>
      <c r="BS855">
        <v>0.68</v>
      </c>
      <c r="BT855">
        <v>0.06</v>
      </c>
      <c r="BU855">
        <v>15.4</v>
      </c>
      <c r="BV855">
        <v>9.24</v>
      </c>
      <c r="BW855">
        <v>1.63</v>
      </c>
      <c r="BX855">
        <v>0.44</v>
      </c>
      <c r="BY855">
        <v>8.0399999999999991</v>
      </c>
      <c r="BZ855">
        <v>6.17</v>
      </c>
      <c r="CA855">
        <v>0.9</v>
      </c>
      <c r="CB855">
        <v>-0.04</v>
      </c>
      <c r="CC855">
        <v>0.91</v>
      </c>
      <c r="CD855">
        <v>0.78</v>
      </c>
      <c r="CE855">
        <v>0.73</v>
      </c>
      <c r="CF855">
        <v>0.65</v>
      </c>
      <c r="CG855">
        <v>5.24</v>
      </c>
      <c r="CH855">
        <v>-1.27</v>
      </c>
      <c r="CI855">
        <v>-1.74</v>
      </c>
      <c r="CJ855">
        <v>20571</v>
      </c>
      <c r="CK855">
        <v>7317</v>
      </c>
      <c r="CL855" t="s">
        <v>5161</v>
      </c>
      <c r="CM855">
        <v>4.26</v>
      </c>
      <c r="CN855">
        <v>11.53</v>
      </c>
      <c r="CO855">
        <v>3.66</v>
      </c>
      <c r="CP855">
        <v>-26.89</v>
      </c>
      <c r="CQ855">
        <v>4.24</v>
      </c>
      <c r="CR855">
        <v>0.45</v>
      </c>
      <c r="CS855" t="s">
        <v>3439</v>
      </c>
      <c r="CT855">
        <v>3.07</v>
      </c>
      <c r="CU855">
        <v>0</v>
      </c>
      <c r="CV855">
        <v>0.14000000000000001</v>
      </c>
      <c r="CW855">
        <v>1.73</v>
      </c>
      <c r="CX855">
        <v>-0.42</v>
      </c>
      <c r="CY855">
        <v>37.31</v>
      </c>
      <c r="CZ855" t="s">
        <v>5162</v>
      </c>
      <c r="DA855">
        <v>23.31</v>
      </c>
      <c r="DB855">
        <v>11.14</v>
      </c>
      <c r="DC855">
        <v>9.1300000000000008</v>
      </c>
      <c r="DD855">
        <v>0.25</v>
      </c>
      <c r="DE855">
        <v>819</v>
      </c>
      <c r="DF855">
        <v>2401</v>
      </c>
      <c r="DG855" t="s">
        <v>116</v>
      </c>
      <c r="DH855" t="s">
        <v>116</v>
      </c>
      <c r="DI855" t="s">
        <v>116</v>
      </c>
    </row>
    <row r="856" spans="1:113" x14ac:dyDescent="0.4">
      <c r="A856" t="str">
        <f>"002402"</f>
        <v>002402</v>
      </c>
      <c r="B856" t="s">
        <v>5163</v>
      </c>
      <c r="C856">
        <v>-3.61</v>
      </c>
      <c r="D856">
        <v>12.83</v>
      </c>
      <c r="E856">
        <v>-0.48</v>
      </c>
      <c r="F856">
        <v>12.82</v>
      </c>
      <c r="G856">
        <v>12.83</v>
      </c>
      <c r="H856">
        <v>416349</v>
      </c>
      <c r="I856">
        <v>2950</v>
      </c>
      <c r="J856">
        <v>0</v>
      </c>
      <c r="K856">
        <v>5.79</v>
      </c>
      <c r="L856">
        <v>13.33</v>
      </c>
      <c r="M856">
        <v>13.46</v>
      </c>
      <c r="N856">
        <v>12.8</v>
      </c>
      <c r="O856">
        <v>13.31</v>
      </c>
      <c r="P856">
        <v>34.26</v>
      </c>
      <c r="Q856">
        <v>545595008</v>
      </c>
      <c r="R856">
        <v>1</v>
      </c>
      <c r="S856" t="s">
        <v>233</v>
      </c>
      <c r="T856" t="s">
        <v>115</v>
      </c>
      <c r="U856">
        <v>4.96</v>
      </c>
      <c r="V856">
        <v>13.1</v>
      </c>
      <c r="W856">
        <v>239626</v>
      </c>
      <c r="X856">
        <v>176723</v>
      </c>
      <c r="Y856">
        <v>1.36</v>
      </c>
      <c r="Z856">
        <v>850</v>
      </c>
      <c r="AA856">
        <v>383</v>
      </c>
      <c r="AB856" t="s">
        <v>116</v>
      </c>
      <c r="AC856">
        <v>2552700</v>
      </c>
      <c r="AD856">
        <v>0.03</v>
      </c>
      <c r="AE856" t="s">
        <v>116</v>
      </c>
      <c r="AF856" t="s">
        <v>116</v>
      </c>
      <c r="AG856">
        <v>7.18</v>
      </c>
      <c r="AH856" t="s">
        <v>5164</v>
      </c>
      <c r="AI856" t="s">
        <v>5165</v>
      </c>
      <c r="AJ856">
        <v>-2.93</v>
      </c>
      <c r="AK856">
        <v>4354</v>
      </c>
      <c r="AL856">
        <v>96</v>
      </c>
      <c r="AM856">
        <v>1.2999999999999999E-3</v>
      </c>
      <c r="AN856">
        <v>-1</v>
      </c>
      <c r="AO856">
        <v>2.0699999999999998</v>
      </c>
      <c r="AP856">
        <v>18.36</v>
      </c>
      <c r="AQ856">
        <v>0.71</v>
      </c>
      <c r="AR856">
        <v>108.96</v>
      </c>
      <c r="AS856">
        <v>6.92</v>
      </c>
      <c r="AT856" t="s">
        <v>5166</v>
      </c>
      <c r="AU856">
        <v>39.54</v>
      </c>
      <c r="AV856">
        <v>49.45</v>
      </c>
      <c r="AW856">
        <v>1.64</v>
      </c>
      <c r="BA856">
        <v>0.15</v>
      </c>
      <c r="BB856">
        <v>1.1299999999999999</v>
      </c>
      <c r="BC856">
        <v>-3.83</v>
      </c>
      <c r="BD856">
        <v>-1.55</v>
      </c>
      <c r="BE856">
        <v>-3.75</v>
      </c>
      <c r="BF856">
        <v>-4.68</v>
      </c>
      <c r="BG856">
        <v>0.23</v>
      </c>
      <c r="BH856">
        <v>-2.06</v>
      </c>
      <c r="BI856">
        <v>20191022</v>
      </c>
      <c r="BJ856">
        <v>20100511</v>
      </c>
      <c r="BK856">
        <v>8.5500000000000007</v>
      </c>
      <c r="BL856" t="s">
        <v>116</v>
      </c>
      <c r="BM856" t="s">
        <v>116</v>
      </c>
      <c r="BN856">
        <v>44.54</v>
      </c>
      <c r="BO856">
        <v>18.72</v>
      </c>
      <c r="BP856">
        <v>0.92</v>
      </c>
      <c r="BQ856">
        <v>55.91</v>
      </c>
      <c r="BR856">
        <v>28.15</v>
      </c>
      <c r="BS856">
        <v>6.05</v>
      </c>
      <c r="BT856">
        <v>1.69</v>
      </c>
      <c r="BU856">
        <v>15.34</v>
      </c>
      <c r="BV856">
        <v>5.97</v>
      </c>
      <c r="BW856">
        <v>8.77</v>
      </c>
      <c r="BX856">
        <v>1.87</v>
      </c>
      <c r="BY856">
        <v>26.55</v>
      </c>
      <c r="BZ856">
        <v>20.66</v>
      </c>
      <c r="CA856">
        <v>2.94</v>
      </c>
      <c r="CB856">
        <v>-0.03</v>
      </c>
      <c r="CC856">
        <v>2.94</v>
      </c>
      <c r="CD856">
        <v>2.54</v>
      </c>
      <c r="CE856">
        <v>2.4</v>
      </c>
      <c r="CF856">
        <v>2.2999999999999998</v>
      </c>
      <c r="CG856">
        <v>7.23</v>
      </c>
      <c r="CH856">
        <v>2.94</v>
      </c>
      <c r="CI856">
        <v>2.4700000000000002</v>
      </c>
      <c r="CJ856">
        <v>67379</v>
      </c>
      <c r="CK856">
        <v>8924</v>
      </c>
      <c r="CL856" t="s">
        <v>5167</v>
      </c>
      <c r="CM856">
        <v>30.15</v>
      </c>
      <c r="CN856">
        <v>38.799999999999997</v>
      </c>
      <c r="CO856">
        <v>6.05</v>
      </c>
      <c r="CP856">
        <v>37.369999999999997</v>
      </c>
      <c r="CQ856">
        <v>4.13</v>
      </c>
      <c r="CR856">
        <v>0.31</v>
      </c>
      <c r="CS856" t="s">
        <v>5168</v>
      </c>
      <c r="CT856">
        <v>2.12</v>
      </c>
      <c r="CU856">
        <v>2.12</v>
      </c>
      <c r="CV856">
        <v>0.22</v>
      </c>
      <c r="CW856">
        <v>0.84</v>
      </c>
      <c r="CX856">
        <v>0.34</v>
      </c>
      <c r="CY856">
        <v>42.02</v>
      </c>
      <c r="CZ856" t="s">
        <v>336</v>
      </c>
      <c r="DA856">
        <v>22.2</v>
      </c>
      <c r="DB856">
        <v>11.06</v>
      </c>
      <c r="DC856">
        <v>9.0500000000000007</v>
      </c>
      <c r="DD856">
        <v>1.23</v>
      </c>
      <c r="DE856">
        <v>3762</v>
      </c>
      <c r="DF856">
        <v>2402</v>
      </c>
      <c r="DG856" t="s">
        <v>116</v>
      </c>
      <c r="DH856" t="s">
        <v>116</v>
      </c>
      <c r="DI856" t="s">
        <v>116</v>
      </c>
    </row>
    <row r="857" spans="1:113" x14ac:dyDescent="0.4">
      <c r="A857" t="str">
        <f>"002403"</f>
        <v>002403</v>
      </c>
      <c r="B857" t="s">
        <v>5169</v>
      </c>
      <c r="C857">
        <v>-0.23</v>
      </c>
      <c r="D857">
        <v>8.57</v>
      </c>
      <c r="E857">
        <v>-0.02</v>
      </c>
      <c r="F857">
        <v>8.56</v>
      </c>
      <c r="G857">
        <v>8.57</v>
      </c>
      <c r="H857">
        <v>16516</v>
      </c>
      <c r="I857">
        <v>282</v>
      </c>
      <c r="J857">
        <v>0</v>
      </c>
      <c r="K857">
        <v>0.52</v>
      </c>
      <c r="L857">
        <v>8.56</v>
      </c>
      <c r="M857">
        <v>8.64</v>
      </c>
      <c r="N857">
        <v>8.5500000000000007</v>
      </c>
      <c r="O857">
        <v>8.59</v>
      </c>
      <c r="P857">
        <v>20.79</v>
      </c>
      <c r="Q857">
        <v>14204388</v>
      </c>
      <c r="R857">
        <v>1.3</v>
      </c>
      <c r="S857" t="s">
        <v>209</v>
      </c>
      <c r="T857" t="s">
        <v>590</v>
      </c>
      <c r="U857">
        <v>1.05</v>
      </c>
      <c r="V857">
        <v>8.6</v>
      </c>
      <c r="W857">
        <v>9013</v>
      </c>
      <c r="X857">
        <v>7503</v>
      </c>
      <c r="Y857">
        <v>1.2</v>
      </c>
      <c r="Z857">
        <v>49</v>
      </c>
      <c r="AA857">
        <v>8</v>
      </c>
      <c r="AB857" t="s">
        <v>116</v>
      </c>
      <c r="AC857">
        <v>52200</v>
      </c>
      <c r="AD857">
        <v>0</v>
      </c>
      <c r="AE857" t="s">
        <v>116</v>
      </c>
      <c r="AF857" t="s">
        <v>116</v>
      </c>
      <c r="AG857">
        <v>3.16</v>
      </c>
      <c r="AH857" t="s">
        <v>5170</v>
      </c>
      <c r="AI857" t="s">
        <v>2132</v>
      </c>
      <c r="AJ857">
        <v>0.45</v>
      </c>
      <c r="AK857">
        <v>562</v>
      </c>
      <c r="AL857">
        <v>29</v>
      </c>
      <c r="AM857">
        <v>8.9999999999999998E-4</v>
      </c>
      <c r="AN857">
        <v>-1</v>
      </c>
      <c r="AO857">
        <v>-0.11</v>
      </c>
      <c r="AP857">
        <v>1.54</v>
      </c>
      <c r="AQ857">
        <v>3.25</v>
      </c>
      <c r="AR857">
        <v>12.17</v>
      </c>
      <c r="AS857">
        <v>1.1100000000000001</v>
      </c>
      <c r="AT857" t="s">
        <v>4600</v>
      </c>
      <c r="AU857">
        <v>21.03</v>
      </c>
      <c r="AV857">
        <v>20.190000000000001</v>
      </c>
      <c r="AW857">
        <v>1.1399999999999999</v>
      </c>
      <c r="BA857">
        <v>-0.35</v>
      </c>
      <c r="BB857">
        <v>0.57999999999999996</v>
      </c>
      <c r="BC857">
        <v>-0.47</v>
      </c>
      <c r="BD857">
        <v>0.12</v>
      </c>
      <c r="BE857">
        <v>0.12</v>
      </c>
      <c r="BF857">
        <v>-0.81</v>
      </c>
      <c r="BG857">
        <v>0.23</v>
      </c>
      <c r="BH857">
        <v>-0.35</v>
      </c>
      <c r="BI857">
        <v>20191114</v>
      </c>
      <c r="BJ857">
        <v>20100511</v>
      </c>
      <c r="BK857">
        <v>3.5</v>
      </c>
      <c r="BL857" t="s">
        <v>116</v>
      </c>
      <c r="BM857" t="s">
        <v>116</v>
      </c>
      <c r="BN857">
        <v>47.3</v>
      </c>
      <c r="BO857">
        <v>21.32</v>
      </c>
      <c r="BP857">
        <v>0.24</v>
      </c>
      <c r="BQ857">
        <v>54.4</v>
      </c>
      <c r="BR857">
        <v>23.66</v>
      </c>
      <c r="BS857">
        <v>10.23</v>
      </c>
      <c r="BT857">
        <v>2.61</v>
      </c>
      <c r="BU857">
        <v>17.7</v>
      </c>
      <c r="BV857">
        <v>8.57</v>
      </c>
      <c r="BW857">
        <v>8.83</v>
      </c>
      <c r="BX857">
        <v>11.1</v>
      </c>
      <c r="BY857">
        <v>25.11</v>
      </c>
      <c r="BZ857">
        <v>15.97</v>
      </c>
      <c r="CA857">
        <v>1.08</v>
      </c>
      <c r="CB857">
        <v>0.26</v>
      </c>
      <c r="CC857">
        <v>1.08</v>
      </c>
      <c r="CD857">
        <v>1.07</v>
      </c>
      <c r="CE857">
        <v>1.08</v>
      </c>
      <c r="CF857">
        <v>0.96</v>
      </c>
      <c r="CG857">
        <v>6.81</v>
      </c>
      <c r="CH857">
        <v>-0.47</v>
      </c>
      <c r="CI857">
        <v>-1.73</v>
      </c>
      <c r="CJ857">
        <v>16460</v>
      </c>
      <c r="CK857">
        <v>9016</v>
      </c>
      <c r="CL857" t="s">
        <v>2411</v>
      </c>
      <c r="CM857">
        <v>-5.21</v>
      </c>
      <c r="CN857">
        <v>10.82</v>
      </c>
      <c r="CO857">
        <v>1.41</v>
      </c>
      <c r="CP857">
        <v>-63.89</v>
      </c>
      <c r="CQ857">
        <v>1.2</v>
      </c>
      <c r="CR857">
        <v>1.7</v>
      </c>
      <c r="CS857" t="s">
        <v>3311</v>
      </c>
      <c r="CT857">
        <v>6.09</v>
      </c>
      <c r="CU857">
        <v>0</v>
      </c>
      <c r="CV857">
        <v>3.17</v>
      </c>
      <c r="CW857">
        <v>1.94</v>
      </c>
      <c r="CX857">
        <v>-0.13</v>
      </c>
      <c r="CY857">
        <v>45.09</v>
      </c>
      <c r="CZ857" t="s">
        <v>5141</v>
      </c>
      <c r="DA857">
        <v>36.4</v>
      </c>
      <c r="DB857">
        <v>4.3099999999999996</v>
      </c>
      <c r="DC857">
        <v>4.3099999999999996</v>
      </c>
      <c r="DD857">
        <v>1.1499999999999999</v>
      </c>
      <c r="DE857">
        <v>5031</v>
      </c>
      <c r="DF857">
        <v>2403</v>
      </c>
      <c r="DG857" t="s">
        <v>116</v>
      </c>
      <c r="DH857" t="s">
        <v>116</v>
      </c>
      <c r="DI857" t="s">
        <v>116</v>
      </c>
    </row>
    <row r="858" spans="1:113" x14ac:dyDescent="0.4">
      <c r="A858" t="str">
        <f>"002404"</f>
        <v>002404</v>
      </c>
      <c r="B858" t="s">
        <v>5171</v>
      </c>
      <c r="C858">
        <v>-3.79</v>
      </c>
      <c r="D858">
        <v>6.6</v>
      </c>
      <c r="E858">
        <v>-0.26</v>
      </c>
      <c r="F858">
        <v>6.59</v>
      </c>
      <c r="G858">
        <v>6.6</v>
      </c>
      <c r="H858">
        <v>262922</v>
      </c>
      <c r="I858">
        <v>2051</v>
      </c>
      <c r="J858">
        <v>0</v>
      </c>
      <c r="K858">
        <v>5.73</v>
      </c>
      <c r="L858">
        <v>6.78</v>
      </c>
      <c r="M858">
        <v>7.03</v>
      </c>
      <c r="N858">
        <v>6.56</v>
      </c>
      <c r="O858">
        <v>6.86</v>
      </c>
      <c r="P858">
        <v>24.13</v>
      </c>
      <c r="Q858">
        <v>178214512</v>
      </c>
      <c r="R858">
        <v>0.96</v>
      </c>
      <c r="S858" t="s">
        <v>1420</v>
      </c>
      <c r="T858" t="s">
        <v>590</v>
      </c>
      <c r="U858">
        <v>6.85</v>
      </c>
      <c r="V858">
        <v>6.78</v>
      </c>
      <c r="W858">
        <v>158301</v>
      </c>
      <c r="X858">
        <v>104621</v>
      </c>
      <c r="Y858">
        <v>1.51</v>
      </c>
      <c r="Z858">
        <v>453</v>
      </c>
      <c r="AA858">
        <v>752</v>
      </c>
      <c r="AB858" t="s">
        <v>116</v>
      </c>
      <c r="AC858">
        <v>1191900</v>
      </c>
      <c r="AD858">
        <v>0.05</v>
      </c>
      <c r="AE858" t="s">
        <v>116</v>
      </c>
      <c r="AF858" t="s">
        <v>116</v>
      </c>
      <c r="AG858">
        <v>4.59</v>
      </c>
      <c r="AH858" t="s">
        <v>5172</v>
      </c>
      <c r="AI858" t="s">
        <v>2944</v>
      </c>
      <c r="AJ858">
        <v>-3.11</v>
      </c>
      <c r="AK858">
        <v>3065</v>
      </c>
      <c r="AL858">
        <v>86</v>
      </c>
      <c r="AM858">
        <v>1.9E-3</v>
      </c>
      <c r="AN858">
        <v>-1</v>
      </c>
      <c r="AO858">
        <v>0</v>
      </c>
      <c r="AP858">
        <v>26.2</v>
      </c>
      <c r="AQ858">
        <v>12.05</v>
      </c>
      <c r="AR858">
        <v>28.16</v>
      </c>
      <c r="AS858">
        <v>8.15</v>
      </c>
      <c r="AT858" t="s">
        <v>3090</v>
      </c>
      <c r="AU858">
        <v>23.9</v>
      </c>
      <c r="AV858">
        <v>26.57</v>
      </c>
      <c r="AW858">
        <v>1.18</v>
      </c>
      <c r="BA858">
        <v>-1.17</v>
      </c>
      <c r="BB858">
        <v>2.48</v>
      </c>
      <c r="BC858">
        <v>-4.37</v>
      </c>
      <c r="BD858">
        <v>-1.19</v>
      </c>
      <c r="BE858">
        <v>-2.65</v>
      </c>
      <c r="BF858">
        <v>-6.12</v>
      </c>
      <c r="BG858">
        <v>0.61</v>
      </c>
      <c r="BH858">
        <v>-2.6</v>
      </c>
      <c r="BI858">
        <v>20191025</v>
      </c>
      <c r="BJ858">
        <v>20100511</v>
      </c>
      <c r="BK858">
        <v>5.78</v>
      </c>
      <c r="BL858" t="s">
        <v>116</v>
      </c>
      <c r="BM858" t="s">
        <v>116</v>
      </c>
      <c r="BN858">
        <v>30.88</v>
      </c>
      <c r="BO858">
        <v>17.34</v>
      </c>
      <c r="BP858">
        <v>0.7</v>
      </c>
      <c r="BQ858">
        <v>41.58</v>
      </c>
      <c r="BR858">
        <v>21.74</v>
      </c>
      <c r="BS858">
        <v>3.61</v>
      </c>
      <c r="BT858">
        <v>0.46</v>
      </c>
      <c r="BU858">
        <v>12.15</v>
      </c>
      <c r="BV858">
        <v>3.29</v>
      </c>
      <c r="BW858">
        <v>3.83</v>
      </c>
      <c r="BX858">
        <v>6.46</v>
      </c>
      <c r="BY858">
        <v>26.08</v>
      </c>
      <c r="BZ858">
        <v>22.05</v>
      </c>
      <c r="CA858">
        <v>1.56</v>
      </c>
      <c r="CB858">
        <v>0.31</v>
      </c>
      <c r="CC858">
        <v>1.58</v>
      </c>
      <c r="CD858">
        <v>1.27</v>
      </c>
      <c r="CE858">
        <v>1.19</v>
      </c>
      <c r="CF858">
        <v>0.92</v>
      </c>
      <c r="CG858">
        <v>4.3600000000000003</v>
      </c>
      <c r="CH858">
        <v>1.87</v>
      </c>
      <c r="CI858">
        <v>-2.23</v>
      </c>
      <c r="CJ858">
        <v>41218</v>
      </c>
      <c r="CK858">
        <v>7828</v>
      </c>
      <c r="CL858" t="s">
        <v>5173</v>
      </c>
      <c r="CM858">
        <v>15.62</v>
      </c>
      <c r="CN858">
        <v>9.06</v>
      </c>
      <c r="CO858">
        <v>2.2000000000000002</v>
      </c>
      <c r="CP858">
        <v>20.38</v>
      </c>
      <c r="CQ858">
        <v>1.46</v>
      </c>
      <c r="CR858">
        <v>3.03</v>
      </c>
      <c r="CS858" t="s">
        <v>5174</v>
      </c>
      <c r="CT858">
        <v>3</v>
      </c>
      <c r="CU858">
        <v>0</v>
      </c>
      <c r="CV858">
        <v>1.1200000000000001</v>
      </c>
      <c r="CW858">
        <v>0.75</v>
      </c>
      <c r="CX858">
        <v>0.32</v>
      </c>
      <c r="CY858">
        <v>56.15</v>
      </c>
      <c r="CZ858" t="s">
        <v>2547</v>
      </c>
      <c r="DA858">
        <v>15.43</v>
      </c>
      <c r="DB858">
        <v>6</v>
      </c>
      <c r="DC858">
        <v>4.54</v>
      </c>
      <c r="DD858">
        <v>0.34</v>
      </c>
      <c r="DE858">
        <v>3118</v>
      </c>
      <c r="DF858">
        <v>2404</v>
      </c>
      <c r="DG858" t="s">
        <v>116</v>
      </c>
      <c r="DH858" t="s">
        <v>116</v>
      </c>
      <c r="DI858" t="s">
        <v>116</v>
      </c>
    </row>
    <row r="859" spans="1:113" x14ac:dyDescent="0.4">
      <c r="A859" t="str">
        <f>"002405"</f>
        <v>002405</v>
      </c>
      <c r="B859" t="s">
        <v>5175</v>
      </c>
      <c r="C859">
        <v>-2.02</v>
      </c>
      <c r="D859">
        <v>15.97</v>
      </c>
      <c r="E859">
        <v>-0.33</v>
      </c>
      <c r="F859">
        <v>15.96</v>
      </c>
      <c r="G859">
        <v>15.97</v>
      </c>
      <c r="H859">
        <v>409062</v>
      </c>
      <c r="I859">
        <v>8595</v>
      </c>
      <c r="J859">
        <v>-0.18</v>
      </c>
      <c r="K859">
        <v>2.6</v>
      </c>
      <c r="L859">
        <v>16.399999999999999</v>
      </c>
      <c r="M859">
        <v>16.440000000000001</v>
      </c>
      <c r="N859">
        <v>15.95</v>
      </c>
      <c r="O859">
        <v>16.3</v>
      </c>
      <c r="P859">
        <v>971.47</v>
      </c>
      <c r="Q859">
        <v>662304960</v>
      </c>
      <c r="R859">
        <v>0.75</v>
      </c>
      <c r="S859" t="s">
        <v>607</v>
      </c>
      <c r="T859" t="s">
        <v>165</v>
      </c>
      <c r="U859">
        <v>3.01</v>
      </c>
      <c r="V859">
        <v>16.190000000000001</v>
      </c>
      <c r="W859">
        <v>232997</v>
      </c>
      <c r="X859">
        <v>176065</v>
      </c>
      <c r="Y859">
        <v>1.32</v>
      </c>
      <c r="Z859">
        <v>1177</v>
      </c>
      <c r="AA859">
        <v>600</v>
      </c>
      <c r="AB859" t="s">
        <v>116</v>
      </c>
      <c r="AC859">
        <v>1969600</v>
      </c>
      <c r="AD859">
        <v>0.01</v>
      </c>
      <c r="AE859" t="s">
        <v>116</v>
      </c>
      <c r="AF859" t="s">
        <v>116</v>
      </c>
      <c r="AG859">
        <v>15.76</v>
      </c>
      <c r="AH859" t="s">
        <v>5176</v>
      </c>
      <c r="AI859" t="s">
        <v>5177</v>
      </c>
      <c r="AJ859">
        <v>-1.35</v>
      </c>
      <c r="AK859">
        <v>4281</v>
      </c>
      <c r="AL859">
        <v>96</v>
      </c>
      <c r="AM859">
        <v>5.9999999999999995E-4</v>
      </c>
      <c r="AN859">
        <v>-2</v>
      </c>
      <c r="AO859">
        <v>-0.49</v>
      </c>
      <c r="AP859">
        <v>-0.99</v>
      </c>
      <c r="AQ859">
        <v>-4.83</v>
      </c>
      <c r="AR859">
        <v>69.94</v>
      </c>
      <c r="AS859">
        <v>3.4</v>
      </c>
      <c r="AT859" t="s">
        <v>5178</v>
      </c>
      <c r="AU859">
        <v>110.29</v>
      </c>
      <c r="AV859">
        <v>65.39</v>
      </c>
      <c r="AW859">
        <v>1.78</v>
      </c>
      <c r="BA859">
        <v>0.61</v>
      </c>
      <c r="BB859">
        <v>0.86</v>
      </c>
      <c r="BC859">
        <v>-2.15</v>
      </c>
      <c r="BD859">
        <v>-0.67</v>
      </c>
      <c r="BE859">
        <v>-2.62</v>
      </c>
      <c r="BF859">
        <v>-2.86</v>
      </c>
      <c r="BG859">
        <v>0.13</v>
      </c>
      <c r="BH859">
        <v>-1.35</v>
      </c>
      <c r="BI859">
        <v>20191223</v>
      </c>
      <c r="BJ859">
        <v>20100518</v>
      </c>
      <c r="BK859">
        <v>19.62</v>
      </c>
      <c r="BL859" t="s">
        <v>116</v>
      </c>
      <c r="BM859" t="s">
        <v>116</v>
      </c>
      <c r="BN859">
        <v>85.75</v>
      </c>
      <c r="BO859">
        <v>73.66</v>
      </c>
      <c r="BP859">
        <v>1.8</v>
      </c>
      <c r="BQ859">
        <v>12</v>
      </c>
      <c r="BR859">
        <v>30.82</v>
      </c>
      <c r="BS859">
        <v>6.47</v>
      </c>
      <c r="BT859">
        <v>10.49</v>
      </c>
      <c r="BU859">
        <v>9.61</v>
      </c>
      <c r="BV859">
        <v>1.0900000000000001</v>
      </c>
      <c r="BW859">
        <v>6.81</v>
      </c>
      <c r="BX859">
        <v>39.49</v>
      </c>
      <c r="BY859">
        <v>15.35</v>
      </c>
      <c r="BZ859">
        <v>4.32</v>
      </c>
      <c r="CA859">
        <v>0.02</v>
      </c>
      <c r="CB859">
        <v>-1.45</v>
      </c>
      <c r="CC859">
        <v>0.01</v>
      </c>
      <c r="CD859">
        <v>-0.11</v>
      </c>
      <c r="CE859">
        <v>0.24</v>
      </c>
      <c r="CF859">
        <v>-0.05</v>
      </c>
      <c r="CG859">
        <v>15.41</v>
      </c>
      <c r="CH859">
        <v>-0.28999999999999998</v>
      </c>
      <c r="CI859">
        <v>-8.43</v>
      </c>
      <c r="CJ859">
        <v>164001</v>
      </c>
      <c r="CK859">
        <v>7346</v>
      </c>
      <c r="CL859" t="s">
        <v>5179</v>
      </c>
      <c r="CM859">
        <v>-88.97</v>
      </c>
      <c r="CN859">
        <v>0.76</v>
      </c>
      <c r="CO859">
        <v>4.25</v>
      </c>
      <c r="CP859">
        <v>-1073.3900000000001</v>
      </c>
      <c r="CQ859">
        <v>20.41</v>
      </c>
      <c r="CR859">
        <v>0.06</v>
      </c>
      <c r="CS859" t="s">
        <v>238</v>
      </c>
      <c r="CT859">
        <v>3.76</v>
      </c>
      <c r="CU859">
        <v>0</v>
      </c>
      <c r="CV859">
        <v>2.0099999999999998</v>
      </c>
      <c r="CW859">
        <v>0.79</v>
      </c>
      <c r="CX859">
        <v>-0.01</v>
      </c>
      <c r="CY859">
        <v>85.9</v>
      </c>
      <c r="CZ859" t="s">
        <v>5180</v>
      </c>
      <c r="DA859">
        <v>71.86</v>
      </c>
      <c r="DB859">
        <v>0.11</v>
      </c>
      <c r="DC859">
        <v>1.58</v>
      </c>
      <c r="DD859">
        <v>7.11</v>
      </c>
      <c r="DE859">
        <v>4261</v>
      </c>
      <c r="DF859">
        <v>2405</v>
      </c>
      <c r="DG859" t="s">
        <v>116</v>
      </c>
      <c r="DH859" t="s">
        <v>116</v>
      </c>
      <c r="DI859" t="s">
        <v>116</v>
      </c>
    </row>
    <row r="860" spans="1:113" x14ac:dyDescent="0.4">
      <c r="A860" t="str">
        <f>"002406"</f>
        <v>002406</v>
      </c>
      <c r="B860" t="s">
        <v>5181</v>
      </c>
      <c r="C860">
        <v>2.41</v>
      </c>
      <c r="D860">
        <v>5.94</v>
      </c>
      <c r="E860">
        <v>0.14000000000000001</v>
      </c>
      <c r="F860">
        <v>5.94</v>
      </c>
      <c r="G860">
        <v>5.95</v>
      </c>
      <c r="H860">
        <v>127937</v>
      </c>
      <c r="I860">
        <v>4601</v>
      </c>
      <c r="J860">
        <v>1.02</v>
      </c>
      <c r="K860">
        <v>3.08</v>
      </c>
      <c r="L860">
        <v>5.81</v>
      </c>
      <c r="M860">
        <v>5.96</v>
      </c>
      <c r="N860">
        <v>5.79</v>
      </c>
      <c r="O860">
        <v>5.8</v>
      </c>
      <c r="P860">
        <v>12.98</v>
      </c>
      <c r="Q860">
        <v>75072056</v>
      </c>
      <c r="R860">
        <v>0.91</v>
      </c>
      <c r="S860" t="s">
        <v>293</v>
      </c>
      <c r="T860" t="s">
        <v>652</v>
      </c>
      <c r="U860">
        <v>2.93</v>
      </c>
      <c r="V860">
        <v>5.87</v>
      </c>
      <c r="W860">
        <v>62925</v>
      </c>
      <c r="X860">
        <v>65012</v>
      </c>
      <c r="Y860">
        <v>0.97</v>
      </c>
      <c r="Z860">
        <v>1194</v>
      </c>
      <c r="AA860">
        <v>2490</v>
      </c>
      <c r="AB860" t="s">
        <v>116</v>
      </c>
      <c r="AC860">
        <v>129000</v>
      </c>
      <c r="AD860">
        <v>0.01</v>
      </c>
      <c r="AE860" t="s">
        <v>116</v>
      </c>
      <c r="AF860" t="s">
        <v>116</v>
      </c>
      <c r="AG860">
        <v>4.16</v>
      </c>
      <c r="AH860" t="s">
        <v>4812</v>
      </c>
      <c r="AI860" t="s">
        <v>5182</v>
      </c>
      <c r="AJ860">
        <v>3.09</v>
      </c>
      <c r="AK860">
        <v>1885</v>
      </c>
      <c r="AL860">
        <v>68</v>
      </c>
      <c r="AM860">
        <v>1.6000000000000001E-3</v>
      </c>
      <c r="AN860">
        <v>1</v>
      </c>
      <c r="AO860">
        <v>-0.67</v>
      </c>
      <c r="AP860">
        <v>15.12</v>
      </c>
      <c r="AQ860">
        <v>8</v>
      </c>
      <c r="AR860">
        <v>13.36</v>
      </c>
      <c r="AS860">
        <v>3.44</v>
      </c>
      <c r="AT860" t="s">
        <v>5183</v>
      </c>
      <c r="AU860">
        <v>11.88</v>
      </c>
      <c r="AV860">
        <v>12.28</v>
      </c>
      <c r="AW860">
        <v>0.8</v>
      </c>
      <c r="BA860">
        <v>0.17</v>
      </c>
      <c r="BB860">
        <v>2.76</v>
      </c>
      <c r="BC860">
        <v>-0.17</v>
      </c>
      <c r="BD860">
        <v>1.17</v>
      </c>
      <c r="BE860">
        <v>2.2400000000000002</v>
      </c>
      <c r="BF860">
        <v>-0.34</v>
      </c>
      <c r="BG860">
        <v>2.59</v>
      </c>
      <c r="BH860">
        <v>1.24</v>
      </c>
      <c r="BI860">
        <v>20191224</v>
      </c>
      <c r="BJ860">
        <v>20100518</v>
      </c>
      <c r="BK860">
        <v>5.61</v>
      </c>
      <c r="BL860" t="s">
        <v>116</v>
      </c>
      <c r="BM860" t="s">
        <v>116</v>
      </c>
      <c r="BN860">
        <v>39.200000000000003</v>
      </c>
      <c r="BO860">
        <v>28.14</v>
      </c>
      <c r="BP860">
        <v>0.01</v>
      </c>
      <c r="BQ860">
        <v>28.21</v>
      </c>
      <c r="BR860">
        <v>26.82</v>
      </c>
      <c r="BS860">
        <v>7.45</v>
      </c>
      <c r="BT860">
        <v>3.19</v>
      </c>
      <c r="BU860">
        <v>3.81</v>
      </c>
      <c r="BV860">
        <v>2.59</v>
      </c>
      <c r="BW860">
        <v>4.42</v>
      </c>
      <c r="BX860">
        <v>8.93</v>
      </c>
      <c r="BY860">
        <v>13.19</v>
      </c>
      <c r="BZ860">
        <v>9.0500000000000007</v>
      </c>
      <c r="CA860">
        <v>2.25</v>
      </c>
      <c r="CB860">
        <v>0.03</v>
      </c>
      <c r="CC860">
        <v>2.2400000000000002</v>
      </c>
      <c r="CD860">
        <v>1.93</v>
      </c>
      <c r="CE860">
        <v>1.93</v>
      </c>
      <c r="CF860">
        <v>1.79</v>
      </c>
      <c r="CG860">
        <v>9.94</v>
      </c>
      <c r="CH860">
        <v>1.2</v>
      </c>
      <c r="CI860">
        <v>10.59</v>
      </c>
      <c r="CJ860">
        <v>45924</v>
      </c>
      <c r="CK860">
        <v>8097</v>
      </c>
      <c r="CL860" t="s">
        <v>2532</v>
      </c>
      <c r="CM860">
        <v>5</v>
      </c>
      <c r="CN860">
        <v>2.71</v>
      </c>
      <c r="CO860">
        <v>1.28</v>
      </c>
      <c r="CP860">
        <v>27.84</v>
      </c>
      <c r="CQ860">
        <v>2.5299999999999998</v>
      </c>
      <c r="CR860">
        <v>0.84</v>
      </c>
      <c r="CS860" t="s">
        <v>5184</v>
      </c>
      <c r="CT860">
        <v>4.6399999999999997</v>
      </c>
      <c r="CU860">
        <v>4.6399999999999997</v>
      </c>
      <c r="CV860">
        <v>1.59</v>
      </c>
      <c r="CW860">
        <v>1.77</v>
      </c>
      <c r="CX860">
        <v>0.21</v>
      </c>
      <c r="CY860">
        <v>71.78</v>
      </c>
      <c r="CZ860" t="s">
        <v>5185</v>
      </c>
      <c r="DA860">
        <v>31.36</v>
      </c>
      <c r="DB860">
        <v>17.03</v>
      </c>
      <c r="DC860">
        <v>14.6</v>
      </c>
      <c r="DD860">
        <v>0.65</v>
      </c>
      <c r="DE860">
        <v>1485</v>
      </c>
      <c r="DF860">
        <v>2406</v>
      </c>
      <c r="DG860" t="s">
        <v>116</v>
      </c>
      <c r="DH860" t="s">
        <v>116</v>
      </c>
      <c r="DI860" t="s">
        <v>116</v>
      </c>
    </row>
    <row r="861" spans="1:113" x14ac:dyDescent="0.4">
      <c r="A861" t="str">
        <f>"002407"</f>
        <v>002407</v>
      </c>
      <c r="B861" t="s">
        <v>5186</v>
      </c>
      <c r="C861">
        <v>-2.1800000000000002</v>
      </c>
      <c r="D861">
        <v>13.03</v>
      </c>
      <c r="E861">
        <v>-0.28999999999999998</v>
      </c>
      <c r="F861">
        <v>13.03</v>
      </c>
      <c r="G861">
        <v>13.04</v>
      </c>
      <c r="H861">
        <v>350548</v>
      </c>
      <c r="I861">
        <v>3742</v>
      </c>
      <c r="J861">
        <v>-7.0000000000000007E-2</v>
      </c>
      <c r="K861">
        <v>6.05</v>
      </c>
      <c r="L861">
        <v>13.32</v>
      </c>
      <c r="M861">
        <v>13.41</v>
      </c>
      <c r="N861">
        <v>13.02</v>
      </c>
      <c r="O861">
        <v>13.32</v>
      </c>
      <c r="P861">
        <v>68.45</v>
      </c>
      <c r="Q861">
        <v>461702848</v>
      </c>
      <c r="R861">
        <v>1.08</v>
      </c>
      <c r="S861" t="s">
        <v>891</v>
      </c>
      <c r="T861" t="s">
        <v>652</v>
      </c>
      <c r="U861">
        <v>2.93</v>
      </c>
      <c r="V861">
        <v>13.17</v>
      </c>
      <c r="W861">
        <v>204575</v>
      </c>
      <c r="X861">
        <v>145973</v>
      </c>
      <c r="Y861">
        <v>1.4</v>
      </c>
      <c r="Z861">
        <v>528</v>
      </c>
      <c r="AA861">
        <v>117</v>
      </c>
      <c r="AB861" t="s">
        <v>116</v>
      </c>
      <c r="AC861">
        <v>3157200</v>
      </c>
      <c r="AD861">
        <v>0.04</v>
      </c>
      <c r="AE861" t="s">
        <v>116</v>
      </c>
      <c r="AF861" t="s">
        <v>116</v>
      </c>
      <c r="AG861">
        <v>5.79</v>
      </c>
      <c r="AH861" t="s">
        <v>5187</v>
      </c>
      <c r="AI861" t="s">
        <v>5188</v>
      </c>
      <c r="AJ861">
        <v>-1.5</v>
      </c>
      <c r="AK861">
        <v>4057</v>
      </c>
      <c r="AL861">
        <v>86</v>
      </c>
      <c r="AM861">
        <v>1.5E-3</v>
      </c>
      <c r="AN861">
        <v>-1</v>
      </c>
      <c r="AO861">
        <v>1.39</v>
      </c>
      <c r="AP861">
        <v>8.58</v>
      </c>
      <c r="AQ861">
        <v>-0.23</v>
      </c>
      <c r="AR861">
        <v>21.1</v>
      </c>
      <c r="AS861">
        <v>6.29</v>
      </c>
      <c r="AT861" t="s">
        <v>5189</v>
      </c>
      <c r="AU861" t="s">
        <v>116</v>
      </c>
      <c r="AV861">
        <v>135.19999999999999</v>
      </c>
      <c r="AW861">
        <v>1.05</v>
      </c>
      <c r="BA861">
        <v>0</v>
      </c>
      <c r="BB861">
        <v>0.68</v>
      </c>
      <c r="BC861">
        <v>-2.25</v>
      </c>
      <c r="BD861">
        <v>-1.1200000000000001</v>
      </c>
      <c r="BE861">
        <v>-2.1800000000000002</v>
      </c>
      <c r="BF861">
        <v>-2.83</v>
      </c>
      <c r="BG861">
        <v>0.08</v>
      </c>
      <c r="BH861">
        <v>-1.06</v>
      </c>
      <c r="BI861">
        <v>20191211</v>
      </c>
      <c r="BJ861">
        <v>20100518</v>
      </c>
      <c r="BK861">
        <v>6.84</v>
      </c>
      <c r="BL861" t="s">
        <v>116</v>
      </c>
      <c r="BM861" t="s">
        <v>116</v>
      </c>
      <c r="BN861">
        <v>86.97</v>
      </c>
      <c r="BO861">
        <v>34.29</v>
      </c>
      <c r="BP861">
        <v>5.32</v>
      </c>
      <c r="BQ861">
        <v>54.46</v>
      </c>
      <c r="BR861">
        <v>40.840000000000003</v>
      </c>
      <c r="BS861">
        <v>19.59</v>
      </c>
      <c r="BT861">
        <v>3.05</v>
      </c>
      <c r="BU861">
        <v>37.450000000000003</v>
      </c>
      <c r="BV861">
        <v>8.9499999999999993</v>
      </c>
      <c r="BW861">
        <v>13.17</v>
      </c>
      <c r="BX861">
        <v>20.309999999999999</v>
      </c>
      <c r="BY861">
        <v>29.49</v>
      </c>
      <c r="BZ861">
        <v>23.43</v>
      </c>
      <c r="CA861">
        <v>1.29</v>
      </c>
      <c r="CB861">
        <v>0</v>
      </c>
      <c r="CC861">
        <v>1.5</v>
      </c>
      <c r="CD861">
        <v>1.31</v>
      </c>
      <c r="CE861">
        <v>0.98</v>
      </c>
      <c r="CF861">
        <v>0.5</v>
      </c>
      <c r="CG861">
        <v>5.77</v>
      </c>
      <c r="CH861">
        <v>-2.57</v>
      </c>
      <c r="CI861">
        <v>-2.6</v>
      </c>
      <c r="CJ861">
        <v>127770</v>
      </c>
      <c r="CK861">
        <v>4364</v>
      </c>
      <c r="CL861" t="s">
        <v>1931</v>
      </c>
      <c r="CM861">
        <v>-42.06</v>
      </c>
      <c r="CN861">
        <v>10.44</v>
      </c>
      <c r="CO861">
        <v>2.6</v>
      </c>
      <c r="CP861">
        <v>-34.69</v>
      </c>
      <c r="CQ861">
        <v>3.02</v>
      </c>
      <c r="CR861">
        <v>1.53</v>
      </c>
      <c r="CS861" t="s">
        <v>4984</v>
      </c>
      <c r="CT861">
        <v>5.01</v>
      </c>
      <c r="CU861">
        <v>0</v>
      </c>
      <c r="CV861">
        <v>2.97</v>
      </c>
      <c r="CW861">
        <v>0.84</v>
      </c>
      <c r="CX861">
        <v>-0.38</v>
      </c>
      <c r="CY861">
        <v>39.43</v>
      </c>
      <c r="CZ861" t="s">
        <v>534</v>
      </c>
      <c r="DA861">
        <v>20.55</v>
      </c>
      <c r="DB861">
        <v>4.38</v>
      </c>
      <c r="DC861">
        <v>3.31</v>
      </c>
      <c r="DD861">
        <v>1.03</v>
      </c>
      <c r="DE861">
        <v>4764</v>
      </c>
      <c r="DF861">
        <v>2407</v>
      </c>
      <c r="DG861" t="s">
        <v>116</v>
      </c>
      <c r="DH861" t="s">
        <v>116</v>
      </c>
      <c r="DI861" t="s">
        <v>116</v>
      </c>
    </row>
    <row r="862" spans="1:113" x14ac:dyDescent="0.4">
      <c r="A862" t="str">
        <f>"002408"</f>
        <v>002408</v>
      </c>
      <c r="B862" t="s">
        <v>5190</v>
      </c>
      <c r="C862">
        <v>0.43</v>
      </c>
      <c r="D862">
        <v>7.07</v>
      </c>
      <c r="E862">
        <v>0.03</v>
      </c>
      <c r="F862">
        <v>7.06</v>
      </c>
      <c r="G862">
        <v>7.07</v>
      </c>
      <c r="H862">
        <v>81526</v>
      </c>
      <c r="I862">
        <v>841</v>
      </c>
      <c r="J862">
        <v>0.14000000000000001</v>
      </c>
      <c r="K862">
        <v>0.47</v>
      </c>
      <c r="L862">
        <v>7.04</v>
      </c>
      <c r="M862">
        <v>7.16</v>
      </c>
      <c r="N862">
        <v>7.02</v>
      </c>
      <c r="O862">
        <v>7.04</v>
      </c>
      <c r="P862">
        <v>17.98</v>
      </c>
      <c r="Q862">
        <v>57920756</v>
      </c>
      <c r="R862">
        <v>1.31</v>
      </c>
      <c r="S862" t="s">
        <v>891</v>
      </c>
      <c r="T862" t="s">
        <v>645</v>
      </c>
      <c r="U862">
        <v>1.99</v>
      </c>
      <c r="V862">
        <v>7.1</v>
      </c>
      <c r="W862">
        <v>41088</v>
      </c>
      <c r="X862">
        <v>40438</v>
      </c>
      <c r="Y862">
        <v>1.02</v>
      </c>
      <c r="Z862">
        <v>812</v>
      </c>
      <c r="AA862">
        <v>131</v>
      </c>
      <c r="AB862" t="s">
        <v>116</v>
      </c>
      <c r="AC862">
        <v>72500</v>
      </c>
      <c r="AD862">
        <v>0</v>
      </c>
      <c r="AE862" t="s">
        <v>116</v>
      </c>
      <c r="AF862" t="s">
        <v>116</v>
      </c>
      <c r="AG862">
        <v>17.39</v>
      </c>
      <c r="AH862" t="s">
        <v>5191</v>
      </c>
      <c r="AI862" t="s">
        <v>5192</v>
      </c>
      <c r="AJ862">
        <v>1.1100000000000001</v>
      </c>
      <c r="AK862">
        <v>1557</v>
      </c>
      <c r="AL862">
        <v>52</v>
      </c>
      <c r="AM862">
        <v>2.9999999999999997E-4</v>
      </c>
      <c r="AN862">
        <v>2</v>
      </c>
      <c r="AO862">
        <v>0.15</v>
      </c>
      <c r="AP862">
        <v>-2.48</v>
      </c>
      <c r="AQ862">
        <v>1.43</v>
      </c>
      <c r="AR862">
        <v>4.74</v>
      </c>
      <c r="AS862">
        <v>1.1200000000000001</v>
      </c>
      <c r="AT862" t="s">
        <v>5193</v>
      </c>
      <c r="AU862">
        <v>18.75</v>
      </c>
      <c r="AV862">
        <v>14.89</v>
      </c>
      <c r="AW862">
        <v>0.45</v>
      </c>
      <c r="BA862">
        <v>0</v>
      </c>
      <c r="BB862">
        <v>1.7</v>
      </c>
      <c r="BC862">
        <v>-0.28000000000000003</v>
      </c>
      <c r="BD862">
        <v>0.92</v>
      </c>
      <c r="BE862">
        <v>0.43</v>
      </c>
      <c r="BF862">
        <v>-1.26</v>
      </c>
      <c r="BG862">
        <v>0.71</v>
      </c>
      <c r="BH862">
        <v>-0.49</v>
      </c>
      <c r="BI862">
        <v>20191019</v>
      </c>
      <c r="BJ862">
        <v>20100518</v>
      </c>
      <c r="BK862">
        <v>17.75</v>
      </c>
      <c r="BL862" t="s">
        <v>116</v>
      </c>
      <c r="BM862" t="s">
        <v>116</v>
      </c>
      <c r="BN862">
        <v>140.18</v>
      </c>
      <c r="BO862">
        <v>75.97</v>
      </c>
      <c r="BP862">
        <v>6.42</v>
      </c>
      <c r="BQ862">
        <v>41.23</v>
      </c>
      <c r="BR862">
        <v>59.55</v>
      </c>
      <c r="BS862">
        <v>45.24</v>
      </c>
      <c r="BT862">
        <v>14.2</v>
      </c>
      <c r="BU862">
        <v>52.98</v>
      </c>
      <c r="BV862">
        <v>8.64</v>
      </c>
      <c r="BW862">
        <v>17.84</v>
      </c>
      <c r="BX862">
        <v>21.93</v>
      </c>
      <c r="BY862">
        <v>240.46</v>
      </c>
      <c r="BZ862">
        <v>226.87</v>
      </c>
      <c r="CA862">
        <v>6.36</v>
      </c>
      <c r="CB862">
        <v>0.04</v>
      </c>
      <c r="CC862">
        <v>6.44</v>
      </c>
      <c r="CD862">
        <v>5.43</v>
      </c>
      <c r="CE862">
        <v>5.24</v>
      </c>
      <c r="CF862">
        <v>4.75</v>
      </c>
      <c r="CG862">
        <v>32.729999999999997</v>
      </c>
      <c r="CH862">
        <v>5.94</v>
      </c>
      <c r="CI862">
        <v>2.14</v>
      </c>
      <c r="CJ862">
        <v>40945</v>
      </c>
      <c r="CK862">
        <v>17849</v>
      </c>
      <c r="CL862" t="s">
        <v>5194</v>
      </c>
      <c r="CM862">
        <v>-24.9</v>
      </c>
      <c r="CN862">
        <v>53.99</v>
      </c>
      <c r="CO862">
        <v>1.65</v>
      </c>
      <c r="CP862">
        <v>21.11</v>
      </c>
      <c r="CQ862">
        <v>0.52</v>
      </c>
      <c r="CR862">
        <v>1.27</v>
      </c>
      <c r="CS862" t="s">
        <v>4088</v>
      </c>
      <c r="CT862">
        <v>4.28</v>
      </c>
      <c r="CU862">
        <v>0</v>
      </c>
      <c r="CV862">
        <v>1.24</v>
      </c>
      <c r="CW862">
        <v>1.84</v>
      </c>
      <c r="CX862">
        <v>0.33</v>
      </c>
      <c r="CY862">
        <v>54.19</v>
      </c>
      <c r="CZ862" t="s">
        <v>3537</v>
      </c>
      <c r="DA862">
        <v>5.65</v>
      </c>
      <c r="DB862">
        <v>2.65</v>
      </c>
      <c r="DC862">
        <v>2.1800000000000002</v>
      </c>
      <c r="DD862">
        <v>1.98</v>
      </c>
      <c r="DE862">
        <v>2132</v>
      </c>
      <c r="DF862">
        <v>2408</v>
      </c>
      <c r="DG862" t="s">
        <v>116</v>
      </c>
      <c r="DH862" t="s">
        <v>116</v>
      </c>
      <c r="DI862" t="s">
        <v>116</v>
      </c>
    </row>
    <row r="863" spans="1:113" x14ac:dyDescent="0.4">
      <c r="A863" t="str">
        <f>"002409"</f>
        <v>002409</v>
      </c>
      <c r="B863" t="s">
        <v>5195</v>
      </c>
      <c r="C863">
        <v>-3.35</v>
      </c>
      <c r="D863">
        <v>23.4</v>
      </c>
      <c r="E863">
        <v>-0.81</v>
      </c>
      <c r="F863">
        <v>23.39</v>
      </c>
      <c r="G863">
        <v>23.4</v>
      </c>
      <c r="H863">
        <v>138406</v>
      </c>
      <c r="I863">
        <v>1393</v>
      </c>
      <c r="J863">
        <v>0.09</v>
      </c>
      <c r="K863">
        <v>5.82</v>
      </c>
      <c r="L863">
        <v>24.3</v>
      </c>
      <c r="M863">
        <v>24.5</v>
      </c>
      <c r="N863">
        <v>23.34</v>
      </c>
      <c r="O863">
        <v>24.21</v>
      </c>
      <c r="P863">
        <v>43.71</v>
      </c>
      <c r="Q863">
        <v>329574912</v>
      </c>
      <c r="R863">
        <v>0.95</v>
      </c>
      <c r="S863" t="s">
        <v>891</v>
      </c>
      <c r="T863" t="s">
        <v>323</v>
      </c>
      <c r="U863">
        <v>4.79</v>
      </c>
      <c r="V863">
        <v>23.81</v>
      </c>
      <c r="W863">
        <v>74413</v>
      </c>
      <c r="X863">
        <v>63993</v>
      </c>
      <c r="Y863">
        <v>1.1599999999999999</v>
      </c>
      <c r="Z863">
        <v>74</v>
      </c>
      <c r="AA863">
        <v>42</v>
      </c>
      <c r="AB863" t="s">
        <v>116</v>
      </c>
      <c r="AC863">
        <v>3146900</v>
      </c>
      <c r="AD863">
        <v>0.08</v>
      </c>
      <c r="AE863" t="s">
        <v>116</v>
      </c>
      <c r="AF863" t="s">
        <v>116</v>
      </c>
      <c r="AG863">
        <v>2.38</v>
      </c>
      <c r="AH863" t="s">
        <v>5196</v>
      </c>
      <c r="AI863" t="s">
        <v>5197</v>
      </c>
      <c r="AJ863">
        <v>-2.67</v>
      </c>
      <c r="AK863">
        <v>3527</v>
      </c>
      <c r="AL863">
        <v>39</v>
      </c>
      <c r="AM863">
        <v>1.6999999999999999E-3</v>
      </c>
      <c r="AN863">
        <v>-1</v>
      </c>
      <c r="AO863">
        <v>4.03</v>
      </c>
      <c r="AP863">
        <v>25.13</v>
      </c>
      <c r="AQ863">
        <v>11.38</v>
      </c>
      <c r="AR863">
        <v>69.81</v>
      </c>
      <c r="AS863">
        <v>8.5500000000000007</v>
      </c>
      <c r="AT863" t="s">
        <v>5198</v>
      </c>
      <c r="AU863">
        <v>48.07</v>
      </c>
      <c r="AV863">
        <v>81.5</v>
      </c>
      <c r="AW863">
        <v>1.63</v>
      </c>
      <c r="BA863">
        <v>0.37</v>
      </c>
      <c r="BB863">
        <v>1.2</v>
      </c>
      <c r="BC863">
        <v>-3.59</v>
      </c>
      <c r="BD863">
        <v>-1.64</v>
      </c>
      <c r="BE863">
        <v>-3.7</v>
      </c>
      <c r="BF863">
        <v>-4.49</v>
      </c>
      <c r="BG863">
        <v>0.26</v>
      </c>
      <c r="BH863">
        <v>-1.7</v>
      </c>
      <c r="BI863">
        <v>20191031</v>
      </c>
      <c r="BJ863">
        <v>20100525</v>
      </c>
      <c r="BK863">
        <v>4.63</v>
      </c>
      <c r="BL863" t="s">
        <v>116</v>
      </c>
      <c r="BM863" t="s">
        <v>116</v>
      </c>
      <c r="BN863">
        <v>48.52</v>
      </c>
      <c r="BO863">
        <v>43.36</v>
      </c>
      <c r="BP863">
        <v>1.22</v>
      </c>
      <c r="BQ863">
        <v>8.1199999999999992</v>
      </c>
      <c r="BR863">
        <v>18.079999999999998</v>
      </c>
      <c r="BS863">
        <v>6.99</v>
      </c>
      <c r="BT863">
        <v>1.8</v>
      </c>
      <c r="BU863">
        <v>3.47</v>
      </c>
      <c r="BV863">
        <v>3.17</v>
      </c>
      <c r="BW863">
        <v>3.66</v>
      </c>
      <c r="BX863">
        <v>30.5</v>
      </c>
      <c r="BY863">
        <v>13.62</v>
      </c>
      <c r="BZ863">
        <v>8.76</v>
      </c>
      <c r="CA863">
        <v>2.4</v>
      </c>
      <c r="CB863">
        <v>0.1</v>
      </c>
      <c r="CC863">
        <v>2.39</v>
      </c>
      <c r="CD863">
        <v>1.98</v>
      </c>
      <c r="CE863">
        <v>1.86</v>
      </c>
      <c r="CF863">
        <v>1.74</v>
      </c>
      <c r="CG863">
        <v>7.14</v>
      </c>
      <c r="CH863">
        <v>1.23</v>
      </c>
      <c r="CI863">
        <v>1.28</v>
      </c>
      <c r="CJ863">
        <v>20320</v>
      </c>
      <c r="CK863">
        <v>7966</v>
      </c>
      <c r="CL863" t="s">
        <v>5199</v>
      </c>
      <c r="CM863">
        <v>98.9</v>
      </c>
      <c r="CN863">
        <v>24.33</v>
      </c>
      <c r="CO863">
        <v>2.5</v>
      </c>
      <c r="CP863">
        <v>88.04</v>
      </c>
      <c r="CQ863">
        <v>7.95</v>
      </c>
      <c r="CR863">
        <v>0.38</v>
      </c>
      <c r="CS863" t="s">
        <v>5200</v>
      </c>
      <c r="CT863">
        <v>9.3699999999999992</v>
      </c>
      <c r="CU863">
        <v>0</v>
      </c>
      <c r="CV863">
        <v>6.59</v>
      </c>
      <c r="CW863">
        <v>1.54</v>
      </c>
      <c r="CX863">
        <v>0.27</v>
      </c>
      <c r="CY863">
        <v>89.36</v>
      </c>
      <c r="CZ863" t="s">
        <v>5201</v>
      </c>
      <c r="DA863">
        <v>35.72</v>
      </c>
      <c r="DB863">
        <v>17.600000000000001</v>
      </c>
      <c r="DC863">
        <v>13.64</v>
      </c>
      <c r="DD863">
        <v>0.41</v>
      </c>
      <c r="DE863">
        <v>1148</v>
      </c>
      <c r="DF863">
        <v>2409</v>
      </c>
      <c r="DG863" t="s">
        <v>116</v>
      </c>
      <c r="DH863" t="s">
        <v>116</v>
      </c>
      <c r="DI863" t="s">
        <v>116</v>
      </c>
    </row>
    <row r="864" spans="1:113" x14ac:dyDescent="0.4">
      <c r="A864" t="str">
        <f>"002410"</f>
        <v>002410</v>
      </c>
      <c r="B864" t="s">
        <v>5202</v>
      </c>
      <c r="C864">
        <v>-1.92</v>
      </c>
      <c r="D864">
        <v>32.76</v>
      </c>
      <c r="E864">
        <v>-0.64</v>
      </c>
      <c r="F864">
        <v>32.76</v>
      </c>
      <c r="G864">
        <v>32.770000000000003</v>
      </c>
      <c r="H864">
        <v>93792</v>
      </c>
      <c r="I864">
        <v>279</v>
      </c>
      <c r="J864">
        <v>0.03</v>
      </c>
      <c r="K864">
        <v>1.05</v>
      </c>
      <c r="L864">
        <v>33.33</v>
      </c>
      <c r="M864">
        <v>33.58</v>
      </c>
      <c r="N864">
        <v>32.630000000000003</v>
      </c>
      <c r="O864">
        <v>33.4</v>
      </c>
      <c r="P864">
        <v>174.4</v>
      </c>
      <c r="Q864">
        <v>309585472</v>
      </c>
      <c r="R864">
        <v>1.82</v>
      </c>
      <c r="S864" t="s">
        <v>607</v>
      </c>
      <c r="T864" t="s">
        <v>165</v>
      </c>
      <c r="U864">
        <v>2.84</v>
      </c>
      <c r="V864">
        <v>33.01</v>
      </c>
      <c r="W864">
        <v>55671</v>
      </c>
      <c r="X864">
        <v>38121</v>
      </c>
      <c r="Y864">
        <v>1.46</v>
      </c>
      <c r="Z864">
        <v>50</v>
      </c>
      <c r="AA864">
        <v>26</v>
      </c>
      <c r="AB864" t="s">
        <v>116</v>
      </c>
      <c r="AC864">
        <v>213300</v>
      </c>
      <c r="AD864">
        <v>0</v>
      </c>
      <c r="AE864" t="s">
        <v>116</v>
      </c>
      <c r="AF864" t="s">
        <v>116</v>
      </c>
      <c r="AG864">
        <v>8.91</v>
      </c>
      <c r="AH864" t="s">
        <v>5203</v>
      </c>
      <c r="AI864" t="s">
        <v>5204</v>
      </c>
      <c r="AJ864">
        <v>-1.24</v>
      </c>
      <c r="AK864">
        <v>3848</v>
      </c>
      <c r="AL864">
        <v>24</v>
      </c>
      <c r="AM864">
        <v>2.9999999999999997E-4</v>
      </c>
      <c r="AN864">
        <v>-1</v>
      </c>
      <c r="AO864">
        <v>-1.27</v>
      </c>
      <c r="AP864">
        <v>-0.79</v>
      </c>
      <c r="AQ864">
        <v>-8.44</v>
      </c>
      <c r="AR864">
        <v>58.95</v>
      </c>
      <c r="AS864">
        <v>1.29</v>
      </c>
      <c r="AT864" t="s">
        <v>5205</v>
      </c>
      <c r="AU864">
        <v>121.04</v>
      </c>
      <c r="AV864">
        <v>84.13</v>
      </c>
      <c r="AW864">
        <v>0.88</v>
      </c>
      <c r="BA864">
        <v>-0.21</v>
      </c>
      <c r="BB864">
        <v>0.54</v>
      </c>
      <c r="BC864">
        <v>-2.31</v>
      </c>
      <c r="BD864">
        <v>-1.17</v>
      </c>
      <c r="BE864">
        <v>-1.71</v>
      </c>
      <c r="BF864">
        <v>-2.44</v>
      </c>
      <c r="BG864">
        <v>0.4</v>
      </c>
      <c r="BH864">
        <v>-0.74</v>
      </c>
      <c r="BI864">
        <v>20191213</v>
      </c>
      <c r="BJ864">
        <v>20100525</v>
      </c>
      <c r="BK864">
        <v>11.28</v>
      </c>
      <c r="BL864" t="s">
        <v>116</v>
      </c>
      <c r="BM864" t="s">
        <v>116</v>
      </c>
      <c r="BN864">
        <v>63.48</v>
      </c>
      <c r="BO864">
        <v>31.18</v>
      </c>
      <c r="BP864">
        <v>0.82</v>
      </c>
      <c r="BQ864">
        <v>49.59</v>
      </c>
      <c r="BR864">
        <v>31.75</v>
      </c>
      <c r="BS864">
        <v>8.09</v>
      </c>
      <c r="BT864">
        <v>2.25</v>
      </c>
      <c r="BU864">
        <v>21.51</v>
      </c>
      <c r="BV864">
        <v>0.25</v>
      </c>
      <c r="BW864">
        <v>5.67</v>
      </c>
      <c r="BX864">
        <v>4.72</v>
      </c>
      <c r="BY864">
        <v>21.83</v>
      </c>
      <c r="BZ864">
        <v>1.92</v>
      </c>
      <c r="CA864">
        <v>2.0699999999999998</v>
      </c>
      <c r="CB864">
        <v>0.25</v>
      </c>
      <c r="CC864">
        <v>2.0299999999999998</v>
      </c>
      <c r="CD864">
        <v>1.73</v>
      </c>
      <c r="CE864">
        <v>1.59</v>
      </c>
      <c r="CF864">
        <v>1.28</v>
      </c>
      <c r="CG864">
        <v>12.91</v>
      </c>
      <c r="CH864">
        <v>-1.52</v>
      </c>
      <c r="CI864">
        <v>2.1800000000000002</v>
      </c>
      <c r="CJ864">
        <v>25158</v>
      </c>
      <c r="CK864">
        <v>28857</v>
      </c>
      <c r="CL864" t="s">
        <v>5206</v>
      </c>
      <c r="CM864">
        <v>-45.74</v>
      </c>
      <c r="CN864">
        <v>22.78</v>
      </c>
      <c r="CO864">
        <v>11.85</v>
      </c>
      <c r="CP864">
        <v>-243.01</v>
      </c>
      <c r="CQ864">
        <v>16.920000000000002</v>
      </c>
      <c r="CR864">
        <v>0.61</v>
      </c>
      <c r="CS864" t="s">
        <v>5207</v>
      </c>
      <c r="CT864">
        <v>2.76</v>
      </c>
      <c r="CU864">
        <v>0</v>
      </c>
      <c r="CV864">
        <v>0.42</v>
      </c>
      <c r="CW864">
        <v>1.1399999999999999</v>
      </c>
      <c r="CX864">
        <v>-0.13</v>
      </c>
      <c r="CY864">
        <v>49.11</v>
      </c>
      <c r="CZ864" t="s">
        <v>5208</v>
      </c>
      <c r="DA864">
        <v>91.21</v>
      </c>
      <c r="DB864">
        <v>9.4700000000000006</v>
      </c>
      <c r="DC864">
        <v>7.28</v>
      </c>
      <c r="DD864">
        <v>6.26</v>
      </c>
      <c r="DE864">
        <v>6244</v>
      </c>
      <c r="DF864">
        <v>2410</v>
      </c>
      <c r="DG864" t="s">
        <v>116</v>
      </c>
      <c r="DH864" t="s">
        <v>116</v>
      </c>
      <c r="DI864" t="s">
        <v>116</v>
      </c>
    </row>
    <row r="865" spans="1:113" x14ac:dyDescent="0.4">
      <c r="A865" t="str">
        <f>"002411"</f>
        <v>002411</v>
      </c>
      <c r="B865" t="s">
        <v>5209</v>
      </c>
      <c r="C865">
        <v>0</v>
      </c>
      <c r="D865">
        <v>15.65</v>
      </c>
      <c r="E865">
        <v>0</v>
      </c>
      <c r="F865">
        <v>15.64</v>
      </c>
      <c r="G865">
        <v>15.65</v>
      </c>
      <c r="H865">
        <v>108254</v>
      </c>
      <c r="I865">
        <v>1065</v>
      </c>
      <c r="J865">
        <v>0.06</v>
      </c>
      <c r="K865">
        <v>0.76</v>
      </c>
      <c r="L865">
        <v>15.65</v>
      </c>
      <c r="M865">
        <v>15.72</v>
      </c>
      <c r="N865">
        <v>15.61</v>
      </c>
      <c r="O865">
        <v>15.65</v>
      </c>
      <c r="P865">
        <v>36.96</v>
      </c>
      <c r="Q865">
        <v>169527984</v>
      </c>
      <c r="R865">
        <v>0.67</v>
      </c>
      <c r="S865" t="s">
        <v>574</v>
      </c>
      <c r="T865" t="s">
        <v>913</v>
      </c>
      <c r="U865">
        <v>0.7</v>
      </c>
      <c r="V865">
        <v>15.66</v>
      </c>
      <c r="W865">
        <v>30444</v>
      </c>
      <c r="X865">
        <v>77810</v>
      </c>
      <c r="Y865">
        <v>0.39</v>
      </c>
      <c r="Z865">
        <v>20</v>
      </c>
      <c r="AA865">
        <v>621</v>
      </c>
      <c r="AB865" t="s">
        <v>116</v>
      </c>
      <c r="AC865">
        <v>129900</v>
      </c>
      <c r="AD865">
        <v>0</v>
      </c>
      <c r="AE865" t="s">
        <v>116</v>
      </c>
      <c r="AF865" t="s">
        <v>116</v>
      </c>
      <c r="AG865">
        <v>14.26</v>
      </c>
      <c r="AH865" t="s">
        <v>5210</v>
      </c>
      <c r="AI865" t="s">
        <v>5211</v>
      </c>
      <c r="AJ865">
        <v>0.68</v>
      </c>
      <c r="AK865">
        <v>2517</v>
      </c>
      <c r="AL865">
        <v>43</v>
      </c>
      <c r="AM865">
        <v>2.9999999999999997E-4</v>
      </c>
      <c r="AN865">
        <v>0</v>
      </c>
      <c r="AO865">
        <v>-0.96</v>
      </c>
      <c r="AP865">
        <v>-4.75</v>
      </c>
      <c r="AQ865">
        <v>-5.67</v>
      </c>
      <c r="AR865">
        <v>-25.76</v>
      </c>
      <c r="AS865">
        <v>2.12</v>
      </c>
      <c r="AT865" t="s">
        <v>5212</v>
      </c>
      <c r="AU865">
        <v>83.28</v>
      </c>
      <c r="AV865">
        <v>59.33</v>
      </c>
      <c r="AW865">
        <v>0.17</v>
      </c>
      <c r="BA865">
        <v>0</v>
      </c>
      <c r="BB865">
        <v>0.45</v>
      </c>
      <c r="BC865">
        <v>-0.26</v>
      </c>
      <c r="BD865">
        <v>7.0000000000000007E-2</v>
      </c>
      <c r="BE865">
        <v>0</v>
      </c>
      <c r="BF865">
        <v>-0.45</v>
      </c>
      <c r="BG865">
        <v>0.26</v>
      </c>
      <c r="BH865">
        <v>-7.0000000000000007E-2</v>
      </c>
      <c r="BI865">
        <v>20191029</v>
      </c>
      <c r="BJ865">
        <v>20100525</v>
      </c>
      <c r="BK865">
        <v>15.32</v>
      </c>
      <c r="BL865" t="s">
        <v>116</v>
      </c>
      <c r="BM865" t="s">
        <v>116</v>
      </c>
      <c r="BN865">
        <v>224.27</v>
      </c>
      <c r="BO865">
        <v>99.74</v>
      </c>
      <c r="BP865">
        <v>4.32</v>
      </c>
      <c r="BQ865">
        <v>53.6</v>
      </c>
      <c r="BR865">
        <v>80.459999999999994</v>
      </c>
      <c r="BS865">
        <v>24.5</v>
      </c>
      <c r="BT865">
        <v>8.65</v>
      </c>
      <c r="BU865">
        <v>91.75</v>
      </c>
      <c r="BV865">
        <v>6.95</v>
      </c>
      <c r="BW865">
        <v>38.14</v>
      </c>
      <c r="BX865">
        <v>50.52</v>
      </c>
      <c r="BY865">
        <v>65.459999999999994</v>
      </c>
      <c r="BZ865">
        <v>50.59</v>
      </c>
      <c r="CA865">
        <v>5.46</v>
      </c>
      <c r="CB865">
        <v>0.19</v>
      </c>
      <c r="CC865">
        <v>6.45</v>
      </c>
      <c r="CD865">
        <v>5.14</v>
      </c>
      <c r="CE865">
        <v>4.87</v>
      </c>
      <c r="CF865">
        <v>3.82</v>
      </c>
      <c r="CG865">
        <v>27.43</v>
      </c>
      <c r="CH865">
        <v>3.92</v>
      </c>
      <c r="CI865">
        <v>-6.02</v>
      </c>
      <c r="CJ865">
        <v>25925</v>
      </c>
      <c r="CK865">
        <v>19676</v>
      </c>
      <c r="CL865" t="s">
        <v>5213</v>
      </c>
      <c r="CM865">
        <v>-19.29</v>
      </c>
      <c r="CN865">
        <v>14.78</v>
      </c>
      <c r="CO865">
        <v>2.4</v>
      </c>
      <c r="CP865">
        <v>61.22</v>
      </c>
      <c r="CQ865">
        <v>3.66</v>
      </c>
      <c r="CR865">
        <v>0</v>
      </c>
      <c r="CS865" t="s">
        <v>3150</v>
      </c>
      <c r="CT865">
        <v>6.51</v>
      </c>
      <c r="CU865">
        <v>0</v>
      </c>
      <c r="CV865">
        <v>3.3</v>
      </c>
      <c r="CW865">
        <v>1.79</v>
      </c>
      <c r="CX865">
        <v>0.26</v>
      </c>
      <c r="CY865">
        <v>44.47</v>
      </c>
      <c r="CZ865" t="s">
        <v>5214</v>
      </c>
      <c r="DA865">
        <v>22.72</v>
      </c>
      <c r="DB865">
        <v>8.33</v>
      </c>
      <c r="DC865">
        <v>7.43</v>
      </c>
      <c r="DD865">
        <v>0.79</v>
      </c>
      <c r="DE865">
        <v>4946</v>
      </c>
      <c r="DF865">
        <v>2411</v>
      </c>
      <c r="DG865" t="s">
        <v>116</v>
      </c>
      <c r="DH865" t="s">
        <v>116</v>
      </c>
      <c r="DI865" t="s">
        <v>116</v>
      </c>
    </row>
    <row r="866" spans="1:113" x14ac:dyDescent="0.4">
      <c r="A866" t="str">
        <f>"002412"</f>
        <v>002412</v>
      </c>
      <c r="B866" t="s">
        <v>5215</v>
      </c>
      <c r="C866">
        <v>0.83</v>
      </c>
      <c r="D866">
        <v>8.4600000000000009</v>
      </c>
      <c r="E866">
        <v>7.0000000000000007E-2</v>
      </c>
      <c r="F866">
        <v>8.4600000000000009</v>
      </c>
      <c r="G866">
        <v>8.4700000000000006</v>
      </c>
      <c r="H866">
        <v>47621</v>
      </c>
      <c r="I866">
        <v>403</v>
      </c>
      <c r="J866">
        <v>0.12</v>
      </c>
      <c r="K866">
        <v>0.97</v>
      </c>
      <c r="L866">
        <v>8.4499999999999993</v>
      </c>
      <c r="M866">
        <v>8.76</v>
      </c>
      <c r="N866">
        <v>8.39</v>
      </c>
      <c r="O866">
        <v>8.39</v>
      </c>
      <c r="P866">
        <v>30.91</v>
      </c>
      <c r="Q866">
        <v>40805744</v>
      </c>
      <c r="R866">
        <v>1.54</v>
      </c>
      <c r="S866" t="s">
        <v>781</v>
      </c>
      <c r="T866" t="s">
        <v>599</v>
      </c>
      <c r="U866">
        <v>4.41</v>
      </c>
      <c r="V866">
        <v>8.57</v>
      </c>
      <c r="W866">
        <v>25781</v>
      </c>
      <c r="X866">
        <v>21840</v>
      </c>
      <c r="Y866">
        <v>1.18</v>
      </c>
      <c r="Z866">
        <v>26</v>
      </c>
      <c r="AA866">
        <v>11</v>
      </c>
      <c r="AB866" t="s">
        <v>116</v>
      </c>
      <c r="AC866">
        <v>124200</v>
      </c>
      <c r="AD866">
        <v>0.01</v>
      </c>
      <c r="AE866" t="s">
        <v>116</v>
      </c>
      <c r="AF866" t="s">
        <v>116</v>
      </c>
      <c r="AG866">
        <v>4.8899999999999997</v>
      </c>
      <c r="AH866" t="s">
        <v>5216</v>
      </c>
      <c r="AI866" t="s">
        <v>5217</v>
      </c>
      <c r="AJ866">
        <v>1.51</v>
      </c>
      <c r="AK866">
        <v>1665</v>
      </c>
      <c r="AL866">
        <v>29</v>
      </c>
      <c r="AM866">
        <v>5.9999999999999995E-4</v>
      </c>
      <c r="AN866">
        <v>2</v>
      </c>
      <c r="AO866">
        <v>0.47</v>
      </c>
      <c r="AP866">
        <v>-0.94</v>
      </c>
      <c r="AQ866">
        <v>-17.86</v>
      </c>
      <c r="AR866">
        <v>1.21</v>
      </c>
      <c r="AS866">
        <v>1.72</v>
      </c>
      <c r="AT866" t="s">
        <v>5218</v>
      </c>
      <c r="AU866">
        <v>25.88</v>
      </c>
      <c r="AV866">
        <v>28.85</v>
      </c>
      <c r="AW866">
        <v>1.03</v>
      </c>
      <c r="BA866">
        <v>0.72</v>
      </c>
      <c r="BB866">
        <v>4.41</v>
      </c>
      <c r="BC866">
        <v>0</v>
      </c>
      <c r="BD866">
        <v>2.13</v>
      </c>
      <c r="BE866">
        <v>0.12</v>
      </c>
      <c r="BF866">
        <v>-3.42</v>
      </c>
      <c r="BG866">
        <v>0.83</v>
      </c>
      <c r="BH866">
        <v>-1.3</v>
      </c>
      <c r="BI866">
        <v>20191204</v>
      </c>
      <c r="BJ866">
        <v>20100525</v>
      </c>
      <c r="BK866">
        <v>5.03</v>
      </c>
      <c r="BL866" t="s">
        <v>116</v>
      </c>
      <c r="BM866" t="s">
        <v>116</v>
      </c>
      <c r="BN866">
        <v>18.96</v>
      </c>
      <c r="BO866">
        <v>14.71</v>
      </c>
      <c r="BP866">
        <v>0</v>
      </c>
      <c r="BQ866">
        <v>22.4</v>
      </c>
      <c r="BR866">
        <v>5.73</v>
      </c>
      <c r="BS866">
        <v>4.79</v>
      </c>
      <c r="BT866">
        <v>0.64</v>
      </c>
      <c r="BU866">
        <v>4.08</v>
      </c>
      <c r="BV866">
        <v>0.85</v>
      </c>
      <c r="BW866">
        <v>2.94</v>
      </c>
      <c r="BX866">
        <v>1.87</v>
      </c>
      <c r="BY866">
        <v>6.21</v>
      </c>
      <c r="BZ866">
        <v>1.65</v>
      </c>
      <c r="CA866">
        <v>1.23</v>
      </c>
      <c r="CB866">
        <v>0.34</v>
      </c>
      <c r="CC866">
        <v>1.25</v>
      </c>
      <c r="CD866">
        <v>1.03</v>
      </c>
      <c r="CE866">
        <v>1.03</v>
      </c>
      <c r="CF866">
        <v>0.96</v>
      </c>
      <c r="CG866">
        <v>6.94</v>
      </c>
      <c r="CH866">
        <v>1.21</v>
      </c>
      <c r="CI866">
        <v>0.32</v>
      </c>
      <c r="CJ866">
        <v>12732</v>
      </c>
      <c r="CK866">
        <v>21779</v>
      </c>
      <c r="CL866" t="s">
        <v>5219</v>
      </c>
      <c r="CM866">
        <v>19.62</v>
      </c>
      <c r="CN866">
        <v>-6.15</v>
      </c>
      <c r="CO866">
        <v>2.89</v>
      </c>
      <c r="CP866">
        <v>35.17</v>
      </c>
      <c r="CQ866">
        <v>6.85</v>
      </c>
      <c r="CR866">
        <v>0</v>
      </c>
      <c r="CS866" t="s">
        <v>5174</v>
      </c>
      <c r="CT866">
        <v>2.92</v>
      </c>
      <c r="CU866">
        <v>0</v>
      </c>
      <c r="CV866">
        <v>0.37</v>
      </c>
      <c r="CW866">
        <v>1.38</v>
      </c>
      <c r="CX866">
        <v>0.24</v>
      </c>
      <c r="CY866">
        <v>77.599999999999994</v>
      </c>
      <c r="CZ866" t="s">
        <v>5220</v>
      </c>
      <c r="DA866">
        <v>73.41</v>
      </c>
      <c r="DB866">
        <v>19.77</v>
      </c>
      <c r="DC866">
        <v>16.63</v>
      </c>
      <c r="DD866">
        <v>0.2</v>
      </c>
      <c r="DE866">
        <v>1924</v>
      </c>
      <c r="DF866">
        <v>2412</v>
      </c>
      <c r="DG866" t="s">
        <v>116</v>
      </c>
      <c r="DH866" t="s">
        <v>116</v>
      </c>
      <c r="DI866" t="s">
        <v>116</v>
      </c>
    </row>
    <row r="867" spans="1:113" x14ac:dyDescent="0.4">
      <c r="A867" t="str">
        <f>"002413"</f>
        <v>002413</v>
      </c>
      <c r="B867" t="s">
        <v>5221</v>
      </c>
      <c r="C867">
        <v>-0.18</v>
      </c>
      <c r="D867">
        <v>5.43</v>
      </c>
      <c r="E867">
        <v>-0.01</v>
      </c>
      <c r="F867">
        <v>5.43</v>
      </c>
      <c r="G867">
        <v>5.44</v>
      </c>
      <c r="H867">
        <v>144174</v>
      </c>
      <c r="I867">
        <v>963</v>
      </c>
      <c r="J867">
        <v>-0.17</v>
      </c>
      <c r="K867">
        <v>1.39</v>
      </c>
      <c r="L867">
        <v>5.47</v>
      </c>
      <c r="M867">
        <v>5.65</v>
      </c>
      <c r="N867">
        <v>5.41</v>
      </c>
      <c r="O867">
        <v>5.44</v>
      </c>
      <c r="P867">
        <v>49.54</v>
      </c>
      <c r="Q867">
        <v>79472592</v>
      </c>
      <c r="R867">
        <v>1.33</v>
      </c>
      <c r="S867" t="s">
        <v>465</v>
      </c>
      <c r="T867" t="s">
        <v>323</v>
      </c>
      <c r="U867">
        <v>4.41</v>
      </c>
      <c r="V867">
        <v>5.51</v>
      </c>
      <c r="W867">
        <v>79400</v>
      </c>
      <c r="X867">
        <v>64774</v>
      </c>
      <c r="Y867">
        <v>1.23</v>
      </c>
      <c r="Z867">
        <v>375</v>
      </c>
      <c r="AA867">
        <v>354</v>
      </c>
      <c r="AB867" t="s">
        <v>116</v>
      </c>
      <c r="AC867">
        <v>158100</v>
      </c>
      <c r="AD867">
        <v>0</v>
      </c>
      <c r="AE867" t="s">
        <v>116</v>
      </c>
      <c r="AF867" t="s">
        <v>116</v>
      </c>
      <c r="AG867">
        <v>10.37</v>
      </c>
      <c r="AH867" t="s">
        <v>3983</v>
      </c>
      <c r="AI867" t="s">
        <v>5222</v>
      </c>
      <c r="AJ867">
        <v>0.5</v>
      </c>
      <c r="AK867">
        <v>2788</v>
      </c>
      <c r="AL867">
        <v>52</v>
      </c>
      <c r="AM867">
        <v>5.0000000000000001E-4</v>
      </c>
      <c r="AN867">
        <v>-3</v>
      </c>
      <c r="AO867">
        <v>-0.73</v>
      </c>
      <c r="AP867">
        <v>5.44</v>
      </c>
      <c r="AQ867">
        <v>-7.02</v>
      </c>
      <c r="AR867">
        <v>1.5</v>
      </c>
      <c r="AS867">
        <v>1.91</v>
      </c>
      <c r="AT867" t="s">
        <v>5223</v>
      </c>
      <c r="AU867">
        <v>49.4</v>
      </c>
      <c r="AV867">
        <v>43.08</v>
      </c>
      <c r="AW867">
        <v>0.87</v>
      </c>
      <c r="BA867">
        <v>0.55000000000000004</v>
      </c>
      <c r="BB867">
        <v>3.86</v>
      </c>
      <c r="BC867">
        <v>-0.55000000000000004</v>
      </c>
      <c r="BD867">
        <v>1.33</v>
      </c>
      <c r="BE867">
        <v>-0.73</v>
      </c>
      <c r="BF867">
        <v>-3.89</v>
      </c>
      <c r="BG867">
        <v>0.37</v>
      </c>
      <c r="BH867">
        <v>-1.51</v>
      </c>
      <c r="BI867">
        <v>20191224</v>
      </c>
      <c r="BJ867">
        <v>20100528</v>
      </c>
      <c r="BK867">
        <v>10.81</v>
      </c>
      <c r="BL867" t="s">
        <v>116</v>
      </c>
      <c r="BM867" t="s">
        <v>116</v>
      </c>
      <c r="BN867">
        <v>43.14</v>
      </c>
      <c r="BO867">
        <v>35.17</v>
      </c>
      <c r="BP867">
        <v>0.83</v>
      </c>
      <c r="BQ867">
        <v>16.55</v>
      </c>
      <c r="BR867">
        <v>19.34</v>
      </c>
      <c r="BS867">
        <v>2.36</v>
      </c>
      <c r="BT867">
        <v>1.65</v>
      </c>
      <c r="BU867">
        <v>6.51</v>
      </c>
      <c r="BV867">
        <v>5.3</v>
      </c>
      <c r="BW867">
        <v>10.42</v>
      </c>
      <c r="BX867">
        <v>18.59</v>
      </c>
      <c r="BY867">
        <v>6.95</v>
      </c>
      <c r="BZ867">
        <v>3.66</v>
      </c>
      <c r="CA867">
        <v>1.24</v>
      </c>
      <c r="CB867">
        <v>0.01</v>
      </c>
      <c r="CC867">
        <v>1.25</v>
      </c>
      <c r="CD867">
        <v>0.99</v>
      </c>
      <c r="CE867">
        <v>0.89</v>
      </c>
      <c r="CF867">
        <v>0.81</v>
      </c>
      <c r="CG867">
        <v>6.94</v>
      </c>
      <c r="CH867">
        <v>-2.13</v>
      </c>
      <c r="CI867">
        <v>-2.39</v>
      </c>
      <c r="CJ867">
        <v>64409</v>
      </c>
      <c r="CK867">
        <v>11694</v>
      </c>
      <c r="CL867" t="s">
        <v>5224</v>
      </c>
      <c r="CM867">
        <v>-16.399999999999999</v>
      </c>
      <c r="CN867">
        <v>9.64</v>
      </c>
      <c r="CO867">
        <v>1.67</v>
      </c>
      <c r="CP867">
        <v>-27.56</v>
      </c>
      <c r="CQ867">
        <v>8.44</v>
      </c>
      <c r="CR867">
        <v>0</v>
      </c>
      <c r="CS867" t="s">
        <v>1272</v>
      </c>
      <c r="CT867">
        <v>3.25</v>
      </c>
      <c r="CU867">
        <v>0</v>
      </c>
      <c r="CV867">
        <v>1.72</v>
      </c>
      <c r="CW867">
        <v>0.64</v>
      </c>
      <c r="CX867">
        <v>-0.2</v>
      </c>
      <c r="CY867">
        <v>81.540000000000006</v>
      </c>
      <c r="CZ867" t="s">
        <v>5225</v>
      </c>
      <c r="DA867">
        <v>47.34</v>
      </c>
      <c r="DB867">
        <v>17.850000000000001</v>
      </c>
      <c r="DC867">
        <v>12.78</v>
      </c>
      <c r="DD867">
        <v>0.49</v>
      </c>
      <c r="DE867">
        <v>1294</v>
      </c>
      <c r="DF867">
        <v>2413</v>
      </c>
      <c r="DG867" t="s">
        <v>116</v>
      </c>
      <c r="DH867" t="s">
        <v>116</v>
      </c>
      <c r="DI867" t="s">
        <v>116</v>
      </c>
    </row>
    <row r="868" spans="1:113" x14ac:dyDescent="0.4">
      <c r="A868" t="str">
        <f>"002414"</f>
        <v>002414</v>
      </c>
      <c r="B868" t="s">
        <v>5226</v>
      </c>
      <c r="C868">
        <v>-1.28</v>
      </c>
      <c r="D868">
        <v>20.059999999999999</v>
      </c>
      <c r="E868">
        <v>-0.26</v>
      </c>
      <c r="F868">
        <v>20.059999999999999</v>
      </c>
      <c r="G868">
        <v>20.07</v>
      </c>
      <c r="H868">
        <v>63352</v>
      </c>
      <c r="I868">
        <v>547</v>
      </c>
      <c r="J868">
        <v>-0.04</v>
      </c>
      <c r="K868">
        <v>0.86</v>
      </c>
      <c r="L868">
        <v>20.21</v>
      </c>
      <c r="M868">
        <v>20.5</v>
      </c>
      <c r="N868">
        <v>20.03</v>
      </c>
      <c r="O868">
        <v>20.32</v>
      </c>
      <c r="P868">
        <v>60.06</v>
      </c>
      <c r="Q868">
        <v>128433760</v>
      </c>
      <c r="R868">
        <v>0.81</v>
      </c>
      <c r="S868" t="s">
        <v>2977</v>
      </c>
      <c r="T868" t="s">
        <v>774</v>
      </c>
      <c r="U868">
        <v>2.31</v>
      </c>
      <c r="V868">
        <v>20.27</v>
      </c>
      <c r="W868">
        <v>35253</v>
      </c>
      <c r="X868">
        <v>28099</v>
      </c>
      <c r="Y868">
        <v>1.25</v>
      </c>
      <c r="Z868">
        <v>18</v>
      </c>
      <c r="AA868">
        <v>500</v>
      </c>
      <c r="AB868" t="s">
        <v>116</v>
      </c>
      <c r="AC868">
        <v>538100</v>
      </c>
      <c r="AD868">
        <v>0.01</v>
      </c>
      <c r="AE868" t="s">
        <v>116</v>
      </c>
      <c r="AF868" t="s">
        <v>116</v>
      </c>
      <c r="AG868">
        <v>7.34</v>
      </c>
      <c r="AH868" t="s">
        <v>5227</v>
      </c>
      <c r="AI868" t="s">
        <v>5228</v>
      </c>
      <c r="AJ868">
        <v>-0.6</v>
      </c>
      <c r="AK868">
        <v>2794</v>
      </c>
      <c r="AL868">
        <v>23</v>
      </c>
      <c r="AM868">
        <v>2.9999999999999997E-4</v>
      </c>
      <c r="AN868">
        <v>-1</v>
      </c>
      <c r="AO868">
        <v>0.3</v>
      </c>
      <c r="AP868">
        <v>1.72</v>
      </c>
      <c r="AQ868">
        <v>-15.36</v>
      </c>
      <c r="AR868">
        <v>39.82</v>
      </c>
      <c r="AS868">
        <v>2.06</v>
      </c>
      <c r="AT868" t="s">
        <v>5229</v>
      </c>
      <c r="AU868">
        <v>69.61</v>
      </c>
      <c r="AV868">
        <v>142.22999999999999</v>
      </c>
      <c r="AW868">
        <v>0.86</v>
      </c>
      <c r="BA868">
        <v>-0.54</v>
      </c>
      <c r="BB868">
        <v>0.89</v>
      </c>
      <c r="BC868">
        <v>-1.43</v>
      </c>
      <c r="BD868">
        <v>-0.23</v>
      </c>
      <c r="BE868">
        <v>-0.74</v>
      </c>
      <c r="BF868">
        <v>-2.15</v>
      </c>
      <c r="BG868">
        <v>0.15</v>
      </c>
      <c r="BH868">
        <v>-1.05</v>
      </c>
      <c r="BI868">
        <v>20191029</v>
      </c>
      <c r="BJ868">
        <v>20100716</v>
      </c>
      <c r="BK868">
        <v>9.36</v>
      </c>
      <c r="BL868" t="s">
        <v>116</v>
      </c>
      <c r="BM868" t="s">
        <v>116</v>
      </c>
      <c r="BN868">
        <v>42.6</v>
      </c>
      <c r="BO868">
        <v>35.86</v>
      </c>
      <c r="BP868">
        <v>0</v>
      </c>
      <c r="BQ868">
        <v>15.82</v>
      </c>
      <c r="BR868">
        <v>25.07</v>
      </c>
      <c r="BS868">
        <v>6.7</v>
      </c>
      <c r="BT868">
        <v>3.75</v>
      </c>
      <c r="BU868">
        <v>5.52</v>
      </c>
      <c r="BV868">
        <v>9.18</v>
      </c>
      <c r="BW868">
        <v>9.17</v>
      </c>
      <c r="BX868">
        <v>17.55</v>
      </c>
      <c r="BY868">
        <v>10.58</v>
      </c>
      <c r="BZ868">
        <v>4.84</v>
      </c>
      <c r="CA868">
        <v>2.37</v>
      </c>
      <c r="CB868">
        <v>0.04</v>
      </c>
      <c r="CC868">
        <v>2.37</v>
      </c>
      <c r="CD868">
        <v>2.35</v>
      </c>
      <c r="CE868">
        <v>2.35</v>
      </c>
      <c r="CF868">
        <v>2.13</v>
      </c>
      <c r="CG868">
        <v>7.82</v>
      </c>
      <c r="CH868">
        <v>0.45</v>
      </c>
      <c r="CI868">
        <v>-4.6399999999999997</v>
      </c>
      <c r="CJ868">
        <v>17322</v>
      </c>
      <c r="CK868">
        <v>17790</v>
      </c>
      <c r="CL868" t="s">
        <v>5230</v>
      </c>
      <c r="CM868">
        <v>142.29</v>
      </c>
      <c r="CN868">
        <v>107.76</v>
      </c>
      <c r="CO868">
        <v>5.3</v>
      </c>
      <c r="CP868">
        <v>416.93</v>
      </c>
      <c r="CQ868">
        <v>17.760000000000002</v>
      </c>
      <c r="CR868">
        <v>0.1</v>
      </c>
      <c r="CS868" t="s">
        <v>5231</v>
      </c>
      <c r="CT868">
        <v>3.79</v>
      </c>
      <c r="CU868">
        <v>3.79</v>
      </c>
      <c r="CV868">
        <v>1.87</v>
      </c>
      <c r="CW868">
        <v>0.84</v>
      </c>
      <c r="CX868">
        <v>0.05</v>
      </c>
      <c r="CY868">
        <v>84.18</v>
      </c>
      <c r="CZ868" t="s">
        <v>5232</v>
      </c>
      <c r="DA868">
        <v>54.25</v>
      </c>
      <c r="DB868">
        <v>22.43</v>
      </c>
      <c r="DC868">
        <v>22.18</v>
      </c>
      <c r="DD868">
        <v>1.89</v>
      </c>
      <c r="DE868">
        <v>2731</v>
      </c>
      <c r="DF868">
        <v>2414</v>
      </c>
      <c r="DG868" t="s">
        <v>116</v>
      </c>
      <c r="DH868" t="s">
        <v>116</v>
      </c>
      <c r="DI868" t="s">
        <v>116</v>
      </c>
    </row>
    <row r="869" spans="1:113" x14ac:dyDescent="0.4">
      <c r="A869" t="str">
        <f>"002415"</f>
        <v>002415</v>
      </c>
      <c r="B869" t="s">
        <v>5233</v>
      </c>
      <c r="C869">
        <v>-1.1100000000000001</v>
      </c>
      <c r="D869">
        <v>32</v>
      </c>
      <c r="E869">
        <v>-0.36</v>
      </c>
      <c r="F869">
        <v>32</v>
      </c>
      <c r="G869">
        <v>32.01</v>
      </c>
      <c r="H869">
        <v>302900</v>
      </c>
      <c r="I869">
        <v>4688</v>
      </c>
      <c r="J869">
        <v>-0.08</v>
      </c>
      <c r="K869">
        <v>0.38</v>
      </c>
      <c r="L869">
        <v>32.36</v>
      </c>
      <c r="M869">
        <v>32.57</v>
      </c>
      <c r="N869">
        <v>31.96</v>
      </c>
      <c r="O869">
        <v>32.36</v>
      </c>
      <c r="P869">
        <v>27.94</v>
      </c>
      <c r="Q869">
        <v>977075776</v>
      </c>
      <c r="R869">
        <v>1.07</v>
      </c>
      <c r="S869" t="s">
        <v>2977</v>
      </c>
      <c r="T869" t="s">
        <v>590</v>
      </c>
      <c r="U869">
        <v>1.89</v>
      </c>
      <c r="V869">
        <v>32.26</v>
      </c>
      <c r="W869">
        <v>154660</v>
      </c>
      <c r="X869">
        <v>148240</v>
      </c>
      <c r="Y869">
        <v>1.04</v>
      </c>
      <c r="Z869">
        <v>76</v>
      </c>
      <c r="AA869">
        <v>2</v>
      </c>
      <c r="AB869" t="s">
        <v>116</v>
      </c>
      <c r="AC869">
        <v>3735800</v>
      </c>
      <c r="AD869">
        <v>0</v>
      </c>
      <c r="AE869" t="s">
        <v>116</v>
      </c>
      <c r="AF869" t="s">
        <v>116</v>
      </c>
      <c r="AG869">
        <v>80.739999999999995</v>
      </c>
      <c r="AH869" t="s">
        <v>5234</v>
      </c>
      <c r="AI869" t="s">
        <v>5235</v>
      </c>
      <c r="AJ869">
        <v>-0.43</v>
      </c>
      <c r="AK869">
        <v>4569</v>
      </c>
      <c r="AL869">
        <v>66</v>
      </c>
      <c r="AM869">
        <v>1E-4</v>
      </c>
      <c r="AN869">
        <v>-1</v>
      </c>
      <c r="AO869">
        <v>0.64</v>
      </c>
      <c r="AP869">
        <v>1.88</v>
      </c>
      <c r="AQ869">
        <v>-3.59</v>
      </c>
      <c r="AR869">
        <v>27.19</v>
      </c>
      <c r="AS869">
        <v>0.93</v>
      </c>
      <c r="AT869" t="s">
        <v>5236</v>
      </c>
      <c r="AU869">
        <v>24.95</v>
      </c>
      <c r="AV869">
        <v>26.34</v>
      </c>
      <c r="AW869">
        <v>0.71</v>
      </c>
      <c r="BA869">
        <v>0</v>
      </c>
      <c r="BB869">
        <v>0.65</v>
      </c>
      <c r="BC869">
        <v>-1.24</v>
      </c>
      <c r="BD869">
        <v>-0.32</v>
      </c>
      <c r="BE869">
        <v>-1.1100000000000001</v>
      </c>
      <c r="BF869">
        <v>-1.75</v>
      </c>
      <c r="BG869">
        <v>0.13</v>
      </c>
      <c r="BH869">
        <v>-0.8</v>
      </c>
      <c r="BI869">
        <v>20191225</v>
      </c>
      <c r="BJ869">
        <v>20100528</v>
      </c>
      <c r="BK869">
        <v>93.45</v>
      </c>
      <c r="BL869" t="s">
        <v>116</v>
      </c>
      <c r="BM869" t="s">
        <v>116</v>
      </c>
      <c r="BN869">
        <v>682.89</v>
      </c>
      <c r="BO869">
        <v>404.39</v>
      </c>
      <c r="BP869">
        <v>5.75</v>
      </c>
      <c r="BQ869">
        <v>39.94</v>
      </c>
      <c r="BR869">
        <v>572.91999999999996</v>
      </c>
      <c r="BS869">
        <v>55.75</v>
      </c>
      <c r="BT869">
        <v>9.35</v>
      </c>
      <c r="BU869">
        <v>222.84</v>
      </c>
      <c r="BV869">
        <v>98.45</v>
      </c>
      <c r="BW869">
        <v>222.64</v>
      </c>
      <c r="BX869">
        <v>42.26</v>
      </c>
      <c r="BY869">
        <v>398.39</v>
      </c>
      <c r="BZ869">
        <v>213.37</v>
      </c>
      <c r="CA869">
        <v>94.43</v>
      </c>
      <c r="CB869">
        <v>0.3</v>
      </c>
      <c r="CC869">
        <v>94.89</v>
      </c>
      <c r="CD869">
        <v>80.94</v>
      </c>
      <c r="CE869">
        <v>80.27</v>
      </c>
      <c r="CF869">
        <v>77.89</v>
      </c>
      <c r="CG869">
        <v>247.84</v>
      </c>
      <c r="CH869">
        <v>1.24</v>
      </c>
      <c r="CI869">
        <v>-56.11</v>
      </c>
      <c r="CJ869">
        <v>217240</v>
      </c>
      <c r="CK869">
        <v>14946</v>
      </c>
      <c r="CL869" t="s">
        <v>5237</v>
      </c>
      <c r="CM869">
        <v>8.5399999999999991</v>
      </c>
      <c r="CN869">
        <v>17.86</v>
      </c>
      <c r="CO869">
        <v>7.39</v>
      </c>
      <c r="CP869">
        <v>2405.5</v>
      </c>
      <c r="CQ869">
        <v>7.51</v>
      </c>
      <c r="CR869">
        <v>1.88</v>
      </c>
      <c r="CS869" t="s">
        <v>5238</v>
      </c>
      <c r="CT869">
        <v>4.33</v>
      </c>
      <c r="CU869">
        <v>0</v>
      </c>
      <c r="CV869">
        <v>0.45</v>
      </c>
      <c r="CW869">
        <v>2.65</v>
      </c>
      <c r="CX869">
        <v>0.01</v>
      </c>
      <c r="CY869">
        <v>59.22</v>
      </c>
      <c r="CZ869" t="s">
        <v>5239</v>
      </c>
      <c r="DA869">
        <v>46.44</v>
      </c>
      <c r="DB869">
        <v>23.7</v>
      </c>
      <c r="DC869">
        <v>20.149999999999999</v>
      </c>
      <c r="DD869">
        <v>40.07</v>
      </c>
      <c r="DE869">
        <v>34392</v>
      </c>
      <c r="DF869">
        <v>2415</v>
      </c>
      <c r="DG869" t="s">
        <v>116</v>
      </c>
      <c r="DH869" t="s">
        <v>116</v>
      </c>
      <c r="DI869" t="s">
        <v>116</v>
      </c>
    </row>
    <row r="870" spans="1:113" x14ac:dyDescent="0.4">
      <c r="A870" t="str">
        <f>"002416"</f>
        <v>002416</v>
      </c>
      <c r="B870" t="s">
        <v>5240</v>
      </c>
      <c r="C870">
        <v>-4.0599999999999996</v>
      </c>
      <c r="D870">
        <v>7.79</v>
      </c>
      <c r="E870">
        <v>-0.33</v>
      </c>
      <c r="F870">
        <v>7.78</v>
      </c>
      <c r="G870">
        <v>7.79</v>
      </c>
      <c r="H870">
        <v>262720</v>
      </c>
      <c r="I870">
        <v>3797</v>
      </c>
      <c r="J870">
        <v>-0.25</v>
      </c>
      <c r="K870">
        <v>2.15</v>
      </c>
      <c r="L870">
        <v>8.0299999999999994</v>
      </c>
      <c r="M870">
        <v>8.1199999999999992</v>
      </c>
      <c r="N870">
        <v>7.78</v>
      </c>
      <c r="O870">
        <v>8.1199999999999992</v>
      </c>
      <c r="P870">
        <v>23.69</v>
      </c>
      <c r="Q870">
        <v>209138496</v>
      </c>
      <c r="R870">
        <v>0.78</v>
      </c>
      <c r="S870" t="s">
        <v>3193</v>
      </c>
      <c r="T870" t="s">
        <v>115</v>
      </c>
      <c r="U870">
        <v>4.1900000000000004</v>
      </c>
      <c r="V870">
        <v>7.96</v>
      </c>
      <c r="W870">
        <v>160585</v>
      </c>
      <c r="X870">
        <v>102135</v>
      </c>
      <c r="Y870">
        <v>1.57</v>
      </c>
      <c r="Z870">
        <v>2060</v>
      </c>
      <c r="AA870">
        <v>633</v>
      </c>
      <c r="AB870" t="s">
        <v>116</v>
      </c>
      <c r="AC870">
        <v>997300</v>
      </c>
      <c r="AD870">
        <v>0.03</v>
      </c>
      <c r="AE870" t="s">
        <v>116</v>
      </c>
      <c r="AF870" t="s">
        <v>116</v>
      </c>
      <c r="AG870">
        <v>12.23</v>
      </c>
      <c r="AH870" t="s">
        <v>5241</v>
      </c>
      <c r="AI870" t="s">
        <v>5242</v>
      </c>
      <c r="AJ870">
        <v>-3.39</v>
      </c>
      <c r="AK870">
        <v>3304</v>
      </c>
      <c r="AL870">
        <v>80</v>
      </c>
      <c r="AM870">
        <v>5.9999999999999995E-4</v>
      </c>
      <c r="AN870">
        <v>-1</v>
      </c>
      <c r="AO870">
        <v>-1.38</v>
      </c>
      <c r="AP870">
        <v>29.19</v>
      </c>
      <c r="AQ870">
        <v>39.11</v>
      </c>
      <c r="AR870">
        <v>37.15</v>
      </c>
      <c r="AS870">
        <v>6.29</v>
      </c>
      <c r="AT870" t="s">
        <v>5243</v>
      </c>
      <c r="AU870">
        <v>302.8</v>
      </c>
      <c r="AV870" t="s">
        <v>116</v>
      </c>
      <c r="AW870">
        <v>1.3</v>
      </c>
      <c r="BA870">
        <v>-1.1100000000000001</v>
      </c>
      <c r="BB870">
        <v>0</v>
      </c>
      <c r="BC870">
        <v>-4.1900000000000004</v>
      </c>
      <c r="BD870">
        <v>-1.96</v>
      </c>
      <c r="BE870">
        <v>-2.99</v>
      </c>
      <c r="BF870">
        <v>-4.0599999999999996</v>
      </c>
      <c r="BG870">
        <v>0.13</v>
      </c>
      <c r="BH870">
        <v>-2.1</v>
      </c>
      <c r="BI870">
        <v>20191105</v>
      </c>
      <c r="BJ870">
        <v>20100528</v>
      </c>
      <c r="BK870">
        <v>12.39</v>
      </c>
      <c r="BL870" t="s">
        <v>116</v>
      </c>
      <c r="BM870" t="s">
        <v>116</v>
      </c>
      <c r="BN870">
        <v>107.58</v>
      </c>
      <c r="BO870">
        <v>49.07</v>
      </c>
      <c r="BP870">
        <v>1.79</v>
      </c>
      <c r="BQ870">
        <v>52.72</v>
      </c>
      <c r="BR870">
        <v>90.32</v>
      </c>
      <c r="BS870">
        <v>0.11</v>
      </c>
      <c r="BT870">
        <v>0.23</v>
      </c>
      <c r="BU870">
        <v>56.67</v>
      </c>
      <c r="BV870">
        <v>28.52</v>
      </c>
      <c r="BW870">
        <v>16.05</v>
      </c>
      <c r="BX870">
        <v>16.22</v>
      </c>
      <c r="BY870">
        <v>409.83</v>
      </c>
      <c r="BZ870">
        <v>396.69</v>
      </c>
      <c r="CA870">
        <v>3.59</v>
      </c>
      <c r="CB870">
        <v>0.41</v>
      </c>
      <c r="CC870">
        <v>3.77</v>
      </c>
      <c r="CD870">
        <v>2.99</v>
      </c>
      <c r="CE870">
        <v>3.06</v>
      </c>
      <c r="CF870">
        <v>2.59</v>
      </c>
      <c r="CG870">
        <v>18.329999999999998</v>
      </c>
      <c r="CH870">
        <v>-3.84</v>
      </c>
      <c r="CI870">
        <v>-0.91</v>
      </c>
      <c r="CJ870">
        <v>41724</v>
      </c>
      <c r="CK870">
        <v>10008</v>
      </c>
      <c r="CL870" t="s">
        <v>5244</v>
      </c>
      <c r="CM870">
        <v>68.83</v>
      </c>
      <c r="CN870">
        <v>-3.94</v>
      </c>
      <c r="CO870">
        <v>1.97</v>
      </c>
      <c r="CP870">
        <v>-25.13</v>
      </c>
      <c r="CQ870">
        <v>0.24</v>
      </c>
      <c r="CR870">
        <v>2.57</v>
      </c>
      <c r="CS870" t="s">
        <v>4428</v>
      </c>
      <c r="CT870">
        <v>3.96</v>
      </c>
      <c r="CU870">
        <v>0</v>
      </c>
      <c r="CV870">
        <v>1.31</v>
      </c>
      <c r="CW870">
        <v>1.48</v>
      </c>
      <c r="CX870">
        <v>-0.31</v>
      </c>
      <c r="CY870">
        <v>45.62</v>
      </c>
      <c r="CZ870" t="s">
        <v>5245</v>
      </c>
      <c r="DA870">
        <v>3.21</v>
      </c>
      <c r="DB870">
        <v>0.88</v>
      </c>
      <c r="DC870">
        <v>0.75</v>
      </c>
      <c r="DD870">
        <v>7.0000000000000007E-2</v>
      </c>
      <c r="DE870">
        <v>2644</v>
      </c>
      <c r="DF870">
        <v>2416</v>
      </c>
      <c r="DG870" t="s">
        <v>116</v>
      </c>
      <c r="DH870" t="s">
        <v>116</v>
      </c>
      <c r="DI870" t="s">
        <v>116</v>
      </c>
    </row>
    <row r="871" spans="1:113" x14ac:dyDescent="0.4">
      <c r="A871" t="str">
        <f>"002417"</f>
        <v>002417</v>
      </c>
      <c r="B871" t="s">
        <v>5246</v>
      </c>
      <c r="C871">
        <v>-1.1299999999999999</v>
      </c>
      <c r="D871">
        <v>7.01</v>
      </c>
      <c r="E871">
        <v>-0.08</v>
      </c>
      <c r="F871">
        <v>7.01</v>
      </c>
      <c r="G871">
        <v>7.02</v>
      </c>
      <c r="H871">
        <v>100124</v>
      </c>
      <c r="I871">
        <v>1075</v>
      </c>
      <c r="J871">
        <v>0</v>
      </c>
      <c r="K871">
        <v>4.3600000000000003</v>
      </c>
      <c r="L871">
        <v>7.06</v>
      </c>
      <c r="M871">
        <v>7.14</v>
      </c>
      <c r="N871">
        <v>7</v>
      </c>
      <c r="O871">
        <v>7.09</v>
      </c>
      <c r="P871">
        <v>3123.27</v>
      </c>
      <c r="Q871">
        <v>70773632</v>
      </c>
      <c r="R871">
        <v>0.63</v>
      </c>
      <c r="S871" t="s">
        <v>732</v>
      </c>
      <c r="T871" t="s">
        <v>323</v>
      </c>
      <c r="U871">
        <v>1.97</v>
      </c>
      <c r="V871">
        <v>7.07</v>
      </c>
      <c r="W871">
        <v>50947</v>
      </c>
      <c r="X871">
        <v>49177</v>
      </c>
      <c r="Y871">
        <v>1.04</v>
      </c>
      <c r="Z871">
        <v>451</v>
      </c>
      <c r="AA871">
        <v>565</v>
      </c>
      <c r="AB871" t="s">
        <v>116</v>
      </c>
      <c r="AC871">
        <v>137700</v>
      </c>
      <c r="AD871">
        <v>0.01</v>
      </c>
      <c r="AE871" t="s">
        <v>116</v>
      </c>
      <c r="AF871" t="s">
        <v>116</v>
      </c>
      <c r="AG871">
        <v>2.29</v>
      </c>
      <c r="AH871" t="s">
        <v>5247</v>
      </c>
      <c r="AI871" t="s">
        <v>5248</v>
      </c>
      <c r="AJ871">
        <v>-0.45</v>
      </c>
      <c r="AK871">
        <v>2800</v>
      </c>
      <c r="AL871">
        <v>36</v>
      </c>
      <c r="AM871">
        <v>1.6000000000000001E-3</v>
      </c>
      <c r="AN871">
        <v>-1</v>
      </c>
      <c r="AO871">
        <v>-0.85</v>
      </c>
      <c r="AP871">
        <v>1.59</v>
      </c>
      <c r="AQ871">
        <v>-13.78</v>
      </c>
      <c r="AR871">
        <v>-20.88</v>
      </c>
      <c r="AS871">
        <v>5.04</v>
      </c>
      <c r="AT871" t="s">
        <v>5249</v>
      </c>
      <c r="AU871" t="s">
        <v>116</v>
      </c>
      <c r="AV871" t="s">
        <v>116</v>
      </c>
      <c r="AW871">
        <v>1.0900000000000001</v>
      </c>
      <c r="BA871">
        <v>-0.42</v>
      </c>
      <c r="BB871">
        <v>0.71</v>
      </c>
      <c r="BC871">
        <v>-1.27</v>
      </c>
      <c r="BD871">
        <v>-0.3</v>
      </c>
      <c r="BE871">
        <v>-0.71</v>
      </c>
      <c r="BF871">
        <v>-1.82</v>
      </c>
      <c r="BG871">
        <v>0.14000000000000001</v>
      </c>
      <c r="BH871">
        <v>-0.83</v>
      </c>
      <c r="BI871">
        <v>20191024</v>
      </c>
      <c r="BJ871">
        <v>20100601</v>
      </c>
      <c r="BK871">
        <v>2.7</v>
      </c>
      <c r="BL871" t="s">
        <v>116</v>
      </c>
      <c r="BM871" t="s">
        <v>116</v>
      </c>
      <c r="BN871">
        <v>4.8</v>
      </c>
      <c r="BO871">
        <v>2.27</v>
      </c>
      <c r="BP871">
        <v>0.13</v>
      </c>
      <c r="BQ871">
        <v>49.91</v>
      </c>
      <c r="BR871">
        <v>3.63</v>
      </c>
      <c r="BS871">
        <v>0.01</v>
      </c>
      <c r="BT871">
        <v>0.02</v>
      </c>
      <c r="BU871">
        <v>2.39</v>
      </c>
      <c r="BV871">
        <v>1.1399999999999999</v>
      </c>
      <c r="BW871">
        <v>0.46</v>
      </c>
      <c r="BX871">
        <v>3.35</v>
      </c>
      <c r="BY871">
        <v>1.83</v>
      </c>
      <c r="BZ871">
        <v>1.2</v>
      </c>
      <c r="CA871">
        <v>0.16</v>
      </c>
      <c r="CB871">
        <v>-0.01</v>
      </c>
      <c r="CC871">
        <v>0.18</v>
      </c>
      <c r="CD871">
        <v>0.11</v>
      </c>
      <c r="CE871">
        <v>0</v>
      </c>
      <c r="CF871">
        <v>-0.02</v>
      </c>
      <c r="CG871">
        <v>-4.05</v>
      </c>
      <c r="CH871">
        <v>-0.12</v>
      </c>
      <c r="CI871">
        <v>-0.62</v>
      </c>
      <c r="CJ871">
        <v>38224</v>
      </c>
      <c r="CK871">
        <v>5193</v>
      </c>
      <c r="CL871" t="s">
        <v>229</v>
      </c>
      <c r="CM871">
        <v>101.34</v>
      </c>
      <c r="CN871">
        <v>92.13</v>
      </c>
      <c r="CO871">
        <v>8.32</v>
      </c>
      <c r="CP871">
        <v>-161.26</v>
      </c>
      <c r="CQ871">
        <v>10.36</v>
      </c>
      <c r="CR871">
        <v>0</v>
      </c>
      <c r="CS871" t="s">
        <v>1018</v>
      </c>
      <c r="CT871">
        <v>0.84</v>
      </c>
      <c r="CU871">
        <v>0</v>
      </c>
      <c r="CV871">
        <v>1.24</v>
      </c>
      <c r="CW871">
        <v>-1.5</v>
      </c>
      <c r="CX871">
        <v>-0.04</v>
      </c>
      <c r="CY871">
        <v>47.36</v>
      </c>
      <c r="CZ871" t="s">
        <v>5250</v>
      </c>
      <c r="DA871">
        <v>34.15</v>
      </c>
      <c r="DB871">
        <v>8.5</v>
      </c>
      <c r="DC871">
        <v>0.25</v>
      </c>
      <c r="DD871">
        <v>0.05</v>
      </c>
      <c r="DE871">
        <v>212</v>
      </c>
      <c r="DF871">
        <v>2417</v>
      </c>
      <c r="DG871" t="s">
        <v>116</v>
      </c>
      <c r="DH871" t="s">
        <v>116</v>
      </c>
      <c r="DI871" t="s">
        <v>116</v>
      </c>
    </row>
    <row r="872" spans="1:113" x14ac:dyDescent="0.4">
      <c r="A872" t="str">
        <f>"002418"</f>
        <v>002418</v>
      </c>
      <c r="B872" t="s">
        <v>5251</v>
      </c>
      <c r="C872">
        <v>2.09</v>
      </c>
      <c r="D872">
        <v>2.93</v>
      </c>
      <c r="E872">
        <v>0.06</v>
      </c>
      <c r="F872">
        <v>2.93</v>
      </c>
      <c r="G872">
        <v>2.94</v>
      </c>
      <c r="H872">
        <v>584900</v>
      </c>
      <c r="I872">
        <v>5120</v>
      </c>
      <c r="J872">
        <v>0</v>
      </c>
      <c r="K872">
        <v>5.83</v>
      </c>
      <c r="L872">
        <v>2.85</v>
      </c>
      <c r="M872">
        <v>3.12</v>
      </c>
      <c r="N872">
        <v>2.82</v>
      </c>
      <c r="O872">
        <v>2.87</v>
      </c>
      <c r="P872" t="s">
        <v>116</v>
      </c>
      <c r="Q872">
        <v>172759776</v>
      </c>
      <c r="R872">
        <v>1.56</v>
      </c>
      <c r="S872" t="s">
        <v>996</v>
      </c>
      <c r="T872" t="s">
        <v>590</v>
      </c>
      <c r="U872">
        <v>10.45</v>
      </c>
      <c r="V872">
        <v>2.95</v>
      </c>
      <c r="W872">
        <v>264881</v>
      </c>
      <c r="X872">
        <v>320019</v>
      </c>
      <c r="Y872">
        <v>0.83</v>
      </c>
      <c r="Z872">
        <v>5317</v>
      </c>
      <c r="AA872">
        <v>9092</v>
      </c>
      <c r="AB872" t="s">
        <v>116</v>
      </c>
      <c r="AC872">
        <v>143900</v>
      </c>
      <c r="AD872">
        <v>0.01</v>
      </c>
      <c r="AE872" t="s">
        <v>116</v>
      </c>
      <c r="AF872" t="s">
        <v>116</v>
      </c>
      <c r="AG872">
        <v>10.029999999999999</v>
      </c>
      <c r="AH872" t="s">
        <v>4767</v>
      </c>
      <c r="AI872" t="s">
        <v>3274</v>
      </c>
      <c r="AJ872">
        <v>2.77</v>
      </c>
      <c r="AK872">
        <v>2644</v>
      </c>
      <c r="AL872">
        <v>221</v>
      </c>
      <c r="AM872">
        <v>2.2000000000000001E-3</v>
      </c>
      <c r="AN872">
        <v>1</v>
      </c>
      <c r="AO872">
        <v>-1.34</v>
      </c>
      <c r="AP872">
        <v>-1.68</v>
      </c>
      <c r="AQ872">
        <v>-2.98</v>
      </c>
      <c r="AR872">
        <v>-4.87</v>
      </c>
      <c r="AS872">
        <v>9.85</v>
      </c>
      <c r="AT872" t="s">
        <v>5252</v>
      </c>
      <c r="AU872" t="s">
        <v>116</v>
      </c>
      <c r="AV872" t="s">
        <v>116</v>
      </c>
      <c r="AW872">
        <v>1.06</v>
      </c>
      <c r="BA872">
        <v>-0.7</v>
      </c>
      <c r="BB872">
        <v>8.7100000000000009</v>
      </c>
      <c r="BC872">
        <v>-1.74</v>
      </c>
      <c r="BD872">
        <v>2.92</v>
      </c>
      <c r="BE872">
        <v>2.81</v>
      </c>
      <c r="BF872">
        <v>-6.09</v>
      </c>
      <c r="BG872">
        <v>3.9</v>
      </c>
      <c r="BH872">
        <v>-0.82</v>
      </c>
      <c r="BI872">
        <v>20191223</v>
      </c>
      <c r="BJ872">
        <v>20100601</v>
      </c>
      <c r="BK872">
        <v>11.36</v>
      </c>
      <c r="BL872" t="s">
        <v>116</v>
      </c>
      <c r="BM872" t="s">
        <v>116</v>
      </c>
      <c r="BN872">
        <v>45.11</v>
      </c>
      <c r="BO872">
        <v>9.91</v>
      </c>
      <c r="BP872">
        <v>-0.03</v>
      </c>
      <c r="BQ872">
        <v>78.09</v>
      </c>
      <c r="BR872">
        <v>27.38</v>
      </c>
      <c r="BS872">
        <v>9.6</v>
      </c>
      <c r="BT872">
        <v>1.19</v>
      </c>
      <c r="BU872">
        <v>33.75</v>
      </c>
      <c r="BV872">
        <v>4.83</v>
      </c>
      <c r="BW872">
        <v>15.54</v>
      </c>
      <c r="BX872">
        <v>4.92</v>
      </c>
      <c r="BY872">
        <v>15.11</v>
      </c>
      <c r="BZ872">
        <v>13.57</v>
      </c>
      <c r="CA872">
        <v>-1.47</v>
      </c>
      <c r="CB872">
        <v>0.02</v>
      </c>
      <c r="CC872">
        <v>-1.5</v>
      </c>
      <c r="CD872">
        <v>-1.59</v>
      </c>
      <c r="CE872">
        <v>-1.56</v>
      </c>
      <c r="CF872">
        <v>-1.59</v>
      </c>
      <c r="CG872">
        <v>-6.94</v>
      </c>
      <c r="CH872">
        <v>1.28</v>
      </c>
      <c r="CI872">
        <v>0.12</v>
      </c>
      <c r="CJ872">
        <v>45915</v>
      </c>
      <c r="CK872">
        <v>12936</v>
      </c>
      <c r="CL872" t="s">
        <v>5253</v>
      </c>
      <c r="CM872">
        <v>-1540.82</v>
      </c>
      <c r="CN872">
        <v>-36.700000000000003</v>
      </c>
      <c r="CO872">
        <v>3.36</v>
      </c>
      <c r="CP872">
        <v>26</v>
      </c>
      <c r="CQ872">
        <v>2.2000000000000002</v>
      </c>
      <c r="CR872">
        <v>0</v>
      </c>
      <c r="CS872" t="s">
        <v>3740</v>
      </c>
      <c r="CT872">
        <v>0.87</v>
      </c>
      <c r="CU872">
        <v>0</v>
      </c>
      <c r="CV872">
        <v>0.43</v>
      </c>
      <c r="CW872">
        <v>-0.61</v>
      </c>
      <c r="CX872">
        <v>0.11</v>
      </c>
      <c r="CY872">
        <v>21.98</v>
      </c>
      <c r="CZ872" t="s">
        <v>5254</v>
      </c>
      <c r="DA872">
        <v>10.24</v>
      </c>
      <c r="DB872">
        <v>-9.6999999999999993</v>
      </c>
      <c r="DC872">
        <v>-10.34</v>
      </c>
      <c r="DD872">
        <v>0.27</v>
      </c>
      <c r="DE872">
        <v>4444</v>
      </c>
      <c r="DF872">
        <v>2418</v>
      </c>
      <c r="DG872" t="s">
        <v>116</v>
      </c>
      <c r="DH872" t="s">
        <v>116</v>
      </c>
      <c r="DI872" t="s">
        <v>116</v>
      </c>
    </row>
    <row r="873" spans="1:113" x14ac:dyDescent="0.4">
      <c r="A873" t="str">
        <f>"002419"</f>
        <v>002419</v>
      </c>
      <c r="B873" t="s">
        <v>5255</v>
      </c>
      <c r="C873">
        <v>-1.06</v>
      </c>
      <c r="D873">
        <v>10.28</v>
      </c>
      <c r="E873">
        <v>-0.11</v>
      </c>
      <c r="F873">
        <v>10.27</v>
      </c>
      <c r="G873">
        <v>10.28</v>
      </c>
      <c r="H873">
        <v>74005</v>
      </c>
      <c r="I873">
        <v>571</v>
      </c>
      <c r="J873">
        <v>0</v>
      </c>
      <c r="K873">
        <v>0.62</v>
      </c>
      <c r="L873">
        <v>10.39</v>
      </c>
      <c r="M873">
        <v>10.39</v>
      </c>
      <c r="N873">
        <v>10.27</v>
      </c>
      <c r="O873">
        <v>10.39</v>
      </c>
      <c r="P873">
        <v>14.19</v>
      </c>
      <c r="Q873">
        <v>76380224</v>
      </c>
      <c r="R873">
        <v>1.4</v>
      </c>
      <c r="S873" t="s">
        <v>746</v>
      </c>
      <c r="T873" t="s">
        <v>115</v>
      </c>
      <c r="U873">
        <v>1.1499999999999999</v>
      </c>
      <c r="V873">
        <v>10.32</v>
      </c>
      <c r="W873">
        <v>49994</v>
      </c>
      <c r="X873">
        <v>24011</v>
      </c>
      <c r="Y873">
        <v>2.08</v>
      </c>
      <c r="Z873">
        <v>1240</v>
      </c>
      <c r="AA873">
        <v>140</v>
      </c>
      <c r="AB873" t="s">
        <v>116</v>
      </c>
      <c r="AC873">
        <v>100800</v>
      </c>
      <c r="AD873">
        <v>0</v>
      </c>
      <c r="AE873" t="s">
        <v>116</v>
      </c>
      <c r="AF873" t="s">
        <v>116</v>
      </c>
      <c r="AG873">
        <v>12</v>
      </c>
      <c r="AH873" t="s">
        <v>5256</v>
      </c>
      <c r="AI873" t="s">
        <v>5257</v>
      </c>
      <c r="AJ873">
        <v>-0.38</v>
      </c>
      <c r="AK873">
        <v>2720</v>
      </c>
      <c r="AL873">
        <v>27</v>
      </c>
      <c r="AM873">
        <v>2.0000000000000001E-4</v>
      </c>
      <c r="AN873">
        <v>-3</v>
      </c>
      <c r="AO873">
        <v>-2.37</v>
      </c>
      <c r="AP873">
        <v>5.98</v>
      </c>
      <c r="AQ873">
        <v>-11.38</v>
      </c>
      <c r="AR873">
        <v>-2.74</v>
      </c>
      <c r="AS873">
        <v>1.9</v>
      </c>
      <c r="AT873" t="s">
        <v>5258</v>
      </c>
      <c r="AU873">
        <v>13.97</v>
      </c>
      <c r="AV873">
        <v>13.64</v>
      </c>
      <c r="AW873">
        <v>0.26</v>
      </c>
      <c r="BA873">
        <v>0</v>
      </c>
      <c r="BB873">
        <v>0</v>
      </c>
      <c r="BC873">
        <v>-1.1499999999999999</v>
      </c>
      <c r="BD873">
        <v>-0.66</v>
      </c>
      <c r="BE873">
        <v>-1.06</v>
      </c>
      <c r="BF873">
        <v>-1.06</v>
      </c>
      <c r="BG873">
        <v>0.1</v>
      </c>
      <c r="BH873">
        <v>-0.39</v>
      </c>
      <c r="BI873">
        <v>20191025</v>
      </c>
      <c r="BJ873">
        <v>20100601</v>
      </c>
      <c r="BK873">
        <v>12</v>
      </c>
      <c r="BL873" t="s">
        <v>116</v>
      </c>
      <c r="BM873" t="s">
        <v>116</v>
      </c>
      <c r="BN873">
        <v>156.79</v>
      </c>
      <c r="BO873">
        <v>67.39</v>
      </c>
      <c r="BP873">
        <v>0.06</v>
      </c>
      <c r="BQ873">
        <v>56.98</v>
      </c>
      <c r="BR873">
        <v>85.78</v>
      </c>
      <c r="BS873">
        <v>43.46</v>
      </c>
      <c r="BT873">
        <v>9.18</v>
      </c>
      <c r="BU873">
        <v>87.96</v>
      </c>
      <c r="BV873">
        <v>8.35</v>
      </c>
      <c r="BW873">
        <v>1.07</v>
      </c>
      <c r="BX873">
        <v>13.09</v>
      </c>
      <c r="BY873">
        <v>140.75</v>
      </c>
      <c r="BZ873">
        <v>100.55</v>
      </c>
      <c r="CA873">
        <v>8.26</v>
      </c>
      <c r="CB873">
        <v>0.92</v>
      </c>
      <c r="CC873">
        <v>8.3800000000000008</v>
      </c>
      <c r="CD873">
        <v>6.53</v>
      </c>
      <c r="CE873">
        <v>6.52</v>
      </c>
      <c r="CF873">
        <v>5.61</v>
      </c>
      <c r="CG873">
        <v>37.44</v>
      </c>
      <c r="CH873">
        <v>3.66</v>
      </c>
      <c r="CI873">
        <v>-4.28</v>
      </c>
      <c r="CJ873">
        <v>17630</v>
      </c>
      <c r="CK873">
        <v>22070</v>
      </c>
      <c r="CL873" t="s">
        <v>5259</v>
      </c>
      <c r="CM873">
        <v>-3.15</v>
      </c>
      <c r="CN873">
        <v>1.74</v>
      </c>
      <c r="CO873">
        <v>1.83</v>
      </c>
      <c r="CP873">
        <v>33.67</v>
      </c>
      <c r="CQ873">
        <v>0.88</v>
      </c>
      <c r="CR873">
        <v>3.89</v>
      </c>
      <c r="CS873" t="s">
        <v>5260</v>
      </c>
      <c r="CT873">
        <v>5.61</v>
      </c>
      <c r="CU873">
        <v>0</v>
      </c>
      <c r="CV873">
        <v>1.0900000000000001</v>
      </c>
      <c r="CW873">
        <v>3.12</v>
      </c>
      <c r="CX873">
        <v>0.31</v>
      </c>
      <c r="CY873">
        <v>42.98</v>
      </c>
      <c r="CZ873" t="s">
        <v>5261</v>
      </c>
      <c r="DA873">
        <v>28.56</v>
      </c>
      <c r="DB873">
        <v>5.87</v>
      </c>
      <c r="DC873">
        <v>4.63</v>
      </c>
      <c r="DD873">
        <v>0</v>
      </c>
      <c r="DE873">
        <v>15225</v>
      </c>
      <c r="DF873">
        <v>2419</v>
      </c>
      <c r="DG873" t="s">
        <v>116</v>
      </c>
      <c r="DH873" t="s">
        <v>116</v>
      </c>
      <c r="DI873" t="s">
        <v>116</v>
      </c>
    </row>
    <row r="874" spans="1:113" x14ac:dyDescent="0.4">
      <c r="A874" t="str">
        <f>"002420"</f>
        <v>002420</v>
      </c>
      <c r="B874" t="s">
        <v>5262</v>
      </c>
      <c r="C874">
        <v>-1.22</v>
      </c>
      <c r="D874">
        <v>4.0599999999999996</v>
      </c>
      <c r="E874">
        <v>-0.05</v>
      </c>
      <c r="F874">
        <v>4.0599999999999996</v>
      </c>
      <c r="G874">
        <v>4.07</v>
      </c>
      <c r="H874">
        <v>18195</v>
      </c>
      <c r="I874">
        <v>181</v>
      </c>
      <c r="J874">
        <v>0</v>
      </c>
      <c r="K874">
        <v>0.46</v>
      </c>
      <c r="L874">
        <v>4.13</v>
      </c>
      <c r="M874">
        <v>4.13</v>
      </c>
      <c r="N874">
        <v>4.0599999999999996</v>
      </c>
      <c r="O874">
        <v>4.1100000000000003</v>
      </c>
      <c r="P874">
        <v>96.87</v>
      </c>
      <c r="Q874">
        <v>7442179</v>
      </c>
      <c r="R874">
        <v>0.56999999999999995</v>
      </c>
      <c r="S874" t="s">
        <v>2444</v>
      </c>
      <c r="T874" t="s">
        <v>551</v>
      </c>
      <c r="U874">
        <v>1.7</v>
      </c>
      <c r="V874">
        <v>4.09</v>
      </c>
      <c r="W874">
        <v>13183</v>
      </c>
      <c r="X874">
        <v>5012</v>
      </c>
      <c r="Y874">
        <v>2.63</v>
      </c>
      <c r="Z874">
        <v>488</v>
      </c>
      <c r="AA874">
        <v>173</v>
      </c>
      <c r="AB874" t="s">
        <v>116</v>
      </c>
      <c r="AC874">
        <v>0</v>
      </c>
      <c r="AD874">
        <v>0</v>
      </c>
      <c r="AE874" t="s">
        <v>116</v>
      </c>
      <c r="AF874" t="s">
        <v>116</v>
      </c>
      <c r="AG874">
        <v>3.92</v>
      </c>
      <c r="AH874" t="s">
        <v>4306</v>
      </c>
      <c r="AI874" t="s">
        <v>5263</v>
      </c>
      <c r="AJ874">
        <v>-0.54</v>
      </c>
      <c r="AK874">
        <v>290</v>
      </c>
      <c r="AL874">
        <v>63</v>
      </c>
      <c r="AM874">
        <v>1.6000000000000001E-3</v>
      </c>
      <c r="AN874">
        <v>-3</v>
      </c>
      <c r="AO874">
        <v>-2.64</v>
      </c>
      <c r="AP874">
        <v>10.63</v>
      </c>
      <c r="AQ874">
        <v>23.03</v>
      </c>
      <c r="AR874">
        <v>23.4</v>
      </c>
      <c r="AS874">
        <v>0.66</v>
      </c>
      <c r="AT874" t="s">
        <v>5264</v>
      </c>
      <c r="AU874" t="s">
        <v>116</v>
      </c>
      <c r="AV874" t="s">
        <v>116</v>
      </c>
      <c r="AW874">
        <v>0.9</v>
      </c>
      <c r="BA874">
        <v>0.49</v>
      </c>
      <c r="BB874">
        <v>0.49</v>
      </c>
      <c r="BC874">
        <v>-1.22</v>
      </c>
      <c r="BD874">
        <v>-0.48</v>
      </c>
      <c r="BE874">
        <v>-1.69</v>
      </c>
      <c r="BF874">
        <v>-1.69</v>
      </c>
      <c r="BG874">
        <v>0</v>
      </c>
      <c r="BH874">
        <v>-0.74</v>
      </c>
      <c r="BI874">
        <v>20191029</v>
      </c>
      <c r="BJ874">
        <v>20100601</v>
      </c>
      <c r="BK874">
        <v>4.01</v>
      </c>
      <c r="BL874" t="s">
        <v>116</v>
      </c>
      <c r="BM874" t="s">
        <v>116</v>
      </c>
      <c r="BN874">
        <v>21.75</v>
      </c>
      <c r="BO874">
        <v>3.8</v>
      </c>
      <c r="BP874">
        <v>0.1</v>
      </c>
      <c r="BQ874">
        <v>82.04</v>
      </c>
      <c r="BR874">
        <v>12.37</v>
      </c>
      <c r="BS874">
        <v>6.23</v>
      </c>
      <c r="BT874">
        <v>1.24</v>
      </c>
      <c r="BU874">
        <v>17.04</v>
      </c>
      <c r="BV874">
        <v>3.58</v>
      </c>
      <c r="BW874">
        <v>5.38</v>
      </c>
      <c r="BX874">
        <v>8.08</v>
      </c>
      <c r="BY874">
        <v>25.27</v>
      </c>
      <c r="BZ874">
        <v>23.07</v>
      </c>
      <c r="CA874">
        <v>0.02</v>
      </c>
      <c r="CB874">
        <v>-0.05</v>
      </c>
      <c r="CC874">
        <v>0.11</v>
      </c>
      <c r="CD874">
        <v>0.11</v>
      </c>
      <c r="CE874">
        <v>0.13</v>
      </c>
      <c r="CF874">
        <v>-0.15</v>
      </c>
      <c r="CG874">
        <v>-8.6</v>
      </c>
      <c r="CH874">
        <v>-0.84</v>
      </c>
      <c r="CI874">
        <v>-0.68</v>
      </c>
      <c r="CJ874">
        <v>22135</v>
      </c>
      <c r="CK874">
        <v>12381</v>
      </c>
      <c r="CL874" t="s">
        <v>1151</v>
      </c>
      <c r="CM874">
        <v>102.98</v>
      </c>
      <c r="CN874">
        <v>-30.44</v>
      </c>
      <c r="CO874">
        <v>4.28</v>
      </c>
      <c r="CP874">
        <v>-19.5</v>
      </c>
      <c r="CQ874">
        <v>0.64</v>
      </c>
      <c r="CR874">
        <v>0</v>
      </c>
      <c r="CS874" t="s">
        <v>1650</v>
      </c>
      <c r="CT874">
        <v>0.95</v>
      </c>
      <c r="CU874">
        <v>0</v>
      </c>
      <c r="CV874">
        <v>2.0099999999999998</v>
      </c>
      <c r="CW874">
        <v>-2.14</v>
      </c>
      <c r="CX874">
        <v>-0.21</v>
      </c>
      <c r="CY874">
        <v>17.489999999999998</v>
      </c>
      <c r="CZ874" t="s">
        <v>2590</v>
      </c>
      <c r="DA874">
        <v>8.68</v>
      </c>
      <c r="DB874">
        <v>0.08</v>
      </c>
      <c r="DC874">
        <v>0.5</v>
      </c>
      <c r="DD874">
        <v>0.93</v>
      </c>
      <c r="DE874">
        <v>4691</v>
      </c>
      <c r="DF874">
        <v>2420</v>
      </c>
      <c r="DG874" t="s">
        <v>116</v>
      </c>
      <c r="DH874" t="s">
        <v>116</v>
      </c>
      <c r="DI874" t="s">
        <v>116</v>
      </c>
    </row>
    <row r="875" spans="1:113" x14ac:dyDescent="0.4">
      <c r="A875" t="str">
        <f>"002421"</f>
        <v>002421</v>
      </c>
      <c r="B875" t="s">
        <v>5265</v>
      </c>
      <c r="C875">
        <v>-0.28000000000000003</v>
      </c>
      <c r="D875">
        <v>3.61</v>
      </c>
      <c r="E875">
        <v>-0.01</v>
      </c>
      <c r="F875">
        <v>3.61</v>
      </c>
      <c r="G875">
        <v>3.62</v>
      </c>
      <c r="H875">
        <v>206182</v>
      </c>
      <c r="I875">
        <v>1374</v>
      </c>
      <c r="J875">
        <v>0</v>
      </c>
      <c r="K875">
        <v>1.25</v>
      </c>
      <c r="L875">
        <v>3.63</v>
      </c>
      <c r="M875">
        <v>3.69</v>
      </c>
      <c r="N875">
        <v>3.6</v>
      </c>
      <c r="O875">
        <v>3.62</v>
      </c>
      <c r="P875">
        <v>40.68</v>
      </c>
      <c r="Q875">
        <v>75028920</v>
      </c>
      <c r="R875">
        <v>1.24</v>
      </c>
      <c r="S875" t="s">
        <v>607</v>
      </c>
      <c r="T875" t="s">
        <v>115</v>
      </c>
      <c r="U875">
        <v>2.4900000000000002</v>
      </c>
      <c r="V875">
        <v>3.64</v>
      </c>
      <c r="W875">
        <v>116984</v>
      </c>
      <c r="X875">
        <v>89198</v>
      </c>
      <c r="Y875">
        <v>1.31</v>
      </c>
      <c r="Z875">
        <v>777</v>
      </c>
      <c r="AA875">
        <v>2536</v>
      </c>
      <c r="AB875" t="s">
        <v>116</v>
      </c>
      <c r="AC875">
        <v>234900</v>
      </c>
      <c r="AD875">
        <v>0</v>
      </c>
      <c r="AE875" t="s">
        <v>116</v>
      </c>
      <c r="AF875" t="s">
        <v>116</v>
      </c>
      <c r="AG875">
        <v>16.48</v>
      </c>
      <c r="AH875" t="s">
        <v>1602</v>
      </c>
      <c r="AI875" t="s">
        <v>5266</v>
      </c>
      <c r="AJ875">
        <v>0.4</v>
      </c>
      <c r="AK875">
        <v>1802</v>
      </c>
      <c r="AL875">
        <v>114</v>
      </c>
      <c r="AM875">
        <v>6.9999999999999999E-4</v>
      </c>
      <c r="AN875">
        <v>-1</v>
      </c>
      <c r="AO875">
        <v>0.28000000000000003</v>
      </c>
      <c r="AP875">
        <v>6.49</v>
      </c>
      <c r="AQ875">
        <v>0</v>
      </c>
      <c r="AR875">
        <v>-7.91</v>
      </c>
      <c r="AS875">
        <v>1.54</v>
      </c>
      <c r="AT875" t="s">
        <v>5267</v>
      </c>
      <c r="AU875">
        <v>36.82</v>
      </c>
      <c r="AV875">
        <v>32.229999999999997</v>
      </c>
      <c r="AW875">
        <v>1.59</v>
      </c>
      <c r="BA875">
        <v>0.28000000000000003</v>
      </c>
      <c r="BB875">
        <v>1.93</v>
      </c>
      <c r="BC875">
        <v>-0.55000000000000004</v>
      </c>
      <c r="BD875">
        <v>0.52</v>
      </c>
      <c r="BE875">
        <v>-0.55000000000000004</v>
      </c>
      <c r="BF875">
        <v>-2.17</v>
      </c>
      <c r="BG875">
        <v>0.28000000000000003</v>
      </c>
      <c r="BH875">
        <v>-0.8</v>
      </c>
      <c r="BI875">
        <v>20191022</v>
      </c>
      <c r="BJ875">
        <v>20100603</v>
      </c>
      <c r="BK875">
        <v>19.350000000000001</v>
      </c>
      <c r="BL875" t="s">
        <v>116</v>
      </c>
      <c r="BM875" t="s">
        <v>116</v>
      </c>
      <c r="BN875">
        <v>67.31</v>
      </c>
      <c r="BO875">
        <v>33.19</v>
      </c>
      <c r="BP875">
        <v>0.68</v>
      </c>
      <c r="BQ875">
        <v>49.68</v>
      </c>
      <c r="BR875">
        <v>41.7</v>
      </c>
      <c r="BS875">
        <v>4.74</v>
      </c>
      <c r="BT875">
        <v>1.81</v>
      </c>
      <c r="BU875">
        <v>23.02</v>
      </c>
      <c r="BV875">
        <v>3.94</v>
      </c>
      <c r="BW875">
        <v>19.88</v>
      </c>
      <c r="BX875">
        <v>1.67</v>
      </c>
      <c r="BY875">
        <v>15.67</v>
      </c>
      <c r="BZ875">
        <v>10.62</v>
      </c>
      <c r="CA875">
        <v>1.38</v>
      </c>
      <c r="CB875">
        <v>0.01</v>
      </c>
      <c r="CC875">
        <v>1.38</v>
      </c>
      <c r="CD875">
        <v>1.29</v>
      </c>
      <c r="CE875">
        <v>1.29</v>
      </c>
      <c r="CF875">
        <v>1.0900000000000001</v>
      </c>
      <c r="CG875">
        <v>11.64</v>
      </c>
      <c r="CH875">
        <v>1.9</v>
      </c>
      <c r="CI875">
        <v>-0.55000000000000004</v>
      </c>
      <c r="CJ875">
        <v>101476</v>
      </c>
      <c r="CK875">
        <v>13184</v>
      </c>
      <c r="CL875" t="s">
        <v>2315</v>
      </c>
      <c r="CM875">
        <v>-17.350000000000001</v>
      </c>
      <c r="CN875">
        <v>-12.28</v>
      </c>
      <c r="CO875">
        <v>2.1</v>
      </c>
      <c r="CP875">
        <v>36.79</v>
      </c>
      <c r="CQ875">
        <v>4.46</v>
      </c>
      <c r="CR875">
        <v>0</v>
      </c>
      <c r="CS875" t="s">
        <v>1584</v>
      </c>
      <c r="CT875">
        <v>1.72</v>
      </c>
      <c r="CU875">
        <v>0</v>
      </c>
      <c r="CV875">
        <v>0.09</v>
      </c>
      <c r="CW875">
        <v>0.6</v>
      </c>
      <c r="CX875">
        <v>0.1</v>
      </c>
      <c r="CY875">
        <v>49.31</v>
      </c>
      <c r="CZ875" t="s">
        <v>5268</v>
      </c>
      <c r="DA875">
        <v>32.25</v>
      </c>
      <c r="DB875">
        <v>8.83</v>
      </c>
      <c r="DC875">
        <v>8.2200000000000006</v>
      </c>
      <c r="DD875">
        <v>0.3</v>
      </c>
      <c r="DE875">
        <v>2131</v>
      </c>
      <c r="DF875">
        <v>2421</v>
      </c>
      <c r="DG875" t="s">
        <v>116</v>
      </c>
      <c r="DH875" t="s">
        <v>116</v>
      </c>
      <c r="DI875" t="s">
        <v>116</v>
      </c>
    </row>
    <row r="876" spans="1:113" x14ac:dyDescent="0.4">
      <c r="A876" t="str">
        <f>"002422"</f>
        <v>002422</v>
      </c>
      <c r="B876" t="s">
        <v>5269</v>
      </c>
      <c r="C876">
        <v>1.69</v>
      </c>
      <c r="D876">
        <v>23.48</v>
      </c>
      <c r="E876">
        <v>0.39</v>
      </c>
      <c r="F876">
        <v>23.47</v>
      </c>
      <c r="G876">
        <v>23.48</v>
      </c>
      <c r="H876">
        <v>112482</v>
      </c>
      <c r="I876">
        <v>540</v>
      </c>
      <c r="J876">
        <v>0.09</v>
      </c>
      <c r="K876">
        <v>1.0900000000000001</v>
      </c>
      <c r="L876">
        <v>23.04</v>
      </c>
      <c r="M876">
        <v>23.66</v>
      </c>
      <c r="N876">
        <v>23.03</v>
      </c>
      <c r="O876">
        <v>23.09</v>
      </c>
      <c r="P876">
        <v>27.73</v>
      </c>
      <c r="Q876">
        <v>264056432</v>
      </c>
      <c r="R876">
        <v>1.76</v>
      </c>
      <c r="S876" t="s">
        <v>574</v>
      </c>
      <c r="T876" t="s">
        <v>582</v>
      </c>
      <c r="U876">
        <v>2.73</v>
      </c>
      <c r="V876">
        <v>23.48</v>
      </c>
      <c r="W876">
        <v>44606</v>
      </c>
      <c r="X876">
        <v>67876</v>
      </c>
      <c r="Y876">
        <v>0.66</v>
      </c>
      <c r="Z876">
        <v>1</v>
      </c>
      <c r="AA876">
        <v>314</v>
      </c>
      <c r="AB876" t="s">
        <v>116</v>
      </c>
      <c r="AC876">
        <v>396300</v>
      </c>
      <c r="AD876">
        <v>0</v>
      </c>
      <c r="AE876" t="s">
        <v>116</v>
      </c>
      <c r="AF876" t="s">
        <v>116</v>
      </c>
      <c r="AG876">
        <v>10.33</v>
      </c>
      <c r="AH876" t="s">
        <v>5270</v>
      </c>
      <c r="AI876" t="s">
        <v>5271</v>
      </c>
      <c r="AJ876">
        <v>2.37</v>
      </c>
      <c r="AK876">
        <v>3118</v>
      </c>
      <c r="AL876">
        <v>36</v>
      </c>
      <c r="AM876">
        <v>2.9999999999999997E-4</v>
      </c>
      <c r="AN876">
        <v>1</v>
      </c>
      <c r="AO876">
        <v>1.82</v>
      </c>
      <c r="AP876">
        <v>1.1200000000000001</v>
      </c>
      <c r="AQ876">
        <v>-10.72</v>
      </c>
      <c r="AR876">
        <v>14.87</v>
      </c>
      <c r="AS876">
        <v>1.28</v>
      </c>
      <c r="AT876" t="s">
        <v>5272</v>
      </c>
      <c r="AU876">
        <v>30.63</v>
      </c>
      <c r="AV876">
        <v>27.87</v>
      </c>
      <c r="AW876">
        <v>0.94</v>
      </c>
      <c r="BA876">
        <v>-0.22</v>
      </c>
      <c r="BB876">
        <v>2.4700000000000002</v>
      </c>
      <c r="BC876">
        <v>-0.26</v>
      </c>
      <c r="BD876">
        <v>1.67</v>
      </c>
      <c r="BE876">
        <v>1.91</v>
      </c>
      <c r="BF876">
        <v>-0.76</v>
      </c>
      <c r="BG876">
        <v>1.95</v>
      </c>
      <c r="BH876">
        <v>0.02</v>
      </c>
      <c r="BI876">
        <v>20191031</v>
      </c>
      <c r="BJ876">
        <v>20100603</v>
      </c>
      <c r="BK876">
        <v>14.4</v>
      </c>
      <c r="BL876" t="s">
        <v>116</v>
      </c>
      <c r="BM876" t="s">
        <v>116</v>
      </c>
      <c r="BN876">
        <v>298.99</v>
      </c>
      <c r="BO876">
        <v>133.99</v>
      </c>
      <c r="BP876">
        <v>2.02</v>
      </c>
      <c r="BQ876">
        <v>54.51</v>
      </c>
      <c r="BR876">
        <v>127.06</v>
      </c>
      <c r="BS876">
        <v>110.83</v>
      </c>
      <c r="BT876">
        <v>8.6999999999999993</v>
      </c>
      <c r="BU876">
        <v>118.07</v>
      </c>
      <c r="BV876">
        <v>28.3</v>
      </c>
      <c r="BW876">
        <v>63.98</v>
      </c>
      <c r="BX876">
        <v>35.659999999999997</v>
      </c>
      <c r="BY876">
        <v>129.58000000000001</v>
      </c>
      <c r="BZ876">
        <v>51.06</v>
      </c>
      <c r="CA876">
        <v>11.01</v>
      </c>
      <c r="CB876">
        <v>1.2</v>
      </c>
      <c r="CC876">
        <v>10.96</v>
      </c>
      <c r="CD876">
        <v>9.77</v>
      </c>
      <c r="CE876">
        <v>9.14</v>
      </c>
      <c r="CF876">
        <v>8.1</v>
      </c>
      <c r="CG876">
        <v>77.36</v>
      </c>
      <c r="CH876">
        <v>21.01</v>
      </c>
      <c r="CI876">
        <v>-2.56</v>
      </c>
      <c r="CJ876">
        <v>39426</v>
      </c>
      <c r="CK876">
        <v>22269</v>
      </c>
      <c r="CL876" t="s">
        <v>5273</v>
      </c>
      <c r="CM876">
        <v>-10.66</v>
      </c>
      <c r="CN876">
        <v>5.94</v>
      </c>
      <c r="CO876">
        <v>2.52</v>
      </c>
      <c r="CP876">
        <v>16.09</v>
      </c>
      <c r="CQ876">
        <v>2.61</v>
      </c>
      <c r="CR876">
        <v>0.89</v>
      </c>
      <c r="CS876" t="s">
        <v>5274</v>
      </c>
      <c r="CT876">
        <v>9.31</v>
      </c>
      <c r="CU876">
        <v>0</v>
      </c>
      <c r="CV876">
        <v>2.48</v>
      </c>
      <c r="CW876">
        <v>5.37</v>
      </c>
      <c r="CX876">
        <v>1.46</v>
      </c>
      <c r="CY876">
        <v>44.82</v>
      </c>
      <c r="CZ876" t="s">
        <v>5275</v>
      </c>
      <c r="DA876">
        <v>60.6</v>
      </c>
      <c r="DB876">
        <v>8.5</v>
      </c>
      <c r="DC876">
        <v>7.06</v>
      </c>
      <c r="DD876">
        <v>7.82</v>
      </c>
      <c r="DE876">
        <v>19990</v>
      </c>
      <c r="DF876">
        <v>2422</v>
      </c>
      <c r="DG876" t="s">
        <v>116</v>
      </c>
      <c r="DH876" t="s">
        <v>116</v>
      </c>
      <c r="DI876" t="s">
        <v>116</v>
      </c>
    </row>
    <row r="877" spans="1:113" x14ac:dyDescent="0.4">
      <c r="A877" t="str">
        <f>"002423"</f>
        <v>002423</v>
      </c>
      <c r="B877" t="s">
        <v>5276</v>
      </c>
      <c r="C877">
        <v>0.21</v>
      </c>
      <c r="D877">
        <v>9.52</v>
      </c>
      <c r="E877">
        <v>0.02</v>
      </c>
      <c r="F877">
        <v>9.52</v>
      </c>
      <c r="G877">
        <v>9.5299999999999994</v>
      </c>
      <c r="H877">
        <v>76362</v>
      </c>
      <c r="I877">
        <v>724</v>
      </c>
      <c r="J877">
        <v>0.11</v>
      </c>
      <c r="K877">
        <v>1.52</v>
      </c>
      <c r="L877">
        <v>9.5500000000000007</v>
      </c>
      <c r="M877">
        <v>9.8800000000000008</v>
      </c>
      <c r="N877">
        <v>9.48</v>
      </c>
      <c r="O877">
        <v>9.5</v>
      </c>
      <c r="P877">
        <v>23.83</v>
      </c>
      <c r="Q877">
        <v>73938072</v>
      </c>
      <c r="R877">
        <v>1.75</v>
      </c>
      <c r="S877" t="s">
        <v>732</v>
      </c>
      <c r="T877" t="s">
        <v>652</v>
      </c>
      <c r="U877">
        <v>4.21</v>
      </c>
      <c r="V877">
        <v>9.68</v>
      </c>
      <c r="W877">
        <v>41499</v>
      </c>
      <c r="X877">
        <v>34863</v>
      </c>
      <c r="Y877">
        <v>1.19</v>
      </c>
      <c r="Z877">
        <v>407</v>
      </c>
      <c r="AA877">
        <v>532</v>
      </c>
      <c r="AB877" t="s">
        <v>116</v>
      </c>
      <c r="AC877">
        <v>284600</v>
      </c>
      <c r="AD877">
        <v>0.02</v>
      </c>
      <c r="AE877" t="s">
        <v>116</v>
      </c>
      <c r="AF877" t="s">
        <v>116</v>
      </c>
      <c r="AG877">
        <v>5.03</v>
      </c>
      <c r="AH877" t="s">
        <v>5277</v>
      </c>
      <c r="AI877" t="s">
        <v>5278</v>
      </c>
      <c r="AJ877">
        <v>0.89</v>
      </c>
      <c r="AK877">
        <v>1874</v>
      </c>
      <c r="AL877">
        <v>41</v>
      </c>
      <c r="AM877">
        <v>8.0000000000000004E-4</v>
      </c>
      <c r="AN877">
        <v>2</v>
      </c>
      <c r="AO877">
        <v>1.82</v>
      </c>
      <c r="AP877">
        <v>3.82</v>
      </c>
      <c r="AQ877">
        <v>2.37</v>
      </c>
      <c r="AR877">
        <v>8.68</v>
      </c>
      <c r="AS877">
        <v>4.66</v>
      </c>
      <c r="AT877" t="s">
        <v>4449</v>
      </c>
      <c r="AU877" t="s">
        <v>116</v>
      </c>
      <c r="AV877" t="s">
        <v>116</v>
      </c>
      <c r="AW877">
        <v>1.18</v>
      </c>
      <c r="BA877">
        <v>0.53</v>
      </c>
      <c r="BB877">
        <v>4</v>
      </c>
      <c r="BC877">
        <v>-0.21</v>
      </c>
      <c r="BD877">
        <v>1.92</v>
      </c>
      <c r="BE877">
        <v>-0.31</v>
      </c>
      <c r="BF877">
        <v>-3.64</v>
      </c>
      <c r="BG877">
        <v>0.42</v>
      </c>
      <c r="BH877">
        <v>-1.71</v>
      </c>
      <c r="BI877">
        <v>20191031</v>
      </c>
      <c r="BJ877">
        <v>20100603</v>
      </c>
      <c r="BK877">
        <v>23.04</v>
      </c>
      <c r="BL877" t="s">
        <v>116</v>
      </c>
      <c r="BM877" t="s">
        <v>116</v>
      </c>
      <c r="BN877">
        <v>684.97</v>
      </c>
      <c r="BO877">
        <v>162.56</v>
      </c>
      <c r="BP877">
        <v>51.04</v>
      </c>
      <c r="BQ877">
        <v>68.819999999999993</v>
      </c>
      <c r="BR877">
        <v>322.92</v>
      </c>
      <c r="BS877">
        <v>0.86</v>
      </c>
      <c r="BT877">
        <v>16.149999999999999</v>
      </c>
      <c r="BU877">
        <v>197.16</v>
      </c>
      <c r="BV877">
        <v>0</v>
      </c>
      <c r="BW877">
        <v>1.07</v>
      </c>
      <c r="BX877">
        <v>96.63</v>
      </c>
      <c r="BY877">
        <v>3.62</v>
      </c>
      <c r="BZ877">
        <v>3.58</v>
      </c>
      <c r="CA877">
        <v>13.4</v>
      </c>
      <c r="CB877">
        <v>12.85</v>
      </c>
      <c r="CC877">
        <v>13.36</v>
      </c>
      <c r="CD877">
        <v>11.57</v>
      </c>
      <c r="CE877">
        <v>6.9</v>
      </c>
      <c r="CF877">
        <v>6.93</v>
      </c>
      <c r="CG877">
        <v>36.68</v>
      </c>
      <c r="CH877">
        <v>43.93</v>
      </c>
      <c r="CI877">
        <v>0.56999999999999995</v>
      </c>
      <c r="CJ877">
        <v>20331</v>
      </c>
      <c r="CK877">
        <v>8060</v>
      </c>
      <c r="CL877" t="s">
        <v>5279</v>
      </c>
      <c r="CM877">
        <v>-5.0999999999999996</v>
      </c>
      <c r="CN877">
        <v>-64.33</v>
      </c>
      <c r="CO877">
        <v>1.35</v>
      </c>
      <c r="CP877">
        <v>4.99</v>
      </c>
      <c r="CQ877">
        <v>60.53</v>
      </c>
      <c r="CR877">
        <v>0</v>
      </c>
      <c r="CS877" t="s">
        <v>4088</v>
      </c>
      <c r="CT877">
        <v>7.06</v>
      </c>
      <c r="CU877">
        <v>0</v>
      </c>
      <c r="CV877">
        <v>4.1900000000000004</v>
      </c>
      <c r="CW877">
        <v>1.59</v>
      </c>
      <c r="CX877">
        <v>1.91</v>
      </c>
      <c r="CY877">
        <v>23.73</v>
      </c>
      <c r="CZ877" t="s">
        <v>5280</v>
      </c>
      <c r="DA877">
        <v>1.1499999999999999</v>
      </c>
      <c r="DB877">
        <v>369.77</v>
      </c>
      <c r="DC877">
        <v>190.52</v>
      </c>
      <c r="DD877">
        <v>0.01</v>
      </c>
      <c r="DE877">
        <v>2129</v>
      </c>
      <c r="DF877">
        <v>2423</v>
      </c>
      <c r="DG877" t="s">
        <v>116</v>
      </c>
      <c r="DH877" t="s">
        <v>116</v>
      </c>
      <c r="DI877" t="s">
        <v>116</v>
      </c>
    </row>
    <row r="878" spans="1:113" x14ac:dyDescent="0.4">
      <c r="A878" t="str">
        <f>"002424"</f>
        <v>002424</v>
      </c>
      <c r="B878" t="s">
        <v>5281</v>
      </c>
      <c r="C878">
        <v>0.12</v>
      </c>
      <c r="D878">
        <v>8.44</v>
      </c>
      <c r="E878">
        <v>0.01</v>
      </c>
      <c r="F878">
        <v>8.44</v>
      </c>
      <c r="G878">
        <v>8.4499999999999993</v>
      </c>
      <c r="H878">
        <v>50263</v>
      </c>
      <c r="I878">
        <v>694</v>
      </c>
      <c r="J878">
        <v>-0.11</v>
      </c>
      <c r="K878">
        <v>0.69</v>
      </c>
      <c r="L878">
        <v>8.43</v>
      </c>
      <c r="M878">
        <v>8.5299999999999994</v>
      </c>
      <c r="N878">
        <v>8.42</v>
      </c>
      <c r="O878">
        <v>8.43</v>
      </c>
      <c r="P878">
        <v>29.59</v>
      </c>
      <c r="Q878">
        <v>42593812</v>
      </c>
      <c r="R878">
        <v>0.93</v>
      </c>
      <c r="S878" t="s">
        <v>781</v>
      </c>
      <c r="T878" t="s">
        <v>1056</v>
      </c>
      <c r="U878">
        <v>1.3</v>
      </c>
      <c r="V878">
        <v>8.4700000000000006</v>
      </c>
      <c r="W878">
        <v>23781</v>
      </c>
      <c r="X878">
        <v>26482</v>
      </c>
      <c r="Y878">
        <v>0.9</v>
      </c>
      <c r="Z878">
        <v>363</v>
      </c>
      <c r="AA878">
        <v>282</v>
      </c>
      <c r="AB878" t="s">
        <v>116</v>
      </c>
      <c r="AC878">
        <v>90200</v>
      </c>
      <c r="AD878">
        <v>0</v>
      </c>
      <c r="AE878" t="s">
        <v>116</v>
      </c>
      <c r="AF878" t="s">
        <v>116</v>
      </c>
      <c r="AG878">
        <v>7.28</v>
      </c>
      <c r="AH878" t="s">
        <v>5282</v>
      </c>
      <c r="AI878" t="s">
        <v>5283</v>
      </c>
      <c r="AJ878">
        <v>0.8</v>
      </c>
      <c r="AK878">
        <v>1589</v>
      </c>
      <c r="AL878">
        <v>32</v>
      </c>
      <c r="AM878">
        <v>4.0000000000000002E-4</v>
      </c>
      <c r="AN878">
        <v>2</v>
      </c>
      <c r="AO878">
        <v>0.24</v>
      </c>
      <c r="AP878">
        <v>1.81</v>
      </c>
      <c r="AQ878">
        <v>-12.81</v>
      </c>
      <c r="AR878">
        <v>-2.65</v>
      </c>
      <c r="AS878">
        <v>1.47</v>
      </c>
      <c r="AT878" t="s">
        <v>5284</v>
      </c>
      <c r="AU878">
        <v>24.69</v>
      </c>
      <c r="AV878">
        <v>21.15</v>
      </c>
      <c r="AW878">
        <v>0.55000000000000004</v>
      </c>
      <c r="BA878">
        <v>0</v>
      </c>
      <c r="BB878">
        <v>1.19</v>
      </c>
      <c r="BC878">
        <v>-0.12</v>
      </c>
      <c r="BD878">
        <v>0.52</v>
      </c>
      <c r="BE878">
        <v>0.12</v>
      </c>
      <c r="BF878">
        <v>-1.06</v>
      </c>
      <c r="BG878">
        <v>0.24</v>
      </c>
      <c r="BH878">
        <v>-0.41</v>
      </c>
      <c r="BI878">
        <v>20191226</v>
      </c>
      <c r="BJ878">
        <v>20100603</v>
      </c>
      <c r="BK878">
        <v>14.11</v>
      </c>
      <c r="BL878" t="s">
        <v>116</v>
      </c>
      <c r="BM878" t="s">
        <v>116</v>
      </c>
      <c r="BN878">
        <v>68.63</v>
      </c>
      <c r="BO878">
        <v>40.590000000000003</v>
      </c>
      <c r="BP878">
        <v>0.92</v>
      </c>
      <c r="BQ878">
        <v>39.520000000000003</v>
      </c>
      <c r="BR878">
        <v>45.48</v>
      </c>
      <c r="BS878">
        <v>7.04</v>
      </c>
      <c r="BT878">
        <v>1.79</v>
      </c>
      <c r="BU878">
        <v>24.57</v>
      </c>
      <c r="BV878">
        <v>9.75</v>
      </c>
      <c r="BW878">
        <v>18.97</v>
      </c>
      <c r="BX878">
        <v>1.36</v>
      </c>
      <c r="BY878">
        <v>21.06</v>
      </c>
      <c r="BZ878">
        <v>7.98</v>
      </c>
      <c r="CA878">
        <v>3.81</v>
      </c>
      <c r="CB878">
        <v>-0.34</v>
      </c>
      <c r="CC878">
        <v>3.79</v>
      </c>
      <c r="CD878">
        <v>3.06</v>
      </c>
      <c r="CE878">
        <v>3.02</v>
      </c>
      <c r="CF878">
        <v>3</v>
      </c>
      <c r="CG878">
        <v>22.07</v>
      </c>
      <c r="CH878">
        <v>-1.37</v>
      </c>
      <c r="CI878">
        <v>-0.33</v>
      </c>
      <c r="CJ878">
        <v>65816</v>
      </c>
      <c r="CK878">
        <v>5199</v>
      </c>
      <c r="CL878" t="s">
        <v>2055</v>
      </c>
      <c r="CM878">
        <v>-21.13</v>
      </c>
      <c r="CN878">
        <v>5.33</v>
      </c>
      <c r="CO878">
        <v>2.93</v>
      </c>
      <c r="CP878">
        <v>-86.93</v>
      </c>
      <c r="CQ878">
        <v>5.65</v>
      </c>
      <c r="CR878">
        <v>0.95</v>
      </c>
      <c r="CS878" t="s">
        <v>1061</v>
      </c>
      <c r="CT878">
        <v>2.88</v>
      </c>
      <c r="CU878">
        <v>0</v>
      </c>
      <c r="CV878">
        <v>0.1</v>
      </c>
      <c r="CW878">
        <v>1.56</v>
      </c>
      <c r="CX878">
        <v>-0.1</v>
      </c>
      <c r="CY878">
        <v>59.15</v>
      </c>
      <c r="CZ878" t="s">
        <v>5126</v>
      </c>
      <c r="DA878">
        <v>62.12</v>
      </c>
      <c r="DB878">
        <v>18.079999999999998</v>
      </c>
      <c r="DC878">
        <v>14.33</v>
      </c>
      <c r="DD878">
        <v>0.19</v>
      </c>
      <c r="DE878">
        <v>5588</v>
      </c>
      <c r="DF878">
        <v>2424</v>
      </c>
      <c r="DG878" t="s">
        <v>116</v>
      </c>
      <c r="DH878" t="s">
        <v>116</v>
      </c>
      <c r="DI878" t="s">
        <v>116</v>
      </c>
    </row>
    <row r="879" spans="1:113" x14ac:dyDescent="0.4">
      <c r="A879" t="str">
        <f>"002425"</f>
        <v>002425</v>
      </c>
      <c r="B879" t="s">
        <v>5285</v>
      </c>
      <c r="C879">
        <v>-1.59</v>
      </c>
      <c r="D879">
        <v>5.58</v>
      </c>
      <c r="E879">
        <v>-0.09</v>
      </c>
      <c r="F879">
        <v>5.58</v>
      </c>
      <c r="G879">
        <v>5.59</v>
      </c>
      <c r="H879">
        <v>206332</v>
      </c>
      <c r="I879">
        <v>1777</v>
      </c>
      <c r="J879">
        <v>-0.17</v>
      </c>
      <c r="K879">
        <v>2.54</v>
      </c>
      <c r="L879">
        <v>5.64</v>
      </c>
      <c r="M879">
        <v>5.73</v>
      </c>
      <c r="N879">
        <v>5.58</v>
      </c>
      <c r="O879">
        <v>5.67</v>
      </c>
      <c r="P879">
        <v>16.77</v>
      </c>
      <c r="Q879">
        <v>116861632</v>
      </c>
      <c r="R879">
        <v>0.64</v>
      </c>
      <c r="S879" t="s">
        <v>1384</v>
      </c>
      <c r="T879" t="s">
        <v>551</v>
      </c>
      <c r="U879">
        <v>2.65</v>
      </c>
      <c r="V879">
        <v>5.66</v>
      </c>
      <c r="W879">
        <v>118496</v>
      </c>
      <c r="X879">
        <v>87836</v>
      </c>
      <c r="Y879">
        <v>1.35</v>
      </c>
      <c r="Z879">
        <v>2916</v>
      </c>
      <c r="AA879">
        <v>923</v>
      </c>
      <c r="AB879" t="s">
        <v>116</v>
      </c>
      <c r="AC879">
        <v>835800</v>
      </c>
      <c r="AD879">
        <v>0.03</v>
      </c>
      <c r="AE879" t="s">
        <v>116</v>
      </c>
      <c r="AF879" t="s">
        <v>116</v>
      </c>
      <c r="AG879">
        <v>8.14</v>
      </c>
      <c r="AH879" t="s">
        <v>5286</v>
      </c>
      <c r="AI879" t="s">
        <v>3285</v>
      </c>
      <c r="AJ879">
        <v>-0.91</v>
      </c>
      <c r="AK879">
        <v>2050</v>
      </c>
      <c r="AL879">
        <v>101</v>
      </c>
      <c r="AM879">
        <v>1.1999999999999999E-3</v>
      </c>
      <c r="AN879">
        <v>-1</v>
      </c>
      <c r="AO879">
        <v>-1.25</v>
      </c>
      <c r="AP879">
        <v>2.2000000000000002</v>
      </c>
      <c r="AQ879">
        <v>-2.96</v>
      </c>
      <c r="AR879">
        <v>-4.12</v>
      </c>
      <c r="AS879">
        <v>3.83</v>
      </c>
      <c r="AT879" t="s">
        <v>4638</v>
      </c>
      <c r="AU879">
        <v>15.37</v>
      </c>
      <c r="AV879">
        <v>16.32</v>
      </c>
      <c r="AW879">
        <v>1.2</v>
      </c>
      <c r="BA879">
        <v>-0.53</v>
      </c>
      <c r="BB879">
        <v>1.06</v>
      </c>
      <c r="BC879">
        <v>-1.59</v>
      </c>
      <c r="BD879">
        <v>-0.11</v>
      </c>
      <c r="BE879">
        <v>-1.06</v>
      </c>
      <c r="BF879">
        <v>-2.62</v>
      </c>
      <c r="BG879">
        <v>0</v>
      </c>
      <c r="BH879">
        <v>-1.48</v>
      </c>
      <c r="BI879">
        <v>20191202</v>
      </c>
      <c r="BJ879">
        <v>20100608</v>
      </c>
      <c r="BK879">
        <v>8.14</v>
      </c>
      <c r="BL879" t="s">
        <v>116</v>
      </c>
      <c r="BM879" t="s">
        <v>116</v>
      </c>
      <c r="BN879">
        <v>49.84</v>
      </c>
      <c r="BO879">
        <v>40.74</v>
      </c>
      <c r="BP879">
        <v>-0.01</v>
      </c>
      <c r="BQ879">
        <v>18.28</v>
      </c>
      <c r="BR879">
        <v>10.74</v>
      </c>
      <c r="BS879">
        <v>0.1</v>
      </c>
      <c r="BT879">
        <v>2.2000000000000002</v>
      </c>
      <c r="BU879">
        <v>6.01</v>
      </c>
      <c r="BV879">
        <v>0.6</v>
      </c>
      <c r="BW879">
        <v>6.25</v>
      </c>
      <c r="BX879">
        <v>21.44</v>
      </c>
      <c r="BY879">
        <v>6.04</v>
      </c>
      <c r="BZ879">
        <v>1.67</v>
      </c>
      <c r="CA879">
        <v>2.15</v>
      </c>
      <c r="CB879">
        <v>0.02</v>
      </c>
      <c r="CC879">
        <v>2.16</v>
      </c>
      <c r="CD879">
        <v>2.0299999999999998</v>
      </c>
      <c r="CE879">
        <v>2.0299999999999998</v>
      </c>
      <c r="CF879">
        <v>2</v>
      </c>
      <c r="CG879">
        <v>9.98</v>
      </c>
      <c r="CH879">
        <v>1.35</v>
      </c>
      <c r="CI879">
        <v>-0.28999999999999998</v>
      </c>
      <c r="CJ879">
        <v>38950</v>
      </c>
      <c r="CK879">
        <v>13836</v>
      </c>
      <c r="CL879" t="s">
        <v>4087</v>
      </c>
      <c r="CM879">
        <v>9.1999999999999993</v>
      </c>
      <c r="CN879">
        <v>38.22</v>
      </c>
      <c r="CO879">
        <v>1.1100000000000001</v>
      </c>
      <c r="CP879">
        <v>33.74</v>
      </c>
      <c r="CQ879">
        <v>7.52</v>
      </c>
      <c r="CR879">
        <v>1.08</v>
      </c>
      <c r="CS879" t="s">
        <v>3553</v>
      </c>
      <c r="CT879">
        <v>5.01</v>
      </c>
      <c r="CU879">
        <v>0</v>
      </c>
      <c r="CV879">
        <v>2.63</v>
      </c>
      <c r="CW879">
        <v>1.23</v>
      </c>
      <c r="CX879">
        <v>0.17</v>
      </c>
      <c r="CY879">
        <v>81.739999999999995</v>
      </c>
      <c r="CZ879" t="s">
        <v>5287</v>
      </c>
      <c r="DA879">
        <v>72.319999999999993</v>
      </c>
      <c r="DB879">
        <v>35.61</v>
      </c>
      <c r="DC879">
        <v>33.65</v>
      </c>
      <c r="DD879">
        <v>0.72</v>
      </c>
      <c r="DE879">
        <v>705</v>
      </c>
      <c r="DF879">
        <v>2425</v>
      </c>
      <c r="DG879" t="s">
        <v>116</v>
      </c>
      <c r="DH879" t="s">
        <v>116</v>
      </c>
      <c r="DI879" t="s">
        <v>116</v>
      </c>
    </row>
    <row r="880" spans="1:113" x14ac:dyDescent="0.4">
      <c r="A880" t="str">
        <f>"002426"</f>
        <v>002426</v>
      </c>
      <c r="B880" t="s">
        <v>5288</v>
      </c>
      <c r="C880">
        <v>-1.62</v>
      </c>
      <c r="D880">
        <v>2.4300000000000002</v>
      </c>
      <c r="E880">
        <v>-0.04</v>
      </c>
      <c r="F880">
        <v>2.42</v>
      </c>
      <c r="G880">
        <v>2.4300000000000002</v>
      </c>
      <c r="H880">
        <v>782608</v>
      </c>
      <c r="I880">
        <v>6820</v>
      </c>
      <c r="J880">
        <v>0.41</v>
      </c>
      <c r="K880">
        <v>2.77</v>
      </c>
      <c r="L880">
        <v>2.46</v>
      </c>
      <c r="M880">
        <v>2.4700000000000002</v>
      </c>
      <c r="N880">
        <v>2.42</v>
      </c>
      <c r="O880">
        <v>2.4700000000000002</v>
      </c>
      <c r="P880" t="s">
        <v>116</v>
      </c>
      <c r="Q880">
        <v>191085824</v>
      </c>
      <c r="R880">
        <v>0.91</v>
      </c>
      <c r="S880" t="s">
        <v>233</v>
      </c>
      <c r="T880" t="s">
        <v>323</v>
      </c>
      <c r="U880">
        <v>2.02</v>
      </c>
      <c r="V880">
        <v>2.44</v>
      </c>
      <c r="W880">
        <v>468635</v>
      </c>
      <c r="X880">
        <v>313973</v>
      </c>
      <c r="Y880">
        <v>1.49</v>
      </c>
      <c r="Z880">
        <v>19024</v>
      </c>
      <c r="AA880">
        <v>2616</v>
      </c>
      <c r="AB880" t="s">
        <v>116</v>
      </c>
      <c r="AC880">
        <v>1987900</v>
      </c>
      <c r="AD880">
        <v>0.04</v>
      </c>
      <c r="AE880" t="s">
        <v>116</v>
      </c>
      <c r="AF880" t="s">
        <v>116</v>
      </c>
      <c r="AG880">
        <v>28.26</v>
      </c>
      <c r="AH880" t="s">
        <v>5289</v>
      </c>
      <c r="AI880" t="s">
        <v>2670</v>
      </c>
      <c r="AJ880">
        <v>-0.94</v>
      </c>
      <c r="AK880">
        <v>3072</v>
      </c>
      <c r="AL880">
        <v>255</v>
      </c>
      <c r="AM880">
        <v>8.9999999999999998E-4</v>
      </c>
      <c r="AN880">
        <v>-1</v>
      </c>
      <c r="AO880">
        <v>0.01</v>
      </c>
      <c r="AP880">
        <v>6.11</v>
      </c>
      <c r="AQ880">
        <v>-10.66</v>
      </c>
      <c r="AR880">
        <v>4.74</v>
      </c>
      <c r="AS880">
        <v>3.51</v>
      </c>
      <c r="AT880" t="s">
        <v>5290</v>
      </c>
      <c r="AU880" t="s">
        <v>116</v>
      </c>
      <c r="AV880" t="s">
        <v>116</v>
      </c>
      <c r="AW880">
        <v>1.27</v>
      </c>
      <c r="BA880">
        <v>-0.4</v>
      </c>
      <c r="BB880">
        <v>0</v>
      </c>
      <c r="BC880">
        <v>-2.02</v>
      </c>
      <c r="BD880">
        <v>-1.1499999999999999</v>
      </c>
      <c r="BE880">
        <v>-1.22</v>
      </c>
      <c r="BF880">
        <v>-1.62</v>
      </c>
      <c r="BG880">
        <v>0.41</v>
      </c>
      <c r="BH880">
        <v>-0.47</v>
      </c>
      <c r="BI880">
        <v>20191220</v>
      </c>
      <c r="BJ880">
        <v>20100608</v>
      </c>
      <c r="BK880">
        <v>34.42</v>
      </c>
      <c r="BL880" t="s">
        <v>116</v>
      </c>
      <c r="BM880" t="s">
        <v>116</v>
      </c>
      <c r="BN880">
        <v>173.31</v>
      </c>
      <c r="BO880">
        <v>75.47</v>
      </c>
      <c r="BP880">
        <v>0.27</v>
      </c>
      <c r="BQ880">
        <v>56.3</v>
      </c>
      <c r="BR880">
        <v>90.84</v>
      </c>
      <c r="BS880">
        <v>39.090000000000003</v>
      </c>
      <c r="BT880">
        <v>4.1900000000000004</v>
      </c>
      <c r="BU880">
        <v>84.79</v>
      </c>
      <c r="BV880">
        <v>25.85</v>
      </c>
      <c r="BW880">
        <v>32.340000000000003</v>
      </c>
      <c r="BX880">
        <v>38.22</v>
      </c>
      <c r="BY880">
        <v>100.75</v>
      </c>
      <c r="BZ880">
        <v>91.2</v>
      </c>
      <c r="CA880">
        <v>-3.9</v>
      </c>
      <c r="CB880">
        <v>-0.03</v>
      </c>
      <c r="CC880">
        <v>-4.05</v>
      </c>
      <c r="CD880">
        <v>-3.64</v>
      </c>
      <c r="CE880">
        <v>-3.66</v>
      </c>
      <c r="CF880">
        <v>-3.89</v>
      </c>
      <c r="CG880">
        <v>2.14</v>
      </c>
      <c r="CH880">
        <v>5.51</v>
      </c>
      <c r="CI880">
        <v>1.04</v>
      </c>
      <c r="CJ880">
        <v>98600</v>
      </c>
      <c r="CK880">
        <v>22626</v>
      </c>
      <c r="CL880" t="s">
        <v>1424</v>
      </c>
      <c r="CM880">
        <v>-219.28</v>
      </c>
      <c r="CN880">
        <v>-21.39</v>
      </c>
      <c r="CO880">
        <v>1.1100000000000001</v>
      </c>
      <c r="CP880">
        <v>15.18</v>
      </c>
      <c r="CQ880">
        <v>0.83</v>
      </c>
      <c r="CR880">
        <v>0</v>
      </c>
      <c r="CS880" t="s">
        <v>5291</v>
      </c>
      <c r="CT880">
        <v>2.19</v>
      </c>
      <c r="CU880">
        <v>0</v>
      </c>
      <c r="CV880">
        <v>1.1100000000000001</v>
      </c>
      <c r="CW880">
        <v>0.06</v>
      </c>
      <c r="CX880">
        <v>0.16</v>
      </c>
      <c r="CY880">
        <v>43.54</v>
      </c>
      <c r="CZ880" t="s">
        <v>5292</v>
      </c>
      <c r="DA880">
        <v>9.48</v>
      </c>
      <c r="DB880">
        <v>-3.88</v>
      </c>
      <c r="DC880">
        <v>-3.64</v>
      </c>
      <c r="DD880">
        <v>3.31</v>
      </c>
      <c r="DE880">
        <v>8510</v>
      </c>
      <c r="DF880">
        <v>2426</v>
      </c>
      <c r="DG880" t="s">
        <v>116</v>
      </c>
      <c r="DH880" t="s">
        <v>116</v>
      </c>
      <c r="DI880" t="s">
        <v>116</v>
      </c>
    </row>
    <row r="881" spans="1:113" x14ac:dyDescent="0.4">
      <c r="A881" t="str">
        <f>"002427"</f>
        <v>002427</v>
      </c>
      <c r="B881" t="s">
        <v>5293</v>
      </c>
      <c r="C881">
        <v>-0.22</v>
      </c>
      <c r="D881">
        <v>8.98</v>
      </c>
      <c r="E881">
        <v>-0.02</v>
      </c>
      <c r="F881">
        <v>8.9700000000000006</v>
      </c>
      <c r="G881">
        <v>8.98</v>
      </c>
      <c r="H881">
        <v>16108</v>
      </c>
      <c r="I881">
        <v>224</v>
      </c>
      <c r="J881">
        <v>-0.1</v>
      </c>
      <c r="K881">
        <v>0.42</v>
      </c>
      <c r="L881">
        <v>9.02</v>
      </c>
      <c r="M881">
        <v>9.09</v>
      </c>
      <c r="N881">
        <v>8.93</v>
      </c>
      <c r="O881">
        <v>9</v>
      </c>
      <c r="P881" t="s">
        <v>116</v>
      </c>
      <c r="Q881">
        <v>14489893</v>
      </c>
      <c r="R881">
        <v>0.44</v>
      </c>
      <c r="S881" t="s">
        <v>630</v>
      </c>
      <c r="T881" t="s">
        <v>590</v>
      </c>
      <c r="U881">
        <v>1.78</v>
      </c>
      <c r="V881">
        <v>9</v>
      </c>
      <c r="W881">
        <v>9469</v>
      </c>
      <c r="X881">
        <v>6639</v>
      </c>
      <c r="Y881">
        <v>1.43</v>
      </c>
      <c r="Z881">
        <v>74</v>
      </c>
      <c r="AA881">
        <v>123</v>
      </c>
      <c r="AB881" t="s">
        <v>116</v>
      </c>
      <c r="AC881">
        <v>28000</v>
      </c>
      <c r="AD881">
        <v>0</v>
      </c>
      <c r="AE881" t="s">
        <v>116</v>
      </c>
      <c r="AF881" t="s">
        <v>116</v>
      </c>
      <c r="AG881">
        <v>3.85</v>
      </c>
      <c r="AH881" t="s">
        <v>5294</v>
      </c>
      <c r="AI881" t="s">
        <v>4167</v>
      </c>
      <c r="AJ881">
        <v>0.46</v>
      </c>
      <c r="AK881">
        <v>704</v>
      </c>
      <c r="AL881">
        <v>23</v>
      </c>
      <c r="AM881">
        <v>5.9999999999999995E-4</v>
      </c>
      <c r="AN881">
        <v>-3</v>
      </c>
      <c r="AO881">
        <v>-4.5599999999999996</v>
      </c>
      <c r="AP881">
        <v>5.9</v>
      </c>
      <c r="AQ881">
        <v>-29.4</v>
      </c>
      <c r="AR881">
        <v>-34.07</v>
      </c>
      <c r="AS881">
        <v>1.1100000000000001</v>
      </c>
      <c r="AT881" t="s">
        <v>5295</v>
      </c>
      <c r="AU881" t="s">
        <v>116</v>
      </c>
      <c r="AV881" t="s">
        <v>116</v>
      </c>
      <c r="AW881">
        <v>0.81</v>
      </c>
      <c r="BA881">
        <v>0.22</v>
      </c>
      <c r="BB881">
        <v>1</v>
      </c>
      <c r="BC881">
        <v>-0.78</v>
      </c>
      <c r="BD881">
        <v>-0.05</v>
      </c>
      <c r="BE881">
        <v>-0.44</v>
      </c>
      <c r="BF881">
        <v>-1.21</v>
      </c>
      <c r="BG881">
        <v>0.56000000000000005</v>
      </c>
      <c r="BH881">
        <v>-0.17</v>
      </c>
      <c r="BI881">
        <v>20191117</v>
      </c>
      <c r="BJ881">
        <v>20100608</v>
      </c>
      <c r="BK881">
        <v>3.98</v>
      </c>
      <c r="BL881" t="s">
        <v>116</v>
      </c>
      <c r="BM881" t="s">
        <v>116</v>
      </c>
      <c r="BN881">
        <v>58.5</v>
      </c>
      <c r="BO881">
        <v>7.08</v>
      </c>
      <c r="BP881">
        <v>0</v>
      </c>
      <c r="BQ881">
        <v>87.89</v>
      </c>
      <c r="BR881">
        <v>26.2</v>
      </c>
      <c r="BS881">
        <v>16.170000000000002</v>
      </c>
      <c r="BT881">
        <v>2.66</v>
      </c>
      <c r="BU881">
        <v>43.07</v>
      </c>
      <c r="BV881">
        <v>3.75</v>
      </c>
      <c r="BW881">
        <v>8.06</v>
      </c>
      <c r="BX881">
        <v>5.9</v>
      </c>
      <c r="BY881">
        <v>23.85</v>
      </c>
      <c r="BZ881">
        <v>19.72</v>
      </c>
      <c r="CA881">
        <v>-0.19</v>
      </c>
      <c r="CB881">
        <v>0.06</v>
      </c>
      <c r="CC881">
        <v>-0.19</v>
      </c>
      <c r="CD881">
        <v>-0.37</v>
      </c>
      <c r="CE881">
        <v>-0.38</v>
      </c>
      <c r="CF881">
        <v>-0.96</v>
      </c>
      <c r="CG881">
        <v>-3.77</v>
      </c>
      <c r="CH881">
        <v>2.52</v>
      </c>
      <c r="CI881">
        <v>-2.54</v>
      </c>
      <c r="CJ881">
        <v>10096</v>
      </c>
      <c r="CK881">
        <v>14371</v>
      </c>
      <c r="CL881" t="s">
        <v>5296</v>
      </c>
      <c r="CM881">
        <v>-353.87</v>
      </c>
      <c r="CN881">
        <v>-18.46</v>
      </c>
      <c r="CO881">
        <v>5.05</v>
      </c>
      <c r="CP881">
        <v>14.2</v>
      </c>
      <c r="CQ881">
        <v>1.5</v>
      </c>
      <c r="CR881">
        <v>0</v>
      </c>
      <c r="CS881" t="s">
        <v>5297</v>
      </c>
      <c r="CT881">
        <v>1.78</v>
      </c>
      <c r="CU881">
        <v>0</v>
      </c>
      <c r="CV881">
        <v>1.48</v>
      </c>
      <c r="CW881">
        <v>-0.95</v>
      </c>
      <c r="CX881">
        <v>0.63</v>
      </c>
      <c r="CY881">
        <v>12.1</v>
      </c>
      <c r="CZ881" t="s">
        <v>5298</v>
      </c>
      <c r="DA881">
        <v>17.3</v>
      </c>
      <c r="DB881">
        <v>-0.8</v>
      </c>
      <c r="DC881">
        <v>-1.6</v>
      </c>
      <c r="DD881">
        <v>0.93</v>
      </c>
      <c r="DE881">
        <v>2274</v>
      </c>
      <c r="DF881">
        <v>2427</v>
      </c>
      <c r="DG881" t="s">
        <v>116</v>
      </c>
      <c r="DH881" t="s">
        <v>116</v>
      </c>
      <c r="DI881" t="s">
        <v>116</v>
      </c>
    </row>
    <row r="882" spans="1:113" x14ac:dyDescent="0.4">
      <c r="A882" t="str">
        <f>"002428"</f>
        <v>002428</v>
      </c>
      <c r="B882" t="s">
        <v>5299</v>
      </c>
      <c r="C882">
        <v>10.039999999999999</v>
      </c>
      <c r="D882">
        <v>9.1</v>
      </c>
      <c r="E882">
        <v>0.83</v>
      </c>
      <c r="F882">
        <v>9.1</v>
      </c>
      <c r="G882" t="s">
        <v>116</v>
      </c>
      <c r="H882">
        <v>147133</v>
      </c>
      <c r="I882">
        <v>3946</v>
      </c>
      <c r="J882">
        <v>0</v>
      </c>
      <c r="K882">
        <v>2.2799999999999998</v>
      </c>
      <c r="L882">
        <v>8.9499999999999993</v>
      </c>
      <c r="M882">
        <v>9.1</v>
      </c>
      <c r="N882">
        <v>8.9499999999999993</v>
      </c>
      <c r="O882">
        <v>8.27</v>
      </c>
      <c r="P882" t="s">
        <v>116</v>
      </c>
      <c r="Q882">
        <v>133691392</v>
      </c>
      <c r="R882">
        <v>0.65</v>
      </c>
      <c r="S882" t="s">
        <v>1509</v>
      </c>
      <c r="T882" t="s">
        <v>1043</v>
      </c>
      <c r="U882">
        <v>1.81</v>
      </c>
      <c r="V882">
        <v>9.09</v>
      </c>
      <c r="W882">
        <v>129404</v>
      </c>
      <c r="X882">
        <v>17729</v>
      </c>
      <c r="Y882">
        <v>7.3</v>
      </c>
      <c r="Z882">
        <v>54744</v>
      </c>
      <c r="AA882">
        <v>0</v>
      </c>
      <c r="AB882" t="s">
        <v>116</v>
      </c>
      <c r="AC882">
        <v>10501899</v>
      </c>
      <c r="AD882">
        <v>0.24</v>
      </c>
      <c r="AE882">
        <v>0.37</v>
      </c>
      <c r="AF882">
        <v>49817044</v>
      </c>
      <c r="AG882">
        <v>6.44</v>
      </c>
      <c r="AH882" t="s">
        <v>5300</v>
      </c>
      <c r="AI882" t="s">
        <v>5301</v>
      </c>
      <c r="AJ882">
        <v>10.72</v>
      </c>
      <c r="AK882">
        <v>1566</v>
      </c>
      <c r="AL882">
        <v>94</v>
      </c>
      <c r="AM882">
        <v>1.5E-3</v>
      </c>
      <c r="AN882">
        <v>1</v>
      </c>
      <c r="AO882">
        <v>10.71</v>
      </c>
      <c r="AP882">
        <v>26.39</v>
      </c>
      <c r="AQ882">
        <v>12.35</v>
      </c>
      <c r="AR882">
        <v>82</v>
      </c>
      <c r="AS882">
        <v>3.06</v>
      </c>
      <c r="AT882" t="s">
        <v>5302</v>
      </c>
      <c r="AU882" t="s">
        <v>116</v>
      </c>
      <c r="AV882">
        <v>689.43</v>
      </c>
      <c r="AW882">
        <v>1.2</v>
      </c>
      <c r="BA882">
        <v>8.2200000000000006</v>
      </c>
      <c r="BB882">
        <v>10.039999999999999</v>
      </c>
      <c r="BC882">
        <v>8.2200000000000006</v>
      </c>
      <c r="BD882">
        <v>9.8699999999999992</v>
      </c>
      <c r="BE882">
        <v>1.68</v>
      </c>
      <c r="BF882">
        <v>0</v>
      </c>
      <c r="BG882">
        <v>1.68</v>
      </c>
      <c r="BH882">
        <v>0.16</v>
      </c>
      <c r="BI882">
        <v>20191225</v>
      </c>
      <c r="BJ882">
        <v>20100608</v>
      </c>
      <c r="BK882">
        <v>6.53</v>
      </c>
      <c r="BL882" t="s">
        <v>116</v>
      </c>
      <c r="BM882" t="s">
        <v>116</v>
      </c>
      <c r="BN882">
        <v>21.24</v>
      </c>
      <c r="BO882">
        <v>14.78</v>
      </c>
      <c r="BP882">
        <v>0.52</v>
      </c>
      <c r="BQ882">
        <v>28.01</v>
      </c>
      <c r="BR882">
        <v>7.19</v>
      </c>
      <c r="BS882">
        <v>9.01</v>
      </c>
      <c r="BT882">
        <v>3.54</v>
      </c>
      <c r="BU882">
        <v>4.7</v>
      </c>
      <c r="BV882">
        <v>3.99</v>
      </c>
      <c r="BW882">
        <v>1.07</v>
      </c>
      <c r="BX882">
        <v>3.28</v>
      </c>
      <c r="BY882">
        <v>3.33</v>
      </c>
      <c r="BZ882">
        <v>2.77</v>
      </c>
      <c r="CA882">
        <v>-0.09</v>
      </c>
      <c r="CB882">
        <v>0</v>
      </c>
      <c r="CC882">
        <v>-0.09</v>
      </c>
      <c r="CD882">
        <v>-0.08</v>
      </c>
      <c r="CE882">
        <v>-0.11</v>
      </c>
      <c r="CF882">
        <v>-0.17</v>
      </c>
      <c r="CG882">
        <v>4.09</v>
      </c>
      <c r="CH882">
        <v>-0.88</v>
      </c>
      <c r="CI882">
        <v>0.21</v>
      </c>
      <c r="CJ882">
        <v>60000</v>
      </c>
      <c r="CK882">
        <v>8009</v>
      </c>
      <c r="CL882" t="s">
        <v>957</v>
      </c>
      <c r="CM882">
        <v>-218.3</v>
      </c>
      <c r="CN882">
        <v>4.18</v>
      </c>
      <c r="CO882">
        <v>4.0199999999999996</v>
      </c>
      <c r="CP882">
        <v>-67.44</v>
      </c>
      <c r="CQ882">
        <v>17.850000000000001</v>
      </c>
      <c r="CR882">
        <v>0</v>
      </c>
      <c r="CS882" t="s">
        <v>4439</v>
      </c>
      <c r="CT882">
        <v>2.2599999999999998</v>
      </c>
      <c r="CU882">
        <v>0</v>
      </c>
      <c r="CV882">
        <v>0.5</v>
      </c>
      <c r="CW882">
        <v>0.63</v>
      </c>
      <c r="CX882">
        <v>-0.13</v>
      </c>
      <c r="CY882">
        <v>69.55</v>
      </c>
      <c r="CZ882" t="s">
        <v>5303</v>
      </c>
      <c r="DA882">
        <v>16.690000000000001</v>
      </c>
      <c r="DB882">
        <v>-2.61</v>
      </c>
      <c r="DC882">
        <v>-3.23</v>
      </c>
      <c r="DD882">
        <v>7.0000000000000007E-2</v>
      </c>
      <c r="DE882">
        <v>1617</v>
      </c>
      <c r="DF882">
        <v>2428</v>
      </c>
      <c r="DG882" t="s">
        <v>116</v>
      </c>
      <c r="DH882" t="s">
        <v>116</v>
      </c>
      <c r="DI882" t="s">
        <v>116</v>
      </c>
    </row>
    <row r="883" spans="1:113" x14ac:dyDescent="0.4">
      <c r="A883" t="str">
        <f>"002429"</f>
        <v>002429</v>
      </c>
      <c r="B883" t="s">
        <v>5304</v>
      </c>
      <c r="C883">
        <v>-2.85</v>
      </c>
      <c r="D883">
        <v>3.41</v>
      </c>
      <c r="E883">
        <v>-0.1</v>
      </c>
      <c r="F883">
        <v>3.41</v>
      </c>
      <c r="G883">
        <v>3.42</v>
      </c>
      <c r="H883">
        <v>701830</v>
      </c>
      <c r="I883">
        <v>6311</v>
      </c>
      <c r="J883">
        <v>-0.56999999999999995</v>
      </c>
      <c r="K883">
        <v>1.56</v>
      </c>
      <c r="L883">
        <v>3.56</v>
      </c>
      <c r="M883">
        <v>3.58</v>
      </c>
      <c r="N883">
        <v>3.41</v>
      </c>
      <c r="O883">
        <v>3.51</v>
      </c>
      <c r="P883">
        <v>17.29</v>
      </c>
      <c r="Q883">
        <v>245412528</v>
      </c>
      <c r="R883">
        <v>1.01</v>
      </c>
      <c r="S883" t="s">
        <v>209</v>
      </c>
      <c r="T883" t="s">
        <v>115</v>
      </c>
      <c r="U883">
        <v>4.84</v>
      </c>
      <c r="V883">
        <v>3.5</v>
      </c>
      <c r="W883">
        <v>413189</v>
      </c>
      <c r="X883">
        <v>288641</v>
      </c>
      <c r="Y883">
        <v>1.43</v>
      </c>
      <c r="Z883">
        <v>8143</v>
      </c>
      <c r="AA883">
        <v>6280</v>
      </c>
      <c r="AB883" t="s">
        <v>116</v>
      </c>
      <c r="AC883">
        <v>3715900</v>
      </c>
      <c r="AD883">
        <v>7.0000000000000007E-2</v>
      </c>
      <c r="AE883" t="s">
        <v>116</v>
      </c>
      <c r="AF883" t="s">
        <v>116</v>
      </c>
      <c r="AG883">
        <v>44.96</v>
      </c>
      <c r="AH883" t="s">
        <v>5305</v>
      </c>
      <c r="AI883" t="s">
        <v>5306</v>
      </c>
      <c r="AJ883">
        <v>-2.17</v>
      </c>
      <c r="AK883">
        <v>3367</v>
      </c>
      <c r="AL883">
        <v>208</v>
      </c>
      <c r="AM883">
        <v>5.0000000000000001E-4</v>
      </c>
      <c r="AN883">
        <v>-1</v>
      </c>
      <c r="AO883">
        <v>-2.85</v>
      </c>
      <c r="AP883">
        <v>16.78</v>
      </c>
      <c r="AQ883">
        <v>21.79</v>
      </c>
      <c r="AR883">
        <v>79.47</v>
      </c>
      <c r="AS883">
        <v>4.4400000000000004</v>
      </c>
      <c r="AT883" t="s">
        <v>5307</v>
      </c>
      <c r="AU883">
        <v>20.34</v>
      </c>
      <c r="AV883">
        <v>34.659999999999997</v>
      </c>
      <c r="AW883">
        <v>1.22</v>
      </c>
      <c r="BA883">
        <v>1.42</v>
      </c>
      <c r="BB883">
        <v>1.99</v>
      </c>
      <c r="BC883">
        <v>-2.85</v>
      </c>
      <c r="BD883">
        <v>-0.38</v>
      </c>
      <c r="BE883">
        <v>-4.21</v>
      </c>
      <c r="BF883">
        <v>-4.75</v>
      </c>
      <c r="BG883">
        <v>0</v>
      </c>
      <c r="BH883">
        <v>-2.4700000000000002</v>
      </c>
      <c r="BI883">
        <v>20191223</v>
      </c>
      <c r="BJ883">
        <v>20100610</v>
      </c>
      <c r="BK883">
        <v>45.27</v>
      </c>
      <c r="BL883" t="s">
        <v>116</v>
      </c>
      <c r="BM883" t="s">
        <v>116</v>
      </c>
      <c r="BN883">
        <v>191.37</v>
      </c>
      <c r="BO883">
        <v>93.13</v>
      </c>
      <c r="BP883">
        <v>0.02</v>
      </c>
      <c r="BQ883">
        <v>51.33</v>
      </c>
      <c r="BR883">
        <v>132.56</v>
      </c>
      <c r="BS883">
        <v>12.31</v>
      </c>
      <c r="BT883">
        <v>2.4</v>
      </c>
      <c r="BU883">
        <v>73.11</v>
      </c>
      <c r="BV883">
        <v>17.18</v>
      </c>
      <c r="BW883">
        <v>32.26</v>
      </c>
      <c r="BX883">
        <v>1.69</v>
      </c>
      <c r="BY883">
        <v>90.32</v>
      </c>
      <c r="BZ883">
        <v>78.569999999999993</v>
      </c>
      <c r="CA883">
        <v>8.7899999999999991</v>
      </c>
      <c r="CB883">
        <v>0.41</v>
      </c>
      <c r="CC883">
        <v>7.85</v>
      </c>
      <c r="CD883">
        <v>7.06</v>
      </c>
      <c r="CE883">
        <v>6.7</v>
      </c>
      <c r="CF883">
        <v>5.48</v>
      </c>
      <c r="CG883">
        <v>42.76</v>
      </c>
      <c r="CH883">
        <v>-6.79</v>
      </c>
      <c r="CI883">
        <v>-5.53</v>
      </c>
      <c r="CJ883">
        <v>70000</v>
      </c>
      <c r="CK883">
        <v>22589</v>
      </c>
      <c r="CL883" t="s">
        <v>199</v>
      </c>
      <c r="CM883">
        <v>88</v>
      </c>
      <c r="CN883">
        <v>0.65</v>
      </c>
      <c r="CO883">
        <v>1.66</v>
      </c>
      <c r="CP883">
        <v>-22.73</v>
      </c>
      <c r="CQ883">
        <v>1.71</v>
      </c>
      <c r="CR883">
        <v>0</v>
      </c>
      <c r="CS883" t="s">
        <v>1195</v>
      </c>
      <c r="CT883">
        <v>2.06</v>
      </c>
      <c r="CU883">
        <v>0</v>
      </c>
      <c r="CV883">
        <v>0.04</v>
      </c>
      <c r="CW883">
        <v>0.94</v>
      </c>
      <c r="CX883">
        <v>-0.15</v>
      </c>
      <c r="CY883">
        <v>48.66</v>
      </c>
      <c r="CZ883" t="s">
        <v>5308</v>
      </c>
      <c r="DA883">
        <v>13.01</v>
      </c>
      <c r="DB883">
        <v>9.73</v>
      </c>
      <c r="DC883">
        <v>7.41</v>
      </c>
      <c r="DD883">
        <v>1.64</v>
      </c>
      <c r="DE883">
        <v>7158</v>
      </c>
      <c r="DF883">
        <v>2429</v>
      </c>
      <c r="DG883" t="s">
        <v>116</v>
      </c>
      <c r="DH883" t="s">
        <v>116</v>
      </c>
      <c r="DI883" t="s">
        <v>116</v>
      </c>
    </row>
    <row r="884" spans="1:113" x14ac:dyDescent="0.4">
      <c r="A884" t="str">
        <f>"002430"</f>
        <v>002430</v>
      </c>
      <c r="B884" t="s">
        <v>5309</v>
      </c>
      <c r="C884">
        <v>-1.74</v>
      </c>
      <c r="D884">
        <v>12.97</v>
      </c>
      <c r="E884">
        <v>-0.23</v>
      </c>
      <c r="F884">
        <v>12.97</v>
      </c>
      <c r="G884">
        <v>12.98</v>
      </c>
      <c r="H884">
        <v>74565</v>
      </c>
      <c r="I884">
        <v>897</v>
      </c>
      <c r="J884">
        <v>-0.14000000000000001</v>
      </c>
      <c r="K884">
        <v>0.78</v>
      </c>
      <c r="L884">
        <v>13.32</v>
      </c>
      <c r="M884">
        <v>13.32</v>
      </c>
      <c r="N884">
        <v>12.93</v>
      </c>
      <c r="O884">
        <v>13.2</v>
      </c>
      <c r="P884">
        <v>17.649999999999999</v>
      </c>
      <c r="Q884">
        <v>97703784</v>
      </c>
      <c r="R884">
        <v>0.7</v>
      </c>
      <c r="S884" t="s">
        <v>2426</v>
      </c>
      <c r="T884" t="s">
        <v>590</v>
      </c>
      <c r="U884">
        <v>2.95</v>
      </c>
      <c r="V884">
        <v>13.1</v>
      </c>
      <c r="W884">
        <v>48841</v>
      </c>
      <c r="X884">
        <v>25724</v>
      </c>
      <c r="Y884">
        <v>1.9</v>
      </c>
      <c r="Z884">
        <v>1238</v>
      </c>
      <c r="AA884">
        <v>47</v>
      </c>
      <c r="AB884" t="s">
        <v>116</v>
      </c>
      <c r="AC884">
        <v>1521100</v>
      </c>
      <c r="AD884">
        <v>0.03</v>
      </c>
      <c r="AE884" t="s">
        <v>116</v>
      </c>
      <c r="AF884" t="s">
        <v>116</v>
      </c>
      <c r="AG884">
        <v>9.5</v>
      </c>
      <c r="AH884" t="s">
        <v>5310</v>
      </c>
      <c r="AI884" t="s">
        <v>5311</v>
      </c>
      <c r="AJ884">
        <v>-1.06</v>
      </c>
      <c r="AK884">
        <v>2226</v>
      </c>
      <c r="AL884">
        <v>33</v>
      </c>
      <c r="AM884">
        <v>4.0000000000000002E-4</v>
      </c>
      <c r="AN884">
        <v>-1</v>
      </c>
      <c r="AO884">
        <v>0.61</v>
      </c>
      <c r="AP884">
        <v>9.36</v>
      </c>
      <c r="AQ884">
        <v>0.86</v>
      </c>
      <c r="AR884">
        <v>41.44</v>
      </c>
      <c r="AS884">
        <v>2.17</v>
      </c>
      <c r="AT884" t="s">
        <v>4883</v>
      </c>
      <c r="AU884">
        <v>17.07</v>
      </c>
      <c r="AV884">
        <v>16.89</v>
      </c>
      <c r="AW884">
        <v>0.79</v>
      </c>
      <c r="BA884">
        <v>0.91</v>
      </c>
      <c r="BB884">
        <v>0.91</v>
      </c>
      <c r="BC884">
        <v>-2.0499999999999998</v>
      </c>
      <c r="BD884">
        <v>-0.73</v>
      </c>
      <c r="BE884">
        <v>-2.63</v>
      </c>
      <c r="BF884">
        <v>-2.63</v>
      </c>
      <c r="BG884">
        <v>0.31</v>
      </c>
      <c r="BH884">
        <v>-1.01</v>
      </c>
      <c r="BI884">
        <v>20191224</v>
      </c>
      <c r="BJ884">
        <v>20100610</v>
      </c>
      <c r="BK884">
        <v>9.65</v>
      </c>
      <c r="BL884" t="s">
        <v>116</v>
      </c>
      <c r="BM884" t="s">
        <v>116</v>
      </c>
      <c r="BN884">
        <v>120.74</v>
      </c>
      <c r="BO884">
        <v>56.78</v>
      </c>
      <c r="BP884">
        <v>4.0999999999999996</v>
      </c>
      <c r="BQ884">
        <v>49.57</v>
      </c>
      <c r="BR884">
        <v>66.290000000000006</v>
      </c>
      <c r="BS884">
        <v>39.31</v>
      </c>
      <c r="BT884">
        <v>3.1</v>
      </c>
      <c r="BU884">
        <v>44.81</v>
      </c>
      <c r="BV884">
        <v>15.42</v>
      </c>
      <c r="BW884">
        <v>17.04</v>
      </c>
      <c r="BX884">
        <v>16.170000000000002</v>
      </c>
      <c r="BY884">
        <v>59.87</v>
      </c>
      <c r="BZ884">
        <v>47.3</v>
      </c>
      <c r="CA884">
        <v>6.88</v>
      </c>
      <c r="CB884">
        <v>0.08</v>
      </c>
      <c r="CC884">
        <v>6.91</v>
      </c>
      <c r="CD884">
        <v>5.68</v>
      </c>
      <c r="CE884">
        <v>5.32</v>
      </c>
      <c r="CF884">
        <v>4.9000000000000004</v>
      </c>
      <c r="CG884">
        <v>26.78</v>
      </c>
      <c r="CH884">
        <v>8.3000000000000007</v>
      </c>
      <c r="CI884">
        <v>3.4</v>
      </c>
      <c r="CJ884">
        <v>23123</v>
      </c>
      <c r="CK884">
        <v>14831</v>
      </c>
      <c r="CL884" t="s">
        <v>5312</v>
      </c>
      <c r="CM884">
        <v>-1.47</v>
      </c>
      <c r="CN884">
        <v>0.32</v>
      </c>
      <c r="CO884">
        <v>2.2000000000000002</v>
      </c>
      <c r="CP884">
        <v>15.08</v>
      </c>
      <c r="CQ884">
        <v>2.09</v>
      </c>
      <c r="CR884">
        <v>1.39</v>
      </c>
      <c r="CS884" t="s">
        <v>5313</v>
      </c>
      <c r="CT884">
        <v>5.89</v>
      </c>
      <c r="CU884">
        <v>0</v>
      </c>
      <c r="CV884">
        <v>1.68</v>
      </c>
      <c r="CW884">
        <v>2.78</v>
      </c>
      <c r="CX884">
        <v>0.86</v>
      </c>
      <c r="CY884">
        <v>47.03</v>
      </c>
      <c r="CZ884" t="s">
        <v>2310</v>
      </c>
      <c r="DA884">
        <v>20.99</v>
      </c>
      <c r="DB884">
        <v>11.5</v>
      </c>
      <c r="DC884">
        <v>8.8800000000000008</v>
      </c>
      <c r="DD884">
        <v>1.48</v>
      </c>
      <c r="DE884">
        <v>4048</v>
      </c>
      <c r="DF884">
        <v>2430</v>
      </c>
      <c r="DG884" t="s">
        <v>116</v>
      </c>
      <c r="DH884" t="s">
        <v>116</v>
      </c>
      <c r="DI884" t="s">
        <v>116</v>
      </c>
    </row>
    <row r="885" spans="1:113" x14ac:dyDescent="0.4">
      <c r="A885" t="str">
        <f>"002431"</f>
        <v>002431</v>
      </c>
      <c r="B885" t="s">
        <v>5314</v>
      </c>
      <c r="C885">
        <v>-0.33</v>
      </c>
      <c r="D885">
        <v>3.04</v>
      </c>
      <c r="E885">
        <v>-0.01</v>
      </c>
      <c r="F885">
        <v>3.04</v>
      </c>
      <c r="G885">
        <v>3.05</v>
      </c>
      <c r="H885">
        <v>141523</v>
      </c>
      <c r="I885">
        <v>748</v>
      </c>
      <c r="J885">
        <v>-0.32</v>
      </c>
      <c r="K885">
        <v>1.07</v>
      </c>
      <c r="L885">
        <v>3.06</v>
      </c>
      <c r="M885">
        <v>3.07</v>
      </c>
      <c r="N885">
        <v>3.04</v>
      </c>
      <c r="O885">
        <v>3.05</v>
      </c>
      <c r="P885" t="s">
        <v>116</v>
      </c>
      <c r="Q885">
        <v>43260536</v>
      </c>
      <c r="R885">
        <v>1.17</v>
      </c>
      <c r="S885" t="s">
        <v>181</v>
      </c>
      <c r="T885" t="s">
        <v>551</v>
      </c>
      <c r="U885">
        <v>0.98</v>
      </c>
      <c r="V885">
        <v>3.06</v>
      </c>
      <c r="W885">
        <v>81376</v>
      </c>
      <c r="X885">
        <v>60147</v>
      </c>
      <c r="Y885">
        <v>1.35</v>
      </c>
      <c r="Z885">
        <v>6584</v>
      </c>
      <c r="AA885">
        <v>1921</v>
      </c>
      <c r="AB885" t="s">
        <v>116</v>
      </c>
      <c r="AC885">
        <v>101000</v>
      </c>
      <c r="AD885">
        <v>0</v>
      </c>
      <c r="AE885" t="s">
        <v>116</v>
      </c>
      <c r="AF885" t="s">
        <v>116</v>
      </c>
      <c r="AG885">
        <v>13.25</v>
      </c>
      <c r="AH885" t="s">
        <v>5315</v>
      </c>
      <c r="AI885" t="s">
        <v>5316</v>
      </c>
      <c r="AJ885">
        <v>0.35</v>
      </c>
      <c r="AK885">
        <v>1019</v>
      </c>
      <c r="AL885">
        <v>139</v>
      </c>
      <c r="AM885">
        <v>1E-3</v>
      </c>
      <c r="AN885">
        <v>-1</v>
      </c>
      <c r="AO885">
        <v>-0.98</v>
      </c>
      <c r="AP885">
        <v>0</v>
      </c>
      <c r="AQ885">
        <v>-2.56</v>
      </c>
      <c r="AR885">
        <v>-14.85</v>
      </c>
      <c r="AS885">
        <v>1.48</v>
      </c>
      <c r="AT885" t="s">
        <v>5317</v>
      </c>
      <c r="AU885" t="s">
        <v>116</v>
      </c>
      <c r="AV885">
        <v>90.05</v>
      </c>
      <c r="AW885">
        <v>0.81</v>
      </c>
      <c r="BA885">
        <v>0.33</v>
      </c>
      <c r="BB885">
        <v>0.66</v>
      </c>
      <c r="BC885">
        <v>-0.33</v>
      </c>
      <c r="BD885">
        <v>0.22</v>
      </c>
      <c r="BE885">
        <v>-0.65</v>
      </c>
      <c r="BF885">
        <v>-0.98</v>
      </c>
      <c r="BG885">
        <v>0</v>
      </c>
      <c r="BH885">
        <v>-0.55000000000000004</v>
      </c>
      <c r="BI885">
        <v>20191225</v>
      </c>
      <c r="BJ885">
        <v>20100610</v>
      </c>
      <c r="BK885">
        <v>14.87</v>
      </c>
      <c r="BL885" t="s">
        <v>116</v>
      </c>
      <c r="BM885" t="s">
        <v>116</v>
      </c>
      <c r="BN885">
        <v>175.09</v>
      </c>
      <c r="BO885">
        <v>53.59</v>
      </c>
      <c r="BP885">
        <v>2.29</v>
      </c>
      <c r="BQ885">
        <v>68.09</v>
      </c>
      <c r="BR885">
        <v>120.29</v>
      </c>
      <c r="BS885">
        <v>6.32</v>
      </c>
      <c r="BT885">
        <v>0.91</v>
      </c>
      <c r="BU885">
        <v>98.27</v>
      </c>
      <c r="BV885">
        <v>75.39</v>
      </c>
      <c r="BW885">
        <v>14.94</v>
      </c>
      <c r="BX885">
        <v>23.27</v>
      </c>
      <c r="BY885">
        <v>20.350000000000001</v>
      </c>
      <c r="BZ885">
        <v>17.39</v>
      </c>
      <c r="CA885">
        <v>-2.09</v>
      </c>
      <c r="CB885">
        <v>0.68</v>
      </c>
      <c r="CC885">
        <v>-2.1</v>
      </c>
      <c r="CD885">
        <v>-2.0499999999999998</v>
      </c>
      <c r="CE885">
        <v>-1.85</v>
      </c>
      <c r="CF885">
        <v>-2.36</v>
      </c>
      <c r="CG885">
        <v>13.1</v>
      </c>
      <c r="CH885">
        <v>-3.71</v>
      </c>
      <c r="CI885">
        <v>-5.14</v>
      </c>
      <c r="CJ885">
        <v>84600</v>
      </c>
      <c r="CK885">
        <v>11269</v>
      </c>
      <c r="CL885" t="s">
        <v>1521</v>
      </c>
      <c r="CM885">
        <v>-1339.74</v>
      </c>
      <c r="CN885">
        <v>-45.19</v>
      </c>
      <c r="CO885">
        <v>0.84</v>
      </c>
      <c r="CP885">
        <v>-12.19</v>
      </c>
      <c r="CQ885">
        <v>2.2200000000000002</v>
      </c>
      <c r="CR885">
        <v>0</v>
      </c>
      <c r="CS885" t="s">
        <v>5318</v>
      </c>
      <c r="CT885">
        <v>3.6</v>
      </c>
      <c r="CU885">
        <v>0</v>
      </c>
      <c r="CV885">
        <v>1.56</v>
      </c>
      <c r="CW885">
        <v>0.88</v>
      </c>
      <c r="CX885">
        <v>-0.25</v>
      </c>
      <c r="CY885">
        <v>30.61</v>
      </c>
      <c r="CZ885" t="s">
        <v>2233</v>
      </c>
      <c r="DA885">
        <v>14.57</v>
      </c>
      <c r="DB885">
        <v>-10.25</v>
      </c>
      <c r="DC885">
        <v>-9.09</v>
      </c>
      <c r="DD885">
        <v>0.8</v>
      </c>
      <c r="DE885">
        <v>1557</v>
      </c>
      <c r="DF885">
        <v>2431</v>
      </c>
      <c r="DG885" t="s">
        <v>116</v>
      </c>
      <c r="DH885" t="s">
        <v>116</v>
      </c>
      <c r="DI885" t="s">
        <v>116</v>
      </c>
    </row>
    <row r="886" spans="1:113" x14ac:dyDescent="0.4">
      <c r="A886" t="str">
        <f>"002432"</f>
        <v>002432</v>
      </c>
      <c r="B886" t="s">
        <v>5319</v>
      </c>
      <c r="C886">
        <v>-0.4</v>
      </c>
      <c r="D886">
        <v>5.0199999999999996</v>
      </c>
      <c r="E886">
        <v>-0.02</v>
      </c>
      <c r="F886">
        <v>5.0199999999999996</v>
      </c>
      <c r="G886">
        <v>5.03</v>
      </c>
      <c r="H886">
        <v>58258</v>
      </c>
      <c r="I886">
        <v>620</v>
      </c>
      <c r="J886">
        <v>0</v>
      </c>
      <c r="K886">
        <v>1.35</v>
      </c>
      <c r="L886">
        <v>5.04</v>
      </c>
      <c r="M886">
        <v>5.09</v>
      </c>
      <c r="N886">
        <v>5.01</v>
      </c>
      <c r="O886">
        <v>5.04</v>
      </c>
      <c r="P886" t="s">
        <v>116</v>
      </c>
      <c r="Q886">
        <v>29449738</v>
      </c>
      <c r="R886">
        <v>0.9</v>
      </c>
      <c r="S886" t="s">
        <v>559</v>
      </c>
      <c r="T886" t="s">
        <v>1035</v>
      </c>
      <c r="U886">
        <v>1.59</v>
      </c>
      <c r="V886">
        <v>5.0599999999999996</v>
      </c>
      <c r="W886">
        <v>34155</v>
      </c>
      <c r="X886">
        <v>24103</v>
      </c>
      <c r="Y886">
        <v>1.42</v>
      </c>
      <c r="Z886">
        <v>957</v>
      </c>
      <c r="AA886">
        <v>628</v>
      </c>
      <c r="AB886" t="s">
        <v>116</v>
      </c>
      <c r="AC886">
        <v>134100</v>
      </c>
      <c r="AD886">
        <v>0.01</v>
      </c>
      <c r="AE886" t="s">
        <v>116</v>
      </c>
      <c r="AF886" t="s">
        <v>116</v>
      </c>
      <c r="AG886">
        <v>4.33</v>
      </c>
      <c r="AH886" t="s">
        <v>5320</v>
      </c>
      <c r="AI886" t="s">
        <v>5320</v>
      </c>
      <c r="AJ886">
        <v>0.28000000000000003</v>
      </c>
      <c r="AK886">
        <v>1018</v>
      </c>
      <c r="AL886">
        <v>57</v>
      </c>
      <c r="AM886">
        <v>1.2999999999999999E-3</v>
      </c>
      <c r="AN886">
        <v>-1</v>
      </c>
      <c r="AO886">
        <v>-1.18</v>
      </c>
      <c r="AP886">
        <v>5.68</v>
      </c>
      <c r="AQ886">
        <v>-3.83</v>
      </c>
      <c r="AR886">
        <v>-2.33</v>
      </c>
      <c r="AS886">
        <v>2.02</v>
      </c>
      <c r="AT886" t="s">
        <v>5321</v>
      </c>
      <c r="AU886" t="s">
        <v>116</v>
      </c>
      <c r="AV886">
        <v>171.26</v>
      </c>
      <c r="AW886">
        <v>0.9</v>
      </c>
      <c r="BA886">
        <v>0</v>
      </c>
      <c r="BB886">
        <v>0.99</v>
      </c>
      <c r="BC886">
        <v>-0.6</v>
      </c>
      <c r="BD886">
        <v>0.3</v>
      </c>
      <c r="BE886">
        <v>-0.4</v>
      </c>
      <c r="BF886">
        <v>-1.38</v>
      </c>
      <c r="BG886">
        <v>0.2</v>
      </c>
      <c r="BH886">
        <v>-0.7</v>
      </c>
      <c r="BI886">
        <v>20191220</v>
      </c>
      <c r="BJ886">
        <v>20100610</v>
      </c>
      <c r="BK886">
        <v>4.33</v>
      </c>
      <c r="BL886" t="s">
        <v>116</v>
      </c>
      <c r="BM886" t="s">
        <v>116</v>
      </c>
      <c r="BN886">
        <v>18.3</v>
      </c>
      <c r="BO886">
        <v>15.01</v>
      </c>
      <c r="BP886">
        <v>-0.33</v>
      </c>
      <c r="BQ886">
        <v>19.739999999999998</v>
      </c>
      <c r="BR886">
        <v>8.61</v>
      </c>
      <c r="BS886">
        <v>2.02</v>
      </c>
      <c r="BT886">
        <v>1.1499999999999999</v>
      </c>
      <c r="BU886">
        <v>1.58</v>
      </c>
      <c r="BV886">
        <v>2.35</v>
      </c>
      <c r="BW886">
        <v>1.17</v>
      </c>
      <c r="BX886">
        <v>12.99</v>
      </c>
      <c r="BY886">
        <v>5.12</v>
      </c>
      <c r="BZ886">
        <v>3.68</v>
      </c>
      <c r="CA886">
        <v>-1.03</v>
      </c>
      <c r="CB886">
        <v>0.01</v>
      </c>
      <c r="CC886">
        <v>-1</v>
      </c>
      <c r="CD886">
        <v>-0.91</v>
      </c>
      <c r="CE886">
        <v>-0.8</v>
      </c>
      <c r="CF886">
        <v>-0.81</v>
      </c>
      <c r="CG886">
        <v>-2.89</v>
      </c>
      <c r="CH886">
        <v>-0.76</v>
      </c>
      <c r="CI886">
        <v>-1.33</v>
      </c>
      <c r="CJ886">
        <v>63000</v>
      </c>
      <c r="CK886">
        <v>4573</v>
      </c>
      <c r="CL886" t="s">
        <v>5322</v>
      </c>
      <c r="CM886">
        <v>-30.55</v>
      </c>
      <c r="CN886">
        <v>25.54</v>
      </c>
      <c r="CO886">
        <v>1.45</v>
      </c>
      <c r="CP886">
        <v>-28.45</v>
      </c>
      <c r="CQ886">
        <v>4.24</v>
      </c>
      <c r="CR886">
        <v>0</v>
      </c>
      <c r="CS886" t="s">
        <v>5323</v>
      </c>
      <c r="CT886">
        <v>3.47</v>
      </c>
      <c r="CU886">
        <v>0</v>
      </c>
      <c r="CV886">
        <v>3</v>
      </c>
      <c r="CW886">
        <v>-0.67</v>
      </c>
      <c r="CX886">
        <v>-0.18</v>
      </c>
      <c r="CY886">
        <v>82.05</v>
      </c>
      <c r="CZ886" t="s">
        <v>5324</v>
      </c>
      <c r="DA886">
        <v>28.21</v>
      </c>
      <c r="DB886">
        <v>-20.11</v>
      </c>
      <c r="DC886">
        <v>-15.54</v>
      </c>
      <c r="DD886">
        <v>0.52</v>
      </c>
      <c r="DE886">
        <v>1399</v>
      </c>
      <c r="DF886">
        <v>2432</v>
      </c>
      <c r="DG886" t="s">
        <v>116</v>
      </c>
      <c r="DH886" t="s">
        <v>116</v>
      </c>
      <c r="DI886" t="s">
        <v>116</v>
      </c>
    </row>
    <row r="887" spans="1:113" x14ac:dyDescent="0.4">
      <c r="A887" t="str">
        <f>"002433"</f>
        <v>002433</v>
      </c>
      <c r="B887" t="s">
        <v>5325</v>
      </c>
      <c r="C887">
        <v>-0.22</v>
      </c>
      <c r="D887">
        <v>4.51</v>
      </c>
      <c r="E887">
        <v>-0.01</v>
      </c>
      <c r="F887">
        <v>4.5</v>
      </c>
      <c r="G887">
        <v>4.51</v>
      </c>
      <c r="H887">
        <v>49238</v>
      </c>
      <c r="I887">
        <v>133</v>
      </c>
      <c r="J887">
        <v>0</v>
      </c>
      <c r="K887">
        <v>0.67</v>
      </c>
      <c r="L887">
        <v>4.5199999999999996</v>
      </c>
      <c r="M887">
        <v>4.5599999999999996</v>
      </c>
      <c r="N887">
        <v>4.49</v>
      </c>
      <c r="O887">
        <v>4.5199999999999996</v>
      </c>
      <c r="P887">
        <v>33.07</v>
      </c>
      <c r="Q887">
        <v>22287994</v>
      </c>
      <c r="R887">
        <v>1.22</v>
      </c>
      <c r="S887" t="s">
        <v>781</v>
      </c>
      <c r="T887" t="s">
        <v>551</v>
      </c>
      <c r="U887">
        <v>1.55</v>
      </c>
      <c r="V887">
        <v>4.53</v>
      </c>
      <c r="W887">
        <v>30050</v>
      </c>
      <c r="X887">
        <v>19188</v>
      </c>
      <c r="Y887">
        <v>1.57</v>
      </c>
      <c r="Z887">
        <v>407</v>
      </c>
      <c r="AA887">
        <v>1761</v>
      </c>
      <c r="AB887" t="s">
        <v>116</v>
      </c>
      <c r="AC887">
        <v>0</v>
      </c>
      <c r="AD887">
        <v>0</v>
      </c>
      <c r="AE887" t="s">
        <v>116</v>
      </c>
      <c r="AF887" t="s">
        <v>116</v>
      </c>
      <c r="AG887">
        <v>7.37</v>
      </c>
      <c r="AH887" t="s">
        <v>5326</v>
      </c>
      <c r="AI887" t="s">
        <v>5327</v>
      </c>
      <c r="AJ887">
        <v>0.46</v>
      </c>
      <c r="AK887">
        <v>772</v>
      </c>
      <c r="AL887">
        <v>64</v>
      </c>
      <c r="AM887">
        <v>8.9999999999999998E-4</v>
      </c>
      <c r="AN887">
        <v>-1</v>
      </c>
      <c r="AO887">
        <v>0.67</v>
      </c>
      <c r="AP887">
        <v>2.73</v>
      </c>
      <c r="AQ887">
        <v>2.27</v>
      </c>
      <c r="AR887">
        <v>-2.37</v>
      </c>
      <c r="AS887">
        <v>0.99</v>
      </c>
      <c r="AT887" t="s">
        <v>5328</v>
      </c>
      <c r="AU887">
        <v>17.75</v>
      </c>
      <c r="AV887">
        <v>12.77</v>
      </c>
      <c r="AW887">
        <v>0.81</v>
      </c>
      <c r="BA887">
        <v>0</v>
      </c>
      <c r="BB887">
        <v>0.88</v>
      </c>
      <c r="BC887">
        <v>-0.66</v>
      </c>
      <c r="BD887">
        <v>0.15</v>
      </c>
      <c r="BE887">
        <v>-0.22</v>
      </c>
      <c r="BF887">
        <v>-1.1000000000000001</v>
      </c>
      <c r="BG887">
        <v>0.45</v>
      </c>
      <c r="BH887">
        <v>-0.37</v>
      </c>
      <c r="BI887">
        <v>20191021</v>
      </c>
      <c r="BJ887">
        <v>20100618</v>
      </c>
      <c r="BK887">
        <v>7.67</v>
      </c>
      <c r="BL887" t="s">
        <v>116</v>
      </c>
      <c r="BM887" t="s">
        <v>116</v>
      </c>
      <c r="BN887">
        <v>87.37</v>
      </c>
      <c r="BO887">
        <v>52.14</v>
      </c>
      <c r="BP887">
        <v>1.42</v>
      </c>
      <c r="BQ887">
        <v>38.700000000000003</v>
      </c>
      <c r="BR887">
        <v>44.4</v>
      </c>
      <c r="BS887">
        <v>21.82</v>
      </c>
      <c r="BT887">
        <v>2.72</v>
      </c>
      <c r="BU887">
        <v>21.3</v>
      </c>
      <c r="BV887">
        <v>27.12</v>
      </c>
      <c r="BW887">
        <v>5</v>
      </c>
      <c r="BX887">
        <v>29.35</v>
      </c>
      <c r="BY887">
        <v>27.57</v>
      </c>
      <c r="BZ887">
        <v>20.77</v>
      </c>
      <c r="CA887">
        <v>1.19</v>
      </c>
      <c r="CB887">
        <v>0.02</v>
      </c>
      <c r="CC887">
        <v>1.19</v>
      </c>
      <c r="CD887">
        <v>0.89</v>
      </c>
      <c r="CE887">
        <v>0.78</v>
      </c>
      <c r="CF887">
        <v>0.6</v>
      </c>
      <c r="CG887">
        <v>14.13</v>
      </c>
      <c r="CH887">
        <v>3.57</v>
      </c>
      <c r="CI887">
        <v>-1.99</v>
      </c>
      <c r="CJ887">
        <v>51229</v>
      </c>
      <c r="CK887">
        <v>9695</v>
      </c>
      <c r="CL887" t="s">
        <v>2219</v>
      </c>
      <c r="CM887">
        <v>-49.22</v>
      </c>
      <c r="CN887">
        <v>18.579999999999998</v>
      </c>
      <c r="CO887">
        <v>0.66</v>
      </c>
      <c r="CP887">
        <v>9.69</v>
      </c>
      <c r="CQ887">
        <v>1.25</v>
      </c>
      <c r="CR887">
        <v>1.57</v>
      </c>
      <c r="CS887" t="s">
        <v>4514</v>
      </c>
      <c r="CT887">
        <v>6.8</v>
      </c>
      <c r="CU887">
        <v>0</v>
      </c>
      <c r="CV887">
        <v>3.83</v>
      </c>
      <c r="CW887">
        <v>1.84</v>
      </c>
      <c r="CX887">
        <v>0.47</v>
      </c>
      <c r="CY887">
        <v>59.68</v>
      </c>
      <c r="CZ887" t="s">
        <v>1114</v>
      </c>
      <c r="DA887">
        <v>24.67</v>
      </c>
      <c r="DB887">
        <v>4.33</v>
      </c>
      <c r="DC887">
        <v>2.84</v>
      </c>
      <c r="DD887">
        <v>0.13</v>
      </c>
      <c r="DE887">
        <v>1887</v>
      </c>
      <c r="DF887">
        <v>2433</v>
      </c>
      <c r="DG887" t="s">
        <v>116</v>
      </c>
      <c r="DH887" t="s">
        <v>116</v>
      </c>
      <c r="DI887" t="s">
        <v>116</v>
      </c>
    </row>
    <row r="888" spans="1:113" x14ac:dyDescent="0.4">
      <c r="A888" t="str">
        <f>"002434"</f>
        <v>002434</v>
      </c>
      <c r="B888" t="s">
        <v>5329</v>
      </c>
      <c r="C888">
        <v>0.11</v>
      </c>
      <c r="D888">
        <v>9.2100000000000009</v>
      </c>
      <c r="E888">
        <v>0.01</v>
      </c>
      <c r="F888">
        <v>9.2100000000000009</v>
      </c>
      <c r="G888">
        <v>9.2200000000000006</v>
      </c>
      <c r="H888">
        <v>75806</v>
      </c>
      <c r="I888">
        <v>318</v>
      </c>
      <c r="J888">
        <v>0.22</v>
      </c>
      <c r="K888">
        <v>0.65</v>
      </c>
      <c r="L888">
        <v>9.23</v>
      </c>
      <c r="M888">
        <v>9.42</v>
      </c>
      <c r="N888">
        <v>9.18</v>
      </c>
      <c r="O888">
        <v>9.1999999999999993</v>
      </c>
      <c r="P888">
        <v>26.59</v>
      </c>
      <c r="Q888">
        <v>70492496</v>
      </c>
      <c r="R888">
        <v>1.2</v>
      </c>
      <c r="S888" t="s">
        <v>293</v>
      </c>
      <c r="T888" t="s">
        <v>590</v>
      </c>
      <c r="U888">
        <v>2.61</v>
      </c>
      <c r="V888">
        <v>9.3000000000000007</v>
      </c>
      <c r="W888">
        <v>34967</v>
      </c>
      <c r="X888">
        <v>40839</v>
      </c>
      <c r="Y888">
        <v>0.86</v>
      </c>
      <c r="Z888">
        <v>98</v>
      </c>
      <c r="AA888">
        <v>313</v>
      </c>
      <c r="AB888" t="s">
        <v>116</v>
      </c>
      <c r="AC888">
        <v>277800</v>
      </c>
      <c r="AD888">
        <v>0.01</v>
      </c>
      <c r="AE888" t="s">
        <v>116</v>
      </c>
      <c r="AF888" t="s">
        <v>116</v>
      </c>
      <c r="AG888">
        <v>11.74</v>
      </c>
      <c r="AH888" t="s">
        <v>5330</v>
      </c>
      <c r="AI888" t="s">
        <v>5331</v>
      </c>
      <c r="AJ888">
        <v>0.79</v>
      </c>
      <c r="AK888">
        <v>2530</v>
      </c>
      <c r="AL888">
        <v>30</v>
      </c>
      <c r="AM888">
        <v>2.9999999999999997E-4</v>
      </c>
      <c r="AN888">
        <v>2</v>
      </c>
      <c r="AO888">
        <v>-1.6</v>
      </c>
      <c r="AP888">
        <v>6.23</v>
      </c>
      <c r="AQ888">
        <v>28.45</v>
      </c>
      <c r="AR888">
        <v>43.01</v>
      </c>
      <c r="AS888">
        <v>1.4</v>
      </c>
      <c r="AT888" t="s">
        <v>5332</v>
      </c>
      <c r="AU888">
        <v>37.19</v>
      </c>
      <c r="AV888">
        <v>35.1</v>
      </c>
      <c r="AW888">
        <v>0.35</v>
      </c>
      <c r="BA888">
        <v>0.33</v>
      </c>
      <c r="BB888">
        <v>2.39</v>
      </c>
      <c r="BC888">
        <v>-0.22</v>
      </c>
      <c r="BD888">
        <v>1.08</v>
      </c>
      <c r="BE888">
        <v>-0.22</v>
      </c>
      <c r="BF888">
        <v>-2.23</v>
      </c>
      <c r="BG888">
        <v>0.33</v>
      </c>
      <c r="BH888">
        <v>-0.97</v>
      </c>
      <c r="BI888">
        <v>20191226</v>
      </c>
      <c r="BJ888">
        <v>20100618</v>
      </c>
      <c r="BK888">
        <v>13.4</v>
      </c>
      <c r="BL888" t="s">
        <v>116</v>
      </c>
      <c r="BM888" t="s">
        <v>116</v>
      </c>
      <c r="BN888">
        <v>100.4</v>
      </c>
      <c r="BO888">
        <v>61.16</v>
      </c>
      <c r="BP888">
        <v>0.69</v>
      </c>
      <c r="BQ888">
        <v>38.39</v>
      </c>
      <c r="BR888">
        <v>39.119999999999997</v>
      </c>
      <c r="BS888">
        <v>15.67</v>
      </c>
      <c r="BT888">
        <v>5.48</v>
      </c>
      <c r="BU888">
        <v>37.47</v>
      </c>
      <c r="BV888">
        <v>7.96</v>
      </c>
      <c r="BW888">
        <v>16.13</v>
      </c>
      <c r="BX888">
        <v>30.4</v>
      </c>
      <c r="BY888">
        <v>32.909999999999997</v>
      </c>
      <c r="BZ888">
        <v>25.13</v>
      </c>
      <c r="CA888">
        <v>3.91</v>
      </c>
      <c r="CB888">
        <v>0.13</v>
      </c>
      <c r="CC888">
        <v>3.84</v>
      </c>
      <c r="CD888">
        <v>3.42</v>
      </c>
      <c r="CE888">
        <v>3.48</v>
      </c>
      <c r="CF888">
        <v>2.2599999999999998</v>
      </c>
      <c r="CG888">
        <v>17.54</v>
      </c>
      <c r="CH888">
        <v>8.2799999999999994</v>
      </c>
      <c r="CI888">
        <v>-2.19</v>
      </c>
      <c r="CJ888">
        <v>21259</v>
      </c>
      <c r="CK888">
        <v>25437</v>
      </c>
      <c r="CL888" t="s">
        <v>5333</v>
      </c>
      <c r="CM888">
        <v>-5.36</v>
      </c>
      <c r="CN888">
        <v>1.95</v>
      </c>
      <c r="CO888">
        <v>2.02</v>
      </c>
      <c r="CP888">
        <v>14.91</v>
      </c>
      <c r="CQ888">
        <v>3.75</v>
      </c>
      <c r="CR888">
        <v>1.6</v>
      </c>
      <c r="CS888" t="s">
        <v>2326</v>
      </c>
      <c r="CT888">
        <v>4.5599999999999996</v>
      </c>
      <c r="CU888">
        <v>0</v>
      </c>
      <c r="CV888">
        <v>2.27</v>
      </c>
      <c r="CW888">
        <v>1.31</v>
      </c>
      <c r="CX888">
        <v>0.62</v>
      </c>
      <c r="CY888">
        <v>60.92</v>
      </c>
      <c r="CZ888" t="s">
        <v>5334</v>
      </c>
      <c r="DA888">
        <v>23.63</v>
      </c>
      <c r="DB888">
        <v>11.89</v>
      </c>
      <c r="DC888">
        <v>10.58</v>
      </c>
      <c r="DD888">
        <v>1.56</v>
      </c>
      <c r="DE888">
        <v>5076</v>
      </c>
      <c r="DF888">
        <v>2434</v>
      </c>
      <c r="DG888" t="s">
        <v>116</v>
      </c>
      <c r="DH888" t="s">
        <v>116</v>
      </c>
      <c r="DI888" t="s">
        <v>116</v>
      </c>
    </row>
    <row r="889" spans="1:113" x14ac:dyDescent="0.4">
      <c r="A889" t="str">
        <f>"002435"</f>
        <v>002435</v>
      </c>
      <c r="B889" t="s">
        <v>5335</v>
      </c>
      <c r="C889">
        <v>-1</v>
      </c>
      <c r="D889">
        <v>3.95</v>
      </c>
      <c r="E889">
        <v>-0.04</v>
      </c>
      <c r="F889">
        <v>3.94</v>
      </c>
      <c r="G889">
        <v>3.95</v>
      </c>
      <c r="H889">
        <v>42838</v>
      </c>
      <c r="I889">
        <v>2886</v>
      </c>
      <c r="J889">
        <v>-0.49</v>
      </c>
      <c r="K889">
        <v>0.36</v>
      </c>
      <c r="L889">
        <v>4.08</v>
      </c>
      <c r="M889">
        <v>4.08</v>
      </c>
      <c r="N889">
        <v>3.94</v>
      </c>
      <c r="O889">
        <v>3.99</v>
      </c>
      <c r="P889">
        <v>14.42</v>
      </c>
      <c r="Q889">
        <v>17099400</v>
      </c>
      <c r="R889">
        <v>1.1000000000000001</v>
      </c>
      <c r="S889" t="s">
        <v>574</v>
      </c>
      <c r="T889" t="s">
        <v>323</v>
      </c>
      <c r="U889">
        <v>3.51</v>
      </c>
      <c r="V889">
        <v>3.99</v>
      </c>
      <c r="W889">
        <v>31021</v>
      </c>
      <c r="X889">
        <v>11817</v>
      </c>
      <c r="Y889">
        <v>2.63</v>
      </c>
      <c r="Z889">
        <v>333</v>
      </c>
      <c r="AA889">
        <v>229</v>
      </c>
      <c r="AB889" t="s">
        <v>116</v>
      </c>
      <c r="AC889">
        <v>709500</v>
      </c>
      <c r="AD889">
        <v>0.04</v>
      </c>
      <c r="AE889" t="s">
        <v>116</v>
      </c>
      <c r="AF889" t="s">
        <v>116</v>
      </c>
      <c r="AG889">
        <v>12</v>
      </c>
      <c r="AH889" t="s">
        <v>5336</v>
      </c>
      <c r="AI889" t="s">
        <v>5337</v>
      </c>
      <c r="AJ889">
        <v>-0.32</v>
      </c>
      <c r="AK889">
        <v>618</v>
      </c>
      <c r="AL889">
        <v>69</v>
      </c>
      <c r="AM889">
        <v>5.9999999999999995E-4</v>
      </c>
      <c r="AN889">
        <v>-1</v>
      </c>
      <c r="AO889">
        <v>-0.75</v>
      </c>
      <c r="AP889">
        <v>2.33</v>
      </c>
      <c r="AQ889">
        <v>-0.75</v>
      </c>
      <c r="AR889">
        <v>14.16</v>
      </c>
      <c r="AS889">
        <v>1.1000000000000001</v>
      </c>
      <c r="AT889" t="s">
        <v>5338</v>
      </c>
      <c r="AU889">
        <v>14.35</v>
      </c>
      <c r="AV889">
        <v>13.3</v>
      </c>
      <c r="AW889">
        <v>0.49</v>
      </c>
      <c r="BA889">
        <v>2.2599999999999998</v>
      </c>
      <c r="BB889">
        <v>2.2599999999999998</v>
      </c>
      <c r="BC889">
        <v>-1.25</v>
      </c>
      <c r="BD889">
        <v>0.04</v>
      </c>
      <c r="BE889">
        <v>-3.19</v>
      </c>
      <c r="BF889">
        <v>-3.19</v>
      </c>
      <c r="BG889">
        <v>0.25</v>
      </c>
      <c r="BH889">
        <v>-1.04</v>
      </c>
      <c r="BI889">
        <v>20191118</v>
      </c>
      <c r="BJ889">
        <v>20100618</v>
      </c>
      <c r="BK889">
        <v>12.36</v>
      </c>
      <c r="BL889" t="s">
        <v>116</v>
      </c>
      <c r="BM889" t="s">
        <v>116</v>
      </c>
      <c r="BN889">
        <v>82.43</v>
      </c>
      <c r="BO889">
        <v>54.56</v>
      </c>
      <c r="BP889">
        <v>3.22</v>
      </c>
      <c r="BQ889">
        <v>29.9</v>
      </c>
      <c r="BR889">
        <v>37.630000000000003</v>
      </c>
      <c r="BS889">
        <v>11.04</v>
      </c>
      <c r="BT889">
        <v>3.39</v>
      </c>
      <c r="BU889">
        <v>16.88</v>
      </c>
      <c r="BV889">
        <v>7.75</v>
      </c>
      <c r="BW889">
        <v>6.92</v>
      </c>
      <c r="BX889">
        <v>33.409999999999997</v>
      </c>
      <c r="BY889">
        <v>37.83</v>
      </c>
      <c r="BZ889">
        <v>14.25</v>
      </c>
      <c r="CA889">
        <v>3.06</v>
      </c>
      <c r="CB889">
        <v>0.14000000000000001</v>
      </c>
      <c r="CC889">
        <v>3.04</v>
      </c>
      <c r="CD889">
        <v>2.63</v>
      </c>
      <c r="CE889">
        <v>2.54</v>
      </c>
      <c r="CF889">
        <v>2.15</v>
      </c>
      <c r="CG889">
        <v>7.88</v>
      </c>
      <c r="CH889">
        <v>-1.76</v>
      </c>
      <c r="CI889">
        <v>-6.87</v>
      </c>
      <c r="CJ889">
        <v>15713</v>
      </c>
      <c r="CK889">
        <v>24829</v>
      </c>
      <c r="CL889" t="s">
        <v>5339</v>
      </c>
      <c r="CM889">
        <v>-9.61</v>
      </c>
      <c r="CN889">
        <v>12.75</v>
      </c>
      <c r="CO889">
        <v>0.89</v>
      </c>
      <c r="CP889">
        <v>-27.68</v>
      </c>
      <c r="CQ889">
        <v>1.29</v>
      </c>
      <c r="CR889">
        <v>1.69</v>
      </c>
      <c r="CS889" t="s">
        <v>5174</v>
      </c>
      <c r="CT889">
        <v>4.41</v>
      </c>
      <c r="CU889">
        <v>0</v>
      </c>
      <c r="CV889">
        <v>2.7</v>
      </c>
      <c r="CW889">
        <v>0.64</v>
      </c>
      <c r="CX889">
        <v>-0.14000000000000001</v>
      </c>
      <c r="CY889">
        <v>66.2</v>
      </c>
      <c r="CZ889" t="s">
        <v>5340</v>
      </c>
      <c r="DA889">
        <v>62.33</v>
      </c>
      <c r="DB889">
        <v>8.09</v>
      </c>
      <c r="DC889">
        <v>6.71</v>
      </c>
      <c r="DD889">
        <v>0.74</v>
      </c>
      <c r="DE889">
        <v>2889</v>
      </c>
      <c r="DF889">
        <v>2435</v>
      </c>
      <c r="DG889" t="s">
        <v>116</v>
      </c>
      <c r="DH889" t="s">
        <v>116</v>
      </c>
      <c r="DI889" t="s">
        <v>116</v>
      </c>
    </row>
    <row r="890" spans="1:113" x14ac:dyDescent="0.4">
      <c r="A890" t="str">
        <f>"002436"</f>
        <v>002436</v>
      </c>
      <c r="B890" t="s">
        <v>5341</v>
      </c>
      <c r="C890">
        <v>-0.47</v>
      </c>
      <c r="D890">
        <v>8.5</v>
      </c>
      <c r="E890">
        <v>-0.04</v>
      </c>
      <c r="F890">
        <v>8.49</v>
      </c>
      <c r="G890">
        <v>8.5</v>
      </c>
      <c r="H890">
        <v>899285</v>
      </c>
      <c r="I890">
        <v>6830</v>
      </c>
      <c r="J890">
        <v>0.35</v>
      </c>
      <c r="K890">
        <v>7.12</v>
      </c>
      <c r="L890">
        <v>8.58</v>
      </c>
      <c r="M890">
        <v>8.82</v>
      </c>
      <c r="N890">
        <v>8.4</v>
      </c>
      <c r="O890">
        <v>8.5399999999999991</v>
      </c>
      <c r="P890">
        <v>41.08</v>
      </c>
      <c r="Q890">
        <v>773451776</v>
      </c>
      <c r="R890">
        <v>1.08</v>
      </c>
      <c r="S890" t="s">
        <v>233</v>
      </c>
      <c r="T890" t="s">
        <v>115</v>
      </c>
      <c r="U890">
        <v>4.92</v>
      </c>
      <c r="V890">
        <v>8.6</v>
      </c>
      <c r="W890">
        <v>494923</v>
      </c>
      <c r="X890">
        <v>404362</v>
      </c>
      <c r="Y890">
        <v>1.22</v>
      </c>
      <c r="Z890">
        <v>185</v>
      </c>
      <c r="AA890">
        <v>1478</v>
      </c>
      <c r="AB890" t="s">
        <v>116</v>
      </c>
      <c r="AC890">
        <v>4996100</v>
      </c>
      <c r="AD890">
        <v>0.05</v>
      </c>
      <c r="AE890" t="s">
        <v>116</v>
      </c>
      <c r="AF890" t="s">
        <v>116</v>
      </c>
      <c r="AG890">
        <v>12.63</v>
      </c>
      <c r="AH890" t="s">
        <v>5342</v>
      </c>
      <c r="AI890" t="s">
        <v>5343</v>
      </c>
      <c r="AJ890">
        <v>0.21</v>
      </c>
      <c r="AK890">
        <v>4516</v>
      </c>
      <c r="AL890">
        <v>199</v>
      </c>
      <c r="AM890">
        <v>1.6000000000000001E-3</v>
      </c>
      <c r="AN890">
        <v>-1</v>
      </c>
      <c r="AO890">
        <v>1.68</v>
      </c>
      <c r="AP890">
        <v>21.26</v>
      </c>
      <c r="AQ890">
        <v>6.25</v>
      </c>
      <c r="AR890">
        <v>90.58</v>
      </c>
      <c r="AS890">
        <v>8.11</v>
      </c>
      <c r="AT890" t="s">
        <v>5344</v>
      </c>
      <c r="AU890">
        <v>46.97</v>
      </c>
      <c r="AV890">
        <v>58.9</v>
      </c>
      <c r="AW890">
        <v>1.92</v>
      </c>
      <c r="BA890">
        <v>0.47</v>
      </c>
      <c r="BB890">
        <v>3.28</v>
      </c>
      <c r="BC890">
        <v>-1.64</v>
      </c>
      <c r="BD890">
        <v>0.71</v>
      </c>
      <c r="BE890">
        <v>-0.93</v>
      </c>
      <c r="BF890">
        <v>-3.63</v>
      </c>
      <c r="BG890">
        <v>1.19</v>
      </c>
      <c r="BH890">
        <v>-1.18</v>
      </c>
      <c r="BI890">
        <v>20191218</v>
      </c>
      <c r="BJ890">
        <v>20100618</v>
      </c>
      <c r="BK890">
        <v>14.88</v>
      </c>
      <c r="BL890" t="s">
        <v>116</v>
      </c>
      <c r="BM890" t="s">
        <v>116</v>
      </c>
      <c r="BN890">
        <v>50.97</v>
      </c>
      <c r="BO890">
        <v>26.91</v>
      </c>
      <c r="BP890">
        <v>1.37</v>
      </c>
      <c r="BQ890">
        <v>44.5</v>
      </c>
      <c r="BR890">
        <v>24.09</v>
      </c>
      <c r="BS890">
        <v>15.52</v>
      </c>
      <c r="BT890">
        <v>1.35</v>
      </c>
      <c r="BU890">
        <v>15.01</v>
      </c>
      <c r="BV890">
        <v>3.9</v>
      </c>
      <c r="BW890">
        <v>11.47</v>
      </c>
      <c r="BX890">
        <v>0.25</v>
      </c>
      <c r="BY890">
        <v>27.51</v>
      </c>
      <c r="BZ890">
        <v>18.97</v>
      </c>
      <c r="CA890">
        <v>2.79</v>
      </c>
      <c r="CB890">
        <v>0.06</v>
      </c>
      <c r="CC890">
        <v>2.77</v>
      </c>
      <c r="CD890">
        <v>2.54</v>
      </c>
      <c r="CE890">
        <v>2.31</v>
      </c>
      <c r="CF890">
        <v>2.08</v>
      </c>
      <c r="CG890">
        <v>11.05</v>
      </c>
      <c r="CH890">
        <v>2.99</v>
      </c>
      <c r="CI890">
        <v>0.5</v>
      </c>
      <c r="CJ890">
        <v>100000</v>
      </c>
      <c r="CK890">
        <v>11088</v>
      </c>
      <c r="CL890" t="s">
        <v>4093</v>
      </c>
      <c r="CM890">
        <v>30.95</v>
      </c>
      <c r="CN890">
        <v>5.66</v>
      </c>
      <c r="CO890">
        <v>4.7</v>
      </c>
      <c r="CP890">
        <v>42.26</v>
      </c>
      <c r="CQ890">
        <v>4.5999999999999996</v>
      </c>
      <c r="CR890">
        <v>0.71</v>
      </c>
      <c r="CS890" t="s">
        <v>5345</v>
      </c>
      <c r="CT890">
        <v>1.81</v>
      </c>
      <c r="CU890">
        <v>0</v>
      </c>
      <c r="CV890">
        <v>0.02</v>
      </c>
      <c r="CW890">
        <v>0.74</v>
      </c>
      <c r="CX890">
        <v>0.2</v>
      </c>
      <c r="CY890">
        <v>52.81</v>
      </c>
      <c r="CZ890" t="s">
        <v>1006</v>
      </c>
      <c r="DA890">
        <v>31.06</v>
      </c>
      <c r="DB890">
        <v>10.130000000000001</v>
      </c>
      <c r="DC890">
        <v>8.39</v>
      </c>
      <c r="DD890">
        <v>1.46</v>
      </c>
      <c r="DE890">
        <v>5061</v>
      </c>
      <c r="DF890">
        <v>2436</v>
      </c>
      <c r="DG890" t="s">
        <v>116</v>
      </c>
      <c r="DH890" t="s">
        <v>116</v>
      </c>
      <c r="DI890" t="s">
        <v>116</v>
      </c>
    </row>
    <row r="891" spans="1:113" x14ac:dyDescent="0.4">
      <c r="A891" t="str">
        <f>"002437"</f>
        <v>002437</v>
      </c>
      <c r="B891" t="s">
        <v>5346</v>
      </c>
      <c r="C891">
        <v>0</v>
      </c>
      <c r="D891">
        <v>2.95</v>
      </c>
      <c r="E891">
        <v>0</v>
      </c>
      <c r="F891">
        <v>2.95</v>
      </c>
      <c r="G891">
        <v>2.96</v>
      </c>
      <c r="H891">
        <v>295154</v>
      </c>
      <c r="I891">
        <v>2211</v>
      </c>
      <c r="J891">
        <v>-0.33</v>
      </c>
      <c r="K891">
        <v>1.36</v>
      </c>
      <c r="L891">
        <v>3</v>
      </c>
      <c r="M891">
        <v>3.02</v>
      </c>
      <c r="N891">
        <v>2.94</v>
      </c>
      <c r="O891">
        <v>2.95</v>
      </c>
      <c r="P891">
        <v>15.67</v>
      </c>
      <c r="Q891">
        <v>87918792</v>
      </c>
      <c r="R891">
        <v>1.03</v>
      </c>
      <c r="S891" t="s">
        <v>574</v>
      </c>
      <c r="T891" t="s">
        <v>1287</v>
      </c>
      <c r="U891">
        <v>2.71</v>
      </c>
      <c r="V891">
        <v>2.98</v>
      </c>
      <c r="W891">
        <v>170848</v>
      </c>
      <c r="X891">
        <v>124306</v>
      </c>
      <c r="Y891">
        <v>1.37</v>
      </c>
      <c r="Z891">
        <v>7447</v>
      </c>
      <c r="AA891">
        <v>10138</v>
      </c>
      <c r="AB891" t="s">
        <v>116</v>
      </c>
      <c r="AC891">
        <v>2564600</v>
      </c>
      <c r="AD891">
        <v>0.1</v>
      </c>
      <c r="AE891" t="s">
        <v>116</v>
      </c>
      <c r="AF891" t="s">
        <v>116</v>
      </c>
      <c r="AG891">
        <v>21.75</v>
      </c>
      <c r="AH891" t="s">
        <v>5347</v>
      </c>
      <c r="AI891" t="s">
        <v>5348</v>
      </c>
      <c r="AJ891">
        <v>0.68</v>
      </c>
      <c r="AK891">
        <v>2016</v>
      </c>
      <c r="AL891">
        <v>146</v>
      </c>
      <c r="AM891">
        <v>6.9999999999999999E-4</v>
      </c>
      <c r="AN891">
        <v>0</v>
      </c>
      <c r="AO891">
        <v>0</v>
      </c>
      <c r="AP891">
        <v>-5.45</v>
      </c>
      <c r="AQ891">
        <v>-8.39</v>
      </c>
      <c r="AR891">
        <v>5.81</v>
      </c>
      <c r="AS891">
        <v>3.31</v>
      </c>
      <c r="AT891" t="s">
        <v>928</v>
      </c>
      <c r="AU891">
        <v>53.09</v>
      </c>
      <c r="AV891">
        <v>51.51</v>
      </c>
      <c r="AW891">
        <v>0.94</v>
      </c>
      <c r="BA891">
        <v>1.69</v>
      </c>
      <c r="BB891">
        <v>2.37</v>
      </c>
      <c r="BC891">
        <v>-0.34</v>
      </c>
      <c r="BD891">
        <v>0.97</v>
      </c>
      <c r="BE891">
        <v>-1.67</v>
      </c>
      <c r="BF891">
        <v>-2.3199999999999998</v>
      </c>
      <c r="BG891">
        <v>0.34</v>
      </c>
      <c r="BH891">
        <v>-0.97</v>
      </c>
      <c r="BI891">
        <v>20191028</v>
      </c>
      <c r="BJ891">
        <v>20100623</v>
      </c>
      <c r="BK891">
        <v>21.98</v>
      </c>
      <c r="BL891" t="s">
        <v>116</v>
      </c>
      <c r="BM891" t="s">
        <v>116</v>
      </c>
      <c r="BN891">
        <v>96.06</v>
      </c>
      <c r="BO891">
        <v>46.21</v>
      </c>
      <c r="BP891">
        <v>0.64</v>
      </c>
      <c r="BQ891">
        <v>51.23</v>
      </c>
      <c r="BR891">
        <v>30.23</v>
      </c>
      <c r="BS891">
        <v>16.27</v>
      </c>
      <c r="BT891">
        <v>4.97</v>
      </c>
      <c r="BU891">
        <v>43.61</v>
      </c>
      <c r="BV891">
        <v>4.4400000000000004</v>
      </c>
      <c r="BW891">
        <v>6.07</v>
      </c>
      <c r="BX891">
        <v>4.2</v>
      </c>
      <c r="BY891">
        <v>39.770000000000003</v>
      </c>
      <c r="BZ891">
        <v>10.66</v>
      </c>
      <c r="CA891">
        <v>3.73</v>
      </c>
      <c r="CB891">
        <v>-0.03</v>
      </c>
      <c r="CC891">
        <v>3.74</v>
      </c>
      <c r="CD891">
        <v>3.14</v>
      </c>
      <c r="CE891">
        <v>3.1</v>
      </c>
      <c r="CF891">
        <v>2.82</v>
      </c>
      <c r="CG891">
        <v>16.46</v>
      </c>
      <c r="CH891">
        <v>7.11</v>
      </c>
      <c r="CI891">
        <v>3.81</v>
      </c>
      <c r="CJ891">
        <v>76007</v>
      </c>
      <c r="CK891">
        <v>11726</v>
      </c>
      <c r="CL891" t="s">
        <v>5349</v>
      </c>
      <c r="CM891">
        <v>-1.2</v>
      </c>
      <c r="CN891">
        <v>0.38</v>
      </c>
      <c r="CO891">
        <v>1.4</v>
      </c>
      <c r="CP891">
        <v>9.1199999999999992</v>
      </c>
      <c r="CQ891">
        <v>1.63</v>
      </c>
      <c r="CR891">
        <v>0.41</v>
      </c>
      <c r="CS891" t="s">
        <v>5207</v>
      </c>
      <c r="CT891">
        <v>2.1</v>
      </c>
      <c r="CU891">
        <v>0</v>
      </c>
      <c r="CV891">
        <v>0.19</v>
      </c>
      <c r="CW891">
        <v>0.75</v>
      </c>
      <c r="CX891">
        <v>0.32</v>
      </c>
      <c r="CY891">
        <v>48.1</v>
      </c>
      <c r="CZ891" t="s">
        <v>5350</v>
      </c>
      <c r="DA891">
        <v>73.2</v>
      </c>
      <c r="DB891">
        <v>9.3800000000000008</v>
      </c>
      <c r="DC891">
        <v>7.8</v>
      </c>
      <c r="DD891">
        <v>0.78</v>
      </c>
      <c r="DE891">
        <v>2427</v>
      </c>
      <c r="DF891">
        <v>2437</v>
      </c>
      <c r="DG891" t="s">
        <v>116</v>
      </c>
      <c r="DH891" t="s">
        <v>116</v>
      </c>
      <c r="DI891" t="s">
        <v>116</v>
      </c>
    </row>
    <row r="892" spans="1:113" x14ac:dyDescent="0.4">
      <c r="A892" t="str">
        <f>"002438"</f>
        <v>002438</v>
      </c>
      <c r="B892" t="s">
        <v>5351</v>
      </c>
      <c r="C892">
        <v>-0.25</v>
      </c>
      <c r="D892">
        <v>8.02</v>
      </c>
      <c r="E892">
        <v>-0.02</v>
      </c>
      <c r="F892">
        <v>8.02</v>
      </c>
      <c r="G892">
        <v>8.0299999999999994</v>
      </c>
      <c r="H892">
        <v>33913</v>
      </c>
      <c r="I892">
        <v>70</v>
      </c>
      <c r="J892">
        <v>-0.11</v>
      </c>
      <c r="K892">
        <v>0.84</v>
      </c>
      <c r="L892">
        <v>8.07</v>
      </c>
      <c r="M892">
        <v>8.18</v>
      </c>
      <c r="N892">
        <v>8.01</v>
      </c>
      <c r="O892">
        <v>8.0399999999999991</v>
      </c>
      <c r="P892">
        <v>22.31</v>
      </c>
      <c r="Q892">
        <v>27425030</v>
      </c>
      <c r="R892">
        <v>1.04</v>
      </c>
      <c r="S892" t="s">
        <v>996</v>
      </c>
      <c r="T892" t="s">
        <v>323</v>
      </c>
      <c r="U892">
        <v>2.11</v>
      </c>
      <c r="V892">
        <v>8.09</v>
      </c>
      <c r="W892">
        <v>21166</v>
      </c>
      <c r="X892">
        <v>12747</v>
      </c>
      <c r="Y892">
        <v>1.66</v>
      </c>
      <c r="Z892">
        <v>802</v>
      </c>
      <c r="AA892">
        <v>1442</v>
      </c>
      <c r="AB892" t="s">
        <v>116</v>
      </c>
      <c r="AC892">
        <v>283300</v>
      </c>
      <c r="AD892">
        <v>0.01</v>
      </c>
      <c r="AE892" t="s">
        <v>116</v>
      </c>
      <c r="AF892" t="s">
        <v>116</v>
      </c>
      <c r="AG892">
        <v>4.0199999999999996</v>
      </c>
      <c r="AH892" t="s">
        <v>5352</v>
      </c>
      <c r="AI892" t="s">
        <v>5353</v>
      </c>
      <c r="AJ892">
        <v>0.43</v>
      </c>
      <c r="AK892">
        <v>1198</v>
      </c>
      <c r="AL892">
        <v>28</v>
      </c>
      <c r="AM892">
        <v>6.9999999999999999E-4</v>
      </c>
      <c r="AN892">
        <v>-1</v>
      </c>
      <c r="AO892">
        <v>0.25</v>
      </c>
      <c r="AP892">
        <v>-3.14</v>
      </c>
      <c r="AQ892">
        <v>7.94</v>
      </c>
      <c r="AR892">
        <v>40.58</v>
      </c>
      <c r="AS892">
        <v>1.42</v>
      </c>
      <c r="AT892" t="s">
        <v>4799</v>
      </c>
      <c r="AU892">
        <v>22.54</v>
      </c>
      <c r="AV892">
        <v>37.700000000000003</v>
      </c>
      <c r="AW892">
        <v>1.1299999999999999</v>
      </c>
      <c r="BA892">
        <v>0.37</v>
      </c>
      <c r="BB892">
        <v>1.74</v>
      </c>
      <c r="BC892">
        <v>-0.37</v>
      </c>
      <c r="BD892">
        <v>0.57999999999999996</v>
      </c>
      <c r="BE892">
        <v>-0.62</v>
      </c>
      <c r="BF892">
        <v>-1.96</v>
      </c>
      <c r="BG892">
        <v>0.12</v>
      </c>
      <c r="BH892">
        <v>-0.83</v>
      </c>
      <c r="BI892">
        <v>20191223</v>
      </c>
      <c r="BJ892">
        <v>20100623</v>
      </c>
      <c r="BK892">
        <v>4.8600000000000003</v>
      </c>
      <c r="BL892" t="s">
        <v>116</v>
      </c>
      <c r="BM892" t="s">
        <v>116</v>
      </c>
      <c r="BN892">
        <v>32.26</v>
      </c>
      <c r="BO892">
        <v>19.29</v>
      </c>
      <c r="BP892">
        <v>0</v>
      </c>
      <c r="BQ892">
        <v>40.19</v>
      </c>
      <c r="BR892">
        <v>21.05</v>
      </c>
      <c r="BS892">
        <v>6.22</v>
      </c>
      <c r="BT892">
        <v>1.23</v>
      </c>
      <c r="BU892">
        <v>12.01</v>
      </c>
      <c r="BV892">
        <v>6.96</v>
      </c>
      <c r="BW892">
        <v>6.33</v>
      </c>
      <c r="BX892">
        <v>8.14</v>
      </c>
      <c r="BY892">
        <v>10.71</v>
      </c>
      <c r="BZ892">
        <v>7.11</v>
      </c>
      <c r="CA892">
        <v>1.42</v>
      </c>
      <c r="CB892">
        <v>0.16</v>
      </c>
      <c r="CC892">
        <v>1.5</v>
      </c>
      <c r="CD892">
        <v>1.31</v>
      </c>
      <c r="CE892">
        <v>1.31</v>
      </c>
      <c r="CF892">
        <v>1.1100000000000001</v>
      </c>
      <c r="CG892">
        <v>5.79</v>
      </c>
      <c r="CH892">
        <v>-0.09</v>
      </c>
      <c r="CI892">
        <v>-0.02</v>
      </c>
      <c r="CJ892">
        <v>19651</v>
      </c>
      <c r="CK892">
        <v>12161</v>
      </c>
      <c r="CL892" t="s">
        <v>5354</v>
      </c>
      <c r="CM892">
        <v>112.92</v>
      </c>
      <c r="CN892">
        <v>23.08</v>
      </c>
      <c r="CO892">
        <v>2.02</v>
      </c>
      <c r="CP892">
        <v>-434.63</v>
      </c>
      <c r="CQ892">
        <v>3.64</v>
      </c>
      <c r="CR892">
        <v>0.31</v>
      </c>
      <c r="CS892" t="s">
        <v>2326</v>
      </c>
      <c r="CT892">
        <v>3.97</v>
      </c>
      <c r="CU892">
        <v>0</v>
      </c>
      <c r="CV892">
        <v>1.68</v>
      </c>
      <c r="CW892">
        <v>1.19</v>
      </c>
      <c r="CX892">
        <v>-0.02</v>
      </c>
      <c r="CY892">
        <v>59.81</v>
      </c>
      <c r="CZ892" t="s">
        <v>1659</v>
      </c>
      <c r="DA892">
        <v>33.65</v>
      </c>
      <c r="DB892">
        <v>13.29</v>
      </c>
      <c r="DC892">
        <v>12.23</v>
      </c>
      <c r="DD892">
        <v>0.39</v>
      </c>
      <c r="DE892">
        <v>1378</v>
      </c>
      <c r="DF892">
        <v>2438</v>
      </c>
      <c r="DG892" t="s">
        <v>116</v>
      </c>
      <c r="DH892" t="s">
        <v>116</v>
      </c>
      <c r="DI892" t="s">
        <v>116</v>
      </c>
    </row>
    <row r="893" spans="1:113" x14ac:dyDescent="0.4">
      <c r="A893" t="str">
        <f>"002439"</f>
        <v>002439</v>
      </c>
      <c r="B893" t="s">
        <v>5355</v>
      </c>
      <c r="C893">
        <v>-1.69</v>
      </c>
      <c r="D893">
        <v>33.75</v>
      </c>
      <c r="E893">
        <v>-0.57999999999999996</v>
      </c>
      <c r="F893">
        <v>33.74</v>
      </c>
      <c r="G893">
        <v>33.75</v>
      </c>
      <c r="H893">
        <v>94436</v>
      </c>
      <c r="I893">
        <v>1070</v>
      </c>
      <c r="J893">
        <v>0.54</v>
      </c>
      <c r="K893">
        <v>1.49</v>
      </c>
      <c r="L893">
        <v>34.14</v>
      </c>
      <c r="M893">
        <v>34.659999999999997</v>
      </c>
      <c r="N893">
        <v>33.299999999999997</v>
      </c>
      <c r="O893">
        <v>34.33</v>
      </c>
      <c r="P893">
        <v>233.77</v>
      </c>
      <c r="Q893">
        <v>321208416</v>
      </c>
      <c r="R893">
        <v>1.57</v>
      </c>
      <c r="S893" t="s">
        <v>607</v>
      </c>
      <c r="T893" t="s">
        <v>165</v>
      </c>
      <c r="U893">
        <v>3.96</v>
      </c>
      <c r="V893">
        <v>34.01</v>
      </c>
      <c r="W893">
        <v>48402</v>
      </c>
      <c r="X893">
        <v>46034</v>
      </c>
      <c r="Y893">
        <v>1.05</v>
      </c>
      <c r="Z893">
        <v>14</v>
      </c>
      <c r="AA893">
        <v>635</v>
      </c>
      <c r="AB893" t="s">
        <v>116</v>
      </c>
      <c r="AC893">
        <v>563300</v>
      </c>
      <c r="AD893">
        <v>0</v>
      </c>
      <c r="AE893" t="s">
        <v>116</v>
      </c>
      <c r="AF893" t="s">
        <v>116</v>
      </c>
      <c r="AG893">
        <v>6.34</v>
      </c>
      <c r="AH893" t="s">
        <v>5356</v>
      </c>
      <c r="AI893" t="s">
        <v>5357</v>
      </c>
      <c r="AJ893">
        <v>-1.01</v>
      </c>
      <c r="AK893">
        <v>3681</v>
      </c>
      <c r="AL893">
        <v>26</v>
      </c>
      <c r="AM893">
        <v>4.0000000000000002E-4</v>
      </c>
      <c r="AN893">
        <v>-2</v>
      </c>
      <c r="AO893">
        <v>-2.17</v>
      </c>
      <c r="AP893">
        <v>9.58</v>
      </c>
      <c r="AQ893">
        <v>3.78</v>
      </c>
      <c r="AR893">
        <v>64.47</v>
      </c>
      <c r="AS893">
        <v>1.64</v>
      </c>
      <c r="AT893" t="s">
        <v>5358</v>
      </c>
      <c r="AU893">
        <v>55.25</v>
      </c>
      <c r="AV893">
        <v>53.19</v>
      </c>
      <c r="AW893">
        <v>0.97</v>
      </c>
      <c r="BA893">
        <v>-0.55000000000000004</v>
      </c>
      <c r="BB893">
        <v>0.96</v>
      </c>
      <c r="BC893">
        <v>-3</v>
      </c>
      <c r="BD893">
        <v>-0.92</v>
      </c>
      <c r="BE893">
        <v>-1.1399999999999999</v>
      </c>
      <c r="BF893">
        <v>-2.63</v>
      </c>
      <c r="BG893">
        <v>1.35</v>
      </c>
      <c r="BH893">
        <v>-0.77</v>
      </c>
      <c r="BI893">
        <v>20191025</v>
      </c>
      <c r="BJ893">
        <v>20100623</v>
      </c>
      <c r="BK893">
        <v>8.9700000000000006</v>
      </c>
      <c r="BL893" t="s">
        <v>116</v>
      </c>
      <c r="BM893" t="s">
        <v>116</v>
      </c>
      <c r="BN893">
        <v>57.88</v>
      </c>
      <c r="BO893">
        <v>37.700000000000003</v>
      </c>
      <c r="BP893">
        <v>0.02</v>
      </c>
      <c r="BQ893">
        <v>34.82</v>
      </c>
      <c r="BR893">
        <v>40.369999999999997</v>
      </c>
      <c r="BS893">
        <v>2.78</v>
      </c>
      <c r="BT893">
        <v>1.44</v>
      </c>
      <c r="BU893">
        <v>11.31</v>
      </c>
      <c r="BV893">
        <v>2.7</v>
      </c>
      <c r="BW893">
        <v>16.29</v>
      </c>
      <c r="BX893">
        <v>8.89</v>
      </c>
      <c r="BY893">
        <v>15.83</v>
      </c>
      <c r="BZ893">
        <v>5.8</v>
      </c>
      <c r="CA893">
        <v>0.52</v>
      </c>
      <c r="CB893">
        <v>-0.03</v>
      </c>
      <c r="CC893">
        <v>0.52</v>
      </c>
      <c r="CD893">
        <v>0.88</v>
      </c>
      <c r="CE893">
        <v>0.97</v>
      </c>
      <c r="CF893">
        <v>0.78</v>
      </c>
      <c r="CG893">
        <v>18.059999999999999</v>
      </c>
      <c r="CH893">
        <v>-1.08</v>
      </c>
      <c r="CI893">
        <v>6.78</v>
      </c>
      <c r="CJ893">
        <v>38324</v>
      </c>
      <c r="CK893">
        <v>15000</v>
      </c>
      <c r="CL893" t="s">
        <v>5359</v>
      </c>
      <c r="CM893">
        <v>-17.93</v>
      </c>
      <c r="CN893">
        <v>21.57</v>
      </c>
      <c r="CO893">
        <v>8.51</v>
      </c>
      <c r="CP893">
        <v>-280.63</v>
      </c>
      <c r="CQ893">
        <v>19.12</v>
      </c>
      <c r="CR893">
        <v>0.12</v>
      </c>
      <c r="CS893" t="s">
        <v>1808</v>
      </c>
      <c r="CT893">
        <v>3.97</v>
      </c>
      <c r="CU893">
        <v>3.97</v>
      </c>
      <c r="CV893">
        <v>0.99</v>
      </c>
      <c r="CW893">
        <v>2.0099999999999998</v>
      </c>
      <c r="CX893">
        <v>-0.12</v>
      </c>
      <c r="CY893">
        <v>65.14</v>
      </c>
      <c r="CZ893" t="s">
        <v>2621</v>
      </c>
      <c r="DA893">
        <v>63.33</v>
      </c>
      <c r="DB893">
        <v>3.27</v>
      </c>
      <c r="DC893">
        <v>6.13</v>
      </c>
      <c r="DD893">
        <v>4.3899999999999997</v>
      </c>
      <c r="DE893">
        <v>3863</v>
      </c>
      <c r="DF893">
        <v>2439</v>
      </c>
      <c r="DG893" t="s">
        <v>116</v>
      </c>
      <c r="DH893" t="s">
        <v>116</v>
      </c>
      <c r="DI893" t="s">
        <v>116</v>
      </c>
    </row>
    <row r="894" spans="1:113" x14ac:dyDescent="0.4">
      <c r="A894" t="str">
        <f>"002440"</f>
        <v>002440</v>
      </c>
      <c r="B894" t="s">
        <v>5360</v>
      </c>
      <c r="C894">
        <v>-0.82</v>
      </c>
      <c r="D894">
        <v>10.87</v>
      </c>
      <c r="E894">
        <v>-0.09</v>
      </c>
      <c r="F894">
        <v>10.86</v>
      </c>
      <c r="G894">
        <v>10.87</v>
      </c>
      <c r="H894">
        <v>97980</v>
      </c>
      <c r="I894">
        <v>353</v>
      </c>
      <c r="J894">
        <v>0.09</v>
      </c>
      <c r="K894">
        <v>1.05</v>
      </c>
      <c r="L894">
        <v>10.96</v>
      </c>
      <c r="M894">
        <v>11.04</v>
      </c>
      <c r="N894">
        <v>10.85</v>
      </c>
      <c r="O894">
        <v>10.96</v>
      </c>
      <c r="P894">
        <v>8.6999999999999993</v>
      </c>
      <c r="Q894">
        <v>107367520</v>
      </c>
      <c r="R894">
        <v>1.3</v>
      </c>
      <c r="S894" t="s">
        <v>1192</v>
      </c>
      <c r="T894" t="s">
        <v>590</v>
      </c>
      <c r="U894">
        <v>1.73</v>
      </c>
      <c r="V894">
        <v>10.96</v>
      </c>
      <c r="W894">
        <v>51517</v>
      </c>
      <c r="X894">
        <v>46463</v>
      </c>
      <c r="Y894">
        <v>1.1100000000000001</v>
      </c>
      <c r="Z894">
        <v>300</v>
      </c>
      <c r="AA894">
        <v>133</v>
      </c>
      <c r="AB894" t="s">
        <v>116</v>
      </c>
      <c r="AC894">
        <v>206000</v>
      </c>
      <c r="AD894">
        <v>0</v>
      </c>
      <c r="AE894" t="s">
        <v>116</v>
      </c>
      <c r="AF894" t="s">
        <v>116</v>
      </c>
      <c r="AG894">
        <v>9.3699999999999992</v>
      </c>
      <c r="AH894" t="s">
        <v>5361</v>
      </c>
      <c r="AI894" t="s">
        <v>5362</v>
      </c>
      <c r="AJ894">
        <v>-0.14000000000000001</v>
      </c>
      <c r="AK894">
        <v>2757</v>
      </c>
      <c r="AL894">
        <v>36</v>
      </c>
      <c r="AM894">
        <v>4.0000000000000002E-4</v>
      </c>
      <c r="AN894">
        <v>-1</v>
      </c>
      <c r="AO894">
        <v>-0.1</v>
      </c>
      <c r="AP894">
        <v>-0.28000000000000003</v>
      </c>
      <c r="AQ894">
        <v>-7.49</v>
      </c>
      <c r="AR894">
        <v>27.88</v>
      </c>
      <c r="AS894">
        <v>1.59</v>
      </c>
      <c r="AT894" t="s">
        <v>5363</v>
      </c>
      <c r="AU894">
        <v>9.1</v>
      </c>
      <c r="AV894">
        <v>9.52</v>
      </c>
      <c r="AW894">
        <v>0.6</v>
      </c>
      <c r="BA894">
        <v>0</v>
      </c>
      <c r="BB894">
        <v>0.73</v>
      </c>
      <c r="BC894">
        <v>-1</v>
      </c>
      <c r="BD894">
        <v>-0.02</v>
      </c>
      <c r="BE894">
        <v>-0.82</v>
      </c>
      <c r="BF894">
        <v>-1.54</v>
      </c>
      <c r="BG894">
        <v>0.18</v>
      </c>
      <c r="BH894">
        <v>-0.8</v>
      </c>
      <c r="BI894">
        <v>20191202</v>
      </c>
      <c r="BJ894">
        <v>20100706</v>
      </c>
      <c r="BK894">
        <v>11.51</v>
      </c>
      <c r="BL894" t="s">
        <v>116</v>
      </c>
      <c r="BM894" t="s">
        <v>116</v>
      </c>
      <c r="BN894">
        <v>105.23</v>
      </c>
      <c r="BO894">
        <v>84.82</v>
      </c>
      <c r="BP894">
        <v>2.27</v>
      </c>
      <c r="BQ894">
        <v>17.239999999999998</v>
      </c>
      <c r="BR894">
        <v>58.47</v>
      </c>
      <c r="BS894">
        <v>34.1</v>
      </c>
      <c r="BT894">
        <v>3.52</v>
      </c>
      <c r="BU894">
        <v>17.52</v>
      </c>
      <c r="BV894">
        <v>11.5</v>
      </c>
      <c r="BW894">
        <v>18.96</v>
      </c>
      <c r="BX894">
        <v>11.39</v>
      </c>
      <c r="BY894">
        <v>51.08</v>
      </c>
      <c r="BZ894">
        <v>33.31</v>
      </c>
      <c r="CA894">
        <v>10.86</v>
      </c>
      <c r="CB894">
        <v>0.15</v>
      </c>
      <c r="CC894">
        <v>13.1</v>
      </c>
      <c r="CD894">
        <v>10.59</v>
      </c>
      <c r="CE894">
        <v>10.78</v>
      </c>
      <c r="CF894">
        <v>8.75</v>
      </c>
      <c r="CG894">
        <v>56.35</v>
      </c>
      <c r="CH894">
        <v>15.68</v>
      </c>
      <c r="CI894">
        <v>2.4300000000000002</v>
      </c>
      <c r="CJ894">
        <v>45910</v>
      </c>
      <c r="CK894">
        <v>13444</v>
      </c>
      <c r="CL894" t="s">
        <v>3481</v>
      </c>
      <c r="CM894">
        <v>6</v>
      </c>
      <c r="CN894">
        <v>1.1200000000000001</v>
      </c>
      <c r="CO894">
        <v>1.47</v>
      </c>
      <c r="CP894">
        <v>7.98</v>
      </c>
      <c r="CQ894">
        <v>2.4500000000000002</v>
      </c>
      <c r="CR894">
        <v>4.5999999999999996</v>
      </c>
      <c r="CS894" t="s">
        <v>5364</v>
      </c>
      <c r="CT894">
        <v>7.37</v>
      </c>
      <c r="CU894">
        <v>0</v>
      </c>
      <c r="CV894">
        <v>0.99</v>
      </c>
      <c r="CW894">
        <v>4.9000000000000004</v>
      </c>
      <c r="CX894">
        <v>1.36</v>
      </c>
      <c r="CY894">
        <v>80.599999999999994</v>
      </c>
      <c r="CZ894" t="s">
        <v>5365</v>
      </c>
      <c r="DA894">
        <v>34.79</v>
      </c>
      <c r="DB894">
        <v>21.27</v>
      </c>
      <c r="DC894">
        <v>21.09</v>
      </c>
      <c r="DD894">
        <v>1.66</v>
      </c>
      <c r="DE894">
        <v>5686</v>
      </c>
      <c r="DF894">
        <v>2440</v>
      </c>
      <c r="DG894" t="s">
        <v>116</v>
      </c>
      <c r="DH894" t="s">
        <v>116</v>
      </c>
      <c r="DI894" t="s">
        <v>116</v>
      </c>
    </row>
    <row r="895" spans="1:113" x14ac:dyDescent="0.4">
      <c r="A895" t="str">
        <f>"002441"</f>
        <v>002441</v>
      </c>
      <c r="B895" t="s">
        <v>5366</v>
      </c>
      <c r="C895">
        <v>2.79</v>
      </c>
      <c r="D895">
        <v>7.38</v>
      </c>
      <c r="E895">
        <v>0.2</v>
      </c>
      <c r="F895">
        <v>7.37</v>
      </c>
      <c r="G895">
        <v>7.38</v>
      </c>
      <c r="H895">
        <v>94535</v>
      </c>
      <c r="I895">
        <v>3405</v>
      </c>
      <c r="J895">
        <v>0.27</v>
      </c>
      <c r="K895">
        <v>2.4</v>
      </c>
      <c r="L895">
        <v>7.19</v>
      </c>
      <c r="M895">
        <v>7.38</v>
      </c>
      <c r="N895">
        <v>7.13</v>
      </c>
      <c r="O895">
        <v>7.18</v>
      </c>
      <c r="P895">
        <v>13.96</v>
      </c>
      <c r="Q895">
        <v>68913328</v>
      </c>
      <c r="R895">
        <v>3.05</v>
      </c>
      <c r="S895" t="s">
        <v>457</v>
      </c>
      <c r="T895" t="s">
        <v>551</v>
      </c>
      <c r="U895">
        <v>3.48</v>
      </c>
      <c r="V895">
        <v>7.29</v>
      </c>
      <c r="W895">
        <v>39583</v>
      </c>
      <c r="X895">
        <v>54952</v>
      </c>
      <c r="Y895">
        <v>0.72</v>
      </c>
      <c r="Z895">
        <v>1135</v>
      </c>
      <c r="AA895">
        <v>857</v>
      </c>
      <c r="AB895" t="s">
        <v>116</v>
      </c>
      <c r="AC895">
        <v>106400</v>
      </c>
      <c r="AD895">
        <v>0.01</v>
      </c>
      <c r="AE895" t="s">
        <v>116</v>
      </c>
      <c r="AF895" t="s">
        <v>116</v>
      </c>
      <c r="AG895">
        <v>3.94</v>
      </c>
      <c r="AH895" t="s">
        <v>5367</v>
      </c>
      <c r="AI895" t="s">
        <v>5368</v>
      </c>
      <c r="AJ895">
        <v>3.46</v>
      </c>
      <c r="AK895">
        <v>1328</v>
      </c>
      <c r="AL895">
        <v>71</v>
      </c>
      <c r="AM895">
        <v>1.8E-3</v>
      </c>
      <c r="AN895">
        <v>2</v>
      </c>
      <c r="AO895">
        <v>3.22</v>
      </c>
      <c r="AP895">
        <v>8.85</v>
      </c>
      <c r="AQ895">
        <v>7.58</v>
      </c>
      <c r="AR895">
        <v>14.42</v>
      </c>
      <c r="AS895">
        <v>4.1100000000000003</v>
      </c>
      <c r="AT895" t="s">
        <v>5369</v>
      </c>
      <c r="AU895">
        <v>17.100000000000001</v>
      </c>
      <c r="AV895">
        <v>19.52</v>
      </c>
      <c r="AW895">
        <v>0.77</v>
      </c>
      <c r="BA895">
        <v>0.14000000000000001</v>
      </c>
      <c r="BB895">
        <v>2.79</v>
      </c>
      <c r="BC895">
        <v>-0.7</v>
      </c>
      <c r="BD895">
        <v>1.53</v>
      </c>
      <c r="BE895">
        <v>2.64</v>
      </c>
      <c r="BF895">
        <v>0</v>
      </c>
      <c r="BG895">
        <v>3.51</v>
      </c>
      <c r="BH895">
        <v>1.26</v>
      </c>
      <c r="BI895">
        <v>20191113</v>
      </c>
      <c r="BJ895">
        <v>20100706</v>
      </c>
      <c r="BK895">
        <v>5.45</v>
      </c>
      <c r="BL895" t="s">
        <v>116</v>
      </c>
      <c r="BM895" t="s">
        <v>116</v>
      </c>
      <c r="BN895">
        <v>56.39</v>
      </c>
      <c r="BO895">
        <v>38.33</v>
      </c>
      <c r="BP895">
        <v>1.1299999999999999</v>
      </c>
      <c r="BQ895">
        <v>30.02</v>
      </c>
      <c r="BR895">
        <v>43.95</v>
      </c>
      <c r="BS895">
        <v>5.29</v>
      </c>
      <c r="BT895">
        <v>0.87</v>
      </c>
      <c r="BU895">
        <v>16.78</v>
      </c>
      <c r="BV895">
        <v>11.37</v>
      </c>
      <c r="BW895">
        <v>18.940000000000001</v>
      </c>
      <c r="BX895">
        <v>18.78</v>
      </c>
      <c r="BY895">
        <v>71.73</v>
      </c>
      <c r="BZ895">
        <v>63.9</v>
      </c>
      <c r="CA895">
        <v>2.73</v>
      </c>
      <c r="CB895">
        <v>0.01</v>
      </c>
      <c r="CC895">
        <v>2.75</v>
      </c>
      <c r="CD895">
        <v>2.1</v>
      </c>
      <c r="CE895">
        <v>2.16</v>
      </c>
      <c r="CF895">
        <v>2.14</v>
      </c>
      <c r="CG895">
        <v>12.89</v>
      </c>
      <c r="CH895">
        <v>1.36</v>
      </c>
      <c r="CI895">
        <v>-2.99</v>
      </c>
      <c r="CJ895">
        <v>32093</v>
      </c>
      <c r="CK895">
        <v>7164</v>
      </c>
      <c r="CL895" t="s">
        <v>289</v>
      </c>
      <c r="CM895">
        <v>15.6</v>
      </c>
      <c r="CN895">
        <v>14.38</v>
      </c>
      <c r="CO895">
        <v>1.05</v>
      </c>
      <c r="CP895">
        <v>29.5</v>
      </c>
      <c r="CQ895">
        <v>0.56000000000000005</v>
      </c>
      <c r="CR895">
        <v>2.85</v>
      </c>
      <c r="CS895" t="s">
        <v>5370</v>
      </c>
      <c r="CT895">
        <v>7.03</v>
      </c>
      <c r="CU895">
        <v>0</v>
      </c>
      <c r="CV895">
        <v>3.45</v>
      </c>
      <c r="CW895">
        <v>2.37</v>
      </c>
      <c r="CX895">
        <v>0.25</v>
      </c>
      <c r="CY895">
        <v>67.97</v>
      </c>
      <c r="CZ895" t="s">
        <v>4373</v>
      </c>
      <c r="DA895">
        <v>10.92</v>
      </c>
      <c r="DB895">
        <v>3.8</v>
      </c>
      <c r="DC895">
        <v>3.01</v>
      </c>
      <c r="DD895">
        <v>0.16</v>
      </c>
      <c r="DE895">
        <v>3125</v>
      </c>
      <c r="DF895">
        <v>2441</v>
      </c>
      <c r="DG895" t="s">
        <v>116</v>
      </c>
      <c r="DH895" t="s">
        <v>116</v>
      </c>
      <c r="DI895" t="s">
        <v>116</v>
      </c>
    </row>
    <row r="896" spans="1:113" x14ac:dyDescent="0.4">
      <c r="A896" t="str">
        <f>"002442"</f>
        <v>002442</v>
      </c>
      <c r="B896" t="s">
        <v>5371</v>
      </c>
      <c r="C896">
        <v>-4.53</v>
      </c>
      <c r="D896">
        <v>6.11</v>
      </c>
      <c r="E896">
        <v>-0.28999999999999998</v>
      </c>
      <c r="F896">
        <v>6.1</v>
      </c>
      <c r="G896">
        <v>6.11</v>
      </c>
      <c r="H896">
        <v>986545</v>
      </c>
      <c r="I896">
        <v>10524</v>
      </c>
      <c r="J896">
        <v>-1.1200000000000001</v>
      </c>
      <c r="K896">
        <v>20.57</v>
      </c>
      <c r="L896">
        <v>6.71</v>
      </c>
      <c r="M896">
        <v>6.98</v>
      </c>
      <c r="N896">
        <v>6.03</v>
      </c>
      <c r="O896">
        <v>6.4</v>
      </c>
      <c r="P896">
        <v>91.83</v>
      </c>
      <c r="Q896">
        <v>650534848</v>
      </c>
      <c r="R896">
        <v>1.53</v>
      </c>
      <c r="S896" t="s">
        <v>891</v>
      </c>
      <c r="T896" t="s">
        <v>608</v>
      </c>
      <c r="U896">
        <v>14.84</v>
      </c>
      <c r="V896">
        <v>6.59</v>
      </c>
      <c r="W896">
        <v>547824</v>
      </c>
      <c r="X896">
        <v>438721</v>
      </c>
      <c r="Y896">
        <v>1.25</v>
      </c>
      <c r="Z896">
        <v>4510</v>
      </c>
      <c r="AA896">
        <v>35</v>
      </c>
      <c r="AB896" t="s">
        <v>116</v>
      </c>
      <c r="AC896">
        <v>13866899</v>
      </c>
      <c r="AD896">
        <v>0.85</v>
      </c>
      <c r="AE896" t="s">
        <v>116</v>
      </c>
      <c r="AF896" t="s">
        <v>116</v>
      </c>
      <c r="AG896">
        <v>4.8</v>
      </c>
      <c r="AH896" t="s">
        <v>947</v>
      </c>
      <c r="AI896" t="s">
        <v>5372</v>
      </c>
      <c r="AJ896">
        <v>-3.85</v>
      </c>
      <c r="AK896">
        <v>4308</v>
      </c>
      <c r="AL896">
        <v>229</v>
      </c>
      <c r="AM896">
        <v>4.7999999999999996E-3</v>
      </c>
      <c r="AN896">
        <v>-1</v>
      </c>
      <c r="AO896">
        <v>4.2699999999999996</v>
      </c>
      <c r="AP896">
        <v>25.46</v>
      </c>
      <c r="AQ896">
        <v>22.69</v>
      </c>
      <c r="AR896">
        <v>-18.100000000000001</v>
      </c>
      <c r="AS896">
        <v>40.51</v>
      </c>
      <c r="AT896" t="s">
        <v>5373</v>
      </c>
      <c r="AU896">
        <v>50</v>
      </c>
      <c r="AV896">
        <v>22.1</v>
      </c>
      <c r="AW896">
        <v>0.89</v>
      </c>
      <c r="BA896">
        <v>4.84</v>
      </c>
      <c r="BB896">
        <v>9.06</v>
      </c>
      <c r="BC896">
        <v>-5.78</v>
      </c>
      <c r="BD896">
        <v>3.03</v>
      </c>
      <c r="BE896">
        <v>-8.94</v>
      </c>
      <c r="BF896">
        <v>-12.46</v>
      </c>
      <c r="BG896">
        <v>1.33</v>
      </c>
      <c r="BH896">
        <v>-7.56</v>
      </c>
      <c r="BI896">
        <v>20191028</v>
      </c>
      <c r="BJ896">
        <v>20100706</v>
      </c>
      <c r="BK896">
        <v>4.8</v>
      </c>
      <c r="BL896" t="s">
        <v>116</v>
      </c>
      <c r="BM896" t="s">
        <v>116</v>
      </c>
      <c r="BN896">
        <v>27.69</v>
      </c>
      <c r="BO896">
        <v>12.42</v>
      </c>
      <c r="BP896">
        <v>0</v>
      </c>
      <c r="BQ896">
        <v>55.15</v>
      </c>
      <c r="BR896">
        <v>15.28</v>
      </c>
      <c r="BS896">
        <v>10.08</v>
      </c>
      <c r="BT896">
        <v>0.99</v>
      </c>
      <c r="BU896">
        <v>14.99</v>
      </c>
      <c r="BV896">
        <v>3.33</v>
      </c>
      <c r="BW896">
        <v>5.18</v>
      </c>
      <c r="BX896">
        <v>4.12</v>
      </c>
      <c r="BY896">
        <v>21.43</v>
      </c>
      <c r="BZ896">
        <v>18.760000000000002</v>
      </c>
      <c r="CA896">
        <v>0.33</v>
      </c>
      <c r="CB896">
        <v>0</v>
      </c>
      <c r="CC896">
        <v>0.33</v>
      </c>
      <c r="CD896">
        <v>0.24</v>
      </c>
      <c r="CE896">
        <v>0.24</v>
      </c>
      <c r="CF896">
        <v>0.21</v>
      </c>
      <c r="CG896">
        <v>3.04</v>
      </c>
      <c r="CH896">
        <v>3.62</v>
      </c>
      <c r="CI896">
        <v>0.33</v>
      </c>
      <c r="CJ896">
        <v>24764</v>
      </c>
      <c r="CK896">
        <v>9833</v>
      </c>
      <c r="CL896" t="s">
        <v>1506</v>
      </c>
      <c r="CM896">
        <v>-75.56</v>
      </c>
      <c r="CN896">
        <v>-6.72</v>
      </c>
      <c r="CO896">
        <v>2.36</v>
      </c>
      <c r="CP896">
        <v>8.11</v>
      </c>
      <c r="CQ896">
        <v>1.37</v>
      </c>
      <c r="CR896">
        <v>1.64</v>
      </c>
      <c r="CS896" t="s">
        <v>365</v>
      </c>
      <c r="CT896">
        <v>2.59</v>
      </c>
      <c r="CU896">
        <v>0</v>
      </c>
      <c r="CV896">
        <v>0.86</v>
      </c>
      <c r="CW896">
        <v>0.63</v>
      </c>
      <c r="CX896">
        <v>0.75</v>
      </c>
      <c r="CY896">
        <v>44.85</v>
      </c>
      <c r="CZ896" t="s">
        <v>5374</v>
      </c>
      <c r="DA896">
        <v>12.48</v>
      </c>
      <c r="DB896">
        <v>1.55</v>
      </c>
      <c r="DC896">
        <v>1.1200000000000001</v>
      </c>
      <c r="DD896">
        <v>0.12</v>
      </c>
      <c r="DE896">
        <v>1489</v>
      </c>
      <c r="DF896">
        <v>2442</v>
      </c>
      <c r="DG896" t="s">
        <v>116</v>
      </c>
      <c r="DH896" t="s">
        <v>116</v>
      </c>
      <c r="DI896" t="s">
        <v>116</v>
      </c>
    </row>
    <row r="897" spans="1:113" x14ac:dyDescent="0.4">
      <c r="A897" t="str">
        <f>"002443"</f>
        <v>002443</v>
      </c>
      <c r="B897" t="s">
        <v>5375</v>
      </c>
      <c r="C897">
        <v>0.45</v>
      </c>
      <c r="D897">
        <v>6.66</v>
      </c>
      <c r="E897">
        <v>0.03</v>
      </c>
      <c r="F897">
        <v>6.65</v>
      </c>
      <c r="G897">
        <v>6.66</v>
      </c>
      <c r="H897">
        <v>45072</v>
      </c>
      <c r="I897">
        <v>2189</v>
      </c>
      <c r="J897">
        <v>0.45</v>
      </c>
      <c r="K897">
        <v>0.88</v>
      </c>
      <c r="L897">
        <v>6.64</v>
      </c>
      <c r="M897">
        <v>6.68</v>
      </c>
      <c r="N897">
        <v>6.6</v>
      </c>
      <c r="O897">
        <v>6.63</v>
      </c>
      <c r="P897">
        <v>16.16</v>
      </c>
      <c r="Q897">
        <v>29900408</v>
      </c>
      <c r="R897">
        <v>0.86</v>
      </c>
      <c r="S897" t="s">
        <v>2118</v>
      </c>
      <c r="T897" t="s">
        <v>590</v>
      </c>
      <c r="U897">
        <v>1.21</v>
      </c>
      <c r="V897">
        <v>6.63</v>
      </c>
      <c r="W897">
        <v>26673</v>
      </c>
      <c r="X897">
        <v>18399</v>
      </c>
      <c r="Y897">
        <v>1.45</v>
      </c>
      <c r="Z897">
        <v>276</v>
      </c>
      <c r="AA897">
        <v>740</v>
      </c>
      <c r="AB897" t="s">
        <v>116</v>
      </c>
      <c r="AC897">
        <v>37200</v>
      </c>
      <c r="AD897">
        <v>0</v>
      </c>
      <c r="AE897" t="s">
        <v>116</v>
      </c>
      <c r="AF897" t="s">
        <v>116</v>
      </c>
      <c r="AG897">
        <v>5.1100000000000003</v>
      </c>
      <c r="AH897" t="s">
        <v>4805</v>
      </c>
      <c r="AI897" t="s">
        <v>5376</v>
      </c>
      <c r="AJ897">
        <v>1.1299999999999999</v>
      </c>
      <c r="AK897">
        <v>841</v>
      </c>
      <c r="AL897">
        <v>54</v>
      </c>
      <c r="AM897">
        <v>1E-3</v>
      </c>
      <c r="AN897">
        <v>2</v>
      </c>
      <c r="AO897">
        <v>0</v>
      </c>
      <c r="AP897">
        <v>-2.63</v>
      </c>
      <c r="AQ897">
        <v>-1.62</v>
      </c>
      <c r="AR897">
        <v>30.33</v>
      </c>
      <c r="AS897">
        <v>1.1299999999999999</v>
      </c>
      <c r="AT897" t="s">
        <v>5377</v>
      </c>
      <c r="AU897">
        <v>14.3</v>
      </c>
      <c r="AV897">
        <v>18.149999999999999</v>
      </c>
      <c r="AW897">
        <v>0.7</v>
      </c>
      <c r="BA897">
        <v>0.15</v>
      </c>
      <c r="BB897">
        <v>0.75</v>
      </c>
      <c r="BC897">
        <v>-0.45</v>
      </c>
      <c r="BD897">
        <v>0.06</v>
      </c>
      <c r="BE897">
        <v>0.3</v>
      </c>
      <c r="BF897">
        <v>-0.3</v>
      </c>
      <c r="BG897">
        <v>0.91</v>
      </c>
      <c r="BH897">
        <v>0.39</v>
      </c>
      <c r="BI897">
        <v>20191024</v>
      </c>
      <c r="BJ897">
        <v>20100706</v>
      </c>
      <c r="BK897">
        <v>5.21</v>
      </c>
      <c r="BL897" t="s">
        <v>116</v>
      </c>
      <c r="BM897" t="s">
        <v>116</v>
      </c>
      <c r="BN897">
        <v>34.950000000000003</v>
      </c>
      <c r="BO897">
        <v>23.24</v>
      </c>
      <c r="BP897">
        <v>1.6</v>
      </c>
      <c r="BQ897">
        <v>28.92</v>
      </c>
      <c r="BR897">
        <v>24.73</v>
      </c>
      <c r="BS897">
        <v>7.87</v>
      </c>
      <c r="BT897">
        <v>1.73</v>
      </c>
      <c r="BU897">
        <v>8.5</v>
      </c>
      <c r="BV897">
        <v>8.85</v>
      </c>
      <c r="BW897">
        <v>6.14</v>
      </c>
      <c r="BX897">
        <v>7.74</v>
      </c>
      <c r="BY897">
        <v>36.36</v>
      </c>
      <c r="BZ897">
        <v>31.05</v>
      </c>
      <c r="CA897">
        <v>2.2599999999999998</v>
      </c>
      <c r="CB897">
        <v>0.28000000000000003</v>
      </c>
      <c r="CC897">
        <v>2.2000000000000002</v>
      </c>
      <c r="CD897">
        <v>1.77</v>
      </c>
      <c r="CE897">
        <v>1.61</v>
      </c>
      <c r="CF897">
        <v>1.32</v>
      </c>
      <c r="CG897">
        <v>9.25</v>
      </c>
      <c r="CH897">
        <v>0.97</v>
      </c>
      <c r="CI897">
        <v>-0.63</v>
      </c>
      <c r="CJ897">
        <v>40595</v>
      </c>
      <c r="CK897">
        <v>9857</v>
      </c>
      <c r="CL897" t="s">
        <v>415</v>
      </c>
      <c r="CM897">
        <v>46.9</v>
      </c>
      <c r="CN897">
        <v>8.26</v>
      </c>
      <c r="CO897">
        <v>1.49</v>
      </c>
      <c r="CP897">
        <v>35.57</v>
      </c>
      <c r="CQ897">
        <v>0.95</v>
      </c>
      <c r="CR897">
        <v>3</v>
      </c>
      <c r="CS897" t="s">
        <v>5378</v>
      </c>
      <c r="CT897">
        <v>4.47</v>
      </c>
      <c r="CU897">
        <v>0</v>
      </c>
      <c r="CV897">
        <v>1.49</v>
      </c>
      <c r="CW897">
        <v>1.78</v>
      </c>
      <c r="CX897">
        <v>0.19</v>
      </c>
      <c r="CY897">
        <v>66.5</v>
      </c>
      <c r="CZ897" t="s">
        <v>5379</v>
      </c>
      <c r="DA897">
        <v>14.61</v>
      </c>
      <c r="DB897">
        <v>6.22</v>
      </c>
      <c r="DC897">
        <v>4.43</v>
      </c>
      <c r="DD897">
        <v>0.97</v>
      </c>
      <c r="DE897">
        <v>1898</v>
      </c>
      <c r="DF897">
        <v>2443</v>
      </c>
      <c r="DG897" t="s">
        <v>116</v>
      </c>
      <c r="DH897" t="s">
        <v>116</v>
      </c>
      <c r="DI897" t="s">
        <v>116</v>
      </c>
    </row>
    <row r="898" spans="1:113" x14ac:dyDescent="0.4">
      <c r="A898" t="str">
        <f>"002444"</f>
        <v>002444</v>
      </c>
      <c r="B898" t="s">
        <v>5380</v>
      </c>
      <c r="C898">
        <v>-0.47</v>
      </c>
      <c r="D898">
        <v>10.48</v>
      </c>
      <c r="E898">
        <v>-0.05</v>
      </c>
      <c r="F898">
        <v>10.48</v>
      </c>
      <c r="G898">
        <v>10.49</v>
      </c>
      <c r="H898">
        <v>115069</v>
      </c>
      <c r="I898">
        <v>808</v>
      </c>
      <c r="J898">
        <v>0</v>
      </c>
      <c r="K898">
        <v>1.1399999999999999</v>
      </c>
      <c r="L898">
        <v>10.55</v>
      </c>
      <c r="M898">
        <v>10.72</v>
      </c>
      <c r="N898">
        <v>10.45</v>
      </c>
      <c r="O898">
        <v>10.53</v>
      </c>
      <c r="P898">
        <v>11.61</v>
      </c>
      <c r="Q898">
        <v>121908712</v>
      </c>
      <c r="R898">
        <v>1.28</v>
      </c>
      <c r="S898" t="s">
        <v>353</v>
      </c>
      <c r="T898" t="s">
        <v>590</v>
      </c>
      <c r="U898">
        <v>2.56</v>
      </c>
      <c r="V898">
        <v>10.59</v>
      </c>
      <c r="W898">
        <v>63005</v>
      </c>
      <c r="X898">
        <v>52064</v>
      </c>
      <c r="Y898">
        <v>1.21</v>
      </c>
      <c r="Z898">
        <v>619</v>
      </c>
      <c r="AA898">
        <v>88</v>
      </c>
      <c r="AB898" t="s">
        <v>116</v>
      </c>
      <c r="AC898">
        <v>295400</v>
      </c>
      <c r="AD898">
        <v>0.01</v>
      </c>
      <c r="AE898" t="s">
        <v>116</v>
      </c>
      <c r="AF898" t="s">
        <v>116</v>
      </c>
      <c r="AG898">
        <v>10.119999999999999</v>
      </c>
      <c r="AH898" t="s">
        <v>5381</v>
      </c>
      <c r="AI898" t="s">
        <v>5382</v>
      </c>
      <c r="AJ898">
        <v>0.2</v>
      </c>
      <c r="AK898">
        <v>2437</v>
      </c>
      <c r="AL898">
        <v>47</v>
      </c>
      <c r="AM898">
        <v>5.0000000000000001E-4</v>
      </c>
      <c r="AN898">
        <v>-1</v>
      </c>
      <c r="AO898">
        <v>0.19</v>
      </c>
      <c r="AP898">
        <v>8.4700000000000006</v>
      </c>
      <c r="AQ898">
        <v>-4.66</v>
      </c>
      <c r="AR898">
        <v>12.79</v>
      </c>
      <c r="AS898">
        <v>2.2400000000000002</v>
      </c>
      <c r="AT898" t="s">
        <v>5383</v>
      </c>
      <c r="AU898">
        <v>12.82</v>
      </c>
      <c r="AV898">
        <v>15.72</v>
      </c>
      <c r="AW898">
        <v>1.47</v>
      </c>
      <c r="BA898">
        <v>0.19</v>
      </c>
      <c r="BB898">
        <v>1.8</v>
      </c>
      <c r="BC898">
        <v>-0.76</v>
      </c>
      <c r="BD898">
        <v>0.61</v>
      </c>
      <c r="BE898">
        <v>-0.66</v>
      </c>
      <c r="BF898">
        <v>-2.2400000000000002</v>
      </c>
      <c r="BG898">
        <v>0.28999999999999998</v>
      </c>
      <c r="BH898">
        <v>-1.0900000000000001</v>
      </c>
      <c r="BI898">
        <v>20191029</v>
      </c>
      <c r="BJ898">
        <v>20100713</v>
      </c>
      <c r="BK898">
        <v>10.75</v>
      </c>
      <c r="BL898" t="s">
        <v>116</v>
      </c>
      <c r="BM898" t="s">
        <v>116</v>
      </c>
      <c r="BN898">
        <v>108.32</v>
      </c>
      <c r="BO898">
        <v>74.02</v>
      </c>
      <c r="BP898">
        <v>1.89</v>
      </c>
      <c r="BQ898">
        <v>29.93</v>
      </c>
      <c r="BR898">
        <v>61.44</v>
      </c>
      <c r="BS898">
        <v>10.63</v>
      </c>
      <c r="BT898">
        <v>5.09</v>
      </c>
      <c r="BU898">
        <v>24.69</v>
      </c>
      <c r="BV898">
        <v>13.1</v>
      </c>
      <c r="BW898">
        <v>14.01</v>
      </c>
      <c r="BX898">
        <v>20.29</v>
      </c>
      <c r="BY898">
        <v>49.29</v>
      </c>
      <c r="BZ898">
        <v>32.130000000000003</v>
      </c>
      <c r="CA898">
        <v>9.2100000000000009</v>
      </c>
      <c r="CB898">
        <v>0.75</v>
      </c>
      <c r="CC898">
        <v>9.2100000000000009</v>
      </c>
      <c r="CD898">
        <v>7.39</v>
      </c>
      <c r="CE898">
        <v>7.28</v>
      </c>
      <c r="CF898">
        <v>6.9</v>
      </c>
      <c r="CG898">
        <v>39.340000000000003</v>
      </c>
      <c r="CH898">
        <v>3.23</v>
      </c>
      <c r="CI898">
        <v>2.4700000000000002</v>
      </c>
      <c r="CJ898">
        <v>47965</v>
      </c>
      <c r="CK898">
        <v>10689</v>
      </c>
      <c r="CL898" t="s">
        <v>5384</v>
      </c>
      <c r="CM898">
        <v>28.56</v>
      </c>
      <c r="CN898">
        <v>16.190000000000001</v>
      </c>
      <c r="CO898">
        <v>1.52</v>
      </c>
      <c r="CP898">
        <v>34.92</v>
      </c>
      <c r="CQ898">
        <v>2.29</v>
      </c>
      <c r="CR898">
        <v>1.79</v>
      </c>
      <c r="CS898" t="s">
        <v>5385</v>
      </c>
      <c r="CT898">
        <v>6.88</v>
      </c>
      <c r="CU898">
        <v>0</v>
      </c>
      <c r="CV898">
        <v>1.89</v>
      </c>
      <c r="CW898">
        <v>3.66</v>
      </c>
      <c r="CX898">
        <v>0.3</v>
      </c>
      <c r="CY898">
        <v>68.33</v>
      </c>
      <c r="CZ898" t="s">
        <v>5386</v>
      </c>
      <c r="DA898">
        <v>34.82</v>
      </c>
      <c r="DB898">
        <v>18.690000000000001</v>
      </c>
      <c r="DC898">
        <v>14.77</v>
      </c>
      <c r="DD898">
        <v>1.33</v>
      </c>
      <c r="DE898">
        <v>6192</v>
      </c>
      <c r="DF898">
        <v>2444</v>
      </c>
      <c r="DG898" t="s">
        <v>116</v>
      </c>
      <c r="DH898" t="s">
        <v>116</v>
      </c>
      <c r="DI898" t="s">
        <v>116</v>
      </c>
    </row>
    <row r="899" spans="1:113" x14ac:dyDescent="0.4">
      <c r="A899" t="str">
        <f>"002445"</f>
        <v>002445</v>
      </c>
      <c r="B899" t="s">
        <v>5387</v>
      </c>
      <c r="C899">
        <v>-3.4</v>
      </c>
      <c r="D899">
        <v>1.42</v>
      </c>
      <c r="E899">
        <v>-0.05</v>
      </c>
      <c r="F899">
        <v>1.42</v>
      </c>
      <c r="G899">
        <v>1.43</v>
      </c>
      <c r="H899">
        <v>209380</v>
      </c>
      <c r="I899">
        <v>2901</v>
      </c>
      <c r="J899">
        <v>-1.38</v>
      </c>
      <c r="K899">
        <v>1.63</v>
      </c>
      <c r="L899">
        <v>1.44</v>
      </c>
      <c r="M899">
        <v>1.52</v>
      </c>
      <c r="N899">
        <v>1.42</v>
      </c>
      <c r="O899">
        <v>1.47</v>
      </c>
      <c r="P899" t="s">
        <v>116</v>
      </c>
      <c r="Q899">
        <v>30513264</v>
      </c>
      <c r="R899">
        <v>0.64</v>
      </c>
      <c r="S899" t="s">
        <v>589</v>
      </c>
      <c r="T899" t="s">
        <v>323</v>
      </c>
      <c r="U899">
        <v>6.8</v>
      </c>
      <c r="V899">
        <v>1.46</v>
      </c>
      <c r="W899">
        <v>118242</v>
      </c>
      <c r="X899">
        <v>91138</v>
      </c>
      <c r="Y899">
        <v>1.3</v>
      </c>
      <c r="Z899">
        <v>3546</v>
      </c>
      <c r="AA899">
        <v>1424</v>
      </c>
      <c r="AB899" t="s">
        <v>116</v>
      </c>
      <c r="AC899">
        <v>232700</v>
      </c>
      <c r="AD899">
        <v>0.02</v>
      </c>
      <c r="AE899" t="s">
        <v>116</v>
      </c>
      <c r="AF899" t="s">
        <v>116</v>
      </c>
      <c r="AG899">
        <v>12.82</v>
      </c>
      <c r="AH899" t="s">
        <v>2125</v>
      </c>
      <c r="AI899" t="s">
        <v>1862</v>
      </c>
      <c r="AJ899">
        <v>-2.72</v>
      </c>
      <c r="AK899">
        <v>1072</v>
      </c>
      <c r="AL899">
        <v>195</v>
      </c>
      <c r="AM899">
        <v>1.5E-3</v>
      </c>
      <c r="AN899">
        <v>-1</v>
      </c>
      <c r="AO899">
        <v>-7.79</v>
      </c>
      <c r="AP899">
        <v>13.6</v>
      </c>
      <c r="AQ899">
        <v>-1.39</v>
      </c>
      <c r="AR899">
        <v>-27.55</v>
      </c>
      <c r="AS899">
        <v>2.68</v>
      </c>
      <c r="AT899" t="s">
        <v>1423</v>
      </c>
      <c r="AU899" t="s">
        <v>116</v>
      </c>
      <c r="AV899" t="s">
        <v>116</v>
      </c>
      <c r="AW899">
        <v>0.43</v>
      </c>
      <c r="BA899">
        <v>-2.04</v>
      </c>
      <c r="BB899">
        <v>3.4</v>
      </c>
      <c r="BC899">
        <v>-3.4</v>
      </c>
      <c r="BD899">
        <v>-0.86</v>
      </c>
      <c r="BE899">
        <v>-1.39</v>
      </c>
      <c r="BF899">
        <v>-6.58</v>
      </c>
      <c r="BG899">
        <v>0</v>
      </c>
      <c r="BH899">
        <v>-2.54</v>
      </c>
      <c r="BI899">
        <v>20191219</v>
      </c>
      <c r="BJ899">
        <v>20100713</v>
      </c>
      <c r="BK899">
        <v>13.89</v>
      </c>
      <c r="BL899" t="s">
        <v>116</v>
      </c>
      <c r="BM899" t="s">
        <v>116</v>
      </c>
      <c r="BN899">
        <v>44.2</v>
      </c>
      <c r="BO899">
        <v>17.07</v>
      </c>
      <c r="BP899">
        <v>0.11</v>
      </c>
      <c r="BQ899">
        <v>61.13</v>
      </c>
      <c r="BR899">
        <v>19.010000000000002</v>
      </c>
      <c r="BS899">
        <v>4.3600000000000003</v>
      </c>
      <c r="BT899">
        <v>0.73</v>
      </c>
      <c r="BU899">
        <v>24.2</v>
      </c>
      <c r="BV899">
        <v>6.64</v>
      </c>
      <c r="BW899">
        <v>6.53</v>
      </c>
      <c r="BX899">
        <v>18.190000000000001</v>
      </c>
      <c r="BY899">
        <v>4.51</v>
      </c>
      <c r="BZ899">
        <v>3.45</v>
      </c>
      <c r="CA899">
        <v>-2.52</v>
      </c>
      <c r="CB899">
        <v>-0.01</v>
      </c>
      <c r="CC899">
        <v>-2.66</v>
      </c>
      <c r="CD899">
        <v>-2.74</v>
      </c>
      <c r="CE899">
        <v>-2.74</v>
      </c>
      <c r="CF899">
        <v>-2.67</v>
      </c>
      <c r="CG899">
        <v>-14.85</v>
      </c>
      <c r="CH899">
        <v>-0.03</v>
      </c>
      <c r="CI899">
        <v>-0.65</v>
      </c>
      <c r="CJ899">
        <v>29159</v>
      </c>
      <c r="CK899">
        <v>26786</v>
      </c>
      <c r="CL899" t="s">
        <v>1800</v>
      </c>
      <c r="CM899">
        <v>-1060.3800000000001</v>
      </c>
      <c r="CN899">
        <v>-47.98</v>
      </c>
      <c r="CO899">
        <v>1.1599999999999999</v>
      </c>
      <c r="CP899">
        <v>-570.76</v>
      </c>
      <c r="CQ899">
        <v>4.38</v>
      </c>
      <c r="CR899">
        <v>0</v>
      </c>
      <c r="CS899" t="s">
        <v>5388</v>
      </c>
      <c r="CT899">
        <v>1.23</v>
      </c>
      <c r="CU899">
        <v>0</v>
      </c>
      <c r="CV899">
        <v>1.31</v>
      </c>
      <c r="CW899">
        <v>-1.07</v>
      </c>
      <c r="CX899">
        <v>0</v>
      </c>
      <c r="CY899">
        <v>38.630000000000003</v>
      </c>
      <c r="CZ899" t="s">
        <v>5389</v>
      </c>
      <c r="DA899">
        <v>23.45</v>
      </c>
      <c r="DB899">
        <v>-55.83</v>
      </c>
      <c r="DC899">
        <v>-60.71</v>
      </c>
      <c r="DD899">
        <v>0.26</v>
      </c>
      <c r="DE899">
        <v>850</v>
      </c>
      <c r="DF899">
        <v>2445</v>
      </c>
      <c r="DG899" t="s">
        <v>116</v>
      </c>
      <c r="DH899" t="s">
        <v>116</v>
      </c>
      <c r="DI899" t="s">
        <v>116</v>
      </c>
    </row>
    <row r="900" spans="1:113" x14ac:dyDescent="0.4">
      <c r="A900" t="str">
        <f>"002446"</f>
        <v>002446</v>
      </c>
      <c r="B900" t="s">
        <v>5390</v>
      </c>
      <c r="C900">
        <v>-1.94</v>
      </c>
      <c r="D900">
        <v>9.09</v>
      </c>
      <c r="E900">
        <v>-0.18</v>
      </c>
      <c r="F900">
        <v>9.08</v>
      </c>
      <c r="G900">
        <v>9.09</v>
      </c>
      <c r="H900">
        <v>300874</v>
      </c>
      <c r="I900">
        <v>2893</v>
      </c>
      <c r="J900">
        <v>0.11</v>
      </c>
      <c r="K900">
        <v>4.8600000000000003</v>
      </c>
      <c r="L900">
        <v>9.27</v>
      </c>
      <c r="M900">
        <v>9.33</v>
      </c>
      <c r="N900">
        <v>9.06</v>
      </c>
      <c r="O900">
        <v>9.27</v>
      </c>
      <c r="P900">
        <v>46.88</v>
      </c>
      <c r="Q900">
        <v>276435168</v>
      </c>
      <c r="R900">
        <v>0.88</v>
      </c>
      <c r="S900" t="s">
        <v>465</v>
      </c>
      <c r="T900" t="s">
        <v>551</v>
      </c>
      <c r="U900">
        <v>2.91</v>
      </c>
      <c r="V900">
        <v>9.19</v>
      </c>
      <c r="W900">
        <v>172083</v>
      </c>
      <c r="X900">
        <v>128791</v>
      </c>
      <c r="Y900">
        <v>1.34</v>
      </c>
      <c r="Z900">
        <v>917</v>
      </c>
      <c r="AA900">
        <v>1257</v>
      </c>
      <c r="AB900" t="s">
        <v>116</v>
      </c>
      <c r="AC900">
        <v>1563800</v>
      </c>
      <c r="AD900">
        <v>0.03</v>
      </c>
      <c r="AE900" t="s">
        <v>116</v>
      </c>
      <c r="AF900" t="s">
        <v>116</v>
      </c>
      <c r="AG900">
        <v>6.19</v>
      </c>
      <c r="AH900" t="s">
        <v>5391</v>
      </c>
      <c r="AI900" t="s">
        <v>5392</v>
      </c>
      <c r="AJ900">
        <v>-1.26</v>
      </c>
      <c r="AK900">
        <v>3447</v>
      </c>
      <c r="AL900">
        <v>87</v>
      </c>
      <c r="AM900">
        <v>1.4E-3</v>
      </c>
      <c r="AN900">
        <v>-3</v>
      </c>
      <c r="AO900">
        <v>-2.99</v>
      </c>
      <c r="AP900">
        <v>-6.86</v>
      </c>
      <c r="AQ900">
        <v>-3.19</v>
      </c>
      <c r="AR900">
        <v>15.36</v>
      </c>
      <c r="AS900">
        <v>4.96</v>
      </c>
      <c r="AT900" t="s">
        <v>5393</v>
      </c>
      <c r="AU900">
        <v>62.55</v>
      </c>
      <c r="AV900">
        <v>67.23</v>
      </c>
      <c r="AW900">
        <v>1.36</v>
      </c>
      <c r="BA900">
        <v>0</v>
      </c>
      <c r="BB900">
        <v>0.65</v>
      </c>
      <c r="BC900">
        <v>-2.27</v>
      </c>
      <c r="BD900">
        <v>-0.89</v>
      </c>
      <c r="BE900">
        <v>-1.94</v>
      </c>
      <c r="BF900">
        <v>-2.57</v>
      </c>
      <c r="BG900">
        <v>0.33</v>
      </c>
      <c r="BH900">
        <v>-1.05</v>
      </c>
      <c r="BI900">
        <v>20191028</v>
      </c>
      <c r="BJ900">
        <v>20100713</v>
      </c>
      <c r="BK900">
        <v>8.9600000000000009</v>
      </c>
      <c r="BL900" t="s">
        <v>116</v>
      </c>
      <c r="BM900" t="s">
        <v>116</v>
      </c>
      <c r="BN900">
        <v>53.55</v>
      </c>
      <c r="BO900">
        <v>36.79</v>
      </c>
      <c r="BP900">
        <v>0</v>
      </c>
      <c r="BQ900">
        <v>31.3</v>
      </c>
      <c r="BR900">
        <v>29.55</v>
      </c>
      <c r="BS900">
        <v>2.84</v>
      </c>
      <c r="BT900">
        <v>3.23</v>
      </c>
      <c r="BU900">
        <v>11.9</v>
      </c>
      <c r="BV900">
        <v>5.61</v>
      </c>
      <c r="BW900">
        <v>8.32</v>
      </c>
      <c r="BX900">
        <v>20.350000000000001</v>
      </c>
      <c r="BY900">
        <v>10.14</v>
      </c>
      <c r="BZ900">
        <v>6.6</v>
      </c>
      <c r="CA900">
        <v>1.48</v>
      </c>
      <c r="CB900">
        <v>0.06</v>
      </c>
      <c r="CC900">
        <v>1.48</v>
      </c>
      <c r="CD900">
        <v>1.29</v>
      </c>
      <c r="CE900">
        <v>1.3</v>
      </c>
      <c r="CF900">
        <v>1.1399999999999999</v>
      </c>
      <c r="CG900">
        <v>6.64</v>
      </c>
      <c r="CH900">
        <v>1.52</v>
      </c>
      <c r="CI900">
        <v>-0.3</v>
      </c>
      <c r="CJ900">
        <v>67674</v>
      </c>
      <c r="CK900">
        <v>8969</v>
      </c>
      <c r="CL900" t="s">
        <v>5394</v>
      </c>
      <c r="CM900">
        <v>7.48</v>
      </c>
      <c r="CN900">
        <v>1.38</v>
      </c>
      <c r="CO900">
        <v>2.2200000000000002</v>
      </c>
      <c r="CP900">
        <v>53.5</v>
      </c>
      <c r="CQ900">
        <v>8.0299999999999994</v>
      </c>
      <c r="CR900">
        <v>0.33</v>
      </c>
      <c r="CS900" t="s">
        <v>4857</v>
      </c>
      <c r="CT900">
        <v>4.09</v>
      </c>
      <c r="CU900">
        <v>4.09</v>
      </c>
      <c r="CV900">
        <v>2.27</v>
      </c>
      <c r="CW900">
        <v>0.74</v>
      </c>
      <c r="CX900">
        <v>0.17</v>
      </c>
      <c r="CY900">
        <v>68.69</v>
      </c>
      <c r="CZ900" t="s">
        <v>5395</v>
      </c>
      <c r="DA900">
        <v>34.9</v>
      </c>
      <c r="DB900">
        <v>14.64</v>
      </c>
      <c r="DC900">
        <v>12.85</v>
      </c>
      <c r="DD900">
        <v>0.83</v>
      </c>
      <c r="DE900">
        <v>2269</v>
      </c>
      <c r="DF900">
        <v>2446</v>
      </c>
      <c r="DG900" t="s">
        <v>116</v>
      </c>
      <c r="DH900" t="s">
        <v>116</v>
      </c>
      <c r="DI900" t="s">
        <v>116</v>
      </c>
    </row>
    <row r="901" spans="1:113" x14ac:dyDescent="0.4">
      <c r="A901" t="str">
        <f>"002447"</f>
        <v>002447</v>
      </c>
      <c r="B901" t="s">
        <v>5396</v>
      </c>
      <c r="C901">
        <v>-0.28999999999999998</v>
      </c>
      <c r="D901">
        <v>3.38</v>
      </c>
      <c r="E901">
        <v>-0.01</v>
      </c>
      <c r="F901">
        <v>3.38</v>
      </c>
      <c r="G901">
        <v>3.39</v>
      </c>
      <c r="H901">
        <v>842809</v>
      </c>
      <c r="I901">
        <v>5372</v>
      </c>
      <c r="J901">
        <v>-0.28000000000000003</v>
      </c>
      <c r="K901">
        <v>6.24</v>
      </c>
      <c r="L901">
        <v>3.41</v>
      </c>
      <c r="M901">
        <v>3.52</v>
      </c>
      <c r="N901">
        <v>3.37</v>
      </c>
      <c r="O901">
        <v>3.39</v>
      </c>
      <c r="P901">
        <v>5250.99</v>
      </c>
      <c r="Q901">
        <v>289501792</v>
      </c>
      <c r="R901">
        <v>1.88</v>
      </c>
      <c r="S901" t="s">
        <v>1384</v>
      </c>
      <c r="T901" t="s">
        <v>434</v>
      </c>
      <c r="U901">
        <v>4.42</v>
      </c>
      <c r="V901">
        <v>3.43</v>
      </c>
      <c r="W901">
        <v>417055</v>
      </c>
      <c r="X901">
        <v>425754</v>
      </c>
      <c r="Y901">
        <v>0.98</v>
      </c>
      <c r="Z901">
        <v>5417</v>
      </c>
      <c r="AA901">
        <v>4143</v>
      </c>
      <c r="AB901" t="s">
        <v>116</v>
      </c>
      <c r="AC901">
        <v>1031500</v>
      </c>
      <c r="AD901">
        <v>0.03</v>
      </c>
      <c r="AE901" t="s">
        <v>116</v>
      </c>
      <c r="AF901" t="s">
        <v>116</v>
      </c>
      <c r="AG901">
        <v>13.51</v>
      </c>
      <c r="AH901" t="s">
        <v>400</v>
      </c>
      <c r="AI901" t="s">
        <v>5397</v>
      </c>
      <c r="AJ901">
        <v>0.38</v>
      </c>
      <c r="AK901">
        <v>3562</v>
      </c>
      <c r="AL901">
        <v>237</v>
      </c>
      <c r="AM901">
        <v>1.8E-3</v>
      </c>
      <c r="AN901">
        <v>-1</v>
      </c>
      <c r="AO901">
        <v>2.4300000000000002</v>
      </c>
      <c r="AP901">
        <v>5.62</v>
      </c>
      <c r="AQ901">
        <v>1.81</v>
      </c>
      <c r="AR901">
        <v>15.36</v>
      </c>
      <c r="AS901">
        <v>8.73</v>
      </c>
      <c r="AT901" t="s">
        <v>5398</v>
      </c>
      <c r="AU901" t="s">
        <v>116</v>
      </c>
      <c r="AV901" t="s">
        <v>116</v>
      </c>
      <c r="AW901">
        <v>1.61</v>
      </c>
      <c r="BA901">
        <v>0.59</v>
      </c>
      <c r="BB901">
        <v>3.83</v>
      </c>
      <c r="BC901">
        <v>-0.59</v>
      </c>
      <c r="BD901">
        <v>1.33</v>
      </c>
      <c r="BE901">
        <v>-0.88</v>
      </c>
      <c r="BF901">
        <v>-3.98</v>
      </c>
      <c r="BG901">
        <v>0.3</v>
      </c>
      <c r="BH901">
        <v>-1.62</v>
      </c>
      <c r="BI901">
        <v>20191030</v>
      </c>
      <c r="BJ901">
        <v>20100713</v>
      </c>
      <c r="BK901">
        <v>14.27</v>
      </c>
      <c r="BL901" t="s">
        <v>116</v>
      </c>
      <c r="BM901" t="s">
        <v>116</v>
      </c>
      <c r="BN901">
        <v>17.73</v>
      </c>
      <c r="BO901">
        <v>16.04</v>
      </c>
      <c r="BP901">
        <v>-0.02</v>
      </c>
      <c r="BQ901">
        <v>9.65</v>
      </c>
      <c r="BR901">
        <v>5.21</v>
      </c>
      <c r="BS901">
        <v>3.53</v>
      </c>
      <c r="BT901">
        <v>0.3</v>
      </c>
      <c r="BU901">
        <v>0.35</v>
      </c>
      <c r="BV901">
        <v>0.04</v>
      </c>
      <c r="BW901">
        <v>1.64</v>
      </c>
      <c r="BX901">
        <v>1.62</v>
      </c>
      <c r="BY901">
        <v>0.69</v>
      </c>
      <c r="BZ901">
        <v>0.34</v>
      </c>
      <c r="CA901">
        <v>0.01</v>
      </c>
      <c r="CB901">
        <v>0</v>
      </c>
      <c r="CC901">
        <v>0.01</v>
      </c>
      <c r="CD901">
        <v>0.01</v>
      </c>
      <c r="CE901">
        <v>0.01</v>
      </c>
      <c r="CF901">
        <v>-7.0000000000000007E-2</v>
      </c>
      <c r="CG901">
        <v>-0.08</v>
      </c>
      <c r="CH901">
        <v>0.03</v>
      </c>
      <c r="CI901">
        <v>-0.13</v>
      </c>
      <c r="CJ901">
        <v>98802</v>
      </c>
      <c r="CK901">
        <v>9767</v>
      </c>
      <c r="CL901" t="s">
        <v>5399</v>
      </c>
      <c r="CM901">
        <v>-98.95</v>
      </c>
      <c r="CN901">
        <v>-67.77</v>
      </c>
      <c r="CO901">
        <v>3.01</v>
      </c>
      <c r="CP901">
        <v>1568.04</v>
      </c>
      <c r="CQ901">
        <v>70.05</v>
      </c>
      <c r="CR901">
        <v>0</v>
      </c>
      <c r="CS901" t="s">
        <v>222</v>
      </c>
      <c r="CT901">
        <v>1.1200000000000001</v>
      </c>
      <c r="CU901">
        <v>0</v>
      </c>
      <c r="CV901">
        <v>0.11</v>
      </c>
      <c r="CW901">
        <v>-0.01</v>
      </c>
      <c r="CX901">
        <v>0</v>
      </c>
      <c r="CY901">
        <v>90.47</v>
      </c>
      <c r="CZ901" t="s">
        <v>5400</v>
      </c>
      <c r="DA901">
        <v>51.3</v>
      </c>
      <c r="DB901">
        <v>0.86</v>
      </c>
      <c r="DC901">
        <v>1</v>
      </c>
      <c r="DD901">
        <v>0.03</v>
      </c>
      <c r="DE901">
        <v>88</v>
      </c>
      <c r="DF901">
        <v>2447</v>
      </c>
      <c r="DG901" t="s">
        <v>116</v>
      </c>
      <c r="DH901" t="s">
        <v>116</v>
      </c>
      <c r="DI901" t="s">
        <v>116</v>
      </c>
    </row>
    <row r="902" spans="1:113" x14ac:dyDescent="0.4">
      <c r="A902" t="str">
        <f>"002448"</f>
        <v>002448</v>
      </c>
      <c r="B902" t="s">
        <v>5401</v>
      </c>
      <c r="C902">
        <v>0.38</v>
      </c>
      <c r="D902">
        <v>5.33</v>
      </c>
      <c r="E902">
        <v>0.02</v>
      </c>
      <c r="F902">
        <v>5.33</v>
      </c>
      <c r="G902">
        <v>5.34</v>
      </c>
      <c r="H902">
        <v>80594</v>
      </c>
      <c r="I902">
        <v>1079</v>
      </c>
      <c r="J902">
        <v>-0.18</v>
      </c>
      <c r="K902">
        <v>1.71</v>
      </c>
      <c r="L902">
        <v>5.28</v>
      </c>
      <c r="M902">
        <v>5.41</v>
      </c>
      <c r="N902">
        <v>5.27</v>
      </c>
      <c r="O902">
        <v>5.31</v>
      </c>
      <c r="P902">
        <v>19.559999999999999</v>
      </c>
      <c r="Q902">
        <v>43232424</v>
      </c>
      <c r="R902">
        <v>1.39</v>
      </c>
      <c r="S902" t="s">
        <v>293</v>
      </c>
      <c r="T902" t="s">
        <v>652</v>
      </c>
      <c r="U902">
        <v>2.64</v>
      </c>
      <c r="V902">
        <v>5.36</v>
      </c>
      <c r="W902">
        <v>33487</v>
      </c>
      <c r="X902">
        <v>47107</v>
      </c>
      <c r="Y902">
        <v>0.71</v>
      </c>
      <c r="Z902">
        <v>496</v>
      </c>
      <c r="AA902">
        <v>930</v>
      </c>
      <c r="AB902" t="s">
        <v>116</v>
      </c>
      <c r="AC902">
        <v>818900</v>
      </c>
      <c r="AD902">
        <v>0.04</v>
      </c>
      <c r="AE902" t="s">
        <v>116</v>
      </c>
      <c r="AF902" t="s">
        <v>116</v>
      </c>
      <c r="AG902">
        <v>4.71</v>
      </c>
      <c r="AH902" t="s">
        <v>3226</v>
      </c>
      <c r="AI902" t="s">
        <v>5402</v>
      </c>
      <c r="AJ902">
        <v>1.06</v>
      </c>
      <c r="AK902">
        <v>1247</v>
      </c>
      <c r="AL902">
        <v>65</v>
      </c>
      <c r="AM902">
        <v>1.4E-3</v>
      </c>
      <c r="AN902">
        <v>2</v>
      </c>
      <c r="AO902">
        <v>-0.18</v>
      </c>
      <c r="AP902">
        <v>5.96</v>
      </c>
      <c r="AQ902">
        <v>1.91</v>
      </c>
      <c r="AR902">
        <v>0.95</v>
      </c>
      <c r="AS902">
        <v>1.85</v>
      </c>
      <c r="AT902" t="s">
        <v>5403</v>
      </c>
      <c r="AU902">
        <v>15.48</v>
      </c>
      <c r="AV902">
        <v>11.5</v>
      </c>
      <c r="AW902">
        <v>0.5</v>
      </c>
      <c r="BA902">
        <v>-0.56000000000000005</v>
      </c>
      <c r="BB902">
        <v>1.88</v>
      </c>
      <c r="BC902">
        <v>-0.75</v>
      </c>
      <c r="BD902">
        <v>1.02</v>
      </c>
      <c r="BE902">
        <v>0.95</v>
      </c>
      <c r="BF902">
        <v>-1.48</v>
      </c>
      <c r="BG902">
        <v>1.1399999999999999</v>
      </c>
      <c r="BH902">
        <v>-0.64</v>
      </c>
      <c r="BI902">
        <v>20191030</v>
      </c>
      <c r="BJ902">
        <v>20100716</v>
      </c>
      <c r="BK902">
        <v>6.07</v>
      </c>
      <c r="BL902" t="s">
        <v>116</v>
      </c>
      <c r="BM902" t="s">
        <v>116</v>
      </c>
      <c r="BN902">
        <v>42.36</v>
      </c>
      <c r="BO902">
        <v>26.85</v>
      </c>
      <c r="BP902">
        <v>0.4</v>
      </c>
      <c r="BQ902">
        <v>35.67</v>
      </c>
      <c r="BR902">
        <v>16.34</v>
      </c>
      <c r="BS902">
        <v>11.14</v>
      </c>
      <c r="BT902">
        <v>0.81</v>
      </c>
      <c r="BU902">
        <v>7.08</v>
      </c>
      <c r="BV902">
        <v>3.87</v>
      </c>
      <c r="BW902">
        <v>3.27</v>
      </c>
      <c r="BX902">
        <v>6.51</v>
      </c>
      <c r="BY902">
        <v>11.13</v>
      </c>
      <c r="BZ902">
        <v>7.43</v>
      </c>
      <c r="CA902">
        <v>1.41</v>
      </c>
      <c r="CB902">
        <v>0.56000000000000005</v>
      </c>
      <c r="CC902">
        <v>1.41</v>
      </c>
      <c r="CD902">
        <v>1.21</v>
      </c>
      <c r="CE902">
        <v>1.24</v>
      </c>
      <c r="CF902">
        <v>0.9</v>
      </c>
      <c r="CG902">
        <v>14.02</v>
      </c>
      <c r="CH902">
        <v>0.89</v>
      </c>
      <c r="CI902">
        <v>1.2</v>
      </c>
      <c r="CJ902">
        <v>66128</v>
      </c>
      <c r="CK902">
        <v>6586</v>
      </c>
      <c r="CL902" t="s">
        <v>764</v>
      </c>
      <c r="CM902">
        <v>-36.799999999999997</v>
      </c>
      <c r="CN902">
        <v>-7.63</v>
      </c>
      <c r="CO902">
        <v>1.21</v>
      </c>
      <c r="CP902">
        <v>36.229999999999997</v>
      </c>
      <c r="CQ902">
        <v>2.91</v>
      </c>
      <c r="CR902">
        <v>1.84</v>
      </c>
      <c r="CS902" t="s">
        <v>923</v>
      </c>
      <c r="CT902">
        <v>4.42</v>
      </c>
      <c r="CU902">
        <v>0</v>
      </c>
      <c r="CV902">
        <v>1.07</v>
      </c>
      <c r="CW902">
        <v>2.31</v>
      </c>
      <c r="CX902">
        <v>0.15</v>
      </c>
      <c r="CY902">
        <v>63.39</v>
      </c>
      <c r="CZ902" t="s">
        <v>5404</v>
      </c>
      <c r="DA902">
        <v>33.22</v>
      </c>
      <c r="DB902">
        <v>12.71</v>
      </c>
      <c r="DC902">
        <v>11.15</v>
      </c>
      <c r="DD902">
        <v>0.59</v>
      </c>
      <c r="DE902">
        <v>4211</v>
      </c>
      <c r="DF902">
        <v>2448</v>
      </c>
      <c r="DG902" t="s">
        <v>116</v>
      </c>
      <c r="DH902" t="s">
        <v>116</v>
      </c>
      <c r="DI902" t="s">
        <v>116</v>
      </c>
    </row>
    <row r="903" spans="1:113" x14ac:dyDescent="0.4">
      <c r="A903" t="str">
        <f>"002449"</f>
        <v>002449</v>
      </c>
      <c r="B903" t="s">
        <v>5405</v>
      </c>
      <c r="C903">
        <v>-3.14</v>
      </c>
      <c r="D903">
        <v>12.96</v>
      </c>
      <c r="E903">
        <v>-0.42</v>
      </c>
      <c r="F903">
        <v>12.95</v>
      </c>
      <c r="G903">
        <v>12.96</v>
      </c>
      <c r="H903">
        <v>277299</v>
      </c>
      <c r="I903">
        <v>2163</v>
      </c>
      <c r="J903">
        <v>0.15</v>
      </c>
      <c r="K903">
        <v>4.5599999999999996</v>
      </c>
      <c r="L903">
        <v>13.4</v>
      </c>
      <c r="M903">
        <v>13.6</v>
      </c>
      <c r="N903">
        <v>12.88</v>
      </c>
      <c r="O903">
        <v>13.38</v>
      </c>
      <c r="P903">
        <v>19.21</v>
      </c>
      <c r="Q903">
        <v>366978368</v>
      </c>
      <c r="R903">
        <v>0.99</v>
      </c>
      <c r="S903" t="s">
        <v>3507</v>
      </c>
      <c r="T903" t="s">
        <v>551</v>
      </c>
      <c r="U903">
        <v>5.38</v>
      </c>
      <c r="V903">
        <v>13.23</v>
      </c>
      <c r="W903">
        <v>155369</v>
      </c>
      <c r="X903">
        <v>121930</v>
      </c>
      <c r="Y903">
        <v>1.27</v>
      </c>
      <c r="Z903">
        <v>1271</v>
      </c>
      <c r="AA903">
        <v>781</v>
      </c>
      <c r="AB903" t="s">
        <v>116</v>
      </c>
      <c r="AC903">
        <v>1969700</v>
      </c>
      <c r="AD903">
        <v>0.03</v>
      </c>
      <c r="AE903" t="s">
        <v>116</v>
      </c>
      <c r="AF903" t="s">
        <v>116</v>
      </c>
      <c r="AG903">
        <v>6.08</v>
      </c>
      <c r="AH903" t="s">
        <v>5406</v>
      </c>
      <c r="AI903" t="s">
        <v>5407</v>
      </c>
      <c r="AJ903">
        <v>-2.46</v>
      </c>
      <c r="AK903">
        <v>3804</v>
      </c>
      <c r="AL903">
        <v>73</v>
      </c>
      <c r="AM903">
        <v>1.1999999999999999E-3</v>
      </c>
      <c r="AN903">
        <v>-1</v>
      </c>
      <c r="AO903">
        <v>-1.07</v>
      </c>
      <c r="AP903">
        <v>25.46</v>
      </c>
      <c r="AQ903">
        <v>16.55</v>
      </c>
      <c r="AR903">
        <v>28.57</v>
      </c>
      <c r="AS903">
        <v>5.76</v>
      </c>
      <c r="AT903" t="s">
        <v>5408</v>
      </c>
      <c r="AU903">
        <v>21.37</v>
      </c>
      <c r="AV903">
        <v>17.989999999999998</v>
      </c>
      <c r="AW903">
        <v>1.37</v>
      </c>
      <c r="BA903">
        <v>0.15</v>
      </c>
      <c r="BB903">
        <v>1.64</v>
      </c>
      <c r="BC903">
        <v>-3.74</v>
      </c>
      <c r="BD903">
        <v>-1.0900000000000001</v>
      </c>
      <c r="BE903">
        <v>-3.28</v>
      </c>
      <c r="BF903">
        <v>-4.71</v>
      </c>
      <c r="BG903">
        <v>0.62</v>
      </c>
      <c r="BH903">
        <v>-2.0499999999999998</v>
      </c>
      <c r="BI903">
        <v>20191218</v>
      </c>
      <c r="BJ903">
        <v>20100716</v>
      </c>
      <c r="BK903">
        <v>6.18</v>
      </c>
      <c r="BL903" t="s">
        <v>116</v>
      </c>
      <c r="BM903" t="s">
        <v>116</v>
      </c>
      <c r="BN903">
        <v>60.57</v>
      </c>
      <c r="BO903">
        <v>35.79</v>
      </c>
      <c r="BP903">
        <v>-0.02</v>
      </c>
      <c r="BQ903">
        <v>40.94</v>
      </c>
      <c r="BR903">
        <v>35.57</v>
      </c>
      <c r="BS903">
        <v>22.89</v>
      </c>
      <c r="BT903">
        <v>0.88</v>
      </c>
      <c r="BU903">
        <v>22.91</v>
      </c>
      <c r="BV903">
        <v>8.49</v>
      </c>
      <c r="BW903">
        <v>7.23</v>
      </c>
      <c r="BX903">
        <v>14.86</v>
      </c>
      <c r="BY903">
        <v>25.8</v>
      </c>
      <c r="BZ903">
        <v>19.41</v>
      </c>
      <c r="CA903">
        <v>3.82</v>
      </c>
      <c r="CB903">
        <v>0.05</v>
      </c>
      <c r="CC903">
        <v>3.74</v>
      </c>
      <c r="CD903">
        <v>3.08</v>
      </c>
      <c r="CE903">
        <v>3.13</v>
      </c>
      <c r="CF903">
        <v>2.82</v>
      </c>
      <c r="CG903">
        <v>12.63</v>
      </c>
      <c r="CH903">
        <v>3.26</v>
      </c>
      <c r="CI903">
        <v>-1.92</v>
      </c>
      <c r="CJ903">
        <v>39702</v>
      </c>
      <c r="CK903">
        <v>12134</v>
      </c>
      <c r="CL903" t="s">
        <v>5409</v>
      </c>
      <c r="CM903">
        <v>-18.39</v>
      </c>
      <c r="CN903">
        <v>-7.71</v>
      </c>
      <c r="CO903">
        <v>2.2400000000000002</v>
      </c>
      <c r="CP903">
        <v>24.6</v>
      </c>
      <c r="CQ903">
        <v>3.11</v>
      </c>
      <c r="CR903">
        <v>2.31</v>
      </c>
      <c r="CS903" t="s">
        <v>5410</v>
      </c>
      <c r="CT903">
        <v>5.79</v>
      </c>
      <c r="CU903">
        <v>0</v>
      </c>
      <c r="CV903">
        <v>2.4</v>
      </c>
      <c r="CW903">
        <v>2.04</v>
      </c>
      <c r="CX903">
        <v>0.53</v>
      </c>
      <c r="CY903">
        <v>59.1</v>
      </c>
      <c r="CZ903" t="s">
        <v>5411</v>
      </c>
      <c r="DA903">
        <v>24.8</v>
      </c>
      <c r="DB903">
        <v>14.8</v>
      </c>
      <c r="DC903">
        <v>12.13</v>
      </c>
      <c r="DD903">
        <v>1.1299999999999999</v>
      </c>
      <c r="DE903">
        <v>4944</v>
      </c>
      <c r="DF903">
        <v>2449</v>
      </c>
      <c r="DG903" t="s">
        <v>116</v>
      </c>
      <c r="DH903" t="s">
        <v>116</v>
      </c>
      <c r="DI903" t="s">
        <v>116</v>
      </c>
    </row>
    <row r="904" spans="1:113" x14ac:dyDescent="0.4">
      <c r="A904" t="str">
        <f>"002450"</f>
        <v>002450</v>
      </c>
      <c r="B904" t="s">
        <v>5412</v>
      </c>
      <c r="C904" t="s">
        <v>116</v>
      </c>
      <c r="D904">
        <v>3.52</v>
      </c>
      <c r="E904" t="s">
        <v>116</v>
      </c>
      <c r="G904" t="s">
        <v>116</v>
      </c>
      <c r="H904">
        <v>0</v>
      </c>
      <c r="I904">
        <v>0</v>
      </c>
      <c r="J904" t="s">
        <v>116</v>
      </c>
      <c r="K904">
        <v>0</v>
      </c>
      <c r="L904" t="s">
        <v>116</v>
      </c>
      <c r="M904" t="s">
        <v>116</v>
      </c>
      <c r="N904" t="s">
        <v>116</v>
      </c>
      <c r="O904">
        <v>3.52</v>
      </c>
      <c r="P904" t="s">
        <v>116</v>
      </c>
      <c r="Q904">
        <v>0</v>
      </c>
      <c r="R904">
        <v>0</v>
      </c>
      <c r="S904" t="s">
        <v>891</v>
      </c>
      <c r="T904" t="s">
        <v>323</v>
      </c>
      <c r="U904">
        <v>0</v>
      </c>
      <c r="V904">
        <v>3.52</v>
      </c>
      <c r="W904">
        <v>0</v>
      </c>
      <c r="X904">
        <v>0</v>
      </c>
      <c r="Y904" t="s">
        <v>116</v>
      </c>
      <c r="Z904">
        <v>0</v>
      </c>
      <c r="AA904">
        <v>0</v>
      </c>
      <c r="AB904" t="s">
        <v>116</v>
      </c>
      <c r="AC904">
        <v>0</v>
      </c>
      <c r="AD904" t="s">
        <v>116</v>
      </c>
      <c r="AE904" t="s">
        <v>116</v>
      </c>
      <c r="AF904" t="s">
        <v>116</v>
      </c>
      <c r="AG904">
        <v>32.31</v>
      </c>
      <c r="AH904" t="s">
        <v>5413</v>
      </c>
      <c r="AI904" t="s">
        <v>5414</v>
      </c>
      <c r="AJ904">
        <v>0.68</v>
      </c>
      <c r="AK904">
        <v>0</v>
      </c>
      <c r="AL904" t="s">
        <v>116</v>
      </c>
      <c r="AM904" t="s">
        <v>116</v>
      </c>
      <c r="AN904">
        <v>-1</v>
      </c>
      <c r="AO904">
        <v>-1.1299999999999999</v>
      </c>
      <c r="AP904">
        <v>0</v>
      </c>
      <c r="AQ904">
        <v>0</v>
      </c>
      <c r="AR904">
        <v>-53.93</v>
      </c>
      <c r="AS904" t="s">
        <v>116</v>
      </c>
      <c r="AT904" t="s">
        <v>5415</v>
      </c>
      <c r="AU904" t="s">
        <v>116</v>
      </c>
      <c r="AV904">
        <v>44.4</v>
      </c>
      <c r="AW904">
        <v>0.67</v>
      </c>
      <c r="BA904" t="s">
        <v>116</v>
      </c>
      <c r="BB904" t="s">
        <v>116</v>
      </c>
      <c r="BC904" t="s">
        <v>116</v>
      </c>
      <c r="BD904">
        <v>0</v>
      </c>
      <c r="BE904" t="s">
        <v>116</v>
      </c>
      <c r="BF904" t="s">
        <v>116</v>
      </c>
      <c r="BG904" t="s">
        <v>116</v>
      </c>
      <c r="BH904" t="s">
        <v>116</v>
      </c>
      <c r="BI904">
        <v>20191024</v>
      </c>
      <c r="BJ904">
        <v>20100716</v>
      </c>
      <c r="BK904">
        <v>35.409999999999997</v>
      </c>
      <c r="BL904" t="s">
        <v>116</v>
      </c>
      <c r="BM904" t="s">
        <v>116</v>
      </c>
      <c r="BN904">
        <v>323.68</v>
      </c>
      <c r="BO904">
        <v>171.74</v>
      </c>
      <c r="BP904">
        <v>0.13</v>
      </c>
      <c r="BQ904">
        <v>46.9</v>
      </c>
      <c r="BR904">
        <v>215.65</v>
      </c>
      <c r="BS904">
        <v>36.04</v>
      </c>
      <c r="BT904">
        <v>3.98</v>
      </c>
      <c r="BU904">
        <v>105.71</v>
      </c>
      <c r="BV904">
        <v>4.99</v>
      </c>
      <c r="BW904">
        <v>41.8</v>
      </c>
      <c r="BX904">
        <v>68.2</v>
      </c>
      <c r="BY904">
        <v>11.63</v>
      </c>
      <c r="BZ904">
        <v>9.7899999999999991</v>
      </c>
      <c r="CA904">
        <v>-9.51</v>
      </c>
      <c r="CB904">
        <v>0.02</v>
      </c>
      <c r="CC904">
        <v>-9.61</v>
      </c>
      <c r="CD904">
        <v>-9.68</v>
      </c>
      <c r="CE904">
        <v>-9.68</v>
      </c>
      <c r="CF904">
        <v>-9.61</v>
      </c>
      <c r="CG904">
        <v>58.56</v>
      </c>
      <c r="CH904">
        <v>-5.59</v>
      </c>
      <c r="CI904">
        <v>-129.09</v>
      </c>
      <c r="CJ904">
        <v>133138</v>
      </c>
      <c r="CK904">
        <v>18018</v>
      </c>
      <c r="CL904" t="s">
        <v>2372</v>
      </c>
      <c r="CM904">
        <v>-143.97999999999999</v>
      </c>
      <c r="CN904">
        <v>-89.26</v>
      </c>
      <c r="CO904">
        <v>0.73</v>
      </c>
      <c r="CP904">
        <v>-22.29</v>
      </c>
      <c r="CQ904">
        <v>10.71</v>
      </c>
      <c r="CR904">
        <v>0</v>
      </c>
      <c r="CS904" t="s">
        <v>5416</v>
      </c>
      <c r="CT904">
        <v>4.8499999999999996</v>
      </c>
      <c r="CU904">
        <v>0</v>
      </c>
      <c r="CV904">
        <v>1.93</v>
      </c>
      <c r="CW904">
        <v>1.65</v>
      </c>
      <c r="CX904">
        <v>-0.16</v>
      </c>
      <c r="CY904">
        <v>53.06</v>
      </c>
      <c r="CZ904" t="s">
        <v>5417</v>
      </c>
      <c r="DA904">
        <v>15.83</v>
      </c>
      <c r="DB904">
        <v>-81.760000000000005</v>
      </c>
      <c r="DC904">
        <v>-83.23</v>
      </c>
      <c r="DD904">
        <v>1.56</v>
      </c>
      <c r="DE904">
        <v>3717</v>
      </c>
      <c r="DF904">
        <v>2450</v>
      </c>
      <c r="DG904" t="s">
        <v>116</v>
      </c>
      <c r="DH904" t="s">
        <v>116</v>
      </c>
      <c r="DI904" t="s">
        <v>116</v>
      </c>
    </row>
    <row r="905" spans="1:113" x14ac:dyDescent="0.4">
      <c r="A905" t="str">
        <f>"002451"</f>
        <v>002451</v>
      </c>
      <c r="B905" t="s">
        <v>5418</v>
      </c>
      <c r="C905">
        <v>-1.75</v>
      </c>
      <c r="D905">
        <v>9.5500000000000007</v>
      </c>
      <c r="E905">
        <v>-0.17</v>
      </c>
      <c r="F905">
        <v>9.5399999999999991</v>
      </c>
      <c r="G905">
        <v>9.5500000000000007</v>
      </c>
      <c r="H905">
        <v>105565</v>
      </c>
      <c r="I905">
        <v>1393</v>
      </c>
      <c r="J905">
        <v>0</v>
      </c>
      <c r="K905">
        <v>2.54</v>
      </c>
      <c r="L905">
        <v>9.6999999999999993</v>
      </c>
      <c r="M905">
        <v>9.8000000000000007</v>
      </c>
      <c r="N905">
        <v>9.52</v>
      </c>
      <c r="O905">
        <v>9.7200000000000006</v>
      </c>
      <c r="P905">
        <v>71.900000000000006</v>
      </c>
      <c r="Q905">
        <v>102049312</v>
      </c>
      <c r="R905">
        <v>1.21</v>
      </c>
      <c r="S905" t="s">
        <v>397</v>
      </c>
      <c r="T905" t="s">
        <v>1653</v>
      </c>
      <c r="U905">
        <v>2.88</v>
      </c>
      <c r="V905">
        <v>9.67</v>
      </c>
      <c r="W905">
        <v>62222</v>
      </c>
      <c r="X905">
        <v>43343</v>
      </c>
      <c r="Y905">
        <v>1.44</v>
      </c>
      <c r="Z905">
        <v>150</v>
      </c>
      <c r="AA905">
        <v>270</v>
      </c>
      <c r="AB905" t="s">
        <v>116</v>
      </c>
      <c r="AC905">
        <v>1861400</v>
      </c>
      <c r="AD905">
        <v>0.12</v>
      </c>
      <c r="AE905" t="s">
        <v>116</v>
      </c>
      <c r="AF905" t="s">
        <v>116</v>
      </c>
      <c r="AG905">
        <v>4.16</v>
      </c>
      <c r="AH905" t="s">
        <v>3071</v>
      </c>
      <c r="AI905" t="s">
        <v>5419</v>
      </c>
      <c r="AJ905">
        <v>-1.07</v>
      </c>
      <c r="AK905">
        <v>2450</v>
      </c>
      <c r="AL905">
        <v>43</v>
      </c>
      <c r="AM905">
        <v>1E-3</v>
      </c>
      <c r="AN905">
        <v>-1</v>
      </c>
      <c r="AO905">
        <v>3.24</v>
      </c>
      <c r="AP905">
        <v>0.74</v>
      </c>
      <c r="AQ905">
        <v>-10.24</v>
      </c>
      <c r="AR905">
        <v>-21.53</v>
      </c>
      <c r="AS905">
        <v>6.53</v>
      </c>
      <c r="AT905" t="s">
        <v>5420</v>
      </c>
      <c r="AU905">
        <v>90.88</v>
      </c>
      <c r="AV905">
        <v>500.32</v>
      </c>
      <c r="AW905">
        <v>0.66</v>
      </c>
      <c r="BA905">
        <v>-0.21</v>
      </c>
      <c r="BB905">
        <v>0.82</v>
      </c>
      <c r="BC905">
        <v>-2.06</v>
      </c>
      <c r="BD905">
        <v>-0.55000000000000004</v>
      </c>
      <c r="BE905">
        <v>-1.55</v>
      </c>
      <c r="BF905">
        <v>-2.5499999999999998</v>
      </c>
      <c r="BG905">
        <v>0.32</v>
      </c>
      <c r="BH905">
        <v>-1.2</v>
      </c>
      <c r="BI905">
        <v>20191028</v>
      </c>
      <c r="BJ905">
        <v>20100720</v>
      </c>
      <c r="BK905">
        <v>4.3899999999999997</v>
      </c>
      <c r="BL905" t="s">
        <v>116</v>
      </c>
      <c r="BM905" t="s">
        <v>116</v>
      </c>
      <c r="BN905">
        <v>13.81</v>
      </c>
      <c r="BO905">
        <v>7.05</v>
      </c>
      <c r="BP905">
        <v>0.02</v>
      </c>
      <c r="BQ905">
        <v>48.81</v>
      </c>
      <c r="BR905">
        <v>6.62</v>
      </c>
      <c r="BS905">
        <v>3.09</v>
      </c>
      <c r="BT905">
        <v>0.78</v>
      </c>
      <c r="BU905">
        <v>4.8600000000000003</v>
      </c>
      <c r="BV905">
        <v>0.92</v>
      </c>
      <c r="BW905">
        <v>1.52</v>
      </c>
      <c r="BX905">
        <v>0.68</v>
      </c>
      <c r="BY905">
        <v>2.5499999999999998</v>
      </c>
      <c r="BZ905">
        <v>2.06</v>
      </c>
      <c r="CA905">
        <v>0.55000000000000004</v>
      </c>
      <c r="CB905">
        <v>0.02</v>
      </c>
      <c r="CC905">
        <v>0.55000000000000004</v>
      </c>
      <c r="CD905">
        <v>0.44</v>
      </c>
      <c r="CE905">
        <v>0.44</v>
      </c>
      <c r="CF905">
        <v>-0.14000000000000001</v>
      </c>
      <c r="CG905">
        <v>1.85</v>
      </c>
      <c r="CH905">
        <v>0.84</v>
      </c>
      <c r="CI905">
        <v>-0.25</v>
      </c>
      <c r="CJ905">
        <v>46872</v>
      </c>
      <c r="CK905">
        <v>3451</v>
      </c>
      <c r="CL905" t="s">
        <v>5399</v>
      </c>
      <c r="CM905">
        <v>631.73</v>
      </c>
      <c r="CN905">
        <v>-41.72</v>
      </c>
      <c r="CO905">
        <v>5.95</v>
      </c>
      <c r="CP905">
        <v>49.69</v>
      </c>
      <c r="CQ905">
        <v>16.47</v>
      </c>
      <c r="CR905">
        <v>0</v>
      </c>
      <c r="CS905" t="s">
        <v>2448</v>
      </c>
      <c r="CT905">
        <v>1.6</v>
      </c>
      <c r="CU905">
        <v>0</v>
      </c>
      <c r="CV905">
        <v>0.16</v>
      </c>
      <c r="CW905">
        <v>0.42</v>
      </c>
      <c r="CX905">
        <v>0.19</v>
      </c>
      <c r="CY905">
        <v>51.03</v>
      </c>
      <c r="CZ905" t="s">
        <v>5421</v>
      </c>
      <c r="DA905">
        <v>19.010000000000002</v>
      </c>
      <c r="DB905">
        <v>21.43</v>
      </c>
      <c r="DC905">
        <v>17.18</v>
      </c>
      <c r="DD905">
        <v>7.0000000000000007E-2</v>
      </c>
      <c r="DE905">
        <v>179</v>
      </c>
      <c r="DF905">
        <v>2451</v>
      </c>
      <c r="DG905" t="s">
        <v>116</v>
      </c>
      <c r="DH905" t="s">
        <v>116</v>
      </c>
      <c r="DI905" t="s">
        <v>116</v>
      </c>
    </row>
    <row r="906" spans="1:113" x14ac:dyDescent="0.4">
      <c r="A906" t="str">
        <f>"002452"</f>
        <v>002452</v>
      </c>
      <c r="B906" t="s">
        <v>5422</v>
      </c>
      <c r="C906">
        <v>-2.2200000000000002</v>
      </c>
      <c r="D906">
        <v>4.84</v>
      </c>
      <c r="E906">
        <v>-0.11</v>
      </c>
      <c r="F906">
        <v>4.84</v>
      </c>
      <c r="G906">
        <v>4.8499999999999996</v>
      </c>
      <c r="H906">
        <v>40472</v>
      </c>
      <c r="I906">
        <v>683</v>
      </c>
      <c r="J906">
        <v>-0.4</v>
      </c>
      <c r="K906">
        <v>0.92</v>
      </c>
      <c r="L906">
        <v>4.96</v>
      </c>
      <c r="M906">
        <v>5.03</v>
      </c>
      <c r="N906">
        <v>4.84</v>
      </c>
      <c r="O906">
        <v>4.95</v>
      </c>
      <c r="P906">
        <v>20.27</v>
      </c>
      <c r="Q906">
        <v>19971572</v>
      </c>
      <c r="R906">
        <v>0.76</v>
      </c>
      <c r="S906" t="s">
        <v>397</v>
      </c>
      <c r="T906" t="s">
        <v>599</v>
      </c>
      <c r="U906">
        <v>3.84</v>
      </c>
      <c r="V906">
        <v>4.93</v>
      </c>
      <c r="W906">
        <v>22565</v>
      </c>
      <c r="X906">
        <v>17907</v>
      </c>
      <c r="Y906">
        <v>1.26</v>
      </c>
      <c r="Z906">
        <v>346</v>
      </c>
      <c r="AA906">
        <v>66</v>
      </c>
      <c r="AB906" t="s">
        <v>116</v>
      </c>
      <c r="AC906">
        <v>112600</v>
      </c>
      <c r="AD906">
        <v>0.01</v>
      </c>
      <c r="AE906" t="s">
        <v>116</v>
      </c>
      <c r="AF906" t="s">
        <v>116</v>
      </c>
      <c r="AG906">
        <v>4.41</v>
      </c>
      <c r="AH906" t="s">
        <v>5423</v>
      </c>
      <c r="AI906" t="s">
        <v>5424</v>
      </c>
      <c r="AJ906">
        <v>-1.54</v>
      </c>
      <c r="AK906">
        <v>868</v>
      </c>
      <c r="AL906">
        <v>47</v>
      </c>
      <c r="AM906">
        <v>1.1000000000000001E-3</v>
      </c>
      <c r="AN906">
        <v>-3</v>
      </c>
      <c r="AO906">
        <v>-3.77</v>
      </c>
      <c r="AP906">
        <v>2.76</v>
      </c>
      <c r="AQ906">
        <v>16.63</v>
      </c>
      <c r="AR906">
        <v>39.880000000000003</v>
      </c>
      <c r="AS906">
        <v>1.1000000000000001</v>
      </c>
      <c r="AT906" t="s">
        <v>5425</v>
      </c>
      <c r="AU906" t="s">
        <v>116</v>
      </c>
      <c r="AV906" t="s">
        <v>116</v>
      </c>
      <c r="AW906">
        <v>1.44</v>
      </c>
      <c r="BA906">
        <v>0.2</v>
      </c>
      <c r="BB906">
        <v>1.62</v>
      </c>
      <c r="BC906">
        <v>-2.2200000000000002</v>
      </c>
      <c r="BD906">
        <v>-0.31</v>
      </c>
      <c r="BE906">
        <v>-2.42</v>
      </c>
      <c r="BF906">
        <v>-3.78</v>
      </c>
      <c r="BG906">
        <v>0</v>
      </c>
      <c r="BH906">
        <v>-1.91</v>
      </c>
      <c r="BI906">
        <v>20191028</v>
      </c>
      <c r="BJ906">
        <v>20100720</v>
      </c>
      <c r="BK906">
        <v>5.29</v>
      </c>
      <c r="BL906" t="s">
        <v>116</v>
      </c>
      <c r="BM906" t="s">
        <v>116</v>
      </c>
      <c r="BN906">
        <v>26.38</v>
      </c>
      <c r="BO906">
        <v>12.06</v>
      </c>
      <c r="BP906">
        <v>0.26</v>
      </c>
      <c r="BQ906">
        <v>53.32</v>
      </c>
      <c r="BR906">
        <v>18.010000000000002</v>
      </c>
      <c r="BS906">
        <v>5.12</v>
      </c>
      <c r="BT906">
        <v>0.42</v>
      </c>
      <c r="BU906">
        <v>11.51</v>
      </c>
      <c r="BV906">
        <v>5.22</v>
      </c>
      <c r="BW906">
        <v>6.63</v>
      </c>
      <c r="BX906">
        <v>2.4700000000000002</v>
      </c>
      <c r="BY906">
        <v>7.63</v>
      </c>
      <c r="BZ906">
        <v>4.88</v>
      </c>
      <c r="CA906">
        <v>1.04</v>
      </c>
      <c r="CB906">
        <v>-0.01</v>
      </c>
      <c r="CC906">
        <v>1.08</v>
      </c>
      <c r="CD906">
        <v>0.92</v>
      </c>
      <c r="CE906">
        <v>0.95</v>
      </c>
      <c r="CF906">
        <v>0.92</v>
      </c>
      <c r="CG906">
        <v>3.63</v>
      </c>
      <c r="CH906">
        <v>-0.63</v>
      </c>
      <c r="CI906">
        <v>-0.35</v>
      </c>
      <c r="CJ906">
        <v>38421</v>
      </c>
      <c r="CK906">
        <v>9618</v>
      </c>
      <c r="CL906" t="s">
        <v>547</v>
      </c>
      <c r="CM906">
        <v>385.07</v>
      </c>
      <c r="CN906">
        <v>31.74</v>
      </c>
      <c r="CO906">
        <v>2.13</v>
      </c>
      <c r="CP906">
        <v>-40.76</v>
      </c>
      <c r="CQ906">
        <v>3.36</v>
      </c>
      <c r="CR906">
        <v>0</v>
      </c>
      <c r="CS906" t="s">
        <v>5426</v>
      </c>
      <c r="CT906">
        <v>2.2799999999999998</v>
      </c>
      <c r="CU906">
        <v>0</v>
      </c>
      <c r="CV906">
        <v>0.47</v>
      </c>
      <c r="CW906">
        <v>0.69</v>
      </c>
      <c r="CX906">
        <v>-0.12</v>
      </c>
      <c r="CY906">
        <v>45.7</v>
      </c>
      <c r="CZ906" t="s">
        <v>5427</v>
      </c>
      <c r="DA906">
        <v>36.07</v>
      </c>
      <c r="DB906">
        <v>13.63</v>
      </c>
      <c r="DC906">
        <v>12.43</v>
      </c>
      <c r="DD906">
        <v>0.28999999999999998</v>
      </c>
      <c r="DE906">
        <v>1596</v>
      </c>
      <c r="DF906">
        <v>2452</v>
      </c>
      <c r="DG906" t="s">
        <v>116</v>
      </c>
      <c r="DH906" t="s">
        <v>116</v>
      </c>
      <c r="DI906" t="s">
        <v>116</v>
      </c>
    </row>
    <row r="907" spans="1:113" x14ac:dyDescent="0.4">
      <c r="A907" t="str">
        <f>"002453"</f>
        <v>002453</v>
      </c>
      <c r="B907" t="s">
        <v>5428</v>
      </c>
      <c r="C907">
        <v>-0.54</v>
      </c>
      <c r="D907">
        <v>5.53</v>
      </c>
      <c r="E907">
        <v>-0.03</v>
      </c>
      <c r="F907">
        <v>5.52</v>
      </c>
      <c r="G907">
        <v>5.53</v>
      </c>
      <c r="H907">
        <v>70458</v>
      </c>
      <c r="I907">
        <v>1139</v>
      </c>
      <c r="J907">
        <v>0.18</v>
      </c>
      <c r="K907">
        <v>1.27</v>
      </c>
      <c r="L907">
        <v>5.54</v>
      </c>
      <c r="M907">
        <v>5.61</v>
      </c>
      <c r="N907">
        <v>5.5</v>
      </c>
      <c r="O907">
        <v>5.56</v>
      </c>
      <c r="P907">
        <v>120.38</v>
      </c>
      <c r="Q907">
        <v>39176852</v>
      </c>
      <c r="R907">
        <v>0.85</v>
      </c>
      <c r="S907" t="s">
        <v>607</v>
      </c>
      <c r="T907" t="s">
        <v>323</v>
      </c>
      <c r="U907">
        <v>1.98</v>
      </c>
      <c r="V907">
        <v>5.56</v>
      </c>
      <c r="W907">
        <v>40706</v>
      </c>
      <c r="X907">
        <v>29752</v>
      </c>
      <c r="Y907">
        <v>1.37</v>
      </c>
      <c r="Z907">
        <v>462</v>
      </c>
      <c r="AA907">
        <v>774</v>
      </c>
      <c r="AB907" t="s">
        <v>116</v>
      </c>
      <c r="AC907">
        <v>216600</v>
      </c>
      <c r="AD907">
        <v>0.01</v>
      </c>
      <c r="AE907" t="s">
        <v>116</v>
      </c>
      <c r="AF907" t="s">
        <v>116</v>
      </c>
      <c r="AG907">
        <v>5.55</v>
      </c>
      <c r="AH907" t="s">
        <v>5429</v>
      </c>
      <c r="AI907" t="s">
        <v>5430</v>
      </c>
      <c r="AJ907">
        <v>0.14000000000000001</v>
      </c>
      <c r="AK907">
        <v>1436</v>
      </c>
      <c r="AL907">
        <v>49</v>
      </c>
      <c r="AM907">
        <v>8.9999999999999998E-4</v>
      </c>
      <c r="AN907">
        <v>-1</v>
      </c>
      <c r="AO907">
        <v>0</v>
      </c>
      <c r="AP907">
        <v>0.55000000000000004</v>
      </c>
      <c r="AQ907">
        <v>-8.75</v>
      </c>
      <c r="AR907">
        <v>6.35</v>
      </c>
      <c r="AS907">
        <v>1.78</v>
      </c>
      <c r="AT907" t="s">
        <v>2282</v>
      </c>
      <c r="AU907">
        <v>146.66</v>
      </c>
      <c r="AV907">
        <v>129.1</v>
      </c>
      <c r="AW907">
        <v>1.41</v>
      </c>
      <c r="BA907">
        <v>-0.36</v>
      </c>
      <c r="BB907">
        <v>0.9</v>
      </c>
      <c r="BC907">
        <v>-1.08</v>
      </c>
      <c r="BD907">
        <v>0.01</v>
      </c>
      <c r="BE907">
        <v>-0.18</v>
      </c>
      <c r="BF907">
        <v>-1.43</v>
      </c>
      <c r="BG907">
        <v>0.55000000000000004</v>
      </c>
      <c r="BH907">
        <v>-0.55000000000000004</v>
      </c>
      <c r="BI907">
        <v>20191024</v>
      </c>
      <c r="BJ907">
        <v>20100720</v>
      </c>
      <c r="BK907">
        <v>5.71</v>
      </c>
      <c r="BL907" t="s">
        <v>116</v>
      </c>
      <c r="BM907" t="s">
        <v>116</v>
      </c>
      <c r="BN907">
        <v>27.64</v>
      </c>
      <c r="BO907">
        <v>9.2200000000000006</v>
      </c>
      <c r="BP907">
        <v>1.02</v>
      </c>
      <c r="BQ907">
        <v>62.96</v>
      </c>
      <c r="BR907">
        <v>14.02</v>
      </c>
      <c r="BS907">
        <v>3.07</v>
      </c>
      <c r="BT907">
        <v>1.05</v>
      </c>
      <c r="BU907">
        <v>14.56</v>
      </c>
      <c r="BV907">
        <v>1.62</v>
      </c>
      <c r="BW907">
        <v>4.67</v>
      </c>
      <c r="BX907">
        <v>3.41</v>
      </c>
      <c r="BY907">
        <v>19.25</v>
      </c>
      <c r="BZ907">
        <v>17.05</v>
      </c>
      <c r="CA907">
        <v>0.2</v>
      </c>
      <c r="CB907">
        <v>0.27</v>
      </c>
      <c r="CC907">
        <v>0.28000000000000003</v>
      </c>
      <c r="CD907">
        <v>0.33</v>
      </c>
      <c r="CE907">
        <v>0.2</v>
      </c>
      <c r="CF907">
        <v>0.11</v>
      </c>
      <c r="CG907">
        <v>-0.24</v>
      </c>
      <c r="CH907">
        <v>1.64</v>
      </c>
      <c r="CI907">
        <v>-1.65</v>
      </c>
      <c r="CJ907">
        <v>40817</v>
      </c>
      <c r="CK907">
        <v>9713</v>
      </c>
      <c r="CL907" t="s">
        <v>5431</v>
      </c>
      <c r="CM907">
        <v>-12.96</v>
      </c>
      <c r="CN907">
        <v>35.020000000000003</v>
      </c>
      <c r="CO907">
        <v>3.43</v>
      </c>
      <c r="CP907">
        <v>19.21</v>
      </c>
      <c r="CQ907">
        <v>1.64</v>
      </c>
      <c r="CR907">
        <v>0</v>
      </c>
      <c r="CS907" t="s">
        <v>2388</v>
      </c>
      <c r="CT907">
        <v>1.61</v>
      </c>
      <c r="CU907">
        <v>0</v>
      </c>
      <c r="CV907">
        <v>0.6</v>
      </c>
      <c r="CW907">
        <v>-0.04</v>
      </c>
      <c r="CX907">
        <v>0.28999999999999998</v>
      </c>
      <c r="CY907">
        <v>33.35</v>
      </c>
      <c r="CZ907" t="s">
        <v>3161</v>
      </c>
      <c r="DA907">
        <v>11.42</v>
      </c>
      <c r="DB907">
        <v>1.03</v>
      </c>
      <c r="DC907">
        <v>1.02</v>
      </c>
      <c r="DD907">
        <v>0.1</v>
      </c>
      <c r="DE907">
        <v>1488</v>
      </c>
      <c r="DF907">
        <v>2453</v>
      </c>
      <c r="DG907" t="s">
        <v>116</v>
      </c>
      <c r="DH907" t="s">
        <v>116</v>
      </c>
      <c r="DI907" t="s">
        <v>116</v>
      </c>
    </row>
    <row r="908" spans="1:113" x14ac:dyDescent="0.4">
      <c r="A908" t="str">
        <f>"002454"</f>
        <v>002454</v>
      </c>
      <c r="B908" t="s">
        <v>5432</v>
      </c>
      <c r="C908">
        <v>-1.03</v>
      </c>
      <c r="D908">
        <v>4.8099999999999996</v>
      </c>
      <c r="E908">
        <v>-0.05</v>
      </c>
      <c r="F908">
        <v>4.8099999999999996</v>
      </c>
      <c r="G908">
        <v>4.82</v>
      </c>
      <c r="H908">
        <v>70807</v>
      </c>
      <c r="I908">
        <v>920</v>
      </c>
      <c r="J908">
        <v>0</v>
      </c>
      <c r="K908">
        <v>1.1299999999999999</v>
      </c>
      <c r="L908">
        <v>4.8499999999999996</v>
      </c>
      <c r="M908">
        <v>4.9000000000000004</v>
      </c>
      <c r="N908">
        <v>4.8</v>
      </c>
      <c r="O908">
        <v>4.8600000000000003</v>
      </c>
      <c r="P908">
        <v>12.91</v>
      </c>
      <c r="Q908">
        <v>34346188</v>
      </c>
      <c r="R908">
        <v>0.88</v>
      </c>
      <c r="S908" t="s">
        <v>293</v>
      </c>
      <c r="T908" t="s">
        <v>1653</v>
      </c>
      <c r="U908">
        <v>2.06</v>
      </c>
      <c r="V908">
        <v>4.8499999999999996</v>
      </c>
      <c r="W908">
        <v>36657</v>
      </c>
      <c r="X908">
        <v>34150</v>
      </c>
      <c r="Y908">
        <v>1.07</v>
      </c>
      <c r="Z908">
        <v>209</v>
      </c>
      <c r="AA908">
        <v>262</v>
      </c>
      <c r="AB908" t="s">
        <v>116</v>
      </c>
      <c r="AC908">
        <v>76100</v>
      </c>
      <c r="AD908">
        <v>0</v>
      </c>
      <c r="AE908" t="s">
        <v>116</v>
      </c>
      <c r="AF908" t="s">
        <v>116</v>
      </c>
      <c r="AG908">
        <v>6.24</v>
      </c>
      <c r="AH908" t="s">
        <v>5433</v>
      </c>
      <c r="AI908" t="s">
        <v>4422</v>
      </c>
      <c r="AJ908">
        <v>-0.35</v>
      </c>
      <c r="AK908">
        <v>983</v>
      </c>
      <c r="AL908">
        <v>72</v>
      </c>
      <c r="AM908">
        <v>1.1999999999999999E-3</v>
      </c>
      <c r="AN908">
        <v>-1</v>
      </c>
      <c r="AO908">
        <v>-1.84</v>
      </c>
      <c r="AP908">
        <v>6.89</v>
      </c>
      <c r="AQ908">
        <v>1.05</v>
      </c>
      <c r="AR908">
        <v>19.350000000000001</v>
      </c>
      <c r="AS908">
        <v>2.06</v>
      </c>
      <c r="AT908" t="s">
        <v>3535</v>
      </c>
      <c r="AU908">
        <v>10.58</v>
      </c>
      <c r="AV908">
        <v>17.18</v>
      </c>
      <c r="AW908">
        <v>0.83</v>
      </c>
      <c r="BA908">
        <v>-0.21</v>
      </c>
      <c r="BB908">
        <v>0.82</v>
      </c>
      <c r="BC908">
        <v>-1.23</v>
      </c>
      <c r="BD908">
        <v>-0.19</v>
      </c>
      <c r="BE908">
        <v>-0.82</v>
      </c>
      <c r="BF908">
        <v>-1.84</v>
      </c>
      <c r="BG908">
        <v>0.21</v>
      </c>
      <c r="BH908">
        <v>-0.84</v>
      </c>
      <c r="BI908">
        <v>20191220</v>
      </c>
      <c r="BJ908">
        <v>20100720</v>
      </c>
      <c r="BK908">
        <v>6.29</v>
      </c>
      <c r="BL908" t="s">
        <v>116</v>
      </c>
      <c r="BM908" t="s">
        <v>116</v>
      </c>
      <c r="BN908">
        <v>55.92</v>
      </c>
      <c r="BO908">
        <v>34.33</v>
      </c>
      <c r="BP908">
        <v>2.87</v>
      </c>
      <c r="BQ908">
        <v>33.479999999999997</v>
      </c>
      <c r="BR908">
        <v>36.24</v>
      </c>
      <c r="BS908">
        <v>10.52</v>
      </c>
      <c r="BT908">
        <v>2.76</v>
      </c>
      <c r="BU908">
        <v>16.18</v>
      </c>
      <c r="BV908">
        <v>6.07</v>
      </c>
      <c r="BW908">
        <v>12.16</v>
      </c>
      <c r="BX908">
        <v>7.51</v>
      </c>
      <c r="BY908">
        <v>25.04</v>
      </c>
      <c r="BZ908">
        <v>18.3</v>
      </c>
      <c r="CA908">
        <v>2.04</v>
      </c>
      <c r="CB908">
        <v>0.05</v>
      </c>
      <c r="CC908">
        <v>2.27</v>
      </c>
      <c r="CD908">
        <v>1.82</v>
      </c>
      <c r="CE908">
        <v>1.76</v>
      </c>
      <c r="CF908">
        <v>1.32</v>
      </c>
      <c r="CG908">
        <v>18.14</v>
      </c>
      <c r="CH908">
        <v>0.24</v>
      </c>
      <c r="CI908">
        <v>-1.6</v>
      </c>
      <c r="CJ908">
        <v>25475</v>
      </c>
      <c r="CK908">
        <v>13474</v>
      </c>
      <c r="CL908" t="s">
        <v>1830</v>
      </c>
      <c r="CM908">
        <v>167.23</v>
      </c>
      <c r="CN908">
        <v>-7.78</v>
      </c>
      <c r="CO908">
        <v>0.88</v>
      </c>
      <c r="CP908">
        <v>126.66</v>
      </c>
      <c r="CQ908">
        <v>1.21</v>
      </c>
      <c r="CR908">
        <v>1.25</v>
      </c>
      <c r="CS908" t="s">
        <v>5434</v>
      </c>
      <c r="CT908">
        <v>5.46</v>
      </c>
      <c r="CU908">
        <v>0</v>
      </c>
      <c r="CV908">
        <v>1.19</v>
      </c>
      <c r="CW908">
        <v>2.89</v>
      </c>
      <c r="CX908">
        <v>0.04</v>
      </c>
      <c r="CY908">
        <v>61.39</v>
      </c>
      <c r="CZ908" t="s">
        <v>5435</v>
      </c>
      <c r="DA908">
        <v>26.92</v>
      </c>
      <c r="DB908">
        <v>8.17</v>
      </c>
      <c r="DC908">
        <v>7.01</v>
      </c>
      <c r="DD908">
        <v>1.45</v>
      </c>
      <c r="DE908">
        <v>3734</v>
      </c>
      <c r="DF908">
        <v>2454</v>
      </c>
      <c r="DG908" t="s">
        <v>116</v>
      </c>
      <c r="DH908" t="s">
        <v>116</v>
      </c>
      <c r="DI908" t="s">
        <v>116</v>
      </c>
    </row>
    <row r="909" spans="1:113" x14ac:dyDescent="0.4">
      <c r="A909" t="str">
        <f>"002455"</f>
        <v>002455</v>
      </c>
      <c r="B909" t="s">
        <v>5436</v>
      </c>
      <c r="C909">
        <v>3.89</v>
      </c>
      <c r="D909">
        <v>5.88</v>
      </c>
      <c r="E909">
        <v>0.22</v>
      </c>
      <c r="F909">
        <v>5.87</v>
      </c>
      <c r="G909">
        <v>5.88</v>
      </c>
      <c r="H909">
        <v>309718</v>
      </c>
      <c r="I909">
        <v>2886</v>
      </c>
      <c r="J909">
        <v>-0.16</v>
      </c>
      <c r="K909">
        <v>7.86</v>
      </c>
      <c r="L909">
        <v>5.64</v>
      </c>
      <c r="M909">
        <v>6.14</v>
      </c>
      <c r="N909">
        <v>5.58</v>
      </c>
      <c r="O909">
        <v>5.66</v>
      </c>
      <c r="P909">
        <v>34.54</v>
      </c>
      <c r="Q909">
        <v>182021776</v>
      </c>
      <c r="R909">
        <v>2.31</v>
      </c>
      <c r="S909" t="s">
        <v>891</v>
      </c>
      <c r="T909" t="s">
        <v>323</v>
      </c>
      <c r="U909">
        <v>9.89</v>
      </c>
      <c r="V909">
        <v>5.88</v>
      </c>
      <c r="W909">
        <v>124867</v>
      </c>
      <c r="X909">
        <v>184851</v>
      </c>
      <c r="Y909">
        <v>0.68</v>
      </c>
      <c r="Z909">
        <v>617</v>
      </c>
      <c r="AA909">
        <v>496</v>
      </c>
      <c r="AB909" t="s">
        <v>116</v>
      </c>
      <c r="AC909">
        <v>1546500</v>
      </c>
      <c r="AD909">
        <v>0.09</v>
      </c>
      <c r="AE909" t="s">
        <v>116</v>
      </c>
      <c r="AF909" t="s">
        <v>116</v>
      </c>
      <c r="AG909">
        <v>3.94</v>
      </c>
      <c r="AH909" t="s">
        <v>5437</v>
      </c>
      <c r="AI909" t="s">
        <v>5438</v>
      </c>
      <c r="AJ909">
        <v>4.57</v>
      </c>
      <c r="AK909">
        <v>2943</v>
      </c>
      <c r="AL909">
        <v>105</v>
      </c>
      <c r="AM909">
        <v>2.7000000000000001E-3</v>
      </c>
      <c r="AN909">
        <v>2</v>
      </c>
      <c r="AO909">
        <v>8.89</v>
      </c>
      <c r="AP909">
        <v>7.89</v>
      </c>
      <c r="AQ909">
        <v>-6.96</v>
      </c>
      <c r="AR909">
        <v>19.27</v>
      </c>
      <c r="AS909">
        <v>9.75</v>
      </c>
      <c r="AT909" t="s">
        <v>5439</v>
      </c>
      <c r="AU909">
        <v>36.54</v>
      </c>
      <c r="AV909">
        <v>28.73</v>
      </c>
      <c r="AW909">
        <v>0.65</v>
      </c>
      <c r="BA909">
        <v>-0.35</v>
      </c>
      <c r="BB909">
        <v>8.48</v>
      </c>
      <c r="BC909">
        <v>-1.41</v>
      </c>
      <c r="BD909">
        <v>3.83</v>
      </c>
      <c r="BE909">
        <v>4.26</v>
      </c>
      <c r="BF909">
        <v>-4.2300000000000004</v>
      </c>
      <c r="BG909">
        <v>5.38</v>
      </c>
      <c r="BH909">
        <v>0.05</v>
      </c>
      <c r="BI909">
        <v>20191018</v>
      </c>
      <c r="BJ909">
        <v>20100803</v>
      </c>
      <c r="BK909">
        <v>5.17</v>
      </c>
      <c r="BL909" t="s">
        <v>116</v>
      </c>
      <c r="BM909" t="s">
        <v>116</v>
      </c>
      <c r="BN909">
        <v>28.31</v>
      </c>
      <c r="BO909">
        <v>13.3</v>
      </c>
      <c r="BP909">
        <v>0</v>
      </c>
      <c r="BQ909">
        <v>53.02</v>
      </c>
      <c r="BR909">
        <v>14.23</v>
      </c>
      <c r="BS909">
        <v>7.31</v>
      </c>
      <c r="BT909">
        <v>1.79</v>
      </c>
      <c r="BU909">
        <v>12.95</v>
      </c>
      <c r="BV909">
        <v>3.53</v>
      </c>
      <c r="BW909">
        <v>1.73</v>
      </c>
      <c r="BX909">
        <v>4.2</v>
      </c>
      <c r="BY909">
        <v>18.82</v>
      </c>
      <c r="BZ909">
        <v>16.670000000000002</v>
      </c>
      <c r="CA909">
        <v>0.78</v>
      </c>
      <c r="CB909">
        <v>0.04</v>
      </c>
      <c r="CC909">
        <v>0.8</v>
      </c>
      <c r="CD909">
        <v>0.66</v>
      </c>
      <c r="CE909">
        <v>0.66</v>
      </c>
      <c r="CF909">
        <v>0.59</v>
      </c>
      <c r="CG909">
        <v>4.13</v>
      </c>
      <c r="CH909">
        <v>0.26</v>
      </c>
      <c r="CI909">
        <v>-3.48</v>
      </c>
      <c r="CJ909">
        <v>24921</v>
      </c>
      <c r="CK909">
        <v>12753</v>
      </c>
      <c r="CL909" t="s">
        <v>5440</v>
      </c>
      <c r="CM909">
        <v>-25.52</v>
      </c>
      <c r="CN909">
        <v>-15.7</v>
      </c>
      <c r="CO909">
        <v>2.29</v>
      </c>
      <c r="CP909">
        <v>116.99</v>
      </c>
      <c r="CQ909">
        <v>1.61</v>
      </c>
      <c r="CR909">
        <v>1.66</v>
      </c>
      <c r="CS909" t="s">
        <v>5140</v>
      </c>
      <c r="CT909">
        <v>2.57</v>
      </c>
      <c r="CU909">
        <v>0</v>
      </c>
      <c r="CV909">
        <v>0.81</v>
      </c>
      <c r="CW909">
        <v>0.8</v>
      </c>
      <c r="CX909">
        <v>0.05</v>
      </c>
      <c r="CY909">
        <v>46.98</v>
      </c>
      <c r="CZ909" t="s">
        <v>2914</v>
      </c>
      <c r="DA909">
        <v>11.43</v>
      </c>
      <c r="DB909">
        <v>4.1399999999999997</v>
      </c>
      <c r="DC909">
        <v>3.51</v>
      </c>
      <c r="DD909">
        <v>0.38</v>
      </c>
      <c r="DE909">
        <v>864</v>
      </c>
      <c r="DF909">
        <v>2455</v>
      </c>
      <c r="DG909" t="s">
        <v>116</v>
      </c>
      <c r="DH909" t="s">
        <v>116</v>
      </c>
      <c r="DI909" t="s">
        <v>116</v>
      </c>
    </row>
    <row r="910" spans="1:113" x14ac:dyDescent="0.4">
      <c r="A910" t="str">
        <f>"002456"</f>
        <v>002456</v>
      </c>
      <c r="B910" t="s">
        <v>5441</v>
      </c>
      <c r="C910">
        <v>-5.4</v>
      </c>
      <c r="D910">
        <v>15.6</v>
      </c>
      <c r="E910">
        <v>-0.89</v>
      </c>
      <c r="F910">
        <v>15.6</v>
      </c>
      <c r="G910">
        <v>15.61</v>
      </c>
      <c r="H910">
        <v>1981146</v>
      </c>
      <c r="I910">
        <v>28342</v>
      </c>
      <c r="J910">
        <v>-0.31</v>
      </c>
      <c r="K910">
        <v>7.43</v>
      </c>
      <c r="L910">
        <v>16.41</v>
      </c>
      <c r="M910">
        <v>16.510000000000002</v>
      </c>
      <c r="N910">
        <v>15.57</v>
      </c>
      <c r="O910">
        <v>16.489999999999998</v>
      </c>
      <c r="P910">
        <v>175.8</v>
      </c>
      <c r="Q910">
        <v>3165685760</v>
      </c>
      <c r="R910">
        <v>1.17</v>
      </c>
      <c r="S910" t="s">
        <v>233</v>
      </c>
      <c r="T910" t="s">
        <v>115</v>
      </c>
      <c r="U910">
        <v>5.7</v>
      </c>
      <c r="V910">
        <v>15.98</v>
      </c>
      <c r="W910">
        <v>1040842</v>
      </c>
      <c r="X910">
        <v>940304</v>
      </c>
      <c r="Y910">
        <v>1.1100000000000001</v>
      </c>
      <c r="Z910">
        <v>3265</v>
      </c>
      <c r="AA910">
        <v>4416</v>
      </c>
      <c r="AB910" t="s">
        <v>116</v>
      </c>
      <c r="AC910">
        <v>19283500</v>
      </c>
      <c r="AD910">
        <v>0.06</v>
      </c>
      <c r="AE910" t="s">
        <v>116</v>
      </c>
      <c r="AF910" t="s">
        <v>116</v>
      </c>
      <c r="AG910">
        <v>26.68</v>
      </c>
      <c r="AH910" t="s">
        <v>5442</v>
      </c>
      <c r="AI910" t="s">
        <v>5443</v>
      </c>
      <c r="AJ910">
        <v>-4.72</v>
      </c>
      <c r="AK910">
        <v>4727</v>
      </c>
      <c r="AL910">
        <v>419</v>
      </c>
      <c r="AM910">
        <v>1.6000000000000001E-3</v>
      </c>
      <c r="AN910">
        <v>-2</v>
      </c>
      <c r="AO910">
        <v>-6.2</v>
      </c>
      <c r="AP910">
        <v>23.52</v>
      </c>
      <c r="AQ910">
        <v>22.26</v>
      </c>
      <c r="AR910">
        <v>69.75</v>
      </c>
      <c r="AS910">
        <v>10.81</v>
      </c>
      <c r="AT910" t="s">
        <v>5444</v>
      </c>
      <c r="AU910" t="s">
        <v>116</v>
      </c>
      <c r="AV910" t="s">
        <v>116</v>
      </c>
      <c r="AW910">
        <v>2.0499999999999998</v>
      </c>
      <c r="BA910">
        <v>-0.49</v>
      </c>
      <c r="BB910">
        <v>0.12</v>
      </c>
      <c r="BC910">
        <v>-5.58</v>
      </c>
      <c r="BD910">
        <v>-3.1</v>
      </c>
      <c r="BE910">
        <v>-4.9400000000000004</v>
      </c>
      <c r="BF910">
        <v>-5.51</v>
      </c>
      <c r="BG910">
        <v>0.19</v>
      </c>
      <c r="BH910">
        <v>-2.2999999999999998</v>
      </c>
      <c r="BI910">
        <v>20191223</v>
      </c>
      <c r="BJ910">
        <v>20100803</v>
      </c>
      <c r="BK910">
        <v>27.13</v>
      </c>
      <c r="BL910" t="s">
        <v>116</v>
      </c>
      <c r="BM910" t="s">
        <v>116</v>
      </c>
      <c r="BN910">
        <v>417.03</v>
      </c>
      <c r="BO910">
        <v>87.4</v>
      </c>
      <c r="BP910">
        <v>5.04</v>
      </c>
      <c r="BQ910">
        <v>77.83</v>
      </c>
      <c r="BR910">
        <v>239.33</v>
      </c>
      <c r="BS910">
        <v>119.57</v>
      </c>
      <c r="BT910">
        <v>15.09</v>
      </c>
      <c r="BU910">
        <v>265.08</v>
      </c>
      <c r="BV910">
        <v>91.48</v>
      </c>
      <c r="BW910">
        <v>104.45</v>
      </c>
      <c r="BX910">
        <v>31.63</v>
      </c>
      <c r="BY910">
        <v>378.94</v>
      </c>
      <c r="BZ910">
        <v>341.77</v>
      </c>
      <c r="CA910">
        <v>2.79</v>
      </c>
      <c r="CB910">
        <v>0.14000000000000001</v>
      </c>
      <c r="CC910">
        <v>2.86</v>
      </c>
      <c r="CD910">
        <v>1.84</v>
      </c>
      <c r="CE910">
        <v>1.81</v>
      </c>
      <c r="CF910">
        <v>1.52</v>
      </c>
      <c r="CG910">
        <v>28.19</v>
      </c>
      <c r="CH910">
        <v>31.44</v>
      </c>
      <c r="CI910">
        <v>3.86</v>
      </c>
      <c r="CJ910">
        <v>205528</v>
      </c>
      <c r="CK910">
        <v>8920</v>
      </c>
      <c r="CL910" t="s">
        <v>5445</v>
      </c>
      <c r="CM910">
        <v>-86.88</v>
      </c>
      <c r="CN910">
        <v>21.67</v>
      </c>
      <c r="CO910">
        <v>4.84</v>
      </c>
      <c r="CP910">
        <v>13.46</v>
      </c>
      <c r="CQ910">
        <v>1.1200000000000001</v>
      </c>
      <c r="CR910">
        <v>0</v>
      </c>
      <c r="CS910" t="s">
        <v>1584</v>
      </c>
      <c r="CT910">
        <v>3.22</v>
      </c>
      <c r="CU910">
        <v>0</v>
      </c>
      <c r="CV910">
        <v>1.17</v>
      </c>
      <c r="CW910">
        <v>1.04</v>
      </c>
      <c r="CX910">
        <v>1.1599999999999999</v>
      </c>
      <c r="CY910">
        <v>20.96</v>
      </c>
      <c r="CZ910" t="s">
        <v>5446</v>
      </c>
      <c r="DA910">
        <v>9.81</v>
      </c>
      <c r="DB910">
        <v>0.74</v>
      </c>
      <c r="DC910">
        <v>0.48</v>
      </c>
      <c r="DD910">
        <v>12.89</v>
      </c>
      <c r="DE910">
        <v>42608</v>
      </c>
      <c r="DF910">
        <v>2456</v>
      </c>
      <c r="DG910" t="s">
        <v>116</v>
      </c>
      <c r="DH910" t="s">
        <v>116</v>
      </c>
      <c r="DI910" t="s">
        <v>116</v>
      </c>
    </row>
    <row r="911" spans="1:113" x14ac:dyDescent="0.4">
      <c r="A911" t="str">
        <f>"002457"</f>
        <v>002457</v>
      </c>
      <c r="B911" t="s">
        <v>5447</v>
      </c>
      <c r="C911">
        <v>-0.87</v>
      </c>
      <c r="D911">
        <v>7.99</v>
      </c>
      <c r="E911">
        <v>-7.0000000000000007E-2</v>
      </c>
      <c r="F911">
        <v>7.99</v>
      </c>
      <c r="G911">
        <v>8</v>
      </c>
      <c r="H911">
        <v>45137</v>
      </c>
      <c r="I911">
        <v>1438</v>
      </c>
      <c r="J911">
        <v>-0.11</v>
      </c>
      <c r="K911">
        <v>1.35</v>
      </c>
      <c r="L911">
        <v>8.09</v>
      </c>
      <c r="M911">
        <v>8.09</v>
      </c>
      <c r="N911">
        <v>7.98</v>
      </c>
      <c r="O911">
        <v>8.06</v>
      </c>
      <c r="P911">
        <v>19.329999999999998</v>
      </c>
      <c r="Q911">
        <v>36265380</v>
      </c>
      <c r="R911">
        <v>1.01</v>
      </c>
      <c r="S911" t="s">
        <v>2444</v>
      </c>
      <c r="T911" t="s">
        <v>1147</v>
      </c>
      <c r="U911">
        <v>1.36</v>
      </c>
      <c r="V911">
        <v>8.0299999999999994</v>
      </c>
      <c r="W911">
        <v>26141</v>
      </c>
      <c r="X911">
        <v>18996</v>
      </c>
      <c r="Y911">
        <v>1.38</v>
      </c>
      <c r="Z911">
        <v>225</v>
      </c>
      <c r="AA911">
        <v>151</v>
      </c>
      <c r="AB911" t="s">
        <v>116</v>
      </c>
      <c r="AC911">
        <v>131100</v>
      </c>
      <c r="AD911">
        <v>0.01</v>
      </c>
      <c r="AE911" t="s">
        <v>116</v>
      </c>
      <c r="AF911" t="s">
        <v>116</v>
      </c>
      <c r="AG911">
        <v>3.34</v>
      </c>
      <c r="AH911" t="s">
        <v>5448</v>
      </c>
      <c r="AI911" t="s">
        <v>5449</v>
      </c>
      <c r="AJ911">
        <v>-0.19</v>
      </c>
      <c r="AK911">
        <v>1360</v>
      </c>
      <c r="AL911">
        <v>33</v>
      </c>
      <c r="AM911">
        <v>1E-3</v>
      </c>
      <c r="AN911">
        <v>-1</v>
      </c>
      <c r="AO911">
        <v>-0.12</v>
      </c>
      <c r="AP911">
        <v>2.57</v>
      </c>
      <c r="AQ911">
        <v>-0.12</v>
      </c>
      <c r="AR911">
        <v>0.63</v>
      </c>
      <c r="AS911">
        <v>1.97</v>
      </c>
      <c r="AT911" t="s">
        <v>562</v>
      </c>
      <c r="AU911">
        <v>19.11</v>
      </c>
      <c r="AV911">
        <v>36.270000000000003</v>
      </c>
      <c r="AW911">
        <v>1.07</v>
      </c>
      <c r="BA911">
        <v>0.37</v>
      </c>
      <c r="BB911">
        <v>0.37</v>
      </c>
      <c r="BC911">
        <v>-0.99</v>
      </c>
      <c r="BD911">
        <v>-0.32</v>
      </c>
      <c r="BE911">
        <v>-1.24</v>
      </c>
      <c r="BF911">
        <v>-1.24</v>
      </c>
      <c r="BG911">
        <v>0.13</v>
      </c>
      <c r="BH911">
        <v>-0.55000000000000004</v>
      </c>
      <c r="BI911">
        <v>20191128</v>
      </c>
      <c r="BJ911">
        <v>20100803</v>
      </c>
      <c r="BK911">
        <v>3.35</v>
      </c>
      <c r="BL911" t="s">
        <v>116</v>
      </c>
      <c r="BM911" t="s">
        <v>116</v>
      </c>
      <c r="BN911">
        <v>34.92</v>
      </c>
      <c r="BO911">
        <v>18.59</v>
      </c>
      <c r="BP911">
        <v>0.68</v>
      </c>
      <c r="BQ911">
        <v>44.8</v>
      </c>
      <c r="BR911">
        <v>23.19</v>
      </c>
      <c r="BS911">
        <v>4.5199999999999996</v>
      </c>
      <c r="BT911">
        <v>1.61</v>
      </c>
      <c r="BU911">
        <v>15.28</v>
      </c>
      <c r="BV911">
        <v>6.01</v>
      </c>
      <c r="BW911">
        <v>9.93</v>
      </c>
      <c r="BX911">
        <v>8.2100000000000009</v>
      </c>
      <c r="BY911">
        <v>13.41</v>
      </c>
      <c r="BZ911">
        <v>9.07</v>
      </c>
      <c r="CA911">
        <v>1.39</v>
      </c>
      <c r="CB911">
        <v>0.15</v>
      </c>
      <c r="CC911">
        <v>1.39</v>
      </c>
      <c r="CD911">
        <v>1.07</v>
      </c>
      <c r="CE911">
        <v>1.04</v>
      </c>
      <c r="CF911">
        <v>0.8</v>
      </c>
      <c r="CG911">
        <v>6.63</v>
      </c>
      <c r="CH911">
        <v>-0.62</v>
      </c>
      <c r="CI911">
        <v>0.67</v>
      </c>
      <c r="CJ911">
        <v>50745</v>
      </c>
      <c r="CK911">
        <v>4520</v>
      </c>
      <c r="CL911" t="s">
        <v>2538</v>
      </c>
      <c r="CM911">
        <v>176.4</v>
      </c>
      <c r="CN911">
        <v>75.400000000000006</v>
      </c>
      <c r="CO911">
        <v>1.44</v>
      </c>
      <c r="CP911">
        <v>-43.42</v>
      </c>
      <c r="CQ911">
        <v>2</v>
      </c>
      <c r="CR911">
        <v>1.23</v>
      </c>
      <c r="CS911" t="s">
        <v>3626</v>
      </c>
      <c r="CT911">
        <v>5.55</v>
      </c>
      <c r="CU911">
        <v>0</v>
      </c>
      <c r="CV911">
        <v>2.4500000000000002</v>
      </c>
      <c r="CW911">
        <v>1.98</v>
      </c>
      <c r="CX911">
        <v>-0.18</v>
      </c>
      <c r="CY911">
        <v>53.24</v>
      </c>
      <c r="CZ911" t="s">
        <v>5450</v>
      </c>
      <c r="DA911">
        <v>32.32</v>
      </c>
      <c r="DB911">
        <v>10.38</v>
      </c>
      <c r="DC911">
        <v>7.75</v>
      </c>
      <c r="DD911">
        <v>0.2</v>
      </c>
      <c r="DE911">
        <v>1769</v>
      </c>
      <c r="DF911">
        <v>2457</v>
      </c>
      <c r="DG911" t="s">
        <v>116</v>
      </c>
      <c r="DH911" t="s">
        <v>116</v>
      </c>
      <c r="DI911" t="s">
        <v>116</v>
      </c>
    </row>
    <row r="912" spans="1:113" x14ac:dyDescent="0.4">
      <c r="A912" t="str">
        <f>"002458"</f>
        <v>002458</v>
      </c>
      <c r="B912" t="s">
        <v>5451</v>
      </c>
      <c r="C912">
        <v>0.91</v>
      </c>
      <c r="D912">
        <v>27.76</v>
      </c>
      <c r="E912">
        <v>0.25</v>
      </c>
      <c r="F912">
        <v>27.75</v>
      </c>
      <c r="G912">
        <v>27.76</v>
      </c>
      <c r="H912">
        <v>177920</v>
      </c>
      <c r="I912">
        <v>2169</v>
      </c>
      <c r="J912">
        <v>-0.03</v>
      </c>
      <c r="K912">
        <v>4.9800000000000004</v>
      </c>
      <c r="L912">
        <v>27.52</v>
      </c>
      <c r="M912">
        <v>28.08</v>
      </c>
      <c r="N912">
        <v>27.44</v>
      </c>
      <c r="O912">
        <v>27.51</v>
      </c>
      <c r="P912">
        <v>8.17</v>
      </c>
      <c r="Q912">
        <v>494108416</v>
      </c>
      <c r="R912">
        <v>0.94</v>
      </c>
      <c r="S912" t="s">
        <v>449</v>
      </c>
      <c r="T912" t="s">
        <v>645</v>
      </c>
      <c r="U912">
        <v>2.33</v>
      </c>
      <c r="V912">
        <v>27.77</v>
      </c>
      <c r="W912">
        <v>91626</v>
      </c>
      <c r="X912">
        <v>86294</v>
      </c>
      <c r="Y912">
        <v>1.06</v>
      </c>
      <c r="Z912">
        <v>363</v>
      </c>
      <c r="AA912">
        <v>605</v>
      </c>
      <c r="AB912" t="s">
        <v>116</v>
      </c>
      <c r="AC912">
        <v>930200</v>
      </c>
      <c r="AD912">
        <v>0.01</v>
      </c>
      <c r="AE912" t="s">
        <v>116</v>
      </c>
      <c r="AF912" t="s">
        <v>116</v>
      </c>
      <c r="AG912">
        <v>3.57</v>
      </c>
      <c r="AH912" t="s">
        <v>5452</v>
      </c>
      <c r="AI912" t="s">
        <v>5453</v>
      </c>
      <c r="AJ912">
        <v>1.59</v>
      </c>
      <c r="AK912">
        <v>4188</v>
      </c>
      <c r="AL912">
        <v>42</v>
      </c>
      <c r="AM912">
        <v>1.1999999999999999E-3</v>
      </c>
      <c r="AN912">
        <v>1</v>
      </c>
      <c r="AO912">
        <v>0.37</v>
      </c>
      <c r="AP912">
        <v>-3.48</v>
      </c>
      <c r="AQ912">
        <v>25.33</v>
      </c>
      <c r="AR912">
        <v>245.98</v>
      </c>
      <c r="AS912">
        <v>5.82</v>
      </c>
      <c r="AT912" t="s">
        <v>5454</v>
      </c>
      <c r="AU912">
        <v>9.42</v>
      </c>
      <c r="AV912">
        <v>44.07</v>
      </c>
      <c r="AW912">
        <v>1.42</v>
      </c>
      <c r="BA912">
        <v>0.04</v>
      </c>
      <c r="BB912">
        <v>2.0699999999999998</v>
      </c>
      <c r="BC912">
        <v>-0.25</v>
      </c>
      <c r="BD912">
        <v>0.95</v>
      </c>
      <c r="BE912">
        <v>0.87</v>
      </c>
      <c r="BF912">
        <v>-1.1399999999999999</v>
      </c>
      <c r="BG912">
        <v>1.17</v>
      </c>
      <c r="BH912">
        <v>-0.04</v>
      </c>
      <c r="BI912">
        <v>20191028</v>
      </c>
      <c r="BJ912">
        <v>20100810</v>
      </c>
      <c r="BK912">
        <v>5.76</v>
      </c>
      <c r="BL912" t="s">
        <v>116</v>
      </c>
      <c r="BM912" t="s">
        <v>116</v>
      </c>
      <c r="BN912">
        <v>33</v>
      </c>
      <c r="BO912">
        <v>28.78</v>
      </c>
      <c r="BP912">
        <v>7.0000000000000007E-2</v>
      </c>
      <c r="BQ912">
        <v>12.59</v>
      </c>
      <c r="BR912">
        <v>10.45</v>
      </c>
      <c r="BS912">
        <v>13.18</v>
      </c>
      <c r="BT912">
        <v>0.52</v>
      </c>
      <c r="BU912">
        <v>3.61</v>
      </c>
      <c r="BV912">
        <v>1.44</v>
      </c>
      <c r="BW912">
        <v>0.56999999999999995</v>
      </c>
      <c r="BX912">
        <v>8.59</v>
      </c>
      <c r="BY912">
        <v>23.86</v>
      </c>
      <c r="BZ912">
        <v>8.4700000000000006</v>
      </c>
      <c r="CA912">
        <v>14.79</v>
      </c>
      <c r="CB912">
        <v>0.52</v>
      </c>
      <c r="CC912">
        <v>14.72</v>
      </c>
      <c r="CD912">
        <v>14.71</v>
      </c>
      <c r="CE912">
        <v>14.69</v>
      </c>
      <c r="CF912">
        <v>14.72</v>
      </c>
      <c r="CG912">
        <v>13.75</v>
      </c>
      <c r="CH912">
        <v>13.62</v>
      </c>
      <c r="CI912">
        <v>5.03</v>
      </c>
      <c r="CJ912">
        <v>63910</v>
      </c>
      <c r="CK912">
        <v>4786</v>
      </c>
      <c r="CL912" t="s">
        <v>664</v>
      </c>
      <c r="CM912">
        <v>996.05</v>
      </c>
      <c r="CN912">
        <v>152.56</v>
      </c>
      <c r="CO912">
        <v>5.56</v>
      </c>
      <c r="CP912">
        <v>11.74</v>
      </c>
      <c r="CQ912">
        <v>6.7</v>
      </c>
      <c r="CR912">
        <v>1.5</v>
      </c>
      <c r="CS912" t="s">
        <v>5455</v>
      </c>
      <c r="CT912">
        <v>5</v>
      </c>
      <c r="CU912">
        <v>0</v>
      </c>
      <c r="CV912">
        <v>1.49</v>
      </c>
      <c r="CW912">
        <v>2.39</v>
      </c>
      <c r="CX912">
        <v>2.37</v>
      </c>
      <c r="CY912">
        <v>87.21</v>
      </c>
      <c r="CZ912" t="s">
        <v>5456</v>
      </c>
      <c r="DA912">
        <v>64.5</v>
      </c>
      <c r="DB912">
        <v>61.97</v>
      </c>
      <c r="DC912">
        <v>61.55</v>
      </c>
      <c r="DD912">
        <v>0.13</v>
      </c>
      <c r="DE912">
        <v>3230</v>
      </c>
      <c r="DF912">
        <v>2458</v>
      </c>
      <c r="DG912" t="s">
        <v>116</v>
      </c>
      <c r="DH912" t="s">
        <v>116</v>
      </c>
      <c r="DI912" t="s">
        <v>116</v>
      </c>
    </row>
    <row r="913" spans="1:113" x14ac:dyDescent="0.4">
      <c r="A913" t="str">
        <f>"002459"</f>
        <v>002459</v>
      </c>
      <c r="B913" t="s">
        <v>5457</v>
      </c>
      <c r="C913">
        <v>-1.07</v>
      </c>
      <c r="D913">
        <v>11.12</v>
      </c>
      <c r="E913">
        <v>-0.12</v>
      </c>
      <c r="F913">
        <v>11.11</v>
      </c>
      <c r="G913">
        <v>11.12</v>
      </c>
      <c r="H913">
        <v>42716</v>
      </c>
      <c r="I913">
        <v>963</v>
      </c>
      <c r="J913">
        <v>0.18</v>
      </c>
      <c r="K913">
        <v>1.1000000000000001</v>
      </c>
      <c r="L913">
        <v>11.31</v>
      </c>
      <c r="M913">
        <v>11.31</v>
      </c>
      <c r="N913">
        <v>11.1</v>
      </c>
      <c r="O913">
        <v>11.24</v>
      </c>
      <c r="P913" t="s">
        <v>116</v>
      </c>
      <c r="Q913">
        <v>47752832</v>
      </c>
      <c r="R913">
        <v>0.88</v>
      </c>
      <c r="S913" t="s">
        <v>397</v>
      </c>
      <c r="T913" t="s">
        <v>608</v>
      </c>
      <c r="U913">
        <v>1.87</v>
      </c>
      <c r="V913">
        <v>11.18</v>
      </c>
      <c r="W913">
        <v>26964</v>
      </c>
      <c r="X913">
        <v>15752</v>
      </c>
      <c r="Y913">
        <v>1.71</v>
      </c>
      <c r="Z913">
        <v>415</v>
      </c>
      <c r="AA913">
        <v>99</v>
      </c>
      <c r="AB913" t="s">
        <v>116</v>
      </c>
      <c r="AC913">
        <v>159500</v>
      </c>
      <c r="AD913">
        <v>0.01</v>
      </c>
      <c r="AE913" t="s">
        <v>116</v>
      </c>
      <c r="AF913" t="s">
        <v>116</v>
      </c>
      <c r="AG913">
        <v>3.89</v>
      </c>
      <c r="AH913" t="s">
        <v>5458</v>
      </c>
      <c r="AI913" t="s">
        <v>5459</v>
      </c>
      <c r="AJ913">
        <v>-0.39</v>
      </c>
      <c r="AK913">
        <v>1072</v>
      </c>
      <c r="AL913">
        <v>40</v>
      </c>
      <c r="AM913">
        <v>1E-3</v>
      </c>
      <c r="AN913">
        <v>-3</v>
      </c>
      <c r="AO913">
        <v>-3.89</v>
      </c>
      <c r="AP913">
        <v>0.09</v>
      </c>
      <c r="AQ913">
        <v>-5.52</v>
      </c>
      <c r="AR913">
        <v>32.86</v>
      </c>
      <c r="AS913">
        <v>1.73</v>
      </c>
      <c r="AT913" t="s">
        <v>5460</v>
      </c>
      <c r="AU913" t="s">
        <v>116</v>
      </c>
      <c r="AV913">
        <v>3030.34</v>
      </c>
      <c r="AW913">
        <v>0.41</v>
      </c>
      <c r="BA913">
        <v>0.62</v>
      </c>
      <c r="BB913">
        <v>0.62</v>
      </c>
      <c r="BC913">
        <v>-1.25</v>
      </c>
      <c r="BD913">
        <v>-0.54</v>
      </c>
      <c r="BE913">
        <v>-1.68</v>
      </c>
      <c r="BF913">
        <v>-1.68</v>
      </c>
      <c r="BG913">
        <v>0.18</v>
      </c>
      <c r="BH913">
        <v>-0.53</v>
      </c>
      <c r="BI913">
        <v>20191213</v>
      </c>
      <c r="BJ913">
        <v>20100810</v>
      </c>
      <c r="BK913">
        <v>13.42</v>
      </c>
      <c r="BL913" t="s">
        <v>116</v>
      </c>
      <c r="BM913" t="s">
        <v>116</v>
      </c>
      <c r="BN913">
        <v>13.81</v>
      </c>
      <c r="BO913">
        <v>12.32</v>
      </c>
      <c r="BP913">
        <v>0</v>
      </c>
      <c r="BQ913">
        <v>10.83</v>
      </c>
      <c r="BR913">
        <v>7.55</v>
      </c>
      <c r="BS913">
        <v>2.8</v>
      </c>
      <c r="BT913">
        <v>0.42</v>
      </c>
      <c r="BU913">
        <v>1.46</v>
      </c>
      <c r="BV913">
        <v>1.77</v>
      </c>
      <c r="BW913">
        <v>3.17</v>
      </c>
      <c r="BX913">
        <v>16.850000000000001</v>
      </c>
      <c r="BY913">
        <v>1.9</v>
      </c>
      <c r="BZ913">
        <v>1.44</v>
      </c>
      <c r="CA913">
        <v>-0.36</v>
      </c>
      <c r="CB913">
        <v>0.1</v>
      </c>
      <c r="CC913">
        <v>-0.38</v>
      </c>
      <c r="CD913">
        <v>-0.4</v>
      </c>
      <c r="CE913">
        <v>-0.4</v>
      </c>
      <c r="CF913">
        <v>-0.5</v>
      </c>
      <c r="CG913">
        <v>-8.7200000000000006</v>
      </c>
      <c r="CH913">
        <v>-0.45</v>
      </c>
      <c r="CI913">
        <v>-0.32</v>
      </c>
      <c r="CJ913">
        <v>21291</v>
      </c>
      <c r="CK913">
        <v>11613</v>
      </c>
      <c r="CL913" t="s">
        <v>5296</v>
      </c>
      <c r="CM913">
        <v>-393.98</v>
      </c>
      <c r="CN913">
        <v>-22.42</v>
      </c>
      <c r="CO913">
        <v>3.51</v>
      </c>
      <c r="CP913">
        <v>-335.16</v>
      </c>
      <c r="CQ913">
        <v>78.72</v>
      </c>
      <c r="CR913">
        <v>0</v>
      </c>
      <c r="CS913" t="s">
        <v>5461</v>
      </c>
      <c r="CT913">
        <v>3.17</v>
      </c>
      <c r="CU913">
        <v>3.17</v>
      </c>
      <c r="CV913">
        <v>1.26</v>
      </c>
      <c r="CW913">
        <v>-0.65</v>
      </c>
      <c r="CX913">
        <v>-0.03</v>
      </c>
      <c r="CY913">
        <v>89.17</v>
      </c>
      <c r="CZ913" t="s">
        <v>5462</v>
      </c>
      <c r="DA913">
        <v>23.88</v>
      </c>
      <c r="DB913">
        <v>-19.02</v>
      </c>
      <c r="DC913">
        <v>-20.85</v>
      </c>
      <c r="DD913">
        <v>0.05</v>
      </c>
      <c r="DE913">
        <v>647</v>
      </c>
      <c r="DF913">
        <v>2459</v>
      </c>
      <c r="DG913" t="s">
        <v>116</v>
      </c>
      <c r="DH913" t="s">
        <v>116</v>
      </c>
      <c r="DI913" t="s">
        <v>116</v>
      </c>
    </row>
    <row r="914" spans="1:113" x14ac:dyDescent="0.4">
      <c r="A914" t="str">
        <f>"002460"</f>
        <v>002460</v>
      </c>
      <c r="B914" t="s">
        <v>5463</v>
      </c>
      <c r="C914">
        <v>-3.01</v>
      </c>
      <c r="D914">
        <v>34.18</v>
      </c>
      <c r="E914">
        <v>-1.06</v>
      </c>
      <c r="F914">
        <v>34.17</v>
      </c>
      <c r="G914">
        <v>34.18</v>
      </c>
      <c r="H914">
        <v>635273</v>
      </c>
      <c r="I914">
        <v>8166</v>
      </c>
      <c r="J914">
        <v>-0.22</v>
      </c>
      <c r="K914">
        <v>7.94</v>
      </c>
      <c r="L914">
        <v>35.4</v>
      </c>
      <c r="M914">
        <v>36.15</v>
      </c>
      <c r="N914">
        <v>34.15</v>
      </c>
      <c r="O914">
        <v>35.24</v>
      </c>
      <c r="P914">
        <v>100.67</v>
      </c>
      <c r="Q914">
        <v>2238966016</v>
      </c>
      <c r="R914">
        <v>1.1100000000000001</v>
      </c>
      <c r="S914" t="s">
        <v>1509</v>
      </c>
      <c r="T914" t="s">
        <v>683</v>
      </c>
      <c r="U914">
        <v>5.68</v>
      </c>
      <c r="V914">
        <v>35.24</v>
      </c>
      <c r="W914">
        <v>316738</v>
      </c>
      <c r="X914">
        <v>318535</v>
      </c>
      <c r="Y914">
        <v>0.99</v>
      </c>
      <c r="Z914">
        <v>169</v>
      </c>
      <c r="AA914">
        <v>2237</v>
      </c>
      <c r="AB914" t="s">
        <v>116</v>
      </c>
      <c r="AC914">
        <v>10212900</v>
      </c>
      <c r="AD914">
        <v>0.04</v>
      </c>
      <c r="AE914" t="s">
        <v>116</v>
      </c>
      <c r="AF914" t="s">
        <v>116</v>
      </c>
      <c r="AG914">
        <v>8.01</v>
      </c>
      <c r="AH914" t="s">
        <v>5464</v>
      </c>
      <c r="AI914" t="s">
        <v>5465</v>
      </c>
      <c r="AJ914">
        <v>-2.33</v>
      </c>
      <c r="AK914">
        <v>4687</v>
      </c>
      <c r="AL914">
        <v>136</v>
      </c>
      <c r="AM914">
        <v>1.6999999999999999E-3</v>
      </c>
      <c r="AN914">
        <v>-1</v>
      </c>
      <c r="AO914">
        <v>-0.35</v>
      </c>
      <c r="AP914">
        <v>23.17</v>
      </c>
      <c r="AQ914">
        <v>48.93</v>
      </c>
      <c r="AR914">
        <v>56.93</v>
      </c>
      <c r="AS914">
        <v>8.9700000000000006</v>
      </c>
      <c r="AT914" t="s">
        <v>5466</v>
      </c>
      <c r="AU914">
        <v>76.16</v>
      </c>
      <c r="AV914">
        <v>36.119999999999997</v>
      </c>
      <c r="AW914">
        <v>1.35</v>
      </c>
      <c r="BA914">
        <v>0.45</v>
      </c>
      <c r="BB914">
        <v>2.58</v>
      </c>
      <c r="BC914">
        <v>-3.09</v>
      </c>
      <c r="BD914">
        <v>0.01</v>
      </c>
      <c r="BE914">
        <v>-3.45</v>
      </c>
      <c r="BF914">
        <v>-5.45</v>
      </c>
      <c r="BG914">
        <v>0.09</v>
      </c>
      <c r="BH914">
        <v>-3.02</v>
      </c>
      <c r="BI914">
        <v>20191223</v>
      </c>
      <c r="BJ914">
        <v>20100810</v>
      </c>
      <c r="BK914">
        <v>12.93</v>
      </c>
      <c r="BL914" t="s">
        <v>116</v>
      </c>
      <c r="BM914">
        <v>2</v>
      </c>
      <c r="BN914">
        <v>140.22</v>
      </c>
      <c r="BO914">
        <v>81.180000000000007</v>
      </c>
      <c r="BP914">
        <v>0.76</v>
      </c>
      <c r="BQ914">
        <v>41.56</v>
      </c>
      <c r="BR914">
        <v>60</v>
      </c>
      <c r="BS914">
        <v>19.329999999999998</v>
      </c>
      <c r="BT914">
        <v>3.34</v>
      </c>
      <c r="BU914">
        <v>35.65</v>
      </c>
      <c r="BV914">
        <v>19.5</v>
      </c>
      <c r="BW914">
        <v>10.26</v>
      </c>
      <c r="BX914">
        <v>30.71</v>
      </c>
      <c r="BY914">
        <v>42.11</v>
      </c>
      <c r="BZ914">
        <v>32.04</v>
      </c>
      <c r="CA914">
        <v>4.25</v>
      </c>
      <c r="CB914">
        <v>1.35</v>
      </c>
      <c r="CC914">
        <v>4.24</v>
      </c>
      <c r="CD914">
        <v>3.28</v>
      </c>
      <c r="CE914">
        <v>3.29</v>
      </c>
      <c r="CF914">
        <v>5.84</v>
      </c>
      <c r="CG914">
        <v>30.65</v>
      </c>
      <c r="CH914">
        <v>2.2799999999999998</v>
      </c>
      <c r="CI914">
        <v>-12.74</v>
      </c>
      <c r="CJ914">
        <v>141559</v>
      </c>
      <c r="CK914">
        <v>5001</v>
      </c>
      <c r="CL914" t="s">
        <v>5467</v>
      </c>
      <c r="CM914">
        <v>-66.150000000000006</v>
      </c>
      <c r="CN914">
        <v>17.170000000000002</v>
      </c>
      <c r="CO914">
        <v>5.58</v>
      </c>
      <c r="CP914">
        <v>194.1</v>
      </c>
      <c r="CQ914">
        <v>10.49</v>
      </c>
      <c r="CR914">
        <v>0.88</v>
      </c>
      <c r="CS914" t="s">
        <v>3553</v>
      </c>
      <c r="CT914">
        <v>6.12</v>
      </c>
      <c r="CU914">
        <v>6.12</v>
      </c>
      <c r="CV914">
        <v>2.38</v>
      </c>
      <c r="CW914">
        <v>2.37</v>
      </c>
      <c r="CX914">
        <v>0.18</v>
      </c>
      <c r="CY914">
        <v>57.89</v>
      </c>
      <c r="CZ914" t="s">
        <v>5468</v>
      </c>
      <c r="DA914">
        <v>23.9</v>
      </c>
      <c r="DB914">
        <v>10.1</v>
      </c>
      <c r="DC914">
        <v>7.82</v>
      </c>
      <c r="DD914">
        <v>0.55000000000000004</v>
      </c>
      <c r="DE914">
        <v>4597</v>
      </c>
      <c r="DF914">
        <v>2460</v>
      </c>
      <c r="DG914" t="s">
        <v>116</v>
      </c>
      <c r="DH914" t="s">
        <v>116</v>
      </c>
      <c r="DI914" t="s">
        <v>116</v>
      </c>
    </row>
    <row r="915" spans="1:113" x14ac:dyDescent="0.4">
      <c r="A915" t="str">
        <f>"002461"</f>
        <v>002461</v>
      </c>
      <c r="B915" t="s">
        <v>5469</v>
      </c>
      <c r="C915">
        <v>-0.98</v>
      </c>
      <c r="D915">
        <v>7.07</v>
      </c>
      <c r="E915">
        <v>-7.0000000000000007E-2</v>
      </c>
      <c r="F915">
        <v>7.07</v>
      </c>
      <c r="G915">
        <v>7.08</v>
      </c>
      <c r="H915">
        <v>44028</v>
      </c>
      <c r="I915">
        <v>486</v>
      </c>
      <c r="J915">
        <v>-0.13</v>
      </c>
      <c r="K915">
        <v>0.32</v>
      </c>
      <c r="L915">
        <v>7.14</v>
      </c>
      <c r="M915">
        <v>7.16</v>
      </c>
      <c r="N915">
        <v>7.07</v>
      </c>
      <c r="O915">
        <v>7.14</v>
      </c>
      <c r="P915">
        <v>25.83</v>
      </c>
      <c r="Q915">
        <v>31292872</v>
      </c>
      <c r="R915">
        <v>0.92</v>
      </c>
      <c r="S915" t="s">
        <v>1962</v>
      </c>
      <c r="T915" t="s">
        <v>551</v>
      </c>
      <c r="U915">
        <v>1.26</v>
      </c>
      <c r="V915">
        <v>7.11</v>
      </c>
      <c r="W915">
        <v>28141</v>
      </c>
      <c r="X915">
        <v>15887</v>
      </c>
      <c r="Y915">
        <v>1.77</v>
      </c>
      <c r="Z915">
        <v>1618</v>
      </c>
      <c r="AA915">
        <v>56</v>
      </c>
      <c r="AB915" t="s">
        <v>116</v>
      </c>
      <c r="AC915">
        <v>32800</v>
      </c>
      <c r="AD915">
        <v>0</v>
      </c>
      <c r="AE915" t="s">
        <v>116</v>
      </c>
      <c r="AF915" t="s">
        <v>116</v>
      </c>
      <c r="AG915">
        <v>13.6</v>
      </c>
      <c r="AH915" t="s">
        <v>5470</v>
      </c>
      <c r="AI915" t="s">
        <v>5471</v>
      </c>
      <c r="AJ915">
        <v>-0.3</v>
      </c>
      <c r="AK915">
        <v>1669</v>
      </c>
      <c r="AL915">
        <v>26</v>
      </c>
      <c r="AM915">
        <v>2.0000000000000001E-4</v>
      </c>
      <c r="AN915">
        <v>-1</v>
      </c>
      <c r="AO915">
        <v>-1.1200000000000001</v>
      </c>
      <c r="AP915">
        <v>-0.56000000000000005</v>
      </c>
      <c r="AQ915">
        <v>3.51</v>
      </c>
      <c r="AR915">
        <v>64.42</v>
      </c>
      <c r="AS915">
        <v>1.51</v>
      </c>
      <c r="AT915" t="s">
        <v>5472</v>
      </c>
      <c r="AU915">
        <v>31.05</v>
      </c>
      <c r="AV915">
        <v>42.7</v>
      </c>
      <c r="AW915">
        <v>0.68</v>
      </c>
      <c r="BA915">
        <v>0</v>
      </c>
      <c r="BB915">
        <v>0.28000000000000003</v>
      </c>
      <c r="BC915">
        <v>-0.98</v>
      </c>
      <c r="BD915">
        <v>-0.45</v>
      </c>
      <c r="BE915">
        <v>-0.98</v>
      </c>
      <c r="BF915">
        <v>-1.26</v>
      </c>
      <c r="BG915">
        <v>0</v>
      </c>
      <c r="BH915">
        <v>-0.53</v>
      </c>
      <c r="BI915">
        <v>20191022</v>
      </c>
      <c r="BJ915">
        <v>20100818</v>
      </c>
      <c r="BK915">
        <v>22.13</v>
      </c>
      <c r="BL915" t="s">
        <v>116</v>
      </c>
      <c r="BM915" t="s">
        <v>116</v>
      </c>
      <c r="BN915">
        <v>121.67</v>
      </c>
      <c r="BO915">
        <v>84.53</v>
      </c>
      <c r="BP915">
        <v>0.52</v>
      </c>
      <c r="BQ915">
        <v>30.1</v>
      </c>
      <c r="BR915">
        <v>60.23</v>
      </c>
      <c r="BS915">
        <v>31.45</v>
      </c>
      <c r="BT915">
        <v>23.78</v>
      </c>
      <c r="BU915">
        <v>25.26</v>
      </c>
      <c r="BV915">
        <v>5.34</v>
      </c>
      <c r="BW915">
        <v>0.12</v>
      </c>
      <c r="BX915">
        <v>44.36</v>
      </c>
      <c r="BY915">
        <v>34.880000000000003</v>
      </c>
      <c r="BZ915">
        <v>18.739999999999998</v>
      </c>
      <c r="CA915">
        <v>5.54</v>
      </c>
      <c r="CB915">
        <v>0.01</v>
      </c>
      <c r="CC915">
        <v>5.54</v>
      </c>
      <c r="CD915">
        <v>4.67</v>
      </c>
      <c r="CE915">
        <v>4.54</v>
      </c>
      <c r="CF915">
        <v>3.51</v>
      </c>
      <c r="CG915">
        <v>16.079999999999998</v>
      </c>
      <c r="CH915">
        <v>8.67</v>
      </c>
      <c r="CI915">
        <v>0.74</v>
      </c>
      <c r="CJ915">
        <v>33050</v>
      </c>
      <c r="CK915">
        <v>8837</v>
      </c>
      <c r="CL915" t="s">
        <v>1880</v>
      </c>
      <c r="CM915">
        <v>43.4</v>
      </c>
      <c r="CN915">
        <v>5.47</v>
      </c>
      <c r="CO915">
        <v>1.85</v>
      </c>
      <c r="CP915">
        <v>18.05</v>
      </c>
      <c r="CQ915">
        <v>4.49</v>
      </c>
      <c r="CR915">
        <v>1.41</v>
      </c>
      <c r="CS915" t="s">
        <v>5174</v>
      </c>
      <c r="CT915">
        <v>3.82</v>
      </c>
      <c r="CU915">
        <v>0</v>
      </c>
      <c r="CV915">
        <v>2</v>
      </c>
      <c r="CW915">
        <v>0.73</v>
      </c>
      <c r="CX915">
        <v>0.39</v>
      </c>
      <c r="CY915">
        <v>69.47</v>
      </c>
      <c r="CZ915" t="s">
        <v>5473</v>
      </c>
      <c r="DA915">
        <v>46.28</v>
      </c>
      <c r="DB915">
        <v>15.89</v>
      </c>
      <c r="DC915">
        <v>13.03</v>
      </c>
      <c r="DD915">
        <v>0.99</v>
      </c>
      <c r="DE915">
        <v>4769</v>
      </c>
      <c r="DF915">
        <v>2461</v>
      </c>
      <c r="DG915" t="s">
        <v>116</v>
      </c>
      <c r="DH915" t="s">
        <v>116</v>
      </c>
      <c r="DI915" t="s">
        <v>116</v>
      </c>
    </row>
    <row r="916" spans="1:113" x14ac:dyDescent="0.4">
      <c r="A916" t="str">
        <f>"002462"</f>
        <v>002462</v>
      </c>
      <c r="B916" t="s">
        <v>5474</v>
      </c>
      <c r="C916">
        <v>-1.32</v>
      </c>
      <c r="D916">
        <v>15.69</v>
      </c>
      <c r="E916">
        <v>-0.21</v>
      </c>
      <c r="F916">
        <v>15.68</v>
      </c>
      <c r="G916">
        <v>15.69</v>
      </c>
      <c r="H916">
        <v>32655</v>
      </c>
      <c r="I916">
        <v>281</v>
      </c>
      <c r="J916">
        <v>-0.05</v>
      </c>
      <c r="K916">
        <v>1.31</v>
      </c>
      <c r="L916">
        <v>15.98</v>
      </c>
      <c r="M916">
        <v>15.98</v>
      </c>
      <c r="N916">
        <v>15.68</v>
      </c>
      <c r="O916">
        <v>15.9</v>
      </c>
      <c r="P916">
        <v>11.61</v>
      </c>
      <c r="Q916">
        <v>51658932</v>
      </c>
      <c r="R916">
        <v>1.43</v>
      </c>
      <c r="S916" t="s">
        <v>278</v>
      </c>
      <c r="T916" t="s">
        <v>165</v>
      </c>
      <c r="U916">
        <v>1.89</v>
      </c>
      <c r="V916">
        <v>15.82</v>
      </c>
      <c r="W916">
        <v>21024</v>
      </c>
      <c r="X916">
        <v>11631</v>
      </c>
      <c r="Y916">
        <v>1.81</v>
      </c>
      <c r="Z916">
        <v>111</v>
      </c>
      <c r="AA916">
        <v>4</v>
      </c>
      <c r="AB916" t="s">
        <v>116</v>
      </c>
      <c r="AC916">
        <v>0</v>
      </c>
      <c r="AD916">
        <v>0</v>
      </c>
      <c r="AE916" t="s">
        <v>116</v>
      </c>
      <c r="AF916" t="s">
        <v>116</v>
      </c>
      <c r="AG916">
        <v>2.4900000000000002</v>
      </c>
      <c r="AH916" t="s">
        <v>5475</v>
      </c>
      <c r="AI916" t="s">
        <v>5476</v>
      </c>
      <c r="AJ916">
        <v>-0.64</v>
      </c>
      <c r="AK916">
        <v>1777</v>
      </c>
      <c r="AL916">
        <v>18</v>
      </c>
      <c r="AM916">
        <v>6.9999999999999999E-4</v>
      </c>
      <c r="AN916">
        <v>-1</v>
      </c>
      <c r="AO916">
        <v>-1.51</v>
      </c>
      <c r="AP916">
        <v>-2.2400000000000002</v>
      </c>
      <c r="AQ916">
        <v>2.2799999999999998</v>
      </c>
      <c r="AR916">
        <v>9.7200000000000006</v>
      </c>
      <c r="AS916">
        <v>1.68</v>
      </c>
      <c r="AT916" t="s">
        <v>5477</v>
      </c>
      <c r="AU916">
        <v>12.61</v>
      </c>
      <c r="AV916">
        <v>13.97</v>
      </c>
      <c r="AW916">
        <v>0.92</v>
      </c>
      <c r="BA916">
        <v>0.5</v>
      </c>
      <c r="BB916">
        <v>0.5</v>
      </c>
      <c r="BC916">
        <v>-1.38</v>
      </c>
      <c r="BD916">
        <v>-0.51</v>
      </c>
      <c r="BE916">
        <v>-1.81</v>
      </c>
      <c r="BF916">
        <v>-1.81</v>
      </c>
      <c r="BG916">
        <v>0.06</v>
      </c>
      <c r="BH916">
        <v>-0.81</v>
      </c>
      <c r="BI916">
        <v>20191017</v>
      </c>
      <c r="BJ916">
        <v>20100818</v>
      </c>
      <c r="BK916">
        <v>2.92</v>
      </c>
      <c r="BL916" t="s">
        <v>116</v>
      </c>
      <c r="BM916" t="s">
        <v>116</v>
      </c>
      <c r="BN916">
        <v>123.48</v>
      </c>
      <c r="BO916">
        <v>33.409999999999997</v>
      </c>
      <c r="BP916">
        <v>14.79</v>
      </c>
      <c r="BQ916">
        <v>60.97</v>
      </c>
      <c r="BR916">
        <v>110.47</v>
      </c>
      <c r="BS916">
        <v>4.6100000000000003</v>
      </c>
      <c r="BT916">
        <v>0.28999999999999998</v>
      </c>
      <c r="BU916">
        <v>75.22</v>
      </c>
      <c r="BV916">
        <v>19.36</v>
      </c>
      <c r="BW916">
        <v>70.78</v>
      </c>
      <c r="BX916">
        <v>12.81</v>
      </c>
      <c r="BY916">
        <v>158.05000000000001</v>
      </c>
      <c r="BZ916">
        <v>141.80000000000001</v>
      </c>
      <c r="CA916">
        <v>6.9</v>
      </c>
      <c r="CB916">
        <v>0</v>
      </c>
      <c r="CC916">
        <v>6.87</v>
      </c>
      <c r="CD916">
        <v>5.09</v>
      </c>
      <c r="CE916">
        <v>2.96</v>
      </c>
      <c r="CF916">
        <v>2.94</v>
      </c>
      <c r="CG916">
        <v>16.239999999999998</v>
      </c>
      <c r="CH916">
        <v>3.69</v>
      </c>
      <c r="CI916">
        <v>3.74</v>
      </c>
      <c r="CJ916">
        <v>22232</v>
      </c>
      <c r="CK916">
        <v>8751</v>
      </c>
      <c r="CL916" t="s">
        <v>5478</v>
      </c>
      <c r="CM916">
        <v>13.63</v>
      </c>
      <c r="CN916">
        <v>20.059999999999999</v>
      </c>
      <c r="CO916">
        <v>1.37</v>
      </c>
      <c r="CP916">
        <v>12.41</v>
      </c>
      <c r="CQ916">
        <v>0.28999999999999998</v>
      </c>
      <c r="CR916">
        <v>0.82</v>
      </c>
      <c r="CS916" t="s">
        <v>5479</v>
      </c>
      <c r="CT916">
        <v>11.45</v>
      </c>
      <c r="CU916">
        <v>0</v>
      </c>
      <c r="CV916">
        <v>4.3899999999999997</v>
      </c>
      <c r="CW916">
        <v>5.57</v>
      </c>
      <c r="CX916">
        <v>1.26</v>
      </c>
      <c r="CY916">
        <v>27.05</v>
      </c>
      <c r="CZ916" t="s">
        <v>5480</v>
      </c>
      <c r="DA916">
        <v>10.28</v>
      </c>
      <c r="DB916">
        <v>4.3600000000000003</v>
      </c>
      <c r="DC916">
        <v>1.87</v>
      </c>
      <c r="DD916">
        <v>0</v>
      </c>
      <c r="DE916">
        <v>2713</v>
      </c>
      <c r="DF916">
        <v>2462</v>
      </c>
      <c r="DG916" t="s">
        <v>116</v>
      </c>
      <c r="DH916" t="s">
        <v>116</v>
      </c>
      <c r="DI916" t="s">
        <v>116</v>
      </c>
    </row>
    <row r="917" spans="1:113" x14ac:dyDescent="0.4">
      <c r="A917" t="str">
        <f>"002463"</f>
        <v>002463</v>
      </c>
      <c r="B917" t="s">
        <v>5481</v>
      </c>
      <c r="C917">
        <v>-1.78</v>
      </c>
      <c r="D917">
        <v>22.04</v>
      </c>
      <c r="E917">
        <v>-0.4</v>
      </c>
      <c r="F917">
        <v>22.03</v>
      </c>
      <c r="G917">
        <v>22.04</v>
      </c>
      <c r="H917">
        <v>396455</v>
      </c>
      <c r="I917">
        <v>4514</v>
      </c>
      <c r="J917">
        <v>-0.04</v>
      </c>
      <c r="K917">
        <v>2.35</v>
      </c>
      <c r="L917">
        <v>22.44</v>
      </c>
      <c r="M917">
        <v>22.61</v>
      </c>
      <c r="N917">
        <v>22.01</v>
      </c>
      <c r="O917">
        <v>22.44</v>
      </c>
      <c r="P917">
        <v>33.49</v>
      </c>
      <c r="Q917">
        <v>881725248</v>
      </c>
      <c r="R917">
        <v>0.86</v>
      </c>
      <c r="S917" t="s">
        <v>233</v>
      </c>
      <c r="T917" t="s">
        <v>323</v>
      </c>
      <c r="U917">
        <v>2.67</v>
      </c>
      <c r="V917">
        <v>22.24</v>
      </c>
      <c r="W917">
        <v>226916</v>
      </c>
      <c r="X917">
        <v>169539</v>
      </c>
      <c r="Y917">
        <v>1.34</v>
      </c>
      <c r="Z917">
        <v>1593</v>
      </c>
      <c r="AA917">
        <v>972</v>
      </c>
      <c r="AB917" t="s">
        <v>116</v>
      </c>
      <c r="AC917">
        <v>3643700</v>
      </c>
      <c r="AD917">
        <v>0.01</v>
      </c>
      <c r="AE917" t="s">
        <v>116</v>
      </c>
      <c r="AF917" t="s">
        <v>116</v>
      </c>
      <c r="AG917">
        <v>16.88</v>
      </c>
      <c r="AH917" t="s">
        <v>5482</v>
      </c>
      <c r="AI917" t="s">
        <v>5483</v>
      </c>
      <c r="AJ917">
        <v>-1.1000000000000001</v>
      </c>
      <c r="AK917">
        <v>4563</v>
      </c>
      <c r="AL917">
        <v>87</v>
      </c>
      <c r="AM917">
        <v>5.0000000000000001E-4</v>
      </c>
      <c r="AN917">
        <v>-1</v>
      </c>
      <c r="AO917">
        <v>-0.76</v>
      </c>
      <c r="AP917">
        <v>-2</v>
      </c>
      <c r="AQ917">
        <v>-13.43</v>
      </c>
      <c r="AR917">
        <v>211.74</v>
      </c>
      <c r="AS917">
        <v>3.57</v>
      </c>
      <c r="AT917" t="s">
        <v>5484</v>
      </c>
      <c r="AU917">
        <v>36.61</v>
      </c>
      <c r="AV917">
        <v>66.64</v>
      </c>
      <c r="AW917">
        <v>1.99</v>
      </c>
      <c r="BA917">
        <v>0</v>
      </c>
      <c r="BB917">
        <v>0.76</v>
      </c>
      <c r="BC917">
        <v>-1.92</v>
      </c>
      <c r="BD917">
        <v>-0.89</v>
      </c>
      <c r="BE917">
        <v>-1.78</v>
      </c>
      <c r="BF917">
        <v>-2.52</v>
      </c>
      <c r="BG917">
        <v>0.14000000000000001</v>
      </c>
      <c r="BH917">
        <v>-0.89</v>
      </c>
      <c r="BI917">
        <v>20191029</v>
      </c>
      <c r="BJ917">
        <v>20100818</v>
      </c>
      <c r="BK917">
        <v>17.25</v>
      </c>
      <c r="BL917" t="s">
        <v>116</v>
      </c>
      <c r="BM917" t="s">
        <v>116</v>
      </c>
      <c r="BN917">
        <v>78.569999999999993</v>
      </c>
      <c r="BO917">
        <v>47.72</v>
      </c>
      <c r="BP917">
        <v>0</v>
      </c>
      <c r="BQ917">
        <v>39.270000000000003</v>
      </c>
      <c r="BR917">
        <v>48.34</v>
      </c>
      <c r="BS917">
        <v>24.4</v>
      </c>
      <c r="BT917">
        <v>1.0900000000000001</v>
      </c>
      <c r="BU917">
        <v>26.32</v>
      </c>
      <c r="BV917">
        <v>15.04</v>
      </c>
      <c r="BW917">
        <v>14.89</v>
      </c>
      <c r="BX917">
        <v>3.2</v>
      </c>
      <c r="BY917">
        <v>50.1</v>
      </c>
      <c r="BZ917">
        <v>35.130000000000003</v>
      </c>
      <c r="CA917">
        <v>9.7899999999999991</v>
      </c>
      <c r="CB917">
        <v>0.03</v>
      </c>
      <c r="CC917">
        <v>9.7799999999999994</v>
      </c>
      <c r="CD917">
        <v>8.51</v>
      </c>
      <c r="CE917">
        <v>8.51</v>
      </c>
      <c r="CF917">
        <v>8.1300000000000008</v>
      </c>
      <c r="CG917">
        <v>24.63</v>
      </c>
      <c r="CH917">
        <v>9.8000000000000007</v>
      </c>
      <c r="CI917">
        <v>5.74</v>
      </c>
      <c r="CJ917">
        <v>200228</v>
      </c>
      <c r="CK917">
        <v>5547</v>
      </c>
      <c r="CL917" t="s">
        <v>5485</v>
      </c>
      <c r="CM917">
        <v>122.13</v>
      </c>
      <c r="CN917">
        <v>30.18</v>
      </c>
      <c r="CO917">
        <v>7.97</v>
      </c>
      <c r="CP917">
        <v>38.770000000000003</v>
      </c>
      <c r="CQ917">
        <v>7.59</v>
      </c>
      <c r="CR917">
        <v>0.45</v>
      </c>
      <c r="CS917" t="s">
        <v>1744</v>
      </c>
      <c r="CT917">
        <v>2.77</v>
      </c>
      <c r="CU917">
        <v>0</v>
      </c>
      <c r="CV917">
        <v>0.19</v>
      </c>
      <c r="CW917">
        <v>1.43</v>
      </c>
      <c r="CX917">
        <v>0.56999999999999995</v>
      </c>
      <c r="CY917">
        <v>60.73</v>
      </c>
      <c r="CZ917" t="s">
        <v>5486</v>
      </c>
      <c r="DA917">
        <v>29.88</v>
      </c>
      <c r="DB917">
        <v>19.53</v>
      </c>
      <c r="DC917">
        <v>16.989999999999998</v>
      </c>
      <c r="DD917">
        <v>2.25</v>
      </c>
      <c r="DE917">
        <v>7161</v>
      </c>
      <c r="DF917">
        <v>2463</v>
      </c>
      <c r="DG917" t="s">
        <v>116</v>
      </c>
      <c r="DH917" t="s">
        <v>116</v>
      </c>
      <c r="DI917" t="s">
        <v>116</v>
      </c>
    </row>
    <row r="918" spans="1:113" x14ac:dyDescent="0.4">
      <c r="A918" t="str">
        <f>"002464"</f>
        <v>002464</v>
      </c>
      <c r="B918" t="s">
        <v>5487</v>
      </c>
      <c r="C918">
        <v>-2.13</v>
      </c>
      <c r="D918">
        <v>6.44</v>
      </c>
      <c r="E918">
        <v>-0.14000000000000001</v>
      </c>
      <c r="F918">
        <v>6.44</v>
      </c>
      <c r="G918">
        <v>6.45</v>
      </c>
      <c r="H918">
        <v>220435</v>
      </c>
      <c r="I918">
        <v>2409</v>
      </c>
      <c r="J918">
        <v>0.16</v>
      </c>
      <c r="K918">
        <v>4.22</v>
      </c>
      <c r="L918">
        <v>6.56</v>
      </c>
      <c r="M918">
        <v>6.68</v>
      </c>
      <c r="N918">
        <v>6.42</v>
      </c>
      <c r="O918">
        <v>6.58</v>
      </c>
      <c r="P918">
        <v>32.25</v>
      </c>
      <c r="Q918">
        <v>143637168</v>
      </c>
      <c r="R918">
        <v>0.6</v>
      </c>
      <c r="S918" t="s">
        <v>1384</v>
      </c>
      <c r="T918" t="s">
        <v>323</v>
      </c>
      <c r="U918">
        <v>3.95</v>
      </c>
      <c r="V918">
        <v>6.52</v>
      </c>
      <c r="W918">
        <v>122655</v>
      </c>
      <c r="X918">
        <v>97780</v>
      </c>
      <c r="Y918">
        <v>1.25</v>
      </c>
      <c r="Z918">
        <v>735</v>
      </c>
      <c r="AA918">
        <v>356</v>
      </c>
      <c r="AB918" t="s">
        <v>116</v>
      </c>
      <c r="AC918">
        <v>917100</v>
      </c>
      <c r="AD918">
        <v>0.05</v>
      </c>
      <c r="AE918" t="s">
        <v>116</v>
      </c>
      <c r="AF918" t="s">
        <v>116</v>
      </c>
      <c r="AG918">
        <v>5.22</v>
      </c>
      <c r="AH918" t="s">
        <v>5488</v>
      </c>
      <c r="AI918" t="s">
        <v>5488</v>
      </c>
      <c r="AJ918">
        <v>-1.45</v>
      </c>
      <c r="AK918">
        <v>3054</v>
      </c>
      <c r="AL918">
        <v>72</v>
      </c>
      <c r="AM918">
        <v>1.4E-3</v>
      </c>
      <c r="AN918">
        <v>-2</v>
      </c>
      <c r="AO918">
        <v>-0.31</v>
      </c>
      <c r="AP918">
        <v>-8</v>
      </c>
      <c r="AQ918">
        <v>-27.23</v>
      </c>
      <c r="AR918">
        <v>18.440000000000001</v>
      </c>
      <c r="AS918">
        <v>7.71</v>
      </c>
      <c r="AT918" t="s">
        <v>5489</v>
      </c>
      <c r="AU918">
        <v>52.54</v>
      </c>
      <c r="AV918">
        <v>33.46</v>
      </c>
      <c r="AW918">
        <v>2.3199999999999998</v>
      </c>
      <c r="BA918">
        <v>-0.3</v>
      </c>
      <c r="BB918">
        <v>1.52</v>
      </c>
      <c r="BC918">
        <v>-2.4300000000000002</v>
      </c>
      <c r="BD918">
        <v>-0.97</v>
      </c>
      <c r="BE918">
        <v>-1.83</v>
      </c>
      <c r="BF918">
        <v>-3.59</v>
      </c>
      <c r="BG918">
        <v>0.31</v>
      </c>
      <c r="BH918">
        <v>-1.1599999999999999</v>
      </c>
      <c r="BI918">
        <v>20191029</v>
      </c>
      <c r="BJ918">
        <v>20100831</v>
      </c>
      <c r="BK918">
        <v>5.22</v>
      </c>
      <c r="BL918" t="s">
        <v>116</v>
      </c>
      <c r="BM918" t="s">
        <v>116</v>
      </c>
      <c r="BN918">
        <v>32.549999999999997</v>
      </c>
      <c r="BO918">
        <v>15.45</v>
      </c>
      <c r="BP918">
        <v>0</v>
      </c>
      <c r="BQ918">
        <v>52.53</v>
      </c>
      <c r="BR918">
        <v>6.7</v>
      </c>
      <c r="BS918">
        <v>0.03</v>
      </c>
      <c r="BT918">
        <v>0.84</v>
      </c>
      <c r="BU918">
        <v>17.03</v>
      </c>
      <c r="BV918">
        <v>0</v>
      </c>
      <c r="BW918">
        <v>1.86</v>
      </c>
      <c r="BX918">
        <v>5.09</v>
      </c>
      <c r="BY918">
        <v>4.5999999999999996</v>
      </c>
      <c r="BZ918">
        <v>1.93</v>
      </c>
      <c r="CA918">
        <v>0.73</v>
      </c>
      <c r="CB918">
        <v>0.27</v>
      </c>
      <c r="CC918">
        <v>0.73</v>
      </c>
      <c r="CD918">
        <v>0.78</v>
      </c>
      <c r="CE918">
        <v>0.78</v>
      </c>
      <c r="CF918">
        <v>0.69</v>
      </c>
      <c r="CG918">
        <v>4.4800000000000004</v>
      </c>
      <c r="CH918">
        <v>2.21</v>
      </c>
      <c r="CI918">
        <v>0.1</v>
      </c>
      <c r="CJ918">
        <v>34972</v>
      </c>
      <c r="CK918">
        <v>8171</v>
      </c>
      <c r="CL918" t="s">
        <v>1067</v>
      </c>
      <c r="CM918">
        <v>-31.82</v>
      </c>
      <c r="CN918">
        <v>-22.48</v>
      </c>
      <c r="CO918">
        <v>2.17</v>
      </c>
      <c r="CP918">
        <v>15.21</v>
      </c>
      <c r="CQ918">
        <v>7.3</v>
      </c>
      <c r="CR918">
        <v>0</v>
      </c>
      <c r="CS918" t="s">
        <v>829</v>
      </c>
      <c r="CT918">
        <v>2.96</v>
      </c>
      <c r="CU918">
        <v>0</v>
      </c>
      <c r="CV918">
        <v>0.97</v>
      </c>
      <c r="CW918">
        <v>0.86</v>
      </c>
      <c r="CX918">
        <v>0.42</v>
      </c>
      <c r="CY918">
        <v>47.47</v>
      </c>
      <c r="CZ918" t="s">
        <v>5490</v>
      </c>
      <c r="DA918">
        <v>58.13</v>
      </c>
      <c r="DB918">
        <v>15.93</v>
      </c>
      <c r="DC918">
        <v>16.97</v>
      </c>
      <c r="DD918">
        <v>0.05</v>
      </c>
      <c r="DE918">
        <v>140</v>
      </c>
      <c r="DF918">
        <v>2464</v>
      </c>
      <c r="DG918" t="s">
        <v>116</v>
      </c>
      <c r="DH918" t="s">
        <v>116</v>
      </c>
      <c r="DI918" t="s">
        <v>116</v>
      </c>
    </row>
    <row r="919" spans="1:113" x14ac:dyDescent="0.4">
      <c r="A919" t="str">
        <f>"002465"</f>
        <v>002465</v>
      </c>
      <c r="B919" t="s">
        <v>5491</v>
      </c>
      <c r="C919">
        <v>0.09</v>
      </c>
      <c r="D919">
        <v>10.59</v>
      </c>
      <c r="E919">
        <v>0.01</v>
      </c>
      <c r="F919">
        <v>10.58</v>
      </c>
      <c r="G919">
        <v>10.59</v>
      </c>
      <c r="H919">
        <v>369511</v>
      </c>
      <c r="I919">
        <v>4583</v>
      </c>
      <c r="J919">
        <v>-0.08</v>
      </c>
      <c r="K919">
        <v>1.72</v>
      </c>
      <c r="L919">
        <v>10.64</v>
      </c>
      <c r="M919">
        <v>10.81</v>
      </c>
      <c r="N919">
        <v>10.53</v>
      </c>
      <c r="O919">
        <v>10.58</v>
      </c>
      <c r="P919">
        <v>58.86</v>
      </c>
      <c r="Q919">
        <v>393941056</v>
      </c>
      <c r="R919">
        <v>1.22</v>
      </c>
      <c r="S919" t="s">
        <v>465</v>
      </c>
      <c r="T919" t="s">
        <v>551</v>
      </c>
      <c r="U919">
        <v>2.65</v>
      </c>
      <c r="V919">
        <v>10.66</v>
      </c>
      <c r="W919">
        <v>200918</v>
      </c>
      <c r="X919">
        <v>168593</v>
      </c>
      <c r="Y919">
        <v>1.19</v>
      </c>
      <c r="Z919">
        <v>1418</v>
      </c>
      <c r="AA919">
        <v>2365</v>
      </c>
      <c r="AB919" t="s">
        <v>116</v>
      </c>
      <c r="AC919">
        <v>1218300</v>
      </c>
      <c r="AD919">
        <v>0.01</v>
      </c>
      <c r="AE919" t="s">
        <v>116</v>
      </c>
      <c r="AF919" t="s">
        <v>116</v>
      </c>
      <c r="AG919">
        <v>21.5</v>
      </c>
      <c r="AH919" t="s">
        <v>5492</v>
      </c>
      <c r="AI919" t="s">
        <v>5493</v>
      </c>
      <c r="AJ919">
        <v>0.77</v>
      </c>
      <c r="AK919">
        <v>4029</v>
      </c>
      <c r="AL919">
        <v>92</v>
      </c>
      <c r="AM919">
        <v>4.0000000000000002E-4</v>
      </c>
      <c r="AN919">
        <v>1</v>
      </c>
      <c r="AO919">
        <v>1.04</v>
      </c>
      <c r="AP919">
        <v>3.12</v>
      </c>
      <c r="AQ919">
        <v>6.65</v>
      </c>
      <c r="AR919">
        <v>37.89</v>
      </c>
      <c r="AS919">
        <v>2.34</v>
      </c>
      <c r="AT919" t="s">
        <v>5494</v>
      </c>
      <c r="AU919">
        <v>50.81</v>
      </c>
      <c r="AV919">
        <v>56.75</v>
      </c>
      <c r="AW919">
        <v>0.61</v>
      </c>
      <c r="BA919">
        <v>0.56999999999999995</v>
      </c>
      <c r="BB919">
        <v>2.17</v>
      </c>
      <c r="BC919">
        <v>-0.47</v>
      </c>
      <c r="BD919">
        <v>0.77</v>
      </c>
      <c r="BE919">
        <v>-0.47</v>
      </c>
      <c r="BF919">
        <v>-2.04</v>
      </c>
      <c r="BG919">
        <v>0.56999999999999995</v>
      </c>
      <c r="BH919">
        <v>-0.67</v>
      </c>
      <c r="BI919">
        <v>20191031</v>
      </c>
      <c r="BJ919">
        <v>20100831</v>
      </c>
      <c r="BK919">
        <v>23.05</v>
      </c>
      <c r="BL919" t="s">
        <v>116</v>
      </c>
      <c r="BM919" t="s">
        <v>116</v>
      </c>
      <c r="BN919">
        <v>115.62</v>
      </c>
      <c r="BO919">
        <v>84.51</v>
      </c>
      <c r="BP919">
        <v>4.16</v>
      </c>
      <c r="BQ919">
        <v>23.32</v>
      </c>
      <c r="BR919">
        <v>75.739999999999995</v>
      </c>
      <c r="BS919">
        <v>12.33</v>
      </c>
      <c r="BT919">
        <v>5.48</v>
      </c>
      <c r="BU919">
        <v>21.65</v>
      </c>
      <c r="BV919">
        <v>18.12</v>
      </c>
      <c r="BW919">
        <v>28.98</v>
      </c>
      <c r="BX919">
        <v>38.380000000000003</v>
      </c>
      <c r="BY919">
        <v>28.45</v>
      </c>
      <c r="BZ919">
        <v>18.2</v>
      </c>
      <c r="CA919">
        <v>3.32</v>
      </c>
      <c r="CB919">
        <v>0.34</v>
      </c>
      <c r="CC919">
        <v>3.57</v>
      </c>
      <c r="CD919">
        <v>3.21</v>
      </c>
      <c r="CE919">
        <v>3.11</v>
      </c>
      <c r="CF919">
        <v>1.7</v>
      </c>
      <c r="CG919">
        <v>19.649999999999999</v>
      </c>
      <c r="CH919">
        <v>-4.1900000000000004</v>
      </c>
      <c r="CI919">
        <v>-6.3</v>
      </c>
      <c r="CJ919">
        <v>110553</v>
      </c>
      <c r="CK919">
        <v>14280</v>
      </c>
      <c r="CL919" t="s">
        <v>5495</v>
      </c>
      <c r="CM919">
        <v>19.29</v>
      </c>
      <c r="CN919">
        <v>7.96</v>
      </c>
      <c r="CO919">
        <v>2.89</v>
      </c>
      <c r="CP919">
        <v>-58.22</v>
      </c>
      <c r="CQ919">
        <v>8.58</v>
      </c>
      <c r="CR919">
        <v>1.1299999999999999</v>
      </c>
      <c r="CS919" t="s">
        <v>2750</v>
      </c>
      <c r="CT919">
        <v>3.67</v>
      </c>
      <c r="CU919">
        <v>0</v>
      </c>
      <c r="CV919">
        <v>1.66</v>
      </c>
      <c r="CW919">
        <v>0.85</v>
      </c>
      <c r="CX919">
        <v>-0.18</v>
      </c>
      <c r="CY919">
        <v>73.09</v>
      </c>
      <c r="CZ919" t="s">
        <v>4028</v>
      </c>
      <c r="DA919">
        <v>36.049999999999997</v>
      </c>
      <c r="DB919">
        <v>11.68</v>
      </c>
      <c r="DC919">
        <v>10.93</v>
      </c>
      <c r="DD919">
        <v>4.79</v>
      </c>
      <c r="DE919">
        <v>7804</v>
      </c>
      <c r="DF919">
        <v>2465</v>
      </c>
      <c r="DG919" t="s">
        <v>116</v>
      </c>
      <c r="DH919" t="s">
        <v>116</v>
      </c>
      <c r="DI919" t="s">
        <v>116</v>
      </c>
    </row>
    <row r="920" spans="1:113" x14ac:dyDescent="0.4">
      <c r="A920" t="str">
        <f>"002466"</f>
        <v>002466</v>
      </c>
      <c r="B920" t="s">
        <v>5496</v>
      </c>
      <c r="C920">
        <v>5.84</v>
      </c>
      <c r="D920">
        <v>28.47</v>
      </c>
      <c r="E920">
        <v>1.57</v>
      </c>
      <c r="F920">
        <v>28.46</v>
      </c>
      <c r="G920">
        <v>28.47</v>
      </c>
      <c r="H920">
        <v>850312</v>
      </c>
      <c r="I920">
        <v>5939</v>
      </c>
      <c r="J920">
        <v>-0.44</v>
      </c>
      <c r="K920">
        <v>7.46</v>
      </c>
      <c r="L920">
        <v>28</v>
      </c>
      <c r="M920">
        <v>29.52</v>
      </c>
      <c r="N920">
        <v>27.5</v>
      </c>
      <c r="O920">
        <v>26.9</v>
      </c>
      <c r="P920">
        <v>174.81</v>
      </c>
      <c r="Q920">
        <v>2423834880</v>
      </c>
      <c r="R920">
        <v>2.37</v>
      </c>
      <c r="S920" t="s">
        <v>1509</v>
      </c>
      <c r="T920" t="s">
        <v>582</v>
      </c>
      <c r="U920">
        <v>7.51</v>
      </c>
      <c r="V920">
        <v>28.51</v>
      </c>
      <c r="W920">
        <v>419512</v>
      </c>
      <c r="X920">
        <v>430800</v>
      </c>
      <c r="Y920">
        <v>0.97</v>
      </c>
      <c r="Z920">
        <v>1016</v>
      </c>
      <c r="AA920">
        <v>1766</v>
      </c>
      <c r="AB920" t="s">
        <v>116</v>
      </c>
      <c r="AC920">
        <v>60925200</v>
      </c>
      <c r="AD920">
        <v>0.32</v>
      </c>
      <c r="AE920" t="s">
        <v>116</v>
      </c>
      <c r="AF920" t="s">
        <v>116</v>
      </c>
      <c r="AG920">
        <v>11.39</v>
      </c>
      <c r="AH920" t="s">
        <v>5497</v>
      </c>
      <c r="AI920" t="s">
        <v>5498</v>
      </c>
      <c r="AJ920">
        <v>6.52</v>
      </c>
      <c r="AK920">
        <v>4678</v>
      </c>
      <c r="AL920">
        <v>182</v>
      </c>
      <c r="AM920">
        <v>1.6000000000000001E-3</v>
      </c>
      <c r="AN920">
        <v>3</v>
      </c>
      <c r="AO920">
        <v>22.48</v>
      </c>
      <c r="AP920">
        <v>13.9</v>
      </c>
      <c r="AQ920">
        <v>24.09</v>
      </c>
      <c r="AR920">
        <v>16.52</v>
      </c>
      <c r="AS920">
        <v>12.68</v>
      </c>
      <c r="AT920" t="s">
        <v>5499</v>
      </c>
      <c r="AU920">
        <v>64.650000000000006</v>
      </c>
      <c r="AV920">
        <v>19.11</v>
      </c>
      <c r="AW920">
        <v>0.6</v>
      </c>
      <c r="BA920">
        <v>4.09</v>
      </c>
      <c r="BB920">
        <v>9.74</v>
      </c>
      <c r="BC920">
        <v>2.23</v>
      </c>
      <c r="BD920">
        <v>5.97</v>
      </c>
      <c r="BE920">
        <v>1.68</v>
      </c>
      <c r="BF920">
        <v>-3.56</v>
      </c>
      <c r="BG920">
        <v>3.53</v>
      </c>
      <c r="BH920">
        <v>-0.13</v>
      </c>
      <c r="BI920">
        <v>20191226</v>
      </c>
      <c r="BJ920">
        <v>20100831</v>
      </c>
      <c r="BK920">
        <v>11.42</v>
      </c>
      <c r="BL920" t="s">
        <v>116</v>
      </c>
      <c r="BM920" t="s">
        <v>116</v>
      </c>
      <c r="BN920">
        <v>488.21</v>
      </c>
      <c r="BO920">
        <v>101.63</v>
      </c>
      <c r="BP920">
        <v>19.29</v>
      </c>
      <c r="BQ920">
        <v>75.23</v>
      </c>
      <c r="BR920">
        <v>36.659999999999997</v>
      </c>
      <c r="BS920">
        <v>16.489999999999998</v>
      </c>
      <c r="BT920">
        <v>29.89</v>
      </c>
      <c r="BU920">
        <v>53.33</v>
      </c>
      <c r="BV920">
        <v>8.59</v>
      </c>
      <c r="BW920">
        <v>3.32</v>
      </c>
      <c r="BX920">
        <v>42.05</v>
      </c>
      <c r="BY920">
        <v>37.97</v>
      </c>
      <c r="BZ920">
        <v>15.74</v>
      </c>
      <c r="CA920">
        <v>7.02</v>
      </c>
      <c r="CB920">
        <v>3.09</v>
      </c>
      <c r="CC920">
        <v>7.91</v>
      </c>
      <c r="CD920">
        <v>6.2</v>
      </c>
      <c r="CE920">
        <v>1.39</v>
      </c>
      <c r="CF920">
        <v>0.16</v>
      </c>
      <c r="CG920">
        <v>53.01</v>
      </c>
      <c r="CH920">
        <v>13.84</v>
      </c>
      <c r="CI920">
        <v>-1.91</v>
      </c>
      <c r="CJ920">
        <v>138752</v>
      </c>
      <c r="CK920">
        <v>4835</v>
      </c>
      <c r="CL920" t="s">
        <v>5500</v>
      </c>
      <c r="CM920">
        <v>-91.74</v>
      </c>
      <c r="CN920">
        <v>-20.21</v>
      </c>
      <c r="CO920">
        <v>3.2</v>
      </c>
      <c r="CP920">
        <v>23.49</v>
      </c>
      <c r="CQ920">
        <v>8.56</v>
      </c>
      <c r="CR920">
        <v>0.49</v>
      </c>
      <c r="CS920" t="s">
        <v>3604</v>
      </c>
      <c r="CT920">
        <v>8.9</v>
      </c>
      <c r="CU920">
        <v>0</v>
      </c>
      <c r="CV920">
        <v>3.68</v>
      </c>
      <c r="CW920">
        <v>4.6399999999999997</v>
      </c>
      <c r="CX920">
        <v>1.21</v>
      </c>
      <c r="CY920">
        <v>20.82</v>
      </c>
      <c r="CZ920" t="s">
        <v>5021</v>
      </c>
      <c r="DA920">
        <v>58.56</v>
      </c>
      <c r="DB920">
        <v>18.5</v>
      </c>
      <c r="DC920">
        <v>3.67</v>
      </c>
      <c r="DD920">
        <v>0.36</v>
      </c>
      <c r="DE920">
        <v>1612</v>
      </c>
      <c r="DF920">
        <v>2466</v>
      </c>
      <c r="DG920" t="s">
        <v>116</v>
      </c>
      <c r="DH920" t="s">
        <v>116</v>
      </c>
      <c r="DI920" t="s">
        <v>116</v>
      </c>
    </row>
    <row r="921" spans="1:113" x14ac:dyDescent="0.4">
      <c r="A921" t="str">
        <f>"002467"</f>
        <v>002467</v>
      </c>
      <c r="B921" t="s">
        <v>5501</v>
      </c>
      <c r="C921">
        <v>-0.89</v>
      </c>
      <c r="D921">
        <v>5.55</v>
      </c>
      <c r="E921">
        <v>-0.05</v>
      </c>
      <c r="F921">
        <v>5.54</v>
      </c>
      <c r="G921">
        <v>5.55</v>
      </c>
      <c r="H921">
        <v>591465</v>
      </c>
      <c r="I921">
        <v>3936</v>
      </c>
      <c r="J921">
        <v>0</v>
      </c>
      <c r="K921">
        <v>5.13</v>
      </c>
      <c r="L921">
        <v>5.6</v>
      </c>
      <c r="M921">
        <v>5.84</v>
      </c>
      <c r="N921">
        <v>5.53</v>
      </c>
      <c r="O921">
        <v>5.6</v>
      </c>
      <c r="P921">
        <v>61.52</v>
      </c>
      <c r="Q921">
        <v>335756640</v>
      </c>
      <c r="R921">
        <v>2.0299999999999998</v>
      </c>
      <c r="S921" t="s">
        <v>3586</v>
      </c>
      <c r="T921" t="s">
        <v>165</v>
      </c>
      <c r="U921">
        <v>5.54</v>
      </c>
      <c r="V921">
        <v>5.68</v>
      </c>
      <c r="W921">
        <v>305951</v>
      </c>
      <c r="X921">
        <v>285514</v>
      </c>
      <c r="Y921">
        <v>1.07</v>
      </c>
      <c r="Z921">
        <v>2103</v>
      </c>
      <c r="AA921">
        <v>318</v>
      </c>
      <c r="AB921" t="s">
        <v>116</v>
      </c>
      <c r="AC921">
        <v>1238700</v>
      </c>
      <c r="AD921">
        <v>0.02</v>
      </c>
      <c r="AE921" t="s">
        <v>116</v>
      </c>
      <c r="AF921" t="s">
        <v>116</v>
      </c>
      <c r="AG921">
        <v>11.54</v>
      </c>
      <c r="AH921" t="s">
        <v>5502</v>
      </c>
      <c r="AI921" t="s">
        <v>5503</v>
      </c>
      <c r="AJ921">
        <v>-0.21</v>
      </c>
      <c r="AK921">
        <v>3529</v>
      </c>
      <c r="AL921">
        <v>168</v>
      </c>
      <c r="AM921">
        <v>1.5E-3</v>
      </c>
      <c r="AN921">
        <v>-1</v>
      </c>
      <c r="AO921">
        <v>1.84</v>
      </c>
      <c r="AP921">
        <v>6.94</v>
      </c>
      <c r="AQ921">
        <v>-2.29</v>
      </c>
      <c r="AR921">
        <v>90.22</v>
      </c>
      <c r="AS921">
        <v>5.38</v>
      </c>
      <c r="AT921" t="s">
        <v>5504</v>
      </c>
      <c r="AU921">
        <v>69.28</v>
      </c>
      <c r="AV921">
        <v>87.32</v>
      </c>
      <c r="AW921">
        <v>1.31</v>
      </c>
      <c r="BA921">
        <v>0</v>
      </c>
      <c r="BB921">
        <v>4.29</v>
      </c>
      <c r="BC921">
        <v>-1.25</v>
      </c>
      <c r="BD921">
        <v>1.37</v>
      </c>
      <c r="BE921">
        <v>-0.89</v>
      </c>
      <c r="BF921">
        <v>-4.97</v>
      </c>
      <c r="BG921">
        <v>0.36</v>
      </c>
      <c r="BH921">
        <v>-2.2599999999999998</v>
      </c>
      <c r="BI921">
        <v>20191030</v>
      </c>
      <c r="BJ921">
        <v>20100908</v>
      </c>
      <c r="BK921">
        <v>13.54</v>
      </c>
      <c r="BL921" t="s">
        <v>116</v>
      </c>
      <c r="BM921" t="s">
        <v>116</v>
      </c>
      <c r="BN921">
        <v>26.07</v>
      </c>
      <c r="BO921">
        <v>20.010000000000002</v>
      </c>
      <c r="BP921">
        <v>0.77</v>
      </c>
      <c r="BQ921">
        <v>20.28</v>
      </c>
      <c r="BR921">
        <v>9.27</v>
      </c>
      <c r="BS921">
        <v>1.41</v>
      </c>
      <c r="BT921">
        <v>0.2</v>
      </c>
      <c r="BU921">
        <v>5.07</v>
      </c>
      <c r="BV921">
        <v>0.04</v>
      </c>
      <c r="BW921">
        <v>1.57</v>
      </c>
      <c r="BX921">
        <v>3.1</v>
      </c>
      <c r="BY921">
        <v>7.71</v>
      </c>
      <c r="BZ921">
        <v>3.49</v>
      </c>
      <c r="CA921">
        <v>0.91</v>
      </c>
      <c r="CB921">
        <v>0.04</v>
      </c>
      <c r="CC921">
        <v>0.91</v>
      </c>
      <c r="CD921">
        <v>0.91</v>
      </c>
      <c r="CE921">
        <v>0.92</v>
      </c>
      <c r="CF921">
        <v>0.86</v>
      </c>
      <c r="CG921">
        <v>2.33</v>
      </c>
      <c r="CH921">
        <v>0.82</v>
      </c>
      <c r="CI921">
        <v>-4.0999999999999996</v>
      </c>
      <c r="CJ921">
        <v>139072</v>
      </c>
      <c r="CK921">
        <v>7904</v>
      </c>
      <c r="CL921" t="s">
        <v>2055</v>
      </c>
      <c r="CM921">
        <v>32.39</v>
      </c>
      <c r="CN921">
        <v>14.2</v>
      </c>
      <c r="CO921">
        <v>3.75</v>
      </c>
      <c r="CP921">
        <v>91.83</v>
      </c>
      <c r="CQ921">
        <v>9.74</v>
      </c>
      <c r="CR921">
        <v>1.06</v>
      </c>
      <c r="CS921" t="s">
        <v>4067</v>
      </c>
      <c r="CT921">
        <v>1.48</v>
      </c>
      <c r="CU921">
        <v>0</v>
      </c>
      <c r="CV921">
        <v>0.23</v>
      </c>
      <c r="CW921">
        <v>0.17</v>
      </c>
      <c r="CX921">
        <v>0.06</v>
      </c>
      <c r="CY921">
        <v>76.77</v>
      </c>
      <c r="CZ921" t="s">
        <v>5505</v>
      </c>
      <c r="DA921">
        <v>54.72</v>
      </c>
      <c r="DB921">
        <v>11.77</v>
      </c>
      <c r="DC921">
        <v>11.88</v>
      </c>
      <c r="DD921">
        <v>0.89</v>
      </c>
      <c r="DE921">
        <v>1132</v>
      </c>
      <c r="DF921">
        <v>2467</v>
      </c>
      <c r="DG921" t="s">
        <v>116</v>
      </c>
      <c r="DH921" t="s">
        <v>116</v>
      </c>
      <c r="DI921" t="s">
        <v>116</v>
      </c>
    </row>
    <row r="922" spans="1:113" x14ac:dyDescent="0.4">
      <c r="A922" t="str">
        <f>"002468"</f>
        <v>002468</v>
      </c>
      <c r="B922" t="s">
        <v>5506</v>
      </c>
      <c r="C922">
        <v>6.36</v>
      </c>
      <c r="D922">
        <v>19.72</v>
      </c>
      <c r="E922">
        <v>1.18</v>
      </c>
      <c r="F922">
        <v>19.71</v>
      </c>
      <c r="G922">
        <v>19.72</v>
      </c>
      <c r="H922">
        <v>190288</v>
      </c>
      <c r="I922">
        <v>834</v>
      </c>
      <c r="J922">
        <v>0.25</v>
      </c>
      <c r="K922">
        <v>1.24</v>
      </c>
      <c r="L922">
        <v>18.62</v>
      </c>
      <c r="M922">
        <v>20.16</v>
      </c>
      <c r="N922">
        <v>18.62</v>
      </c>
      <c r="O922">
        <v>18.54</v>
      </c>
      <c r="P922">
        <v>20.48</v>
      </c>
      <c r="Q922">
        <v>372439840</v>
      </c>
      <c r="R922">
        <v>4.43</v>
      </c>
      <c r="S922" t="s">
        <v>3113</v>
      </c>
      <c r="T922" t="s">
        <v>590</v>
      </c>
      <c r="U922">
        <v>8.31</v>
      </c>
      <c r="V922">
        <v>19.57</v>
      </c>
      <c r="W922">
        <v>81211</v>
      </c>
      <c r="X922">
        <v>109077</v>
      </c>
      <c r="Y922">
        <v>0.74</v>
      </c>
      <c r="Z922">
        <v>314</v>
      </c>
      <c r="AA922">
        <v>307</v>
      </c>
      <c r="AB922" t="s">
        <v>116</v>
      </c>
      <c r="AC922">
        <v>499000</v>
      </c>
      <c r="AD922">
        <v>0.01</v>
      </c>
      <c r="AE922" t="s">
        <v>116</v>
      </c>
      <c r="AF922" t="s">
        <v>116</v>
      </c>
      <c r="AG922">
        <v>15.31</v>
      </c>
      <c r="AH922" t="s">
        <v>5507</v>
      </c>
      <c r="AI922" t="s">
        <v>5507</v>
      </c>
      <c r="AJ922">
        <v>7.04</v>
      </c>
      <c r="AK922">
        <v>3954</v>
      </c>
      <c r="AL922">
        <v>48</v>
      </c>
      <c r="AM922">
        <v>2.9999999999999997E-4</v>
      </c>
      <c r="AN922">
        <v>1</v>
      </c>
      <c r="AO922">
        <v>4.45</v>
      </c>
      <c r="AP922">
        <v>8.35</v>
      </c>
      <c r="AQ922">
        <v>-12.16</v>
      </c>
      <c r="AR922">
        <v>23.64</v>
      </c>
      <c r="AS922">
        <v>4.24</v>
      </c>
      <c r="AT922" t="s">
        <v>5508</v>
      </c>
      <c r="AU922">
        <v>19.55</v>
      </c>
      <c r="AV922">
        <v>14.73</v>
      </c>
      <c r="AW922">
        <v>0.76</v>
      </c>
      <c r="BA922">
        <v>0.43</v>
      </c>
      <c r="BB922">
        <v>8.74</v>
      </c>
      <c r="BC922">
        <v>0.43</v>
      </c>
      <c r="BD922">
        <v>5.57</v>
      </c>
      <c r="BE922">
        <v>5.91</v>
      </c>
      <c r="BF922">
        <v>-2.1800000000000002</v>
      </c>
      <c r="BG922">
        <v>5.91</v>
      </c>
      <c r="BH922">
        <v>0.8</v>
      </c>
      <c r="BI922">
        <v>20191226</v>
      </c>
      <c r="BJ922">
        <v>20100908</v>
      </c>
      <c r="BK922">
        <v>15.31</v>
      </c>
      <c r="BL922" t="s">
        <v>116</v>
      </c>
      <c r="BM922" t="s">
        <v>116</v>
      </c>
      <c r="BN922">
        <v>126.98</v>
      </c>
      <c r="BO922">
        <v>88.32</v>
      </c>
      <c r="BP922">
        <v>0.7</v>
      </c>
      <c r="BQ922">
        <v>29.89</v>
      </c>
      <c r="BR922">
        <v>60.22</v>
      </c>
      <c r="BS922">
        <v>27.76</v>
      </c>
      <c r="BT922">
        <v>8.7100000000000009</v>
      </c>
      <c r="BU922">
        <v>37.58</v>
      </c>
      <c r="BV922">
        <v>0.31</v>
      </c>
      <c r="BW922">
        <v>9.6199999999999992</v>
      </c>
      <c r="BX922">
        <v>31.94</v>
      </c>
      <c r="BY922">
        <v>156.56</v>
      </c>
      <c r="BZ922">
        <v>137.79</v>
      </c>
      <c r="CA922">
        <v>14.05</v>
      </c>
      <c r="CB922">
        <v>0.22</v>
      </c>
      <c r="CC922">
        <v>14.57</v>
      </c>
      <c r="CD922">
        <v>11.12</v>
      </c>
      <c r="CE922">
        <v>11.06</v>
      </c>
      <c r="CF922">
        <v>10.49</v>
      </c>
      <c r="CG922">
        <v>47.01</v>
      </c>
      <c r="CH922">
        <v>10.59</v>
      </c>
      <c r="CI922">
        <v>-13.19</v>
      </c>
      <c r="CJ922">
        <v>38377</v>
      </c>
      <c r="CK922">
        <v>11696</v>
      </c>
      <c r="CL922" t="s">
        <v>5509</v>
      </c>
      <c r="CM922">
        <v>-31.35</v>
      </c>
      <c r="CN922">
        <v>41.01</v>
      </c>
      <c r="CO922">
        <v>3.42</v>
      </c>
      <c r="CP922">
        <v>28.5</v>
      </c>
      <c r="CQ922">
        <v>1.93</v>
      </c>
      <c r="CR922">
        <v>2.54</v>
      </c>
      <c r="CS922" t="s">
        <v>5510</v>
      </c>
      <c r="CT922">
        <v>5.77</v>
      </c>
      <c r="CU922">
        <v>0</v>
      </c>
      <c r="CV922">
        <v>2.09</v>
      </c>
      <c r="CW922">
        <v>3.07</v>
      </c>
      <c r="CX922">
        <v>0.69</v>
      </c>
      <c r="CY922">
        <v>69.56</v>
      </c>
      <c r="CZ922" t="s">
        <v>5511</v>
      </c>
      <c r="DA922">
        <v>11.99</v>
      </c>
      <c r="DB922">
        <v>8.98</v>
      </c>
      <c r="DC922">
        <v>7.06</v>
      </c>
      <c r="DD922">
        <v>0.62</v>
      </c>
      <c r="DE922">
        <v>14508</v>
      </c>
      <c r="DF922">
        <v>2468</v>
      </c>
      <c r="DG922" t="s">
        <v>116</v>
      </c>
      <c r="DH922" t="s">
        <v>116</v>
      </c>
      <c r="DI922" t="s">
        <v>116</v>
      </c>
    </row>
    <row r="923" spans="1:113" x14ac:dyDescent="0.4">
      <c r="A923" t="str">
        <f>"002469"</f>
        <v>002469</v>
      </c>
      <c r="B923" t="s">
        <v>5512</v>
      </c>
      <c r="C923">
        <v>-1.23</v>
      </c>
      <c r="D923">
        <v>4.03</v>
      </c>
      <c r="E923">
        <v>-0.05</v>
      </c>
      <c r="F923">
        <v>4.0199999999999996</v>
      </c>
      <c r="G923">
        <v>4.03</v>
      </c>
      <c r="H923">
        <v>57954</v>
      </c>
      <c r="I923">
        <v>355</v>
      </c>
      <c r="J923">
        <v>0.25</v>
      </c>
      <c r="K923">
        <v>1.25</v>
      </c>
      <c r="L923">
        <v>4.08</v>
      </c>
      <c r="M923">
        <v>4.1100000000000003</v>
      </c>
      <c r="N923">
        <v>4.01</v>
      </c>
      <c r="O923">
        <v>4.08</v>
      </c>
      <c r="P923">
        <v>38.32</v>
      </c>
      <c r="Q923">
        <v>23554096</v>
      </c>
      <c r="R923">
        <v>0.47</v>
      </c>
      <c r="S923" t="s">
        <v>181</v>
      </c>
      <c r="T923" t="s">
        <v>645</v>
      </c>
      <c r="U923">
        <v>2.4500000000000002</v>
      </c>
      <c r="V923">
        <v>4.0599999999999996</v>
      </c>
      <c r="W923">
        <v>35270</v>
      </c>
      <c r="X923">
        <v>22684</v>
      </c>
      <c r="Y923">
        <v>1.55</v>
      </c>
      <c r="Z923">
        <v>203</v>
      </c>
      <c r="AA923">
        <v>581</v>
      </c>
      <c r="AB923" t="s">
        <v>116</v>
      </c>
      <c r="AC923">
        <v>120400</v>
      </c>
      <c r="AD923">
        <v>0.01</v>
      </c>
      <c r="AE923" t="s">
        <v>116</v>
      </c>
      <c r="AF923" t="s">
        <v>116</v>
      </c>
      <c r="AG923">
        <v>4.63</v>
      </c>
      <c r="AH923" t="s">
        <v>1526</v>
      </c>
      <c r="AI923" t="s">
        <v>894</v>
      </c>
      <c r="AJ923">
        <v>-0.55000000000000004</v>
      </c>
      <c r="AK923">
        <v>925</v>
      </c>
      <c r="AL923">
        <v>63</v>
      </c>
      <c r="AM923">
        <v>1.4E-3</v>
      </c>
      <c r="AN923">
        <v>-1</v>
      </c>
      <c r="AO923">
        <v>-2.67</v>
      </c>
      <c r="AP923">
        <v>6.33</v>
      </c>
      <c r="AQ923">
        <v>1.26</v>
      </c>
      <c r="AR923">
        <v>7.75</v>
      </c>
      <c r="AS923">
        <v>1.71</v>
      </c>
      <c r="AT923" t="s">
        <v>5513</v>
      </c>
      <c r="AU923">
        <v>44.44</v>
      </c>
      <c r="AV923">
        <v>50.72</v>
      </c>
      <c r="AW923">
        <v>0.9</v>
      </c>
      <c r="BA923">
        <v>0</v>
      </c>
      <c r="BB923">
        <v>0.74</v>
      </c>
      <c r="BC923">
        <v>-1.72</v>
      </c>
      <c r="BD923">
        <v>-0.38</v>
      </c>
      <c r="BE923">
        <v>-1.23</v>
      </c>
      <c r="BF923">
        <v>-1.95</v>
      </c>
      <c r="BG923">
        <v>0.5</v>
      </c>
      <c r="BH923">
        <v>-0.84</v>
      </c>
      <c r="BI923">
        <v>20191023</v>
      </c>
      <c r="BJ923">
        <v>20100908</v>
      </c>
      <c r="BK923">
        <v>5.03</v>
      </c>
      <c r="BL923" t="s">
        <v>116</v>
      </c>
      <c r="BM923" t="s">
        <v>116</v>
      </c>
      <c r="BN923">
        <v>16.010000000000002</v>
      </c>
      <c r="BO923">
        <v>11.92</v>
      </c>
      <c r="BP923">
        <v>1.08</v>
      </c>
      <c r="BQ923">
        <v>18.78</v>
      </c>
      <c r="BR923">
        <v>13.78</v>
      </c>
      <c r="BS923">
        <v>1.3</v>
      </c>
      <c r="BT923">
        <v>0.36</v>
      </c>
      <c r="BU923">
        <v>3.01</v>
      </c>
      <c r="BV923">
        <v>1.1399999999999999</v>
      </c>
      <c r="BW923">
        <v>4.12</v>
      </c>
      <c r="BX923">
        <v>1.52</v>
      </c>
      <c r="BY923">
        <v>4.6100000000000003</v>
      </c>
      <c r="BZ923">
        <v>3.34</v>
      </c>
      <c r="CA923">
        <v>0.48</v>
      </c>
      <c r="CB923">
        <v>0.06</v>
      </c>
      <c r="CC923">
        <v>0.48</v>
      </c>
      <c r="CD923">
        <v>0.41</v>
      </c>
      <c r="CE923">
        <v>0.4</v>
      </c>
      <c r="CF923">
        <v>0.34</v>
      </c>
      <c r="CG923">
        <v>4.6100000000000003</v>
      </c>
      <c r="CH923">
        <v>-0.05</v>
      </c>
      <c r="CI923">
        <v>-4.53</v>
      </c>
      <c r="CJ923">
        <v>29197</v>
      </c>
      <c r="CK923">
        <v>11595</v>
      </c>
      <c r="CL923" t="s">
        <v>3109</v>
      </c>
      <c r="CM923">
        <v>16.57</v>
      </c>
      <c r="CN923">
        <v>35.479999999999997</v>
      </c>
      <c r="CO923">
        <v>1.7</v>
      </c>
      <c r="CP923">
        <v>-423.83</v>
      </c>
      <c r="CQ923">
        <v>4.4000000000000004</v>
      </c>
      <c r="CR923">
        <v>2.48</v>
      </c>
      <c r="CS923" t="s">
        <v>4027</v>
      </c>
      <c r="CT923">
        <v>2.37</v>
      </c>
      <c r="CU923">
        <v>0</v>
      </c>
      <c r="CV923">
        <v>0.3</v>
      </c>
      <c r="CW923">
        <v>0.92</v>
      </c>
      <c r="CX923">
        <v>-0.01</v>
      </c>
      <c r="CY923">
        <v>74.47</v>
      </c>
      <c r="CZ923" t="s">
        <v>4296</v>
      </c>
      <c r="DA923">
        <v>27.55</v>
      </c>
      <c r="DB923">
        <v>10.31</v>
      </c>
      <c r="DC923">
        <v>8.6</v>
      </c>
      <c r="DD923">
        <v>0.22</v>
      </c>
      <c r="DE923">
        <v>464</v>
      </c>
      <c r="DF923">
        <v>2469</v>
      </c>
      <c r="DG923" t="s">
        <v>116</v>
      </c>
      <c r="DH923" t="s">
        <v>116</v>
      </c>
      <c r="DI923" t="s">
        <v>116</v>
      </c>
    </row>
    <row r="924" spans="1:113" x14ac:dyDescent="0.4">
      <c r="A924" t="str">
        <f>"002470"</f>
        <v>002470</v>
      </c>
      <c r="B924" t="s">
        <v>5514</v>
      </c>
      <c r="C924">
        <v>0</v>
      </c>
      <c r="D924">
        <v>2.61</v>
      </c>
      <c r="E924">
        <v>0</v>
      </c>
      <c r="F924">
        <v>2.6</v>
      </c>
      <c r="G924">
        <v>2.61</v>
      </c>
      <c r="H924">
        <v>507622</v>
      </c>
      <c r="I924">
        <v>5025</v>
      </c>
      <c r="J924">
        <v>0</v>
      </c>
      <c r="K924">
        <v>1.79</v>
      </c>
      <c r="L924">
        <v>2.6</v>
      </c>
      <c r="M924">
        <v>2.63</v>
      </c>
      <c r="N924">
        <v>2.59</v>
      </c>
      <c r="O924">
        <v>2.61</v>
      </c>
      <c r="P924">
        <v>13.25</v>
      </c>
      <c r="Q924">
        <v>132591544</v>
      </c>
      <c r="R924">
        <v>0.95</v>
      </c>
      <c r="S924" t="s">
        <v>697</v>
      </c>
      <c r="T924" t="s">
        <v>645</v>
      </c>
      <c r="U924">
        <v>1.53</v>
      </c>
      <c r="V924">
        <v>2.61</v>
      </c>
      <c r="W924">
        <v>253146</v>
      </c>
      <c r="X924">
        <v>254476</v>
      </c>
      <c r="Y924">
        <v>0.99</v>
      </c>
      <c r="Z924">
        <v>11572</v>
      </c>
      <c r="AA924">
        <v>1216</v>
      </c>
      <c r="AB924" t="s">
        <v>116</v>
      </c>
      <c r="AC924">
        <v>547300</v>
      </c>
      <c r="AD924">
        <v>0.01</v>
      </c>
      <c r="AE924" t="s">
        <v>116</v>
      </c>
      <c r="AF924" t="s">
        <v>116</v>
      </c>
      <c r="AG924">
        <v>28.37</v>
      </c>
      <c r="AH924" t="s">
        <v>5515</v>
      </c>
      <c r="AI924" t="s">
        <v>501</v>
      </c>
      <c r="AJ924">
        <v>0.68</v>
      </c>
      <c r="AK924">
        <v>2543</v>
      </c>
      <c r="AL924">
        <v>200</v>
      </c>
      <c r="AM924">
        <v>6.9999999999999999E-4</v>
      </c>
      <c r="AN924">
        <v>0</v>
      </c>
      <c r="AO924">
        <v>0</v>
      </c>
      <c r="AP924">
        <v>4.82</v>
      </c>
      <c r="AQ924">
        <v>-13.58</v>
      </c>
      <c r="AR924">
        <v>-58.7</v>
      </c>
      <c r="AS924">
        <v>3.39</v>
      </c>
      <c r="AT924" t="s">
        <v>5516</v>
      </c>
      <c r="AU924" t="s">
        <v>116</v>
      </c>
      <c r="AV924">
        <v>20.350000000000001</v>
      </c>
      <c r="AW924">
        <v>1.22</v>
      </c>
      <c r="BA924">
        <v>-0.38</v>
      </c>
      <c r="BB924">
        <v>0.77</v>
      </c>
      <c r="BC924">
        <v>-0.77</v>
      </c>
      <c r="BD924">
        <v>0.08</v>
      </c>
      <c r="BE924">
        <v>0.38</v>
      </c>
      <c r="BF924">
        <v>-0.76</v>
      </c>
      <c r="BG924">
        <v>0.77</v>
      </c>
      <c r="BH924">
        <v>-0.08</v>
      </c>
      <c r="BI924">
        <v>20191026</v>
      </c>
      <c r="BJ924">
        <v>20100908</v>
      </c>
      <c r="BK924">
        <v>32.86</v>
      </c>
      <c r="BL924" t="s">
        <v>116</v>
      </c>
      <c r="BM924" t="s">
        <v>116</v>
      </c>
      <c r="BN924">
        <v>222.81</v>
      </c>
      <c r="BO924">
        <v>109.44</v>
      </c>
      <c r="BP924">
        <v>19.899999999999999</v>
      </c>
      <c r="BQ924">
        <v>41.95</v>
      </c>
      <c r="BR924">
        <v>131.12</v>
      </c>
      <c r="BS924">
        <v>52.83</v>
      </c>
      <c r="BT924">
        <v>9.93</v>
      </c>
      <c r="BU924">
        <v>79.209999999999994</v>
      </c>
      <c r="BV924">
        <v>43.48</v>
      </c>
      <c r="BW924">
        <v>12.61</v>
      </c>
      <c r="BX924">
        <v>18.68</v>
      </c>
      <c r="BY924">
        <v>111.33</v>
      </c>
      <c r="BZ924">
        <v>86.52</v>
      </c>
      <c r="CA924">
        <v>5.42</v>
      </c>
      <c r="CB924">
        <v>0.1</v>
      </c>
      <c r="CC924">
        <v>5.47</v>
      </c>
      <c r="CD924">
        <v>4.3600000000000003</v>
      </c>
      <c r="CE924">
        <v>4.8499999999999996</v>
      </c>
      <c r="CF924">
        <v>4.45</v>
      </c>
      <c r="CG924">
        <v>52.7</v>
      </c>
      <c r="CH924">
        <v>-4.5999999999999996</v>
      </c>
      <c r="CI924">
        <v>-14.63</v>
      </c>
      <c r="CJ924">
        <v>66123</v>
      </c>
      <c r="CK924">
        <v>22669</v>
      </c>
      <c r="CL924" t="s">
        <v>2237</v>
      </c>
      <c r="CM924">
        <v>-49.15</v>
      </c>
      <c r="CN924">
        <v>-47.62</v>
      </c>
      <c r="CO924">
        <v>0.78</v>
      </c>
      <c r="CP924">
        <v>-18.649999999999999</v>
      </c>
      <c r="CQ924">
        <v>0.77</v>
      </c>
      <c r="CR924">
        <v>0</v>
      </c>
      <c r="CS924" t="s">
        <v>1195</v>
      </c>
      <c r="CT924">
        <v>3.33</v>
      </c>
      <c r="CU924">
        <v>0</v>
      </c>
      <c r="CV924">
        <v>0.56999999999999995</v>
      </c>
      <c r="CW924">
        <v>1.6</v>
      </c>
      <c r="CX924">
        <v>-0.14000000000000001</v>
      </c>
      <c r="CY924">
        <v>49.12</v>
      </c>
      <c r="CZ924" t="s">
        <v>5037</v>
      </c>
      <c r="DA924">
        <v>22.29</v>
      </c>
      <c r="DB924">
        <v>4.87</v>
      </c>
      <c r="DC924">
        <v>4.3600000000000003</v>
      </c>
      <c r="DD924">
        <v>2.17</v>
      </c>
      <c r="DE924">
        <v>9110</v>
      </c>
      <c r="DF924">
        <v>2470</v>
      </c>
      <c r="DG924" t="s">
        <v>116</v>
      </c>
      <c r="DH924" t="s">
        <v>116</v>
      </c>
      <c r="DI924" t="s">
        <v>116</v>
      </c>
    </row>
    <row r="925" spans="1:113" x14ac:dyDescent="0.4">
      <c r="A925" t="str">
        <f>"002471"</f>
        <v>002471</v>
      </c>
      <c r="B925" t="s">
        <v>5517</v>
      </c>
      <c r="C925">
        <v>-0.42</v>
      </c>
      <c r="D925">
        <v>2.35</v>
      </c>
      <c r="E925">
        <v>-0.01</v>
      </c>
      <c r="F925">
        <v>2.35</v>
      </c>
      <c r="G925">
        <v>2.36</v>
      </c>
      <c r="H925">
        <v>106438</v>
      </c>
      <c r="I925">
        <v>2045</v>
      </c>
      <c r="J925">
        <v>-0.41</v>
      </c>
      <c r="K925">
        <v>0.84</v>
      </c>
      <c r="L925">
        <v>2.36</v>
      </c>
      <c r="M925">
        <v>2.38</v>
      </c>
      <c r="N925">
        <v>2.35</v>
      </c>
      <c r="O925">
        <v>2.36</v>
      </c>
      <c r="P925" t="s">
        <v>116</v>
      </c>
      <c r="Q925">
        <v>25141898</v>
      </c>
      <c r="R925">
        <v>1.08</v>
      </c>
      <c r="S925" t="s">
        <v>397</v>
      </c>
      <c r="T925" t="s">
        <v>323</v>
      </c>
      <c r="U925">
        <v>1.27</v>
      </c>
      <c r="V925">
        <v>2.36</v>
      </c>
      <c r="W925">
        <v>57800</v>
      </c>
      <c r="X925">
        <v>48638</v>
      </c>
      <c r="Y925">
        <v>1.19</v>
      </c>
      <c r="Z925">
        <v>3126</v>
      </c>
      <c r="AA925">
        <v>5269</v>
      </c>
      <c r="AB925" t="s">
        <v>116</v>
      </c>
      <c r="AC925">
        <v>94600</v>
      </c>
      <c r="AD925">
        <v>0.01</v>
      </c>
      <c r="AE925" t="s">
        <v>116</v>
      </c>
      <c r="AF925" t="s">
        <v>116</v>
      </c>
      <c r="AG925">
        <v>12.65</v>
      </c>
      <c r="AH925" t="s">
        <v>5518</v>
      </c>
      <c r="AI925" t="s">
        <v>5519</v>
      </c>
      <c r="AJ925">
        <v>0.26</v>
      </c>
      <c r="AK925">
        <v>911</v>
      </c>
      <c r="AL925">
        <v>117</v>
      </c>
      <c r="AM925">
        <v>8.9999999999999998E-4</v>
      </c>
      <c r="AN925">
        <v>-1</v>
      </c>
      <c r="AO925">
        <v>0.43</v>
      </c>
      <c r="AP925">
        <v>2.17</v>
      </c>
      <c r="AQ925">
        <v>-12.96</v>
      </c>
      <c r="AR925">
        <v>-12.12</v>
      </c>
      <c r="AS925">
        <v>1.35</v>
      </c>
      <c r="AT925" t="s">
        <v>5520</v>
      </c>
      <c r="AU925" t="s">
        <v>116</v>
      </c>
      <c r="AV925">
        <v>34.880000000000003</v>
      </c>
      <c r="AW925">
        <v>0.56999999999999995</v>
      </c>
      <c r="BA925">
        <v>0</v>
      </c>
      <c r="BB925">
        <v>0.85</v>
      </c>
      <c r="BC925">
        <v>-0.42</v>
      </c>
      <c r="BD925">
        <v>0.09</v>
      </c>
      <c r="BE925">
        <v>-0.42</v>
      </c>
      <c r="BF925">
        <v>-1.26</v>
      </c>
      <c r="BG925">
        <v>0</v>
      </c>
      <c r="BH925">
        <v>-0.51</v>
      </c>
      <c r="BI925">
        <v>20191031</v>
      </c>
      <c r="BJ925">
        <v>20100910</v>
      </c>
      <c r="BK925">
        <v>12.68</v>
      </c>
      <c r="BL925" t="s">
        <v>116</v>
      </c>
      <c r="BM925" t="s">
        <v>116</v>
      </c>
      <c r="BN925">
        <v>70.510000000000005</v>
      </c>
      <c r="BO925">
        <v>18.37</v>
      </c>
      <c r="BP925">
        <v>4.41</v>
      </c>
      <c r="BQ925">
        <v>67.69</v>
      </c>
      <c r="BR925">
        <v>52.39</v>
      </c>
      <c r="BS925">
        <v>8.69</v>
      </c>
      <c r="BT925">
        <v>2.39</v>
      </c>
      <c r="BU925">
        <v>44.09</v>
      </c>
      <c r="BV925">
        <v>11.96</v>
      </c>
      <c r="BW925">
        <v>28.15</v>
      </c>
      <c r="BX925">
        <v>0.01</v>
      </c>
      <c r="BY925">
        <v>54.66</v>
      </c>
      <c r="BZ925">
        <v>48.02</v>
      </c>
      <c r="CA925">
        <v>-0.36</v>
      </c>
      <c r="CB925">
        <v>-0.62</v>
      </c>
      <c r="CC925">
        <v>-0.25</v>
      </c>
      <c r="CD925">
        <v>-0.25</v>
      </c>
      <c r="CE925">
        <v>-0.28000000000000003</v>
      </c>
      <c r="CF925">
        <v>0.25</v>
      </c>
      <c r="CG925">
        <v>5.26</v>
      </c>
      <c r="CH925">
        <v>3.23</v>
      </c>
      <c r="CI925">
        <v>0.19</v>
      </c>
      <c r="CJ925">
        <v>94851</v>
      </c>
      <c r="CK925">
        <v>8289</v>
      </c>
      <c r="CL925" t="s">
        <v>5521</v>
      </c>
      <c r="CM925">
        <v>-123.3</v>
      </c>
      <c r="CN925">
        <v>-0.93</v>
      </c>
      <c r="CO925">
        <v>1.62</v>
      </c>
      <c r="CP925">
        <v>9.2200000000000006</v>
      </c>
      <c r="CQ925">
        <v>0.55000000000000004</v>
      </c>
      <c r="CR925">
        <v>0.26</v>
      </c>
      <c r="CS925" t="s">
        <v>1538</v>
      </c>
      <c r="CT925">
        <v>1.45</v>
      </c>
      <c r="CU925">
        <v>0</v>
      </c>
      <c r="CV925">
        <v>0</v>
      </c>
      <c r="CW925">
        <v>0.41</v>
      </c>
      <c r="CX925">
        <v>0.26</v>
      </c>
      <c r="CY925">
        <v>26.05</v>
      </c>
      <c r="CZ925" t="s">
        <v>5522</v>
      </c>
      <c r="DA925">
        <v>12.14</v>
      </c>
      <c r="DB925">
        <v>-0.65</v>
      </c>
      <c r="DC925">
        <v>-0.51</v>
      </c>
      <c r="DD925">
        <v>1.52</v>
      </c>
      <c r="DE925">
        <v>3241</v>
      </c>
      <c r="DF925">
        <v>2471</v>
      </c>
      <c r="DG925" t="s">
        <v>116</v>
      </c>
      <c r="DH925" t="s">
        <v>116</v>
      </c>
      <c r="DI925" t="s">
        <v>116</v>
      </c>
    </row>
    <row r="926" spans="1:113" x14ac:dyDescent="0.4">
      <c r="A926" t="str">
        <f>"002472"</f>
        <v>002472</v>
      </c>
      <c r="B926" t="s">
        <v>5523</v>
      </c>
      <c r="C926">
        <v>0</v>
      </c>
      <c r="D926">
        <v>5.45</v>
      </c>
      <c r="E926">
        <v>0</v>
      </c>
      <c r="F926">
        <v>5.45</v>
      </c>
      <c r="G926">
        <v>5.46</v>
      </c>
      <c r="H926">
        <v>29424</v>
      </c>
      <c r="I926">
        <v>1997</v>
      </c>
      <c r="J926">
        <v>0.55000000000000004</v>
      </c>
      <c r="K926">
        <v>0.53</v>
      </c>
      <c r="L926">
        <v>5.48</v>
      </c>
      <c r="M926">
        <v>5.48</v>
      </c>
      <c r="N926">
        <v>5.4</v>
      </c>
      <c r="O926">
        <v>5.45</v>
      </c>
      <c r="P926">
        <v>28</v>
      </c>
      <c r="Q926">
        <v>16036485</v>
      </c>
      <c r="R926">
        <v>0.89</v>
      </c>
      <c r="S926" t="s">
        <v>996</v>
      </c>
      <c r="T926" t="s">
        <v>590</v>
      </c>
      <c r="U926">
        <v>1.47</v>
      </c>
      <c r="V926">
        <v>5.45</v>
      </c>
      <c r="W926">
        <v>17106</v>
      </c>
      <c r="X926">
        <v>12318</v>
      </c>
      <c r="Y926">
        <v>1.39</v>
      </c>
      <c r="Z926">
        <v>175</v>
      </c>
      <c r="AA926">
        <v>2070</v>
      </c>
      <c r="AB926" t="s">
        <v>116</v>
      </c>
      <c r="AC926">
        <v>9300</v>
      </c>
      <c r="AD926">
        <v>0</v>
      </c>
      <c r="AE926" t="s">
        <v>116</v>
      </c>
      <c r="AF926" t="s">
        <v>116</v>
      </c>
      <c r="AG926">
        <v>5.56</v>
      </c>
      <c r="AH926" t="s">
        <v>157</v>
      </c>
      <c r="AI926" t="s">
        <v>5524</v>
      </c>
      <c r="AJ926">
        <v>0.68</v>
      </c>
      <c r="AK926">
        <v>553</v>
      </c>
      <c r="AL926">
        <v>53</v>
      </c>
      <c r="AM926">
        <v>1E-3</v>
      </c>
      <c r="AN926">
        <v>0</v>
      </c>
      <c r="AO926">
        <v>-0.73</v>
      </c>
      <c r="AP926">
        <v>4.21</v>
      </c>
      <c r="AQ926">
        <v>1.49</v>
      </c>
      <c r="AR926">
        <v>-3.54</v>
      </c>
      <c r="AS926">
        <v>0.78</v>
      </c>
      <c r="AT926" t="s">
        <v>4949</v>
      </c>
      <c r="AU926">
        <v>35.57</v>
      </c>
      <c r="AV926">
        <v>19.170000000000002</v>
      </c>
      <c r="AW926">
        <v>0.93</v>
      </c>
      <c r="BA926">
        <v>0.55000000000000004</v>
      </c>
      <c r="BB926">
        <v>0.55000000000000004</v>
      </c>
      <c r="BC926">
        <v>-0.92</v>
      </c>
      <c r="BD926">
        <v>0</v>
      </c>
      <c r="BE926">
        <v>-0.55000000000000004</v>
      </c>
      <c r="BF926">
        <v>-0.55000000000000004</v>
      </c>
      <c r="BG926">
        <v>0.93</v>
      </c>
      <c r="BH926">
        <v>0</v>
      </c>
      <c r="BI926">
        <v>20191107</v>
      </c>
      <c r="BJ926">
        <v>20100910</v>
      </c>
      <c r="BK926">
        <v>6.87</v>
      </c>
      <c r="BL926" t="s">
        <v>116</v>
      </c>
      <c r="BM926" t="s">
        <v>116</v>
      </c>
      <c r="BN926">
        <v>82.79</v>
      </c>
      <c r="BO926">
        <v>36.65</v>
      </c>
      <c r="BP926">
        <v>0.93</v>
      </c>
      <c r="BQ926">
        <v>54.61</v>
      </c>
      <c r="BR926">
        <v>31.03</v>
      </c>
      <c r="BS926">
        <v>28.45</v>
      </c>
      <c r="BT926">
        <v>2.36</v>
      </c>
      <c r="BU926">
        <v>24.22</v>
      </c>
      <c r="BV926">
        <v>12.01</v>
      </c>
      <c r="BW926">
        <v>7.22</v>
      </c>
      <c r="BX926">
        <v>15.16</v>
      </c>
      <c r="BY926">
        <v>22.61</v>
      </c>
      <c r="BZ926">
        <v>18.37</v>
      </c>
      <c r="CA926">
        <v>1.1399999999999999</v>
      </c>
      <c r="CB926">
        <v>0.09</v>
      </c>
      <c r="CC926">
        <v>1.1599999999999999</v>
      </c>
      <c r="CD926">
        <v>1</v>
      </c>
      <c r="CE926">
        <v>1</v>
      </c>
      <c r="CF926">
        <v>0.69</v>
      </c>
      <c r="CG926">
        <v>11.58</v>
      </c>
      <c r="CH926">
        <v>3.77</v>
      </c>
      <c r="CI926">
        <v>0.5</v>
      </c>
      <c r="CJ926">
        <v>27859</v>
      </c>
      <c r="CK926">
        <v>13589</v>
      </c>
      <c r="CL926" t="s">
        <v>828</v>
      </c>
      <c r="CM926">
        <v>-47.31</v>
      </c>
      <c r="CN926">
        <v>-2.74</v>
      </c>
      <c r="CO926">
        <v>1.0900000000000001</v>
      </c>
      <c r="CP926">
        <v>9.92</v>
      </c>
      <c r="CQ926">
        <v>1.65</v>
      </c>
      <c r="CR926">
        <v>1.1000000000000001</v>
      </c>
      <c r="CS926" t="s">
        <v>4222</v>
      </c>
      <c r="CT926">
        <v>5</v>
      </c>
      <c r="CU926">
        <v>5</v>
      </c>
      <c r="CV926">
        <v>2.21</v>
      </c>
      <c r="CW926">
        <v>1.69</v>
      </c>
      <c r="CX926">
        <v>0.55000000000000004</v>
      </c>
      <c r="CY926">
        <v>44.27</v>
      </c>
      <c r="CZ926" t="s">
        <v>5525</v>
      </c>
      <c r="DA926">
        <v>18.75</v>
      </c>
      <c r="DB926">
        <v>5.03</v>
      </c>
      <c r="DC926">
        <v>4.43</v>
      </c>
      <c r="DD926">
        <v>0.74</v>
      </c>
      <c r="DE926">
        <v>4522</v>
      </c>
      <c r="DF926">
        <v>2472</v>
      </c>
      <c r="DG926" t="s">
        <v>116</v>
      </c>
      <c r="DH926" t="s">
        <v>116</v>
      </c>
      <c r="DI926" t="s">
        <v>116</v>
      </c>
    </row>
    <row r="927" spans="1:113" x14ac:dyDescent="0.4">
      <c r="A927" t="str">
        <f>"002473"</f>
        <v>002473</v>
      </c>
      <c r="B927" t="s">
        <v>5526</v>
      </c>
      <c r="C927">
        <v>-1.65</v>
      </c>
      <c r="D927">
        <v>8.93</v>
      </c>
      <c r="E927">
        <v>-0.15</v>
      </c>
      <c r="F927">
        <v>8.93</v>
      </c>
      <c r="G927">
        <v>8.94</v>
      </c>
      <c r="H927">
        <v>10044</v>
      </c>
      <c r="I927">
        <v>444</v>
      </c>
      <c r="J927">
        <v>0.11</v>
      </c>
      <c r="K927">
        <v>0.63</v>
      </c>
      <c r="L927">
        <v>9.08</v>
      </c>
      <c r="M927">
        <v>9.1199999999999992</v>
      </c>
      <c r="N927">
        <v>8.8800000000000008</v>
      </c>
      <c r="O927">
        <v>9.08</v>
      </c>
      <c r="P927" t="s">
        <v>116</v>
      </c>
      <c r="Q927">
        <v>8992249</v>
      </c>
      <c r="R927">
        <v>0.6</v>
      </c>
      <c r="S927" t="s">
        <v>209</v>
      </c>
      <c r="T927" t="s">
        <v>590</v>
      </c>
      <c r="U927">
        <v>2.64</v>
      </c>
      <c r="V927">
        <v>8.9499999999999993</v>
      </c>
      <c r="W927">
        <v>6282</v>
      </c>
      <c r="X927">
        <v>3762</v>
      </c>
      <c r="Y927">
        <v>1.67</v>
      </c>
      <c r="Z927">
        <v>84</v>
      </c>
      <c r="AA927">
        <v>56</v>
      </c>
      <c r="AB927" t="s">
        <v>116</v>
      </c>
      <c r="AC927">
        <v>59900</v>
      </c>
      <c r="AD927">
        <v>0.01</v>
      </c>
      <c r="AE927" t="s">
        <v>116</v>
      </c>
      <c r="AF927" t="s">
        <v>116</v>
      </c>
      <c r="AG927">
        <v>1.6</v>
      </c>
      <c r="AH927" t="s">
        <v>5527</v>
      </c>
      <c r="AI927" t="s">
        <v>5527</v>
      </c>
      <c r="AJ927">
        <v>-0.97</v>
      </c>
      <c r="AK927">
        <v>467</v>
      </c>
      <c r="AL927">
        <v>22</v>
      </c>
      <c r="AM927">
        <v>1.2999999999999999E-3</v>
      </c>
      <c r="AN927">
        <v>-1</v>
      </c>
      <c r="AO927">
        <v>-0.55000000000000004</v>
      </c>
      <c r="AP927">
        <v>15.23</v>
      </c>
      <c r="AQ927">
        <v>3.72</v>
      </c>
      <c r="AR927">
        <v>35.71</v>
      </c>
      <c r="AS927">
        <v>1.22</v>
      </c>
      <c r="AT927" t="s">
        <v>5528</v>
      </c>
      <c r="AU927" t="s">
        <v>116</v>
      </c>
      <c r="AV927">
        <v>118.27</v>
      </c>
      <c r="AW927">
        <v>1.26</v>
      </c>
      <c r="BA927">
        <v>0</v>
      </c>
      <c r="BB927">
        <v>0.44</v>
      </c>
      <c r="BC927">
        <v>-2.2000000000000002</v>
      </c>
      <c r="BD927">
        <v>-1.4</v>
      </c>
      <c r="BE927">
        <v>-1.65</v>
      </c>
      <c r="BF927">
        <v>-2.08</v>
      </c>
      <c r="BG927">
        <v>0.56000000000000005</v>
      </c>
      <c r="BH927">
        <v>-0.25</v>
      </c>
      <c r="BI927">
        <v>20191101</v>
      </c>
      <c r="BJ927">
        <v>20100910</v>
      </c>
      <c r="BK927">
        <v>1.6</v>
      </c>
      <c r="BL927" t="s">
        <v>116</v>
      </c>
      <c r="BM927" t="s">
        <v>116</v>
      </c>
      <c r="BN927">
        <v>2.95</v>
      </c>
      <c r="BO927">
        <v>2.54</v>
      </c>
      <c r="BP927">
        <v>-0.01</v>
      </c>
      <c r="BQ927">
        <v>14.44</v>
      </c>
      <c r="BR927">
        <v>2.69</v>
      </c>
      <c r="BS927">
        <v>0.12</v>
      </c>
      <c r="BT927">
        <v>0.08</v>
      </c>
      <c r="BU927">
        <v>0.36</v>
      </c>
      <c r="BV927">
        <v>0.14000000000000001</v>
      </c>
      <c r="BW927">
        <v>0.55000000000000004</v>
      </c>
      <c r="BX927">
        <v>2.23</v>
      </c>
      <c r="BY927">
        <v>0.81</v>
      </c>
      <c r="BZ927">
        <v>0.85</v>
      </c>
      <c r="CA927">
        <v>-0.51</v>
      </c>
      <c r="CB927">
        <v>0.04</v>
      </c>
      <c r="CC927">
        <v>-0.47</v>
      </c>
      <c r="CD927">
        <v>-0.47</v>
      </c>
      <c r="CE927">
        <v>-0.44</v>
      </c>
      <c r="CF927">
        <v>-0.3</v>
      </c>
      <c r="CG927">
        <v>-1.4</v>
      </c>
      <c r="CH927">
        <v>-0.52</v>
      </c>
      <c r="CI927">
        <v>-1.18</v>
      </c>
      <c r="CJ927">
        <v>8670</v>
      </c>
      <c r="CK927">
        <v>9476</v>
      </c>
      <c r="CL927" t="s">
        <v>5529</v>
      </c>
      <c r="CM927">
        <v>-1278.6400000000001</v>
      </c>
      <c r="CN927">
        <v>-27.5</v>
      </c>
      <c r="CO927">
        <v>5.63</v>
      </c>
      <c r="CP927">
        <v>-27.27</v>
      </c>
      <c r="CQ927">
        <v>17.59</v>
      </c>
      <c r="CR927">
        <v>0</v>
      </c>
      <c r="CS927" t="s">
        <v>5530</v>
      </c>
      <c r="CT927">
        <v>1.59</v>
      </c>
      <c r="CU927">
        <v>0</v>
      </c>
      <c r="CV927">
        <v>1.39</v>
      </c>
      <c r="CW927">
        <v>-0.88</v>
      </c>
      <c r="CX927">
        <v>-0.33</v>
      </c>
      <c r="CY927">
        <v>86.01</v>
      </c>
      <c r="CZ927" t="s">
        <v>5531</v>
      </c>
      <c r="DA927">
        <v>-4.7</v>
      </c>
      <c r="DB927">
        <v>-62.25</v>
      </c>
      <c r="DC927">
        <v>-54.27</v>
      </c>
      <c r="DD927">
        <v>0</v>
      </c>
      <c r="DE927">
        <v>301</v>
      </c>
      <c r="DF927">
        <v>2473</v>
      </c>
      <c r="DG927" t="s">
        <v>116</v>
      </c>
      <c r="DH927" t="s">
        <v>116</v>
      </c>
      <c r="DI927" t="s">
        <v>116</v>
      </c>
    </row>
    <row r="928" spans="1:113" x14ac:dyDescent="0.4">
      <c r="A928" t="str">
        <f>"002474"</f>
        <v>002474</v>
      </c>
      <c r="B928" t="s">
        <v>5532</v>
      </c>
      <c r="C928">
        <v>-0.59</v>
      </c>
      <c r="D928">
        <v>8.42</v>
      </c>
      <c r="E928">
        <v>-0.05</v>
      </c>
      <c r="F928">
        <v>8.42</v>
      </c>
      <c r="G928">
        <v>8.43</v>
      </c>
      <c r="H928">
        <v>103430</v>
      </c>
      <c r="I928">
        <v>1248</v>
      </c>
      <c r="J928">
        <v>-0.11</v>
      </c>
      <c r="K928">
        <v>2.2000000000000002</v>
      </c>
      <c r="L928">
        <v>8.4700000000000006</v>
      </c>
      <c r="M928">
        <v>8.6199999999999992</v>
      </c>
      <c r="N928">
        <v>8.41</v>
      </c>
      <c r="O928">
        <v>8.4700000000000006</v>
      </c>
      <c r="P928">
        <v>164.43</v>
      </c>
      <c r="Q928">
        <v>88148288</v>
      </c>
      <c r="R928">
        <v>1.32</v>
      </c>
      <c r="S928" t="s">
        <v>607</v>
      </c>
      <c r="T928" t="s">
        <v>975</v>
      </c>
      <c r="U928">
        <v>2.48</v>
      </c>
      <c r="V928">
        <v>8.52</v>
      </c>
      <c r="W928">
        <v>45832</v>
      </c>
      <c r="X928">
        <v>57598</v>
      </c>
      <c r="Y928">
        <v>0.8</v>
      </c>
      <c r="Z928">
        <v>2111</v>
      </c>
      <c r="AA928">
        <v>511</v>
      </c>
      <c r="AB928" t="s">
        <v>116</v>
      </c>
      <c r="AC928">
        <v>202400</v>
      </c>
      <c r="AD928">
        <v>0.01</v>
      </c>
      <c r="AE928" t="s">
        <v>116</v>
      </c>
      <c r="AF928" t="s">
        <v>116</v>
      </c>
      <c r="AG928">
        <v>4.6900000000000004</v>
      </c>
      <c r="AH928" t="s">
        <v>5061</v>
      </c>
      <c r="AI928" t="s">
        <v>5533</v>
      </c>
      <c r="AJ928">
        <v>0.09</v>
      </c>
      <c r="AK928">
        <v>2709</v>
      </c>
      <c r="AL928">
        <v>38</v>
      </c>
      <c r="AM928">
        <v>8.0000000000000004E-4</v>
      </c>
      <c r="AN928">
        <v>-1</v>
      </c>
      <c r="AO928">
        <v>2.1800000000000002</v>
      </c>
      <c r="AP928">
        <v>4.08</v>
      </c>
      <c r="AQ928">
        <v>5.12</v>
      </c>
      <c r="AR928">
        <v>36.03</v>
      </c>
      <c r="AS928">
        <v>2.46</v>
      </c>
      <c r="AT928" t="s">
        <v>5534</v>
      </c>
      <c r="AU928">
        <v>184.49</v>
      </c>
      <c r="AV928">
        <v>150.27000000000001</v>
      </c>
      <c r="AW928">
        <v>1.18</v>
      </c>
      <c r="BA928">
        <v>0</v>
      </c>
      <c r="BB928">
        <v>1.77</v>
      </c>
      <c r="BC928">
        <v>-0.71</v>
      </c>
      <c r="BD928">
        <v>0.62</v>
      </c>
      <c r="BE928">
        <v>-0.59</v>
      </c>
      <c r="BF928">
        <v>-2.3199999999999998</v>
      </c>
      <c r="BG928">
        <v>0.12</v>
      </c>
      <c r="BH928">
        <v>-1.21</v>
      </c>
      <c r="BI928">
        <v>20191026</v>
      </c>
      <c r="BJ928">
        <v>20100915</v>
      </c>
      <c r="BK928">
        <v>6.22</v>
      </c>
      <c r="BL928" t="s">
        <v>116</v>
      </c>
      <c r="BM928" t="s">
        <v>116</v>
      </c>
      <c r="BN928">
        <v>27.24</v>
      </c>
      <c r="BO928">
        <v>14.77</v>
      </c>
      <c r="BP928">
        <v>0.1</v>
      </c>
      <c r="BQ928">
        <v>45.4</v>
      </c>
      <c r="BR928">
        <v>20.29</v>
      </c>
      <c r="BS928">
        <v>0.18</v>
      </c>
      <c r="BT928">
        <v>1.25</v>
      </c>
      <c r="BU928">
        <v>11.86</v>
      </c>
      <c r="BV928">
        <v>8.48</v>
      </c>
      <c r="BW928">
        <v>1.76</v>
      </c>
      <c r="BX928">
        <v>3.69</v>
      </c>
      <c r="BY928">
        <v>4.42</v>
      </c>
      <c r="BZ928">
        <v>2.64</v>
      </c>
      <c r="CA928">
        <v>0.28000000000000003</v>
      </c>
      <c r="CB928">
        <v>0.24</v>
      </c>
      <c r="CC928">
        <v>0.28000000000000003</v>
      </c>
      <c r="CD928">
        <v>0.27</v>
      </c>
      <c r="CE928">
        <v>0.24</v>
      </c>
      <c r="CF928">
        <v>0</v>
      </c>
      <c r="CG928">
        <v>4.08</v>
      </c>
      <c r="CH928">
        <v>0.34</v>
      </c>
      <c r="CI928">
        <v>-0.14000000000000001</v>
      </c>
      <c r="CJ928">
        <v>76579</v>
      </c>
      <c r="CK928">
        <v>5490</v>
      </c>
      <c r="CL928" t="s">
        <v>1571</v>
      </c>
      <c r="CM928">
        <v>-21.3</v>
      </c>
      <c r="CN928">
        <v>-7.34</v>
      </c>
      <c r="CO928">
        <v>3.55</v>
      </c>
      <c r="CP928">
        <v>152.91999999999999</v>
      </c>
      <c r="CQ928">
        <v>11.84</v>
      </c>
      <c r="CR928">
        <v>0.12</v>
      </c>
      <c r="CS928" t="s">
        <v>2865</v>
      </c>
      <c r="CT928">
        <v>2.37</v>
      </c>
      <c r="CU928">
        <v>0</v>
      </c>
      <c r="CV928">
        <v>0.59</v>
      </c>
      <c r="CW928">
        <v>0.66</v>
      </c>
      <c r="CX928">
        <v>0.06</v>
      </c>
      <c r="CY928">
        <v>54.24</v>
      </c>
      <c r="CZ928" t="s">
        <v>4591</v>
      </c>
      <c r="DA928">
        <v>40.33</v>
      </c>
      <c r="DB928">
        <v>6.39</v>
      </c>
      <c r="DC928">
        <v>5.4</v>
      </c>
      <c r="DD928">
        <v>0.65</v>
      </c>
      <c r="DE928">
        <v>1026</v>
      </c>
      <c r="DF928">
        <v>2474</v>
      </c>
      <c r="DG928" t="s">
        <v>116</v>
      </c>
      <c r="DH928" t="s">
        <v>116</v>
      </c>
      <c r="DI928" t="s">
        <v>116</v>
      </c>
    </row>
    <row r="929" spans="1:113" x14ac:dyDescent="0.4">
      <c r="A929" t="str">
        <f>"002475"</f>
        <v>002475</v>
      </c>
      <c r="B929" t="s">
        <v>5535</v>
      </c>
      <c r="C929">
        <v>0.03</v>
      </c>
      <c r="D929">
        <v>35.380000000000003</v>
      </c>
      <c r="E929">
        <v>0.01</v>
      </c>
      <c r="F929">
        <v>35.380000000000003</v>
      </c>
      <c r="G929">
        <v>35.39</v>
      </c>
      <c r="H929">
        <v>485094</v>
      </c>
      <c r="I929">
        <v>3929</v>
      </c>
      <c r="J929">
        <v>-0.19</v>
      </c>
      <c r="K929">
        <v>0.91</v>
      </c>
      <c r="L929">
        <v>35.5</v>
      </c>
      <c r="M929">
        <v>35.9</v>
      </c>
      <c r="N929">
        <v>35.08</v>
      </c>
      <c r="O929">
        <v>35.369999999999997</v>
      </c>
      <c r="P929">
        <v>49.15</v>
      </c>
      <c r="Q929">
        <v>1723907712</v>
      </c>
      <c r="R929">
        <v>1.07</v>
      </c>
      <c r="S929" t="s">
        <v>233</v>
      </c>
      <c r="T929" t="s">
        <v>115</v>
      </c>
      <c r="U929">
        <v>2.3199999999999998</v>
      </c>
      <c r="V929">
        <v>35.54</v>
      </c>
      <c r="W929">
        <v>249987</v>
      </c>
      <c r="X929">
        <v>235107</v>
      </c>
      <c r="Y929">
        <v>1.06</v>
      </c>
      <c r="Z929">
        <v>41</v>
      </c>
      <c r="AA929">
        <v>234</v>
      </c>
      <c r="AB929" t="s">
        <v>116</v>
      </c>
      <c r="AC929">
        <v>10696700</v>
      </c>
      <c r="AD929">
        <v>0.01</v>
      </c>
      <c r="AE929" t="s">
        <v>116</v>
      </c>
      <c r="AF929" t="s">
        <v>116</v>
      </c>
      <c r="AG929">
        <v>53.44</v>
      </c>
      <c r="AH929" t="s">
        <v>5536</v>
      </c>
      <c r="AI929" t="s">
        <v>5537</v>
      </c>
      <c r="AJ929">
        <v>0.71</v>
      </c>
      <c r="AK929">
        <v>4677</v>
      </c>
      <c r="AL929">
        <v>104</v>
      </c>
      <c r="AM929">
        <v>2.0000000000000001E-4</v>
      </c>
      <c r="AN929">
        <v>1</v>
      </c>
      <c r="AO929">
        <v>-0.48</v>
      </c>
      <c r="AP929">
        <v>3.97</v>
      </c>
      <c r="AQ929">
        <v>26.81</v>
      </c>
      <c r="AR929">
        <v>228.29</v>
      </c>
      <c r="AS929">
        <v>1.66</v>
      </c>
      <c r="AT929" t="s">
        <v>5538</v>
      </c>
      <c r="AU929">
        <v>47.87</v>
      </c>
      <c r="AV929">
        <v>69.510000000000005</v>
      </c>
      <c r="AW929">
        <v>1.58</v>
      </c>
      <c r="BA929">
        <v>0.37</v>
      </c>
      <c r="BB929">
        <v>1.5</v>
      </c>
      <c r="BC929">
        <v>-0.82</v>
      </c>
      <c r="BD929">
        <v>0.47</v>
      </c>
      <c r="BE929">
        <v>-0.34</v>
      </c>
      <c r="BF929">
        <v>-1.45</v>
      </c>
      <c r="BG929">
        <v>0.86</v>
      </c>
      <c r="BH929">
        <v>-0.45</v>
      </c>
      <c r="BI929">
        <v>20191126</v>
      </c>
      <c r="BJ929">
        <v>20100915</v>
      </c>
      <c r="BK929">
        <v>53.49</v>
      </c>
      <c r="BL929" t="s">
        <v>116</v>
      </c>
      <c r="BM929" t="s">
        <v>116</v>
      </c>
      <c r="BN929">
        <v>456.51</v>
      </c>
      <c r="BO929">
        <v>183.07</v>
      </c>
      <c r="BP929">
        <v>13.57</v>
      </c>
      <c r="BQ929">
        <v>56.93</v>
      </c>
      <c r="BR929">
        <v>288.95999999999998</v>
      </c>
      <c r="BS929">
        <v>123.67</v>
      </c>
      <c r="BT929">
        <v>6.95</v>
      </c>
      <c r="BU929">
        <v>228.45</v>
      </c>
      <c r="BV929">
        <v>100.27</v>
      </c>
      <c r="BW929">
        <v>105.21</v>
      </c>
      <c r="BX929">
        <v>24.71</v>
      </c>
      <c r="BY929">
        <v>378.36</v>
      </c>
      <c r="BZ929">
        <v>300.93</v>
      </c>
      <c r="CA929">
        <v>36.39</v>
      </c>
      <c r="CB929">
        <v>1.01</v>
      </c>
      <c r="CC929">
        <v>35.58</v>
      </c>
      <c r="CD929">
        <v>30.25</v>
      </c>
      <c r="CE929">
        <v>28.88</v>
      </c>
      <c r="CF929">
        <v>27.38</v>
      </c>
      <c r="CG929">
        <v>100.18</v>
      </c>
      <c r="CH929">
        <v>61.11</v>
      </c>
      <c r="CI929">
        <v>13.39</v>
      </c>
      <c r="CJ929">
        <v>113616</v>
      </c>
      <c r="CK929">
        <v>25795</v>
      </c>
      <c r="CL929" t="s">
        <v>5539</v>
      </c>
      <c r="CM929">
        <v>74.260000000000005</v>
      </c>
      <c r="CN929">
        <v>70.959999999999994</v>
      </c>
      <c r="CO929">
        <v>10.34</v>
      </c>
      <c r="CP929">
        <v>30.97</v>
      </c>
      <c r="CQ929">
        <v>5</v>
      </c>
      <c r="CR929">
        <v>0.11</v>
      </c>
      <c r="CS929" t="s">
        <v>2154</v>
      </c>
      <c r="CT929">
        <v>3.42</v>
      </c>
      <c r="CU929">
        <v>0</v>
      </c>
      <c r="CV929">
        <v>0.46</v>
      </c>
      <c r="CW929">
        <v>1.87</v>
      </c>
      <c r="CX929">
        <v>1.1399999999999999</v>
      </c>
      <c r="CY929">
        <v>40.1</v>
      </c>
      <c r="CZ929" t="s">
        <v>5540</v>
      </c>
      <c r="DA929">
        <v>20.47</v>
      </c>
      <c r="DB929">
        <v>9.6199999999999992</v>
      </c>
      <c r="DC929">
        <v>7.63</v>
      </c>
      <c r="DD929">
        <v>28.85</v>
      </c>
      <c r="DE929">
        <v>78352</v>
      </c>
      <c r="DF929">
        <v>2475</v>
      </c>
      <c r="DG929" t="s">
        <v>116</v>
      </c>
      <c r="DH929" t="s">
        <v>116</v>
      </c>
      <c r="DI929" t="s">
        <v>116</v>
      </c>
    </row>
    <row r="930" spans="1:113" x14ac:dyDescent="0.4">
      <c r="A930" t="str">
        <f>"002476"</f>
        <v>002476</v>
      </c>
      <c r="B930" t="s">
        <v>5541</v>
      </c>
      <c r="C930">
        <v>-0.3</v>
      </c>
      <c r="D930">
        <v>6.74</v>
      </c>
      <c r="E930">
        <v>-0.02</v>
      </c>
      <c r="F930">
        <v>6.74</v>
      </c>
      <c r="G930">
        <v>6.75</v>
      </c>
      <c r="H930">
        <v>49802</v>
      </c>
      <c r="I930">
        <v>997</v>
      </c>
      <c r="J930">
        <v>-0.14000000000000001</v>
      </c>
      <c r="K930">
        <v>0.86</v>
      </c>
      <c r="L930">
        <v>6.76</v>
      </c>
      <c r="M930">
        <v>6.8</v>
      </c>
      <c r="N930">
        <v>6.73</v>
      </c>
      <c r="O930">
        <v>6.76</v>
      </c>
      <c r="P930">
        <v>4989.7700000000004</v>
      </c>
      <c r="Q930">
        <v>33674048</v>
      </c>
      <c r="R930">
        <v>0.74</v>
      </c>
      <c r="S930" t="s">
        <v>891</v>
      </c>
      <c r="T930" t="s">
        <v>645</v>
      </c>
      <c r="U930">
        <v>1.04</v>
      </c>
      <c r="V930">
        <v>6.76</v>
      </c>
      <c r="W930">
        <v>26263</v>
      </c>
      <c r="X930">
        <v>23539</v>
      </c>
      <c r="Y930">
        <v>1.1200000000000001</v>
      </c>
      <c r="Z930">
        <v>266</v>
      </c>
      <c r="AA930">
        <v>229</v>
      </c>
      <c r="AB930" t="s">
        <v>116</v>
      </c>
      <c r="AC930">
        <v>168300</v>
      </c>
      <c r="AD930">
        <v>0.01</v>
      </c>
      <c r="AE930" t="s">
        <v>116</v>
      </c>
      <c r="AF930" t="s">
        <v>116</v>
      </c>
      <c r="AG930">
        <v>5.78</v>
      </c>
      <c r="AH930" t="s">
        <v>1353</v>
      </c>
      <c r="AI930" t="s">
        <v>333</v>
      </c>
      <c r="AJ930">
        <v>0.38</v>
      </c>
      <c r="AK930">
        <v>1169</v>
      </c>
      <c r="AL930">
        <v>43</v>
      </c>
      <c r="AM930">
        <v>6.9999999999999999E-4</v>
      </c>
      <c r="AN930">
        <v>-1</v>
      </c>
      <c r="AO930">
        <v>-0.3</v>
      </c>
      <c r="AP930">
        <v>-3.02</v>
      </c>
      <c r="AQ930">
        <v>13.47</v>
      </c>
      <c r="AR930">
        <v>51.12</v>
      </c>
      <c r="AS930">
        <v>1.1100000000000001</v>
      </c>
      <c r="AT930" t="s">
        <v>5542</v>
      </c>
      <c r="AU930" t="s">
        <v>116</v>
      </c>
      <c r="AV930" t="s">
        <v>116</v>
      </c>
      <c r="AW930">
        <v>0.7</v>
      </c>
      <c r="BA930">
        <v>0</v>
      </c>
      <c r="BB930">
        <v>0.59</v>
      </c>
      <c r="BC930">
        <v>-0.44</v>
      </c>
      <c r="BD930">
        <v>0.02</v>
      </c>
      <c r="BE930">
        <v>-0.3</v>
      </c>
      <c r="BF930">
        <v>-0.88</v>
      </c>
      <c r="BG930">
        <v>0.15</v>
      </c>
      <c r="BH930">
        <v>-0.32</v>
      </c>
      <c r="BI930">
        <v>20191024</v>
      </c>
      <c r="BJ930">
        <v>20100915</v>
      </c>
      <c r="BK930">
        <v>6.12</v>
      </c>
      <c r="BL930" t="s">
        <v>116</v>
      </c>
      <c r="BM930" t="s">
        <v>116</v>
      </c>
      <c r="BN930">
        <v>9.86</v>
      </c>
      <c r="BO930">
        <v>7.18</v>
      </c>
      <c r="BP930">
        <v>0</v>
      </c>
      <c r="BQ930">
        <v>27.16</v>
      </c>
      <c r="BR930">
        <v>6.91</v>
      </c>
      <c r="BS930">
        <v>2.52</v>
      </c>
      <c r="BT930">
        <v>0.12</v>
      </c>
      <c r="BU930">
        <v>1.22</v>
      </c>
      <c r="BV930">
        <v>0.82</v>
      </c>
      <c r="BW930">
        <v>0.54</v>
      </c>
      <c r="BX930">
        <v>1.75</v>
      </c>
      <c r="BY930">
        <v>3.39</v>
      </c>
      <c r="BZ930">
        <v>2.93</v>
      </c>
      <c r="CA930">
        <v>0.02</v>
      </c>
      <c r="CB930">
        <v>0.03</v>
      </c>
      <c r="CC930">
        <v>0.02</v>
      </c>
      <c r="CD930">
        <v>0.01</v>
      </c>
      <c r="CE930">
        <v>0.01</v>
      </c>
      <c r="CF930">
        <v>-0.03</v>
      </c>
      <c r="CG930">
        <v>-1.2</v>
      </c>
      <c r="CH930">
        <v>0.26</v>
      </c>
      <c r="CI930">
        <v>0.92</v>
      </c>
      <c r="CJ930">
        <v>53774</v>
      </c>
      <c r="CK930">
        <v>8311</v>
      </c>
      <c r="CL930" t="s">
        <v>5543</v>
      </c>
      <c r="CM930">
        <v>102.42</v>
      </c>
      <c r="CN930">
        <v>13.39</v>
      </c>
      <c r="CO930">
        <v>5.74</v>
      </c>
      <c r="CP930">
        <v>158.02000000000001</v>
      </c>
      <c r="CQ930">
        <v>12.17</v>
      </c>
      <c r="CR930">
        <v>0</v>
      </c>
      <c r="CS930" t="s">
        <v>4302</v>
      </c>
      <c r="CT930">
        <v>1.17</v>
      </c>
      <c r="CU930">
        <v>0</v>
      </c>
      <c r="CV930">
        <v>0.28999999999999998</v>
      </c>
      <c r="CW930">
        <v>-0.2</v>
      </c>
      <c r="CX930">
        <v>0.04</v>
      </c>
      <c r="CY930">
        <v>72.84</v>
      </c>
      <c r="CZ930" t="s">
        <v>5544</v>
      </c>
      <c r="DA930">
        <v>13.57</v>
      </c>
      <c r="DB930">
        <v>0.61</v>
      </c>
      <c r="DC930">
        <v>0.18</v>
      </c>
      <c r="DD930">
        <v>0.14000000000000001</v>
      </c>
      <c r="DE930">
        <v>498</v>
      </c>
      <c r="DF930">
        <v>2476</v>
      </c>
      <c r="DG930" t="s">
        <v>116</v>
      </c>
      <c r="DH930" t="s">
        <v>116</v>
      </c>
      <c r="DI930" t="s">
        <v>116</v>
      </c>
    </row>
    <row r="931" spans="1:113" x14ac:dyDescent="0.4">
      <c r="A931" t="str">
        <f>"002478"</f>
        <v>002478</v>
      </c>
      <c r="B931" t="s">
        <v>5545</v>
      </c>
      <c r="C931">
        <v>-0.68</v>
      </c>
      <c r="D931">
        <v>5.8</v>
      </c>
      <c r="E931">
        <v>-0.04</v>
      </c>
      <c r="F931">
        <v>5.8</v>
      </c>
      <c r="G931">
        <v>5.81</v>
      </c>
      <c r="H931">
        <v>55996</v>
      </c>
      <c r="I931">
        <v>942</v>
      </c>
      <c r="J931">
        <v>0</v>
      </c>
      <c r="K931">
        <v>0.94</v>
      </c>
      <c r="L931">
        <v>5.86</v>
      </c>
      <c r="M931">
        <v>5.89</v>
      </c>
      <c r="N931">
        <v>5.79</v>
      </c>
      <c r="O931">
        <v>5.84</v>
      </c>
      <c r="P931">
        <v>8.15</v>
      </c>
      <c r="Q931">
        <v>32709684</v>
      </c>
      <c r="R931">
        <v>1.03</v>
      </c>
      <c r="S931" t="s">
        <v>2118</v>
      </c>
      <c r="T931" t="s">
        <v>323</v>
      </c>
      <c r="U931">
        <v>1.71</v>
      </c>
      <c r="V931">
        <v>5.84</v>
      </c>
      <c r="W931">
        <v>32280</v>
      </c>
      <c r="X931">
        <v>23716</v>
      </c>
      <c r="Y931">
        <v>1.36</v>
      </c>
      <c r="Z931">
        <v>40</v>
      </c>
      <c r="AA931">
        <v>428</v>
      </c>
      <c r="AB931" t="s">
        <v>116</v>
      </c>
      <c r="AC931">
        <v>134800</v>
      </c>
      <c r="AD931">
        <v>0.01</v>
      </c>
      <c r="AE931" t="s">
        <v>116</v>
      </c>
      <c r="AF931" t="s">
        <v>116</v>
      </c>
      <c r="AG931">
        <v>5.97</v>
      </c>
      <c r="AH931" t="s">
        <v>5546</v>
      </c>
      <c r="AI931" t="s">
        <v>5547</v>
      </c>
      <c r="AJ931">
        <v>-0.01</v>
      </c>
      <c r="AK931">
        <v>1672</v>
      </c>
      <c r="AL931">
        <v>33</v>
      </c>
      <c r="AM931">
        <v>5.9999999999999995E-4</v>
      </c>
      <c r="AN931">
        <v>-1</v>
      </c>
      <c r="AO931">
        <v>-1.35</v>
      </c>
      <c r="AP931">
        <v>1.05</v>
      </c>
      <c r="AQ931">
        <v>-2.36</v>
      </c>
      <c r="AR931">
        <v>29.46</v>
      </c>
      <c r="AS931">
        <v>1.22</v>
      </c>
      <c r="AT931" t="s">
        <v>5548</v>
      </c>
      <c r="AU931">
        <v>8.92</v>
      </c>
      <c r="AV931">
        <v>11.59</v>
      </c>
      <c r="AW931">
        <v>0.66</v>
      </c>
      <c r="BA931">
        <v>0.34</v>
      </c>
      <c r="BB931">
        <v>0.86</v>
      </c>
      <c r="BC931">
        <v>-0.86</v>
      </c>
      <c r="BD931">
        <v>0.02</v>
      </c>
      <c r="BE931">
        <v>-1.02</v>
      </c>
      <c r="BF931">
        <v>-1.53</v>
      </c>
      <c r="BG931">
        <v>0.17</v>
      </c>
      <c r="BH931">
        <v>-0.71</v>
      </c>
      <c r="BI931">
        <v>20191023</v>
      </c>
      <c r="BJ931">
        <v>20100921</v>
      </c>
      <c r="BK931">
        <v>9.6</v>
      </c>
      <c r="BL931" t="s">
        <v>116</v>
      </c>
      <c r="BM931" t="s">
        <v>116</v>
      </c>
      <c r="BN931">
        <v>69.760000000000005</v>
      </c>
      <c r="BO931">
        <v>43.72</v>
      </c>
      <c r="BP931">
        <v>5.03</v>
      </c>
      <c r="BQ931">
        <v>30.12</v>
      </c>
      <c r="BR931">
        <v>38.53</v>
      </c>
      <c r="BS931">
        <v>16.55</v>
      </c>
      <c r="BT931">
        <v>2.74</v>
      </c>
      <c r="BU931">
        <v>20.399999999999999</v>
      </c>
      <c r="BV931">
        <v>9.6300000000000008</v>
      </c>
      <c r="BW931">
        <v>8.6199999999999992</v>
      </c>
      <c r="BX931">
        <v>13.78</v>
      </c>
      <c r="BY931">
        <v>41.4</v>
      </c>
      <c r="BZ931">
        <v>30.77</v>
      </c>
      <c r="CA931">
        <v>6.56</v>
      </c>
      <c r="CB931">
        <v>0.09</v>
      </c>
      <c r="CC931">
        <v>6.54</v>
      </c>
      <c r="CD931">
        <v>5.62</v>
      </c>
      <c r="CE931">
        <v>5.12</v>
      </c>
      <c r="CF931">
        <v>5.01</v>
      </c>
      <c r="CG931">
        <v>16.88</v>
      </c>
      <c r="CH931">
        <v>2.88</v>
      </c>
      <c r="CI931">
        <v>-0.38</v>
      </c>
      <c r="CJ931">
        <v>23248</v>
      </c>
      <c r="CK931">
        <v>19695</v>
      </c>
      <c r="CL931" t="s">
        <v>5549</v>
      </c>
      <c r="CM931">
        <v>39.18</v>
      </c>
      <c r="CN931">
        <v>3.46</v>
      </c>
      <c r="CO931">
        <v>1.27</v>
      </c>
      <c r="CP931">
        <v>19.34</v>
      </c>
      <c r="CQ931">
        <v>1.34</v>
      </c>
      <c r="CR931">
        <v>2.0699999999999998</v>
      </c>
      <c r="CS931" t="s">
        <v>1892</v>
      </c>
      <c r="CT931">
        <v>4.55</v>
      </c>
      <c r="CU931">
        <v>0</v>
      </c>
      <c r="CV931">
        <v>1.44</v>
      </c>
      <c r="CW931">
        <v>1.76</v>
      </c>
      <c r="CX931">
        <v>0.3</v>
      </c>
      <c r="CY931">
        <v>62.67</v>
      </c>
      <c r="CZ931" t="s">
        <v>5550</v>
      </c>
      <c r="DA931">
        <v>25.68</v>
      </c>
      <c r="DB931">
        <v>15.83</v>
      </c>
      <c r="DC931">
        <v>12.37</v>
      </c>
      <c r="DD931">
        <v>1.35</v>
      </c>
      <c r="DE931">
        <v>3877</v>
      </c>
      <c r="DF931">
        <v>2478</v>
      </c>
      <c r="DG931" t="s">
        <v>116</v>
      </c>
      <c r="DH931" t="s">
        <v>116</v>
      </c>
      <c r="DI931" t="s">
        <v>116</v>
      </c>
    </row>
    <row r="932" spans="1:113" x14ac:dyDescent="0.4">
      <c r="A932" t="str">
        <f>"002479"</f>
        <v>002479</v>
      </c>
      <c r="B932" t="s">
        <v>5551</v>
      </c>
      <c r="C932">
        <v>-2.17</v>
      </c>
      <c r="D932">
        <v>6.75</v>
      </c>
      <c r="E932">
        <v>-0.15</v>
      </c>
      <c r="F932">
        <v>6.75</v>
      </c>
      <c r="G932">
        <v>6.76</v>
      </c>
      <c r="H932">
        <v>172207</v>
      </c>
      <c r="I932">
        <v>3708</v>
      </c>
      <c r="J932">
        <v>-0.28999999999999998</v>
      </c>
      <c r="K932">
        <v>1.95</v>
      </c>
      <c r="L932">
        <v>6.91</v>
      </c>
      <c r="M932">
        <v>6.92</v>
      </c>
      <c r="N932">
        <v>6.75</v>
      </c>
      <c r="O932">
        <v>6.9</v>
      </c>
      <c r="P932">
        <v>19.5</v>
      </c>
      <c r="Q932">
        <v>117570792</v>
      </c>
      <c r="R932">
        <v>0.99</v>
      </c>
      <c r="S932" t="s">
        <v>271</v>
      </c>
      <c r="T932" t="s">
        <v>590</v>
      </c>
      <c r="U932">
        <v>2.46</v>
      </c>
      <c r="V932">
        <v>6.83</v>
      </c>
      <c r="W932">
        <v>109623</v>
      </c>
      <c r="X932">
        <v>62584</v>
      </c>
      <c r="Y932">
        <v>1.75</v>
      </c>
      <c r="Z932">
        <v>3516</v>
      </c>
      <c r="AA932">
        <v>1311</v>
      </c>
      <c r="AB932" t="s">
        <v>116</v>
      </c>
      <c r="AC932">
        <v>175500</v>
      </c>
      <c r="AD932">
        <v>0</v>
      </c>
      <c r="AE932" t="s">
        <v>116</v>
      </c>
      <c r="AF932" t="s">
        <v>116</v>
      </c>
      <c r="AG932">
        <v>8.82</v>
      </c>
      <c r="AH932" t="s">
        <v>5552</v>
      </c>
      <c r="AI932" t="s">
        <v>5553</v>
      </c>
      <c r="AJ932">
        <v>-1.5</v>
      </c>
      <c r="AK932">
        <v>2706</v>
      </c>
      <c r="AL932">
        <v>64</v>
      </c>
      <c r="AM932">
        <v>6.9999999999999999E-4</v>
      </c>
      <c r="AN932">
        <v>-3</v>
      </c>
      <c r="AO932">
        <v>-4.66</v>
      </c>
      <c r="AP932">
        <v>-18.670000000000002</v>
      </c>
      <c r="AQ932">
        <v>-8.91</v>
      </c>
      <c r="AR932">
        <v>57.71</v>
      </c>
      <c r="AS932">
        <v>2.97</v>
      </c>
      <c r="AT932" t="s">
        <v>5516</v>
      </c>
      <c r="AU932">
        <v>33.229999999999997</v>
      </c>
      <c r="AV932">
        <v>47.87</v>
      </c>
      <c r="AW932">
        <v>0.61</v>
      </c>
      <c r="BA932">
        <v>0.14000000000000001</v>
      </c>
      <c r="BB932">
        <v>0.28999999999999998</v>
      </c>
      <c r="BC932">
        <v>-2.17</v>
      </c>
      <c r="BD932">
        <v>-1.05</v>
      </c>
      <c r="BE932">
        <v>-2.3199999999999998</v>
      </c>
      <c r="BF932">
        <v>-2.46</v>
      </c>
      <c r="BG932">
        <v>0</v>
      </c>
      <c r="BH932">
        <v>-1.1200000000000001</v>
      </c>
      <c r="BI932">
        <v>20191127</v>
      </c>
      <c r="BJ932">
        <v>20100921</v>
      </c>
      <c r="BK932">
        <v>8.89</v>
      </c>
      <c r="BL932" t="s">
        <v>116</v>
      </c>
      <c r="BM932" t="s">
        <v>116</v>
      </c>
      <c r="BN932">
        <v>75.63</v>
      </c>
      <c r="BO932">
        <v>38.65</v>
      </c>
      <c r="BP932">
        <v>2.97</v>
      </c>
      <c r="BQ932">
        <v>44.97</v>
      </c>
      <c r="BR932">
        <v>25.14</v>
      </c>
      <c r="BS932">
        <v>28.95</v>
      </c>
      <c r="BT932">
        <v>3.02</v>
      </c>
      <c r="BU932">
        <v>32.42</v>
      </c>
      <c r="BV932">
        <v>1.25</v>
      </c>
      <c r="BW932">
        <v>2.86</v>
      </c>
      <c r="BX932">
        <v>16.98</v>
      </c>
      <c r="BY932">
        <v>25.35</v>
      </c>
      <c r="BZ932">
        <v>20.43</v>
      </c>
      <c r="CA932">
        <v>3.3</v>
      </c>
      <c r="CB932">
        <v>0.35</v>
      </c>
      <c r="CC932">
        <v>3.32</v>
      </c>
      <c r="CD932">
        <v>2.6</v>
      </c>
      <c r="CE932">
        <v>2.31</v>
      </c>
      <c r="CF932">
        <v>2.2200000000000002</v>
      </c>
      <c r="CG932">
        <v>11.49</v>
      </c>
      <c r="CH932">
        <v>3.18</v>
      </c>
      <c r="CI932">
        <v>2.1800000000000002</v>
      </c>
      <c r="CJ932">
        <v>46281</v>
      </c>
      <c r="CK932">
        <v>12522</v>
      </c>
      <c r="CL932" t="s">
        <v>5554</v>
      </c>
      <c r="CM932">
        <v>31.43</v>
      </c>
      <c r="CN932">
        <v>20.09</v>
      </c>
      <c r="CO932">
        <v>1.55</v>
      </c>
      <c r="CP932">
        <v>18.84</v>
      </c>
      <c r="CQ932">
        <v>2.37</v>
      </c>
      <c r="CR932">
        <v>0.74</v>
      </c>
      <c r="CS932" t="s">
        <v>4342</v>
      </c>
      <c r="CT932">
        <v>4.3499999999999996</v>
      </c>
      <c r="CU932">
        <v>0</v>
      </c>
      <c r="CV932">
        <v>1.91</v>
      </c>
      <c r="CW932">
        <v>1.29</v>
      </c>
      <c r="CX932">
        <v>0.36</v>
      </c>
      <c r="CY932">
        <v>51.1</v>
      </c>
      <c r="CZ932" t="s">
        <v>5555</v>
      </c>
      <c r="DA932">
        <v>19.43</v>
      </c>
      <c r="DB932">
        <v>13.01</v>
      </c>
      <c r="DC932">
        <v>9.1</v>
      </c>
      <c r="DD932">
        <v>0.53</v>
      </c>
      <c r="DE932">
        <v>1708</v>
      </c>
      <c r="DF932">
        <v>2479</v>
      </c>
      <c r="DG932" t="s">
        <v>116</v>
      </c>
      <c r="DH932" t="s">
        <v>116</v>
      </c>
      <c r="DI932" t="s">
        <v>116</v>
      </c>
    </row>
    <row r="933" spans="1:113" x14ac:dyDescent="0.4">
      <c r="A933" t="str">
        <f>"002480"</f>
        <v>002480</v>
      </c>
      <c r="B933" t="s">
        <v>5556</v>
      </c>
      <c r="C933">
        <v>0.51</v>
      </c>
      <c r="D933">
        <v>3.95</v>
      </c>
      <c r="E933">
        <v>0.02</v>
      </c>
      <c r="F933">
        <v>3.94</v>
      </c>
      <c r="G933">
        <v>3.95</v>
      </c>
      <c r="H933">
        <v>51315</v>
      </c>
      <c r="I933">
        <v>512</v>
      </c>
      <c r="J933">
        <v>0.25</v>
      </c>
      <c r="K933">
        <v>0.8</v>
      </c>
      <c r="L933">
        <v>3.94</v>
      </c>
      <c r="M933">
        <v>4.03</v>
      </c>
      <c r="N933">
        <v>3.92</v>
      </c>
      <c r="O933">
        <v>3.93</v>
      </c>
      <c r="P933" t="s">
        <v>116</v>
      </c>
      <c r="Q933">
        <v>20396498</v>
      </c>
      <c r="R933">
        <v>1.2</v>
      </c>
      <c r="S933" t="s">
        <v>996</v>
      </c>
      <c r="T933" t="s">
        <v>582</v>
      </c>
      <c r="U933">
        <v>2.8</v>
      </c>
      <c r="V933">
        <v>3.97</v>
      </c>
      <c r="W933">
        <v>27996</v>
      </c>
      <c r="X933">
        <v>23319</v>
      </c>
      <c r="Y933">
        <v>1.2</v>
      </c>
      <c r="Z933">
        <v>596</v>
      </c>
      <c r="AA933">
        <v>327</v>
      </c>
      <c r="AB933" t="s">
        <v>116</v>
      </c>
      <c r="AC933">
        <v>18100</v>
      </c>
      <c r="AD933">
        <v>0</v>
      </c>
      <c r="AE933" t="s">
        <v>116</v>
      </c>
      <c r="AF933" t="s">
        <v>116</v>
      </c>
      <c r="AG933">
        <v>6.4</v>
      </c>
      <c r="AH933" t="s">
        <v>5557</v>
      </c>
      <c r="AI933" t="s">
        <v>5558</v>
      </c>
      <c r="AJ933">
        <v>1.19</v>
      </c>
      <c r="AK933">
        <v>642</v>
      </c>
      <c r="AL933">
        <v>80</v>
      </c>
      <c r="AM933">
        <v>1.1999999999999999E-3</v>
      </c>
      <c r="AN933">
        <v>2</v>
      </c>
      <c r="AO933">
        <v>0.26</v>
      </c>
      <c r="AP933">
        <v>4.5</v>
      </c>
      <c r="AQ933">
        <v>-9.4</v>
      </c>
      <c r="AR933">
        <v>-19.059999999999999</v>
      </c>
      <c r="AS933">
        <v>1.1000000000000001</v>
      </c>
      <c r="AT933" t="s">
        <v>5559</v>
      </c>
      <c r="AU933" t="s">
        <v>116</v>
      </c>
      <c r="AV933">
        <v>195.25</v>
      </c>
      <c r="AW933">
        <v>0.98</v>
      </c>
      <c r="BA933">
        <v>0.25</v>
      </c>
      <c r="BB933">
        <v>2.54</v>
      </c>
      <c r="BC933">
        <v>-0.25</v>
      </c>
      <c r="BD933">
        <v>1.1399999999999999</v>
      </c>
      <c r="BE933">
        <v>0.25</v>
      </c>
      <c r="BF933">
        <v>-1.99</v>
      </c>
      <c r="BG933">
        <v>0.77</v>
      </c>
      <c r="BH933">
        <v>-0.63</v>
      </c>
      <c r="BI933">
        <v>20191113</v>
      </c>
      <c r="BJ933">
        <v>20100921</v>
      </c>
      <c r="BK933">
        <v>6.51</v>
      </c>
      <c r="BL933" t="s">
        <v>116</v>
      </c>
      <c r="BM933" t="s">
        <v>116</v>
      </c>
      <c r="BN933">
        <v>78.52</v>
      </c>
      <c r="BO933">
        <v>22.25</v>
      </c>
      <c r="BP933">
        <v>1.43</v>
      </c>
      <c r="BQ933">
        <v>69.849999999999994</v>
      </c>
      <c r="BR933">
        <v>45.6</v>
      </c>
      <c r="BS933">
        <v>14.22</v>
      </c>
      <c r="BT933">
        <v>4.13</v>
      </c>
      <c r="BU933">
        <v>47.72</v>
      </c>
      <c r="BV933">
        <v>15.07</v>
      </c>
      <c r="BW933">
        <v>16.18</v>
      </c>
      <c r="BX933">
        <v>14.79</v>
      </c>
      <c r="BY933">
        <v>12.78</v>
      </c>
      <c r="BZ933">
        <v>10.27</v>
      </c>
      <c r="CA933">
        <v>-1.41</v>
      </c>
      <c r="CB933">
        <v>0.17</v>
      </c>
      <c r="CC933">
        <v>-1.31</v>
      </c>
      <c r="CD933">
        <v>-1.1499999999999999</v>
      </c>
      <c r="CE933">
        <v>-1.21</v>
      </c>
      <c r="CF933">
        <v>-1.44</v>
      </c>
      <c r="CG933">
        <v>0.47</v>
      </c>
      <c r="CH933">
        <v>-2.4700000000000002</v>
      </c>
      <c r="CI933">
        <v>-2.33</v>
      </c>
      <c r="CJ933">
        <v>34685</v>
      </c>
      <c r="CK933">
        <v>13399</v>
      </c>
      <c r="CL933" t="s">
        <v>289</v>
      </c>
      <c r="CM933">
        <v>-939.08</v>
      </c>
      <c r="CN933">
        <v>-2.48</v>
      </c>
      <c r="CO933">
        <v>1.1599999999999999</v>
      </c>
      <c r="CP933">
        <v>-10.4</v>
      </c>
      <c r="CQ933">
        <v>2.0099999999999998</v>
      </c>
      <c r="CR933">
        <v>0</v>
      </c>
      <c r="CS933" t="s">
        <v>5560</v>
      </c>
      <c r="CT933">
        <v>3.42</v>
      </c>
      <c r="CU933">
        <v>0</v>
      </c>
      <c r="CV933">
        <v>2.27</v>
      </c>
      <c r="CW933">
        <v>7.0000000000000007E-2</v>
      </c>
      <c r="CX933">
        <v>-0.38</v>
      </c>
      <c r="CY933">
        <v>28.33</v>
      </c>
      <c r="CZ933" t="s">
        <v>5561</v>
      </c>
      <c r="DA933">
        <v>19.63</v>
      </c>
      <c r="DB933">
        <v>-11.03</v>
      </c>
      <c r="DC933">
        <v>-9.4499999999999993</v>
      </c>
      <c r="DD933">
        <v>0.31</v>
      </c>
      <c r="DE933">
        <v>2034</v>
      </c>
      <c r="DF933">
        <v>2480</v>
      </c>
      <c r="DG933" t="s">
        <v>116</v>
      </c>
      <c r="DH933" t="s">
        <v>116</v>
      </c>
      <c r="DI933" t="s">
        <v>116</v>
      </c>
    </row>
    <row r="934" spans="1:113" x14ac:dyDescent="0.4">
      <c r="A934" t="str">
        <f>"002481"</f>
        <v>002481</v>
      </c>
      <c r="B934" t="s">
        <v>5562</v>
      </c>
      <c r="C934">
        <v>-0.51</v>
      </c>
      <c r="D934">
        <v>7.78</v>
      </c>
      <c r="E934">
        <v>-0.04</v>
      </c>
      <c r="F934">
        <v>7.77</v>
      </c>
      <c r="G934">
        <v>7.78</v>
      </c>
      <c r="H934">
        <v>186800</v>
      </c>
      <c r="I934">
        <v>1799</v>
      </c>
      <c r="J934">
        <v>0</v>
      </c>
      <c r="K934">
        <v>1.69</v>
      </c>
      <c r="L934">
        <v>7.8</v>
      </c>
      <c r="M934">
        <v>7.88</v>
      </c>
      <c r="N934">
        <v>7.74</v>
      </c>
      <c r="O934">
        <v>7.82</v>
      </c>
      <c r="P934">
        <v>49.18</v>
      </c>
      <c r="Q934">
        <v>145827696</v>
      </c>
      <c r="R934">
        <v>0.53</v>
      </c>
      <c r="S934" t="s">
        <v>863</v>
      </c>
      <c r="T934" t="s">
        <v>645</v>
      </c>
      <c r="U934">
        <v>1.79</v>
      </c>
      <c r="V934">
        <v>7.81</v>
      </c>
      <c r="W934">
        <v>107871</v>
      </c>
      <c r="X934">
        <v>78929</v>
      </c>
      <c r="Y934">
        <v>1.37</v>
      </c>
      <c r="Z934">
        <v>1031</v>
      </c>
      <c r="AA934">
        <v>343</v>
      </c>
      <c r="AB934" t="s">
        <v>116</v>
      </c>
      <c r="AC934">
        <v>302600</v>
      </c>
      <c r="AD934">
        <v>0.01</v>
      </c>
      <c r="AE934" t="s">
        <v>116</v>
      </c>
      <c r="AF934" t="s">
        <v>116</v>
      </c>
      <c r="AG934">
        <v>11.07</v>
      </c>
      <c r="AH934" t="s">
        <v>5563</v>
      </c>
      <c r="AI934" t="s">
        <v>5564</v>
      </c>
      <c r="AJ934">
        <v>0.17</v>
      </c>
      <c r="AK934">
        <v>2961</v>
      </c>
      <c r="AL934">
        <v>63</v>
      </c>
      <c r="AM934">
        <v>5.9999999999999995E-4</v>
      </c>
      <c r="AN934">
        <v>-3</v>
      </c>
      <c r="AO934">
        <v>-1.52</v>
      </c>
      <c r="AP934">
        <v>14.08</v>
      </c>
      <c r="AQ934">
        <v>1.43</v>
      </c>
      <c r="AR934">
        <v>177.86</v>
      </c>
      <c r="AS934">
        <v>3</v>
      </c>
      <c r="AT934" t="s">
        <v>5565</v>
      </c>
      <c r="AU934">
        <v>51.1</v>
      </c>
      <c r="AV934">
        <v>105.28</v>
      </c>
      <c r="AW934">
        <v>0.43</v>
      </c>
      <c r="BA934">
        <v>-0.26</v>
      </c>
      <c r="BB934">
        <v>0.77</v>
      </c>
      <c r="BC934">
        <v>-1.02</v>
      </c>
      <c r="BD934">
        <v>-0.17</v>
      </c>
      <c r="BE934">
        <v>-0.26</v>
      </c>
      <c r="BF934">
        <v>-1.27</v>
      </c>
      <c r="BG934">
        <v>0.52</v>
      </c>
      <c r="BH934">
        <v>-0.34</v>
      </c>
      <c r="BI934">
        <v>20191023</v>
      </c>
      <c r="BJ934">
        <v>20100921</v>
      </c>
      <c r="BK934">
        <v>12.43</v>
      </c>
      <c r="BL934" t="s">
        <v>116</v>
      </c>
      <c r="BM934" t="s">
        <v>116</v>
      </c>
      <c r="BN934">
        <v>45.66</v>
      </c>
      <c r="BO934">
        <v>27.31</v>
      </c>
      <c r="BP934">
        <v>-0.13</v>
      </c>
      <c r="BQ934">
        <v>40.47</v>
      </c>
      <c r="BR934">
        <v>21.47</v>
      </c>
      <c r="BS934">
        <v>14.45</v>
      </c>
      <c r="BT934">
        <v>0.6</v>
      </c>
      <c r="BU934">
        <v>18.2</v>
      </c>
      <c r="BV934">
        <v>4.9400000000000004</v>
      </c>
      <c r="BW934">
        <v>2.27</v>
      </c>
      <c r="BX934">
        <v>5.46</v>
      </c>
      <c r="BY934">
        <v>16.07</v>
      </c>
      <c r="BZ934">
        <v>12.85</v>
      </c>
      <c r="CA934">
        <v>1.69</v>
      </c>
      <c r="CB934">
        <v>0.04</v>
      </c>
      <c r="CC934">
        <v>1.68</v>
      </c>
      <c r="CD934">
        <v>1.47</v>
      </c>
      <c r="CE934">
        <v>1.48</v>
      </c>
      <c r="CF934">
        <v>1.43</v>
      </c>
      <c r="CG934">
        <v>8.4600000000000009</v>
      </c>
      <c r="CH934">
        <v>5.08</v>
      </c>
      <c r="CI934">
        <v>5.2</v>
      </c>
      <c r="CJ934">
        <v>107254</v>
      </c>
      <c r="CK934">
        <v>5808</v>
      </c>
      <c r="CL934" t="s">
        <v>5566</v>
      </c>
      <c r="CM934">
        <v>194.3</v>
      </c>
      <c r="CN934">
        <v>-10.35</v>
      </c>
      <c r="CO934">
        <v>3.54</v>
      </c>
      <c r="CP934">
        <v>19.03</v>
      </c>
      <c r="CQ934">
        <v>6.02</v>
      </c>
      <c r="CR934">
        <v>0</v>
      </c>
      <c r="CS934" t="s">
        <v>5567</v>
      </c>
      <c r="CT934">
        <v>2.2000000000000002</v>
      </c>
      <c r="CU934">
        <v>0</v>
      </c>
      <c r="CV934">
        <v>0.44</v>
      </c>
      <c r="CW934">
        <v>0.68</v>
      </c>
      <c r="CX934">
        <v>0.41</v>
      </c>
      <c r="CY934">
        <v>59.82</v>
      </c>
      <c r="CZ934" t="s">
        <v>215</v>
      </c>
      <c r="DA934">
        <v>20.04</v>
      </c>
      <c r="DB934">
        <v>10.53</v>
      </c>
      <c r="DC934">
        <v>9.18</v>
      </c>
      <c r="DD934">
        <v>0.26</v>
      </c>
      <c r="DE934">
        <v>674</v>
      </c>
      <c r="DF934">
        <v>2481</v>
      </c>
      <c r="DG934" t="s">
        <v>116</v>
      </c>
      <c r="DH934" t="s">
        <v>116</v>
      </c>
      <c r="DI934" t="s">
        <v>116</v>
      </c>
    </row>
    <row r="935" spans="1:113" x14ac:dyDescent="0.4">
      <c r="A935" t="str">
        <f>"002482"</f>
        <v>002482</v>
      </c>
      <c r="B935" t="s">
        <v>5568</v>
      </c>
      <c r="C935">
        <v>-1.81</v>
      </c>
      <c r="D935">
        <v>4.3499999999999996</v>
      </c>
      <c r="E935">
        <v>-0.08</v>
      </c>
      <c r="F935">
        <v>4.3499999999999996</v>
      </c>
      <c r="G935">
        <v>4.3600000000000003</v>
      </c>
      <c r="H935">
        <v>103445</v>
      </c>
      <c r="I935">
        <v>1770</v>
      </c>
      <c r="J935">
        <v>0.23</v>
      </c>
      <c r="K935">
        <v>0.68</v>
      </c>
      <c r="L935">
        <v>4.41</v>
      </c>
      <c r="M935">
        <v>4.46</v>
      </c>
      <c r="N935">
        <v>4.33</v>
      </c>
      <c r="O935">
        <v>4.43</v>
      </c>
      <c r="P935">
        <v>15.47</v>
      </c>
      <c r="Q935">
        <v>45301728</v>
      </c>
      <c r="R935">
        <v>0.92</v>
      </c>
      <c r="S935" t="s">
        <v>3331</v>
      </c>
      <c r="T935" t="s">
        <v>115</v>
      </c>
      <c r="U935">
        <v>2.93</v>
      </c>
      <c r="V935">
        <v>4.38</v>
      </c>
      <c r="W935">
        <v>68107</v>
      </c>
      <c r="X935">
        <v>35338</v>
      </c>
      <c r="Y935">
        <v>1.93</v>
      </c>
      <c r="Z935">
        <v>320</v>
      </c>
      <c r="AA935">
        <v>1664</v>
      </c>
      <c r="AB935" t="s">
        <v>116</v>
      </c>
      <c r="AC935">
        <v>97900</v>
      </c>
      <c r="AD935">
        <v>0</v>
      </c>
      <c r="AE935" t="s">
        <v>116</v>
      </c>
      <c r="AF935" t="s">
        <v>116</v>
      </c>
      <c r="AG935">
        <v>15.29</v>
      </c>
      <c r="AH935" t="s">
        <v>5569</v>
      </c>
      <c r="AI935" t="s">
        <v>5570</v>
      </c>
      <c r="AJ935">
        <v>-1.1299999999999999</v>
      </c>
      <c r="AK935">
        <v>1741</v>
      </c>
      <c r="AL935">
        <v>59</v>
      </c>
      <c r="AM935">
        <v>4.0000000000000002E-4</v>
      </c>
      <c r="AN935">
        <v>-1</v>
      </c>
      <c r="AO935">
        <v>0.69</v>
      </c>
      <c r="AP935">
        <v>6.1</v>
      </c>
      <c r="AQ935">
        <v>-8.42</v>
      </c>
      <c r="AR935">
        <v>-24.48</v>
      </c>
      <c r="AS935">
        <v>2.0699999999999998</v>
      </c>
      <c r="AT935" t="s">
        <v>5571</v>
      </c>
      <c r="AU935">
        <v>31.72</v>
      </c>
      <c r="AV935">
        <v>19.190000000000001</v>
      </c>
      <c r="AW935">
        <v>0.8</v>
      </c>
      <c r="BA935">
        <v>-0.45</v>
      </c>
      <c r="BB935">
        <v>0.68</v>
      </c>
      <c r="BC935">
        <v>-2.2599999999999998</v>
      </c>
      <c r="BD935">
        <v>-1.1399999999999999</v>
      </c>
      <c r="BE935">
        <v>-1.36</v>
      </c>
      <c r="BF935">
        <v>-2.4700000000000002</v>
      </c>
      <c r="BG935">
        <v>0.46</v>
      </c>
      <c r="BH935">
        <v>-0.66</v>
      </c>
      <c r="BI935">
        <v>20191223</v>
      </c>
      <c r="BJ935">
        <v>20100929</v>
      </c>
      <c r="BK935">
        <v>15.37</v>
      </c>
      <c r="BL935" t="s">
        <v>116</v>
      </c>
      <c r="BM935" t="s">
        <v>116</v>
      </c>
      <c r="BN935">
        <v>206.34</v>
      </c>
      <c r="BO935">
        <v>71.8</v>
      </c>
      <c r="BP935">
        <v>1.47</v>
      </c>
      <c r="BQ935">
        <v>64.489999999999995</v>
      </c>
      <c r="BR935">
        <v>172.51</v>
      </c>
      <c r="BS935">
        <v>0.72</v>
      </c>
      <c r="BT935">
        <v>5.66</v>
      </c>
      <c r="BU935">
        <v>118.32</v>
      </c>
      <c r="BV935">
        <v>10.6</v>
      </c>
      <c r="BW935">
        <v>109.48</v>
      </c>
      <c r="BX935">
        <v>23.17</v>
      </c>
      <c r="BY935">
        <v>90.75</v>
      </c>
      <c r="BZ935">
        <v>78.88</v>
      </c>
      <c r="CA935">
        <v>3.77</v>
      </c>
      <c r="CB935">
        <v>0.68</v>
      </c>
      <c r="CC935">
        <v>3.72</v>
      </c>
      <c r="CD935">
        <v>3.17</v>
      </c>
      <c r="CE935">
        <v>3.24</v>
      </c>
      <c r="CF935">
        <v>2.6</v>
      </c>
      <c r="CG935">
        <v>29.8</v>
      </c>
      <c r="CH935">
        <v>-9.57</v>
      </c>
      <c r="CI935">
        <v>-10.48</v>
      </c>
      <c r="CJ935">
        <v>25000</v>
      </c>
      <c r="CK935">
        <v>19946</v>
      </c>
      <c r="CL935" t="s">
        <v>5572</v>
      </c>
      <c r="CM935">
        <v>-29.79</v>
      </c>
      <c r="CN935">
        <v>-9.31</v>
      </c>
      <c r="CO935">
        <v>0.93</v>
      </c>
      <c r="CP935">
        <v>-6.99</v>
      </c>
      <c r="CQ935">
        <v>0.74</v>
      </c>
      <c r="CR935">
        <v>0.69</v>
      </c>
      <c r="CS935" t="s">
        <v>2744</v>
      </c>
      <c r="CT935">
        <v>4.67</v>
      </c>
      <c r="CU935">
        <v>0</v>
      </c>
      <c r="CV935">
        <v>1.51</v>
      </c>
      <c r="CW935">
        <v>1.94</v>
      </c>
      <c r="CX935">
        <v>-0.62</v>
      </c>
      <c r="CY935">
        <v>34.799999999999997</v>
      </c>
      <c r="CZ935" t="s">
        <v>2449</v>
      </c>
      <c r="DA935">
        <v>13.07</v>
      </c>
      <c r="DB935">
        <v>4.16</v>
      </c>
      <c r="DC935">
        <v>3.57</v>
      </c>
      <c r="DD935">
        <v>2.0299999999999998</v>
      </c>
      <c r="DE935">
        <v>5624</v>
      </c>
      <c r="DF935">
        <v>2482</v>
      </c>
      <c r="DG935" t="s">
        <v>116</v>
      </c>
      <c r="DH935" t="s">
        <v>116</v>
      </c>
      <c r="DI935" t="s">
        <v>116</v>
      </c>
    </row>
    <row r="936" spans="1:113" x14ac:dyDescent="0.4">
      <c r="A936" t="str">
        <f>"002483"</f>
        <v>002483</v>
      </c>
      <c r="B936" t="s">
        <v>5573</v>
      </c>
      <c r="C936">
        <v>-1.18</v>
      </c>
      <c r="D936">
        <v>4.18</v>
      </c>
      <c r="E936">
        <v>-0.05</v>
      </c>
      <c r="F936">
        <v>4.17</v>
      </c>
      <c r="G936">
        <v>4.18</v>
      </c>
      <c r="H936">
        <v>45167</v>
      </c>
      <c r="I936">
        <v>201</v>
      </c>
      <c r="J936">
        <v>-0.23</v>
      </c>
      <c r="K936">
        <v>0.67</v>
      </c>
      <c r="L936">
        <v>4.24</v>
      </c>
      <c r="M936">
        <v>4.25</v>
      </c>
      <c r="N936">
        <v>4.17</v>
      </c>
      <c r="O936">
        <v>4.2300000000000004</v>
      </c>
      <c r="P936">
        <v>36.42</v>
      </c>
      <c r="Q936">
        <v>19019898</v>
      </c>
      <c r="R936">
        <v>1.06</v>
      </c>
      <c r="S936" t="s">
        <v>598</v>
      </c>
      <c r="T936" t="s">
        <v>323</v>
      </c>
      <c r="U936">
        <v>1.89</v>
      </c>
      <c r="V936">
        <v>4.21</v>
      </c>
      <c r="W936">
        <v>29685</v>
      </c>
      <c r="X936">
        <v>15482</v>
      </c>
      <c r="Y936">
        <v>1.92</v>
      </c>
      <c r="Z936">
        <v>434</v>
      </c>
      <c r="AA936">
        <v>6</v>
      </c>
      <c r="AB936" t="s">
        <v>116</v>
      </c>
      <c r="AC936">
        <v>116600</v>
      </c>
      <c r="AD936">
        <v>0.01</v>
      </c>
      <c r="AE936" t="s">
        <v>116</v>
      </c>
      <c r="AF936" t="s">
        <v>116</v>
      </c>
      <c r="AG936">
        <v>6.71</v>
      </c>
      <c r="AH936" t="s">
        <v>5574</v>
      </c>
      <c r="AI936" t="s">
        <v>5575</v>
      </c>
      <c r="AJ936">
        <v>-0.5</v>
      </c>
      <c r="AK936">
        <v>844</v>
      </c>
      <c r="AL936">
        <v>54</v>
      </c>
      <c r="AM936">
        <v>8.0000000000000004E-4</v>
      </c>
      <c r="AN936">
        <v>-1</v>
      </c>
      <c r="AO936">
        <v>-0.23</v>
      </c>
      <c r="AP936">
        <v>3.21</v>
      </c>
      <c r="AQ936">
        <v>2.7</v>
      </c>
      <c r="AR936">
        <v>16.11</v>
      </c>
      <c r="AS936">
        <v>1.39</v>
      </c>
      <c r="AT936" t="s">
        <v>5576</v>
      </c>
      <c r="AU936">
        <v>48.8</v>
      </c>
      <c r="AV936">
        <v>42.93</v>
      </c>
      <c r="AW936">
        <v>0.85</v>
      </c>
      <c r="BA936">
        <v>0.24</v>
      </c>
      <c r="BB936">
        <v>0.47</v>
      </c>
      <c r="BC936">
        <v>-1.42</v>
      </c>
      <c r="BD936">
        <v>-0.45</v>
      </c>
      <c r="BE936">
        <v>-1.42</v>
      </c>
      <c r="BF936">
        <v>-1.65</v>
      </c>
      <c r="BG936">
        <v>0.24</v>
      </c>
      <c r="BH936">
        <v>-0.73</v>
      </c>
      <c r="BI936">
        <v>20191224</v>
      </c>
      <c r="BJ936">
        <v>20100929</v>
      </c>
      <c r="BK936">
        <v>6.72</v>
      </c>
      <c r="BL936" t="s">
        <v>116</v>
      </c>
      <c r="BM936" t="s">
        <v>116</v>
      </c>
      <c r="BN936">
        <v>52.06</v>
      </c>
      <c r="BO936">
        <v>25.44</v>
      </c>
      <c r="BP936">
        <v>3.97</v>
      </c>
      <c r="BQ936">
        <v>43.52</v>
      </c>
      <c r="BR936">
        <v>27.99</v>
      </c>
      <c r="BS936">
        <v>10.96</v>
      </c>
      <c r="BT936">
        <v>4.1900000000000004</v>
      </c>
      <c r="BU936">
        <v>18.829999999999998</v>
      </c>
      <c r="BV936">
        <v>12.45</v>
      </c>
      <c r="BW936">
        <v>3.51</v>
      </c>
      <c r="BX936">
        <v>16.03</v>
      </c>
      <c r="BY936">
        <v>12.23</v>
      </c>
      <c r="BZ936">
        <v>9.14</v>
      </c>
      <c r="CA936">
        <v>0.33</v>
      </c>
      <c r="CB936">
        <v>0.32</v>
      </c>
      <c r="CC936">
        <v>0.36</v>
      </c>
      <c r="CD936">
        <v>0.35</v>
      </c>
      <c r="CE936">
        <v>0.57999999999999996</v>
      </c>
      <c r="CF936">
        <v>0.4</v>
      </c>
      <c r="CG936">
        <v>2</v>
      </c>
      <c r="CH936">
        <v>3.34</v>
      </c>
      <c r="CI936">
        <v>1.49</v>
      </c>
      <c r="CJ936">
        <v>24809</v>
      </c>
      <c r="CK936">
        <v>13141</v>
      </c>
      <c r="CL936" t="s">
        <v>3469</v>
      </c>
      <c r="CM936">
        <v>-11.98</v>
      </c>
      <c r="CN936">
        <v>-17.07</v>
      </c>
      <c r="CO936">
        <v>1.1000000000000001</v>
      </c>
      <c r="CP936">
        <v>8.43</v>
      </c>
      <c r="CQ936">
        <v>2.2999999999999998</v>
      </c>
      <c r="CR936">
        <v>1.2</v>
      </c>
      <c r="CS936" t="s">
        <v>1469</v>
      </c>
      <c r="CT936">
        <v>3.78</v>
      </c>
      <c r="CU936">
        <v>0</v>
      </c>
      <c r="CV936">
        <v>2.38</v>
      </c>
      <c r="CW936">
        <v>0.3</v>
      </c>
      <c r="CX936">
        <v>0.5</v>
      </c>
      <c r="CY936">
        <v>48.87</v>
      </c>
      <c r="CZ936" t="s">
        <v>5577</v>
      </c>
      <c r="DA936">
        <v>25.28</v>
      </c>
      <c r="DB936">
        <v>2.66</v>
      </c>
      <c r="DC936">
        <v>4.7300000000000004</v>
      </c>
      <c r="DD936">
        <v>1.21</v>
      </c>
      <c r="DE936">
        <v>1822</v>
      </c>
      <c r="DF936">
        <v>2483</v>
      </c>
      <c r="DG936" t="s">
        <v>116</v>
      </c>
      <c r="DH936" t="s">
        <v>116</v>
      </c>
      <c r="DI936" t="s">
        <v>116</v>
      </c>
    </row>
    <row r="937" spans="1:113" x14ac:dyDescent="0.4">
      <c r="A937" t="str">
        <f>"002484"</f>
        <v>002484</v>
      </c>
      <c r="B937" t="s">
        <v>5578</v>
      </c>
      <c r="C937">
        <v>-2.85</v>
      </c>
      <c r="D937">
        <v>7.84</v>
      </c>
      <c r="E937">
        <v>-0.23</v>
      </c>
      <c r="F937">
        <v>7.83</v>
      </c>
      <c r="G937">
        <v>7.84</v>
      </c>
      <c r="H937">
        <v>152548</v>
      </c>
      <c r="I937">
        <v>2607</v>
      </c>
      <c r="J937">
        <v>-0.62</v>
      </c>
      <c r="K937">
        <v>2</v>
      </c>
      <c r="L937">
        <v>8.0399999999999991</v>
      </c>
      <c r="M937">
        <v>8.15</v>
      </c>
      <c r="N937">
        <v>7.84</v>
      </c>
      <c r="O937">
        <v>8.07</v>
      </c>
      <c r="P937">
        <v>28.25</v>
      </c>
      <c r="Q937">
        <v>121722776</v>
      </c>
      <c r="R937">
        <v>0.85</v>
      </c>
      <c r="S937" t="s">
        <v>233</v>
      </c>
      <c r="T937" t="s">
        <v>323</v>
      </c>
      <c r="U937">
        <v>3.84</v>
      </c>
      <c r="V937">
        <v>7.98</v>
      </c>
      <c r="W937">
        <v>92338</v>
      </c>
      <c r="X937">
        <v>60210</v>
      </c>
      <c r="Y937">
        <v>1.53</v>
      </c>
      <c r="Z937">
        <v>256</v>
      </c>
      <c r="AA937">
        <v>281</v>
      </c>
      <c r="AB937" t="s">
        <v>116</v>
      </c>
      <c r="AC937">
        <v>923000</v>
      </c>
      <c r="AD937">
        <v>0.03</v>
      </c>
      <c r="AE937" t="s">
        <v>116</v>
      </c>
      <c r="AF937" t="s">
        <v>116</v>
      </c>
      <c r="AG937">
        <v>7.64</v>
      </c>
      <c r="AH937" t="s">
        <v>5579</v>
      </c>
      <c r="AI937" t="s">
        <v>5580</v>
      </c>
      <c r="AJ937">
        <v>-2.17</v>
      </c>
      <c r="AK937">
        <v>2918</v>
      </c>
      <c r="AL937">
        <v>52</v>
      </c>
      <c r="AM937">
        <v>6.9999999999999999E-4</v>
      </c>
      <c r="AN937">
        <v>-1</v>
      </c>
      <c r="AO937">
        <v>4.26</v>
      </c>
      <c r="AP937">
        <v>12.32</v>
      </c>
      <c r="AQ937">
        <v>14.79</v>
      </c>
      <c r="AR937">
        <v>28.95</v>
      </c>
      <c r="AS937">
        <v>3.55</v>
      </c>
      <c r="AT937" t="s">
        <v>4794</v>
      </c>
      <c r="AU937">
        <v>27.19</v>
      </c>
      <c r="AV937">
        <v>26.24</v>
      </c>
      <c r="AW937">
        <v>1.47</v>
      </c>
      <c r="BA937">
        <v>-0.37</v>
      </c>
      <c r="BB937">
        <v>0.99</v>
      </c>
      <c r="BC937">
        <v>-2.85</v>
      </c>
      <c r="BD937">
        <v>-1.1200000000000001</v>
      </c>
      <c r="BE937">
        <v>-2.4900000000000002</v>
      </c>
      <c r="BF937">
        <v>-3.8</v>
      </c>
      <c r="BG937">
        <v>0</v>
      </c>
      <c r="BH937">
        <v>-1.73</v>
      </c>
      <c r="BI937">
        <v>20191030</v>
      </c>
      <c r="BJ937">
        <v>20100929</v>
      </c>
      <c r="BK937">
        <v>8.15</v>
      </c>
      <c r="BL937" t="s">
        <v>116</v>
      </c>
      <c r="BM937" t="s">
        <v>116</v>
      </c>
      <c r="BN937">
        <v>43.39</v>
      </c>
      <c r="BO937">
        <v>33.76</v>
      </c>
      <c r="BP937">
        <v>2.06</v>
      </c>
      <c r="BQ937">
        <v>17.440000000000001</v>
      </c>
      <c r="BR937">
        <v>25.67</v>
      </c>
      <c r="BS937">
        <v>7.87</v>
      </c>
      <c r="BT937">
        <v>1.04</v>
      </c>
      <c r="BU937">
        <v>7.15</v>
      </c>
      <c r="BV937">
        <v>4.43</v>
      </c>
      <c r="BW937">
        <v>6.69</v>
      </c>
      <c r="BX937">
        <v>13.84</v>
      </c>
      <c r="BY937">
        <v>14.84</v>
      </c>
      <c r="BZ937">
        <v>10.42</v>
      </c>
      <c r="CA937">
        <v>2.34</v>
      </c>
      <c r="CB937">
        <v>0.18</v>
      </c>
      <c r="CC937">
        <v>2.33</v>
      </c>
      <c r="CD937">
        <v>1.94</v>
      </c>
      <c r="CE937">
        <v>1.7</v>
      </c>
      <c r="CF937">
        <v>1.35</v>
      </c>
      <c r="CG937">
        <v>9.9700000000000006</v>
      </c>
      <c r="CH937">
        <v>0.6</v>
      </c>
      <c r="CI937">
        <v>-0.3</v>
      </c>
      <c r="CJ937">
        <v>24478</v>
      </c>
      <c r="CK937">
        <v>17542</v>
      </c>
      <c r="CL937" t="s">
        <v>3678</v>
      </c>
      <c r="CM937">
        <v>-4.76</v>
      </c>
      <c r="CN937">
        <v>7.58</v>
      </c>
      <c r="CO937">
        <v>1.89</v>
      </c>
      <c r="CP937">
        <v>106.21</v>
      </c>
      <c r="CQ937">
        <v>4.3099999999999996</v>
      </c>
      <c r="CR937">
        <v>1.02</v>
      </c>
      <c r="CS937" t="s">
        <v>1959</v>
      </c>
      <c r="CT937">
        <v>4.1399999999999997</v>
      </c>
      <c r="CU937">
        <v>0</v>
      </c>
      <c r="CV937">
        <v>1.7</v>
      </c>
      <c r="CW937">
        <v>1.22</v>
      </c>
      <c r="CX937">
        <v>7.0000000000000007E-2</v>
      </c>
      <c r="CY937">
        <v>77.81</v>
      </c>
      <c r="CZ937" t="s">
        <v>3510</v>
      </c>
      <c r="DA937">
        <v>29.78</v>
      </c>
      <c r="DB937">
        <v>15.75</v>
      </c>
      <c r="DC937">
        <v>11.43</v>
      </c>
      <c r="DD937">
        <v>0.91</v>
      </c>
      <c r="DE937">
        <v>3016</v>
      </c>
      <c r="DF937">
        <v>2484</v>
      </c>
      <c r="DG937" t="s">
        <v>116</v>
      </c>
      <c r="DH937" t="s">
        <v>116</v>
      </c>
      <c r="DI937" t="s">
        <v>116</v>
      </c>
    </row>
    <row r="938" spans="1:113" x14ac:dyDescent="0.4">
      <c r="A938" t="str">
        <f>"002485"</f>
        <v>002485</v>
      </c>
      <c r="B938" t="s">
        <v>5581</v>
      </c>
      <c r="C938">
        <v>10.06</v>
      </c>
      <c r="D938">
        <v>6.78</v>
      </c>
      <c r="E938">
        <v>0.62</v>
      </c>
      <c r="F938">
        <v>6.78</v>
      </c>
      <c r="G938" t="s">
        <v>116</v>
      </c>
      <c r="H938">
        <v>166309</v>
      </c>
      <c r="I938">
        <v>435</v>
      </c>
      <c r="J938">
        <v>0</v>
      </c>
      <c r="K938">
        <v>3.06</v>
      </c>
      <c r="L938">
        <v>6.19</v>
      </c>
      <c r="M938">
        <v>6.78</v>
      </c>
      <c r="N938">
        <v>6.18</v>
      </c>
      <c r="O938">
        <v>6.16</v>
      </c>
      <c r="P938">
        <v>32.26</v>
      </c>
      <c r="Q938">
        <v>111574656</v>
      </c>
      <c r="R938">
        <v>8.25</v>
      </c>
      <c r="S938" t="s">
        <v>3070</v>
      </c>
      <c r="T938" t="s">
        <v>645</v>
      </c>
      <c r="U938">
        <v>9.74</v>
      </c>
      <c r="V938">
        <v>6.71</v>
      </c>
      <c r="W938">
        <v>107867</v>
      </c>
      <c r="X938">
        <v>58442</v>
      </c>
      <c r="Y938">
        <v>1.85</v>
      </c>
      <c r="Z938">
        <v>24569</v>
      </c>
      <c r="AA938">
        <v>0</v>
      </c>
      <c r="AB938" t="s">
        <v>116</v>
      </c>
      <c r="AC938">
        <v>179500</v>
      </c>
      <c r="AD938">
        <v>0.02</v>
      </c>
      <c r="AE938">
        <v>0.15</v>
      </c>
      <c r="AF938">
        <v>16657783</v>
      </c>
      <c r="AG938">
        <v>5.44</v>
      </c>
      <c r="AH938" t="s">
        <v>5582</v>
      </c>
      <c r="AI938" t="s">
        <v>5582</v>
      </c>
      <c r="AJ938">
        <v>10.74</v>
      </c>
      <c r="AK938">
        <v>1155</v>
      </c>
      <c r="AL938">
        <v>144</v>
      </c>
      <c r="AM938">
        <v>2.5999999999999999E-3</v>
      </c>
      <c r="AN938">
        <v>2</v>
      </c>
      <c r="AO938">
        <v>11.14</v>
      </c>
      <c r="AP938">
        <v>10.97</v>
      </c>
      <c r="AQ938">
        <v>-0.59</v>
      </c>
      <c r="AR938">
        <v>-10.4</v>
      </c>
      <c r="AS938">
        <v>9.7100000000000009</v>
      </c>
      <c r="AT938" t="s">
        <v>5583</v>
      </c>
      <c r="AU938">
        <v>27.27</v>
      </c>
      <c r="AV938">
        <v>28.62</v>
      </c>
      <c r="AW938">
        <v>0.97</v>
      </c>
      <c r="BA938">
        <v>0.49</v>
      </c>
      <c r="BB938">
        <v>10.06</v>
      </c>
      <c r="BC938">
        <v>0.32</v>
      </c>
      <c r="BD938">
        <v>8.91</v>
      </c>
      <c r="BE938">
        <v>9.5299999999999994</v>
      </c>
      <c r="BF938">
        <v>0</v>
      </c>
      <c r="BG938">
        <v>9.7100000000000009</v>
      </c>
      <c r="BH938">
        <v>1.1499999999999999</v>
      </c>
      <c r="BI938">
        <v>20191029</v>
      </c>
      <c r="BJ938">
        <v>20101015</v>
      </c>
      <c r="BK938">
        <v>5.44</v>
      </c>
      <c r="BL938" t="s">
        <v>116</v>
      </c>
      <c r="BM938" t="s">
        <v>116</v>
      </c>
      <c r="BN938">
        <v>38.46</v>
      </c>
      <c r="BO938">
        <v>23.04</v>
      </c>
      <c r="BP938">
        <v>0.84</v>
      </c>
      <c r="BQ938">
        <v>37.9</v>
      </c>
      <c r="BR938">
        <v>12.18</v>
      </c>
      <c r="BS938">
        <v>2.54</v>
      </c>
      <c r="BT938">
        <v>6.31</v>
      </c>
      <c r="BU938">
        <v>10.4</v>
      </c>
      <c r="BV938">
        <v>2.4</v>
      </c>
      <c r="BW938">
        <v>5.68</v>
      </c>
      <c r="BX938">
        <v>10.47</v>
      </c>
      <c r="BY938">
        <v>28.04</v>
      </c>
      <c r="BZ938">
        <v>24.3</v>
      </c>
      <c r="CA938">
        <v>1</v>
      </c>
      <c r="CB938">
        <v>0</v>
      </c>
      <c r="CC938">
        <v>1.69</v>
      </c>
      <c r="CD938">
        <v>1.28</v>
      </c>
      <c r="CE938">
        <v>0.86</v>
      </c>
      <c r="CF938">
        <v>0.35</v>
      </c>
      <c r="CG938">
        <v>6.09</v>
      </c>
      <c r="CH938">
        <v>0.46</v>
      </c>
      <c r="CI938">
        <v>-0.23</v>
      </c>
      <c r="CJ938">
        <v>17291</v>
      </c>
      <c r="CK938">
        <v>9909</v>
      </c>
      <c r="CL938" t="s">
        <v>4077</v>
      </c>
      <c r="CM938">
        <v>7.99</v>
      </c>
      <c r="CN938">
        <v>182.67</v>
      </c>
      <c r="CO938">
        <v>1.6</v>
      </c>
      <c r="CP938">
        <v>80.099999999999994</v>
      </c>
      <c r="CQ938">
        <v>1.32</v>
      </c>
      <c r="CR938">
        <v>0.34</v>
      </c>
      <c r="CS938" t="s">
        <v>3427</v>
      </c>
      <c r="CT938">
        <v>4.24</v>
      </c>
      <c r="CU938">
        <v>0</v>
      </c>
      <c r="CV938">
        <v>1.92</v>
      </c>
      <c r="CW938">
        <v>1.1200000000000001</v>
      </c>
      <c r="CX938">
        <v>0.08</v>
      </c>
      <c r="CY938">
        <v>59.91</v>
      </c>
      <c r="CZ938" t="s">
        <v>179</v>
      </c>
      <c r="DA938">
        <v>13.33</v>
      </c>
      <c r="DB938">
        <v>3.58</v>
      </c>
      <c r="DC938">
        <v>3.06</v>
      </c>
      <c r="DD938">
        <v>0</v>
      </c>
      <c r="DE938">
        <v>589</v>
      </c>
      <c r="DF938">
        <v>2485</v>
      </c>
      <c r="DG938" t="s">
        <v>116</v>
      </c>
      <c r="DH938" t="s">
        <v>116</v>
      </c>
      <c r="DI938" t="s">
        <v>116</v>
      </c>
    </row>
    <row r="939" spans="1:113" x14ac:dyDescent="0.4">
      <c r="A939" t="str">
        <f>"002486"</f>
        <v>002486</v>
      </c>
      <c r="B939" t="s">
        <v>5584</v>
      </c>
      <c r="C939">
        <v>1.2</v>
      </c>
      <c r="D939">
        <v>3.36</v>
      </c>
      <c r="E939">
        <v>0.04</v>
      </c>
      <c r="F939">
        <v>3.35</v>
      </c>
      <c r="G939">
        <v>3.36</v>
      </c>
      <c r="H939">
        <v>263442</v>
      </c>
      <c r="I939">
        <v>2893</v>
      </c>
      <c r="J939">
        <v>0.6</v>
      </c>
      <c r="K939">
        <v>3.17</v>
      </c>
      <c r="L939">
        <v>3.32</v>
      </c>
      <c r="M939">
        <v>3.4</v>
      </c>
      <c r="N939">
        <v>3.29</v>
      </c>
      <c r="O939">
        <v>3.32</v>
      </c>
      <c r="P939" t="s">
        <v>116</v>
      </c>
      <c r="Q939">
        <v>88452520</v>
      </c>
      <c r="R939">
        <v>1.81</v>
      </c>
      <c r="S939" t="s">
        <v>3070</v>
      </c>
      <c r="T939" t="s">
        <v>1653</v>
      </c>
      <c r="U939">
        <v>3.31</v>
      </c>
      <c r="V939">
        <v>3.36</v>
      </c>
      <c r="W939">
        <v>116536</v>
      </c>
      <c r="X939">
        <v>146906</v>
      </c>
      <c r="Y939">
        <v>0.79</v>
      </c>
      <c r="Z939">
        <v>817</v>
      </c>
      <c r="AA939">
        <v>1226</v>
      </c>
      <c r="AB939" t="s">
        <v>116</v>
      </c>
      <c r="AC939">
        <v>285900</v>
      </c>
      <c r="AD939">
        <v>0.01</v>
      </c>
      <c r="AE939" t="s">
        <v>116</v>
      </c>
      <c r="AF939" t="s">
        <v>116</v>
      </c>
      <c r="AG939">
        <v>8.32</v>
      </c>
      <c r="AH939" t="s">
        <v>2054</v>
      </c>
      <c r="AI939" t="s">
        <v>2054</v>
      </c>
      <c r="AJ939">
        <v>1.88</v>
      </c>
      <c r="AK939">
        <v>2223</v>
      </c>
      <c r="AL939">
        <v>119</v>
      </c>
      <c r="AM939">
        <v>1.4E-3</v>
      </c>
      <c r="AN939">
        <v>1</v>
      </c>
      <c r="AO939">
        <v>0</v>
      </c>
      <c r="AP939">
        <v>1.2</v>
      </c>
      <c r="AQ939">
        <v>-32.93</v>
      </c>
      <c r="AR939">
        <v>-12.04</v>
      </c>
      <c r="AS939">
        <v>4.33</v>
      </c>
      <c r="AT939" t="s">
        <v>5585</v>
      </c>
      <c r="AU939" t="s">
        <v>116</v>
      </c>
      <c r="AV939">
        <v>159.03</v>
      </c>
      <c r="AW939">
        <v>0.87</v>
      </c>
      <c r="BA939">
        <v>0</v>
      </c>
      <c r="BB939">
        <v>2.41</v>
      </c>
      <c r="BC939">
        <v>-0.9</v>
      </c>
      <c r="BD939">
        <v>1.1299999999999999</v>
      </c>
      <c r="BE939">
        <v>1.2</v>
      </c>
      <c r="BF939">
        <v>-1.18</v>
      </c>
      <c r="BG939">
        <v>2.13</v>
      </c>
      <c r="BH939">
        <v>7.0000000000000007E-2</v>
      </c>
      <c r="BI939">
        <v>20191129</v>
      </c>
      <c r="BJ939">
        <v>20101015</v>
      </c>
      <c r="BK939">
        <v>8.32</v>
      </c>
      <c r="BL939" t="s">
        <v>116</v>
      </c>
      <c r="BM939" t="s">
        <v>116</v>
      </c>
      <c r="BN939">
        <v>11.22</v>
      </c>
      <c r="BO939">
        <v>9.2100000000000009</v>
      </c>
      <c r="BP939">
        <v>0.03</v>
      </c>
      <c r="BQ939">
        <v>17.62</v>
      </c>
      <c r="BR939">
        <v>5.83</v>
      </c>
      <c r="BS939">
        <v>2.91</v>
      </c>
      <c r="BT939">
        <v>0.11</v>
      </c>
      <c r="BU939">
        <v>1.81</v>
      </c>
      <c r="BV939">
        <v>2.72</v>
      </c>
      <c r="BW939">
        <v>2.09</v>
      </c>
      <c r="BX939">
        <v>0.02</v>
      </c>
      <c r="BY939">
        <v>7.27</v>
      </c>
      <c r="BZ939">
        <v>5.79</v>
      </c>
      <c r="CA939">
        <v>0.21</v>
      </c>
      <c r="CB939">
        <v>0.13</v>
      </c>
      <c r="CC939">
        <v>0.2</v>
      </c>
      <c r="CD939">
        <v>-0.19</v>
      </c>
      <c r="CE939">
        <v>-0.19</v>
      </c>
      <c r="CF939">
        <v>-0.23</v>
      </c>
      <c r="CG939">
        <v>0.8</v>
      </c>
      <c r="CH939">
        <v>-0.61</v>
      </c>
      <c r="CI939">
        <v>-0.65</v>
      </c>
      <c r="CJ939">
        <v>84000</v>
      </c>
      <c r="CK939">
        <v>7235</v>
      </c>
      <c r="CL939" t="s">
        <v>2038</v>
      </c>
      <c r="CM939">
        <v>-284.5</v>
      </c>
      <c r="CN939">
        <v>16.43</v>
      </c>
      <c r="CO939">
        <v>3.03</v>
      </c>
      <c r="CP939">
        <v>-45.75</v>
      </c>
      <c r="CQ939">
        <v>3.85</v>
      </c>
      <c r="CR939">
        <v>0</v>
      </c>
      <c r="CS939" t="s">
        <v>620</v>
      </c>
      <c r="CT939">
        <v>1.1100000000000001</v>
      </c>
      <c r="CU939">
        <v>0</v>
      </c>
      <c r="CV939">
        <v>0</v>
      </c>
      <c r="CW939">
        <v>0.1</v>
      </c>
      <c r="CX939">
        <v>-7.0000000000000007E-2</v>
      </c>
      <c r="CY939">
        <v>82.1</v>
      </c>
      <c r="CZ939" t="s">
        <v>1708</v>
      </c>
      <c r="DA939">
        <v>20.32</v>
      </c>
      <c r="DB939">
        <v>2.88</v>
      </c>
      <c r="DC939">
        <v>-2.63</v>
      </c>
      <c r="DD939">
        <v>0.08</v>
      </c>
      <c r="DE939">
        <v>1701</v>
      </c>
      <c r="DF939">
        <v>2486</v>
      </c>
      <c r="DG939" t="s">
        <v>116</v>
      </c>
      <c r="DH939" t="s">
        <v>116</v>
      </c>
      <c r="DI939" t="s">
        <v>116</v>
      </c>
    </row>
    <row r="940" spans="1:113" x14ac:dyDescent="0.4">
      <c r="A940" t="str">
        <f>"002487"</f>
        <v>002487</v>
      </c>
      <c r="B940" t="s">
        <v>5586</v>
      </c>
      <c r="C940">
        <v>-0.98</v>
      </c>
      <c r="D940">
        <v>5.0599999999999996</v>
      </c>
      <c r="E940">
        <v>-0.05</v>
      </c>
      <c r="F940">
        <v>5.0599999999999996</v>
      </c>
      <c r="G940">
        <v>5.08</v>
      </c>
      <c r="H940">
        <v>52642</v>
      </c>
      <c r="I940">
        <v>394</v>
      </c>
      <c r="J940">
        <v>-0.19</v>
      </c>
      <c r="K940">
        <v>0.98</v>
      </c>
      <c r="L940">
        <v>5.14</v>
      </c>
      <c r="M940">
        <v>5.19</v>
      </c>
      <c r="N940">
        <v>5.05</v>
      </c>
      <c r="O940">
        <v>5.1100000000000003</v>
      </c>
      <c r="P940">
        <v>19.010000000000002</v>
      </c>
      <c r="Q940">
        <v>26985658</v>
      </c>
      <c r="R940">
        <v>0.8</v>
      </c>
      <c r="S940" t="s">
        <v>2118</v>
      </c>
      <c r="T940" t="s">
        <v>434</v>
      </c>
      <c r="U940">
        <v>2.74</v>
      </c>
      <c r="V940">
        <v>5.13</v>
      </c>
      <c r="W940">
        <v>29580</v>
      </c>
      <c r="X940">
        <v>23062</v>
      </c>
      <c r="Y940">
        <v>1.28</v>
      </c>
      <c r="Z940">
        <v>1597</v>
      </c>
      <c r="AA940">
        <v>277</v>
      </c>
      <c r="AB940" t="s">
        <v>116</v>
      </c>
      <c r="AC940">
        <v>87400</v>
      </c>
      <c r="AD940">
        <v>0.01</v>
      </c>
      <c r="AE940" t="s">
        <v>116</v>
      </c>
      <c r="AF940" t="s">
        <v>116</v>
      </c>
      <c r="AG940">
        <v>5.37</v>
      </c>
      <c r="AH940" t="s">
        <v>5587</v>
      </c>
      <c r="AI940" t="s">
        <v>5588</v>
      </c>
      <c r="AJ940">
        <v>-0.3</v>
      </c>
      <c r="AK940">
        <v>1575</v>
      </c>
      <c r="AL940">
        <v>33</v>
      </c>
      <c r="AM940">
        <v>5.9999999999999995E-4</v>
      </c>
      <c r="AN940">
        <v>-1</v>
      </c>
      <c r="AO940">
        <v>-1.56</v>
      </c>
      <c r="AP940">
        <v>2.02</v>
      </c>
      <c r="AQ940">
        <v>-2.5</v>
      </c>
      <c r="AR940">
        <v>51.95</v>
      </c>
      <c r="AS940">
        <v>1.83</v>
      </c>
      <c r="AT940" t="s">
        <v>5589</v>
      </c>
      <c r="AU940">
        <v>22.13</v>
      </c>
      <c r="AV940">
        <v>44.76</v>
      </c>
      <c r="AW940">
        <v>1.28</v>
      </c>
      <c r="BA940">
        <v>0.59</v>
      </c>
      <c r="BB940">
        <v>1.57</v>
      </c>
      <c r="BC940">
        <v>-1.17</v>
      </c>
      <c r="BD940">
        <v>0.32</v>
      </c>
      <c r="BE940">
        <v>-1.56</v>
      </c>
      <c r="BF940">
        <v>-2.5</v>
      </c>
      <c r="BG940">
        <v>0.2</v>
      </c>
      <c r="BH940">
        <v>-1.3</v>
      </c>
      <c r="BI940">
        <v>20191223</v>
      </c>
      <c r="BJ940">
        <v>20101015</v>
      </c>
      <c r="BK940">
        <v>5.55</v>
      </c>
      <c r="BL940" t="s">
        <v>116</v>
      </c>
      <c r="BM940" t="s">
        <v>116</v>
      </c>
      <c r="BN940">
        <v>35.97</v>
      </c>
      <c r="BO940">
        <v>19.399999999999999</v>
      </c>
      <c r="BP940">
        <v>0</v>
      </c>
      <c r="BQ940">
        <v>46.07</v>
      </c>
      <c r="BR940">
        <v>25.85</v>
      </c>
      <c r="BS940">
        <v>4.5999999999999996</v>
      </c>
      <c r="BT940">
        <v>1.1100000000000001</v>
      </c>
      <c r="BU940">
        <v>14.06</v>
      </c>
      <c r="BV940">
        <v>6.98</v>
      </c>
      <c r="BW940">
        <v>6.61</v>
      </c>
      <c r="BX940">
        <v>8.07</v>
      </c>
      <c r="BY940">
        <v>11.98</v>
      </c>
      <c r="BZ940">
        <v>9.51</v>
      </c>
      <c r="CA940">
        <v>1.33</v>
      </c>
      <c r="CB940">
        <v>0.09</v>
      </c>
      <c r="CC940">
        <v>1.31</v>
      </c>
      <c r="CD940">
        <v>1.1100000000000001</v>
      </c>
      <c r="CE940">
        <v>1.1100000000000001</v>
      </c>
      <c r="CF940">
        <v>1</v>
      </c>
      <c r="CG940">
        <v>5.53</v>
      </c>
      <c r="CH940">
        <v>1.5</v>
      </c>
      <c r="CI940">
        <v>1.39</v>
      </c>
      <c r="CJ940">
        <v>39147</v>
      </c>
      <c r="CK940">
        <v>7334</v>
      </c>
      <c r="CL940" t="s">
        <v>1923</v>
      </c>
      <c r="CM940">
        <v>137.51</v>
      </c>
      <c r="CN940">
        <v>60.24</v>
      </c>
      <c r="CO940">
        <v>1.45</v>
      </c>
      <c r="CP940">
        <v>18.760000000000002</v>
      </c>
      <c r="CQ940">
        <v>2.34</v>
      </c>
      <c r="CR940">
        <v>0.2</v>
      </c>
      <c r="CS940" t="s">
        <v>541</v>
      </c>
      <c r="CT940">
        <v>3.49</v>
      </c>
      <c r="CU940">
        <v>0</v>
      </c>
      <c r="CV940">
        <v>1.45</v>
      </c>
      <c r="CW940">
        <v>1</v>
      </c>
      <c r="CX940">
        <v>0.27</v>
      </c>
      <c r="CY940">
        <v>53.93</v>
      </c>
      <c r="CZ940" t="s">
        <v>3661</v>
      </c>
      <c r="DA940">
        <v>20.64</v>
      </c>
      <c r="DB940">
        <v>11.13</v>
      </c>
      <c r="DC940">
        <v>9.25</v>
      </c>
      <c r="DD940">
        <v>0.37</v>
      </c>
      <c r="DE940">
        <v>503</v>
      </c>
      <c r="DF940">
        <v>2487</v>
      </c>
      <c r="DG940" t="s">
        <v>116</v>
      </c>
      <c r="DH940" t="s">
        <v>116</v>
      </c>
      <c r="DI940" t="s">
        <v>116</v>
      </c>
    </row>
    <row r="941" spans="1:113" x14ac:dyDescent="0.4">
      <c r="A941" t="str">
        <f>"002488"</f>
        <v>002488</v>
      </c>
      <c r="B941" t="s">
        <v>5590</v>
      </c>
      <c r="C941">
        <v>-1.1100000000000001</v>
      </c>
      <c r="D941">
        <v>7.15</v>
      </c>
      <c r="E941">
        <v>-0.08</v>
      </c>
      <c r="F941">
        <v>7.14</v>
      </c>
      <c r="G941">
        <v>7.15</v>
      </c>
      <c r="H941">
        <v>188230</v>
      </c>
      <c r="I941">
        <v>2178</v>
      </c>
      <c r="J941">
        <v>-0.27</v>
      </c>
      <c r="K941">
        <v>2.4500000000000002</v>
      </c>
      <c r="L941">
        <v>7.27</v>
      </c>
      <c r="M941">
        <v>7.29</v>
      </c>
      <c r="N941">
        <v>7.1</v>
      </c>
      <c r="O941">
        <v>7.23</v>
      </c>
      <c r="P941">
        <v>74.290000000000006</v>
      </c>
      <c r="Q941">
        <v>135569920</v>
      </c>
      <c r="R941">
        <v>1.23</v>
      </c>
      <c r="S941" t="s">
        <v>293</v>
      </c>
      <c r="T941" t="s">
        <v>590</v>
      </c>
      <c r="U941">
        <v>2.63</v>
      </c>
      <c r="V941">
        <v>7.2</v>
      </c>
      <c r="W941">
        <v>98527</v>
      </c>
      <c r="X941">
        <v>89703</v>
      </c>
      <c r="Y941">
        <v>1.1000000000000001</v>
      </c>
      <c r="Z941">
        <v>454</v>
      </c>
      <c r="AA941">
        <v>1457</v>
      </c>
      <c r="AB941" t="s">
        <v>116</v>
      </c>
      <c r="AC941">
        <v>258100</v>
      </c>
      <c r="AD941">
        <v>0.01</v>
      </c>
      <c r="AE941" t="s">
        <v>116</v>
      </c>
      <c r="AF941" t="s">
        <v>116</v>
      </c>
      <c r="AG941">
        <v>7.69</v>
      </c>
      <c r="AH941" t="s">
        <v>5591</v>
      </c>
      <c r="AI941" t="s">
        <v>5592</v>
      </c>
      <c r="AJ941">
        <v>-0.43</v>
      </c>
      <c r="AK941">
        <v>2372</v>
      </c>
      <c r="AL941">
        <v>79</v>
      </c>
      <c r="AM941">
        <v>1E-3</v>
      </c>
      <c r="AN941">
        <v>-1</v>
      </c>
      <c r="AO941">
        <v>-1.1000000000000001</v>
      </c>
      <c r="AP941">
        <v>0.99</v>
      </c>
      <c r="AQ941">
        <v>0</v>
      </c>
      <c r="AR941">
        <v>7.84</v>
      </c>
      <c r="AS941">
        <v>3.1</v>
      </c>
      <c r="AT941" t="s">
        <v>5593</v>
      </c>
      <c r="AU941">
        <v>65.3</v>
      </c>
      <c r="AV941">
        <v>44.03</v>
      </c>
      <c r="AW941">
        <v>2.02</v>
      </c>
      <c r="BA941">
        <v>0.55000000000000004</v>
      </c>
      <c r="BB941">
        <v>0.83</v>
      </c>
      <c r="BC941">
        <v>-1.8</v>
      </c>
      <c r="BD941">
        <v>-0.38</v>
      </c>
      <c r="BE941">
        <v>-1.65</v>
      </c>
      <c r="BF941">
        <v>-1.92</v>
      </c>
      <c r="BG941">
        <v>0.7</v>
      </c>
      <c r="BH941">
        <v>-0.72</v>
      </c>
      <c r="BI941">
        <v>20191202</v>
      </c>
      <c r="BJ941">
        <v>20101021</v>
      </c>
      <c r="BK941">
        <v>10.11</v>
      </c>
      <c r="BL941" t="s">
        <v>116</v>
      </c>
      <c r="BM941" t="s">
        <v>116</v>
      </c>
      <c r="BN941">
        <v>73.55</v>
      </c>
      <c r="BO941">
        <v>40.090000000000003</v>
      </c>
      <c r="BP941">
        <v>0.32</v>
      </c>
      <c r="BQ941">
        <v>45.06</v>
      </c>
      <c r="BR941">
        <v>32.369999999999997</v>
      </c>
      <c r="BS941">
        <v>9.8699999999999992</v>
      </c>
      <c r="BT941">
        <v>2.57</v>
      </c>
      <c r="BU941">
        <v>29.6</v>
      </c>
      <c r="BV941">
        <v>8.39</v>
      </c>
      <c r="BW941">
        <v>4.07</v>
      </c>
      <c r="BX941">
        <v>30.31</v>
      </c>
      <c r="BY941">
        <v>14.64</v>
      </c>
      <c r="BZ941">
        <v>11.2</v>
      </c>
      <c r="CA941">
        <v>0.91</v>
      </c>
      <c r="CB941">
        <v>0.36</v>
      </c>
      <c r="CC941">
        <v>0.91</v>
      </c>
      <c r="CD941">
        <v>0.71</v>
      </c>
      <c r="CE941">
        <v>0.73</v>
      </c>
      <c r="CF941">
        <v>0.01</v>
      </c>
      <c r="CG941">
        <v>1.56</v>
      </c>
      <c r="CH941">
        <v>-3.55</v>
      </c>
      <c r="CI941">
        <v>-7.31</v>
      </c>
      <c r="CJ941">
        <v>72474</v>
      </c>
      <c r="CK941">
        <v>8383</v>
      </c>
      <c r="CL941" t="s">
        <v>3973</v>
      </c>
      <c r="CM941">
        <v>-42.28</v>
      </c>
      <c r="CN941">
        <v>-34.57</v>
      </c>
      <c r="CO941">
        <v>1.8</v>
      </c>
      <c r="CP941">
        <v>-20.39</v>
      </c>
      <c r="CQ941">
        <v>4.9400000000000004</v>
      </c>
      <c r="CR941">
        <v>0</v>
      </c>
      <c r="CS941" t="s">
        <v>1303</v>
      </c>
      <c r="CT941">
        <v>3.96</v>
      </c>
      <c r="CU941">
        <v>0</v>
      </c>
      <c r="CV941">
        <v>3</v>
      </c>
      <c r="CW941">
        <v>0.15</v>
      </c>
      <c r="CX941">
        <v>-0.35</v>
      </c>
      <c r="CY941">
        <v>54.51</v>
      </c>
      <c r="CZ941" t="s">
        <v>5594</v>
      </c>
      <c r="DA941">
        <v>23.49</v>
      </c>
      <c r="DB941">
        <v>6.22</v>
      </c>
      <c r="DC941">
        <v>4.99</v>
      </c>
      <c r="DD941">
        <v>0.23</v>
      </c>
      <c r="DE941">
        <v>1916</v>
      </c>
      <c r="DF941">
        <v>2488</v>
      </c>
      <c r="DG941" t="s">
        <v>116</v>
      </c>
      <c r="DH941" t="s">
        <v>116</v>
      </c>
      <c r="DI941" t="s">
        <v>116</v>
      </c>
    </row>
    <row r="942" spans="1:113" x14ac:dyDescent="0.4">
      <c r="A942" t="str">
        <f>"002489"</f>
        <v>002489</v>
      </c>
      <c r="B942" t="s">
        <v>5595</v>
      </c>
      <c r="C942">
        <v>-0.72</v>
      </c>
      <c r="D942">
        <v>4.13</v>
      </c>
      <c r="E942">
        <v>-0.03</v>
      </c>
      <c r="F942">
        <v>4.13</v>
      </c>
      <c r="G942">
        <v>4.1399999999999997</v>
      </c>
      <c r="H942">
        <v>96909</v>
      </c>
      <c r="I942">
        <v>2748</v>
      </c>
      <c r="J942">
        <v>0</v>
      </c>
      <c r="K942">
        <v>0.52</v>
      </c>
      <c r="L942">
        <v>4.16</v>
      </c>
      <c r="M942">
        <v>4.18</v>
      </c>
      <c r="N942">
        <v>4.12</v>
      </c>
      <c r="O942">
        <v>4.16</v>
      </c>
      <c r="P942">
        <v>18.88</v>
      </c>
      <c r="Q942">
        <v>40177648</v>
      </c>
      <c r="R942">
        <v>0.56999999999999995</v>
      </c>
      <c r="S942" t="s">
        <v>2640</v>
      </c>
      <c r="T942" t="s">
        <v>590</v>
      </c>
      <c r="U942">
        <v>1.44</v>
      </c>
      <c r="V942">
        <v>4.1500000000000004</v>
      </c>
      <c r="W942">
        <v>54805</v>
      </c>
      <c r="X942">
        <v>42104</v>
      </c>
      <c r="Y942">
        <v>1.3</v>
      </c>
      <c r="Z942">
        <v>245</v>
      </c>
      <c r="AA942">
        <v>440</v>
      </c>
      <c r="AB942" t="s">
        <v>116</v>
      </c>
      <c r="AC942">
        <v>92400</v>
      </c>
      <c r="AD942">
        <v>0</v>
      </c>
      <c r="AE942" t="s">
        <v>116</v>
      </c>
      <c r="AF942" t="s">
        <v>116</v>
      </c>
      <c r="AG942">
        <v>18.79</v>
      </c>
      <c r="AH942" t="s">
        <v>5596</v>
      </c>
      <c r="AI942" t="s">
        <v>5597</v>
      </c>
      <c r="AJ942">
        <v>-0.04</v>
      </c>
      <c r="AK942">
        <v>1529</v>
      </c>
      <c r="AL942">
        <v>63</v>
      </c>
      <c r="AM942">
        <v>2.9999999999999997E-4</v>
      </c>
      <c r="AN942">
        <v>-1</v>
      </c>
      <c r="AO942">
        <v>-2.36</v>
      </c>
      <c r="AP942">
        <v>-2.59</v>
      </c>
      <c r="AQ942">
        <v>16.34</v>
      </c>
      <c r="AR942">
        <v>60.08</v>
      </c>
      <c r="AS942">
        <v>1.06</v>
      </c>
      <c r="AT942" t="s">
        <v>989</v>
      </c>
      <c r="AU942">
        <v>24.86</v>
      </c>
      <c r="AV942" t="s">
        <v>116</v>
      </c>
      <c r="AW942">
        <v>0.48</v>
      </c>
      <c r="BA942">
        <v>0</v>
      </c>
      <c r="BB942">
        <v>0.48</v>
      </c>
      <c r="BC942">
        <v>-0.96</v>
      </c>
      <c r="BD942">
        <v>-0.34</v>
      </c>
      <c r="BE942">
        <v>-0.72</v>
      </c>
      <c r="BF942">
        <v>-1.2</v>
      </c>
      <c r="BG942">
        <v>0.24</v>
      </c>
      <c r="BH942">
        <v>-0.38</v>
      </c>
      <c r="BI942">
        <v>20191202</v>
      </c>
      <c r="BJ942">
        <v>20101021</v>
      </c>
      <c r="BK942">
        <v>21.76</v>
      </c>
      <c r="BL942" t="s">
        <v>116</v>
      </c>
      <c r="BM942" t="s">
        <v>116</v>
      </c>
      <c r="BN942">
        <v>57.88</v>
      </c>
      <c r="BO942">
        <v>33.450000000000003</v>
      </c>
      <c r="BP942">
        <v>1.32</v>
      </c>
      <c r="BQ942">
        <v>39.93</v>
      </c>
      <c r="BR942">
        <v>32.31</v>
      </c>
      <c r="BS942">
        <v>8.82</v>
      </c>
      <c r="BT942">
        <v>2.6</v>
      </c>
      <c r="BU942">
        <v>23.04</v>
      </c>
      <c r="BV942">
        <v>13.47</v>
      </c>
      <c r="BW942">
        <v>2.69</v>
      </c>
      <c r="BX942">
        <v>2.83</v>
      </c>
      <c r="BY942">
        <v>30.37</v>
      </c>
      <c r="BZ942">
        <v>21.89</v>
      </c>
      <c r="CA942">
        <v>3.87</v>
      </c>
      <c r="CB942">
        <v>0.24</v>
      </c>
      <c r="CC942">
        <v>3.81</v>
      </c>
      <c r="CD942">
        <v>3.54</v>
      </c>
      <c r="CE942">
        <v>3.57</v>
      </c>
      <c r="CF942">
        <v>2.0699999999999998</v>
      </c>
      <c r="CG942">
        <v>6.52</v>
      </c>
      <c r="CH942">
        <v>9.48</v>
      </c>
      <c r="CI942">
        <v>-3.8</v>
      </c>
      <c r="CJ942">
        <v>100000</v>
      </c>
      <c r="CK942">
        <v>9178</v>
      </c>
      <c r="CL942" t="s">
        <v>5253</v>
      </c>
      <c r="CM942">
        <v>418.23</v>
      </c>
      <c r="CN942">
        <v>15.55</v>
      </c>
      <c r="CO942">
        <v>2.69</v>
      </c>
      <c r="CP942">
        <v>9.48</v>
      </c>
      <c r="CQ942">
        <v>2.96</v>
      </c>
      <c r="CR942">
        <v>1.45</v>
      </c>
      <c r="CS942" t="s">
        <v>1514</v>
      </c>
      <c r="CT942">
        <v>1.54</v>
      </c>
      <c r="CU942">
        <v>0</v>
      </c>
      <c r="CV942">
        <v>0.13</v>
      </c>
      <c r="CW942">
        <v>0.3</v>
      </c>
      <c r="CX942">
        <v>0.44</v>
      </c>
      <c r="CY942">
        <v>57.79</v>
      </c>
      <c r="CZ942" t="s">
        <v>5598</v>
      </c>
      <c r="DA942">
        <v>27.91</v>
      </c>
      <c r="DB942">
        <v>12.75</v>
      </c>
      <c r="DC942">
        <v>11.76</v>
      </c>
      <c r="DD942">
        <v>1.2</v>
      </c>
      <c r="DE942">
        <v>11224</v>
      </c>
      <c r="DF942">
        <v>2489</v>
      </c>
      <c r="DG942" t="s">
        <v>116</v>
      </c>
      <c r="DH942" t="s">
        <v>116</v>
      </c>
      <c r="DI942" t="s">
        <v>116</v>
      </c>
    </row>
    <row r="943" spans="1:113" x14ac:dyDescent="0.4">
      <c r="A943" t="str">
        <f>"002490"</f>
        <v>002490</v>
      </c>
      <c r="B943" t="s">
        <v>5599</v>
      </c>
      <c r="C943">
        <v>-2.09</v>
      </c>
      <c r="D943">
        <v>3.74</v>
      </c>
      <c r="E943">
        <v>-0.08</v>
      </c>
      <c r="F943">
        <v>3.74</v>
      </c>
      <c r="G943">
        <v>3.75</v>
      </c>
      <c r="H943">
        <v>31793</v>
      </c>
      <c r="I943">
        <v>2861</v>
      </c>
      <c r="J943">
        <v>-0.52</v>
      </c>
      <c r="K943">
        <v>0.91</v>
      </c>
      <c r="L943">
        <v>3.82</v>
      </c>
      <c r="M943">
        <v>3.85</v>
      </c>
      <c r="N943">
        <v>3.74</v>
      </c>
      <c r="O943">
        <v>3.82</v>
      </c>
      <c r="P943" t="s">
        <v>116</v>
      </c>
      <c r="Q943">
        <v>12100527</v>
      </c>
      <c r="R943">
        <v>0.56999999999999995</v>
      </c>
      <c r="S943" t="s">
        <v>2426</v>
      </c>
      <c r="T943" t="s">
        <v>645</v>
      </c>
      <c r="U943">
        <v>2.88</v>
      </c>
      <c r="V943">
        <v>3.81</v>
      </c>
      <c r="W943">
        <v>19508</v>
      </c>
      <c r="X943">
        <v>12285</v>
      </c>
      <c r="Y943">
        <v>1.59</v>
      </c>
      <c r="Z943">
        <v>1371</v>
      </c>
      <c r="AA943">
        <v>271</v>
      </c>
      <c r="AB943" t="s">
        <v>116</v>
      </c>
      <c r="AC943">
        <v>23200</v>
      </c>
      <c r="AD943">
        <v>0</v>
      </c>
      <c r="AE943" t="s">
        <v>116</v>
      </c>
      <c r="AF943" t="s">
        <v>116</v>
      </c>
      <c r="AG943">
        <v>3.48</v>
      </c>
      <c r="AH943" t="s">
        <v>5600</v>
      </c>
      <c r="AI943" t="s">
        <v>1655</v>
      </c>
      <c r="AJ943">
        <v>-1.42</v>
      </c>
      <c r="AK943">
        <v>589</v>
      </c>
      <c r="AL943">
        <v>54</v>
      </c>
      <c r="AM943">
        <v>1.6000000000000001E-3</v>
      </c>
      <c r="AN943">
        <v>-1</v>
      </c>
      <c r="AO943">
        <v>-2.34</v>
      </c>
      <c r="AP943">
        <v>3.89</v>
      </c>
      <c r="AQ943">
        <v>-7.88</v>
      </c>
      <c r="AR943">
        <v>-11.16</v>
      </c>
      <c r="AS943">
        <v>1.1200000000000001</v>
      </c>
      <c r="AT943" t="s">
        <v>5601</v>
      </c>
      <c r="AU943" t="s">
        <v>116</v>
      </c>
      <c r="AV943">
        <v>32.270000000000003</v>
      </c>
      <c r="AW943">
        <v>1.26</v>
      </c>
      <c r="BA943">
        <v>0</v>
      </c>
      <c r="BB943">
        <v>0.79</v>
      </c>
      <c r="BC943">
        <v>-2.09</v>
      </c>
      <c r="BD943">
        <v>-0.37</v>
      </c>
      <c r="BE943">
        <v>-2.09</v>
      </c>
      <c r="BF943">
        <v>-2.86</v>
      </c>
      <c r="BG943">
        <v>0</v>
      </c>
      <c r="BH943">
        <v>-1.73</v>
      </c>
      <c r="BI943">
        <v>20191225</v>
      </c>
      <c r="BJ943">
        <v>20101021</v>
      </c>
      <c r="BK943">
        <v>7.98</v>
      </c>
      <c r="BL943" t="s">
        <v>116</v>
      </c>
      <c r="BM943">
        <v>2.56</v>
      </c>
      <c r="BN943">
        <v>62.73</v>
      </c>
      <c r="BO943">
        <v>19.100000000000001</v>
      </c>
      <c r="BP943">
        <v>0.63</v>
      </c>
      <c r="BQ943">
        <v>68.540000000000006</v>
      </c>
      <c r="BR943">
        <v>29.18</v>
      </c>
      <c r="BS943">
        <v>27.52</v>
      </c>
      <c r="BT943">
        <v>4.49</v>
      </c>
      <c r="BU943">
        <v>38.36</v>
      </c>
      <c r="BV943">
        <v>9.68</v>
      </c>
      <c r="BW943">
        <v>6.81</v>
      </c>
      <c r="BX943">
        <v>8.6300000000000008</v>
      </c>
      <c r="BY943">
        <v>34.01</v>
      </c>
      <c r="BZ943">
        <v>31.02</v>
      </c>
      <c r="CA943">
        <v>-0.26</v>
      </c>
      <c r="CB943">
        <v>0.03</v>
      </c>
      <c r="CC943">
        <v>-0.36</v>
      </c>
      <c r="CD943">
        <v>-0.4</v>
      </c>
      <c r="CE943">
        <v>-0.33</v>
      </c>
      <c r="CF943">
        <v>-0.42</v>
      </c>
      <c r="CG943">
        <v>0.65</v>
      </c>
      <c r="CH943">
        <v>3.87</v>
      </c>
      <c r="CI943">
        <v>-0.31</v>
      </c>
      <c r="CJ943">
        <v>35754</v>
      </c>
      <c r="CK943">
        <v>7912</v>
      </c>
      <c r="CL943" t="s">
        <v>2044</v>
      </c>
      <c r="CM943">
        <v>-141.69999999999999</v>
      </c>
      <c r="CN943">
        <v>3.12</v>
      </c>
      <c r="CO943">
        <v>1.56</v>
      </c>
      <c r="CP943">
        <v>7.72</v>
      </c>
      <c r="CQ943">
        <v>0.88</v>
      </c>
      <c r="CR943">
        <v>0</v>
      </c>
      <c r="CS943" t="s">
        <v>5602</v>
      </c>
      <c r="CT943">
        <v>2.39</v>
      </c>
      <c r="CU943">
        <v>0</v>
      </c>
      <c r="CV943">
        <v>1.08</v>
      </c>
      <c r="CW943">
        <v>0.08</v>
      </c>
      <c r="CX943">
        <v>0.48</v>
      </c>
      <c r="CY943">
        <v>30.46</v>
      </c>
      <c r="CZ943" t="s">
        <v>5603</v>
      </c>
      <c r="DA943">
        <v>8.8000000000000007</v>
      </c>
      <c r="DB943">
        <v>-0.77</v>
      </c>
      <c r="DC943">
        <v>-0.98</v>
      </c>
      <c r="DD943">
        <v>0.39</v>
      </c>
      <c r="DE943">
        <v>3233</v>
      </c>
      <c r="DF943">
        <v>2490</v>
      </c>
      <c r="DG943" t="s">
        <v>116</v>
      </c>
      <c r="DH943" t="s">
        <v>116</v>
      </c>
      <c r="DI943" t="s">
        <v>116</v>
      </c>
    </row>
    <row r="944" spans="1:113" x14ac:dyDescent="0.4">
      <c r="A944" t="str">
        <f>"002491"</f>
        <v>002491</v>
      </c>
      <c r="B944" t="s">
        <v>5604</v>
      </c>
      <c r="C944">
        <v>-0.3</v>
      </c>
      <c r="D944">
        <v>6.63</v>
      </c>
      <c r="E944">
        <v>-0.02</v>
      </c>
      <c r="F944">
        <v>6.63</v>
      </c>
      <c r="G944">
        <v>6.64</v>
      </c>
      <c r="H944">
        <v>105756</v>
      </c>
      <c r="I944">
        <v>1061</v>
      </c>
      <c r="J944">
        <v>0</v>
      </c>
      <c r="K944">
        <v>0.9</v>
      </c>
      <c r="L944">
        <v>6.65</v>
      </c>
      <c r="M944">
        <v>6.72</v>
      </c>
      <c r="N944">
        <v>6.63</v>
      </c>
      <c r="O944">
        <v>6.65</v>
      </c>
      <c r="P944">
        <v>74.52</v>
      </c>
      <c r="Q944">
        <v>70524104</v>
      </c>
      <c r="R944">
        <v>0.95</v>
      </c>
      <c r="S944" t="s">
        <v>465</v>
      </c>
      <c r="T944" t="s">
        <v>323</v>
      </c>
      <c r="U944">
        <v>1.35</v>
      </c>
      <c r="V944">
        <v>6.67</v>
      </c>
      <c r="W944">
        <v>57091</v>
      </c>
      <c r="X944">
        <v>48665</v>
      </c>
      <c r="Y944">
        <v>1.17</v>
      </c>
      <c r="Z944">
        <v>676</v>
      </c>
      <c r="AA944">
        <v>1154</v>
      </c>
      <c r="AB944" t="s">
        <v>116</v>
      </c>
      <c r="AC944">
        <v>105100</v>
      </c>
      <c r="AD944">
        <v>0</v>
      </c>
      <c r="AE944" t="s">
        <v>116</v>
      </c>
      <c r="AF944" t="s">
        <v>116</v>
      </c>
      <c r="AG944">
        <v>11.77</v>
      </c>
      <c r="AH944" t="s">
        <v>5605</v>
      </c>
      <c r="AI944" t="s">
        <v>5606</v>
      </c>
      <c r="AJ944">
        <v>0.38</v>
      </c>
      <c r="AK944">
        <v>1754</v>
      </c>
      <c r="AL944">
        <v>60</v>
      </c>
      <c r="AM944">
        <v>5.0000000000000001E-4</v>
      </c>
      <c r="AN944">
        <v>-2</v>
      </c>
      <c r="AO944">
        <v>-0.3</v>
      </c>
      <c r="AP944">
        <v>0.15</v>
      </c>
      <c r="AQ944">
        <v>-15</v>
      </c>
      <c r="AR944">
        <v>-15.33</v>
      </c>
      <c r="AS944">
        <v>1.54</v>
      </c>
      <c r="AT944" t="s">
        <v>5607</v>
      </c>
      <c r="AU944">
        <v>46.69</v>
      </c>
      <c r="AV944">
        <v>14.82</v>
      </c>
      <c r="AW944">
        <v>0.91</v>
      </c>
      <c r="BA944">
        <v>0</v>
      </c>
      <c r="BB944">
        <v>1.05</v>
      </c>
      <c r="BC944">
        <v>-0.3</v>
      </c>
      <c r="BD944">
        <v>0.28000000000000003</v>
      </c>
      <c r="BE944">
        <v>-0.3</v>
      </c>
      <c r="BF944">
        <v>-1.34</v>
      </c>
      <c r="BG944">
        <v>0</v>
      </c>
      <c r="BH944">
        <v>-0.57999999999999996</v>
      </c>
      <c r="BI944">
        <v>20191031</v>
      </c>
      <c r="BJ944">
        <v>20101021</v>
      </c>
      <c r="BK944">
        <v>12.62</v>
      </c>
      <c r="BL944" t="s">
        <v>116</v>
      </c>
      <c r="BM944" t="s">
        <v>116</v>
      </c>
      <c r="BN944">
        <v>106.03</v>
      </c>
      <c r="BO944">
        <v>51.21</v>
      </c>
      <c r="BP944">
        <v>0.86</v>
      </c>
      <c r="BQ944">
        <v>50.89</v>
      </c>
      <c r="BR944">
        <v>54.87</v>
      </c>
      <c r="BS944">
        <v>17.079999999999998</v>
      </c>
      <c r="BT944">
        <v>2.76</v>
      </c>
      <c r="BU944">
        <v>47.9</v>
      </c>
      <c r="BV944">
        <v>15.43</v>
      </c>
      <c r="BW944">
        <v>21.59</v>
      </c>
      <c r="BX944">
        <v>13.69</v>
      </c>
      <c r="BY944">
        <v>28.73</v>
      </c>
      <c r="BZ944">
        <v>22.07</v>
      </c>
      <c r="CA944">
        <v>0.84</v>
      </c>
      <c r="CB944">
        <v>0.28999999999999998</v>
      </c>
      <c r="CC944">
        <v>0.83</v>
      </c>
      <c r="CD944">
        <v>1.08</v>
      </c>
      <c r="CE944">
        <v>0.84</v>
      </c>
      <c r="CF944">
        <v>0.14000000000000001</v>
      </c>
      <c r="CG944">
        <v>23.49</v>
      </c>
      <c r="CH944">
        <v>2.09</v>
      </c>
      <c r="CI944">
        <v>-6.4</v>
      </c>
      <c r="CJ944">
        <v>99258</v>
      </c>
      <c r="CK944">
        <v>6932</v>
      </c>
      <c r="CL944" t="s">
        <v>4939</v>
      </c>
      <c r="CM944">
        <v>-82.07</v>
      </c>
      <c r="CN944">
        <v>-13.74</v>
      </c>
      <c r="CO944">
        <v>1.63</v>
      </c>
      <c r="CP944">
        <v>40.020000000000003</v>
      </c>
      <c r="CQ944">
        <v>2.91</v>
      </c>
      <c r="CR944">
        <v>0.75</v>
      </c>
      <c r="CS944" t="s">
        <v>1584</v>
      </c>
      <c r="CT944">
        <v>4.0599999999999996</v>
      </c>
      <c r="CU944">
        <v>0</v>
      </c>
      <c r="CV944">
        <v>1.0900000000000001</v>
      </c>
      <c r="CW944">
        <v>1.86</v>
      </c>
      <c r="CX944">
        <v>0.17</v>
      </c>
      <c r="CY944">
        <v>48.3</v>
      </c>
      <c r="CZ944" t="s">
        <v>3476</v>
      </c>
      <c r="DA944">
        <v>23.19</v>
      </c>
      <c r="DB944">
        <v>2.92</v>
      </c>
      <c r="DC944">
        <v>2.93</v>
      </c>
      <c r="DD944">
        <v>1.79</v>
      </c>
      <c r="DE944">
        <v>3814</v>
      </c>
      <c r="DF944">
        <v>2491</v>
      </c>
      <c r="DG944" t="s">
        <v>116</v>
      </c>
      <c r="DH944" t="s">
        <v>116</v>
      </c>
      <c r="DI944" t="s">
        <v>116</v>
      </c>
    </row>
    <row r="945" spans="1:113" x14ac:dyDescent="0.4">
      <c r="A945" t="str">
        <f>"002492"</f>
        <v>002492</v>
      </c>
      <c r="B945" t="s">
        <v>5608</v>
      </c>
      <c r="C945">
        <v>0.33</v>
      </c>
      <c r="D945">
        <v>6.04</v>
      </c>
      <c r="E945">
        <v>0.02</v>
      </c>
      <c r="F945">
        <v>6.04</v>
      </c>
      <c r="G945">
        <v>6.05</v>
      </c>
      <c r="H945">
        <v>245297</v>
      </c>
      <c r="I945">
        <v>5868</v>
      </c>
      <c r="J945">
        <v>-0.16</v>
      </c>
      <c r="K945">
        <v>6.16</v>
      </c>
      <c r="L945">
        <v>6.03</v>
      </c>
      <c r="M945">
        <v>6.16</v>
      </c>
      <c r="N945">
        <v>5.98</v>
      </c>
      <c r="O945">
        <v>6.02</v>
      </c>
      <c r="P945">
        <v>43.47</v>
      </c>
      <c r="Q945">
        <v>149089840</v>
      </c>
      <c r="R945">
        <v>0.8</v>
      </c>
      <c r="S945" t="s">
        <v>3113</v>
      </c>
      <c r="T945" t="s">
        <v>551</v>
      </c>
      <c r="U945">
        <v>2.99</v>
      </c>
      <c r="V945">
        <v>6.08</v>
      </c>
      <c r="W945">
        <v>103592</v>
      </c>
      <c r="X945">
        <v>141705</v>
      </c>
      <c r="Y945">
        <v>0.73</v>
      </c>
      <c r="Z945">
        <v>440</v>
      </c>
      <c r="AA945">
        <v>1286</v>
      </c>
      <c r="AB945" t="s">
        <v>116</v>
      </c>
      <c r="AC945">
        <v>258700</v>
      </c>
      <c r="AD945">
        <v>0.02</v>
      </c>
      <c r="AE945" t="s">
        <v>116</v>
      </c>
      <c r="AF945" t="s">
        <v>116</v>
      </c>
      <c r="AG945">
        <v>3.98</v>
      </c>
      <c r="AH945" t="s">
        <v>1378</v>
      </c>
      <c r="AI945" t="s">
        <v>4850</v>
      </c>
      <c r="AJ945">
        <v>1.01</v>
      </c>
      <c r="AK945">
        <v>2711</v>
      </c>
      <c r="AL945">
        <v>90</v>
      </c>
      <c r="AM945">
        <v>2.3E-3</v>
      </c>
      <c r="AN945">
        <v>1</v>
      </c>
      <c r="AO945">
        <v>-0.65</v>
      </c>
      <c r="AP945">
        <v>0.83</v>
      </c>
      <c r="AQ945">
        <v>33.630000000000003</v>
      </c>
      <c r="AR945">
        <v>13.11</v>
      </c>
      <c r="AS945">
        <v>10.98</v>
      </c>
      <c r="AT945" t="s">
        <v>5609</v>
      </c>
      <c r="AU945">
        <v>51.18</v>
      </c>
      <c r="AV945">
        <v>42.48</v>
      </c>
      <c r="AW945">
        <v>1.29</v>
      </c>
      <c r="BA945">
        <v>0.17</v>
      </c>
      <c r="BB945">
        <v>2.33</v>
      </c>
      <c r="BC945">
        <v>-0.66</v>
      </c>
      <c r="BD945">
        <v>0.96</v>
      </c>
      <c r="BE945">
        <v>0.17</v>
      </c>
      <c r="BF945">
        <v>-1.95</v>
      </c>
      <c r="BG945">
        <v>1</v>
      </c>
      <c r="BH945">
        <v>-0.63</v>
      </c>
      <c r="BI945">
        <v>20191031</v>
      </c>
      <c r="BJ945">
        <v>20101102</v>
      </c>
      <c r="BK945">
        <v>4.05</v>
      </c>
      <c r="BL945" t="s">
        <v>116</v>
      </c>
      <c r="BM945" t="s">
        <v>116</v>
      </c>
      <c r="BN945">
        <v>17.21</v>
      </c>
      <c r="BO945">
        <v>12.67</v>
      </c>
      <c r="BP945">
        <v>0.1</v>
      </c>
      <c r="BQ945">
        <v>25.81</v>
      </c>
      <c r="BR945">
        <v>6.58</v>
      </c>
      <c r="BS945">
        <v>7.43</v>
      </c>
      <c r="BT945">
        <v>1.54</v>
      </c>
      <c r="BU945">
        <v>2.61</v>
      </c>
      <c r="BV945">
        <v>0.03</v>
      </c>
      <c r="BW945">
        <v>0.8</v>
      </c>
      <c r="BX945">
        <v>4.2</v>
      </c>
      <c r="BY945">
        <v>1.98</v>
      </c>
      <c r="BZ945">
        <v>1.04</v>
      </c>
      <c r="CA945">
        <v>0.52</v>
      </c>
      <c r="CB945">
        <v>0.01</v>
      </c>
      <c r="CC945">
        <v>0.52</v>
      </c>
      <c r="CD945">
        <v>0.39</v>
      </c>
      <c r="CE945">
        <v>0.42</v>
      </c>
      <c r="CF945">
        <v>0.36</v>
      </c>
      <c r="CG945">
        <v>3.97</v>
      </c>
      <c r="CH945">
        <v>0.95</v>
      </c>
      <c r="CI945">
        <v>0.38</v>
      </c>
      <c r="CJ945">
        <v>23969</v>
      </c>
      <c r="CK945">
        <v>9317</v>
      </c>
      <c r="CL945" t="s">
        <v>5610</v>
      </c>
      <c r="CM945">
        <v>-18.82</v>
      </c>
      <c r="CN945">
        <v>3.42</v>
      </c>
      <c r="CO945">
        <v>1.93</v>
      </c>
      <c r="CP945">
        <v>25.64</v>
      </c>
      <c r="CQ945">
        <v>12.36</v>
      </c>
      <c r="CR945">
        <v>0.66</v>
      </c>
      <c r="CS945" t="s">
        <v>3672</v>
      </c>
      <c r="CT945">
        <v>3.13</v>
      </c>
      <c r="CU945">
        <v>0</v>
      </c>
      <c r="CV945">
        <v>1.04</v>
      </c>
      <c r="CW945">
        <v>0.98</v>
      </c>
      <c r="CX945">
        <v>0.24</v>
      </c>
      <c r="CY945">
        <v>73.63</v>
      </c>
      <c r="CZ945" t="s">
        <v>4296</v>
      </c>
      <c r="DA945">
        <v>47.42</v>
      </c>
      <c r="DB945">
        <v>26.35</v>
      </c>
      <c r="DC945">
        <v>21.33</v>
      </c>
      <c r="DD945">
        <v>0.09</v>
      </c>
      <c r="DE945">
        <v>513</v>
      </c>
      <c r="DF945">
        <v>2492</v>
      </c>
      <c r="DG945" t="s">
        <v>116</v>
      </c>
      <c r="DH945" t="s">
        <v>116</v>
      </c>
      <c r="DI945" t="s">
        <v>116</v>
      </c>
    </row>
    <row r="946" spans="1:113" x14ac:dyDescent="0.4">
      <c r="A946" t="str">
        <f>"002493"</f>
        <v>002493</v>
      </c>
      <c r="B946" t="s">
        <v>5611</v>
      </c>
      <c r="C946">
        <v>-0.24</v>
      </c>
      <c r="D946">
        <v>12.27</v>
      </c>
      <c r="E946">
        <v>-0.03</v>
      </c>
      <c r="F946">
        <v>12.27</v>
      </c>
      <c r="G946">
        <v>12.29</v>
      </c>
      <c r="H946">
        <v>49378</v>
      </c>
      <c r="I946">
        <v>466</v>
      </c>
      <c r="J946">
        <v>-0.15</v>
      </c>
      <c r="K946">
        <v>0.08</v>
      </c>
      <c r="L946">
        <v>12.33</v>
      </c>
      <c r="M946">
        <v>12.43</v>
      </c>
      <c r="N946">
        <v>12.22</v>
      </c>
      <c r="O946">
        <v>12.3</v>
      </c>
      <c r="P946">
        <v>31.36</v>
      </c>
      <c r="Q946">
        <v>60746848</v>
      </c>
      <c r="R946">
        <v>1.27</v>
      </c>
      <c r="S946" t="s">
        <v>630</v>
      </c>
      <c r="T946" t="s">
        <v>590</v>
      </c>
      <c r="U946">
        <v>1.71</v>
      </c>
      <c r="V946">
        <v>12.3</v>
      </c>
      <c r="W946">
        <v>25660</v>
      </c>
      <c r="X946">
        <v>23718</v>
      </c>
      <c r="Y946">
        <v>1.08</v>
      </c>
      <c r="Z946">
        <v>42</v>
      </c>
      <c r="AA946">
        <v>143</v>
      </c>
      <c r="AB946" t="s">
        <v>116</v>
      </c>
      <c r="AC946">
        <v>119600</v>
      </c>
      <c r="AD946">
        <v>0</v>
      </c>
      <c r="AE946" t="s">
        <v>116</v>
      </c>
      <c r="AF946" t="s">
        <v>116</v>
      </c>
      <c r="AG946">
        <v>58.16</v>
      </c>
      <c r="AH946" t="s">
        <v>5612</v>
      </c>
      <c r="AI946" t="s">
        <v>5613</v>
      </c>
      <c r="AJ946">
        <v>0.43</v>
      </c>
      <c r="AK946">
        <v>1983</v>
      </c>
      <c r="AL946">
        <v>25</v>
      </c>
      <c r="AM946">
        <v>0</v>
      </c>
      <c r="AN946">
        <v>-1</v>
      </c>
      <c r="AO946">
        <v>-0.24</v>
      </c>
      <c r="AP946">
        <v>0.99</v>
      </c>
      <c r="AQ946">
        <v>13.61</v>
      </c>
      <c r="AR946">
        <v>22.82</v>
      </c>
      <c r="AS946">
        <v>0.31</v>
      </c>
      <c r="AT946" t="s">
        <v>5614</v>
      </c>
      <c r="AU946">
        <v>47.52</v>
      </c>
      <c r="AV946">
        <v>48.02</v>
      </c>
      <c r="AW946">
        <v>0.2</v>
      </c>
      <c r="BA946">
        <v>0.24</v>
      </c>
      <c r="BB946">
        <v>1.06</v>
      </c>
      <c r="BC946">
        <v>-0.65</v>
      </c>
      <c r="BD946">
        <v>0.02</v>
      </c>
      <c r="BE946">
        <v>-0.49</v>
      </c>
      <c r="BF946">
        <v>-1.29</v>
      </c>
      <c r="BG946">
        <v>0.41</v>
      </c>
      <c r="BH946">
        <v>-0.26</v>
      </c>
      <c r="BI946">
        <v>20191028</v>
      </c>
      <c r="BJ946">
        <v>20101102</v>
      </c>
      <c r="BK946">
        <v>62.91</v>
      </c>
      <c r="BL946" t="s">
        <v>116</v>
      </c>
      <c r="BM946" t="s">
        <v>116</v>
      </c>
      <c r="BN946">
        <v>1549.17</v>
      </c>
      <c r="BO946">
        <v>222.05</v>
      </c>
      <c r="BP946">
        <v>171.32</v>
      </c>
      <c r="BQ946">
        <v>74.61</v>
      </c>
      <c r="BR946">
        <v>347.1</v>
      </c>
      <c r="BS946">
        <v>200.25</v>
      </c>
      <c r="BT946">
        <v>40.32</v>
      </c>
      <c r="BU946">
        <v>567.24</v>
      </c>
      <c r="BV946">
        <v>84.91</v>
      </c>
      <c r="BW946">
        <v>14.52</v>
      </c>
      <c r="BX946">
        <v>66.88</v>
      </c>
      <c r="BY946">
        <v>596.58000000000004</v>
      </c>
      <c r="BZ946">
        <v>558.03</v>
      </c>
      <c r="CA946">
        <v>25.78</v>
      </c>
      <c r="CB946">
        <v>8.73</v>
      </c>
      <c r="CC946">
        <v>25.79</v>
      </c>
      <c r="CD946">
        <v>22.76</v>
      </c>
      <c r="CE946">
        <v>18.46</v>
      </c>
      <c r="CF946">
        <v>15.01</v>
      </c>
      <c r="CG946">
        <v>88.31</v>
      </c>
      <c r="CH946">
        <v>40.21</v>
      </c>
      <c r="CI946">
        <v>-18.87</v>
      </c>
      <c r="CJ946">
        <v>16391</v>
      </c>
      <c r="CK946">
        <v>96282</v>
      </c>
      <c r="CL946" t="s">
        <v>5615</v>
      </c>
      <c r="CM946">
        <v>0.92</v>
      </c>
      <c r="CN946">
        <v>-5.36</v>
      </c>
      <c r="CO946">
        <v>3.48</v>
      </c>
      <c r="CP946">
        <v>19.2</v>
      </c>
      <c r="CQ946">
        <v>1.29</v>
      </c>
      <c r="CR946">
        <v>0.81</v>
      </c>
      <c r="CS946" t="s">
        <v>2418</v>
      </c>
      <c r="CT946">
        <v>3.53</v>
      </c>
      <c r="CU946">
        <v>0</v>
      </c>
      <c r="CV946">
        <v>1.06</v>
      </c>
      <c r="CW946">
        <v>1.4</v>
      </c>
      <c r="CX946">
        <v>0.64</v>
      </c>
      <c r="CY946">
        <v>14.33</v>
      </c>
      <c r="CZ946" t="s">
        <v>5616</v>
      </c>
      <c r="DA946">
        <v>6.46</v>
      </c>
      <c r="DB946">
        <v>4.32</v>
      </c>
      <c r="DC946">
        <v>3.09</v>
      </c>
      <c r="DD946">
        <v>7.36</v>
      </c>
      <c r="DE946">
        <v>11710</v>
      </c>
      <c r="DF946">
        <v>2493</v>
      </c>
      <c r="DG946" t="s">
        <v>116</v>
      </c>
      <c r="DH946" t="s">
        <v>116</v>
      </c>
      <c r="DI946" t="s">
        <v>116</v>
      </c>
    </row>
    <row r="947" spans="1:113" x14ac:dyDescent="0.4">
      <c r="A947" t="str">
        <f>"002494"</f>
        <v>002494</v>
      </c>
      <c r="B947" t="s">
        <v>5617</v>
      </c>
      <c r="C947">
        <v>4.88</v>
      </c>
      <c r="D947">
        <v>6.02</v>
      </c>
      <c r="E947">
        <v>0.28000000000000003</v>
      </c>
      <c r="F947">
        <v>6.02</v>
      </c>
      <c r="G947">
        <v>6.03</v>
      </c>
      <c r="H947">
        <v>522159</v>
      </c>
      <c r="I947">
        <v>4053</v>
      </c>
      <c r="J947">
        <v>0.33</v>
      </c>
      <c r="K947">
        <v>17.64</v>
      </c>
      <c r="L947">
        <v>5.89</v>
      </c>
      <c r="M947">
        <v>6.26</v>
      </c>
      <c r="N947">
        <v>5.75</v>
      </c>
      <c r="O947">
        <v>5.74</v>
      </c>
      <c r="P947">
        <v>142.6</v>
      </c>
      <c r="Q947">
        <v>311344064</v>
      </c>
      <c r="R947">
        <v>2.27</v>
      </c>
      <c r="S947" t="s">
        <v>3070</v>
      </c>
      <c r="T947" t="s">
        <v>608</v>
      </c>
      <c r="U947">
        <v>8.89</v>
      </c>
      <c r="V947">
        <v>5.96</v>
      </c>
      <c r="W947">
        <v>247195</v>
      </c>
      <c r="X947">
        <v>274964</v>
      </c>
      <c r="Y947">
        <v>0.9</v>
      </c>
      <c r="Z947">
        <v>524</v>
      </c>
      <c r="AA947">
        <v>432</v>
      </c>
      <c r="AB947" t="s">
        <v>116</v>
      </c>
      <c r="AC947">
        <v>8152900</v>
      </c>
      <c r="AD947">
        <v>0.53</v>
      </c>
      <c r="AE947" t="s">
        <v>116</v>
      </c>
      <c r="AF947" t="s">
        <v>116</v>
      </c>
      <c r="AG947">
        <v>2.96</v>
      </c>
      <c r="AH947" t="s">
        <v>5618</v>
      </c>
      <c r="AI947" t="s">
        <v>5403</v>
      </c>
      <c r="AJ947">
        <v>5.56</v>
      </c>
      <c r="AK947">
        <v>3402</v>
      </c>
      <c r="AL947">
        <v>153</v>
      </c>
      <c r="AM947">
        <v>5.1999999999999998E-3</v>
      </c>
      <c r="AN947">
        <v>2</v>
      </c>
      <c r="AO947">
        <v>15.11</v>
      </c>
      <c r="AP947">
        <v>28.63</v>
      </c>
      <c r="AQ947">
        <v>22.11</v>
      </c>
      <c r="AR947">
        <v>-0.82</v>
      </c>
      <c r="AS947">
        <v>20.09</v>
      </c>
      <c r="AT947" t="s">
        <v>3275</v>
      </c>
      <c r="AU947">
        <v>136.56</v>
      </c>
      <c r="AV947">
        <v>137.62</v>
      </c>
      <c r="AW947">
        <v>0.93</v>
      </c>
      <c r="BA947">
        <v>2.61</v>
      </c>
      <c r="BB947">
        <v>9.06</v>
      </c>
      <c r="BC947">
        <v>0.17</v>
      </c>
      <c r="BD947">
        <v>3.88</v>
      </c>
      <c r="BE947">
        <v>2.21</v>
      </c>
      <c r="BF947">
        <v>-3.83</v>
      </c>
      <c r="BG947">
        <v>4.7</v>
      </c>
      <c r="BH947">
        <v>1</v>
      </c>
      <c r="BI947">
        <v>20191108</v>
      </c>
      <c r="BJ947">
        <v>20101102</v>
      </c>
      <c r="BK947">
        <v>3.86</v>
      </c>
      <c r="BL947" t="s">
        <v>116</v>
      </c>
      <c r="BM947" t="s">
        <v>116</v>
      </c>
      <c r="BN947">
        <v>25.26</v>
      </c>
      <c r="BO947">
        <v>18.89</v>
      </c>
      <c r="BP947">
        <v>-0.03</v>
      </c>
      <c r="BQ947">
        <v>25.37</v>
      </c>
      <c r="BR947">
        <v>12.51</v>
      </c>
      <c r="BS947">
        <v>4.03</v>
      </c>
      <c r="BT947">
        <v>0.96</v>
      </c>
      <c r="BU947">
        <v>4.41</v>
      </c>
      <c r="BV947">
        <v>7</v>
      </c>
      <c r="BW947">
        <v>1.26</v>
      </c>
      <c r="BX947">
        <v>12.5</v>
      </c>
      <c r="BY947">
        <v>3.13</v>
      </c>
      <c r="BZ947">
        <v>2.25</v>
      </c>
      <c r="CA947">
        <v>0.15</v>
      </c>
      <c r="CB947">
        <v>0.01</v>
      </c>
      <c r="CC947">
        <v>0.14000000000000001</v>
      </c>
      <c r="CD947">
        <v>0.09</v>
      </c>
      <c r="CE947">
        <v>0.12</v>
      </c>
      <c r="CF947">
        <v>0.08</v>
      </c>
      <c r="CG947">
        <v>2.5099999999999998</v>
      </c>
      <c r="CH947">
        <v>-2.52</v>
      </c>
      <c r="CI947">
        <v>-1.91</v>
      </c>
      <c r="CJ947">
        <v>43380</v>
      </c>
      <c r="CK947">
        <v>5992</v>
      </c>
      <c r="CL947" t="s">
        <v>2538</v>
      </c>
      <c r="CM947">
        <v>1.0900000000000001</v>
      </c>
      <c r="CN947">
        <v>-9.93</v>
      </c>
      <c r="CO947">
        <v>1.23</v>
      </c>
      <c r="CP947">
        <v>-9.2200000000000006</v>
      </c>
      <c r="CQ947">
        <v>7.42</v>
      </c>
      <c r="CR947">
        <v>0.17</v>
      </c>
      <c r="CS947" t="s">
        <v>1284</v>
      </c>
      <c r="CT947">
        <v>4.9000000000000004</v>
      </c>
      <c r="CU947">
        <v>0</v>
      </c>
      <c r="CV947">
        <v>3.24</v>
      </c>
      <c r="CW947">
        <v>0.65</v>
      </c>
      <c r="CX947">
        <v>-0.65</v>
      </c>
      <c r="CY947">
        <v>74.760000000000005</v>
      </c>
      <c r="CZ947" t="s">
        <v>380</v>
      </c>
      <c r="DA947">
        <v>28.11</v>
      </c>
      <c r="DB947">
        <v>4.87</v>
      </c>
      <c r="DC947">
        <v>3.9</v>
      </c>
      <c r="DD947">
        <v>0.11</v>
      </c>
      <c r="DE947">
        <v>1538</v>
      </c>
      <c r="DF947">
        <v>2494</v>
      </c>
      <c r="DG947" t="s">
        <v>116</v>
      </c>
      <c r="DH947" t="s">
        <v>116</v>
      </c>
      <c r="DI947" t="s">
        <v>116</v>
      </c>
    </row>
    <row r="948" spans="1:113" x14ac:dyDescent="0.4">
      <c r="A948" t="str">
        <f>"002495"</f>
        <v>002495</v>
      </c>
      <c r="B948" t="s">
        <v>5619</v>
      </c>
      <c r="C948">
        <v>-1.05</v>
      </c>
      <c r="D948">
        <v>2.84</v>
      </c>
      <c r="E948">
        <v>-0.03</v>
      </c>
      <c r="F948">
        <v>2.84</v>
      </c>
      <c r="G948">
        <v>2.85</v>
      </c>
      <c r="H948">
        <v>55804</v>
      </c>
      <c r="I948">
        <v>451</v>
      </c>
      <c r="J948">
        <v>-0.34</v>
      </c>
      <c r="K948">
        <v>0.78</v>
      </c>
      <c r="L948">
        <v>2.87</v>
      </c>
      <c r="M948">
        <v>2.89</v>
      </c>
      <c r="N948">
        <v>2.84</v>
      </c>
      <c r="O948">
        <v>2.87</v>
      </c>
      <c r="P948">
        <v>83.4</v>
      </c>
      <c r="Q948">
        <v>15968181</v>
      </c>
      <c r="R948">
        <v>1.83</v>
      </c>
      <c r="S948" t="s">
        <v>863</v>
      </c>
      <c r="T948" t="s">
        <v>551</v>
      </c>
      <c r="U948">
        <v>1.74</v>
      </c>
      <c r="V948">
        <v>2.86</v>
      </c>
      <c r="W948">
        <v>35492</v>
      </c>
      <c r="X948">
        <v>20312</v>
      </c>
      <c r="Y948">
        <v>1.75</v>
      </c>
      <c r="Z948">
        <v>1048</v>
      </c>
      <c r="AA948">
        <v>1099</v>
      </c>
      <c r="AB948" t="s">
        <v>116</v>
      </c>
      <c r="AC948">
        <v>95600</v>
      </c>
      <c r="AD948">
        <v>0.01</v>
      </c>
      <c r="AE948" t="s">
        <v>116</v>
      </c>
      <c r="AF948" t="s">
        <v>116</v>
      </c>
      <c r="AG948">
        <v>7.14</v>
      </c>
      <c r="AH948" t="s">
        <v>894</v>
      </c>
      <c r="AI948" t="s">
        <v>2396</v>
      </c>
      <c r="AJ948">
        <v>-0.37</v>
      </c>
      <c r="AK948">
        <v>505</v>
      </c>
      <c r="AL948">
        <v>111</v>
      </c>
      <c r="AM948">
        <v>1.5E-3</v>
      </c>
      <c r="AN948">
        <v>-1</v>
      </c>
      <c r="AO948">
        <v>-1.05</v>
      </c>
      <c r="AP948">
        <v>1.79</v>
      </c>
      <c r="AQ948">
        <v>-2.0699999999999998</v>
      </c>
      <c r="AR948">
        <v>-9.84</v>
      </c>
      <c r="AS948">
        <v>1.05</v>
      </c>
      <c r="AT948" t="s">
        <v>5620</v>
      </c>
      <c r="AU948">
        <v>95.19</v>
      </c>
      <c r="AV948">
        <v>75.5</v>
      </c>
      <c r="AW948">
        <v>1.1299999999999999</v>
      </c>
      <c r="BA948">
        <v>0</v>
      </c>
      <c r="BB948">
        <v>0.7</v>
      </c>
      <c r="BC948">
        <v>-1.05</v>
      </c>
      <c r="BD948">
        <v>-0.3</v>
      </c>
      <c r="BE948">
        <v>-1.05</v>
      </c>
      <c r="BF948">
        <v>-1.73</v>
      </c>
      <c r="BG948">
        <v>0</v>
      </c>
      <c r="BH948">
        <v>-0.75</v>
      </c>
      <c r="BI948">
        <v>20191029</v>
      </c>
      <c r="BJ948">
        <v>20101102</v>
      </c>
      <c r="BK948">
        <v>9.36</v>
      </c>
      <c r="BL948" t="s">
        <v>116</v>
      </c>
      <c r="BM948" t="s">
        <v>116</v>
      </c>
      <c r="BN948">
        <v>12.94</v>
      </c>
      <c r="BO948">
        <v>11.85</v>
      </c>
      <c r="BP948">
        <v>0</v>
      </c>
      <c r="BQ948">
        <v>8.41</v>
      </c>
      <c r="BR948">
        <v>2.96</v>
      </c>
      <c r="BS948">
        <v>4.74</v>
      </c>
      <c r="BT948">
        <v>0.45</v>
      </c>
      <c r="BU948">
        <v>0.73</v>
      </c>
      <c r="BV948">
        <v>0.52</v>
      </c>
      <c r="BW948">
        <v>0.05</v>
      </c>
      <c r="BX948">
        <v>0.55000000000000004</v>
      </c>
      <c r="BY948">
        <v>2.2000000000000002</v>
      </c>
      <c r="BZ948">
        <v>1.22</v>
      </c>
      <c r="CA948">
        <v>0.28999999999999998</v>
      </c>
      <c r="CB948">
        <v>0.01</v>
      </c>
      <c r="CC948">
        <v>0.28999999999999998</v>
      </c>
      <c r="CD948">
        <v>0.24</v>
      </c>
      <c r="CE948">
        <v>0.24</v>
      </c>
      <c r="CF948">
        <v>0.23</v>
      </c>
      <c r="CG948">
        <v>1.46</v>
      </c>
      <c r="CH948">
        <v>0.41</v>
      </c>
      <c r="CI948">
        <v>0.05</v>
      </c>
      <c r="CJ948">
        <v>58654</v>
      </c>
      <c r="CK948">
        <v>9053</v>
      </c>
      <c r="CL948" t="s">
        <v>3987</v>
      </c>
      <c r="CM948">
        <v>-23.35</v>
      </c>
      <c r="CN948">
        <v>-5.36</v>
      </c>
      <c r="CO948">
        <v>2.2400000000000002</v>
      </c>
      <c r="CP948">
        <v>64.489999999999995</v>
      </c>
      <c r="CQ948">
        <v>12.05</v>
      </c>
      <c r="CR948">
        <v>0</v>
      </c>
      <c r="CS948" t="s">
        <v>613</v>
      </c>
      <c r="CT948">
        <v>1.27</v>
      </c>
      <c r="CU948">
        <v>0</v>
      </c>
      <c r="CV948">
        <v>0.06</v>
      </c>
      <c r="CW948">
        <v>0.16</v>
      </c>
      <c r="CX948">
        <v>0.04</v>
      </c>
      <c r="CY948">
        <v>91.59</v>
      </c>
      <c r="CZ948" t="s">
        <v>4692</v>
      </c>
      <c r="DA948">
        <v>44.62</v>
      </c>
      <c r="DB948">
        <v>13.13</v>
      </c>
      <c r="DC948">
        <v>10.84</v>
      </c>
      <c r="DD948">
        <v>0.09</v>
      </c>
      <c r="DE948">
        <v>518</v>
      </c>
      <c r="DF948">
        <v>2495</v>
      </c>
      <c r="DG948" t="s">
        <v>116</v>
      </c>
      <c r="DH948" t="s">
        <v>116</v>
      </c>
      <c r="DI948" t="s">
        <v>116</v>
      </c>
    </row>
    <row r="949" spans="1:113" x14ac:dyDescent="0.4">
      <c r="A949" t="str">
        <f>"002496"</f>
        <v>002496</v>
      </c>
      <c r="B949" t="s">
        <v>5621</v>
      </c>
      <c r="C949">
        <v>-0.7</v>
      </c>
      <c r="D949">
        <v>2.84</v>
      </c>
      <c r="E949">
        <v>-0.02</v>
      </c>
      <c r="F949">
        <v>2.84</v>
      </c>
      <c r="G949">
        <v>2.85</v>
      </c>
      <c r="H949">
        <v>73189</v>
      </c>
      <c r="I949">
        <v>1326</v>
      </c>
      <c r="J949">
        <v>0</v>
      </c>
      <c r="K949">
        <v>0.76</v>
      </c>
      <c r="L949">
        <v>2.86</v>
      </c>
      <c r="M949">
        <v>2.87</v>
      </c>
      <c r="N949">
        <v>2.83</v>
      </c>
      <c r="O949">
        <v>2.86</v>
      </c>
      <c r="P949" t="s">
        <v>116</v>
      </c>
      <c r="Q949">
        <v>20828432</v>
      </c>
      <c r="R949">
        <v>1.25</v>
      </c>
      <c r="S949" t="s">
        <v>697</v>
      </c>
      <c r="T949" t="s">
        <v>323</v>
      </c>
      <c r="U949">
        <v>1.4</v>
      </c>
      <c r="V949">
        <v>2.85</v>
      </c>
      <c r="W949">
        <v>46048</v>
      </c>
      <c r="X949">
        <v>27141</v>
      </c>
      <c r="Y949">
        <v>1.7</v>
      </c>
      <c r="Z949">
        <v>2360</v>
      </c>
      <c r="AA949">
        <v>6112</v>
      </c>
      <c r="AB949" t="s">
        <v>116</v>
      </c>
      <c r="AC949">
        <v>45200</v>
      </c>
      <c r="AD949">
        <v>0</v>
      </c>
      <c r="AE949" t="s">
        <v>116</v>
      </c>
      <c r="AF949" t="s">
        <v>116</v>
      </c>
      <c r="AG949">
        <v>9.69</v>
      </c>
      <c r="AH949" t="s">
        <v>3327</v>
      </c>
      <c r="AI949" t="s">
        <v>5622</v>
      </c>
      <c r="AJ949">
        <v>-0.02</v>
      </c>
      <c r="AK949">
        <v>640</v>
      </c>
      <c r="AL949">
        <v>114</v>
      </c>
      <c r="AM949">
        <v>1.1999999999999999E-3</v>
      </c>
      <c r="AN949">
        <v>-1</v>
      </c>
      <c r="AO949">
        <v>0.7</v>
      </c>
      <c r="AP949">
        <v>0</v>
      </c>
      <c r="AQ949">
        <v>0</v>
      </c>
      <c r="AR949">
        <v>47.92</v>
      </c>
      <c r="AS949">
        <v>0.92</v>
      </c>
      <c r="AT949" t="s">
        <v>5623</v>
      </c>
      <c r="AU949" t="s">
        <v>116</v>
      </c>
      <c r="AV949" t="s">
        <v>116</v>
      </c>
      <c r="AW949">
        <v>0.49</v>
      </c>
      <c r="BA949">
        <v>0</v>
      </c>
      <c r="BB949">
        <v>0.35</v>
      </c>
      <c r="BC949">
        <v>-1.05</v>
      </c>
      <c r="BD949">
        <v>-0.49</v>
      </c>
      <c r="BE949">
        <v>-0.7</v>
      </c>
      <c r="BF949">
        <v>-1.05</v>
      </c>
      <c r="BG949">
        <v>0.35</v>
      </c>
      <c r="BH949">
        <v>-0.2</v>
      </c>
      <c r="BI949">
        <v>20191022</v>
      </c>
      <c r="BJ949">
        <v>20101109</v>
      </c>
      <c r="BK949">
        <v>15.08</v>
      </c>
      <c r="BL949" t="s">
        <v>116</v>
      </c>
      <c r="BM949" t="s">
        <v>116</v>
      </c>
      <c r="BN949">
        <v>57.08</v>
      </c>
      <c r="BO949">
        <v>29.65</v>
      </c>
      <c r="BP949">
        <v>2.0499999999999998</v>
      </c>
      <c r="BQ949">
        <v>44.47</v>
      </c>
      <c r="BR949">
        <v>24.06</v>
      </c>
      <c r="BS949">
        <v>21.24</v>
      </c>
      <c r="BT949">
        <v>2.62</v>
      </c>
      <c r="BU949">
        <v>16.07</v>
      </c>
      <c r="BV949">
        <v>6.44</v>
      </c>
      <c r="BW949">
        <v>4.3899999999999997</v>
      </c>
      <c r="BX949">
        <v>9.33</v>
      </c>
      <c r="BY949">
        <v>9.8800000000000008</v>
      </c>
      <c r="BZ949">
        <v>6.72</v>
      </c>
      <c r="CA949">
        <v>-2.48</v>
      </c>
      <c r="CB949">
        <v>0.17</v>
      </c>
      <c r="CC949">
        <v>-2.5099999999999998</v>
      </c>
      <c r="CD949">
        <v>-2.2799999999999998</v>
      </c>
      <c r="CE949">
        <v>-1.9</v>
      </c>
      <c r="CF949">
        <v>-1.86</v>
      </c>
      <c r="CG949">
        <v>3.65</v>
      </c>
      <c r="CH949">
        <v>1.95</v>
      </c>
      <c r="CI949">
        <v>0.51</v>
      </c>
      <c r="CJ949">
        <v>69062</v>
      </c>
      <c r="CK949">
        <v>11460</v>
      </c>
      <c r="CL949" t="s">
        <v>943</v>
      </c>
      <c r="CM949">
        <v>22.24</v>
      </c>
      <c r="CN949">
        <v>-57.76</v>
      </c>
      <c r="CO949">
        <v>1.44</v>
      </c>
      <c r="CP949">
        <v>21.93</v>
      </c>
      <c r="CQ949">
        <v>4.34</v>
      </c>
      <c r="CR949">
        <v>0</v>
      </c>
      <c r="CS949" t="s">
        <v>5624</v>
      </c>
      <c r="CT949">
        <v>1.97</v>
      </c>
      <c r="CU949">
        <v>0</v>
      </c>
      <c r="CV949">
        <v>0.62</v>
      </c>
      <c r="CW949">
        <v>0.24</v>
      </c>
      <c r="CX949">
        <v>0.13</v>
      </c>
      <c r="CY949">
        <v>51.94</v>
      </c>
      <c r="CZ949" t="s">
        <v>5625</v>
      </c>
      <c r="DA949">
        <v>31.98</v>
      </c>
      <c r="DB949">
        <v>-25.14</v>
      </c>
      <c r="DC949">
        <v>-19.2</v>
      </c>
      <c r="DD949">
        <v>0.22</v>
      </c>
      <c r="DE949">
        <v>3670</v>
      </c>
      <c r="DF949">
        <v>2496</v>
      </c>
      <c r="DG949" t="s">
        <v>116</v>
      </c>
      <c r="DH949" t="s">
        <v>116</v>
      </c>
      <c r="DI949" t="s">
        <v>116</v>
      </c>
    </row>
    <row r="950" spans="1:113" x14ac:dyDescent="0.4">
      <c r="A950" t="str">
        <f>"002497"</f>
        <v>002497</v>
      </c>
      <c r="B950" t="s">
        <v>5626</v>
      </c>
      <c r="C950">
        <v>0.85</v>
      </c>
      <c r="D950">
        <v>7.11</v>
      </c>
      <c r="E950">
        <v>0.06</v>
      </c>
      <c r="F950">
        <v>7.11</v>
      </c>
      <c r="G950">
        <v>7.12</v>
      </c>
      <c r="H950">
        <v>698374</v>
      </c>
      <c r="I950">
        <v>6615</v>
      </c>
      <c r="J950">
        <v>0.42</v>
      </c>
      <c r="K950">
        <v>8.26</v>
      </c>
      <c r="L950">
        <v>7.07</v>
      </c>
      <c r="M950">
        <v>7.39</v>
      </c>
      <c r="N950">
        <v>6.91</v>
      </c>
      <c r="O950">
        <v>7.05</v>
      </c>
      <c r="P950">
        <v>49</v>
      </c>
      <c r="Q950">
        <v>500562496</v>
      </c>
      <c r="R950">
        <v>1.46</v>
      </c>
      <c r="S950" t="s">
        <v>891</v>
      </c>
      <c r="T950" t="s">
        <v>582</v>
      </c>
      <c r="U950">
        <v>6.81</v>
      </c>
      <c r="V950">
        <v>7.17</v>
      </c>
      <c r="W950">
        <v>360652</v>
      </c>
      <c r="X950">
        <v>337722</v>
      </c>
      <c r="Y950">
        <v>1.07</v>
      </c>
      <c r="Z950">
        <v>262</v>
      </c>
      <c r="AA950">
        <v>710</v>
      </c>
      <c r="AB950" t="s">
        <v>116</v>
      </c>
      <c r="AC950">
        <v>3370300</v>
      </c>
      <c r="AD950">
        <v>0.06</v>
      </c>
      <c r="AE950" t="s">
        <v>116</v>
      </c>
      <c r="AF950" t="s">
        <v>116</v>
      </c>
      <c r="AG950">
        <v>8.4600000000000009</v>
      </c>
      <c r="AH950" t="s">
        <v>5627</v>
      </c>
      <c r="AI950" t="s">
        <v>5628</v>
      </c>
      <c r="AJ950">
        <v>1.53</v>
      </c>
      <c r="AK950">
        <v>4116</v>
      </c>
      <c r="AL950">
        <v>170</v>
      </c>
      <c r="AM950">
        <v>2E-3</v>
      </c>
      <c r="AN950">
        <v>4</v>
      </c>
      <c r="AO950">
        <v>4.87</v>
      </c>
      <c r="AP950">
        <v>18.11</v>
      </c>
      <c r="AQ950">
        <v>14.68</v>
      </c>
      <c r="AR950">
        <v>7.4</v>
      </c>
      <c r="AS950">
        <v>8.9600000000000009</v>
      </c>
      <c r="AT950" t="s">
        <v>5629</v>
      </c>
      <c r="AU950">
        <v>61.41</v>
      </c>
      <c r="AV950">
        <v>37.17</v>
      </c>
      <c r="AW950">
        <v>1.02</v>
      </c>
      <c r="BA950">
        <v>0.28000000000000003</v>
      </c>
      <c r="BB950">
        <v>4.82</v>
      </c>
      <c r="BC950">
        <v>-1.99</v>
      </c>
      <c r="BD950">
        <v>1.67</v>
      </c>
      <c r="BE950">
        <v>0.56999999999999995</v>
      </c>
      <c r="BF950">
        <v>-3.79</v>
      </c>
      <c r="BG950">
        <v>2.89</v>
      </c>
      <c r="BH950">
        <v>-0.82</v>
      </c>
      <c r="BI950">
        <v>20191212</v>
      </c>
      <c r="BJ950">
        <v>20101109</v>
      </c>
      <c r="BK950">
        <v>9.59</v>
      </c>
      <c r="BL950" t="s">
        <v>116</v>
      </c>
      <c r="BM950" t="s">
        <v>116</v>
      </c>
      <c r="BN950">
        <v>55.37</v>
      </c>
      <c r="BO950">
        <v>28.97</v>
      </c>
      <c r="BP950">
        <v>3.35</v>
      </c>
      <c r="BQ950">
        <v>41.61</v>
      </c>
      <c r="BR950">
        <v>22.41</v>
      </c>
      <c r="BS950">
        <v>9.32</v>
      </c>
      <c r="BT950">
        <v>5.69</v>
      </c>
      <c r="BU950">
        <v>11.56</v>
      </c>
      <c r="BV950">
        <v>7.28</v>
      </c>
      <c r="BW950">
        <v>6.5</v>
      </c>
      <c r="BX950">
        <v>4.5999999999999996</v>
      </c>
      <c r="BY950">
        <v>23.64</v>
      </c>
      <c r="BZ950">
        <v>17.11</v>
      </c>
      <c r="CA950">
        <v>1.76</v>
      </c>
      <c r="CB950">
        <v>0.24</v>
      </c>
      <c r="CC950">
        <v>1.75</v>
      </c>
      <c r="CD950">
        <v>1.23</v>
      </c>
      <c r="CE950">
        <v>1.04</v>
      </c>
      <c r="CF950">
        <v>0.91</v>
      </c>
      <c r="CG950">
        <v>12.08</v>
      </c>
      <c r="CH950">
        <v>0.81</v>
      </c>
      <c r="CI950">
        <v>0.48</v>
      </c>
      <c r="CJ950">
        <v>95000</v>
      </c>
      <c r="CK950">
        <v>8207</v>
      </c>
      <c r="CL950" t="s">
        <v>4109</v>
      </c>
      <c r="CM950">
        <v>-40.97</v>
      </c>
      <c r="CN950">
        <v>11.54</v>
      </c>
      <c r="CO950">
        <v>2.48</v>
      </c>
      <c r="CP950">
        <v>84.61</v>
      </c>
      <c r="CQ950">
        <v>2.88</v>
      </c>
      <c r="CR950">
        <v>0.28000000000000003</v>
      </c>
      <c r="CS950" t="s">
        <v>3966</v>
      </c>
      <c r="CT950">
        <v>2.87</v>
      </c>
      <c r="CU950">
        <v>2.87</v>
      </c>
      <c r="CV950">
        <v>0.48</v>
      </c>
      <c r="CW950">
        <v>1.26</v>
      </c>
      <c r="CX950">
        <v>0.08</v>
      </c>
      <c r="CY950">
        <v>52.33</v>
      </c>
      <c r="CZ950" t="s">
        <v>5630</v>
      </c>
      <c r="DA950">
        <v>27.65</v>
      </c>
      <c r="DB950">
        <v>7.42</v>
      </c>
      <c r="DC950">
        <v>4.41</v>
      </c>
      <c r="DD950">
        <v>0.63</v>
      </c>
      <c r="DE950">
        <v>4005</v>
      </c>
      <c r="DF950">
        <v>2497</v>
      </c>
      <c r="DG950" t="s">
        <v>116</v>
      </c>
      <c r="DH950" t="s">
        <v>116</v>
      </c>
      <c r="DI950" t="s">
        <v>116</v>
      </c>
    </row>
    <row r="951" spans="1:113" x14ac:dyDescent="0.4">
      <c r="A951" t="str">
        <f>"002498"</f>
        <v>002498</v>
      </c>
      <c r="B951" t="s">
        <v>5631</v>
      </c>
      <c r="C951">
        <v>0.34</v>
      </c>
      <c r="D951">
        <v>2.96</v>
      </c>
      <c r="E951">
        <v>0.01</v>
      </c>
      <c r="F951">
        <v>2.96</v>
      </c>
      <c r="G951">
        <v>2.97</v>
      </c>
      <c r="H951">
        <v>227679</v>
      </c>
      <c r="I951">
        <v>1081</v>
      </c>
      <c r="J951">
        <v>0</v>
      </c>
      <c r="K951">
        <v>0.68</v>
      </c>
      <c r="L951">
        <v>2.95</v>
      </c>
      <c r="M951">
        <v>3.03</v>
      </c>
      <c r="N951">
        <v>2.94</v>
      </c>
      <c r="O951">
        <v>2.95</v>
      </c>
      <c r="P951">
        <v>20.329999999999998</v>
      </c>
      <c r="Q951">
        <v>67901760</v>
      </c>
      <c r="R951">
        <v>1.61</v>
      </c>
      <c r="S951" t="s">
        <v>397</v>
      </c>
      <c r="T951" t="s">
        <v>645</v>
      </c>
      <c r="U951">
        <v>3.05</v>
      </c>
      <c r="V951">
        <v>2.98</v>
      </c>
      <c r="W951">
        <v>97078</v>
      </c>
      <c r="X951">
        <v>130601</v>
      </c>
      <c r="Y951">
        <v>0.74</v>
      </c>
      <c r="Z951">
        <v>2118</v>
      </c>
      <c r="AA951">
        <v>5997</v>
      </c>
      <c r="AB951" t="s">
        <v>116</v>
      </c>
      <c r="AC951">
        <v>43700</v>
      </c>
      <c r="AD951">
        <v>0</v>
      </c>
      <c r="AE951" t="s">
        <v>116</v>
      </c>
      <c r="AF951" t="s">
        <v>116</v>
      </c>
      <c r="AG951">
        <v>33.270000000000003</v>
      </c>
      <c r="AH951" t="s">
        <v>5632</v>
      </c>
      <c r="AI951" t="s">
        <v>5632</v>
      </c>
      <c r="AJ951">
        <v>1.02</v>
      </c>
      <c r="AK951">
        <v>2007</v>
      </c>
      <c r="AL951">
        <v>113</v>
      </c>
      <c r="AM951">
        <v>2.9999999999999997E-4</v>
      </c>
      <c r="AN951">
        <v>2</v>
      </c>
      <c r="AO951">
        <v>0.68</v>
      </c>
      <c r="AP951">
        <v>4.2300000000000004</v>
      </c>
      <c r="AQ951">
        <v>6.09</v>
      </c>
      <c r="AR951">
        <v>51.48</v>
      </c>
      <c r="AS951">
        <v>2.0499999999999998</v>
      </c>
      <c r="AT951" t="s">
        <v>1639</v>
      </c>
      <c r="AU951">
        <v>22.29</v>
      </c>
      <c r="AV951">
        <v>44.48</v>
      </c>
      <c r="AW951">
        <v>1.1200000000000001</v>
      </c>
      <c r="BA951">
        <v>0</v>
      </c>
      <c r="BB951">
        <v>2.71</v>
      </c>
      <c r="BC951">
        <v>-0.34</v>
      </c>
      <c r="BD951">
        <v>1.1000000000000001</v>
      </c>
      <c r="BE951">
        <v>0.34</v>
      </c>
      <c r="BF951">
        <v>-2.31</v>
      </c>
      <c r="BG951">
        <v>0.68</v>
      </c>
      <c r="BH951">
        <v>-0.76</v>
      </c>
      <c r="BI951">
        <v>20191030</v>
      </c>
      <c r="BJ951">
        <v>20101109</v>
      </c>
      <c r="BK951">
        <v>33.270000000000003</v>
      </c>
      <c r="BL951" t="s">
        <v>116</v>
      </c>
      <c r="BM951" t="s">
        <v>116</v>
      </c>
      <c r="BN951">
        <v>57.53</v>
      </c>
      <c r="BO951">
        <v>49.31</v>
      </c>
      <c r="BP951">
        <v>0.15</v>
      </c>
      <c r="BQ951">
        <v>14.05</v>
      </c>
      <c r="BR951">
        <v>44.65</v>
      </c>
      <c r="BS951">
        <v>4.03</v>
      </c>
      <c r="BT951">
        <v>3.28</v>
      </c>
      <c r="BU951">
        <v>6.98</v>
      </c>
      <c r="BV951">
        <v>12.17</v>
      </c>
      <c r="BW951">
        <v>23.81</v>
      </c>
      <c r="BX951">
        <v>1.48</v>
      </c>
      <c r="BY951">
        <v>44.48</v>
      </c>
      <c r="BZ951">
        <v>35.78</v>
      </c>
      <c r="CA951">
        <v>4.26</v>
      </c>
      <c r="CB951">
        <v>0.27</v>
      </c>
      <c r="CC951">
        <v>4.2699999999999996</v>
      </c>
      <c r="CD951">
        <v>3.63</v>
      </c>
      <c r="CE951">
        <v>3.63</v>
      </c>
      <c r="CF951">
        <v>3.42</v>
      </c>
      <c r="CG951">
        <v>11.07</v>
      </c>
      <c r="CH951">
        <v>-1.24</v>
      </c>
      <c r="CI951">
        <v>-5.91</v>
      </c>
      <c r="CJ951">
        <v>123908</v>
      </c>
      <c r="CK951">
        <v>8978</v>
      </c>
      <c r="CL951" t="s">
        <v>1779</v>
      </c>
      <c r="CM951">
        <v>154.33000000000001</v>
      </c>
      <c r="CN951">
        <v>18.239999999999998</v>
      </c>
      <c r="CO951">
        <v>2</v>
      </c>
      <c r="CP951">
        <v>-79.64</v>
      </c>
      <c r="CQ951">
        <v>2.21</v>
      </c>
      <c r="CR951">
        <v>1.22</v>
      </c>
      <c r="CS951" t="s">
        <v>3966</v>
      </c>
      <c r="CT951">
        <v>1.48</v>
      </c>
      <c r="CU951">
        <v>0</v>
      </c>
      <c r="CV951">
        <v>0.04</v>
      </c>
      <c r="CW951">
        <v>0.33</v>
      </c>
      <c r="CX951">
        <v>-0.04</v>
      </c>
      <c r="CY951">
        <v>85.7</v>
      </c>
      <c r="CZ951" t="s">
        <v>5633</v>
      </c>
      <c r="DA951">
        <v>19.57</v>
      </c>
      <c r="DB951">
        <v>9.57</v>
      </c>
      <c r="DC951">
        <v>8.17</v>
      </c>
      <c r="DD951">
        <v>1.79</v>
      </c>
      <c r="DE951">
        <v>2485</v>
      </c>
      <c r="DF951">
        <v>2498</v>
      </c>
      <c r="DG951" t="s">
        <v>116</v>
      </c>
      <c r="DH951" t="s">
        <v>116</v>
      </c>
      <c r="DI951" t="s">
        <v>116</v>
      </c>
    </row>
    <row r="952" spans="1:113" x14ac:dyDescent="0.4">
      <c r="A952" t="str">
        <f>"002499"</f>
        <v>002499</v>
      </c>
      <c r="B952" t="s">
        <v>5634</v>
      </c>
      <c r="C952">
        <v>-1.2</v>
      </c>
      <c r="D952">
        <v>4.93</v>
      </c>
      <c r="E952">
        <v>-0.06</v>
      </c>
      <c r="F952">
        <v>4.92</v>
      </c>
      <c r="G952">
        <v>4.93</v>
      </c>
      <c r="H952">
        <v>12910</v>
      </c>
      <c r="I952">
        <v>10</v>
      </c>
      <c r="J952">
        <v>-0.19</v>
      </c>
      <c r="K952">
        <v>0.68</v>
      </c>
      <c r="L952">
        <v>4.99</v>
      </c>
      <c r="M952">
        <v>5.07</v>
      </c>
      <c r="N952">
        <v>4.91</v>
      </c>
      <c r="O952">
        <v>4.99</v>
      </c>
      <c r="P952" t="s">
        <v>116</v>
      </c>
      <c r="Q952">
        <v>6414333</v>
      </c>
      <c r="R952">
        <v>0.38</v>
      </c>
      <c r="S952" t="s">
        <v>140</v>
      </c>
      <c r="T952" t="s">
        <v>323</v>
      </c>
      <c r="U952">
        <v>3.21</v>
      </c>
      <c r="V952">
        <v>4.97</v>
      </c>
      <c r="W952">
        <v>8219</v>
      </c>
      <c r="X952">
        <v>4691</v>
      </c>
      <c r="Y952">
        <v>1.75</v>
      </c>
      <c r="Z952">
        <v>23</v>
      </c>
      <c r="AA952">
        <v>56</v>
      </c>
      <c r="AB952" t="s">
        <v>116</v>
      </c>
      <c r="AC952">
        <v>5500</v>
      </c>
      <c r="AD952">
        <v>0</v>
      </c>
      <c r="AE952" t="s">
        <v>116</v>
      </c>
      <c r="AF952" t="s">
        <v>116</v>
      </c>
      <c r="AG952">
        <v>1.89</v>
      </c>
      <c r="AH952" t="s">
        <v>5635</v>
      </c>
      <c r="AI952" t="s">
        <v>5635</v>
      </c>
      <c r="AJ952">
        <v>-0.52</v>
      </c>
      <c r="AK952">
        <v>282</v>
      </c>
      <c r="AL952">
        <v>46</v>
      </c>
      <c r="AM952">
        <v>2.3999999999999998E-3</v>
      </c>
      <c r="AN952">
        <v>-1</v>
      </c>
      <c r="AO952">
        <v>-3.14</v>
      </c>
      <c r="AP952">
        <v>24.49</v>
      </c>
      <c r="AQ952">
        <v>28.39</v>
      </c>
      <c r="AR952">
        <v>-33.380000000000003</v>
      </c>
      <c r="AS952">
        <v>1.02</v>
      </c>
      <c r="AT952" t="s">
        <v>5636</v>
      </c>
      <c r="AU952" t="s">
        <v>116</v>
      </c>
      <c r="AV952" t="s">
        <v>116</v>
      </c>
      <c r="AW952">
        <v>0.64</v>
      </c>
      <c r="BA952">
        <v>0</v>
      </c>
      <c r="BB952">
        <v>1.6</v>
      </c>
      <c r="BC952">
        <v>-1.6</v>
      </c>
      <c r="BD952">
        <v>-0.43</v>
      </c>
      <c r="BE952">
        <v>-1.2</v>
      </c>
      <c r="BF952">
        <v>-2.76</v>
      </c>
      <c r="BG952">
        <v>0.41</v>
      </c>
      <c r="BH952">
        <v>-0.77</v>
      </c>
      <c r="BI952">
        <v>20191030</v>
      </c>
      <c r="BJ952">
        <v>20101109</v>
      </c>
      <c r="BK952">
        <v>1.89</v>
      </c>
      <c r="BL952" t="s">
        <v>116</v>
      </c>
      <c r="BM952" t="s">
        <v>116</v>
      </c>
      <c r="BN952">
        <v>11.22</v>
      </c>
      <c r="BO952">
        <v>1.62</v>
      </c>
      <c r="BP952">
        <v>0</v>
      </c>
      <c r="BQ952">
        <v>85.62</v>
      </c>
      <c r="BR952">
        <v>8.7100000000000009</v>
      </c>
      <c r="BS952">
        <v>1.86</v>
      </c>
      <c r="BT952">
        <v>0</v>
      </c>
      <c r="BU952">
        <v>6.18</v>
      </c>
      <c r="BV952">
        <v>0.06</v>
      </c>
      <c r="BW952">
        <v>6.21</v>
      </c>
      <c r="BX952">
        <v>3.51</v>
      </c>
      <c r="BY952">
        <v>0.39</v>
      </c>
      <c r="BZ952">
        <v>0.21</v>
      </c>
      <c r="CA952">
        <v>-0.28999999999999998</v>
      </c>
      <c r="CB952">
        <v>0.03</v>
      </c>
      <c r="CC952">
        <v>-0.36</v>
      </c>
      <c r="CD952">
        <v>-0.38</v>
      </c>
      <c r="CE952">
        <v>-0.38</v>
      </c>
      <c r="CF952">
        <v>-0.35</v>
      </c>
      <c r="CG952">
        <v>-4.03</v>
      </c>
      <c r="CH952">
        <v>-0.73</v>
      </c>
      <c r="CI952">
        <v>-0.4</v>
      </c>
      <c r="CJ952">
        <v>13722</v>
      </c>
      <c r="CK952">
        <v>9185</v>
      </c>
      <c r="CL952" t="s">
        <v>5637</v>
      </c>
      <c r="CM952">
        <v>-272.10000000000002</v>
      </c>
      <c r="CN952">
        <v>-71.819999999999993</v>
      </c>
      <c r="CO952">
        <v>5.77</v>
      </c>
      <c r="CP952">
        <v>-12.7</v>
      </c>
      <c r="CQ952">
        <v>24.16</v>
      </c>
      <c r="CR952">
        <v>0</v>
      </c>
      <c r="CS952" t="s">
        <v>5638</v>
      </c>
      <c r="CT952">
        <v>0.85</v>
      </c>
      <c r="CU952">
        <v>0</v>
      </c>
      <c r="CV952">
        <v>1.86</v>
      </c>
      <c r="CW952">
        <v>-2.13</v>
      </c>
      <c r="CX952">
        <v>-0.39</v>
      </c>
      <c r="CY952">
        <v>14.39</v>
      </c>
      <c r="CZ952" t="s">
        <v>5639</v>
      </c>
      <c r="DA952">
        <v>46.53</v>
      </c>
      <c r="DB952">
        <v>-76.06</v>
      </c>
      <c r="DC952">
        <v>-99.58</v>
      </c>
      <c r="DD952">
        <v>0</v>
      </c>
      <c r="DE952">
        <v>84</v>
      </c>
      <c r="DF952">
        <v>2499</v>
      </c>
      <c r="DG952" t="s">
        <v>116</v>
      </c>
      <c r="DH952" t="s">
        <v>116</v>
      </c>
      <c r="DI952" t="s">
        <v>116</v>
      </c>
    </row>
    <row r="953" spans="1:113" x14ac:dyDescent="0.4">
      <c r="A953" t="str">
        <f>"002500"</f>
        <v>002500</v>
      </c>
      <c r="B953" t="s">
        <v>5640</v>
      </c>
      <c r="C953">
        <v>-2.2000000000000002</v>
      </c>
      <c r="D953">
        <v>8.02</v>
      </c>
      <c r="E953">
        <v>-0.18</v>
      </c>
      <c r="F953">
        <v>8.01</v>
      </c>
      <c r="G953">
        <v>8.02</v>
      </c>
      <c r="H953">
        <v>360521</v>
      </c>
      <c r="I953">
        <v>2923</v>
      </c>
      <c r="J953">
        <v>-0.36</v>
      </c>
      <c r="K953">
        <v>1.27</v>
      </c>
      <c r="L953">
        <v>8.18</v>
      </c>
      <c r="M953">
        <v>8.3000000000000007</v>
      </c>
      <c r="N953">
        <v>8.02</v>
      </c>
      <c r="O953">
        <v>8.1999999999999993</v>
      </c>
      <c r="P953">
        <v>33.49</v>
      </c>
      <c r="Q953">
        <v>294626080</v>
      </c>
      <c r="R953">
        <v>1.04</v>
      </c>
      <c r="S953" t="s">
        <v>623</v>
      </c>
      <c r="T953" t="s">
        <v>675</v>
      </c>
      <c r="U953">
        <v>3.41</v>
      </c>
      <c r="V953">
        <v>8.17</v>
      </c>
      <c r="W953">
        <v>198251</v>
      </c>
      <c r="X953">
        <v>162270</v>
      </c>
      <c r="Y953">
        <v>1.22</v>
      </c>
      <c r="Z953">
        <v>2156</v>
      </c>
      <c r="AA953">
        <v>60</v>
      </c>
      <c r="AB953" t="s">
        <v>116</v>
      </c>
      <c r="AC953">
        <v>1218000</v>
      </c>
      <c r="AD953">
        <v>0.01</v>
      </c>
      <c r="AE953" t="s">
        <v>116</v>
      </c>
      <c r="AF953" t="s">
        <v>116</v>
      </c>
      <c r="AG953">
        <v>28.29</v>
      </c>
      <c r="AH953" t="s">
        <v>5641</v>
      </c>
      <c r="AI953" t="s">
        <v>5641</v>
      </c>
      <c r="AJ953">
        <v>-1.52</v>
      </c>
      <c r="AK953">
        <v>3563</v>
      </c>
      <c r="AL953">
        <v>101</v>
      </c>
      <c r="AM953">
        <v>4.0000000000000002E-4</v>
      </c>
      <c r="AN953">
        <v>-1</v>
      </c>
      <c r="AO953">
        <v>0.24</v>
      </c>
      <c r="AP953">
        <v>7.8</v>
      </c>
      <c r="AQ953">
        <v>-0.74</v>
      </c>
      <c r="AR953">
        <v>36.630000000000003</v>
      </c>
      <c r="AS953">
        <v>2.46</v>
      </c>
      <c r="AT953" t="s">
        <v>5642</v>
      </c>
      <c r="AU953">
        <v>36.96</v>
      </c>
      <c r="AV953">
        <v>102.3</v>
      </c>
      <c r="AW953">
        <v>1.1200000000000001</v>
      </c>
      <c r="BA953">
        <v>-0.24</v>
      </c>
      <c r="BB953">
        <v>1.22</v>
      </c>
      <c r="BC953">
        <v>-2.2000000000000002</v>
      </c>
      <c r="BD953">
        <v>-0.34</v>
      </c>
      <c r="BE953">
        <v>-1.96</v>
      </c>
      <c r="BF953">
        <v>-3.37</v>
      </c>
      <c r="BG953">
        <v>0</v>
      </c>
      <c r="BH953">
        <v>-1.86</v>
      </c>
      <c r="BI953">
        <v>20191223</v>
      </c>
      <c r="BJ953">
        <v>20101115</v>
      </c>
      <c r="BK953">
        <v>28.29</v>
      </c>
      <c r="BL953" t="s">
        <v>116</v>
      </c>
      <c r="BM953" t="s">
        <v>116</v>
      </c>
      <c r="BN953">
        <v>579.51</v>
      </c>
      <c r="BO953">
        <v>126.72</v>
      </c>
      <c r="BP953">
        <v>5.54</v>
      </c>
      <c r="BQ953">
        <v>77.180000000000007</v>
      </c>
      <c r="BR953">
        <v>0</v>
      </c>
      <c r="BS953">
        <v>3.7</v>
      </c>
      <c r="BT953">
        <v>1.02</v>
      </c>
      <c r="BU953">
        <v>0</v>
      </c>
      <c r="BV953">
        <v>0</v>
      </c>
      <c r="BW953">
        <v>0</v>
      </c>
      <c r="BX953">
        <v>67.13</v>
      </c>
      <c r="BY953">
        <v>43.51</v>
      </c>
      <c r="BZ953">
        <v>0</v>
      </c>
      <c r="CA953">
        <v>6.92</v>
      </c>
      <c r="CB953">
        <v>9.33</v>
      </c>
      <c r="CC953">
        <v>6.9</v>
      </c>
      <c r="CD953">
        <v>5.0999999999999996</v>
      </c>
      <c r="CE953">
        <v>5.08</v>
      </c>
      <c r="CF953">
        <v>5.01</v>
      </c>
      <c r="CG953">
        <v>15.52</v>
      </c>
      <c r="CH953">
        <v>25.55</v>
      </c>
      <c r="CI953">
        <v>16.14</v>
      </c>
      <c r="CJ953">
        <v>143339</v>
      </c>
      <c r="CK953">
        <v>10217</v>
      </c>
      <c r="CL953" t="s">
        <v>5643</v>
      </c>
      <c r="CM953">
        <v>337.82</v>
      </c>
      <c r="CN953">
        <v>0.01</v>
      </c>
      <c r="CO953">
        <v>1.79</v>
      </c>
      <c r="CP953">
        <v>8.8800000000000008</v>
      </c>
      <c r="CQ953">
        <v>5.21</v>
      </c>
      <c r="CR953">
        <v>0.62</v>
      </c>
      <c r="CS953" t="s">
        <v>1971</v>
      </c>
      <c r="CT953">
        <v>4.4800000000000004</v>
      </c>
      <c r="CU953">
        <v>0</v>
      </c>
      <c r="CV953">
        <v>2.37</v>
      </c>
      <c r="CW953">
        <v>0.55000000000000004</v>
      </c>
      <c r="CX953">
        <v>0.9</v>
      </c>
      <c r="CY953">
        <v>21.87</v>
      </c>
      <c r="CZ953" t="s">
        <v>5644</v>
      </c>
      <c r="DA953" t="s">
        <v>116</v>
      </c>
      <c r="DB953">
        <v>15.9</v>
      </c>
      <c r="DC953">
        <v>11.68</v>
      </c>
      <c r="DD953">
        <v>0</v>
      </c>
      <c r="DE953">
        <v>2337</v>
      </c>
      <c r="DF953">
        <v>2500</v>
      </c>
      <c r="DG953" t="s">
        <v>116</v>
      </c>
      <c r="DH953" t="s">
        <v>116</v>
      </c>
      <c r="DI953" t="s">
        <v>116</v>
      </c>
    </row>
    <row r="954" spans="1:113" x14ac:dyDescent="0.4">
      <c r="A954" t="str">
        <f>"002501"</f>
        <v>002501</v>
      </c>
      <c r="B954" t="s">
        <v>5645</v>
      </c>
      <c r="C954">
        <v>-1.74</v>
      </c>
      <c r="D954">
        <v>1.69</v>
      </c>
      <c r="E954">
        <v>-0.03</v>
      </c>
      <c r="F954">
        <v>1.69</v>
      </c>
      <c r="G954">
        <v>1.7</v>
      </c>
      <c r="H954">
        <v>111947</v>
      </c>
      <c r="I954">
        <v>1124</v>
      </c>
      <c r="J954">
        <v>0</v>
      </c>
      <c r="K954">
        <v>0.99</v>
      </c>
      <c r="L954">
        <v>1.72</v>
      </c>
      <c r="M954">
        <v>1.73</v>
      </c>
      <c r="N954">
        <v>1.68</v>
      </c>
      <c r="O954">
        <v>1.72</v>
      </c>
      <c r="P954" t="s">
        <v>116</v>
      </c>
      <c r="Q954">
        <v>18988984</v>
      </c>
      <c r="R954">
        <v>0.39</v>
      </c>
      <c r="S954" t="s">
        <v>1428</v>
      </c>
      <c r="T954" t="s">
        <v>294</v>
      </c>
      <c r="U954">
        <v>2.91</v>
      </c>
      <c r="V954">
        <v>1.7</v>
      </c>
      <c r="W954">
        <v>69772</v>
      </c>
      <c r="X954">
        <v>42175</v>
      </c>
      <c r="Y954">
        <v>1.65</v>
      </c>
      <c r="Z954">
        <v>1193</v>
      </c>
      <c r="AA954">
        <v>4349</v>
      </c>
      <c r="AB954" t="s">
        <v>116</v>
      </c>
      <c r="AC954">
        <v>149000</v>
      </c>
      <c r="AD954">
        <v>0.01</v>
      </c>
      <c r="AE954" t="s">
        <v>116</v>
      </c>
      <c r="AF954" t="s">
        <v>116</v>
      </c>
      <c r="AG954">
        <v>11.35</v>
      </c>
      <c r="AH954" t="s">
        <v>5646</v>
      </c>
      <c r="AI954" t="s">
        <v>4233</v>
      </c>
      <c r="AJ954">
        <v>-1.07</v>
      </c>
      <c r="AK954">
        <v>835</v>
      </c>
      <c r="AL954">
        <v>134</v>
      </c>
      <c r="AM954">
        <v>1.1999999999999999E-3</v>
      </c>
      <c r="AN954">
        <v>-1</v>
      </c>
      <c r="AO954">
        <v>-4.51</v>
      </c>
      <c r="AP954">
        <v>12.67</v>
      </c>
      <c r="AQ954">
        <v>30</v>
      </c>
      <c r="AR954">
        <v>-40.28</v>
      </c>
      <c r="AS954">
        <v>0.99</v>
      </c>
      <c r="AT954" t="s">
        <v>5646</v>
      </c>
      <c r="AU954" t="s">
        <v>116</v>
      </c>
      <c r="AV954" t="s">
        <v>116</v>
      </c>
      <c r="AW954">
        <v>0.56000000000000005</v>
      </c>
      <c r="BA954">
        <v>0</v>
      </c>
      <c r="BB954">
        <v>0.57999999999999996</v>
      </c>
      <c r="BC954">
        <v>-2.33</v>
      </c>
      <c r="BD954">
        <v>-1.38</v>
      </c>
      <c r="BE954">
        <v>-1.74</v>
      </c>
      <c r="BF954">
        <v>-2.31</v>
      </c>
      <c r="BG954">
        <v>0.6</v>
      </c>
      <c r="BH954">
        <v>-0.36</v>
      </c>
      <c r="BI954">
        <v>20191031</v>
      </c>
      <c r="BJ954">
        <v>20101117</v>
      </c>
      <c r="BK954">
        <v>12.15</v>
      </c>
      <c r="BL954" t="s">
        <v>116</v>
      </c>
      <c r="BM954" t="s">
        <v>116</v>
      </c>
      <c r="BN954">
        <v>117.51</v>
      </c>
      <c r="BO954">
        <v>27.69</v>
      </c>
      <c r="BP954">
        <v>0</v>
      </c>
      <c r="BQ954">
        <v>76.44</v>
      </c>
      <c r="BR954">
        <v>6.23</v>
      </c>
      <c r="BS954">
        <v>104.73</v>
      </c>
      <c r="BT954">
        <v>5.61</v>
      </c>
      <c r="BU954">
        <v>75.03</v>
      </c>
      <c r="BV954">
        <v>1.39</v>
      </c>
      <c r="BW954">
        <v>0.65</v>
      </c>
      <c r="BX954">
        <v>43.03</v>
      </c>
      <c r="BY954">
        <v>1.28</v>
      </c>
      <c r="BZ954">
        <v>4.78</v>
      </c>
      <c r="CA954">
        <v>-10.65</v>
      </c>
      <c r="CB954">
        <v>0.01</v>
      </c>
      <c r="CC954">
        <v>-12.09</v>
      </c>
      <c r="CD954">
        <v>-12.08</v>
      </c>
      <c r="CE954">
        <v>-12.09</v>
      </c>
      <c r="CF954">
        <v>-10.79</v>
      </c>
      <c r="CG954">
        <v>-30.85</v>
      </c>
      <c r="CH954">
        <v>-0.06</v>
      </c>
      <c r="CI954">
        <v>-0.18</v>
      </c>
      <c r="CJ954">
        <v>68877</v>
      </c>
      <c r="CK954">
        <v>16480</v>
      </c>
      <c r="CL954" t="s">
        <v>5647</v>
      </c>
      <c r="CM954">
        <v>-27.14</v>
      </c>
      <c r="CN954">
        <v>-66.19</v>
      </c>
      <c r="CO954">
        <v>0.74</v>
      </c>
      <c r="CP954">
        <v>-343.97</v>
      </c>
      <c r="CQ954">
        <v>16.05</v>
      </c>
      <c r="CR954">
        <v>0</v>
      </c>
      <c r="CS954" t="s">
        <v>5648</v>
      </c>
      <c r="CT954">
        <v>2.2799999999999998</v>
      </c>
      <c r="CU954">
        <v>0</v>
      </c>
      <c r="CV954">
        <v>3.54</v>
      </c>
      <c r="CW954">
        <v>-2.54</v>
      </c>
      <c r="CX954">
        <v>0</v>
      </c>
      <c r="CY954">
        <v>23.56</v>
      </c>
      <c r="CZ954" t="s">
        <v>5649</v>
      </c>
      <c r="DA954">
        <v>-274.05</v>
      </c>
      <c r="DB954">
        <v>-832.35</v>
      </c>
      <c r="DC954">
        <v>-944.93</v>
      </c>
      <c r="DD954">
        <v>0.01</v>
      </c>
      <c r="DE954">
        <v>1299</v>
      </c>
      <c r="DF954">
        <v>2501</v>
      </c>
      <c r="DG954" t="s">
        <v>116</v>
      </c>
      <c r="DH954" t="s">
        <v>116</v>
      </c>
      <c r="DI954" t="s">
        <v>116</v>
      </c>
    </row>
    <row r="955" spans="1:113" x14ac:dyDescent="0.4">
      <c r="A955" t="str">
        <f>"002502"</f>
        <v>002502</v>
      </c>
      <c r="B955" t="s">
        <v>5650</v>
      </c>
      <c r="C955">
        <v>-1.82</v>
      </c>
      <c r="D955">
        <v>3.23</v>
      </c>
      <c r="E955">
        <v>-0.06</v>
      </c>
      <c r="F955">
        <v>3.22</v>
      </c>
      <c r="G955">
        <v>3.23</v>
      </c>
      <c r="H955">
        <v>235268</v>
      </c>
      <c r="I955">
        <v>3469</v>
      </c>
      <c r="J955">
        <v>-0.3</v>
      </c>
      <c r="K955">
        <v>3.36</v>
      </c>
      <c r="L955">
        <v>3.3</v>
      </c>
      <c r="M955">
        <v>3.35</v>
      </c>
      <c r="N955">
        <v>3.23</v>
      </c>
      <c r="O955">
        <v>3.29</v>
      </c>
      <c r="P955" t="s">
        <v>116</v>
      </c>
      <c r="Q955">
        <v>77431920</v>
      </c>
      <c r="R955">
        <v>0.75</v>
      </c>
      <c r="S955" t="s">
        <v>589</v>
      </c>
      <c r="T955" t="s">
        <v>551</v>
      </c>
      <c r="U955">
        <v>3.65</v>
      </c>
      <c r="V955">
        <v>3.29</v>
      </c>
      <c r="W955">
        <v>132844</v>
      </c>
      <c r="X955">
        <v>102424</v>
      </c>
      <c r="Y955">
        <v>1.3</v>
      </c>
      <c r="Z955">
        <v>2063</v>
      </c>
      <c r="AA955">
        <v>2108</v>
      </c>
      <c r="AB955" t="s">
        <v>116</v>
      </c>
      <c r="AC955">
        <v>201000</v>
      </c>
      <c r="AD955">
        <v>0.01</v>
      </c>
      <c r="AE955" t="s">
        <v>116</v>
      </c>
      <c r="AF955" t="s">
        <v>116</v>
      </c>
      <c r="AG955">
        <v>7</v>
      </c>
      <c r="AH955" t="s">
        <v>5651</v>
      </c>
      <c r="AI955" t="s">
        <v>5652</v>
      </c>
      <c r="AJ955">
        <v>-1.1399999999999999</v>
      </c>
      <c r="AK955">
        <v>2428</v>
      </c>
      <c r="AL955">
        <v>97</v>
      </c>
      <c r="AM955">
        <v>1.4E-3</v>
      </c>
      <c r="AN955">
        <v>-2</v>
      </c>
      <c r="AO955">
        <v>-2.41</v>
      </c>
      <c r="AP955">
        <v>-3</v>
      </c>
      <c r="AQ955">
        <v>5.56</v>
      </c>
      <c r="AR955">
        <v>-18.02</v>
      </c>
      <c r="AS955">
        <v>4.4000000000000004</v>
      </c>
      <c r="AT955" t="s">
        <v>2618</v>
      </c>
      <c r="AU955" t="s">
        <v>116</v>
      </c>
      <c r="AV955" t="s">
        <v>116</v>
      </c>
      <c r="AW955">
        <v>1.22</v>
      </c>
      <c r="BA955">
        <v>0.3</v>
      </c>
      <c r="BB955">
        <v>1.82</v>
      </c>
      <c r="BC955">
        <v>-1.82</v>
      </c>
      <c r="BD955">
        <v>0.04</v>
      </c>
      <c r="BE955">
        <v>-2.12</v>
      </c>
      <c r="BF955">
        <v>-3.58</v>
      </c>
      <c r="BG955">
        <v>0</v>
      </c>
      <c r="BH955">
        <v>-1.86</v>
      </c>
      <c r="BI955">
        <v>20191126</v>
      </c>
      <c r="BJ955">
        <v>20101117</v>
      </c>
      <c r="BK955">
        <v>8.6</v>
      </c>
      <c r="BL955" t="s">
        <v>116</v>
      </c>
      <c r="BM955" t="s">
        <v>116</v>
      </c>
      <c r="BN955">
        <v>17.649999999999999</v>
      </c>
      <c r="BO955">
        <v>16.7</v>
      </c>
      <c r="BP955">
        <v>0.15</v>
      </c>
      <c r="BQ955">
        <v>4.53</v>
      </c>
      <c r="BR955">
        <v>12.36</v>
      </c>
      <c r="BS955">
        <v>0.69</v>
      </c>
      <c r="BT955">
        <v>0.1</v>
      </c>
      <c r="BU955">
        <v>0.8</v>
      </c>
      <c r="BV955">
        <v>0.25</v>
      </c>
      <c r="BW955">
        <v>4.5199999999999996</v>
      </c>
      <c r="BX955">
        <v>16.37</v>
      </c>
      <c r="BY955">
        <v>7.92</v>
      </c>
      <c r="BZ955">
        <v>7.38</v>
      </c>
      <c r="CA955">
        <v>-4.68</v>
      </c>
      <c r="CB955">
        <v>0</v>
      </c>
      <c r="CC955">
        <v>-4.68</v>
      </c>
      <c r="CD955">
        <v>-4.67</v>
      </c>
      <c r="CE955">
        <v>-4.66</v>
      </c>
      <c r="CF955">
        <v>-4.71</v>
      </c>
      <c r="CG955">
        <v>-8.5500000000000007</v>
      </c>
      <c r="CH955">
        <v>-2.5</v>
      </c>
      <c r="CI955">
        <v>-2.14</v>
      </c>
      <c r="CJ955">
        <v>38986</v>
      </c>
      <c r="CK955">
        <v>13721</v>
      </c>
      <c r="CL955" t="s">
        <v>305</v>
      </c>
      <c r="CM955">
        <v>-1494.35</v>
      </c>
      <c r="CN955">
        <v>512.63</v>
      </c>
      <c r="CO955">
        <v>1.66</v>
      </c>
      <c r="CP955">
        <v>-11.09</v>
      </c>
      <c r="CQ955">
        <v>3.51</v>
      </c>
      <c r="CR955">
        <v>0</v>
      </c>
      <c r="CS955" t="s">
        <v>5653</v>
      </c>
      <c r="CT955">
        <v>1.94</v>
      </c>
      <c r="CU955">
        <v>0</v>
      </c>
      <c r="CV955">
        <v>1.9</v>
      </c>
      <c r="CW955">
        <v>-0.99</v>
      </c>
      <c r="CX955">
        <v>-0.28999999999999998</v>
      </c>
      <c r="CY955">
        <v>94.62</v>
      </c>
      <c r="CZ955" t="s">
        <v>5654</v>
      </c>
      <c r="DA955">
        <v>6.84</v>
      </c>
      <c r="DB955">
        <v>-59.08</v>
      </c>
      <c r="DC955">
        <v>-58.86</v>
      </c>
      <c r="DD955">
        <v>0.13</v>
      </c>
      <c r="DE955">
        <v>364</v>
      </c>
      <c r="DF955">
        <v>2502</v>
      </c>
      <c r="DG955" t="s">
        <v>116</v>
      </c>
      <c r="DH955" t="s">
        <v>116</v>
      </c>
      <c r="DI955" t="s">
        <v>116</v>
      </c>
    </row>
    <row r="956" spans="1:113" x14ac:dyDescent="0.4">
      <c r="A956" t="str">
        <f>"002503"</f>
        <v>002503</v>
      </c>
      <c r="B956" t="s">
        <v>5655</v>
      </c>
      <c r="C956">
        <v>-3.28</v>
      </c>
      <c r="D956">
        <v>2.36</v>
      </c>
      <c r="E956">
        <v>-0.08</v>
      </c>
      <c r="F956">
        <v>2.36</v>
      </c>
      <c r="G956">
        <v>2.37</v>
      </c>
      <c r="H956">
        <v>1420346</v>
      </c>
      <c r="I956">
        <v>9529</v>
      </c>
      <c r="J956">
        <v>0</v>
      </c>
      <c r="K956">
        <v>6.69</v>
      </c>
      <c r="L956">
        <v>2.48</v>
      </c>
      <c r="M956">
        <v>2.52</v>
      </c>
      <c r="N956">
        <v>2.34</v>
      </c>
      <c r="O956">
        <v>2.44</v>
      </c>
      <c r="P956">
        <v>17.989999999999998</v>
      </c>
      <c r="Q956">
        <v>345814112</v>
      </c>
      <c r="R956">
        <v>3.62</v>
      </c>
      <c r="S956" t="s">
        <v>3070</v>
      </c>
      <c r="T956" t="s">
        <v>551</v>
      </c>
      <c r="U956">
        <v>7.38</v>
      </c>
      <c r="V956">
        <v>2.4300000000000002</v>
      </c>
      <c r="W956">
        <v>708398</v>
      </c>
      <c r="X956">
        <v>711948</v>
      </c>
      <c r="Y956">
        <v>1</v>
      </c>
      <c r="Z956">
        <v>989</v>
      </c>
      <c r="AA956">
        <v>7567</v>
      </c>
      <c r="AB956" t="s">
        <v>116</v>
      </c>
      <c r="AC956">
        <v>10205900</v>
      </c>
      <c r="AD956">
        <v>0.28999999999999998</v>
      </c>
      <c r="AE956" t="s">
        <v>116</v>
      </c>
      <c r="AF956" t="s">
        <v>116</v>
      </c>
      <c r="AG956">
        <v>21.23</v>
      </c>
      <c r="AH956" t="s">
        <v>5656</v>
      </c>
      <c r="AI956" t="s">
        <v>5657</v>
      </c>
      <c r="AJ956">
        <v>-2.6</v>
      </c>
      <c r="AK956">
        <v>3395</v>
      </c>
      <c r="AL956">
        <v>418</v>
      </c>
      <c r="AM956">
        <v>2E-3</v>
      </c>
      <c r="AN956">
        <v>-1</v>
      </c>
      <c r="AO956">
        <v>4.8899999999999997</v>
      </c>
      <c r="AP956">
        <v>9.77</v>
      </c>
      <c r="AQ956">
        <v>0.43</v>
      </c>
      <c r="AR956">
        <v>0.43</v>
      </c>
      <c r="AS956">
        <v>10.11</v>
      </c>
      <c r="AT956" t="s">
        <v>5658</v>
      </c>
      <c r="AU956">
        <v>66.099999999999994</v>
      </c>
      <c r="AV956">
        <v>19.760000000000002</v>
      </c>
      <c r="AW956">
        <v>1.27</v>
      </c>
      <c r="BA956">
        <v>1.64</v>
      </c>
      <c r="BB956">
        <v>3.28</v>
      </c>
      <c r="BC956">
        <v>-4.0999999999999996</v>
      </c>
      <c r="BD956">
        <v>-0.22</v>
      </c>
      <c r="BE956">
        <v>-4.84</v>
      </c>
      <c r="BF956">
        <v>-6.35</v>
      </c>
      <c r="BG956">
        <v>0.85</v>
      </c>
      <c r="BH956">
        <v>-3.06</v>
      </c>
      <c r="BI956">
        <v>20191031</v>
      </c>
      <c r="BJ956">
        <v>20101117</v>
      </c>
      <c r="BK956">
        <v>30.93</v>
      </c>
      <c r="BL956" t="s">
        <v>116</v>
      </c>
      <c r="BM956" t="s">
        <v>116</v>
      </c>
      <c r="BN956">
        <v>111.66</v>
      </c>
      <c r="BO956">
        <v>55.62</v>
      </c>
      <c r="BP956">
        <v>3.22</v>
      </c>
      <c r="BQ956">
        <v>47.3</v>
      </c>
      <c r="BR956">
        <v>87.02</v>
      </c>
      <c r="BS956">
        <v>8.8699999999999992</v>
      </c>
      <c r="BT956">
        <v>2.4</v>
      </c>
      <c r="BU956">
        <v>41.61</v>
      </c>
      <c r="BV956">
        <v>38.89</v>
      </c>
      <c r="BW956">
        <v>20.94</v>
      </c>
      <c r="BX956">
        <v>8.23</v>
      </c>
      <c r="BY956">
        <v>98.94</v>
      </c>
      <c r="BZ956">
        <v>90.44</v>
      </c>
      <c r="CA956">
        <v>4.1100000000000003</v>
      </c>
      <c r="CB956">
        <v>0.32</v>
      </c>
      <c r="CC956">
        <v>4.1100000000000003</v>
      </c>
      <c r="CD956">
        <v>3.15</v>
      </c>
      <c r="CE956">
        <v>3.04</v>
      </c>
      <c r="CF956">
        <v>2.79</v>
      </c>
      <c r="CG956">
        <v>16.36</v>
      </c>
      <c r="CH956">
        <v>0.69</v>
      </c>
      <c r="CI956">
        <v>-5.64</v>
      </c>
      <c r="CJ956">
        <v>65664</v>
      </c>
      <c r="CK956">
        <v>21392</v>
      </c>
      <c r="CL956" t="s">
        <v>1863</v>
      </c>
      <c r="CM956">
        <v>-45.98</v>
      </c>
      <c r="CN956">
        <v>-34.880000000000003</v>
      </c>
      <c r="CO956">
        <v>1.31</v>
      </c>
      <c r="CP956">
        <v>105.04</v>
      </c>
      <c r="CQ956">
        <v>0.74</v>
      </c>
      <c r="CR956">
        <v>0</v>
      </c>
      <c r="CS956" t="s">
        <v>821</v>
      </c>
      <c r="CT956">
        <v>1.8</v>
      </c>
      <c r="CU956">
        <v>0</v>
      </c>
      <c r="CV956">
        <v>0.27</v>
      </c>
      <c r="CW956">
        <v>0.53</v>
      </c>
      <c r="CX956">
        <v>0.02</v>
      </c>
      <c r="CY956">
        <v>49.81</v>
      </c>
      <c r="CZ956" t="s">
        <v>5659</v>
      </c>
      <c r="DA956">
        <v>8.6</v>
      </c>
      <c r="DB956">
        <v>4.1500000000000004</v>
      </c>
      <c r="DC956">
        <v>3.08</v>
      </c>
      <c r="DD956">
        <v>0.3</v>
      </c>
      <c r="DE956">
        <v>2467</v>
      </c>
      <c r="DF956">
        <v>2503</v>
      </c>
      <c r="DG956" t="s">
        <v>116</v>
      </c>
      <c r="DH956" t="s">
        <v>116</v>
      </c>
      <c r="DI956" t="s">
        <v>116</v>
      </c>
    </row>
    <row r="957" spans="1:113" x14ac:dyDescent="0.4">
      <c r="A957" t="str">
        <f>"002504"</f>
        <v>002504</v>
      </c>
      <c r="B957" t="s">
        <v>5660</v>
      </c>
      <c r="C957">
        <v>1.25</v>
      </c>
      <c r="D957">
        <v>3.24</v>
      </c>
      <c r="E957">
        <v>0.04</v>
      </c>
      <c r="F957">
        <v>3.23</v>
      </c>
      <c r="G957">
        <v>3.24</v>
      </c>
      <c r="H957">
        <v>140144</v>
      </c>
      <c r="I957">
        <v>6235</v>
      </c>
      <c r="J957">
        <v>1.25</v>
      </c>
      <c r="K957">
        <v>3.38</v>
      </c>
      <c r="L957">
        <v>3.18</v>
      </c>
      <c r="M957">
        <v>3.25</v>
      </c>
      <c r="N957">
        <v>3.15</v>
      </c>
      <c r="O957">
        <v>3.2</v>
      </c>
      <c r="P957" t="s">
        <v>116</v>
      </c>
      <c r="Q957">
        <v>44648660</v>
      </c>
      <c r="R957">
        <v>0.56999999999999995</v>
      </c>
      <c r="S957" t="s">
        <v>3331</v>
      </c>
      <c r="T957" t="s">
        <v>165</v>
      </c>
      <c r="U957">
        <v>3.12</v>
      </c>
      <c r="V957">
        <v>3.19</v>
      </c>
      <c r="W957">
        <v>77916</v>
      </c>
      <c r="X957">
        <v>62228</v>
      </c>
      <c r="Y957">
        <v>1.25</v>
      </c>
      <c r="Z957">
        <v>1624</v>
      </c>
      <c r="AA957">
        <v>5359</v>
      </c>
      <c r="AB957" t="s">
        <v>116</v>
      </c>
      <c r="AC957">
        <v>169500</v>
      </c>
      <c r="AD957">
        <v>0.01</v>
      </c>
      <c r="AE957" t="s">
        <v>116</v>
      </c>
      <c r="AF957" t="s">
        <v>116</v>
      </c>
      <c r="AG957">
        <v>4.1500000000000004</v>
      </c>
      <c r="AH957" t="s">
        <v>5661</v>
      </c>
      <c r="AI957" t="s">
        <v>5326</v>
      </c>
      <c r="AJ957">
        <v>1.93</v>
      </c>
      <c r="AK957">
        <v>1371</v>
      </c>
      <c r="AL957">
        <v>102</v>
      </c>
      <c r="AM957">
        <v>2.5000000000000001E-3</v>
      </c>
      <c r="AN957">
        <v>1</v>
      </c>
      <c r="AO957">
        <v>-2.11</v>
      </c>
      <c r="AP957">
        <v>13.68</v>
      </c>
      <c r="AQ957">
        <v>2.21</v>
      </c>
      <c r="AR957">
        <v>-11.23</v>
      </c>
      <c r="AS957">
        <v>3.38</v>
      </c>
      <c r="AT957" t="s">
        <v>5661</v>
      </c>
      <c r="AU957" t="s">
        <v>116</v>
      </c>
      <c r="AV957">
        <v>439.01</v>
      </c>
      <c r="AW957">
        <v>0.37</v>
      </c>
      <c r="BA957">
        <v>-0.62</v>
      </c>
      <c r="BB957">
        <v>1.56</v>
      </c>
      <c r="BC957">
        <v>-1.56</v>
      </c>
      <c r="BD957">
        <v>-0.44</v>
      </c>
      <c r="BE957">
        <v>1.89</v>
      </c>
      <c r="BF957">
        <v>-0.31</v>
      </c>
      <c r="BG957">
        <v>2.86</v>
      </c>
      <c r="BH957">
        <v>1.69</v>
      </c>
      <c r="BI957">
        <v>20191024</v>
      </c>
      <c r="BJ957">
        <v>20101118</v>
      </c>
      <c r="BK957">
        <v>10.26</v>
      </c>
      <c r="BL957" t="s">
        <v>116</v>
      </c>
      <c r="BM957" t="s">
        <v>116</v>
      </c>
      <c r="BN957">
        <v>44.38</v>
      </c>
      <c r="BO957">
        <v>8.59</v>
      </c>
      <c r="BP957">
        <v>0.08</v>
      </c>
      <c r="BQ957">
        <v>80.459999999999994</v>
      </c>
      <c r="BR957">
        <v>41.67</v>
      </c>
      <c r="BS957">
        <v>7.0000000000000007E-2</v>
      </c>
      <c r="BT957">
        <v>0</v>
      </c>
      <c r="BU957">
        <v>35.71</v>
      </c>
      <c r="BV957">
        <v>1.72</v>
      </c>
      <c r="BW957">
        <v>36.5</v>
      </c>
      <c r="BX957">
        <v>1.87</v>
      </c>
      <c r="BY957">
        <v>7.47</v>
      </c>
      <c r="BZ957">
        <v>7.35</v>
      </c>
      <c r="CA957">
        <v>-1.08</v>
      </c>
      <c r="CB957">
        <v>0</v>
      </c>
      <c r="CC957">
        <v>-1.1499999999999999</v>
      </c>
      <c r="CD957">
        <v>-0.99</v>
      </c>
      <c r="CE957">
        <v>-0.99</v>
      </c>
      <c r="CF957">
        <v>-0.92</v>
      </c>
      <c r="CG957">
        <v>5.66</v>
      </c>
      <c r="CH957">
        <v>-0.04</v>
      </c>
      <c r="CI957">
        <v>-0.11</v>
      </c>
      <c r="CJ957">
        <v>44738</v>
      </c>
      <c r="CK957">
        <v>9266</v>
      </c>
      <c r="CL957" t="s">
        <v>2097</v>
      </c>
      <c r="CM957">
        <v>-808.5</v>
      </c>
      <c r="CN957">
        <v>-15.51</v>
      </c>
      <c r="CO957">
        <v>3.87</v>
      </c>
      <c r="CP957">
        <v>-890.02</v>
      </c>
      <c r="CQ957">
        <v>4.45</v>
      </c>
      <c r="CR957">
        <v>0</v>
      </c>
      <c r="CS957" t="s">
        <v>5297</v>
      </c>
      <c r="CT957">
        <v>0.84</v>
      </c>
      <c r="CU957">
        <v>0</v>
      </c>
      <c r="CV957">
        <v>0.18</v>
      </c>
      <c r="CW957">
        <v>0.55000000000000004</v>
      </c>
      <c r="CX957">
        <v>0</v>
      </c>
      <c r="CY957">
        <v>19.350000000000001</v>
      </c>
      <c r="CZ957" t="s">
        <v>5662</v>
      </c>
      <c r="DA957">
        <v>1.62</v>
      </c>
      <c r="DB957">
        <v>-14.43</v>
      </c>
      <c r="DC957">
        <v>-13.22</v>
      </c>
      <c r="DD957">
        <v>0</v>
      </c>
      <c r="DE957">
        <v>433</v>
      </c>
      <c r="DF957">
        <v>2504</v>
      </c>
      <c r="DG957" t="s">
        <v>116</v>
      </c>
      <c r="DH957" t="s">
        <v>116</v>
      </c>
      <c r="DI957" t="s">
        <v>116</v>
      </c>
    </row>
    <row r="958" spans="1:113" x14ac:dyDescent="0.4">
      <c r="A958" t="str">
        <f>"002505"</f>
        <v>002505</v>
      </c>
      <c r="B958" t="s">
        <v>5663</v>
      </c>
      <c r="C958">
        <v>0.59</v>
      </c>
      <c r="D958">
        <v>1.71</v>
      </c>
      <c r="E958">
        <v>0.01</v>
      </c>
      <c r="F958">
        <v>1.7</v>
      </c>
      <c r="G958">
        <v>1.71</v>
      </c>
      <c r="H958">
        <v>388203</v>
      </c>
      <c r="I958">
        <v>4778</v>
      </c>
      <c r="J958">
        <v>0</v>
      </c>
      <c r="K958">
        <v>0.71</v>
      </c>
      <c r="L958">
        <v>1.7</v>
      </c>
      <c r="M958">
        <v>1.74</v>
      </c>
      <c r="N958">
        <v>1.7</v>
      </c>
      <c r="O958">
        <v>1.7</v>
      </c>
      <c r="P958">
        <v>131.77000000000001</v>
      </c>
      <c r="Q958">
        <v>66463488</v>
      </c>
      <c r="R958">
        <v>0.94</v>
      </c>
      <c r="S958" t="s">
        <v>449</v>
      </c>
      <c r="T958" t="s">
        <v>599</v>
      </c>
      <c r="U958">
        <v>2.35</v>
      </c>
      <c r="V958">
        <v>1.71</v>
      </c>
      <c r="W958">
        <v>165007</v>
      </c>
      <c r="X958">
        <v>223196</v>
      </c>
      <c r="Y958">
        <v>0.74</v>
      </c>
      <c r="Z958">
        <v>27116</v>
      </c>
      <c r="AA958">
        <v>24014</v>
      </c>
      <c r="AB958" t="s">
        <v>116</v>
      </c>
      <c r="AC958">
        <v>223000</v>
      </c>
      <c r="AD958">
        <v>0.01</v>
      </c>
      <c r="AE958" t="s">
        <v>116</v>
      </c>
      <c r="AF958" t="s">
        <v>116</v>
      </c>
      <c r="AG958">
        <v>54.85</v>
      </c>
      <c r="AH958" t="s">
        <v>5664</v>
      </c>
      <c r="AI958" t="s">
        <v>5664</v>
      </c>
      <c r="AJ958">
        <v>1.27</v>
      </c>
      <c r="AK958">
        <v>2039</v>
      </c>
      <c r="AL958">
        <v>190</v>
      </c>
      <c r="AM958">
        <v>2.9999999999999997E-4</v>
      </c>
      <c r="AN958">
        <v>1</v>
      </c>
      <c r="AO958">
        <v>0.59</v>
      </c>
      <c r="AP958">
        <v>1.18</v>
      </c>
      <c r="AQ958">
        <v>-1.72</v>
      </c>
      <c r="AR958">
        <v>5.56</v>
      </c>
      <c r="AS958">
        <v>1.64</v>
      </c>
      <c r="AT958" t="s">
        <v>5665</v>
      </c>
      <c r="AU958" t="s">
        <v>116</v>
      </c>
      <c r="AV958" t="s">
        <v>116</v>
      </c>
      <c r="AW958">
        <v>0.77</v>
      </c>
      <c r="BA958">
        <v>0</v>
      </c>
      <c r="BB958">
        <v>2.35</v>
      </c>
      <c r="BC958">
        <v>0</v>
      </c>
      <c r="BD958">
        <v>0.71</v>
      </c>
      <c r="BE958">
        <v>0.59</v>
      </c>
      <c r="BF958">
        <v>-1.72</v>
      </c>
      <c r="BG958">
        <v>0.59</v>
      </c>
      <c r="BH958">
        <v>-0.12</v>
      </c>
      <c r="BI958">
        <v>20191030</v>
      </c>
      <c r="BJ958">
        <v>20101118</v>
      </c>
      <c r="BK958">
        <v>54.85</v>
      </c>
      <c r="BL958" t="s">
        <v>116</v>
      </c>
      <c r="BM958" t="s">
        <v>116</v>
      </c>
      <c r="BN958">
        <v>140.72999999999999</v>
      </c>
      <c r="BO958">
        <v>45.63</v>
      </c>
      <c r="BP958">
        <v>8.69</v>
      </c>
      <c r="BQ958">
        <v>61.4</v>
      </c>
      <c r="BR958">
        <v>63.96</v>
      </c>
      <c r="BS958">
        <v>30.97</v>
      </c>
      <c r="BT958">
        <v>7.53</v>
      </c>
      <c r="BU958">
        <v>72.87</v>
      </c>
      <c r="BV958">
        <v>21.86</v>
      </c>
      <c r="BW958">
        <v>18.079999999999998</v>
      </c>
      <c r="BX958">
        <v>2.54</v>
      </c>
      <c r="BY958">
        <v>98.23</v>
      </c>
      <c r="BZ958">
        <v>89.06</v>
      </c>
      <c r="CA958">
        <v>-0.06</v>
      </c>
      <c r="CB958">
        <v>0.61</v>
      </c>
      <c r="CC958">
        <v>0.01</v>
      </c>
      <c r="CD958">
        <v>0.68</v>
      </c>
      <c r="CE958">
        <v>0.53</v>
      </c>
      <c r="CF958">
        <v>0.01</v>
      </c>
      <c r="CG958">
        <v>-7.33</v>
      </c>
      <c r="CH958">
        <v>-1.01</v>
      </c>
      <c r="CI958">
        <v>1.22</v>
      </c>
      <c r="CJ958">
        <v>173948</v>
      </c>
      <c r="CK958">
        <v>13638</v>
      </c>
      <c r="CL958" t="s">
        <v>5666</v>
      </c>
      <c r="CM958">
        <v>26.15</v>
      </c>
      <c r="CN958">
        <v>-14.64</v>
      </c>
      <c r="CO958">
        <v>2.06</v>
      </c>
      <c r="CP958">
        <v>-92.52</v>
      </c>
      <c r="CQ958">
        <v>0.95</v>
      </c>
      <c r="CR958">
        <v>0</v>
      </c>
      <c r="CS958" t="s">
        <v>888</v>
      </c>
      <c r="CT958">
        <v>0.83</v>
      </c>
      <c r="CU958">
        <v>0</v>
      </c>
      <c r="CV958">
        <v>0.05</v>
      </c>
      <c r="CW958">
        <v>-0.13</v>
      </c>
      <c r="CX958">
        <v>-0.02</v>
      </c>
      <c r="CY958">
        <v>32.43</v>
      </c>
      <c r="CZ958" t="s">
        <v>5667</v>
      </c>
      <c r="DA958">
        <v>9.33</v>
      </c>
      <c r="DB958">
        <v>-0.06</v>
      </c>
      <c r="DC958">
        <v>0.54</v>
      </c>
      <c r="DD958">
        <v>0</v>
      </c>
      <c r="DE958">
        <v>2133</v>
      </c>
      <c r="DF958">
        <v>2505</v>
      </c>
      <c r="DG958" t="s">
        <v>116</v>
      </c>
      <c r="DH958" t="s">
        <v>116</v>
      </c>
      <c r="DI958" t="s">
        <v>116</v>
      </c>
    </row>
    <row r="959" spans="1:113" x14ac:dyDescent="0.4">
      <c r="A959" t="str">
        <f>"002506"</f>
        <v>002506</v>
      </c>
      <c r="B959" t="s">
        <v>5668</v>
      </c>
      <c r="C959">
        <v>10.050000000000001</v>
      </c>
      <c r="D959">
        <v>6.02</v>
      </c>
      <c r="E959">
        <v>0.55000000000000004</v>
      </c>
      <c r="F959">
        <v>6.02</v>
      </c>
      <c r="G959" t="s">
        <v>116</v>
      </c>
      <c r="H959">
        <v>2072051</v>
      </c>
      <c r="I959">
        <v>3235</v>
      </c>
      <c r="J959">
        <v>0</v>
      </c>
      <c r="K959">
        <v>4.09</v>
      </c>
      <c r="L959">
        <v>5.55</v>
      </c>
      <c r="M959">
        <v>6.02</v>
      </c>
      <c r="N959">
        <v>5.55</v>
      </c>
      <c r="O959">
        <v>5.47</v>
      </c>
      <c r="P959" t="s">
        <v>116</v>
      </c>
      <c r="Q959">
        <v>1216722560</v>
      </c>
      <c r="R959">
        <v>4.74</v>
      </c>
      <c r="S959" t="s">
        <v>397</v>
      </c>
      <c r="T959" t="s">
        <v>1653</v>
      </c>
      <c r="U959">
        <v>8.59</v>
      </c>
      <c r="V959">
        <v>5.87</v>
      </c>
      <c r="W959">
        <v>844535</v>
      </c>
      <c r="X959">
        <v>1227516</v>
      </c>
      <c r="Y959">
        <v>0.69</v>
      </c>
      <c r="Z959">
        <v>262468</v>
      </c>
      <c r="AA959">
        <v>0</v>
      </c>
      <c r="AB959" t="s">
        <v>116</v>
      </c>
      <c r="AC959">
        <v>6710500</v>
      </c>
      <c r="AD959">
        <v>0.05</v>
      </c>
      <c r="AE959">
        <v>0.13</v>
      </c>
      <c r="AF959">
        <v>158005728</v>
      </c>
      <c r="AG959">
        <v>50.7</v>
      </c>
      <c r="AH959" t="s">
        <v>5669</v>
      </c>
      <c r="AI959" t="s">
        <v>5670</v>
      </c>
      <c r="AJ959">
        <v>10.73</v>
      </c>
      <c r="AK959">
        <v>3673</v>
      </c>
      <c r="AL959">
        <v>564</v>
      </c>
      <c r="AM959">
        <v>1.1000000000000001E-3</v>
      </c>
      <c r="AN959">
        <v>1</v>
      </c>
      <c r="AO959">
        <v>3.79</v>
      </c>
      <c r="AP959">
        <v>-1.95</v>
      </c>
      <c r="AQ959">
        <v>-8.7899999999999991</v>
      </c>
      <c r="AR959">
        <v>20.399999999999999</v>
      </c>
      <c r="AS959">
        <v>8.0500000000000007</v>
      </c>
      <c r="AT959" t="s">
        <v>5671</v>
      </c>
      <c r="AU959">
        <v>289.44</v>
      </c>
      <c r="AV959">
        <v>677.98</v>
      </c>
      <c r="AW959">
        <v>0.09</v>
      </c>
      <c r="BA959">
        <v>1.46</v>
      </c>
      <c r="BB959">
        <v>10.050000000000001</v>
      </c>
      <c r="BC959">
        <v>1.46</v>
      </c>
      <c r="BD959">
        <v>7.35</v>
      </c>
      <c r="BE959">
        <v>8.4700000000000006</v>
      </c>
      <c r="BF959">
        <v>0</v>
      </c>
      <c r="BG959">
        <v>8.4700000000000006</v>
      </c>
      <c r="BH959">
        <v>2.7</v>
      </c>
      <c r="BI959">
        <v>20191129</v>
      </c>
      <c r="BJ959">
        <v>20101118</v>
      </c>
      <c r="BK959">
        <v>50.82</v>
      </c>
      <c r="BL959" t="s">
        <v>116</v>
      </c>
      <c r="BM959" t="s">
        <v>116</v>
      </c>
      <c r="BN959">
        <v>177.77</v>
      </c>
      <c r="BO959">
        <v>43.13</v>
      </c>
      <c r="BP959">
        <v>0.45</v>
      </c>
      <c r="BQ959">
        <v>75.489999999999995</v>
      </c>
      <c r="BR959">
        <v>103.81</v>
      </c>
      <c r="BS959">
        <v>34.08</v>
      </c>
      <c r="BT959">
        <v>1.65</v>
      </c>
      <c r="BU959">
        <v>124.36</v>
      </c>
      <c r="BV959">
        <v>13.49</v>
      </c>
      <c r="BW959">
        <v>23.69</v>
      </c>
      <c r="BX959">
        <v>27.84</v>
      </c>
      <c r="BY959">
        <v>70.319999999999993</v>
      </c>
      <c r="BZ959">
        <v>63.17</v>
      </c>
      <c r="CA959">
        <v>0.15</v>
      </c>
      <c r="CB959">
        <v>2.48</v>
      </c>
      <c r="CC959">
        <v>0.15</v>
      </c>
      <c r="CD959">
        <v>-0.31</v>
      </c>
      <c r="CE959">
        <v>-0.36</v>
      </c>
      <c r="CF959">
        <v>-1.99</v>
      </c>
      <c r="CG959">
        <v>-35.770000000000003</v>
      </c>
      <c r="CH959">
        <v>7.86</v>
      </c>
      <c r="CI959">
        <v>-5.08</v>
      </c>
      <c r="CJ959">
        <v>109156</v>
      </c>
      <c r="CK959">
        <v>23585</v>
      </c>
      <c r="CL959" t="s">
        <v>5672</v>
      </c>
      <c r="CM959">
        <v>62.55</v>
      </c>
      <c r="CN959">
        <v>-14.28</v>
      </c>
      <c r="CO959">
        <v>7.09</v>
      </c>
      <c r="CP959">
        <v>38.909999999999997</v>
      </c>
      <c r="CQ959">
        <v>4.3499999999999996</v>
      </c>
      <c r="CR959">
        <v>0</v>
      </c>
      <c r="CS959" t="s">
        <v>1610</v>
      </c>
      <c r="CT959">
        <v>0.85</v>
      </c>
      <c r="CU959">
        <v>0</v>
      </c>
      <c r="CV959">
        <v>0.55000000000000004</v>
      </c>
      <c r="CW959">
        <v>-0.7</v>
      </c>
      <c r="CX959">
        <v>0.15</v>
      </c>
      <c r="CY959">
        <v>24.26</v>
      </c>
      <c r="CZ959" t="s">
        <v>5673</v>
      </c>
      <c r="DA959">
        <v>10.17</v>
      </c>
      <c r="DB959">
        <v>0.22</v>
      </c>
      <c r="DC959">
        <v>-0.52</v>
      </c>
      <c r="DD959">
        <v>0.89</v>
      </c>
      <c r="DE959">
        <v>3471</v>
      </c>
      <c r="DF959">
        <v>2506</v>
      </c>
      <c r="DG959" t="s">
        <v>116</v>
      </c>
      <c r="DH959" t="s">
        <v>116</v>
      </c>
      <c r="DI959" t="s">
        <v>116</v>
      </c>
    </row>
    <row r="960" spans="1:113" x14ac:dyDescent="0.4">
      <c r="A960" t="str">
        <f>"002507"</f>
        <v>002507</v>
      </c>
      <c r="B960" t="s">
        <v>5674</v>
      </c>
      <c r="C960">
        <v>-1.1000000000000001</v>
      </c>
      <c r="D960">
        <v>26.16</v>
      </c>
      <c r="E960">
        <v>-0.28999999999999998</v>
      </c>
      <c r="F960">
        <v>26.15</v>
      </c>
      <c r="G960">
        <v>26.16</v>
      </c>
      <c r="H960">
        <v>95315</v>
      </c>
      <c r="I960">
        <v>486</v>
      </c>
      <c r="J960">
        <v>0.08</v>
      </c>
      <c r="K960">
        <v>1.23</v>
      </c>
      <c r="L960">
        <v>26.39</v>
      </c>
      <c r="M960">
        <v>26.49</v>
      </c>
      <c r="N960">
        <v>26.03</v>
      </c>
      <c r="O960">
        <v>26.45</v>
      </c>
      <c r="P960">
        <v>29.9</v>
      </c>
      <c r="Q960">
        <v>249929136</v>
      </c>
      <c r="R960">
        <v>1.57</v>
      </c>
      <c r="S960" t="s">
        <v>863</v>
      </c>
      <c r="T960" t="s">
        <v>906</v>
      </c>
      <c r="U960">
        <v>1.74</v>
      </c>
      <c r="V960">
        <v>26.22</v>
      </c>
      <c r="W960">
        <v>56203</v>
      </c>
      <c r="X960">
        <v>39112</v>
      </c>
      <c r="Y960">
        <v>1.44</v>
      </c>
      <c r="Z960">
        <v>41</v>
      </c>
      <c r="AA960">
        <v>44</v>
      </c>
      <c r="AB960" t="s">
        <v>116</v>
      </c>
      <c r="AC960">
        <v>1170600</v>
      </c>
      <c r="AD960">
        <v>0.01</v>
      </c>
      <c r="AE960" t="s">
        <v>116</v>
      </c>
      <c r="AF960" t="s">
        <v>116</v>
      </c>
      <c r="AG960">
        <v>7.78</v>
      </c>
      <c r="AH960" t="s">
        <v>5675</v>
      </c>
      <c r="AI960" t="s">
        <v>5676</v>
      </c>
      <c r="AJ960">
        <v>-0.42</v>
      </c>
      <c r="AK960">
        <v>3278</v>
      </c>
      <c r="AL960">
        <v>29</v>
      </c>
      <c r="AM960">
        <v>4.0000000000000002E-4</v>
      </c>
      <c r="AN960">
        <v>-3</v>
      </c>
      <c r="AO960">
        <v>-1.91</v>
      </c>
      <c r="AP960">
        <v>7.13</v>
      </c>
      <c r="AQ960">
        <v>17.73</v>
      </c>
      <c r="AR960">
        <v>22.59</v>
      </c>
      <c r="AS960">
        <v>2.0499999999999998</v>
      </c>
      <c r="AT960" t="s">
        <v>5677</v>
      </c>
      <c r="AU960">
        <v>31.45</v>
      </c>
      <c r="AV960">
        <v>31.21</v>
      </c>
      <c r="AW960">
        <v>0.32</v>
      </c>
      <c r="BA960">
        <v>-0.23</v>
      </c>
      <c r="BB960">
        <v>0.15</v>
      </c>
      <c r="BC960">
        <v>-1.59</v>
      </c>
      <c r="BD960">
        <v>-0.86</v>
      </c>
      <c r="BE960">
        <v>-0.87</v>
      </c>
      <c r="BF960">
        <v>-1.25</v>
      </c>
      <c r="BG960">
        <v>0.5</v>
      </c>
      <c r="BH960">
        <v>-0.23</v>
      </c>
      <c r="BI960">
        <v>20191026</v>
      </c>
      <c r="BJ960">
        <v>20101123</v>
      </c>
      <c r="BK960">
        <v>7.89</v>
      </c>
      <c r="BL960" t="s">
        <v>116</v>
      </c>
      <c r="BM960" t="s">
        <v>116</v>
      </c>
      <c r="BN960">
        <v>33.32</v>
      </c>
      <c r="BO960">
        <v>27.84</v>
      </c>
      <c r="BP960">
        <v>0</v>
      </c>
      <c r="BQ960">
        <v>16.440000000000001</v>
      </c>
      <c r="BR960">
        <v>19.600000000000001</v>
      </c>
      <c r="BS960">
        <v>7.62</v>
      </c>
      <c r="BT960">
        <v>1.52</v>
      </c>
      <c r="BU960">
        <v>4.41</v>
      </c>
      <c r="BV960">
        <v>4.01</v>
      </c>
      <c r="BW960">
        <v>0.52</v>
      </c>
      <c r="BX960">
        <v>0.21</v>
      </c>
      <c r="BY960">
        <v>16.04</v>
      </c>
      <c r="BZ960">
        <v>6.58</v>
      </c>
      <c r="CA960">
        <v>6.11</v>
      </c>
      <c r="CB960">
        <v>0.27</v>
      </c>
      <c r="CC960">
        <v>6.1</v>
      </c>
      <c r="CD960">
        <v>5.18</v>
      </c>
      <c r="CE960">
        <v>5.18</v>
      </c>
      <c r="CF960">
        <v>5.1100000000000003</v>
      </c>
      <c r="CG960">
        <v>17.8</v>
      </c>
      <c r="CH960">
        <v>4.41</v>
      </c>
      <c r="CI960">
        <v>-4.78</v>
      </c>
      <c r="CJ960">
        <v>70951</v>
      </c>
      <c r="CK960">
        <v>6547</v>
      </c>
      <c r="CL960" t="s">
        <v>5678</v>
      </c>
      <c r="CM960">
        <v>-0.99</v>
      </c>
      <c r="CN960">
        <v>3.83</v>
      </c>
      <c r="CO960">
        <v>7.42</v>
      </c>
      <c r="CP960">
        <v>46.82</v>
      </c>
      <c r="CQ960">
        <v>12.87</v>
      </c>
      <c r="CR960">
        <v>0.99</v>
      </c>
      <c r="CS960" t="s">
        <v>5679</v>
      </c>
      <c r="CT960">
        <v>3.53</v>
      </c>
      <c r="CU960">
        <v>0</v>
      </c>
      <c r="CV960">
        <v>0.03</v>
      </c>
      <c r="CW960">
        <v>2.2599999999999998</v>
      </c>
      <c r="CX960">
        <v>0.56000000000000005</v>
      </c>
      <c r="CY960">
        <v>83.56</v>
      </c>
      <c r="CZ960" t="s">
        <v>5680</v>
      </c>
      <c r="DA960">
        <v>59.01</v>
      </c>
      <c r="DB960">
        <v>38.07</v>
      </c>
      <c r="DC960">
        <v>32.28</v>
      </c>
      <c r="DD960">
        <v>0.06</v>
      </c>
      <c r="DE960">
        <v>2630</v>
      </c>
      <c r="DF960">
        <v>2507</v>
      </c>
      <c r="DG960" t="s">
        <v>116</v>
      </c>
      <c r="DH960" t="s">
        <v>116</v>
      </c>
      <c r="DI960" t="s">
        <v>116</v>
      </c>
    </row>
    <row r="961" spans="1:113" x14ac:dyDescent="0.4">
      <c r="A961" t="str">
        <f>"002508"</f>
        <v>002508</v>
      </c>
      <c r="B961" t="s">
        <v>5681</v>
      </c>
      <c r="C961">
        <v>0.73</v>
      </c>
      <c r="D961">
        <v>33.18</v>
      </c>
      <c r="E961">
        <v>0.24</v>
      </c>
      <c r="F961">
        <v>33.17</v>
      </c>
      <c r="G961">
        <v>33.19</v>
      </c>
      <c r="H961">
        <v>69187</v>
      </c>
      <c r="I961">
        <v>636</v>
      </c>
      <c r="J961">
        <v>0.21</v>
      </c>
      <c r="K961">
        <v>0.74</v>
      </c>
      <c r="L961">
        <v>32.97</v>
      </c>
      <c r="M961">
        <v>33.299999999999997</v>
      </c>
      <c r="N961">
        <v>32.74</v>
      </c>
      <c r="O961">
        <v>32.94</v>
      </c>
      <c r="P961">
        <v>21.75</v>
      </c>
      <c r="Q961">
        <v>228669744</v>
      </c>
      <c r="R961">
        <v>0.9</v>
      </c>
      <c r="S961" t="s">
        <v>209</v>
      </c>
      <c r="T961" t="s">
        <v>590</v>
      </c>
      <c r="U961">
        <v>1.7</v>
      </c>
      <c r="V961">
        <v>33.049999999999997</v>
      </c>
      <c r="W961">
        <v>32927</v>
      </c>
      <c r="X961">
        <v>36260</v>
      </c>
      <c r="Y961">
        <v>0.91</v>
      </c>
      <c r="Z961">
        <v>339</v>
      </c>
      <c r="AA961">
        <v>366</v>
      </c>
      <c r="AB961" t="s">
        <v>116</v>
      </c>
      <c r="AC961">
        <v>392300</v>
      </c>
      <c r="AD961">
        <v>0</v>
      </c>
      <c r="AE961" t="s">
        <v>116</v>
      </c>
      <c r="AF961" t="s">
        <v>116</v>
      </c>
      <c r="AG961">
        <v>9.35</v>
      </c>
      <c r="AH961" t="s">
        <v>5682</v>
      </c>
      <c r="AI961" t="s">
        <v>5683</v>
      </c>
      <c r="AJ961">
        <v>1.41</v>
      </c>
      <c r="AK961">
        <v>3534</v>
      </c>
      <c r="AL961">
        <v>20</v>
      </c>
      <c r="AM961">
        <v>2.0000000000000001E-4</v>
      </c>
      <c r="AN961">
        <v>2</v>
      </c>
      <c r="AO961">
        <v>0.57999999999999996</v>
      </c>
      <c r="AP961">
        <v>11.72</v>
      </c>
      <c r="AQ961">
        <v>24.78</v>
      </c>
      <c r="AR961">
        <v>71.12</v>
      </c>
      <c r="AS961">
        <v>1.59</v>
      </c>
      <c r="AT961" t="s">
        <v>5684</v>
      </c>
      <c r="AU961">
        <v>20.350000000000001</v>
      </c>
      <c r="AV961">
        <v>21.37</v>
      </c>
      <c r="AW961">
        <v>0.77</v>
      </c>
      <c r="BA961">
        <v>0.09</v>
      </c>
      <c r="BB961">
        <v>1.0900000000000001</v>
      </c>
      <c r="BC961">
        <v>-0.61</v>
      </c>
      <c r="BD961">
        <v>0.34</v>
      </c>
      <c r="BE961">
        <v>0.64</v>
      </c>
      <c r="BF961">
        <v>-0.36</v>
      </c>
      <c r="BG961">
        <v>1.34</v>
      </c>
      <c r="BH961">
        <v>0.39</v>
      </c>
      <c r="BI961">
        <v>20191125</v>
      </c>
      <c r="BJ961">
        <v>20101123</v>
      </c>
      <c r="BK961">
        <v>9.49</v>
      </c>
      <c r="BL961" t="s">
        <v>116</v>
      </c>
      <c r="BM961" t="s">
        <v>116</v>
      </c>
      <c r="BN961">
        <v>100.74</v>
      </c>
      <c r="BO961">
        <v>63.75</v>
      </c>
      <c r="BP961">
        <v>1</v>
      </c>
      <c r="BQ961">
        <v>35.72</v>
      </c>
      <c r="BR961">
        <v>84.6</v>
      </c>
      <c r="BS961">
        <v>8.2799999999999994</v>
      </c>
      <c r="BT961">
        <v>1.89</v>
      </c>
      <c r="BU961">
        <v>35.1</v>
      </c>
      <c r="BV961">
        <v>12.53</v>
      </c>
      <c r="BW961">
        <v>5.04</v>
      </c>
      <c r="BX961">
        <v>4.0199999999999996</v>
      </c>
      <c r="BY961">
        <v>56.25</v>
      </c>
      <c r="BZ961">
        <v>25.29</v>
      </c>
      <c r="CA961">
        <v>13.02</v>
      </c>
      <c r="CB961">
        <v>0.65</v>
      </c>
      <c r="CC961">
        <v>13.01</v>
      </c>
      <c r="CD961">
        <v>11</v>
      </c>
      <c r="CE961">
        <v>10.86</v>
      </c>
      <c r="CF961">
        <v>10.33</v>
      </c>
      <c r="CG961">
        <v>45.5</v>
      </c>
      <c r="CH961">
        <v>10.35</v>
      </c>
      <c r="CI961">
        <v>10.42</v>
      </c>
      <c r="CJ961">
        <v>60911</v>
      </c>
      <c r="CK961">
        <v>7154</v>
      </c>
      <c r="CL961" t="s">
        <v>341</v>
      </c>
      <c r="CM961">
        <v>7.31</v>
      </c>
      <c r="CN961">
        <v>4.29</v>
      </c>
      <c r="CO961">
        <v>4.9400000000000004</v>
      </c>
      <c r="CP961">
        <v>30.42</v>
      </c>
      <c r="CQ961">
        <v>5.6</v>
      </c>
      <c r="CR961">
        <v>2.41</v>
      </c>
      <c r="CS961" t="s">
        <v>5685</v>
      </c>
      <c r="CT961">
        <v>6.72</v>
      </c>
      <c r="CU961">
        <v>0</v>
      </c>
      <c r="CV961">
        <v>0.42</v>
      </c>
      <c r="CW961">
        <v>4.79</v>
      </c>
      <c r="CX961">
        <v>1.0900000000000001</v>
      </c>
      <c r="CY961">
        <v>63.29</v>
      </c>
      <c r="CZ961" t="s">
        <v>5686</v>
      </c>
      <c r="DA961">
        <v>55.04</v>
      </c>
      <c r="DB961">
        <v>23.15</v>
      </c>
      <c r="DC961">
        <v>19.3</v>
      </c>
      <c r="DD961">
        <v>1.84</v>
      </c>
      <c r="DE961">
        <v>4455</v>
      </c>
      <c r="DF961">
        <v>2508</v>
      </c>
      <c r="DG961" t="s">
        <v>116</v>
      </c>
      <c r="DH961" t="s">
        <v>116</v>
      </c>
      <c r="DI961" t="s">
        <v>116</v>
      </c>
    </row>
    <row r="962" spans="1:113" x14ac:dyDescent="0.4">
      <c r="A962" t="str">
        <f>"002509"</f>
        <v>002509</v>
      </c>
      <c r="B962" t="s">
        <v>5687</v>
      </c>
      <c r="C962">
        <v>0.7</v>
      </c>
      <c r="D962">
        <v>1.44</v>
      </c>
      <c r="E962">
        <v>0.01</v>
      </c>
      <c r="F962">
        <v>1.43</v>
      </c>
      <c r="G962">
        <v>1.44</v>
      </c>
      <c r="H962">
        <v>373711</v>
      </c>
      <c r="I962">
        <v>5109</v>
      </c>
      <c r="J962">
        <v>0</v>
      </c>
      <c r="K962">
        <v>1.79</v>
      </c>
      <c r="L962">
        <v>1.43</v>
      </c>
      <c r="M962">
        <v>1.46</v>
      </c>
      <c r="N962">
        <v>1.42</v>
      </c>
      <c r="O962">
        <v>1.43</v>
      </c>
      <c r="P962" t="s">
        <v>116</v>
      </c>
      <c r="Q962">
        <v>53792088</v>
      </c>
      <c r="R962">
        <v>0.92</v>
      </c>
      <c r="S962" t="s">
        <v>682</v>
      </c>
      <c r="T962" t="s">
        <v>975</v>
      </c>
      <c r="U962">
        <v>2.8</v>
      </c>
      <c r="V962">
        <v>1.44</v>
      </c>
      <c r="W962">
        <v>194136</v>
      </c>
      <c r="X962">
        <v>179575</v>
      </c>
      <c r="Y962">
        <v>1.08</v>
      </c>
      <c r="Z962">
        <v>49354</v>
      </c>
      <c r="AA962">
        <v>10495</v>
      </c>
      <c r="AB962" t="s">
        <v>116</v>
      </c>
      <c r="AC962">
        <v>204000</v>
      </c>
      <c r="AD962">
        <v>0.01</v>
      </c>
      <c r="AE962" t="s">
        <v>116</v>
      </c>
      <c r="AF962" t="s">
        <v>116</v>
      </c>
      <c r="AG962">
        <v>20.88</v>
      </c>
      <c r="AH962" t="s">
        <v>4638</v>
      </c>
      <c r="AI962" t="s">
        <v>5688</v>
      </c>
      <c r="AJ962">
        <v>1.38</v>
      </c>
      <c r="AK962">
        <v>1707</v>
      </c>
      <c r="AL962">
        <v>219</v>
      </c>
      <c r="AM962">
        <v>1E-3</v>
      </c>
      <c r="AN962">
        <v>1</v>
      </c>
      <c r="AO962">
        <v>-0.68</v>
      </c>
      <c r="AP962">
        <v>-0.69</v>
      </c>
      <c r="AQ962">
        <v>-5.88</v>
      </c>
      <c r="AR962">
        <v>-39.24</v>
      </c>
      <c r="AS962">
        <v>2.57</v>
      </c>
      <c r="AT962" t="s">
        <v>818</v>
      </c>
      <c r="AU962" t="s">
        <v>116</v>
      </c>
      <c r="AV962" t="s">
        <v>116</v>
      </c>
      <c r="AW962">
        <v>1.07</v>
      </c>
      <c r="BA962">
        <v>0</v>
      </c>
      <c r="BB962">
        <v>2.1</v>
      </c>
      <c r="BC962">
        <v>-0.7</v>
      </c>
      <c r="BD962">
        <v>0.66</v>
      </c>
      <c r="BE962">
        <v>0.7</v>
      </c>
      <c r="BF962">
        <v>-1.37</v>
      </c>
      <c r="BG962">
        <v>1.41</v>
      </c>
      <c r="BH962">
        <v>0.04</v>
      </c>
      <c r="BI962">
        <v>20191029</v>
      </c>
      <c r="BJ962">
        <v>20101123</v>
      </c>
      <c r="BK962">
        <v>24.92</v>
      </c>
      <c r="BL962" t="s">
        <v>116</v>
      </c>
      <c r="BM962" t="s">
        <v>116</v>
      </c>
      <c r="BN962">
        <v>87.44</v>
      </c>
      <c r="BO962">
        <v>43.84</v>
      </c>
      <c r="BP962">
        <v>0.56000000000000005</v>
      </c>
      <c r="BQ962">
        <v>49.23</v>
      </c>
      <c r="BR962">
        <v>66.13</v>
      </c>
      <c r="BS962">
        <v>8.16</v>
      </c>
      <c r="BT962">
        <v>1.74</v>
      </c>
      <c r="BU962">
        <v>29.7</v>
      </c>
      <c r="BV962">
        <v>45.75</v>
      </c>
      <c r="BW962">
        <v>17.02</v>
      </c>
      <c r="BX962">
        <v>12.25</v>
      </c>
      <c r="BY962">
        <v>7.6</v>
      </c>
      <c r="BZ962">
        <v>5.84</v>
      </c>
      <c r="CA962">
        <v>-1.69</v>
      </c>
      <c r="CB962">
        <v>0.02</v>
      </c>
      <c r="CC962">
        <v>-1.69</v>
      </c>
      <c r="CD962">
        <v>-1.61</v>
      </c>
      <c r="CE962">
        <v>-1.66</v>
      </c>
      <c r="CF962">
        <v>-1.68</v>
      </c>
      <c r="CG962">
        <v>5.81</v>
      </c>
      <c r="CH962">
        <v>-0.95</v>
      </c>
      <c r="CI962">
        <v>-0.93</v>
      </c>
      <c r="CJ962">
        <v>51435</v>
      </c>
      <c r="CK962">
        <v>28257</v>
      </c>
      <c r="CL962" t="s">
        <v>5689</v>
      </c>
      <c r="CM962">
        <v>-163.80000000000001</v>
      </c>
      <c r="CN962">
        <v>-63.68</v>
      </c>
      <c r="CO962">
        <v>0.82</v>
      </c>
      <c r="CP962">
        <v>-37.86</v>
      </c>
      <c r="CQ962">
        <v>4.72</v>
      </c>
      <c r="CR962">
        <v>0</v>
      </c>
      <c r="CS962" t="s">
        <v>5690</v>
      </c>
      <c r="CT962">
        <v>1.76</v>
      </c>
      <c r="CU962">
        <v>0</v>
      </c>
      <c r="CV962">
        <v>0.49</v>
      </c>
      <c r="CW962">
        <v>0.23</v>
      </c>
      <c r="CX962">
        <v>-0.04</v>
      </c>
      <c r="CY962">
        <v>50.14</v>
      </c>
      <c r="CZ962" t="s">
        <v>5691</v>
      </c>
      <c r="DA962">
        <v>23.22</v>
      </c>
      <c r="DB962">
        <v>-22.17</v>
      </c>
      <c r="DC962">
        <v>-21.77</v>
      </c>
      <c r="DD962">
        <v>0.16</v>
      </c>
      <c r="DE962">
        <v>2114</v>
      </c>
      <c r="DF962">
        <v>2509</v>
      </c>
      <c r="DG962" t="s">
        <v>116</v>
      </c>
      <c r="DH962" t="s">
        <v>116</v>
      </c>
      <c r="DI962" t="s">
        <v>116</v>
      </c>
    </row>
    <row r="963" spans="1:113" x14ac:dyDescent="0.4">
      <c r="A963" t="str">
        <f>"002510"</f>
        <v>002510</v>
      </c>
      <c r="B963" t="s">
        <v>5692</v>
      </c>
      <c r="C963">
        <v>10</v>
      </c>
      <c r="D963">
        <v>4.51</v>
      </c>
      <c r="E963">
        <v>0.41</v>
      </c>
      <c r="F963">
        <v>4.51</v>
      </c>
      <c r="G963" t="s">
        <v>116</v>
      </c>
      <c r="H963">
        <v>764492</v>
      </c>
      <c r="I963">
        <v>37147</v>
      </c>
      <c r="J963">
        <v>0</v>
      </c>
      <c r="K963">
        <v>9.7100000000000009</v>
      </c>
      <c r="L963">
        <v>4.0599999999999996</v>
      </c>
      <c r="M963">
        <v>4.51</v>
      </c>
      <c r="N963">
        <v>4.05</v>
      </c>
      <c r="O963">
        <v>4.0999999999999996</v>
      </c>
      <c r="P963">
        <v>34.43</v>
      </c>
      <c r="Q963">
        <v>324897888</v>
      </c>
      <c r="R963">
        <v>1.58</v>
      </c>
      <c r="S963" t="s">
        <v>293</v>
      </c>
      <c r="T963" t="s">
        <v>1035</v>
      </c>
      <c r="U963">
        <v>11.22</v>
      </c>
      <c r="V963">
        <v>4.25</v>
      </c>
      <c r="W963">
        <v>373526</v>
      </c>
      <c r="X963">
        <v>390966</v>
      </c>
      <c r="Y963">
        <v>0.96</v>
      </c>
      <c r="Z963">
        <v>102391</v>
      </c>
      <c r="AA963">
        <v>0</v>
      </c>
      <c r="AB963" t="s">
        <v>116</v>
      </c>
      <c r="AC963">
        <v>2566700</v>
      </c>
      <c r="AD963">
        <v>0.09</v>
      </c>
      <c r="AE963">
        <v>0.13</v>
      </c>
      <c r="AF963">
        <v>46178344</v>
      </c>
      <c r="AG963">
        <v>7.87</v>
      </c>
      <c r="AH963" t="s">
        <v>5693</v>
      </c>
      <c r="AI963" t="s">
        <v>3842</v>
      </c>
      <c r="AJ963">
        <v>10.68</v>
      </c>
      <c r="AK963">
        <v>2911</v>
      </c>
      <c r="AL963">
        <v>263</v>
      </c>
      <c r="AM963">
        <v>3.3E-3</v>
      </c>
      <c r="AN963">
        <v>1</v>
      </c>
      <c r="AO963">
        <v>6.87</v>
      </c>
      <c r="AP963">
        <v>24.93</v>
      </c>
      <c r="AQ963">
        <v>22.55</v>
      </c>
      <c r="AR963">
        <v>26.69</v>
      </c>
      <c r="AS963">
        <v>11.16</v>
      </c>
      <c r="AT963" t="s">
        <v>5694</v>
      </c>
      <c r="AU963">
        <v>20.75</v>
      </c>
      <c r="AV963">
        <v>19.579999999999998</v>
      </c>
      <c r="AW963">
        <v>0.48</v>
      </c>
      <c r="BA963">
        <v>-0.98</v>
      </c>
      <c r="BB963">
        <v>10</v>
      </c>
      <c r="BC963">
        <v>-1.22</v>
      </c>
      <c r="BD963">
        <v>3.65</v>
      </c>
      <c r="BE963">
        <v>11.08</v>
      </c>
      <c r="BF963">
        <v>0</v>
      </c>
      <c r="BG963">
        <v>11.36</v>
      </c>
      <c r="BH963">
        <v>6.35</v>
      </c>
      <c r="BI963">
        <v>20191224</v>
      </c>
      <c r="BJ963">
        <v>20101125</v>
      </c>
      <c r="BK963">
        <v>9.2100000000000009</v>
      </c>
      <c r="BL963" t="s">
        <v>116</v>
      </c>
      <c r="BM963" t="s">
        <v>116</v>
      </c>
      <c r="BN963">
        <v>61.05</v>
      </c>
      <c r="BO963">
        <v>26.84</v>
      </c>
      <c r="BP963">
        <v>0.4</v>
      </c>
      <c r="BQ963">
        <v>55.38</v>
      </c>
      <c r="BR963">
        <v>30.26</v>
      </c>
      <c r="BS963">
        <v>9.6</v>
      </c>
      <c r="BT963">
        <v>1.01</v>
      </c>
      <c r="BU963">
        <v>28.06</v>
      </c>
      <c r="BV963">
        <v>12.2</v>
      </c>
      <c r="BW963">
        <v>10.08</v>
      </c>
      <c r="BX963">
        <v>6.57</v>
      </c>
      <c r="BY963">
        <v>13.73</v>
      </c>
      <c r="BZ963">
        <v>11.17</v>
      </c>
      <c r="CA963">
        <v>0.77</v>
      </c>
      <c r="CB963">
        <v>1</v>
      </c>
      <c r="CC963">
        <v>0.84</v>
      </c>
      <c r="CD963">
        <v>0.9</v>
      </c>
      <c r="CE963">
        <v>0.9</v>
      </c>
      <c r="CF963">
        <v>0.85</v>
      </c>
      <c r="CG963">
        <v>10.53</v>
      </c>
      <c r="CH963">
        <v>0.65</v>
      </c>
      <c r="CI963">
        <v>0.26</v>
      </c>
      <c r="CJ963">
        <v>71357</v>
      </c>
      <c r="CK963">
        <v>9600</v>
      </c>
      <c r="CL963" t="s">
        <v>5695</v>
      </c>
      <c r="CM963">
        <v>-11.72</v>
      </c>
      <c r="CN963">
        <v>8.9</v>
      </c>
      <c r="CO963">
        <v>1.55</v>
      </c>
      <c r="CP963">
        <v>63.56</v>
      </c>
      <c r="CQ963">
        <v>3.03</v>
      </c>
      <c r="CR963">
        <v>0.67</v>
      </c>
      <c r="CS963" t="s">
        <v>821</v>
      </c>
      <c r="CT963">
        <v>2.91</v>
      </c>
      <c r="CU963">
        <v>0</v>
      </c>
      <c r="CV963">
        <v>0.71</v>
      </c>
      <c r="CW963">
        <v>1.1399999999999999</v>
      </c>
      <c r="CX963">
        <v>7.0000000000000007E-2</v>
      </c>
      <c r="CY963">
        <v>43.95</v>
      </c>
      <c r="CZ963" t="s">
        <v>772</v>
      </c>
      <c r="DA963">
        <v>18.600000000000001</v>
      </c>
      <c r="DB963">
        <v>5.61</v>
      </c>
      <c r="DC963">
        <v>6.59</v>
      </c>
      <c r="DD963">
        <v>0.59</v>
      </c>
      <c r="DE963">
        <v>2951</v>
      </c>
      <c r="DF963">
        <v>2510</v>
      </c>
      <c r="DG963" t="s">
        <v>116</v>
      </c>
      <c r="DH963" t="s">
        <v>116</v>
      </c>
      <c r="DI963" t="s">
        <v>116</v>
      </c>
    </row>
    <row r="964" spans="1:113" x14ac:dyDescent="0.4">
      <c r="A964" t="str">
        <f>"002511"</f>
        <v>002511</v>
      </c>
      <c r="B964" t="s">
        <v>5696</v>
      </c>
      <c r="C964">
        <v>-1.27</v>
      </c>
      <c r="D964">
        <v>12.47</v>
      </c>
      <c r="E964">
        <v>-0.16</v>
      </c>
      <c r="F964">
        <v>12.46</v>
      </c>
      <c r="G964">
        <v>12.47</v>
      </c>
      <c r="H964">
        <v>116794</v>
      </c>
      <c r="I964">
        <v>1414</v>
      </c>
      <c r="J964">
        <v>0.16</v>
      </c>
      <c r="K964">
        <v>0.92</v>
      </c>
      <c r="L964">
        <v>12.65</v>
      </c>
      <c r="M964">
        <v>12.65</v>
      </c>
      <c r="N964">
        <v>12.38</v>
      </c>
      <c r="O964">
        <v>12.63</v>
      </c>
      <c r="P964">
        <v>27.96</v>
      </c>
      <c r="Q964">
        <v>146029168</v>
      </c>
      <c r="R964">
        <v>1.24</v>
      </c>
      <c r="S964" t="s">
        <v>824</v>
      </c>
      <c r="T964" t="s">
        <v>551</v>
      </c>
      <c r="U964">
        <v>2.14</v>
      </c>
      <c r="V964">
        <v>12.5</v>
      </c>
      <c r="W964">
        <v>79880</v>
      </c>
      <c r="X964">
        <v>36914</v>
      </c>
      <c r="Y964">
        <v>2.16</v>
      </c>
      <c r="Z964">
        <v>83</v>
      </c>
      <c r="AA964">
        <v>56</v>
      </c>
      <c r="AB964" t="s">
        <v>116</v>
      </c>
      <c r="AC964">
        <v>35400</v>
      </c>
      <c r="AD964">
        <v>0</v>
      </c>
      <c r="AE964" t="s">
        <v>116</v>
      </c>
      <c r="AF964" t="s">
        <v>116</v>
      </c>
      <c r="AG964">
        <v>12.65</v>
      </c>
      <c r="AH964" t="s">
        <v>5697</v>
      </c>
      <c r="AI964" t="s">
        <v>5698</v>
      </c>
      <c r="AJ964">
        <v>-0.59</v>
      </c>
      <c r="AK964">
        <v>2898</v>
      </c>
      <c r="AL964">
        <v>40</v>
      </c>
      <c r="AM964">
        <v>2.9999999999999997E-4</v>
      </c>
      <c r="AN964">
        <v>-2</v>
      </c>
      <c r="AO964">
        <v>-1.35</v>
      </c>
      <c r="AP964">
        <v>-3.33</v>
      </c>
      <c r="AQ964">
        <v>0.65</v>
      </c>
      <c r="AR964">
        <v>46.76</v>
      </c>
      <c r="AS964">
        <v>1.87</v>
      </c>
      <c r="AT964" t="s">
        <v>5699</v>
      </c>
      <c r="AU964">
        <v>30.68</v>
      </c>
      <c r="AV964">
        <v>40.1</v>
      </c>
      <c r="AW964">
        <v>0.9</v>
      </c>
      <c r="BA964">
        <v>0.16</v>
      </c>
      <c r="BB964">
        <v>0.16</v>
      </c>
      <c r="BC964">
        <v>-1.98</v>
      </c>
      <c r="BD964">
        <v>-1</v>
      </c>
      <c r="BE964">
        <v>-1.42</v>
      </c>
      <c r="BF964">
        <v>-1.42</v>
      </c>
      <c r="BG964">
        <v>0.73</v>
      </c>
      <c r="BH964">
        <v>-0.26</v>
      </c>
      <c r="BI964">
        <v>20191029</v>
      </c>
      <c r="BJ964">
        <v>20101125</v>
      </c>
      <c r="BK964">
        <v>13.09</v>
      </c>
      <c r="BL964" t="s">
        <v>116</v>
      </c>
      <c r="BM964" t="s">
        <v>116</v>
      </c>
      <c r="BN964">
        <v>59.75</v>
      </c>
      <c r="BO964">
        <v>38.22</v>
      </c>
      <c r="BP964">
        <v>0</v>
      </c>
      <c r="BQ964">
        <v>36.04</v>
      </c>
      <c r="BR964">
        <v>25.91</v>
      </c>
      <c r="BS964">
        <v>29.15</v>
      </c>
      <c r="BT964">
        <v>1.75</v>
      </c>
      <c r="BU964">
        <v>20.38</v>
      </c>
      <c r="BV964">
        <v>10.97</v>
      </c>
      <c r="BW964">
        <v>7.08</v>
      </c>
      <c r="BX964">
        <v>7.66</v>
      </c>
      <c r="BY964">
        <v>48.2</v>
      </c>
      <c r="BZ964">
        <v>29.74</v>
      </c>
      <c r="CA964">
        <v>5.33</v>
      </c>
      <c r="CB964">
        <v>0</v>
      </c>
      <c r="CC964">
        <v>5.35</v>
      </c>
      <c r="CD964">
        <v>4.38</v>
      </c>
      <c r="CE964">
        <v>4.38</v>
      </c>
      <c r="CF964">
        <v>4.26</v>
      </c>
      <c r="CG964">
        <v>18.989999999999998</v>
      </c>
      <c r="CH964">
        <v>10.4</v>
      </c>
      <c r="CI964">
        <v>2.4300000000000002</v>
      </c>
      <c r="CJ964">
        <v>34201</v>
      </c>
      <c r="CK964">
        <v>18215</v>
      </c>
      <c r="CL964" t="s">
        <v>5700</v>
      </c>
      <c r="CM964">
        <v>39.96</v>
      </c>
      <c r="CN964">
        <v>18.11</v>
      </c>
      <c r="CO964">
        <v>4.26</v>
      </c>
      <c r="CP964">
        <v>15.7</v>
      </c>
      <c r="CQ964">
        <v>3.39</v>
      </c>
      <c r="CR964">
        <v>0.18</v>
      </c>
      <c r="CS964" t="s">
        <v>1696</v>
      </c>
      <c r="CT964">
        <v>2.93</v>
      </c>
      <c r="CU964">
        <v>2.93</v>
      </c>
      <c r="CV964">
        <v>0.59</v>
      </c>
      <c r="CW964">
        <v>1.45</v>
      </c>
      <c r="CX964">
        <v>0.79</v>
      </c>
      <c r="CY964">
        <v>63.96</v>
      </c>
      <c r="CZ964" t="s">
        <v>5701</v>
      </c>
      <c r="DA964">
        <v>38.29</v>
      </c>
      <c r="DB964">
        <v>11.05</v>
      </c>
      <c r="DC964">
        <v>9.08</v>
      </c>
      <c r="DD964">
        <v>1.18</v>
      </c>
      <c r="DE964">
        <v>5747</v>
      </c>
      <c r="DF964">
        <v>2511</v>
      </c>
      <c r="DG964" t="s">
        <v>116</v>
      </c>
      <c r="DH964" t="s">
        <v>116</v>
      </c>
      <c r="DI964" t="s">
        <v>116</v>
      </c>
    </row>
    <row r="965" spans="1:113" x14ac:dyDescent="0.4">
      <c r="A965" t="str">
        <f>"002512"</f>
        <v>002512</v>
      </c>
      <c r="B965" t="s">
        <v>5702</v>
      </c>
      <c r="C965">
        <v>4.5999999999999996</v>
      </c>
      <c r="D965">
        <v>6.6</v>
      </c>
      <c r="E965">
        <v>0.28999999999999998</v>
      </c>
      <c r="F965">
        <v>6.6</v>
      </c>
      <c r="G965">
        <v>6.61</v>
      </c>
      <c r="H965">
        <v>1087774</v>
      </c>
      <c r="I965">
        <v>12739</v>
      </c>
      <c r="J965">
        <v>-0.74</v>
      </c>
      <c r="K965">
        <v>12.73</v>
      </c>
      <c r="L965">
        <v>6.32</v>
      </c>
      <c r="M965">
        <v>6.9</v>
      </c>
      <c r="N965">
        <v>6.24</v>
      </c>
      <c r="O965">
        <v>6.31</v>
      </c>
      <c r="P965">
        <v>17.47</v>
      </c>
      <c r="Q965">
        <v>717437568</v>
      </c>
      <c r="R965">
        <v>1.47</v>
      </c>
      <c r="S965" t="s">
        <v>233</v>
      </c>
      <c r="T965" t="s">
        <v>975</v>
      </c>
      <c r="U965">
        <v>10.46</v>
      </c>
      <c r="V965">
        <v>6.6</v>
      </c>
      <c r="W965">
        <v>486632</v>
      </c>
      <c r="X965">
        <v>601142</v>
      </c>
      <c r="Y965">
        <v>0.81</v>
      </c>
      <c r="Z965">
        <v>7487</v>
      </c>
      <c r="AA965">
        <v>717</v>
      </c>
      <c r="AB965" t="s">
        <v>116</v>
      </c>
      <c r="AC965">
        <v>1227800</v>
      </c>
      <c r="AD965">
        <v>0.03</v>
      </c>
      <c r="AE965" t="s">
        <v>116</v>
      </c>
      <c r="AF965" t="s">
        <v>116</v>
      </c>
      <c r="AG965">
        <v>8.5500000000000007</v>
      </c>
      <c r="AH965" t="s">
        <v>5703</v>
      </c>
      <c r="AI965" t="s">
        <v>5704</v>
      </c>
      <c r="AJ965">
        <v>5.27</v>
      </c>
      <c r="AK965">
        <v>4383</v>
      </c>
      <c r="AL965">
        <v>248</v>
      </c>
      <c r="AM965">
        <v>2.8999999999999998E-3</v>
      </c>
      <c r="AN965">
        <v>1</v>
      </c>
      <c r="AO965">
        <v>2.33</v>
      </c>
      <c r="AP965">
        <v>34.69</v>
      </c>
      <c r="AQ965">
        <v>33.06</v>
      </c>
      <c r="AR965">
        <v>24.29</v>
      </c>
      <c r="AS965">
        <v>19.03</v>
      </c>
      <c r="AT965" t="s">
        <v>5705</v>
      </c>
      <c r="AU965" t="s">
        <v>116</v>
      </c>
      <c r="AV965" t="s">
        <v>116</v>
      </c>
      <c r="AW965">
        <v>0.94</v>
      </c>
      <c r="BA965">
        <v>0.16</v>
      </c>
      <c r="BB965">
        <v>9.35</v>
      </c>
      <c r="BC965">
        <v>-1.1100000000000001</v>
      </c>
      <c r="BD965">
        <v>4.5199999999999996</v>
      </c>
      <c r="BE965">
        <v>4.43</v>
      </c>
      <c r="BF965">
        <v>-4.3499999999999996</v>
      </c>
      <c r="BG965">
        <v>5.77</v>
      </c>
      <c r="BH965">
        <v>7.0000000000000007E-2</v>
      </c>
      <c r="BI965">
        <v>20191203</v>
      </c>
      <c r="BJ965">
        <v>20101203</v>
      </c>
      <c r="BK965">
        <v>10.95</v>
      </c>
      <c r="BL965" t="s">
        <v>116</v>
      </c>
      <c r="BM965" t="s">
        <v>116</v>
      </c>
      <c r="BN965">
        <v>54.85</v>
      </c>
      <c r="BO965">
        <v>14.54</v>
      </c>
      <c r="BP965">
        <v>1.01</v>
      </c>
      <c r="BQ965">
        <v>71.650000000000006</v>
      </c>
      <c r="BR965">
        <v>25.53</v>
      </c>
      <c r="BS965">
        <v>3.84</v>
      </c>
      <c r="BT965">
        <v>5.73</v>
      </c>
      <c r="BU965">
        <v>33.549999999999997</v>
      </c>
      <c r="BV965">
        <v>3.6</v>
      </c>
      <c r="BW965">
        <v>6.74</v>
      </c>
      <c r="BX965">
        <v>10.86</v>
      </c>
      <c r="BY965">
        <v>15.73</v>
      </c>
      <c r="BZ965">
        <v>13.34</v>
      </c>
      <c r="CA965">
        <v>3.27</v>
      </c>
      <c r="CB965">
        <v>1.34</v>
      </c>
      <c r="CC965">
        <v>3.2</v>
      </c>
      <c r="CD965">
        <v>3.07</v>
      </c>
      <c r="CE965">
        <v>3.1</v>
      </c>
      <c r="CF965">
        <v>-0.69</v>
      </c>
      <c r="CG965">
        <v>-7.68</v>
      </c>
      <c r="CH965">
        <v>1.8</v>
      </c>
      <c r="CI965">
        <v>7.0000000000000007E-2</v>
      </c>
      <c r="CJ965">
        <v>51041</v>
      </c>
      <c r="CK965">
        <v>11200</v>
      </c>
      <c r="CL965" t="s">
        <v>2018</v>
      </c>
      <c r="CM965">
        <v>177.09</v>
      </c>
      <c r="CN965">
        <v>-26</v>
      </c>
      <c r="CO965">
        <v>4.97</v>
      </c>
      <c r="CP965">
        <v>40.11</v>
      </c>
      <c r="CQ965">
        <v>4.59</v>
      </c>
      <c r="CR965">
        <v>0</v>
      </c>
      <c r="CS965" t="s">
        <v>5706</v>
      </c>
      <c r="CT965">
        <v>1.33</v>
      </c>
      <c r="CU965">
        <v>0</v>
      </c>
      <c r="CV965">
        <v>0.99</v>
      </c>
      <c r="CW965">
        <v>-0.7</v>
      </c>
      <c r="CX965">
        <v>0.16</v>
      </c>
      <c r="CY965">
        <v>26.51</v>
      </c>
      <c r="CZ965" t="s">
        <v>5707</v>
      </c>
      <c r="DA965">
        <v>15.24</v>
      </c>
      <c r="DB965">
        <v>20.75</v>
      </c>
      <c r="DC965">
        <v>19.73</v>
      </c>
      <c r="DD965">
        <v>0.8</v>
      </c>
      <c r="DE965">
        <v>2783</v>
      </c>
      <c r="DF965">
        <v>2512</v>
      </c>
      <c r="DG965" t="s">
        <v>116</v>
      </c>
      <c r="DH965" t="s">
        <v>116</v>
      </c>
      <c r="DI965" t="s">
        <v>116</v>
      </c>
    </row>
    <row r="966" spans="1:113" x14ac:dyDescent="0.4">
      <c r="A966" t="str">
        <f>"002513"</f>
        <v>002513</v>
      </c>
      <c r="B966" t="s">
        <v>5708</v>
      </c>
      <c r="C966">
        <v>-1.9</v>
      </c>
      <c r="D966">
        <v>6.73</v>
      </c>
      <c r="E966">
        <v>-0.13</v>
      </c>
      <c r="F966">
        <v>6.72</v>
      </c>
      <c r="G966">
        <v>6.73</v>
      </c>
      <c r="H966">
        <v>65488</v>
      </c>
      <c r="I966">
        <v>1075</v>
      </c>
      <c r="J966">
        <v>0</v>
      </c>
      <c r="K966">
        <v>2.08</v>
      </c>
      <c r="L966">
        <v>6.85</v>
      </c>
      <c r="M966">
        <v>6.97</v>
      </c>
      <c r="N966">
        <v>6.71</v>
      </c>
      <c r="O966">
        <v>6.86</v>
      </c>
      <c r="P966">
        <v>62.27</v>
      </c>
      <c r="Q966">
        <v>44799648</v>
      </c>
      <c r="R966">
        <v>0.82</v>
      </c>
      <c r="S966" t="s">
        <v>697</v>
      </c>
      <c r="T966" t="s">
        <v>323</v>
      </c>
      <c r="U966">
        <v>3.79</v>
      </c>
      <c r="V966">
        <v>6.84</v>
      </c>
      <c r="W966">
        <v>38733</v>
      </c>
      <c r="X966">
        <v>26755</v>
      </c>
      <c r="Y966">
        <v>1.45</v>
      </c>
      <c r="Z966">
        <v>194</v>
      </c>
      <c r="AA966">
        <v>165</v>
      </c>
      <c r="AB966" t="s">
        <v>116</v>
      </c>
      <c r="AC966">
        <v>92500</v>
      </c>
      <c r="AD966">
        <v>0.01</v>
      </c>
      <c r="AE966" t="s">
        <v>116</v>
      </c>
      <c r="AF966" t="s">
        <v>116</v>
      </c>
      <c r="AG966">
        <v>3.14</v>
      </c>
      <c r="AH966" t="s">
        <v>3146</v>
      </c>
      <c r="AI966" t="s">
        <v>5709</v>
      </c>
      <c r="AJ966">
        <v>-1.22</v>
      </c>
      <c r="AK966">
        <v>1508</v>
      </c>
      <c r="AL966">
        <v>43</v>
      </c>
      <c r="AM966">
        <v>1.4E-3</v>
      </c>
      <c r="AN966">
        <v>-3</v>
      </c>
      <c r="AO966">
        <v>-4.2699999999999996</v>
      </c>
      <c r="AP966">
        <v>7.17</v>
      </c>
      <c r="AQ966">
        <v>26.74</v>
      </c>
      <c r="AR966">
        <v>3.54</v>
      </c>
      <c r="AS966">
        <v>3.92</v>
      </c>
      <c r="AT966" t="s">
        <v>4017</v>
      </c>
      <c r="AU966" t="s">
        <v>116</v>
      </c>
      <c r="AV966" t="s">
        <v>116</v>
      </c>
      <c r="AW966">
        <v>1.06</v>
      </c>
      <c r="BA966">
        <v>-0.15</v>
      </c>
      <c r="BB966">
        <v>1.6</v>
      </c>
      <c r="BC966">
        <v>-2.19</v>
      </c>
      <c r="BD966">
        <v>-0.28000000000000003</v>
      </c>
      <c r="BE966">
        <v>-1.75</v>
      </c>
      <c r="BF966">
        <v>-3.44</v>
      </c>
      <c r="BG966">
        <v>0.3</v>
      </c>
      <c r="BH966">
        <v>-1.62</v>
      </c>
      <c r="BI966">
        <v>20191121</v>
      </c>
      <c r="BJ966">
        <v>20101203</v>
      </c>
      <c r="BK966">
        <v>3.4</v>
      </c>
      <c r="BL966" t="s">
        <v>116</v>
      </c>
      <c r="BM966" t="s">
        <v>116</v>
      </c>
      <c r="BN966">
        <v>31.61</v>
      </c>
      <c r="BO966">
        <v>16.829999999999998</v>
      </c>
      <c r="BP966">
        <v>0</v>
      </c>
      <c r="BQ966">
        <v>46.76</v>
      </c>
      <c r="BR966">
        <v>9.59</v>
      </c>
      <c r="BS966">
        <v>13.88</v>
      </c>
      <c r="BT966">
        <v>0.86</v>
      </c>
      <c r="BU966">
        <v>13.12</v>
      </c>
      <c r="BV966">
        <v>1.36</v>
      </c>
      <c r="BW966">
        <v>1.53</v>
      </c>
      <c r="BX966">
        <v>18.12</v>
      </c>
      <c r="BY966">
        <v>11.85</v>
      </c>
      <c r="BZ966">
        <v>9.34</v>
      </c>
      <c r="CA966">
        <v>0.3</v>
      </c>
      <c r="CB966">
        <v>0</v>
      </c>
      <c r="CC966">
        <v>0.36</v>
      </c>
      <c r="CD966">
        <v>0.28000000000000003</v>
      </c>
      <c r="CE966">
        <v>0.28000000000000003</v>
      </c>
      <c r="CF966">
        <v>0.17</v>
      </c>
      <c r="CG966">
        <v>-5.27</v>
      </c>
      <c r="CH966">
        <v>1.87</v>
      </c>
      <c r="CI966">
        <v>0.06</v>
      </c>
      <c r="CJ966">
        <v>22163</v>
      </c>
      <c r="CK966">
        <v>7541</v>
      </c>
      <c r="CL966" t="s">
        <v>5710</v>
      </c>
      <c r="CM966">
        <v>178.25</v>
      </c>
      <c r="CN966">
        <v>3.22</v>
      </c>
      <c r="CO966">
        <v>1.36</v>
      </c>
      <c r="CP966">
        <v>12.22</v>
      </c>
      <c r="CQ966">
        <v>1.93</v>
      </c>
      <c r="CR966">
        <v>0</v>
      </c>
      <c r="CS966" t="s">
        <v>1105</v>
      </c>
      <c r="CT966">
        <v>4.95</v>
      </c>
      <c r="CU966">
        <v>0</v>
      </c>
      <c r="CV966">
        <v>5.33</v>
      </c>
      <c r="CW966">
        <v>-1.55</v>
      </c>
      <c r="CX966">
        <v>0.55000000000000004</v>
      </c>
      <c r="CY966">
        <v>53.24</v>
      </c>
      <c r="CZ966" t="s">
        <v>3476</v>
      </c>
      <c r="DA966">
        <v>21.16</v>
      </c>
      <c r="DB966">
        <v>2.5499999999999998</v>
      </c>
      <c r="DC966">
        <v>2.33</v>
      </c>
      <c r="DD966">
        <v>0.24</v>
      </c>
      <c r="DE966">
        <v>2024</v>
      </c>
      <c r="DF966">
        <v>2513</v>
      </c>
      <c r="DG966" t="s">
        <v>116</v>
      </c>
      <c r="DH966" t="s">
        <v>116</v>
      </c>
      <c r="DI966" t="s">
        <v>116</v>
      </c>
    </row>
    <row r="967" spans="1:113" x14ac:dyDescent="0.4">
      <c r="A967" t="str">
        <f>"002514"</f>
        <v>002514</v>
      </c>
      <c r="B967" t="s">
        <v>5711</v>
      </c>
      <c r="C967" t="s">
        <v>116</v>
      </c>
      <c r="D967">
        <v>5.78</v>
      </c>
      <c r="E967" t="s">
        <v>116</v>
      </c>
      <c r="G967" t="s">
        <v>116</v>
      </c>
      <c r="H967">
        <v>0</v>
      </c>
      <c r="I967">
        <v>0</v>
      </c>
      <c r="J967" t="s">
        <v>116</v>
      </c>
      <c r="K967">
        <v>0</v>
      </c>
      <c r="L967" t="s">
        <v>116</v>
      </c>
      <c r="M967" t="s">
        <v>116</v>
      </c>
      <c r="N967" t="s">
        <v>116</v>
      </c>
      <c r="O967">
        <v>5.78</v>
      </c>
      <c r="P967">
        <v>30.67</v>
      </c>
      <c r="Q967">
        <v>0</v>
      </c>
      <c r="R967">
        <v>0</v>
      </c>
      <c r="S967" t="s">
        <v>996</v>
      </c>
      <c r="T967" t="s">
        <v>323</v>
      </c>
      <c r="U967">
        <v>0</v>
      </c>
      <c r="V967">
        <v>5.78</v>
      </c>
      <c r="W967">
        <v>0</v>
      </c>
      <c r="X967">
        <v>0</v>
      </c>
      <c r="Y967" t="s">
        <v>116</v>
      </c>
      <c r="Z967">
        <v>0</v>
      </c>
      <c r="AA967">
        <v>0</v>
      </c>
      <c r="AB967" t="s">
        <v>116</v>
      </c>
      <c r="AC967">
        <v>0</v>
      </c>
      <c r="AD967" t="s">
        <v>116</v>
      </c>
      <c r="AE967" t="s">
        <v>116</v>
      </c>
      <c r="AF967" t="s">
        <v>116</v>
      </c>
      <c r="AG967">
        <v>4.0599999999999996</v>
      </c>
      <c r="AH967" t="s">
        <v>5712</v>
      </c>
      <c r="AI967" t="s">
        <v>5713</v>
      </c>
      <c r="AJ967">
        <v>0.68</v>
      </c>
      <c r="AK967">
        <v>0</v>
      </c>
      <c r="AL967" t="s">
        <v>116</v>
      </c>
      <c r="AM967" t="s">
        <v>116</v>
      </c>
      <c r="AN967">
        <v>-1</v>
      </c>
      <c r="AO967">
        <v>-4.1500000000000004</v>
      </c>
      <c r="AP967">
        <v>13.11</v>
      </c>
      <c r="AQ967">
        <v>0.52</v>
      </c>
      <c r="AR967">
        <v>8.44</v>
      </c>
      <c r="AS967" t="s">
        <v>116</v>
      </c>
      <c r="AT967" t="s">
        <v>5714</v>
      </c>
      <c r="AU967">
        <v>33.61</v>
      </c>
      <c r="AV967">
        <v>33.950000000000003</v>
      </c>
      <c r="AW967">
        <v>0.98</v>
      </c>
      <c r="BA967" t="s">
        <v>116</v>
      </c>
      <c r="BB967" t="s">
        <v>116</v>
      </c>
      <c r="BC967" t="s">
        <v>116</v>
      </c>
      <c r="BD967">
        <v>0</v>
      </c>
      <c r="BE967" t="s">
        <v>116</v>
      </c>
      <c r="BF967" t="s">
        <v>116</v>
      </c>
      <c r="BG967" t="s">
        <v>116</v>
      </c>
      <c r="BH967" t="s">
        <v>116</v>
      </c>
      <c r="BI967">
        <v>20191225</v>
      </c>
      <c r="BJ967">
        <v>20101203</v>
      </c>
      <c r="BK967">
        <v>5.54</v>
      </c>
      <c r="BL967" t="s">
        <v>116</v>
      </c>
      <c r="BM967" t="s">
        <v>116</v>
      </c>
      <c r="BN967">
        <v>17.100000000000001</v>
      </c>
      <c r="BO967">
        <v>10.23</v>
      </c>
      <c r="BP967">
        <v>0</v>
      </c>
      <c r="BQ967">
        <v>40.18</v>
      </c>
      <c r="BR967">
        <v>8.1199999999999992</v>
      </c>
      <c r="BS967">
        <v>4.7300000000000004</v>
      </c>
      <c r="BT967">
        <v>0.55000000000000004</v>
      </c>
      <c r="BU967">
        <v>6.27</v>
      </c>
      <c r="BV967">
        <v>1.93</v>
      </c>
      <c r="BW967">
        <v>3.71</v>
      </c>
      <c r="BX967">
        <v>2.69</v>
      </c>
      <c r="BY967">
        <v>5.99</v>
      </c>
      <c r="BZ967">
        <v>3.77</v>
      </c>
      <c r="CA967">
        <v>0.74</v>
      </c>
      <c r="CB967">
        <v>-0.01</v>
      </c>
      <c r="CC967">
        <v>0.74</v>
      </c>
      <c r="CD967">
        <v>0.78</v>
      </c>
      <c r="CE967">
        <v>0.78</v>
      </c>
      <c r="CF967">
        <v>0.77</v>
      </c>
      <c r="CG967">
        <v>1.81</v>
      </c>
      <c r="CH967">
        <v>0.87</v>
      </c>
      <c r="CI967">
        <v>-0.15</v>
      </c>
      <c r="CJ967">
        <v>23639</v>
      </c>
      <c r="CK967">
        <v>11608</v>
      </c>
      <c r="CL967" t="s">
        <v>5715</v>
      </c>
      <c r="CM967">
        <v>1.26</v>
      </c>
      <c r="CN967">
        <v>3.31</v>
      </c>
      <c r="CO967">
        <v>3.13</v>
      </c>
      <c r="CP967">
        <v>36.9</v>
      </c>
      <c r="CQ967">
        <v>5.34</v>
      </c>
      <c r="CR967">
        <v>0</v>
      </c>
      <c r="CS967" t="s">
        <v>5207</v>
      </c>
      <c r="CT967">
        <v>1.85</v>
      </c>
      <c r="CU967">
        <v>0</v>
      </c>
      <c r="CV967">
        <v>0.49</v>
      </c>
      <c r="CW967">
        <v>0.33</v>
      </c>
      <c r="CX967">
        <v>0.16</v>
      </c>
      <c r="CY967">
        <v>59.82</v>
      </c>
      <c r="CZ967" t="s">
        <v>5716</v>
      </c>
      <c r="DA967">
        <v>37.1</v>
      </c>
      <c r="DB967">
        <v>12.27</v>
      </c>
      <c r="DC967">
        <v>13.06</v>
      </c>
      <c r="DD967">
        <v>0.42</v>
      </c>
      <c r="DE967">
        <v>1385</v>
      </c>
      <c r="DF967">
        <v>2514</v>
      </c>
      <c r="DG967" t="s">
        <v>116</v>
      </c>
      <c r="DH967" t="s">
        <v>116</v>
      </c>
      <c r="DI967" t="s">
        <v>116</v>
      </c>
    </row>
    <row r="968" spans="1:113" x14ac:dyDescent="0.4">
      <c r="A968" t="str">
        <f>"002515"</f>
        <v>002515</v>
      </c>
      <c r="B968" t="s">
        <v>5717</v>
      </c>
      <c r="C968">
        <v>3.65</v>
      </c>
      <c r="D968">
        <v>5.39</v>
      </c>
      <c r="E968">
        <v>0.19</v>
      </c>
      <c r="F968">
        <v>5.38</v>
      </c>
      <c r="G968">
        <v>5.39</v>
      </c>
      <c r="H968">
        <v>326721</v>
      </c>
      <c r="I968">
        <v>4874</v>
      </c>
      <c r="J968">
        <v>0.37</v>
      </c>
      <c r="K968">
        <v>3.85</v>
      </c>
      <c r="L968">
        <v>5.22</v>
      </c>
      <c r="M968">
        <v>5.45</v>
      </c>
      <c r="N968">
        <v>5.21</v>
      </c>
      <c r="O968">
        <v>5.2</v>
      </c>
      <c r="P968">
        <v>83.26</v>
      </c>
      <c r="Q968">
        <v>175202688</v>
      </c>
      <c r="R968">
        <v>1.75</v>
      </c>
      <c r="S968" t="s">
        <v>863</v>
      </c>
      <c r="T968" t="s">
        <v>590</v>
      </c>
      <c r="U968">
        <v>4.62</v>
      </c>
      <c r="V968">
        <v>5.36</v>
      </c>
      <c r="W968">
        <v>139486</v>
      </c>
      <c r="X968">
        <v>187234</v>
      </c>
      <c r="Y968">
        <v>0.74</v>
      </c>
      <c r="Z968">
        <v>713</v>
      </c>
      <c r="AA968">
        <v>2740</v>
      </c>
      <c r="AB968" t="s">
        <v>116</v>
      </c>
      <c r="AC968">
        <v>216100</v>
      </c>
      <c r="AD968">
        <v>0.01</v>
      </c>
      <c r="AE968" t="s">
        <v>116</v>
      </c>
      <c r="AF968" t="s">
        <v>116</v>
      </c>
      <c r="AG968">
        <v>8.49</v>
      </c>
      <c r="AH968" t="s">
        <v>5081</v>
      </c>
      <c r="AI968" t="s">
        <v>5718</v>
      </c>
      <c r="AJ968">
        <v>4.33</v>
      </c>
      <c r="AK968">
        <v>2832</v>
      </c>
      <c r="AL968">
        <v>115</v>
      </c>
      <c r="AM968">
        <v>1.4E-3</v>
      </c>
      <c r="AN968">
        <v>2</v>
      </c>
      <c r="AO968">
        <v>3.25</v>
      </c>
      <c r="AP968">
        <v>3.65</v>
      </c>
      <c r="AQ968">
        <v>6.52</v>
      </c>
      <c r="AR968">
        <v>28.64</v>
      </c>
      <c r="AS968">
        <v>7.55</v>
      </c>
      <c r="AT968" t="s">
        <v>392</v>
      </c>
      <c r="AU968">
        <v>190.62</v>
      </c>
      <c r="AV968" t="s">
        <v>116</v>
      </c>
      <c r="AW968">
        <v>0.65</v>
      </c>
      <c r="BA968">
        <v>0.38</v>
      </c>
      <c r="BB968">
        <v>4.8099999999999996</v>
      </c>
      <c r="BC968">
        <v>0.19</v>
      </c>
      <c r="BD968">
        <v>3.12</v>
      </c>
      <c r="BE968">
        <v>3.26</v>
      </c>
      <c r="BF968">
        <v>-1.1000000000000001</v>
      </c>
      <c r="BG968">
        <v>3.45</v>
      </c>
      <c r="BH968">
        <v>0.53</v>
      </c>
      <c r="BI968">
        <v>20191111</v>
      </c>
      <c r="BJ968">
        <v>20101203</v>
      </c>
      <c r="BK968">
        <v>9.7799999999999994</v>
      </c>
      <c r="BL968" t="s">
        <v>116</v>
      </c>
      <c r="BM968" t="s">
        <v>116</v>
      </c>
      <c r="BN968">
        <v>14.33</v>
      </c>
      <c r="BO968">
        <v>13.28</v>
      </c>
      <c r="BP968">
        <v>0</v>
      </c>
      <c r="BQ968">
        <v>7.34</v>
      </c>
      <c r="BR968">
        <v>10.25</v>
      </c>
      <c r="BS968">
        <v>2.71</v>
      </c>
      <c r="BT968">
        <v>0.21</v>
      </c>
      <c r="BU968">
        <v>0.45</v>
      </c>
      <c r="BV968">
        <v>2.6</v>
      </c>
      <c r="BW968">
        <v>0.13</v>
      </c>
      <c r="BX968">
        <v>1.76</v>
      </c>
      <c r="BY968">
        <v>1.68</v>
      </c>
      <c r="BZ968">
        <v>0.94</v>
      </c>
      <c r="CA968">
        <v>0.51</v>
      </c>
      <c r="CB968">
        <v>0.01</v>
      </c>
      <c r="CC968">
        <v>0.51</v>
      </c>
      <c r="CD968">
        <v>0.48</v>
      </c>
      <c r="CE968">
        <v>0.48</v>
      </c>
      <c r="CF968">
        <v>0.44</v>
      </c>
      <c r="CG968">
        <v>3.06</v>
      </c>
      <c r="CH968">
        <v>-0.35</v>
      </c>
      <c r="CI968">
        <v>-0.88</v>
      </c>
      <c r="CJ968">
        <v>54778</v>
      </c>
      <c r="CK968">
        <v>7898</v>
      </c>
      <c r="CL968" t="s">
        <v>4553</v>
      </c>
      <c r="CM968">
        <v>316.38</v>
      </c>
      <c r="CN968">
        <v>-48.41</v>
      </c>
      <c r="CO968">
        <v>3.97</v>
      </c>
      <c r="CP968">
        <v>-149.62</v>
      </c>
      <c r="CQ968">
        <v>31.36</v>
      </c>
      <c r="CR968">
        <v>0</v>
      </c>
      <c r="CS968" t="s">
        <v>5719</v>
      </c>
      <c r="CT968">
        <v>1.36</v>
      </c>
      <c r="CU968">
        <v>0</v>
      </c>
      <c r="CV968">
        <v>0.18</v>
      </c>
      <c r="CW968">
        <v>0.31</v>
      </c>
      <c r="CX968">
        <v>-0.04</v>
      </c>
      <c r="CY968">
        <v>92.66</v>
      </c>
      <c r="CZ968" t="s">
        <v>3111</v>
      </c>
      <c r="DA968">
        <v>44.25</v>
      </c>
      <c r="DB968">
        <v>30.45</v>
      </c>
      <c r="DC968">
        <v>28.25</v>
      </c>
      <c r="DD968">
        <v>0.02</v>
      </c>
      <c r="DE968">
        <v>373</v>
      </c>
      <c r="DF968">
        <v>2515</v>
      </c>
      <c r="DG968" t="s">
        <v>116</v>
      </c>
      <c r="DH968" t="s">
        <v>116</v>
      </c>
      <c r="DI968" t="s">
        <v>116</v>
      </c>
    </row>
    <row r="969" spans="1:113" x14ac:dyDescent="0.4">
      <c r="A969" t="str">
        <f>"002516"</f>
        <v>002516</v>
      </c>
      <c r="B969" t="s">
        <v>5720</v>
      </c>
      <c r="C969">
        <v>0.38</v>
      </c>
      <c r="D969">
        <v>2.67</v>
      </c>
      <c r="E969">
        <v>0.01</v>
      </c>
      <c r="F969">
        <v>2.66</v>
      </c>
      <c r="G969">
        <v>2.67</v>
      </c>
      <c r="H969">
        <v>71449</v>
      </c>
      <c r="I969">
        <v>515</v>
      </c>
      <c r="J969">
        <v>0</v>
      </c>
      <c r="K969">
        <v>0.76</v>
      </c>
      <c r="L969">
        <v>2.66</v>
      </c>
      <c r="M969">
        <v>2.7</v>
      </c>
      <c r="N969">
        <v>2.65</v>
      </c>
      <c r="O969">
        <v>2.66</v>
      </c>
      <c r="P969">
        <v>20.38</v>
      </c>
      <c r="Q969">
        <v>19102552</v>
      </c>
      <c r="R969">
        <v>1.34</v>
      </c>
      <c r="S969" t="s">
        <v>1420</v>
      </c>
      <c r="T969" t="s">
        <v>323</v>
      </c>
      <c r="U969">
        <v>1.88</v>
      </c>
      <c r="V969">
        <v>2.67</v>
      </c>
      <c r="W969">
        <v>35929</v>
      </c>
      <c r="X969">
        <v>35520</v>
      </c>
      <c r="Y969">
        <v>1.01</v>
      </c>
      <c r="Z969">
        <v>3026</v>
      </c>
      <c r="AA969">
        <v>4297</v>
      </c>
      <c r="AB969" t="s">
        <v>116</v>
      </c>
      <c r="AC969">
        <v>15400</v>
      </c>
      <c r="AD969">
        <v>0</v>
      </c>
      <c r="AE969" t="s">
        <v>116</v>
      </c>
      <c r="AF969" t="s">
        <v>116</v>
      </c>
      <c r="AG969">
        <v>9.39</v>
      </c>
      <c r="AH969" t="s">
        <v>2212</v>
      </c>
      <c r="AI969" t="s">
        <v>5721</v>
      </c>
      <c r="AJ969">
        <v>1.05</v>
      </c>
      <c r="AK969">
        <v>710</v>
      </c>
      <c r="AL969">
        <v>101</v>
      </c>
      <c r="AM969">
        <v>1.1000000000000001E-3</v>
      </c>
      <c r="AN969">
        <v>2</v>
      </c>
      <c r="AO969">
        <v>0.76</v>
      </c>
      <c r="AP969">
        <v>2.2999999999999998</v>
      </c>
      <c r="AQ969">
        <v>-4.3</v>
      </c>
      <c r="AR969">
        <v>3.09</v>
      </c>
      <c r="AS969">
        <v>1.04</v>
      </c>
      <c r="AT969" t="s">
        <v>5722</v>
      </c>
      <c r="AU969">
        <v>25.41</v>
      </c>
      <c r="AV969">
        <v>16.93</v>
      </c>
      <c r="AW969">
        <v>0.59</v>
      </c>
      <c r="BA969">
        <v>0</v>
      </c>
      <c r="BB969">
        <v>1.5</v>
      </c>
      <c r="BC969">
        <v>-0.38</v>
      </c>
      <c r="BD969">
        <v>0.51</v>
      </c>
      <c r="BE969">
        <v>0.38</v>
      </c>
      <c r="BF969">
        <v>-1.1100000000000001</v>
      </c>
      <c r="BG969">
        <v>0.75</v>
      </c>
      <c r="BH969">
        <v>-0.14000000000000001</v>
      </c>
      <c r="BI969">
        <v>20191223</v>
      </c>
      <c r="BJ969">
        <v>20101207</v>
      </c>
      <c r="BK969">
        <v>14.71</v>
      </c>
      <c r="BL969" t="s">
        <v>116</v>
      </c>
      <c r="BM969" t="s">
        <v>116</v>
      </c>
      <c r="BN969">
        <v>40.04</v>
      </c>
      <c r="BO969">
        <v>35.54</v>
      </c>
      <c r="BP969">
        <v>0.33</v>
      </c>
      <c r="BQ969">
        <v>10.41</v>
      </c>
      <c r="BR969">
        <v>20.83</v>
      </c>
      <c r="BS969">
        <v>15.59</v>
      </c>
      <c r="BT969">
        <v>1.68</v>
      </c>
      <c r="BU969">
        <v>4.1100000000000003</v>
      </c>
      <c r="BV969">
        <v>2.02</v>
      </c>
      <c r="BW969">
        <v>6.11</v>
      </c>
      <c r="BX969">
        <v>10.72</v>
      </c>
      <c r="BY969">
        <v>11.3</v>
      </c>
      <c r="BZ969">
        <v>8.23</v>
      </c>
      <c r="CA969">
        <v>1.75</v>
      </c>
      <c r="CB969">
        <v>0.17</v>
      </c>
      <c r="CC969">
        <v>1.76</v>
      </c>
      <c r="CD969">
        <v>1.44</v>
      </c>
      <c r="CE969">
        <v>1.45</v>
      </c>
      <c r="CF969">
        <v>1.28</v>
      </c>
      <c r="CG969">
        <v>8.52</v>
      </c>
      <c r="CH969">
        <v>1.47</v>
      </c>
      <c r="CI969">
        <v>-1.39</v>
      </c>
      <c r="CJ969">
        <v>53661</v>
      </c>
      <c r="CK969">
        <v>12757</v>
      </c>
      <c r="CL969" t="s">
        <v>1700</v>
      </c>
      <c r="CM969">
        <v>-34.89</v>
      </c>
      <c r="CN969">
        <v>-13.78</v>
      </c>
      <c r="CO969">
        <v>1.1100000000000001</v>
      </c>
      <c r="CP969">
        <v>26.69</v>
      </c>
      <c r="CQ969">
        <v>3.47</v>
      </c>
      <c r="CR969">
        <v>9.3699999999999992</v>
      </c>
      <c r="CS969" t="s">
        <v>821</v>
      </c>
      <c r="CT969">
        <v>2.42</v>
      </c>
      <c r="CU969">
        <v>0</v>
      </c>
      <c r="CV969">
        <v>0.73</v>
      </c>
      <c r="CW969">
        <v>0.57999999999999996</v>
      </c>
      <c r="CX969">
        <v>0.1</v>
      </c>
      <c r="CY969">
        <v>88.76</v>
      </c>
      <c r="CZ969" t="s">
        <v>5723</v>
      </c>
      <c r="DA969">
        <v>27.15</v>
      </c>
      <c r="DB969">
        <v>15.51</v>
      </c>
      <c r="DC969">
        <v>12.79</v>
      </c>
      <c r="DD969">
        <v>0.25</v>
      </c>
      <c r="DE969">
        <v>2249</v>
      </c>
      <c r="DF969">
        <v>2516</v>
      </c>
      <c r="DG969" t="s">
        <v>116</v>
      </c>
      <c r="DH969" t="s">
        <v>116</v>
      </c>
      <c r="DI969" t="s">
        <v>116</v>
      </c>
    </row>
    <row r="970" spans="1:113" x14ac:dyDescent="0.4">
      <c r="A970" t="str">
        <f>"002517"</f>
        <v>002517</v>
      </c>
      <c r="B970" t="s">
        <v>5724</v>
      </c>
      <c r="C970">
        <v>-3.01</v>
      </c>
      <c r="D970">
        <v>2.58</v>
      </c>
      <c r="E970">
        <v>-0.08</v>
      </c>
      <c r="F970">
        <v>2.58</v>
      </c>
      <c r="G970">
        <v>2.59</v>
      </c>
      <c r="H970">
        <v>780150</v>
      </c>
      <c r="I970">
        <v>7094</v>
      </c>
      <c r="J970">
        <v>-0.38</v>
      </c>
      <c r="K970">
        <v>4.88</v>
      </c>
      <c r="L970">
        <v>2.65</v>
      </c>
      <c r="M970">
        <v>2.69</v>
      </c>
      <c r="N970">
        <v>2.58</v>
      </c>
      <c r="O970">
        <v>2.66</v>
      </c>
      <c r="P970">
        <v>58.38</v>
      </c>
      <c r="Q970">
        <v>205259168</v>
      </c>
      <c r="R970">
        <v>0.8</v>
      </c>
      <c r="S970" t="s">
        <v>1384</v>
      </c>
      <c r="T970" t="s">
        <v>975</v>
      </c>
      <c r="U970">
        <v>4.1399999999999997</v>
      </c>
      <c r="V970">
        <v>2.63</v>
      </c>
      <c r="W970">
        <v>458754</v>
      </c>
      <c r="X970">
        <v>321396</v>
      </c>
      <c r="Y970">
        <v>1.43</v>
      </c>
      <c r="Z970">
        <v>8709</v>
      </c>
      <c r="AA970">
        <v>7220</v>
      </c>
      <c r="AB970" t="s">
        <v>116</v>
      </c>
      <c r="AC970">
        <v>855700</v>
      </c>
      <c r="AD970">
        <v>0.03</v>
      </c>
      <c r="AE970" t="s">
        <v>116</v>
      </c>
      <c r="AF970" t="s">
        <v>116</v>
      </c>
      <c r="AG970">
        <v>16</v>
      </c>
      <c r="AH970" t="s">
        <v>5725</v>
      </c>
      <c r="AI970" t="s">
        <v>5726</v>
      </c>
      <c r="AJ970">
        <v>-2.33</v>
      </c>
      <c r="AK970">
        <v>3476</v>
      </c>
      <c r="AL970">
        <v>224</v>
      </c>
      <c r="AM970">
        <v>1.4E-3</v>
      </c>
      <c r="AN970">
        <v>-1</v>
      </c>
      <c r="AO970">
        <v>-0.77</v>
      </c>
      <c r="AP970">
        <v>-3.73</v>
      </c>
      <c r="AQ970">
        <v>-13.13</v>
      </c>
      <c r="AR970">
        <v>-30.46</v>
      </c>
      <c r="AS970">
        <v>6.73</v>
      </c>
      <c r="AT970" t="s">
        <v>5727</v>
      </c>
      <c r="AU970" t="s">
        <v>116</v>
      </c>
      <c r="AV970">
        <v>31.85</v>
      </c>
      <c r="AW970">
        <v>1.89</v>
      </c>
      <c r="BA970">
        <v>-0.38</v>
      </c>
      <c r="BB970">
        <v>1.1299999999999999</v>
      </c>
      <c r="BC970">
        <v>-3.01</v>
      </c>
      <c r="BD970">
        <v>-1.0900000000000001</v>
      </c>
      <c r="BE970">
        <v>-2.64</v>
      </c>
      <c r="BF970">
        <v>-4.09</v>
      </c>
      <c r="BG970">
        <v>0</v>
      </c>
      <c r="BH970">
        <v>-1.92</v>
      </c>
      <c r="BI970">
        <v>20191031</v>
      </c>
      <c r="BJ970">
        <v>20101207</v>
      </c>
      <c r="BK970">
        <v>21.53</v>
      </c>
      <c r="BL970" t="s">
        <v>116</v>
      </c>
      <c r="BM970" t="s">
        <v>116</v>
      </c>
      <c r="BN970">
        <v>61.68</v>
      </c>
      <c r="BO970">
        <v>49.21</v>
      </c>
      <c r="BP970">
        <v>3.66</v>
      </c>
      <c r="BQ970">
        <v>14.29</v>
      </c>
      <c r="BR970">
        <v>24.85</v>
      </c>
      <c r="BS970">
        <v>0.24</v>
      </c>
      <c r="BT970">
        <v>0.12</v>
      </c>
      <c r="BU970">
        <v>8.3800000000000008</v>
      </c>
      <c r="BV970">
        <v>0</v>
      </c>
      <c r="BW970">
        <v>9.8000000000000007</v>
      </c>
      <c r="BX970">
        <v>7.4</v>
      </c>
      <c r="BY970">
        <v>15.04</v>
      </c>
      <c r="BZ970">
        <v>4.72</v>
      </c>
      <c r="CA970">
        <v>1.32</v>
      </c>
      <c r="CB970">
        <v>0.32</v>
      </c>
      <c r="CC970">
        <v>1.36</v>
      </c>
      <c r="CD970">
        <v>1.19</v>
      </c>
      <c r="CE970">
        <v>0.71</v>
      </c>
      <c r="CF970">
        <v>0.59</v>
      </c>
      <c r="CG970">
        <v>26.48</v>
      </c>
      <c r="CH970">
        <v>0.14000000000000001</v>
      </c>
      <c r="CI970">
        <v>-1.38</v>
      </c>
      <c r="CJ970">
        <v>75843</v>
      </c>
      <c r="CK970">
        <v>15283</v>
      </c>
      <c r="CL970" t="s">
        <v>4640</v>
      </c>
      <c r="CM970">
        <v>-85.51</v>
      </c>
      <c r="CN970">
        <v>-13.31</v>
      </c>
      <c r="CO970">
        <v>1.1299999999999999</v>
      </c>
      <c r="CP970">
        <v>397.12</v>
      </c>
      <c r="CQ970">
        <v>3.69</v>
      </c>
      <c r="CR970">
        <v>0</v>
      </c>
      <c r="CS970" t="s">
        <v>379</v>
      </c>
      <c r="CT970">
        <v>2.29</v>
      </c>
      <c r="CU970">
        <v>0</v>
      </c>
      <c r="CV970">
        <v>0.34</v>
      </c>
      <c r="CW970">
        <v>1.23</v>
      </c>
      <c r="CX970">
        <v>0.01</v>
      </c>
      <c r="CY970">
        <v>79.77</v>
      </c>
      <c r="CZ970" t="s">
        <v>2866</v>
      </c>
      <c r="DA970">
        <v>68.63</v>
      </c>
      <c r="DB970">
        <v>8.74</v>
      </c>
      <c r="DC970">
        <v>4.74</v>
      </c>
      <c r="DD970">
        <v>3.03</v>
      </c>
      <c r="DE970">
        <v>1345</v>
      </c>
      <c r="DF970">
        <v>2517</v>
      </c>
      <c r="DG970" t="s">
        <v>116</v>
      </c>
      <c r="DH970" t="s">
        <v>116</v>
      </c>
      <c r="DI970" t="s">
        <v>116</v>
      </c>
    </row>
    <row r="971" spans="1:113" x14ac:dyDescent="0.4">
      <c r="A971" t="str">
        <f>"002518"</f>
        <v>002518</v>
      </c>
      <c r="B971" t="s">
        <v>5728</v>
      </c>
      <c r="C971">
        <v>1.74</v>
      </c>
      <c r="D971">
        <v>10.5</v>
      </c>
      <c r="E971">
        <v>0.18</v>
      </c>
      <c r="F971">
        <v>10.49</v>
      </c>
      <c r="G971">
        <v>10.5</v>
      </c>
      <c r="H971">
        <v>187181</v>
      </c>
      <c r="I971">
        <v>2582</v>
      </c>
      <c r="J971">
        <v>0.19</v>
      </c>
      <c r="K971">
        <v>3.35</v>
      </c>
      <c r="L971">
        <v>10.39</v>
      </c>
      <c r="M971">
        <v>10.82</v>
      </c>
      <c r="N971">
        <v>10.39</v>
      </c>
      <c r="O971">
        <v>10.32</v>
      </c>
      <c r="P971">
        <v>19.940000000000001</v>
      </c>
      <c r="Q971">
        <v>197937360</v>
      </c>
      <c r="R971">
        <v>1.63</v>
      </c>
      <c r="S971" t="s">
        <v>2977</v>
      </c>
      <c r="T971" t="s">
        <v>115</v>
      </c>
      <c r="U971">
        <v>4.17</v>
      </c>
      <c r="V971">
        <v>10.57</v>
      </c>
      <c r="W971">
        <v>85549</v>
      </c>
      <c r="X971">
        <v>101632</v>
      </c>
      <c r="Y971">
        <v>0.84</v>
      </c>
      <c r="Z971">
        <v>160</v>
      </c>
      <c r="AA971">
        <v>276</v>
      </c>
      <c r="AB971" t="s">
        <v>116</v>
      </c>
      <c r="AC971">
        <v>240300</v>
      </c>
      <c r="AD971">
        <v>0.01</v>
      </c>
      <c r="AE971" t="s">
        <v>116</v>
      </c>
      <c r="AF971" t="s">
        <v>116</v>
      </c>
      <c r="AG971">
        <v>5.59</v>
      </c>
      <c r="AH971" t="s">
        <v>5729</v>
      </c>
      <c r="AI971" t="s">
        <v>5730</v>
      </c>
      <c r="AJ971">
        <v>2.42</v>
      </c>
      <c r="AK971">
        <v>3190</v>
      </c>
      <c r="AL971">
        <v>59</v>
      </c>
      <c r="AM971">
        <v>1E-3</v>
      </c>
      <c r="AN971">
        <v>2</v>
      </c>
      <c r="AO971">
        <v>3.14</v>
      </c>
      <c r="AP971">
        <v>8.4700000000000006</v>
      </c>
      <c r="AQ971">
        <v>24.11</v>
      </c>
      <c r="AR971">
        <v>50</v>
      </c>
      <c r="AS971">
        <v>9.18</v>
      </c>
      <c r="AT971" t="s">
        <v>5731</v>
      </c>
      <c r="AU971">
        <v>25.67</v>
      </c>
      <c r="AV971">
        <v>26.58</v>
      </c>
      <c r="AW971">
        <v>0.99</v>
      </c>
      <c r="BA971">
        <v>0.68</v>
      </c>
      <c r="BB971">
        <v>4.84</v>
      </c>
      <c r="BC971">
        <v>0.68</v>
      </c>
      <c r="BD971">
        <v>2.4700000000000002</v>
      </c>
      <c r="BE971">
        <v>1.06</v>
      </c>
      <c r="BF971">
        <v>-2.96</v>
      </c>
      <c r="BG971">
        <v>1.06</v>
      </c>
      <c r="BH971">
        <v>-0.72</v>
      </c>
      <c r="BI971">
        <v>20191223</v>
      </c>
      <c r="BJ971">
        <v>20101207</v>
      </c>
      <c r="BK971">
        <v>5.82</v>
      </c>
      <c r="BL971" t="s">
        <v>116</v>
      </c>
      <c r="BM971" t="s">
        <v>116</v>
      </c>
      <c r="BN971">
        <v>39.54</v>
      </c>
      <c r="BO971">
        <v>25.33</v>
      </c>
      <c r="BP971">
        <v>0.06</v>
      </c>
      <c r="BQ971">
        <v>35.799999999999997</v>
      </c>
      <c r="BR971">
        <v>28.13</v>
      </c>
      <c r="BS971">
        <v>6.98</v>
      </c>
      <c r="BT971">
        <v>0.66</v>
      </c>
      <c r="BU971">
        <v>12.37</v>
      </c>
      <c r="BV971">
        <v>4.83</v>
      </c>
      <c r="BW971">
        <v>10.68</v>
      </c>
      <c r="BX971">
        <v>5.03</v>
      </c>
      <c r="BY971">
        <v>16.420000000000002</v>
      </c>
      <c r="BZ971">
        <v>10.59</v>
      </c>
      <c r="CA971">
        <v>2.71</v>
      </c>
      <c r="CB971">
        <v>0</v>
      </c>
      <c r="CC971">
        <v>2.7</v>
      </c>
      <c r="CD971">
        <v>2.31</v>
      </c>
      <c r="CE971">
        <v>2.2999999999999998</v>
      </c>
      <c r="CF971">
        <v>2.2599999999999998</v>
      </c>
      <c r="CG971">
        <v>13.15</v>
      </c>
      <c r="CH971">
        <v>6.26</v>
      </c>
      <c r="CI971">
        <v>0.47</v>
      </c>
      <c r="CJ971">
        <v>24000</v>
      </c>
      <c r="CK971">
        <v>8495</v>
      </c>
      <c r="CL971" t="s">
        <v>5732</v>
      </c>
      <c r="CM971">
        <v>3.67</v>
      </c>
      <c r="CN971">
        <v>-8.81</v>
      </c>
      <c r="CO971">
        <v>2.41</v>
      </c>
      <c r="CP971">
        <v>9.76</v>
      </c>
      <c r="CQ971">
        <v>3.73</v>
      </c>
      <c r="CR971">
        <v>1.9</v>
      </c>
      <c r="CS971" t="s">
        <v>1548</v>
      </c>
      <c r="CT971">
        <v>4.3499999999999996</v>
      </c>
      <c r="CU971">
        <v>0</v>
      </c>
      <c r="CV971">
        <v>0.86</v>
      </c>
      <c r="CW971">
        <v>2.2599999999999998</v>
      </c>
      <c r="CX971">
        <v>1.08</v>
      </c>
      <c r="CY971">
        <v>64.05</v>
      </c>
      <c r="CZ971" t="s">
        <v>5733</v>
      </c>
      <c r="DA971">
        <v>35.49</v>
      </c>
      <c r="DB971">
        <v>16.52</v>
      </c>
      <c r="DC971">
        <v>14.02</v>
      </c>
      <c r="DD971">
        <v>0.9</v>
      </c>
      <c r="DE971">
        <v>2723</v>
      </c>
      <c r="DF971">
        <v>2518</v>
      </c>
      <c r="DG971" t="s">
        <v>116</v>
      </c>
      <c r="DH971" t="s">
        <v>116</v>
      </c>
      <c r="DI971" t="s">
        <v>116</v>
      </c>
    </row>
    <row r="972" spans="1:113" x14ac:dyDescent="0.4">
      <c r="A972" t="str">
        <f>"002519"</f>
        <v>002519</v>
      </c>
      <c r="B972" t="s">
        <v>5734</v>
      </c>
      <c r="C972">
        <v>-1.02</v>
      </c>
      <c r="D972">
        <v>3.89</v>
      </c>
      <c r="E972">
        <v>-0.04</v>
      </c>
      <c r="F972">
        <v>3.89</v>
      </c>
      <c r="G972">
        <v>3.9</v>
      </c>
      <c r="H972">
        <v>91745</v>
      </c>
      <c r="I972">
        <v>767</v>
      </c>
      <c r="J972">
        <v>0</v>
      </c>
      <c r="K972">
        <v>0.92</v>
      </c>
      <c r="L972">
        <v>3.94</v>
      </c>
      <c r="M972">
        <v>4</v>
      </c>
      <c r="N972">
        <v>3.88</v>
      </c>
      <c r="O972">
        <v>3.93</v>
      </c>
      <c r="P972">
        <v>20.18</v>
      </c>
      <c r="Q972">
        <v>36203396</v>
      </c>
      <c r="R972">
        <v>0.8</v>
      </c>
      <c r="S972" t="s">
        <v>465</v>
      </c>
      <c r="T972" t="s">
        <v>323</v>
      </c>
      <c r="U972">
        <v>3.05</v>
      </c>
      <c r="V972">
        <v>3.95</v>
      </c>
      <c r="W972">
        <v>54778</v>
      </c>
      <c r="X972">
        <v>36967</v>
      </c>
      <c r="Y972">
        <v>1.48</v>
      </c>
      <c r="Z972">
        <v>362</v>
      </c>
      <c r="AA972">
        <v>1012</v>
      </c>
      <c r="AB972" t="s">
        <v>116</v>
      </c>
      <c r="AC972">
        <v>33500</v>
      </c>
      <c r="AD972">
        <v>0</v>
      </c>
      <c r="AE972" t="s">
        <v>116</v>
      </c>
      <c r="AF972" t="s">
        <v>116</v>
      </c>
      <c r="AG972">
        <v>9.94</v>
      </c>
      <c r="AH972" t="s">
        <v>5735</v>
      </c>
      <c r="AI972" t="s">
        <v>5736</v>
      </c>
      <c r="AJ972">
        <v>-0.34</v>
      </c>
      <c r="AK972">
        <v>1328</v>
      </c>
      <c r="AL972">
        <v>69</v>
      </c>
      <c r="AM972">
        <v>6.9999999999999999E-4</v>
      </c>
      <c r="AN972">
        <v>-2</v>
      </c>
      <c r="AO972">
        <v>1.3</v>
      </c>
      <c r="AP972">
        <v>8.06</v>
      </c>
      <c r="AQ972">
        <v>-0.77</v>
      </c>
      <c r="AR972">
        <v>11.46</v>
      </c>
      <c r="AS972">
        <v>1.25</v>
      </c>
      <c r="AT972" t="s">
        <v>5737</v>
      </c>
      <c r="AU972" t="s">
        <v>116</v>
      </c>
      <c r="AV972" t="s">
        <v>116</v>
      </c>
      <c r="AW972">
        <v>1.29</v>
      </c>
      <c r="BA972">
        <v>0.25</v>
      </c>
      <c r="BB972">
        <v>1.78</v>
      </c>
      <c r="BC972">
        <v>-1.27</v>
      </c>
      <c r="BD972">
        <v>0.41</v>
      </c>
      <c r="BE972">
        <v>-1.27</v>
      </c>
      <c r="BF972">
        <v>-2.75</v>
      </c>
      <c r="BG972">
        <v>0.26</v>
      </c>
      <c r="BH972">
        <v>-1.43</v>
      </c>
      <c r="BI972">
        <v>20191223</v>
      </c>
      <c r="BJ972">
        <v>20101207</v>
      </c>
      <c r="BK972">
        <v>11.26</v>
      </c>
      <c r="BL972" t="s">
        <v>116</v>
      </c>
      <c r="BM972" t="s">
        <v>116</v>
      </c>
      <c r="BN972">
        <v>34.35</v>
      </c>
      <c r="BO972">
        <v>25.42</v>
      </c>
      <c r="BP972">
        <v>7.0000000000000007E-2</v>
      </c>
      <c r="BQ972">
        <v>25.76</v>
      </c>
      <c r="BR972">
        <v>21.76</v>
      </c>
      <c r="BS972">
        <v>5.87</v>
      </c>
      <c r="BT972">
        <v>1.77</v>
      </c>
      <c r="BU972">
        <v>8.2799999999999994</v>
      </c>
      <c r="BV972">
        <v>4.8099999999999996</v>
      </c>
      <c r="BW972">
        <v>6.5</v>
      </c>
      <c r="BX972">
        <v>18.7</v>
      </c>
      <c r="BY972">
        <v>8.9700000000000006</v>
      </c>
      <c r="BZ972">
        <v>5.54</v>
      </c>
      <c r="CA972">
        <v>1.81</v>
      </c>
      <c r="CB972">
        <v>0.16</v>
      </c>
      <c r="CC972">
        <v>1.8</v>
      </c>
      <c r="CD972">
        <v>1.63</v>
      </c>
      <c r="CE972">
        <v>1.63</v>
      </c>
      <c r="CF972">
        <v>1.23</v>
      </c>
      <c r="CG972">
        <v>-3.28</v>
      </c>
      <c r="CH972">
        <v>2.75</v>
      </c>
      <c r="CI972">
        <v>-0.99</v>
      </c>
      <c r="CJ972">
        <v>40090</v>
      </c>
      <c r="CK972">
        <v>18319</v>
      </c>
      <c r="CL972" t="s">
        <v>5738</v>
      </c>
      <c r="CM972">
        <v>23.46</v>
      </c>
      <c r="CN972">
        <v>-19.25</v>
      </c>
      <c r="CO972">
        <v>1.72</v>
      </c>
      <c r="CP972">
        <v>15.92</v>
      </c>
      <c r="CQ972">
        <v>4.88</v>
      </c>
      <c r="CR972">
        <v>0</v>
      </c>
      <c r="CS972" t="s">
        <v>4857</v>
      </c>
      <c r="CT972">
        <v>2.2599999999999998</v>
      </c>
      <c r="CU972">
        <v>0</v>
      </c>
      <c r="CV972">
        <v>1.66</v>
      </c>
      <c r="CW972">
        <v>-0.28999999999999998</v>
      </c>
      <c r="CX972">
        <v>0.24</v>
      </c>
      <c r="CY972">
        <v>74.02</v>
      </c>
      <c r="CZ972" t="s">
        <v>5739</v>
      </c>
      <c r="DA972">
        <v>38.29</v>
      </c>
      <c r="DB972">
        <v>20.170000000000002</v>
      </c>
      <c r="DC972">
        <v>18.149999999999999</v>
      </c>
      <c r="DD972">
        <v>1.01</v>
      </c>
      <c r="DE972">
        <v>2277</v>
      </c>
      <c r="DF972">
        <v>2519</v>
      </c>
      <c r="DG972" t="s">
        <v>116</v>
      </c>
      <c r="DH972" t="s">
        <v>116</v>
      </c>
      <c r="DI972" t="s">
        <v>116</v>
      </c>
    </row>
    <row r="973" spans="1:113" x14ac:dyDescent="0.4">
      <c r="A973" t="str">
        <f>"002520"</f>
        <v>002520</v>
      </c>
      <c r="B973" t="s">
        <v>5740</v>
      </c>
      <c r="C973">
        <v>-2.65</v>
      </c>
      <c r="D973">
        <v>6.62</v>
      </c>
      <c r="E973">
        <v>-0.18</v>
      </c>
      <c r="F973">
        <v>6.61</v>
      </c>
      <c r="G973">
        <v>6.62</v>
      </c>
      <c r="H973">
        <v>37319</v>
      </c>
      <c r="I973">
        <v>726</v>
      </c>
      <c r="J973">
        <v>-0.28999999999999998</v>
      </c>
      <c r="K973">
        <v>0.74</v>
      </c>
      <c r="L973">
        <v>6.8</v>
      </c>
      <c r="M973">
        <v>6.84</v>
      </c>
      <c r="N973">
        <v>6.62</v>
      </c>
      <c r="O973">
        <v>6.8</v>
      </c>
      <c r="P973">
        <v>32.67</v>
      </c>
      <c r="Q973">
        <v>25091902</v>
      </c>
      <c r="R973">
        <v>0.56999999999999995</v>
      </c>
      <c r="S973" t="s">
        <v>712</v>
      </c>
      <c r="T973" t="s">
        <v>590</v>
      </c>
      <c r="U973">
        <v>3.24</v>
      </c>
      <c r="V973">
        <v>6.72</v>
      </c>
      <c r="W973">
        <v>26992</v>
      </c>
      <c r="X973">
        <v>10327</v>
      </c>
      <c r="Y973">
        <v>2.61</v>
      </c>
      <c r="Z973">
        <v>242</v>
      </c>
      <c r="AA973">
        <v>891</v>
      </c>
      <c r="AB973" t="s">
        <v>116</v>
      </c>
      <c r="AC973">
        <v>95200</v>
      </c>
      <c r="AD973">
        <v>0.01</v>
      </c>
      <c r="AE973" t="s">
        <v>116</v>
      </c>
      <c r="AF973" t="s">
        <v>116</v>
      </c>
      <c r="AG973">
        <v>5.04</v>
      </c>
      <c r="AH973" t="s">
        <v>5741</v>
      </c>
      <c r="AI973" t="s">
        <v>5742</v>
      </c>
      <c r="AJ973">
        <v>-1.97</v>
      </c>
      <c r="AK973">
        <v>776</v>
      </c>
      <c r="AL973">
        <v>48</v>
      </c>
      <c r="AM973">
        <v>1E-3</v>
      </c>
      <c r="AN973">
        <v>-1</v>
      </c>
      <c r="AO973">
        <v>-4.2</v>
      </c>
      <c r="AP973">
        <v>5.58</v>
      </c>
      <c r="AQ973">
        <v>-3.78</v>
      </c>
      <c r="AR973">
        <v>-7.15</v>
      </c>
      <c r="AS973">
        <v>1.63</v>
      </c>
      <c r="AT973" t="s">
        <v>5743</v>
      </c>
      <c r="AU973">
        <v>31.06</v>
      </c>
      <c r="AV973">
        <v>33.159999999999997</v>
      </c>
      <c r="AW973">
        <v>0.33</v>
      </c>
      <c r="BA973">
        <v>0</v>
      </c>
      <c r="BB973">
        <v>0.59</v>
      </c>
      <c r="BC973">
        <v>-2.65</v>
      </c>
      <c r="BD973">
        <v>-1.1200000000000001</v>
      </c>
      <c r="BE973">
        <v>-2.65</v>
      </c>
      <c r="BF973">
        <v>-3.22</v>
      </c>
      <c r="BG973">
        <v>0</v>
      </c>
      <c r="BH973">
        <v>-1.52</v>
      </c>
      <c r="BI973">
        <v>20191217</v>
      </c>
      <c r="BJ973">
        <v>20101210</v>
      </c>
      <c r="BK973">
        <v>7.56</v>
      </c>
      <c r="BL973" t="s">
        <v>116</v>
      </c>
      <c r="BM973" t="s">
        <v>116</v>
      </c>
      <c r="BN973">
        <v>57.16</v>
      </c>
      <c r="BO973">
        <v>27.68</v>
      </c>
      <c r="BP973">
        <v>0.05</v>
      </c>
      <c r="BQ973">
        <v>51.49</v>
      </c>
      <c r="BR973">
        <v>19.010000000000002</v>
      </c>
      <c r="BS973">
        <v>28.15</v>
      </c>
      <c r="BT973">
        <v>1.2</v>
      </c>
      <c r="BU973">
        <v>14.3</v>
      </c>
      <c r="BV973">
        <v>9.42</v>
      </c>
      <c r="BW973">
        <v>5.25</v>
      </c>
      <c r="BX973">
        <v>18.16</v>
      </c>
      <c r="BY973">
        <v>16.03</v>
      </c>
      <c r="BZ973">
        <v>10.5</v>
      </c>
      <c r="CA973">
        <v>1.73</v>
      </c>
      <c r="CB973">
        <v>0.11</v>
      </c>
      <c r="CC973">
        <v>1.66</v>
      </c>
      <c r="CD973">
        <v>1.1599999999999999</v>
      </c>
      <c r="CE973">
        <v>1.1499999999999999</v>
      </c>
      <c r="CF973">
        <v>1.1399999999999999</v>
      </c>
      <c r="CG973">
        <v>2.85</v>
      </c>
      <c r="CH973">
        <v>2.1800000000000002</v>
      </c>
      <c r="CI973">
        <v>-1.24</v>
      </c>
      <c r="CJ973">
        <v>25868</v>
      </c>
      <c r="CK973">
        <v>8866</v>
      </c>
      <c r="CL973" t="s">
        <v>1011</v>
      </c>
      <c r="CM973">
        <v>9.74</v>
      </c>
      <c r="CN973">
        <v>11.83</v>
      </c>
      <c r="CO973">
        <v>1.81</v>
      </c>
      <c r="CP973">
        <v>22.98</v>
      </c>
      <c r="CQ973">
        <v>3.12</v>
      </c>
      <c r="CR973">
        <v>1.48</v>
      </c>
      <c r="CS973" t="s">
        <v>771</v>
      </c>
      <c r="CT973">
        <v>3.66</v>
      </c>
      <c r="CU973">
        <v>0</v>
      </c>
      <c r="CV973">
        <v>2.4</v>
      </c>
      <c r="CW973">
        <v>0.38</v>
      </c>
      <c r="CX973">
        <v>0.28999999999999998</v>
      </c>
      <c r="CY973">
        <v>48.42</v>
      </c>
      <c r="CZ973" t="s">
        <v>4326</v>
      </c>
      <c r="DA973">
        <v>34.51</v>
      </c>
      <c r="DB973">
        <v>10.78</v>
      </c>
      <c r="DC973">
        <v>7.16</v>
      </c>
      <c r="DD973">
        <v>0.45</v>
      </c>
      <c r="DE973">
        <v>1127</v>
      </c>
      <c r="DF973">
        <v>2520</v>
      </c>
      <c r="DG973" t="s">
        <v>116</v>
      </c>
      <c r="DH973" t="s">
        <v>116</v>
      </c>
      <c r="DI973" t="s">
        <v>116</v>
      </c>
    </row>
    <row r="974" spans="1:113" x14ac:dyDescent="0.4">
      <c r="A974" t="str">
        <f>"002521"</f>
        <v>002521</v>
      </c>
      <c r="B974" t="s">
        <v>5744</v>
      </c>
      <c r="C974">
        <v>-1.69</v>
      </c>
      <c r="D974">
        <v>5.8</v>
      </c>
      <c r="E974">
        <v>-0.1</v>
      </c>
      <c r="F974">
        <v>5.8</v>
      </c>
      <c r="G974">
        <v>5.81</v>
      </c>
      <c r="H974">
        <v>52549</v>
      </c>
      <c r="I974">
        <v>875</v>
      </c>
      <c r="J974">
        <v>-0.16</v>
      </c>
      <c r="K974">
        <v>1.24</v>
      </c>
      <c r="L974">
        <v>5.9</v>
      </c>
      <c r="M974">
        <v>5.92</v>
      </c>
      <c r="N974">
        <v>5.8</v>
      </c>
      <c r="O974">
        <v>5.9</v>
      </c>
      <c r="P974">
        <v>23.25</v>
      </c>
      <c r="Q974">
        <v>30814650</v>
      </c>
      <c r="R974">
        <v>1.42</v>
      </c>
      <c r="S974" t="s">
        <v>824</v>
      </c>
      <c r="T974" t="s">
        <v>645</v>
      </c>
      <c r="U974">
        <v>2.0299999999999998</v>
      </c>
      <c r="V974">
        <v>5.86</v>
      </c>
      <c r="W974">
        <v>37534</v>
      </c>
      <c r="X974">
        <v>15015</v>
      </c>
      <c r="Y974">
        <v>2.5</v>
      </c>
      <c r="Z974">
        <v>982</v>
      </c>
      <c r="AA974">
        <v>319</v>
      </c>
      <c r="AB974" t="s">
        <v>116</v>
      </c>
      <c r="AC974">
        <v>118600</v>
      </c>
      <c r="AD974">
        <v>0.01</v>
      </c>
      <c r="AE974" t="s">
        <v>116</v>
      </c>
      <c r="AF974" t="s">
        <v>116</v>
      </c>
      <c r="AG974">
        <v>4.25</v>
      </c>
      <c r="AH974" t="s">
        <v>5745</v>
      </c>
      <c r="AI974" t="s">
        <v>5746</v>
      </c>
      <c r="AJ974">
        <v>-1.02</v>
      </c>
      <c r="AK974">
        <v>1791</v>
      </c>
      <c r="AL974">
        <v>29</v>
      </c>
      <c r="AM974">
        <v>6.9999999999999999E-4</v>
      </c>
      <c r="AN974">
        <v>-1</v>
      </c>
      <c r="AO974">
        <v>-0.34</v>
      </c>
      <c r="AP974">
        <v>3.57</v>
      </c>
      <c r="AQ974">
        <v>5.07</v>
      </c>
      <c r="AR974">
        <v>5.07</v>
      </c>
      <c r="AS974">
        <v>1.41</v>
      </c>
      <c r="AT974" t="s">
        <v>488</v>
      </c>
      <c r="AU974">
        <v>29.28</v>
      </c>
      <c r="AV974">
        <v>49.17</v>
      </c>
      <c r="AW974">
        <v>0.91</v>
      </c>
      <c r="BA974">
        <v>0</v>
      </c>
      <c r="BB974">
        <v>0.34</v>
      </c>
      <c r="BC974">
        <v>-1.69</v>
      </c>
      <c r="BD974">
        <v>-0.61</v>
      </c>
      <c r="BE974">
        <v>-1.69</v>
      </c>
      <c r="BF974">
        <v>-2.0299999999999998</v>
      </c>
      <c r="BG974">
        <v>0</v>
      </c>
      <c r="BH974">
        <v>-1.0900000000000001</v>
      </c>
      <c r="BI974">
        <v>20191018</v>
      </c>
      <c r="BJ974">
        <v>20101210</v>
      </c>
      <c r="BK974">
        <v>4.95</v>
      </c>
      <c r="BL974" t="s">
        <v>116</v>
      </c>
      <c r="BM974" t="s">
        <v>116</v>
      </c>
      <c r="BN974">
        <v>42.77</v>
      </c>
      <c r="BO974">
        <v>34.43</v>
      </c>
      <c r="BP974">
        <v>0</v>
      </c>
      <c r="BQ974">
        <v>19.510000000000002</v>
      </c>
      <c r="BR974">
        <v>28.25</v>
      </c>
      <c r="BS974">
        <v>12.89</v>
      </c>
      <c r="BT974">
        <v>1.1299999999999999</v>
      </c>
      <c r="BU974">
        <v>8.18</v>
      </c>
      <c r="BV974">
        <v>4.7</v>
      </c>
      <c r="BW974">
        <v>8.76</v>
      </c>
      <c r="BX974">
        <v>19.899999999999999</v>
      </c>
      <c r="BY974">
        <v>24.99</v>
      </c>
      <c r="BZ974">
        <v>21.66</v>
      </c>
      <c r="CA974">
        <v>1.06</v>
      </c>
      <c r="CB974">
        <v>0.18</v>
      </c>
      <c r="CC974">
        <v>1.1100000000000001</v>
      </c>
      <c r="CD974">
        <v>0.93</v>
      </c>
      <c r="CE974">
        <v>0.93</v>
      </c>
      <c r="CF974">
        <v>0.72</v>
      </c>
      <c r="CG974">
        <v>8.25</v>
      </c>
      <c r="CH974">
        <v>3.31</v>
      </c>
      <c r="CI974">
        <v>0.52</v>
      </c>
      <c r="CJ974">
        <v>30016</v>
      </c>
      <c r="CK974">
        <v>12392</v>
      </c>
      <c r="CL974" t="s">
        <v>5747</v>
      </c>
      <c r="CM974">
        <v>74.900000000000006</v>
      </c>
      <c r="CN974">
        <v>-12.19</v>
      </c>
      <c r="CO974">
        <v>0.83</v>
      </c>
      <c r="CP974">
        <v>8.66</v>
      </c>
      <c r="CQ974">
        <v>1.1499999999999999</v>
      </c>
      <c r="CR974">
        <v>0.86</v>
      </c>
      <c r="CS974" t="s">
        <v>214</v>
      </c>
      <c r="CT974">
        <v>6.96</v>
      </c>
      <c r="CU974">
        <v>0</v>
      </c>
      <c r="CV974">
        <v>4.0199999999999996</v>
      </c>
      <c r="CW974">
        <v>1.67</v>
      </c>
      <c r="CX974">
        <v>0.67</v>
      </c>
      <c r="CY974">
        <v>80.489999999999995</v>
      </c>
      <c r="CZ974" t="s">
        <v>2522</v>
      </c>
      <c r="DA974">
        <v>13.31</v>
      </c>
      <c r="DB974">
        <v>4.26</v>
      </c>
      <c r="DC974">
        <v>3.7</v>
      </c>
      <c r="DD974">
        <v>0.83</v>
      </c>
      <c r="DE974">
        <v>1830</v>
      </c>
      <c r="DF974">
        <v>2521</v>
      </c>
      <c r="DG974" t="s">
        <v>116</v>
      </c>
      <c r="DH974" t="s">
        <v>116</v>
      </c>
      <c r="DI974" t="s">
        <v>116</v>
      </c>
    </row>
    <row r="975" spans="1:113" x14ac:dyDescent="0.4">
      <c r="A975" t="str">
        <f>"002522"</f>
        <v>002522</v>
      </c>
      <c r="B975" t="s">
        <v>5748</v>
      </c>
      <c r="C975">
        <v>-1.1100000000000001</v>
      </c>
      <c r="D975">
        <v>6.23</v>
      </c>
      <c r="E975">
        <v>-7.0000000000000007E-2</v>
      </c>
      <c r="F975">
        <v>6.23</v>
      </c>
      <c r="G975">
        <v>6.24</v>
      </c>
      <c r="H975">
        <v>105883</v>
      </c>
      <c r="I975">
        <v>1977</v>
      </c>
      <c r="J975">
        <v>0.65</v>
      </c>
      <c r="K975">
        <v>1.24</v>
      </c>
      <c r="L975">
        <v>6.3</v>
      </c>
      <c r="M975">
        <v>6.36</v>
      </c>
      <c r="N975">
        <v>6.15</v>
      </c>
      <c r="O975">
        <v>6.3</v>
      </c>
      <c r="P975">
        <v>63.47</v>
      </c>
      <c r="Q975">
        <v>65921696</v>
      </c>
      <c r="R975">
        <v>0.91</v>
      </c>
      <c r="S975" t="s">
        <v>2444</v>
      </c>
      <c r="T975" t="s">
        <v>590</v>
      </c>
      <c r="U975">
        <v>3.33</v>
      </c>
      <c r="V975">
        <v>6.23</v>
      </c>
      <c r="W975">
        <v>64371</v>
      </c>
      <c r="X975">
        <v>41512</v>
      </c>
      <c r="Y975">
        <v>1.55</v>
      </c>
      <c r="Z975">
        <v>110</v>
      </c>
      <c r="AA975">
        <v>222</v>
      </c>
      <c r="AB975" t="s">
        <v>116</v>
      </c>
      <c r="AC975">
        <v>69300</v>
      </c>
      <c r="AD975">
        <v>0</v>
      </c>
      <c r="AE975" t="s">
        <v>116</v>
      </c>
      <c r="AF975" t="s">
        <v>116</v>
      </c>
      <c r="AG975">
        <v>8.5500000000000007</v>
      </c>
      <c r="AH975" t="s">
        <v>5749</v>
      </c>
      <c r="AI975" t="s">
        <v>3180</v>
      </c>
      <c r="AJ975">
        <v>-0.43</v>
      </c>
      <c r="AK975">
        <v>2117</v>
      </c>
      <c r="AL975">
        <v>50</v>
      </c>
      <c r="AM975">
        <v>5.9999999999999995E-4</v>
      </c>
      <c r="AN975">
        <v>-3</v>
      </c>
      <c r="AO975">
        <v>-2.5</v>
      </c>
      <c r="AP975">
        <v>11.25</v>
      </c>
      <c r="AQ975">
        <v>14.31</v>
      </c>
      <c r="AR975">
        <v>28.19</v>
      </c>
      <c r="AS975">
        <v>2.2599999999999998</v>
      </c>
      <c r="AT975" t="s">
        <v>5750</v>
      </c>
      <c r="AU975">
        <v>86.5</v>
      </c>
      <c r="AV975">
        <v>157.12</v>
      </c>
      <c r="AW975">
        <v>0.99</v>
      </c>
      <c r="BA975">
        <v>0</v>
      </c>
      <c r="BB975">
        <v>0.95</v>
      </c>
      <c r="BC975">
        <v>-2.38</v>
      </c>
      <c r="BD975">
        <v>-1.18</v>
      </c>
      <c r="BE975">
        <v>-1.1100000000000001</v>
      </c>
      <c r="BF975">
        <v>-2.04</v>
      </c>
      <c r="BG975">
        <v>1.3</v>
      </c>
      <c r="BH975">
        <v>0.06</v>
      </c>
      <c r="BI975">
        <v>20191028</v>
      </c>
      <c r="BJ975">
        <v>20101210</v>
      </c>
      <c r="BK975">
        <v>9.06</v>
      </c>
      <c r="BL975" t="s">
        <v>116</v>
      </c>
      <c r="BM975" t="s">
        <v>116</v>
      </c>
      <c r="BN975">
        <v>32.35</v>
      </c>
      <c r="BO975">
        <v>18.28</v>
      </c>
      <c r="BP975">
        <v>1.51</v>
      </c>
      <c r="BQ975">
        <v>38.82</v>
      </c>
      <c r="BR975">
        <v>14.76</v>
      </c>
      <c r="BS975">
        <v>14.42</v>
      </c>
      <c r="BT975">
        <v>1.06</v>
      </c>
      <c r="BU975">
        <v>8.69</v>
      </c>
      <c r="BV975">
        <v>5.0599999999999996</v>
      </c>
      <c r="BW975">
        <v>1.1100000000000001</v>
      </c>
      <c r="BX975">
        <v>6.3</v>
      </c>
      <c r="BY975">
        <v>9.02</v>
      </c>
      <c r="BZ975">
        <v>6.76</v>
      </c>
      <c r="CA975">
        <v>0.4</v>
      </c>
      <c r="CB975">
        <v>0.09</v>
      </c>
      <c r="CC975">
        <v>0.42</v>
      </c>
      <c r="CD975">
        <v>0.22</v>
      </c>
      <c r="CE975">
        <v>0.67</v>
      </c>
      <c r="CF975">
        <v>0.53</v>
      </c>
      <c r="CG975">
        <v>1.99</v>
      </c>
      <c r="CH975">
        <v>1.35</v>
      </c>
      <c r="CI975">
        <v>-1.26</v>
      </c>
      <c r="CJ975">
        <v>36298</v>
      </c>
      <c r="CK975">
        <v>12932</v>
      </c>
      <c r="CL975" t="s">
        <v>5751</v>
      </c>
      <c r="CM975">
        <v>78.459999999999994</v>
      </c>
      <c r="CN975">
        <v>16</v>
      </c>
      <c r="CO975">
        <v>3.09</v>
      </c>
      <c r="CP975">
        <v>41.84</v>
      </c>
      <c r="CQ975">
        <v>6.26</v>
      </c>
      <c r="CR975">
        <v>0.48</v>
      </c>
      <c r="CS975" t="s">
        <v>5752</v>
      </c>
      <c r="CT975">
        <v>2.02</v>
      </c>
      <c r="CU975">
        <v>0</v>
      </c>
      <c r="CV975">
        <v>0.7</v>
      </c>
      <c r="CW975">
        <v>0.22</v>
      </c>
      <c r="CX975">
        <v>0.15</v>
      </c>
      <c r="CY975">
        <v>56.52</v>
      </c>
      <c r="CZ975" t="s">
        <v>5753</v>
      </c>
      <c r="DA975">
        <v>25.11</v>
      </c>
      <c r="DB975">
        <v>4.41</v>
      </c>
      <c r="DC975">
        <v>7.39</v>
      </c>
      <c r="DD975">
        <v>0.34</v>
      </c>
      <c r="DE975">
        <v>852</v>
      </c>
      <c r="DF975">
        <v>2522</v>
      </c>
      <c r="DG975" t="s">
        <v>116</v>
      </c>
      <c r="DH975" t="s">
        <v>116</v>
      </c>
      <c r="DI975" t="s">
        <v>116</v>
      </c>
    </row>
    <row r="976" spans="1:113" x14ac:dyDescent="0.4">
      <c r="A976" t="str">
        <f>"002523"</f>
        <v>002523</v>
      </c>
      <c r="B976" t="s">
        <v>5754</v>
      </c>
      <c r="C976">
        <v>-0.33</v>
      </c>
      <c r="D976">
        <v>3.05</v>
      </c>
      <c r="E976">
        <v>-0.01</v>
      </c>
      <c r="F976">
        <v>3.05</v>
      </c>
      <c r="G976">
        <v>3.06</v>
      </c>
      <c r="H976">
        <v>72908</v>
      </c>
      <c r="I976">
        <v>313</v>
      </c>
      <c r="J976">
        <v>-0.32</v>
      </c>
      <c r="K976">
        <v>0.54</v>
      </c>
      <c r="L976">
        <v>3.05</v>
      </c>
      <c r="M976">
        <v>3.08</v>
      </c>
      <c r="N976">
        <v>3.04</v>
      </c>
      <c r="O976">
        <v>3.06</v>
      </c>
      <c r="P976">
        <v>58.34</v>
      </c>
      <c r="Q976">
        <v>22332968</v>
      </c>
      <c r="R976">
        <v>1.39</v>
      </c>
      <c r="S976" t="s">
        <v>598</v>
      </c>
      <c r="T976" t="s">
        <v>599</v>
      </c>
      <c r="U976">
        <v>1.31</v>
      </c>
      <c r="V976">
        <v>3.06</v>
      </c>
      <c r="W976">
        <v>48229</v>
      </c>
      <c r="X976">
        <v>24679</v>
      </c>
      <c r="Y976">
        <v>1.95</v>
      </c>
      <c r="Z976">
        <v>5314</v>
      </c>
      <c r="AA976">
        <v>1889</v>
      </c>
      <c r="AB976" t="s">
        <v>116</v>
      </c>
      <c r="AC976">
        <v>12200</v>
      </c>
      <c r="AD976">
        <v>0</v>
      </c>
      <c r="AE976" t="s">
        <v>116</v>
      </c>
      <c r="AF976" t="s">
        <v>116</v>
      </c>
      <c r="AG976">
        <v>13.49</v>
      </c>
      <c r="AH976" t="s">
        <v>3334</v>
      </c>
      <c r="AI976" t="s">
        <v>5755</v>
      </c>
      <c r="AJ976">
        <v>0.35</v>
      </c>
      <c r="AK976">
        <v>569</v>
      </c>
      <c r="AL976">
        <v>128</v>
      </c>
      <c r="AM976">
        <v>1E-3</v>
      </c>
      <c r="AN976">
        <v>-1</v>
      </c>
      <c r="AO976">
        <v>-0.65</v>
      </c>
      <c r="AP976">
        <v>-4.09</v>
      </c>
      <c r="AQ976">
        <v>-4.3899999999999997</v>
      </c>
      <c r="AR976">
        <v>4.45</v>
      </c>
      <c r="AS976">
        <v>0.78</v>
      </c>
      <c r="AT976" t="s">
        <v>5756</v>
      </c>
      <c r="AU976">
        <v>51.63</v>
      </c>
      <c r="AV976">
        <v>40.42</v>
      </c>
      <c r="AW976">
        <v>0.88</v>
      </c>
      <c r="BA976">
        <v>-0.33</v>
      </c>
      <c r="BB976">
        <v>0.65</v>
      </c>
      <c r="BC976">
        <v>-0.65</v>
      </c>
      <c r="BD976">
        <v>0.1</v>
      </c>
      <c r="BE976">
        <v>0</v>
      </c>
      <c r="BF976">
        <v>-0.97</v>
      </c>
      <c r="BG976">
        <v>0.33</v>
      </c>
      <c r="BH976">
        <v>-0.43</v>
      </c>
      <c r="BI976">
        <v>20191227</v>
      </c>
      <c r="BJ976">
        <v>20101210</v>
      </c>
      <c r="BK976">
        <v>14.17</v>
      </c>
      <c r="BL976" t="s">
        <v>116</v>
      </c>
      <c r="BM976" t="s">
        <v>116</v>
      </c>
      <c r="BN976">
        <v>35.020000000000003</v>
      </c>
      <c r="BO976">
        <v>20.79</v>
      </c>
      <c r="BP976">
        <v>1.06</v>
      </c>
      <c r="BQ976">
        <v>37.590000000000003</v>
      </c>
      <c r="BR976">
        <v>25.55</v>
      </c>
      <c r="BS976">
        <v>4.07</v>
      </c>
      <c r="BT976">
        <v>1.1299999999999999</v>
      </c>
      <c r="BU976">
        <v>12.83</v>
      </c>
      <c r="BV976">
        <v>5.47</v>
      </c>
      <c r="BW976">
        <v>12.23</v>
      </c>
      <c r="BX976">
        <v>0.62</v>
      </c>
      <c r="BY976">
        <v>8.27</v>
      </c>
      <c r="BZ976">
        <v>6.37</v>
      </c>
      <c r="CA976">
        <v>0.46</v>
      </c>
      <c r="CB976">
        <v>0.09</v>
      </c>
      <c r="CC976">
        <v>0.6</v>
      </c>
      <c r="CD976">
        <v>0.55000000000000004</v>
      </c>
      <c r="CE976">
        <v>0.56000000000000005</v>
      </c>
      <c r="CF976">
        <v>0.32</v>
      </c>
      <c r="CG976">
        <v>4.75</v>
      </c>
      <c r="CH976">
        <v>0.88</v>
      </c>
      <c r="CI976">
        <v>-7.0000000000000007E-2</v>
      </c>
      <c r="CJ976">
        <v>34133</v>
      </c>
      <c r="CK976">
        <v>27452</v>
      </c>
      <c r="CL976" t="s">
        <v>5757</v>
      </c>
      <c r="CM976">
        <v>-29.47</v>
      </c>
      <c r="CN976">
        <v>-5.94</v>
      </c>
      <c r="CO976">
        <v>2.08</v>
      </c>
      <c r="CP976">
        <v>49.25</v>
      </c>
      <c r="CQ976">
        <v>5.22</v>
      </c>
      <c r="CR976">
        <v>0.98</v>
      </c>
      <c r="CS976" t="s">
        <v>1887</v>
      </c>
      <c r="CT976">
        <v>1.47</v>
      </c>
      <c r="CU976">
        <v>0</v>
      </c>
      <c r="CV976">
        <v>0.04</v>
      </c>
      <c r="CW976">
        <v>0.33</v>
      </c>
      <c r="CX976">
        <v>0.06</v>
      </c>
      <c r="CY976">
        <v>59.37</v>
      </c>
      <c r="CZ976" t="s">
        <v>5758</v>
      </c>
      <c r="DA976">
        <v>22.99</v>
      </c>
      <c r="DB976">
        <v>5.61</v>
      </c>
      <c r="DC976">
        <v>6.72</v>
      </c>
      <c r="DD976">
        <v>0.37</v>
      </c>
      <c r="DE976">
        <v>1411</v>
      </c>
      <c r="DF976">
        <v>2523</v>
      </c>
      <c r="DG976" t="s">
        <v>116</v>
      </c>
      <c r="DH976" t="s">
        <v>116</v>
      </c>
      <c r="DI976" t="s">
        <v>116</v>
      </c>
    </row>
    <row r="977" spans="1:113" x14ac:dyDescent="0.4">
      <c r="A977" t="str">
        <f>"002524"</f>
        <v>002524</v>
      </c>
      <c r="B977" t="s">
        <v>5759</v>
      </c>
      <c r="C977">
        <v>-2.2200000000000002</v>
      </c>
      <c r="D977">
        <v>10.130000000000001</v>
      </c>
      <c r="E977">
        <v>-0.23</v>
      </c>
      <c r="F977">
        <v>10.130000000000001</v>
      </c>
      <c r="G977">
        <v>10.14</v>
      </c>
      <c r="H977">
        <v>175588</v>
      </c>
      <c r="I977">
        <v>3467</v>
      </c>
      <c r="J977">
        <v>0</v>
      </c>
      <c r="K977">
        <v>3.63</v>
      </c>
      <c r="L977">
        <v>10.35</v>
      </c>
      <c r="M977">
        <v>10.45</v>
      </c>
      <c r="N977">
        <v>10.07</v>
      </c>
      <c r="O977">
        <v>10.36</v>
      </c>
      <c r="P977">
        <v>32.51</v>
      </c>
      <c r="Q977">
        <v>180231872</v>
      </c>
      <c r="R977">
        <v>0.56000000000000005</v>
      </c>
      <c r="S977" t="s">
        <v>559</v>
      </c>
      <c r="T977" t="s">
        <v>616</v>
      </c>
      <c r="U977">
        <v>3.67</v>
      </c>
      <c r="V977">
        <v>10.26</v>
      </c>
      <c r="W977">
        <v>104566</v>
      </c>
      <c r="X977">
        <v>71022</v>
      </c>
      <c r="Y977">
        <v>1.47</v>
      </c>
      <c r="Z977">
        <v>683</v>
      </c>
      <c r="AA977">
        <v>451</v>
      </c>
      <c r="AB977" t="s">
        <v>116</v>
      </c>
      <c r="AC977">
        <v>441900</v>
      </c>
      <c r="AD977">
        <v>0.01</v>
      </c>
      <c r="AE977" t="s">
        <v>116</v>
      </c>
      <c r="AF977" t="s">
        <v>116</v>
      </c>
      <c r="AG977">
        <v>4.84</v>
      </c>
      <c r="AH977" t="s">
        <v>5760</v>
      </c>
      <c r="AI977" t="s">
        <v>5761</v>
      </c>
      <c r="AJ977">
        <v>-1.54</v>
      </c>
      <c r="AK977">
        <v>3425</v>
      </c>
      <c r="AL977">
        <v>51</v>
      </c>
      <c r="AM977">
        <v>1.1000000000000001E-3</v>
      </c>
      <c r="AN977">
        <v>-2</v>
      </c>
      <c r="AO977">
        <v>-3.25</v>
      </c>
      <c r="AP977">
        <v>-8.49</v>
      </c>
      <c r="AQ977">
        <v>23.54</v>
      </c>
      <c r="AR977">
        <v>120.7</v>
      </c>
      <c r="AS977">
        <v>4.95</v>
      </c>
      <c r="AT977" t="s">
        <v>5762</v>
      </c>
      <c r="AU977">
        <v>92.53</v>
      </c>
      <c r="AV977" t="s">
        <v>116</v>
      </c>
      <c r="AW977">
        <v>1.48</v>
      </c>
      <c r="BA977">
        <v>-0.1</v>
      </c>
      <c r="BB977">
        <v>0.87</v>
      </c>
      <c r="BC977">
        <v>-2.8</v>
      </c>
      <c r="BD977">
        <v>-0.92</v>
      </c>
      <c r="BE977">
        <v>-2.13</v>
      </c>
      <c r="BF977">
        <v>-3.06</v>
      </c>
      <c r="BG977">
        <v>0.6</v>
      </c>
      <c r="BH977">
        <v>-1.3</v>
      </c>
      <c r="BI977">
        <v>20191023</v>
      </c>
      <c r="BJ977">
        <v>20101217</v>
      </c>
      <c r="BK977">
        <v>5.16</v>
      </c>
      <c r="BL977" t="s">
        <v>116</v>
      </c>
      <c r="BM977" t="s">
        <v>116</v>
      </c>
      <c r="BN977">
        <v>18.84</v>
      </c>
      <c r="BO977">
        <v>9.35</v>
      </c>
      <c r="BP977">
        <v>1.54</v>
      </c>
      <c r="BQ977">
        <v>42.16</v>
      </c>
      <c r="BR977">
        <v>5.75</v>
      </c>
      <c r="BS977">
        <v>3.19</v>
      </c>
      <c r="BT977">
        <v>1.5</v>
      </c>
      <c r="BU977">
        <v>6.02</v>
      </c>
      <c r="BV977">
        <v>0.7</v>
      </c>
      <c r="BW977">
        <v>1.56</v>
      </c>
      <c r="BX977">
        <v>4.29</v>
      </c>
      <c r="BY977">
        <v>9.9</v>
      </c>
      <c r="BZ977">
        <v>6.07</v>
      </c>
      <c r="CA977">
        <v>2.38</v>
      </c>
      <c r="CB977">
        <v>1.19</v>
      </c>
      <c r="CC977">
        <v>2.39</v>
      </c>
      <c r="CD977">
        <v>1.87</v>
      </c>
      <c r="CE977">
        <v>1.21</v>
      </c>
      <c r="CF977">
        <v>-0.03</v>
      </c>
      <c r="CG977">
        <v>0.01</v>
      </c>
      <c r="CH977">
        <v>0.37</v>
      </c>
      <c r="CI977">
        <v>-1.58</v>
      </c>
      <c r="CJ977">
        <v>32879</v>
      </c>
      <c r="CK977">
        <v>10799</v>
      </c>
      <c r="CL977" t="s">
        <v>5763</v>
      </c>
      <c r="CM977">
        <v>1218.71</v>
      </c>
      <c r="CN977">
        <v>38.83</v>
      </c>
      <c r="CO977">
        <v>5.59</v>
      </c>
      <c r="CP977">
        <v>140.63999999999999</v>
      </c>
      <c r="CQ977">
        <v>5.28</v>
      </c>
      <c r="CR977">
        <v>0</v>
      </c>
      <c r="CS977" t="s">
        <v>5764</v>
      </c>
      <c r="CT977">
        <v>1.81</v>
      </c>
      <c r="CU977">
        <v>0</v>
      </c>
      <c r="CV977">
        <v>0.83</v>
      </c>
      <c r="CW977">
        <v>0</v>
      </c>
      <c r="CX977">
        <v>7.0000000000000007E-2</v>
      </c>
      <c r="CY977">
        <v>49.64</v>
      </c>
      <c r="CZ977" t="s">
        <v>5765</v>
      </c>
      <c r="DA977">
        <v>38.71</v>
      </c>
      <c r="DB977">
        <v>24.07</v>
      </c>
      <c r="DC977">
        <v>12.17</v>
      </c>
      <c r="DD977">
        <v>0</v>
      </c>
      <c r="DE977">
        <v>2620</v>
      </c>
      <c r="DF977">
        <v>2524</v>
      </c>
      <c r="DG977" t="s">
        <v>116</v>
      </c>
      <c r="DH977" t="s">
        <v>116</v>
      </c>
      <c r="DI977" t="s">
        <v>116</v>
      </c>
    </row>
    <row r="978" spans="1:113" x14ac:dyDescent="0.4">
      <c r="A978" t="str">
        <f>"002526"</f>
        <v>002526</v>
      </c>
      <c r="B978" t="s">
        <v>5766</v>
      </c>
      <c r="C978">
        <v>-0.44</v>
      </c>
      <c r="D978">
        <v>2.25</v>
      </c>
      <c r="E978">
        <v>-0.01</v>
      </c>
      <c r="F978">
        <v>2.25</v>
      </c>
      <c r="G978">
        <v>2.2599999999999998</v>
      </c>
      <c r="H978">
        <v>194224</v>
      </c>
      <c r="I978">
        <v>1508</v>
      </c>
      <c r="J978">
        <v>0</v>
      </c>
      <c r="K978">
        <v>1.19</v>
      </c>
      <c r="L978">
        <v>2.25</v>
      </c>
      <c r="M978">
        <v>2.29</v>
      </c>
      <c r="N978">
        <v>2.25</v>
      </c>
      <c r="O978">
        <v>2.2599999999999998</v>
      </c>
      <c r="P978">
        <v>17.95</v>
      </c>
      <c r="Q978">
        <v>44075464</v>
      </c>
      <c r="R978">
        <v>1.08</v>
      </c>
      <c r="S978" t="s">
        <v>598</v>
      </c>
      <c r="T978" t="s">
        <v>645</v>
      </c>
      <c r="U978">
        <v>1.77</v>
      </c>
      <c r="V978">
        <v>2.27</v>
      </c>
      <c r="W978">
        <v>86767</v>
      </c>
      <c r="X978">
        <v>107457</v>
      </c>
      <c r="Y978">
        <v>0.81</v>
      </c>
      <c r="Z978">
        <v>8582</v>
      </c>
      <c r="AA978">
        <v>6412</v>
      </c>
      <c r="AB978" t="s">
        <v>116</v>
      </c>
      <c r="AC978">
        <v>131900</v>
      </c>
      <c r="AD978">
        <v>0</v>
      </c>
      <c r="AE978" t="s">
        <v>116</v>
      </c>
      <c r="AF978" t="s">
        <v>116</v>
      </c>
      <c r="AG978">
        <v>16.27</v>
      </c>
      <c r="AH978" t="s">
        <v>5767</v>
      </c>
      <c r="AI978" t="s">
        <v>4084</v>
      </c>
      <c r="AJ978">
        <v>0.24</v>
      </c>
      <c r="AK978">
        <v>1532</v>
      </c>
      <c r="AL978">
        <v>127</v>
      </c>
      <c r="AM978">
        <v>8.0000000000000004E-4</v>
      </c>
      <c r="AN978">
        <v>-1</v>
      </c>
      <c r="AO978">
        <v>-0.44</v>
      </c>
      <c r="AP978">
        <v>0.9</v>
      </c>
      <c r="AQ978">
        <v>1.35</v>
      </c>
      <c r="AR978">
        <v>19.68</v>
      </c>
      <c r="AS978">
        <v>1.55</v>
      </c>
      <c r="AT978" t="s">
        <v>5768</v>
      </c>
      <c r="AU978">
        <v>19.32</v>
      </c>
      <c r="AV978">
        <v>26.29</v>
      </c>
      <c r="AW978">
        <v>1.06</v>
      </c>
      <c r="BA978">
        <v>-0.44</v>
      </c>
      <c r="BB978">
        <v>1.33</v>
      </c>
      <c r="BC978">
        <v>-0.44</v>
      </c>
      <c r="BD978">
        <v>0.41</v>
      </c>
      <c r="BE978">
        <v>0</v>
      </c>
      <c r="BF978">
        <v>-1.75</v>
      </c>
      <c r="BG978">
        <v>0</v>
      </c>
      <c r="BH978">
        <v>-0.85</v>
      </c>
      <c r="BI978">
        <v>20191029</v>
      </c>
      <c r="BJ978">
        <v>20101217</v>
      </c>
      <c r="BK978">
        <v>17.829999999999998</v>
      </c>
      <c r="BL978" t="s">
        <v>116</v>
      </c>
      <c r="BM978" t="s">
        <v>116</v>
      </c>
      <c r="BN978">
        <v>34.15</v>
      </c>
      <c r="BO978">
        <v>26.1</v>
      </c>
      <c r="BP978">
        <v>0.39</v>
      </c>
      <c r="BQ978">
        <v>22.41</v>
      </c>
      <c r="BR978">
        <v>22.52</v>
      </c>
      <c r="BS978">
        <v>3.85</v>
      </c>
      <c r="BT978">
        <v>1.71</v>
      </c>
      <c r="BU978">
        <v>7.59</v>
      </c>
      <c r="BV978">
        <v>5.69</v>
      </c>
      <c r="BW978">
        <v>6.27</v>
      </c>
      <c r="BX978">
        <v>3.88</v>
      </c>
      <c r="BY978">
        <v>15.15</v>
      </c>
      <c r="BZ978">
        <v>10.51</v>
      </c>
      <c r="CA978">
        <v>2.2400000000000002</v>
      </c>
      <c r="CB978">
        <v>0.11</v>
      </c>
      <c r="CC978">
        <v>2.2000000000000002</v>
      </c>
      <c r="CD978">
        <v>1.64</v>
      </c>
      <c r="CE978">
        <v>1.68</v>
      </c>
      <c r="CF978">
        <v>1.59</v>
      </c>
      <c r="CG978">
        <v>3.84</v>
      </c>
      <c r="CH978">
        <v>3.08</v>
      </c>
      <c r="CI978">
        <v>0.09</v>
      </c>
      <c r="CJ978">
        <v>92000</v>
      </c>
      <c r="CK978">
        <v>13657</v>
      </c>
      <c r="CL978" t="s">
        <v>3910</v>
      </c>
      <c r="CM978">
        <v>48.96</v>
      </c>
      <c r="CN978">
        <v>8.18</v>
      </c>
      <c r="CO978">
        <v>1.54</v>
      </c>
      <c r="CP978">
        <v>13.02</v>
      </c>
      <c r="CQ978">
        <v>2.65</v>
      </c>
      <c r="CR978">
        <v>0</v>
      </c>
      <c r="CS978" t="s">
        <v>3590</v>
      </c>
      <c r="CT978">
        <v>1.46</v>
      </c>
      <c r="CU978">
        <v>0</v>
      </c>
      <c r="CV978">
        <v>0.22</v>
      </c>
      <c r="CW978">
        <v>0.22</v>
      </c>
      <c r="CX978">
        <v>0.17</v>
      </c>
      <c r="CY978">
        <v>76.430000000000007</v>
      </c>
      <c r="CZ978" t="s">
        <v>5769</v>
      </c>
      <c r="DA978">
        <v>30.64</v>
      </c>
      <c r="DB978">
        <v>14.82</v>
      </c>
      <c r="DC978">
        <v>11.06</v>
      </c>
      <c r="DD978">
        <v>0.3</v>
      </c>
      <c r="DE978">
        <v>1909</v>
      </c>
      <c r="DF978">
        <v>2526</v>
      </c>
      <c r="DG978" t="s">
        <v>116</v>
      </c>
      <c r="DH978" t="s">
        <v>116</v>
      </c>
      <c r="DI978" t="s">
        <v>116</v>
      </c>
    </row>
    <row r="979" spans="1:113" x14ac:dyDescent="0.4">
      <c r="A979" t="str">
        <f>"002527"</f>
        <v>002527</v>
      </c>
      <c r="B979" t="s">
        <v>5770</v>
      </c>
      <c r="C979">
        <v>-0.95</v>
      </c>
      <c r="D979">
        <v>5.19</v>
      </c>
      <c r="E979">
        <v>-0.05</v>
      </c>
      <c r="F979">
        <v>5.18</v>
      </c>
      <c r="G979">
        <v>5.19</v>
      </c>
      <c r="H979">
        <v>36729</v>
      </c>
      <c r="I979">
        <v>529</v>
      </c>
      <c r="J979">
        <v>0</v>
      </c>
      <c r="K979">
        <v>0.82</v>
      </c>
      <c r="L979">
        <v>5.25</v>
      </c>
      <c r="M979">
        <v>5.27</v>
      </c>
      <c r="N979">
        <v>5.16</v>
      </c>
      <c r="O979">
        <v>5.24</v>
      </c>
      <c r="P979">
        <v>43.11</v>
      </c>
      <c r="Q979">
        <v>19177648</v>
      </c>
      <c r="R979">
        <v>0.89</v>
      </c>
      <c r="S979" t="s">
        <v>2977</v>
      </c>
      <c r="T979" t="s">
        <v>1653</v>
      </c>
      <c r="U979">
        <v>2.1</v>
      </c>
      <c r="V979">
        <v>5.22</v>
      </c>
      <c r="W979">
        <v>22327</v>
      </c>
      <c r="X979">
        <v>14402</v>
      </c>
      <c r="Y979">
        <v>1.55</v>
      </c>
      <c r="Z979">
        <v>108</v>
      </c>
      <c r="AA979">
        <v>209</v>
      </c>
      <c r="AB979" t="s">
        <v>116</v>
      </c>
      <c r="AC979">
        <v>57800</v>
      </c>
      <c r="AD979">
        <v>0</v>
      </c>
      <c r="AE979" t="s">
        <v>116</v>
      </c>
      <c r="AF979" t="s">
        <v>116</v>
      </c>
      <c r="AG979">
        <v>4.4800000000000004</v>
      </c>
      <c r="AH979" t="s">
        <v>5771</v>
      </c>
      <c r="AI979" t="s">
        <v>5772</v>
      </c>
      <c r="AJ979">
        <v>-0.28000000000000003</v>
      </c>
      <c r="AK979">
        <v>800</v>
      </c>
      <c r="AL979">
        <v>46</v>
      </c>
      <c r="AM979">
        <v>1E-3</v>
      </c>
      <c r="AN979">
        <v>-1</v>
      </c>
      <c r="AO979">
        <v>0.2</v>
      </c>
      <c r="AP979">
        <v>5.0599999999999996</v>
      </c>
      <c r="AQ979">
        <v>0.97</v>
      </c>
      <c r="AR979">
        <v>-3.17</v>
      </c>
      <c r="AS979">
        <v>0.99</v>
      </c>
      <c r="AT979" t="s">
        <v>4834</v>
      </c>
      <c r="AU979" t="s">
        <v>116</v>
      </c>
      <c r="AV979" t="s">
        <v>116</v>
      </c>
      <c r="AW979">
        <v>0.64</v>
      </c>
      <c r="BA979">
        <v>0.19</v>
      </c>
      <c r="BB979">
        <v>0.56999999999999995</v>
      </c>
      <c r="BC979">
        <v>-1.53</v>
      </c>
      <c r="BD979">
        <v>-0.36</v>
      </c>
      <c r="BE979">
        <v>-1.1399999999999999</v>
      </c>
      <c r="BF979">
        <v>-1.52</v>
      </c>
      <c r="BG979">
        <v>0.57999999999999996</v>
      </c>
      <c r="BH979">
        <v>-0.6</v>
      </c>
      <c r="BI979">
        <v>20191212</v>
      </c>
      <c r="BJ979">
        <v>20101224</v>
      </c>
      <c r="BK979">
        <v>6.2</v>
      </c>
      <c r="BL979" t="s">
        <v>116</v>
      </c>
      <c r="BM979" t="s">
        <v>116</v>
      </c>
      <c r="BN979">
        <v>61.56</v>
      </c>
      <c r="BO979">
        <v>26.66</v>
      </c>
      <c r="BP979">
        <v>5.75</v>
      </c>
      <c r="BQ979">
        <v>47.36</v>
      </c>
      <c r="BR979">
        <v>39.54</v>
      </c>
      <c r="BS979">
        <v>4.41</v>
      </c>
      <c r="BT979">
        <v>2.67</v>
      </c>
      <c r="BU979">
        <v>20.82</v>
      </c>
      <c r="BV979">
        <v>10.210000000000001</v>
      </c>
      <c r="BW979">
        <v>10.96</v>
      </c>
      <c r="BX979">
        <v>12.11</v>
      </c>
      <c r="BY979">
        <v>25.74</v>
      </c>
      <c r="BZ979">
        <v>20.45</v>
      </c>
      <c r="CA979">
        <v>1.07</v>
      </c>
      <c r="CB979">
        <v>0.3</v>
      </c>
      <c r="CC979">
        <v>1.08</v>
      </c>
      <c r="CD979">
        <v>0.7</v>
      </c>
      <c r="CE979">
        <v>0.56000000000000005</v>
      </c>
      <c r="CF979">
        <v>0.32</v>
      </c>
      <c r="CG979">
        <v>5.79</v>
      </c>
      <c r="CH979">
        <v>0</v>
      </c>
      <c r="CI979">
        <v>-5.95</v>
      </c>
      <c r="CJ979">
        <v>36036</v>
      </c>
      <c r="CK979">
        <v>10316</v>
      </c>
      <c r="CL979" t="s">
        <v>4525</v>
      </c>
      <c r="CM979">
        <v>7.67</v>
      </c>
      <c r="CN979">
        <v>-5.62</v>
      </c>
      <c r="CO979">
        <v>1.29</v>
      </c>
      <c r="CP979">
        <v>-8722.9699999999993</v>
      </c>
      <c r="CQ979">
        <v>1.25</v>
      </c>
      <c r="CR979">
        <v>0</v>
      </c>
      <c r="CS979" t="s">
        <v>2739</v>
      </c>
      <c r="CT979">
        <v>4.03</v>
      </c>
      <c r="CU979">
        <v>4.03</v>
      </c>
      <c r="CV979">
        <v>1.95</v>
      </c>
      <c r="CW979">
        <v>0.93</v>
      </c>
      <c r="CX979">
        <v>0</v>
      </c>
      <c r="CY979">
        <v>43.31</v>
      </c>
      <c r="CZ979" t="s">
        <v>2105</v>
      </c>
      <c r="DA979">
        <v>20.55</v>
      </c>
      <c r="DB979">
        <v>4.16</v>
      </c>
      <c r="DC979">
        <v>2.1800000000000002</v>
      </c>
      <c r="DD979">
        <v>1.41</v>
      </c>
      <c r="DE979">
        <v>2246</v>
      </c>
      <c r="DF979">
        <v>2527</v>
      </c>
      <c r="DG979" t="s">
        <v>116</v>
      </c>
      <c r="DH979" t="s">
        <v>116</v>
      </c>
      <c r="DI979" t="s">
        <v>116</v>
      </c>
    </row>
    <row r="980" spans="1:113" x14ac:dyDescent="0.4">
      <c r="A980" t="str">
        <f>"002528"</f>
        <v>002528</v>
      </c>
      <c r="B980" t="s">
        <v>5773</v>
      </c>
      <c r="C980">
        <v>3.51</v>
      </c>
      <c r="D980">
        <v>5.31</v>
      </c>
      <c r="E980">
        <v>0.18</v>
      </c>
      <c r="F980">
        <v>5.3</v>
      </c>
      <c r="G980">
        <v>5.31</v>
      </c>
      <c r="H980">
        <v>401586</v>
      </c>
      <c r="I980">
        <v>3430</v>
      </c>
      <c r="J980">
        <v>0</v>
      </c>
      <c r="K980">
        <v>3.84</v>
      </c>
      <c r="L980">
        <v>5.63</v>
      </c>
      <c r="M980">
        <v>5.64</v>
      </c>
      <c r="N980">
        <v>5.3</v>
      </c>
      <c r="O980">
        <v>5.13</v>
      </c>
      <c r="P980">
        <v>228.36</v>
      </c>
      <c r="Q980">
        <v>219420576</v>
      </c>
      <c r="R980">
        <v>2.64</v>
      </c>
      <c r="S980" t="s">
        <v>241</v>
      </c>
      <c r="T980" t="s">
        <v>115</v>
      </c>
      <c r="U980">
        <v>6.63</v>
      </c>
      <c r="V980">
        <v>5.46</v>
      </c>
      <c r="W980">
        <v>214353</v>
      </c>
      <c r="X980">
        <v>187233</v>
      </c>
      <c r="Y980">
        <v>1.1399999999999999</v>
      </c>
      <c r="Z980">
        <v>1934</v>
      </c>
      <c r="AA980">
        <v>451</v>
      </c>
      <c r="AB980" t="s">
        <v>116</v>
      </c>
      <c r="AC980">
        <v>13443900</v>
      </c>
      <c r="AD980">
        <v>0.49</v>
      </c>
      <c r="AE980" t="s">
        <v>116</v>
      </c>
      <c r="AF980" t="s">
        <v>116</v>
      </c>
      <c r="AG980">
        <v>10.46</v>
      </c>
      <c r="AH980" t="s">
        <v>5726</v>
      </c>
      <c r="AI980" t="s">
        <v>5774</v>
      </c>
      <c r="AJ980">
        <v>4.1900000000000004</v>
      </c>
      <c r="AK980">
        <v>2956</v>
      </c>
      <c r="AL980">
        <v>136</v>
      </c>
      <c r="AM980">
        <v>1.2999999999999999E-3</v>
      </c>
      <c r="AN980">
        <v>1</v>
      </c>
      <c r="AO980">
        <v>3.12</v>
      </c>
      <c r="AP980">
        <v>-3.8</v>
      </c>
      <c r="AQ980">
        <v>22.92</v>
      </c>
      <c r="AR980">
        <v>45.88</v>
      </c>
      <c r="AS980">
        <v>8.3000000000000007</v>
      </c>
      <c r="AT980" t="s">
        <v>1884</v>
      </c>
      <c r="AU980">
        <v>67.8</v>
      </c>
      <c r="AV980">
        <v>45.86</v>
      </c>
      <c r="AW980">
        <v>0.69</v>
      </c>
      <c r="BA980">
        <v>9.75</v>
      </c>
      <c r="BB980">
        <v>9.94</v>
      </c>
      <c r="BC980">
        <v>3.31</v>
      </c>
      <c r="BD980">
        <v>6.51</v>
      </c>
      <c r="BE980">
        <v>-5.68</v>
      </c>
      <c r="BF980">
        <v>-5.85</v>
      </c>
      <c r="BG980">
        <v>0.19</v>
      </c>
      <c r="BH980">
        <v>-3</v>
      </c>
      <c r="BI980">
        <v>20191126</v>
      </c>
      <c r="BJ980">
        <v>20101224</v>
      </c>
      <c r="BK980">
        <v>11.99</v>
      </c>
      <c r="BL980" t="s">
        <v>116</v>
      </c>
      <c r="BM980" t="s">
        <v>116</v>
      </c>
      <c r="BN980">
        <v>60.7</v>
      </c>
      <c r="BO980">
        <v>37.31</v>
      </c>
      <c r="BP980">
        <v>0.11</v>
      </c>
      <c r="BQ980">
        <v>38.35</v>
      </c>
      <c r="BR980">
        <v>36.85</v>
      </c>
      <c r="BS980">
        <v>1.22</v>
      </c>
      <c r="BT980">
        <v>1.57</v>
      </c>
      <c r="BU980">
        <v>21.29</v>
      </c>
      <c r="BV980">
        <v>7.43</v>
      </c>
      <c r="BW980">
        <v>13.02</v>
      </c>
      <c r="BX980">
        <v>23.01</v>
      </c>
      <c r="BY980">
        <v>29.77</v>
      </c>
      <c r="BZ980">
        <v>23.75</v>
      </c>
      <c r="CA980">
        <v>0.21</v>
      </c>
      <c r="CB980">
        <v>0.18</v>
      </c>
      <c r="CC980">
        <v>0.22</v>
      </c>
      <c r="CD980">
        <v>0.2</v>
      </c>
      <c r="CE980">
        <v>0.21</v>
      </c>
      <c r="CF980">
        <v>0.17</v>
      </c>
      <c r="CG980">
        <v>0.46</v>
      </c>
      <c r="CH980">
        <v>-5.07</v>
      </c>
      <c r="CI980">
        <v>-1.06</v>
      </c>
      <c r="CJ980">
        <v>57855</v>
      </c>
      <c r="CK980">
        <v>8358</v>
      </c>
      <c r="CL980" t="s">
        <v>5775</v>
      </c>
      <c r="CM980">
        <v>-68.239999999999995</v>
      </c>
      <c r="CN980">
        <v>8.8800000000000008</v>
      </c>
      <c r="CO980">
        <v>1.71</v>
      </c>
      <c r="CP980">
        <v>-12.56</v>
      </c>
      <c r="CQ980">
        <v>2.14</v>
      </c>
      <c r="CR980">
        <v>0</v>
      </c>
      <c r="CS980" t="s">
        <v>4682</v>
      </c>
      <c r="CT980">
        <v>3.11</v>
      </c>
      <c r="CU980">
        <v>0</v>
      </c>
      <c r="CV980">
        <v>1.92</v>
      </c>
      <c r="CW980">
        <v>0.04</v>
      </c>
      <c r="CX980">
        <v>-0.42</v>
      </c>
      <c r="CY980">
        <v>61.47</v>
      </c>
      <c r="CZ980" t="s">
        <v>5776</v>
      </c>
      <c r="DA980">
        <v>20.22</v>
      </c>
      <c r="DB980">
        <v>0.69</v>
      </c>
      <c r="DC980">
        <v>0.7</v>
      </c>
      <c r="DD980">
        <v>1.08</v>
      </c>
      <c r="DE980">
        <v>1540</v>
      </c>
      <c r="DF980">
        <v>2528</v>
      </c>
      <c r="DG980" t="s">
        <v>116</v>
      </c>
      <c r="DH980" t="s">
        <v>116</v>
      </c>
      <c r="DI980" t="s">
        <v>116</v>
      </c>
    </row>
    <row r="981" spans="1:113" x14ac:dyDescent="0.4">
      <c r="A981" t="str">
        <f>"002529"</f>
        <v>002529</v>
      </c>
      <c r="B981" t="s">
        <v>5777</v>
      </c>
      <c r="C981">
        <v>-2.04</v>
      </c>
      <c r="D981">
        <v>5.75</v>
      </c>
      <c r="E981">
        <v>-0.12</v>
      </c>
      <c r="F981">
        <v>5.74</v>
      </c>
      <c r="G981">
        <v>5.75</v>
      </c>
      <c r="H981">
        <v>42967</v>
      </c>
      <c r="I981">
        <v>340</v>
      </c>
      <c r="J981">
        <v>0</v>
      </c>
      <c r="K981">
        <v>1.65</v>
      </c>
      <c r="L981">
        <v>5.87</v>
      </c>
      <c r="M981">
        <v>5.92</v>
      </c>
      <c r="N981">
        <v>5.71</v>
      </c>
      <c r="O981">
        <v>5.87</v>
      </c>
      <c r="P981" t="s">
        <v>116</v>
      </c>
      <c r="Q981">
        <v>25075650</v>
      </c>
      <c r="R981">
        <v>0.91</v>
      </c>
      <c r="S981" t="s">
        <v>682</v>
      </c>
      <c r="T981" t="s">
        <v>975</v>
      </c>
      <c r="U981">
        <v>3.58</v>
      </c>
      <c r="V981">
        <v>5.84</v>
      </c>
      <c r="W981">
        <v>23478</v>
      </c>
      <c r="X981">
        <v>19489</v>
      </c>
      <c r="Y981">
        <v>1.2</v>
      </c>
      <c r="Z981">
        <v>532</v>
      </c>
      <c r="AA981">
        <v>917</v>
      </c>
      <c r="AB981" t="s">
        <v>116</v>
      </c>
      <c r="AC981">
        <v>56400</v>
      </c>
      <c r="AD981">
        <v>0.01</v>
      </c>
      <c r="AE981" t="s">
        <v>116</v>
      </c>
      <c r="AF981" t="s">
        <v>116</v>
      </c>
      <c r="AG981">
        <v>2.6</v>
      </c>
      <c r="AH981" t="s">
        <v>5778</v>
      </c>
      <c r="AI981" t="s">
        <v>5778</v>
      </c>
      <c r="AJ981">
        <v>-1.37</v>
      </c>
      <c r="AK981">
        <v>1348</v>
      </c>
      <c r="AL981">
        <v>32</v>
      </c>
      <c r="AM981">
        <v>1.1999999999999999E-3</v>
      </c>
      <c r="AN981">
        <v>-1</v>
      </c>
      <c r="AO981">
        <v>0.35</v>
      </c>
      <c r="AP981">
        <v>2.5</v>
      </c>
      <c r="AQ981">
        <v>-10.16</v>
      </c>
      <c r="AR981">
        <v>-15.32</v>
      </c>
      <c r="AS981">
        <v>3.29</v>
      </c>
      <c r="AT981" t="s">
        <v>5779</v>
      </c>
      <c r="AU981" t="s">
        <v>116</v>
      </c>
      <c r="AV981" t="s">
        <v>116</v>
      </c>
      <c r="AW981">
        <v>1.38</v>
      </c>
      <c r="BA981">
        <v>0</v>
      </c>
      <c r="BB981">
        <v>0.85</v>
      </c>
      <c r="BC981">
        <v>-2.73</v>
      </c>
      <c r="BD981">
        <v>-0.57999999999999996</v>
      </c>
      <c r="BE981">
        <v>-2.04</v>
      </c>
      <c r="BF981">
        <v>-2.87</v>
      </c>
      <c r="BG981">
        <v>0.7</v>
      </c>
      <c r="BH981">
        <v>-1.46</v>
      </c>
      <c r="BI981">
        <v>20191028</v>
      </c>
      <c r="BJ981">
        <v>20101224</v>
      </c>
      <c r="BK981">
        <v>2.6</v>
      </c>
      <c r="BL981" t="s">
        <v>116</v>
      </c>
      <c r="BM981" t="s">
        <v>116</v>
      </c>
      <c r="BN981">
        <v>19.29</v>
      </c>
      <c r="BO981">
        <v>13.52</v>
      </c>
      <c r="BP981">
        <v>0</v>
      </c>
      <c r="BQ981">
        <v>29.91</v>
      </c>
      <c r="BR981">
        <v>7.92</v>
      </c>
      <c r="BS981">
        <v>6.09</v>
      </c>
      <c r="BT981">
        <v>0.94</v>
      </c>
      <c r="BU981">
        <v>5.33</v>
      </c>
      <c r="BV981">
        <v>3.36</v>
      </c>
      <c r="BW981">
        <v>2.2799999999999998</v>
      </c>
      <c r="BX981">
        <v>11.63</v>
      </c>
      <c r="BY981">
        <v>2.44</v>
      </c>
      <c r="BZ981">
        <v>2.0499999999999998</v>
      </c>
      <c r="CA981">
        <v>-0.56999999999999995</v>
      </c>
      <c r="CB981">
        <v>0.01</v>
      </c>
      <c r="CC981">
        <v>-0.56000000000000005</v>
      </c>
      <c r="CD981">
        <v>-0.46</v>
      </c>
      <c r="CE981">
        <v>-0.46</v>
      </c>
      <c r="CF981">
        <v>-0.5</v>
      </c>
      <c r="CG981">
        <v>-1.1399999999999999</v>
      </c>
      <c r="CH981">
        <v>0.19</v>
      </c>
      <c r="CI981">
        <v>-0.95</v>
      </c>
      <c r="CJ981">
        <v>19054</v>
      </c>
      <c r="CK981">
        <v>6852</v>
      </c>
      <c r="CL981" t="s">
        <v>4640</v>
      </c>
      <c r="CM981">
        <v>-852.1</v>
      </c>
      <c r="CN981">
        <v>17.37</v>
      </c>
      <c r="CO981">
        <v>1.1100000000000001</v>
      </c>
      <c r="CP981">
        <v>80.16</v>
      </c>
      <c r="CQ981">
        <v>6.12</v>
      </c>
      <c r="CR981">
        <v>0</v>
      </c>
      <c r="CS981" t="s">
        <v>806</v>
      </c>
      <c r="CT981">
        <v>5.2</v>
      </c>
      <c r="CU981">
        <v>0</v>
      </c>
      <c r="CV981">
        <v>4.47</v>
      </c>
      <c r="CW981">
        <v>-0.44</v>
      </c>
      <c r="CX981">
        <v>7.0000000000000007E-2</v>
      </c>
      <c r="CY981">
        <v>70.09</v>
      </c>
      <c r="CZ981" t="s">
        <v>5780</v>
      </c>
      <c r="DA981">
        <v>15.87</v>
      </c>
      <c r="DB981">
        <v>-23.4</v>
      </c>
      <c r="DC981">
        <v>-19.03</v>
      </c>
      <c r="DD981">
        <v>0.22</v>
      </c>
      <c r="DE981">
        <v>800</v>
      </c>
      <c r="DF981">
        <v>2529</v>
      </c>
      <c r="DG981" t="s">
        <v>116</v>
      </c>
      <c r="DH981" t="s">
        <v>116</v>
      </c>
      <c r="DI981" t="s">
        <v>116</v>
      </c>
    </row>
    <row r="982" spans="1:113" x14ac:dyDescent="0.4">
      <c r="A982" t="str">
        <f>"002530"</f>
        <v>002530</v>
      </c>
      <c r="B982" t="s">
        <v>5781</v>
      </c>
      <c r="C982">
        <v>0.7</v>
      </c>
      <c r="D982">
        <v>11.58</v>
      </c>
      <c r="E982">
        <v>0.08</v>
      </c>
      <c r="F982">
        <v>11.57</v>
      </c>
      <c r="G982">
        <v>11.58</v>
      </c>
      <c r="H982">
        <v>499549</v>
      </c>
      <c r="I982">
        <v>3107</v>
      </c>
      <c r="J982">
        <v>-0.08</v>
      </c>
      <c r="K982">
        <v>7.84</v>
      </c>
      <c r="L982">
        <v>11.48</v>
      </c>
      <c r="M982">
        <v>11.86</v>
      </c>
      <c r="N982">
        <v>11.26</v>
      </c>
      <c r="O982">
        <v>11.5</v>
      </c>
      <c r="P982">
        <v>37.4</v>
      </c>
      <c r="Q982">
        <v>577539840</v>
      </c>
      <c r="R982">
        <v>1.63</v>
      </c>
      <c r="S982" t="s">
        <v>607</v>
      </c>
      <c r="T982" t="s">
        <v>323</v>
      </c>
      <c r="U982">
        <v>5.22</v>
      </c>
      <c r="V982">
        <v>11.56</v>
      </c>
      <c r="W982">
        <v>242737</v>
      </c>
      <c r="X982">
        <v>256812</v>
      </c>
      <c r="Y982">
        <v>0.95</v>
      </c>
      <c r="Z982">
        <v>331</v>
      </c>
      <c r="AA982">
        <v>1638</v>
      </c>
      <c r="AB982" t="s">
        <v>116</v>
      </c>
      <c r="AC982">
        <v>6021300</v>
      </c>
      <c r="AD982">
        <v>0.2</v>
      </c>
      <c r="AE982" t="s">
        <v>116</v>
      </c>
      <c r="AF982" t="s">
        <v>116</v>
      </c>
      <c r="AG982">
        <v>6.37</v>
      </c>
      <c r="AH982" t="s">
        <v>5782</v>
      </c>
      <c r="AI982" t="s">
        <v>5783</v>
      </c>
      <c r="AJ982">
        <v>1.37</v>
      </c>
      <c r="AK982">
        <v>4236</v>
      </c>
      <c r="AL982">
        <v>118</v>
      </c>
      <c r="AM982">
        <v>1.9E-3</v>
      </c>
      <c r="AN982">
        <v>4</v>
      </c>
      <c r="AO982">
        <v>17.22</v>
      </c>
      <c r="AP982">
        <v>16.38</v>
      </c>
      <c r="AQ982">
        <v>22.93</v>
      </c>
      <c r="AR982">
        <v>75.72</v>
      </c>
      <c r="AS982">
        <v>18.87</v>
      </c>
      <c r="AT982" t="s">
        <v>5784</v>
      </c>
      <c r="AU982">
        <v>30.47</v>
      </c>
      <c r="AV982">
        <v>31</v>
      </c>
      <c r="AW982">
        <v>1.03</v>
      </c>
      <c r="BA982">
        <v>-0.17</v>
      </c>
      <c r="BB982">
        <v>3.13</v>
      </c>
      <c r="BC982">
        <v>-2.09</v>
      </c>
      <c r="BD982">
        <v>0.53</v>
      </c>
      <c r="BE982">
        <v>0.87</v>
      </c>
      <c r="BF982">
        <v>-2.36</v>
      </c>
      <c r="BG982">
        <v>2.84</v>
      </c>
      <c r="BH982">
        <v>0.16</v>
      </c>
      <c r="BI982">
        <v>20191219</v>
      </c>
      <c r="BJ982">
        <v>20101231</v>
      </c>
      <c r="BK982">
        <v>7.79</v>
      </c>
      <c r="BL982" t="s">
        <v>116</v>
      </c>
      <c r="BM982" t="s">
        <v>116</v>
      </c>
      <c r="BN982">
        <v>52.7</v>
      </c>
      <c r="BO982">
        <v>43.47</v>
      </c>
      <c r="BP982">
        <v>1.6</v>
      </c>
      <c r="BQ982">
        <v>14.47</v>
      </c>
      <c r="BR982">
        <v>21.82</v>
      </c>
      <c r="BS982">
        <v>5.42</v>
      </c>
      <c r="BT982">
        <v>2.66</v>
      </c>
      <c r="BU982">
        <v>6.27</v>
      </c>
      <c r="BV982">
        <v>2.58</v>
      </c>
      <c r="BW982">
        <v>7</v>
      </c>
      <c r="BX982">
        <v>26.32</v>
      </c>
      <c r="BY982">
        <v>9.39</v>
      </c>
      <c r="BZ982">
        <v>5.52</v>
      </c>
      <c r="CA982">
        <v>1.9</v>
      </c>
      <c r="CB982">
        <v>0.22</v>
      </c>
      <c r="CC982">
        <v>2.12</v>
      </c>
      <c r="CD982">
        <v>1.94</v>
      </c>
      <c r="CE982">
        <v>1.81</v>
      </c>
      <c r="CF982">
        <v>1.52</v>
      </c>
      <c r="CG982">
        <v>8.98</v>
      </c>
      <c r="CH982">
        <v>-1.19</v>
      </c>
      <c r="CI982">
        <v>-1.76</v>
      </c>
      <c r="CJ982">
        <v>32664</v>
      </c>
      <c r="CK982">
        <v>8106</v>
      </c>
      <c r="CL982" t="s">
        <v>5785</v>
      </c>
      <c r="CM982">
        <v>2.91</v>
      </c>
      <c r="CN982">
        <v>19.16</v>
      </c>
      <c r="CO982">
        <v>2.08</v>
      </c>
      <c r="CP982">
        <v>-75.569999999999993</v>
      </c>
      <c r="CQ982">
        <v>9.61</v>
      </c>
      <c r="CR982">
        <v>0</v>
      </c>
      <c r="CS982" t="s">
        <v>5786</v>
      </c>
      <c r="CT982">
        <v>5.58</v>
      </c>
      <c r="CU982">
        <v>0</v>
      </c>
      <c r="CV982">
        <v>3.38</v>
      </c>
      <c r="CW982">
        <v>1.1499999999999999</v>
      </c>
      <c r="CX982">
        <v>-0.15</v>
      </c>
      <c r="CY982">
        <v>82.5</v>
      </c>
      <c r="CZ982" t="s">
        <v>5787</v>
      </c>
      <c r="DA982">
        <v>41.2</v>
      </c>
      <c r="DB982">
        <v>20.29</v>
      </c>
      <c r="DC982">
        <v>19.27</v>
      </c>
      <c r="DD982">
        <v>0.42</v>
      </c>
      <c r="DE982">
        <v>3202</v>
      </c>
      <c r="DF982">
        <v>2530</v>
      </c>
      <c r="DG982" t="s">
        <v>116</v>
      </c>
      <c r="DH982" t="s">
        <v>116</v>
      </c>
      <c r="DI982" t="s">
        <v>116</v>
      </c>
    </row>
    <row r="983" spans="1:113" x14ac:dyDescent="0.4">
      <c r="A983" t="str">
        <f>"002531"</f>
        <v>002531</v>
      </c>
      <c r="B983" t="s">
        <v>5788</v>
      </c>
      <c r="C983">
        <v>-0.83</v>
      </c>
      <c r="D983">
        <v>5.98</v>
      </c>
      <c r="E983">
        <v>-0.05</v>
      </c>
      <c r="F983">
        <v>5.97</v>
      </c>
      <c r="G983">
        <v>5.98</v>
      </c>
      <c r="H983">
        <v>142226</v>
      </c>
      <c r="I983">
        <v>500</v>
      </c>
      <c r="J983">
        <v>0</v>
      </c>
      <c r="K983">
        <v>0.8</v>
      </c>
      <c r="L983">
        <v>6.09</v>
      </c>
      <c r="M983">
        <v>6.09</v>
      </c>
      <c r="N983">
        <v>5.97</v>
      </c>
      <c r="O983">
        <v>6.03</v>
      </c>
      <c r="P983">
        <v>14.62</v>
      </c>
      <c r="Q983">
        <v>85742968</v>
      </c>
      <c r="R983">
        <v>0.81</v>
      </c>
      <c r="S983" t="s">
        <v>397</v>
      </c>
      <c r="T983" t="s">
        <v>323</v>
      </c>
      <c r="U983">
        <v>1.99</v>
      </c>
      <c r="V983">
        <v>6.03</v>
      </c>
      <c r="W983">
        <v>84690</v>
      </c>
      <c r="X983">
        <v>57536</v>
      </c>
      <c r="Y983">
        <v>1.47</v>
      </c>
      <c r="Z983">
        <v>1775</v>
      </c>
      <c r="AA983">
        <v>126</v>
      </c>
      <c r="AB983" t="s">
        <v>116</v>
      </c>
      <c r="AC983">
        <v>966500</v>
      </c>
      <c r="AD983">
        <v>0.02</v>
      </c>
      <c r="AE983" t="s">
        <v>116</v>
      </c>
      <c r="AF983" t="s">
        <v>116</v>
      </c>
      <c r="AG983">
        <v>17.690000000000001</v>
      </c>
      <c r="AH983" t="s">
        <v>5789</v>
      </c>
      <c r="AI983" t="s">
        <v>5790</v>
      </c>
      <c r="AJ983">
        <v>-0.15</v>
      </c>
      <c r="AK983">
        <v>2908</v>
      </c>
      <c r="AL983">
        <v>49</v>
      </c>
      <c r="AM983">
        <v>2.9999999999999997E-4</v>
      </c>
      <c r="AN983">
        <v>-1</v>
      </c>
      <c r="AO983">
        <v>-0.66</v>
      </c>
      <c r="AP983">
        <v>1.36</v>
      </c>
      <c r="AQ983">
        <v>-16.36</v>
      </c>
      <c r="AR983">
        <v>36.22</v>
      </c>
      <c r="AS983">
        <v>1.69</v>
      </c>
      <c r="AT983" t="s">
        <v>5791</v>
      </c>
      <c r="AU983">
        <v>16.170000000000002</v>
      </c>
      <c r="AV983">
        <v>22.65</v>
      </c>
      <c r="AW983">
        <v>0.99</v>
      </c>
      <c r="BA983">
        <v>1</v>
      </c>
      <c r="BB983">
        <v>1</v>
      </c>
      <c r="BC983">
        <v>-1</v>
      </c>
      <c r="BD983">
        <v>-0.02</v>
      </c>
      <c r="BE983">
        <v>-1.81</v>
      </c>
      <c r="BF983">
        <v>-1.81</v>
      </c>
      <c r="BG983">
        <v>0.17</v>
      </c>
      <c r="BH983">
        <v>-0.81</v>
      </c>
      <c r="BI983">
        <v>20191216</v>
      </c>
      <c r="BJ983">
        <v>20101231</v>
      </c>
      <c r="BK983">
        <v>17.79</v>
      </c>
      <c r="BL983" t="s">
        <v>116</v>
      </c>
      <c r="BM983" t="s">
        <v>116</v>
      </c>
      <c r="BN983">
        <v>138.94</v>
      </c>
      <c r="BO983">
        <v>56.53</v>
      </c>
      <c r="BP983">
        <v>1.26</v>
      </c>
      <c r="BQ983">
        <v>58.4</v>
      </c>
      <c r="BR983">
        <v>67.41</v>
      </c>
      <c r="BS983">
        <v>52.84</v>
      </c>
      <c r="BT983">
        <v>2.87</v>
      </c>
      <c r="BU983">
        <v>56.46</v>
      </c>
      <c r="BV983">
        <v>12.97</v>
      </c>
      <c r="BW983">
        <v>20.82</v>
      </c>
      <c r="BX983">
        <v>17.05</v>
      </c>
      <c r="BY983">
        <v>38.04</v>
      </c>
      <c r="BZ983">
        <v>27.53</v>
      </c>
      <c r="CA983">
        <v>6.34</v>
      </c>
      <c r="CB983">
        <v>0.44</v>
      </c>
      <c r="CC983">
        <v>6.37</v>
      </c>
      <c r="CD983">
        <v>5.5</v>
      </c>
      <c r="CE983">
        <v>5.46</v>
      </c>
      <c r="CF983">
        <v>5.27</v>
      </c>
      <c r="CG983">
        <v>21.08</v>
      </c>
      <c r="CH983">
        <v>6.1</v>
      </c>
      <c r="CI983">
        <v>0.36</v>
      </c>
      <c r="CJ983">
        <v>38549</v>
      </c>
      <c r="CK983">
        <v>21833</v>
      </c>
      <c r="CL983" t="s">
        <v>5792</v>
      </c>
      <c r="CM983">
        <v>52.66</v>
      </c>
      <c r="CN983">
        <v>51.55</v>
      </c>
      <c r="CO983">
        <v>1.88</v>
      </c>
      <c r="CP983">
        <v>17.440000000000001</v>
      </c>
      <c r="CQ983">
        <v>2.8</v>
      </c>
      <c r="CR983">
        <v>1</v>
      </c>
      <c r="CS983" t="s">
        <v>1726</v>
      </c>
      <c r="CT983">
        <v>3.18</v>
      </c>
      <c r="CU983">
        <v>0</v>
      </c>
      <c r="CV983">
        <v>0.96</v>
      </c>
      <c r="CW983">
        <v>1.19</v>
      </c>
      <c r="CX983">
        <v>0.34</v>
      </c>
      <c r="CY983">
        <v>40.69</v>
      </c>
      <c r="CZ983" t="s">
        <v>5793</v>
      </c>
      <c r="DA983">
        <v>27.63</v>
      </c>
      <c r="DB983">
        <v>16.670000000000002</v>
      </c>
      <c r="DC983">
        <v>14.35</v>
      </c>
      <c r="DD983">
        <v>0.22</v>
      </c>
      <c r="DE983">
        <v>1254</v>
      </c>
      <c r="DF983">
        <v>2531</v>
      </c>
      <c r="DG983" t="s">
        <v>116</v>
      </c>
      <c r="DH983" t="s">
        <v>116</v>
      </c>
      <c r="DI983" t="s">
        <v>116</v>
      </c>
    </row>
    <row r="984" spans="1:113" x14ac:dyDescent="0.4">
      <c r="A984" t="str">
        <f>"002532"</f>
        <v>002532</v>
      </c>
      <c r="B984" t="s">
        <v>5794</v>
      </c>
      <c r="C984">
        <v>0</v>
      </c>
      <c r="D984">
        <v>5.95</v>
      </c>
      <c r="E984">
        <v>0</v>
      </c>
      <c r="F984">
        <v>5.94</v>
      </c>
      <c r="G984">
        <v>5.95</v>
      </c>
      <c r="H984">
        <v>28000</v>
      </c>
      <c r="I984">
        <v>171</v>
      </c>
      <c r="J984">
        <v>0</v>
      </c>
      <c r="K984">
        <v>0.65</v>
      </c>
      <c r="L984">
        <v>6.02</v>
      </c>
      <c r="M984">
        <v>6.04</v>
      </c>
      <c r="N984">
        <v>5.94</v>
      </c>
      <c r="O984">
        <v>5.95</v>
      </c>
      <c r="P984">
        <v>21.03</v>
      </c>
      <c r="Q984">
        <v>16776060</v>
      </c>
      <c r="R984">
        <v>1.54</v>
      </c>
      <c r="S984" t="s">
        <v>2298</v>
      </c>
      <c r="T984" t="s">
        <v>590</v>
      </c>
      <c r="U984">
        <v>1.68</v>
      </c>
      <c r="V984">
        <v>5.99</v>
      </c>
      <c r="W984">
        <v>16571</v>
      </c>
      <c r="X984">
        <v>11429</v>
      </c>
      <c r="Y984">
        <v>1.45</v>
      </c>
      <c r="Z984">
        <v>227</v>
      </c>
      <c r="AA984">
        <v>761</v>
      </c>
      <c r="AB984" t="s">
        <v>116</v>
      </c>
      <c r="AC984">
        <v>147500</v>
      </c>
      <c r="AD984">
        <v>0.01</v>
      </c>
      <c r="AE984" t="s">
        <v>116</v>
      </c>
      <c r="AF984" t="s">
        <v>116</v>
      </c>
      <c r="AG984">
        <v>4.3099999999999996</v>
      </c>
      <c r="AH984" t="s">
        <v>5795</v>
      </c>
      <c r="AI984" t="s">
        <v>3812</v>
      </c>
      <c r="AJ984">
        <v>0.68</v>
      </c>
      <c r="AK984">
        <v>707</v>
      </c>
      <c r="AL984">
        <v>40</v>
      </c>
      <c r="AM984">
        <v>8.9999999999999998E-4</v>
      </c>
      <c r="AN984">
        <v>0</v>
      </c>
      <c r="AO984">
        <v>1.02</v>
      </c>
      <c r="AP984">
        <v>2.59</v>
      </c>
      <c r="AQ984">
        <v>-2.62</v>
      </c>
      <c r="AR984">
        <v>25.53</v>
      </c>
      <c r="AS984">
        <v>1.35</v>
      </c>
      <c r="AT984" t="s">
        <v>5796</v>
      </c>
      <c r="AU984">
        <v>23.77</v>
      </c>
      <c r="AV984">
        <v>22.88</v>
      </c>
      <c r="AW984">
        <v>0.64</v>
      </c>
      <c r="BA984">
        <v>1.18</v>
      </c>
      <c r="BB984">
        <v>1.51</v>
      </c>
      <c r="BC984">
        <v>-0.17</v>
      </c>
      <c r="BD984">
        <v>0.7</v>
      </c>
      <c r="BE984">
        <v>-1.1599999999999999</v>
      </c>
      <c r="BF984">
        <v>-1.49</v>
      </c>
      <c r="BG984">
        <v>0.17</v>
      </c>
      <c r="BH984">
        <v>-0.7</v>
      </c>
      <c r="BI984">
        <v>20191031</v>
      </c>
      <c r="BJ984">
        <v>20101231</v>
      </c>
      <c r="BK984">
        <v>5.03</v>
      </c>
      <c r="BL984" t="s">
        <v>116</v>
      </c>
      <c r="BM984" t="s">
        <v>116</v>
      </c>
      <c r="BN984">
        <v>20.07</v>
      </c>
      <c r="BO984">
        <v>13.84</v>
      </c>
      <c r="BP984">
        <v>0.38</v>
      </c>
      <c r="BQ984">
        <v>29.2</v>
      </c>
      <c r="BR984">
        <v>7.92</v>
      </c>
      <c r="BS984">
        <v>6.59</v>
      </c>
      <c r="BT984">
        <v>1.98</v>
      </c>
      <c r="BU984">
        <v>5.66</v>
      </c>
      <c r="BV984">
        <v>3.13</v>
      </c>
      <c r="BW984">
        <v>2.1</v>
      </c>
      <c r="BX984">
        <v>1.31</v>
      </c>
      <c r="BY984">
        <v>12.1</v>
      </c>
      <c r="BZ984">
        <v>8.31</v>
      </c>
      <c r="CA984">
        <v>1.21</v>
      </c>
      <c r="CB984">
        <v>0.1</v>
      </c>
      <c r="CC984">
        <v>1.22</v>
      </c>
      <c r="CD984">
        <v>1.06</v>
      </c>
      <c r="CE984">
        <v>1.07</v>
      </c>
      <c r="CF984">
        <v>0.95</v>
      </c>
      <c r="CG984">
        <v>6.35</v>
      </c>
      <c r="CH984">
        <v>1.7</v>
      </c>
      <c r="CI984">
        <v>-0.16</v>
      </c>
      <c r="CJ984">
        <v>22542</v>
      </c>
      <c r="CK984">
        <v>9233</v>
      </c>
      <c r="CL984" t="s">
        <v>3469</v>
      </c>
      <c r="CM984">
        <v>-4.4000000000000004</v>
      </c>
      <c r="CN984">
        <v>8.64</v>
      </c>
      <c r="CO984">
        <v>2.16</v>
      </c>
      <c r="CP984">
        <v>17.600000000000001</v>
      </c>
      <c r="CQ984">
        <v>2.4700000000000002</v>
      </c>
      <c r="CR984">
        <v>3.36</v>
      </c>
      <c r="CS984" t="s">
        <v>313</v>
      </c>
      <c r="CT984">
        <v>2.75</v>
      </c>
      <c r="CU984">
        <v>0</v>
      </c>
      <c r="CV984">
        <v>0.26</v>
      </c>
      <c r="CW984">
        <v>1.26</v>
      </c>
      <c r="CX984">
        <v>0.34</v>
      </c>
      <c r="CY984">
        <v>68.930000000000007</v>
      </c>
      <c r="CZ984" t="s">
        <v>5797</v>
      </c>
      <c r="DA984">
        <v>31.34</v>
      </c>
      <c r="DB984">
        <v>10.039999999999999</v>
      </c>
      <c r="DC984">
        <v>8.82</v>
      </c>
      <c r="DD984">
        <v>0.56999999999999995</v>
      </c>
      <c r="DE984">
        <v>2426</v>
      </c>
      <c r="DF984">
        <v>2532</v>
      </c>
      <c r="DG984" t="s">
        <v>116</v>
      </c>
      <c r="DH984" t="s">
        <v>116</v>
      </c>
      <c r="DI984" t="s">
        <v>116</v>
      </c>
    </row>
    <row r="985" spans="1:113" x14ac:dyDescent="0.4">
      <c r="A985" t="str">
        <f>"002533"</f>
        <v>002533</v>
      </c>
      <c r="B985" t="s">
        <v>5798</v>
      </c>
      <c r="C985">
        <v>-0.6</v>
      </c>
      <c r="D985">
        <v>4.97</v>
      </c>
      <c r="E985">
        <v>-0.03</v>
      </c>
      <c r="F985">
        <v>4.96</v>
      </c>
      <c r="G985">
        <v>4.97</v>
      </c>
      <c r="H985">
        <v>34437</v>
      </c>
      <c r="I985">
        <v>542</v>
      </c>
      <c r="J985">
        <v>0</v>
      </c>
      <c r="K985">
        <v>0.67</v>
      </c>
      <c r="L985">
        <v>4.99</v>
      </c>
      <c r="M985">
        <v>5.0199999999999996</v>
      </c>
      <c r="N985">
        <v>4.95</v>
      </c>
      <c r="O985">
        <v>5</v>
      </c>
      <c r="P985">
        <v>14.89</v>
      </c>
      <c r="Q985">
        <v>17198740</v>
      </c>
      <c r="R985">
        <v>1.06</v>
      </c>
      <c r="S985" t="s">
        <v>397</v>
      </c>
      <c r="T985" t="s">
        <v>599</v>
      </c>
      <c r="U985">
        <v>1.4</v>
      </c>
      <c r="V985">
        <v>4.99</v>
      </c>
      <c r="W985">
        <v>19248</v>
      </c>
      <c r="X985">
        <v>15189</v>
      </c>
      <c r="Y985">
        <v>1.27</v>
      </c>
      <c r="Z985">
        <v>54</v>
      </c>
      <c r="AA985">
        <v>127</v>
      </c>
      <c r="AB985" t="s">
        <v>116</v>
      </c>
      <c r="AC985">
        <v>304400</v>
      </c>
      <c r="AD985">
        <v>0.02</v>
      </c>
      <c r="AE985" t="s">
        <v>116</v>
      </c>
      <c r="AF985" t="s">
        <v>116</v>
      </c>
      <c r="AG985">
        <v>5.17</v>
      </c>
      <c r="AH985" t="s">
        <v>893</v>
      </c>
      <c r="AI985" t="s">
        <v>5588</v>
      </c>
      <c r="AJ985">
        <v>0.08</v>
      </c>
      <c r="AK985">
        <v>604</v>
      </c>
      <c r="AL985">
        <v>57</v>
      </c>
      <c r="AM985">
        <v>1.1000000000000001E-3</v>
      </c>
      <c r="AN985">
        <v>-1</v>
      </c>
      <c r="AO985">
        <v>0</v>
      </c>
      <c r="AP985">
        <v>3.54</v>
      </c>
      <c r="AQ985">
        <v>3.33</v>
      </c>
      <c r="AR985">
        <v>16.670000000000002</v>
      </c>
      <c r="AS985">
        <v>0.93</v>
      </c>
      <c r="AT985" t="s">
        <v>3249</v>
      </c>
      <c r="AU985">
        <v>17.18</v>
      </c>
      <c r="AV985">
        <v>21.19</v>
      </c>
      <c r="AW985">
        <v>0.56000000000000005</v>
      </c>
      <c r="BA985">
        <v>-0.2</v>
      </c>
      <c r="BB985">
        <v>0.4</v>
      </c>
      <c r="BC985">
        <v>-1</v>
      </c>
      <c r="BD985">
        <v>-0.11</v>
      </c>
      <c r="BE985">
        <v>-0.4</v>
      </c>
      <c r="BF985">
        <v>-1</v>
      </c>
      <c r="BG985">
        <v>0.4</v>
      </c>
      <c r="BH985">
        <v>-0.49</v>
      </c>
      <c r="BI985">
        <v>20191023</v>
      </c>
      <c r="BJ985">
        <v>20101231</v>
      </c>
      <c r="BK985">
        <v>5.65</v>
      </c>
      <c r="BL985" t="s">
        <v>116</v>
      </c>
      <c r="BM985" t="s">
        <v>116</v>
      </c>
      <c r="BN985">
        <v>52.11</v>
      </c>
      <c r="BO985">
        <v>24.13</v>
      </c>
      <c r="BP985">
        <v>2.02</v>
      </c>
      <c r="BQ985">
        <v>49.8</v>
      </c>
      <c r="BR985">
        <v>38.619999999999997</v>
      </c>
      <c r="BS985">
        <v>9.18</v>
      </c>
      <c r="BT985">
        <v>1.68</v>
      </c>
      <c r="BU985">
        <v>23.59</v>
      </c>
      <c r="BV985">
        <v>12.09</v>
      </c>
      <c r="BW985">
        <v>10.64</v>
      </c>
      <c r="BX985">
        <v>8.39</v>
      </c>
      <c r="BY985">
        <v>41.59</v>
      </c>
      <c r="BZ985">
        <v>35.29</v>
      </c>
      <c r="CA985">
        <v>1.61</v>
      </c>
      <c r="CB985">
        <v>0.01</v>
      </c>
      <c r="CC985">
        <v>1.61</v>
      </c>
      <c r="CD985">
        <v>1.44</v>
      </c>
      <c r="CE985">
        <v>1.41</v>
      </c>
      <c r="CF985">
        <v>1.27</v>
      </c>
      <c r="CG985">
        <v>9.41</v>
      </c>
      <c r="CH985">
        <v>1.69</v>
      </c>
      <c r="CI985">
        <v>-2.48</v>
      </c>
      <c r="CJ985">
        <v>43061</v>
      </c>
      <c r="CK985">
        <v>8641</v>
      </c>
      <c r="CL985" t="s">
        <v>5799</v>
      </c>
      <c r="CM985">
        <v>27.93</v>
      </c>
      <c r="CN985">
        <v>19.309999999999999</v>
      </c>
      <c r="CO985">
        <v>1.1599999999999999</v>
      </c>
      <c r="CP985">
        <v>16.649999999999999</v>
      </c>
      <c r="CQ985">
        <v>0.68</v>
      </c>
      <c r="CR985">
        <v>2.95</v>
      </c>
      <c r="CS985" t="s">
        <v>3553</v>
      </c>
      <c r="CT985">
        <v>4.2699999999999996</v>
      </c>
      <c r="CU985">
        <v>0</v>
      </c>
      <c r="CV985">
        <v>1.48</v>
      </c>
      <c r="CW985">
        <v>1.66</v>
      </c>
      <c r="CX985">
        <v>0.3</v>
      </c>
      <c r="CY985">
        <v>46.31</v>
      </c>
      <c r="CZ985" t="s">
        <v>5006</v>
      </c>
      <c r="DA985">
        <v>15.14</v>
      </c>
      <c r="DB985">
        <v>3.86</v>
      </c>
      <c r="DC985">
        <v>3.4</v>
      </c>
      <c r="DD985">
        <v>1.36</v>
      </c>
      <c r="DE985">
        <v>2706</v>
      </c>
      <c r="DF985">
        <v>2533</v>
      </c>
      <c r="DG985" t="s">
        <v>116</v>
      </c>
      <c r="DH985" t="s">
        <v>116</v>
      </c>
      <c r="DI985" t="s">
        <v>116</v>
      </c>
    </row>
    <row r="986" spans="1:113" x14ac:dyDescent="0.4">
      <c r="A986" t="str">
        <f>"002534"</f>
        <v>002534</v>
      </c>
      <c r="B986" t="s">
        <v>5800</v>
      </c>
      <c r="C986">
        <v>-0.39</v>
      </c>
      <c r="D986">
        <v>7.68</v>
      </c>
      <c r="E986">
        <v>-0.03</v>
      </c>
      <c r="F986">
        <v>7.68</v>
      </c>
      <c r="G986">
        <v>7.69</v>
      </c>
      <c r="H986">
        <v>12916</v>
      </c>
      <c r="I986">
        <v>104</v>
      </c>
      <c r="J986">
        <v>0.13</v>
      </c>
      <c r="K986">
        <v>0.18</v>
      </c>
      <c r="L986">
        <v>7.67</v>
      </c>
      <c r="M986">
        <v>7.73</v>
      </c>
      <c r="N986">
        <v>7.67</v>
      </c>
      <c r="O986">
        <v>7.71</v>
      </c>
      <c r="P986">
        <v>15.53</v>
      </c>
      <c r="Q986">
        <v>9937139</v>
      </c>
      <c r="R986">
        <v>0.75</v>
      </c>
      <c r="S986" t="s">
        <v>682</v>
      </c>
      <c r="T986" t="s">
        <v>590</v>
      </c>
      <c r="U986">
        <v>0.78</v>
      </c>
      <c r="V986">
        <v>7.69</v>
      </c>
      <c r="W986">
        <v>8433</v>
      </c>
      <c r="X986">
        <v>4483</v>
      </c>
      <c r="Y986">
        <v>1.88</v>
      </c>
      <c r="Z986">
        <v>31</v>
      </c>
      <c r="AA986">
        <v>215</v>
      </c>
      <c r="AB986" t="s">
        <v>116</v>
      </c>
      <c r="AC986">
        <v>89000</v>
      </c>
      <c r="AD986">
        <v>0.01</v>
      </c>
      <c r="AE986" t="s">
        <v>116</v>
      </c>
      <c r="AF986" t="s">
        <v>116</v>
      </c>
      <c r="AG986">
        <v>7.3</v>
      </c>
      <c r="AH986" t="s">
        <v>5801</v>
      </c>
      <c r="AI986" t="s">
        <v>5802</v>
      </c>
      <c r="AJ986">
        <v>0.28999999999999998</v>
      </c>
      <c r="AK986">
        <v>729</v>
      </c>
      <c r="AL986">
        <v>18</v>
      </c>
      <c r="AM986">
        <v>2.0000000000000001E-4</v>
      </c>
      <c r="AN986">
        <v>-1</v>
      </c>
      <c r="AO986">
        <v>0.26</v>
      </c>
      <c r="AP986">
        <v>0.92</v>
      </c>
      <c r="AQ986">
        <v>9.8699999999999992</v>
      </c>
      <c r="AR986">
        <v>49.13</v>
      </c>
      <c r="AS986">
        <v>0.72</v>
      </c>
      <c r="AT986" t="s">
        <v>5803</v>
      </c>
      <c r="AU986">
        <v>17.39</v>
      </c>
      <c r="AV986">
        <v>23.26</v>
      </c>
      <c r="AW986">
        <v>0.46</v>
      </c>
      <c r="BA986">
        <v>-0.52</v>
      </c>
      <c r="BB986">
        <v>0.26</v>
      </c>
      <c r="BC986">
        <v>-0.52</v>
      </c>
      <c r="BD986">
        <v>-0.21</v>
      </c>
      <c r="BE986">
        <v>0.13</v>
      </c>
      <c r="BF986">
        <v>-0.65</v>
      </c>
      <c r="BG986">
        <v>0.13</v>
      </c>
      <c r="BH986">
        <v>-0.18</v>
      </c>
      <c r="BI986">
        <v>20191105</v>
      </c>
      <c r="BJ986">
        <v>20110110</v>
      </c>
      <c r="BK986">
        <v>7.39</v>
      </c>
      <c r="BL986" t="s">
        <v>116</v>
      </c>
      <c r="BM986" t="s">
        <v>116</v>
      </c>
      <c r="BN986">
        <v>88.88</v>
      </c>
      <c r="BO986">
        <v>32.39</v>
      </c>
      <c r="BP986">
        <v>1.93</v>
      </c>
      <c r="BQ986">
        <v>61.38</v>
      </c>
      <c r="BR986">
        <v>65.790000000000006</v>
      </c>
      <c r="BS986">
        <v>10.02</v>
      </c>
      <c r="BT986">
        <v>2.57</v>
      </c>
      <c r="BU986">
        <v>46.31</v>
      </c>
      <c r="BV986">
        <v>9.85</v>
      </c>
      <c r="BW986">
        <v>17.670000000000002</v>
      </c>
      <c r="BX986">
        <v>8.25</v>
      </c>
      <c r="BY986">
        <v>26.66</v>
      </c>
      <c r="BZ986">
        <v>21.01</v>
      </c>
      <c r="CA986">
        <v>3.48</v>
      </c>
      <c r="CB986">
        <v>0.69</v>
      </c>
      <c r="CC986">
        <v>3.52</v>
      </c>
      <c r="CD986">
        <v>3.05</v>
      </c>
      <c r="CE986">
        <v>2.74</v>
      </c>
      <c r="CF986">
        <v>1.94</v>
      </c>
      <c r="CG986">
        <v>14.21</v>
      </c>
      <c r="CH986">
        <v>3.03</v>
      </c>
      <c r="CI986">
        <v>0.24</v>
      </c>
      <c r="CJ986">
        <v>17476</v>
      </c>
      <c r="CK986">
        <v>10253</v>
      </c>
      <c r="CL986" t="s">
        <v>4790</v>
      </c>
      <c r="CM986">
        <v>42.96</v>
      </c>
      <c r="CN986">
        <v>6.27</v>
      </c>
      <c r="CO986">
        <v>1.75</v>
      </c>
      <c r="CP986">
        <v>18.75</v>
      </c>
      <c r="CQ986">
        <v>2.13</v>
      </c>
      <c r="CR986">
        <v>2.6</v>
      </c>
      <c r="CS986" t="s">
        <v>1749</v>
      </c>
      <c r="CT986">
        <v>4.38</v>
      </c>
      <c r="CU986">
        <v>0</v>
      </c>
      <c r="CV986">
        <v>1.1200000000000001</v>
      </c>
      <c r="CW986">
        <v>1.92</v>
      </c>
      <c r="CX986">
        <v>0.41</v>
      </c>
      <c r="CY986">
        <v>36.44</v>
      </c>
      <c r="CZ986" t="s">
        <v>5804</v>
      </c>
      <c r="DA986">
        <v>21.18</v>
      </c>
      <c r="DB986">
        <v>13.05</v>
      </c>
      <c r="DC986">
        <v>10.28</v>
      </c>
      <c r="DD986">
        <v>1.34</v>
      </c>
      <c r="DE986">
        <v>1817</v>
      </c>
      <c r="DF986">
        <v>2534</v>
      </c>
      <c r="DG986" t="s">
        <v>116</v>
      </c>
      <c r="DH986" t="s">
        <v>116</v>
      </c>
      <c r="DI986" t="s">
        <v>116</v>
      </c>
    </row>
    <row r="987" spans="1:113" x14ac:dyDescent="0.4">
      <c r="A987" t="str">
        <f>"002535"</f>
        <v>002535</v>
      </c>
      <c r="B987" t="s">
        <v>5805</v>
      </c>
      <c r="C987">
        <v>-1.77</v>
      </c>
      <c r="D987">
        <v>2.77</v>
      </c>
      <c r="E987">
        <v>-0.05</v>
      </c>
      <c r="F987">
        <v>2.77</v>
      </c>
      <c r="G987">
        <v>2.78</v>
      </c>
      <c r="H987">
        <v>62148</v>
      </c>
      <c r="I987">
        <v>1075</v>
      </c>
      <c r="J987">
        <v>0</v>
      </c>
      <c r="K987">
        <v>1.0900000000000001</v>
      </c>
      <c r="L987">
        <v>2.82</v>
      </c>
      <c r="M987">
        <v>2.84</v>
      </c>
      <c r="N987">
        <v>2.77</v>
      </c>
      <c r="O987">
        <v>2.82</v>
      </c>
      <c r="P987">
        <v>311.27</v>
      </c>
      <c r="Q987">
        <v>17452938</v>
      </c>
      <c r="R987">
        <v>0.82</v>
      </c>
      <c r="S987" t="s">
        <v>598</v>
      </c>
      <c r="T987" t="s">
        <v>652</v>
      </c>
      <c r="U987">
        <v>2.48</v>
      </c>
      <c r="V987">
        <v>2.81</v>
      </c>
      <c r="W987">
        <v>34668</v>
      </c>
      <c r="X987">
        <v>27480</v>
      </c>
      <c r="Y987">
        <v>1.26</v>
      </c>
      <c r="Z987">
        <v>708</v>
      </c>
      <c r="AA987">
        <v>1295</v>
      </c>
      <c r="AB987" t="s">
        <v>116</v>
      </c>
      <c r="AC987">
        <v>28500</v>
      </c>
      <c r="AD987">
        <v>0</v>
      </c>
      <c r="AE987" t="s">
        <v>116</v>
      </c>
      <c r="AF987" t="s">
        <v>116</v>
      </c>
      <c r="AG987">
        <v>5.69</v>
      </c>
      <c r="AH987" t="s">
        <v>5806</v>
      </c>
      <c r="AI987" t="s">
        <v>4822</v>
      </c>
      <c r="AJ987">
        <v>-1.0900000000000001</v>
      </c>
      <c r="AK987">
        <v>956</v>
      </c>
      <c r="AL987">
        <v>65</v>
      </c>
      <c r="AM987">
        <v>1.1000000000000001E-3</v>
      </c>
      <c r="AN987">
        <v>-1</v>
      </c>
      <c r="AO987">
        <v>-0.36</v>
      </c>
      <c r="AP987">
        <v>4.92</v>
      </c>
      <c r="AQ987">
        <v>-13.71</v>
      </c>
      <c r="AR987">
        <v>-13.98</v>
      </c>
      <c r="AS987">
        <v>1.29</v>
      </c>
      <c r="AT987" t="s">
        <v>5807</v>
      </c>
      <c r="AU987" t="s">
        <v>116</v>
      </c>
      <c r="AV987" t="s">
        <v>116</v>
      </c>
      <c r="AW987">
        <v>1.34</v>
      </c>
      <c r="BA987">
        <v>0</v>
      </c>
      <c r="BB987">
        <v>0.71</v>
      </c>
      <c r="BC987">
        <v>-1.77</v>
      </c>
      <c r="BD987">
        <v>-0.42</v>
      </c>
      <c r="BE987">
        <v>-1.77</v>
      </c>
      <c r="BF987">
        <v>-2.46</v>
      </c>
      <c r="BG987">
        <v>0</v>
      </c>
      <c r="BH987">
        <v>-1.36</v>
      </c>
      <c r="BI987">
        <v>20191029</v>
      </c>
      <c r="BJ987">
        <v>20110111</v>
      </c>
      <c r="BK987">
        <v>8.02</v>
      </c>
      <c r="BL987" t="s">
        <v>116</v>
      </c>
      <c r="BM987" t="s">
        <v>116</v>
      </c>
      <c r="BN987">
        <v>70.2</v>
      </c>
      <c r="BO987">
        <v>27.77</v>
      </c>
      <c r="BP987">
        <v>0.39</v>
      </c>
      <c r="BQ987">
        <v>59.89</v>
      </c>
      <c r="BR987">
        <v>39.86</v>
      </c>
      <c r="BS987">
        <v>19.57</v>
      </c>
      <c r="BT987">
        <v>2.67</v>
      </c>
      <c r="BU987">
        <v>38.07</v>
      </c>
      <c r="BV987">
        <v>6.97</v>
      </c>
      <c r="BW987">
        <v>7.88</v>
      </c>
      <c r="BX987">
        <v>17.850000000000001</v>
      </c>
      <c r="BY987">
        <v>9.3699999999999992</v>
      </c>
      <c r="BZ987">
        <v>7.73</v>
      </c>
      <c r="CA987">
        <v>0.1</v>
      </c>
      <c r="CB987">
        <v>0.01</v>
      </c>
      <c r="CC987">
        <v>0.13</v>
      </c>
      <c r="CD987">
        <v>0.08</v>
      </c>
      <c r="CE987">
        <v>0.05</v>
      </c>
      <c r="CF987">
        <v>0</v>
      </c>
      <c r="CG987">
        <v>0.98</v>
      </c>
      <c r="CH987">
        <v>0.08</v>
      </c>
      <c r="CI987">
        <v>0.02</v>
      </c>
      <c r="CJ987">
        <v>55742</v>
      </c>
      <c r="CK987">
        <v>8632</v>
      </c>
      <c r="CL987" t="s">
        <v>5808</v>
      </c>
      <c r="CM987">
        <v>-92.73</v>
      </c>
      <c r="CN987">
        <v>-43.52</v>
      </c>
      <c r="CO987">
        <v>0.8</v>
      </c>
      <c r="CP987">
        <v>284.19</v>
      </c>
      <c r="CQ987">
        <v>2.37</v>
      </c>
      <c r="CR987">
        <v>0</v>
      </c>
      <c r="CS987" t="s">
        <v>5809</v>
      </c>
      <c r="CT987">
        <v>3.46</v>
      </c>
      <c r="CU987">
        <v>0</v>
      </c>
      <c r="CV987">
        <v>2.23</v>
      </c>
      <c r="CW987">
        <v>0.12</v>
      </c>
      <c r="CX987">
        <v>0.01</v>
      </c>
      <c r="CY987">
        <v>39.549999999999997</v>
      </c>
      <c r="CZ987" t="s">
        <v>5810</v>
      </c>
      <c r="DA987">
        <v>17.53</v>
      </c>
      <c r="DB987">
        <v>1.04</v>
      </c>
      <c r="DC987">
        <v>0.56999999999999995</v>
      </c>
      <c r="DD987">
        <v>0.2</v>
      </c>
      <c r="DE987">
        <v>2665</v>
      </c>
      <c r="DF987">
        <v>2535</v>
      </c>
      <c r="DG987" t="s">
        <v>116</v>
      </c>
      <c r="DH987" t="s">
        <v>116</v>
      </c>
      <c r="DI987" t="s">
        <v>116</v>
      </c>
    </row>
    <row r="988" spans="1:113" x14ac:dyDescent="0.4">
      <c r="A988" t="str">
        <f>"002536"</f>
        <v>002536</v>
      </c>
      <c r="B988" t="s">
        <v>5811</v>
      </c>
      <c r="C988">
        <v>-2.65</v>
      </c>
      <c r="D988">
        <v>4.7699999999999996</v>
      </c>
      <c r="E988">
        <v>-0.13</v>
      </c>
      <c r="F988">
        <v>4.7699999999999996</v>
      </c>
      <c r="G988">
        <v>4.78</v>
      </c>
      <c r="H988">
        <v>59541</v>
      </c>
      <c r="I988">
        <v>2125</v>
      </c>
      <c r="J988">
        <v>-0.61</v>
      </c>
      <c r="K988">
        <v>1.26</v>
      </c>
      <c r="L988">
        <v>4.91</v>
      </c>
      <c r="M988">
        <v>4.92</v>
      </c>
      <c r="N988">
        <v>4.7699999999999996</v>
      </c>
      <c r="O988">
        <v>4.9000000000000004</v>
      </c>
      <c r="P988">
        <v>27.35</v>
      </c>
      <c r="Q988">
        <v>28906214</v>
      </c>
      <c r="R988">
        <v>0.82</v>
      </c>
      <c r="S988" t="s">
        <v>293</v>
      </c>
      <c r="T988" t="s">
        <v>652</v>
      </c>
      <c r="U988">
        <v>3.06</v>
      </c>
      <c r="V988">
        <v>4.8499999999999996</v>
      </c>
      <c r="W988">
        <v>38466</v>
      </c>
      <c r="X988">
        <v>21075</v>
      </c>
      <c r="Y988">
        <v>1.83</v>
      </c>
      <c r="Z988">
        <v>489</v>
      </c>
      <c r="AA988">
        <v>138</v>
      </c>
      <c r="AB988" t="s">
        <v>116</v>
      </c>
      <c r="AC988">
        <v>107300</v>
      </c>
      <c r="AD988">
        <v>0.01</v>
      </c>
      <c r="AE988" t="s">
        <v>116</v>
      </c>
      <c r="AF988" t="s">
        <v>116</v>
      </c>
      <c r="AG988">
        <v>4.71</v>
      </c>
      <c r="AH988" t="s">
        <v>5812</v>
      </c>
      <c r="AI988" t="s">
        <v>5813</v>
      </c>
      <c r="AJ988">
        <v>-1.97</v>
      </c>
      <c r="AK988">
        <v>948</v>
      </c>
      <c r="AL988">
        <v>63</v>
      </c>
      <c r="AM988">
        <v>1.2999999999999999E-3</v>
      </c>
      <c r="AN988">
        <v>-1</v>
      </c>
      <c r="AO988">
        <v>-1.65</v>
      </c>
      <c r="AP988">
        <v>6.47</v>
      </c>
      <c r="AQ988">
        <v>-1.04</v>
      </c>
      <c r="AR988">
        <v>-18.420000000000002</v>
      </c>
      <c r="AS988">
        <v>2.14</v>
      </c>
      <c r="AT988" t="s">
        <v>5814</v>
      </c>
      <c r="AU988">
        <v>19.39</v>
      </c>
      <c r="AV988">
        <v>9.73</v>
      </c>
      <c r="AW988">
        <v>1.1599999999999999</v>
      </c>
      <c r="BA988">
        <v>0.2</v>
      </c>
      <c r="BB988">
        <v>0.41</v>
      </c>
      <c r="BC988">
        <v>-2.65</v>
      </c>
      <c r="BD988">
        <v>-0.92</v>
      </c>
      <c r="BE988">
        <v>-2.85</v>
      </c>
      <c r="BF988">
        <v>-3.05</v>
      </c>
      <c r="BG988">
        <v>0</v>
      </c>
      <c r="BH988">
        <v>-1.73</v>
      </c>
      <c r="BI988">
        <v>20191223</v>
      </c>
      <c r="BJ988">
        <v>20110111</v>
      </c>
      <c r="BK988">
        <v>5.01</v>
      </c>
      <c r="BL988" t="s">
        <v>116</v>
      </c>
      <c r="BM988" t="s">
        <v>116</v>
      </c>
      <c r="BN988">
        <v>37.61</v>
      </c>
      <c r="BO988">
        <v>20.92</v>
      </c>
      <c r="BP988">
        <v>0.09</v>
      </c>
      <c r="BQ988">
        <v>44.12</v>
      </c>
      <c r="BR988">
        <v>17.579999999999998</v>
      </c>
      <c r="BS988">
        <v>14.31</v>
      </c>
      <c r="BT988">
        <v>1.69</v>
      </c>
      <c r="BU988">
        <v>15.64</v>
      </c>
      <c r="BV988">
        <v>4.47</v>
      </c>
      <c r="BW988">
        <v>6.26</v>
      </c>
      <c r="BX988">
        <v>9.2799999999999994</v>
      </c>
      <c r="BY988">
        <v>19.86</v>
      </c>
      <c r="BZ988">
        <v>15.28</v>
      </c>
      <c r="CA988">
        <v>0.68</v>
      </c>
      <c r="CB988">
        <v>0</v>
      </c>
      <c r="CC988">
        <v>0.67</v>
      </c>
      <c r="CD988">
        <v>0.64</v>
      </c>
      <c r="CE988">
        <v>0.65</v>
      </c>
      <c r="CF988">
        <v>0.54</v>
      </c>
      <c r="CG988">
        <v>5.87</v>
      </c>
      <c r="CH988">
        <v>3.3</v>
      </c>
      <c r="CI988">
        <v>0.34</v>
      </c>
      <c r="CJ988">
        <v>32337</v>
      </c>
      <c r="CK988">
        <v>8600</v>
      </c>
      <c r="CL988" t="s">
        <v>950</v>
      </c>
      <c r="CM988">
        <v>-65.11</v>
      </c>
      <c r="CN988">
        <v>-6.57</v>
      </c>
      <c r="CO988">
        <v>1.1399999999999999</v>
      </c>
      <c r="CP988">
        <v>7.23</v>
      </c>
      <c r="CQ988">
        <v>1.2</v>
      </c>
      <c r="CR988">
        <v>6.99</v>
      </c>
      <c r="CS988" t="s">
        <v>5815</v>
      </c>
      <c r="CT988">
        <v>4.18</v>
      </c>
      <c r="CU988">
        <v>0</v>
      </c>
      <c r="CV988">
        <v>1.85</v>
      </c>
      <c r="CW988">
        <v>1.17</v>
      </c>
      <c r="CX988">
        <v>0.66</v>
      </c>
      <c r="CY988">
        <v>55.64</v>
      </c>
      <c r="CZ988" t="s">
        <v>5816</v>
      </c>
      <c r="DA988">
        <v>23.06</v>
      </c>
      <c r="DB988">
        <v>3.41</v>
      </c>
      <c r="DC988">
        <v>3.3</v>
      </c>
      <c r="DD988">
        <v>1.3</v>
      </c>
      <c r="DE988">
        <v>3838</v>
      </c>
      <c r="DF988">
        <v>2536</v>
      </c>
      <c r="DG988" t="s">
        <v>116</v>
      </c>
      <c r="DH988" t="s">
        <v>116</v>
      </c>
      <c r="DI988" t="s">
        <v>116</v>
      </c>
    </row>
    <row r="989" spans="1:113" x14ac:dyDescent="0.4">
      <c r="A989" t="str">
        <f>"002537"</f>
        <v>002537</v>
      </c>
      <c r="B989" t="s">
        <v>5817</v>
      </c>
      <c r="C989">
        <v>-2.94</v>
      </c>
      <c r="D989">
        <v>6.94</v>
      </c>
      <c r="E989">
        <v>-0.21</v>
      </c>
      <c r="F989">
        <v>6.93</v>
      </c>
      <c r="G989">
        <v>6.94</v>
      </c>
      <c r="H989">
        <v>259240</v>
      </c>
      <c r="I989">
        <v>5040</v>
      </c>
      <c r="J989">
        <v>-0.13</v>
      </c>
      <c r="K989">
        <v>2.09</v>
      </c>
      <c r="L989">
        <v>7.22</v>
      </c>
      <c r="M989">
        <v>7.23</v>
      </c>
      <c r="N989">
        <v>6.93</v>
      </c>
      <c r="O989">
        <v>7.15</v>
      </c>
      <c r="P989" t="s">
        <v>116</v>
      </c>
      <c r="Q989">
        <v>182997040</v>
      </c>
      <c r="R989">
        <v>0.74</v>
      </c>
      <c r="S989" t="s">
        <v>1108</v>
      </c>
      <c r="T989" t="s">
        <v>645</v>
      </c>
      <c r="U989">
        <v>4.2</v>
      </c>
      <c r="V989">
        <v>7.06</v>
      </c>
      <c r="W989">
        <v>158467</v>
      </c>
      <c r="X989">
        <v>100773</v>
      </c>
      <c r="Y989">
        <v>1.57</v>
      </c>
      <c r="Z989">
        <v>2455</v>
      </c>
      <c r="AA989">
        <v>1631</v>
      </c>
      <c r="AB989" t="s">
        <v>116</v>
      </c>
      <c r="AC989">
        <v>1384800</v>
      </c>
      <c r="AD989">
        <v>0.03</v>
      </c>
      <c r="AE989" t="s">
        <v>116</v>
      </c>
      <c r="AF989" t="s">
        <v>116</v>
      </c>
      <c r="AG989">
        <v>12.38</v>
      </c>
      <c r="AH989" t="s">
        <v>5818</v>
      </c>
      <c r="AI989" t="s">
        <v>5819</v>
      </c>
      <c r="AJ989">
        <v>-2.2599999999999998</v>
      </c>
      <c r="AK989">
        <v>3197</v>
      </c>
      <c r="AL989">
        <v>81</v>
      </c>
      <c r="AM989">
        <v>6.9999999999999999E-4</v>
      </c>
      <c r="AN989">
        <v>-2</v>
      </c>
      <c r="AO989">
        <v>1.1599999999999999</v>
      </c>
      <c r="AP989">
        <v>-7.59</v>
      </c>
      <c r="AQ989">
        <v>-24.57</v>
      </c>
      <c r="AR989">
        <v>-31.96</v>
      </c>
      <c r="AS989">
        <v>4.7300000000000004</v>
      </c>
      <c r="AT989" t="s">
        <v>5820</v>
      </c>
      <c r="AU989" t="s">
        <v>116</v>
      </c>
      <c r="AV989">
        <v>64.77</v>
      </c>
      <c r="AW989">
        <v>2.2599999999999998</v>
      </c>
      <c r="BA989">
        <v>0.98</v>
      </c>
      <c r="BB989">
        <v>1.1200000000000001</v>
      </c>
      <c r="BC989">
        <v>-3.08</v>
      </c>
      <c r="BD989">
        <v>-1.27</v>
      </c>
      <c r="BE989">
        <v>-3.88</v>
      </c>
      <c r="BF989">
        <v>-4.01</v>
      </c>
      <c r="BG989">
        <v>0.14000000000000001</v>
      </c>
      <c r="BH989">
        <v>-1.66</v>
      </c>
      <c r="BI989">
        <v>20191031</v>
      </c>
      <c r="BJ989">
        <v>20110110</v>
      </c>
      <c r="BK989">
        <v>12.44</v>
      </c>
      <c r="BL989" t="s">
        <v>116</v>
      </c>
      <c r="BM989" t="s">
        <v>116</v>
      </c>
      <c r="BN989">
        <v>88.35</v>
      </c>
      <c r="BO989">
        <v>62.58</v>
      </c>
      <c r="BP989">
        <v>0.89</v>
      </c>
      <c r="BQ989">
        <v>28.16</v>
      </c>
      <c r="BR989">
        <v>45.79</v>
      </c>
      <c r="BS989">
        <v>9.75</v>
      </c>
      <c r="BT989">
        <v>3.96</v>
      </c>
      <c r="BU989">
        <v>23.61</v>
      </c>
      <c r="BV989">
        <v>7.55</v>
      </c>
      <c r="BW989">
        <v>8.84</v>
      </c>
      <c r="BX989">
        <v>46.74</v>
      </c>
      <c r="BY989">
        <v>41.09</v>
      </c>
      <c r="BZ989">
        <v>35.21</v>
      </c>
      <c r="CA989">
        <v>-0.05</v>
      </c>
      <c r="CB989">
        <v>0.06</v>
      </c>
      <c r="CC989">
        <v>-0.01</v>
      </c>
      <c r="CD989">
        <v>-0.25</v>
      </c>
      <c r="CE989">
        <v>-0.25</v>
      </c>
      <c r="CF989">
        <v>-0.35</v>
      </c>
      <c r="CG989">
        <v>8.67</v>
      </c>
      <c r="CH989">
        <v>0.69</v>
      </c>
      <c r="CI989">
        <v>-9.01</v>
      </c>
      <c r="CJ989">
        <v>33877</v>
      </c>
      <c r="CK989">
        <v>16194</v>
      </c>
      <c r="CL989" t="s">
        <v>5821</v>
      </c>
      <c r="CM989">
        <v>-108.64</v>
      </c>
      <c r="CN989">
        <v>11.93</v>
      </c>
      <c r="CO989">
        <v>1.38</v>
      </c>
      <c r="CP989">
        <v>124.88</v>
      </c>
      <c r="CQ989">
        <v>2.1</v>
      </c>
      <c r="CR989">
        <v>0.7</v>
      </c>
      <c r="CS989" t="s">
        <v>1773</v>
      </c>
      <c r="CT989">
        <v>5.03</v>
      </c>
      <c r="CU989">
        <v>0</v>
      </c>
      <c r="CV989">
        <v>3.76</v>
      </c>
      <c r="CW989">
        <v>0.7</v>
      </c>
      <c r="CX989">
        <v>0.06</v>
      </c>
      <c r="CY989">
        <v>70.83</v>
      </c>
      <c r="CZ989" t="s">
        <v>5822</v>
      </c>
      <c r="DA989">
        <v>14.29</v>
      </c>
      <c r="DB989">
        <v>-0.13</v>
      </c>
      <c r="DC989">
        <v>-0.61</v>
      </c>
      <c r="DD989">
        <v>1.68</v>
      </c>
      <c r="DE989">
        <v>4161</v>
      </c>
      <c r="DF989">
        <v>2537</v>
      </c>
      <c r="DG989" t="s">
        <v>116</v>
      </c>
      <c r="DH989" t="s">
        <v>116</v>
      </c>
      <c r="DI989" t="s">
        <v>116</v>
      </c>
    </row>
    <row r="990" spans="1:113" x14ac:dyDescent="0.4">
      <c r="A990" t="str">
        <f>"002538"</f>
        <v>002538</v>
      </c>
      <c r="B990" t="s">
        <v>5823</v>
      </c>
      <c r="C990">
        <v>-1.06</v>
      </c>
      <c r="D990">
        <v>4.68</v>
      </c>
      <c r="E990">
        <v>-0.05</v>
      </c>
      <c r="F990">
        <v>4.68</v>
      </c>
      <c r="G990">
        <v>4.6900000000000004</v>
      </c>
      <c r="H990">
        <v>78922</v>
      </c>
      <c r="I990">
        <v>209</v>
      </c>
      <c r="J990">
        <v>0</v>
      </c>
      <c r="K990">
        <v>1.1299999999999999</v>
      </c>
      <c r="L990">
        <v>4.74</v>
      </c>
      <c r="M990">
        <v>4.75</v>
      </c>
      <c r="N990">
        <v>4.67</v>
      </c>
      <c r="O990">
        <v>4.7300000000000004</v>
      </c>
      <c r="P990">
        <v>12.57</v>
      </c>
      <c r="Q990">
        <v>37284128</v>
      </c>
      <c r="R990">
        <v>1.54</v>
      </c>
      <c r="S990" t="s">
        <v>697</v>
      </c>
      <c r="T990" t="s">
        <v>575</v>
      </c>
      <c r="U990">
        <v>1.69</v>
      </c>
      <c r="V990">
        <v>4.72</v>
      </c>
      <c r="W990">
        <v>43246</v>
      </c>
      <c r="X990">
        <v>35676</v>
      </c>
      <c r="Y990">
        <v>1.21</v>
      </c>
      <c r="Z990">
        <v>2373</v>
      </c>
      <c r="AA990">
        <v>1085</v>
      </c>
      <c r="AB990" t="s">
        <v>116</v>
      </c>
      <c r="AC990">
        <v>98600</v>
      </c>
      <c r="AD990">
        <v>0</v>
      </c>
      <c r="AE990" t="s">
        <v>116</v>
      </c>
      <c r="AF990" t="s">
        <v>116</v>
      </c>
      <c r="AG990">
        <v>6.98</v>
      </c>
      <c r="AH990" t="s">
        <v>141</v>
      </c>
      <c r="AI990" t="s">
        <v>3286</v>
      </c>
      <c r="AJ990">
        <v>-0.38</v>
      </c>
      <c r="AK990">
        <v>1079</v>
      </c>
      <c r="AL990">
        <v>73</v>
      </c>
      <c r="AM990">
        <v>1E-3</v>
      </c>
      <c r="AN990">
        <v>-1</v>
      </c>
      <c r="AO990">
        <v>0.21</v>
      </c>
      <c r="AP990">
        <v>3.54</v>
      </c>
      <c r="AQ990">
        <v>-5.45</v>
      </c>
      <c r="AR990">
        <v>-1.06</v>
      </c>
      <c r="AS990">
        <v>1.82</v>
      </c>
      <c r="AT990" t="s">
        <v>5824</v>
      </c>
      <c r="AU990">
        <v>10.69</v>
      </c>
      <c r="AV990">
        <v>11.2</v>
      </c>
      <c r="AW990">
        <v>0.77</v>
      </c>
      <c r="BA990">
        <v>0.21</v>
      </c>
      <c r="BB990">
        <v>0.42</v>
      </c>
      <c r="BC990">
        <v>-1.27</v>
      </c>
      <c r="BD990">
        <v>-0.12</v>
      </c>
      <c r="BE990">
        <v>-1.27</v>
      </c>
      <c r="BF990">
        <v>-1.47</v>
      </c>
      <c r="BG990">
        <v>0.21</v>
      </c>
      <c r="BH990">
        <v>-0.93</v>
      </c>
      <c r="BI990">
        <v>20191025</v>
      </c>
      <c r="BJ990">
        <v>20110118</v>
      </c>
      <c r="BK990">
        <v>7.18</v>
      </c>
      <c r="BL990" t="s">
        <v>116</v>
      </c>
      <c r="BM990" t="s">
        <v>116</v>
      </c>
      <c r="BN990">
        <v>56.67</v>
      </c>
      <c r="BO990">
        <v>38</v>
      </c>
      <c r="BP990">
        <v>0.74</v>
      </c>
      <c r="BQ990">
        <v>31.63</v>
      </c>
      <c r="BR990">
        <v>29.03</v>
      </c>
      <c r="BS990">
        <v>15.16</v>
      </c>
      <c r="BT990">
        <v>3.52</v>
      </c>
      <c r="BU990">
        <v>10.58</v>
      </c>
      <c r="BV990">
        <v>9.2899999999999991</v>
      </c>
      <c r="BW990">
        <v>1.96</v>
      </c>
      <c r="BX990">
        <v>13.75</v>
      </c>
      <c r="BY990">
        <v>23.55</v>
      </c>
      <c r="BZ990">
        <v>18.88</v>
      </c>
      <c r="CA990">
        <v>2.57</v>
      </c>
      <c r="CB990">
        <v>-0.08</v>
      </c>
      <c r="CC990">
        <v>2.4700000000000002</v>
      </c>
      <c r="CD990">
        <v>2.09</v>
      </c>
      <c r="CE990">
        <v>2</v>
      </c>
      <c r="CF990">
        <v>1.03</v>
      </c>
      <c r="CG990">
        <v>13.75</v>
      </c>
      <c r="CH990">
        <v>1.92</v>
      </c>
      <c r="CI990">
        <v>-2.99</v>
      </c>
      <c r="CJ990">
        <v>44126</v>
      </c>
      <c r="CK990">
        <v>9846</v>
      </c>
      <c r="CL990" t="s">
        <v>1438</v>
      </c>
      <c r="CM990">
        <v>7.7</v>
      </c>
      <c r="CN990">
        <v>7.42</v>
      </c>
      <c r="CO990">
        <v>0.92</v>
      </c>
      <c r="CP990">
        <v>17.489999999999998</v>
      </c>
      <c r="CQ990">
        <v>1.43</v>
      </c>
      <c r="CR990">
        <v>2.14</v>
      </c>
      <c r="CS990" t="s">
        <v>5434</v>
      </c>
      <c r="CT990">
        <v>5.08</v>
      </c>
      <c r="CU990">
        <v>5.08</v>
      </c>
      <c r="CV990">
        <v>1.91</v>
      </c>
      <c r="CW990">
        <v>1.91</v>
      </c>
      <c r="CX990">
        <v>0.27</v>
      </c>
      <c r="CY990">
        <v>67.06</v>
      </c>
      <c r="CZ990" t="s">
        <v>1068</v>
      </c>
      <c r="DA990">
        <v>19.82</v>
      </c>
      <c r="DB990">
        <v>10.9</v>
      </c>
      <c r="DC990">
        <v>8.51</v>
      </c>
      <c r="DD990">
        <v>0.73</v>
      </c>
      <c r="DE990">
        <v>3049</v>
      </c>
      <c r="DF990">
        <v>2538</v>
      </c>
      <c r="DG990" t="s">
        <v>116</v>
      </c>
      <c r="DH990" t="s">
        <v>116</v>
      </c>
      <c r="DI990" t="s">
        <v>116</v>
      </c>
    </row>
    <row r="991" spans="1:113" x14ac:dyDescent="0.4">
      <c r="A991" t="str">
        <f>"002539"</f>
        <v>002539</v>
      </c>
      <c r="B991" t="s">
        <v>5825</v>
      </c>
      <c r="C991">
        <v>0.83</v>
      </c>
      <c r="D991">
        <v>4.8499999999999996</v>
      </c>
      <c r="E991">
        <v>0.04</v>
      </c>
      <c r="F991">
        <v>4.8499999999999996</v>
      </c>
      <c r="G991">
        <v>4.8600000000000003</v>
      </c>
      <c r="H991">
        <v>104672</v>
      </c>
      <c r="I991">
        <v>838</v>
      </c>
      <c r="J991">
        <v>0</v>
      </c>
      <c r="K991">
        <v>1.73</v>
      </c>
      <c r="L991">
        <v>4.83</v>
      </c>
      <c r="M991">
        <v>5</v>
      </c>
      <c r="N991">
        <v>4.8</v>
      </c>
      <c r="O991">
        <v>4.8099999999999996</v>
      </c>
      <c r="P991">
        <v>20.059999999999999</v>
      </c>
      <c r="Q991">
        <v>51195728</v>
      </c>
      <c r="R991">
        <v>1.46</v>
      </c>
      <c r="S991" t="s">
        <v>697</v>
      </c>
      <c r="T991" t="s">
        <v>582</v>
      </c>
      <c r="U991">
        <v>4.16</v>
      </c>
      <c r="V991">
        <v>4.8899999999999997</v>
      </c>
      <c r="W991">
        <v>52777</v>
      </c>
      <c r="X991">
        <v>51895</v>
      </c>
      <c r="Y991">
        <v>1.02</v>
      </c>
      <c r="Z991">
        <v>694</v>
      </c>
      <c r="AA991">
        <v>1972</v>
      </c>
      <c r="AB991" t="s">
        <v>116</v>
      </c>
      <c r="AC991">
        <v>137700</v>
      </c>
      <c r="AD991">
        <v>0.01</v>
      </c>
      <c r="AE991" t="s">
        <v>116</v>
      </c>
      <c r="AF991" t="s">
        <v>116</v>
      </c>
      <c r="AG991">
        <v>6.06</v>
      </c>
      <c r="AH991" t="s">
        <v>3391</v>
      </c>
      <c r="AI991" t="s">
        <v>1950</v>
      </c>
      <c r="AJ991">
        <v>1.51</v>
      </c>
      <c r="AK991">
        <v>1456</v>
      </c>
      <c r="AL991">
        <v>72</v>
      </c>
      <c r="AM991">
        <v>1.1999999999999999E-3</v>
      </c>
      <c r="AN991">
        <v>2</v>
      </c>
      <c r="AO991">
        <v>0.2</v>
      </c>
      <c r="AP991">
        <v>4.53</v>
      </c>
      <c r="AQ991">
        <v>0.62</v>
      </c>
      <c r="AR991">
        <v>21.25</v>
      </c>
      <c r="AS991">
        <v>2.2000000000000002</v>
      </c>
      <c r="AT991" t="s">
        <v>2313</v>
      </c>
      <c r="AU991">
        <v>22.47</v>
      </c>
      <c r="AV991">
        <v>27.88</v>
      </c>
      <c r="AW991">
        <v>0.83</v>
      </c>
      <c r="BA991">
        <v>0.42</v>
      </c>
      <c r="BB991">
        <v>3.95</v>
      </c>
      <c r="BC991">
        <v>-0.21</v>
      </c>
      <c r="BD991">
        <v>1.69</v>
      </c>
      <c r="BE991">
        <v>0.41</v>
      </c>
      <c r="BF991">
        <v>-3</v>
      </c>
      <c r="BG991">
        <v>1.04</v>
      </c>
      <c r="BH991">
        <v>-0.85</v>
      </c>
      <c r="BI991">
        <v>20191029</v>
      </c>
      <c r="BJ991">
        <v>20110118</v>
      </c>
      <c r="BK991">
        <v>10.1</v>
      </c>
      <c r="BL991" t="s">
        <v>116</v>
      </c>
      <c r="BM991" t="s">
        <v>116</v>
      </c>
      <c r="BN991">
        <v>97.04</v>
      </c>
      <c r="BO991">
        <v>31.98</v>
      </c>
      <c r="BP991">
        <v>0.83</v>
      </c>
      <c r="BQ991">
        <v>66.180000000000007</v>
      </c>
      <c r="BR991">
        <v>42.43</v>
      </c>
      <c r="BS991">
        <v>36.89</v>
      </c>
      <c r="BT991">
        <v>7.7</v>
      </c>
      <c r="BU991">
        <v>52.79</v>
      </c>
      <c r="BV991">
        <v>15.04</v>
      </c>
      <c r="BW991">
        <v>4.84</v>
      </c>
      <c r="BX991">
        <v>11.26</v>
      </c>
      <c r="BY991">
        <v>66.989999999999995</v>
      </c>
      <c r="BZ991">
        <v>56.81</v>
      </c>
      <c r="CA991">
        <v>2.4300000000000002</v>
      </c>
      <c r="CB991">
        <v>0.03</v>
      </c>
      <c r="CC991">
        <v>2.41</v>
      </c>
      <c r="CD991">
        <v>1.89</v>
      </c>
      <c r="CE991">
        <v>1.83</v>
      </c>
      <c r="CF991">
        <v>1.24</v>
      </c>
      <c r="CG991">
        <v>9.07</v>
      </c>
      <c r="CH991">
        <v>6.5</v>
      </c>
      <c r="CI991">
        <v>-0.37</v>
      </c>
      <c r="CJ991">
        <v>38360</v>
      </c>
      <c r="CK991">
        <v>12420</v>
      </c>
      <c r="CL991" t="s">
        <v>274</v>
      </c>
      <c r="CM991">
        <v>30.04</v>
      </c>
      <c r="CN991">
        <v>12.93</v>
      </c>
      <c r="CO991">
        <v>1.53</v>
      </c>
      <c r="CP991">
        <v>7.54</v>
      </c>
      <c r="CQ991">
        <v>0.73</v>
      </c>
      <c r="CR991">
        <v>2.06</v>
      </c>
      <c r="CS991" t="s">
        <v>5826</v>
      </c>
      <c r="CT991">
        <v>3.17</v>
      </c>
      <c r="CU991">
        <v>0</v>
      </c>
      <c r="CV991">
        <v>1.1200000000000001</v>
      </c>
      <c r="CW991">
        <v>0.9</v>
      </c>
      <c r="CX991">
        <v>0.64</v>
      </c>
      <c r="CY991">
        <v>32.96</v>
      </c>
      <c r="CZ991" t="s">
        <v>513</v>
      </c>
      <c r="DA991">
        <v>15.19</v>
      </c>
      <c r="DB991">
        <v>3.63</v>
      </c>
      <c r="DC991">
        <v>2.73</v>
      </c>
      <c r="DD991">
        <v>1.34</v>
      </c>
      <c r="DE991">
        <v>9302</v>
      </c>
      <c r="DF991">
        <v>2539</v>
      </c>
      <c r="DG991" t="s">
        <v>116</v>
      </c>
      <c r="DH991" t="s">
        <v>116</v>
      </c>
      <c r="DI991" t="s">
        <v>116</v>
      </c>
    </row>
    <row r="992" spans="1:113" x14ac:dyDescent="0.4">
      <c r="A992" t="str">
        <f>"002540"</f>
        <v>002540</v>
      </c>
      <c r="B992" t="s">
        <v>5827</v>
      </c>
      <c r="C992">
        <v>0.48</v>
      </c>
      <c r="D992">
        <v>4.2300000000000004</v>
      </c>
      <c r="E992">
        <v>0.02</v>
      </c>
      <c r="F992">
        <v>4.2300000000000004</v>
      </c>
      <c r="G992">
        <v>4.24</v>
      </c>
      <c r="H992">
        <v>66196</v>
      </c>
      <c r="I992">
        <v>856</v>
      </c>
      <c r="J992">
        <v>-0.23</v>
      </c>
      <c r="K992">
        <v>0.74</v>
      </c>
      <c r="L992">
        <v>4.2</v>
      </c>
      <c r="M992">
        <v>4.3099999999999996</v>
      </c>
      <c r="N992">
        <v>4.17</v>
      </c>
      <c r="O992">
        <v>4.21</v>
      </c>
      <c r="P992">
        <v>17.5</v>
      </c>
      <c r="Q992">
        <v>28174072</v>
      </c>
      <c r="R992">
        <v>1.96</v>
      </c>
      <c r="S992" t="s">
        <v>1428</v>
      </c>
      <c r="T992" t="s">
        <v>323</v>
      </c>
      <c r="U992">
        <v>3.33</v>
      </c>
      <c r="V992">
        <v>4.26</v>
      </c>
      <c r="W992">
        <v>28852</v>
      </c>
      <c r="X992">
        <v>37344</v>
      </c>
      <c r="Y992">
        <v>0.77</v>
      </c>
      <c r="Z992">
        <v>998</v>
      </c>
      <c r="AA992">
        <v>326</v>
      </c>
      <c r="AB992" t="s">
        <v>116</v>
      </c>
      <c r="AC992">
        <v>54600</v>
      </c>
      <c r="AD992">
        <v>0</v>
      </c>
      <c r="AE992" t="s">
        <v>116</v>
      </c>
      <c r="AF992" t="s">
        <v>116</v>
      </c>
      <c r="AG992">
        <v>8.9499999999999993</v>
      </c>
      <c r="AH992" t="s">
        <v>1398</v>
      </c>
      <c r="AI992" t="s">
        <v>5828</v>
      </c>
      <c r="AJ992">
        <v>1.1499999999999999</v>
      </c>
      <c r="AK992">
        <v>1180</v>
      </c>
      <c r="AL992">
        <v>56</v>
      </c>
      <c r="AM992">
        <v>5.9999999999999995E-4</v>
      </c>
      <c r="AN992">
        <v>2</v>
      </c>
      <c r="AO992">
        <v>1.2</v>
      </c>
      <c r="AP992">
        <v>4.1900000000000004</v>
      </c>
      <c r="AQ992">
        <v>4.7</v>
      </c>
      <c r="AR992">
        <v>2.1800000000000002</v>
      </c>
      <c r="AS992">
        <v>1.04</v>
      </c>
      <c r="AT992" t="s">
        <v>5829</v>
      </c>
      <c r="AU992">
        <v>17.010000000000002</v>
      </c>
      <c r="AV992">
        <v>14.33</v>
      </c>
      <c r="AW992">
        <v>0.57999999999999996</v>
      </c>
      <c r="BA992">
        <v>-0.24</v>
      </c>
      <c r="BB992">
        <v>2.38</v>
      </c>
      <c r="BC992">
        <v>-0.95</v>
      </c>
      <c r="BD992">
        <v>1.1000000000000001</v>
      </c>
      <c r="BE992">
        <v>0.71</v>
      </c>
      <c r="BF992">
        <v>-1.86</v>
      </c>
      <c r="BG992">
        <v>1.44</v>
      </c>
      <c r="BH992">
        <v>-0.62</v>
      </c>
      <c r="BI992">
        <v>20191024</v>
      </c>
      <c r="BJ992">
        <v>20110118</v>
      </c>
      <c r="BK992">
        <v>12.71</v>
      </c>
      <c r="BL992" t="s">
        <v>116</v>
      </c>
      <c r="BM992" t="s">
        <v>116</v>
      </c>
      <c r="BN992">
        <v>50.11</v>
      </c>
      <c r="BO992">
        <v>44.9</v>
      </c>
      <c r="BP992">
        <v>0</v>
      </c>
      <c r="BQ992">
        <v>10.4</v>
      </c>
      <c r="BR992">
        <v>32.51</v>
      </c>
      <c r="BS992">
        <v>10.62</v>
      </c>
      <c r="BT992">
        <v>2.16</v>
      </c>
      <c r="BU992">
        <v>4.72</v>
      </c>
      <c r="BV992">
        <v>3.78</v>
      </c>
      <c r="BW992">
        <v>6.99</v>
      </c>
      <c r="BX992">
        <v>19.48</v>
      </c>
      <c r="BY992">
        <v>23.84</v>
      </c>
      <c r="BZ992">
        <v>19.079999999999998</v>
      </c>
      <c r="CA992">
        <v>2.74</v>
      </c>
      <c r="CB992">
        <v>0.49</v>
      </c>
      <c r="CC992">
        <v>2.76</v>
      </c>
      <c r="CD992">
        <v>2.2999999999999998</v>
      </c>
      <c r="CE992">
        <v>2.2999999999999998</v>
      </c>
      <c r="CF992">
        <v>1.68</v>
      </c>
      <c r="CG992">
        <v>12.09</v>
      </c>
      <c r="CH992">
        <v>2.36</v>
      </c>
      <c r="CI992">
        <v>-1.35</v>
      </c>
      <c r="CJ992">
        <v>64490</v>
      </c>
      <c r="CK992">
        <v>9873</v>
      </c>
      <c r="CL992" t="s">
        <v>563</v>
      </c>
      <c r="CM992">
        <v>-20.43</v>
      </c>
      <c r="CN992">
        <v>-9.07</v>
      </c>
      <c r="CO992">
        <v>1.2</v>
      </c>
      <c r="CP992">
        <v>22.79</v>
      </c>
      <c r="CQ992">
        <v>2.25</v>
      </c>
      <c r="CR992">
        <v>11.19</v>
      </c>
      <c r="CS992" t="s">
        <v>5826</v>
      </c>
      <c r="CT992">
        <v>3.53</v>
      </c>
      <c r="CU992">
        <v>0</v>
      </c>
      <c r="CV992">
        <v>1.53</v>
      </c>
      <c r="CW992">
        <v>0.95</v>
      </c>
      <c r="CX992">
        <v>0.19</v>
      </c>
      <c r="CY992">
        <v>89.6</v>
      </c>
      <c r="CZ992" t="s">
        <v>5830</v>
      </c>
      <c r="DA992">
        <v>19.97</v>
      </c>
      <c r="DB992">
        <v>11.5</v>
      </c>
      <c r="DC992">
        <v>9.66</v>
      </c>
      <c r="DD992">
        <v>1.07</v>
      </c>
      <c r="DE992">
        <v>2743</v>
      </c>
      <c r="DF992">
        <v>2540</v>
      </c>
      <c r="DG992" t="s">
        <v>116</v>
      </c>
      <c r="DH992" t="s">
        <v>116</v>
      </c>
      <c r="DI992" t="s">
        <v>116</v>
      </c>
    </row>
    <row r="993" spans="1:113" x14ac:dyDescent="0.4">
      <c r="A993" t="str">
        <f>"002541"</f>
        <v>002541</v>
      </c>
      <c r="B993" t="s">
        <v>5831</v>
      </c>
      <c r="C993">
        <v>-2.4300000000000002</v>
      </c>
      <c r="D993">
        <v>10.46</v>
      </c>
      <c r="E993">
        <v>-0.26</v>
      </c>
      <c r="F993">
        <v>10.45</v>
      </c>
      <c r="G993">
        <v>10.46</v>
      </c>
      <c r="H993">
        <v>47446</v>
      </c>
      <c r="I993">
        <v>368</v>
      </c>
      <c r="J993">
        <v>0.19</v>
      </c>
      <c r="K993">
        <v>1.28</v>
      </c>
      <c r="L993">
        <v>10.71</v>
      </c>
      <c r="M993">
        <v>10.93</v>
      </c>
      <c r="N993">
        <v>10.4</v>
      </c>
      <c r="O993">
        <v>10.72</v>
      </c>
      <c r="P993">
        <v>12.15</v>
      </c>
      <c r="Q993">
        <v>50445324</v>
      </c>
      <c r="R993">
        <v>0.96</v>
      </c>
      <c r="S993" t="s">
        <v>2118</v>
      </c>
      <c r="T993" t="s">
        <v>575</v>
      </c>
      <c r="U993">
        <v>4.9400000000000004</v>
      </c>
      <c r="V993">
        <v>10.63</v>
      </c>
      <c r="W993">
        <v>28035</v>
      </c>
      <c r="X993">
        <v>19411</v>
      </c>
      <c r="Y993">
        <v>1.44</v>
      </c>
      <c r="Z993">
        <v>1384</v>
      </c>
      <c r="AA993">
        <v>256</v>
      </c>
      <c r="AB993" t="s">
        <v>116</v>
      </c>
      <c r="AC993">
        <v>49300</v>
      </c>
      <c r="AD993">
        <v>0</v>
      </c>
      <c r="AE993" t="s">
        <v>116</v>
      </c>
      <c r="AF993" t="s">
        <v>116</v>
      </c>
      <c r="AG993">
        <v>3.7</v>
      </c>
      <c r="AH993" t="s">
        <v>5832</v>
      </c>
      <c r="AI993" t="s">
        <v>5833</v>
      </c>
      <c r="AJ993">
        <v>-1.75</v>
      </c>
      <c r="AK993">
        <v>1586</v>
      </c>
      <c r="AL993">
        <v>30</v>
      </c>
      <c r="AM993">
        <v>8.0000000000000004E-4</v>
      </c>
      <c r="AN993">
        <v>-3</v>
      </c>
      <c r="AO993">
        <v>-3.77</v>
      </c>
      <c r="AP993">
        <v>7.5</v>
      </c>
      <c r="AQ993">
        <v>31.57</v>
      </c>
      <c r="AR993">
        <v>50.83</v>
      </c>
      <c r="AS993">
        <v>1.88</v>
      </c>
      <c r="AT993" t="s">
        <v>5834</v>
      </c>
      <c r="AU993">
        <v>13</v>
      </c>
      <c r="AV993">
        <v>13.17</v>
      </c>
      <c r="AW993">
        <v>0.28000000000000003</v>
      </c>
      <c r="BA993">
        <v>-0.09</v>
      </c>
      <c r="BB993">
        <v>1.96</v>
      </c>
      <c r="BC993">
        <v>-2.99</v>
      </c>
      <c r="BD993">
        <v>-0.82</v>
      </c>
      <c r="BE993">
        <v>-2.33</v>
      </c>
      <c r="BF993">
        <v>-4.3</v>
      </c>
      <c r="BG993">
        <v>0.57999999999999996</v>
      </c>
      <c r="BH993">
        <v>-1.61</v>
      </c>
      <c r="BI993">
        <v>20191022</v>
      </c>
      <c r="BJ993">
        <v>20110118</v>
      </c>
      <c r="BK993">
        <v>5.24</v>
      </c>
      <c r="BL993" t="s">
        <v>116</v>
      </c>
      <c r="BM993" t="s">
        <v>116</v>
      </c>
      <c r="BN993">
        <v>120.58</v>
      </c>
      <c r="BO993">
        <v>47.17</v>
      </c>
      <c r="BP993">
        <v>0</v>
      </c>
      <c r="BQ993">
        <v>60.88</v>
      </c>
      <c r="BR993">
        <v>77.95</v>
      </c>
      <c r="BS993">
        <v>23.72</v>
      </c>
      <c r="BT993">
        <v>7.54</v>
      </c>
      <c r="BU993">
        <v>64.63</v>
      </c>
      <c r="BV993">
        <v>43.65</v>
      </c>
      <c r="BW993">
        <v>16.579999999999998</v>
      </c>
      <c r="BX993">
        <v>21.3</v>
      </c>
      <c r="BY993">
        <v>76.41</v>
      </c>
      <c r="BZ993">
        <v>66.27</v>
      </c>
      <c r="CA993">
        <v>3.56</v>
      </c>
      <c r="CB993">
        <v>-0.05</v>
      </c>
      <c r="CC993">
        <v>4.12</v>
      </c>
      <c r="CD993">
        <v>3.38</v>
      </c>
      <c r="CE993">
        <v>3.38</v>
      </c>
      <c r="CF993">
        <v>2.74</v>
      </c>
      <c r="CG993">
        <v>19.72</v>
      </c>
      <c r="CH993">
        <v>5.31</v>
      </c>
      <c r="CI993">
        <v>-1.87</v>
      </c>
      <c r="CJ993">
        <v>17942</v>
      </c>
      <c r="CK993">
        <v>14062</v>
      </c>
      <c r="CL993" t="s">
        <v>408</v>
      </c>
      <c r="CM993">
        <v>1.58</v>
      </c>
      <c r="CN993">
        <v>47.99</v>
      </c>
      <c r="CO993">
        <v>1.1599999999999999</v>
      </c>
      <c r="CP993">
        <v>10.32</v>
      </c>
      <c r="CQ993">
        <v>0.72</v>
      </c>
      <c r="CR993">
        <v>0.81</v>
      </c>
      <c r="CS993" t="s">
        <v>5835</v>
      </c>
      <c r="CT993">
        <v>9.01</v>
      </c>
      <c r="CU993">
        <v>0</v>
      </c>
      <c r="CV993">
        <v>4.07</v>
      </c>
      <c r="CW993">
        <v>3.76</v>
      </c>
      <c r="CX993">
        <v>1.01</v>
      </c>
      <c r="CY993">
        <v>39.119999999999997</v>
      </c>
      <c r="CZ993" t="s">
        <v>5836</v>
      </c>
      <c r="DA993">
        <v>13.27</v>
      </c>
      <c r="DB993">
        <v>4.66</v>
      </c>
      <c r="DC993">
        <v>4.42</v>
      </c>
      <c r="DD993">
        <v>1.71</v>
      </c>
      <c r="DE993">
        <v>11053</v>
      </c>
      <c r="DF993">
        <v>2541</v>
      </c>
      <c r="DG993" t="s">
        <v>116</v>
      </c>
      <c r="DH993" t="s">
        <v>116</v>
      </c>
      <c r="DI993" t="s">
        <v>116</v>
      </c>
    </row>
    <row r="994" spans="1:113" x14ac:dyDescent="0.4">
      <c r="A994" t="str">
        <f>"002542"</f>
        <v>002542</v>
      </c>
      <c r="B994" t="s">
        <v>5837</v>
      </c>
      <c r="C994">
        <v>-1.59</v>
      </c>
      <c r="D994">
        <v>3.72</v>
      </c>
      <c r="E994">
        <v>-0.06</v>
      </c>
      <c r="F994">
        <v>3.72</v>
      </c>
      <c r="G994">
        <v>3.73</v>
      </c>
      <c r="H994">
        <v>85166</v>
      </c>
      <c r="I994">
        <v>1203</v>
      </c>
      <c r="J994">
        <v>0</v>
      </c>
      <c r="K994">
        <v>0.71</v>
      </c>
      <c r="L994">
        <v>3.77</v>
      </c>
      <c r="M994">
        <v>3.77</v>
      </c>
      <c r="N994">
        <v>3.71</v>
      </c>
      <c r="O994">
        <v>3.78</v>
      </c>
      <c r="P994">
        <v>29.98</v>
      </c>
      <c r="Q994">
        <v>31758086</v>
      </c>
      <c r="R994">
        <v>1.42</v>
      </c>
      <c r="S994" t="s">
        <v>181</v>
      </c>
      <c r="T994" t="s">
        <v>165</v>
      </c>
      <c r="U994">
        <v>1.59</v>
      </c>
      <c r="V994">
        <v>3.73</v>
      </c>
      <c r="W994">
        <v>50442</v>
      </c>
      <c r="X994">
        <v>34724</v>
      </c>
      <c r="Y994">
        <v>1.45</v>
      </c>
      <c r="Z994">
        <v>172</v>
      </c>
      <c r="AA994">
        <v>4839</v>
      </c>
      <c r="AB994" t="s">
        <v>116</v>
      </c>
      <c r="AC994">
        <v>219000</v>
      </c>
      <c r="AD994">
        <v>0.01</v>
      </c>
      <c r="AE994" t="s">
        <v>116</v>
      </c>
      <c r="AF994" t="s">
        <v>116</v>
      </c>
      <c r="AG994">
        <v>12.03</v>
      </c>
      <c r="AH994" t="s">
        <v>3122</v>
      </c>
      <c r="AI994" t="s">
        <v>5838</v>
      </c>
      <c r="AJ994">
        <v>-0.91</v>
      </c>
      <c r="AK994">
        <v>1596</v>
      </c>
      <c r="AL994">
        <v>53</v>
      </c>
      <c r="AM994">
        <v>4.0000000000000002E-4</v>
      </c>
      <c r="AN994">
        <v>-1</v>
      </c>
      <c r="AO994">
        <v>-1.32</v>
      </c>
      <c r="AP994">
        <v>1.92</v>
      </c>
      <c r="AQ994">
        <v>-4.37</v>
      </c>
      <c r="AR994">
        <v>-13.08</v>
      </c>
      <c r="AS994">
        <v>1.26</v>
      </c>
      <c r="AT994" t="s">
        <v>219</v>
      </c>
      <c r="AU994">
        <v>29.42</v>
      </c>
      <c r="AV994">
        <v>30.12</v>
      </c>
      <c r="AW994">
        <v>1.1200000000000001</v>
      </c>
      <c r="BA994">
        <v>-0.26</v>
      </c>
      <c r="BB994">
        <v>-0.26</v>
      </c>
      <c r="BC994">
        <v>-1.85</v>
      </c>
      <c r="BD994">
        <v>-1.35</v>
      </c>
      <c r="BE994">
        <v>-1.33</v>
      </c>
      <c r="BF994">
        <v>-1.33</v>
      </c>
      <c r="BG994">
        <v>0.27</v>
      </c>
      <c r="BH994">
        <v>-0.24</v>
      </c>
      <c r="BI994">
        <v>20191227</v>
      </c>
      <c r="BJ994">
        <v>20110128</v>
      </c>
      <c r="BK994">
        <v>18.059999999999999</v>
      </c>
      <c r="BL994" t="s">
        <v>116</v>
      </c>
      <c r="BM994" t="s">
        <v>116</v>
      </c>
      <c r="BN994">
        <v>86.06</v>
      </c>
      <c r="BO994">
        <v>40.200000000000003</v>
      </c>
      <c r="BP994">
        <v>0.42</v>
      </c>
      <c r="BQ994">
        <v>52.79</v>
      </c>
      <c r="BR994">
        <v>58.89</v>
      </c>
      <c r="BS994">
        <v>11.74</v>
      </c>
      <c r="BT994">
        <v>2.4300000000000002</v>
      </c>
      <c r="BU994">
        <v>38.53</v>
      </c>
      <c r="BV994">
        <v>21.47</v>
      </c>
      <c r="BW994">
        <v>24.35</v>
      </c>
      <c r="BX994">
        <v>7.78</v>
      </c>
      <c r="BY994">
        <v>26</v>
      </c>
      <c r="BZ994">
        <v>20.79</v>
      </c>
      <c r="CA994">
        <v>1.99</v>
      </c>
      <c r="CB994">
        <v>0.09</v>
      </c>
      <c r="CC994">
        <v>2</v>
      </c>
      <c r="CD994">
        <v>1.67</v>
      </c>
      <c r="CE994">
        <v>1.68</v>
      </c>
      <c r="CF994">
        <v>1.59</v>
      </c>
      <c r="CG994">
        <v>11.38</v>
      </c>
      <c r="CH994">
        <v>0.39</v>
      </c>
      <c r="CI994">
        <v>-0.97</v>
      </c>
      <c r="CJ994">
        <v>62776</v>
      </c>
      <c r="CK994">
        <v>10744</v>
      </c>
      <c r="CL994" t="s">
        <v>3805</v>
      </c>
      <c r="CM994">
        <v>3.27</v>
      </c>
      <c r="CN994">
        <v>12.15</v>
      </c>
      <c r="CO994">
        <v>1.74</v>
      </c>
      <c r="CP994">
        <v>173.04</v>
      </c>
      <c r="CQ994">
        <v>2.58</v>
      </c>
      <c r="CR994">
        <v>0.54</v>
      </c>
      <c r="CS994" t="s">
        <v>2836</v>
      </c>
      <c r="CT994">
        <v>2.14</v>
      </c>
      <c r="CU994">
        <v>2.14</v>
      </c>
      <c r="CV994">
        <v>0.43</v>
      </c>
      <c r="CW994">
        <v>0.63</v>
      </c>
      <c r="CX994">
        <v>0.02</v>
      </c>
      <c r="CY994">
        <v>46.71</v>
      </c>
      <c r="CZ994" t="s">
        <v>5839</v>
      </c>
      <c r="DA994">
        <v>20.02</v>
      </c>
      <c r="DB994">
        <v>7.67</v>
      </c>
      <c r="DC994">
        <v>6.46</v>
      </c>
      <c r="DD994">
        <v>0.72</v>
      </c>
      <c r="DE994">
        <v>2574</v>
      </c>
      <c r="DF994">
        <v>2542</v>
      </c>
      <c r="DG994" t="s">
        <v>116</v>
      </c>
      <c r="DH994" t="s">
        <v>116</v>
      </c>
      <c r="DI994" t="s">
        <v>116</v>
      </c>
    </row>
    <row r="995" spans="1:113" x14ac:dyDescent="0.4">
      <c r="A995" t="str">
        <f>"002543"</f>
        <v>002543</v>
      </c>
      <c r="B995" t="s">
        <v>5840</v>
      </c>
      <c r="C995">
        <v>0.53</v>
      </c>
      <c r="D995">
        <v>9.4700000000000006</v>
      </c>
      <c r="E995">
        <v>0.05</v>
      </c>
      <c r="F995">
        <v>9.4600000000000009</v>
      </c>
      <c r="G995">
        <v>9.4700000000000006</v>
      </c>
      <c r="H995">
        <v>35714</v>
      </c>
      <c r="I995">
        <v>413</v>
      </c>
      <c r="J995">
        <v>0.11</v>
      </c>
      <c r="K995">
        <v>0.56999999999999995</v>
      </c>
      <c r="L995">
        <v>9.42</v>
      </c>
      <c r="M995">
        <v>9.65</v>
      </c>
      <c r="N995">
        <v>9.36</v>
      </c>
      <c r="O995">
        <v>9.42</v>
      </c>
      <c r="P995">
        <v>11.85</v>
      </c>
      <c r="Q995">
        <v>33977396</v>
      </c>
      <c r="R995">
        <v>2.4</v>
      </c>
      <c r="S995" t="s">
        <v>209</v>
      </c>
      <c r="T995" t="s">
        <v>551</v>
      </c>
      <c r="U995">
        <v>3.08</v>
      </c>
      <c r="V995">
        <v>9.51</v>
      </c>
      <c r="W995">
        <v>16018</v>
      </c>
      <c r="X995">
        <v>19696</v>
      </c>
      <c r="Y995">
        <v>0.81</v>
      </c>
      <c r="Z995">
        <v>445</v>
      </c>
      <c r="AA995">
        <v>91</v>
      </c>
      <c r="AB995" t="s">
        <v>116</v>
      </c>
      <c r="AC995">
        <v>77200</v>
      </c>
      <c r="AD995">
        <v>0</v>
      </c>
      <c r="AE995" t="s">
        <v>116</v>
      </c>
      <c r="AF995" t="s">
        <v>116</v>
      </c>
      <c r="AG995">
        <v>6.31</v>
      </c>
      <c r="AH995" t="s">
        <v>5841</v>
      </c>
      <c r="AI995" t="s">
        <v>2984</v>
      </c>
      <c r="AJ995">
        <v>1.21</v>
      </c>
      <c r="AK995">
        <v>1238</v>
      </c>
      <c r="AL995">
        <v>29</v>
      </c>
      <c r="AM995">
        <v>5.0000000000000001E-4</v>
      </c>
      <c r="AN995">
        <v>4</v>
      </c>
      <c r="AO995">
        <v>1.72</v>
      </c>
      <c r="AP995">
        <v>4.6399999999999997</v>
      </c>
      <c r="AQ995">
        <v>-2.27</v>
      </c>
      <c r="AR995">
        <v>-0.88</v>
      </c>
      <c r="AS995">
        <v>1.93</v>
      </c>
      <c r="AT995" t="s">
        <v>5842</v>
      </c>
      <c r="AU995">
        <v>12.44</v>
      </c>
      <c r="AV995">
        <v>14.4</v>
      </c>
      <c r="AW995">
        <v>1.04</v>
      </c>
      <c r="BA995">
        <v>0</v>
      </c>
      <c r="BB995">
        <v>2.44</v>
      </c>
      <c r="BC995">
        <v>-0.64</v>
      </c>
      <c r="BD995">
        <v>0.99</v>
      </c>
      <c r="BE995">
        <v>0.53</v>
      </c>
      <c r="BF995">
        <v>-1.87</v>
      </c>
      <c r="BG995">
        <v>1.18</v>
      </c>
      <c r="BH995">
        <v>-0.46</v>
      </c>
      <c r="BI995">
        <v>20191026</v>
      </c>
      <c r="BJ995">
        <v>20110128</v>
      </c>
      <c r="BK995">
        <v>7.44</v>
      </c>
      <c r="BL995" t="s">
        <v>116</v>
      </c>
      <c r="BM995" t="s">
        <v>116</v>
      </c>
      <c r="BN995">
        <v>66.69</v>
      </c>
      <c r="BO995">
        <v>34.799999999999997</v>
      </c>
      <c r="BP995">
        <v>1.75</v>
      </c>
      <c r="BQ995">
        <v>45.2</v>
      </c>
      <c r="BR995">
        <v>34.92</v>
      </c>
      <c r="BS995">
        <v>11.49</v>
      </c>
      <c r="BT995">
        <v>3.14</v>
      </c>
      <c r="BU995">
        <v>29.44</v>
      </c>
      <c r="BV995">
        <v>10.38</v>
      </c>
      <c r="BW995">
        <v>7.44</v>
      </c>
      <c r="BX995">
        <v>9.4</v>
      </c>
      <c r="BY995">
        <v>47.94</v>
      </c>
      <c r="BZ995">
        <v>31.67</v>
      </c>
      <c r="CA995">
        <v>5.42</v>
      </c>
      <c r="CB995">
        <v>0.51</v>
      </c>
      <c r="CC995">
        <v>5.48</v>
      </c>
      <c r="CD995">
        <v>4.54</v>
      </c>
      <c r="CE995">
        <v>4.46</v>
      </c>
      <c r="CF995">
        <v>3.85</v>
      </c>
      <c r="CG995">
        <v>15.97</v>
      </c>
      <c r="CH995">
        <v>9.06</v>
      </c>
      <c r="CI995">
        <v>1.1499999999999999</v>
      </c>
      <c r="CJ995">
        <v>15177</v>
      </c>
      <c r="CK995">
        <v>12166</v>
      </c>
      <c r="CL995" t="s">
        <v>5843</v>
      </c>
      <c r="CM995">
        <v>20.93</v>
      </c>
      <c r="CN995">
        <v>-9.41</v>
      </c>
      <c r="CO995">
        <v>2.02</v>
      </c>
      <c r="CP995">
        <v>7.77</v>
      </c>
      <c r="CQ995">
        <v>1.47</v>
      </c>
      <c r="CR995">
        <v>3.49</v>
      </c>
      <c r="CS995" t="s">
        <v>5844</v>
      </c>
      <c r="CT995">
        <v>4.68</v>
      </c>
      <c r="CU995">
        <v>0</v>
      </c>
      <c r="CV995">
        <v>1.26</v>
      </c>
      <c r="CW995">
        <v>2.15</v>
      </c>
      <c r="CX995">
        <v>1.22</v>
      </c>
      <c r="CY995">
        <v>52.17</v>
      </c>
      <c r="CZ995" t="s">
        <v>5845</v>
      </c>
      <c r="DA995">
        <v>33.94</v>
      </c>
      <c r="DB995">
        <v>11.31</v>
      </c>
      <c r="DC995">
        <v>9.3000000000000007</v>
      </c>
      <c r="DD995">
        <v>1.67</v>
      </c>
      <c r="DE995">
        <v>5449</v>
      </c>
      <c r="DF995">
        <v>2543</v>
      </c>
      <c r="DG995" t="s">
        <v>116</v>
      </c>
      <c r="DH995" t="s">
        <v>116</v>
      </c>
      <c r="DI995" t="s">
        <v>116</v>
      </c>
    </row>
    <row r="996" spans="1:113" x14ac:dyDescent="0.4">
      <c r="A996" t="str">
        <f>"002544"</f>
        <v>002544</v>
      </c>
      <c r="B996" t="s">
        <v>5846</v>
      </c>
      <c r="C996">
        <v>-0.51</v>
      </c>
      <c r="D996">
        <v>13.75</v>
      </c>
      <c r="E996">
        <v>-7.0000000000000007E-2</v>
      </c>
      <c r="F996">
        <v>13.74</v>
      </c>
      <c r="G996">
        <v>13.75</v>
      </c>
      <c r="H996">
        <v>76943</v>
      </c>
      <c r="I996">
        <v>1125</v>
      </c>
      <c r="J996">
        <v>0.28999999999999998</v>
      </c>
      <c r="K996">
        <v>1.5</v>
      </c>
      <c r="L996">
        <v>13.96</v>
      </c>
      <c r="M996">
        <v>13.96</v>
      </c>
      <c r="N996">
        <v>13.53</v>
      </c>
      <c r="O996">
        <v>13.82</v>
      </c>
      <c r="P996">
        <v>109.02</v>
      </c>
      <c r="Q996">
        <v>105541392</v>
      </c>
      <c r="R996">
        <v>1.01</v>
      </c>
      <c r="S996" t="s">
        <v>607</v>
      </c>
      <c r="T996" t="s">
        <v>551</v>
      </c>
      <c r="U996">
        <v>3.11</v>
      </c>
      <c r="V996">
        <v>13.72</v>
      </c>
      <c r="W996">
        <v>43752</v>
      </c>
      <c r="X996">
        <v>33191</v>
      </c>
      <c r="Y996">
        <v>1.32</v>
      </c>
      <c r="Z996">
        <v>285</v>
      </c>
      <c r="AA996">
        <v>323</v>
      </c>
      <c r="AB996" t="s">
        <v>116</v>
      </c>
      <c r="AC996">
        <v>777600</v>
      </c>
      <c r="AD996">
        <v>0.02</v>
      </c>
      <c r="AE996" t="s">
        <v>116</v>
      </c>
      <c r="AF996" t="s">
        <v>116</v>
      </c>
      <c r="AG996">
        <v>5.13</v>
      </c>
      <c r="AH996" t="s">
        <v>5847</v>
      </c>
      <c r="AI996" t="s">
        <v>5848</v>
      </c>
      <c r="AJ996">
        <v>0.17</v>
      </c>
      <c r="AK996">
        <v>2725</v>
      </c>
      <c r="AL996">
        <v>28</v>
      </c>
      <c r="AM996">
        <v>5.9999999999999995E-4</v>
      </c>
      <c r="AN996">
        <v>-1</v>
      </c>
      <c r="AO996">
        <v>2.31</v>
      </c>
      <c r="AP996">
        <v>13.45</v>
      </c>
      <c r="AQ996">
        <v>7.25</v>
      </c>
      <c r="AR996">
        <v>27.43</v>
      </c>
      <c r="AS996">
        <v>2.56</v>
      </c>
      <c r="AT996" t="s">
        <v>5849</v>
      </c>
      <c r="AU996">
        <v>303.38</v>
      </c>
      <c r="AV996">
        <v>569.89</v>
      </c>
      <c r="AW996">
        <v>1.57</v>
      </c>
      <c r="BA996">
        <v>1.01</v>
      </c>
      <c r="BB996">
        <v>1.01</v>
      </c>
      <c r="BC996">
        <v>-2.1</v>
      </c>
      <c r="BD996">
        <v>-0.75</v>
      </c>
      <c r="BE996">
        <v>-1.5</v>
      </c>
      <c r="BF996">
        <v>-1.5</v>
      </c>
      <c r="BG996">
        <v>1.63</v>
      </c>
      <c r="BH996">
        <v>0.24</v>
      </c>
      <c r="BI996">
        <v>20191026</v>
      </c>
      <c r="BJ996">
        <v>20110128</v>
      </c>
      <c r="BK996">
        <v>5.71</v>
      </c>
      <c r="BL996" t="s">
        <v>116</v>
      </c>
      <c r="BM996" t="s">
        <v>116</v>
      </c>
      <c r="BN996">
        <v>73.319999999999993</v>
      </c>
      <c r="BO996">
        <v>21.02</v>
      </c>
      <c r="BP996">
        <v>0.91</v>
      </c>
      <c r="BQ996">
        <v>70.09</v>
      </c>
      <c r="BR996">
        <v>62.45</v>
      </c>
      <c r="BS996">
        <v>6.62</v>
      </c>
      <c r="BT996">
        <v>1.94</v>
      </c>
      <c r="BU996">
        <v>50.42</v>
      </c>
      <c r="BV996">
        <v>13.42</v>
      </c>
      <c r="BW996">
        <v>34.119999999999997</v>
      </c>
      <c r="BX996">
        <v>6.17</v>
      </c>
      <c r="BY996">
        <v>35.229999999999997</v>
      </c>
      <c r="BZ996">
        <v>28.47</v>
      </c>
      <c r="CA996">
        <v>0.75</v>
      </c>
      <c r="CB996">
        <v>-0.01</v>
      </c>
      <c r="CC996">
        <v>0.74</v>
      </c>
      <c r="CD996">
        <v>0.6</v>
      </c>
      <c r="CE996">
        <v>0.54</v>
      </c>
      <c r="CF996">
        <v>0.49</v>
      </c>
      <c r="CG996">
        <v>8.17</v>
      </c>
      <c r="CH996">
        <v>-7.42</v>
      </c>
      <c r="CI996">
        <v>-7.6</v>
      </c>
      <c r="CJ996">
        <v>33015</v>
      </c>
      <c r="CK996">
        <v>9103</v>
      </c>
      <c r="CL996" t="s">
        <v>2146</v>
      </c>
      <c r="CM996">
        <v>28.88</v>
      </c>
      <c r="CN996">
        <v>6.14</v>
      </c>
      <c r="CO996">
        <v>3.74</v>
      </c>
      <c r="CP996">
        <v>-10.59</v>
      </c>
      <c r="CQ996">
        <v>2.23</v>
      </c>
      <c r="CR996">
        <v>0.22</v>
      </c>
      <c r="CS996" t="s">
        <v>5850</v>
      </c>
      <c r="CT996">
        <v>3.68</v>
      </c>
      <c r="CU996">
        <v>0</v>
      </c>
      <c r="CV996">
        <v>1.08</v>
      </c>
      <c r="CW996">
        <v>1.43</v>
      </c>
      <c r="CX996">
        <v>-1.3</v>
      </c>
      <c r="CY996">
        <v>28.67</v>
      </c>
      <c r="CZ996" t="s">
        <v>1203</v>
      </c>
      <c r="DA996">
        <v>19.21</v>
      </c>
      <c r="DB996">
        <v>2.13</v>
      </c>
      <c r="DC996">
        <v>1.53</v>
      </c>
      <c r="DD996">
        <v>1.65</v>
      </c>
      <c r="DE996">
        <v>6426</v>
      </c>
      <c r="DF996">
        <v>2544</v>
      </c>
      <c r="DG996" t="s">
        <v>116</v>
      </c>
      <c r="DH996" t="s">
        <v>116</v>
      </c>
      <c r="DI996" t="s">
        <v>116</v>
      </c>
    </row>
    <row r="997" spans="1:113" x14ac:dyDescent="0.4">
      <c r="A997" t="str">
        <f>"002545"</f>
        <v>002545</v>
      </c>
      <c r="B997" t="s">
        <v>5851</v>
      </c>
      <c r="C997">
        <v>0</v>
      </c>
      <c r="D997">
        <v>7.47</v>
      </c>
      <c r="E997">
        <v>0</v>
      </c>
      <c r="F997">
        <v>7.46</v>
      </c>
      <c r="G997">
        <v>7.47</v>
      </c>
      <c r="H997">
        <v>52056</v>
      </c>
      <c r="I997">
        <v>1013</v>
      </c>
      <c r="J997">
        <v>0.13</v>
      </c>
      <c r="K997">
        <v>0.5</v>
      </c>
      <c r="L997">
        <v>7.46</v>
      </c>
      <c r="M997">
        <v>7.5</v>
      </c>
      <c r="N997">
        <v>7.38</v>
      </c>
      <c r="O997">
        <v>7.47</v>
      </c>
      <c r="P997">
        <v>27.12</v>
      </c>
      <c r="Q997">
        <v>38729932</v>
      </c>
      <c r="R997">
        <v>0.79</v>
      </c>
      <c r="S997" t="s">
        <v>697</v>
      </c>
      <c r="T997" t="s">
        <v>645</v>
      </c>
      <c r="U997">
        <v>1.61</v>
      </c>
      <c r="V997">
        <v>7.44</v>
      </c>
      <c r="W997">
        <v>30324</v>
      </c>
      <c r="X997">
        <v>21732</v>
      </c>
      <c r="Y997">
        <v>1.4</v>
      </c>
      <c r="Z997">
        <v>66</v>
      </c>
      <c r="AA997">
        <v>767</v>
      </c>
      <c r="AB997" t="s">
        <v>116</v>
      </c>
      <c r="AC997">
        <v>38000</v>
      </c>
      <c r="AD997">
        <v>0</v>
      </c>
      <c r="AE997" t="s">
        <v>116</v>
      </c>
      <c r="AF997" t="s">
        <v>116</v>
      </c>
      <c r="AG997">
        <v>10.32</v>
      </c>
      <c r="AH997" t="s">
        <v>5852</v>
      </c>
      <c r="AI997" t="s">
        <v>5853</v>
      </c>
      <c r="AJ997">
        <v>0.68</v>
      </c>
      <c r="AK997">
        <v>1407</v>
      </c>
      <c r="AL997">
        <v>37</v>
      </c>
      <c r="AM997">
        <v>4.0000000000000002E-4</v>
      </c>
      <c r="AN997">
        <v>0</v>
      </c>
      <c r="AO997">
        <v>0.95</v>
      </c>
      <c r="AP997">
        <v>10.18</v>
      </c>
      <c r="AQ997">
        <v>19.71</v>
      </c>
      <c r="AR997">
        <v>30.14</v>
      </c>
      <c r="AS997">
        <v>2.09</v>
      </c>
      <c r="AT997" t="s">
        <v>133</v>
      </c>
      <c r="AU997">
        <v>19.14</v>
      </c>
      <c r="AV997">
        <v>20.81</v>
      </c>
      <c r="AW997">
        <v>0.59</v>
      </c>
      <c r="BA997">
        <v>-0.13</v>
      </c>
      <c r="BB997">
        <v>0.4</v>
      </c>
      <c r="BC997">
        <v>-1.2</v>
      </c>
      <c r="BD997">
        <v>-0.4</v>
      </c>
      <c r="BE997">
        <v>0.13</v>
      </c>
      <c r="BF997">
        <v>-0.4</v>
      </c>
      <c r="BG997">
        <v>1.22</v>
      </c>
      <c r="BH997">
        <v>0.4</v>
      </c>
      <c r="BI997">
        <v>20191028</v>
      </c>
      <c r="BJ997">
        <v>20110211</v>
      </c>
      <c r="BK997">
        <v>12.44</v>
      </c>
      <c r="BL997" t="s">
        <v>116</v>
      </c>
      <c r="BM997" t="s">
        <v>116</v>
      </c>
      <c r="BN997">
        <v>116.68</v>
      </c>
      <c r="BO997">
        <v>76.510000000000005</v>
      </c>
      <c r="BP997">
        <v>0.18</v>
      </c>
      <c r="BQ997">
        <v>34.28</v>
      </c>
      <c r="BR997">
        <v>31.01</v>
      </c>
      <c r="BS997">
        <v>23.7</v>
      </c>
      <c r="BT997">
        <v>36.94</v>
      </c>
      <c r="BU997">
        <v>22.03</v>
      </c>
      <c r="BV997">
        <v>13.14</v>
      </c>
      <c r="BW997">
        <v>5.66</v>
      </c>
      <c r="BX997">
        <v>45.95</v>
      </c>
      <c r="BY997">
        <v>17.36</v>
      </c>
      <c r="BZ997">
        <v>11.67</v>
      </c>
      <c r="CA997">
        <v>3.01</v>
      </c>
      <c r="CB997">
        <v>0.64</v>
      </c>
      <c r="CC997">
        <v>3.02</v>
      </c>
      <c r="CD997">
        <v>2.5499999999999998</v>
      </c>
      <c r="CE997">
        <v>2.57</v>
      </c>
      <c r="CF997">
        <v>2.56</v>
      </c>
      <c r="CG997">
        <v>13.43</v>
      </c>
      <c r="CH997">
        <v>1.3</v>
      </c>
      <c r="CI997">
        <v>0.23</v>
      </c>
      <c r="CJ997">
        <v>24536</v>
      </c>
      <c r="CK997">
        <v>10162</v>
      </c>
      <c r="CL997" t="s">
        <v>4073</v>
      </c>
      <c r="CM997">
        <v>17.93</v>
      </c>
      <c r="CN997">
        <v>15.96</v>
      </c>
      <c r="CO997">
        <v>1.23</v>
      </c>
      <c r="CP997">
        <v>71.709999999999994</v>
      </c>
      <c r="CQ997">
        <v>5.35</v>
      </c>
      <c r="CR997">
        <v>1.63</v>
      </c>
      <c r="CS997" t="s">
        <v>2782</v>
      </c>
      <c r="CT997">
        <v>6.06</v>
      </c>
      <c r="CU997">
        <v>6.06</v>
      </c>
      <c r="CV997">
        <v>3.69</v>
      </c>
      <c r="CW997">
        <v>1.08</v>
      </c>
      <c r="CX997">
        <v>0.1</v>
      </c>
      <c r="CY997">
        <v>65.569999999999993</v>
      </c>
      <c r="CZ997" t="s">
        <v>5854</v>
      </c>
      <c r="DA997">
        <v>32.770000000000003</v>
      </c>
      <c r="DB997">
        <v>17.32</v>
      </c>
      <c r="DC997">
        <v>14.8</v>
      </c>
      <c r="DD997">
        <v>0.35</v>
      </c>
      <c r="DE997">
        <v>2012</v>
      </c>
      <c r="DF997">
        <v>2545</v>
      </c>
      <c r="DG997" t="s">
        <v>116</v>
      </c>
      <c r="DH997" t="s">
        <v>116</v>
      </c>
      <c r="DI997" t="s">
        <v>116</v>
      </c>
    </row>
    <row r="998" spans="1:113" x14ac:dyDescent="0.4">
      <c r="A998" t="str">
        <f>"002546"</f>
        <v>002546</v>
      </c>
      <c r="B998" t="s">
        <v>5855</v>
      </c>
      <c r="C998">
        <v>-1.21</v>
      </c>
      <c r="D998">
        <v>4.08</v>
      </c>
      <c r="E998">
        <v>-0.05</v>
      </c>
      <c r="F998">
        <v>4.07</v>
      </c>
      <c r="G998">
        <v>4.08</v>
      </c>
      <c r="H998">
        <v>56810</v>
      </c>
      <c r="I998">
        <v>480</v>
      </c>
      <c r="J998">
        <v>0</v>
      </c>
      <c r="K998">
        <v>0.73</v>
      </c>
      <c r="L998">
        <v>4.1100000000000003</v>
      </c>
      <c r="M998">
        <v>4.16</v>
      </c>
      <c r="N998">
        <v>4.07</v>
      </c>
      <c r="O998">
        <v>4.13</v>
      </c>
      <c r="P998">
        <v>23.19</v>
      </c>
      <c r="Q998">
        <v>23393064</v>
      </c>
      <c r="R998">
        <v>0.84</v>
      </c>
      <c r="S998" t="s">
        <v>397</v>
      </c>
      <c r="T998" t="s">
        <v>323</v>
      </c>
      <c r="U998">
        <v>2.1800000000000002</v>
      </c>
      <c r="V998">
        <v>4.12</v>
      </c>
      <c r="W998">
        <v>35018</v>
      </c>
      <c r="X998">
        <v>21792</v>
      </c>
      <c r="Y998">
        <v>1.61</v>
      </c>
      <c r="Z998">
        <v>1031</v>
      </c>
      <c r="AA998">
        <v>194</v>
      </c>
      <c r="AB998" t="s">
        <v>116</v>
      </c>
      <c r="AC998">
        <v>8200</v>
      </c>
      <c r="AD998">
        <v>0</v>
      </c>
      <c r="AE998" t="s">
        <v>116</v>
      </c>
      <c r="AF998" t="s">
        <v>116</v>
      </c>
      <c r="AG998">
        <v>7.82</v>
      </c>
      <c r="AH998" t="s">
        <v>5856</v>
      </c>
      <c r="AI998" t="s">
        <v>5857</v>
      </c>
      <c r="AJ998">
        <v>-0.53</v>
      </c>
      <c r="AK998">
        <v>1250</v>
      </c>
      <c r="AL998">
        <v>45</v>
      </c>
      <c r="AM998">
        <v>5.9999999999999995E-4</v>
      </c>
      <c r="AN998">
        <v>-1</v>
      </c>
      <c r="AO998">
        <v>-0.01</v>
      </c>
      <c r="AP998">
        <v>3.03</v>
      </c>
      <c r="AQ998">
        <v>-1.92</v>
      </c>
      <c r="AR998">
        <v>11.78</v>
      </c>
      <c r="AS998">
        <v>1.41</v>
      </c>
      <c r="AT998" t="s">
        <v>5858</v>
      </c>
      <c r="AU998">
        <v>20.95</v>
      </c>
      <c r="AV998">
        <v>21.78</v>
      </c>
      <c r="AW998">
        <v>0.97</v>
      </c>
      <c r="BA998">
        <v>-0.48</v>
      </c>
      <c r="BB998">
        <v>0.73</v>
      </c>
      <c r="BC998">
        <v>-1.45</v>
      </c>
      <c r="BD998">
        <v>-0.3</v>
      </c>
      <c r="BE998">
        <v>-0.73</v>
      </c>
      <c r="BF998">
        <v>-1.92</v>
      </c>
      <c r="BG998">
        <v>0.25</v>
      </c>
      <c r="BH998">
        <v>-0.92</v>
      </c>
      <c r="BI998">
        <v>20191226</v>
      </c>
      <c r="BJ998">
        <v>20110211</v>
      </c>
      <c r="BK998">
        <v>8.34</v>
      </c>
      <c r="BL998" t="s">
        <v>116</v>
      </c>
      <c r="BM998" t="s">
        <v>116</v>
      </c>
      <c r="BN998">
        <v>33.270000000000003</v>
      </c>
      <c r="BO998">
        <v>29.14</v>
      </c>
      <c r="BP998">
        <v>0.7</v>
      </c>
      <c r="BQ998">
        <v>10.32</v>
      </c>
      <c r="BR998">
        <v>28.31</v>
      </c>
      <c r="BS998">
        <v>2.44</v>
      </c>
      <c r="BT998">
        <v>0.49</v>
      </c>
      <c r="BU998">
        <v>3.29</v>
      </c>
      <c r="BV998">
        <v>1.24</v>
      </c>
      <c r="BW998">
        <v>3.06</v>
      </c>
      <c r="BX998">
        <v>12.26</v>
      </c>
      <c r="BY998">
        <v>4.6500000000000004</v>
      </c>
      <c r="BZ998">
        <v>3.1</v>
      </c>
      <c r="CA998">
        <v>1.25</v>
      </c>
      <c r="CB998">
        <v>0.69</v>
      </c>
      <c r="CC998">
        <v>1.28</v>
      </c>
      <c r="CD998">
        <v>1.0900000000000001</v>
      </c>
      <c r="CE998">
        <v>1.1000000000000001</v>
      </c>
      <c r="CF998">
        <v>0.52</v>
      </c>
      <c r="CG998">
        <v>7.37</v>
      </c>
      <c r="CH998">
        <v>0.43</v>
      </c>
      <c r="CI998">
        <v>-0.7</v>
      </c>
      <c r="CJ998">
        <v>44000</v>
      </c>
      <c r="CK998">
        <v>9164</v>
      </c>
      <c r="CL998" t="s">
        <v>5859</v>
      </c>
      <c r="CM998">
        <v>5.99</v>
      </c>
      <c r="CN998">
        <v>0.1</v>
      </c>
      <c r="CO998">
        <v>1.17</v>
      </c>
      <c r="CP998">
        <v>78.84</v>
      </c>
      <c r="CQ998">
        <v>7.32</v>
      </c>
      <c r="CR998">
        <v>2.94</v>
      </c>
      <c r="CS998" t="s">
        <v>512</v>
      </c>
      <c r="CT998">
        <v>3.49</v>
      </c>
      <c r="CU998">
        <v>0</v>
      </c>
      <c r="CV998">
        <v>1.47</v>
      </c>
      <c r="CW998">
        <v>0.88</v>
      </c>
      <c r="CX998">
        <v>0.05</v>
      </c>
      <c r="CY998">
        <v>87.58</v>
      </c>
      <c r="CZ998" t="s">
        <v>1144</v>
      </c>
      <c r="DA998">
        <v>33.21</v>
      </c>
      <c r="DB998">
        <v>26.94</v>
      </c>
      <c r="DC998">
        <v>23.68</v>
      </c>
      <c r="DD998">
        <v>0.37</v>
      </c>
      <c r="DE998">
        <v>1083</v>
      </c>
      <c r="DF998">
        <v>2546</v>
      </c>
      <c r="DG998" t="s">
        <v>116</v>
      </c>
      <c r="DH998" t="s">
        <v>116</v>
      </c>
      <c r="DI998" t="s">
        <v>116</v>
      </c>
    </row>
    <row r="999" spans="1:113" x14ac:dyDescent="0.4">
      <c r="A999" t="str">
        <f>"002547"</f>
        <v>002547</v>
      </c>
      <c r="B999" t="s">
        <v>5860</v>
      </c>
      <c r="C999">
        <v>-1.81</v>
      </c>
      <c r="D999">
        <v>8.1199999999999992</v>
      </c>
      <c r="E999">
        <v>-0.15</v>
      </c>
      <c r="F999">
        <v>8.11</v>
      </c>
      <c r="G999">
        <v>8.1199999999999992</v>
      </c>
      <c r="H999">
        <v>391764</v>
      </c>
      <c r="I999">
        <v>3659</v>
      </c>
      <c r="J999">
        <v>0.12</v>
      </c>
      <c r="K999">
        <v>5.14</v>
      </c>
      <c r="L999">
        <v>8.27</v>
      </c>
      <c r="M999">
        <v>8.35</v>
      </c>
      <c r="N999">
        <v>8.11</v>
      </c>
      <c r="O999">
        <v>8.27</v>
      </c>
      <c r="P999">
        <v>257.01</v>
      </c>
      <c r="Q999">
        <v>322005056</v>
      </c>
      <c r="R999">
        <v>0.92</v>
      </c>
      <c r="S999" t="s">
        <v>465</v>
      </c>
      <c r="T999" t="s">
        <v>323</v>
      </c>
      <c r="U999">
        <v>2.9</v>
      </c>
      <c r="V999">
        <v>8.2200000000000006</v>
      </c>
      <c r="W999">
        <v>224736</v>
      </c>
      <c r="X999">
        <v>167028</v>
      </c>
      <c r="Y999">
        <v>1.35</v>
      </c>
      <c r="Z999">
        <v>2235</v>
      </c>
      <c r="AA999">
        <v>1452</v>
      </c>
      <c r="AB999" t="s">
        <v>116</v>
      </c>
      <c r="AC999">
        <v>583900</v>
      </c>
      <c r="AD999">
        <v>0.01</v>
      </c>
      <c r="AE999" t="s">
        <v>116</v>
      </c>
      <c r="AF999" t="s">
        <v>116</v>
      </c>
      <c r="AG999">
        <v>7.63</v>
      </c>
      <c r="AH999" t="s">
        <v>331</v>
      </c>
      <c r="AI999" t="s">
        <v>5861</v>
      </c>
      <c r="AJ999">
        <v>-1.1299999999999999</v>
      </c>
      <c r="AK999">
        <v>4024</v>
      </c>
      <c r="AL999">
        <v>97</v>
      </c>
      <c r="AM999">
        <v>1.2999999999999999E-3</v>
      </c>
      <c r="AN999">
        <v>-2</v>
      </c>
      <c r="AO999">
        <v>-1.81</v>
      </c>
      <c r="AP999">
        <v>2.92</v>
      </c>
      <c r="AQ999">
        <v>-9.8800000000000008</v>
      </c>
      <c r="AR999">
        <v>53.5</v>
      </c>
      <c r="AS999">
        <v>6</v>
      </c>
      <c r="AT999" t="s">
        <v>5862</v>
      </c>
      <c r="AU999">
        <v>405.85</v>
      </c>
      <c r="AV999">
        <v>229.01</v>
      </c>
      <c r="AW999">
        <v>1.36</v>
      </c>
      <c r="BA999">
        <v>0</v>
      </c>
      <c r="BB999">
        <v>0.97</v>
      </c>
      <c r="BC999">
        <v>-1.93</v>
      </c>
      <c r="BD999">
        <v>-0.61</v>
      </c>
      <c r="BE999">
        <v>-1.81</v>
      </c>
      <c r="BF999">
        <v>-2.75</v>
      </c>
      <c r="BG999">
        <v>0.12</v>
      </c>
      <c r="BH999">
        <v>-1.2</v>
      </c>
      <c r="BI999">
        <v>20191206</v>
      </c>
      <c r="BJ999">
        <v>20110218</v>
      </c>
      <c r="BK999">
        <v>11.28</v>
      </c>
      <c r="BL999" t="s">
        <v>116</v>
      </c>
      <c r="BM999" t="s">
        <v>116</v>
      </c>
      <c r="BN999">
        <v>90.56</v>
      </c>
      <c r="BO999">
        <v>25.08</v>
      </c>
      <c r="BP999">
        <v>1.68</v>
      </c>
      <c r="BQ999">
        <v>70.45</v>
      </c>
      <c r="BR999">
        <v>55.39</v>
      </c>
      <c r="BS999">
        <v>19.559999999999999</v>
      </c>
      <c r="BT999">
        <v>1</v>
      </c>
      <c r="BU999">
        <v>63.14</v>
      </c>
      <c r="BV999">
        <v>9.73</v>
      </c>
      <c r="BW999">
        <v>20.190000000000001</v>
      </c>
      <c r="BX999">
        <v>11.86</v>
      </c>
      <c r="BY999">
        <v>56.74</v>
      </c>
      <c r="BZ999">
        <v>50.99</v>
      </c>
      <c r="CA999">
        <v>0.42</v>
      </c>
      <c r="CB999">
        <v>0</v>
      </c>
      <c r="CC999">
        <v>0.49</v>
      </c>
      <c r="CD999">
        <v>0.38</v>
      </c>
      <c r="CE999">
        <v>0.27</v>
      </c>
      <c r="CF999">
        <v>0.15</v>
      </c>
      <c r="CG999">
        <v>1.39</v>
      </c>
      <c r="CH999">
        <v>3.72</v>
      </c>
      <c r="CI999">
        <v>2.23</v>
      </c>
      <c r="CJ999">
        <v>174492</v>
      </c>
      <c r="CK999">
        <v>3742</v>
      </c>
      <c r="CL999" t="s">
        <v>2378</v>
      </c>
      <c r="CM999">
        <v>-39.47</v>
      </c>
      <c r="CN999">
        <v>57.12</v>
      </c>
      <c r="CO999">
        <v>3.65</v>
      </c>
      <c r="CP999">
        <v>24.64</v>
      </c>
      <c r="CQ999">
        <v>1.61</v>
      </c>
      <c r="CR999">
        <v>0</v>
      </c>
      <c r="CS999" t="s">
        <v>4700</v>
      </c>
      <c r="CT999">
        <v>2.2200000000000002</v>
      </c>
      <c r="CU999">
        <v>0</v>
      </c>
      <c r="CV999">
        <v>1.05</v>
      </c>
      <c r="CW999">
        <v>0.12</v>
      </c>
      <c r="CX999">
        <v>0.33</v>
      </c>
      <c r="CY999">
        <v>27.69</v>
      </c>
      <c r="CZ999" t="s">
        <v>1651</v>
      </c>
      <c r="DA999">
        <v>10.14</v>
      </c>
      <c r="DB999">
        <v>0.73</v>
      </c>
      <c r="DC999">
        <v>0.47</v>
      </c>
      <c r="DD999">
        <v>1.38</v>
      </c>
      <c r="DE999">
        <v>6807</v>
      </c>
      <c r="DF999">
        <v>2547</v>
      </c>
      <c r="DG999" t="s">
        <v>116</v>
      </c>
      <c r="DH999" t="s">
        <v>116</v>
      </c>
      <c r="DI999" t="s">
        <v>116</v>
      </c>
    </row>
    <row r="1000" spans="1:113" x14ac:dyDescent="0.4">
      <c r="A1000" t="str">
        <f>"002548"</f>
        <v>002548</v>
      </c>
      <c r="B1000" t="s">
        <v>5863</v>
      </c>
      <c r="C1000">
        <v>3.06</v>
      </c>
      <c r="D1000">
        <v>8.76</v>
      </c>
      <c r="E1000">
        <v>0.26</v>
      </c>
      <c r="F1000">
        <v>8.76</v>
      </c>
      <c r="G1000">
        <v>8.77</v>
      </c>
      <c r="H1000">
        <v>90070</v>
      </c>
      <c r="I1000">
        <v>1982</v>
      </c>
      <c r="J1000">
        <v>0.23</v>
      </c>
      <c r="K1000">
        <v>2.2599999999999998</v>
      </c>
      <c r="L1000">
        <v>8.5</v>
      </c>
      <c r="M1000">
        <v>8.77</v>
      </c>
      <c r="N1000">
        <v>8.49</v>
      </c>
      <c r="O1000">
        <v>8.5</v>
      </c>
      <c r="P1000">
        <v>81.319999999999993</v>
      </c>
      <c r="Q1000">
        <v>77876952</v>
      </c>
      <c r="R1000">
        <v>1.1000000000000001</v>
      </c>
      <c r="S1000" t="s">
        <v>389</v>
      </c>
      <c r="T1000" t="s">
        <v>115</v>
      </c>
      <c r="U1000">
        <v>3.29</v>
      </c>
      <c r="V1000">
        <v>8.65</v>
      </c>
      <c r="W1000">
        <v>34458</v>
      </c>
      <c r="X1000">
        <v>55612</v>
      </c>
      <c r="Y1000">
        <v>0.62</v>
      </c>
      <c r="Z1000">
        <v>320</v>
      </c>
      <c r="AA1000">
        <v>555</v>
      </c>
      <c r="AB1000" t="s">
        <v>116</v>
      </c>
      <c r="AC1000">
        <v>85900</v>
      </c>
      <c r="AD1000">
        <v>0</v>
      </c>
      <c r="AE1000" t="s">
        <v>116</v>
      </c>
      <c r="AF1000" t="s">
        <v>116</v>
      </c>
      <c r="AG1000">
        <v>3.98</v>
      </c>
      <c r="AH1000" t="s">
        <v>5864</v>
      </c>
      <c r="AI1000" t="s">
        <v>5865</v>
      </c>
      <c r="AJ1000">
        <v>3.74</v>
      </c>
      <c r="AK1000">
        <v>2324</v>
      </c>
      <c r="AL1000">
        <v>39</v>
      </c>
      <c r="AM1000">
        <v>1E-3</v>
      </c>
      <c r="AN1000">
        <v>1</v>
      </c>
      <c r="AO1000">
        <v>1.04</v>
      </c>
      <c r="AP1000">
        <v>-0.11</v>
      </c>
      <c r="AQ1000">
        <v>-15.2</v>
      </c>
      <c r="AR1000">
        <v>30.94</v>
      </c>
      <c r="AS1000">
        <v>3.61</v>
      </c>
      <c r="AT1000" t="s">
        <v>5866</v>
      </c>
      <c r="AU1000" t="s">
        <v>116</v>
      </c>
      <c r="AV1000" t="s">
        <v>116</v>
      </c>
      <c r="AW1000">
        <v>0.84</v>
      </c>
      <c r="BA1000">
        <v>0</v>
      </c>
      <c r="BB1000">
        <v>3.18</v>
      </c>
      <c r="BC1000">
        <v>-0.12</v>
      </c>
      <c r="BD1000">
        <v>1.72</v>
      </c>
      <c r="BE1000">
        <v>3.06</v>
      </c>
      <c r="BF1000">
        <v>-0.11</v>
      </c>
      <c r="BG1000">
        <v>3.18</v>
      </c>
      <c r="BH1000">
        <v>1.34</v>
      </c>
      <c r="BI1000">
        <v>20191224</v>
      </c>
      <c r="BJ1000">
        <v>20110218</v>
      </c>
      <c r="BK1000">
        <v>4.33</v>
      </c>
      <c r="BL1000" t="s">
        <v>116</v>
      </c>
      <c r="BM1000" t="s">
        <v>116</v>
      </c>
      <c r="BN1000">
        <v>40.24</v>
      </c>
      <c r="BO1000">
        <v>17.170000000000002</v>
      </c>
      <c r="BP1000">
        <v>2.08</v>
      </c>
      <c r="BQ1000">
        <v>52.16</v>
      </c>
      <c r="BR1000">
        <v>11.92</v>
      </c>
      <c r="BS1000">
        <v>10.23</v>
      </c>
      <c r="BT1000">
        <v>2.35</v>
      </c>
      <c r="BU1000">
        <v>18.559999999999999</v>
      </c>
      <c r="BV1000">
        <v>2.7</v>
      </c>
      <c r="BW1000">
        <v>3.49</v>
      </c>
      <c r="BX1000">
        <v>12.47</v>
      </c>
      <c r="BY1000">
        <v>18.36</v>
      </c>
      <c r="BZ1000">
        <v>14.41</v>
      </c>
      <c r="CA1000">
        <v>0.8</v>
      </c>
      <c r="CB1000">
        <v>-0.18</v>
      </c>
      <c r="CC1000">
        <v>0.7</v>
      </c>
      <c r="CD1000">
        <v>0.61</v>
      </c>
      <c r="CE1000">
        <v>0.35</v>
      </c>
      <c r="CF1000">
        <v>0.28999999999999998</v>
      </c>
      <c r="CG1000">
        <v>0.44</v>
      </c>
      <c r="CH1000">
        <v>1.73</v>
      </c>
      <c r="CI1000">
        <v>-1.51</v>
      </c>
      <c r="CJ1000">
        <v>38023</v>
      </c>
      <c r="CK1000">
        <v>6565</v>
      </c>
      <c r="CL1000" t="s">
        <v>5867</v>
      </c>
      <c r="CM1000">
        <v>163.92</v>
      </c>
      <c r="CN1000">
        <v>-14.79</v>
      </c>
      <c r="CO1000">
        <v>2.2599999999999998</v>
      </c>
      <c r="CP1000">
        <v>21.87</v>
      </c>
      <c r="CQ1000">
        <v>2.06</v>
      </c>
      <c r="CR1000">
        <v>0</v>
      </c>
      <c r="CS1000" t="s">
        <v>1105</v>
      </c>
      <c r="CT1000">
        <v>3.88</v>
      </c>
      <c r="CU1000">
        <v>3.88</v>
      </c>
      <c r="CV1000">
        <v>2.88</v>
      </c>
      <c r="CW1000">
        <v>0.1</v>
      </c>
      <c r="CX1000">
        <v>0.4</v>
      </c>
      <c r="CY1000">
        <v>42.66</v>
      </c>
      <c r="CZ1000" t="s">
        <v>5868</v>
      </c>
      <c r="DA1000">
        <v>21.51</v>
      </c>
      <c r="DB1000">
        <v>4.38</v>
      </c>
      <c r="DC1000">
        <v>1.9</v>
      </c>
      <c r="DD1000">
        <v>0.34</v>
      </c>
      <c r="DE1000">
        <v>2371</v>
      </c>
      <c r="DF1000">
        <v>2548</v>
      </c>
      <c r="DG1000" t="s">
        <v>116</v>
      </c>
      <c r="DH1000" t="s">
        <v>116</v>
      </c>
      <c r="DI1000" t="s">
        <v>116</v>
      </c>
    </row>
    <row r="1001" spans="1:113" x14ac:dyDescent="0.4">
      <c r="A1001" t="str">
        <f>"002549"</f>
        <v>002549</v>
      </c>
      <c r="B1001" t="s">
        <v>5869</v>
      </c>
      <c r="C1001">
        <v>-2.56</v>
      </c>
      <c r="D1001">
        <v>6.09</v>
      </c>
      <c r="E1001">
        <v>-0.16</v>
      </c>
      <c r="F1001">
        <v>6.08</v>
      </c>
      <c r="G1001">
        <v>6.09</v>
      </c>
      <c r="H1001">
        <v>151941</v>
      </c>
      <c r="I1001">
        <v>1102</v>
      </c>
      <c r="J1001">
        <v>0.16</v>
      </c>
      <c r="K1001">
        <v>2.4500000000000002</v>
      </c>
      <c r="L1001">
        <v>6.13</v>
      </c>
      <c r="M1001">
        <v>6.37</v>
      </c>
      <c r="N1001">
        <v>6.04</v>
      </c>
      <c r="O1001">
        <v>6.25</v>
      </c>
      <c r="P1001">
        <v>31.58</v>
      </c>
      <c r="Q1001">
        <v>94222280</v>
      </c>
      <c r="R1001">
        <v>1.68</v>
      </c>
      <c r="S1001" t="s">
        <v>140</v>
      </c>
      <c r="T1001" t="s">
        <v>599</v>
      </c>
      <c r="U1001">
        <v>5.28</v>
      </c>
      <c r="V1001">
        <v>6.2</v>
      </c>
      <c r="W1001">
        <v>72769</v>
      </c>
      <c r="X1001">
        <v>79172</v>
      </c>
      <c r="Y1001">
        <v>0.92</v>
      </c>
      <c r="Z1001">
        <v>78</v>
      </c>
      <c r="AA1001">
        <v>657</v>
      </c>
      <c r="AB1001" t="s">
        <v>116</v>
      </c>
      <c r="AC1001">
        <v>717200</v>
      </c>
      <c r="AD1001">
        <v>0.06</v>
      </c>
      <c r="AE1001" t="s">
        <v>116</v>
      </c>
      <c r="AF1001" t="s">
        <v>116</v>
      </c>
      <c r="AG1001">
        <v>6.2</v>
      </c>
      <c r="AH1001" t="s">
        <v>5870</v>
      </c>
      <c r="AI1001" t="s">
        <v>2623</v>
      </c>
      <c r="AJ1001">
        <v>-1.88</v>
      </c>
      <c r="AK1001">
        <v>2293</v>
      </c>
      <c r="AL1001">
        <v>66</v>
      </c>
      <c r="AM1001">
        <v>1.1000000000000001E-3</v>
      </c>
      <c r="AN1001">
        <v>-1</v>
      </c>
      <c r="AO1001">
        <v>7.22</v>
      </c>
      <c r="AP1001">
        <v>18.02</v>
      </c>
      <c r="AQ1001">
        <v>-7.16</v>
      </c>
      <c r="AR1001">
        <v>14.69</v>
      </c>
      <c r="AS1001">
        <v>8.3699999999999992</v>
      </c>
      <c r="AT1001" t="s">
        <v>5871</v>
      </c>
      <c r="AU1001">
        <v>33.56</v>
      </c>
      <c r="AV1001">
        <v>40.47</v>
      </c>
      <c r="AW1001">
        <v>1.0900000000000001</v>
      </c>
      <c r="BA1001">
        <v>-1.92</v>
      </c>
      <c r="BB1001">
        <v>1.92</v>
      </c>
      <c r="BC1001">
        <v>-3.36</v>
      </c>
      <c r="BD1001">
        <v>-0.78</v>
      </c>
      <c r="BE1001">
        <v>-0.65</v>
      </c>
      <c r="BF1001">
        <v>-4.4000000000000004</v>
      </c>
      <c r="BG1001">
        <v>0.83</v>
      </c>
      <c r="BH1001">
        <v>-1.78</v>
      </c>
      <c r="BI1001">
        <v>20191029</v>
      </c>
      <c r="BJ1001">
        <v>20110218</v>
      </c>
      <c r="BK1001">
        <v>6.24</v>
      </c>
      <c r="BL1001" t="s">
        <v>116</v>
      </c>
      <c r="BM1001" t="s">
        <v>116</v>
      </c>
      <c r="BN1001">
        <v>16.12</v>
      </c>
      <c r="BO1001">
        <v>9.7200000000000006</v>
      </c>
      <c r="BP1001">
        <v>0.3</v>
      </c>
      <c r="BQ1001">
        <v>37.86</v>
      </c>
      <c r="BR1001">
        <v>6.21</v>
      </c>
      <c r="BS1001">
        <v>6</v>
      </c>
      <c r="BT1001">
        <v>0.95</v>
      </c>
      <c r="BU1001">
        <v>4.09</v>
      </c>
      <c r="BV1001">
        <v>0.35</v>
      </c>
      <c r="BW1001">
        <v>0.67</v>
      </c>
      <c r="BX1001">
        <v>0.42</v>
      </c>
      <c r="BY1001">
        <v>3.85</v>
      </c>
      <c r="BZ1001">
        <v>1.89</v>
      </c>
      <c r="CA1001">
        <v>1.03</v>
      </c>
      <c r="CB1001">
        <v>0.01</v>
      </c>
      <c r="CC1001">
        <v>1.08</v>
      </c>
      <c r="CD1001">
        <v>0.94</v>
      </c>
      <c r="CE1001">
        <v>0.9</v>
      </c>
      <c r="CF1001">
        <v>0.82</v>
      </c>
      <c r="CG1001">
        <v>2.5299999999999998</v>
      </c>
      <c r="CH1001">
        <v>0.79</v>
      </c>
      <c r="CI1001">
        <v>0.1</v>
      </c>
      <c r="CJ1001">
        <v>23749</v>
      </c>
      <c r="CK1001">
        <v>7647</v>
      </c>
      <c r="CL1001" t="s">
        <v>547</v>
      </c>
      <c r="CM1001">
        <v>27.25</v>
      </c>
      <c r="CN1001">
        <v>3.19</v>
      </c>
      <c r="CO1001">
        <v>3.91</v>
      </c>
      <c r="CP1001">
        <v>48.24</v>
      </c>
      <c r="CQ1001">
        <v>9.86</v>
      </c>
      <c r="CR1001">
        <v>1.64</v>
      </c>
      <c r="CS1001" t="s">
        <v>4857</v>
      </c>
      <c r="CT1001">
        <v>1.56</v>
      </c>
      <c r="CU1001">
        <v>0</v>
      </c>
      <c r="CV1001">
        <v>7.0000000000000007E-2</v>
      </c>
      <c r="CW1001">
        <v>0.41</v>
      </c>
      <c r="CX1001">
        <v>0.13</v>
      </c>
      <c r="CY1001">
        <v>60.28</v>
      </c>
      <c r="CZ1001" t="s">
        <v>794</v>
      </c>
      <c r="DA1001">
        <v>50.96</v>
      </c>
      <c r="DB1001">
        <v>26.82</v>
      </c>
      <c r="DC1001">
        <v>23.41</v>
      </c>
      <c r="DD1001">
        <v>0.21</v>
      </c>
      <c r="DE1001">
        <v>570</v>
      </c>
      <c r="DF1001">
        <v>2549</v>
      </c>
      <c r="DG1001" t="s">
        <v>116</v>
      </c>
      <c r="DH1001" t="s">
        <v>116</v>
      </c>
      <c r="DI1001" t="s">
        <v>116</v>
      </c>
    </row>
    <row r="1002" spans="1:113" x14ac:dyDescent="0.4">
      <c r="A1002" t="str">
        <f>"002550"</f>
        <v>002550</v>
      </c>
      <c r="B1002" t="s">
        <v>5872</v>
      </c>
      <c r="C1002">
        <v>-1.32</v>
      </c>
      <c r="D1002">
        <v>4.5</v>
      </c>
      <c r="E1002">
        <v>-0.06</v>
      </c>
      <c r="F1002">
        <v>4.5</v>
      </c>
      <c r="G1002">
        <v>4.51</v>
      </c>
      <c r="H1002">
        <v>39668</v>
      </c>
      <c r="I1002">
        <v>1125</v>
      </c>
      <c r="J1002">
        <v>-0.21</v>
      </c>
      <c r="K1002">
        <v>0.44</v>
      </c>
      <c r="L1002">
        <v>4.5599999999999996</v>
      </c>
      <c r="M1002">
        <v>4.57</v>
      </c>
      <c r="N1002">
        <v>4.5</v>
      </c>
      <c r="O1002">
        <v>4.5599999999999996</v>
      </c>
      <c r="P1002">
        <v>19.54</v>
      </c>
      <c r="Q1002">
        <v>18001496</v>
      </c>
      <c r="R1002">
        <v>1.24</v>
      </c>
      <c r="S1002" t="s">
        <v>132</v>
      </c>
      <c r="T1002" t="s">
        <v>323</v>
      </c>
      <c r="U1002">
        <v>1.54</v>
      </c>
      <c r="V1002">
        <v>4.54</v>
      </c>
      <c r="W1002">
        <v>25681</v>
      </c>
      <c r="X1002">
        <v>13987</v>
      </c>
      <c r="Y1002">
        <v>1.84</v>
      </c>
      <c r="Z1002">
        <v>409</v>
      </c>
      <c r="AA1002">
        <v>180</v>
      </c>
      <c r="AB1002" t="s">
        <v>116</v>
      </c>
      <c r="AC1002">
        <v>27400</v>
      </c>
      <c r="AD1002">
        <v>0</v>
      </c>
      <c r="AE1002" t="s">
        <v>116</v>
      </c>
      <c r="AF1002" t="s">
        <v>116</v>
      </c>
      <c r="AG1002">
        <v>9.0500000000000007</v>
      </c>
      <c r="AH1002" t="s">
        <v>5873</v>
      </c>
      <c r="AI1002" t="s">
        <v>5874</v>
      </c>
      <c r="AJ1002">
        <v>-0.64</v>
      </c>
      <c r="AK1002">
        <v>644</v>
      </c>
      <c r="AL1002">
        <v>62</v>
      </c>
      <c r="AM1002">
        <v>6.9999999999999999E-4</v>
      </c>
      <c r="AN1002">
        <v>-2</v>
      </c>
      <c r="AO1002">
        <v>0.44</v>
      </c>
      <c r="AP1002">
        <v>2.27</v>
      </c>
      <c r="AQ1002">
        <v>-3.43</v>
      </c>
      <c r="AR1002">
        <v>22.28</v>
      </c>
      <c r="AS1002">
        <v>0.51</v>
      </c>
      <c r="AT1002" t="s">
        <v>3496</v>
      </c>
      <c r="AU1002">
        <v>24.86</v>
      </c>
      <c r="AV1002">
        <v>26.02</v>
      </c>
      <c r="AW1002">
        <v>0.62</v>
      </c>
      <c r="BA1002">
        <v>0</v>
      </c>
      <c r="BB1002">
        <v>0.22</v>
      </c>
      <c r="BC1002">
        <v>-1.32</v>
      </c>
      <c r="BD1002">
        <v>-0.48</v>
      </c>
      <c r="BE1002">
        <v>-1.32</v>
      </c>
      <c r="BF1002">
        <v>-1.53</v>
      </c>
      <c r="BG1002">
        <v>0</v>
      </c>
      <c r="BH1002">
        <v>-0.83</v>
      </c>
      <c r="BI1002">
        <v>20191025</v>
      </c>
      <c r="BJ1002">
        <v>20110218</v>
      </c>
      <c r="BK1002">
        <v>12.8</v>
      </c>
      <c r="BL1002" t="s">
        <v>116</v>
      </c>
      <c r="BM1002" t="s">
        <v>116</v>
      </c>
      <c r="BN1002">
        <v>30.38</v>
      </c>
      <c r="BO1002">
        <v>22.89</v>
      </c>
      <c r="BP1002">
        <v>-0.01</v>
      </c>
      <c r="BQ1002">
        <v>24.69</v>
      </c>
      <c r="BR1002">
        <v>22.5</v>
      </c>
      <c r="BS1002">
        <v>5.66</v>
      </c>
      <c r="BT1002">
        <v>1.2</v>
      </c>
      <c r="BU1002">
        <v>6.91</v>
      </c>
      <c r="BV1002">
        <v>3.2</v>
      </c>
      <c r="BW1002">
        <v>2.4</v>
      </c>
      <c r="BX1002">
        <v>0.41</v>
      </c>
      <c r="BY1002">
        <v>11.44</v>
      </c>
      <c r="BZ1002">
        <v>5.93</v>
      </c>
      <c r="CA1002">
        <v>2.56</v>
      </c>
      <c r="CB1002">
        <v>0</v>
      </c>
      <c r="CC1002">
        <v>2.57</v>
      </c>
      <c r="CD1002">
        <v>2.12</v>
      </c>
      <c r="CE1002">
        <v>2.21</v>
      </c>
      <c r="CF1002">
        <v>1.45</v>
      </c>
      <c r="CG1002">
        <v>11.18</v>
      </c>
      <c r="CH1002">
        <v>1.37</v>
      </c>
      <c r="CI1002">
        <v>-1.1100000000000001</v>
      </c>
      <c r="CJ1002">
        <v>56961</v>
      </c>
      <c r="CK1002">
        <v>13709</v>
      </c>
      <c r="CL1002" t="s">
        <v>5875</v>
      </c>
      <c r="CM1002">
        <v>4.91</v>
      </c>
      <c r="CN1002">
        <v>13.94</v>
      </c>
      <c r="CO1002">
        <v>2.52</v>
      </c>
      <c r="CP1002">
        <v>42.13</v>
      </c>
      <c r="CQ1002">
        <v>5.03</v>
      </c>
      <c r="CR1002">
        <v>2.65</v>
      </c>
      <c r="CS1002" t="s">
        <v>192</v>
      </c>
      <c r="CT1002">
        <v>1.79</v>
      </c>
      <c r="CU1002">
        <v>0</v>
      </c>
      <c r="CV1002">
        <v>0.03</v>
      </c>
      <c r="CW1002">
        <v>0.87</v>
      </c>
      <c r="CX1002">
        <v>0.11</v>
      </c>
      <c r="CY1002">
        <v>75.34</v>
      </c>
      <c r="CZ1002" t="s">
        <v>5793</v>
      </c>
      <c r="DA1002">
        <v>48.14</v>
      </c>
      <c r="DB1002">
        <v>22.4</v>
      </c>
      <c r="DC1002">
        <v>19.32</v>
      </c>
      <c r="DD1002">
        <v>0.54</v>
      </c>
      <c r="DE1002">
        <v>1255</v>
      </c>
      <c r="DF1002">
        <v>2550</v>
      </c>
      <c r="DG1002" t="s">
        <v>116</v>
      </c>
      <c r="DH1002" t="s">
        <v>116</v>
      </c>
      <c r="DI1002" t="s">
        <v>116</v>
      </c>
    </row>
    <row r="1003" spans="1:113" x14ac:dyDescent="0.4">
      <c r="A1003" t="str">
        <f>"002551"</f>
        <v>002551</v>
      </c>
      <c r="B1003" t="s">
        <v>5876</v>
      </c>
      <c r="C1003">
        <v>0</v>
      </c>
      <c r="D1003">
        <v>4.55</v>
      </c>
      <c r="E1003">
        <v>0</v>
      </c>
      <c r="F1003">
        <v>4.55</v>
      </c>
      <c r="G1003">
        <v>4.5599999999999996</v>
      </c>
      <c r="H1003">
        <v>28573</v>
      </c>
      <c r="I1003">
        <v>357</v>
      </c>
      <c r="J1003">
        <v>0</v>
      </c>
      <c r="K1003">
        <v>0.64</v>
      </c>
      <c r="L1003">
        <v>4.54</v>
      </c>
      <c r="M1003">
        <v>4.63</v>
      </c>
      <c r="N1003">
        <v>4.54</v>
      </c>
      <c r="O1003">
        <v>4.55</v>
      </c>
      <c r="P1003">
        <v>41.85</v>
      </c>
      <c r="Q1003">
        <v>13077443</v>
      </c>
      <c r="R1003">
        <v>1.2</v>
      </c>
      <c r="S1003" t="s">
        <v>559</v>
      </c>
      <c r="T1003" t="s">
        <v>115</v>
      </c>
      <c r="U1003">
        <v>1.98</v>
      </c>
      <c r="V1003">
        <v>4.58</v>
      </c>
      <c r="W1003">
        <v>16111</v>
      </c>
      <c r="X1003">
        <v>12462</v>
      </c>
      <c r="Y1003">
        <v>1.29</v>
      </c>
      <c r="Z1003">
        <v>156</v>
      </c>
      <c r="AA1003">
        <v>593</v>
      </c>
      <c r="AB1003" t="s">
        <v>116</v>
      </c>
      <c r="AC1003">
        <v>56300</v>
      </c>
      <c r="AD1003">
        <v>0</v>
      </c>
      <c r="AE1003" t="s">
        <v>116</v>
      </c>
      <c r="AF1003" t="s">
        <v>116</v>
      </c>
      <c r="AG1003">
        <v>4.47</v>
      </c>
      <c r="AH1003" t="s">
        <v>5877</v>
      </c>
      <c r="AI1003" t="s">
        <v>5878</v>
      </c>
      <c r="AJ1003">
        <v>0.68</v>
      </c>
      <c r="AK1003">
        <v>741</v>
      </c>
      <c r="AL1003">
        <v>39</v>
      </c>
      <c r="AM1003">
        <v>8.9999999999999998E-4</v>
      </c>
      <c r="AN1003">
        <v>0</v>
      </c>
      <c r="AO1003">
        <v>0.44</v>
      </c>
      <c r="AP1003">
        <v>1.79</v>
      </c>
      <c r="AQ1003">
        <v>-2.99</v>
      </c>
      <c r="AR1003">
        <v>0</v>
      </c>
      <c r="AS1003">
        <v>0.81</v>
      </c>
      <c r="AT1003" t="s">
        <v>5879</v>
      </c>
      <c r="AU1003">
        <v>60.97</v>
      </c>
      <c r="AV1003">
        <v>32.869999999999997</v>
      </c>
      <c r="AW1003">
        <v>0.9</v>
      </c>
      <c r="BA1003">
        <v>-0.22</v>
      </c>
      <c r="BB1003">
        <v>1.76</v>
      </c>
      <c r="BC1003">
        <v>-0.22</v>
      </c>
      <c r="BD1003">
        <v>0.59</v>
      </c>
      <c r="BE1003">
        <v>0.22</v>
      </c>
      <c r="BF1003">
        <v>-1.73</v>
      </c>
      <c r="BG1003">
        <v>0.22</v>
      </c>
      <c r="BH1003">
        <v>-0.59</v>
      </c>
      <c r="BI1003">
        <v>20191213</v>
      </c>
      <c r="BJ1003">
        <v>20110225</v>
      </c>
      <c r="BK1003">
        <v>7.06</v>
      </c>
      <c r="BL1003" t="s">
        <v>116</v>
      </c>
      <c r="BM1003" t="s">
        <v>116</v>
      </c>
      <c r="BN1003">
        <v>47.51</v>
      </c>
      <c r="BO1003">
        <v>23.49</v>
      </c>
      <c r="BP1003">
        <v>4.83</v>
      </c>
      <c r="BQ1003">
        <v>40.4</v>
      </c>
      <c r="BR1003">
        <v>27.11</v>
      </c>
      <c r="BS1003">
        <v>2.65</v>
      </c>
      <c r="BT1003">
        <v>2.35</v>
      </c>
      <c r="BU1003">
        <v>10</v>
      </c>
      <c r="BV1003">
        <v>3.39</v>
      </c>
      <c r="BW1003">
        <v>10.71</v>
      </c>
      <c r="BX1003">
        <v>9.0299999999999994</v>
      </c>
      <c r="BY1003">
        <v>11.59</v>
      </c>
      <c r="BZ1003">
        <v>8.82</v>
      </c>
      <c r="CA1003">
        <v>0.88</v>
      </c>
      <c r="CB1003">
        <v>-0.01</v>
      </c>
      <c r="CC1003">
        <v>0.87</v>
      </c>
      <c r="CD1003">
        <v>0.79</v>
      </c>
      <c r="CE1003">
        <v>0.57999999999999996</v>
      </c>
      <c r="CF1003">
        <v>0.51</v>
      </c>
      <c r="CG1003">
        <v>6.79</v>
      </c>
      <c r="CH1003">
        <v>0.39</v>
      </c>
      <c r="CI1003">
        <v>2.83</v>
      </c>
      <c r="CJ1003">
        <v>26940</v>
      </c>
      <c r="CK1003">
        <v>13071</v>
      </c>
      <c r="CL1003" t="s">
        <v>1162</v>
      </c>
      <c r="CM1003">
        <v>-43.89</v>
      </c>
      <c r="CN1003">
        <v>-14.05</v>
      </c>
      <c r="CO1003">
        <v>1.38</v>
      </c>
      <c r="CP1003">
        <v>82.25</v>
      </c>
      <c r="CQ1003">
        <v>2.77</v>
      </c>
      <c r="CR1003">
        <v>1.1000000000000001</v>
      </c>
      <c r="CS1003" t="s">
        <v>1272</v>
      </c>
      <c r="CT1003">
        <v>3.3</v>
      </c>
      <c r="CU1003">
        <v>3.3</v>
      </c>
      <c r="CV1003">
        <v>1.28</v>
      </c>
      <c r="CW1003">
        <v>0.96</v>
      </c>
      <c r="CX1003">
        <v>0.06</v>
      </c>
      <c r="CY1003">
        <v>49.44</v>
      </c>
      <c r="CZ1003" t="s">
        <v>3278</v>
      </c>
      <c r="DA1003">
        <v>23.86</v>
      </c>
      <c r="DB1003">
        <v>7.62</v>
      </c>
      <c r="DC1003">
        <v>4.97</v>
      </c>
      <c r="DD1003">
        <v>0.39</v>
      </c>
      <c r="DE1003">
        <v>1779</v>
      </c>
      <c r="DF1003">
        <v>2551</v>
      </c>
      <c r="DG1003" t="s">
        <v>116</v>
      </c>
      <c r="DH1003" t="s">
        <v>116</v>
      </c>
      <c r="DI1003" t="s">
        <v>116</v>
      </c>
    </row>
    <row r="1004" spans="1:113" x14ac:dyDescent="0.4">
      <c r="A1004" t="str">
        <f>"002552"</f>
        <v>002552</v>
      </c>
      <c r="B1004" t="s">
        <v>5880</v>
      </c>
      <c r="C1004">
        <v>-3.33</v>
      </c>
      <c r="D1004">
        <v>26.72</v>
      </c>
      <c r="E1004">
        <v>-0.92</v>
      </c>
      <c r="F1004">
        <v>26.72</v>
      </c>
      <c r="G1004">
        <v>26.73</v>
      </c>
      <c r="H1004">
        <v>164575</v>
      </c>
      <c r="I1004">
        <v>2326</v>
      </c>
      <c r="J1004">
        <v>0.04</v>
      </c>
      <c r="K1004">
        <v>8.2200000000000006</v>
      </c>
      <c r="L1004">
        <v>27.44</v>
      </c>
      <c r="M1004">
        <v>27.88</v>
      </c>
      <c r="N1004">
        <v>26.7</v>
      </c>
      <c r="O1004">
        <v>27.64</v>
      </c>
      <c r="P1004">
        <v>109.57</v>
      </c>
      <c r="Q1004">
        <v>445222912</v>
      </c>
      <c r="R1004">
        <v>0.98</v>
      </c>
      <c r="S1004" t="s">
        <v>996</v>
      </c>
      <c r="T1004" t="s">
        <v>590</v>
      </c>
      <c r="U1004">
        <v>4.2699999999999996</v>
      </c>
      <c r="V1004">
        <v>27.05</v>
      </c>
      <c r="W1004">
        <v>96673</v>
      </c>
      <c r="X1004">
        <v>67902</v>
      </c>
      <c r="Y1004">
        <v>1.42</v>
      </c>
      <c r="Z1004">
        <v>431</v>
      </c>
      <c r="AA1004">
        <v>69</v>
      </c>
      <c r="AB1004" t="s">
        <v>116</v>
      </c>
      <c r="AC1004">
        <v>1429600</v>
      </c>
      <c r="AD1004">
        <v>0.06</v>
      </c>
      <c r="AE1004" t="s">
        <v>116</v>
      </c>
      <c r="AF1004" t="s">
        <v>116</v>
      </c>
      <c r="AG1004">
        <v>2</v>
      </c>
      <c r="AH1004" t="s">
        <v>5881</v>
      </c>
      <c r="AI1004" t="s">
        <v>825</v>
      </c>
      <c r="AJ1004">
        <v>-2.65</v>
      </c>
      <c r="AK1004">
        <v>4178</v>
      </c>
      <c r="AL1004">
        <v>39</v>
      </c>
      <c r="AM1004">
        <v>2E-3</v>
      </c>
      <c r="AN1004">
        <v>-2</v>
      </c>
      <c r="AO1004">
        <v>-3.05</v>
      </c>
      <c r="AP1004">
        <v>3.37</v>
      </c>
      <c r="AQ1004">
        <v>51.65</v>
      </c>
      <c r="AR1004">
        <v>421.87</v>
      </c>
      <c r="AS1004">
        <v>19.690000000000001</v>
      </c>
      <c r="AT1004" t="s">
        <v>5882</v>
      </c>
      <c r="AU1004">
        <v>137.49</v>
      </c>
      <c r="AV1004">
        <v>285.2</v>
      </c>
      <c r="AW1004">
        <v>0.82</v>
      </c>
      <c r="BA1004">
        <v>-0.72</v>
      </c>
      <c r="BB1004">
        <v>0.87</v>
      </c>
      <c r="BC1004">
        <v>-3.4</v>
      </c>
      <c r="BD1004">
        <v>-2.12</v>
      </c>
      <c r="BE1004">
        <v>-2.62</v>
      </c>
      <c r="BF1004">
        <v>-4.16</v>
      </c>
      <c r="BG1004">
        <v>7.0000000000000007E-2</v>
      </c>
      <c r="BH1004">
        <v>-1.2</v>
      </c>
      <c r="BI1004">
        <v>20191213</v>
      </c>
      <c r="BJ1004">
        <v>20110225</v>
      </c>
      <c r="BK1004">
        <v>3.06</v>
      </c>
      <c r="BL1004" t="s">
        <v>116</v>
      </c>
      <c r="BM1004" t="s">
        <v>116</v>
      </c>
      <c r="BN1004">
        <v>7.31</v>
      </c>
      <c r="BO1004">
        <v>6.63</v>
      </c>
      <c r="BP1004">
        <v>0</v>
      </c>
      <c r="BQ1004">
        <v>9.34</v>
      </c>
      <c r="BR1004">
        <v>3.36</v>
      </c>
      <c r="BS1004">
        <v>2.6</v>
      </c>
      <c r="BT1004">
        <v>0.33</v>
      </c>
      <c r="BU1004">
        <v>0.56999999999999995</v>
      </c>
      <c r="BV1004">
        <v>1.25</v>
      </c>
      <c r="BW1004">
        <v>0.96</v>
      </c>
      <c r="BX1004">
        <v>4.09</v>
      </c>
      <c r="BY1004">
        <v>2.5</v>
      </c>
      <c r="BZ1004">
        <v>2.1</v>
      </c>
      <c r="CA1004">
        <v>0.56000000000000005</v>
      </c>
      <c r="CB1004">
        <v>0.45</v>
      </c>
      <c r="CC1004">
        <v>0.56000000000000005</v>
      </c>
      <c r="CD1004">
        <v>0.56000000000000005</v>
      </c>
      <c r="CE1004">
        <v>0.56000000000000005</v>
      </c>
      <c r="CF1004">
        <v>0.15</v>
      </c>
      <c r="CG1004">
        <v>-0.79</v>
      </c>
      <c r="CH1004">
        <v>0.04</v>
      </c>
      <c r="CI1004">
        <v>0.65</v>
      </c>
      <c r="CJ1004">
        <v>48196</v>
      </c>
      <c r="CK1004">
        <v>1735</v>
      </c>
      <c r="CL1004" t="s">
        <v>579</v>
      </c>
      <c r="CM1004">
        <v>122.36</v>
      </c>
      <c r="CN1004">
        <v>14.47</v>
      </c>
      <c r="CO1004">
        <v>12.35</v>
      </c>
      <c r="CP1004">
        <v>1934.4</v>
      </c>
      <c r="CQ1004">
        <v>32.68</v>
      </c>
      <c r="CR1004">
        <v>0</v>
      </c>
      <c r="CS1004" t="s">
        <v>1113</v>
      </c>
      <c r="CT1004">
        <v>2.16</v>
      </c>
      <c r="CU1004">
        <v>0</v>
      </c>
      <c r="CV1004">
        <v>1.33</v>
      </c>
      <c r="CW1004">
        <v>-0.26</v>
      </c>
      <c r="CX1004">
        <v>0.01</v>
      </c>
      <c r="CY1004">
        <v>90.66</v>
      </c>
      <c r="CZ1004" t="s">
        <v>5883</v>
      </c>
      <c r="DA1004">
        <v>16.04</v>
      </c>
      <c r="DB1004">
        <v>22.53</v>
      </c>
      <c r="DC1004">
        <v>22.37</v>
      </c>
      <c r="DD1004">
        <v>0.08</v>
      </c>
      <c r="DE1004">
        <v>468</v>
      </c>
      <c r="DF1004">
        <v>2552</v>
      </c>
      <c r="DG1004" t="s">
        <v>116</v>
      </c>
      <c r="DH1004" t="s">
        <v>116</v>
      </c>
      <c r="DI1004" t="s">
        <v>116</v>
      </c>
    </row>
    <row r="1005" spans="1:113" x14ac:dyDescent="0.4">
      <c r="A1005" t="str">
        <f>"002553"</f>
        <v>002553</v>
      </c>
      <c r="B1005" t="s">
        <v>5884</v>
      </c>
      <c r="C1005">
        <v>-1.1100000000000001</v>
      </c>
      <c r="D1005">
        <v>5.34</v>
      </c>
      <c r="E1005">
        <v>-0.06</v>
      </c>
      <c r="F1005">
        <v>5.34</v>
      </c>
      <c r="G1005">
        <v>5.35</v>
      </c>
      <c r="H1005">
        <v>27399</v>
      </c>
      <c r="I1005">
        <v>247</v>
      </c>
      <c r="J1005">
        <v>-0.18</v>
      </c>
      <c r="K1005">
        <v>1.17</v>
      </c>
      <c r="L1005">
        <v>5.39</v>
      </c>
      <c r="M1005">
        <v>5.46</v>
      </c>
      <c r="N1005">
        <v>5.33</v>
      </c>
      <c r="O1005">
        <v>5.4</v>
      </c>
      <c r="P1005">
        <v>32.090000000000003</v>
      </c>
      <c r="Q1005">
        <v>14797780</v>
      </c>
      <c r="R1005">
        <v>1.04</v>
      </c>
      <c r="S1005" t="s">
        <v>293</v>
      </c>
      <c r="T1005" t="s">
        <v>323</v>
      </c>
      <c r="U1005">
        <v>2.41</v>
      </c>
      <c r="V1005">
        <v>5.4</v>
      </c>
      <c r="W1005">
        <v>15480</v>
      </c>
      <c r="X1005">
        <v>11919</v>
      </c>
      <c r="Y1005">
        <v>1.3</v>
      </c>
      <c r="Z1005">
        <v>244</v>
      </c>
      <c r="AA1005">
        <v>157</v>
      </c>
      <c r="AB1005" t="s">
        <v>116</v>
      </c>
      <c r="AC1005">
        <v>18900</v>
      </c>
      <c r="AD1005">
        <v>0</v>
      </c>
      <c r="AE1005" t="s">
        <v>116</v>
      </c>
      <c r="AF1005" t="s">
        <v>116</v>
      </c>
      <c r="AG1005">
        <v>2.34</v>
      </c>
      <c r="AH1005" t="s">
        <v>5885</v>
      </c>
      <c r="AI1005" t="s">
        <v>5886</v>
      </c>
      <c r="AJ1005">
        <v>-0.43</v>
      </c>
      <c r="AK1005">
        <v>773</v>
      </c>
      <c r="AL1005">
        <v>35</v>
      </c>
      <c r="AM1005">
        <v>1.5E-3</v>
      </c>
      <c r="AN1005">
        <v>-1</v>
      </c>
      <c r="AO1005">
        <v>0.2</v>
      </c>
      <c r="AP1005">
        <v>5.12</v>
      </c>
      <c r="AQ1005">
        <v>-10.25</v>
      </c>
      <c r="AR1005">
        <v>7.44</v>
      </c>
      <c r="AS1005">
        <v>1.6</v>
      </c>
      <c r="AT1005" t="s">
        <v>5887</v>
      </c>
      <c r="AU1005">
        <v>48.55</v>
      </c>
      <c r="AV1005">
        <v>20.61</v>
      </c>
      <c r="AW1005">
        <v>1.1499999999999999</v>
      </c>
      <c r="BA1005">
        <v>-0.19</v>
      </c>
      <c r="BB1005">
        <v>1.1100000000000001</v>
      </c>
      <c r="BC1005">
        <v>-1.3</v>
      </c>
      <c r="BD1005">
        <v>0.01</v>
      </c>
      <c r="BE1005">
        <v>-0.93</v>
      </c>
      <c r="BF1005">
        <v>-2.2000000000000002</v>
      </c>
      <c r="BG1005">
        <v>0.19</v>
      </c>
      <c r="BH1005">
        <v>-1.1299999999999999</v>
      </c>
      <c r="BI1005">
        <v>20191018</v>
      </c>
      <c r="BJ1005">
        <v>20110225</v>
      </c>
      <c r="BK1005">
        <v>3.48</v>
      </c>
      <c r="BL1005" t="s">
        <v>116</v>
      </c>
      <c r="BM1005" t="s">
        <v>116</v>
      </c>
      <c r="BN1005">
        <v>8.09</v>
      </c>
      <c r="BO1005">
        <v>6.96</v>
      </c>
      <c r="BP1005">
        <v>0</v>
      </c>
      <c r="BQ1005">
        <v>13.97</v>
      </c>
      <c r="BR1005">
        <v>4.33</v>
      </c>
      <c r="BS1005">
        <v>1.97</v>
      </c>
      <c r="BT1005">
        <v>0.08</v>
      </c>
      <c r="BU1005">
        <v>1.0900000000000001</v>
      </c>
      <c r="BV1005">
        <v>0.75</v>
      </c>
      <c r="BW1005">
        <v>0.89</v>
      </c>
      <c r="BX1005">
        <v>0.56999999999999995</v>
      </c>
      <c r="BY1005">
        <v>2.93</v>
      </c>
      <c r="BZ1005">
        <v>1.97</v>
      </c>
      <c r="CA1005">
        <v>0.5</v>
      </c>
      <c r="CB1005">
        <v>0.09</v>
      </c>
      <c r="CC1005">
        <v>0.49</v>
      </c>
      <c r="CD1005">
        <v>0.43</v>
      </c>
      <c r="CE1005">
        <v>0.43</v>
      </c>
      <c r="CF1005">
        <v>0.36</v>
      </c>
      <c r="CG1005">
        <v>2.3199999999999998</v>
      </c>
      <c r="CH1005">
        <v>0.63</v>
      </c>
      <c r="CI1005">
        <v>-0.53</v>
      </c>
      <c r="CJ1005">
        <v>23457</v>
      </c>
      <c r="CK1005">
        <v>7278</v>
      </c>
      <c r="CL1005" t="s">
        <v>5888</v>
      </c>
      <c r="CM1005">
        <v>-54.44</v>
      </c>
      <c r="CN1005">
        <v>0.4</v>
      </c>
      <c r="CO1005">
        <v>2.67</v>
      </c>
      <c r="CP1005">
        <v>29.27</v>
      </c>
      <c r="CQ1005">
        <v>6.34</v>
      </c>
      <c r="CR1005">
        <v>3.75</v>
      </c>
      <c r="CS1005" t="s">
        <v>1494</v>
      </c>
      <c r="CT1005">
        <v>2</v>
      </c>
      <c r="CU1005">
        <v>0</v>
      </c>
      <c r="CV1005">
        <v>0.16</v>
      </c>
      <c r="CW1005">
        <v>0.67</v>
      </c>
      <c r="CX1005">
        <v>0.18</v>
      </c>
      <c r="CY1005">
        <v>86.03</v>
      </c>
      <c r="CZ1005" t="s">
        <v>3806</v>
      </c>
      <c r="DA1005">
        <v>32.65</v>
      </c>
      <c r="DB1005">
        <v>16.940000000000001</v>
      </c>
      <c r="DC1005">
        <v>14.81</v>
      </c>
      <c r="DD1005">
        <v>0.18</v>
      </c>
      <c r="DE1005">
        <v>943</v>
      </c>
      <c r="DF1005">
        <v>2553</v>
      </c>
      <c r="DG1005" t="s">
        <v>116</v>
      </c>
      <c r="DH1005" t="s">
        <v>116</v>
      </c>
      <c r="DI1005" t="s">
        <v>116</v>
      </c>
    </row>
    <row r="1006" spans="1:113" x14ac:dyDescent="0.4">
      <c r="A1006" t="str">
        <f>"002554"</f>
        <v>002554</v>
      </c>
      <c r="B1006" t="s">
        <v>5889</v>
      </c>
      <c r="C1006">
        <v>0.34</v>
      </c>
      <c r="D1006">
        <v>2.97</v>
      </c>
      <c r="E1006">
        <v>0.01</v>
      </c>
      <c r="F1006">
        <v>2.97</v>
      </c>
      <c r="G1006">
        <v>2.98</v>
      </c>
      <c r="H1006">
        <v>91284</v>
      </c>
      <c r="I1006">
        <v>777</v>
      </c>
      <c r="J1006">
        <v>0</v>
      </c>
      <c r="K1006">
        <v>1.19</v>
      </c>
      <c r="L1006">
        <v>2.96</v>
      </c>
      <c r="M1006">
        <v>2.99</v>
      </c>
      <c r="N1006">
        <v>2.95</v>
      </c>
      <c r="O1006">
        <v>2.96</v>
      </c>
      <c r="P1006">
        <v>51.83</v>
      </c>
      <c r="Q1006">
        <v>27122380</v>
      </c>
      <c r="R1006">
        <v>1.45</v>
      </c>
      <c r="S1006" t="s">
        <v>4171</v>
      </c>
      <c r="T1006" t="s">
        <v>165</v>
      </c>
      <c r="U1006">
        <v>1.35</v>
      </c>
      <c r="V1006">
        <v>2.97</v>
      </c>
      <c r="W1006">
        <v>41297</v>
      </c>
      <c r="X1006">
        <v>49987</v>
      </c>
      <c r="Y1006">
        <v>0.83</v>
      </c>
      <c r="Z1006">
        <v>778</v>
      </c>
      <c r="AA1006">
        <v>5367</v>
      </c>
      <c r="AB1006" t="s">
        <v>116</v>
      </c>
      <c r="AC1006">
        <v>60400</v>
      </c>
      <c r="AD1006">
        <v>0</v>
      </c>
      <c r="AE1006" t="s">
        <v>116</v>
      </c>
      <c r="AF1006" t="s">
        <v>116</v>
      </c>
      <c r="AG1006">
        <v>7.7</v>
      </c>
      <c r="AH1006" t="s">
        <v>5890</v>
      </c>
      <c r="AI1006" t="s">
        <v>5891</v>
      </c>
      <c r="AJ1006">
        <v>1.02</v>
      </c>
      <c r="AK1006">
        <v>829</v>
      </c>
      <c r="AL1006">
        <v>110</v>
      </c>
      <c r="AM1006">
        <v>1.4E-3</v>
      </c>
      <c r="AN1006">
        <v>2</v>
      </c>
      <c r="AO1006">
        <v>0.34</v>
      </c>
      <c r="AP1006">
        <v>-0.67</v>
      </c>
      <c r="AQ1006">
        <v>-5.1100000000000003</v>
      </c>
      <c r="AR1006">
        <v>9.59</v>
      </c>
      <c r="AS1006">
        <v>1.39</v>
      </c>
      <c r="AT1006" t="s">
        <v>1175</v>
      </c>
      <c r="AU1006" t="s">
        <v>116</v>
      </c>
      <c r="AV1006" t="s">
        <v>116</v>
      </c>
      <c r="AW1006">
        <v>0.66</v>
      </c>
      <c r="BA1006">
        <v>0</v>
      </c>
      <c r="BB1006">
        <v>1.01</v>
      </c>
      <c r="BC1006">
        <v>-0.34</v>
      </c>
      <c r="BD1006">
        <v>0.38</v>
      </c>
      <c r="BE1006">
        <v>0.34</v>
      </c>
      <c r="BF1006">
        <v>-0.67</v>
      </c>
      <c r="BG1006">
        <v>0.68</v>
      </c>
      <c r="BH1006">
        <v>-0.04</v>
      </c>
      <c r="BI1006">
        <v>20191031</v>
      </c>
      <c r="BJ1006">
        <v>20110225</v>
      </c>
      <c r="BK1006">
        <v>10.71</v>
      </c>
      <c r="BL1006" t="s">
        <v>116</v>
      </c>
      <c r="BM1006" t="s">
        <v>116</v>
      </c>
      <c r="BN1006">
        <v>39.03</v>
      </c>
      <c r="BO1006">
        <v>17.37</v>
      </c>
      <c r="BP1006">
        <v>0.69</v>
      </c>
      <c r="BQ1006">
        <v>53.73</v>
      </c>
      <c r="BR1006">
        <v>27.36</v>
      </c>
      <c r="BS1006">
        <v>4.99</v>
      </c>
      <c r="BT1006">
        <v>0.48</v>
      </c>
      <c r="BU1006">
        <v>17.350000000000001</v>
      </c>
      <c r="BV1006">
        <v>2.79</v>
      </c>
      <c r="BW1006">
        <v>10.62</v>
      </c>
      <c r="BX1006">
        <v>5.18</v>
      </c>
      <c r="BY1006">
        <v>14.32</v>
      </c>
      <c r="BZ1006">
        <v>11.03</v>
      </c>
      <c r="CA1006">
        <v>0.61</v>
      </c>
      <c r="CB1006">
        <v>0.04</v>
      </c>
      <c r="CC1006">
        <v>0.64</v>
      </c>
      <c r="CD1006">
        <v>0.49</v>
      </c>
      <c r="CE1006">
        <v>0.46</v>
      </c>
      <c r="CF1006">
        <v>0.39</v>
      </c>
      <c r="CG1006">
        <v>1.61</v>
      </c>
      <c r="CH1006">
        <v>1.02</v>
      </c>
      <c r="CI1006">
        <v>-1.52</v>
      </c>
      <c r="CJ1006">
        <v>66928</v>
      </c>
      <c r="CK1006">
        <v>9806</v>
      </c>
      <c r="CL1006" t="s">
        <v>2031</v>
      </c>
      <c r="CM1006">
        <v>58.6</v>
      </c>
      <c r="CN1006">
        <v>23.51</v>
      </c>
      <c r="CO1006">
        <v>1.83</v>
      </c>
      <c r="CP1006">
        <v>31.3</v>
      </c>
      <c r="CQ1006">
        <v>2.2200000000000002</v>
      </c>
      <c r="CR1006">
        <v>0</v>
      </c>
      <c r="CS1006" t="s">
        <v>1533</v>
      </c>
      <c r="CT1006">
        <v>1.62</v>
      </c>
      <c r="CU1006">
        <v>0</v>
      </c>
      <c r="CV1006">
        <v>0.48</v>
      </c>
      <c r="CW1006">
        <v>0.15</v>
      </c>
      <c r="CX1006">
        <v>0.09</v>
      </c>
      <c r="CY1006">
        <v>44.51</v>
      </c>
      <c r="CZ1006" t="s">
        <v>5892</v>
      </c>
      <c r="DA1006">
        <v>22.97</v>
      </c>
      <c r="DB1006">
        <v>4.2300000000000004</v>
      </c>
      <c r="DC1006">
        <v>3.21</v>
      </c>
      <c r="DD1006">
        <v>0.45</v>
      </c>
      <c r="DE1006">
        <v>1129</v>
      </c>
      <c r="DF1006">
        <v>2554</v>
      </c>
      <c r="DG1006" t="s">
        <v>116</v>
      </c>
      <c r="DH1006" t="s">
        <v>116</v>
      </c>
      <c r="DI1006" t="s">
        <v>116</v>
      </c>
    </row>
    <row r="1007" spans="1:113" x14ac:dyDescent="0.4">
      <c r="A1007" t="str">
        <f>"002555"</f>
        <v>002555</v>
      </c>
      <c r="B1007" t="s">
        <v>5893</v>
      </c>
      <c r="C1007">
        <v>-3.89</v>
      </c>
      <c r="D1007">
        <v>26.45</v>
      </c>
      <c r="E1007">
        <v>-1.07</v>
      </c>
      <c r="F1007">
        <v>26.45</v>
      </c>
      <c r="G1007">
        <v>26.46</v>
      </c>
      <c r="H1007">
        <v>257308</v>
      </c>
      <c r="I1007">
        <v>1204</v>
      </c>
      <c r="J1007">
        <v>0.04</v>
      </c>
      <c r="K1007">
        <v>1.91</v>
      </c>
      <c r="L1007">
        <v>27.4</v>
      </c>
      <c r="M1007">
        <v>27.98</v>
      </c>
      <c r="N1007">
        <v>26.37</v>
      </c>
      <c r="O1007">
        <v>27.52</v>
      </c>
      <c r="P1007">
        <v>26.93</v>
      </c>
      <c r="Q1007">
        <v>700076096</v>
      </c>
      <c r="R1007">
        <v>1.28</v>
      </c>
      <c r="S1007" t="s">
        <v>1384</v>
      </c>
      <c r="T1007" t="s">
        <v>575</v>
      </c>
      <c r="U1007">
        <v>5.85</v>
      </c>
      <c r="V1007">
        <v>27.21</v>
      </c>
      <c r="W1007">
        <v>128079</v>
      </c>
      <c r="X1007">
        <v>129229</v>
      </c>
      <c r="Y1007">
        <v>0.99</v>
      </c>
      <c r="Z1007">
        <v>805</v>
      </c>
      <c r="AA1007">
        <v>12</v>
      </c>
      <c r="AB1007" t="s">
        <v>116</v>
      </c>
      <c r="AC1007">
        <v>1342600</v>
      </c>
      <c r="AD1007">
        <v>0</v>
      </c>
      <c r="AE1007" t="s">
        <v>116</v>
      </c>
      <c r="AF1007" t="s">
        <v>116</v>
      </c>
      <c r="AG1007">
        <v>13.48</v>
      </c>
      <c r="AH1007" t="s">
        <v>5894</v>
      </c>
      <c r="AI1007" t="s">
        <v>5895</v>
      </c>
      <c r="AJ1007">
        <v>-3.21</v>
      </c>
      <c r="AK1007">
        <v>4362</v>
      </c>
      <c r="AL1007">
        <v>59</v>
      </c>
      <c r="AM1007">
        <v>4.0000000000000002E-4</v>
      </c>
      <c r="AN1007">
        <v>-2</v>
      </c>
      <c r="AO1007">
        <v>-1.71</v>
      </c>
      <c r="AP1007">
        <v>21.95</v>
      </c>
      <c r="AQ1007">
        <v>46.05</v>
      </c>
      <c r="AR1007">
        <v>189.39</v>
      </c>
      <c r="AS1007">
        <v>2.5</v>
      </c>
      <c r="AT1007" t="s">
        <v>5896</v>
      </c>
      <c r="AU1007">
        <v>41.51</v>
      </c>
      <c r="AV1007">
        <v>55.4</v>
      </c>
      <c r="AW1007">
        <v>0.73</v>
      </c>
      <c r="BA1007">
        <v>-0.44</v>
      </c>
      <c r="BB1007">
        <v>1.67</v>
      </c>
      <c r="BC1007">
        <v>-4.18</v>
      </c>
      <c r="BD1007">
        <v>-1.1299999999999999</v>
      </c>
      <c r="BE1007">
        <v>-3.47</v>
      </c>
      <c r="BF1007">
        <v>-5.47</v>
      </c>
      <c r="BG1007">
        <v>0.3</v>
      </c>
      <c r="BH1007">
        <v>-2.75</v>
      </c>
      <c r="BI1007">
        <v>20191227</v>
      </c>
      <c r="BJ1007">
        <v>20110302</v>
      </c>
      <c r="BK1007">
        <v>21.12</v>
      </c>
      <c r="BL1007" t="s">
        <v>116</v>
      </c>
      <c r="BM1007" t="s">
        <v>116</v>
      </c>
      <c r="BN1007">
        <v>97.63</v>
      </c>
      <c r="BO1007">
        <v>65.22</v>
      </c>
      <c r="BP1007">
        <v>1.34</v>
      </c>
      <c r="BQ1007">
        <v>31.82</v>
      </c>
      <c r="BR1007">
        <v>55.97</v>
      </c>
      <c r="BS1007">
        <v>0.41</v>
      </c>
      <c r="BT1007">
        <v>0.13</v>
      </c>
      <c r="BU1007">
        <v>28.47</v>
      </c>
      <c r="BV1007">
        <v>0</v>
      </c>
      <c r="BW1007">
        <v>17.670000000000002</v>
      </c>
      <c r="BX1007">
        <v>2.21</v>
      </c>
      <c r="BY1007">
        <v>95.6</v>
      </c>
      <c r="BZ1007">
        <v>12.97</v>
      </c>
      <c r="CA1007">
        <v>19.61</v>
      </c>
      <c r="CB1007">
        <v>0.54</v>
      </c>
      <c r="CC1007">
        <v>19.64</v>
      </c>
      <c r="CD1007">
        <v>17.64</v>
      </c>
      <c r="CE1007">
        <v>15.56</v>
      </c>
      <c r="CF1007">
        <v>14.17</v>
      </c>
      <c r="CG1007">
        <v>42.86</v>
      </c>
      <c r="CH1007">
        <v>18.97</v>
      </c>
      <c r="CI1007">
        <v>3.83</v>
      </c>
      <c r="CJ1007">
        <v>39059</v>
      </c>
      <c r="CK1007">
        <v>26359</v>
      </c>
      <c r="CL1007" t="s">
        <v>5897</v>
      </c>
      <c r="CM1007">
        <v>27.7</v>
      </c>
      <c r="CN1007">
        <v>72.72</v>
      </c>
      <c r="CO1007">
        <v>8.57</v>
      </c>
      <c r="CP1007">
        <v>29.45</v>
      </c>
      <c r="CQ1007">
        <v>5.84</v>
      </c>
      <c r="CR1007">
        <v>1.1299999999999999</v>
      </c>
      <c r="CS1007" t="s">
        <v>2110</v>
      </c>
      <c r="CT1007">
        <v>3.09</v>
      </c>
      <c r="CU1007">
        <v>0</v>
      </c>
      <c r="CV1007">
        <v>0.1</v>
      </c>
      <c r="CW1007">
        <v>2.0299999999999998</v>
      </c>
      <c r="CX1007">
        <v>0.9</v>
      </c>
      <c r="CY1007">
        <v>66.81</v>
      </c>
      <c r="CZ1007" t="s">
        <v>5898</v>
      </c>
      <c r="DA1007">
        <v>86.43</v>
      </c>
      <c r="DB1007">
        <v>20.52</v>
      </c>
      <c r="DC1007">
        <v>16.27</v>
      </c>
      <c r="DD1007">
        <v>5.16</v>
      </c>
      <c r="DE1007">
        <v>2263</v>
      </c>
      <c r="DF1007">
        <v>2555</v>
      </c>
      <c r="DG1007" t="s">
        <v>116</v>
      </c>
      <c r="DH1007" t="s">
        <v>116</v>
      </c>
      <c r="DI1007" t="s">
        <v>116</v>
      </c>
    </row>
    <row r="1008" spans="1:113" x14ac:dyDescent="0.4">
      <c r="A1008" t="str">
        <f>"002556"</f>
        <v>002556</v>
      </c>
      <c r="B1008" t="s">
        <v>5899</v>
      </c>
      <c r="C1008">
        <v>-0.55000000000000004</v>
      </c>
      <c r="D1008">
        <v>5.45</v>
      </c>
      <c r="E1008">
        <v>-0.03</v>
      </c>
      <c r="F1008">
        <v>5.45</v>
      </c>
      <c r="G1008">
        <v>5.46</v>
      </c>
      <c r="H1008">
        <v>80884</v>
      </c>
      <c r="I1008">
        <v>712</v>
      </c>
      <c r="J1008">
        <v>0.18</v>
      </c>
      <c r="K1008">
        <v>1.1299999999999999</v>
      </c>
      <c r="L1008">
        <v>5.43</v>
      </c>
      <c r="M1008">
        <v>5.54</v>
      </c>
      <c r="N1008">
        <v>5.4</v>
      </c>
      <c r="O1008">
        <v>5.48</v>
      </c>
      <c r="P1008">
        <v>32.44</v>
      </c>
      <c r="Q1008">
        <v>44270276</v>
      </c>
      <c r="R1008">
        <v>1.23</v>
      </c>
      <c r="S1008" t="s">
        <v>225</v>
      </c>
      <c r="T1008" t="s">
        <v>575</v>
      </c>
      <c r="U1008">
        <v>2.5499999999999998</v>
      </c>
      <c r="V1008">
        <v>5.47</v>
      </c>
      <c r="W1008">
        <v>45866</v>
      </c>
      <c r="X1008">
        <v>35018</v>
      </c>
      <c r="Y1008">
        <v>1.31</v>
      </c>
      <c r="Z1008">
        <v>148</v>
      </c>
      <c r="AA1008">
        <v>930</v>
      </c>
      <c r="AB1008" t="s">
        <v>116</v>
      </c>
      <c r="AC1008">
        <v>219400</v>
      </c>
      <c r="AD1008">
        <v>0.01</v>
      </c>
      <c r="AE1008" t="s">
        <v>116</v>
      </c>
      <c r="AF1008" t="s">
        <v>116</v>
      </c>
      <c r="AG1008">
        <v>7.16</v>
      </c>
      <c r="AH1008" t="s">
        <v>2289</v>
      </c>
      <c r="AI1008" t="s">
        <v>5900</v>
      </c>
      <c r="AJ1008">
        <v>0.13</v>
      </c>
      <c r="AK1008">
        <v>1139</v>
      </c>
      <c r="AL1008">
        <v>71</v>
      </c>
      <c r="AM1008">
        <v>1E-3</v>
      </c>
      <c r="AN1008">
        <v>-1</v>
      </c>
      <c r="AO1008">
        <v>1.87</v>
      </c>
      <c r="AP1008">
        <v>-3.71</v>
      </c>
      <c r="AQ1008">
        <v>5.42</v>
      </c>
      <c r="AR1008">
        <v>8.1300000000000008</v>
      </c>
      <c r="AS1008">
        <v>1.99</v>
      </c>
      <c r="AT1008" t="s">
        <v>5901</v>
      </c>
      <c r="AU1008">
        <v>43.64</v>
      </c>
      <c r="AV1008">
        <v>28.23</v>
      </c>
      <c r="AW1008">
        <v>0.56999999999999995</v>
      </c>
      <c r="BA1008">
        <v>-0.91</v>
      </c>
      <c r="BB1008">
        <v>1.0900000000000001</v>
      </c>
      <c r="BC1008">
        <v>-1.46</v>
      </c>
      <c r="BD1008">
        <v>-0.12</v>
      </c>
      <c r="BE1008">
        <v>0.37</v>
      </c>
      <c r="BF1008">
        <v>-1.62</v>
      </c>
      <c r="BG1008">
        <v>0.93</v>
      </c>
      <c r="BH1008">
        <v>-0.43</v>
      </c>
      <c r="BI1008">
        <v>20191120</v>
      </c>
      <c r="BJ1008">
        <v>20110302</v>
      </c>
      <c r="BK1008">
        <v>7.18</v>
      </c>
      <c r="BL1008" t="s">
        <v>116</v>
      </c>
      <c r="BM1008" t="s">
        <v>116</v>
      </c>
      <c r="BN1008">
        <v>81.260000000000005</v>
      </c>
      <c r="BO1008">
        <v>23.78</v>
      </c>
      <c r="BP1008">
        <v>2.36</v>
      </c>
      <c r="BQ1008">
        <v>67.83</v>
      </c>
      <c r="BR1008">
        <v>58.37</v>
      </c>
      <c r="BS1008">
        <v>5.98</v>
      </c>
      <c r="BT1008">
        <v>2.69</v>
      </c>
      <c r="BU1008">
        <v>54.73</v>
      </c>
      <c r="BV1008">
        <v>22.05</v>
      </c>
      <c r="BW1008">
        <v>5.79</v>
      </c>
      <c r="BX1008">
        <v>8.3699999999999992</v>
      </c>
      <c r="BY1008">
        <v>133.47</v>
      </c>
      <c r="BZ1008">
        <v>127.38</v>
      </c>
      <c r="CA1008">
        <v>1.1599999999999999</v>
      </c>
      <c r="CB1008">
        <v>0.47</v>
      </c>
      <c r="CC1008">
        <v>1.39</v>
      </c>
      <c r="CD1008">
        <v>1.1399999999999999</v>
      </c>
      <c r="CE1008">
        <v>0.9</v>
      </c>
      <c r="CF1008">
        <v>0.66</v>
      </c>
      <c r="CG1008">
        <v>8.2100000000000009</v>
      </c>
      <c r="CH1008">
        <v>7.48</v>
      </c>
      <c r="CI1008">
        <v>-0.6</v>
      </c>
      <c r="CJ1008">
        <v>40929</v>
      </c>
      <c r="CK1008">
        <v>9910</v>
      </c>
      <c r="CL1008" t="s">
        <v>2738</v>
      </c>
      <c r="CM1008">
        <v>-35.11</v>
      </c>
      <c r="CN1008">
        <v>5.7</v>
      </c>
      <c r="CO1008">
        <v>1.64</v>
      </c>
      <c r="CP1008">
        <v>5.23</v>
      </c>
      <c r="CQ1008">
        <v>0.28999999999999998</v>
      </c>
      <c r="CR1008">
        <v>1.25</v>
      </c>
      <c r="CS1008" t="s">
        <v>2082</v>
      </c>
      <c r="CT1008">
        <v>3.31</v>
      </c>
      <c r="CU1008">
        <v>0</v>
      </c>
      <c r="CV1008">
        <v>1.17</v>
      </c>
      <c r="CW1008">
        <v>1.1399999999999999</v>
      </c>
      <c r="CX1008">
        <v>1.04</v>
      </c>
      <c r="CY1008">
        <v>29.26</v>
      </c>
      <c r="CZ1008" t="s">
        <v>4405</v>
      </c>
      <c r="DA1008">
        <v>4.5599999999999996</v>
      </c>
      <c r="DB1008">
        <v>0.87</v>
      </c>
      <c r="DC1008">
        <v>0.68</v>
      </c>
      <c r="DD1008">
        <v>0.33</v>
      </c>
      <c r="DE1008">
        <v>1845</v>
      </c>
      <c r="DF1008">
        <v>2556</v>
      </c>
      <c r="DG1008" t="s">
        <v>116</v>
      </c>
      <c r="DH1008" t="s">
        <v>116</v>
      </c>
      <c r="DI1008" t="s">
        <v>116</v>
      </c>
    </row>
    <row r="1009" spans="1:113" x14ac:dyDescent="0.4">
      <c r="A1009" t="str">
        <f>"002557"</f>
        <v>002557</v>
      </c>
      <c r="B1009" t="s">
        <v>5902</v>
      </c>
      <c r="C1009">
        <v>-1.53</v>
      </c>
      <c r="D1009">
        <v>33.520000000000003</v>
      </c>
      <c r="E1009">
        <v>-0.52</v>
      </c>
      <c r="F1009">
        <v>33.520000000000003</v>
      </c>
      <c r="G1009">
        <v>33.57</v>
      </c>
      <c r="H1009">
        <v>45592</v>
      </c>
      <c r="I1009">
        <v>486</v>
      </c>
      <c r="J1009">
        <v>-0.11</v>
      </c>
      <c r="K1009">
        <v>0.9</v>
      </c>
      <c r="L1009">
        <v>34.130000000000003</v>
      </c>
      <c r="M1009">
        <v>34.29</v>
      </c>
      <c r="N1009">
        <v>33.200000000000003</v>
      </c>
      <c r="O1009">
        <v>34.04</v>
      </c>
      <c r="P1009">
        <v>31.83</v>
      </c>
      <c r="Q1009">
        <v>153511072</v>
      </c>
      <c r="R1009">
        <v>1.36</v>
      </c>
      <c r="S1009" t="s">
        <v>863</v>
      </c>
      <c r="T1009" t="s">
        <v>575</v>
      </c>
      <c r="U1009">
        <v>3.2</v>
      </c>
      <c r="V1009">
        <v>33.67</v>
      </c>
      <c r="W1009">
        <v>23536</v>
      </c>
      <c r="X1009">
        <v>22056</v>
      </c>
      <c r="Y1009">
        <v>1.07</v>
      </c>
      <c r="Z1009">
        <v>27</v>
      </c>
      <c r="AA1009">
        <v>2</v>
      </c>
      <c r="AB1009" t="s">
        <v>116</v>
      </c>
      <c r="AC1009">
        <v>194500</v>
      </c>
      <c r="AD1009">
        <v>0</v>
      </c>
      <c r="AE1009" t="s">
        <v>116</v>
      </c>
      <c r="AF1009" t="s">
        <v>116</v>
      </c>
      <c r="AG1009">
        <v>5.07</v>
      </c>
      <c r="AH1009" t="s">
        <v>5903</v>
      </c>
      <c r="AI1009" t="s">
        <v>5903</v>
      </c>
      <c r="AJ1009">
        <v>-0.85</v>
      </c>
      <c r="AK1009">
        <v>2934</v>
      </c>
      <c r="AL1009">
        <v>16</v>
      </c>
      <c r="AM1009">
        <v>2.9999999999999997E-4</v>
      </c>
      <c r="AN1009">
        <v>-3</v>
      </c>
      <c r="AO1009">
        <v>-4.45</v>
      </c>
      <c r="AP1009">
        <v>3.58</v>
      </c>
      <c r="AQ1009">
        <v>35.159999999999997</v>
      </c>
      <c r="AR1009">
        <v>80.8</v>
      </c>
      <c r="AS1009">
        <v>1.84</v>
      </c>
      <c r="AT1009" t="s">
        <v>5904</v>
      </c>
      <c r="AU1009">
        <v>32.03</v>
      </c>
      <c r="AV1009">
        <v>39.270000000000003</v>
      </c>
      <c r="AW1009">
        <v>0.13</v>
      </c>
      <c r="BA1009">
        <v>0.26</v>
      </c>
      <c r="BB1009">
        <v>0.73</v>
      </c>
      <c r="BC1009">
        <v>-2.4700000000000002</v>
      </c>
      <c r="BD1009">
        <v>-1.08</v>
      </c>
      <c r="BE1009">
        <v>-1.79</v>
      </c>
      <c r="BF1009">
        <v>-2.25</v>
      </c>
      <c r="BG1009">
        <v>0.96</v>
      </c>
      <c r="BH1009">
        <v>-0.44</v>
      </c>
      <c r="BI1009">
        <v>20191018</v>
      </c>
      <c r="BJ1009">
        <v>20110302</v>
      </c>
      <c r="BK1009">
        <v>5.07</v>
      </c>
      <c r="BL1009" t="s">
        <v>116</v>
      </c>
      <c r="BM1009" t="s">
        <v>116</v>
      </c>
      <c r="BN1009">
        <v>47.63</v>
      </c>
      <c r="BO1009">
        <v>34.53</v>
      </c>
      <c r="BP1009">
        <v>0.01</v>
      </c>
      <c r="BQ1009">
        <v>27.5</v>
      </c>
      <c r="BR1009">
        <v>30.4</v>
      </c>
      <c r="BS1009">
        <v>10.85</v>
      </c>
      <c r="BT1009">
        <v>2.62</v>
      </c>
      <c r="BU1009">
        <v>12.58</v>
      </c>
      <c r="BV1009">
        <v>4.33</v>
      </c>
      <c r="BW1009">
        <v>1.48</v>
      </c>
      <c r="BX1009">
        <v>15.67</v>
      </c>
      <c r="BY1009">
        <v>32.19</v>
      </c>
      <c r="BZ1009">
        <v>21.45</v>
      </c>
      <c r="CA1009">
        <v>4.54</v>
      </c>
      <c r="CB1009">
        <v>0.44</v>
      </c>
      <c r="CC1009">
        <v>4.99</v>
      </c>
      <c r="CD1009">
        <v>4.0199999999999996</v>
      </c>
      <c r="CE1009">
        <v>4</v>
      </c>
      <c r="CF1009">
        <v>3.17</v>
      </c>
      <c r="CG1009">
        <v>11.32</v>
      </c>
      <c r="CH1009">
        <v>8.8800000000000008</v>
      </c>
      <c r="CI1009">
        <v>-0.33</v>
      </c>
      <c r="CJ1009">
        <v>14216</v>
      </c>
      <c r="CK1009">
        <v>17412</v>
      </c>
      <c r="CL1009" t="s">
        <v>5905</v>
      </c>
      <c r="CM1009">
        <v>32.270000000000003</v>
      </c>
      <c r="CN1009">
        <v>10.64</v>
      </c>
      <c r="CO1009">
        <v>4.92</v>
      </c>
      <c r="CP1009">
        <v>19.13</v>
      </c>
      <c r="CQ1009">
        <v>5.28</v>
      </c>
      <c r="CR1009">
        <v>1.49</v>
      </c>
      <c r="CS1009" t="s">
        <v>5906</v>
      </c>
      <c r="CT1009">
        <v>6.81</v>
      </c>
      <c r="CU1009">
        <v>0</v>
      </c>
      <c r="CV1009">
        <v>3.09</v>
      </c>
      <c r="CW1009">
        <v>2.23</v>
      </c>
      <c r="CX1009">
        <v>1.75</v>
      </c>
      <c r="CY1009">
        <v>72.48</v>
      </c>
      <c r="CZ1009" t="s">
        <v>3559</v>
      </c>
      <c r="DA1009">
        <v>33.36</v>
      </c>
      <c r="DB1009">
        <v>14.11</v>
      </c>
      <c r="DC1009">
        <v>12.44</v>
      </c>
      <c r="DD1009">
        <v>0.18</v>
      </c>
      <c r="DE1009">
        <v>4756</v>
      </c>
      <c r="DF1009">
        <v>2557</v>
      </c>
      <c r="DG1009" t="s">
        <v>116</v>
      </c>
      <c r="DH1009" t="s">
        <v>116</v>
      </c>
      <c r="DI1009" t="s">
        <v>116</v>
      </c>
    </row>
    <row r="1010" spans="1:113" x14ac:dyDescent="0.4">
      <c r="A1010" t="str">
        <f>"002558"</f>
        <v>002558</v>
      </c>
      <c r="B1010" t="s">
        <v>5907</v>
      </c>
      <c r="C1010">
        <v>1.01</v>
      </c>
      <c r="D1010">
        <v>18.07</v>
      </c>
      <c r="E1010">
        <v>0.18</v>
      </c>
      <c r="F1010">
        <v>18.059999999999999</v>
      </c>
      <c r="G1010">
        <v>18.07</v>
      </c>
      <c r="H1010">
        <v>80876</v>
      </c>
      <c r="I1010">
        <v>630</v>
      </c>
      <c r="J1010">
        <v>0.11</v>
      </c>
      <c r="K1010">
        <v>0.4</v>
      </c>
      <c r="L1010">
        <v>17.91</v>
      </c>
      <c r="M1010">
        <v>18.48</v>
      </c>
      <c r="N1010">
        <v>17.91</v>
      </c>
      <c r="O1010">
        <v>17.89</v>
      </c>
      <c r="P1010">
        <v>38.229999999999997</v>
      </c>
      <c r="Q1010">
        <v>147509104</v>
      </c>
      <c r="R1010">
        <v>2.02</v>
      </c>
      <c r="S1010" t="s">
        <v>1384</v>
      </c>
      <c r="T1010" t="s">
        <v>906</v>
      </c>
      <c r="U1010">
        <v>3.19</v>
      </c>
      <c r="V1010">
        <v>18.239999999999998</v>
      </c>
      <c r="W1010">
        <v>40314</v>
      </c>
      <c r="X1010">
        <v>40562</v>
      </c>
      <c r="Y1010">
        <v>0.99</v>
      </c>
      <c r="Z1010">
        <v>466</v>
      </c>
      <c r="AA1010">
        <v>142</v>
      </c>
      <c r="AB1010" t="s">
        <v>116</v>
      </c>
      <c r="AC1010">
        <v>689500</v>
      </c>
      <c r="AD1010">
        <v>0.01</v>
      </c>
      <c r="AE1010" t="s">
        <v>116</v>
      </c>
      <c r="AF1010" t="s">
        <v>116</v>
      </c>
      <c r="AG1010">
        <v>20.239999999999998</v>
      </c>
      <c r="AH1010" t="s">
        <v>5908</v>
      </c>
      <c r="AI1010" t="s">
        <v>5908</v>
      </c>
      <c r="AJ1010">
        <v>1.69</v>
      </c>
      <c r="AK1010">
        <v>2553</v>
      </c>
      <c r="AL1010">
        <v>32</v>
      </c>
      <c r="AM1010">
        <v>2.0000000000000001E-4</v>
      </c>
      <c r="AN1010">
        <v>2</v>
      </c>
      <c r="AO1010">
        <v>1.17</v>
      </c>
      <c r="AP1010">
        <v>2.09</v>
      </c>
      <c r="AQ1010">
        <v>-5.34</v>
      </c>
      <c r="AR1010">
        <v>-5.89</v>
      </c>
      <c r="AS1010">
        <v>1.93</v>
      </c>
      <c r="AT1010" t="s">
        <v>5909</v>
      </c>
      <c r="AU1010">
        <v>45.57</v>
      </c>
      <c r="AV1010">
        <v>33.93</v>
      </c>
      <c r="AW1010">
        <v>0.74</v>
      </c>
      <c r="BA1010">
        <v>0.11</v>
      </c>
      <c r="BB1010">
        <v>3.3</v>
      </c>
      <c r="BC1010">
        <v>0.11</v>
      </c>
      <c r="BD1010">
        <v>1.95</v>
      </c>
      <c r="BE1010">
        <v>0.89</v>
      </c>
      <c r="BF1010">
        <v>-2.2200000000000002</v>
      </c>
      <c r="BG1010">
        <v>0.89</v>
      </c>
      <c r="BH1010">
        <v>-0.94</v>
      </c>
      <c r="BI1010">
        <v>20191031</v>
      </c>
      <c r="BJ1010">
        <v>20110302</v>
      </c>
      <c r="BK1010">
        <v>20.239999999999998</v>
      </c>
      <c r="BL1010" t="s">
        <v>116</v>
      </c>
      <c r="BM1010" t="s">
        <v>116</v>
      </c>
      <c r="BN1010">
        <v>98.71</v>
      </c>
      <c r="BO1010">
        <v>81.53</v>
      </c>
      <c r="BP1010">
        <v>0.49</v>
      </c>
      <c r="BQ1010">
        <v>16.91</v>
      </c>
      <c r="BR1010">
        <v>48.56</v>
      </c>
      <c r="BS1010">
        <v>3.54</v>
      </c>
      <c r="BT1010">
        <v>1.45</v>
      </c>
      <c r="BU1010">
        <v>13.82</v>
      </c>
      <c r="BV1010">
        <v>0</v>
      </c>
      <c r="BW1010">
        <v>2.56</v>
      </c>
      <c r="BX1010">
        <v>40.03</v>
      </c>
      <c r="BY1010">
        <v>19.46</v>
      </c>
      <c r="BZ1010">
        <v>3.13</v>
      </c>
      <c r="CA1010">
        <v>8.16</v>
      </c>
      <c r="CB1010">
        <v>1.07</v>
      </c>
      <c r="CC1010">
        <v>8.07</v>
      </c>
      <c r="CD1010">
        <v>7.46</v>
      </c>
      <c r="CE1010">
        <v>7.18</v>
      </c>
      <c r="CF1010">
        <v>6.74</v>
      </c>
      <c r="CG1010">
        <v>39.229999999999997</v>
      </c>
      <c r="CH1010">
        <v>11.51</v>
      </c>
      <c r="CI1010">
        <v>-14</v>
      </c>
      <c r="CJ1010">
        <v>40878</v>
      </c>
      <c r="CK1010">
        <v>10258</v>
      </c>
      <c r="CL1010" t="s">
        <v>5910</v>
      </c>
      <c r="CM1010">
        <v>-27.73</v>
      </c>
      <c r="CN1010">
        <v>-32.43</v>
      </c>
      <c r="CO1010">
        <v>4.49</v>
      </c>
      <c r="CP1010">
        <v>31.78</v>
      </c>
      <c r="CQ1010">
        <v>18.8</v>
      </c>
      <c r="CR1010">
        <v>0.91</v>
      </c>
      <c r="CS1010" t="s">
        <v>793</v>
      </c>
      <c r="CT1010">
        <v>4.03</v>
      </c>
      <c r="CU1010">
        <v>0</v>
      </c>
      <c r="CV1010">
        <v>1.98</v>
      </c>
      <c r="CW1010">
        <v>1.94</v>
      </c>
      <c r="CX1010">
        <v>0.56999999999999995</v>
      </c>
      <c r="CY1010">
        <v>82.6</v>
      </c>
      <c r="CZ1010" t="s">
        <v>3347</v>
      </c>
      <c r="DA1010">
        <v>83.89</v>
      </c>
      <c r="DB1010">
        <v>41.93</v>
      </c>
      <c r="DC1010">
        <v>36.880000000000003</v>
      </c>
      <c r="DD1010">
        <v>5.91</v>
      </c>
      <c r="DE1010">
        <v>2267</v>
      </c>
      <c r="DF1010">
        <v>2558</v>
      </c>
      <c r="DG1010" t="s">
        <v>116</v>
      </c>
      <c r="DH1010" t="s">
        <v>116</v>
      </c>
      <c r="DI1010" t="s">
        <v>116</v>
      </c>
    </row>
    <row r="1011" spans="1:113" x14ac:dyDescent="0.4">
      <c r="A1011" t="str">
        <f>"002559"</f>
        <v>002559</v>
      </c>
      <c r="B1011" t="s">
        <v>5911</v>
      </c>
      <c r="C1011">
        <v>-1.59</v>
      </c>
      <c r="D1011">
        <v>5.56</v>
      </c>
      <c r="E1011">
        <v>-0.09</v>
      </c>
      <c r="F1011">
        <v>5.56</v>
      </c>
      <c r="G1011">
        <v>5.57</v>
      </c>
      <c r="H1011">
        <v>97679</v>
      </c>
      <c r="I1011">
        <v>853</v>
      </c>
      <c r="J1011">
        <v>-0.17</v>
      </c>
      <c r="K1011">
        <v>2.0499999999999998</v>
      </c>
      <c r="L1011">
        <v>5.66</v>
      </c>
      <c r="M1011">
        <v>5.76</v>
      </c>
      <c r="N1011">
        <v>5.56</v>
      </c>
      <c r="O1011">
        <v>5.65</v>
      </c>
      <c r="P1011">
        <v>24.56</v>
      </c>
      <c r="Q1011">
        <v>55328496</v>
      </c>
      <c r="R1011">
        <v>0.88</v>
      </c>
      <c r="S1011" t="s">
        <v>712</v>
      </c>
      <c r="T1011" t="s">
        <v>323</v>
      </c>
      <c r="U1011">
        <v>3.54</v>
      </c>
      <c r="V1011">
        <v>5.66</v>
      </c>
      <c r="W1011">
        <v>55708</v>
      </c>
      <c r="X1011">
        <v>41971</v>
      </c>
      <c r="Y1011">
        <v>1.33</v>
      </c>
      <c r="Z1011">
        <v>869</v>
      </c>
      <c r="AA1011">
        <v>349</v>
      </c>
      <c r="AB1011" t="s">
        <v>116</v>
      </c>
      <c r="AC1011">
        <v>206600</v>
      </c>
      <c r="AD1011">
        <v>0.01</v>
      </c>
      <c r="AE1011" t="s">
        <v>116</v>
      </c>
      <c r="AF1011" t="s">
        <v>116</v>
      </c>
      <c r="AG1011">
        <v>4.76</v>
      </c>
      <c r="AH1011" t="s">
        <v>5912</v>
      </c>
      <c r="AI1011" t="s">
        <v>5913</v>
      </c>
      <c r="AJ1011">
        <v>-0.91</v>
      </c>
      <c r="AK1011">
        <v>1417</v>
      </c>
      <c r="AL1011">
        <v>69</v>
      </c>
      <c r="AM1011">
        <v>1.4E-3</v>
      </c>
      <c r="AN1011">
        <v>-1</v>
      </c>
      <c r="AO1011">
        <v>-2.12</v>
      </c>
      <c r="AP1011">
        <v>11.87</v>
      </c>
      <c r="AQ1011">
        <v>2.96</v>
      </c>
      <c r="AR1011">
        <v>33.01</v>
      </c>
      <c r="AS1011">
        <v>2.4500000000000002</v>
      </c>
      <c r="AT1011" t="s">
        <v>5914</v>
      </c>
      <c r="AU1011">
        <v>25.98</v>
      </c>
      <c r="AV1011">
        <v>27.75</v>
      </c>
      <c r="AW1011">
        <v>0.84</v>
      </c>
      <c r="BA1011">
        <v>0.18</v>
      </c>
      <c r="BB1011">
        <v>1.95</v>
      </c>
      <c r="BC1011">
        <v>-1.59</v>
      </c>
      <c r="BD1011">
        <v>0.25</v>
      </c>
      <c r="BE1011">
        <v>-1.77</v>
      </c>
      <c r="BF1011">
        <v>-3.47</v>
      </c>
      <c r="BG1011">
        <v>0</v>
      </c>
      <c r="BH1011">
        <v>-1.85</v>
      </c>
      <c r="BI1011">
        <v>20191108</v>
      </c>
      <c r="BJ1011">
        <v>20110303</v>
      </c>
      <c r="BK1011">
        <v>5.57</v>
      </c>
      <c r="BL1011" t="s">
        <v>116</v>
      </c>
      <c r="BM1011" t="s">
        <v>116</v>
      </c>
      <c r="BN1011">
        <v>28.55</v>
      </c>
      <c r="BO1011">
        <v>15.91</v>
      </c>
      <c r="BP1011">
        <v>2.74</v>
      </c>
      <c r="BQ1011">
        <v>34.67</v>
      </c>
      <c r="BR1011">
        <v>17.03</v>
      </c>
      <c r="BS1011">
        <v>3.9</v>
      </c>
      <c r="BT1011">
        <v>1.47</v>
      </c>
      <c r="BU1011">
        <v>9.09</v>
      </c>
      <c r="BV1011">
        <v>5.05</v>
      </c>
      <c r="BW1011">
        <v>4.12</v>
      </c>
      <c r="BX1011">
        <v>6.16</v>
      </c>
      <c r="BY1011">
        <v>11.28</v>
      </c>
      <c r="BZ1011">
        <v>7.98</v>
      </c>
      <c r="CA1011">
        <v>1.1200000000000001</v>
      </c>
      <c r="CB1011">
        <v>0.04</v>
      </c>
      <c r="CC1011">
        <v>1.1200000000000001</v>
      </c>
      <c r="CD1011">
        <v>0.93</v>
      </c>
      <c r="CE1011">
        <v>0.95</v>
      </c>
      <c r="CF1011">
        <v>0.84</v>
      </c>
      <c r="CG1011">
        <v>4.0999999999999996</v>
      </c>
      <c r="CH1011">
        <v>1.84</v>
      </c>
      <c r="CI1011">
        <v>1.55</v>
      </c>
      <c r="CJ1011">
        <v>38563</v>
      </c>
      <c r="CK1011">
        <v>10332</v>
      </c>
      <c r="CL1011" t="s">
        <v>2654</v>
      </c>
      <c r="CM1011">
        <v>8.74</v>
      </c>
      <c r="CN1011">
        <v>-1.07</v>
      </c>
      <c r="CO1011">
        <v>1.95</v>
      </c>
      <c r="CP1011">
        <v>16.79</v>
      </c>
      <c r="CQ1011">
        <v>2.74</v>
      </c>
      <c r="CR1011">
        <v>3.57</v>
      </c>
      <c r="CS1011" t="s">
        <v>328</v>
      </c>
      <c r="CT1011">
        <v>2.86</v>
      </c>
      <c r="CU1011">
        <v>0</v>
      </c>
      <c r="CV1011">
        <v>1.1100000000000001</v>
      </c>
      <c r="CW1011">
        <v>0.74</v>
      </c>
      <c r="CX1011">
        <v>0.33</v>
      </c>
      <c r="CY1011">
        <v>55.72</v>
      </c>
      <c r="CZ1011" t="s">
        <v>5915</v>
      </c>
      <c r="DA1011">
        <v>29.32</v>
      </c>
      <c r="DB1011">
        <v>9.91</v>
      </c>
      <c r="DC1011">
        <v>8.3800000000000008</v>
      </c>
      <c r="DD1011">
        <v>0.77</v>
      </c>
      <c r="DE1011">
        <v>1633</v>
      </c>
      <c r="DF1011">
        <v>2559</v>
      </c>
      <c r="DG1011" t="s">
        <v>116</v>
      </c>
      <c r="DH1011" t="s">
        <v>116</v>
      </c>
      <c r="DI1011" t="s">
        <v>116</v>
      </c>
    </row>
    <row r="1012" spans="1:113" x14ac:dyDescent="0.4">
      <c r="A1012" t="str">
        <f>"002560"</f>
        <v>002560</v>
      </c>
      <c r="B1012" t="s">
        <v>5916</v>
      </c>
      <c r="C1012">
        <v>-1.55</v>
      </c>
      <c r="D1012">
        <v>5.71</v>
      </c>
      <c r="E1012">
        <v>-0.09</v>
      </c>
      <c r="F1012">
        <v>5.7</v>
      </c>
      <c r="G1012">
        <v>5.71</v>
      </c>
      <c r="H1012">
        <v>54474</v>
      </c>
      <c r="I1012">
        <v>459</v>
      </c>
      <c r="J1012">
        <v>0.18</v>
      </c>
      <c r="K1012">
        <v>2.02</v>
      </c>
      <c r="L1012">
        <v>5.79</v>
      </c>
      <c r="M1012">
        <v>5.82</v>
      </c>
      <c r="N1012">
        <v>5.7</v>
      </c>
      <c r="O1012">
        <v>5.8</v>
      </c>
      <c r="P1012">
        <v>24.04</v>
      </c>
      <c r="Q1012">
        <v>31393212</v>
      </c>
      <c r="R1012">
        <v>0.71</v>
      </c>
      <c r="S1012" t="s">
        <v>397</v>
      </c>
      <c r="T1012" t="s">
        <v>652</v>
      </c>
      <c r="U1012">
        <v>2.0699999999999998</v>
      </c>
      <c r="V1012">
        <v>5.76</v>
      </c>
      <c r="W1012">
        <v>36746</v>
      </c>
      <c r="X1012">
        <v>17728</v>
      </c>
      <c r="Y1012">
        <v>2.0699999999999998</v>
      </c>
      <c r="Z1012">
        <v>1962</v>
      </c>
      <c r="AA1012">
        <v>186</v>
      </c>
      <c r="AB1012" t="s">
        <v>116</v>
      </c>
      <c r="AC1012">
        <v>320800</v>
      </c>
      <c r="AD1012">
        <v>0.03</v>
      </c>
      <c r="AE1012" t="s">
        <v>116</v>
      </c>
      <c r="AF1012" t="s">
        <v>116</v>
      </c>
      <c r="AG1012">
        <v>2.7</v>
      </c>
      <c r="AH1012" t="s">
        <v>1555</v>
      </c>
      <c r="AI1012" t="s">
        <v>5917</v>
      </c>
      <c r="AJ1012">
        <v>-0.87</v>
      </c>
      <c r="AK1012">
        <v>1129</v>
      </c>
      <c r="AL1012">
        <v>48</v>
      </c>
      <c r="AM1012">
        <v>1.8E-3</v>
      </c>
      <c r="AN1012">
        <v>-1</v>
      </c>
      <c r="AO1012">
        <v>-2.39</v>
      </c>
      <c r="AP1012">
        <v>8.76</v>
      </c>
      <c r="AQ1012">
        <v>-6.55</v>
      </c>
      <c r="AR1012">
        <v>8.35</v>
      </c>
      <c r="AS1012">
        <v>2.58</v>
      </c>
      <c r="AT1012" t="s">
        <v>5918</v>
      </c>
      <c r="AU1012">
        <v>63.99</v>
      </c>
      <c r="AV1012" t="s">
        <v>116</v>
      </c>
      <c r="AW1012">
        <v>0.85</v>
      </c>
      <c r="BA1012">
        <v>-0.17</v>
      </c>
      <c r="BB1012">
        <v>0.34</v>
      </c>
      <c r="BC1012">
        <v>-1.72</v>
      </c>
      <c r="BD1012">
        <v>-0.64</v>
      </c>
      <c r="BE1012">
        <v>-1.38</v>
      </c>
      <c r="BF1012">
        <v>-1.89</v>
      </c>
      <c r="BG1012">
        <v>0.18</v>
      </c>
      <c r="BH1012">
        <v>-0.91</v>
      </c>
      <c r="BI1012">
        <v>20191117</v>
      </c>
      <c r="BJ1012">
        <v>20110303</v>
      </c>
      <c r="BK1012">
        <v>4.4400000000000004</v>
      </c>
      <c r="BL1012" t="s">
        <v>116</v>
      </c>
      <c r="BM1012" t="s">
        <v>116</v>
      </c>
      <c r="BN1012">
        <v>29.14</v>
      </c>
      <c r="BO1012">
        <v>16.29</v>
      </c>
      <c r="BP1012">
        <v>1.19</v>
      </c>
      <c r="BQ1012">
        <v>40.01</v>
      </c>
      <c r="BR1012">
        <v>16.36</v>
      </c>
      <c r="BS1012">
        <v>2.77</v>
      </c>
      <c r="BT1012">
        <v>0.59</v>
      </c>
      <c r="BU1012">
        <v>9.0500000000000007</v>
      </c>
      <c r="BV1012">
        <v>2.27</v>
      </c>
      <c r="BW1012">
        <v>6.08</v>
      </c>
      <c r="BX1012">
        <v>7.56</v>
      </c>
      <c r="BY1012">
        <v>12.81</v>
      </c>
      <c r="BZ1012">
        <v>10.58</v>
      </c>
      <c r="CA1012">
        <v>0.88</v>
      </c>
      <c r="CB1012">
        <v>0.08</v>
      </c>
      <c r="CC1012">
        <v>0.89</v>
      </c>
      <c r="CD1012">
        <v>0.77</v>
      </c>
      <c r="CE1012">
        <v>0.79</v>
      </c>
      <c r="CF1012">
        <v>0.68</v>
      </c>
      <c r="CG1012">
        <v>3.8</v>
      </c>
      <c r="CH1012">
        <v>-2.41</v>
      </c>
      <c r="CI1012">
        <v>-0.78</v>
      </c>
      <c r="CJ1012">
        <v>31838</v>
      </c>
      <c r="CK1012">
        <v>6638</v>
      </c>
      <c r="CL1012" t="s">
        <v>5253</v>
      </c>
      <c r="CM1012">
        <v>183.38</v>
      </c>
      <c r="CN1012">
        <v>-21.17</v>
      </c>
      <c r="CO1012">
        <v>1.56</v>
      </c>
      <c r="CP1012">
        <v>-10.54</v>
      </c>
      <c r="CQ1012">
        <v>1.98</v>
      </c>
      <c r="CR1012">
        <v>1.75</v>
      </c>
      <c r="CS1012" t="s">
        <v>446</v>
      </c>
      <c r="CT1012">
        <v>3.67</v>
      </c>
      <c r="CU1012">
        <v>0</v>
      </c>
      <c r="CV1012">
        <v>1.7</v>
      </c>
      <c r="CW1012">
        <v>0.86</v>
      </c>
      <c r="CX1012">
        <v>-0.54</v>
      </c>
      <c r="CY1012">
        <v>55.89</v>
      </c>
      <c r="CZ1012" t="s">
        <v>5919</v>
      </c>
      <c r="DA1012">
        <v>17.43</v>
      </c>
      <c r="DB1012">
        <v>6.91</v>
      </c>
      <c r="DC1012">
        <v>6.17</v>
      </c>
      <c r="DD1012">
        <v>0.42</v>
      </c>
      <c r="DE1012">
        <v>579</v>
      </c>
      <c r="DF1012">
        <v>2560</v>
      </c>
      <c r="DG1012" t="s">
        <v>116</v>
      </c>
      <c r="DH1012" t="s">
        <v>116</v>
      </c>
      <c r="DI1012" t="s">
        <v>116</v>
      </c>
    </row>
    <row r="1013" spans="1:113" x14ac:dyDescent="0.4">
      <c r="A1013" t="str">
        <f>"002561"</f>
        <v>002561</v>
      </c>
      <c r="B1013" t="s">
        <v>5920</v>
      </c>
      <c r="C1013">
        <v>-0.25</v>
      </c>
      <c r="D1013">
        <v>8.11</v>
      </c>
      <c r="E1013">
        <v>-0.02</v>
      </c>
      <c r="F1013">
        <v>8.1</v>
      </c>
      <c r="G1013">
        <v>8.11</v>
      </c>
      <c r="H1013">
        <v>7918</v>
      </c>
      <c r="I1013">
        <v>54</v>
      </c>
      <c r="J1013">
        <v>-0.11</v>
      </c>
      <c r="K1013">
        <v>0.2</v>
      </c>
      <c r="L1013">
        <v>8.15</v>
      </c>
      <c r="M1013">
        <v>8.17</v>
      </c>
      <c r="N1013">
        <v>8.11</v>
      </c>
      <c r="O1013">
        <v>8.1300000000000008</v>
      </c>
      <c r="P1013">
        <v>16.57</v>
      </c>
      <c r="Q1013">
        <v>6444467</v>
      </c>
      <c r="R1013">
        <v>1.06</v>
      </c>
      <c r="S1013" t="s">
        <v>746</v>
      </c>
      <c r="T1013" t="s">
        <v>1653</v>
      </c>
      <c r="U1013">
        <v>0.74</v>
      </c>
      <c r="V1013">
        <v>8.14</v>
      </c>
      <c r="W1013">
        <v>4414</v>
      </c>
      <c r="X1013">
        <v>3504</v>
      </c>
      <c r="Y1013">
        <v>1.26</v>
      </c>
      <c r="Z1013">
        <v>27</v>
      </c>
      <c r="AA1013">
        <v>42</v>
      </c>
      <c r="AB1013" t="s">
        <v>116</v>
      </c>
      <c r="AC1013">
        <v>14700</v>
      </c>
      <c r="AD1013">
        <v>0</v>
      </c>
      <c r="AE1013" t="s">
        <v>116</v>
      </c>
      <c r="AF1013" t="s">
        <v>116</v>
      </c>
      <c r="AG1013">
        <v>3.97</v>
      </c>
      <c r="AH1013" t="s">
        <v>5921</v>
      </c>
      <c r="AI1013" t="s">
        <v>5922</v>
      </c>
      <c r="AJ1013">
        <v>0.43</v>
      </c>
      <c r="AK1013">
        <v>330</v>
      </c>
      <c r="AL1013">
        <v>24</v>
      </c>
      <c r="AM1013">
        <v>5.9999999999999995E-4</v>
      </c>
      <c r="AN1013">
        <v>-1</v>
      </c>
      <c r="AO1013">
        <v>-0.25</v>
      </c>
      <c r="AP1013">
        <v>2.5299999999999998</v>
      </c>
      <c r="AQ1013">
        <v>-1.34</v>
      </c>
      <c r="AR1013">
        <v>10.49</v>
      </c>
      <c r="AS1013">
        <v>0.33</v>
      </c>
      <c r="AT1013" t="s">
        <v>5923</v>
      </c>
      <c r="AU1013">
        <v>15.81</v>
      </c>
      <c r="AV1013">
        <v>14.58</v>
      </c>
      <c r="AW1013">
        <v>0.59</v>
      </c>
      <c r="BA1013">
        <v>0.25</v>
      </c>
      <c r="BB1013">
        <v>0.49</v>
      </c>
      <c r="BC1013">
        <v>-0.25</v>
      </c>
      <c r="BD1013">
        <v>0.11</v>
      </c>
      <c r="BE1013">
        <v>-0.49</v>
      </c>
      <c r="BF1013">
        <v>-0.73</v>
      </c>
      <c r="BG1013">
        <v>0</v>
      </c>
      <c r="BH1013">
        <v>-0.36</v>
      </c>
      <c r="BI1013">
        <v>20191216</v>
      </c>
      <c r="BJ1013">
        <v>20110303</v>
      </c>
      <c r="BK1013">
        <v>4.16</v>
      </c>
      <c r="BL1013" t="s">
        <v>116</v>
      </c>
      <c r="BM1013" t="s">
        <v>116</v>
      </c>
      <c r="BN1013">
        <v>26.51</v>
      </c>
      <c r="BO1013">
        <v>22.32</v>
      </c>
      <c r="BP1013">
        <v>0.39</v>
      </c>
      <c r="BQ1013">
        <v>14.32</v>
      </c>
      <c r="BR1013">
        <v>16.78</v>
      </c>
      <c r="BS1013">
        <v>5.29</v>
      </c>
      <c r="BT1013">
        <v>3.52</v>
      </c>
      <c r="BU1013">
        <v>3.25</v>
      </c>
      <c r="BV1013">
        <v>0.23</v>
      </c>
      <c r="BW1013">
        <v>0.19</v>
      </c>
      <c r="BX1013">
        <v>5.24</v>
      </c>
      <c r="BY1013">
        <v>14.16</v>
      </c>
      <c r="BZ1013">
        <v>10.06</v>
      </c>
      <c r="CA1013">
        <v>2.16</v>
      </c>
      <c r="CB1013">
        <v>0.23</v>
      </c>
      <c r="CC1013">
        <v>2.1800000000000002</v>
      </c>
      <c r="CD1013">
        <v>1.63</v>
      </c>
      <c r="CE1013">
        <v>1.53</v>
      </c>
      <c r="CF1013">
        <v>1.35</v>
      </c>
      <c r="CG1013">
        <v>10.83</v>
      </c>
      <c r="CH1013">
        <v>1.17</v>
      </c>
      <c r="CI1013">
        <v>-0.48</v>
      </c>
      <c r="CJ1013">
        <v>28000</v>
      </c>
      <c r="CK1013">
        <v>8487</v>
      </c>
      <c r="CL1013" t="s">
        <v>5924</v>
      </c>
      <c r="CM1013">
        <v>-10.55</v>
      </c>
      <c r="CN1013">
        <v>-5.98</v>
      </c>
      <c r="CO1013">
        <v>1.51</v>
      </c>
      <c r="CP1013">
        <v>28.85</v>
      </c>
      <c r="CQ1013">
        <v>2.38</v>
      </c>
      <c r="CR1013">
        <v>4.4400000000000004</v>
      </c>
      <c r="CS1013" t="s">
        <v>3143</v>
      </c>
      <c r="CT1013">
        <v>5.37</v>
      </c>
      <c r="CU1013">
        <v>0</v>
      </c>
      <c r="CV1013">
        <v>1.26</v>
      </c>
      <c r="CW1013">
        <v>2.61</v>
      </c>
      <c r="CX1013">
        <v>0.28000000000000003</v>
      </c>
      <c r="CY1013">
        <v>84.21</v>
      </c>
      <c r="CZ1013" t="s">
        <v>5185</v>
      </c>
      <c r="DA1013">
        <v>28.95</v>
      </c>
      <c r="DB1013">
        <v>15.28</v>
      </c>
      <c r="DC1013">
        <v>10.77</v>
      </c>
      <c r="DD1013">
        <v>0</v>
      </c>
      <c r="DE1013">
        <v>982</v>
      </c>
      <c r="DF1013">
        <v>2561</v>
      </c>
      <c r="DG1013" t="s">
        <v>116</v>
      </c>
      <c r="DH1013" t="s">
        <v>116</v>
      </c>
      <c r="DI1013" t="s">
        <v>116</v>
      </c>
    </row>
    <row r="1014" spans="1:113" x14ac:dyDescent="0.4">
      <c r="A1014" t="str">
        <f>"002562"</f>
        <v>002562</v>
      </c>
      <c r="B1014" t="s">
        <v>5925</v>
      </c>
      <c r="C1014">
        <v>-1.45</v>
      </c>
      <c r="D1014">
        <v>4.75</v>
      </c>
      <c r="E1014">
        <v>-7.0000000000000007E-2</v>
      </c>
      <c r="F1014">
        <v>4.74</v>
      </c>
      <c r="G1014">
        <v>4.75</v>
      </c>
      <c r="H1014">
        <v>110859</v>
      </c>
      <c r="I1014">
        <v>1653</v>
      </c>
      <c r="J1014">
        <v>0.42</v>
      </c>
      <c r="K1014">
        <v>2.06</v>
      </c>
      <c r="L1014">
        <v>4.8099999999999996</v>
      </c>
      <c r="M1014">
        <v>4.8600000000000003</v>
      </c>
      <c r="N1014">
        <v>4.7300000000000004</v>
      </c>
      <c r="O1014">
        <v>4.82</v>
      </c>
      <c r="P1014">
        <v>167.16</v>
      </c>
      <c r="Q1014">
        <v>53128884</v>
      </c>
      <c r="R1014">
        <v>1.1599999999999999</v>
      </c>
      <c r="S1014" t="s">
        <v>574</v>
      </c>
      <c r="T1014" t="s">
        <v>590</v>
      </c>
      <c r="U1014">
        <v>2.7</v>
      </c>
      <c r="V1014">
        <v>4.79</v>
      </c>
      <c r="W1014">
        <v>66278</v>
      </c>
      <c r="X1014">
        <v>44581</v>
      </c>
      <c r="Y1014">
        <v>1.49</v>
      </c>
      <c r="Z1014">
        <v>125</v>
      </c>
      <c r="AA1014">
        <v>17</v>
      </c>
      <c r="AB1014" t="s">
        <v>116</v>
      </c>
      <c r="AC1014">
        <v>750800</v>
      </c>
      <c r="AD1014">
        <v>0.04</v>
      </c>
      <c r="AE1014" t="s">
        <v>116</v>
      </c>
      <c r="AF1014" t="s">
        <v>116</v>
      </c>
      <c r="AG1014">
        <v>5.39</v>
      </c>
      <c r="AH1014" t="s">
        <v>5926</v>
      </c>
      <c r="AI1014" t="s">
        <v>5927</v>
      </c>
      <c r="AJ1014">
        <v>-0.77</v>
      </c>
      <c r="AK1014">
        <v>1823</v>
      </c>
      <c r="AL1014">
        <v>61</v>
      </c>
      <c r="AM1014">
        <v>1.1000000000000001E-3</v>
      </c>
      <c r="AN1014">
        <v>-1</v>
      </c>
      <c r="AO1014">
        <v>1.49</v>
      </c>
      <c r="AP1014">
        <v>3.71</v>
      </c>
      <c r="AQ1014">
        <v>-0.42</v>
      </c>
      <c r="AR1014">
        <v>14.46</v>
      </c>
      <c r="AS1014">
        <v>2.63</v>
      </c>
      <c r="AT1014" t="s">
        <v>5928</v>
      </c>
      <c r="AU1014" t="s">
        <v>116</v>
      </c>
      <c r="AV1014">
        <v>196.39</v>
      </c>
      <c r="AW1014">
        <v>0.81</v>
      </c>
      <c r="BA1014">
        <v>-0.21</v>
      </c>
      <c r="BB1014">
        <v>0.83</v>
      </c>
      <c r="BC1014">
        <v>-1.87</v>
      </c>
      <c r="BD1014">
        <v>-0.56999999999999995</v>
      </c>
      <c r="BE1014">
        <v>-1.25</v>
      </c>
      <c r="BF1014">
        <v>-2.2599999999999998</v>
      </c>
      <c r="BG1014">
        <v>0.42</v>
      </c>
      <c r="BH1014">
        <v>-0.88</v>
      </c>
      <c r="BI1014">
        <v>20191024</v>
      </c>
      <c r="BJ1014">
        <v>20110310</v>
      </c>
      <c r="BK1014">
        <v>9.02</v>
      </c>
      <c r="BL1014" t="s">
        <v>116</v>
      </c>
      <c r="BM1014" t="s">
        <v>116</v>
      </c>
      <c r="BN1014">
        <v>37.03</v>
      </c>
      <c r="BO1014">
        <v>22.93</v>
      </c>
      <c r="BP1014">
        <v>0</v>
      </c>
      <c r="BQ1014">
        <v>38.090000000000003</v>
      </c>
      <c r="BR1014">
        <v>11.51</v>
      </c>
      <c r="BS1014">
        <v>15.53</v>
      </c>
      <c r="BT1014">
        <v>1.1499999999999999</v>
      </c>
      <c r="BU1014">
        <v>9.5</v>
      </c>
      <c r="BV1014">
        <v>3.41</v>
      </c>
      <c r="BW1014">
        <v>1.68</v>
      </c>
      <c r="BX1014">
        <v>6.94</v>
      </c>
      <c r="BY1014">
        <v>8.98</v>
      </c>
      <c r="BZ1014">
        <v>6.6</v>
      </c>
      <c r="CA1014">
        <v>0.21</v>
      </c>
      <c r="CB1014">
        <v>0.13</v>
      </c>
      <c r="CC1014">
        <v>0.2</v>
      </c>
      <c r="CD1014">
        <v>0.19</v>
      </c>
      <c r="CE1014">
        <v>0.19</v>
      </c>
      <c r="CF1014">
        <v>-0.01</v>
      </c>
      <c r="CG1014">
        <v>5.2</v>
      </c>
      <c r="CH1014">
        <v>-1.1100000000000001</v>
      </c>
      <c r="CI1014">
        <v>-3.79</v>
      </c>
      <c r="CJ1014">
        <v>39041</v>
      </c>
      <c r="CK1014">
        <v>10789</v>
      </c>
      <c r="CL1014" t="s">
        <v>5929</v>
      </c>
      <c r="CM1014">
        <v>-74.540000000000006</v>
      </c>
      <c r="CN1014">
        <v>-16.41</v>
      </c>
      <c r="CO1014">
        <v>1.97</v>
      </c>
      <c r="CP1014">
        <v>-38.590000000000003</v>
      </c>
      <c r="CQ1014">
        <v>4.7699999999999996</v>
      </c>
      <c r="CR1014">
        <v>2.09</v>
      </c>
      <c r="CS1014" t="s">
        <v>2404</v>
      </c>
      <c r="CT1014">
        <v>2.41</v>
      </c>
      <c r="CU1014">
        <v>2.41</v>
      </c>
      <c r="CV1014">
        <v>0.77</v>
      </c>
      <c r="CW1014">
        <v>0.57999999999999996</v>
      </c>
      <c r="CX1014">
        <v>-0.12</v>
      </c>
      <c r="CY1014">
        <v>61.91</v>
      </c>
      <c r="CZ1014" t="s">
        <v>5930</v>
      </c>
      <c r="DA1014">
        <v>26.52</v>
      </c>
      <c r="DB1014">
        <v>2.3199999999999998</v>
      </c>
      <c r="DC1014">
        <v>2.14</v>
      </c>
      <c r="DD1014">
        <v>0.44</v>
      </c>
      <c r="DE1014">
        <v>2202</v>
      </c>
      <c r="DF1014">
        <v>2562</v>
      </c>
      <c r="DG1014" t="s">
        <v>116</v>
      </c>
      <c r="DH1014" t="s">
        <v>116</v>
      </c>
      <c r="DI1014" t="s">
        <v>116</v>
      </c>
    </row>
    <row r="1015" spans="1:113" x14ac:dyDescent="0.4">
      <c r="A1015" t="str">
        <f>"002563"</f>
        <v>002563</v>
      </c>
      <c r="B1015" t="s">
        <v>5931</v>
      </c>
      <c r="C1015">
        <v>3.66</v>
      </c>
      <c r="D1015">
        <v>9.9</v>
      </c>
      <c r="E1015">
        <v>0.35</v>
      </c>
      <c r="F1015">
        <v>9.9</v>
      </c>
      <c r="G1015">
        <v>9.91</v>
      </c>
      <c r="H1015">
        <v>163573</v>
      </c>
      <c r="I1015">
        <v>1119</v>
      </c>
      <c r="J1015">
        <v>0</v>
      </c>
      <c r="K1015">
        <v>0.88</v>
      </c>
      <c r="L1015">
        <v>9.57</v>
      </c>
      <c r="M1015">
        <v>10.14</v>
      </c>
      <c r="N1015">
        <v>9.57</v>
      </c>
      <c r="O1015">
        <v>9.5500000000000007</v>
      </c>
      <c r="P1015">
        <v>15.33</v>
      </c>
      <c r="Q1015">
        <v>161991568</v>
      </c>
      <c r="R1015">
        <v>3.06</v>
      </c>
      <c r="S1015" t="s">
        <v>3070</v>
      </c>
      <c r="T1015" t="s">
        <v>590</v>
      </c>
      <c r="U1015">
        <v>5.97</v>
      </c>
      <c r="V1015">
        <v>9.9</v>
      </c>
      <c r="W1015">
        <v>53907</v>
      </c>
      <c r="X1015">
        <v>109666</v>
      </c>
      <c r="Y1015">
        <v>0.49</v>
      </c>
      <c r="Z1015">
        <v>379</v>
      </c>
      <c r="AA1015">
        <v>172</v>
      </c>
      <c r="AB1015" t="s">
        <v>116</v>
      </c>
      <c r="AC1015">
        <v>299500</v>
      </c>
      <c r="AD1015">
        <v>0.01</v>
      </c>
      <c r="AE1015" t="s">
        <v>116</v>
      </c>
      <c r="AF1015" t="s">
        <v>116</v>
      </c>
      <c r="AG1015">
        <v>18.489999999999998</v>
      </c>
      <c r="AH1015" t="s">
        <v>5932</v>
      </c>
      <c r="AI1015" t="s">
        <v>5933</v>
      </c>
      <c r="AJ1015">
        <v>4.34</v>
      </c>
      <c r="AK1015">
        <v>3893</v>
      </c>
      <c r="AL1015">
        <v>42</v>
      </c>
      <c r="AM1015">
        <v>2.0000000000000001E-4</v>
      </c>
      <c r="AN1015">
        <v>2</v>
      </c>
      <c r="AO1015">
        <v>5.65</v>
      </c>
      <c r="AP1015">
        <v>5.54</v>
      </c>
      <c r="AQ1015">
        <v>-16.88</v>
      </c>
      <c r="AR1015">
        <v>15.52</v>
      </c>
      <c r="AS1015">
        <v>2.95</v>
      </c>
      <c r="AT1015" t="s">
        <v>5934</v>
      </c>
      <c r="AU1015">
        <v>15.45</v>
      </c>
      <c r="AV1015">
        <v>15.77</v>
      </c>
      <c r="AW1015">
        <v>0.34</v>
      </c>
      <c r="BA1015">
        <v>0.21</v>
      </c>
      <c r="BB1015">
        <v>6.18</v>
      </c>
      <c r="BC1015">
        <v>0.21</v>
      </c>
      <c r="BD1015">
        <v>3.7</v>
      </c>
      <c r="BE1015">
        <v>3.45</v>
      </c>
      <c r="BF1015">
        <v>-2.37</v>
      </c>
      <c r="BG1015">
        <v>3.45</v>
      </c>
      <c r="BH1015">
        <v>-0.03</v>
      </c>
      <c r="BI1015">
        <v>20191030</v>
      </c>
      <c r="BJ1015">
        <v>20110311</v>
      </c>
      <c r="BK1015">
        <v>26.99</v>
      </c>
      <c r="BL1015" t="s">
        <v>116</v>
      </c>
      <c r="BM1015" t="s">
        <v>116</v>
      </c>
      <c r="BN1015">
        <v>165.43</v>
      </c>
      <c r="BO1015">
        <v>115.58</v>
      </c>
      <c r="BP1015">
        <v>0.33</v>
      </c>
      <c r="BQ1015">
        <v>29.93</v>
      </c>
      <c r="BR1015">
        <v>111.45</v>
      </c>
      <c r="BS1015">
        <v>21.79</v>
      </c>
      <c r="BT1015">
        <v>7.68</v>
      </c>
      <c r="BU1015">
        <v>42.5</v>
      </c>
      <c r="BV1015">
        <v>52.9</v>
      </c>
      <c r="BW1015">
        <v>22.81</v>
      </c>
      <c r="BX1015">
        <v>25.93</v>
      </c>
      <c r="BY1015">
        <v>132.61000000000001</v>
      </c>
      <c r="BZ1015">
        <v>73.77</v>
      </c>
      <c r="CA1015">
        <v>17.34</v>
      </c>
      <c r="CB1015">
        <v>0.47</v>
      </c>
      <c r="CC1015">
        <v>17.170000000000002</v>
      </c>
      <c r="CD1015">
        <v>12.95</v>
      </c>
      <c r="CE1015">
        <v>13.07</v>
      </c>
      <c r="CF1015">
        <v>12.5</v>
      </c>
      <c r="CG1015">
        <v>51.32</v>
      </c>
      <c r="CH1015">
        <v>-2.88</v>
      </c>
      <c r="CI1015">
        <v>-5.13</v>
      </c>
      <c r="CJ1015">
        <v>19386</v>
      </c>
      <c r="CK1015">
        <v>28609</v>
      </c>
      <c r="CL1015" t="s">
        <v>5935</v>
      </c>
      <c r="CM1015">
        <v>2.79</v>
      </c>
      <c r="CN1015">
        <v>35.82</v>
      </c>
      <c r="CO1015">
        <v>2.31</v>
      </c>
      <c r="CP1015">
        <v>-92.73</v>
      </c>
      <c r="CQ1015">
        <v>2.0099999999999998</v>
      </c>
      <c r="CR1015">
        <v>3.54</v>
      </c>
      <c r="CS1015" t="s">
        <v>5936</v>
      </c>
      <c r="CT1015">
        <v>4.28</v>
      </c>
      <c r="CU1015">
        <v>0</v>
      </c>
      <c r="CV1015">
        <v>0.96</v>
      </c>
      <c r="CW1015">
        <v>1.9</v>
      </c>
      <c r="CX1015">
        <v>-0.11</v>
      </c>
      <c r="CY1015">
        <v>69.87</v>
      </c>
      <c r="CZ1015" t="s">
        <v>5937</v>
      </c>
      <c r="DA1015">
        <v>44.37</v>
      </c>
      <c r="DB1015">
        <v>13.07</v>
      </c>
      <c r="DC1015">
        <v>9.86</v>
      </c>
      <c r="DD1015">
        <v>2.2400000000000002</v>
      </c>
      <c r="DE1015">
        <v>6526</v>
      </c>
      <c r="DF1015">
        <v>2563</v>
      </c>
      <c r="DG1015" t="s">
        <v>116</v>
      </c>
      <c r="DH1015" t="s">
        <v>116</v>
      </c>
      <c r="DI1015" t="s">
        <v>116</v>
      </c>
    </row>
    <row r="1016" spans="1:113" x14ac:dyDescent="0.4">
      <c r="A1016" t="str">
        <f>"002564"</f>
        <v>002564</v>
      </c>
      <c r="B1016" t="s">
        <v>5938</v>
      </c>
      <c r="C1016">
        <v>-0.43</v>
      </c>
      <c r="D1016">
        <v>4.59</v>
      </c>
      <c r="E1016">
        <v>-0.02</v>
      </c>
      <c r="F1016">
        <v>4.58</v>
      </c>
      <c r="G1016">
        <v>4.59</v>
      </c>
      <c r="H1016">
        <v>76176</v>
      </c>
      <c r="I1016">
        <v>723</v>
      </c>
      <c r="J1016">
        <v>0</v>
      </c>
      <c r="K1016">
        <v>0.88</v>
      </c>
      <c r="L1016">
        <v>4.62</v>
      </c>
      <c r="M1016">
        <v>4.67</v>
      </c>
      <c r="N1016">
        <v>4.58</v>
      </c>
      <c r="O1016">
        <v>4.6100000000000003</v>
      </c>
      <c r="P1016">
        <v>25.81</v>
      </c>
      <c r="Q1016">
        <v>35278872</v>
      </c>
      <c r="R1016">
        <v>1.36</v>
      </c>
      <c r="S1016" t="s">
        <v>181</v>
      </c>
      <c r="T1016" t="s">
        <v>323</v>
      </c>
      <c r="U1016">
        <v>1.95</v>
      </c>
      <c r="V1016">
        <v>4.63</v>
      </c>
      <c r="W1016">
        <v>41607</v>
      </c>
      <c r="X1016">
        <v>34569</v>
      </c>
      <c r="Y1016">
        <v>1.2</v>
      </c>
      <c r="Z1016">
        <v>565</v>
      </c>
      <c r="AA1016">
        <v>239</v>
      </c>
      <c r="AB1016" t="s">
        <v>116</v>
      </c>
      <c r="AC1016">
        <v>62400</v>
      </c>
      <c r="AD1016">
        <v>0</v>
      </c>
      <c r="AE1016" t="s">
        <v>116</v>
      </c>
      <c r="AF1016" t="s">
        <v>116</v>
      </c>
      <c r="AG1016">
        <v>8.68</v>
      </c>
      <c r="AH1016" t="s">
        <v>1313</v>
      </c>
      <c r="AI1016" t="s">
        <v>2774</v>
      </c>
      <c r="AJ1016">
        <v>0.25</v>
      </c>
      <c r="AK1016">
        <v>1103</v>
      </c>
      <c r="AL1016">
        <v>69</v>
      </c>
      <c r="AM1016">
        <v>8.0000000000000004E-4</v>
      </c>
      <c r="AN1016">
        <v>-1</v>
      </c>
      <c r="AO1016">
        <v>0.01</v>
      </c>
      <c r="AP1016">
        <v>1.55</v>
      </c>
      <c r="AQ1016">
        <v>-10</v>
      </c>
      <c r="AR1016">
        <v>-8.57</v>
      </c>
      <c r="AS1016">
        <v>1.38</v>
      </c>
      <c r="AT1016" t="s">
        <v>3129</v>
      </c>
      <c r="AU1016">
        <v>137.71</v>
      </c>
      <c r="AV1016">
        <v>53.49</v>
      </c>
      <c r="AW1016">
        <v>1.02</v>
      </c>
      <c r="BA1016">
        <v>0.22</v>
      </c>
      <c r="BB1016">
        <v>1.3</v>
      </c>
      <c r="BC1016">
        <v>-0.65</v>
      </c>
      <c r="BD1016">
        <v>0.46</v>
      </c>
      <c r="BE1016">
        <v>-0.65</v>
      </c>
      <c r="BF1016">
        <v>-1.71</v>
      </c>
      <c r="BG1016">
        <v>0.22</v>
      </c>
      <c r="BH1016">
        <v>-0.89</v>
      </c>
      <c r="BI1016">
        <v>20191029</v>
      </c>
      <c r="BJ1016">
        <v>20110310</v>
      </c>
      <c r="BK1016">
        <v>8.69</v>
      </c>
      <c r="BL1016" t="s">
        <v>116</v>
      </c>
      <c r="BM1016" t="s">
        <v>116</v>
      </c>
      <c r="BN1016">
        <v>314.10000000000002</v>
      </c>
      <c r="BO1016">
        <v>37.33</v>
      </c>
      <c r="BP1016">
        <v>8</v>
      </c>
      <c r="BQ1016">
        <v>85.57</v>
      </c>
      <c r="BR1016">
        <v>253.01</v>
      </c>
      <c r="BS1016">
        <v>14.44</v>
      </c>
      <c r="BT1016">
        <v>2.15</v>
      </c>
      <c r="BU1016">
        <v>233.15</v>
      </c>
      <c r="BV1016">
        <v>24.22</v>
      </c>
      <c r="BW1016">
        <v>84.15</v>
      </c>
      <c r="BX1016">
        <v>22.5</v>
      </c>
      <c r="BY1016">
        <v>67.55</v>
      </c>
      <c r="BZ1016">
        <v>57.3</v>
      </c>
      <c r="CA1016">
        <v>2.1800000000000002</v>
      </c>
      <c r="CB1016">
        <v>-0.79</v>
      </c>
      <c r="CC1016">
        <v>2.17</v>
      </c>
      <c r="CD1016">
        <v>1.82</v>
      </c>
      <c r="CE1016">
        <v>1.1599999999999999</v>
      </c>
      <c r="CF1016">
        <v>1.07</v>
      </c>
      <c r="CG1016">
        <v>5.85</v>
      </c>
      <c r="CH1016">
        <v>-11.41</v>
      </c>
      <c r="CI1016">
        <v>1.35</v>
      </c>
      <c r="CJ1016">
        <v>49260</v>
      </c>
      <c r="CK1016">
        <v>11169</v>
      </c>
      <c r="CL1016" t="s">
        <v>5939</v>
      </c>
      <c r="CM1016">
        <v>-28.24</v>
      </c>
      <c r="CN1016">
        <v>21.69</v>
      </c>
      <c r="CO1016">
        <v>1.07</v>
      </c>
      <c r="CP1016">
        <v>-3.5</v>
      </c>
      <c r="CQ1016">
        <v>0.59</v>
      </c>
      <c r="CR1016">
        <v>0</v>
      </c>
      <c r="CS1016" t="s">
        <v>533</v>
      </c>
      <c r="CT1016">
        <v>4.29</v>
      </c>
      <c r="CU1016">
        <v>0</v>
      </c>
      <c r="CV1016">
        <v>2.59</v>
      </c>
      <c r="CW1016">
        <v>0.67</v>
      </c>
      <c r="CX1016">
        <v>-1.31</v>
      </c>
      <c r="CY1016">
        <v>11.89</v>
      </c>
      <c r="CZ1016" t="s">
        <v>1013</v>
      </c>
      <c r="DA1016">
        <v>15.18</v>
      </c>
      <c r="DB1016">
        <v>3.22</v>
      </c>
      <c r="DC1016">
        <v>1.72</v>
      </c>
      <c r="DD1016">
        <v>0.73</v>
      </c>
      <c r="DE1016">
        <v>2689</v>
      </c>
      <c r="DF1016">
        <v>2564</v>
      </c>
      <c r="DG1016" t="s">
        <v>116</v>
      </c>
      <c r="DH1016" t="s">
        <v>116</v>
      </c>
      <c r="DI1016" t="s">
        <v>116</v>
      </c>
    </row>
    <row r="1017" spans="1:113" x14ac:dyDescent="0.4">
      <c r="A1017" t="str">
        <f>"002565"</f>
        <v>002565</v>
      </c>
      <c r="B1017" t="s">
        <v>5940</v>
      </c>
      <c r="C1017">
        <v>-0.63</v>
      </c>
      <c r="D1017">
        <v>6.31</v>
      </c>
      <c r="E1017">
        <v>-0.04</v>
      </c>
      <c r="F1017">
        <v>6.31</v>
      </c>
      <c r="G1017">
        <v>6.32</v>
      </c>
      <c r="H1017">
        <v>289790</v>
      </c>
      <c r="I1017">
        <v>2784</v>
      </c>
      <c r="J1017">
        <v>-0.31</v>
      </c>
      <c r="K1017">
        <v>2.74</v>
      </c>
      <c r="L1017">
        <v>6.36</v>
      </c>
      <c r="M1017">
        <v>6.44</v>
      </c>
      <c r="N1017">
        <v>6.31</v>
      </c>
      <c r="O1017">
        <v>6.35</v>
      </c>
      <c r="P1017">
        <v>68.400000000000006</v>
      </c>
      <c r="Q1017">
        <v>184691120</v>
      </c>
      <c r="R1017">
        <v>0.9</v>
      </c>
      <c r="S1017" t="s">
        <v>824</v>
      </c>
      <c r="T1017" t="s">
        <v>1653</v>
      </c>
      <c r="U1017">
        <v>2.0499999999999998</v>
      </c>
      <c r="V1017">
        <v>6.37</v>
      </c>
      <c r="W1017">
        <v>139623</v>
      </c>
      <c r="X1017">
        <v>150167</v>
      </c>
      <c r="Y1017">
        <v>0.93</v>
      </c>
      <c r="Z1017">
        <v>4152</v>
      </c>
      <c r="AA1017">
        <v>838</v>
      </c>
      <c r="AB1017" t="s">
        <v>116</v>
      </c>
      <c r="AC1017">
        <v>471300</v>
      </c>
      <c r="AD1017">
        <v>0.01</v>
      </c>
      <c r="AE1017" t="s">
        <v>116</v>
      </c>
      <c r="AF1017" t="s">
        <v>116</v>
      </c>
      <c r="AG1017">
        <v>10.56</v>
      </c>
      <c r="AH1017" t="s">
        <v>5941</v>
      </c>
      <c r="AI1017" t="s">
        <v>5942</v>
      </c>
      <c r="AJ1017">
        <v>0.05</v>
      </c>
      <c r="AK1017">
        <v>2707</v>
      </c>
      <c r="AL1017">
        <v>107</v>
      </c>
      <c r="AM1017">
        <v>1E-3</v>
      </c>
      <c r="AN1017">
        <v>-1</v>
      </c>
      <c r="AO1017">
        <v>0.32</v>
      </c>
      <c r="AP1017">
        <v>0.8</v>
      </c>
      <c r="AQ1017">
        <v>-5.96</v>
      </c>
      <c r="AR1017">
        <v>151.06</v>
      </c>
      <c r="AS1017">
        <v>4.4800000000000004</v>
      </c>
      <c r="AT1017" t="s">
        <v>5943</v>
      </c>
      <c r="AU1017">
        <v>60.29</v>
      </c>
      <c r="AV1017">
        <v>65.989999999999995</v>
      </c>
      <c r="AW1017">
        <v>1.07</v>
      </c>
      <c r="BA1017">
        <v>0.16</v>
      </c>
      <c r="BB1017">
        <v>1.42</v>
      </c>
      <c r="BC1017">
        <v>-0.63</v>
      </c>
      <c r="BD1017">
        <v>0.37</v>
      </c>
      <c r="BE1017">
        <v>-0.79</v>
      </c>
      <c r="BF1017">
        <v>-2.02</v>
      </c>
      <c r="BG1017">
        <v>0</v>
      </c>
      <c r="BH1017">
        <v>-1</v>
      </c>
      <c r="BI1017">
        <v>20191031</v>
      </c>
      <c r="BJ1017">
        <v>20110318</v>
      </c>
      <c r="BK1017">
        <v>10.6</v>
      </c>
      <c r="BL1017" t="s">
        <v>116</v>
      </c>
      <c r="BM1017" t="s">
        <v>116</v>
      </c>
      <c r="BN1017">
        <v>33.299999999999997</v>
      </c>
      <c r="BO1017">
        <v>21.65</v>
      </c>
      <c r="BP1017">
        <v>1.84</v>
      </c>
      <c r="BQ1017">
        <v>29.49</v>
      </c>
      <c r="BR1017">
        <v>18.18</v>
      </c>
      <c r="BS1017">
        <v>5.45</v>
      </c>
      <c r="BT1017">
        <v>1.53</v>
      </c>
      <c r="BU1017">
        <v>7.09</v>
      </c>
      <c r="BV1017">
        <v>4.78</v>
      </c>
      <c r="BW1017">
        <v>4.8</v>
      </c>
      <c r="BX1017">
        <v>4.8</v>
      </c>
      <c r="BY1017">
        <v>12.91</v>
      </c>
      <c r="BZ1017">
        <v>9.48</v>
      </c>
      <c r="CA1017">
        <v>0.85</v>
      </c>
      <c r="CB1017">
        <v>0.11</v>
      </c>
      <c r="CC1017">
        <v>0.98</v>
      </c>
      <c r="CD1017">
        <v>0.78</v>
      </c>
      <c r="CE1017">
        <v>0.73</v>
      </c>
      <c r="CF1017">
        <v>0.55000000000000004</v>
      </c>
      <c r="CG1017">
        <v>5.52</v>
      </c>
      <c r="CH1017">
        <v>2.2200000000000002</v>
      </c>
      <c r="CI1017">
        <v>-0.4</v>
      </c>
      <c r="CJ1017">
        <v>102921</v>
      </c>
      <c r="CK1017">
        <v>6285</v>
      </c>
      <c r="CL1017" t="s">
        <v>5944</v>
      </c>
      <c r="CM1017">
        <v>15.01</v>
      </c>
      <c r="CN1017">
        <v>-11.27</v>
      </c>
      <c r="CO1017">
        <v>3.09</v>
      </c>
      <c r="CP1017">
        <v>30.18</v>
      </c>
      <c r="CQ1017">
        <v>5.18</v>
      </c>
      <c r="CR1017">
        <v>0</v>
      </c>
      <c r="CS1017" t="s">
        <v>1395</v>
      </c>
      <c r="CT1017">
        <v>2.04</v>
      </c>
      <c r="CU1017">
        <v>0</v>
      </c>
      <c r="CV1017">
        <v>0.45</v>
      </c>
      <c r="CW1017">
        <v>0.52</v>
      </c>
      <c r="CX1017">
        <v>0.21</v>
      </c>
      <c r="CY1017">
        <v>65</v>
      </c>
      <c r="CZ1017" t="s">
        <v>5945</v>
      </c>
      <c r="DA1017">
        <v>26.56</v>
      </c>
      <c r="DB1017">
        <v>6.58</v>
      </c>
      <c r="DC1017">
        <v>5.68</v>
      </c>
      <c r="DD1017">
        <v>0.53</v>
      </c>
      <c r="DE1017">
        <v>1924</v>
      </c>
      <c r="DF1017">
        <v>2565</v>
      </c>
      <c r="DG1017" t="s">
        <v>116</v>
      </c>
      <c r="DH1017" t="s">
        <v>116</v>
      </c>
      <c r="DI1017" t="s">
        <v>116</v>
      </c>
    </row>
    <row r="1018" spans="1:113" x14ac:dyDescent="0.4">
      <c r="A1018" t="str">
        <f>"002566"</f>
        <v>002566</v>
      </c>
      <c r="B1018" t="s">
        <v>5946</v>
      </c>
      <c r="C1018">
        <v>-1.37</v>
      </c>
      <c r="D1018">
        <v>6.48</v>
      </c>
      <c r="E1018">
        <v>-0.09</v>
      </c>
      <c r="F1018">
        <v>6.48</v>
      </c>
      <c r="G1018">
        <v>6.5</v>
      </c>
      <c r="H1018">
        <v>15504</v>
      </c>
      <c r="I1018">
        <v>1798</v>
      </c>
      <c r="J1018">
        <v>-0.3</v>
      </c>
      <c r="K1018">
        <v>0.68</v>
      </c>
      <c r="L1018">
        <v>6.56</v>
      </c>
      <c r="M1018">
        <v>6.6</v>
      </c>
      <c r="N1018">
        <v>6.48</v>
      </c>
      <c r="O1018">
        <v>6.57</v>
      </c>
      <c r="P1018">
        <v>29.08</v>
      </c>
      <c r="Q1018">
        <v>10126960</v>
      </c>
      <c r="R1018">
        <v>0.69</v>
      </c>
      <c r="S1018" t="s">
        <v>781</v>
      </c>
      <c r="T1018" t="s">
        <v>294</v>
      </c>
      <c r="U1018">
        <v>1.83</v>
      </c>
      <c r="V1018">
        <v>6.53</v>
      </c>
      <c r="W1018">
        <v>9972</v>
      </c>
      <c r="X1018">
        <v>5532</v>
      </c>
      <c r="Y1018">
        <v>1.8</v>
      </c>
      <c r="Z1018">
        <v>417</v>
      </c>
      <c r="AA1018">
        <v>21</v>
      </c>
      <c r="AB1018" t="s">
        <v>116</v>
      </c>
      <c r="AC1018">
        <v>17100</v>
      </c>
      <c r="AD1018">
        <v>0</v>
      </c>
      <c r="AE1018" t="s">
        <v>116</v>
      </c>
      <c r="AF1018" t="s">
        <v>116</v>
      </c>
      <c r="AG1018">
        <v>2.29</v>
      </c>
      <c r="AH1018" t="s">
        <v>5947</v>
      </c>
      <c r="AI1018" t="s">
        <v>1319</v>
      </c>
      <c r="AJ1018">
        <v>-0.69</v>
      </c>
      <c r="AK1018">
        <v>490</v>
      </c>
      <c r="AL1018">
        <v>32</v>
      </c>
      <c r="AM1018">
        <v>1.4E-3</v>
      </c>
      <c r="AN1018">
        <v>-1</v>
      </c>
      <c r="AO1018">
        <v>0.16</v>
      </c>
      <c r="AP1018">
        <v>5.71</v>
      </c>
      <c r="AQ1018">
        <v>2.69</v>
      </c>
      <c r="AR1018">
        <v>12.89</v>
      </c>
      <c r="AS1018">
        <v>0.86</v>
      </c>
      <c r="AT1018" t="s">
        <v>5948</v>
      </c>
      <c r="AU1018">
        <v>30.09</v>
      </c>
      <c r="AV1018">
        <v>31.05</v>
      </c>
      <c r="AW1018">
        <v>1.07</v>
      </c>
      <c r="BA1018">
        <v>-0.15</v>
      </c>
      <c r="BB1018">
        <v>0.46</v>
      </c>
      <c r="BC1018">
        <v>-1.37</v>
      </c>
      <c r="BD1018">
        <v>-0.57999999999999996</v>
      </c>
      <c r="BE1018">
        <v>-1.22</v>
      </c>
      <c r="BF1018">
        <v>-1.82</v>
      </c>
      <c r="BG1018">
        <v>0</v>
      </c>
      <c r="BH1018">
        <v>-0.79</v>
      </c>
      <c r="BI1018">
        <v>20191224</v>
      </c>
      <c r="BJ1018">
        <v>20110318</v>
      </c>
      <c r="BK1018">
        <v>3.31</v>
      </c>
      <c r="BL1018" t="s">
        <v>116</v>
      </c>
      <c r="BM1018" t="s">
        <v>116</v>
      </c>
      <c r="BN1018">
        <v>25.4</v>
      </c>
      <c r="BO1018">
        <v>19.11</v>
      </c>
      <c r="BP1018">
        <v>1.23</v>
      </c>
      <c r="BQ1018">
        <v>19.93</v>
      </c>
      <c r="BR1018">
        <v>20.21</v>
      </c>
      <c r="BS1018">
        <v>4.1399999999999997</v>
      </c>
      <c r="BT1018">
        <v>0.55000000000000004</v>
      </c>
      <c r="BU1018">
        <v>4.59</v>
      </c>
      <c r="BV1018">
        <v>16.57</v>
      </c>
      <c r="BW1018">
        <v>2.02</v>
      </c>
      <c r="BX1018">
        <v>8.35</v>
      </c>
      <c r="BY1018">
        <v>7.46</v>
      </c>
      <c r="BZ1018">
        <v>1.71</v>
      </c>
      <c r="CA1018">
        <v>0.8</v>
      </c>
      <c r="CB1018">
        <v>0</v>
      </c>
      <c r="CC1018">
        <v>0.81</v>
      </c>
      <c r="CD1018">
        <v>0.68</v>
      </c>
      <c r="CE1018">
        <v>0.55000000000000004</v>
      </c>
      <c r="CF1018">
        <v>0.5</v>
      </c>
      <c r="CG1018">
        <v>6.45</v>
      </c>
      <c r="CH1018">
        <v>1.29</v>
      </c>
      <c r="CI1018">
        <v>0.23</v>
      </c>
      <c r="CJ1018">
        <v>21949</v>
      </c>
      <c r="CK1018">
        <v>8215</v>
      </c>
      <c r="CL1018" t="s">
        <v>2775</v>
      </c>
      <c r="CM1018">
        <v>4.1100000000000003</v>
      </c>
      <c r="CN1018">
        <v>-0.56000000000000005</v>
      </c>
      <c r="CO1018">
        <v>1.1200000000000001</v>
      </c>
      <c r="CP1018">
        <v>16.670000000000002</v>
      </c>
      <c r="CQ1018">
        <v>2.88</v>
      </c>
      <c r="CR1018">
        <v>0</v>
      </c>
      <c r="CS1018" t="s">
        <v>3277</v>
      </c>
      <c r="CT1018">
        <v>5.77</v>
      </c>
      <c r="CU1018">
        <v>0</v>
      </c>
      <c r="CV1018">
        <v>2.52</v>
      </c>
      <c r="CW1018">
        <v>1.95</v>
      </c>
      <c r="CX1018">
        <v>0.39</v>
      </c>
      <c r="CY1018">
        <v>75.23</v>
      </c>
      <c r="CZ1018" t="s">
        <v>5949</v>
      </c>
      <c r="DA1018">
        <v>77.11</v>
      </c>
      <c r="DB1018">
        <v>10.75</v>
      </c>
      <c r="DC1018">
        <v>7.42</v>
      </c>
      <c r="DD1018">
        <v>0.15</v>
      </c>
      <c r="DE1018">
        <v>1823</v>
      </c>
      <c r="DF1018">
        <v>2566</v>
      </c>
      <c r="DG1018" t="s">
        <v>116</v>
      </c>
      <c r="DH1018" t="s">
        <v>116</v>
      </c>
      <c r="DI1018" t="s">
        <v>116</v>
      </c>
    </row>
    <row r="1019" spans="1:113" x14ac:dyDescent="0.4">
      <c r="A1019" t="str">
        <f>"002567"</f>
        <v>002567</v>
      </c>
      <c r="B1019" t="s">
        <v>5950</v>
      </c>
      <c r="C1019">
        <v>3.2</v>
      </c>
      <c r="D1019">
        <v>9.0399999999999991</v>
      </c>
      <c r="E1019">
        <v>0.28000000000000003</v>
      </c>
      <c r="F1019">
        <v>9.0399999999999991</v>
      </c>
      <c r="G1019">
        <v>9.0500000000000007</v>
      </c>
      <c r="H1019">
        <v>305138</v>
      </c>
      <c r="I1019">
        <v>6613</v>
      </c>
      <c r="J1019">
        <v>0.11</v>
      </c>
      <c r="K1019">
        <v>3.93</v>
      </c>
      <c r="L1019">
        <v>8.77</v>
      </c>
      <c r="M1019">
        <v>9.1</v>
      </c>
      <c r="N1019">
        <v>8.7200000000000006</v>
      </c>
      <c r="O1019">
        <v>8.76</v>
      </c>
      <c r="P1019">
        <v>43.74</v>
      </c>
      <c r="Q1019">
        <v>272996512</v>
      </c>
      <c r="R1019">
        <v>1.55</v>
      </c>
      <c r="S1019" t="s">
        <v>389</v>
      </c>
      <c r="T1019" t="s">
        <v>599</v>
      </c>
      <c r="U1019">
        <v>4.34</v>
      </c>
      <c r="V1019">
        <v>8.9499999999999993</v>
      </c>
      <c r="W1019">
        <v>130966</v>
      </c>
      <c r="X1019">
        <v>174172</v>
      </c>
      <c r="Y1019">
        <v>0.75</v>
      </c>
      <c r="Z1019">
        <v>1903</v>
      </c>
      <c r="AA1019">
        <v>1945</v>
      </c>
      <c r="AB1019" t="s">
        <v>116</v>
      </c>
      <c r="AC1019">
        <v>506900</v>
      </c>
      <c r="AD1019">
        <v>0.01</v>
      </c>
      <c r="AE1019" t="s">
        <v>116</v>
      </c>
      <c r="AF1019" t="s">
        <v>116</v>
      </c>
      <c r="AG1019">
        <v>7.76</v>
      </c>
      <c r="AH1019" t="s">
        <v>5951</v>
      </c>
      <c r="AI1019" t="s">
        <v>5952</v>
      </c>
      <c r="AJ1019">
        <v>3.88</v>
      </c>
      <c r="AK1019">
        <v>3731</v>
      </c>
      <c r="AL1019">
        <v>82</v>
      </c>
      <c r="AM1019">
        <v>1.1000000000000001E-3</v>
      </c>
      <c r="AN1019">
        <v>2</v>
      </c>
      <c r="AO1019">
        <v>2.73</v>
      </c>
      <c r="AP1019">
        <v>2.0299999999999998</v>
      </c>
      <c r="AQ1019">
        <v>-4.6399999999999997</v>
      </c>
      <c r="AR1019">
        <v>62.3</v>
      </c>
      <c r="AS1019">
        <v>6.71</v>
      </c>
      <c r="AT1019" t="s">
        <v>5953</v>
      </c>
      <c r="AU1019">
        <v>54.13</v>
      </c>
      <c r="AV1019">
        <v>55.23</v>
      </c>
      <c r="AW1019">
        <v>1.2</v>
      </c>
      <c r="BA1019">
        <v>0.11</v>
      </c>
      <c r="BB1019">
        <v>3.88</v>
      </c>
      <c r="BC1019">
        <v>-0.46</v>
      </c>
      <c r="BD1019">
        <v>2.13</v>
      </c>
      <c r="BE1019">
        <v>3.08</v>
      </c>
      <c r="BF1019">
        <v>-0.66</v>
      </c>
      <c r="BG1019">
        <v>3.67</v>
      </c>
      <c r="BH1019">
        <v>1.07</v>
      </c>
      <c r="BI1019">
        <v>20191217</v>
      </c>
      <c r="BJ1019">
        <v>20110325</v>
      </c>
      <c r="BK1019">
        <v>8.3699999999999992</v>
      </c>
      <c r="BL1019" t="s">
        <v>116</v>
      </c>
      <c r="BM1019" t="s">
        <v>116</v>
      </c>
      <c r="BN1019">
        <v>71</v>
      </c>
      <c r="BO1019">
        <v>34.54</v>
      </c>
      <c r="BP1019">
        <v>5.29</v>
      </c>
      <c r="BQ1019">
        <v>43.9</v>
      </c>
      <c r="BR1019">
        <v>27.25</v>
      </c>
      <c r="BS1019">
        <v>23.2</v>
      </c>
      <c r="BT1019">
        <v>4.7</v>
      </c>
      <c r="BU1019">
        <v>27.94</v>
      </c>
      <c r="BV1019">
        <v>9.6</v>
      </c>
      <c r="BW1019">
        <v>2.48</v>
      </c>
      <c r="BX1019">
        <v>15.88</v>
      </c>
      <c r="BY1019">
        <v>113.17</v>
      </c>
      <c r="BZ1019">
        <v>102.69</v>
      </c>
      <c r="CA1019">
        <v>2.4700000000000002</v>
      </c>
      <c r="CB1019">
        <v>0.09</v>
      </c>
      <c r="CC1019">
        <v>2.2400000000000002</v>
      </c>
      <c r="CD1019">
        <v>1.82</v>
      </c>
      <c r="CE1019">
        <v>1.3</v>
      </c>
      <c r="CF1019">
        <v>1.43</v>
      </c>
      <c r="CG1019">
        <v>8.02</v>
      </c>
      <c r="CH1019">
        <v>1.26</v>
      </c>
      <c r="CI1019">
        <v>0.02</v>
      </c>
      <c r="CJ1019">
        <v>61336</v>
      </c>
      <c r="CK1019">
        <v>7417</v>
      </c>
      <c r="CL1019" t="s">
        <v>1706</v>
      </c>
      <c r="CM1019">
        <v>2.19</v>
      </c>
      <c r="CN1019">
        <v>2.2200000000000002</v>
      </c>
      <c r="CO1019">
        <v>2.19</v>
      </c>
      <c r="CP1019">
        <v>60.02</v>
      </c>
      <c r="CQ1019">
        <v>0.67</v>
      </c>
      <c r="CR1019">
        <v>1.1000000000000001</v>
      </c>
      <c r="CS1019" t="s">
        <v>5345</v>
      </c>
      <c r="CT1019">
        <v>4.13</v>
      </c>
      <c r="CU1019">
        <v>0</v>
      </c>
      <c r="CV1019">
        <v>1.9</v>
      </c>
      <c r="CW1019">
        <v>0.96</v>
      </c>
      <c r="CX1019">
        <v>0.15</v>
      </c>
      <c r="CY1019">
        <v>48.65</v>
      </c>
      <c r="CZ1019" t="s">
        <v>1389</v>
      </c>
      <c r="DA1019">
        <v>9.26</v>
      </c>
      <c r="DB1019">
        <v>2.1800000000000002</v>
      </c>
      <c r="DC1019">
        <v>1.1499999999999999</v>
      </c>
      <c r="DD1019">
        <v>1.44</v>
      </c>
      <c r="DE1019">
        <v>7583</v>
      </c>
      <c r="DF1019">
        <v>2567</v>
      </c>
      <c r="DG1019" t="s">
        <v>116</v>
      </c>
      <c r="DH1019" t="s">
        <v>116</v>
      </c>
      <c r="DI1019" t="s">
        <v>116</v>
      </c>
    </row>
    <row r="1020" spans="1:113" x14ac:dyDescent="0.4">
      <c r="A1020" t="str">
        <f>"002568"</f>
        <v>002568</v>
      </c>
      <c r="B1020" t="s">
        <v>5954</v>
      </c>
      <c r="C1020">
        <v>-0.12</v>
      </c>
      <c r="D1020">
        <v>25.52</v>
      </c>
      <c r="E1020">
        <v>-0.03</v>
      </c>
      <c r="F1020">
        <v>25.52</v>
      </c>
      <c r="G1020">
        <v>25.53</v>
      </c>
      <c r="H1020">
        <v>32979</v>
      </c>
      <c r="I1020">
        <v>316</v>
      </c>
      <c r="J1020">
        <v>-7.0000000000000007E-2</v>
      </c>
      <c r="K1020">
        <v>0.95</v>
      </c>
      <c r="L1020">
        <v>25.28</v>
      </c>
      <c r="M1020">
        <v>26.13</v>
      </c>
      <c r="N1020">
        <v>25.23</v>
      </c>
      <c r="O1020">
        <v>25.55</v>
      </c>
      <c r="P1020">
        <v>43.53</v>
      </c>
      <c r="Q1020">
        <v>84825456</v>
      </c>
      <c r="R1020">
        <v>0.72</v>
      </c>
      <c r="S1020" t="s">
        <v>2477</v>
      </c>
      <c r="T1020" t="s">
        <v>1653</v>
      </c>
      <c r="U1020">
        <v>3.52</v>
      </c>
      <c r="V1020">
        <v>25.72</v>
      </c>
      <c r="W1020">
        <v>17460</v>
      </c>
      <c r="X1020">
        <v>15519</v>
      </c>
      <c r="Y1020">
        <v>1.1299999999999999</v>
      </c>
      <c r="Z1020">
        <v>135</v>
      </c>
      <c r="AA1020">
        <v>28</v>
      </c>
      <c r="AB1020" t="s">
        <v>116</v>
      </c>
      <c r="AC1020">
        <v>2333300</v>
      </c>
      <c r="AD1020">
        <v>0.04</v>
      </c>
      <c r="AE1020" t="s">
        <v>116</v>
      </c>
      <c r="AF1020" t="s">
        <v>116</v>
      </c>
      <c r="AG1020">
        <v>3.49</v>
      </c>
      <c r="AH1020" t="s">
        <v>5955</v>
      </c>
      <c r="AI1020" t="s">
        <v>5956</v>
      </c>
      <c r="AJ1020">
        <v>0.56000000000000005</v>
      </c>
      <c r="AK1020">
        <v>2351</v>
      </c>
      <c r="AL1020">
        <v>14</v>
      </c>
      <c r="AM1020">
        <v>4.0000000000000002E-4</v>
      </c>
      <c r="AN1020">
        <v>-3</v>
      </c>
      <c r="AO1020">
        <v>-5.41</v>
      </c>
      <c r="AP1020">
        <v>-3.73</v>
      </c>
      <c r="AQ1020">
        <v>18.64</v>
      </c>
      <c r="AR1020">
        <v>191.99</v>
      </c>
      <c r="AS1020">
        <v>1.44</v>
      </c>
      <c r="AT1020" t="s">
        <v>5957</v>
      </c>
      <c r="AU1020">
        <v>59.79</v>
      </c>
      <c r="AV1020">
        <v>107.19</v>
      </c>
      <c r="AW1020">
        <v>0.45</v>
      </c>
      <c r="BA1020">
        <v>-1.06</v>
      </c>
      <c r="BB1020">
        <v>2.27</v>
      </c>
      <c r="BC1020">
        <v>-1.25</v>
      </c>
      <c r="BD1020">
        <v>0.67</v>
      </c>
      <c r="BE1020">
        <v>0.95</v>
      </c>
      <c r="BF1020">
        <v>-2.33</v>
      </c>
      <c r="BG1020">
        <v>1.1499999999999999</v>
      </c>
      <c r="BH1020">
        <v>-0.79</v>
      </c>
      <c r="BI1020">
        <v>20191028</v>
      </c>
      <c r="BJ1020">
        <v>20110325</v>
      </c>
      <c r="BK1020">
        <v>5.2</v>
      </c>
      <c r="BL1020" t="s">
        <v>116</v>
      </c>
      <c r="BM1020" t="s">
        <v>116</v>
      </c>
      <c r="BN1020">
        <v>22.74</v>
      </c>
      <c r="BO1020">
        <v>19.29</v>
      </c>
      <c r="BP1020">
        <v>0.02</v>
      </c>
      <c r="BQ1020">
        <v>15.05</v>
      </c>
      <c r="BR1020">
        <v>6.54</v>
      </c>
      <c r="BS1020">
        <v>8.2100000000000009</v>
      </c>
      <c r="BT1020">
        <v>1.93</v>
      </c>
      <c r="BU1020">
        <v>2.91</v>
      </c>
      <c r="BV1020">
        <v>0.87</v>
      </c>
      <c r="BW1020">
        <v>0.72</v>
      </c>
      <c r="BX1020">
        <v>12.04</v>
      </c>
      <c r="BY1020">
        <v>10.16</v>
      </c>
      <c r="BZ1020">
        <v>3.15</v>
      </c>
      <c r="CA1020">
        <v>2.95</v>
      </c>
      <c r="CB1020">
        <v>0</v>
      </c>
      <c r="CC1020">
        <v>2.95</v>
      </c>
      <c r="CD1020">
        <v>2.2799999999999998</v>
      </c>
      <c r="CE1020">
        <v>2.29</v>
      </c>
      <c r="CF1020">
        <v>2.0099999999999998</v>
      </c>
      <c r="CG1020">
        <v>0.98</v>
      </c>
      <c r="CH1020">
        <v>3</v>
      </c>
      <c r="CI1020">
        <v>-2.63</v>
      </c>
      <c r="CJ1020">
        <v>18262</v>
      </c>
      <c r="CK1020">
        <v>12535</v>
      </c>
      <c r="CL1020" t="s">
        <v>5958</v>
      </c>
      <c r="CM1020">
        <v>75.23</v>
      </c>
      <c r="CN1020">
        <v>19.09</v>
      </c>
      <c r="CO1020">
        <v>6.88</v>
      </c>
      <c r="CP1020">
        <v>44.29</v>
      </c>
      <c r="CQ1020">
        <v>13.05</v>
      </c>
      <c r="CR1020">
        <v>1.56</v>
      </c>
      <c r="CS1020" t="s">
        <v>604</v>
      </c>
      <c r="CT1020">
        <v>3.71</v>
      </c>
      <c r="CU1020">
        <v>0</v>
      </c>
      <c r="CV1020">
        <v>2.3199999999999998</v>
      </c>
      <c r="CW1020">
        <v>0.19</v>
      </c>
      <c r="CX1020">
        <v>0.57999999999999996</v>
      </c>
      <c r="CY1020">
        <v>84.86</v>
      </c>
      <c r="CZ1020" t="s">
        <v>5959</v>
      </c>
      <c r="DA1020">
        <v>68.97</v>
      </c>
      <c r="DB1020">
        <v>29.03</v>
      </c>
      <c r="DC1020">
        <v>22.49</v>
      </c>
      <c r="DD1020">
        <v>0.39</v>
      </c>
      <c r="DE1020">
        <v>1381</v>
      </c>
      <c r="DF1020">
        <v>2568</v>
      </c>
      <c r="DG1020" t="s">
        <v>116</v>
      </c>
      <c r="DH1020" t="s">
        <v>116</v>
      </c>
      <c r="DI1020" t="s">
        <v>116</v>
      </c>
    </row>
    <row r="1021" spans="1:113" x14ac:dyDescent="0.4">
      <c r="A1021" t="str">
        <f>"002569"</f>
        <v>002569</v>
      </c>
      <c r="B1021" t="s">
        <v>5960</v>
      </c>
      <c r="C1021">
        <v>2.56</v>
      </c>
      <c r="D1021">
        <v>10</v>
      </c>
      <c r="E1021">
        <v>0.25</v>
      </c>
      <c r="F1021">
        <v>9.81</v>
      </c>
      <c r="G1021">
        <v>10</v>
      </c>
      <c r="H1021">
        <v>9036</v>
      </c>
      <c r="I1021">
        <v>167</v>
      </c>
      <c r="J1021">
        <v>0.1</v>
      </c>
      <c r="K1021">
        <v>0.65</v>
      </c>
      <c r="L1021">
        <v>9.6999999999999993</v>
      </c>
      <c r="M1021">
        <v>10.16</v>
      </c>
      <c r="N1021">
        <v>9.6999999999999993</v>
      </c>
      <c r="O1021">
        <v>9.75</v>
      </c>
      <c r="P1021" t="s">
        <v>116</v>
      </c>
      <c r="Q1021">
        <v>9009980</v>
      </c>
      <c r="R1021">
        <v>1.25</v>
      </c>
      <c r="S1021" t="s">
        <v>3070</v>
      </c>
      <c r="T1021" t="s">
        <v>590</v>
      </c>
      <c r="U1021">
        <v>4.72</v>
      </c>
      <c r="V1021">
        <v>9.9700000000000006</v>
      </c>
      <c r="W1021">
        <v>4415</v>
      </c>
      <c r="X1021">
        <v>4621</v>
      </c>
      <c r="Y1021">
        <v>0.96</v>
      </c>
      <c r="Z1021">
        <v>12</v>
      </c>
      <c r="AA1021">
        <v>162</v>
      </c>
      <c r="AB1021" t="s">
        <v>116</v>
      </c>
      <c r="AC1021">
        <v>39800</v>
      </c>
      <c r="AD1021">
        <v>0</v>
      </c>
      <c r="AE1021" t="s">
        <v>116</v>
      </c>
      <c r="AF1021" t="s">
        <v>116</v>
      </c>
      <c r="AG1021">
        <v>1.4</v>
      </c>
      <c r="AH1021" t="s">
        <v>5961</v>
      </c>
      <c r="AI1021" t="s">
        <v>5962</v>
      </c>
      <c r="AJ1021">
        <v>3.24</v>
      </c>
      <c r="AK1021">
        <v>372</v>
      </c>
      <c r="AL1021">
        <v>24</v>
      </c>
      <c r="AM1021">
        <v>1.6999999999999999E-3</v>
      </c>
      <c r="AN1021">
        <v>4</v>
      </c>
      <c r="AO1021">
        <v>9.0500000000000007</v>
      </c>
      <c r="AP1021">
        <v>6.27</v>
      </c>
      <c r="AQ1021">
        <v>-0.99</v>
      </c>
      <c r="AR1021">
        <v>4.71</v>
      </c>
      <c r="AS1021">
        <v>0.92</v>
      </c>
      <c r="AT1021" t="s">
        <v>5963</v>
      </c>
      <c r="AU1021" t="s">
        <v>116</v>
      </c>
      <c r="AV1021" t="s">
        <v>116</v>
      </c>
      <c r="AW1021">
        <v>0.17</v>
      </c>
      <c r="BA1021">
        <v>-0.51</v>
      </c>
      <c r="BB1021">
        <v>4.21</v>
      </c>
      <c r="BC1021">
        <v>-0.51</v>
      </c>
      <c r="BD1021">
        <v>2.27</v>
      </c>
      <c r="BE1021">
        <v>3.09</v>
      </c>
      <c r="BF1021">
        <v>-1.57</v>
      </c>
      <c r="BG1021">
        <v>3.09</v>
      </c>
      <c r="BH1021">
        <v>0.3</v>
      </c>
      <c r="BI1021">
        <v>20191031</v>
      </c>
      <c r="BJ1021">
        <v>20110412</v>
      </c>
      <c r="BK1021">
        <v>1.4</v>
      </c>
      <c r="BL1021" t="s">
        <v>116</v>
      </c>
      <c r="BM1021" t="s">
        <v>116</v>
      </c>
      <c r="BN1021">
        <v>6.44</v>
      </c>
      <c r="BO1021">
        <v>2.59</v>
      </c>
      <c r="BP1021">
        <v>0.04</v>
      </c>
      <c r="BQ1021">
        <v>59.17</v>
      </c>
      <c r="BR1021">
        <v>4.3</v>
      </c>
      <c r="BS1021">
        <v>0.43</v>
      </c>
      <c r="BT1021">
        <v>0.2</v>
      </c>
      <c r="BU1021">
        <v>2.5</v>
      </c>
      <c r="BV1021">
        <v>1.68</v>
      </c>
      <c r="BW1021">
        <v>1.26</v>
      </c>
      <c r="BX1021">
        <v>3.19</v>
      </c>
      <c r="BY1021">
        <v>2.84</v>
      </c>
      <c r="BZ1021">
        <v>1.81</v>
      </c>
      <c r="CA1021">
        <v>-0.08</v>
      </c>
      <c r="CB1021">
        <v>0</v>
      </c>
      <c r="CC1021">
        <v>-0.4</v>
      </c>
      <c r="CD1021">
        <v>-0.41</v>
      </c>
      <c r="CE1021">
        <v>-0.4</v>
      </c>
      <c r="CF1021">
        <v>-0.11</v>
      </c>
      <c r="CG1021">
        <v>-2.3199999999999998</v>
      </c>
      <c r="CH1021">
        <v>-0.68</v>
      </c>
      <c r="CI1021">
        <v>-0.71</v>
      </c>
      <c r="CJ1021">
        <v>6398</v>
      </c>
      <c r="CK1021">
        <v>15313</v>
      </c>
      <c r="CL1021" t="s">
        <v>5964</v>
      </c>
      <c r="CM1021">
        <v>-619.69000000000005</v>
      </c>
      <c r="CN1021">
        <v>-8.77</v>
      </c>
      <c r="CO1021">
        <v>5.42</v>
      </c>
      <c r="CP1021">
        <v>-20.49</v>
      </c>
      <c r="CQ1021">
        <v>4.93</v>
      </c>
      <c r="CR1021">
        <v>0</v>
      </c>
      <c r="CS1021" t="s">
        <v>5965</v>
      </c>
      <c r="CT1021">
        <v>1.85</v>
      </c>
      <c r="CU1021">
        <v>0</v>
      </c>
      <c r="CV1021">
        <v>2.2799999999999998</v>
      </c>
      <c r="CW1021">
        <v>-1.65</v>
      </c>
      <c r="CX1021">
        <v>-0.49</v>
      </c>
      <c r="CY1021">
        <v>40.14</v>
      </c>
      <c r="CZ1021" t="s">
        <v>5966</v>
      </c>
      <c r="DA1021">
        <v>36.24</v>
      </c>
      <c r="DB1021">
        <v>-2.94</v>
      </c>
      <c r="DC1021">
        <v>-14.1</v>
      </c>
      <c r="DD1021">
        <v>0</v>
      </c>
      <c r="DE1021">
        <v>1180</v>
      </c>
      <c r="DF1021">
        <v>2569</v>
      </c>
      <c r="DG1021" t="s">
        <v>116</v>
      </c>
      <c r="DH1021" t="s">
        <v>116</v>
      </c>
      <c r="DI1021" t="s">
        <v>116</v>
      </c>
    </row>
    <row r="1022" spans="1:113" x14ac:dyDescent="0.4">
      <c r="A1022" t="str">
        <f>"002570"</f>
        <v>002570</v>
      </c>
      <c r="B1022" t="s">
        <v>5967</v>
      </c>
      <c r="C1022">
        <v>0.19</v>
      </c>
      <c r="D1022">
        <v>5.35</v>
      </c>
      <c r="E1022">
        <v>0.01</v>
      </c>
      <c r="F1022">
        <v>5.35</v>
      </c>
      <c r="G1022">
        <v>5.36</v>
      </c>
      <c r="H1022">
        <v>77619</v>
      </c>
      <c r="I1022">
        <v>667</v>
      </c>
      <c r="J1022">
        <v>0</v>
      </c>
      <c r="K1022">
        <v>0.76</v>
      </c>
      <c r="L1022">
        <v>5.34</v>
      </c>
      <c r="M1022">
        <v>5.45</v>
      </c>
      <c r="N1022">
        <v>5.32</v>
      </c>
      <c r="O1022">
        <v>5.34</v>
      </c>
      <c r="P1022" t="s">
        <v>116</v>
      </c>
      <c r="Q1022">
        <v>41872492</v>
      </c>
      <c r="R1022">
        <v>1.1299999999999999</v>
      </c>
      <c r="S1022" t="s">
        <v>4803</v>
      </c>
      <c r="T1022" t="s">
        <v>590</v>
      </c>
      <c r="U1022">
        <v>2.4300000000000002</v>
      </c>
      <c r="V1022">
        <v>5.39</v>
      </c>
      <c r="W1022">
        <v>38956</v>
      </c>
      <c r="X1022">
        <v>38663</v>
      </c>
      <c r="Y1022">
        <v>1.01</v>
      </c>
      <c r="Z1022">
        <v>523</v>
      </c>
      <c r="AA1022">
        <v>76</v>
      </c>
      <c r="AB1022" t="s">
        <v>116</v>
      </c>
      <c r="AC1022">
        <v>110000</v>
      </c>
      <c r="AD1022">
        <v>0</v>
      </c>
      <c r="AE1022" t="s">
        <v>116</v>
      </c>
      <c r="AF1022" t="s">
        <v>116</v>
      </c>
      <c r="AG1022">
        <v>10.220000000000001</v>
      </c>
      <c r="AH1022" t="s">
        <v>5968</v>
      </c>
      <c r="AI1022" t="s">
        <v>5968</v>
      </c>
      <c r="AJ1022">
        <v>0.87</v>
      </c>
      <c r="AK1022">
        <v>1745</v>
      </c>
      <c r="AL1022">
        <v>44</v>
      </c>
      <c r="AM1022">
        <v>4.0000000000000002E-4</v>
      </c>
      <c r="AN1022">
        <v>1</v>
      </c>
      <c r="AO1022">
        <v>0.75</v>
      </c>
      <c r="AP1022">
        <v>-7.92</v>
      </c>
      <c r="AQ1022">
        <v>-1.29</v>
      </c>
      <c r="AR1022">
        <v>7.86</v>
      </c>
      <c r="AS1022">
        <v>1.59</v>
      </c>
      <c r="AT1022" t="s">
        <v>5969</v>
      </c>
      <c r="AU1022" t="s">
        <v>116</v>
      </c>
      <c r="AV1022">
        <v>133.06</v>
      </c>
      <c r="AW1022">
        <v>1.03</v>
      </c>
      <c r="BA1022">
        <v>0</v>
      </c>
      <c r="BB1022">
        <v>2.06</v>
      </c>
      <c r="BC1022">
        <v>-0.37</v>
      </c>
      <c r="BD1022">
        <v>1.02</v>
      </c>
      <c r="BE1022">
        <v>0.19</v>
      </c>
      <c r="BF1022">
        <v>-1.83</v>
      </c>
      <c r="BG1022">
        <v>0.56000000000000005</v>
      </c>
      <c r="BH1022">
        <v>-0.84</v>
      </c>
      <c r="BI1022">
        <v>20191106</v>
      </c>
      <c r="BJ1022">
        <v>20110412</v>
      </c>
      <c r="BK1022">
        <v>10.23</v>
      </c>
      <c r="BL1022" t="s">
        <v>116</v>
      </c>
      <c r="BM1022" t="s">
        <v>116</v>
      </c>
      <c r="BN1022">
        <v>42.57</v>
      </c>
      <c r="BO1022">
        <v>16.850000000000001</v>
      </c>
      <c r="BP1022">
        <v>0.35</v>
      </c>
      <c r="BQ1022">
        <v>59.62</v>
      </c>
      <c r="BR1022">
        <v>22.06</v>
      </c>
      <c r="BS1022">
        <v>11.77</v>
      </c>
      <c r="BT1022">
        <v>1.74</v>
      </c>
      <c r="BU1022">
        <v>20.29</v>
      </c>
      <c r="BV1022">
        <v>3.87</v>
      </c>
      <c r="BW1022">
        <v>7.24</v>
      </c>
      <c r="BX1022">
        <v>12.24</v>
      </c>
      <c r="BY1022">
        <v>20.170000000000002</v>
      </c>
      <c r="BZ1022">
        <v>9.69</v>
      </c>
      <c r="CA1022">
        <v>-1.1000000000000001</v>
      </c>
      <c r="CB1022">
        <v>0</v>
      </c>
      <c r="CC1022">
        <v>-1.1299999999999999</v>
      </c>
      <c r="CD1022">
        <v>-1.05</v>
      </c>
      <c r="CE1022">
        <v>-1.06</v>
      </c>
      <c r="CF1022">
        <v>-1.32</v>
      </c>
      <c r="CG1022">
        <v>-6.92</v>
      </c>
      <c r="CH1022">
        <v>-0.62</v>
      </c>
      <c r="CI1022">
        <v>-2.88</v>
      </c>
      <c r="CJ1022">
        <v>54804</v>
      </c>
      <c r="CK1022">
        <v>8895</v>
      </c>
      <c r="CL1022" t="s">
        <v>2315</v>
      </c>
      <c r="CM1022">
        <v>-478.85</v>
      </c>
      <c r="CN1022">
        <v>11.46</v>
      </c>
      <c r="CO1022">
        <v>3.25</v>
      </c>
      <c r="CP1022">
        <v>-87.76</v>
      </c>
      <c r="CQ1022">
        <v>2.71</v>
      </c>
      <c r="CR1022">
        <v>0</v>
      </c>
      <c r="CS1022" t="s">
        <v>5970</v>
      </c>
      <c r="CT1022">
        <v>1.65</v>
      </c>
      <c r="CU1022">
        <v>0</v>
      </c>
      <c r="CV1022">
        <v>1.2</v>
      </c>
      <c r="CW1022">
        <v>-0.68</v>
      </c>
      <c r="CX1022">
        <v>-0.06</v>
      </c>
      <c r="CY1022">
        <v>39.57</v>
      </c>
      <c r="CZ1022" t="s">
        <v>4106</v>
      </c>
      <c r="DA1022">
        <v>51.97</v>
      </c>
      <c r="DB1022">
        <v>-5.47</v>
      </c>
      <c r="DC1022">
        <v>-5.25</v>
      </c>
      <c r="DD1022">
        <v>0.13</v>
      </c>
      <c r="DE1022">
        <v>2264</v>
      </c>
      <c r="DF1022">
        <v>2570</v>
      </c>
      <c r="DG1022" t="s">
        <v>116</v>
      </c>
      <c r="DH1022" t="s">
        <v>116</v>
      </c>
      <c r="DI1022" t="s">
        <v>116</v>
      </c>
    </row>
    <row r="1023" spans="1:113" x14ac:dyDescent="0.4">
      <c r="A1023" t="str">
        <f>"002571"</f>
        <v>002571</v>
      </c>
      <c r="B1023" t="s">
        <v>5971</v>
      </c>
      <c r="C1023">
        <v>0.2</v>
      </c>
      <c r="D1023">
        <v>4.8899999999999997</v>
      </c>
      <c r="E1023">
        <v>0.01</v>
      </c>
      <c r="F1023">
        <v>4.87</v>
      </c>
      <c r="G1023">
        <v>4.8899999999999997</v>
      </c>
      <c r="H1023">
        <v>86936</v>
      </c>
      <c r="I1023">
        <v>2080</v>
      </c>
      <c r="J1023">
        <v>0.82</v>
      </c>
      <c r="K1023">
        <v>3.06</v>
      </c>
      <c r="L1023">
        <v>4.95</v>
      </c>
      <c r="M1023">
        <v>4.96</v>
      </c>
      <c r="N1023">
        <v>4.83</v>
      </c>
      <c r="O1023">
        <v>4.88</v>
      </c>
      <c r="P1023">
        <v>32.61</v>
      </c>
      <c r="Q1023">
        <v>42650308</v>
      </c>
      <c r="R1023">
        <v>0.69</v>
      </c>
      <c r="S1023" t="s">
        <v>195</v>
      </c>
      <c r="T1023" t="s">
        <v>575</v>
      </c>
      <c r="U1023">
        <v>2.66</v>
      </c>
      <c r="V1023">
        <v>4.91</v>
      </c>
      <c r="W1023">
        <v>45871</v>
      </c>
      <c r="X1023">
        <v>41065</v>
      </c>
      <c r="Y1023">
        <v>1.1200000000000001</v>
      </c>
      <c r="Z1023">
        <v>227</v>
      </c>
      <c r="AA1023">
        <v>2</v>
      </c>
      <c r="AB1023" t="s">
        <v>116</v>
      </c>
      <c r="AC1023">
        <v>906800</v>
      </c>
      <c r="AD1023">
        <v>0.09</v>
      </c>
      <c r="AE1023" t="s">
        <v>116</v>
      </c>
      <c r="AF1023" t="s">
        <v>116</v>
      </c>
      <c r="AG1023">
        <v>2.84</v>
      </c>
      <c r="AH1023" t="s">
        <v>5972</v>
      </c>
      <c r="AI1023" t="s">
        <v>4799</v>
      </c>
      <c r="AJ1023">
        <v>0.88</v>
      </c>
      <c r="AK1023">
        <v>1519</v>
      </c>
      <c r="AL1023">
        <v>57</v>
      </c>
      <c r="AM1023">
        <v>2E-3</v>
      </c>
      <c r="AN1023">
        <v>4</v>
      </c>
      <c r="AO1023">
        <v>2.08</v>
      </c>
      <c r="AP1023">
        <v>7.95</v>
      </c>
      <c r="AQ1023">
        <v>0.62</v>
      </c>
      <c r="AR1023">
        <v>-6.5</v>
      </c>
      <c r="AS1023">
        <v>4.24</v>
      </c>
      <c r="AT1023" t="s">
        <v>5973</v>
      </c>
      <c r="AU1023" t="s">
        <v>116</v>
      </c>
      <c r="AV1023" t="s">
        <v>116</v>
      </c>
      <c r="AW1023">
        <v>1.1499999999999999</v>
      </c>
      <c r="BA1023">
        <v>1.43</v>
      </c>
      <c r="BB1023">
        <v>1.64</v>
      </c>
      <c r="BC1023">
        <v>-1.02</v>
      </c>
      <c r="BD1023">
        <v>0.53</v>
      </c>
      <c r="BE1023">
        <v>-1.21</v>
      </c>
      <c r="BF1023">
        <v>-1.41</v>
      </c>
      <c r="BG1023">
        <v>1.24</v>
      </c>
      <c r="BH1023">
        <v>-0.33</v>
      </c>
      <c r="BI1023">
        <v>20191223</v>
      </c>
      <c r="BJ1023">
        <v>20110412</v>
      </c>
      <c r="BK1023">
        <v>3.92</v>
      </c>
      <c r="BL1023" t="s">
        <v>116</v>
      </c>
      <c r="BM1023" t="s">
        <v>116</v>
      </c>
      <c r="BN1023">
        <v>18.809999999999999</v>
      </c>
      <c r="BO1023">
        <v>14.6</v>
      </c>
      <c r="BP1023">
        <v>0.23</v>
      </c>
      <c r="BQ1023">
        <v>21.19</v>
      </c>
      <c r="BR1023">
        <v>7.06</v>
      </c>
      <c r="BS1023">
        <v>5</v>
      </c>
      <c r="BT1023">
        <v>0.66</v>
      </c>
      <c r="BU1023">
        <v>3.84</v>
      </c>
      <c r="BV1023">
        <v>3.26</v>
      </c>
      <c r="BW1023">
        <v>1.45</v>
      </c>
      <c r="BX1023">
        <v>9.08</v>
      </c>
      <c r="BY1023">
        <v>6.05</v>
      </c>
      <c r="BZ1023">
        <v>4.7300000000000004</v>
      </c>
      <c r="CA1023">
        <v>0.47</v>
      </c>
      <c r="CB1023">
        <v>0.13</v>
      </c>
      <c r="CC1023">
        <v>0.51</v>
      </c>
      <c r="CD1023">
        <v>0.44</v>
      </c>
      <c r="CE1023">
        <v>0.44</v>
      </c>
      <c r="CF1023">
        <v>0.2</v>
      </c>
      <c r="CG1023">
        <v>0.7</v>
      </c>
      <c r="CH1023">
        <v>0.46</v>
      </c>
      <c r="CI1023">
        <v>-0.08</v>
      </c>
      <c r="CJ1023">
        <v>21354</v>
      </c>
      <c r="CK1023">
        <v>9607</v>
      </c>
      <c r="CL1023" t="s">
        <v>5974</v>
      </c>
      <c r="CM1023">
        <v>205.09</v>
      </c>
      <c r="CN1023">
        <v>6.43</v>
      </c>
      <c r="CO1023">
        <v>1.31</v>
      </c>
      <c r="CP1023">
        <v>42.02</v>
      </c>
      <c r="CQ1023">
        <v>3.17</v>
      </c>
      <c r="CR1023">
        <v>0</v>
      </c>
      <c r="CS1023" t="s">
        <v>2261</v>
      </c>
      <c r="CT1023">
        <v>3.72</v>
      </c>
      <c r="CU1023">
        <v>0</v>
      </c>
      <c r="CV1023">
        <v>2.3199999999999998</v>
      </c>
      <c r="CW1023">
        <v>0.18</v>
      </c>
      <c r="CX1023">
        <v>0.12</v>
      </c>
      <c r="CY1023">
        <v>77.59</v>
      </c>
      <c r="CZ1023" t="s">
        <v>2558</v>
      </c>
      <c r="DA1023">
        <v>21.9</v>
      </c>
      <c r="DB1023">
        <v>7.8</v>
      </c>
      <c r="DC1023">
        <v>7.28</v>
      </c>
      <c r="DD1023">
        <v>0.02</v>
      </c>
      <c r="DE1023">
        <v>2203</v>
      </c>
      <c r="DF1023">
        <v>2571</v>
      </c>
      <c r="DG1023" t="s">
        <v>116</v>
      </c>
      <c r="DH1023" t="s">
        <v>116</v>
      </c>
      <c r="DI1023" t="s">
        <v>116</v>
      </c>
    </row>
    <row r="1024" spans="1:113" x14ac:dyDescent="0.4">
      <c r="A1024" t="str">
        <f>"002572"</f>
        <v>002572</v>
      </c>
      <c r="B1024" t="s">
        <v>5975</v>
      </c>
      <c r="C1024">
        <v>0.15</v>
      </c>
      <c r="D1024">
        <v>20.58</v>
      </c>
      <c r="E1024">
        <v>0.03</v>
      </c>
      <c r="F1024">
        <v>20.57</v>
      </c>
      <c r="G1024">
        <v>20.58</v>
      </c>
      <c r="H1024">
        <v>163733</v>
      </c>
      <c r="I1024">
        <v>1167</v>
      </c>
      <c r="J1024">
        <v>0.15</v>
      </c>
      <c r="K1024">
        <v>2.57</v>
      </c>
      <c r="L1024">
        <v>20.68</v>
      </c>
      <c r="M1024">
        <v>21.18</v>
      </c>
      <c r="N1024">
        <v>20.5</v>
      </c>
      <c r="O1024">
        <v>20.55</v>
      </c>
      <c r="P1024">
        <v>19.559999999999999</v>
      </c>
      <c r="Q1024">
        <v>341190688</v>
      </c>
      <c r="R1024">
        <v>1.32</v>
      </c>
      <c r="S1024" t="s">
        <v>2640</v>
      </c>
      <c r="T1024" t="s">
        <v>551</v>
      </c>
      <c r="U1024">
        <v>3.31</v>
      </c>
      <c r="V1024">
        <v>20.84</v>
      </c>
      <c r="W1024">
        <v>86281</v>
      </c>
      <c r="X1024">
        <v>77452</v>
      </c>
      <c r="Y1024">
        <v>1.1100000000000001</v>
      </c>
      <c r="Z1024">
        <v>187</v>
      </c>
      <c r="AA1024">
        <v>216</v>
      </c>
      <c r="AB1024" t="s">
        <v>116</v>
      </c>
      <c r="AC1024">
        <v>1303800</v>
      </c>
      <c r="AD1024">
        <v>0.01</v>
      </c>
      <c r="AE1024" t="s">
        <v>116</v>
      </c>
      <c r="AF1024" t="s">
        <v>116</v>
      </c>
      <c r="AG1024">
        <v>6.37</v>
      </c>
      <c r="AH1024" t="s">
        <v>5976</v>
      </c>
      <c r="AI1024" t="s">
        <v>5977</v>
      </c>
      <c r="AJ1024">
        <v>0.82</v>
      </c>
      <c r="AK1024">
        <v>4141</v>
      </c>
      <c r="AL1024">
        <v>40</v>
      </c>
      <c r="AM1024">
        <v>5.9999999999999995E-4</v>
      </c>
      <c r="AN1024">
        <v>4</v>
      </c>
      <c r="AO1024">
        <v>2.44</v>
      </c>
      <c r="AP1024">
        <v>17.47</v>
      </c>
      <c r="AQ1024">
        <v>18.690000000000001</v>
      </c>
      <c r="AR1024">
        <v>26.65</v>
      </c>
      <c r="AS1024">
        <v>3</v>
      </c>
      <c r="AT1024" t="s">
        <v>5978</v>
      </c>
      <c r="AU1024">
        <v>19.02</v>
      </c>
      <c r="AV1024">
        <v>19.579999999999998</v>
      </c>
      <c r="AW1024">
        <v>0.95</v>
      </c>
      <c r="BA1024">
        <v>0.63</v>
      </c>
      <c r="BB1024">
        <v>3.07</v>
      </c>
      <c r="BC1024">
        <v>-0.24</v>
      </c>
      <c r="BD1024">
        <v>1.4</v>
      </c>
      <c r="BE1024">
        <v>-0.48</v>
      </c>
      <c r="BF1024">
        <v>-2.83</v>
      </c>
      <c r="BG1024">
        <v>0.39</v>
      </c>
      <c r="BH1024">
        <v>-1.26</v>
      </c>
      <c r="BI1024">
        <v>20191031</v>
      </c>
      <c r="BJ1024">
        <v>20110412</v>
      </c>
      <c r="BK1024">
        <v>9.1199999999999992</v>
      </c>
      <c r="BL1024" t="s">
        <v>116</v>
      </c>
      <c r="BM1024" t="s">
        <v>116</v>
      </c>
      <c r="BN1024">
        <v>80</v>
      </c>
      <c r="BO1024">
        <v>50.82</v>
      </c>
      <c r="BP1024">
        <v>4.53</v>
      </c>
      <c r="BQ1024">
        <v>30.8</v>
      </c>
      <c r="BR1024">
        <v>37.229999999999997</v>
      </c>
      <c r="BS1024">
        <v>26.58</v>
      </c>
      <c r="BT1024">
        <v>5.55</v>
      </c>
      <c r="BU1024">
        <v>22.82</v>
      </c>
      <c r="BV1024">
        <v>3.46</v>
      </c>
      <c r="BW1024">
        <v>5.48</v>
      </c>
      <c r="BX1024">
        <v>13.04</v>
      </c>
      <c r="BY1024">
        <v>53.12</v>
      </c>
      <c r="BZ1024">
        <v>33.33</v>
      </c>
      <c r="CA1024">
        <v>9</v>
      </c>
      <c r="CB1024">
        <v>0.41</v>
      </c>
      <c r="CC1024">
        <v>9</v>
      </c>
      <c r="CD1024">
        <v>7.29</v>
      </c>
      <c r="CE1024">
        <v>7.2</v>
      </c>
      <c r="CF1024">
        <v>6.37</v>
      </c>
      <c r="CG1024">
        <v>25.86</v>
      </c>
      <c r="CH1024">
        <v>6.03</v>
      </c>
      <c r="CI1024">
        <v>-12.7</v>
      </c>
      <c r="CJ1024">
        <v>34041</v>
      </c>
      <c r="CK1024">
        <v>16043</v>
      </c>
      <c r="CL1024" t="s">
        <v>5979</v>
      </c>
      <c r="CM1024">
        <v>4.05</v>
      </c>
      <c r="CN1024">
        <v>4.03</v>
      </c>
      <c r="CO1024">
        <v>3.69</v>
      </c>
      <c r="CP1024">
        <v>31.13</v>
      </c>
      <c r="CQ1024">
        <v>3.54</v>
      </c>
      <c r="CR1024">
        <v>2.4300000000000002</v>
      </c>
      <c r="CS1024" t="s">
        <v>5980</v>
      </c>
      <c r="CT1024">
        <v>5.57</v>
      </c>
      <c r="CU1024">
        <v>0</v>
      </c>
      <c r="CV1024">
        <v>1.43</v>
      </c>
      <c r="CW1024">
        <v>2.83</v>
      </c>
      <c r="CX1024">
        <v>0.66</v>
      </c>
      <c r="CY1024">
        <v>63.53</v>
      </c>
      <c r="CZ1024" t="s">
        <v>3775</v>
      </c>
      <c r="DA1024">
        <v>37.25</v>
      </c>
      <c r="DB1024">
        <v>16.940000000000001</v>
      </c>
      <c r="DC1024">
        <v>13.55</v>
      </c>
      <c r="DD1024">
        <v>1.29</v>
      </c>
      <c r="DE1024">
        <v>11943</v>
      </c>
      <c r="DF1024">
        <v>2572</v>
      </c>
      <c r="DG1024" t="s">
        <v>116</v>
      </c>
      <c r="DH1024" t="s">
        <v>116</v>
      </c>
      <c r="DI1024" t="s">
        <v>116</v>
      </c>
    </row>
    <row r="1025" spans="1:113" x14ac:dyDescent="0.4">
      <c r="A1025" t="str">
        <f>"002573"</f>
        <v>002573</v>
      </c>
      <c r="B1025" t="s">
        <v>5981</v>
      </c>
      <c r="C1025">
        <v>1.26</v>
      </c>
      <c r="D1025">
        <v>6.41</v>
      </c>
      <c r="E1025">
        <v>0.08</v>
      </c>
      <c r="F1025">
        <v>6.41</v>
      </c>
      <c r="G1025">
        <v>6.42</v>
      </c>
      <c r="H1025">
        <v>79653</v>
      </c>
      <c r="I1025">
        <v>474</v>
      </c>
      <c r="J1025">
        <v>0.16</v>
      </c>
      <c r="K1025">
        <v>0.74</v>
      </c>
      <c r="L1025">
        <v>6.35</v>
      </c>
      <c r="M1025">
        <v>6.5</v>
      </c>
      <c r="N1025">
        <v>6.33</v>
      </c>
      <c r="O1025">
        <v>6.33</v>
      </c>
      <c r="P1025">
        <v>16.11</v>
      </c>
      <c r="Q1025">
        <v>51256852</v>
      </c>
      <c r="R1025">
        <v>1.36</v>
      </c>
      <c r="S1025" t="s">
        <v>140</v>
      </c>
      <c r="T1025" t="s">
        <v>165</v>
      </c>
      <c r="U1025">
        <v>2.69</v>
      </c>
      <c r="V1025">
        <v>6.44</v>
      </c>
      <c r="W1025">
        <v>32358</v>
      </c>
      <c r="X1025">
        <v>47295</v>
      </c>
      <c r="Y1025">
        <v>0.68</v>
      </c>
      <c r="Z1025">
        <v>128</v>
      </c>
      <c r="AA1025">
        <v>286</v>
      </c>
      <c r="AB1025" t="s">
        <v>116</v>
      </c>
      <c r="AC1025">
        <v>69200</v>
      </c>
      <c r="AD1025">
        <v>0</v>
      </c>
      <c r="AE1025" t="s">
        <v>116</v>
      </c>
      <c r="AF1025" t="s">
        <v>116</v>
      </c>
      <c r="AG1025">
        <v>10.79</v>
      </c>
      <c r="AH1025" t="s">
        <v>5982</v>
      </c>
      <c r="AI1025" t="s">
        <v>5983</v>
      </c>
      <c r="AJ1025">
        <v>1.94</v>
      </c>
      <c r="AK1025">
        <v>1621</v>
      </c>
      <c r="AL1025">
        <v>49</v>
      </c>
      <c r="AM1025">
        <v>5.0000000000000001E-4</v>
      </c>
      <c r="AN1025">
        <v>2</v>
      </c>
      <c r="AO1025">
        <v>0.63</v>
      </c>
      <c r="AP1025">
        <v>4.0599999999999996</v>
      </c>
      <c r="AQ1025">
        <v>-3.61</v>
      </c>
      <c r="AR1025">
        <v>-9.9700000000000006</v>
      </c>
      <c r="AS1025">
        <v>1.35</v>
      </c>
      <c r="AT1025" t="s">
        <v>5705</v>
      </c>
      <c r="AU1025">
        <v>19.66</v>
      </c>
      <c r="AV1025">
        <v>13.2</v>
      </c>
      <c r="AW1025">
        <v>0.7</v>
      </c>
      <c r="BA1025">
        <v>0.32</v>
      </c>
      <c r="BB1025">
        <v>2.69</v>
      </c>
      <c r="BC1025">
        <v>0</v>
      </c>
      <c r="BD1025">
        <v>1.66</v>
      </c>
      <c r="BE1025">
        <v>0.94</v>
      </c>
      <c r="BF1025">
        <v>-1.38</v>
      </c>
      <c r="BG1025">
        <v>1.26</v>
      </c>
      <c r="BH1025">
        <v>-0.4</v>
      </c>
      <c r="BI1025">
        <v>20191219</v>
      </c>
      <c r="BJ1025">
        <v>20110422</v>
      </c>
      <c r="BK1025">
        <v>10.81</v>
      </c>
      <c r="BL1025" t="s">
        <v>116</v>
      </c>
      <c r="BM1025" t="s">
        <v>116</v>
      </c>
      <c r="BN1025">
        <v>105.03</v>
      </c>
      <c r="BO1025">
        <v>48.71</v>
      </c>
      <c r="BP1025">
        <v>1.65</v>
      </c>
      <c r="BQ1025">
        <v>52.05</v>
      </c>
      <c r="BR1025">
        <v>55.15</v>
      </c>
      <c r="BS1025">
        <v>33.08</v>
      </c>
      <c r="BT1025">
        <v>3.23</v>
      </c>
      <c r="BU1025">
        <v>42.79</v>
      </c>
      <c r="BV1025">
        <v>14.41</v>
      </c>
      <c r="BW1025">
        <v>25.58</v>
      </c>
      <c r="BX1025">
        <v>8.5</v>
      </c>
      <c r="BY1025">
        <v>23.86</v>
      </c>
      <c r="BZ1025">
        <v>18.41</v>
      </c>
      <c r="CA1025">
        <v>3.58</v>
      </c>
      <c r="CB1025">
        <v>0.12</v>
      </c>
      <c r="CC1025">
        <v>3.58</v>
      </c>
      <c r="CD1025">
        <v>3.24</v>
      </c>
      <c r="CE1025">
        <v>3.23</v>
      </c>
      <c r="CF1025">
        <v>3.21</v>
      </c>
      <c r="CG1025">
        <v>25.94</v>
      </c>
      <c r="CH1025">
        <v>10.050000000000001</v>
      </c>
      <c r="CI1025">
        <v>1.21</v>
      </c>
      <c r="CJ1025">
        <v>75449</v>
      </c>
      <c r="CK1025">
        <v>7802</v>
      </c>
      <c r="CL1025" t="s">
        <v>5984</v>
      </c>
      <c r="CM1025">
        <v>-34.840000000000003</v>
      </c>
      <c r="CN1025">
        <v>-26.95</v>
      </c>
      <c r="CO1025">
        <v>1.42</v>
      </c>
      <c r="CP1025">
        <v>6.9</v>
      </c>
      <c r="CQ1025">
        <v>2.9</v>
      </c>
      <c r="CR1025">
        <v>1.56</v>
      </c>
      <c r="CS1025" t="s">
        <v>5985</v>
      </c>
      <c r="CT1025">
        <v>4.5</v>
      </c>
      <c r="CU1025">
        <v>0</v>
      </c>
      <c r="CV1025">
        <v>0.79</v>
      </c>
      <c r="CW1025">
        <v>2.4</v>
      </c>
      <c r="CX1025">
        <v>0.93</v>
      </c>
      <c r="CY1025">
        <v>46.38</v>
      </c>
      <c r="CZ1025" t="s">
        <v>5986</v>
      </c>
      <c r="DA1025">
        <v>22.85</v>
      </c>
      <c r="DB1025">
        <v>14.98</v>
      </c>
      <c r="DC1025">
        <v>13.52</v>
      </c>
      <c r="DD1025">
        <v>0.26</v>
      </c>
      <c r="DE1025">
        <v>2350</v>
      </c>
      <c r="DF1025">
        <v>2573</v>
      </c>
      <c r="DG1025" t="s">
        <v>116</v>
      </c>
      <c r="DH1025" t="s">
        <v>116</v>
      </c>
      <c r="DI1025" t="s">
        <v>116</v>
      </c>
    </row>
    <row r="1026" spans="1:113" x14ac:dyDescent="0.4">
      <c r="A1026" t="str">
        <f>"002574"</f>
        <v>002574</v>
      </c>
      <c r="B1026" t="s">
        <v>5987</v>
      </c>
      <c r="C1026">
        <v>0.59</v>
      </c>
      <c r="D1026">
        <v>5.08</v>
      </c>
      <c r="E1026">
        <v>0.03</v>
      </c>
      <c r="F1026">
        <v>5.08</v>
      </c>
      <c r="G1026">
        <v>5.09</v>
      </c>
      <c r="H1026">
        <v>57828</v>
      </c>
      <c r="I1026">
        <v>426</v>
      </c>
      <c r="J1026">
        <v>0</v>
      </c>
      <c r="K1026">
        <v>1.1000000000000001</v>
      </c>
      <c r="L1026">
        <v>5.0599999999999996</v>
      </c>
      <c r="M1026">
        <v>5.16</v>
      </c>
      <c r="N1026">
        <v>5.04</v>
      </c>
      <c r="O1026">
        <v>5.05</v>
      </c>
      <c r="P1026">
        <v>22.13</v>
      </c>
      <c r="Q1026">
        <v>29482440</v>
      </c>
      <c r="R1026">
        <v>2.17</v>
      </c>
      <c r="S1026" t="s">
        <v>3070</v>
      </c>
      <c r="T1026" t="s">
        <v>590</v>
      </c>
      <c r="U1026">
        <v>2.38</v>
      </c>
      <c r="V1026">
        <v>5.0999999999999996</v>
      </c>
      <c r="W1026">
        <v>29128</v>
      </c>
      <c r="X1026">
        <v>28700</v>
      </c>
      <c r="Y1026">
        <v>1.01</v>
      </c>
      <c r="Z1026">
        <v>229</v>
      </c>
      <c r="AA1026">
        <v>1087</v>
      </c>
      <c r="AB1026" t="s">
        <v>116</v>
      </c>
      <c r="AC1026">
        <v>61200</v>
      </c>
      <c r="AD1026">
        <v>0</v>
      </c>
      <c r="AE1026" t="s">
        <v>116</v>
      </c>
      <c r="AF1026" t="s">
        <v>116</v>
      </c>
      <c r="AG1026">
        <v>5.28</v>
      </c>
      <c r="AH1026" t="s">
        <v>5988</v>
      </c>
      <c r="AI1026" t="s">
        <v>5988</v>
      </c>
      <c r="AJ1026">
        <v>1.27</v>
      </c>
      <c r="AK1026">
        <v>914</v>
      </c>
      <c r="AL1026">
        <v>63</v>
      </c>
      <c r="AM1026">
        <v>1.1999999999999999E-3</v>
      </c>
      <c r="AN1026">
        <v>2</v>
      </c>
      <c r="AO1026">
        <v>0.99</v>
      </c>
      <c r="AP1026">
        <v>4.0999999999999996</v>
      </c>
      <c r="AQ1026">
        <v>-5.93</v>
      </c>
      <c r="AR1026">
        <v>4.0999999999999996</v>
      </c>
      <c r="AS1026">
        <v>2.3199999999999998</v>
      </c>
      <c r="AT1026" t="s">
        <v>5989</v>
      </c>
      <c r="AU1026">
        <v>27.56</v>
      </c>
      <c r="AV1026">
        <v>29.34</v>
      </c>
      <c r="AW1026">
        <v>0.68</v>
      </c>
      <c r="BA1026">
        <v>0.2</v>
      </c>
      <c r="BB1026">
        <v>2.1800000000000002</v>
      </c>
      <c r="BC1026">
        <v>-0.2</v>
      </c>
      <c r="BD1026">
        <v>0.96</v>
      </c>
      <c r="BE1026">
        <v>0.4</v>
      </c>
      <c r="BF1026">
        <v>-1.55</v>
      </c>
      <c r="BG1026">
        <v>0.79</v>
      </c>
      <c r="BH1026">
        <v>-0.36</v>
      </c>
      <c r="BI1026">
        <v>20191019</v>
      </c>
      <c r="BJ1026">
        <v>20110422</v>
      </c>
      <c r="BK1026">
        <v>5.28</v>
      </c>
      <c r="BL1026" t="s">
        <v>116</v>
      </c>
      <c r="BM1026" t="s">
        <v>116</v>
      </c>
      <c r="BN1026">
        <v>41.97</v>
      </c>
      <c r="BO1026">
        <v>32.64</v>
      </c>
      <c r="BP1026">
        <v>0.02</v>
      </c>
      <c r="BQ1026">
        <v>22.19</v>
      </c>
      <c r="BR1026">
        <v>28.34</v>
      </c>
      <c r="BS1026">
        <v>1.93</v>
      </c>
      <c r="BT1026">
        <v>0.51</v>
      </c>
      <c r="BU1026">
        <v>8.89</v>
      </c>
      <c r="BV1026">
        <v>16.25</v>
      </c>
      <c r="BW1026">
        <v>4.0599999999999996</v>
      </c>
      <c r="BX1026">
        <v>16.510000000000002</v>
      </c>
      <c r="BY1026">
        <v>29.26</v>
      </c>
      <c r="BZ1026">
        <v>26.01</v>
      </c>
      <c r="CA1026">
        <v>1.25</v>
      </c>
      <c r="CB1026">
        <v>0.7</v>
      </c>
      <c r="CC1026">
        <v>1.25</v>
      </c>
      <c r="CD1026">
        <v>0.91</v>
      </c>
      <c r="CE1026">
        <v>0.91</v>
      </c>
      <c r="CF1026">
        <v>0.57999999999999996</v>
      </c>
      <c r="CG1026">
        <v>9.64</v>
      </c>
      <c r="CH1026">
        <v>-0.03</v>
      </c>
      <c r="CI1026">
        <v>3</v>
      </c>
      <c r="CJ1026">
        <v>30687</v>
      </c>
      <c r="CK1026">
        <v>8106</v>
      </c>
      <c r="CL1026" t="s">
        <v>3250</v>
      </c>
      <c r="CM1026">
        <v>6.93</v>
      </c>
      <c r="CN1026">
        <v>-14.51</v>
      </c>
      <c r="CO1026">
        <v>0.82</v>
      </c>
      <c r="CP1026">
        <v>-868.46</v>
      </c>
      <c r="CQ1026">
        <v>0.92</v>
      </c>
      <c r="CR1026">
        <v>0.98</v>
      </c>
      <c r="CS1026" t="s">
        <v>5990</v>
      </c>
      <c r="CT1026">
        <v>6.18</v>
      </c>
      <c r="CU1026">
        <v>0</v>
      </c>
      <c r="CV1026">
        <v>3.13</v>
      </c>
      <c r="CW1026">
        <v>1.83</v>
      </c>
      <c r="CX1026">
        <v>-0.01</v>
      </c>
      <c r="CY1026">
        <v>77.760000000000005</v>
      </c>
      <c r="CZ1026" t="s">
        <v>5991</v>
      </c>
      <c r="DA1026">
        <v>11.11</v>
      </c>
      <c r="DB1026">
        <v>4.2699999999999996</v>
      </c>
      <c r="DC1026">
        <v>3.11</v>
      </c>
      <c r="DD1026">
        <v>0.03</v>
      </c>
      <c r="DE1026">
        <v>988</v>
      </c>
      <c r="DF1026">
        <v>2574</v>
      </c>
      <c r="DG1026" t="s">
        <v>116</v>
      </c>
      <c r="DH1026" t="s">
        <v>116</v>
      </c>
      <c r="DI1026" t="s">
        <v>116</v>
      </c>
    </row>
    <row r="1027" spans="1:113" x14ac:dyDescent="0.4">
      <c r="A1027" t="str">
        <f>"002575"</f>
        <v>002575</v>
      </c>
      <c r="B1027" t="s">
        <v>5992</v>
      </c>
      <c r="C1027">
        <v>-0.57999999999999996</v>
      </c>
      <c r="D1027">
        <v>6.89</v>
      </c>
      <c r="E1027">
        <v>-0.04</v>
      </c>
      <c r="F1027">
        <v>6.88</v>
      </c>
      <c r="G1027">
        <v>6.89</v>
      </c>
      <c r="H1027">
        <v>25570</v>
      </c>
      <c r="I1027">
        <v>387</v>
      </c>
      <c r="J1027">
        <v>0</v>
      </c>
      <c r="K1027">
        <v>0.43</v>
      </c>
      <c r="L1027">
        <v>6.93</v>
      </c>
      <c r="M1027">
        <v>6.99</v>
      </c>
      <c r="N1027">
        <v>6.88</v>
      </c>
      <c r="O1027">
        <v>6.93</v>
      </c>
      <c r="P1027" t="s">
        <v>116</v>
      </c>
      <c r="Q1027">
        <v>17727036</v>
      </c>
      <c r="R1027">
        <v>0.93</v>
      </c>
      <c r="S1027" t="s">
        <v>217</v>
      </c>
      <c r="T1027" t="s">
        <v>551</v>
      </c>
      <c r="U1027">
        <v>1.59</v>
      </c>
      <c r="V1027">
        <v>6.93</v>
      </c>
      <c r="W1027">
        <v>14577</v>
      </c>
      <c r="X1027">
        <v>10993</v>
      </c>
      <c r="Y1027">
        <v>1.33</v>
      </c>
      <c r="Z1027">
        <v>314</v>
      </c>
      <c r="AA1027">
        <v>141</v>
      </c>
      <c r="AB1027" t="s">
        <v>116</v>
      </c>
      <c r="AC1027">
        <v>39500</v>
      </c>
      <c r="AD1027">
        <v>0</v>
      </c>
      <c r="AE1027" t="s">
        <v>116</v>
      </c>
      <c r="AF1027" t="s">
        <v>116</v>
      </c>
      <c r="AG1027">
        <v>5.88</v>
      </c>
      <c r="AH1027" t="s">
        <v>4807</v>
      </c>
      <c r="AI1027" t="s">
        <v>5993</v>
      </c>
      <c r="AJ1027">
        <v>0.1</v>
      </c>
      <c r="AK1027">
        <v>1229</v>
      </c>
      <c r="AL1027">
        <v>21</v>
      </c>
      <c r="AM1027">
        <v>4.0000000000000002E-4</v>
      </c>
      <c r="AN1027">
        <v>-2</v>
      </c>
      <c r="AO1027">
        <v>-0.72</v>
      </c>
      <c r="AP1027">
        <v>-2.5499999999999998</v>
      </c>
      <c r="AQ1027">
        <v>-7.76</v>
      </c>
      <c r="AR1027">
        <v>-8.74</v>
      </c>
      <c r="AS1027">
        <v>0.66</v>
      </c>
      <c r="AT1027" t="s">
        <v>5994</v>
      </c>
      <c r="AU1027" t="s">
        <v>116</v>
      </c>
      <c r="AV1027">
        <v>615.88</v>
      </c>
      <c r="AW1027">
        <v>0.87</v>
      </c>
      <c r="BA1027">
        <v>0</v>
      </c>
      <c r="BB1027">
        <v>0.87</v>
      </c>
      <c r="BC1027">
        <v>-0.72</v>
      </c>
      <c r="BD1027">
        <v>0.04</v>
      </c>
      <c r="BE1027">
        <v>-0.57999999999999996</v>
      </c>
      <c r="BF1027">
        <v>-1.43</v>
      </c>
      <c r="BG1027">
        <v>0.15</v>
      </c>
      <c r="BH1027">
        <v>-0.62</v>
      </c>
      <c r="BI1027">
        <v>20191216</v>
      </c>
      <c r="BJ1027">
        <v>20110422</v>
      </c>
      <c r="BK1027">
        <v>6.19</v>
      </c>
      <c r="BL1027" t="s">
        <v>116</v>
      </c>
      <c r="BM1027" t="s">
        <v>116</v>
      </c>
      <c r="BN1027">
        <v>9.06</v>
      </c>
      <c r="BO1027">
        <v>8.7799999999999994</v>
      </c>
      <c r="BP1027">
        <v>0.01</v>
      </c>
      <c r="BQ1027">
        <v>3.01</v>
      </c>
      <c r="BR1027">
        <v>1.6</v>
      </c>
      <c r="BS1027">
        <v>0</v>
      </c>
      <c r="BT1027">
        <v>0.41</v>
      </c>
      <c r="BU1027">
        <v>0.24</v>
      </c>
      <c r="BV1027">
        <v>0</v>
      </c>
      <c r="BW1027">
        <v>0.23</v>
      </c>
      <c r="BX1027">
        <v>1.54</v>
      </c>
      <c r="BY1027">
        <v>0.36</v>
      </c>
      <c r="BZ1027">
        <v>7.0000000000000007E-2</v>
      </c>
      <c r="CA1027">
        <v>-0.26</v>
      </c>
      <c r="CB1027">
        <v>-0.5</v>
      </c>
      <c r="CC1027">
        <v>-0.2</v>
      </c>
      <c r="CD1027">
        <v>-0.2</v>
      </c>
      <c r="CE1027">
        <v>-0.21</v>
      </c>
      <c r="CF1027">
        <v>0.19</v>
      </c>
      <c r="CG1027">
        <v>1.01</v>
      </c>
      <c r="CH1027">
        <v>0.01</v>
      </c>
      <c r="CI1027">
        <v>0.18</v>
      </c>
      <c r="CJ1027">
        <v>31093</v>
      </c>
      <c r="CK1027">
        <v>12393</v>
      </c>
      <c r="CL1027" t="s">
        <v>1143</v>
      </c>
      <c r="CM1027">
        <v>-448.68</v>
      </c>
      <c r="CN1027">
        <v>163.57</v>
      </c>
      <c r="CO1027">
        <v>4.62</v>
      </c>
      <c r="CP1027">
        <v>3873.68</v>
      </c>
      <c r="CQ1027">
        <v>119.67</v>
      </c>
      <c r="CR1027">
        <v>0</v>
      </c>
      <c r="CS1027" t="s">
        <v>5995</v>
      </c>
      <c r="CT1027">
        <v>1.49</v>
      </c>
      <c r="CU1027">
        <v>1.49</v>
      </c>
      <c r="CV1027">
        <v>0.25</v>
      </c>
      <c r="CW1027">
        <v>0.16</v>
      </c>
      <c r="CX1027">
        <v>0</v>
      </c>
      <c r="CY1027">
        <v>96.92</v>
      </c>
      <c r="CZ1027" t="s">
        <v>5996</v>
      </c>
      <c r="DA1027">
        <v>79.94</v>
      </c>
      <c r="DB1027">
        <v>-72.2</v>
      </c>
      <c r="DC1027">
        <v>-58.11</v>
      </c>
      <c r="DD1027">
        <v>0.01</v>
      </c>
      <c r="DE1027">
        <v>17</v>
      </c>
      <c r="DF1027">
        <v>2575</v>
      </c>
      <c r="DG1027" t="s">
        <v>116</v>
      </c>
      <c r="DH1027" t="s">
        <v>116</v>
      </c>
      <c r="DI1027" t="s">
        <v>116</v>
      </c>
    </row>
    <row r="1028" spans="1:113" x14ac:dyDescent="0.4">
      <c r="A1028" t="str">
        <f>"002576"</f>
        <v>002576</v>
      </c>
      <c r="B1028" t="s">
        <v>5997</v>
      </c>
      <c r="C1028">
        <v>-1.31</v>
      </c>
      <c r="D1028">
        <v>9.82</v>
      </c>
      <c r="E1028">
        <v>-0.13</v>
      </c>
      <c r="F1028">
        <v>9.8000000000000007</v>
      </c>
      <c r="G1028">
        <v>9.82</v>
      </c>
      <c r="H1028">
        <v>20245</v>
      </c>
      <c r="I1028">
        <v>136</v>
      </c>
      <c r="J1028">
        <v>0.61</v>
      </c>
      <c r="K1028">
        <v>1.23</v>
      </c>
      <c r="L1028">
        <v>9.9700000000000006</v>
      </c>
      <c r="M1028">
        <v>10.029999999999999</v>
      </c>
      <c r="N1028">
        <v>9.73</v>
      </c>
      <c r="O1028">
        <v>9.9499999999999993</v>
      </c>
      <c r="P1028">
        <v>44.99</v>
      </c>
      <c r="Q1028">
        <v>19998178</v>
      </c>
      <c r="R1028">
        <v>0.97</v>
      </c>
      <c r="S1028" t="s">
        <v>397</v>
      </c>
      <c r="T1028" t="s">
        <v>323</v>
      </c>
      <c r="U1028">
        <v>3.02</v>
      </c>
      <c r="V1028">
        <v>9.8800000000000008</v>
      </c>
      <c r="W1028">
        <v>12103</v>
      </c>
      <c r="X1028">
        <v>8142</v>
      </c>
      <c r="Y1028">
        <v>1.49</v>
      </c>
      <c r="Z1028">
        <v>64</v>
      </c>
      <c r="AA1028">
        <v>89</v>
      </c>
      <c r="AB1028" t="s">
        <v>116</v>
      </c>
      <c r="AC1028">
        <v>7000</v>
      </c>
      <c r="AD1028">
        <v>0</v>
      </c>
      <c r="AE1028" t="s">
        <v>116</v>
      </c>
      <c r="AF1028" t="s">
        <v>116</v>
      </c>
      <c r="AG1028">
        <v>1.64</v>
      </c>
      <c r="AH1028" t="s">
        <v>5123</v>
      </c>
      <c r="AI1028" t="s">
        <v>4125</v>
      </c>
      <c r="AJ1028">
        <v>-0.63</v>
      </c>
      <c r="AK1028">
        <v>1026</v>
      </c>
      <c r="AL1028">
        <v>20</v>
      </c>
      <c r="AM1028">
        <v>1.1999999999999999E-3</v>
      </c>
      <c r="AN1028">
        <v>-1</v>
      </c>
      <c r="AO1028">
        <v>-0.81</v>
      </c>
      <c r="AP1028">
        <v>4.25</v>
      </c>
      <c r="AQ1028">
        <v>-8.65</v>
      </c>
      <c r="AR1028">
        <v>-1.6</v>
      </c>
      <c r="AS1028">
        <v>1.77</v>
      </c>
      <c r="AT1028" t="s">
        <v>721</v>
      </c>
      <c r="AU1028">
        <v>53.9</v>
      </c>
      <c r="AV1028">
        <v>83.71</v>
      </c>
      <c r="AW1028">
        <v>1.19</v>
      </c>
      <c r="BA1028">
        <v>0.2</v>
      </c>
      <c r="BB1028">
        <v>0.8</v>
      </c>
      <c r="BC1028">
        <v>-2.21</v>
      </c>
      <c r="BD1028">
        <v>-0.72</v>
      </c>
      <c r="BE1028">
        <v>-1.5</v>
      </c>
      <c r="BF1028">
        <v>-2.09</v>
      </c>
      <c r="BG1028">
        <v>0.92</v>
      </c>
      <c r="BH1028">
        <v>-0.57999999999999996</v>
      </c>
      <c r="BI1028">
        <v>20191025</v>
      </c>
      <c r="BJ1028">
        <v>20110428</v>
      </c>
      <c r="BK1028">
        <v>1.65</v>
      </c>
      <c r="BL1028" t="s">
        <v>116</v>
      </c>
      <c r="BM1028" t="s">
        <v>116</v>
      </c>
      <c r="BN1028">
        <v>12.67</v>
      </c>
      <c r="BO1028">
        <v>8.9</v>
      </c>
      <c r="BP1028">
        <v>-7.0000000000000007E-2</v>
      </c>
      <c r="BQ1028">
        <v>30.32</v>
      </c>
      <c r="BR1028">
        <v>9.8699999999999992</v>
      </c>
      <c r="BS1028">
        <v>1.81</v>
      </c>
      <c r="BT1028">
        <v>0.42</v>
      </c>
      <c r="BU1028">
        <v>3.79</v>
      </c>
      <c r="BV1028">
        <v>2.54</v>
      </c>
      <c r="BW1028">
        <v>2.58</v>
      </c>
      <c r="BX1028">
        <v>5.47</v>
      </c>
      <c r="BY1028">
        <v>9.64</v>
      </c>
      <c r="BZ1028">
        <v>8.4499999999999993</v>
      </c>
      <c r="CA1028">
        <v>0.3</v>
      </c>
      <c r="CB1028">
        <v>0.04</v>
      </c>
      <c r="CC1028">
        <v>0.3</v>
      </c>
      <c r="CD1028">
        <v>0.25</v>
      </c>
      <c r="CE1028">
        <v>0.27</v>
      </c>
      <c r="CF1028">
        <v>0.25</v>
      </c>
      <c r="CG1028">
        <v>1.54</v>
      </c>
      <c r="CH1028">
        <v>0.36</v>
      </c>
      <c r="CI1028">
        <v>0.19</v>
      </c>
      <c r="CJ1028">
        <v>18789</v>
      </c>
      <c r="CK1028">
        <v>6091</v>
      </c>
      <c r="CL1028" t="s">
        <v>5998</v>
      </c>
      <c r="CM1028">
        <v>65.63</v>
      </c>
      <c r="CN1028">
        <v>12.92</v>
      </c>
      <c r="CO1028">
        <v>1.82</v>
      </c>
      <c r="CP1028">
        <v>44.52</v>
      </c>
      <c r="CQ1028">
        <v>1.68</v>
      </c>
      <c r="CR1028">
        <v>0.51</v>
      </c>
      <c r="CS1028" t="s">
        <v>1514</v>
      </c>
      <c r="CT1028">
        <v>5.39</v>
      </c>
      <c r="CU1028">
        <v>0</v>
      </c>
      <c r="CV1028">
        <v>3.31</v>
      </c>
      <c r="CW1028">
        <v>0.93</v>
      </c>
      <c r="CX1028">
        <v>0.22</v>
      </c>
      <c r="CY1028">
        <v>70.25</v>
      </c>
      <c r="CZ1028" t="s">
        <v>4824</v>
      </c>
      <c r="DA1028">
        <v>12.29</v>
      </c>
      <c r="DB1028">
        <v>3.16</v>
      </c>
      <c r="DC1028">
        <v>2.8</v>
      </c>
      <c r="DD1028">
        <v>0.27</v>
      </c>
      <c r="DE1028">
        <v>1165</v>
      </c>
      <c r="DF1028">
        <v>2576</v>
      </c>
      <c r="DG1028" t="s">
        <v>116</v>
      </c>
      <c r="DH1028" t="s">
        <v>116</v>
      </c>
      <c r="DI1028" t="s">
        <v>116</v>
      </c>
    </row>
    <row r="1029" spans="1:113" x14ac:dyDescent="0.4">
      <c r="A1029" t="str">
        <f>"002577"</f>
        <v>002577</v>
      </c>
      <c r="B1029" t="s">
        <v>5999</v>
      </c>
      <c r="C1029">
        <v>-2.63</v>
      </c>
      <c r="D1029">
        <v>13.33</v>
      </c>
      <c r="E1029">
        <v>-0.36</v>
      </c>
      <c r="F1029">
        <v>13.33</v>
      </c>
      <c r="G1029">
        <v>13.34</v>
      </c>
      <c r="H1029">
        <v>156516</v>
      </c>
      <c r="I1029">
        <v>1521</v>
      </c>
      <c r="J1029">
        <v>-0.28999999999999998</v>
      </c>
      <c r="K1029">
        <v>5.57</v>
      </c>
      <c r="L1029">
        <v>13.69</v>
      </c>
      <c r="M1029">
        <v>14.2</v>
      </c>
      <c r="N1029">
        <v>13.25</v>
      </c>
      <c r="O1029">
        <v>13.69</v>
      </c>
      <c r="P1029" t="s">
        <v>116</v>
      </c>
      <c r="Q1029">
        <v>215223440</v>
      </c>
      <c r="R1029">
        <v>1.2</v>
      </c>
      <c r="S1029" t="s">
        <v>241</v>
      </c>
      <c r="T1029" t="s">
        <v>115</v>
      </c>
      <c r="U1029">
        <v>6.94</v>
      </c>
      <c r="V1029">
        <v>13.75</v>
      </c>
      <c r="W1029">
        <v>81326</v>
      </c>
      <c r="X1029">
        <v>75190</v>
      </c>
      <c r="Y1029">
        <v>1.08</v>
      </c>
      <c r="Z1029">
        <v>470</v>
      </c>
      <c r="AA1029">
        <v>4</v>
      </c>
      <c r="AB1029" t="s">
        <v>116</v>
      </c>
      <c r="AC1029">
        <v>950100</v>
      </c>
      <c r="AD1029">
        <v>0.06</v>
      </c>
      <c r="AE1029" t="s">
        <v>116</v>
      </c>
      <c r="AF1029" t="s">
        <v>116</v>
      </c>
      <c r="AG1029">
        <v>2.81</v>
      </c>
      <c r="AH1029" t="s">
        <v>4502</v>
      </c>
      <c r="AI1029" t="s">
        <v>6000</v>
      </c>
      <c r="AJ1029">
        <v>-1.95</v>
      </c>
      <c r="AK1029">
        <v>3151</v>
      </c>
      <c r="AL1029">
        <v>50</v>
      </c>
      <c r="AM1029">
        <v>1.8E-3</v>
      </c>
      <c r="AN1029">
        <v>-2</v>
      </c>
      <c r="AO1029">
        <v>-3.82</v>
      </c>
      <c r="AP1029">
        <v>29.17</v>
      </c>
      <c r="AQ1029">
        <v>35.61</v>
      </c>
      <c r="AR1029">
        <v>36.86</v>
      </c>
      <c r="AS1029">
        <v>14.62</v>
      </c>
      <c r="AT1029" t="s">
        <v>6001</v>
      </c>
      <c r="AU1029" t="s">
        <v>116</v>
      </c>
      <c r="AV1029">
        <v>467.36</v>
      </c>
      <c r="AW1029">
        <v>1.71</v>
      </c>
      <c r="BA1029">
        <v>0</v>
      </c>
      <c r="BB1029">
        <v>3.73</v>
      </c>
      <c r="BC1029">
        <v>-3.21</v>
      </c>
      <c r="BD1029">
        <v>0.44</v>
      </c>
      <c r="BE1029">
        <v>-2.63</v>
      </c>
      <c r="BF1029">
        <v>-6.13</v>
      </c>
      <c r="BG1029">
        <v>0.6</v>
      </c>
      <c r="BH1029">
        <v>-3.07</v>
      </c>
      <c r="BI1029">
        <v>20191031</v>
      </c>
      <c r="BJ1029">
        <v>20110428</v>
      </c>
      <c r="BK1029">
        <v>2.83</v>
      </c>
      <c r="BL1029" t="s">
        <v>116</v>
      </c>
      <c r="BM1029" t="s">
        <v>116</v>
      </c>
      <c r="BN1029">
        <v>12.46</v>
      </c>
      <c r="BO1029">
        <v>11.73</v>
      </c>
      <c r="BP1029">
        <v>-0.14000000000000001</v>
      </c>
      <c r="BQ1029">
        <v>6.97</v>
      </c>
      <c r="BR1029">
        <v>8.7200000000000006</v>
      </c>
      <c r="BS1029">
        <v>2.7</v>
      </c>
      <c r="BT1029">
        <v>0.23</v>
      </c>
      <c r="BU1029">
        <v>0.78</v>
      </c>
      <c r="BV1029">
        <v>0.96</v>
      </c>
      <c r="BW1029">
        <v>0.69</v>
      </c>
      <c r="BX1029">
        <v>9.58</v>
      </c>
      <c r="BY1029">
        <v>2.94</v>
      </c>
      <c r="BZ1029">
        <v>2.5099999999999998</v>
      </c>
      <c r="CA1029">
        <v>-0.04</v>
      </c>
      <c r="CB1029">
        <v>0.08</v>
      </c>
      <c r="CC1029">
        <v>-0.04</v>
      </c>
      <c r="CD1029">
        <v>-0.03</v>
      </c>
      <c r="CE1029">
        <v>-0.03</v>
      </c>
      <c r="CF1029">
        <v>-0.17</v>
      </c>
      <c r="CG1029">
        <v>-0.86</v>
      </c>
      <c r="CH1029">
        <v>0.45</v>
      </c>
      <c r="CI1029">
        <v>0.52</v>
      </c>
      <c r="CJ1029">
        <v>27484</v>
      </c>
      <c r="CK1029">
        <v>3896</v>
      </c>
      <c r="CL1029" t="s">
        <v>3949</v>
      </c>
      <c r="CM1029">
        <v>-113.96</v>
      </c>
      <c r="CN1029">
        <v>-19.52</v>
      </c>
      <c r="CO1029">
        <v>3.21</v>
      </c>
      <c r="CP1029">
        <v>83.56</v>
      </c>
      <c r="CQ1029">
        <v>12.83</v>
      </c>
      <c r="CR1029">
        <v>0</v>
      </c>
      <c r="CS1029" t="s">
        <v>4395</v>
      </c>
      <c r="CT1029">
        <v>4.1500000000000004</v>
      </c>
      <c r="CU1029">
        <v>0</v>
      </c>
      <c r="CV1029">
        <v>3.39</v>
      </c>
      <c r="CW1029">
        <v>-0.31</v>
      </c>
      <c r="CX1029">
        <v>0.16</v>
      </c>
      <c r="CY1029">
        <v>94.17</v>
      </c>
      <c r="CZ1029" t="s">
        <v>2394</v>
      </c>
      <c r="DA1029">
        <v>14.51</v>
      </c>
      <c r="DB1029">
        <v>-1.31</v>
      </c>
      <c r="DC1029">
        <v>-0.87</v>
      </c>
      <c r="DD1029">
        <v>0.15</v>
      </c>
      <c r="DE1029">
        <v>900</v>
      </c>
      <c r="DF1029">
        <v>2577</v>
      </c>
      <c r="DG1029" t="s">
        <v>116</v>
      </c>
      <c r="DH1029" t="s">
        <v>116</v>
      </c>
      <c r="DI1029" t="s">
        <v>116</v>
      </c>
    </row>
    <row r="1030" spans="1:113" x14ac:dyDescent="0.4">
      <c r="A1030" t="str">
        <f>"002578"</f>
        <v>002578</v>
      </c>
      <c r="B1030" t="s">
        <v>6002</v>
      </c>
      <c r="C1030">
        <v>0</v>
      </c>
      <c r="D1030">
        <v>3.58</v>
      </c>
      <c r="E1030">
        <v>0</v>
      </c>
      <c r="F1030">
        <v>3.57</v>
      </c>
      <c r="G1030">
        <v>3.58</v>
      </c>
      <c r="H1030">
        <v>41061</v>
      </c>
      <c r="I1030">
        <v>283</v>
      </c>
      <c r="J1030">
        <v>0</v>
      </c>
      <c r="K1030">
        <v>0.64</v>
      </c>
      <c r="L1030">
        <v>3.59</v>
      </c>
      <c r="M1030">
        <v>3.62</v>
      </c>
      <c r="N1030">
        <v>3.5</v>
      </c>
      <c r="O1030">
        <v>3.58</v>
      </c>
      <c r="P1030">
        <v>72.62</v>
      </c>
      <c r="Q1030">
        <v>14670684</v>
      </c>
      <c r="R1030">
        <v>0.61</v>
      </c>
      <c r="S1030" t="s">
        <v>1428</v>
      </c>
      <c r="T1030" t="s">
        <v>975</v>
      </c>
      <c r="U1030">
        <v>3.35</v>
      </c>
      <c r="V1030">
        <v>3.57</v>
      </c>
      <c r="W1030">
        <v>23694</v>
      </c>
      <c r="X1030">
        <v>17367</v>
      </c>
      <c r="Y1030">
        <v>1.36</v>
      </c>
      <c r="Z1030">
        <v>927</v>
      </c>
      <c r="AA1030">
        <v>22</v>
      </c>
      <c r="AB1030" t="s">
        <v>116</v>
      </c>
      <c r="AC1030">
        <v>0</v>
      </c>
      <c r="AD1030">
        <v>0</v>
      </c>
      <c r="AE1030" t="s">
        <v>116</v>
      </c>
      <c r="AF1030" t="s">
        <v>116</v>
      </c>
      <c r="AG1030">
        <v>6.45</v>
      </c>
      <c r="AH1030" t="s">
        <v>2312</v>
      </c>
      <c r="AI1030" t="s">
        <v>6003</v>
      </c>
      <c r="AJ1030">
        <v>0.68</v>
      </c>
      <c r="AK1030">
        <v>813</v>
      </c>
      <c r="AL1030">
        <v>51</v>
      </c>
      <c r="AM1030">
        <v>8.0000000000000004E-4</v>
      </c>
      <c r="AN1030">
        <v>0</v>
      </c>
      <c r="AO1030">
        <v>-1.92</v>
      </c>
      <c r="AP1030">
        <v>9.82</v>
      </c>
      <c r="AQ1030">
        <v>11.18</v>
      </c>
      <c r="AR1030">
        <v>7.19</v>
      </c>
      <c r="AS1030">
        <v>0.9</v>
      </c>
      <c r="AT1030" t="s">
        <v>228</v>
      </c>
      <c r="AU1030">
        <v>71.23</v>
      </c>
      <c r="AV1030">
        <v>98.79</v>
      </c>
      <c r="AW1030">
        <v>0.54</v>
      </c>
      <c r="BA1030">
        <v>0.28000000000000003</v>
      </c>
      <c r="BB1030">
        <v>1.1200000000000001</v>
      </c>
      <c r="BC1030">
        <v>-2.23</v>
      </c>
      <c r="BD1030">
        <v>-0.2</v>
      </c>
      <c r="BE1030">
        <v>-0.28000000000000003</v>
      </c>
      <c r="BF1030">
        <v>-1.1000000000000001</v>
      </c>
      <c r="BG1030">
        <v>2.29</v>
      </c>
      <c r="BH1030">
        <v>0.2</v>
      </c>
      <c r="BI1030">
        <v>20191030</v>
      </c>
      <c r="BJ1030">
        <v>20110428</v>
      </c>
      <c r="BK1030">
        <v>9.8800000000000008</v>
      </c>
      <c r="BL1030" t="s">
        <v>116</v>
      </c>
      <c r="BM1030" t="s">
        <v>116</v>
      </c>
      <c r="BN1030">
        <v>16.440000000000001</v>
      </c>
      <c r="BO1030">
        <v>14.1</v>
      </c>
      <c r="BP1030">
        <v>0</v>
      </c>
      <c r="BQ1030">
        <v>14.27</v>
      </c>
      <c r="BR1030">
        <v>7.56</v>
      </c>
      <c r="BS1030">
        <v>6.2</v>
      </c>
      <c r="BT1030">
        <v>1</v>
      </c>
      <c r="BU1030">
        <v>2.29</v>
      </c>
      <c r="BV1030">
        <v>2.52</v>
      </c>
      <c r="BW1030">
        <v>1.66</v>
      </c>
      <c r="BX1030">
        <v>2.21</v>
      </c>
      <c r="BY1030">
        <v>9.9</v>
      </c>
      <c r="BZ1030">
        <v>8.83</v>
      </c>
      <c r="CA1030">
        <v>0.43</v>
      </c>
      <c r="CB1030">
        <v>0.06</v>
      </c>
      <c r="CC1030">
        <v>0.42</v>
      </c>
      <c r="CD1030">
        <v>0.35</v>
      </c>
      <c r="CE1030">
        <v>0.37</v>
      </c>
      <c r="CF1030">
        <v>0.33</v>
      </c>
      <c r="CG1030">
        <v>2.91</v>
      </c>
      <c r="CH1030">
        <v>1.88</v>
      </c>
      <c r="CI1030">
        <v>0.42</v>
      </c>
      <c r="CJ1030">
        <v>31857</v>
      </c>
      <c r="CK1030">
        <v>14314</v>
      </c>
      <c r="CL1030" t="s">
        <v>5929</v>
      </c>
      <c r="CM1030">
        <v>61.11</v>
      </c>
      <c r="CN1030">
        <v>0.86</v>
      </c>
      <c r="CO1030">
        <v>2.5099999999999998</v>
      </c>
      <c r="CP1030">
        <v>18.78</v>
      </c>
      <c r="CQ1030">
        <v>3.57</v>
      </c>
      <c r="CR1030">
        <v>0</v>
      </c>
      <c r="CS1030" t="s">
        <v>6004</v>
      </c>
      <c r="CT1030">
        <v>1.43</v>
      </c>
      <c r="CU1030">
        <v>0</v>
      </c>
      <c r="CV1030">
        <v>0.22</v>
      </c>
      <c r="CW1030">
        <v>0.28999999999999998</v>
      </c>
      <c r="CX1030">
        <v>0.19</v>
      </c>
      <c r="CY1030">
        <v>85.76</v>
      </c>
      <c r="CZ1030" t="s">
        <v>6005</v>
      </c>
      <c r="DA1030">
        <v>10.75</v>
      </c>
      <c r="DB1030">
        <v>4.33</v>
      </c>
      <c r="DC1030">
        <v>3.69</v>
      </c>
      <c r="DD1030">
        <v>0.15</v>
      </c>
      <c r="DE1030">
        <v>1758</v>
      </c>
      <c r="DF1030">
        <v>2578</v>
      </c>
      <c r="DG1030" t="s">
        <v>116</v>
      </c>
      <c r="DH1030" t="s">
        <v>116</v>
      </c>
      <c r="DI1030" t="s">
        <v>116</v>
      </c>
    </row>
    <row r="1031" spans="1:113" x14ac:dyDescent="0.4">
      <c r="A1031" t="str">
        <f>"002579"</f>
        <v>002579</v>
      </c>
      <c r="B1031" t="s">
        <v>6006</v>
      </c>
      <c r="C1031">
        <v>-1.04</v>
      </c>
      <c r="D1031">
        <v>14.3</v>
      </c>
      <c r="E1031">
        <v>-0.15</v>
      </c>
      <c r="F1031">
        <v>14.3</v>
      </c>
      <c r="G1031">
        <v>14.31</v>
      </c>
      <c r="H1031">
        <v>207265</v>
      </c>
      <c r="I1031">
        <v>3220</v>
      </c>
      <c r="J1031">
        <v>-0.68</v>
      </c>
      <c r="K1031">
        <v>5.62</v>
      </c>
      <c r="L1031">
        <v>14.75</v>
      </c>
      <c r="M1031">
        <v>15.12</v>
      </c>
      <c r="N1031">
        <v>14.15</v>
      </c>
      <c r="O1031">
        <v>14.45</v>
      </c>
      <c r="P1031">
        <v>37.03</v>
      </c>
      <c r="Q1031">
        <v>304242944</v>
      </c>
      <c r="R1031">
        <v>1.25</v>
      </c>
      <c r="S1031" t="s">
        <v>233</v>
      </c>
      <c r="T1031" t="s">
        <v>551</v>
      </c>
      <c r="U1031">
        <v>6.71</v>
      </c>
      <c r="V1031">
        <v>14.68</v>
      </c>
      <c r="W1031">
        <v>97145</v>
      </c>
      <c r="X1031">
        <v>110120</v>
      </c>
      <c r="Y1031">
        <v>0.88</v>
      </c>
      <c r="Z1031">
        <v>1751</v>
      </c>
      <c r="AA1031">
        <v>15</v>
      </c>
      <c r="AB1031" t="s">
        <v>116</v>
      </c>
      <c r="AC1031">
        <v>5742200</v>
      </c>
      <c r="AD1031">
        <v>0.25</v>
      </c>
      <c r="AE1031" t="s">
        <v>116</v>
      </c>
      <c r="AF1031" t="s">
        <v>116</v>
      </c>
      <c r="AG1031">
        <v>3.69</v>
      </c>
      <c r="AH1031" t="s">
        <v>6007</v>
      </c>
      <c r="AI1031" t="s">
        <v>5749</v>
      </c>
      <c r="AJ1031">
        <v>-0.36</v>
      </c>
      <c r="AK1031">
        <v>3566</v>
      </c>
      <c r="AL1031">
        <v>58</v>
      </c>
      <c r="AM1031">
        <v>1.6000000000000001E-3</v>
      </c>
      <c r="AN1031">
        <v>-3</v>
      </c>
      <c r="AO1031">
        <v>-4.3499999999999996</v>
      </c>
      <c r="AP1031">
        <v>20.68</v>
      </c>
      <c r="AQ1031">
        <v>26.21</v>
      </c>
      <c r="AR1031">
        <v>68.430000000000007</v>
      </c>
      <c r="AS1031">
        <v>13.09</v>
      </c>
      <c r="AT1031" t="s">
        <v>6008</v>
      </c>
      <c r="AU1031">
        <v>40.9</v>
      </c>
      <c r="AV1031">
        <v>65.319999999999993</v>
      </c>
      <c r="AW1031">
        <v>1.34</v>
      </c>
      <c r="BA1031">
        <v>2.08</v>
      </c>
      <c r="BB1031">
        <v>4.6399999999999997</v>
      </c>
      <c r="BC1031">
        <v>-2.08</v>
      </c>
      <c r="BD1031">
        <v>1.58</v>
      </c>
      <c r="BE1031">
        <v>-3.05</v>
      </c>
      <c r="BF1031">
        <v>-5.42</v>
      </c>
      <c r="BG1031">
        <v>1.06</v>
      </c>
      <c r="BH1031">
        <v>-2.62</v>
      </c>
      <c r="BI1031">
        <v>20191127</v>
      </c>
      <c r="BJ1031">
        <v>20110506</v>
      </c>
      <c r="BK1031">
        <v>3.73</v>
      </c>
      <c r="BL1031" t="s">
        <v>116</v>
      </c>
      <c r="BM1031" t="s">
        <v>116</v>
      </c>
      <c r="BN1031">
        <v>29.77</v>
      </c>
      <c r="BO1031">
        <v>11.02</v>
      </c>
      <c r="BP1031">
        <v>2.02</v>
      </c>
      <c r="BQ1031">
        <v>56.2</v>
      </c>
      <c r="BR1031">
        <v>13.7</v>
      </c>
      <c r="BS1031">
        <v>10.98</v>
      </c>
      <c r="BT1031">
        <v>1.61</v>
      </c>
      <c r="BU1031">
        <v>14.34</v>
      </c>
      <c r="BV1031">
        <v>3.85</v>
      </c>
      <c r="BW1031">
        <v>6</v>
      </c>
      <c r="BX1031">
        <v>3.91</v>
      </c>
      <c r="BY1031">
        <v>14.92</v>
      </c>
      <c r="BZ1031">
        <v>11.48</v>
      </c>
      <c r="CA1031">
        <v>1.38</v>
      </c>
      <c r="CB1031">
        <v>0.24</v>
      </c>
      <c r="CC1031">
        <v>1.38</v>
      </c>
      <c r="CD1031">
        <v>1.23</v>
      </c>
      <c r="CE1031">
        <v>1.08</v>
      </c>
      <c r="CF1031">
        <v>0.79</v>
      </c>
      <c r="CG1031">
        <v>3.28</v>
      </c>
      <c r="CH1031">
        <v>1.68</v>
      </c>
      <c r="CI1031">
        <v>-0.02</v>
      </c>
      <c r="CJ1031">
        <v>27847</v>
      </c>
      <c r="CK1031">
        <v>5688</v>
      </c>
      <c r="CL1031" t="s">
        <v>6009</v>
      </c>
      <c r="CM1031">
        <v>82.31</v>
      </c>
      <c r="CN1031">
        <v>21.91</v>
      </c>
      <c r="CO1031">
        <v>4.83</v>
      </c>
      <c r="CP1031">
        <v>31.67</v>
      </c>
      <c r="CQ1031">
        <v>3.57</v>
      </c>
      <c r="CR1031">
        <v>0.7</v>
      </c>
      <c r="CS1031" t="s">
        <v>3995</v>
      </c>
      <c r="CT1031">
        <v>2.96</v>
      </c>
      <c r="CU1031">
        <v>0</v>
      </c>
      <c r="CV1031">
        <v>1.05</v>
      </c>
      <c r="CW1031">
        <v>0.88</v>
      </c>
      <c r="CX1031">
        <v>0.45</v>
      </c>
      <c r="CY1031">
        <v>37.020000000000003</v>
      </c>
      <c r="CZ1031" t="s">
        <v>6010</v>
      </c>
      <c r="DA1031">
        <v>23.02</v>
      </c>
      <c r="DB1031">
        <v>9.27</v>
      </c>
      <c r="DC1031">
        <v>7.23</v>
      </c>
      <c r="DD1031">
        <v>0.6</v>
      </c>
      <c r="DE1031">
        <v>4292</v>
      </c>
      <c r="DF1031">
        <v>2579</v>
      </c>
      <c r="DG1031" t="s">
        <v>116</v>
      </c>
      <c r="DH1031" t="s">
        <v>116</v>
      </c>
      <c r="DI1031" t="s">
        <v>116</v>
      </c>
    </row>
    <row r="1032" spans="1:113" x14ac:dyDescent="0.4">
      <c r="A1032" t="str">
        <f>"002580"</f>
        <v>002580</v>
      </c>
      <c r="B1032" t="s">
        <v>6011</v>
      </c>
      <c r="C1032">
        <v>-0.94</v>
      </c>
      <c r="D1032">
        <v>5.28</v>
      </c>
      <c r="E1032">
        <v>-0.05</v>
      </c>
      <c r="F1032">
        <v>5.27</v>
      </c>
      <c r="G1032">
        <v>5.28</v>
      </c>
      <c r="H1032">
        <v>40102</v>
      </c>
      <c r="I1032">
        <v>637</v>
      </c>
      <c r="J1032">
        <v>0</v>
      </c>
      <c r="K1032">
        <v>1.28</v>
      </c>
      <c r="L1032">
        <v>5.3</v>
      </c>
      <c r="M1032">
        <v>5.36</v>
      </c>
      <c r="N1032">
        <v>5.25</v>
      </c>
      <c r="O1032">
        <v>5.33</v>
      </c>
      <c r="P1032">
        <v>65.59</v>
      </c>
      <c r="Q1032">
        <v>21253844</v>
      </c>
      <c r="R1032">
        <v>0.83</v>
      </c>
      <c r="S1032" t="s">
        <v>397</v>
      </c>
      <c r="T1032" t="s">
        <v>645</v>
      </c>
      <c r="U1032">
        <v>2.06</v>
      </c>
      <c r="V1032">
        <v>5.3</v>
      </c>
      <c r="W1032">
        <v>24735</v>
      </c>
      <c r="X1032">
        <v>15367</v>
      </c>
      <c r="Y1032">
        <v>1.61</v>
      </c>
      <c r="Z1032">
        <v>161</v>
      </c>
      <c r="AA1032">
        <v>525</v>
      </c>
      <c r="AB1032" t="s">
        <v>116</v>
      </c>
      <c r="AC1032">
        <v>64100</v>
      </c>
      <c r="AD1032">
        <v>0</v>
      </c>
      <c r="AE1032" t="s">
        <v>116</v>
      </c>
      <c r="AF1032" t="s">
        <v>116</v>
      </c>
      <c r="AG1032">
        <v>3.12</v>
      </c>
      <c r="AH1032" t="s">
        <v>6012</v>
      </c>
      <c r="AI1032" t="s">
        <v>1443</v>
      </c>
      <c r="AJ1032">
        <v>-0.26</v>
      </c>
      <c r="AK1032">
        <v>874</v>
      </c>
      <c r="AL1032">
        <v>46</v>
      </c>
      <c r="AM1032">
        <v>1.5E-3</v>
      </c>
      <c r="AN1032">
        <v>-1</v>
      </c>
      <c r="AO1032">
        <v>-0.56999999999999995</v>
      </c>
      <c r="AP1032">
        <v>5.39</v>
      </c>
      <c r="AQ1032">
        <v>-0.75</v>
      </c>
      <c r="AR1032">
        <v>4.3499999999999996</v>
      </c>
      <c r="AS1032">
        <v>1.45</v>
      </c>
      <c r="AT1032" t="s">
        <v>6013</v>
      </c>
      <c r="AU1032">
        <v>79.84</v>
      </c>
      <c r="AV1032">
        <v>114.08</v>
      </c>
      <c r="AW1032">
        <v>0.95</v>
      </c>
      <c r="BA1032">
        <v>-0.56000000000000005</v>
      </c>
      <c r="BB1032">
        <v>0.56000000000000005</v>
      </c>
      <c r="BC1032">
        <v>-1.5</v>
      </c>
      <c r="BD1032">
        <v>-0.56000000000000005</v>
      </c>
      <c r="BE1032">
        <v>-0.38</v>
      </c>
      <c r="BF1032">
        <v>-1.49</v>
      </c>
      <c r="BG1032">
        <v>0.56999999999999995</v>
      </c>
      <c r="BH1032">
        <v>-0.37</v>
      </c>
      <c r="BI1032">
        <v>20191029</v>
      </c>
      <c r="BJ1032">
        <v>20110506</v>
      </c>
      <c r="BK1032">
        <v>3.49</v>
      </c>
      <c r="BL1032" t="s">
        <v>116</v>
      </c>
      <c r="BM1032" t="s">
        <v>116</v>
      </c>
      <c r="BN1032">
        <v>19.73</v>
      </c>
      <c r="BO1032">
        <v>12.07</v>
      </c>
      <c r="BP1032">
        <v>0.19</v>
      </c>
      <c r="BQ1032">
        <v>37.869999999999997</v>
      </c>
      <c r="BR1032">
        <v>14.29</v>
      </c>
      <c r="BS1032">
        <v>4.3</v>
      </c>
      <c r="BT1032">
        <v>0.59</v>
      </c>
      <c r="BU1032">
        <v>4.91</v>
      </c>
      <c r="BV1032">
        <v>2.88</v>
      </c>
      <c r="BW1032">
        <v>8.0399999999999991</v>
      </c>
      <c r="BX1032">
        <v>5.13</v>
      </c>
      <c r="BY1032">
        <v>13.62</v>
      </c>
      <c r="BZ1032">
        <v>11.03</v>
      </c>
      <c r="CA1032">
        <v>0.22</v>
      </c>
      <c r="CB1032">
        <v>0.05</v>
      </c>
      <c r="CC1032">
        <v>0.22</v>
      </c>
      <c r="CD1032">
        <v>0.21</v>
      </c>
      <c r="CE1032">
        <v>0.21</v>
      </c>
      <c r="CF1032">
        <v>0.06</v>
      </c>
      <c r="CG1032">
        <v>3.04</v>
      </c>
      <c r="CH1032">
        <v>-0.22</v>
      </c>
      <c r="CI1032">
        <v>0.12</v>
      </c>
      <c r="CJ1032">
        <v>29041</v>
      </c>
      <c r="CK1032">
        <v>9550</v>
      </c>
      <c r="CL1032" t="s">
        <v>1078</v>
      </c>
      <c r="CM1032">
        <v>48.97</v>
      </c>
      <c r="CN1032">
        <v>4.26</v>
      </c>
      <c r="CO1032">
        <v>1.53</v>
      </c>
      <c r="CP1032">
        <v>-85.64</v>
      </c>
      <c r="CQ1032">
        <v>1.35</v>
      </c>
      <c r="CR1032">
        <v>0</v>
      </c>
      <c r="CS1032" t="s">
        <v>484</v>
      </c>
      <c r="CT1032">
        <v>3.46</v>
      </c>
      <c r="CU1032">
        <v>0</v>
      </c>
      <c r="CV1032">
        <v>1.47</v>
      </c>
      <c r="CW1032">
        <v>0.87</v>
      </c>
      <c r="CX1032">
        <v>-0.06</v>
      </c>
      <c r="CY1032">
        <v>61.17</v>
      </c>
      <c r="CZ1032" t="s">
        <v>1787</v>
      </c>
      <c r="DA1032">
        <v>19.07</v>
      </c>
      <c r="DB1032">
        <v>1.58</v>
      </c>
      <c r="DC1032">
        <v>1.55</v>
      </c>
      <c r="DD1032">
        <v>0.26</v>
      </c>
      <c r="DE1032">
        <v>1772</v>
      </c>
      <c r="DF1032">
        <v>2580</v>
      </c>
      <c r="DG1032" t="s">
        <v>116</v>
      </c>
      <c r="DH1032" t="s">
        <v>116</v>
      </c>
      <c r="DI1032" t="s">
        <v>116</v>
      </c>
    </row>
    <row r="1033" spans="1:113" x14ac:dyDescent="0.4">
      <c r="A1033" t="str">
        <f>"002581"</f>
        <v>002581</v>
      </c>
      <c r="B1033" t="s">
        <v>6014</v>
      </c>
      <c r="C1033">
        <v>0</v>
      </c>
      <c r="D1033">
        <v>6.6</v>
      </c>
      <c r="E1033">
        <v>0</v>
      </c>
      <c r="F1033">
        <v>6.6</v>
      </c>
      <c r="G1033">
        <v>6.61</v>
      </c>
      <c r="H1033">
        <v>46939</v>
      </c>
      <c r="I1033">
        <v>513</v>
      </c>
      <c r="J1033">
        <v>-0.14000000000000001</v>
      </c>
      <c r="K1033">
        <v>1.17</v>
      </c>
      <c r="L1033">
        <v>6.64</v>
      </c>
      <c r="M1033">
        <v>6.74</v>
      </c>
      <c r="N1033">
        <v>6.59</v>
      </c>
      <c r="O1033">
        <v>6.6</v>
      </c>
      <c r="P1033">
        <v>66.22</v>
      </c>
      <c r="Q1033">
        <v>31284964</v>
      </c>
      <c r="R1033">
        <v>0.88</v>
      </c>
      <c r="S1033" t="s">
        <v>132</v>
      </c>
      <c r="T1033" t="s">
        <v>645</v>
      </c>
      <c r="U1033">
        <v>2.27</v>
      </c>
      <c r="V1033">
        <v>6.67</v>
      </c>
      <c r="W1033">
        <v>23880</v>
      </c>
      <c r="X1033">
        <v>23059</v>
      </c>
      <c r="Y1033">
        <v>1.04</v>
      </c>
      <c r="Z1033">
        <v>1277</v>
      </c>
      <c r="AA1033">
        <v>401</v>
      </c>
      <c r="AB1033" t="s">
        <v>116</v>
      </c>
      <c r="AC1033">
        <v>259600</v>
      </c>
      <c r="AD1033">
        <v>0.02</v>
      </c>
      <c r="AE1033" t="s">
        <v>116</v>
      </c>
      <c r="AF1033" t="s">
        <v>116</v>
      </c>
      <c r="AG1033">
        <v>4.01</v>
      </c>
      <c r="AH1033" t="s">
        <v>5912</v>
      </c>
      <c r="AI1033" t="s">
        <v>3569</v>
      </c>
      <c r="AJ1033">
        <v>0.68</v>
      </c>
      <c r="AK1033">
        <v>1246</v>
      </c>
      <c r="AL1033">
        <v>38</v>
      </c>
      <c r="AM1033">
        <v>8.9999999999999998E-4</v>
      </c>
      <c r="AN1033">
        <v>0</v>
      </c>
      <c r="AO1033">
        <v>0.3</v>
      </c>
      <c r="AP1033">
        <v>0.46</v>
      </c>
      <c r="AQ1033">
        <v>-11.53</v>
      </c>
      <c r="AR1033">
        <v>2.17</v>
      </c>
      <c r="AS1033">
        <v>1.84</v>
      </c>
      <c r="AT1033" t="s">
        <v>3999</v>
      </c>
      <c r="AU1033" t="s">
        <v>116</v>
      </c>
      <c r="AV1033" t="s">
        <v>116</v>
      </c>
      <c r="AW1033">
        <v>1.41</v>
      </c>
      <c r="BA1033">
        <v>0.61</v>
      </c>
      <c r="BB1033">
        <v>2.12</v>
      </c>
      <c r="BC1033">
        <v>-0.15</v>
      </c>
      <c r="BD1033">
        <v>0.99</v>
      </c>
      <c r="BE1033">
        <v>-0.6</v>
      </c>
      <c r="BF1033">
        <v>-2.08</v>
      </c>
      <c r="BG1033">
        <v>0.15</v>
      </c>
      <c r="BH1033">
        <v>-0.99</v>
      </c>
      <c r="BI1033">
        <v>20191202</v>
      </c>
      <c r="BJ1033">
        <v>20110520</v>
      </c>
      <c r="BK1033">
        <v>6.6</v>
      </c>
      <c r="BL1033" t="s">
        <v>116</v>
      </c>
      <c r="BM1033" t="s">
        <v>116</v>
      </c>
      <c r="BN1033">
        <v>38.82</v>
      </c>
      <c r="BO1033">
        <v>28.11</v>
      </c>
      <c r="BP1033">
        <v>0.73</v>
      </c>
      <c r="BQ1033">
        <v>25.68</v>
      </c>
      <c r="BR1033">
        <v>18.72</v>
      </c>
      <c r="BS1033">
        <v>4.28</v>
      </c>
      <c r="BT1033">
        <v>1.0900000000000001</v>
      </c>
      <c r="BU1033">
        <v>2.04</v>
      </c>
      <c r="BV1033">
        <v>0.55000000000000004</v>
      </c>
      <c r="BW1033">
        <v>4.74</v>
      </c>
      <c r="BX1033">
        <v>13.55</v>
      </c>
      <c r="BY1033">
        <v>4.34</v>
      </c>
      <c r="BZ1033">
        <v>0.54</v>
      </c>
      <c r="CA1033">
        <v>0.61</v>
      </c>
      <c r="CB1033">
        <v>0.94</v>
      </c>
      <c r="CC1033">
        <v>0.6</v>
      </c>
      <c r="CD1033">
        <v>0.57999999999999996</v>
      </c>
      <c r="CE1033">
        <v>0.49</v>
      </c>
      <c r="CF1033">
        <v>0.46</v>
      </c>
      <c r="CG1033">
        <v>10.86</v>
      </c>
      <c r="CH1033">
        <v>0.38</v>
      </c>
      <c r="CI1033">
        <v>-5.29</v>
      </c>
      <c r="CJ1033">
        <v>32771</v>
      </c>
      <c r="CK1033">
        <v>7796</v>
      </c>
      <c r="CL1033" t="s">
        <v>3704</v>
      </c>
      <c r="CM1033">
        <v>291.64</v>
      </c>
      <c r="CN1033">
        <v>-11.86</v>
      </c>
      <c r="CO1033">
        <v>1.55</v>
      </c>
      <c r="CP1033">
        <v>113.3</v>
      </c>
      <c r="CQ1033">
        <v>10.02</v>
      </c>
      <c r="CR1033">
        <v>0</v>
      </c>
      <c r="CS1033" t="s">
        <v>3695</v>
      </c>
      <c r="CT1033">
        <v>4.26</v>
      </c>
      <c r="CU1033">
        <v>0</v>
      </c>
      <c r="CV1033">
        <v>2.0499999999999998</v>
      </c>
      <c r="CW1033">
        <v>1.65</v>
      </c>
      <c r="CX1033">
        <v>0.06</v>
      </c>
      <c r="CY1033">
        <v>72.430000000000007</v>
      </c>
      <c r="CZ1033" t="s">
        <v>1787</v>
      </c>
      <c r="DA1033">
        <v>87.59</v>
      </c>
      <c r="DB1033">
        <v>13.99</v>
      </c>
      <c r="DC1033">
        <v>11.35</v>
      </c>
      <c r="DD1033">
        <v>0.4</v>
      </c>
      <c r="DE1033">
        <v>942</v>
      </c>
      <c r="DF1033">
        <v>2581</v>
      </c>
      <c r="DG1033" t="s">
        <v>116</v>
      </c>
      <c r="DH1033" t="s">
        <v>116</v>
      </c>
      <c r="DI1033" t="s">
        <v>116</v>
      </c>
    </row>
    <row r="1034" spans="1:113" x14ac:dyDescent="0.4">
      <c r="A1034" t="str">
        <f>"002582"</f>
        <v>002582</v>
      </c>
      <c r="B1034" t="s">
        <v>6015</v>
      </c>
      <c r="C1034">
        <v>0.98</v>
      </c>
      <c r="D1034">
        <v>8.27</v>
      </c>
      <c r="E1034">
        <v>0.08</v>
      </c>
      <c r="F1034">
        <v>8.27</v>
      </c>
      <c r="G1034">
        <v>8.2799999999999994</v>
      </c>
      <c r="H1034">
        <v>75511</v>
      </c>
      <c r="I1034">
        <v>472</v>
      </c>
      <c r="J1034">
        <v>0.12</v>
      </c>
      <c r="K1034">
        <v>2.02</v>
      </c>
      <c r="L1034">
        <v>8.19</v>
      </c>
      <c r="M1034">
        <v>8.48</v>
      </c>
      <c r="N1034">
        <v>8.19</v>
      </c>
      <c r="O1034">
        <v>8.19</v>
      </c>
      <c r="P1034">
        <v>24.49</v>
      </c>
      <c r="Q1034">
        <v>62970572</v>
      </c>
      <c r="R1034">
        <v>2.44</v>
      </c>
      <c r="S1034" t="s">
        <v>863</v>
      </c>
      <c r="T1034" t="s">
        <v>652</v>
      </c>
      <c r="U1034">
        <v>3.54</v>
      </c>
      <c r="V1034">
        <v>8.34</v>
      </c>
      <c r="W1034">
        <v>35091</v>
      </c>
      <c r="X1034">
        <v>40420</v>
      </c>
      <c r="Y1034">
        <v>0.87</v>
      </c>
      <c r="Z1034">
        <v>388</v>
      </c>
      <c r="AA1034">
        <v>477</v>
      </c>
      <c r="AB1034" t="s">
        <v>116</v>
      </c>
      <c r="AC1034">
        <v>92500</v>
      </c>
      <c r="AD1034">
        <v>0</v>
      </c>
      <c r="AE1034" t="s">
        <v>116</v>
      </c>
      <c r="AF1034" t="s">
        <v>116</v>
      </c>
      <c r="AG1034">
        <v>3.74</v>
      </c>
      <c r="AH1034" t="s">
        <v>692</v>
      </c>
      <c r="AI1034" t="s">
        <v>6016</v>
      </c>
      <c r="AJ1034">
        <v>1.66</v>
      </c>
      <c r="AK1034">
        <v>1502</v>
      </c>
      <c r="AL1034">
        <v>50</v>
      </c>
      <c r="AM1034">
        <v>1.2999999999999999E-3</v>
      </c>
      <c r="AN1034">
        <v>2</v>
      </c>
      <c r="AO1034">
        <v>0.73</v>
      </c>
      <c r="AP1034">
        <v>5.35</v>
      </c>
      <c r="AQ1034">
        <v>-5.16</v>
      </c>
      <c r="AR1034">
        <v>11.14</v>
      </c>
      <c r="AS1034">
        <v>3.01</v>
      </c>
      <c r="AT1034" t="s">
        <v>6017</v>
      </c>
      <c r="AU1034">
        <v>27.97</v>
      </c>
      <c r="AV1034">
        <v>32.909999999999997</v>
      </c>
      <c r="AW1034">
        <v>0.64</v>
      </c>
      <c r="BA1034">
        <v>0</v>
      </c>
      <c r="BB1034">
        <v>3.54</v>
      </c>
      <c r="BC1034">
        <v>0</v>
      </c>
      <c r="BD1034">
        <v>1.82</v>
      </c>
      <c r="BE1034">
        <v>0.98</v>
      </c>
      <c r="BF1034">
        <v>-2.48</v>
      </c>
      <c r="BG1034">
        <v>0.98</v>
      </c>
      <c r="BH1034">
        <v>-0.85</v>
      </c>
      <c r="BI1034">
        <v>20191220</v>
      </c>
      <c r="BJ1034">
        <v>20110520</v>
      </c>
      <c r="BK1034">
        <v>5.16</v>
      </c>
      <c r="BL1034" t="s">
        <v>116</v>
      </c>
      <c r="BM1034" t="s">
        <v>116</v>
      </c>
      <c r="BN1034">
        <v>56.84</v>
      </c>
      <c r="BO1034">
        <v>33.4</v>
      </c>
      <c r="BP1034">
        <v>0.01</v>
      </c>
      <c r="BQ1034">
        <v>41.21</v>
      </c>
      <c r="BR1034">
        <v>26.21</v>
      </c>
      <c r="BS1034">
        <v>11.63</v>
      </c>
      <c r="BT1034">
        <v>2.8</v>
      </c>
      <c r="BU1034">
        <v>20.58</v>
      </c>
      <c r="BV1034">
        <v>7.86</v>
      </c>
      <c r="BW1034">
        <v>2.92</v>
      </c>
      <c r="BX1034">
        <v>22.29</v>
      </c>
      <c r="BY1034">
        <v>40.409999999999997</v>
      </c>
      <c r="BZ1034">
        <v>28.77</v>
      </c>
      <c r="CA1034">
        <v>1.73</v>
      </c>
      <c r="CB1034">
        <v>0.11</v>
      </c>
      <c r="CC1034">
        <v>1.69</v>
      </c>
      <c r="CD1034">
        <v>1.29</v>
      </c>
      <c r="CE1034">
        <v>1.31</v>
      </c>
      <c r="CF1034">
        <v>0.73</v>
      </c>
      <c r="CG1034">
        <v>6.33</v>
      </c>
      <c r="CH1034">
        <v>6.77</v>
      </c>
      <c r="CI1034">
        <v>5.58</v>
      </c>
      <c r="CJ1034">
        <v>33982</v>
      </c>
      <c r="CK1034">
        <v>7386</v>
      </c>
      <c r="CL1034" t="s">
        <v>3797</v>
      </c>
      <c r="CM1034">
        <v>21.24</v>
      </c>
      <c r="CN1034">
        <v>13.44</v>
      </c>
      <c r="CO1034">
        <v>1.28</v>
      </c>
      <c r="CP1034">
        <v>6.3</v>
      </c>
      <c r="CQ1034">
        <v>1.06</v>
      </c>
      <c r="CR1034">
        <v>0.93</v>
      </c>
      <c r="CS1034" t="s">
        <v>4342</v>
      </c>
      <c r="CT1034">
        <v>6.48</v>
      </c>
      <c r="CU1034">
        <v>0</v>
      </c>
      <c r="CV1034">
        <v>4.32</v>
      </c>
      <c r="CW1034">
        <v>1.23</v>
      </c>
      <c r="CX1034">
        <v>1.31</v>
      </c>
      <c r="CY1034">
        <v>58.77</v>
      </c>
      <c r="CZ1034" t="s">
        <v>2488</v>
      </c>
      <c r="DA1034">
        <v>28.8</v>
      </c>
      <c r="DB1034">
        <v>4.28</v>
      </c>
      <c r="DC1034">
        <v>3.23</v>
      </c>
      <c r="DD1034">
        <v>0.28999999999999998</v>
      </c>
      <c r="DE1034">
        <v>3059</v>
      </c>
      <c r="DF1034">
        <v>2582</v>
      </c>
      <c r="DG1034" t="s">
        <v>116</v>
      </c>
      <c r="DH1034" t="s">
        <v>116</v>
      </c>
      <c r="DI1034" t="s">
        <v>116</v>
      </c>
    </row>
    <row r="1035" spans="1:113" x14ac:dyDescent="0.4">
      <c r="A1035" t="str">
        <f>"002583"</f>
        <v>002583</v>
      </c>
      <c r="B1035" t="s">
        <v>6018</v>
      </c>
      <c r="C1035">
        <v>-1.03</v>
      </c>
      <c r="D1035">
        <v>8.68</v>
      </c>
      <c r="E1035">
        <v>-0.09</v>
      </c>
      <c r="F1035">
        <v>8.68</v>
      </c>
      <c r="G1035">
        <v>8.69</v>
      </c>
      <c r="H1035">
        <v>184923</v>
      </c>
      <c r="I1035">
        <v>2236</v>
      </c>
      <c r="J1035">
        <v>-0.11</v>
      </c>
      <c r="K1035">
        <v>1.77</v>
      </c>
      <c r="L1035">
        <v>8.7799999999999994</v>
      </c>
      <c r="M1035">
        <v>8.82</v>
      </c>
      <c r="N1035">
        <v>8.68</v>
      </c>
      <c r="O1035">
        <v>8.77</v>
      </c>
      <c r="P1035">
        <v>110.03</v>
      </c>
      <c r="Q1035">
        <v>161824560</v>
      </c>
      <c r="R1035">
        <v>1.03</v>
      </c>
      <c r="S1035" t="s">
        <v>465</v>
      </c>
      <c r="T1035" t="s">
        <v>115</v>
      </c>
      <c r="U1035">
        <v>1.6</v>
      </c>
      <c r="V1035">
        <v>8.75</v>
      </c>
      <c r="W1035">
        <v>105259</v>
      </c>
      <c r="X1035">
        <v>79664</v>
      </c>
      <c r="Y1035">
        <v>1.32</v>
      </c>
      <c r="Z1035">
        <v>3397</v>
      </c>
      <c r="AA1035">
        <v>406</v>
      </c>
      <c r="AB1035" t="s">
        <v>116</v>
      </c>
      <c r="AC1035">
        <v>531200</v>
      </c>
      <c r="AD1035">
        <v>0.01</v>
      </c>
      <c r="AE1035" t="s">
        <v>116</v>
      </c>
      <c r="AF1035" t="s">
        <v>116</v>
      </c>
      <c r="AG1035">
        <v>10.48</v>
      </c>
      <c r="AH1035" t="s">
        <v>6019</v>
      </c>
      <c r="AI1035" t="s">
        <v>6020</v>
      </c>
      <c r="AJ1035">
        <v>-0.35</v>
      </c>
      <c r="AK1035">
        <v>3258</v>
      </c>
      <c r="AL1035">
        <v>57</v>
      </c>
      <c r="AM1035">
        <v>5.0000000000000001E-4</v>
      </c>
      <c r="AN1035">
        <v>-3</v>
      </c>
      <c r="AO1035">
        <v>-1.37</v>
      </c>
      <c r="AP1035">
        <v>-2.25</v>
      </c>
      <c r="AQ1035">
        <v>-17.96</v>
      </c>
      <c r="AR1035">
        <v>10.5</v>
      </c>
      <c r="AS1035">
        <v>2.33</v>
      </c>
      <c r="AT1035" t="s">
        <v>6021</v>
      </c>
      <c r="AU1035">
        <v>35.159999999999997</v>
      </c>
      <c r="AV1035">
        <v>33.49</v>
      </c>
      <c r="AW1035">
        <v>1.44</v>
      </c>
      <c r="BA1035">
        <v>0.11</v>
      </c>
      <c r="BB1035">
        <v>0.56999999999999995</v>
      </c>
      <c r="BC1035">
        <v>-1.03</v>
      </c>
      <c r="BD1035">
        <v>-0.22</v>
      </c>
      <c r="BE1035">
        <v>-1.1399999999999999</v>
      </c>
      <c r="BF1035">
        <v>-1.59</v>
      </c>
      <c r="BG1035">
        <v>0</v>
      </c>
      <c r="BH1035">
        <v>-0.81</v>
      </c>
      <c r="BI1035">
        <v>20191121</v>
      </c>
      <c r="BJ1035">
        <v>20110527</v>
      </c>
      <c r="BK1035">
        <v>18.399999999999999</v>
      </c>
      <c r="BL1035" t="s">
        <v>116</v>
      </c>
      <c r="BM1035" t="s">
        <v>116</v>
      </c>
      <c r="BN1035">
        <v>153.34</v>
      </c>
      <c r="BO1035">
        <v>61.7</v>
      </c>
      <c r="BP1035">
        <v>0</v>
      </c>
      <c r="BQ1035">
        <v>59.76</v>
      </c>
      <c r="BR1035">
        <v>77.05</v>
      </c>
      <c r="BS1035">
        <v>13.65</v>
      </c>
      <c r="BT1035">
        <v>34.53</v>
      </c>
      <c r="BU1035">
        <v>69.61</v>
      </c>
      <c r="BV1035">
        <v>22.91</v>
      </c>
      <c r="BW1035">
        <v>39.57</v>
      </c>
      <c r="BX1035">
        <v>27.74</v>
      </c>
      <c r="BY1035">
        <v>49.2</v>
      </c>
      <c r="BZ1035">
        <v>28.71</v>
      </c>
      <c r="CA1035">
        <v>1.03</v>
      </c>
      <c r="CB1035">
        <v>0</v>
      </c>
      <c r="CC1035">
        <v>1.01</v>
      </c>
      <c r="CD1035">
        <v>1.0900000000000001</v>
      </c>
      <c r="CE1035">
        <v>1.0900000000000001</v>
      </c>
      <c r="CF1035">
        <v>-0.16</v>
      </c>
      <c r="CG1035">
        <v>15.27</v>
      </c>
      <c r="CH1035">
        <v>3.63</v>
      </c>
      <c r="CI1035">
        <v>-1.55</v>
      </c>
      <c r="CJ1035">
        <v>45115</v>
      </c>
      <c r="CK1035">
        <v>17573</v>
      </c>
      <c r="CL1035" t="s">
        <v>6022</v>
      </c>
      <c r="CM1035">
        <v>-17.2</v>
      </c>
      <c r="CN1035">
        <v>8.58</v>
      </c>
      <c r="CO1035">
        <v>2.58</v>
      </c>
      <c r="CP1035">
        <v>43.96</v>
      </c>
      <c r="CQ1035">
        <v>3.25</v>
      </c>
      <c r="CR1035">
        <v>0.4</v>
      </c>
      <c r="CS1035" t="s">
        <v>484</v>
      </c>
      <c r="CT1035">
        <v>3.36</v>
      </c>
      <c r="CU1035">
        <v>3.36</v>
      </c>
      <c r="CV1035">
        <v>1.51</v>
      </c>
      <c r="CW1035">
        <v>0.83</v>
      </c>
      <c r="CX1035">
        <v>0.2</v>
      </c>
      <c r="CY1035">
        <v>40.24</v>
      </c>
      <c r="CZ1035" t="s">
        <v>6023</v>
      </c>
      <c r="DA1035">
        <v>41.65</v>
      </c>
      <c r="DB1035">
        <v>2.1</v>
      </c>
      <c r="DC1035">
        <v>2.21</v>
      </c>
      <c r="DD1035">
        <v>5.93</v>
      </c>
      <c r="DE1035">
        <v>8436</v>
      </c>
      <c r="DF1035">
        <v>2583</v>
      </c>
      <c r="DG1035" t="s">
        <v>116</v>
      </c>
      <c r="DH1035" t="s">
        <v>116</v>
      </c>
      <c r="DI1035" t="s">
        <v>116</v>
      </c>
    </row>
    <row r="1036" spans="1:113" x14ac:dyDescent="0.4">
      <c r="A1036" t="str">
        <f>"002584"</f>
        <v>002584</v>
      </c>
      <c r="B1036" t="s">
        <v>6024</v>
      </c>
      <c r="C1036">
        <v>-3.05</v>
      </c>
      <c r="D1036">
        <v>5.09</v>
      </c>
      <c r="E1036">
        <v>-0.16</v>
      </c>
      <c r="F1036">
        <v>5.09</v>
      </c>
      <c r="G1036">
        <v>5.0999999999999996</v>
      </c>
      <c r="H1036">
        <v>257204</v>
      </c>
      <c r="I1036">
        <v>2373</v>
      </c>
      <c r="J1036">
        <v>0</v>
      </c>
      <c r="K1036">
        <v>6.75</v>
      </c>
      <c r="L1036">
        <v>5.18</v>
      </c>
      <c r="M1036">
        <v>5.2</v>
      </c>
      <c r="N1036">
        <v>5.0599999999999996</v>
      </c>
      <c r="O1036">
        <v>5.25</v>
      </c>
      <c r="P1036">
        <v>97.33</v>
      </c>
      <c r="Q1036">
        <v>131862384</v>
      </c>
      <c r="R1036">
        <v>1.35</v>
      </c>
      <c r="S1036" t="s">
        <v>891</v>
      </c>
      <c r="T1036" t="s">
        <v>551</v>
      </c>
      <c r="U1036">
        <v>2.67</v>
      </c>
      <c r="V1036">
        <v>5.13</v>
      </c>
      <c r="W1036">
        <v>162578</v>
      </c>
      <c r="X1036">
        <v>94626</v>
      </c>
      <c r="Y1036">
        <v>1.72</v>
      </c>
      <c r="Z1036">
        <v>1830</v>
      </c>
      <c r="AA1036">
        <v>1467</v>
      </c>
      <c r="AB1036" t="s">
        <v>116</v>
      </c>
      <c r="AC1036">
        <v>3259300</v>
      </c>
      <c r="AD1036">
        <v>0.2</v>
      </c>
      <c r="AE1036" t="s">
        <v>116</v>
      </c>
      <c r="AF1036" t="s">
        <v>116</v>
      </c>
      <c r="AG1036">
        <v>3.81</v>
      </c>
      <c r="AH1036" t="s">
        <v>234</v>
      </c>
      <c r="AI1036" t="s">
        <v>6025</v>
      </c>
      <c r="AJ1036">
        <v>-2.37</v>
      </c>
      <c r="AK1036">
        <v>2560</v>
      </c>
      <c r="AL1036">
        <v>100</v>
      </c>
      <c r="AM1036">
        <v>2.5999999999999999E-3</v>
      </c>
      <c r="AN1036">
        <v>-1</v>
      </c>
      <c r="AO1036">
        <v>1.4</v>
      </c>
      <c r="AP1036">
        <v>8.76</v>
      </c>
      <c r="AQ1036">
        <v>-10.7</v>
      </c>
      <c r="AR1036">
        <v>-15.59</v>
      </c>
      <c r="AS1036">
        <v>7.99</v>
      </c>
      <c r="AT1036" t="s">
        <v>6026</v>
      </c>
      <c r="AU1036">
        <v>151.09</v>
      </c>
      <c r="AV1036">
        <v>40.81</v>
      </c>
      <c r="AW1036">
        <v>1.01</v>
      </c>
      <c r="BA1036">
        <v>-1.33</v>
      </c>
      <c r="BB1036">
        <v>-0.95</v>
      </c>
      <c r="BC1036">
        <v>-3.62</v>
      </c>
      <c r="BD1036">
        <v>-2.35</v>
      </c>
      <c r="BE1036">
        <v>-1.74</v>
      </c>
      <c r="BF1036">
        <v>-2.12</v>
      </c>
      <c r="BG1036">
        <v>0.59</v>
      </c>
      <c r="BH1036">
        <v>-0.7</v>
      </c>
      <c r="BI1036">
        <v>20191031</v>
      </c>
      <c r="BJ1036">
        <v>20110602</v>
      </c>
      <c r="BK1036">
        <v>5.85</v>
      </c>
      <c r="BL1036" t="s">
        <v>116</v>
      </c>
      <c r="BM1036" t="s">
        <v>116</v>
      </c>
      <c r="BN1036">
        <v>37.22</v>
      </c>
      <c r="BO1036">
        <v>18.91</v>
      </c>
      <c r="BP1036">
        <v>0.55000000000000004</v>
      </c>
      <c r="BQ1036">
        <v>47.72</v>
      </c>
      <c r="BR1036">
        <v>23.94</v>
      </c>
      <c r="BS1036">
        <v>5.64</v>
      </c>
      <c r="BT1036">
        <v>0.86</v>
      </c>
      <c r="BU1036">
        <v>15.08</v>
      </c>
      <c r="BV1036">
        <v>3.19</v>
      </c>
      <c r="BW1036">
        <v>5.27</v>
      </c>
      <c r="BX1036">
        <v>6.77</v>
      </c>
      <c r="BY1036">
        <v>23.33</v>
      </c>
      <c r="BZ1036">
        <v>19.47</v>
      </c>
      <c r="CA1036">
        <v>0.28999999999999998</v>
      </c>
      <c r="CB1036">
        <v>0.02</v>
      </c>
      <c r="CC1036">
        <v>0.23</v>
      </c>
      <c r="CD1036">
        <v>0.17</v>
      </c>
      <c r="CE1036">
        <v>0.23</v>
      </c>
      <c r="CF1036">
        <v>0.24</v>
      </c>
      <c r="CG1036">
        <v>5.54</v>
      </c>
      <c r="CH1036">
        <v>-1.97</v>
      </c>
      <c r="CI1036">
        <v>-3.15</v>
      </c>
      <c r="CJ1036">
        <v>39813</v>
      </c>
      <c r="CK1036">
        <v>8082</v>
      </c>
      <c r="CL1036" t="s">
        <v>221</v>
      </c>
      <c r="CM1036">
        <v>-69.89</v>
      </c>
      <c r="CN1036">
        <v>-10.1</v>
      </c>
      <c r="CO1036">
        <v>1.58</v>
      </c>
      <c r="CP1036">
        <v>-15.14</v>
      </c>
      <c r="CQ1036">
        <v>1.28</v>
      </c>
      <c r="CR1036">
        <v>0</v>
      </c>
      <c r="CS1036" t="s">
        <v>1887</v>
      </c>
      <c r="CT1036">
        <v>3.23</v>
      </c>
      <c r="CU1036">
        <v>0</v>
      </c>
      <c r="CV1036">
        <v>1.1599999999999999</v>
      </c>
      <c r="CW1036">
        <v>0.95</v>
      </c>
      <c r="CX1036">
        <v>-0.34</v>
      </c>
      <c r="CY1036">
        <v>50.81</v>
      </c>
      <c r="CZ1036" t="s">
        <v>2361</v>
      </c>
      <c r="DA1036">
        <v>16.559999999999999</v>
      </c>
      <c r="DB1036">
        <v>1.24</v>
      </c>
      <c r="DC1036">
        <v>0.98</v>
      </c>
      <c r="DD1036">
        <v>0.59</v>
      </c>
      <c r="DE1036">
        <v>1405</v>
      </c>
      <c r="DF1036">
        <v>2584</v>
      </c>
      <c r="DG1036" t="s">
        <v>116</v>
      </c>
      <c r="DH1036" t="s">
        <v>116</v>
      </c>
      <c r="DI1036" t="s">
        <v>116</v>
      </c>
    </row>
    <row r="1037" spans="1:113" x14ac:dyDescent="0.4">
      <c r="A1037" t="str">
        <f>"002585"</f>
        <v>002585</v>
      </c>
      <c r="B1037" t="s">
        <v>6027</v>
      </c>
      <c r="C1037">
        <v>-1.08</v>
      </c>
      <c r="D1037">
        <v>4.5999999999999996</v>
      </c>
      <c r="E1037">
        <v>-0.05</v>
      </c>
      <c r="F1037">
        <v>4.59</v>
      </c>
      <c r="G1037">
        <v>4.5999999999999996</v>
      </c>
      <c r="H1037">
        <v>112394</v>
      </c>
      <c r="I1037">
        <v>1308</v>
      </c>
      <c r="J1037">
        <v>0</v>
      </c>
      <c r="K1037">
        <v>1.32</v>
      </c>
      <c r="L1037">
        <v>4.66</v>
      </c>
      <c r="M1037">
        <v>4.68</v>
      </c>
      <c r="N1037">
        <v>4.5999999999999996</v>
      </c>
      <c r="O1037">
        <v>4.6500000000000004</v>
      </c>
      <c r="P1037">
        <v>29.93</v>
      </c>
      <c r="Q1037">
        <v>52090192</v>
      </c>
      <c r="R1037">
        <v>0.97</v>
      </c>
      <c r="S1037" t="s">
        <v>2444</v>
      </c>
      <c r="T1037" t="s">
        <v>323</v>
      </c>
      <c r="U1037">
        <v>1.72</v>
      </c>
      <c r="V1037">
        <v>4.63</v>
      </c>
      <c r="W1037">
        <v>71889</v>
      </c>
      <c r="X1037">
        <v>40505</v>
      </c>
      <c r="Y1037">
        <v>1.77</v>
      </c>
      <c r="Z1037">
        <v>2750</v>
      </c>
      <c r="AA1037">
        <v>866</v>
      </c>
      <c r="AB1037" t="s">
        <v>116</v>
      </c>
      <c r="AC1037">
        <v>35400</v>
      </c>
      <c r="AD1037">
        <v>0</v>
      </c>
      <c r="AE1037" t="s">
        <v>116</v>
      </c>
      <c r="AF1037" t="s">
        <v>116</v>
      </c>
      <c r="AG1037">
        <v>8.52</v>
      </c>
      <c r="AH1037" t="s">
        <v>6028</v>
      </c>
      <c r="AI1037" t="s">
        <v>4345</v>
      </c>
      <c r="AJ1037">
        <v>-0.4</v>
      </c>
      <c r="AK1037">
        <v>1192</v>
      </c>
      <c r="AL1037">
        <v>94</v>
      </c>
      <c r="AM1037">
        <v>1.1000000000000001E-3</v>
      </c>
      <c r="AN1037">
        <v>-1</v>
      </c>
      <c r="AO1037">
        <v>-0.44</v>
      </c>
      <c r="AP1037">
        <v>4.07</v>
      </c>
      <c r="AQ1037">
        <v>-3.16</v>
      </c>
      <c r="AR1037">
        <v>-6.12</v>
      </c>
      <c r="AS1037">
        <v>1.69</v>
      </c>
      <c r="AT1037" t="s">
        <v>6029</v>
      </c>
      <c r="AU1037">
        <v>27.57</v>
      </c>
      <c r="AV1037">
        <v>16.55</v>
      </c>
      <c r="AW1037">
        <v>1.02</v>
      </c>
      <c r="BA1037">
        <v>0.22</v>
      </c>
      <c r="BB1037">
        <v>0.65</v>
      </c>
      <c r="BC1037">
        <v>-1.08</v>
      </c>
      <c r="BD1037">
        <v>-0.33</v>
      </c>
      <c r="BE1037">
        <v>-1.29</v>
      </c>
      <c r="BF1037">
        <v>-1.71</v>
      </c>
      <c r="BG1037">
        <v>0</v>
      </c>
      <c r="BH1037">
        <v>-0.74</v>
      </c>
      <c r="BI1037">
        <v>20191024</v>
      </c>
      <c r="BJ1037">
        <v>20110602</v>
      </c>
      <c r="BK1037">
        <v>11.56</v>
      </c>
      <c r="BL1037" t="s">
        <v>116</v>
      </c>
      <c r="BM1037" t="s">
        <v>116</v>
      </c>
      <c r="BN1037">
        <v>94.59</v>
      </c>
      <c r="BO1037">
        <v>76.03</v>
      </c>
      <c r="BP1037">
        <v>0</v>
      </c>
      <c r="BQ1037">
        <v>19.62</v>
      </c>
      <c r="BR1037">
        <v>51.33</v>
      </c>
      <c r="BS1037">
        <v>30.16</v>
      </c>
      <c r="BT1037">
        <v>1.25</v>
      </c>
      <c r="BU1037">
        <v>10.57</v>
      </c>
      <c r="BV1037">
        <v>12.1</v>
      </c>
      <c r="BW1037">
        <v>10.41</v>
      </c>
      <c r="BX1037">
        <v>51.86</v>
      </c>
      <c r="BY1037">
        <v>32.340000000000003</v>
      </c>
      <c r="BZ1037">
        <v>28.43</v>
      </c>
      <c r="CA1037">
        <v>1.43</v>
      </c>
      <c r="CB1037">
        <v>0.01</v>
      </c>
      <c r="CC1037">
        <v>1.48</v>
      </c>
      <c r="CD1037">
        <v>1.33</v>
      </c>
      <c r="CE1037">
        <v>1.33</v>
      </c>
      <c r="CF1037">
        <v>1.29</v>
      </c>
      <c r="CG1037">
        <v>10.94</v>
      </c>
      <c r="CH1037">
        <v>6.64</v>
      </c>
      <c r="CI1037">
        <v>7.47</v>
      </c>
      <c r="CJ1037">
        <v>44981</v>
      </c>
      <c r="CK1037">
        <v>14808</v>
      </c>
      <c r="CL1037" t="s">
        <v>4875</v>
      </c>
      <c r="CM1037">
        <v>-49.08</v>
      </c>
      <c r="CN1037">
        <v>14.44</v>
      </c>
      <c r="CO1037">
        <v>0.7</v>
      </c>
      <c r="CP1037">
        <v>8.01</v>
      </c>
      <c r="CQ1037">
        <v>1.64</v>
      </c>
      <c r="CR1037">
        <v>4.3499999999999996</v>
      </c>
      <c r="CS1037" t="s">
        <v>6030</v>
      </c>
      <c r="CT1037">
        <v>6.58</v>
      </c>
      <c r="CU1037">
        <v>0</v>
      </c>
      <c r="CV1037">
        <v>4.4800000000000004</v>
      </c>
      <c r="CW1037">
        <v>0.95</v>
      </c>
      <c r="CX1037">
        <v>0.56999999999999995</v>
      </c>
      <c r="CY1037">
        <v>80.38</v>
      </c>
      <c r="CZ1037" t="s">
        <v>1787</v>
      </c>
      <c r="DA1037">
        <v>12.11</v>
      </c>
      <c r="DB1037">
        <v>4.42</v>
      </c>
      <c r="DC1037">
        <v>4.12</v>
      </c>
      <c r="DD1037">
        <v>0</v>
      </c>
      <c r="DE1037">
        <v>1335</v>
      </c>
      <c r="DF1037">
        <v>2585</v>
      </c>
      <c r="DG1037" t="s">
        <v>116</v>
      </c>
      <c r="DH1037" t="s">
        <v>116</v>
      </c>
      <c r="DI1037" t="s">
        <v>116</v>
      </c>
    </row>
    <row r="1038" spans="1:113" x14ac:dyDescent="0.4">
      <c r="A1038" t="str">
        <f>"002586"</f>
        <v>002586</v>
      </c>
      <c r="B1038" t="s">
        <v>6031</v>
      </c>
      <c r="C1038">
        <v>-1.85</v>
      </c>
      <c r="D1038">
        <v>3.19</v>
      </c>
      <c r="E1038">
        <v>-0.06</v>
      </c>
      <c r="F1038">
        <v>3.18</v>
      </c>
      <c r="G1038">
        <v>3.19</v>
      </c>
      <c r="H1038">
        <v>45505</v>
      </c>
      <c r="I1038">
        <v>497</v>
      </c>
      <c r="J1038">
        <v>0.31</v>
      </c>
      <c r="K1038">
        <v>0.62</v>
      </c>
      <c r="L1038">
        <v>3.24</v>
      </c>
      <c r="M1038">
        <v>3.27</v>
      </c>
      <c r="N1038">
        <v>3.18</v>
      </c>
      <c r="O1038">
        <v>3.25</v>
      </c>
      <c r="P1038">
        <v>30.53</v>
      </c>
      <c r="Q1038">
        <v>14670761</v>
      </c>
      <c r="R1038">
        <v>0.39</v>
      </c>
      <c r="S1038" t="s">
        <v>181</v>
      </c>
      <c r="T1038" t="s">
        <v>590</v>
      </c>
      <c r="U1038">
        <v>2.77</v>
      </c>
      <c r="V1038">
        <v>3.22</v>
      </c>
      <c r="W1038">
        <v>27547</v>
      </c>
      <c r="X1038">
        <v>17958</v>
      </c>
      <c r="Y1038">
        <v>1.53</v>
      </c>
      <c r="Z1038">
        <v>972</v>
      </c>
      <c r="AA1038">
        <v>282</v>
      </c>
      <c r="AB1038" t="s">
        <v>116</v>
      </c>
      <c r="AC1038">
        <v>162600</v>
      </c>
      <c r="AD1038">
        <v>0.01</v>
      </c>
      <c r="AE1038" t="s">
        <v>116</v>
      </c>
      <c r="AF1038" t="s">
        <v>116</v>
      </c>
      <c r="AG1038">
        <v>7.35</v>
      </c>
      <c r="AH1038" t="s">
        <v>5218</v>
      </c>
      <c r="AI1038" t="s">
        <v>6032</v>
      </c>
      <c r="AJ1038">
        <v>-1.17</v>
      </c>
      <c r="AK1038">
        <v>493</v>
      </c>
      <c r="AL1038">
        <v>92</v>
      </c>
      <c r="AM1038">
        <v>1.2999999999999999E-3</v>
      </c>
      <c r="AN1038">
        <v>-3</v>
      </c>
      <c r="AO1038">
        <v>-4.5</v>
      </c>
      <c r="AP1038">
        <v>8.5</v>
      </c>
      <c r="AQ1038">
        <v>-9.6300000000000008</v>
      </c>
      <c r="AR1038">
        <v>-27</v>
      </c>
      <c r="AS1038">
        <v>1.1200000000000001</v>
      </c>
      <c r="AT1038" t="s">
        <v>6033</v>
      </c>
      <c r="AU1038">
        <v>23.27</v>
      </c>
      <c r="AV1038">
        <v>14.43</v>
      </c>
      <c r="AW1038">
        <v>0.38</v>
      </c>
      <c r="BA1038">
        <v>-0.31</v>
      </c>
      <c r="BB1038">
        <v>0.62</v>
      </c>
      <c r="BC1038">
        <v>-2.15</v>
      </c>
      <c r="BD1038">
        <v>-0.8</v>
      </c>
      <c r="BE1038">
        <v>-1.54</v>
      </c>
      <c r="BF1038">
        <v>-2.4500000000000002</v>
      </c>
      <c r="BG1038">
        <v>0.31</v>
      </c>
      <c r="BH1038">
        <v>-1.05</v>
      </c>
      <c r="BI1038">
        <v>20191030</v>
      </c>
      <c r="BJ1038">
        <v>20110602</v>
      </c>
      <c r="BK1038">
        <v>11.44</v>
      </c>
      <c r="BL1038" t="s">
        <v>116</v>
      </c>
      <c r="BM1038" t="s">
        <v>116</v>
      </c>
      <c r="BN1038">
        <v>103.83</v>
      </c>
      <c r="BO1038">
        <v>52.71</v>
      </c>
      <c r="BP1038">
        <v>2.2200000000000002</v>
      </c>
      <c r="BQ1038">
        <v>47.1</v>
      </c>
      <c r="BR1038">
        <v>48.3</v>
      </c>
      <c r="BS1038">
        <v>3.36</v>
      </c>
      <c r="BT1038">
        <v>0.92</v>
      </c>
      <c r="BU1038">
        <v>40.18</v>
      </c>
      <c r="BV1038">
        <v>2.63</v>
      </c>
      <c r="BW1038">
        <v>20.22</v>
      </c>
      <c r="BX1038">
        <v>33.340000000000003</v>
      </c>
      <c r="BY1038">
        <v>21.68</v>
      </c>
      <c r="BZ1038">
        <v>18.86</v>
      </c>
      <c r="CA1038">
        <v>1.37</v>
      </c>
      <c r="CB1038">
        <v>0.44</v>
      </c>
      <c r="CC1038">
        <v>1.38</v>
      </c>
      <c r="CD1038">
        <v>1.07</v>
      </c>
      <c r="CE1038">
        <v>0.9</v>
      </c>
      <c r="CF1038">
        <v>0.35</v>
      </c>
      <c r="CG1038">
        <v>6.61</v>
      </c>
      <c r="CH1038">
        <v>-2.02</v>
      </c>
      <c r="CI1038">
        <v>-7.39</v>
      </c>
      <c r="CJ1038">
        <v>18946</v>
      </c>
      <c r="CK1038">
        <v>21425</v>
      </c>
      <c r="CL1038" t="s">
        <v>6034</v>
      </c>
      <c r="CM1038">
        <v>-51.72</v>
      </c>
      <c r="CN1038">
        <v>-5.77</v>
      </c>
      <c r="CO1038">
        <v>0.69</v>
      </c>
      <c r="CP1038">
        <v>-18.100000000000001</v>
      </c>
      <c r="CQ1038">
        <v>1.68</v>
      </c>
      <c r="CR1038">
        <v>4.7</v>
      </c>
      <c r="CS1038" t="s">
        <v>178</v>
      </c>
      <c r="CT1038">
        <v>4.6100000000000003</v>
      </c>
      <c r="CU1038">
        <v>0</v>
      </c>
      <c r="CV1038">
        <v>2.91</v>
      </c>
      <c r="CW1038">
        <v>0.57999999999999996</v>
      </c>
      <c r="CX1038">
        <v>-0.18</v>
      </c>
      <c r="CY1038">
        <v>50.76</v>
      </c>
      <c r="CZ1038" t="s">
        <v>6035</v>
      </c>
      <c r="DA1038">
        <v>13</v>
      </c>
      <c r="DB1038">
        <v>6.32</v>
      </c>
      <c r="DC1038">
        <v>4.1399999999999997</v>
      </c>
      <c r="DD1038">
        <v>0.3</v>
      </c>
      <c r="DE1038">
        <v>1630</v>
      </c>
      <c r="DF1038">
        <v>2586</v>
      </c>
      <c r="DG1038" t="s">
        <v>116</v>
      </c>
      <c r="DH1038" t="s">
        <v>116</v>
      </c>
      <c r="DI1038" t="s">
        <v>116</v>
      </c>
    </row>
    <row r="1039" spans="1:113" x14ac:dyDescent="0.4">
      <c r="A1039" t="str">
        <f>"002587"</f>
        <v>002587</v>
      </c>
      <c r="B1039" t="s">
        <v>6036</v>
      </c>
      <c r="C1039">
        <v>-4.49</v>
      </c>
      <c r="D1039">
        <v>7.66</v>
      </c>
      <c r="E1039">
        <v>-0.36</v>
      </c>
      <c r="F1039">
        <v>7.65</v>
      </c>
      <c r="G1039">
        <v>7.66</v>
      </c>
      <c r="H1039">
        <v>251965</v>
      </c>
      <c r="I1039">
        <v>2845</v>
      </c>
      <c r="J1039">
        <v>0</v>
      </c>
      <c r="K1039">
        <v>5.97</v>
      </c>
      <c r="L1039">
        <v>8.0500000000000007</v>
      </c>
      <c r="M1039">
        <v>8.0500000000000007</v>
      </c>
      <c r="N1039">
        <v>7.65</v>
      </c>
      <c r="O1039">
        <v>8.02</v>
      </c>
      <c r="P1039">
        <v>24.08</v>
      </c>
      <c r="Q1039">
        <v>196932560</v>
      </c>
      <c r="R1039">
        <v>0.94</v>
      </c>
      <c r="S1039" t="s">
        <v>233</v>
      </c>
      <c r="T1039" t="s">
        <v>115</v>
      </c>
      <c r="U1039">
        <v>4.99</v>
      </c>
      <c r="V1039">
        <v>7.82</v>
      </c>
      <c r="W1039">
        <v>137725</v>
      </c>
      <c r="X1039">
        <v>114240</v>
      </c>
      <c r="Y1039">
        <v>1.21</v>
      </c>
      <c r="Z1039">
        <v>1468</v>
      </c>
      <c r="AA1039">
        <v>768</v>
      </c>
      <c r="AB1039" t="s">
        <v>116</v>
      </c>
      <c r="AC1039">
        <v>297000</v>
      </c>
      <c r="AD1039">
        <v>0.01</v>
      </c>
      <c r="AE1039" t="s">
        <v>116</v>
      </c>
      <c r="AF1039" t="s">
        <v>116</v>
      </c>
      <c r="AG1039">
        <v>4.22</v>
      </c>
      <c r="AH1039" t="s">
        <v>4265</v>
      </c>
      <c r="AI1039" t="s">
        <v>6037</v>
      </c>
      <c r="AJ1039">
        <v>-3.81</v>
      </c>
      <c r="AK1039">
        <v>3709</v>
      </c>
      <c r="AL1039">
        <v>68</v>
      </c>
      <c r="AM1039">
        <v>1.6000000000000001E-3</v>
      </c>
      <c r="AN1039">
        <v>-3</v>
      </c>
      <c r="AO1039">
        <v>-6.01</v>
      </c>
      <c r="AP1039">
        <v>15.19</v>
      </c>
      <c r="AQ1039">
        <v>22.17</v>
      </c>
      <c r="AR1039">
        <v>60.93</v>
      </c>
      <c r="AS1039">
        <v>6.93</v>
      </c>
      <c r="AT1039" t="s">
        <v>6038</v>
      </c>
      <c r="AU1039">
        <v>22.86</v>
      </c>
      <c r="AV1039">
        <v>26.44</v>
      </c>
      <c r="AW1039">
        <v>1.48</v>
      </c>
      <c r="BA1039">
        <v>0.37</v>
      </c>
      <c r="BB1039">
        <v>0.37</v>
      </c>
      <c r="BC1039">
        <v>-4.6100000000000003</v>
      </c>
      <c r="BD1039">
        <v>-2.5499999999999998</v>
      </c>
      <c r="BE1039">
        <v>-4.84</v>
      </c>
      <c r="BF1039">
        <v>-4.84</v>
      </c>
      <c r="BG1039">
        <v>0.13</v>
      </c>
      <c r="BH1039">
        <v>-1.94</v>
      </c>
      <c r="BI1039">
        <v>20191227</v>
      </c>
      <c r="BJ1039">
        <v>20110610</v>
      </c>
      <c r="BK1039">
        <v>6.2</v>
      </c>
      <c r="BL1039" t="s">
        <v>116</v>
      </c>
      <c r="BM1039" t="s">
        <v>116</v>
      </c>
      <c r="BN1039">
        <v>24.63</v>
      </c>
      <c r="BO1039">
        <v>13.37</v>
      </c>
      <c r="BP1039">
        <v>0.26</v>
      </c>
      <c r="BQ1039">
        <v>44.66</v>
      </c>
      <c r="BR1039">
        <v>20.02</v>
      </c>
      <c r="BS1039">
        <v>1.56</v>
      </c>
      <c r="BT1039">
        <v>0.35</v>
      </c>
      <c r="BU1039">
        <v>10.73</v>
      </c>
      <c r="BV1039">
        <v>2.72</v>
      </c>
      <c r="BW1039">
        <v>11.04</v>
      </c>
      <c r="BX1039">
        <v>2.1</v>
      </c>
      <c r="BY1039">
        <v>8.98</v>
      </c>
      <c r="BZ1039">
        <v>5.03</v>
      </c>
      <c r="CA1039">
        <v>1.7</v>
      </c>
      <c r="CB1039">
        <v>0.04</v>
      </c>
      <c r="CC1039">
        <v>1.7</v>
      </c>
      <c r="CD1039">
        <v>1.5</v>
      </c>
      <c r="CE1039">
        <v>1.48</v>
      </c>
      <c r="CF1039">
        <v>1.39</v>
      </c>
      <c r="CG1039">
        <v>5.16</v>
      </c>
      <c r="CH1039">
        <v>-0.93</v>
      </c>
      <c r="CI1039">
        <v>-0.71</v>
      </c>
      <c r="CJ1039">
        <v>33909</v>
      </c>
      <c r="CK1039">
        <v>10720</v>
      </c>
      <c r="CL1039" t="s">
        <v>6039</v>
      </c>
      <c r="CM1039">
        <v>23.5</v>
      </c>
      <c r="CN1039">
        <v>-19.100000000000001</v>
      </c>
      <c r="CO1039">
        <v>3.55</v>
      </c>
      <c r="CP1039">
        <v>-51.34</v>
      </c>
      <c r="CQ1039">
        <v>5.29</v>
      </c>
      <c r="CR1039">
        <v>1.29</v>
      </c>
      <c r="CS1039" t="s">
        <v>1209</v>
      </c>
      <c r="CT1039">
        <v>2.16</v>
      </c>
      <c r="CU1039">
        <v>2.16</v>
      </c>
      <c r="CV1039">
        <v>0.34</v>
      </c>
      <c r="CW1039">
        <v>0.83</v>
      </c>
      <c r="CX1039">
        <v>-0.15</v>
      </c>
      <c r="CY1039">
        <v>54.29</v>
      </c>
      <c r="CZ1039" t="s">
        <v>6040</v>
      </c>
      <c r="DA1039">
        <v>43.97</v>
      </c>
      <c r="DB1039">
        <v>18.97</v>
      </c>
      <c r="DC1039">
        <v>16.47</v>
      </c>
      <c r="DD1039">
        <v>0.6</v>
      </c>
      <c r="DE1039">
        <v>1448</v>
      </c>
      <c r="DF1039">
        <v>2587</v>
      </c>
      <c r="DG1039" t="s">
        <v>116</v>
      </c>
      <c r="DH1039" t="s">
        <v>116</v>
      </c>
      <c r="DI1039" t="s">
        <v>116</v>
      </c>
    </row>
    <row r="1040" spans="1:113" x14ac:dyDescent="0.4">
      <c r="A1040" t="str">
        <f>"002588"</f>
        <v>002588</v>
      </c>
      <c r="B1040" t="s">
        <v>6041</v>
      </c>
      <c r="C1040">
        <v>0.26</v>
      </c>
      <c r="D1040">
        <v>3.85</v>
      </c>
      <c r="E1040">
        <v>0.01</v>
      </c>
      <c r="F1040">
        <v>3.84</v>
      </c>
      <c r="G1040">
        <v>3.85</v>
      </c>
      <c r="H1040">
        <v>35243</v>
      </c>
      <c r="I1040">
        <v>205</v>
      </c>
      <c r="J1040">
        <v>0.26</v>
      </c>
      <c r="K1040">
        <v>0.47</v>
      </c>
      <c r="L1040">
        <v>3.84</v>
      </c>
      <c r="M1040">
        <v>3.89</v>
      </c>
      <c r="N1040">
        <v>3.83</v>
      </c>
      <c r="O1040">
        <v>3.84</v>
      </c>
      <c r="P1040">
        <v>28.37</v>
      </c>
      <c r="Q1040">
        <v>13583102</v>
      </c>
      <c r="R1040">
        <v>1.43</v>
      </c>
      <c r="S1040" t="s">
        <v>697</v>
      </c>
      <c r="T1040" t="s">
        <v>645</v>
      </c>
      <c r="U1040">
        <v>1.56</v>
      </c>
      <c r="V1040">
        <v>3.85</v>
      </c>
      <c r="W1040">
        <v>20475</v>
      </c>
      <c r="X1040">
        <v>14768</v>
      </c>
      <c r="Y1040">
        <v>1.39</v>
      </c>
      <c r="Z1040">
        <v>1454</v>
      </c>
      <c r="AA1040">
        <v>487</v>
      </c>
      <c r="AB1040" t="s">
        <v>116</v>
      </c>
      <c r="AC1040">
        <v>0</v>
      </c>
      <c r="AD1040">
        <v>0</v>
      </c>
      <c r="AE1040" t="s">
        <v>116</v>
      </c>
      <c r="AF1040" t="s">
        <v>116</v>
      </c>
      <c r="AG1040">
        <v>7.52</v>
      </c>
      <c r="AH1040" t="s">
        <v>6042</v>
      </c>
      <c r="AI1040" t="s">
        <v>6043</v>
      </c>
      <c r="AJ1040">
        <v>0.94</v>
      </c>
      <c r="AK1040">
        <v>584</v>
      </c>
      <c r="AL1040">
        <v>60</v>
      </c>
      <c r="AM1040">
        <v>8.0000000000000004E-4</v>
      </c>
      <c r="AN1040">
        <v>2</v>
      </c>
      <c r="AO1040">
        <v>0.26</v>
      </c>
      <c r="AP1040">
        <v>-0.26</v>
      </c>
      <c r="AQ1040">
        <v>-3.02</v>
      </c>
      <c r="AR1040">
        <v>-0.52</v>
      </c>
      <c r="AS1040">
        <v>0.72</v>
      </c>
      <c r="AT1040" t="s">
        <v>5248</v>
      </c>
      <c r="AU1040">
        <v>39.39</v>
      </c>
      <c r="AV1040">
        <v>23.21</v>
      </c>
      <c r="AW1040">
        <v>0.53</v>
      </c>
      <c r="BA1040">
        <v>0</v>
      </c>
      <c r="BB1040">
        <v>1.3</v>
      </c>
      <c r="BC1040">
        <v>-0.26</v>
      </c>
      <c r="BD1040">
        <v>0.37</v>
      </c>
      <c r="BE1040">
        <v>0.26</v>
      </c>
      <c r="BF1040">
        <v>-1.03</v>
      </c>
      <c r="BG1040">
        <v>0.52</v>
      </c>
      <c r="BH1040">
        <v>-0.11</v>
      </c>
      <c r="BI1040">
        <v>20191029</v>
      </c>
      <c r="BJ1040">
        <v>20110610</v>
      </c>
      <c r="BK1040">
        <v>11.57</v>
      </c>
      <c r="BL1040" t="s">
        <v>116</v>
      </c>
      <c r="BM1040" t="s">
        <v>116</v>
      </c>
      <c r="BN1040">
        <v>66.55</v>
      </c>
      <c r="BO1040">
        <v>43.9</v>
      </c>
      <c r="BP1040">
        <v>1.43</v>
      </c>
      <c r="BQ1040">
        <v>31.88</v>
      </c>
      <c r="BR1040">
        <v>34.24</v>
      </c>
      <c r="BS1040">
        <v>21.93</v>
      </c>
      <c r="BT1040">
        <v>4.3099999999999996</v>
      </c>
      <c r="BU1040">
        <v>18.93</v>
      </c>
      <c r="BV1040">
        <v>10.91</v>
      </c>
      <c r="BW1040">
        <v>0.24</v>
      </c>
      <c r="BX1040">
        <v>2.97</v>
      </c>
      <c r="BY1040">
        <v>45.42</v>
      </c>
      <c r="BZ1040">
        <v>38.51</v>
      </c>
      <c r="CA1040">
        <v>1.35</v>
      </c>
      <c r="CB1040">
        <v>0.14000000000000001</v>
      </c>
      <c r="CC1040">
        <v>1.35</v>
      </c>
      <c r="CD1040">
        <v>1.1399999999999999</v>
      </c>
      <c r="CE1040">
        <v>1.18</v>
      </c>
      <c r="CF1040">
        <v>1</v>
      </c>
      <c r="CG1040">
        <v>26.48</v>
      </c>
      <c r="CH1040">
        <v>10.5</v>
      </c>
      <c r="CI1040">
        <v>3.74</v>
      </c>
      <c r="CJ1040">
        <v>44157</v>
      </c>
      <c r="CK1040">
        <v>11135</v>
      </c>
      <c r="CL1040" t="s">
        <v>5799</v>
      </c>
      <c r="CM1040">
        <v>-40.090000000000003</v>
      </c>
      <c r="CN1040">
        <v>5.98</v>
      </c>
      <c r="CO1040">
        <v>1.01</v>
      </c>
      <c r="CP1040">
        <v>4.24</v>
      </c>
      <c r="CQ1040">
        <v>0.98</v>
      </c>
      <c r="CR1040">
        <v>0.52</v>
      </c>
      <c r="CS1040" t="s">
        <v>4514</v>
      </c>
      <c r="CT1040">
        <v>3.79</v>
      </c>
      <c r="CU1040">
        <v>0</v>
      </c>
      <c r="CV1040">
        <v>0.26</v>
      </c>
      <c r="CW1040">
        <v>2.29</v>
      </c>
      <c r="CX1040">
        <v>0.91</v>
      </c>
      <c r="CY1040">
        <v>65.97</v>
      </c>
      <c r="CZ1040" t="s">
        <v>2801</v>
      </c>
      <c r="DA1040">
        <v>15.21</v>
      </c>
      <c r="DB1040">
        <v>2.96</v>
      </c>
      <c r="DC1040">
        <v>2.59</v>
      </c>
      <c r="DD1040">
        <v>1.3</v>
      </c>
      <c r="DE1040">
        <v>3680</v>
      </c>
      <c r="DF1040">
        <v>2588</v>
      </c>
      <c r="DG1040" t="s">
        <v>116</v>
      </c>
      <c r="DH1040" t="s">
        <v>116</v>
      </c>
      <c r="DI1040" t="s">
        <v>116</v>
      </c>
    </row>
    <row r="1041" spans="1:113" x14ac:dyDescent="0.4">
      <c r="A1041" t="str">
        <f>"002589"</f>
        <v>002589</v>
      </c>
      <c r="B1041" t="s">
        <v>6044</v>
      </c>
      <c r="C1041">
        <v>-2.41</v>
      </c>
      <c r="D1041">
        <v>7.68</v>
      </c>
      <c r="E1041">
        <v>-0.19</v>
      </c>
      <c r="F1041">
        <v>7.68</v>
      </c>
      <c r="G1041">
        <v>7.69</v>
      </c>
      <c r="H1041">
        <v>665380</v>
      </c>
      <c r="I1041">
        <v>3965</v>
      </c>
      <c r="J1041">
        <v>0</v>
      </c>
      <c r="K1041">
        <v>5.72</v>
      </c>
      <c r="L1041">
        <v>7.92</v>
      </c>
      <c r="M1041">
        <v>7.95</v>
      </c>
      <c r="N1041">
        <v>7.62</v>
      </c>
      <c r="O1041">
        <v>7.87</v>
      </c>
      <c r="P1041">
        <v>14.98</v>
      </c>
      <c r="Q1041">
        <v>518603936</v>
      </c>
      <c r="R1041">
        <v>1.19</v>
      </c>
      <c r="S1041" t="s">
        <v>278</v>
      </c>
      <c r="T1041" t="s">
        <v>645</v>
      </c>
      <c r="U1041">
        <v>4.1900000000000004</v>
      </c>
      <c r="V1041">
        <v>7.79</v>
      </c>
      <c r="W1041">
        <v>370401</v>
      </c>
      <c r="X1041">
        <v>294979</v>
      </c>
      <c r="Y1041">
        <v>1.26</v>
      </c>
      <c r="Z1041">
        <v>433</v>
      </c>
      <c r="AA1041">
        <v>4069</v>
      </c>
      <c r="AB1041" t="s">
        <v>116</v>
      </c>
      <c r="AC1041">
        <v>8279600</v>
      </c>
      <c r="AD1041">
        <v>0.12</v>
      </c>
      <c r="AE1041" t="s">
        <v>116</v>
      </c>
      <c r="AF1041" t="s">
        <v>116</v>
      </c>
      <c r="AG1041">
        <v>11.63</v>
      </c>
      <c r="AH1041" t="s">
        <v>6045</v>
      </c>
      <c r="AI1041" t="s">
        <v>6046</v>
      </c>
      <c r="AJ1041">
        <v>-1.74</v>
      </c>
      <c r="AK1041">
        <v>3760</v>
      </c>
      <c r="AL1041">
        <v>177</v>
      </c>
      <c r="AM1041">
        <v>1.5E-3</v>
      </c>
      <c r="AN1041">
        <v>-1</v>
      </c>
      <c r="AO1041">
        <v>1.32</v>
      </c>
      <c r="AP1041">
        <v>6.67</v>
      </c>
      <c r="AQ1041">
        <v>-5.19</v>
      </c>
      <c r="AR1041">
        <v>11.01</v>
      </c>
      <c r="AS1041">
        <v>7.53</v>
      </c>
      <c r="AT1041" t="s">
        <v>6047</v>
      </c>
      <c r="AU1041">
        <v>22.06</v>
      </c>
      <c r="AV1041">
        <v>14.84</v>
      </c>
      <c r="AW1041">
        <v>0.91</v>
      </c>
      <c r="BA1041">
        <v>0.64</v>
      </c>
      <c r="BB1041">
        <v>1.02</v>
      </c>
      <c r="BC1041">
        <v>-3.18</v>
      </c>
      <c r="BD1041">
        <v>-0.96</v>
      </c>
      <c r="BE1041">
        <v>-3.03</v>
      </c>
      <c r="BF1041">
        <v>-3.4</v>
      </c>
      <c r="BG1041">
        <v>0.79</v>
      </c>
      <c r="BH1041">
        <v>-1.45</v>
      </c>
      <c r="BI1041">
        <v>20191126</v>
      </c>
      <c r="BJ1041">
        <v>20110610</v>
      </c>
      <c r="BK1041">
        <v>15.05</v>
      </c>
      <c r="BL1041" t="s">
        <v>116</v>
      </c>
      <c r="BM1041" t="s">
        <v>116</v>
      </c>
      <c r="BN1041">
        <v>372.34</v>
      </c>
      <c r="BO1041">
        <v>88.72</v>
      </c>
      <c r="BP1041">
        <v>30.26</v>
      </c>
      <c r="BQ1041">
        <v>68.05</v>
      </c>
      <c r="BR1041">
        <v>304.87</v>
      </c>
      <c r="BS1041">
        <v>18.399999999999999</v>
      </c>
      <c r="BT1041">
        <v>2.1800000000000002</v>
      </c>
      <c r="BU1041">
        <v>232.43</v>
      </c>
      <c r="BV1041">
        <v>39.28</v>
      </c>
      <c r="BW1041">
        <v>168.83</v>
      </c>
      <c r="BX1041">
        <v>39.6</v>
      </c>
      <c r="BY1041">
        <v>269.44</v>
      </c>
      <c r="BZ1041">
        <v>217.21</v>
      </c>
      <c r="CA1041">
        <v>13.04</v>
      </c>
      <c r="CB1041">
        <v>0.64</v>
      </c>
      <c r="CC1041">
        <v>13.02</v>
      </c>
      <c r="CD1041">
        <v>9.4499999999999993</v>
      </c>
      <c r="CE1041">
        <v>5.79</v>
      </c>
      <c r="CF1041">
        <v>5.85</v>
      </c>
      <c r="CG1041">
        <v>33.57</v>
      </c>
      <c r="CH1041">
        <v>22.52</v>
      </c>
      <c r="CI1041">
        <v>15.6</v>
      </c>
      <c r="CJ1041">
        <v>64893</v>
      </c>
      <c r="CK1041">
        <v>13608</v>
      </c>
      <c r="CL1041" t="s">
        <v>2349</v>
      </c>
      <c r="CM1041">
        <v>-30.56</v>
      </c>
      <c r="CN1041">
        <v>9.73</v>
      </c>
      <c r="CO1041">
        <v>1.3</v>
      </c>
      <c r="CP1041">
        <v>5.13</v>
      </c>
      <c r="CQ1041">
        <v>0.43</v>
      </c>
      <c r="CR1041">
        <v>0.67</v>
      </c>
      <c r="CS1041" t="s">
        <v>6048</v>
      </c>
      <c r="CT1041">
        <v>5.9</v>
      </c>
      <c r="CU1041">
        <v>0</v>
      </c>
      <c r="CV1041">
        <v>2.63</v>
      </c>
      <c r="CW1041">
        <v>2.23</v>
      </c>
      <c r="CX1041">
        <v>1.5</v>
      </c>
      <c r="CY1041">
        <v>23.83</v>
      </c>
      <c r="CZ1041" t="s">
        <v>6049</v>
      </c>
      <c r="DA1041">
        <v>19.38</v>
      </c>
      <c r="DB1041">
        <v>4.84</v>
      </c>
      <c r="DC1041">
        <v>2.15</v>
      </c>
      <c r="DD1041">
        <v>0</v>
      </c>
      <c r="DE1041">
        <v>10097</v>
      </c>
      <c r="DF1041">
        <v>2589</v>
      </c>
      <c r="DG1041" t="s">
        <v>116</v>
      </c>
      <c r="DH1041" t="s">
        <v>116</v>
      </c>
      <c r="DI1041" t="s">
        <v>116</v>
      </c>
    </row>
    <row r="1042" spans="1:113" x14ac:dyDescent="0.4">
      <c r="A1042" t="str">
        <f>"002590"</f>
        <v>002590</v>
      </c>
      <c r="B1042" t="s">
        <v>6050</v>
      </c>
      <c r="C1042">
        <v>-2.64</v>
      </c>
      <c r="D1042">
        <v>7.02</v>
      </c>
      <c r="E1042">
        <v>-0.19</v>
      </c>
      <c r="F1042">
        <v>7.01</v>
      </c>
      <c r="G1042">
        <v>7.02</v>
      </c>
      <c r="H1042">
        <v>55151</v>
      </c>
      <c r="I1042">
        <v>401</v>
      </c>
      <c r="J1042">
        <v>0</v>
      </c>
      <c r="K1042">
        <v>1.27</v>
      </c>
      <c r="L1042">
        <v>7.22</v>
      </c>
      <c r="M1042">
        <v>7.29</v>
      </c>
      <c r="N1042">
        <v>7.01</v>
      </c>
      <c r="O1042">
        <v>7.21</v>
      </c>
      <c r="P1042">
        <v>95.17</v>
      </c>
      <c r="Q1042">
        <v>39558252</v>
      </c>
      <c r="R1042">
        <v>0.49</v>
      </c>
      <c r="S1042" t="s">
        <v>293</v>
      </c>
      <c r="T1042" t="s">
        <v>590</v>
      </c>
      <c r="U1042">
        <v>3.88</v>
      </c>
      <c r="V1042">
        <v>7.17</v>
      </c>
      <c r="W1042">
        <v>34765</v>
      </c>
      <c r="X1042">
        <v>20386</v>
      </c>
      <c r="Y1042">
        <v>1.71</v>
      </c>
      <c r="Z1042">
        <v>683</v>
      </c>
      <c r="AA1042">
        <v>184</v>
      </c>
      <c r="AB1042" t="s">
        <v>116</v>
      </c>
      <c r="AC1042">
        <v>154500</v>
      </c>
      <c r="AD1042">
        <v>0.01</v>
      </c>
      <c r="AE1042" t="s">
        <v>116</v>
      </c>
      <c r="AF1042" t="s">
        <v>116</v>
      </c>
      <c r="AG1042">
        <v>4.34</v>
      </c>
      <c r="AH1042" t="s">
        <v>6051</v>
      </c>
      <c r="AI1042" t="s">
        <v>6052</v>
      </c>
      <c r="AJ1042">
        <v>-1.96</v>
      </c>
      <c r="AK1042">
        <v>1192</v>
      </c>
      <c r="AL1042">
        <v>46</v>
      </c>
      <c r="AM1042">
        <v>1.1000000000000001E-3</v>
      </c>
      <c r="AN1042">
        <v>-2</v>
      </c>
      <c r="AO1042">
        <v>-2.9</v>
      </c>
      <c r="AP1042">
        <v>10.9</v>
      </c>
      <c r="AQ1042">
        <v>0</v>
      </c>
      <c r="AR1042">
        <v>10.38</v>
      </c>
      <c r="AS1042">
        <v>2.77</v>
      </c>
      <c r="AT1042" t="s">
        <v>5962</v>
      </c>
      <c r="AU1042" t="s">
        <v>116</v>
      </c>
      <c r="AV1042" t="s">
        <v>116</v>
      </c>
      <c r="AW1042">
        <v>0.93</v>
      </c>
      <c r="BA1042">
        <v>0.14000000000000001</v>
      </c>
      <c r="BB1042">
        <v>1.1100000000000001</v>
      </c>
      <c r="BC1042">
        <v>-2.77</v>
      </c>
      <c r="BD1042">
        <v>-0.52</v>
      </c>
      <c r="BE1042">
        <v>-2.77</v>
      </c>
      <c r="BF1042">
        <v>-3.7</v>
      </c>
      <c r="BG1042">
        <v>0.14000000000000001</v>
      </c>
      <c r="BH1042">
        <v>-2.12</v>
      </c>
      <c r="BI1042">
        <v>20191029</v>
      </c>
      <c r="BJ1042">
        <v>20110610</v>
      </c>
      <c r="BK1042">
        <v>4.8</v>
      </c>
      <c r="BL1042" t="s">
        <v>116</v>
      </c>
      <c r="BM1042" t="s">
        <v>116</v>
      </c>
      <c r="BN1042">
        <v>34.630000000000003</v>
      </c>
      <c r="BO1042">
        <v>18.07</v>
      </c>
      <c r="BP1042">
        <v>0.62</v>
      </c>
      <c r="BQ1042">
        <v>46.03</v>
      </c>
      <c r="BR1042">
        <v>20.91</v>
      </c>
      <c r="BS1042">
        <v>8.67</v>
      </c>
      <c r="BT1042">
        <v>2.3199999999999998</v>
      </c>
      <c r="BU1042">
        <v>13.62</v>
      </c>
      <c r="BV1042">
        <v>4.75</v>
      </c>
      <c r="BW1042">
        <v>5</v>
      </c>
      <c r="BX1042">
        <v>7.86</v>
      </c>
      <c r="BY1042">
        <v>15.59</v>
      </c>
      <c r="BZ1042">
        <v>12.25</v>
      </c>
      <c r="CA1042">
        <v>0.43</v>
      </c>
      <c r="CB1042">
        <v>0.2</v>
      </c>
      <c r="CC1042">
        <v>0.44</v>
      </c>
      <c r="CD1042">
        <v>0.25</v>
      </c>
      <c r="CE1042">
        <v>0.27</v>
      </c>
      <c r="CF1042">
        <v>0.1</v>
      </c>
      <c r="CG1042">
        <v>4.6900000000000004</v>
      </c>
      <c r="CH1042">
        <v>0.62</v>
      </c>
      <c r="CI1042">
        <v>-0.54</v>
      </c>
      <c r="CJ1042">
        <v>41635</v>
      </c>
      <c r="CK1042">
        <v>4790</v>
      </c>
      <c r="CL1042" t="s">
        <v>2619</v>
      </c>
      <c r="CM1042">
        <v>-65.73</v>
      </c>
      <c r="CN1042">
        <v>-9.18</v>
      </c>
      <c r="CO1042">
        <v>1.86</v>
      </c>
      <c r="CP1042">
        <v>54.33</v>
      </c>
      <c r="CQ1042">
        <v>2.16</v>
      </c>
      <c r="CR1042">
        <v>0</v>
      </c>
      <c r="CS1042" t="s">
        <v>2069</v>
      </c>
      <c r="CT1042">
        <v>3.77</v>
      </c>
      <c r="CU1042">
        <v>0</v>
      </c>
      <c r="CV1042">
        <v>1.64</v>
      </c>
      <c r="CW1042">
        <v>0.98</v>
      </c>
      <c r="CX1042">
        <v>0.13</v>
      </c>
      <c r="CY1042">
        <v>52.18</v>
      </c>
      <c r="CZ1042" t="s">
        <v>6053</v>
      </c>
      <c r="DA1042">
        <v>21.41</v>
      </c>
      <c r="DB1042">
        <v>2.76</v>
      </c>
      <c r="DC1042">
        <v>1.7</v>
      </c>
      <c r="DD1042">
        <v>0.81</v>
      </c>
      <c r="DE1042">
        <v>3241</v>
      </c>
      <c r="DF1042">
        <v>2590</v>
      </c>
      <c r="DG1042" t="s">
        <v>116</v>
      </c>
      <c r="DH1042" t="s">
        <v>116</v>
      </c>
      <c r="DI1042" t="s">
        <v>116</v>
      </c>
    </row>
    <row r="1043" spans="1:113" x14ac:dyDescent="0.4">
      <c r="A1043" t="str">
        <f>"002591"</f>
        <v>002591</v>
      </c>
      <c r="B1043" t="s">
        <v>6054</v>
      </c>
      <c r="C1043">
        <v>-2.09</v>
      </c>
      <c r="D1043">
        <v>9.39</v>
      </c>
      <c r="E1043">
        <v>-0.2</v>
      </c>
      <c r="F1043">
        <v>9.3800000000000008</v>
      </c>
      <c r="G1043">
        <v>9.39</v>
      </c>
      <c r="H1043">
        <v>136330</v>
      </c>
      <c r="I1043">
        <v>1088</v>
      </c>
      <c r="J1043">
        <v>-0.41</v>
      </c>
      <c r="K1043">
        <v>7.23</v>
      </c>
      <c r="L1043">
        <v>9.66</v>
      </c>
      <c r="M1043">
        <v>9.66</v>
      </c>
      <c r="N1043">
        <v>9.16</v>
      </c>
      <c r="O1043">
        <v>9.59</v>
      </c>
      <c r="P1043">
        <v>25.94</v>
      </c>
      <c r="Q1043">
        <v>128312440</v>
      </c>
      <c r="R1043">
        <v>1.67</v>
      </c>
      <c r="S1043" t="s">
        <v>891</v>
      </c>
      <c r="T1043" t="s">
        <v>683</v>
      </c>
      <c r="U1043">
        <v>5.21</v>
      </c>
      <c r="V1043">
        <v>9.41</v>
      </c>
      <c r="W1043">
        <v>81965</v>
      </c>
      <c r="X1043">
        <v>54365</v>
      </c>
      <c r="Y1043">
        <v>1.51</v>
      </c>
      <c r="Z1043">
        <v>78</v>
      </c>
      <c r="AA1043">
        <v>40</v>
      </c>
      <c r="AB1043" t="s">
        <v>116</v>
      </c>
      <c r="AC1043">
        <v>1091600</v>
      </c>
      <c r="AD1043">
        <v>0.09</v>
      </c>
      <c r="AE1043" t="s">
        <v>116</v>
      </c>
      <c r="AF1043" t="s">
        <v>116</v>
      </c>
      <c r="AG1043">
        <v>1.89</v>
      </c>
      <c r="AH1043" t="s">
        <v>6055</v>
      </c>
      <c r="AI1043" t="s">
        <v>6056</v>
      </c>
      <c r="AJ1043">
        <v>-1.41</v>
      </c>
      <c r="AK1043">
        <v>2977</v>
      </c>
      <c r="AL1043">
        <v>46</v>
      </c>
      <c r="AM1043">
        <v>2.3999999999999998E-3</v>
      </c>
      <c r="AN1043">
        <v>-1</v>
      </c>
      <c r="AO1043">
        <v>1.07</v>
      </c>
      <c r="AP1043">
        <v>14.37</v>
      </c>
      <c r="AQ1043">
        <v>19.920000000000002</v>
      </c>
      <c r="AR1043">
        <v>38.090000000000003</v>
      </c>
      <c r="AS1043">
        <v>10.55</v>
      </c>
      <c r="AT1043" t="s">
        <v>6057</v>
      </c>
      <c r="AU1043">
        <v>30.37</v>
      </c>
      <c r="AV1043">
        <v>82.5</v>
      </c>
      <c r="AW1043">
        <v>0.74</v>
      </c>
      <c r="BA1043">
        <v>0.73</v>
      </c>
      <c r="BB1043">
        <v>0.73</v>
      </c>
      <c r="BC1043">
        <v>-4.4800000000000004</v>
      </c>
      <c r="BD1043">
        <v>-1.86</v>
      </c>
      <c r="BE1043">
        <v>-2.8</v>
      </c>
      <c r="BF1043">
        <v>-2.8</v>
      </c>
      <c r="BG1043">
        <v>2.5099999999999998</v>
      </c>
      <c r="BH1043">
        <v>-0.23</v>
      </c>
      <c r="BI1043">
        <v>20191223</v>
      </c>
      <c r="BJ1043">
        <v>20110621</v>
      </c>
      <c r="BK1043">
        <v>3.07</v>
      </c>
      <c r="BL1043" t="s">
        <v>116</v>
      </c>
      <c r="BM1043" t="s">
        <v>116</v>
      </c>
      <c r="BN1043">
        <v>15.28</v>
      </c>
      <c r="BO1043">
        <v>12.72</v>
      </c>
      <c r="BP1043">
        <v>0.26</v>
      </c>
      <c r="BQ1043">
        <v>15.12</v>
      </c>
      <c r="BR1043">
        <v>6.58</v>
      </c>
      <c r="BS1043">
        <v>1.73</v>
      </c>
      <c r="BT1043">
        <v>0.36</v>
      </c>
      <c r="BU1043">
        <v>2.2799999999999998</v>
      </c>
      <c r="BV1043">
        <v>0.42</v>
      </c>
      <c r="BW1043">
        <v>3.27</v>
      </c>
      <c r="BX1043">
        <v>8.65</v>
      </c>
      <c r="BY1043">
        <v>3.13</v>
      </c>
      <c r="BZ1043">
        <v>1.46</v>
      </c>
      <c r="CA1043">
        <v>0.93</v>
      </c>
      <c r="CB1043">
        <v>0.01</v>
      </c>
      <c r="CC1043">
        <v>0.94</v>
      </c>
      <c r="CD1043">
        <v>0.81</v>
      </c>
      <c r="CE1043">
        <v>0.83</v>
      </c>
      <c r="CF1043">
        <v>0.81</v>
      </c>
      <c r="CG1043">
        <v>1.3</v>
      </c>
      <c r="CH1043">
        <v>0.16</v>
      </c>
      <c r="CI1043">
        <v>0.28000000000000003</v>
      </c>
      <c r="CJ1043">
        <v>19873</v>
      </c>
      <c r="CK1043">
        <v>6501</v>
      </c>
      <c r="CL1043" t="s">
        <v>2605</v>
      </c>
      <c r="CM1043">
        <v>256.33999999999997</v>
      </c>
      <c r="CN1043">
        <v>49.34</v>
      </c>
      <c r="CO1043">
        <v>2.2599999999999998</v>
      </c>
      <c r="CP1043">
        <v>181.69</v>
      </c>
      <c r="CQ1043">
        <v>9.2100000000000009</v>
      </c>
      <c r="CR1043">
        <v>0</v>
      </c>
      <c r="CS1043" t="s">
        <v>1170</v>
      </c>
      <c r="CT1043">
        <v>4.1500000000000004</v>
      </c>
      <c r="CU1043">
        <v>0</v>
      </c>
      <c r="CV1043">
        <v>2.82</v>
      </c>
      <c r="CW1043">
        <v>0.42</v>
      </c>
      <c r="CX1043">
        <v>0.05</v>
      </c>
      <c r="CY1043">
        <v>83.21</v>
      </c>
      <c r="CZ1043" t="s">
        <v>6058</v>
      </c>
      <c r="DA1043">
        <v>53.28</v>
      </c>
      <c r="DB1043">
        <v>29.6</v>
      </c>
      <c r="DC1043">
        <v>26.63</v>
      </c>
      <c r="DD1043">
        <v>0.15</v>
      </c>
      <c r="DE1043">
        <v>544</v>
      </c>
      <c r="DF1043">
        <v>2591</v>
      </c>
      <c r="DG1043" t="s">
        <v>116</v>
      </c>
      <c r="DH1043" t="s">
        <v>116</v>
      </c>
      <c r="DI1043" t="s">
        <v>116</v>
      </c>
    </row>
    <row r="1044" spans="1:113" x14ac:dyDescent="0.4">
      <c r="A1044" t="str">
        <f>"002592"</f>
        <v>002592</v>
      </c>
      <c r="B1044" t="s">
        <v>6059</v>
      </c>
      <c r="C1044">
        <v>-2.31</v>
      </c>
      <c r="D1044">
        <v>13.55</v>
      </c>
      <c r="E1044">
        <v>-0.32</v>
      </c>
      <c r="F1044">
        <v>13.55</v>
      </c>
      <c r="G1044">
        <v>13.56</v>
      </c>
      <c r="H1044">
        <v>29414</v>
      </c>
      <c r="I1044">
        <v>608</v>
      </c>
      <c r="J1044">
        <v>0</v>
      </c>
      <c r="K1044">
        <v>1.2</v>
      </c>
      <c r="L1044">
        <v>13.92</v>
      </c>
      <c r="M1044">
        <v>13.98</v>
      </c>
      <c r="N1044">
        <v>13.5</v>
      </c>
      <c r="O1044">
        <v>13.87</v>
      </c>
      <c r="P1044" t="s">
        <v>116</v>
      </c>
      <c r="Q1044">
        <v>40412876</v>
      </c>
      <c r="R1044">
        <v>1</v>
      </c>
      <c r="S1044" t="s">
        <v>293</v>
      </c>
      <c r="T1044" t="s">
        <v>982</v>
      </c>
      <c r="U1044">
        <v>3.46</v>
      </c>
      <c r="V1044">
        <v>13.74</v>
      </c>
      <c r="W1044">
        <v>18443</v>
      </c>
      <c r="X1044">
        <v>10971</v>
      </c>
      <c r="Y1044">
        <v>1.68</v>
      </c>
      <c r="Z1044">
        <v>48</v>
      </c>
      <c r="AA1044">
        <v>121</v>
      </c>
      <c r="AB1044" t="s">
        <v>116</v>
      </c>
      <c r="AC1044">
        <v>44500</v>
      </c>
      <c r="AD1044">
        <v>0</v>
      </c>
      <c r="AE1044" t="s">
        <v>116</v>
      </c>
      <c r="AF1044" t="s">
        <v>116</v>
      </c>
      <c r="AG1044">
        <v>2.46</v>
      </c>
      <c r="AH1044" t="s">
        <v>3274</v>
      </c>
      <c r="AI1044" t="s">
        <v>6060</v>
      </c>
      <c r="AJ1044">
        <v>-1.63</v>
      </c>
      <c r="AK1044">
        <v>1408</v>
      </c>
      <c r="AL1044">
        <v>21</v>
      </c>
      <c r="AM1044">
        <v>8.0000000000000004E-4</v>
      </c>
      <c r="AN1044">
        <v>-3</v>
      </c>
      <c r="AO1044">
        <v>-3.22</v>
      </c>
      <c r="AP1044">
        <v>-1.38</v>
      </c>
      <c r="AQ1044">
        <v>-2.17</v>
      </c>
      <c r="AR1044">
        <v>-42.09</v>
      </c>
      <c r="AS1044">
        <v>2.0699999999999998</v>
      </c>
      <c r="AT1044" t="s">
        <v>6061</v>
      </c>
      <c r="AU1044" t="s">
        <v>116</v>
      </c>
      <c r="AV1044">
        <v>527.76</v>
      </c>
      <c r="AW1044">
        <v>1.1499999999999999</v>
      </c>
      <c r="BA1044">
        <v>0.36</v>
      </c>
      <c r="BB1044">
        <v>0.79</v>
      </c>
      <c r="BC1044">
        <v>-2.67</v>
      </c>
      <c r="BD1044">
        <v>-0.94</v>
      </c>
      <c r="BE1044">
        <v>-2.66</v>
      </c>
      <c r="BF1044">
        <v>-3.08</v>
      </c>
      <c r="BG1044">
        <v>0.37</v>
      </c>
      <c r="BH1044">
        <v>-1.37</v>
      </c>
      <c r="BI1044">
        <v>20191030</v>
      </c>
      <c r="BJ1044">
        <v>20111111</v>
      </c>
      <c r="BK1044">
        <v>2.83</v>
      </c>
      <c r="BL1044" t="s">
        <v>116</v>
      </c>
      <c r="BM1044" t="s">
        <v>116</v>
      </c>
      <c r="BN1044">
        <v>31.18</v>
      </c>
      <c r="BO1044">
        <v>18.510000000000002</v>
      </c>
      <c r="BP1044">
        <v>2.91</v>
      </c>
      <c r="BQ1044">
        <v>31.3</v>
      </c>
      <c r="BR1044">
        <v>8.0399999999999991</v>
      </c>
      <c r="BS1044">
        <v>5.37</v>
      </c>
      <c r="BT1044">
        <v>0.65</v>
      </c>
      <c r="BU1044">
        <v>9.08</v>
      </c>
      <c r="BV1044">
        <v>1.1299999999999999</v>
      </c>
      <c r="BW1044">
        <v>1.92</v>
      </c>
      <c r="BX1044">
        <v>11.97</v>
      </c>
      <c r="BY1044">
        <v>5.42</v>
      </c>
      <c r="BZ1044">
        <v>4.3</v>
      </c>
      <c r="CA1044">
        <v>0.11</v>
      </c>
      <c r="CB1044">
        <v>0.02</v>
      </c>
      <c r="CC1044">
        <v>0.1</v>
      </c>
      <c r="CD1044">
        <v>0.06</v>
      </c>
      <c r="CE1044">
        <v>-0.1</v>
      </c>
      <c r="CF1044">
        <v>-0.14000000000000001</v>
      </c>
      <c r="CG1044">
        <v>4.43</v>
      </c>
      <c r="CH1044">
        <v>-0.19</v>
      </c>
      <c r="CI1044">
        <v>-5.22</v>
      </c>
      <c r="CJ1044">
        <v>21403</v>
      </c>
      <c r="CK1044">
        <v>6647</v>
      </c>
      <c r="CL1044" t="s">
        <v>6062</v>
      </c>
      <c r="CM1044">
        <v>-172.42</v>
      </c>
      <c r="CN1044">
        <v>3.67</v>
      </c>
      <c r="CO1044">
        <v>2.0699999999999998</v>
      </c>
      <c r="CP1044">
        <v>-204.85</v>
      </c>
      <c r="CQ1044">
        <v>7.08</v>
      </c>
      <c r="CR1044">
        <v>0</v>
      </c>
      <c r="CS1044" t="s">
        <v>5995</v>
      </c>
      <c r="CT1044">
        <v>6.53</v>
      </c>
      <c r="CU1044">
        <v>0</v>
      </c>
      <c r="CV1044">
        <v>4.22</v>
      </c>
      <c r="CW1044">
        <v>1.56</v>
      </c>
      <c r="CX1044">
        <v>-7.0000000000000007E-2</v>
      </c>
      <c r="CY1044">
        <v>59.38</v>
      </c>
      <c r="CZ1044" t="s">
        <v>1418</v>
      </c>
      <c r="DA1044">
        <v>20.62</v>
      </c>
      <c r="DB1044">
        <v>1.97</v>
      </c>
      <c r="DC1044">
        <v>-1.77</v>
      </c>
      <c r="DD1044">
        <v>0.16</v>
      </c>
      <c r="DE1044">
        <v>954</v>
      </c>
      <c r="DF1044">
        <v>2592</v>
      </c>
      <c r="DG1044" t="s">
        <v>116</v>
      </c>
      <c r="DH1044" t="s">
        <v>116</v>
      </c>
      <c r="DI1044" t="s">
        <v>116</v>
      </c>
    </row>
    <row r="1045" spans="1:113" x14ac:dyDescent="0.4">
      <c r="A1045" t="str">
        <f>"002593"</f>
        <v>002593</v>
      </c>
      <c r="B1045" t="s">
        <v>6063</v>
      </c>
      <c r="C1045">
        <v>-1.53</v>
      </c>
      <c r="D1045">
        <v>3.85</v>
      </c>
      <c r="E1045">
        <v>-0.06</v>
      </c>
      <c r="F1045">
        <v>3.84</v>
      </c>
      <c r="G1045">
        <v>3.85</v>
      </c>
      <c r="H1045">
        <v>167970</v>
      </c>
      <c r="I1045">
        <v>3031</v>
      </c>
      <c r="J1045">
        <v>-0.25</v>
      </c>
      <c r="K1045">
        <v>3.6</v>
      </c>
      <c r="L1045">
        <v>3.91</v>
      </c>
      <c r="M1045">
        <v>3.94</v>
      </c>
      <c r="N1045">
        <v>3.84</v>
      </c>
      <c r="O1045">
        <v>3.91</v>
      </c>
      <c r="P1045">
        <v>31.88</v>
      </c>
      <c r="Q1045">
        <v>65336872</v>
      </c>
      <c r="R1045">
        <v>0.62</v>
      </c>
      <c r="S1045" t="s">
        <v>293</v>
      </c>
      <c r="T1045" t="s">
        <v>975</v>
      </c>
      <c r="U1045">
        <v>2.56</v>
      </c>
      <c r="V1045">
        <v>3.89</v>
      </c>
      <c r="W1045">
        <v>96636</v>
      </c>
      <c r="X1045">
        <v>71334</v>
      </c>
      <c r="Y1045">
        <v>1.35</v>
      </c>
      <c r="Z1045">
        <v>2102</v>
      </c>
      <c r="AA1045">
        <v>373</v>
      </c>
      <c r="AB1045" t="s">
        <v>116</v>
      </c>
      <c r="AC1045">
        <v>201400</v>
      </c>
      <c r="AD1045">
        <v>0.02</v>
      </c>
      <c r="AE1045" t="s">
        <v>116</v>
      </c>
      <c r="AF1045" t="s">
        <v>116</v>
      </c>
      <c r="AG1045">
        <v>4.67</v>
      </c>
      <c r="AH1045" t="s">
        <v>6064</v>
      </c>
      <c r="AI1045" t="s">
        <v>4955</v>
      </c>
      <c r="AJ1045">
        <v>-0.86</v>
      </c>
      <c r="AK1045">
        <v>1801</v>
      </c>
      <c r="AL1045">
        <v>93</v>
      </c>
      <c r="AM1045">
        <v>2E-3</v>
      </c>
      <c r="AN1045">
        <v>-3</v>
      </c>
      <c r="AO1045">
        <v>-2.5299999999999998</v>
      </c>
      <c r="AP1045">
        <v>12.57</v>
      </c>
      <c r="AQ1045">
        <v>11.27</v>
      </c>
      <c r="AR1045">
        <v>28.78</v>
      </c>
      <c r="AS1045">
        <v>5.74</v>
      </c>
      <c r="AT1045" t="s">
        <v>251</v>
      </c>
      <c r="AU1045">
        <v>32.29</v>
      </c>
      <c r="AV1045">
        <v>33.07</v>
      </c>
      <c r="AW1045">
        <v>0.91</v>
      </c>
      <c r="BA1045">
        <v>0</v>
      </c>
      <c r="BB1045">
        <v>0.77</v>
      </c>
      <c r="BC1045">
        <v>-1.79</v>
      </c>
      <c r="BD1045">
        <v>-0.52</v>
      </c>
      <c r="BE1045">
        <v>-1.53</v>
      </c>
      <c r="BF1045">
        <v>-2.2799999999999998</v>
      </c>
      <c r="BG1045">
        <v>0.26</v>
      </c>
      <c r="BH1045">
        <v>-1.02</v>
      </c>
      <c r="BI1045">
        <v>20191029</v>
      </c>
      <c r="BJ1045">
        <v>20110628</v>
      </c>
      <c r="BK1045">
        <v>7.01</v>
      </c>
      <c r="BL1045" t="s">
        <v>116</v>
      </c>
      <c r="BM1045" t="s">
        <v>116</v>
      </c>
      <c r="BN1045">
        <v>39.82</v>
      </c>
      <c r="BO1045">
        <v>18.96</v>
      </c>
      <c r="BP1045">
        <v>0.2</v>
      </c>
      <c r="BQ1045">
        <v>51.89</v>
      </c>
      <c r="BR1045">
        <v>28.14</v>
      </c>
      <c r="BS1045">
        <v>9.23</v>
      </c>
      <c r="BT1045">
        <v>1.45</v>
      </c>
      <c r="BU1045">
        <v>20.190000000000001</v>
      </c>
      <c r="BV1045">
        <v>16.02</v>
      </c>
      <c r="BW1045">
        <v>5.79</v>
      </c>
      <c r="BX1045">
        <v>7.38</v>
      </c>
      <c r="BY1045">
        <v>19.07</v>
      </c>
      <c r="BZ1045">
        <v>16.510000000000002</v>
      </c>
      <c r="CA1045">
        <v>0.77</v>
      </c>
      <c r="CB1045">
        <v>-0.02</v>
      </c>
      <c r="CC1045">
        <v>0.77</v>
      </c>
      <c r="CD1045">
        <v>0.63</v>
      </c>
      <c r="CE1045">
        <v>0.63</v>
      </c>
      <c r="CF1045">
        <v>0.54</v>
      </c>
      <c r="CG1045">
        <v>4.55</v>
      </c>
      <c r="CH1045">
        <v>-0.36</v>
      </c>
      <c r="CI1045">
        <v>-1.9</v>
      </c>
      <c r="CJ1045">
        <v>29665</v>
      </c>
      <c r="CK1045">
        <v>9858</v>
      </c>
      <c r="CL1045" t="s">
        <v>1800</v>
      </c>
      <c r="CM1045">
        <v>3.2</v>
      </c>
      <c r="CN1045">
        <v>-14.17</v>
      </c>
      <c r="CO1045">
        <v>1.42</v>
      </c>
      <c r="CP1045">
        <v>-75.900000000000006</v>
      </c>
      <c r="CQ1045">
        <v>1.42</v>
      </c>
      <c r="CR1045">
        <v>1.3</v>
      </c>
      <c r="CS1045" t="s">
        <v>1381</v>
      </c>
      <c r="CT1045">
        <v>2.7</v>
      </c>
      <c r="CU1045">
        <v>0</v>
      </c>
      <c r="CV1045">
        <v>1.05</v>
      </c>
      <c r="CW1045">
        <v>0.65</v>
      </c>
      <c r="CX1045">
        <v>-0.05</v>
      </c>
      <c r="CY1045">
        <v>47.61</v>
      </c>
      <c r="CZ1045" t="s">
        <v>744</v>
      </c>
      <c r="DA1045">
        <v>13.47</v>
      </c>
      <c r="DB1045">
        <v>4.0599999999999996</v>
      </c>
      <c r="DC1045">
        <v>3.33</v>
      </c>
      <c r="DD1045">
        <v>0.09</v>
      </c>
      <c r="DE1045">
        <v>3184</v>
      </c>
      <c r="DF1045">
        <v>2593</v>
      </c>
      <c r="DG1045" t="s">
        <v>116</v>
      </c>
      <c r="DH1045" t="s">
        <v>116</v>
      </c>
      <c r="DI1045" t="s">
        <v>116</v>
      </c>
    </row>
    <row r="1046" spans="1:113" x14ac:dyDescent="0.4">
      <c r="A1046" t="str">
        <f>"002594"</f>
        <v>002594</v>
      </c>
      <c r="B1046" t="s">
        <v>6065</v>
      </c>
      <c r="C1046">
        <v>-0.88</v>
      </c>
      <c r="D1046">
        <v>46</v>
      </c>
      <c r="E1046">
        <v>-0.41</v>
      </c>
      <c r="F1046">
        <v>46</v>
      </c>
      <c r="G1046">
        <v>46.01</v>
      </c>
      <c r="H1046">
        <v>109621</v>
      </c>
      <c r="I1046">
        <v>1905</v>
      </c>
      <c r="J1046">
        <v>0</v>
      </c>
      <c r="K1046">
        <v>0.96</v>
      </c>
      <c r="L1046">
        <v>46.2</v>
      </c>
      <c r="M1046">
        <v>46.85</v>
      </c>
      <c r="N1046">
        <v>46</v>
      </c>
      <c r="O1046">
        <v>46.41</v>
      </c>
      <c r="P1046">
        <v>59.79</v>
      </c>
      <c r="Q1046">
        <v>507597024</v>
      </c>
      <c r="R1046">
        <v>0.62</v>
      </c>
      <c r="S1046" t="s">
        <v>1108</v>
      </c>
      <c r="T1046" t="s">
        <v>115</v>
      </c>
      <c r="U1046">
        <v>1.83</v>
      </c>
      <c r="V1046">
        <v>46.3</v>
      </c>
      <c r="W1046">
        <v>57518</v>
      </c>
      <c r="X1046">
        <v>52103</v>
      </c>
      <c r="Y1046">
        <v>1.1000000000000001</v>
      </c>
      <c r="Z1046">
        <v>1304</v>
      </c>
      <c r="AA1046">
        <v>67</v>
      </c>
      <c r="AB1046" t="s">
        <v>116</v>
      </c>
      <c r="AC1046">
        <v>4111800</v>
      </c>
      <c r="AD1046">
        <v>0.01</v>
      </c>
      <c r="AE1046" t="s">
        <v>116</v>
      </c>
      <c r="AF1046" t="s">
        <v>116</v>
      </c>
      <c r="AG1046">
        <v>11.41</v>
      </c>
      <c r="AH1046" t="s">
        <v>6066</v>
      </c>
      <c r="AI1046" t="s">
        <v>6067</v>
      </c>
      <c r="AJ1046">
        <v>-0.2</v>
      </c>
      <c r="AK1046">
        <v>3681</v>
      </c>
      <c r="AL1046">
        <v>30</v>
      </c>
      <c r="AM1046">
        <v>2.9999999999999997E-4</v>
      </c>
      <c r="AN1046">
        <v>-2</v>
      </c>
      <c r="AO1046">
        <v>-1.66</v>
      </c>
      <c r="AP1046">
        <v>6.02</v>
      </c>
      <c r="AQ1046">
        <v>-5.31</v>
      </c>
      <c r="AR1046">
        <v>-9.44</v>
      </c>
      <c r="AS1046">
        <v>1.39</v>
      </c>
      <c r="AT1046" t="s">
        <v>6068</v>
      </c>
      <c r="AU1046">
        <v>44.38</v>
      </c>
      <c r="AV1046">
        <v>45.14</v>
      </c>
      <c r="AW1046">
        <v>0.78</v>
      </c>
      <c r="BA1046">
        <v>-0.45</v>
      </c>
      <c r="BB1046">
        <v>0.95</v>
      </c>
      <c r="BC1046">
        <v>-0.88</v>
      </c>
      <c r="BD1046">
        <v>-0.23</v>
      </c>
      <c r="BE1046">
        <v>-0.43</v>
      </c>
      <c r="BF1046">
        <v>-1.81</v>
      </c>
      <c r="BG1046">
        <v>0</v>
      </c>
      <c r="BH1046">
        <v>-0.66</v>
      </c>
      <c r="BI1046">
        <v>20191030</v>
      </c>
      <c r="BJ1046">
        <v>20110630</v>
      </c>
      <c r="BK1046">
        <v>27.28</v>
      </c>
      <c r="BL1046" t="s">
        <v>116</v>
      </c>
      <c r="BM1046">
        <v>9.15</v>
      </c>
      <c r="BN1046">
        <v>1982.26</v>
      </c>
      <c r="BO1046">
        <v>568.22</v>
      </c>
      <c r="BP1046">
        <v>56.52</v>
      </c>
      <c r="BQ1046">
        <v>68.48</v>
      </c>
      <c r="BR1046">
        <v>1116.21</v>
      </c>
      <c r="BS1046">
        <v>468.06</v>
      </c>
      <c r="BT1046">
        <v>127.29</v>
      </c>
      <c r="BU1046">
        <v>1090.8599999999999</v>
      </c>
      <c r="BV1046">
        <v>275.41000000000003</v>
      </c>
      <c r="BW1046">
        <v>480.14</v>
      </c>
      <c r="BX1046">
        <v>245.32</v>
      </c>
      <c r="BY1046">
        <v>938.22</v>
      </c>
      <c r="BZ1046">
        <v>787.75</v>
      </c>
      <c r="CA1046">
        <v>20.56</v>
      </c>
      <c r="CB1046">
        <v>-3.8</v>
      </c>
      <c r="CC1046">
        <v>21.68</v>
      </c>
      <c r="CD1046">
        <v>18.95</v>
      </c>
      <c r="CE1046">
        <v>15.74</v>
      </c>
      <c r="CF1046">
        <v>5.87</v>
      </c>
      <c r="CG1046">
        <v>213.27</v>
      </c>
      <c r="CH1046">
        <v>38.33</v>
      </c>
      <c r="CI1046">
        <v>-16.47</v>
      </c>
      <c r="CJ1046">
        <v>131101</v>
      </c>
      <c r="CK1046">
        <v>6024</v>
      </c>
      <c r="CL1046" t="s">
        <v>6069</v>
      </c>
      <c r="CM1046">
        <v>3.09</v>
      </c>
      <c r="CN1046">
        <v>5.44</v>
      </c>
      <c r="CO1046">
        <v>2.39</v>
      </c>
      <c r="CP1046">
        <v>32.74</v>
      </c>
      <c r="CQ1046">
        <v>1.34</v>
      </c>
      <c r="CR1046">
        <v>0.44</v>
      </c>
      <c r="CS1046" t="s">
        <v>6070</v>
      </c>
      <c r="CT1046">
        <v>19.22</v>
      </c>
      <c r="CU1046">
        <v>19.22</v>
      </c>
      <c r="CV1046">
        <v>8.99</v>
      </c>
      <c r="CW1046">
        <v>7.82</v>
      </c>
      <c r="CX1046">
        <v>1.4</v>
      </c>
      <c r="CY1046">
        <v>28.67</v>
      </c>
      <c r="CZ1046" t="s">
        <v>883</v>
      </c>
      <c r="DA1046">
        <v>16.04</v>
      </c>
      <c r="DB1046">
        <v>2.19</v>
      </c>
      <c r="DC1046">
        <v>1.68</v>
      </c>
      <c r="DD1046">
        <v>38.39</v>
      </c>
      <c r="DE1046">
        <v>220152</v>
      </c>
      <c r="DF1046">
        <v>2594</v>
      </c>
      <c r="DG1046" t="s">
        <v>116</v>
      </c>
      <c r="DH1046" t="s">
        <v>116</v>
      </c>
      <c r="DI1046" t="s">
        <v>116</v>
      </c>
    </row>
    <row r="1047" spans="1:113" x14ac:dyDescent="0.4">
      <c r="A1047" t="str">
        <f>"002595"</f>
        <v>002595</v>
      </c>
      <c r="B1047" t="s">
        <v>6071</v>
      </c>
      <c r="C1047">
        <v>-0.43</v>
      </c>
      <c r="D1047">
        <v>18.649999999999999</v>
      </c>
      <c r="E1047">
        <v>-0.08</v>
      </c>
      <c r="F1047">
        <v>18.64</v>
      </c>
      <c r="G1047">
        <v>18.649999999999999</v>
      </c>
      <c r="H1047">
        <v>8129</v>
      </c>
      <c r="I1047">
        <v>30</v>
      </c>
      <c r="J1047">
        <v>-0.1</v>
      </c>
      <c r="K1047">
        <v>0.15</v>
      </c>
      <c r="L1047">
        <v>18.79</v>
      </c>
      <c r="M1047">
        <v>18.850000000000001</v>
      </c>
      <c r="N1047">
        <v>18.61</v>
      </c>
      <c r="O1047">
        <v>18.73</v>
      </c>
      <c r="P1047">
        <v>17.2</v>
      </c>
      <c r="Q1047">
        <v>15189595</v>
      </c>
      <c r="R1047">
        <v>0.81</v>
      </c>
      <c r="S1047" t="s">
        <v>682</v>
      </c>
      <c r="T1047" t="s">
        <v>645</v>
      </c>
      <c r="U1047">
        <v>1.28</v>
      </c>
      <c r="V1047">
        <v>18.68</v>
      </c>
      <c r="W1047">
        <v>4084</v>
      </c>
      <c r="X1047">
        <v>4045</v>
      </c>
      <c r="Y1047">
        <v>1.01</v>
      </c>
      <c r="Z1047">
        <v>58</v>
      </c>
      <c r="AA1047">
        <v>1</v>
      </c>
      <c r="AB1047" t="s">
        <v>116</v>
      </c>
      <c r="AC1047">
        <v>50700</v>
      </c>
      <c r="AD1047">
        <v>0</v>
      </c>
      <c r="AE1047" t="s">
        <v>116</v>
      </c>
      <c r="AF1047" t="s">
        <v>116</v>
      </c>
      <c r="AG1047">
        <v>5.27</v>
      </c>
      <c r="AH1047" t="s">
        <v>6072</v>
      </c>
      <c r="AI1047" t="s">
        <v>6073</v>
      </c>
      <c r="AJ1047">
        <v>0.25</v>
      </c>
      <c r="AK1047">
        <v>1110</v>
      </c>
      <c r="AL1047">
        <v>7</v>
      </c>
      <c r="AM1047">
        <v>1E-4</v>
      </c>
      <c r="AN1047">
        <v>-2</v>
      </c>
      <c r="AO1047">
        <v>-0.86</v>
      </c>
      <c r="AP1047">
        <v>-1.43</v>
      </c>
      <c r="AQ1047">
        <v>-0.69</v>
      </c>
      <c r="AR1047">
        <v>19.36</v>
      </c>
      <c r="AS1047">
        <v>0.21</v>
      </c>
      <c r="AT1047" t="s">
        <v>6074</v>
      </c>
      <c r="AU1047">
        <v>18.36</v>
      </c>
      <c r="AV1047">
        <v>20.190000000000001</v>
      </c>
      <c r="AW1047">
        <v>0.34</v>
      </c>
      <c r="BA1047">
        <v>0.32</v>
      </c>
      <c r="BB1047">
        <v>0.64</v>
      </c>
      <c r="BC1047">
        <v>-0.64</v>
      </c>
      <c r="BD1047">
        <v>-0.24</v>
      </c>
      <c r="BE1047">
        <v>-0.75</v>
      </c>
      <c r="BF1047">
        <v>-1.06</v>
      </c>
      <c r="BG1047">
        <v>0.21</v>
      </c>
      <c r="BH1047">
        <v>-0.19</v>
      </c>
      <c r="BI1047">
        <v>20191029</v>
      </c>
      <c r="BJ1047">
        <v>20110628</v>
      </c>
      <c r="BK1047">
        <v>8</v>
      </c>
      <c r="BL1047" t="s">
        <v>116</v>
      </c>
      <c r="BM1047" t="s">
        <v>116</v>
      </c>
      <c r="BN1047">
        <v>63.59</v>
      </c>
      <c r="BO1047">
        <v>47.26</v>
      </c>
      <c r="BP1047">
        <v>0.06</v>
      </c>
      <c r="BQ1047">
        <v>25.58</v>
      </c>
      <c r="BR1047">
        <v>34.18</v>
      </c>
      <c r="BS1047">
        <v>16.73</v>
      </c>
      <c r="BT1047">
        <v>3.05</v>
      </c>
      <c r="BU1047">
        <v>15.54</v>
      </c>
      <c r="BV1047">
        <v>8.2899999999999991</v>
      </c>
      <c r="BW1047">
        <v>13.85</v>
      </c>
      <c r="BX1047">
        <v>5.0599999999999996</v>
      </c>
      <c r="BY1047">
        <v>31.36</v>
      </c>
      <c r="BZ1047">
        <v>20.91</v>
      </c>
      <c r="CA1047">
        <v>7.67</v>
      </c>
      <c r="CB1047">
        <v>0.18</v>
      </c>
      <c r="CC1047">
        <v>7.65</v>
      </c>
      <c r="CD1047">
        <v>6.52</v>
      </c>
      <c r="CE1047">
        <v>6.5</v>
      </c>
      <c r="CF1047">
        <v>6.32</v>
      </c>
      <c r="CG1047">
        <v>29.8</v>
      </c>
      <c r="CH1047">
        <v>-1.65</v>
      </c>
      <c r="CI1047">
        <v>-0.22</v>
      </c>
      <c r="CJ1047">
        <v>17793</v>
      </c>
      <c r="CK1047">
        <v>21704</v>
      </c>
      <c r="CL1047" t="s">
        <v>6075</v>
      </c>
      <c r="CM1047">
        <v>12.78</v>
      </c>
      <c r="CN1047">
        <v>18.11</v>
      </c>
      <c r="CO1047">
        <v>3.16</v>
      </c>
      <c r="CP1047">
        <v>-90.33</v>
      </c>
      <c r="CQ1047">
        <v>4.76</v>
      </c>
      <c r="CR1047">
        <v>2.0099999999999998</v>
      </c>
      <c r="CS1047" t="s">
        <v>6076</v>
      </c>
      <c r="CT1047">
        <v>5.91</v>
      </c>
      <c r="CU1047">
        <v>0</v>
      </c>
      <c r="CV1047">
        <v>0.63</v>
      </c>
      <c r="CW1047">
        <v>3.72</v>
      </c>
      <c r="CX1047">
        <v>-0.21</v>
      </c>
      <c r="CY1047">
        <v>74.33</v>
      </c>
      <c r="CZ1047" t="s">
        <v>2130</v>
      </c>
      <c r="DA1047">
        <v>33.31</v>
      </c>
      <c r="DB1047">
        <v>24.47</v>
      </c>
      <c r="DC1047">
        <v>20.74</v>
      </c>
      <c r="DD1047">
        <v>1.23</v>
      </c>
      <c r="DE1047">
        <v>11545</v>
      </c>
      <c r="DF1047">
        <v>2595</v>
      </c>
      <c r="DG1047" t="s">
        <v>116</v>
      </c>
      <c r="DH1047" t="s">
        <v>116</v>
      </c>
      <c r="DI1047" t="s">
        <v>116</v>
      </c>
    </row>
    <row r="1048" spans="1:113" x14ac:dyDescent="0.4">
      <c r="A1048" t="str">
        <f>"002596"</f>
        <v>002596</v>
      </c>
      <c r="B1048" t="s">
        <v>6077</v>
      </c>
      <c r="C1048">
        <v>-2.67</v>
      </c>
      <c r="D1048">
        <v>6.56</v>
      </c>
      <c r="E1048">
        <v>-0.18</v>
      </c>
      <c r="F1048">
        <v>6.56</v>
      </c>
      <c r="G1048">
        <v>6.57</v>
      </c>
      <c r="H1048">
        <v>461178</v>
      </c>
      <c r="I1048">
        <v>4332</v>
      </c>
      <c r="J1048">
        <v>-0.45</v>
      </c>
      <c r="K1048">
        <v>5.13</v>
      </c>
      <c r="L1048">
        <v>6.72</v>
      </c>
      <c r="M1048">
        <v>6.79</v>
      </c>
      <c r="N1048">
        <v>6.53</v>
      </c>
      <c r="O1048">
        <v>6.74</v>
      </c>
      <c r="P1048">
        <v>100.05</v>
      </c>
      <c r="Q1048">
        <v>305858720</v>
      </c>
      <c r="R1048">
        <v>0.64</v>
      </c>
      <c r="S1048" t="s">
        <v>249</v>
      </c>
      <c r="T1048" t="s">
        <v>851</v>
      </c>
      <c r="U1048">
        <v>3.86</v>
      </c>
      <c r="V1048">
        <v>6.63</v>
      </c>
      <c r="W1048">
        <v>252255</v>
      </c>
      <c r="X1048">
        <v>208923</v>
      </c>
      <c r="Y1048">
        <v>1.21</v>
      </c>
      <c r="Z1048">
        <v>3307</v>
      </c>
      <c r="AA1048">
        <v>1413</v>
      </c>
      <c r="AB1048" t="s">
        <v>116</v>
      </c>
      <c r="AC1048">
        <v>2684600</v>
      </c>
      <c r="AD1048">
        <v>7.0000000000000007E-2</v>
      </c>
      <c r="AE1048" t="s">
        <v>116</v>
      </c>
      <c r="AF1048" t="s">
        <v>116</v>
      </c>
      <c r="AG1048">
        <v>8.98</v>
      </c>
      <c r="AH1048" t="s">
        <v>6078</v>
      </c>
      <c r="AI1048" t="s">
        <v>6079</v>
      </c>
      <c r="AJ1048">
        <v>-1.99</v>
      </c>
      <c r="AK1048">
        <v>3807</v>
      </c>
      <c r="AL1048">
        <v>121</v>
      </c>
      <c r="AM1048">
        <v>1.2999999999999999E-3</v>
      </c>
      <c r="AN1048">
        <v>-1</v>
      </c>
      <c r="AO1048">
        <v>-3.95</v>
      </c>
      <c r="AP1048">
        <v>28.12</v>
      </c>
      <c r="AQ1048">
        <v>8.7899999999999991</v>
      </c>
      <c r="AR1048">
        <v>9.66</v>
      </c>
      <c r="AS1048">
        <v>8.09</v>
      </c>
      <c r="AT1048" t="s">
        <v>4996</v>
      </c>
      <c r="AU1048">
        <v>111.36</v>
      </c>
      <c r="AV1048">
        <v>61.81</v>
      </c>
      <c r="AW1048">
        <v>0.91</v>
      </c>
      <c r="BA1048">
        <v>-0.3</v>
      </c>
      <c r="BB1048">
        <v>0.74</v>
      </c>
      <c r="BC1048">
        <v>-3.12</v>
      </c>
      <c r="BD1048">
        <v>-1.6</v>
      </c>
      <c r="BE1048">
        <v>-2.38</v>
      </c>
      <c r="BF1048">
        <v>-3.39</v>
      </c>
      <c r="BG1048">
        <v>0.46</v>
      </c>
      <c r="BH1048">
        <v>-1.07</v>
      </c>
      <c r="BI1048">
        <v>20191223</v>
      </c>
      <c r="BJ1048">
        <v>20110707</v>
      </c>
      <c r="BK1048">
        <v>11.51</v>
      </c>
      <c r="BL1048" t="s">
        <v>116</v>
      </c>
      <c r="BM1048" t="s">
        <v>116</v>
      </c>
      <c r="BN1048">
        <v>67.64</v>
      </c>
      <c r="BO1048">
        <v>36.08</v>
      </c>
      <c r="BP1048">
        <v>0.83</v>
      </c>
      <c r="BQ1048">
        <v>45.43</v>
      </c>
      <c r="BR1048">
        <v>32.56</v>
      </c>
      <c r="BS1048">
        <v>5.58</v>
      </c>
      <c r="BT1048">
        <v>4.79</v>
      </c>
      <c r="BU1048">
        <v>20.29</v>
      </c>
      <c r="BV1048">
        <v>3.67</v>
      </c>
      <c r="BW1048">
        <v>20.86</v>
      </c>
      <c r="BX1048">
        <v>16.32</v>
      </c>
      <c r="BY1048">
        <v>18.18</v>
      </c>
      <c r="BZ1048">
        <v>14.21</v>
      </c>
      <c r="CA1048">
        <v>0.95</v>
      </c>
      <c r="CB1048">
        <v>-0.01</v>
      </c>
      <c r="CC1048">
        <v>0.94</v>
      </c>
      <c r="CD1048">
        <v>0.59</v>
      </c>
      <c r="CE1048">
        <v>0.56999999999999995</v>
      </c>
      <c r="CF1048">
        <v>0.45</v>
      </c>
      <c r="CG1048">
        <v>7.73</v>
      </c>
      <c r="CH1048">
        <v>3.36</v>
      </c>
      <c r="CI1048">
        <v>2.16</v>
      </c>
      <c r="CJ1048">
        <v>65888</v>
      </c>
      <c r="CK1048">
        <v>8654</v>
      </c>
      <c r="CL1048" t="s">
        <v>6080</v>
      </c>
      <c r="CM1048">
        <v>-48.99</v>
      </c>
      <c r="CN1048">
        <v>-17.09</v>
      </c>
      <c r="CO1048">
        <v>2.09</v>
      </c>
      <c r="CP1048">
        <v>22.45</v>
      </c>
      <c r="CQ1048">
        <v>4.1500000000000004</v>
      </c>
      <c r="CR1048">
        <v>0.12</v>
      </c>
      <c r="CS1048" t="s">
        <v>5719</v>
      </c>
      <c r="CT1048">
        <v>3.14</v>
      </c>
      <c r="CU1048">
        <v>0</v>
      </c>
      <c r="CV1048">
        <v>1.42</v>
      </c>
      <c r="CW1048">
        <v>0.67</v>
      </c>
      <c r="CX1048">
        <v>0.28999999999999998</v>
      </c>
      <c r="CY1048">
        <v>53.35</v>
      </c>
      <c r="CZ1048" t="s">
        <v>4889</v>
      </c>
      <c r="DA1048">
        <v>21.83</v>
      </c>
      <c r="DB1048">
        <v>5.21</v>
      </c>
      <c r="DC1048">
        <v>3.11</v>
      </c>
      <c r="DD1048">
        <v>0.23</v>
      </c>
      <c r="DE1048">
        <v>5382</v>
      </c>
      <c r="DF1048">
        <v>2596</v>
      </c>
      <c r="DG1048" t="s">
        <v>116</v>
      </c>
      <c r="DH1048" t="s">
        <v>116</v>
      </c>
      <c r="DI1048" t="s">
        <v>116</v>
      </c>
    </row>
    <row r="1049" spans="1:113" x14ac:dyDescent="0.4">
      <c r="A1049" t="str">
        <f>"002597"</f>
        <v>002597</v>
      </c>
      <c r="B1049" t="s">
        <v>6081</v>
      </c>
      <c r="C1049">
        <v>0.92</v>
      </c>
      <c r="D1049">
        <v>21.85</v>
      </c>
      <c r="E1049">
        <v>0.2</v>
      </c>
      <c r="F1049">
        <v>21.82</v>
      </c>
      <c r="G1049">
        <v>21.85</v>
      </c>
      <c r="H1049">
        <v>43919</v>
      </c>
      <c r="I1049">
        <v>778</v>
      </c>
      <c r="J1049">
        <v>0.05</v>
      </c>
      <c r="K1049">
        <v>0.79</v>
      </c>
      <c r="L1049">
        <v>21.65</v>
      </c>
      <c r="M1049">
        <v>22.1</v>
      </c>
      <c r="N1049">
        <v>21.51</v>
      </c>
      <c r="O1049">
        <v>21.65</v>
      </c>
      <c r="P1049">
        <v>14.99</v>
      </c>
      <c r="Q1049">
        <v>96001184</v>
      </c>
      <c r="R1049">
        <v>0.86</v>
      </c>
      <c r="S1049" t="s">
        <v>891</v>
      </c>
      <c r="T1049" t="s">
        <v>575</v>
      </c>
      <c r="U1049">
        <v>2.73</v>
      </c>
      <c r="V1049">
        <v>21.86</v>
      </c>
      <c r="W1049">
        <v>18719</v>
      </c>
      <c r="X1049">
        <v>25200</v>
      </c>
      <c r="Y1049">
        <v>0.74</v>
      </c>
      <c r="Z1049">
        <v>61</v>
      </c>
      <c r="AA1049">
        <v>355</v>
      </c>
      <c r="AB1049" t="s">
        <v>116</v>
      </c>
      <c r="AC1049">
        <v>39000</v>
      </c>
      <c r="AD1049">
        <v>0</v>
      </c>
      <c r="AE1049" t="s">
        <v>116</v>
      </c>
      <c r="AF1049" t="s">
        <v>116</v>
      </c>
      <c r="AG1049">
        <v>5.53</v>
      </c>
      <c r="AH1049" t="s">
        <v>6082</v>
      </c>
      <c r="AI1049" t="s">
        <v>6083</v>
      </c>
      <c r="AJ1049">
        <v>1.6</v>
      </c>
      <c r="AK1049">
        <v>2182</v>
      </c>
      <c r="AL1049">
        <v>20</v>
      </c>
      <c r="AM1049">
        <v>4.0000000000000002E-4</v>
      </c>
      <c r="AN1049">
        <v>1</v>
      </c>
      <c r="AO1049">
        <v>1.71</v>
      </c>
      <c r="AP1049">
        <v>14.58</v>
      </c>
      <c r="AQ1049">
        <v>12.17</v>
      </c>
      <c r="AR1049">
        <v>40.700000000000003</v>
      </c>
      <c r="AS1049">
        <v>1.45</v>
      </c>
      <c r="AT1049" t="s">
        <v>6084</v>
      </c>
      <c r="AU1049">
        <v>15.89</v>
      </c>
      <c r="AV1049">
        <v>13.39</v>
      </c>
      <c r="AW1049">
        <v>0.38</v>
      </c>
      <c r="BA1049">
        <v>0</v>
      </c>
      <c r="BB1049">
        <v>2.08</v>
      </c>
      <c r="BC1049">
        <v>-0.65</v>
      </c>
      <c r="BD1049">
        <v>0.96</v>
      </c>
      <c r="BE1049">
        <v>0.92</v>
      </c>
      <c r="BF1049">
        <v>-1.1299999999999999</v>
      </c>
      <c r="BG1049">
        <v>1.58</v>
      </c>
      <c r="BH1049">
        <v>-0.04</v>
      </c>
      <c r="BI1049">
        <v>20191030</v>
      </c>
      <c r="BJ1049">
        <v>20110707</v>
      </c>
      <c r="BK1049">
        <v>5.59</v>
      </c>
      <c r="BL1049" t="s">
        <v>116</v>
      </c>
      <c r="BM1049" t="s">
        <v>116</v>
      </c>
      <c r="BN1049">
        <v>58.61</v>
      </c>
      <c r="BO1049">
        <v>41.87</v>
      </c>
      <c r="BP1049">
        <v>0</v>
      </c>
      <c r="BQ1049">
        <v>28.56</v>
      </c>
      <c r="BR1049">
        <v>36.99</v>
      </c>
      <c r="BS1049">
        <v>16.46</v>
      </c>
      <c r="BT1049">
        <v>0.99</v>
      </c>
      <c r="BU1049">
        <v>11.67</v>
      </c>
      <c r="BV1049">
        <v>3.41</v>
      </c>
      <c r="BW1049">
        <v>2.54</v>
      </c>
      <c r="BX1049">
        <v>2.69</v>
      </c>
      <c r="BY1049">
        <v>29.94</v>
      </c>
      <c r="BZ1049">
        <v>20.21</v>
      </c>
      <c r="CA1049">
        <v>7.22</v>
      </c>
      <c r="CB1049">
        <v>0.18</v>
      </c>
      <c r="CC1049">
        <v>7.18</v>
      </c>
      <c r="CD1049">
        <v>6.11</v>
      </c>
      <c r="CE1049">
        <v>6.11</v>
      </c>
      <c r="CF1049">
        <v>5.65</v>
      </c>
      <c r="CG1049">
        <v>28.05</v>
      </c>
      <c r="CH1049">
        <v>5.68</v>
      </c>
      <c r="CI1049">
        <v>-0.16</v>
      </c>
      <c r="CJ1049">
        <v>28798</v>
      </c>
      <c r="CK1049">
        <v>10500</v>
      </c>
      <c r="CL1049" t="s">
        <v>6085</v>
      </c>
      <c r="CM1049">
        <v>-18.98</v>
      </c>
      <c r="CN1049">
        <v>-10.48</v>
      </c>
      <c r="CO1049">
        <v>3.03</v>
      </c>
      <c r="CP1049">
        <v>21.5</v>
      </c>
      <c r="CQ1049">
        <v>4.08</v>
      </c>
      <c r="CR1049">
        <v>1.65</v>
      </c>
      <c r="CS1049" t="s">
        <v>6086</v>
      </c>
      <c r="CT1049">
        <v>7.22</v>
      </c>
      <c r="CU1049">
        <v>7.22</v>
      </c>
      <c r="CV1049">
        <v>0.48</v>
      </c>
      <c r="CW1049">
        <v>5.0199999999999996</v>
      </c>
      <c r="CX1049">
        <v>1.02</v>
      </c>
      <c r="CY1049">
        <v>71.44</v>
      </c>
      <c r="CZ1049" t="s">
        <v>6087</v>
      </c>
      <c r="DA1049">
        <v>32.5</v>
      </c>
      <c r="DB1049">
        <v>24.11</v>
      </c>
      <c r="DC1049">
        <v>20.399999999999999</v>
      </c>
      <c r="DD1049">
        <v>1.25</v>
      </c>
      <c r="DE1049">
        <v>3065</v>
      </c>
      <c r="DF1049">
        <v>2597</v>
      </c>
      <c r="DG1049" t="s">
        <v>116</v>
      </c>
      <c r="DH1049" t="s">
        <v>116</v>
      </c>
      <c r="DI1049" t="s">
        <v>116</v>
      </c>
    </row>
    <row r="1050" spans="1:113" x14ac:dyDescent="0.4">
      <c r="A1050" t="str">
        <f>"002598"</f>
        <v>002598</v>
      </c>
      <c r="B1050" t="s">
        <v>6088</v>
      </c>
      <c r="C1050">
        <v>-0.16</v>
      </c>
      <c r="D1050">
        <v>6.11</v>
      </c>
      <c r="E1050">
        <v>-0.01</v>
      </c>
      <c r="F1050">
        <v>6.1</v>
      </c>
      <c r="G1050">
        <v>6.12</v>
      </c>
      <c r="H1050">
        <v>17568</v>
      </c>
      <c r="I1050">
        <v>293</v>
      </c>
      <c r="J1050">
        <v>0</v>
      </c>
      <c r="K1050">
        <v>0.65</v>
      </c>
      <c r="L1050">
        <v>6.11</v>
      </c>
      <c r="M1050">
        <v>6.17</v>
      </c>
      <c r="N1050">
        <v>6.1</v>
      </c>
      <c r="O1050">
        <v>6.12</v>
      </c>
      <c r="P1050">
        <v>20.56</v>
      </c>
      <c r="Q1050">
        <v>10762495</v>
      </c>
      <c r="R1050">
        <v>1.03</v>
      </c>
      <c r="S1050" t="s">
        <v>996</v>
      </c>
      <c r="T1050" t="s">
        <v>645</v>
      </c>
      <c r="U1050">
        <v>1.1399999999999999</v>
      </c>
      <c r="V1050">
        <v>6.13</v>
      </c>
      <c r="W1050">
        <v>8912</v>
      </c>
      <c r="X1050">
        <v>8656</v>
      </c>
      <c r="Y1050">
        <v>1.03</v>
      </c>
      <c r="Z1050">
        <v>144</v>
      </c>
      <c r="AA1050">
        <v>376</v>
      </c>
      <c r="AB1050" t="s">
        <v>116</v>
      </c>
      <c r="AC1050">
        <v>0</v>
      </c>
      <c r="AD1050">
        <v>0</v>
      </c>
      <c r="AE1050" t="s">
        <v>116</v>
      </c>
      <c r="AF1050" t="s">
        <v>116</v>
      </c>
      <c r="AG1050">
        <v>2.7</v>
      </c>
      <c r="AH1050" t="s">
        <v>6012</v>
      </c>
      <c r="AI1050" t="s">
        <v>1240</v>
      </c>
      <c r="AJ1050">
        <v>0.52</v>
      </c>
      <c r="AK1050">
        <v>679</v>
      </c>
      <c r="AL1050">
        <v>26</v>
      </c>
      <c r="AM1050">
        <v>1E-3</v>
      </c>
      <c r="AN1050">
        <v>-1</v>
      </c>
      <c r="AO1050">
        <v>0.66</v>
      </c>
      <c r="AP1050">
        <v>1.83</v>
      </c>
      <c r="AQ1050">
        <v>-4.2300000000000004</v>
      </c>
      <c r="AR1050">
        <v>-7.14</v>
      </c>
      <c r="AS1050">
        <v>1.04</v>
      </c>
      <c r="AT1050" t="s">
        <v>846</v>
      </c>
      <c r="AU1050">
        <v>20.95</v>
      </c>
      <c r="AV1050">
        <v>22.69</v>
      </c>
      <c r="AW1050">
        <v>0.81</v>
      </c>
      <c r="BA1050">
        <v>-0.16</v>
      </c>
      <c r="BB1050">
        <v>0.82</v>
      </c>
      <c r="BC1050">
        <v>-0.33</v>
      </c>
      <c r="BD1050">
        <v>0.1</v>
      </c>
      <c r="BE1050">
        <v>0</v>
      </c>
      <c r="BF1050">
        <v>-0.97</v>
      </c>
      <c r="BG1050">
        <v>0.16</v>
      </c>
      <c r="BH1050">
        <v>-0.26</v>
      </c>
      <c r="BI1050">
        <v>20191223</v>
      </c>
      <c r="BJ1050">
        <v>20110707</v>
      </c>
      <c r="BK1050">
        <v>3.12</v>
      </c>
      <c r="BL1050" t="s">
        <v>116</v>
      </c>
      <c r="BM1050" t="s">
        <v>116</v>
      </c>
      <c r="BN1050">
        <v>14.3</v>
      </c>
      <c r="BO1050">
        <v>8.4700000000000006</v>
      </c>
      <c r="BP1050">
        <v>0.12</v>
      </c>
      <c r="BQ1050">
        <v>39.93</v>
      </c>
      <c r="BR1050">
        <v>10.35</v>
      </c>
      <c r="BS1050">
        <v>1.69</v>
      </c>
      <c r="BT1050">
        <v>0.32</v>
      </c>
      <c r="BU1050">
        <v>5.52</v>
      </c>
      <c r="BV1050">
        <v>4.1399999999999997</v>
      </c>
      <c r="BW1050">
        <v>3.55</v>
      </c>
      <c r="BX1050">
        <v>2.12</v>
      </c>
      <c r="BY1050">
        <v>7.89</v>
      </c>
      <c r="BZ1050">
        <v>5.28</v>
      </c>
      <c r="CA1050">
        <v>0.8</v>
      </c>
      <c r="CB1050">
        <v>0.13</v>
      </c>
      <c r="CC1050">
        <v>0.79</v>
      </c>
      <c r="CD1050">
        <v>0.69</v>
      </c>
      <c r="CE1050">
        <v>0.7</v>
      </c>
      <c r="CF1050">
        <v>0.68</v>
      </c>
      <c r="CG1050">
        <v>2.5</v>
      </c>
      <c r="CH1050">
        <v>0.37</v>
      </c>
      <c r="CI1050">
        <v>-0.5</v>
      </c>
      <c r="CJ1050">
        <v>17537</v>
      </c>
      <c r="CK1050">
        <v>9614</v>
      </c>
      <c r="CL1050" t="s">
        <v>1011</v>
      </c>
      <c r="CM1050">
        <v>11.11</v>
      </c>
      <c r="CN1050">
        <v>15.02</v>
      </c>
      <c r="CO1050">
        <v>2.25</v>
      </c>
      <c r="CP1050">
        <v>52.21</v>
      </c>
      <c r="CQ1050">
        <v>2.41</v>
      </c>
      <c r="CR1050">
        <v>3.27</v>
      </c>
      <c r="CS1050" t="s">
        <v>6089</v>
      </c>
      <c r="CT1050">
        <v>2.72</v>
      </c>
      <c r="CU1050">
        <v>0</v>
      </c>
      <c r="CV1050">
        <v>0.68</v>
      </c>
      <c r="CW1050">
        <v>0.8</v>
      </c>
      <c r="CX1050">
        <v>0.12</v>
      </c>
      <c r="CY1050">
        <v>59.26</v>
      </c>
      <c r="CZ1050" t="s">
        <v>6090</v>
      </c>
      <c r="DA1050">
        <v>33.15</v>
      </c>
      <c r="DB1050">
        <v>10.15</v>
      </c>
      <c r="DC1050">
        <v>8.81</v>
      </c>
      <c r="DD1050">
        <v>0.3</v>
      </c>
      <c r="DE1050">
        <v>1111</v>
      </c>
      <c r="DF1050">
        <v>2598</v>
      </c>
      <c r="DG1050" t="s">
        <v>116</v>
      </c>
      <c r="DH1050" t="s">
        <v>116</v>
      </c>
      <c r="DI1050" t="s">
        <v>116</v>
      </c>
    </row>
    <row r="1051" spans="1:113" x14ac:dyDescent="0.4">
      <c r="A1051" t="str">
        <f>"002599"</f>
        <v>002599</v>
      </c>
      <c r="B1051" t="s">
        <v>6091</v>
      </c>
      <c r="C1051">
        <v>3.49</v>
      </c>
      <c r="D1051">
        <v>4.75</v>
      </c>
      <c r="E1051">
        <v>0.16</v>
      </c>
      <c r="F1051">
        <v>4.75</v>
      </c>
      <c r="G1051">
        <v>4.76</v>
      </c>
      <c r="H1051">
        <v>203133</v>
      </c>
      <c r="I1051">
        <v>3631</v>
      </c>
      <c r="J1051">
        <v>0.42</v>
      </c>
      <c r="K1051">
        <v>5.95</v>
      </c>
      <c r="L1051">
        <v>4.58</v>
      </c>
      <c r="M1051">
        <v>4.83</v>
      </c>
      <c r="N1051">
        <v>4.5599999999999996</v>
      </c>
      <c r="O1051">
        <v>4.59</v>
      </c>
      <c r="P1051">
        <v>24.84</v>
      </c>
      <c r="Q1051">
        <v>95513616</v>
      </c>
      <c r="R1051">
        <v>0.71</v>
      </c>
      <c r="S1051" t="s">
        <v>345</v>
      </c>
      <c r="T1051" t="s">
        <v>165</v>
      </c>
      <c r="U1051">
        <v>5.88</v>
      </c>
      <c r="V1051">
        <v>4.7</v>
      </c>
      <c r="W1051">
        <v>92893</v>
      </c>
      <c r="X1051">
        <v>110240</v>
      </c>
      <c r="Y1051">
        <v>0.84</v>
      </c>
      <c r="Z1051">
        <v>719</v>
      </c>
      <c r="AA1051">
        <v>1112</v>
      </c>
      <c r="AB1051" t="s">
        <v>116</v>
      </c>
      <c r="AC1051">
        <v>305900</v>
      </c>
      <c r="AD1051">
        <v>0.03</v>
      </c>
      <c r="AE1051" t="s">
        <v>116</v>
      </c>
      <c r="AF1051" t="s">
        <v>116</v>
      </c>
      <c r="AG1051">
        <v>3.42</v>
      </c>
      <c r="AH1051" t="s">
        <v>6092</v>
      </c>
      <c r="AI1051" t="s">
        <v>6093</v>
      </c>
      <c r="AJ1051">
        <v>4.16</v>
      </c>
      <c r="AK1051">
        <v>2202</v>
      </c>
      <c r="AL1051">
        <v>92</v>
      </c>
      <c r="AM1051">
        <v>2.7000000000000001E-3</v>
      </c>
      <c r="AN1051">
        <v>1</v>
      </c>
      <c r="AO1051">
        <v>-1.04</v>
      </c>
      <c r="AP1051">
        <v>18.16</v>
      </c>
      <c r="AQ1051">
        <v>4.17</v>
      </c>
      <c r="AR1051">
        <v>-18.09</v>
      </c>
      <c r="AS1051">
        <v>8.8000000000000007</v>
      </c>
      <c r="AT1051" t="s">
        <v>6094</v>
      </c>
      <c r="AU1051">
        <v>19.96</v>
      </c>
      <c r="AV1051">
        <v>20.98</v>
      </c>
      <c r="AW1051">
        <v>0.99</v>
      </c>
      <c r="BA1051">
        <v>-0.22</v>
      </c>
      <c r="BB1051">
        <v>5.23</v>
      </c>
      <c r="BC1051">
        <v>-0.65</v>
      </c>
      <c r="BD1051">
        <v>2.44</v>
      </c>
      <c r="BE1051">
        <v>3.71</v>
      </c>
      <c r="BF1051">
        <v>-1.66</v>
      </c>
      <c r="BG1051">
        <v>4.17</v>
      </c>
      <c r="BH1051">
        <v>1.05</v>
      </c>
      <c r="BI1051">
        <v>20191226</v>
      </c>
      <c r="BJ1051">
        <v>20110715</v>
      </c>
      <c r="BK1051">
        <v>5.48</v>
      </c>
      <c r="BL1051" t="s">
        <v>116</v>
      </c>
      <c r="BM1051" t="s">
        <v>116</v>
      </c>
      <c r="BN1051">
        <v>25.93</v>
      </c>
      <c r="BO1051">
        <v>16.809999999999999</v>
      </c>
      <c r="BP1051">
        <v>0.2</v>
      </c>
      <c r="BQ1051">
        <v>34.42</v>
      </c>
      <c r="BR1051">
        <v>11.84</v>
      </c>
      <c r="BS1051">
        <v>7.25</v>
      </c>
      <c r="BT1051">
        <v>1.03</v>
      </c>
      <c r="BU1051">
        <v>6.67</v>
      </c>
      <c r="BV1051">
        <v>2.2999999999999998</v>
      </c>
      <c r="BW1051">
        <v>5.33</v>
      </c>
      <c r="BX1051">
        <v>6.37</v>
      </c>
      <c r="BY1051">
        <v>14.01</v>
      </c>
      <c r="BZ1051">
        <v>10.91</v>
      </c>
      <c r="CA1051">
        <v>0.97</v>
      </c>
      <c r="CB1051">
        <v>0.05</v>
      </c>
      <c r="CC1051">
        <v>0.99</v>
      </c>
      <c r="CD1051">
        <v>0.81</v>
      </c>
      <c r="CE1051">
        <v>0.79</v>
      </c>
      <c r="CF1051">
        <v>0.64</v>
      </c>
      <c r="CG1051">
        <v>4.7</v>
      </c>
      <c r="CH1051">
        <v>1.34</v>
      </c>
      <c r="CI1051">
        <v>0.56000000000000005</v>
      </c>
      <c r="CJ1051">
        <v>18880</v>
      </c>
      <c r="CK1051">
        <v>12233</v>
      </c>
      <c r="CL1051" t="s">
        <v>1527</v>
      </c>
      <c r="CM1051">
        <v>8.7899999999999991</v>
      </c>
      <c r="CN1051">
        <v>2.42</v>
      </c>
      <c r="CO1051">
        <v>1.55</v>
      </c>
      <c r="CP1051">
        <v>19.5</v>
      </c>
      <c r="CQ1051">
        <v>1.86</v>
      </c>
      <c r="CR1051">
        <v>0</v>
      </c>
      <c r="CS1051" t="s">
        <v>4984</v>
      </c>
      <c r="CT1051">
        <v>3.07</v>
      </c>
      <c r="CU1051">
        <v>0</v>
      </c>
      <c r="CV1051">
        <v>1.1599999999999999</v>
      </c>
      <c r="CW1051">
        <v>0.86</v>
      </c>
      <c r="CX1051">
        <v>0.24</v>
      </c>
      <c r="CY1051">
        <v>64.819999999999993</v>
      </c>
      <c r="CZ1051" t="s">
        <v>2853</v>
      </c>
      <c r="DA1051">
        <v>22.15</v>
      </c>
      <c r="DB1051">
        <v>6.94</v>
      </c>
      <c r="DC1051">
        <v>5.61</v>
      </c>
      <c r="DD1051">
        <v>0.19</v>
      </c>
      <c r="DE1051">
        <v>3049</v>
      </c>
      <c r="DF1051">
        <v>2599</v>
      </c>
      <c r="DG1051" t="s">
        <v>116</v>
      </c>
      <c r="DH1051" t="s">
        <v>116</v>
      </c>
      <c r="DI1051" t="s">
        <v>116</v>
      </c>
    </row>
    <row r="1052" spans="1:113" x14ac:dyDescent="0.4">
      <c r="A1052" t="str">
        <f>"002600"</f>
        <v>002600</v>
      </c>
      <c r="B1052" t="s">
        <v>6095</v>
      </c>
      <c r="C1052">
        <v>-3</v>
      </c>
      <c r="D1052">
        <v>10.98</v>
      </c>
      <c r="E1052">
        <v>-0.34</v>
      </c>
      <c r="F1052">
        <v>10.97</v>
      </c>
      <c r="G1052">
        <v>10.98</v>
      </c>
      <c r="H1052">
        <v>1098270</v>
      </c>
      <c r="I1052">
        <v>21852</v>
      </c>
      <c r="J1052">
        <v>-0.17</v>
      </c>
      <c r="K1052">
        <v>6.37</v>
      </c>
      <c r="L1052">
        <v>11.37</v>
      </c>
      <c r="M1052">
        <v>11.37</v>
      </c>
      <c r="N1052">
        <v>10.98</v>
      </c>
      <c r="O1052">
        <v>11.32</v>
      </c>
      <c r="P1052">
        <v>26.78</v>
      </c>
      <c r="Q1052">
        <v>1221070848</v>
      </c>
      <c r="R1052">
        <v>1.02</v>
      </c>
      <c r="S1052" t="s">
        <v>233</v>
      </c>
      <c r="T1052" t="s">
        <v>551</v>
      </c>
      <c r="U1052">
        <v>3.45</v>
      </c>
      <c r="V1052">
        <v>11.12</v>
      </c>
      <c r="W1052">
        <v>554775</v>
      </c>
      <c r="X1052">
        <v>543495</v>
      </c>
      <c r="Y1052">
        <v>1.02</v>
      </c>
      <c r="Z1052">
        <v>2252</v>
      </c>
      <c r="AA1052">
        <v>1831</v>
      </c>
      <c r="AB1052" t="s">
        <v>116</v>
      </c>
      <c r="AC1052">
        <v>3357600</v>
      </c>
      <c r="AD1052">
        <v>0.02</v>
      </c>
      <c r="AE1052" t="s">
        <v>116</v>
      </c>
      <c r="AF1052" t="s">
        <v>116</v>
      </c>
      <c r="AG1052">
        <v>17.239999999999998</v>
      </c>
      <c r="AH1052" t="s">
        <v>6096</v>
      </c>
      <c r="AI1052" t="s">
        <v>6097</v>
      </c>
      <c r="AJ1052">
        <v>-2.3199999999999998</v>
      </c>
      <c r="AK1052">
        <v>4684</v>
      </c>
      <c r="AL1052">
        <v>234</v>
      </c>
      <c r="AM1052">
        <v>1.4E-3</v>
      </c>
      <c r="AN1052">
        <v>-1</v>
      </c>
      <c r="AO1052">
        <v>-3.86</v>
      </c>
      <c r="AP1052">
        <v>4.87</v>
      </c>
      <c r="AQ1052">
        <v>12.04</v>
      </c>
      <c r="AR1052">
        <v>339.2</v>
      </c>
      <c r="AS1052">
        <v>6.63</v>
      </c>
      <c r="AT1052" t="s">
        <v>6098</v>
      </c>
      <c r="AU1052">
        <v>42.32</v>
      </c>
      <c r="AV1052" t="s">
        <v>116</v>
      </c>
      <c r="AW1052">
        <v>1.9</v>
      </c>
      <c r="BA1052">
        <v>0.44</v>
      </c>
      <c r="BB1052">
        <v>0.44</v>
      </c>
      <c r="BC1052">
        <v>-3</v>
      </c>
      <c r="BD1052">
        <v>-1.78</v>
      </c>
      <c r="BE1052">
        <v>-3.43</v>
      </c>
      <c r="BF1052">
        <v>-3.43</v>
      </c>
      <c r="BG1052">
        <v>0</v>
      </c>
      <c r="BH1052">
        <v>-1.22</v>
      </c>
      <c r="BI1052">
        <v>20191223</v>
      </c>
      <c r="BJ1052">
        <v>20110715</v>
      </c>
      <c r="BK1052">
        <v>68.27</v>
      </c>
      <c r="BL1052" t="s">
        <v>116</v>
      </c>
      <c r="BM1052" t="s">
        <v>116</v>
      </c>
      <c r="BN1052">
        <v>271.58999999999997</v>
      </c>
      <c r="BO1052">
        <v>120.41</v>
      </c>
      <c r="BP1052">
        <v>0.49</v>
      </c>
      <c r="BQ1052">
        <v>55.48</v>
      </c>
      <c r="BR1052">
        <v>157.29</v>
      </c>
      <c r="BS1052">
        <v>63.12</v>
      </c>
      <c r="BT1052">
        <v>8.82</v>
      </c>
      <c r="BU1052">
        <v>128.91</v>
      </c>
      <c r="BV1052">
        <v>35.020000000000003</v>
      </c>
      <c r="BW1052">
        <v>67.59</v>
      </c>
      <c r="BX1052">
        <v>70</v>
      </c>
      <c r="BY1052">
        <v>162.63</v>
      </c>
      <c r="BZ1052">
        <v>125.16</v>
      </c>
      <c r="CA1052">
        <v>24.08</v>
      </c>
      <c r="CB1052">
        <v>0.22</v>
      </c>
      <c r="CC1052">
        <v>23.89</v>
      </c>
      <c r="CD1052">
        <v>20.97</v>
      </c>
      <c r="CE1052">
        <v>20.99</v>
      </c>
      <c r="CF1052">
        <v>12.61</v>
      </c>
      <c r="CG1052">
        <v>34.909999999999997</v>
      </c>
      <c r="CH1052">
        <v>20.149999999999999</v>
      </c>
      <c r="CI1052">
        <v>3.48</v>
      </c>
      <c r="CJ1052">
        <v>168363</v>
      </c>
      <c r="CK1052">
        <v>9836</v>
      </c>
      <c r="CL1052" t="s">
        <v>6099</v>
      </c>
      <c r="CM1052">
        <v>696.62</v>
      </c>
      <c r="CN1052">
        <v>1.07</v>
      </c>
      <c r="CO1052">
        <v>6.23</v>
      </c>
      <c r="CP1052">
        <v>37.200000000000003</v>
      </c>
      <c r="CQ1052">
        <v>4.6100000000000003</v>
      </c>
      <c r="CR1052">
        <v>0</v>
      </c>
      <c r="CS1052" t="s">
        <v>1726</v>
      </c>
      <c r="CT1052">
        <v>1.76</v>
      </c>
      <c r="CU1052">
        <v>0</v>
      </c>
      <c r="CV1052">
        <v>1.03</v>
      </c>
      <c r="CW1052">
        <v>0.51</v>
      </c>
      <c r="CX1052">
        <v>0.3</v>
      </c>
      <c r="CY1052">
        <v>44.34</v>
      </c>
      <c r="CZ1052" t="s">
        <v>6100</v>
      </c>
      <c r="DA1052">
        <v>23.04</v>
      </c>
      <c r="DB1052">
        <v>14.81</v>
      </c>
      <c r="DC1052">
        <v>12.91</v>
      </c>
      <c r="DD1052">
        <v>8.7200000000000006</v>
      </c>
      <c r="DE1052">
        <v>61689</v>
      </c>
      <c r="DF1052">
        <v>2600</v>
      </c>
      <c r="DG1052" t="s">
        <v>116</v>
      </c>
      <c r="DH1052" t="s">
        <v>116</v>
      </c>
      <c r="DI1052" t="s">
        <v>116</v>
      </c>
    </row>
    <row r="1053" spans="1:113" x14ac:dyDescent="0.4">
      <c r="A1053" t="str">
        <f>"002601"</f>
        <v>002601</v>
      </c>
      <c r="B1053" t="s">
        <v>6101</v>
      </c>
      <c r="C1053">
        <v>0.2</v>
      </c>
      <c r="D1053">
        <v>14.82</v>
      </c>
      <c r="E1053">
        <v>0.03</v>
      </c>
      <c r="F1053">
        <v>14.81</v>
      </c>
      <c r="G1053">
        <v>14.82</v>
      </c>
      <c r="H1053">
        <v>225437</v>
      </c>
      <c r="I1053">
        <v>1551</v>
      </c>
      <c r="J1053">
        <v>-0.06</v>
      </c>
      <c r="K1053">
        <v>1.1100000000000001</v>
      </c>
      <c r="L1053">
        <v>14.79</v>
      </c>
      <c r="M1053">
        <v>15.48</v>
      </c>
      <c r="N1053">
        <v>14.78</v>
      </c>
      <c r="O1053">
        <v>14.79</v>
      </c>
      <c r="P1053">
        <v>10.93</v>
      </c>
      <c r="Q1053">
        <v>339915072</v>
      </c>
      <c r="R1053">
        <v>1.24</v>
      </c>
      <c r="S1053" t="s">
        <v>891</v>
      </c>
      <c r="T1053" t="s">
        <v>652</v>
      </c>
      <c r="U1053">
        <v>4.7300000000000004</v>
      </c>
      <c r="V1053">
        <v>15.08</v>
      </c>
      <c r="W1053">
        <v>113675</v>
      </c>
      <c r="X1053">
        <v>111762</v>
      </c>
      <c r="Y1053">
        <v>1.02</v>
      </c>
      <c r="Z1053">
        <v>336</v>
      </c>
      <c r="AA1053">
        <v>468</v>
      </c>
      <c r="AB1053" t="s">
        <v>116</v>
      </c>
      <c r="AC1053">
        <v>396400</v>
      </c>
      <c r="AD1053">
        <v>0</v>
      </c>
      <c r="AE1053" t="s">
        <v>116</v>
      </c>
      <c r="AF1053" t="s">
        <v>116</v>
      </c>
      <c r="AG1053">
        <v>20.27</v>
      </c>
      <c r="AH1053" t="s">
        <v>6102</v>
      </c>
      <c r="AI1053" t="s">
        <v>6103</v>
      </c>
      <c r="AJ1053">
        <v>0.88</v>
      </c>
      <c r="AK1053">
        <v>4162</v>
      </c>
      <c r="AL1053">
        <v>54</v>
      </c>
      <c r="AM1053">
        <v>2.9999999999999997E-4</v>
      </c>
      <c r="AN1053">
        <v>2</v>
      </c>
      <c r="AO1053">
        <v>1.64</v>
      </c>
      <c r="AP1053">
        <v>15.33</v>
      </c>
      <c r="AQ1053">
        <v>19.23</v>
      </c>
      <c r="AR1053">
        <v>29.43</v>
      </c>
      <c r="AS1053">
        <v>1.62</v>
      </c>
      <c r="AT1053" t="s">
        <v>6104</v>
      </c>
      <c r="AU1053">
        <v>12.65</v>
      </c>
      <c r="AV1053">
        <v>13.18</v>
      </c>
      <c r="AW1053">
        <v>0.43</v>
      </c>
      <c r="BA1053">
        <v>0</v>
      </c>
      <c r="BB1053">
        <v>4.67</v>
      </c>
      <c r="BC1053">
        <v>-7.0000000000000007E-2</v>
      </c>
      <c r="BD1053">
        <v>1.95</v>
      </c>
      <c r="BE1053">
        <v>0.2</v>
      </c>
      <c r="BF1053">
        <v>-4.26</v>
      </c>
      <c r="BG1053">
        <v>0.27</v>
      </c>
      <c r="BH1053">
        <v>-1.74</v>
      </c>
      <c r="BI1053">
        <v>20191029</v>
      </c>
      <c r="BJ1053">
        <v>20110715</v>
      </c>
      <c r="BK1053">
        <v>20.32</v>
      </c>
      <c r="BL1053" t="s">
        <v>116</v>
      </c>
      <c r="BM1053" t="s">
        <v>116</v>
      </c>
      <c r="BN1053">
        <v>252.43</v>
      </c>
      <c r="BO1053">
        <v>136.13</v>
      </c>
      <c r="BP1053">
        <v>2.2799999999999998</v>
      </c>
      <c r="BQ1053">
        <v>45.17</v>
      </c>
      <c r="BR1053">
        <v>89.76</v>
      </c>
      <c r="BS1053">
        <v>58.45</v>
      </c>
      <c r="BT1053">
        <v>15.8</v>
      </c>
      <c r="BU1053">
        <v>86.03</v>
      </c>
      <c r="BV1053">
        <v>22.38</v>
      </c>
      <c r="BW1053">
        <v>13.77</v>
      </c>
      <c r="BX1053">
        <v>94.55</v>
      </c>
      <c r="BY1053">
        <v>82.71</v>
      </c>
      <c r="BZ1053">
        <v>46.86</v>
      </c>
      <c r="CA1053">
        <v>24.28</v>
      </c>
      <c r="CB1053">
        <v>0.05</v>
      </c>
      <c r="CC1053">
        <v>24.17</v>
      </c>
      <c r="CD1053">
        <v>20.85</v>
      </c>
      <c r="CE1053">
        <v>20.66</v>
      </c>
      <c r="CF1053">
        <v>19.95</v>
      </c>
      <c r="CG1053">
        <v>16.07</v>
      </c>
      <c r="CH1053">
        <v>9.93</v>
      </c>
      <c r="CI1053">
        <v>0.36</v>
      </c>
      <c r="CJ1053">
        <v>50531</v>
      </c>
      <c r="CK1053">
        <v>27502</v>
      </c>
      <c r="CL1053" t="s">
        <v>6105</v>
      </c>
      <c r="CM1053">
        <v>4.84</v>
      </c>
      <c r="CN1053">
        <v>3.08</v>
      </c>
      <c r="CO1053">
        <v>2.21</v>
      </c>
      <c r="CP1053">
        <v>30.32</v>
      </c>
      <c r="CQ1053">
        <v>3.64</v>
      </c>
      <c r="CR1053">
        <v>5.74</v>
      </c>
      <c r="CS1053" t="s">
        <v>6106</v>
      </c>
      <c r="CT1053">
        <v>6.7</v>
      </c>
      <c r="CU1053">
        <v>0</v>
      </c>
      <c r="CV1053">
        <v>4.6500000000000004</v>
      </c>
      <c r="CW1053">
        <v>0.79</v>
      </c>
      <c r="CX1053">
        <v>0.49</v>
      </c>
      <c r="CY1053">
        <v>53.93</v>
      </c>
      <c r="CZ1053" t="s">
        <v>6107</v>
      </c>
      <c r="DA1053">
        <v>43.35</v>
      </c>
      <c r="DB1053">
        <v>29.36</v>
      </c>
      <c r="DC1053">
        <v>24.98</v>
      </c>
      <c r="DD1053">
        <v>3.62</v>
      </c>
      <c r="DE1053">
        <v>7646</v>
      </c>
      <c r="DF1053">
        <v>2601</v>
      </c>
      <c r="DG1053" t="s">
        <v>116</v>
      </c>
      <c r="DH1053" t="s">
        <v>116</v>
      </c>
      <c r="DI1053" t="s">
        <v>116</v>
      </c>
    </row>
    <row r="1054" spans="1:113" x14ac:dyDescent="0.4">
      <c r="A1054" t="str">
        <f>"002602"</f>
        <v>002602</v>
      </c>
      <c r="B1054" t="s">
        <v>6108</v>
      </c>
      <c r="C1054">
        <v>-1.58</v>
      </c>
      <c r="D1054">
        <v>11.83</v>
      </c>
      <c r="E1054">
        <v>-0.19</v>
      </c>
      <c r="F1054">
        <v>11.83</v>
      </c>
      <c r="G1054">
        <v>11.84</v>
      </c>
      <c r="H1054">
        <v>432095</v>
      </c>
      <c r="I1054">
        <v>3314</v>
      </c>
      <c r="J1054">
        <v>-0.57999999999999996</v>
      </c>
      <c r="K1054">
        <v>1.67</v>
      </c>
      <c r="L1054">
        <v>12.2</v>
      </c>
      <c r="M1054">
        <v>12.36</v>
      </c>
      <c r="N1054">
        <v>11.75</v>
      </c>
      <c r="O1054">
        <v>12.02</v>
      </c>
      <c r="P1054">
        <v>26.3</v>
      </c>
      <c r="Q1054">
        <v>521843968</v>
      </c>
      <c r="R1054">
        <v>0.8</v>
      </c>
      <c r="S1054" t="s">
        <v>1384</v>
      </c>
      <c r="T1054" t="s">
        <v>590</v>
      </c>
      <c r="U1054">
        <v>5.07</v>
      </c>
      <c r="V1054">
        <v>12.08</v>
      </c>
      <c r="W1054">
        <v>223169</v>
      </c>
      <c r="X1054">
        <v>208926</v>
      </c>
      <c r="Y1054">
        <v>1.07</v>
      </c>
      <c r="Z1054">
        <v>132</v>
      </c>
      <c r="AA1054">
        <v>409</v>
      </c>
      <c r="AB1054" t="s">
        <v>116</v>
      </c>
      <c r="AC1054">
        <v>2568100</v>
      </c>
      <c r="AD1054">
        <v>0.01</v>
      </c>
      <c r="AE1054" t="s">
        <v>116</v>
      </c>
      <c r="AF1054" t="s">
        <v>116</v>
      </c>
      <c r="AG1054">
        <v>25.92</v>
      </c>
      <c r="AH1054" t="s">
        <v>6109</v>
      </c>
      <c r="AI1054" t="s">
        <v>6110</v>
      </c>
      <c r="AJ1054">
        <v>-0.9</v>
      </c>
      <c r="AK1054">
        <v>3894</v>
      </c>
      <c r="AL1054">
        <v>111</v>
      </c>
      <c r="AM1054">
        <v>4.0000000000000002E-4</v>
      </c>
      <c r="AN1054">
        <v>-2</v>
      </c>
      <c r="AO1054">
        <v>-0.67</v>
      </c>
      <c r="AP1054">
        <v>21.33</v>
      </c>
      <c r="AQ1054">
        <v>31.88</v>
      </c>
      <c r="AR1054">
        <v>-7.89</v>
      </c>
      <c r="AS1054">
        <v>3.05</v>
      </c>
      <c r="AT1054" t="s">
        <v>6111</v>
      </c>
      <c r="AU1054">
        <v>116.65</v>
      </c>
      <c r="AV1054">
        <v>73.23</v>
      </c>
      <c r="AW1054">
        <v>0.78</v>
      </c>
      <c r="BA1054">
        <v>1.5</v>
      </c>
      <c r="BB1054">
        <v>2.83</v>
      </c>
      <c r="BC1054">
        <v>-2.25</v>
      </c>
      <c r="BD1054">
        <v>0.47</v>
      </c>
      <c r="BE1054">
        <v>-3.03</v>
      </c>
      <c r="BF1054">
        <v>-4.29</v>
      </c>
      <c r="BG1054">
        <v>0.68</v>
      </c>
      <c r="BH1054">
        <v>-2.06</v>
      </c>
      <c r="BI1054">
        <v>20191203</v>
      </c>
      <c r="BJ1054">
        <v>20110728</v>
      </c>
      <c r="BK1054">
        <v>59.56</v>
      </c>
      <c r="BL1054" t="s">
        <v>116</v>
      </c>
      <c r="BM1054" t="s">
        <v>116</v>
      </c>
      <c r="BN1054">
        <v>340.27</v>
      </c>
      <c r="BO1054">
        <v>239.27</v>
      </c>
      <c r="BP1054">
        <v>3.67</v>
      </c>
      <c r="BQ1054">
        <v>28.6</v>
      </c>
      <c r="BR1054">
        <v>138.05000000000001</v>
      </c>
      <c r="BS1054">
        <v>12.47</v>
      </c>
      <c r="BT1054">
        <v>3.4</v>
      </c>
      <c r="BU1054">
        <v>85.96</v>
      </c>
      <c r="BV1054">
        <v>4.95</v>
      </c>
      <c r="BW1054">
        <v>33.630000000000003</v>
      </c>
      <c r="BX1054">
        <v>121.19</v>
      </c>
      <c r="BY1054">
        <v>109.35</v>
      </c>
      <c r="BZ1054">
        <v>56</v>
      </c>
      <c r="CA1054">
        <v>22.71</v>
      </c>
      <c r="CB1054">
        <v>0.27</v>
      </c>
      <c r="CC1054">
        <v>22.69</v>
      </c>
      <c r="CD1054">
        <v>20.39</v>
      </c>
      <c r="CE1054">
        <v>20.09</v>
      </c>
      <c r="CF1054">
        <v>14.36</v>
      </c>
      <c r="CG1054">
        <v>67.16</v>
      </c>
      <c r="CH1054">
        <v>8.8000000000000007</v>
      </c>
      <c r="CI1054">
        <v>-27.53</v>
      </c>
      <c r="CJ1054">
        <v>28643</v>
      </c>
      <c r="CK1054">
        <v>49389</v>
      </c>
      <c r="CL1054" t="s">
        <v>6112</v>
      </c>
      <c r="CM1054">
        <v>-15.13</v>
      </c>
      <c r="CN1054">
        <v>18.12</v>
      </c>
      <c r="CO1054">
        <v>2.94</v>
      </c>
      <c r="CP1054">
        <v>80.11</v>
      </c>
      <c r="CQ1054">
        <v>6.44</v>
      </c>
      <c r="CR1054">
        <v>0.32</v>
      </c>
      <c r="CS1054" t="s">
        <v>6113</v>
      </c>
      <c r="CT1054">
        <v>4.0199999999999996</v>
      </c>
      <c r="CU1054">
        <v>0</v>
      </c>
      <c r="CV1054">
        <v>2.0299999999999998</v>
      </c>
      <c r="CW1054">
        <v>1.1299999999999999</v>
      </c>
      <c r="CX1054">
        <v>0.15</v>
      </c>
      <c r="CY1054">
        <v>70.319999999999993</v>
      </c>
      <c r="CZ1054" t="s">
        <v>2280</v>
      </c>
      <c r="DA1054">
        <v>48.78</v>
      </c>
      <c r="DB1054">
        <v>20.77</v>
      </c>
      <c r="DC1054">
        <v>18.37</v>
      </c>
      <c r="DD1054">
        <v>9.49</v>
      </c>
      <c r="DE1054">
        <v>3808</v>
      </c>
      <c r="DF1054">
        <v>2602</v>
      </c>
      <c r="DG1054" t="s">
        <v>116</v>
      </c>
      <c r="DH1054" t="s">
        <v>116</v>
      </c>
      <c r="DI1054" t="s">
        <v>116</v>
      </c>
    </row>
    <row r="1055" spans="1:113" x14ac:dyDescent="0.4">
      <c r="A1055" t="str">
        <f>"002603"</f>
        <v>002603</v>
      </c>
      <c r="B1055" t="s">
        <v>6114</v>
      </c>
      <c r="C1055">
        <v>-0.62</v>
      </c>
      <c r="D1055">
        <v>11.29</v>
      </c>
      <c r="E1055">
        <v>-7.0000000000000007E-2</v>
      </c>
      <c r="F1055">
        <v>11.29</v>
      </c>
      <c r="G1055">
        <v>11.3</v>
      </c>
      <c r="H1055">
        <v>43181</v>
      </c>
      <c r="I1055">
        <v>355</v>
      </c>
      <c r="J1055">
        <v>0.09</v>
      </c>
      <c r="K1055">
        <v>0.44</v>
      </c>
      <c r="L1055">
        <v>11.35</v>
      </c>
      <c r="M1055">
        <v>11.43</v>
      </c>
      <c r="N1055">
        <v>11.28</v>
      </c>
      <c r="O1055">
        <v>11.36</v>
      </c>
      <c r="P1055">
        <v>17.73</v>
      </c>
      <c r="Q1055">
        <v>49038164</v>
      </c>
      <c r="R1055">
        <v>0.95</v>
      </c>
      <c r="S1055" t="s">
        <v>781</v>
      </c>
      <c r="T1055" t="s">
        <v>608</v>
      </c>
      <c r="U1055">
        <v>1.32</v>
      </c>
      <c r="V1055">
        <v>11.36</v>
      </c>
      <c r="W1055">
        <v>26670</v>
      </c>
      <c r="X1055">
        <v>16511</v>
      </c>
      <c r="Y1055">
        <v>1.62</v>
      </c>
      <c r="Z1055">
        <v>9</v>
      </c>
      <c r="AA1055">
        <v>375</v>
      </c>
      <c r="AB1055" t="s">
        <v>116</v>
      </c>
      <c r="AC1055">
        <v>123700</v>
      </c>
      <c r="AD1055">
        <v>0</v>
      </c>
      <c r="AE1055" t="s">
        <v>116</v>
      </c>
      <c r="AF1055" t="s">
        <v>116</v>
      </c>
      <c r="AG1055">
        <v>9.8699999999999992</v>
      </c>
      <c r="AH1055" t="s">
        <v>6115</v>
      </c>
      <c r="AI1055" t="s">
        <v>6116</v>
      </c>
      <c r="AJ1055">
        <v>0.06</v>
      </c>
      <c r="AK1055">
        <v>1685</v>
      </c>
      <c r="AL1055">
        <v>26</v>
      </c>
      <c r="AM1055">
        <v>2.9999999999999997E-4</v>
      </c>
      <c r="AN1055">
        <v>-2</v>
      </c>
      <c r="AO1055">
        <v>0.53</v>
      </c>
      <c r="AP1055">
        <v>0</v>
      </c>
      <c r="AQ1055">
        <v>4.25</v>
      </c>
      <c r="AR1055">
        <v>8.9700000000000006</v>
      </c>
      <c r="AS1055">
        <v>0.93</v>
      </c>
      <c r="AT1055" t="s">
        <v>6117</v>
      </c>
      <c r="AU1055">
        <v>22.19</v>
      </c>
      <c r="AV1055">
        <v>22.68</v>
      </c>
      <c r="AW1055">
        <v>0.97</v>
      </c>
      <c r="BA1055">
        <v>-0.09</v>
      </c>
      <c r="BB1055">
        <v>0.62</v>
      </c>
      <c r="BC1055">
        <v>-0.7</v>
      </c>
      <c r="BD1055">
        <v>-0.03</v>
      </c>
      <c r="BE1055">
        <v>-0.53</v>
      </c>
      <c r="BF1055">
        <v>-1.22</v>
      </c>
      <c r="BG1055">
        <v>0.09</v>
      </c>
      <c r="BH1055">
        <v>-0.59</v>
      </c>
      <c r="BI1055">
        <v>20191119</v>
      </c>
      <c r="BJ1055">
        <v>20110728</v>
      </c>
      <c r="BK1055">
        <v>12.04</v>
      </c>
      <c r="BL1055" t="s">
        <v>116</v>
      </c>
      <c r="BM1055" t="s">
        <v>116</v>
      </c>
      <c r="BN1055">
        <v>89.11</v>
      </c>
      <c r="BO1055">
        <v>79.14</v>
      </c>
      <c r="BP1055">
        <v>0.09</v>
      </c>
      <c r="BQ1055">
        <v>11.09</v>
      </c>
      <c r="BR1055">
        <v>50.81</v>
      </c>
      <c r="BS1055">
        <v>24.51</v>
      </c>
      <c r="BT1055">
        <v>4.25</v>
      </c>
      <c r="BU1055">
        <v>7.62</v>
      </c>
      <c r="BV1055">
        <v>12.36</v>
      </c>
      <c r="BW1055">
        <v>13.7</v>
      </c>
      <c r="BX1055">
        <v>29.57</v>
      </c>
      <c r="BY1055">
        <v>43.47</v>
      </c>
      <c r="BZ1055">
        <v>14.57</v>
      </c>
      <c r="CA1055">
        <v>6.87</v>
      </c>
      <c r="CB1055">
        <v>0.28999999999999998</v>
      </c>
      <c r="CC1055">
        <v>6.84</v>
      </c>
      <c r="CD1055">
        <v>5.72</v>
      </c>
      <c r="CE1055">
        <v>5.75</v>
      </c>
      <c r="CF1055">
        <v>5.4</v>
      </c>
      <c r="CG1055">
        <v>35.270000000000003</v>
      </c>
      <c r="CH1055">
        <v>3.2</v>
      </c>
      <c r="CI1055">
        <v>-0.33</v>
      </c>
      <c r="CJ1055">
        <v>43311</v>
      </c>
      <c r="CK1055">
        <v>10728</v>
      </c>
      <c r="CL1055" t="s">
        <v>6118</v>
      </c>
      <c r="CM1055">
        <v>2.33</v>
      </c>
      <c r="CN1055">
        <v>13.62</v>
      </c>
      <c r="CO1055">
        <v>1.72</v>
      </c>
      <c r="CP1055">
        <v>42.44</v>
      </c>
      <c r="CQ1055">
        <v>3.13</v>
      </c>
      <c r="CR1055">
        <v>0.88</v>
      </c>
      <c r="CS1055" t="s">
        <v>6119</v>
      </c>
      <c r="CT1055">
        <v>6.57</v>
      </c>
      <c r="CU1055">
        <v>0</v>
      </c>
      <c r="CV1055">
        <v>2.46</v>
      </c>
      <c r="CW1055">
        <v>2.93</v>
      </c>
      <c r="CX1055">
        <v>0.27</v>
      </c>
      <c r="CY1055">
        <v>88.81</v>
      </c>
      <c r="CZ1055" t="s">
        <v>6120</v>
      </c>
      <c r="DA1055">
        <v>66.48</v>
      </c>
      <c r="DB1055">
        <v>15.8</v>
      </c>
      <c r="DC1055">
        <v>13.23</v>
      </c>
      <c r="DD1055">
        <v>2.62</v>
      </c>
      <c r="DE1055">
        <v>5218</v>
      </c>
      <c r="DF1055">
        <v>2603</v>
      </c>
      <c r="DG1055" t="s">
        <v>116</v>
      </c>
      <c r="DH1055" t="s">
        <v>116</v>
      </c>
      <c r="DI1055" t="s">
        <v>116</v>
      </c>
    </row>
    <row r="1056" spans="1:113" x14ac:dyDescent="0.4">
      <c r="A1056" t="str">
        <f>"002605"</f>
        <v>002605</v>
      </c>
      <c r="B1056" t="s">
        <v>6121</v>
      </c>
      <c r="C1056">
        <v>-4.25</v>
      </c>
      <c r="D1056">
        <v>19.149999999999999</v>
      </c>
      <c r="E1056">
        <v>-0.85</v>
      </c>
      <c r="F1056">
        <v>19.149999999999999</v>
      </c>
      <c r="G1056">
        <v>19.16</v>
      </c>
      <c r="H1056">
        <v>88162</v>
      </c>
      <c r="I1056">
        <v>859</v>
      </c>
      <c r="J1056">
        <v>0.16</v>
      </c>
      <c r="K1056">
        <v>3.27</v>
      </c>
      <c r="L1056">
        <v>20.100000000000001</v>
      </c>
      <c r="M1056">
        <v>20.3</v>
      </c>
      <c r="N1056">
        <v>18.829999999999998</v>
      </c>
      <c r="O1056">
        <v>20</v>
      </c>
      <c r="P1056">
        <v>21.69</v>
      </c>
      <c r="Q1056">
        <v>172216176</v>
      </c>
      <c r="R1056">
        <v>1.31</v>
      </c>
      <c r="S1056" t="s">
        <v>217</v>
      </c>
      <c r="T1056" t="s">
        <v>1653</v>
      </c>
      <c r="U1056">
        <v>7.35</v>
      </c>
      <c r="V1056">
        <v>19.53</v>
      </c>
      <c r="W1056">
        <v>55076</v>
      </c>
      <c r="X1056">
        <v>33086</v>
      </c>
      <c r="Y1056">
        <v>1.66</v>
      </c>
      <c r="Z1056">
        <v>210</v>
      </c>
      <c r="AA1056">
        <v>58</v>
      </c>
      <c r="AB1056" t="s">
        <v>116</v>
      </c>
      <c r="AC1056">
        <v>408000</v>
      </c>
      <c r="AD1056">
        <v>0.01</v>
      </c>
      <c r="AE1056" t="s">
        <v>116</v>
      </c>
      <c r="AF1056" t="s">
        <v>116</v>
      </c>
      <c r="AG1056">
        <v>2.7</v>
      </c>
      <c r="AH1056" t="s">
        <v>1633</v>
      </c>
      <c r="AI1056" t="s">
        <v>6122</v>
      </c>
      <c r="AJ1056">
        <v>-3.57</v>
      </c>
      <c r="AK1056">
        <v>2799</v>
      </c>
      <c r="AL1056">
        <v>31</v>
      </c>
      <c r="AM1056">
        <v>1.1999999999999999E-3</v>
      </c>
      <c r="AN1056">
        <v>-2</v>
      </c>
      <c r="AO1056">
        <v>-2.79</v>
      </c>
      <c r="AP1056">
        <v>19.239999999999998</v>
      </c>
      <c r="AQ1056">
        <v>57.48</v>
      </c>
      <c r="AR1056">
        <v>158.43</v>
      </c>
      <c r="AS1056">
        <v>5.43</v>
      </c>
      <c r="AT1056" t="s">
        <v>6123</v>
      </c>
      <c r="AU1056">
        <v>24.1</v>
      </c>
      <c r="AV1056">
        <v>58.97</v>
      </c>
      <c r="AW1056">
        <v>1.36</v>
      </c>
      <c r="BA1056">
        <v>0.5</v>
      </c>
      <c r="BB1056">
        <v>1.5</v>
      </c>
      <c r="BC1056">
        <v>-5.85</v>
      </c>
      <c r="BD1056">
        <v>-2.33</v>
      </c>
      <c r="BE1056">
        <v>-4.7300000000000004</v>
      </c>
      <c r="BF1056">
        <v>-5.67</v>
      </c>
      <c r="BG1056">
        <v>1.7</v>
      </c>
      <c r="BH1056">
        <v>-1.92</v>
      </c>
      <c r="BI1056">
        <v>20191029</v>
      </c>
      <c r="BJ1056">
        <v>20110805</v>
      </c>
      <c r="BK1056">
        <v>3.99</v>
      </c>
      <c r="BL1056" t="s">
        <v>116</v>
      </c>
      <c r="BM1056" t="s">
        <v>116</v>
      </c>
      <c r="BN1056">
        <v>28.59</v>
      </c>
      <c r="BO1056">
        <v>14.4</v>
      </c>
      <c r="BP1056">
        <v>0.34</v>
      </c>
      <c r="BQ1056">
        <v>48.46</v>
      </c>
      <c r="BR1056">
        <v>8.3800000000000008</v>
      </c>
      <c r="BS1056">
        <v>3.58</v>
      </c>
      <c r="BT1056">
        <v>2.88</v>
      </c>
      <c r="BU1056">
        <v>9.2100000000000009</v>
      </c>
      <c r="BV1056">
        <v>1.55</v>
      </c>
      <c r="BW1056">
        <v>0.99</v>
      </c>
      <c r="BX1056">
        <v>1.64</v>
      </c>
      <c r="BY1056">
        <v>12.25</v>
      </c>
      <c r="BZ1056">
        <v>4.51</v>
      </c>
      <c r="CA1056">
        <v>3.67</v>
      </c>
      <c r="CB1056">
        <v>0.05</v>
      </c>
      <c r="CC1056">
        <v>3.67</v>
      </c>
      <c r="CD1056">
        <v>3.32</v>
      </c>
      <c r="CE1056">
        <v>2.65</v>
      </c>
      <c r="CF1056">
        <v>2.61</v>
      </c>
      <c r="CG1056">
        <v>8.77</v>
      </c>
      <c r="CH1056">
        <v>5.71</v>
      </c>
      <c r="CI1056">
        <v>1.84</v>
      </c>
      <c r="CJ1056">
        <v>21080</v>
      </c>
      <c r="CK1056">
        <v>7697</v>
      </c>
      <c r="CL1056" t="s">
        <v>6124</v>
      </c>
      <c r="CM1056">
        <v>244.28</v>
      </c>
      <c r="CN1056">
        <v>130.21</v>
      </c>
      <c r="CO1056">
        <v>5.31</v>
      </c>
      <c r="CP1056">
        <v>13.39</v>
      </c>
      <c r="CQ1056">
        <v>6.24</v>
      </c>
      <c r="CR1056">
        <v>0.52</v>
      </c>
      <c r="CS1056" t="s">
        <v>4046</v>
      </c>
      <c r="CT1056">
        <v>3.6</v>
      </c>
      <c r="CU1056">
        <v>0</v>
      </c>
      <c r="CV1056">
        <v>0.41</v>
      </c>
      <c r="CW1056">
        <v>2.19</v>
      </c>
      <c r="CX1056">
        <v>1.43</v>
      </c>
      <c r="CY1056">
        <v>50.36</v>
      </c>
      <c r="CZ1056" t="s">
        <v>6125</v>
      </c>
      <c r="DA1056">
        <v>63.19</v>
      </c>
      <c r="DB1056">
        <v>29.93</v>
      </c>
      <c r="DC1056">
        <v>21.59</v>
      </c>
      <c r="DD1056">
        <v>0.79</v>
      </c>
      <c r="DE1056">
        <v>801</v>
      </c>
      <c r="DF1056">
        <v>2605</v>
      </c>
      <c r="DG1056" t="s">
        <v>116</v>
      </c>
      <c r="DH1056" t="s">
        <v>116</v>
      </c>
      <c r="DI1056" t="s">
        <v>116</v>
      </c>
    </row>
    <row r="1057" spans="1:113" x14ac:dyDescent="0.4">
      <c r="A1057" t="str">
        <f>"002606"</f>
        <v>002606</v>
      </c>
      <c r="B1057" t="s">
        <v>6126</v>
      </c>
      <c r="C1057">
        <v>-1.21</v>
      </c>
      <c r="D1057">
        <v>5.71</v>
      </c>
      <c r="E1057">
        <v>-7.0000000000000007E-2</v>
      </c>
      <c r="F1057">
        <v>5.71</v>
      </c>
      <c r="G1057">
        <v>5.72</v>
      </c>
      <c r="H1057">
        <v>34728</v>
      </c>
      <c r="I1057">
        <v>476</v>
      </c>
      <c r="J1057">
        <v>0</v>
      </c>
      <c r="K1057">
        <v>0.85</v>
      </c>
      <c r="L1057">
        <v>5.79</v>
      </c>
      <c r="M1057">
        <v>5.81</v>
      </c>
      <c r="N1057">
        <v>5.71</v>
      </c>
      <c r="O1057">
        <v>5.78</v>
      </c>
      <c r="P1057">
        <v>39.69</v>
      </c>
      <c r="Q1057">
        <v>20018644</v>
      </c>
      <c r="R1057">
        <v>0.99</v>
      </c>
      <c r="S1057" t="s">
        <v>397</v>
      </c>
      <c r="T1057" t="s">
        <v>434</v>
      </c>
      <c r="U1057">
        <v>1.73</v>
      </c>
      <c r="V1057">
        <v>5.76</v>
      </c>
      <c r="W1057">
        <v>16949</v>
      </c>
      <c r="X1057">
        <v>17779</v>
      </c>
      <c r="Y1057">
        <v>0.95</v>
      </c>
      <c r="Z1057">
        <v>622</v>
      </c>
      <c r="AA1057">
        <v>3299</v>
      </c>
      <c r="AB1057" t="s">
        <v>116</v>
      </c>
      <c r="AC1057">
        <v>59600</v>
      </c>
      <c r="AD1057">
        <v>0</v>
      </c>
      <c r="AE1057" t="s">
        <v>116</v>
      </c>
      <c r="AF1057" t="s">
        <v>116</v>
      </c>
      <c r="AG1057">
        <v>4.07</v>
      </c>
      <c r="AH1057" t="s">
        <v>6127</v>
      </c>
      <c r="AI1057" t="s">
        <v>4347</v>
      </c>
      <c r="AJ1057">
        <v>-0.53</v>
      </c>
      <c r="AK1057">
        <v>1129</v>
      </c>
      <c r="AL1057">
        <v>31</v>
      </c>
      <c r="AM1057">
        <v>8.0000000000000004E-4</v>
      </c>
      <c r="AN1057">
        <v>-1</v>
      </c>
      <c r="AO1057">
        <v>-1.56</v>
      </c>
      <c r="AP1057">
        <v>2.33</v>
      </c>
      <c r="AQ1057">
        <v>2.15</v>
      </c>
      <c r="AR1057">
        <v>-12.96</v>
      </c>
      <c r="AS1057">
        <v>1.24</v>
      </c>
      <c r="AT1057" t="s">
        <v>6128</v>
      </c>
      <c r="AU1057">
        <v>73.180000000000007</v>
      </c>
      <c r="AV1057" t="s">
        <v>116</v>
      </c>
      <c r="AW1057">
        <v>0.78</v>
      </c>
      <c r="BA1057">
        <v>0.17</v>
      </c>
      <c r="BB1057">
        <v>0.52</v>
      </c>
      <c r="BC1057">
        <v>-1.21</v>
      </c>
      <c r="BD1057">
        <v>-0.27</v>
      </c>
      <c r="BE1057">
        <v>-1.38</v>
      </c>
      <c r="BF1057">
        <v>-1.72</v>
      </c>
      <c r="BG1057">
        <v>0</v>
      </c>
      <c r="BH1057">
        <v>-0.94</v>
      </c>
      <c r="BI1057">
        <v>20191226</v>
      </c>
      <c r="BJ1057">
        <v>20110805</v>
      </c>
      <c r="BK1057">
        <v>4.07</v>
      </c>
      <c r="BL1057" t="s">
        <v>116</v>
      </c>
      <c r="BM1057" t="s">
        <v>116</v>
      </c>
      <c r="BN1057">
        <v>13.94</v>
      </c>
      <c r="BO1057">
        <v>9.1999999999999993</v>
      </c>
      <c r="BP1057">
        <v>0.09</v>
      </c>
      <c r="BQ1057">
        <v>33.43</v>
      </c>
      <c r="BR1057">
        <v>8.93</v>
      </c>
      <c r="BS1057">
        <v>3.21</v>
      </c>
      <c r="BT1057">
        <v>0.96</v>
      </c>
      <c r="BU1057">
        <v>3.91</v>
      </c>
      <c r="BV1057">
        <v>2.77</v>
      </c>
      <c r="BW1057">
        <v>3.88</v>
      </c>
      <c r="BX1057">
        <v>1.25</v>
      </c>
      <c r="BY1057">
        <v>5.07</v>
      </c>
      <c r="BZ1057">
        <v>3.33</v>
      </c>
      <c r="CA1057">
        <v>0.51</v>
      </c>
      <c r="CB1057">
        <v>0.01</v>
      </c>
      <c r="CC1057">
        <v>0.55000000000000004</v>
      </c>
      <c r="CD1057">
        <v>0.44</v>
      </c>
      <c r="CE1057">
        <v>0.44</v>
      </c>
      <c r="CF1057">
        <v>0.39</v>
      </c>
      <c r="CG1057">
        <v>3.45</v>
      </c>
      <c r="CH1057">
        <v>0.52</v>
      </c>
      <c r="CI1057">
        <v>0.31</v>
      </c>
      <c r="CJ1057">
        <v>31366</v>
      </c>
      <c r="CK1057">
        <v>8931</v>
      </c>
      <c r="CL1057" t="s">
        <v>6129</v>
      </c>
      <c r="CM1057">
        <v>750.01</v>
      </c>
      <c r="CN1057">
        <v>15.32</v>
      </c>
      <c r="CO1057">
        <v>2.5299999999999998</v>
      </c>
      <c r="CP1057">
        <v>45</v>
      </c>
      <c r="CQ1057">
        <v>4.59</v>
      </c>
      <c r="CR1057">
        <v>0</v>
      </c>
      <c r="CS1057" t="s">
        <v>1808</v>
      </c>
      <c r="CT1057">
        <v>2.2599999999999998</v>
      </c>
      <c r="CU1057">
        <v>0</v>
      </c>
      <c r="CV1057">
        <v>0.31</v>
      </c>
      <c r="CW1057">
        <v>0.85</v>
      </c>
      <c r="CX1057">
        <v>0.13</v>
      </c>
      <c r="CY1057">
        <v>65.95</v>
      </c>
      <c r="CZ1057" t="s">
        <v>3696</v>
      </c>
      <c r="DA1057">
        <v>34.28</v>
      </c>
      <c r="DB1057">
        <v>10.01</v>
      </c>
      <c r="DC1057">
        <v>8.67</v>
      </c>
      <c r="DD1057">
        <v>0.24</v>
      </c>
      <c r="DE1057">
        <v>1300</v>
      </c>
      <c r="DF1057">
        <v>2606</v>
      </c>
      <c r="DG1057" t="s">
        <v>116</v>
      </c>
      <c r="DH1057" t="s">
        <v>116</v>
      </c>
      <c r="DI1057" t="s">
        <v>116</v>
      </c>
    </row>
    <row r="1058" spans="1:113" x14ac:dyDescent="0.4">
      <c r="A1058" t="str">
        <f>"002607"</f>
        <v>002607</v>
      </c>
      <c r="B1058" t="s">
        <v>6130</v>
      </c>
      <c r="C1058">
        <v>-1.48</v>
      </c>
      <c r="D1058">
        <v>17.260000000000002</v>
      </c>
      <c r="E1058">
        <v>-0.26</v>
      </c>
      <c r="F1058">
        <v>17.25</v>
      </c>
      <c r="G1058">
        <v>17.260000000000002</v>
      </c>
      <c r="H1058">
        <v>86126</v>
      </c>
      <c r="I1058">
        <v>682</v>
      </c>
      <c r="J1058">
        <v>-0.05</v>
      </c>
      <c r="K1058">
        <v>1.29</v>
      </c>
      <c r="L1058">
        <v>17.510000000000002</v>
      </c>
      <c r="M1058">
        <v>17.59</v>
      </c>
      <c r="N1058">
        <v>17.25</v>
      </c>
      <c r="O1058">
        <v>17.52</v>
      </c>
      <c r="P1058">
        <v>83.26</v>
      </c>
      <c r="Q1058">
        <v>150092064</v>
      </c>
      <c r="R1058">
        <v>0.73</v>
      </c>
      <c r="S1058" t="s">
        <v>217</v>
      </c>
      <c r="T1058" t="s">
        <v>575</v>
      </c>
      <c r="U1058">
        <v>1.94</v>
      </c>
      <c r="V1058">
        <v>17.43</v>
      </c>
      <c r="W1058">
        <v>45614</v>
      </c>
      <c r="X1058">
        <v>40512</v>
      </c>
      <c r="Y1058">
        <v>1.1299999999999999</v>
      </c>
      <c r="Z1058">
        <v>215</v>
      </c>
      <c r="AA1058">
        <v>196</v>
      </c>
      <c r="AB1058" t="s">
        <v>116</v>
      </c>
      <c r="AC1058">
        <v>585500</v>
      </c>
      <c r="AD1058">
        <v>0.01</v>
      </c>
      <c r="AE1058" t="s">
        <v>116</v>
      </c>
      <c r="AF1058" t="s">
        <v>116</v>
      </c>
      <c r="AG1058">
        <v>6.67</v>
      </c>
      <c r="AH1058" t="s">
        <v>6131</v>
      </c>
      <c r="AI1058" t="s">
        <v>6132</v>
      </c>
      <c r="AJ1058">
        <v>-0.81</v>
      </c>
      <c r="AK1058">
        <v>3615</v>
      </c>
      <c r="AL1058">
        <v>24</v>
      </c>
      <c r="AM1058">
        <v>4.0000000000000002E-4</v>
      </c>
      <c r="AN1058">
        <v>-2</v>
      </c>
      <c r="AO1058">
        <v>-0.74</v>
      </c>
      <c r="AP1058">
        <v>-5.58</v>
      </c>
      <c r="AQ1058">
        <v>4.0999999999999996</v>
      </c>
      <c r="AR1058">
        <v>162.31</v>
      </c>
      <c r="AS1058">
        <v>1.67</v>
      </c>
      <c r="AT1058" t="s">
        <v>6133</v>
      </c>
      <c r="AU1058">
        <v>67.78</v>
      </c>
      <c r="AV1058">
        <v>92.33</v>
      </c>
      <c r="AW1058">
        <v>0.78</v>
      </c>
      <c r="BA1058">
        <v>-0.06</v>
      </c>
      <c r="BB1058">
        <v>0.4</v>
      </c>
      <c r="BC1058">
        <v>-1.54</v>
      </c>
      <c r="BD1058">
        <v>-0.53</v>
      </c>
      <c r="BE1058">
        <v>-1.43</v>
      </c>
      <c r="BF1058">
        <v>-1.88</v>
      </c>
      <c r="BG1058">
        <v>0.06</v>
      </c>
      <c r="BH1058">
        <v>-0.95</v>
      </c>
      <c r="BI1058">
        <v>20191125</v>
      </c>
      <c r="BJ1058">
        <v>20110810</v>
      </c>
      <c r="BK1058">
        <v>61.67</v>
      </c>
      <c r="BL1058" t="s">
        <v>116</v>
      </c>
      <c r="BM1058" t="s">
        <v>116</v>
      </c>
      <c r="BN1058">
        <v>93.15</v>
      </c>
      <c r="BO1058">
        <v>25.35</v>
      </c>
      <c r="BP1058">
        <v>0</v>
      </c>
      <c r="BQ1058">
        <v>72.790000000000006</v>
      </c>
      <c r="BR1058">
        <v>49.59</v>
      </c>
      <c r="BS1058">
        <v>6.68</v>
      </c>
      <c r="BT1058">
        <v>1.99</v>
      </c>
      <c r="BU1058">
        <v>66.849999999999994</v>
      </c>
      <c r="BV1058">
        <v>0</v>
      </c>
      <c r="BW1058">
        <v>0.22</v>
      </c>
      <c r="BX1058">
        <v>11.85</v>
      </c>
      <c r="BY1058">
        <v>61.59</v>
      </c>
      <c r="BZ1058">
        <v>26.11</v>
      </c>
      <c r="CA1058">
        <v>11.46</v>
      </c>
      <c r="CB1058">
        <v>1.27</v>
      </c>
      <c r="CC1058">
        <v>11.48</v>
      </c>
      <c r="CD1058">
        <v>9.59</v>
      </c>
      <c r="CE1058">
        <v>9.59</v>
      </c>
      <c r="CF1058">
        <v>8.89</v>
      </c>
      <c r="CG1058">
        <v>12.01</v>
      </c>
      <c r="CH1058">
        <v>30.43</v>
      </c>
      <c r="CI1058">
        <v>4.3</v>
      </c>
      <c r="CJ1058">
        <v>21954</v>
      </c>
      <c r="CK1058">
        <v>23438</v>
      </c>
      <c r="CL1058" t="s">
        <v>6134</v>
      </c>
      <c r="CM1058">
        <v>77.150000000000006</v>
      </c>
      <c r="CN1058">
        <v>47.67</v>
      </c>
      <c r="CO1058">
        <v>41.99</v>
      </c>
      <c r="CP1058">
        <v>34.99</v>
      </c>
      <c r="CQ1058">
        <v>17.28</v>
      </c>
      <c r="CR1058">
        <v>1.33</v>
      </c>
      <c r="CS1058" t="s">
        <v>5345</v>
      </c>
      <c r="CT1058">
        <v>0.41</v>
      </c>
      <c r="CU1058">
        <v>0</v>
      </c>
      <c r="CV1058">
        <v>0.19</v>
      </c>
      <c r="CW1058">
        <v>0.19</v>
      </c>
      <c r="CX1058">
        <v>0.49</v>
      </c>
      <c r="CY1058">
        <v>27.21</v>
      </c>
      <c r="CZ1058" t="s">
        <v>6135</v>
      </c>
      <c r="DA1058">
        <v>57.61</v>
      </c>
      <c r="DB1058">
        <v>18.600000000000001</v>
      </c>
      <c r="DC1058">
        <v>15.57</v>
      </c>
      <c r="DD1058">
        <v>5.12</v>
      </c>
      <c r="DE1058">
        <v>25718</v>
      </c>
      <c r="DF1058">
        <v>2607</v>
      </c>
      <c r="DG1058" t="s">
        <v>116</v>
      </c>
      <c r="DH1058" t="s">
        <v>116</v>
      </c>
      <c r="DI1058" t="s">
        <v>116</v>
      </c>
    </row>
    <row r="1059" spans="1:113" x14ac:dyDescent="0.4">
      <c r="A1059" t="str">
        <f>"002608"</f>
        <v>002608</v>
      </c>
      <c r="B1059" t="s">
        <v>6136</v>
      </c>
      <c r="C1059">
        <v>0.67</v>
      </c>
      <c r="D1059">
        <v>7.56</v>
      </c>
      <c r="E1059">
        <v>0.05</v>
      </c>
      <c r="F1059">
        <v>7.55</v>
      </c>
      <c r="G1059">
        <v>7.56</v>
      </c>
      <c r="H1059">
        <v>44363</v>
      </c>
      <c r="I1059">
        <v>310</v>
      </c>
      <c r="J1059">
        <v>0.13</v>
      </c>
      <c r="K1059">
        <v>0.31</v>
      </c>
      <c r="L1059">
        <v>7.51</v>
      </c>
      <c r="M1059">
        <v>7.62</v>
      </c>
      <c r="N1059">
        <v>7.47</v>
      </c>
      <c r="O1059">
        <v>7.51</v>
      </c>
      <c r="P1059">
        <v>10.88</v>
      </c>
      <c r="Q1059">
        <v>33507906</v>
      </c>
      <c r="R1059">
        <v>1.79</v>
      </c>
      <c r="S1059" t="s">
        <v>271</v>
      </c>
      <c r="T1059" t="s">
        <v>323</v>
      </c>
      <c r="U1059">
        <v>2</v>
      </c>
      <c r="V1059">
        <v>7.55</v>
      </c>
      <c r="W1059">
        <v>22218</v>
      </c>
      <c r="X1059">
        <v>22145</v>
      </c>
      <c r="Y1059">
        <v>1</v>
      </c>
      <c r="Z1059">
        <v>494</v>
      </c>
      <c r="AA1059">
        <v>267</v>
      </c>
      <c r="AB1059" t="s">
        <v>116</v>
      </c>
      <c r="AC1059">
        <v>66100</v>
      </c>
      <c r="AD1059">
        <v>0</v>
      </c>
      <c r="AE1059" t="s">
        <v>116</v>
      </c>
      <c r="AF1059" t="s">
        <v>116</v>
      </c>
      <c r="AG1059">
        <v>14.2</v>
      </c>
      <c r="AH1059" t="s">
        <v>6137</v>
      </c>
      <c r="AI1059" t="s">
        <v>6138</v>
      </c>
      <c r="AJ1059">
        <v>1.34</v>
      </c>
      <c r="AK1059">
        <v>1008</v>
      </c>
      <c r="AL1059">
        <v>44</v>
      </c>
      <c r="AM1059">
        <v>2.9999999999999997E-4</v>
      </c>
      <c r="AN1059">
        <v>4</v>
      </c>
      <c r="AO1059">
        <v>1.21</v>
      </c>
      <c r="AP1059">
        <v>5.88</v>
      </c>
      <c r="AQ1059">
        <v>-1.43</v>
      </c>
      <c r="AR1059">
        <v>-1.18</v>
      </c>
      <c r="AS1059">
        <v>0.73</v>
      </c>
      <c r="AT1059" t="s">
        <v>6139</v>
      </c>
      <c r="AU1059">
        <v>9.7100000000000009</v>
      </c>
      <c r="AV1059">
        <v>11.17</v>
      </c>
      <c r="AW1059">
        <v>0.89</v>
      </c>
      <c r="BA1059">
        <v>0</v>
      </c>
      <c r="BB1059">
        <v>1.46</v>
      </c>
      <c r="BC1059">
        <v>-0.53</v>
      </c>
      <c r="BD1059">
        <v>0.56999999999999995</v>
      </c>
      <c r="BE1059">
        <v>0.67</v>
      </c>
      <c r="BF1059">
        <v>-0.79</v>
      </c>
      <c r="BG1059">
        <v>1.2</v>
      </c>
      <c r="BH1059">
        <v>0.09</v>
      </c>
      <c r="BI1059">
        <v>20191206</v>
      </c>
      <c r="BJ1059">
        <v>20110810</v>
      </c>
      <c r="BK1059">
        <v>37.78</v>
      </c>
      <c r="BL1059" t="s">
        <v>116</v>
      </c>
      <c r="BM1059" t="s">
        <v>116</v>
      </c>
      <c r="BN1059">
        <v>700.05</v>
      </c>
      <c r="BO1059">
        <v>265.24</v>
      </c>
      <c r="BP1059">
        <v>97.75</v>
      </c>
      <c r="BQ1059">
        <v>48.15</v>
      </c>
      <c r="BR1059">
        <v>188.32</v>
      </c>
      <c r="BS1059">
        <v>261.25</v>
      </c>
      <c r="BT1059">
        <v>9.73</v>
      </c>
      <c r="BU1059">
        <v>220.92</v>
      </c>
      <c r="BV1059">
        <v>9.48</v>
      </c>
      <c r="BW1059">
        <v>17.39</v>
      </c>
      <c r="BX1059">
        <v>167.64</v>
      </c>
      <c r="BY1059">
        <v>144.25</v>
      </c>
      <c r="BZ1059">
        <v>128.55000000000001</v>
      </c>
      <c r="CA1059">
        <v>31.94</v>
      </c>
      <c r="CB1059">
        <v>17.79</v>
      </c>
      <c r="CC1059">
        <v>32.01</v>
      </c>
      <c r="CD1059">
        <v>25.29</v>
      </c>
      <c r="CE1059">
        <v>19.68</v>
      </c>
      <c r="CF1059">
        <v>13.95</v>
      </c>
      <c r="CG1059">
        <v>16.21</v>
      </c>
      <c r="CH1059">
        <v>37.92</v>
      </c>
      <c r="CI1059">
        <v>24.91</v>
      </c>
      <c r="CJ1059">
        <v>25646</v>
      </c>
      <c r="CK1059">
        <v>23732</v>
      </c>
      <c r="CL1059" t="s">
        <v>4152</v>
      </c>
      <c r="CM1059">
        <v>24.33</v>
      </c>
      <c r="CN1059">
        <v>-8.2799999999999994</v>
      </c>
      <c r="CO1059">
        <v>1.08</v>
      </c>
      <c r="CP1059">
        <v>7.53</v>
      </c>
      <c r="CQ1059">
        <v>1.98</v>
      </c>
      <c r="CR1059">
        <v>0</v>
      </c>
      <c r="CS1059" t="s">
        <v>6140</v>
      </c>
      <c r="CT1059">
        <v>7.02</v>
      </c>
      <c r="CU1059">
        <v>0</v>
      </c>
      <c r="CV1059">
        <v>4.4400000000000004</v>
      </c>
      <c r="CW1059">
        <v>0.43</v>
      </c>
      <c r="CX1059">
        <v>1</v>
      </c>
      <c r="CY1059">
        <v>37.89</v>
      </c>
      <c r="CZ1059" t="s">
        <v>1475</v>
      </c>
      <c r="DA1059">
        <v>10.88</v>
      </c>
      <c r="DB1059">
        <v>22.14</v>
      </c>
      <c r="DC1059">
        <v>13.64</v>
      </c>
      <c r="DD1059">
        <v>0</v>
      </c>
      <c r="DE1059">
        <v>3921</v>
      </c>
      <c r="DF1059">
        <v>2608</v>
      </c>
      <c r="DG1059" t="s">
        <v>116</v>
      </c>
      <c r="DH1059" t="s">
        <v>116</v>
      </c>
      <c r="DI1059" t="s">
        <v>116</v>
      </c>
    </row>
    <row r="1060" spans="1:113" x14ac:dyDescent="0.4">
      <c r="A1060" t="str">
        <f>"002609"</f>
        <v>002609</v>
      </c>
      <c r="B1060" t="s">
        <v>6141</v>
      </c>
      <c r="C1060">
        <v>-2.76</v>
      </c>
      <c r="D1060">
        <v>8.4600000000000009</v>
      </c>
      <c r="E1060">
        <v>-0.24</v>
      </c>
      <c r="F1060">
        <v>8.4600000000000009</v>
      </c>
      <c r="G1060">
        <v>8.4700000000000006</v>
      </c>
      <c r="H1060">
        <v>62966</v>
      </c>
      <c r="I1060">
        <v>454</v>
      </c>
      <c r="J1060">
        <v>-0.23</v>
      </c>
      <c r="K1060">
        <v>1.72</v>
      </c>
      <c r="L1060">
        <v>8.68</v>
      </c>
      <c r="M1060">
        <v>8.7100000000000009</v>
      </c>
      <c r="N1060">
        <v>8.4600000000000009</v>
      </c>
      <c r="O1060">
        <v>8.6999999999999993</v>
      </c>
      <c r="P1060">
        <v>58.5</v>
      </c>
      <c r="Q1060">
        <v>53957588</v>
      </c>
      <c r="R1060">
        <v>1.02</v>
      </c>
      <c r="S1060" t="s">
        <v>607</v>
      </c>
      <c r="T1060" t="s">
        <v>115</v>
      </c>
      <c r="U1060">
        <v>2.87</v>
      </c>
      <c r="V1060">
        <v>8.57</v>
      </c>
      <c r="W1060">
        <v>41256</v>
      </c>
      <c r="X1060">
        <v>21710</v>
      </c>
      <c r="Y1060">
        <v>1.9</v>
      </c>
      <c r="Z1060">
        <v>754</v>
      </c>
      <c r="AA1060">
        <v>371</v>
      </c>
      <c r="AB1060" t="s">
        <v>116</v>
      </c>
      <c r="AC1060">
        <v>59900</v>
      </c>
      <c r="AD1060">
        <v>0</v>
      </c>
      <c r="AE1060" t="s">
        <v>116</v>
      </c>
      <c r="AF1060" t="s">
        <v>116</v>
      </c>
      <c r="AG1060">
        <v>3.67</v>
      </c>
      <c r="AH1060" t="s">
        <v>3533</v>
      </c>
      <c r="AI1060" t="s">
        <v>6142</v>
      </c>
      <c r="AJ1060">
        <v>-2.08</v>
      </c>
      <c r="AK1060">
        <v>2163</v>
      </c>
      <c r="AL1060">
        <v>29</v>
      </c>
      <c r="AM1060">
        <v>8.0000000000000004E-4</v>
      </c>
      <c r="AN1060">
        <v>-1</v>
      </c>
      <c r="AO1060">
        <v>-1.4</v>
      </c>
      <c r="AP1060">
        <v>3.3</v>
      </c>
      <c r="AQ1060">
        <v>-10.19</v>
      </c>
      <c r="AR1060">
        <v>56.96</v>
      </c>
      <c r="AS1060">
        <v>2.56</v>
      </c>
      <c r="AT1060" t="s">
        <v>6143</v>
      </c>
      <c r="AU1060">
        <v>47.53</v>
      </c>
      <c r="AV1060">
        <v>57.72</v>
      </c>
      <c r="AW1060">
        <v>1.47</v>
      </c>
      <c r="BA1060">
        <v>-0.23</v>
      </c>
      <c r="BB1060">
        <v>0.11</v>
      </c>
      <c r="BC1060">
        <v>-2.76</v>
      </c>
      <c r="BD1060">
        <v>-1.5</v>
      </c>
      <c r="BE1060">
        <v>-2.5299999999999998</v>
      </c>
      <c r="BF1060">
        <v>-2.87</v>
      </c>
      <c r="BG1060">
        <v>0</v>
      </c>
      <c r="BH1060">
        <v>-1.26</v>
      </c>
      <c r="BI1060">
        <v>20191126</v>
      </c>
      <c r="BJ1060">
        <v>20110815</v>
      </c>
      <c r="BK1060">
        <v>6.45</v>
      </c>
      <c r="BL1060" t="s">
        <v>116</v>
      </c>
      <c r="BM1060" t="s">
        <v>116</v>
      </c>
      <c r="BN1060">
        <v>25.96</v>
      </c>
      <c r="BO1060">
        <v>19.66</v>
      </c>
      <c r="BP1060">
        <v>0.73</v>
      </c>
      <c r="BQ1060">
        <v>21.47</v>
      </c>
      <c r="BR1060">
        <v>17.11</v>
      </c>
      <c r="BS1060">
        <v>1.0900000000000001</v>
      </c>
      <c r="BT1060">
        <v>3.26</v>
      </c>
      <c r="BU1060">
        <v>4.6399999999999997</v>
      </c>
      <c r="BV1060">
        <v>1.72</v>
      </c>
      <c r="BW1060">
        <v>4.68</v>
      </c>
      <c r="BX1060">
        <v>9.52</v>
      </c>
      <c r="BY1060">
        <v>6.7</v>
      </c>
      <c r="BZ1060">
        <v>3.79</v>
      </c>
      <c r="CA1060">
        <v>0.77</v>
      </c>
      <c r="CB1060">
        <v>-0.01</v>
      </c>
      <c r="CC1060">
        <v>0.82</v>
      </c>
      <c r="CD1060">
        <v>0.71</v>
      </c>
      <c r="CE1060">
        <v>0.7</v>
      </c>
      <c r="CF1060">
        <v>0.6</v>
      </c>
      <c r="CG1060">
        <v>3.17</v>
      </c>
      <c r="CH1060">
        <v>-1.42</v>
      </c>
      <c r="CI1060">
        <v>-2.6</v>
      </c>
      <c r="CJ1060">
        <v>32500</v>
      </c>
      <c r="CK1060">
        <v>7564</v>
      </c>
      <c r="CL1060" t="s">
        <v>3596</v>
      </c>
      <c r="CM1060">
        <v>40.82</v>
      </c>
      <c r="CN1060">
        <v>33.01</v>
      </c>
      <c r="CO1060">
        <v>2.78</v>
      </c>
      <c r="CP1060">
        <v>-38.58</v>
      </c>
      <c r="CQ1060">
        <v>8.15</v>
      </c>
      <c r="CR1060">
        <v>1.77</v>
      </c>
      <c r="CS1060" t="s">
        <v>1808</v>
      </c>
      <c r="CT1060">
        <v>3.05</v>
      </c>
      <c r="CU1060">
        <v>0</v>
      </c>
      <c r="CV1060">
        <v>1.48</v>
      </c>
      <c r="CW1060">
        <v>0.49</v>
      </c>
      <c r="CX1060">
        <v>-0.22</v>
      </c>
      <c r="CY1060">
        <v>75.739999999999995</v>
      </c>
      <c r="CZ1060" t="s">
        <v>6144</v>
      </c>
      <c r="DA1060">
        <v>43.44</v>
      </c>
      <c r="DB1060">
        <v>11.51</v>
      </c>
      <c r="DC1060">
        <v>10.45</v>
      </c>
      <c r="DD1060">
        <v>0.44</v>
      </c>
      <c r="DE1060">
        <v>2814</v>
      </c>
      <c r="DF1060">
        <v>2609</v>
      </c>
      <c r="DG1060" t="s">
        <v>116</v>
      </c>
      <c r="DH1060" t="s">
        <v>116</v>
      </c>
      <c r="DI1060" t="s">
        <v>116</v>
      </c>
    </row>
    <row r="1061" spans="1:113" x14ac:dyDescent="0.4">
      <c r="A1061" t="str">
        <f>"002610"</f>
        <v>002610</v>
      </c>
      <c r="B1061" t="s">
        <v>6145</v>
      </c>
      <c r="C1061">
        <v>-0.62</v>
      </c>
      <c r="D1061">
        <v>1.6</v>
      </c>
      <c r="E1061">
        <v>-0.01</v>
      </c>
      <c r="F1061">
        <v>1.6</v>
      </c>
      <c r="G1061">
        <v>1.61</v>
      </c>
      <c r="H1061">
        <v>381659</v>
      </c>
      <c r="I1061">
        <v>2224</v>
      </c>
      <c r="J1061">
        <v>-0.61</v>
      </c>
      <c r="K1061">
        <v>0.87</v>
      </c>
      <c r="L1061">
        <v>1.6</v>
      </c>
      <c r="M1061">
        <v>1.62</v>
      </c>
      <c r="N1061">
        <v>1.6</v>
      </c>
      <c r="O1061">
        <v>1.61</v>
      </c>
      <c r="P1061">
        <v>96.4</v>
      </c>
      <c r="Q1061">
        <v>61415960</v>
      </c>
      <c r="R1061">
        <v>0.94</v>
      </c>
      <c r="S1061" t="s">
        <v>397</v>
      </c>
      <c r="T1061" t="s">
        <v>323</v>
      </c>
      <c r="U1061">
        <v>1.24</v>
      </c>
      <c r="V1061">
        <v>1.61</v>
      </c>
      <c r="W1061">
        <v>210546</v>
      </c>
      <c r="X1061">
        <v>171113</v>
      </c>
      <c r="Y1061">
        <v>1.23</v>
      </c>
      <c r="Z1061">
        <v>42643</v>
      </c>
      <c r="AA1061">
        <v>52919</v>
      </c>
      <c r="AB1061" t="s">
        <v>116</v>
      </c>
      <c r="AC1061">
        <v>176000</v>
      </c>
      <c r="AD1061">
        <v>0</v>
      </c>
      <c r="AE1061" t="s">
        <v>116</v>
      </c>
      <c r="AF1061" t="s">
        <v>116</v>
      </c>
      <c r="AG1061">
        <v>43.87</v>
      </c>
      <c r="AH1061" t="s">
        <v>6146</v>
      </c>
      <c r="AI1061" t="s">
        <v>6147</v>
      </c>
      <c r="AJ1061">
        <v>0.06</v>
      </c>
      <c r="AK1061">
        <v>1962</v>
      </c>
      <c r="AL1061">
        <v>195</v>
      </c>
      <c r="AM1061">
        <v>4.0000000000000002E-4</v>
      </c>
      <c r="AN1061">
        <v>-1</v>
      </c>
      <c r="AO1061">
        <v>0.01</v>
      </c>
      <c r="AP1061">
        <v>3.23</v>
      </c>
      <c r="AQ1061">
        <v>-1.23</v>
      </c>
      <c r="AR1061">
        <v>1.91</v>
      </c>
      <c r="AS1061">
        <v>1.1299999999999999</v>
      </c>
      <c r="AT1061" t="s">
        <v>6148</v>
      </c>
      <c r="AU1061">
        <v>152.51</v>
      </c>
      <c r="AV1061">
        <v>57.3</v>
      </c>
      <c r="AW1061">
        <v>0.91</v>
      </c>
      <c r="BA1061">
        <v>-0.62</v>
      </c>
      <c r="BB1061">
        <v>0.62</v>
      </c>
      <c r="BC1061">
        <v>-0.62</v>
      </c>
      <c r="BD1061">
        <v>-0.05</v>
      </c>
      <c r="BE1061">
        <v>0</v>
      </c>
      <c r="BF1061">
        <v>-1.23</v>
      </c>
      <c r="BG1061">
        <v>0</v>
      </c>
      <c r="BH1061">
        <v>-0.56999999999999995</v>
      </c>
      <c r="BI1061">
        <v>20191031</v>
      </c>
      <c r="BJ1061">
        <v>20110815</v>
      </c>
      <c r="BK1061">
        <v>44.89</v>
      </c>
      <c r="BL1061" t="s">
        <v>116</v>
      </c>
      <c r="BM1061" t="s">
        <v>116</v>
      </c>
      <c r="BN1061">
        <v>136.84</v>
      </c>
      <c r="BO1061">
        <v>59.43</v>
      </c>
      <c r="BP1061">
        <v>1.0900000000000001</v>
      </c>
      <c r="BQ1061">
        <v>55.78</v>
      </c>
      <c r="BR1061">
        <v>61.36</v>
      </c>
      <c r="BS1061">
        <v>40.01</v>
      </c>
      <c r="BT1061">
        <v>2.34</v>
      </c>
      <c r="BU1061">
        <v>49.02</v>
      </c>
      <c r="BV1061">
        <v>2.58</v>
      </c>
      <c r="BW1061">
        <v>18.38</v>
      </c>
      <c r="BX1061">
        <v>8.6</v>
      </c>
      <c r="BY1061">
        <v>37.880000000000003</v>
      </c>
      <c r="BZ1061">
        <v>31.95</v>
      </c>
      <c r="CA1061">
        <v>0.57999999999999996</v>
      </c>
      <c r="CB1061">
        <v>0.51</v>
      </c>
      <c r="CC1061">
        <v>0.65</v>
      </c>
      <c r="CD1061">
        <v>0.61</v>
      </c>
      <c r="CE1061">
        <v>0.56000000000000005</v>
      </c>
      <c r="CF1061">
        <v>0.28999999999999998</v>
      </c>
      <c r="CG1061">
        <v>5.32</v>
      </c>
      <c r="CH1061">
        <v>2.83</v>
      </c>
      <c r="CI1061">
        <v>-0.81</v>
      </c>
      <c r="CJ1061">
        <v>237958</v>
      </c>
      <c r="CK1061">
        <v>14165</v>
      </c>
      <c r="CL1061" t="s">
        <v>6149</v>
      </c>
      <c r="CM1061">
        <v>-58.34</v>
      </c>
      <c r="CN1061">
        <v>3.19</v>
      </c>
      <c r="CO1061">
        <v>1.21</v>
      </c>
      <c r="CP1061">
        <v>25.4</v>
      </c>
      <c r="CQ1061">
        <v>1.9</v>
      </c>
      <c r="CR1061">
        <v>0</v>
      </c>
      <c r="CS1061" t="s">
        <v>238</v>
      </c>
      <c r="CT1061">
        <v>1.32</v>
      </c>
      <c r="CU1061">
        <v>0</v>
      </c>
      <c r="CV1061">
        <v>0.19</v>
      </c>
      <c r="CW1061">
        <v>0.12</v>
      </c>
      <c r="CX1061">
        <v>0.06</v>
      </c>
      <c r="CY1061">
        <v>43.43</v>
      </c>
      <c r="CZ1061" t="s">
        <v>1316</v>
      </c>
      <c r="DA1061">
        <v>15.65</v>
      </c>
      <c r="DB1061">
        <v>1.54</v>
      </c>
      <c r="DC1061">
        <v>1.48</v>
      </c>
      <c r="DD1061">
        <v>0.26</v>
      </c>
      <c r="DE1061">
        <v>2304</v>
      </c>
      <c r="DF1061">
        <v>2610</v>
      </c>
      <c r="DG1061" t="s">
        <v>116</v>
      </c>
      <c r="DH1061" t="s">
        <v>116</v>
      </c>
      <c r="DI1061" t="s">
        <v>116</v>
      </c>
    </row>
    <row r="1062" spans="1:113" x14ac:dyDescent="0.4">
      <c r="A1062" t="str">
        <f>"002611"</f>
        <v>002611</v>
      </c>
      <c r="B1062" t="s">
        <v>6150</v>
      </c>
      <c r="C1062">
        <v>-0.23</v>
      </c>
      <c r="D1062">
        <v>4.37</v>
      </c>
      <c r="E1062">
        <v>-0.01</v>
      </c>
      <c r="F1062">
        <v>4.37</v>
      </c>
      <c r="G1062">
        <v>4.38</v>
      </c>
      <c r="H1062">
        <v>296338</v>
      </c>
      <c r="I1062">
        <v>1030</v>
      </c>
      <c r="J1062">
        <v>0</v>
      </c>
      <c r="K1062">
        <v>2.68</v>
      </c>
      <c r="L1062">
        <v>4.4400000000000004</v>
      </c>
      <c r="M1062">
        <v>4.55</v>
      </c>
      <c r="N1062">
        <v>4.3499999999999996</v>
      </c>
      <c r="O1062">
        <v>4.38</v>
      </c>
      <c r="P1062">
        <v>15.25</v>
      </c>
      <c r="Q1062">
        <v>131165584</v>
      </c>
      <c r="R1062">
        <v>1.45</v>
      </c>
      <c r="S1062" t="s">
        <v>353</v>
      </c>
      <c r="T1062" t="s">
        <v>551</v>
      </c>
      <c r="U1062">
        <v>4.57</v>
      </c>
      <c r="V1062">
        <v>4.43</v>
      </c>
      <c r="W1062">
        <v>170989</v>
      </c>
      <c r="X1062">
        <v>125349</v>
      </c>
      <c r="Y1062">
        <v>1.36</v>
      </c>
      <c r="Z1062">
        <v>1067</v>
      </c>
      <c r="AA1062">
        <v>1587</v>
      </c>
      <c r="AB1062" t="s">
        <v>116</v>
      </c>
      <c r="AC1062">
        <v>817400</v>
      </c>
      <c r="AD1062">
        <v>0.02</v>
      </c>
      <c r="AE1062" t="s">
        <v>116</v>
      </c>
      <c r="AF1062" t="s">
        <v>116</v>
      </c>
      <c r="AG1062">
        <v>11.06</v>
      </c>
      <c r="AH1062" t="s">
        <v>3724</v>
      </c>
      <c r="AI1062" t="s">
        <v>6151</v>
      </c>
      <c r="AJ1062">
        <v>0.45</v>
      </c>
      <c r="AK1062">
        <v>3276</v>
      </c>
      <c r="AL1062">
        <v>90</v>
      </c>
      <c r="AM1062">
        <v>8.0000000000000004E-4</v>
      </c>
      <c r="AN1062">
        <v>-1</v>
      </c>
      <c r="AO1062">
        <v>-2.2400000000000002</v>
      </c>
      <c r="AP1062">
        <v>1.39</v>
      </c>
      <c r="AQ1062">
        <v>-8.77</v>
      </c>
      <c r="AR1062">
        <v>16.53</v>
      </c>
      <c r="AS1062">
        <v>3.28</v>
      </c>
      <c r="AT1062" t="s">
        <v>6152</v>
      </c>
      <c r="AU1062" t="s">
        <v>116</v>
      </c>
      <c r="AV1062" t="s">
        <v>116</v>
      </c>
      <c r="AW1062">
        <v>1.1100000000000001</v>
      </c>
      <c r="BA1062">
        <v>1.37</v>
      </c>
      <c r="BB1062">
        <v>3.88</v>
      </c>
      <c r="BC1062">
        <v>-0.68</v>
      </c>
      <c r="BD1062">
        <v>1.06</v>
      </c>
      <c r="BE1062">
        <v>-1.58</v>
      </c>
      <c r="BF1062">
        <v>-3.96</v>
      </c>
      <c r="BG1062">
        <v>0.46</v>
      </c>
      <c r="BH1062">
        <v>-1.28</v>
      </c>
      <c r="BI1062">
        <v>20191031</v>
      </c>
      <c r="BJ1062">
        <v>20110830</v>
      </c>
      <c r="BK1062">
        <v>18.39</v>
      </c>
      <c r="BL1062" t="s">
        <v>116</v>
      </c>
      <c r="BM1062" t="s">
        <v>116</v>
      </c>
      <c r="BN1062">
        <v>107.09</v>
      </c>
      <c r="BO1062">
        <v>43.75</v>
      </c>
      <c r="BP1062">
        <v>0.64</v>
      </c>
      <c r="BQ1062">
        <v>58.55</v>
      </c>
      <c r="BR1062">
        <v>85.84</v>
      </c>
      <c r="BS1062">
        <v>7.81</v>
      </c>
      <c r="BT1062">
        <v>3.34</v>
      </c>
      <c r="BU1062">
        <v>53.72</v>
      </c>
      <c r="BV1062">
        <v>25.31</v>
      </c>
      <c r="BW1062">
        <v>17.11</v>
      </c>
      <c r="BX1062">
        <v>53.48</v>
      </c>
      <c r="BY1062">
        <v>77.52</v>
      </c>
      <c r="BZ1062">
        <v>65.709999999999994</v>
      </c>
      <c r="CA1062">
        <v>5.17</v>
      </c>
      <c r="CB1062">
        <v>0.17</v>
      </c>
      <c r="CC1062">
        <v>5.27</v>
      </c>
      <c r="CD1062">
        <v>3.97</v>
      </c>
      <c r="CE1062">
        <v>3.95</v>
      </c>
      <c r="CF1062">
        <v>3.65</v>
      </c>
      <c r="CG1062">
        <v>-27.24</v>
      </c>
      <c r="CH1062">
        <v>15.2</v>
      </c>
      <c r="CI1062">
        <v>-11.64</v>
      </c>
      <c r="CJ1062">
        <v>49744</v>
      </c>
      <c r="CK1062">
        <v>18140</v>
      </c>
      <c r="CL1062" t="s">
        <v>6153</v>
      </c>
      <c r="CM1062">
        <v>14.2</v>
      </c>
      <c r="CN1062">
        <v>115</v>
      </c>
      <c r="CO1062">
        <v>1.84</v>
      </c>
      <c r="CP1062">
        <v>5.29</v>
      </c>
      <c r="CQ1062">
        <v>1.04</v>
      </c>
      <c r="CR1062">
        <v>0</v>
      </c>
      <c r="CS1062" t="s">
        <v>1244</v>
      </c>
      <c r="CT1062">
        <v>2.38</v>
      </c>
      <c r="CU1062">
        <v>0</v>
      </c>
      <c r="CV1062">
        <v>2.91</v>
      </c>
      <c r="CW1062">
        <v>-1.48</v>
      </c>
      <c r="CX1062">
        <v>0.83</v>
      </c>
      <c r="CY1062">
        <v>40.85</v>
      </c>
      <c r="CZ1062" t="s">
        <v>6154</v>
      </c>
      <c r="DA1062">
        <v>15.24</v>
      </c>
      <c r="DB1062">
        <v>6.67</v>
      </c>
      <c r="DC1062">
        <v>5.0999999999999996</v>
      </c>
      <c r="DD1062">
        <v>1.0900000000000001</v>
      </c>
      <c r="DE1062">
        <v>2199</v>
      </c>
      <c r="DF1062">
        <v>2611</v>
      </c>
      <c r="DG1062" t="s">
        <v>116</v>
      </c>
      <c r="DH1062" t="s">
        <v>116</v>
      </c>
      <c r="DI1062" t="s">
        <v>116</v>
      </c>
    </row>
    <row r="1063" spans="1:113" x14ac:dyDescent="0.4">
      <c r="A1063" t="str">
        <f>"002612"</f>
        <v>002612</v>
      </c>
      <c r="B1063" t="s">
        <v>6155</v>
      </c>
      <c r="C1063">
        <v>-1.55</v>
      </c>
      <c r="D1063">
        <v>9.5399999999999991</v>
      </c>
      <c r="E1063">
        <v>-0.15</v>
      </c>
      <c r="F1063">
        <v>9.5299999999999994</v>
      </c>
      <c r="G1063">
        <v>9.5399999999999991</v>
      </c>
      <c r="H1063">
        <v>65128</v>
      </c>
      <c r="I1063">
        <v>514</v>
      </c>
      <c r="J1063">
        <v>-0.41</v>
      </c>
      <c r="K1063">
        <v>2.91</v>
      </c>
      <c r="L1063">
        <v>9.67</v>
      </c>
      <c r="M1063">
        <v>9.8000000000000007</v>
      </c>
      <c r="N1063">
        <v>9.3800000000000008</v>
      </c>
      <c r="O1063">
        <v>9.69</v>
      </c>
      <c r="P1063">
        <v>19.809999999999999</v>
      </c>
      <c r="Q1063">
        <v>62392552</v>
      </c>
      <c r="R1063">
        <v>1.0900000000000001</v>
      </c>
      <c r="S1063" t="s">
        <v>3070</v>
      </c>
      <c r="T1063" t="s">
        <v>165</v>
      </c>
      <c r="U1063">
        <v>4.33</v>
      </c>
      <c r="V1063">
        <v>9.58</v>
      </c>
      <c r="W1063">
        <v>39013</v>
      </c>
      <c r="X1063">
        <v>26115</v>
      </c>
      <c r="Y1063">
        <v>1.49</v>
      </c>
      <c r="Z1063">
        <v>14</v>
      </c>
      <c r="AA1063">
        <v>101</v>
      </c>
      <c r="AB1063" t="s">
        <v>116</v>
      </c>
      <c r="AC1063">
        <v>667400</v>
      </c>
      <c r="AD1063">
        <v>0.04</v>
      </c>
      <c r="AE1063" t="s">
        <v>116</v>
      </c>
      <c r="AF1063" t="s">
        <v>116</v>
      </c>
      <c r="AG1063">
        <v>2.2400000000000002</v>
      </c>
      <c r="AH1063" t="s">
        <v>6156</v>
      </c>
      <c r="AI1063" t="s">
        <v>6157</v>
      </c>
      <c r="AJ1063">
        <v>-0.87</v>
      </c>
      <c r="AK1063">
        <v>1677</v>
      </c>
      <c r="AL1063">
        <v>39</v>
      </c>
      <c r="AM1063">
        <v>1.6999999999999999E-3</v>
      </c>
      <c r="AN1063">
        <v>-1</v>
      </c>
      <c r="AO1063">
        <v>6</v>
      </c>
      <c r="AP1063">
        <v>15.92</v>
      </c>
      <c r="AQ1063">
        <v>10.029999999999999</v>
      </c>
      <c r="AR1063">
        <v>13.17</v>
      </c>
      <c r="AS1063">
        <v>4.2300000000000004</v>
      </c>
      <c r="AT1063" t="s">
        <v>3838</v>
      </c>
      <c r="AU1063">
        <v>22.69</v>
      </c>
      <c r="AV1063">
        <v>19.72</v>
      </c>
      <c r="AW1063">
        <v>0.88</v>
      </c>
      <c r="BA1063">
        <v>-0.21</v>
      </c>
      <c r="BB1063">
        <v>1.1399999999999999</v>
      </c>
      <c r="BC1063">
        <v>-3.2</v>
      </c>
      <c r="BD1063">
        <v>-1.1399999999999999</v>
      </c>
      <c r="BE1063">
        <v>-1.34</v>
      </c>
      <c r="BF1063">
        <v>-2.65</v>
      </c>
      <c r="BG1063">
        <v>1.71</v>
      </c>
      <c r="BH1063">
        <v>-0.41</v>
      </c>
      <c r="BI1063">
        <v>20191216</v>
      </c>
      <c r="BJ1063">
        <v>20110830</v>
      </c>
      <c r="BK1063">
        <v>4.3499999999999996</v>
      </c>
      <c r="BL1063" t="s">
        <v>116</v>
      </c>
      <c r="BM1063" t="s">
        <v>116</v>
      </c>
      <c r="BN1063">
        <v>60.06</v>
      </c>
      <c r="BO1063">
        <v>30.71</v>
      </c>
      <c r="BP1063">
        <v>7.45</v>
      </c>
      <c r="BQ1063">
        <v>36.46</v>
      </c>
      <c r="BR1063">
        <v>24.58</v>
      </c>
      <c r="BS1063">
        <v>4.3499999999999996</v>
      </c>
      <c r="BT1063">
        <v>4.01</v>
      </c>
      <c r="BU1063">
        <v>16.690000000000001</v>
      </c>
      <c r="BV1063">
        <v>10.51</v>
      </c>
      <c r="BW1063">
        <v>4.09</v>
      </c>
      <c r="BX1063">
        <v>17.48</v>
      </c>
      <c r="BY1063">
        <v>21.29</v>
      </c>
      <c r="BZ1063">
        <v>8.67</v>
      </c>
      <c r="CA1063">
        <v>2.2400000000000002</v>
      </c>
      <c r="CB1063">
        <v>1.5</v>
      </c>
      <c r="CC1063">
        <v>2.15</v>
      </c>
      <c r="CD1063">
        <v>1.83</v>
      </c>
      <c r="CE1063">
        <v>1.57</v>
      </c>
      <c r="CF1063">
        <v>1.25</v>
      </c>
      <c r="CG1063">
        <v>7.82</v>
      </c>
      <c r="CH1063">
        <v>6.33</v>
      </c>
      <c r="CI1063">
        <v>-1.25</v>
      </c>
      <c r="CJ1063">
        <v>22196</v>
      </c>
      <c r="CK1063">
        <v>6937</v>
      </c>
      <c r="CL1063" t="s">
        <v>2092</v>
      </c>
      <c r="CM1063">
        <v>-14.92</v>
      </c>
      <c r="CN1063">
        <v>6.65</v>
      </c>
      <c r="CO1063">
        <v>1.35</v>
      </c>
      <c r="CP1063">
        <v>6.56</v>
      </c>
      <c r="CQ1063">
        <v>1.95</v>
      </c>
      <c r="CR1063">
        <v>3.54</v>
      </c>
      <c r="CS1063" t="s">
        <v>6158</v>
      </c>
      <c r="CT1063">
        <v>7.06</v>
      </c>
      <c r="CU1063">
        <v>0</v>
      </c>
      <c r="CV1063">
        <v>4.0199999999999996</v>
      </c>
      <c r="CW1063">
        <v>1.8</v>
      </c>
      <c r="CX1063">
        <v>1.45</v>
      </c>
      <c r="CY1063">
        <v>51.13</v>
      </c>
      <c r="CZ1063" t="s">
        <v>5435</v>
      </c>
      <c r="DA1063">
        <v>59.29</v>
      </c>
      <c r="DB1063">
        <v>10.5</v>
      </c>
      <c r="DC1063">
        <v>7.38</v>
      </c>
      <c r="DD1063">
        <v>0.59</v>
      </c>
      <c r="DE1063">
        <v>4365</v>
      </c>
      <c r="DF1063">
        <v>2612</v>
      </c>
      <c r="DG1063" t="s">
        <v>116</v>
      </c>
      <c r="DH1063" t="s">
        <v>116</v>
      </c>
      <c r="DI1063" t="s">
        <v>116</v>
      </c>
    </row>
    <row r="1064" spans="1:113" x14ac:dyDescent="0.4">
      <c r="A1064" t="str">
        <f>"002613"</f>
        <v>002613</v>
      </c>
      <c r="B1064" t="s">
        <v>6159</v>
      </c>
      <c r="C1064">
        <v>-1.79</v>
      </c>
      <c r="D1064">
        <v>2.75</v>
      </c>
      <c r="E1064">
        <v>-0.05</v>
      </c>
      <c r="F1064">
        <v>2.75</v>
      </c>
      <c r="G1064">
        <v>2.76</v>
      </c>
      <c r="H1064">
        <v>83357</v>
      </c>
      <c r="I1064">
        <v>1374</v>
      </c>
      <c r="J1064">
        <v>0</v>
      </c>
      <c r="K1064">
        <v>1.64</v>
      </c>
      <c r="L1064">
        <v>2.78</v>
      </c>
      <c r="M1064">
        <v>2.8</v>
      </c>
      <c r="N1064">
        <v>2.74</v>
      </c>
      <c r="O1064">
        <v>2.8</v>
      </c>
      <c r="P1064">
        <v>205.55</v>
      </c>
      <c r="Q1064">
        <v>23106138</v>
      </c>
      <c r="R1064">
        <v>0.4</v>
      </c>
      <c r="S1064" t="s">
        <v>682</v>
      </c>
      <c r="T1064" t="s">
        <v>652</v>
      </c>
      <c r="U1064">
        <v>2.14</v>
      </c>
      <c r="V1064">
        <v>2.77</v>
      </c>
      <c r="W1064">
        <v>57439</v>
      </c>
      <c r="X1064">
        <v>25918</v>
      </c>
      <c r="Y1064">
        <v>2.2200000000000002</v>
      </c>
      <c r="Z1064">
        <v>217</v>
      </c>
      <c r="AA1064">
        <v>224</v>
      </c>
      <c r="AB1064" t="s">
        <v>116</v>
      </c>
      <c r="AC1064">
        <v>241900</v>
      </c>
      <c r="AD1064">
        <v>0.02</v>
      </c>
      <c r="AE1064" t="s">
        <v>116</v>
      </c>
      <c r="AF1064" t="s">
        <v>116</v>
      </c>
      <c r="AG1064">
        <v>5.09</v>
      </c>
      <c r="AH1064" t="s">
        <v>5962</v>
      </c>
      <c r="AI1064" t="s">
        <v>3123</v>
      </c>
      <c r="AJ1064">
        <v>-1.1100000000000001</v>
      </c>
      <c r="AK1064">
        <v>886</v>
      </c>
      <c r="AL1064">
        <v>94</v>
      </c>
      <c r="AM1064">
        <v>1.8E-3</v>
      </c>
      <c r="AN1064">
        <v>-1</v>
      </c>
      <c r="AO1064">
        <v>-1.08</v>
      </c>
      <c r="AP1064">
        <v>4.5599999999999996</v>
      </c>
      <c r="AQ1064">
        <v>1.1000000000000001</v>
      </c>
      <c r="AR1064">
        <v>3.38</v>
      </c>
      <c r="AS1064">
        <v>2.2599999999999998</v>
      </c>
      <c r="AT1064" t="s">
        <v>6160</v>
      </c>
      <c r="AU1064" t="s">
        <v>116</v>
      </c>
      <c r="AV1064">
        <v>69.19</v>
      </c>
      <c r="AW1064">
        <v>0.98</v>
      </c>
      <c r="BA1064">
        <v>-0.71</v>
      </c>
      <c r="BB1064">
        <v>0</v>
      </c>
      <c r="BC1064">
        <v>-2.14</v>
      </c>
      <c r="BD1064">
        <v>-1</v>
      </c>
      <c r="BE1064">
        <v>-1.08</v>
      </c>
      <c r="BF1064">
        <v>-1.79</v>
      </c>
      <c r="BG1064">
        <v>0.36</v>
      </c>
      <c r="BH1064">
        <v>-0.78</v>
      </c>
      <c r="BI1064">
        <v>20191024</v>
      </c>
      <c r="BJ1064">
        <v>20110830</v>
      </c>
      <c r="BK1064">
        <v>9.3699999999999992</v>
      </c>
      <c r="BL1064" t="s">
        <v>116</v>
      </c>
      <c r="BM1064" t="s">
        <v>116</v>
      </c>
      <c r="BN1064">
        <v>19.920000000000002</v>
      </c>
      <c r="BO1064">
        <v>14.9</v>
      </c>
      <c r="BP1064">
        <v>0.9</v>
      </c>
      <c r="BQ1064">
        <v>20.67</v>
      </c>
      <c r="BR1064">
        <v>12.87</v>
      </c>
      <c r="BS1064">
        <v>4.41</v>
      </c>
      <c r="BT1064">
        <v>0.98</v>
      </c>
      <c r="BU1064">
        <v>3.66</v>
      </c>
      <c r="BV1064">
        <v>2.4300000000000002</v>
      </c>
      <c r="BW1064">
        <v>2.0699999999999998</v>
      </c>
      <c r="BX1064">
        <v>2.21</v>
      </c>
      <c r="BY1064">
        <v>8.17</v>
      </c>
      <c r="BZ1064">
        <v>6.12</v>
      </c>
      <c r="CA1064">
        <v>0.25</v>
      </c>
      <c r="CB1064">
        <v>7.0000000000000007E-2</v>
      </c>
      <c r="CC1064">
        <v>0.28000000000000003</v>
      </c>
      <c r="CD1064">
        <v>0.16</v>
      </c>
      <c r="CE1064">
        <v>0.09</v>
      </c>
      <c r="CF1064">
        <v>0.03</v>
      </c>
      <c r="CG1064">
        <v>2.63</v>
      </c>
      <c r="CH1064">
        <v>0.28999999999999998</v>
      </c>
      <c r="CI1064">
        <v>-1.1399999999999999</v>
      </c>
      <c r="CJ1064">
        <v>30639</v>
      </c>
      <c r="CK1064">
        <v>12059</v>
      </c>
      <c r="CL1064" t="s">
        <v>3451</v>
      </c>
      <c r="CM1064">
        <v>-83.04</v>
      </c>
      <c r="CN1064">
        <v>14.15</v>
      </c>
      <c r="CO1064">
        <v>1.73</v>
      </c>
      <c r="CP1064">
        <v>87.42</v>
      </c>
      <c r="CQ1064">
        <v>3.15</v>
      </c>
      <c r="CR1064">
        <v>0</v>
      </c>
      <c r="CS1064" t="s">
        <v>888</v>
      </c>
      <c r="CT1064">
        <v>1.59</v>
      </c>
      <c r="CU1064">
        <v>0</v>
      </c>
      <c r="CV1064">
        <v>0.24</v>
      </c>
      <c r="CW1064">
        <v>0.28000000000000003</v>
      </c>
      <c r="CX1064">
        <v>0.03</v>
      </c>
      <c r="CY1064">
        <v>74.819999999999993</v>
      </c>
      <c r="CZ1064" t="s">
        <v>6161</v>
      </c>
      <c r="DA1064">
        <v>25.14</v>
      </c>
      <c r="DB1064">
        <v>3.1</v>
      </c>
      <c r="DC1064">
        <v>1.1499999999999999</v>
      </c>
      <c r="DD1064">
        <v>0.46</v>
      </c>
      <c r="DE1064">
        <v>1883</v>
      </c>
      <c r="DF1064">
        <v>2613</v>
      </c>
      <c r="DG1064" t="s">
        <v>116</v>
      </c>
      <c r="DH1064" t="s">
        <v>116</v>
      </c>
      <c r="DI1064" t="s">
        <v>116</v>
      </c>
    </row>
    <row r="1065" spans="1:113" x14ac:dyDescent="0.4">
      <c r="A1065" t="str">
        <f>"002614"</f>
        <v>002614</v>
      </c>
      <c r="B1065" t="s">
        <v>6162</v>
      </c>
      <c r="C1065">
        <v>-1.67</v>
      </c>
      <c r="D1065">
        <v>10.57</v>
      </c>
      <c r="E1065">
        <v>-0.18</v>
      </c>
      <c r="F1065">
        <v>10.56</v>
      </c>
      <c r="G1065">
        <v>10.57</v>
      </c>
      <c r="H1065">
        <v>59896</v>
      </c>
      <c r="I1065">
        <v>1181</v>
      </c>
      <c r="J1065">
        <v>-0.27</v>
      </c>
      <c r="K1065">
        <v>1.78</v>
      </c>
      <c r="L1065">
        <v>10.75</v>
      </c>
      <c r="M1065">
        <v>10.91</v>
      </c>
      <c r="N1065">
        <v>10.55</v>
      </c>
      <c r="O1065">
        <v>10.75</v>
      </c>
      <c r="P1065">
        <v>21.58</v>
      </c>
      <c r="Q1065">
        <v>64444492</v>
      </c>
      <c r="R1065">
        <v>0.95</v>
      </c>
      <c r="S1065" t="s">
        <v>559</v>
      </c>
      <c r="T1065" t="s">
        <v>975</v>
      </c>
      <c r="U1065">
        <v>3.35</v>
      </c>
      <c r="V1065">
        <v>10.76</v>
      </c>
      <c r="W1065">
        <v>34570</v>
      </c>
      <c r="X1065">
        <v>25326</v>
      </c>
      <c r="Y1065">
        <v>1.37</v>
      </c>
      <c r="Z1065">
        <v>265</v>
      </c>
      <c r="AA1065">
        <v>58</v>
      </c>
      <c r="AB1065" t="s">
        <v>116</v>
      </c>
      <c r="AC1065">
        <v>108600</v>
      </c>
      <c r="AD1065">
        <v>0</v>
      </c>
      <c r="AE1065" t="s">
        <v>116</v>
      </c>
      <c r="AF1065" t="s">
        <v>116</v>
      </c>
      <c r="AG1065">
        <v>3.37</v>
      </c>
      <c r="AH1065" t="s">
        <v>6163</v>
      </c>
      <c r="AI1065" t="s">
        <v>6164</v>
      </c>
      <c r="AJ1065">
        <v>-1</v>
      </c>
      <c r="AK1065">
        <v>1960</v>
      </c>
      <c r="AL1065">
        <v>31</v>
      </c>
      <c r="AM1065">
        <v>8.9999999999999998E-4</v>
      </c>
      <c r="AN1065">
        <v>-1</v>
      </c>
      <c r="AO1065">
        <v>-2.2200000000000002</v>
      </c>
      <c r="AP1065">
        <v>5.49</v>
      </c>
      <c r="AQ1065">
        <v>-9.74</v>
      </c>
      <c r="AR1065">
        <v>-33.31</v>
      </c>
      <c r="AS1065">
        <v>2.2799999999999998</v>
      </c>
      <c r="AT1065" t="s">
        <v>6165</v>
      </c>
      <c r="AU1065">
        <v>17.649999999999999</v>
      </c>
      <c r="AV1065">
        <v>13.51</v>
      </c>
      <c r="AW1065">
        <v>0.88</v>
      </c>
      <c r="BA1065">
        <v>0</v>
      </c>
      <c r="BB1065">
        <v>1.49</v>
      </c>
      <c r="BC1065">
        <v>-1.86</v>
      </c>
      <c r="BD1065">
        <v>0.09</v>
      </c>
      <c r="BE1065">
        <v>-1.67</v>
      </c>
      <c r="BF1065">
        <v>-3.12</v>
      </c>
      <c r="BG1065">
        <v>0.19</v>
      </c>
      <c r="BH1065">
        <v>-1.76</v>
      </c>
      <c r="BI1065">
        <v>20191106</v>
      </c>
      <c r="BJ1065">
        <v>20110909</v>
      </c>
      <c r="BK1065">
        <v>5.61</v>
      </c>
      <c r="BL1065" t="s">
        <v>116</v>
      </c>
      <c r="BM1065" t="s">
        <v>116</v>
      </c>
      <c r="BN1065">
        <v>60.24</v>
      </c>
      <c r="BO1065">
        <v>32.57</v>
      </c>
      <c r="BP1065">
        <v>0.68</v>
      </c>
      <c r="BQ1065">
        <v>44.8</v>
      </c>
      <c r="BR1065">
        <v>36.880000000000003</v>
      </c>
      <c r="BS1065">
        <v>7.3</v>
      </c>
      <c r="BT1065">
        <v>5.29</v>
      </c>
      <c r="BU1065">
        <v>26.15</v>
      </c>
      <c r="BV1065">
        <v>10.89</v>
      </c>
      <c r="BW1065">
        <v>10.6</v>
      </c>
      <c r="BX1065">
        <v>11.27</v>
      </c>
      <c r="BY1065">
        <v>38.1</v>
      </c>
      <c r="BZ1065">
        <v>23.86</v>
      </c>
      <c r="CA1065">
        <v>2.21</v>
      </c>
      <c r="CB1065">
        <v>0.17</v>
      </c>
      <c r="CC1065">
        <v>2.21</v>
      </c>
      <c r="CD1065">
        <v>2.0699999999999998</v>
      </c>
      <c r="CE1065">
        <v>2.06</v>
      </c>
      <c r="CF1065">
        <v>2.21</v>
      </c>
      <c r="CG1065">
        <v>16.59</v>
      </c>
      <c r="CH1065">
        <v>-1.47</v>
      </c>
      <c r="CI1065">
        <v>-1.63</v>
      </c>
      <c r="CJ1065">
        <v>24098</v>
      </c>
      <c r="CK1065">
        <v>10893</v>
      </c>
      <c r="CL1065" t="s">
        <v>1944</v>
      </c>
      <c r="CM1065">
        <v>-33.29</v>
      </c>
      <c r="CN1065">
        <v>0.83</v>
      </c>
      <c r="CO1065">
        <v>1.82</v>
      </c>
      <c r="CP1065">
        <v>-40.26</v>
      </c>
      <c r="CQ1065">
        <v>1.56</v>
      </c>
      <c r="CR1065">
        <v>0.94</v>
      </c>
      <c r="CS1065" t="s">
        <v>3143</v>
      </c>
      <c r="CT1065">
        <v>5.8</v>
      </c>
      <c r="CU1065">
        <v>5.8</v>
      </c>
      <c r="CV1065">
        <v>2.0099999999999998</v>
      </c>
      <c r="CW1065">
        <v>2.96</v>
      </c>
      <c r="CX1065">
        <v>-0.26</v>
      </c>
      <c r="CY1065">
        <v>54.06</v>
      </c>
      <c r="CZ1065" t="s">
        <v>587</v>
      </c>
      <c r="DA1065">
        <v>37.36</v>
      </c>
      <c r="DB1065">
        <v>5.8</v>
      </c>
      <c r="DC1065">
        <v>5.41</v>
      </c>
      <c r="DD1065">
        <v>1.79</v>
      </c>
      <c r="DE1065">
        <v>9260</v>
      </c>
      <c r="DF1065">
        <v>2614</v>
      </c>
      <c r="DG1065" t="s">
        <v>116</v>
      </c>
      <c r="DH1065" t="s">
        <v>116</v>
      </c>
      <c r="DI1065" t="s">
        <v>116</v>
      </c>
    </row>
    <row r="1066" spans="1:113" x14ac:dyDescent="0.4">
      <c r="A1066" t="str">
        <f>"002615"</f>
        <v>002615</v>
      </c>
      <c r="B1066" t="s">
        <v>6166</v>
      </c>
      <c r="C1066">
        <v>0</v>
      </c>
      <c r="D1066">
        <v>5.41</v>
      </c>
      <c r="E1066">
        <v>0</v>
      </c>
      <c r="F1066">
        <v>5.41</v>
      </c>
      <c r="G1066">
        <v>5.42</v>
      </c>
      <c r="H1066">
        <v>19718</v>
      </c>
      <c r="I1066">
        <v>21</v>
      </c>
      <c r="J1066">
        <v>-0.17</v>
      </c>
      <c r="K1066">
        <v>0.88</v>
      </c>
      <c r="L1066">
        <v>5.41</v>
      </c>
      <c r="M1066">
        <v>5.48</v>
      </c>
      <c r="N1066">
        <v>5.41</v>
      </c>
      <c r="O1066">
        <v>5.41</v>
      </c>
      <c r="P1066">
        <v>18.34</v>
      </c>
      <c r="Q1066">
        <v>10715220</v>
      </c>
      <c r="R1066">
        <v>0.97</v>
      </c>
      <c r="S1066" t="s">
        <v>2640</v>
      </c>
      <c r="T1066" t="s">
        <v>590</v>
      </c>
      <c r="U1066">
        <v>1.29</v>
      </c>
      <c r="V1066">
        <v>5.43</v>
      </c>
      <c r="W1066">
        <v>10201</v>
      </c>
      <c r="X1066">
        <v>9517</v>
      </c>
      <c r="Y1066">
        <v>1.07</v>
      </c>
      <c r="Z1066">
        <v>102</v>
      </c>
      <c r="AA1066">
        <v>69</v>
      </c>
      <c r="AB1066" t="s">
        <v>116</v>
      </c>
      <c r="AC1066">
        <v>6800</v>
      </c>
      <c r="AD1066">
        <v>0</v>
      </c>
      <c r="AE1066" t="s">
        <v>116</v>
      </c>
      <c r="AF1066" t="s">
        <v>116</v>
      </c>
      <c r="AG1066">
        <v>2.25</v>
      </c>
      <c r="AH1066" t="s">
        <v>4930</v>
      </c>
      <c r="AI1066" t="s">
        <v>1288</v>
      </c>
      <c r="AJ1066">
        <v>0.68</v>
      </c>
      <c r="AK1066">
        <v>718</v>
      </c>
      <c r="AL1066">
        <v>27</v>
      </c>
      <c r="AM1066">
        <v>1.1999999999999999E-3</v>
      </c>
      <c r="AN1066">
        <v>0</v>
      </c>
      <c r="AO1066">
        <v>-0.19</v>
      </c>
      <c r="AP1066">
        <v>4.04</v>
      </c>
      <c r="AQ1066">
        <v>-3.22</v>
      </c>
      <c r="AR1066">
        <v>13.89</v>
      </c>
      <c r="AS1066">
        <v>1.31</v>
      </c>
      <c r="AT1066" t="s">
        <v>6167</v>
      </c>
      <c r="AU1066">
        <v>20.51</v>
      </c>
      <c r="AV1066">
        <v>22.34</v>
      </c>
      <c r="AW1066">
        <v>0.51</v>
      </c>
      <c r="BA1066">
        <v>0</v>
      </c>
      <c r="BB1066">
        <v>1.29</v>
      </c>
      <c r="BC1066">
        <v>0</v>
      </c>
      <c r="BD1066">
        <v>0.45</v>
      </c>
      <c r="BE1066">
        <v>0</v>
      </c>
      <c r="BF1066">
        <v>-1.28</v>
      </c>
      <c r="BG1066">
        <v>0</v>
      </c>
      <c r="BH1066">
        <v>-0.45</v>
      </c>
      <c r="BI1066">
        <v>20191106</v>
      </c>
      <c r="BJ1066">
        <v>20110909</v>
      </c>
      <c r="BK1066">
        <v>4.0999999999999996</v>
      </c>
      <c r="BL1066" t="s">
        <v>116</v>
      </c>
      <c r="BM1066" t="s">
        <v>116</v>
      </c>
      <c r="BN1066">
        <v>21.73</v>
      </c>
      <c r="BO1066">
        <v>9.26</v>
      </c>
      <c r="BP1066">
        <v>0.01</v>
      </c>
      <c r="BQ1066">
        <v>57.33</v>
      </c>
      <c r="BR1066">
        <v>12.12</v>
      </c>
      <c r="BS1066">
        <v>7.01</v>
      </c>
      <c r="BT1066">
        <v>0.98</v>
      </c>
      <c r="BU1066">
        <v>8.94</v>
      </c>
      <c r="BV1066">
        <v>4.37</v>
      </c>
      <c r="BW1066">
        <v>2.5</v>
      </c>
      <c r="BX1066">
        <v>0.36</v>
      </c>
      <c r="BY1066">
        <v>13.37</v>
      </c>
      <c r="BZ1066">
        <v>9.11</v>
      </c>
      <c r="CA1066">
        <v>1.06</v>
      </c>
      <c r="CB1066">
        <v>-0.05</v>
      </c>
      <c r="CC1066">
        <v>1.06</v>
      </c>
      <c r="CD1066">
        <v>0.87</v>
      </c>
      <c r="CE1066">
        <v>0.91</v>
      </c>
      <c r="CF1066">
        <v>0.98</v>
      </c>
      <c r="CG1066">
        <v>3.54</v>
      </c>
      <c r="CH1066">
        <v>0.52</v>
      </c>
      <c r="CI1066">
        <v>3.18</v>
      </c>
      <c r="CJ1066">
        <v>23281</v>
      </c>
      <c r="CK1066">
        <v>6489</v>
      </c>
      <c r="CL1066" t="s">
        <v>764</v>
      </c>
      <c r="CM1066">
        <v>10.82</v>
      </c>
      <c r="CN1066">
        <v>0.55000000000000004</v>
      </c>
      <c r="CO1066">
        <v>2.52</v>
      </c>
      <c r="CP1066">
        <v>43.03</v>
      </c>
      <c r="CQ1066">
        <v>1.66</v>
      </c>
      <c r="CR1066">
        <v>1.48</v>
      </c>
      <c r="CS1066" t="s">
        <v>1528</v>
      </c>
      <c r="CT1066">
        <v>2.14</v>
      </c>
      <c r="CU1066">
        <v>2.14</v>
      </c>
      <c r="CV1066">
        <v>0.09</v>
      </c>
      <c r="CW1066">
        <v>0.86</v>
      </c>
      <c r="CX1066">
        <v>0.13</v>
      </c>
      <c r="CY1066">
        <v>42.63</v>
      </c>
      <c r="CZ1066" t="s">
        <v>2611</v>
      </c>
      <c r="DA1066">
        <v>31.86</v>
      </c>
      <c r="DB1066">
        <v>7.96</v>
      </c>
      <c r="DC1066">
        <v>6.79</v>
      </c>
      <c r="DD1066">
        <v>0.44</v>
      </c>
      <c r="DE1066">
        <v>4467</v>
      </c>
      <c r="DF1066">
        <v>2615</v>
      </c>
      <c r="DG1066" t="s">
        <v>116</v>
      </c>
      <c r="DH1066" t="s">
        <v>116</v>
      </c>
      <c r="DI1066" t="s">
        <v>116</v>
      </c>
    </row>
    <row r="1067" spans="1:113" x14ac:dyDescent="0.4">
      <c r="A1067" t="str">
        <f>"002616"</f>
        <v>002616</v>
      </c>
      <c r="B1067" t="s">
        <v>6168</v>
      </c>
      <c r="C1067">
        <v>-1.01</v>
      </c>
      <c r="D1067">
        <v>7.82</v>
      </c>
      <c r="E1067">
        <v>-0.08</v>
      </c>
      <c r="F1067">
        <v>7.81</v>
      </c>
      <c r="G1067">
        <v>7.82</v>
      </c>
      <c r="H1067">
        <v>25457</v>
      </c>
      <c r="I1067">
        <v>296</v>
      </c>
      <c r="J1067">
        <v>0.13</v>
      </c>
      <c r="K1067">
        <v>0.55000000000000004</v>
      </c>
      <c r="L1067">
        <v>7.9</v>
      </c>
      <c r="M1067">
        <v>8.01</v>
      </c>
      <c r="N1067">
        <v>7.8</v>
      </c>
      <c r="O1067">
        <v>7.9</v>
      </c>
      <c r="P1067">
        <v>22.49</v>
      </c>
      <c r="Q1067">
        <v>20096100</v>
      </c>
      <c r="R1067">
        <v>0.85</v>
      </c>
      <c r="S1067" t="s">
        <v>140</v>
      </c>
      <c r="T1067" t="s">
        <v>551</v>
      </c>
      <c r="U1067">
        <v>2.66</v>
      </c>
      <c r="V1067">
        <v>7.89</v>
      </c>
      <c r="W1067">
        <v>15767</v>
      </c>
      <c r="X1067">
        <v>9690</v>
      </c>
      <c r="Y1067">
        <v>1.63</v>
      </c>
      <c r="Z1067">
        <v>240</v>
      </c>
      <c r="AA1067">
        <v>828</v>
      </c>
      <c r="AB1067" t="s">
        <v>116</v>
      </c>
      <c r="AC1067">
        <v>5500</v>
      </c>
      <c r="AD1067">
        <v>0</v>
      </c>
      <c r="AE1067" t="s">
        <v>116</v>
      </c>
      <c r="AF1067" t="s">
        <v>116</v>
      </c>
      <c r="AG1067">
        <v>4.59</v>
      </c>
      <c r="AH1067" t="s">
        <v>6169</v>
      </c>
      <c r="AI1067" t="s">
        <v>6170</v>
      </c>
      <c r="AJ1067">
        <v>-0.33</v>
      </c>
      <c r="AK1067">
        <v>1113</v>
      </c>
      <c r="AL1067">
        <v>23</v>
      </c>
      <c r="AM1067">
        <v>5.0000000000000001E-4</v>
      </c>
      <c r="AN1067">
        <v>-1</v>
      </c>
      <c r="AO1067">
        <v>-2.12</v>
      </c>
      <c r="AP1067">
        <v>8.16</v>
      </c>
      <c r="AQ1067">
        <v>10.14</v>
      </c>
      <c r="AR1067">
        <v>7.12</v>
      </c>
      <c r="AS1067">
        <v>0.98</v>
      </c>
      <c r="AT1067" t="s">
        <v>4108</v>
      </c>
      <c r="AU1067">
        <v>22.05</v>
      </c>
      <c r="AV1067">
        <v>34.78</v>
      </c>
      <c r="AW1067">
        <v>0.95</v>
      </c>
      <c r="BA1067">
        <v>0</v>
      </c>
      <c r="BB1067">
        <v>1.39</v>
      </c>
      <c r="BC1067">
        <v>-1.27</v>
      </c>
      <c r="BD1067">
        <v>-7.0000000000000007E-2</v>
      </c>
      <c r="BE1067">
        <v>-1.01</v>
      </c>
      <c r="BF1067">
        <v>-2.37</v>
      </c>
      <c r="BG1067">
        <v>0.26</v>
      </c>
      <c r="BH1067">
        <v>-0.94</v>
      </c>
      <c r="BI1067">
        <v>20191107</v>
      </c>
      <c r="BJ1067">
        <v>20110920</v>
      </c>
      <c r="BK1067">
        <v>7.42</v>
      </c>
      <c r="BL1067" t="s">
        <v>116</v>
      </c>
      <c r="BM1067" t="s">
        <v>116</v>
      </c>
      <c r="BN1067">
        <v>61.63</v>
      </c>
      <c r="BO1067">
        <v>23.06</v>
      </c>
      <c r="BP1067">
        <v>0.12</v>
      </c>
      <c r="BQ1067">
        <v>62.4</v>
      </c>
      <c r="BR1067">
        <v>12.82</v>
      </c>
      <c r="BS1067">
        <v>20.82</v>
      </c>
      <c r="BT1067">
        <v>8.9499999999999993</v>
      </c>
      <c r="BU1067">
        <v>19.850000000000001</v>
      </c>
      <c r="BV1067">
        <v>2.65</v>
      </c>
      <c r="BW1067">
        <v>5.24</v>
      </c>
      <c r="BX1067">
        <v>8.48</v>
      </c>
      <c r="BY1067">
        <v>17.89</v>
      </c>
      <c r="BZ1067">
        <v>12.52</v>
      </c>
      <c r="CA1067">
        <v>2.7</v>
      </c>
      <c r="CB1067">
        <v>0</v>
      </c>
      <c r="CC1067">
        <v>2.67</v>
      </c>
      <c r="CD1067">
        <v>1.96</v>
      </c>
      <c r="CE1067">
        <v>1.93</v>
      </c>
      <c r="CF1067">
        <v>1.87</v>
      </c>
      <c r="CG1067">
        <v>6.64</v>
      </c>
      <c r="CH1067">
        <v>2.0499999999999998</v>
      </c>
      <c r="CI1067">
        <v>-1.39</v>
      </c>
      <c r="CJ1067">
        <v>25508</v>
      </c>
      <c r="CK1067">
        <v>10204</v>
      </c>
      <c r="CL1067" t="s">
        <v>6171</v>
      </c>
      <c r="CM1067">
        <v>99.06</v>
      </c>
      <c r="CN1067">
        <v>21.05</v>
      </c>
      <c r="CO1067">
        <v>2.52</v>
      </c>
      <c r="CP1067">
        <v>28.27</v>
      </c>
      <c r="CQ1067">
        <v>3.24</v>
      </c>
      <c r="CR1067">
        <v>0</v>
      </c>
      <c r="CS1067" t="s">
        <v>6172</v>
      </c>
      <c r="CT1067">
        <v>3.11</v>
      </c>
      <c r="CU1067">
        <v>0</v>
      </c>
      <c r="CV1067">
        <v>1.1399999999999999</v>
      </c>
      <c r="CW1067">
        <v>0.89</v>
      </c>
      <c r="CX1067">
        <v>0.28000000000000003</v>
      </c>
      <c r="CY1067">
        <v>37.409999999999997</v>
      </c>
      <c r="CZ1067" t="s">
        <v>6173</v>
      </c>
      <c r="DA1067">
        <v>30.01</v>
      </c>
      <c r="DB1067">
        <v>15.11</v>
      </c>
      <c r="DC1067">
        <v>10.81</v>
      </c>
      <c r="DD1067">
        <v>0.14000000000000001</v>
      </c>
      <c r="DE1067">
        <v>3618</v>
      </c>
      <c r="DF1067">
        <v>2616</v>
      </c>
      <c r="DG1067" t="s">
        <v>116</v>
      </c>
      <c r="DH1067" t="s">
        <v>116</v>
      </c>
      <c r="DI1067" t="s">
        <v>116</v>
      </c>
    </row>
    <row r="1068" spans="1:113" x14ac:dyDescent="0.4">
      <c r="A1068" t="str">
        <f>"002617"</f>
        <v>002617</v>
      </c>
      <c r="B1068" t="s">
        <v>6174</v>
      </c>
      <c r="C1068">
        <v>-2.14</v>
      </c>
      <c r="D1068">
        <v>5.48</v>
      </c>
      <c r="E1068">
        <v>-0.12</v>
      </c>
      <c r="F1068">
        <v>5.47</v>
      </c>
      <c r="G1068">
        <v>5.48</v>
      </c>
      <c r="H1068">
        <v>322754</v>
      </c>
      <c r="I1068">
        <v>4372</v>
      </c>
      <c r="J1068">
        <v>-0.17</v>
      </c>
      <c r="K1068">
        <v>3.03</v>
      </c>
      <c r="L1068">
        <v>5.59</v>
      </c>
      <c r="M1068">
        <v>5.64</v>
      </c>
      <c r="N1068">
        <v>5.46</v>
      </c>
      <c r="O1068">
        <v>5.6</v>
      </c>
      <c r="P1068">
        <v>27.97</v>
      </c>
      <c r="Q1068">
        <v>178808704</v>
      </c>
      <c r="R1068">
        <v>0.63</v>
      </c>
      <c r="S1068" t="s">
        <v>397</v>
      </c>
      <c r="T1068" t="s">
        <v>590</v>
      </c>
      <c r="U1068">
        <v>3.21</v>
      </c>
      <c r="V1068">
        <v>5.54</v>
      </c>
      <c r="W1068">
        <v>187995</v>
      </c>
      <c r="X1068">
        <v>134759</v>
      </c>
      <c r="Y1068">
        <v>1.4</v>
      </c>
      <c r="Z1068">
        <v>395</v>
      </c>
      <c r="AA1068">
        <v>5330</v>
      </c>
      <c r="AB1068" t="s">
        <v>116</v>
      </c>
      <c r="AC1068">
        <v>1309700</v>
      </c>
      <c r="AD1068">
        <v>0.03</v>
      </c>
      <c r="AE1068" t="s">
        <v>116</v>
      </c>
      <c r="AF1068" t="s">
        <v>116</v>
      </c>
      <c r="AG1068">
        <v>10.65</v>
      </c>
      <c r="AH1068" t="s">
        <v>6175</v>
      </c>
      <c r="AI1068" t="s">
        <v>6176</v>
      </c>
      <c r="AJ1068">
        <v>-1.46</v>
      </c>
      <c r="AK1068">
        <v>2832</v>
      </c>
      <c r="AL1068">
        <v>114</v>
      </c>
      <c r="AM1068">
        <v>1.1000000000000001E-3</v>
      </c>
      <c r="AN1068">
        <v>-3</v>
      </c>
      <c r="AO1068">
        <v>-9.2799999999999994</v>
      </c>
      <c r="AP1068">
        <v>-2.84</v>
      </c>
      <c r="AQ1068">
        <v>-13.02</v>
      </c>
      <c r="AR1068">
        <v>37.69</v>
      </c>
      <c r="AS1068">
        <v>4.42</v>
      </c>
      <c r="AT1068" t="s">
        <v>6177</v>
      </c>
      <c r="AU1068" t="s">
        <v>116</v>
      </c>
      <c r="AV1068" t="s">
        <v>116</v>
      </c>
      <c r="AW1068">
        <v>1.34</v>
      </c>
      <c r="BA1068">
        <v>-0.18</v>
      </c>
      <c r="BB1068">
        <v>0.71</v>
      </c>
      <c r="BC1068">
        <v>-2.5</v>
      </c>
      <c r="BD1068">
        <v>-1.07</v>
      </c>
      <c r="BE1068">
        <v>-1.97</v>
      </c>
      <c r="BF1068">
        <v>-2.84</v>
      </c>
      <c r="BG1068">
        <v>0.37</v>
      </c>
      <c r="BH1068">
        <v>-1.07</v>
      </c>
      <c r="BI1068">
        <v>20191031</v>
      </c>
      <c r="BJ1068">
        <v>20110920</v>
      </c>
      <c r="BK1068">
        <v>15.11</v>
      </c>
      <c r="BL1068" t="s">
        <v>116</v>
      </c>
      <c r="BM1068" t="s">
        <v>116</v>
      </c>
      <c r="BN1068">
        <v>86.34</v>
      </c>
      <c r="BO1068">
        <v>30.7</v>
      </c>
      <c r="BP1068">
        <v>0.08</v>
      </c>
      <c r="BQ1068">
        <v>64.349999999999994</v>
      </c>
      <c r="BR1068">
        <v>38.24</v>
      </c>
      <c r="BS1068">
        <v>37.869999999999997</v>
      </c>
      <c r="BT1068">
        <v>0.95</v>
      </c>
      <c r="BU1068">
        <v>33.39</v>
      </c>
      <c r="BV1068">
        <v>4.1900000000000004</v>
      </c>
      <c r="BW1068">
        <v>17.93</v>
      </c>
      <c r="BX1068">
        <v>19</v>
      </c>
      <c r="BY1068">
        <v>18.46</v>
      </c>
      <c r="BZ1068">
        <v>13.95</v>
      </c>
      <c r="CA1068">
        <v>2.1</v>
      </c>
      <c r="CB1068">
        <v>0.34</v>
      </c>
      <c r="CC1068">
        <v>2.09</v>
      </c>
      <c r="CD1068">
        <v>2.21</v>
      </c>
      <c r="CE1068">
        <v>2.2200000000000002</v>
      </c>
      <c r="CF1068">
        <v>1.33</v>
      </c>
      <c r="CG1068">
        <v>-3.57</v>
      </c>
      <c r="CH1068">
        <v>3.07</v>
      </c>
      <c r="CI1068">
        <v>-0.42</v>
      </c>
      <c r="CJ1068">
        <v>36318</v>
      </c>
      <c r="CK1068">
        <v>20120</v>
      </c>
      <c r="CL1068" t="s">
        <v>6178</v>
      </c>
      <c r="CM1068">
        <v>71.430000000000007</v>
      </c>
      <c r="CN1068">
        <v>-20.25</v>
      </c>
      <c r="CO1068">
        <v>2.7</v>
      </c>
      <c r="CP1068">
        <v>26.99</v>
      </c>
      <c r="CQ1068">
        <v>4.4800000000000004</v>
      </c>
      <c r="CR1068">
        <v>0</v>
      </c>
      <c r="CS1068" t="s">
        <v>328</v>
      </c>
      <c r="CT1068">
        <v>2.0299999999999998</v>
      </c>
      <c r="CU1068">
        <v>0</v>
      </c>
      <c r="CV1068">
        <v>1.26</v>
      </c>
      <c r="CW1068">
        <v>-0.24</v>
      </c>
      <c r="CX1068">
        <v>0.2</v>
      </c>
      <c r="CY1068">
        <v>35.549999999999997</v>
      </c>
      <c r="CZ1068" t="s">
        <v>6179</v>
      </c>
      <c r="DA1068">
        <v>24.41</v>
      </c>
      <c r="DB1068">
        <v>11.37</v>
      </c>
      <c r="DC1068">
        <v>12.02</v>
      </c>
      <c r="DD1068">
        <v>0.22</v>
      </c>
      <c r="DE1068">
        <v>1467</v>
      </c>
      <c r="DF1068">
        <v>2617</v>
      </c>
      <c r="DG1068" t="s">
        <v>116</v>
      </c>
      <c r="DH1068" t="s">
        <v>116</v>
      </c>
      <c r="DI1068" t="s">
        <v>116</v>
      </c>
    </row>
    <row r="1069" spans="1:113" x14ac:dyDescent="0.4">
      <c r="A1069" t="str">
        <f>"002618"</f>
        <v>002618</v>
      </c>
      <c r="B1069" t="s">
        <v>6180</v>
      </c>
      <c r="C1069">
        <v>-3.5</v>
      </c>
      <c r="D1069">
        <v>12.42</v>
      </c>
      <c r="E1069">
        <v>-0.45</v>
      </c>
      <c r="F1069">
        <v>12.42</v>
      </c>
      <c r="G1069">
        <v>12.44</v>
      </c>
      <c r="H1069">
        <v>68827</v>
      </c>
      <c r="I1069">
        <v>1224</v>
      </c>
      <c r="J1069">
        <v>-0.55000000000000004</v>
      </c>
      <c r="K1069">
        <v>1.26</v>
      </c>
      <c r="L1069">
        <v>12.88</v>
      </c>
      <c r="M1069">
        <v>13.1</v>
      </c>
      <c r="N1069">
        <v>12.42</v>
      </c>
      <c r="O1069">
        <v>12.87</v>
      </c>
      <c r="P1069">
        <v>217.59</v>
      </c>
      <c r="Q1069">
        <v>87560568</v>
      </c>
      <c r="R1069">
        <v>1.08</v>
      </c>
      <c r="S1069" t="s">
        <v>233</v>
      </c>
      <c r="T1069" t="s">
        <v>115</v>
      </c>
      <c r="U1069">
        <v>5.28</v>
      </c>
      <c r="V1069">
        <v>12.72</v>
      </c>
      <c r="W1069">
        <v>43702</v>
      </c>
      <c r="X1069">
        <v>25125</v>
      </c>
      <c r="Y1069">
        <v>1.74</v>
      </c>
      <c r="Z1069">
        <v>491</v>
      </c>
      <c r="AA1069">
        <v>40</v>
      </c>
      <c r="AB1069" t="s">
        <v>116</v>
      </c>
      <c r="AC1069">
        <v>197100</v>
      </c>
      <c r="AD1069">
        <v>0</v>
      </c>
      <c r="AE1069" t="s">
        <v>116</v>
      </c>
      <c r="AF1069" t="s">
        <v>116</v>
      </c>
      <c r="AG1069">
        <v>5.48</v>
      </c>
      <c r="AH1069" t="s">
        <v>2359</v>
      </c>
      <c r="AI1069" t="s">
        <v>2359</v>
      </c>
      <c r="AJ1069">
        <v>-2.82</v>
      </c>
      <c r="AK1069">
        <v>2403</v>
      </c>
      <c r="AL1069">
        <v>29</v>
      </c>
      <c r="AM1069">
        <v>5.0000000000000001E-4</v>
      </c>
      <c r="AN1069">
        <v>-2</v>
      </c>
      <c r="AO1069">
        <v>0.89</v>
      </c>
      <c r="AP1069">
        <v>2.81</v>
      </c>
      <c r="AQ1069">
        <v>-2.59</v>
      </c>
      <c r="AR1069">
        <v>-9.77</v>
      </c>
      <c r="AS1069">
        <v>1.85</v>
      </c>
      <c r="AT1069" t="s">
        <v>6181</v>
      </c>
      <c r="AU1069">
        <v>286.67</v>
      </c>
      <c r="AV1069">
        <v>267.76</v>
      </c>
      <c r="AW1069">
        <v>0.91</v>
      </c>
      <c r="BA1069">
        <v>0.08</v>
      </c>
      <c r="BB1069">
        <v>1.79</v>
      </c>
      <c r="BC1069">
        <v>-3.5</v>
      </c>
      <c r="BD1069">
        <v>-1.1499999999999999</v>
      </c>
      <c r="BE1069">
        <v>-3.57</v>
      </c>
      <c r="BF1069">
        <v>-5.19</v>
      </c>
      <c r="BG1069">
        <v>0</v>
      </c>
      <c r="BH1069">
        <v>-2.35</v>
      </c>
      <c r="BI1069">
        <v>20191023</v>
      </c>
      <c r="BJ1069">
        <v>20110920</v>
      </c>
      <c r="BK1069">
        <v>5.48</v>
      </c>
      <c r="BL1069" t="s">
        <v>116</v>
      </c>
      <c r="BM1069" t="s">
        <v>116</v>
      </c>
      <c r="BN1069">
        <v>25.33</v>
      </c>
      <c r="BO1069">
        <v>17.420000000000002</v>
      </c>
      <c r="BP1069">
        <v>0</v>
      </c>
      <c r="BQ1069">
        <v>31.23</v>
      </c>
      <c r="BR1069">
        <v>5.52</v>
      </c>
      <c r="BS1069">
        <v>13.55</v>
      </c>
      <c r="BT1069">
        <v>1.3</v>
      </c>
      <c r="BU1069">
        <v>5.3</v>
      </c>
      <c r="BV1069">
        <v>1.41</v>
      </c>
      <c r="BW1069">
        <v>3.6</v>
      </c>
      <c r="BX1069">
        <v>7.12</v>
      </c>
      <c r="BY1069">
        <v>2.75</v>
      </c>
      <c r="BZ1069">
        <v>1.61</v>
      </c>
      <c r="CA1069">
        <v>0.23</v>
      </c>
      <c r="CB1069">
        <v>0</v>
      </c>
      <c r="CC1069">
        <v>0.22</v>
      </c>
      <c r="CD1069">
        <v>0.23</v>
      </c>
      <c r="CE1069">
        <v>0.23</v>
      </c>
      <c r="CF1069">
        <v>0.18</v>
      </c>
      <c r="CG1069">
        <v>4.3600000000000003</v>
      </c>
      <c r="CH1069">
        <v>0.25</v>
      </c>
      <c r="CI1069">
        <v>0.04</v>
      </c>
      <c r="CJ1069">
        <v>24745</v>
      </c>
      <c r="CK1069">
        <v>15030</v>
      </c>
      <c r="CL1069" t="s">
        <v>978</v>
      </c>
      <c r="CM1069">
        <v>-6.67</v>
      </c>
      <c r="CN1069">
        <v>10.09</v>
      </c>
      <c r="CO1069">
        <v>3.91</v>
      </c>
      <c r="CP1069">
        <v>274.73</v>
      </c>
      <c r="CQ1069">
        <v>24.75</v>
      </c>
      <c r="CR1069">
        <v>0.04</v>
      </c>
      <c r="CS1069" t="s">
        <v>1533</v>
      </c>
      <c r="CT1069">
        <v>3.18</v>
      </c>
      <c r="CU1069">
        <v>0</v>
      </c>
      <c r="CV1069">
        <v>1.3</v>
      </c>
      <c r="CW1069">
        <v>0.8</v>
      </c>
      <c r="CX1069">
        <v>0.05</v>
      </c>
      <c r="CY1069">
        <v>68.77</v>
      </c>
      <c r="CZ1069" t="s">
        <v>3329</v>
      </c>
      <c r="DA1069">
        <v>41.62</v>
      </c>
      <c r="DB1069">
        <v>8.24</v>
      </c>
      <c r="DC1069">
        <v>8.5299999999999994</v>
      </c>
      <c r="DD1069">
        <v>0.25</v>
      </c>
      <c r="DE1069">
        <v>1053</v>
      </c>
      <c r="DF1069">
        <v>2618</v>
      </c>
      <c r="DG1069" t="s">
        <v>116</v>
      </c>
      <c r="DH1069" t="s">
        <v>116</v>
      </c>
      <c r="DI1069" t="s">
        <v>116</v>
      </c>
    </row>
    <row r="1070" spans="1:113" x14ac:dyDescent="0.4">
      <c r="A1070" t="str">
        <f>"002619"</f>
        <v>002619</v>
      </c>
      <c r="B1070" t="s">
        <v>6182</v>
      </c>
      <c r="C1070">
        <v>-1.55</v>
      </c>
      <c r="D1070">
        <v>3.17</v>
      </c>
      <c r="E1070">
        <v>-0.05</v>
      </c>
      <c r="F1070">
        <v>3.17</v>
      </c>
      <c r="G1070">
        <v>3.18</v>
      </c>
      <c r="H1070">
        <v>324621</v>
      </c>
      <c r="I1070">
        <v>3259</v>
      </c>
      <c r="J1070">
        <v>0</v>
      </c>
      <c r="K1070">
        <v>2.2799999999999998</v>
      </c>
      <c r="L1070">
        <v>3.21</v>
      </c>
      <c r="M1070">
        <v>3.28</v>
      </c>
      <c r="N1070">
        <v>3.16</v>
      </c>
      <c r="O1070">
        <v>3.22</v>
      </c>
      <c r="P1070">
        <v>18.18</v>
      </c>
      <c r="Q1070">
        <v>104575864</v>
      </c>
      <c r="R1070">
        <v>0.98</v>
      </c>
      <c r="S1070" t="s">
        <v>1384</v>
      </c>
      <c r="T1070" t="s">
        <v>590</v>
      </c>
      <c r="U1070">
        <v>3.73</v>
      </c>
      <c r="V1070">
        <v>3.22</v>
      </c>
      <c r="W1070">
        <v>185826</v>
      </c>
      <c r="X1070">
        <v>138795</v>
      </c>
      <c r="Y1070">
        <v>1.34</v>
      </c>
      <c r="Z1070">
        <v>4406</v>
      </c>
      <c r="AA1070">
        <v>1393</v>
      </c>
      <c r="AB1070" t="s">
        <v>116</v>
      </c>
      <c r="AC1070">
        <v>212800</v>
      </c>
      <c r="AD1070">
        <v>0.01</v>
      </c>
      <c r="AE1070" t="s">
        <v>116</v>
      </c>
      <c r="AF1070" t="s">
        <v>116</v>
      </c>
      <c r="AG1070">
        <v>14.21</v>
      </c>
      <c r="AH1070" t="s">
        <v>6183</v>
      </c>
      <c r="AI1070" t="s">
        <v>6184</v>
      </c>
      <c r="AJ1070">
        <v>-0.87</v>
      </c>
      <c r="AK1070">
        <v>2253</v>
      </c>
      <c r="AL1070">
        <v>144</v>
      </c>
      <c r="AM1070">
        <v>1E-3</v>
      </c>
      <c r="AN1070">
        <v>-1</v>
      </c>
      <c r="AO1070">
        <v>-0.32</v>
      </c>
      <c r="AP1070">
        <v>6.02</v>
      </c>
      <c r="AQ1070">
        <v>10.84</v>
      </c>
      <c r="AR1070">
        <v>-5.93</v>
      </c>
      <c r="AS1070">
        <v>3.48</v>
      </c>
      <c r="AT1070" t="s">
        <v>6185</v>
      </c>
      <c r="AU1070">
        <v>10.43</v>
      </c>
      <c r="AV1070">
        <v>8.73</v>
      </c>
      <c r="AW1070">
        <v>0.95</v>
      </c>
      <c r="BA1070">
        <v>-0.31</v>
      </c>
      <c r="BB1070">
        <v>1.86</v>
      </c>
      <c r="BC1070">
        <v>-1.86</v>
      </c>
      <c r="BD1070">
        <v>0.05</v>
      </c>
      <c r="BE1070">
        <v>-1.25</v>
      </c>
      <c r="BF1070">
        <v>-3.35</v>
      </c>
      <c r="BG1070">
        <v>0.32</v>
      </c>
      <c r="BH1070">
        <v>-1.6</v>
      </c>
      <c r="BI1070">
        <v>20191121</v>
      </c>
      <c r="BJ1070">
        <v>20110929</v>
      </c>
      <c r="BK1070">
        <v>18.45</v>
      </c>
      <c r="BL1070" t="s">
        <v>116</v>
      </c>
      <c r="BM1070" t="s">
        <v>116</v>
      </c>
      <c r="BN1070">
        <v>73.42</v>
      </c>
      <c r="BO1070">
        <v>66.69</v>
      </c>
      <c r="BP1070">
        <v>0.39</v>
      </c>
      <c r="BQ1070">
        <v>8.6300000000000008</v>
      </c>
      <c r="BR1070">
        <v>26.75</v>
      </c>
      <c r="BS1070">
        <v>0.03</v>
      </c>
      <c r="BT1070">
        <v>0.06</v>
      </c>
      <c r="BU1070">
        <v>6.04</v>
      </c>
      <c r="BV1070">
        <v>0</v>
      </c>
      <c r="BW1070">
        <v>8.16</v>
      </c>
      <c r="BX1070">
        <v>30.91</v>
      </c>
      <c r="BY1070">
        <v>5.23</v>
      </c>
      <c r="BZ1070">
        <v>1.67</v>
      </c>
      <c r="CA1070">
        <v>2.36</v>
      </c>
      <c r="CB1070">
        <v>-0.01</v>
      </c>
      <c r="CC1070">
        <v>2.35</v>
      </c>
      <c r="CD1070">
        <v>2.41</v>
      </c>
      <c r="CE1070">
        <v>2.41</v>
      </c>
      <c r="CF1070">
        <v>2.41</v>
      </c>
      <c r="CG1070">
        <v>17.43</v>
      </c>
      <c r="CH1070">
        <v>-1.28</v>
      </c>
      <c r="CI1070">
        <v>-0.85</v>
      </c>
      <c r="CJ1070">
        <v>63618</v>
      </c>
      <c r="CK1070">
        <v>14658</v>
      </c>
      <c r="CL1070" t="s">
        <v>1688</v>
      </c>
      <c r="CM1070">
        <v>-31.11</v>
      </c>
      <c r="CN1070">
        <v>-4.67</v>
      </c>
      <c r="CO1070">
        <v>0.88</v>
      </c>
      <c r="CP1070">
        <v>-45.71</v>
      </c>
      <c r="CQ1070">
        <v>11.19</v>
      </c>
      <c r="CR1070">
        <v>0</v>
      </c>
      <c r="CS1070" t="s">
        <v>5815</v>
      </c>
      <c r="CT1070">
        <v>3.61</v>
      </c>
      <c r="CU1070">
        <v>0</v>
      </c>
      <c r="CV1070">
        <v>1.68</v>
      </c>
      <c r="CW1070">
        <v>0.94</v>
      </c>
      <c r="CX1070">
        <v>-7.0000000000000007E-2</v>
      </c>
      <c r="CY1070">
        <v>90.83</v>
      </c>
      <c r="CZ1070" t="s">
        <v>869</v>
      </c>
      <c r="DA1070">
        <v>68.09</v>
      </c>
      <c r="DB1070">
        <v>45.08</v>
      </c>
      <c r="DC1070">
        <v>46.17</v>
      </c>
      <c r="DD1070">
        <v>0.55000000000000004</v>
      </c>
      <c r="DE1070">
        <v>371</v>
      </c>
      <c r="DF1070">
        <v>2619</v>
      </c>
      <c r="DG1070" t="s">
        <v>116</v>
      </c>
      <c r="DH1070" t="s">
        <v>116</v>
      </c>
      <c r="DI1070" t="s">
        <v>116</v>
      </c>
    </row>
    <row r="1071" spans="1:113" x14ac:dyDescent="0.4">
      <c r="A1071" t="str">
        <f>"002620"</f>
        <v>002620</v>
      </c>
      <c r="B1071" t="s">
        <v>6186</v>
      </c>
      <c r="C1071">
        <v>-0.49</v>
      </c>
      <c r="D1071">
        <v>6.04</v>
      </c>
      <c r="E1071">
        <v>-0.03</v>
      </c>
      <c r="F1071">
        <v>6.03</v>
      </c>
      <c r="G1071">
        <v>6.04</v>
      </c>
      <c r="H1071">
        <v>25584</v>
      </c>
      <c r="I1071">
        <v>163</v>
      </c>
      <c r="J1071">
        <v>0</v>
      </c>
      <c r="K1071">
        <v>0.84</v>
      </c>
      <c r="L1071">
        <v>6.07</v>
      </c>
      <c r="M1071">
        <v>6.11</v>
      </c>
      <c r="N1071">
        <v>6.03</v>
      </c>
      <c r="O1071">
        <v>6.07</v>
      </c>
      <c r="P1071">
        <v>12.16</v>
      </c>
      <c r="Q1071">
        <v>15556242</v>
      </c>
      <c r="R1071">
        <v>1.24</v>
      </c>
      <c r="S1071" t="s">
        <v>3331</v>
      </c>
      <c r="T1071" t="s">
        <v>115</v>
      </c>
      <c r="U1071">
        <v>1.32</v>
      </c>
      <c r="V1071">
        <v>6.08</v>
      </c>
      <c r="W1071">
        <v>13204</v>
      </c>
      <c r="X1071">
        <v>12380</v>
      </c>
      <c r="Y1071">
        <v>1.07</v>
      </c>
      <c r="Z1071">
        <v>294</v>
      </c>
      <c r="AA1071">
        <v>359</v>
      </c>
      <c r="AB1071" t="s">
        <v>116</v>
      </c>
      <c r="AC1071">
        <v>0</v>
      </c>
      <c r="AD1071">
        <v>0</v>
      </c>
      <c r="AE1071" t="s">
        <v>116</v>
      </c>
      <c r="AF1071" t="s">
        <v>116</v>
      </c>
      <c r="AG1071">
        <v>3.04</v>
      </c>
      <c r="AH1071" t="s">
        <v>6187</v>
      </c>
      <c r="AI1071" t="s">
        <v>6188</v>
      </c>
      <c r="AJ1071">
        <v>0.18</v>
      </c>
      <c r="AK1071">
        <v>719</v>
      </c>
      <c r="AL1071">
        <v>36</v>
      </c>
      <c r="AM1071">
        <v>1.1999999999999999E-3</v>
      </c>
      <c r="AN1071">
        <v>-1</v>
      </c>
      <c r="AO1071">
        <v>0.34</v>
      </c>
      <c r="AP1071">
        <v>4.5</v>
      </c>
      <c r="AQ1071">
        <v>2.0299999999999998</v>
      </c>
      <c r="AR1071">
        <v>4.68</v>
      </c>
      <c r="AS1071">
        <v>1.36</v>
      </c>
      <c r="AT1071" t="s">
        <v>3938</v>
      </c>
      <c r="AU1071">
        <v>13.79</v>
      </c>
      <c r="AV1071">
        <v>15.48</v>
      </c>
      <c r="AW1071">
        <v>0.86</v>
      </c>
      <c r="BA1071">
        <v>0</v>
      </c>
      <c r="BB1071">
        <v>0.66</v>
      </c>
      <c r="BC1071">
        <v>-0.66</v>
      </c>
      <c r="BD1071">
        <v>0.17</v>
      </c>
      <c r="BE1071">
        <v>-0.49</v>
      </c>
      <c r="BF1071">
        <v>-1.1499999999999999</v>
      </c>
      <c r="BG1071">
        <v>0.17</v>
      </c>
      <c r="BH1071">
        <v>-0.67</v>
      </c>
      <c r="BI1071">
        <v>20191219</v>
      </c>
      <c r="BJ1071">
        <v>20110929</v>
      </c>
      <c r="BK1071">
        <v>3.79</v>
      </c>
      <c r="BL1071" t="s">
        <v>116</v>
      </c>
      <c r="BM1071" t="s">
        <v>116</v>
      </c>
      <c r="BN1071">
        <v>56.51</v>
      </c>
      <c r="BO1071">
        <v>23</v>
      </c>
      <c r="BP1071">
        <v>2.76</v>
      </c>
      <c r="BQ1071">
        <v>54.41</v>
      </c>
      <c r="BR1071">
        <v>43.7</v>
      </c>
      <c r="BS1071">
        <v>7.81</v>
      </c>
      <c r="BT1071">
        <v>0.16</v>
      </c>
      <c r="BU1071">
        <v>30.23</v>
      </c>
      <c r="BV1071">
        <v>2.75</v>
      </c>
      <c r="BW1071">
        <v>25.69</v>
      </c>
      <c r="BX1071">
        <v>12.03</v>
      </c>
      <c r="BY1071">
        <v>26.81</v>
      </c>
      <c r="BZ1071">
        <v>22.56</v>
      </c>
      <c r="CA1071">
        <v>1.92</v>
      </c>
      <c r="CB1071">
        <v>0</v>
      </c>
      <c r="CC1071">
        <v>1.92</v>
      </c>
      <c r="CD1071">
        <v>1.64</v>
      </c>
      <c r="CE1071">
        <v>1.41</v>
      </c>
      <c r="CF1071">
        <v>1.33</v>
      </c>
      <c r="CG1071">
        <v>6.53</v>
      </c>
      <c r="CH1071">
        <v>-1.08</v>
      </c>
      <c r="CI1071">
        <v>-0.56999999999999995</v>
      </c>
      <c r="CJ1071">
        <v>20196</v>
      </c>
      <c r="CK1071">
        <v>9323</v>
      </c>
      <c r="CL1071" t="s">
        <v>5610</v>
      </c>
      <c r="CM1071">
        <v>14.78</v>
      </c>
      <c r="CN1071">
        <v>3.27</v>
      </c>
      <c r="CO1071">
        <v>0.99</v>
      </c>
      <c r="CP1071">
        <v>-21.27</v>
      </c>
      <c r="CQ1071">
        <v>0.85</v>
      </c>
      <c r="CR1071">
        <v>0.99</v>
      </c>
      <c r="CS1071" t="s">
        <v>6158</v>
      </c>
      <c r="CT1071">
        <v>6.08</v>
      </c>
      <c r="CU1071">
        <v>0</v>
      </c>
      <c r="CV1071">
        <v>3.18</v>
      </c>
      <c r="CW1071">
        <v>1.73</v>
      </c>
      <c r="CX1071">
        <v>-0.28000000000000003</v>
      </c>
      <c r="CY1071">
        <v>40.700000000000003</v>
      </c>
      <c r="CZ1071" t="s">
        <v>6189</v>
      </c>
      <c r="DA1071">
        <v>15.85</v>
      </c>
      <c r="DB1071">
        <v>7.17</v>
      </c>
      <c r="DC1071">
        <v>5.26</v>
      </c>
      <c r="DD1071">
        <v>0.84</v>
      </c>
      <c r="DE1071">
        <v>676</v>
      </c>
      <c r="DF1071">
        <v>2620</v>
      </c>
      <c r="DG1071" t="s">
        <v>116</v>
      </c>
      <c r="DH1071" t="s">
        <v>116</v>
      </c>
      <c r="DI1071" t="s">
        <v>116</v>
      </c>
    </row>
    <row r="1072" spans="1:113" x14ac:dyDescent="0.4">
      <c r="A1072" t="str">
        <f>"002621"</f>
        <v>002621</v>
      </c>
      <c r="B1072" t="s">
        <v>6190</v>
      </c>
      <c r="C1072">
        <v>-1.68</v>
      </c>
      <c r="D1072">
        <v>11.11</v>
      </c>
      <c r="E1072">
        <v>-0.19</v>
      </c>
      <c r="F1072">
        <v>11.11</v>
      </c>
      <c r="G1072">
        <v>11.13</v>
      </c>
      <c r="H1072">
        <v>29042</v>
      </c>
      <c r="I1072">
        <v>603</v>
      </c>
      <c r="J1072">
        <v>0.09</v>
      </c>
      <c r="K1072">
        <v>0.53</v>
      </c>
      <c r="L1072">
        <v>11.33</v>
      </c>
      <c r="M1072">
        <v>11.37</v>
      </c>
      <c r="N1072">
        <v>11.09</v>
      </c>
      <c r="O1072">
        <v>11.3</v>
      </c>
      <c r="P1072">
        <v>59</v>
      </c>
      <c r="Q1072">
        <v>32422648</v>
      </c>
      <c r="R1072">
        <v>2.02</v>
      </c>
      <c r="S1072" t="s">
        <v>217</v>
      </c>
      <c r="T1072" t="s">
        <v>434</v>
      </c>
      <c r="U1072">
        <v>2.48</v>
      </c>
      <c r="V1072">
        <v>11.16</v>
      </c>
      <c r="W1072">
        <v>19107</v>
      </c>
      <c r="X1072">
        <v>9935</v>
      </c>
      <c r="Y1072">
        <v>1.92</v>
      </c>
      <c r="Z1072">
        <v>115</v>
      </c>
      <c r="AA1072">
        <v>91</v>
      </c>
      <c r="AB1072" t="s">
        <v>116</v>
      </c>
      <c r="AC1072">
        <v>37400</v>
      </c>
      <c r="AD1072">
        <v>0</v>
      </c>
      <c r="AE1072" t="s">
        <v>116</v>
      </c>
      <c r="AF1072" t="s">
        <v>116</v>
      </c>
      <c r="AG1072">
        <v>5.44</v>
      </c>
      <c r="AH1072" t="s">
        <v>6191</v>
      </c>
      <c r="AI1072" t="s">
        <v>6192</v>
      </c>
      <c r="AJ1072">
        <v>-1</v>
      </c>
      <c r="AK1072">
        <v>1387</v>
      </c>
      <c r="AL1072">
        <v>21</v>
      </c>
      <c r="AM1072">
        <v>4.0000000000000002E-4</v>
      </c>
      <c r="AN1072">
        <v>-1</v>
      </c>
      <c r="AO1072">
        <v>-0.97</v>
      </c>
      <c r="AP1072">
        <v>-3.64</v>
      </c>
      <c r="AQ1072">
        <v>-8.26</v>
      </c>
      <c r="AR1072">
        <v>11.63</v>
      </c>
      <c r="AS1072">
        <v>1.31</v>
      </c>
      <c r="AT1072" t="s">
        <v>6193</v>
      </c>
      <c r="AU1072">
        <v>64.599999999999994</v>
      </c>
      <c r="AV1072">
        <v>208.06</v>
      </c>
      <c r="AW1072">
        <v>0.32</v>
      </c>
      <c r="BA1072">
        <v>0.27</v>
      </c>
      <c r="BB1072">
        <v>0.62</v>
      </c>
      <c r="BC1072">
        <v>-1.86</v>
      </c>
      <c r="BD1072">
        <v>-1.2</v>
      </c>
      <c r="BE1072">
        <v>-1.94</v>
      </c>
      <c r="BF1072">
        <v>-2.29</v>
      </c>
      <c r="BG1072">
        <v>0.18</v>
      </c>
      <c r="BH1072">
        <v>-0.48</v>
      </c>
      <c r="BI1072">
        <v>20191025</v>
      </c>
      <c r="BJ1072">
        <v>20110929</v>
      </c>
      <c r="BK1072">
        <v>5.91</v>
      </c>
      <c r="BL1072" t="s">
        <v>116</v>
      </c>
      <c r="BM1072" t="s">
        <v>116</v>
      </c>
      <c r="BN1072">
        <v>43.86</v>
      </c>
      <c r="BO1072">
        <v>12.89</v>
      </c>
      <c r="BP1072">
        <v>10.72</v>
      </c>
      <c r="BQ1072">
        <v>46.17</v>
      </c>
      <c r="BR1072">
        <v>9.06</v>
      </c>
      <c r="BS1072">
        <v>0.71</v>
      </c>
      <c r="BT1072">
        <v>13</v>
      </c>
      <c r="BU1072">
        <v>19.55</v>
      </c>
      <c r="BV1072">
        <v>0.86</v>
      </c>
      <c r="BW1072">
        <v>0.97</v>
      </c>
      <c r="BX1072">
        <v>2.59</v>
      </c>
      <c r="BY1072">
        <v>4.82</v>
      </c>
      <c r="BZ1072">
        <v>1.56</v>
      </c>
      <c r="CA1072">
        <v>1.72</v>
      </c>
      <c r="CB1072">
        <v>0.01</v>
      </c>
      <c r="CC1072">
        <v>1.71</v>
      </c>
      <c r="CD1072">
        <v>1.26</v>
      </c>
      <c r="CE1072">
        <v>0.83</v>
      </c>
      <c r="CF1072">
        <v>0.85</v>
      </c>
      <c r="CG1072">
        <v>4.75</v>
      </c>
      <c r="CH1072">
        <v>1.24</v>
      </c>
      <c r="CI1072">
        <v>-0.36</v>
      </c>
      <c r="CJ1072">
        <v>8584</v>
      </c>
      <c r="CK1072">
        <v>25912</v>
      </c>
      <c r="CL1072" t="s">
        <v>2667</v>
      </c>
      <c r="CM1072">
        <v>523.05999999999995</v>
      </c>
      <c r="CN1072">
        <v>203.75</v>
      </c>
      <c r="CO1072">
        <v>5.09</v>
      </c>
      <c r="CP1072">
        <v>53.05</v>
      </c>
      <c r="CQ1072">
        <v>13.63</v>
      </c>
      <c r="CR1072">
        <v>0.11</v>
      </c>
      <c r="CS1072" t="s">
        <v>5207</v>
      </c>
      <c r="CT1072">
        <v>2.1800000000000002</v>
      </c>
      <c r="CU1072">
        <v>0</v>
      </c>
      <c r="CV1072">
        <v>0.44</v>
      </c>
      <c r="CW1072">
        <v>0.8</v>
      </c>
      <c r="CX1072">
        <v>0.21</v>
      </c>
      <c r="CY1072">
        <v>29.39</v>
      </c>
      <c r="CZ1072" t="s">
        <v>6194</v>
      </c>
      <c r="DA1072">
        <v>67.569999999999993</v>
      </c>
      <c r="DB1072">
        <v>35.65</v>
      </c>
      <c r="DC1072">
        <v>17.329999999999998</v>
      </c>
      <c r="DD1072">
        <v>0.13</v>
      </c>
      <c r="DE1072">
        <v>383</v>
      </c>
      <c r="DF1072">
        <v>2621</v>
      </c>
      <c r="DG1072" t="s">
        <v>116</v>
      </c>
      <c r="DH1072" t="s">
        <v>116</v>
      </c>
      <c r="DI1072" t="s">
        <v>116</v>
      </c>
    </row>
    <row r="1073" spans="1:113" x14ac:dyDescent="0.4">
      <c r="A1073" t="str">
        <f>"002622"</f>
        <v>002622</v>
      </c>
      <c r="B1073" t="s">
        <v>6195</v>
      </c>
      <c r="C1073">
        <v>-1.96</v>
      </c>
      <c r="D1073">
        <v>3.5</v>
      </c>
      <c r="E1073">
        <v>-7.0000000000000007E-2</v>
      </c>
      <c r="F1073">
        <v>3.5</v>
      </c>
      <c r="G1073">
        <v>3.51</v>
      </c>
      <c r="H1073">
        <v>280040</v>
      </c>
      <c r="I1073">
        <v>3641</v>
      </c>
      <c r="J1073">
        <v>-0.56000000000000005</v>
      </c>
      <c r="K1073">
        <v>3.33</v>
      </c>
      <c r="L1073">
        <v>3.56</v>
      </c>
      <c r="M1073">
        <v>3.64</v>
      </c>
      <c r="N1073">
        <v>3.5</v>
      </c>
      <c r="O1073">
        <v>3.57</v>
      </c>
      <c r="P1073" t="s">
        <v>116</v>
      </c>
      <c r="Q1073">
        <v>99600208</v>
      </c>
      <c r="R1073">
        <v>0.52</v>
      </c>
      <c r="S1073" t="s">
        <v>173</v>
      </c>
      <c r="T1073" t="s">
        <v>294</v>
      </c>
      <c r="U1073">
        <v>3.92</v>
      </c>
      <c r="V1073">
        <v>3.56</v>
      </c>
      <c r="W1073">
        <v>161040</v>
      </c>
      <c r="X1073">
        <v>119000</v>
      </c>
      <c r="Y1073">
        <v>1.35</v>
      </c>
      <c r="Z1073">
        <v>3220</v>
      </c>
      <c r="AA1073">
        <v>1310</v>
      </c>
      <c r="AB1073" t="s">
        <v>116</v>
      </c>
      <c r="AC1073">
        <v>145200</v>
      </c>
      <c r="AD1073">
        <v>0.01</v>
      </c>
      <c r="AE1073" t="s">
        <v>116</v>
      </c>
      <c r="AF1073" t="s">
        <v>116</v>
      </c>
      <c r="AG1073">
        <v>8.4</v>
      </c>
      <c r="AH1073" t="s">
        <v>6196</v>
      </c>
      <c r="AI1073" t="s">
        <v>6196</v>
      </c>
      <c r="AJ1073">
        <v>-1.28</v>
      </c>
      <c r="AK1073">
        <v>2332</v>
      </c>
      <c r="AL1073">
        <v>120</v>
      </c>
      <c r="AM1073">
        <v>1.4E-3</v>
      </c>
      <c r="AN1073">
        <v>-1</v>
      </c>
      <c r="AO1073">
        <v>-1.96</v>
      </c>
      <c r="AP1073">
        <v>18.64</v>
      </c>
      <c r="AQ1073">
        <v>3.86</v>
      </c>
      <c r="AR1073">
        <v>14.38</v>
      </c>
      <c r="AS1073">
        <v>4.38</v>
      </c>
      <c r="AT1073" t="s">
        <v>5328</v>
      </c>
      <c r="AU1073">
        <v>1052.49</v>
      </c>
      <c r="AV1073">
        <v>79.8</v>
      </c>
      <c r="AW1073">
        <v>1.93</v>
      </c>
      <c r="BA1073">
        <v>-0.28000000000000003</v>
      </c>
      <c r="BB1073">
        <v>1.96</v>
      </c>
      <c r="BC1073">
        <v>-1.96</v>
      </c>
      <c r="BD1073">
        <v>-0.37</v>
      </c>
      <c r="BE1073">
        <v>-1.69</v>
      </c>
      <c r="BF1073">
        <v>-3.85</v>
      </c>
      <c r="BG1073">
        <v>0</v>
      </c>
      <c r="BH1073">
        <v>-1.59</v>
      </c>
      <c r="BI1073">
        <v>20191031</v>
      </c>
      <c r="BJ1073">
        <v>20111018</v>
      </c>
      <c r="BK1073">
        <v>8.4</v>
      </c>
      <c r="BL1073" t="s">
        <v>116</v>
      </c>
      <c r="BM1073" t="s">
        <v>116</v>
      </c>
      <c r="BN1073">
        <v>17.87</v>
      </c>
      <c r="BO1073">
        <v>12.9</v>
      </c>
      <c r="BP1073">
        <v>0</v>
      </c>
      <c r="BQ1073">
        <v>27.81</v>
      </c>
      <c r="BR1073">
        <v>4.74</v>
      </c>
      <c r="BS1073">
        <v>1.37</v>
      </c>
      <c r="BT1073">
        <v>0.44</v>
      </c>
      <c r="BU1073">
        <v>4.05</v>
      </c>
      <c r="BV1073">
        <v>0.48</v>
      </c>
      <c r="BW1073">
        <v>0.74</v>
      </c>
      <c r="BX1073">
        <v>0.22</v>
      </c>
      <c r="BY1073">
        <v>0.97</v>
      </c>
      <c r="BZ1073">
        <v>0.37</v>
      </c>
      <c r="CA1073">
        <v>-0.1</v>
      </c>
      <c r="CB1073">
        <v>0.4</v>
      </c>
      <c r="CC1073">
        <v>-0.11</v>
      </c>
      <c r="CD1073">
        <v>-0.14000000000000001</v>
      </c>
      <c r="CE1073">
        <v>-0.14000000000000001</v>
      </c>
      <c r="CF1073">
        <v>-0.15</v>
      </c>
      <c r="CG1073">
        <v>3.81</v>
      </c>
      <c r="CH1073">
        <v>-0.17</v>
      </c>
      <c r="CI1073">
        <v>-0.66</v>
      </c>
      <c r="CJ1073">
        <v>63895</v>
      </c>
      <c r="CK1073">
        <v>10016</v>
      </c>
      <c r="CL1073" t="s">
        <v>764</v>
      </c>
      <c r="CM1073">
        <v>-174.06</v>
      </c>
      <c r="CN1073">
        <v>-66.03</v>
      </c>
      <c r="CO1073">
        <v>2.2799999999999998</v>
      </c>
      <c r="CP1073">
        <v>-173.37</v>
      </c>
      <c r="CQ1073">
        <v>30.26</v>
      </c>
      <c r="CR1073">
        <v>0</v>
      </c>
      <c r="CS1073" t="s">
        <v>6197</v>
      </c>
      <c r="CT1073">
        <v>1.54</v>
      </c>
      <c r="CU1073">
        <v>0</v>
      </c>
      <c r="CV1073">
        <v>0.03</v>
      </c>
      <c r="CW1073">
        <v>0.45</v>
      </c>
      <c r="CX1073">
        <v>-0.02</v>
      </c>
      <c r="CY1073">
        <v>72.19</v>
      </c>
      <c r="CZ1073" t="s">
        <v>6198</v>
      </c>
      <c r="DA1073">
        <v>62.12</v>
      </c>
      <c r="DB1073">
        <v>-10.27</v>
      </c>
      <c r="DC1073">
        <v>-14.91</v>
      </c>
      <c r="DD1073">
        <v>7.0000000000000007E-2</v>
      </c>
      <c r="DE1073">
        <v>828</v>
      </c>
      <c r="DF1073">
        <v>2622</v>
      </c>
      <c r="DG1073" t="s">
        <v>116</v>
      </c>
      <c r="DH1073" t="s">
        <v>116</v>
      </c>
      <c r="DI1073" t="s">
        <v>116</v>
      </c>
    </row>
    <row r="1074" spans="1:113" x14ac:dyDescent="0.4">
      <c r="A1074" t="str">
        <f>"002623"</f>
        <v>002623</v>
      </c>
      <c r="B1074" t="s">
        <v>6199</v>
      </c>
      <c r="C1074">
        <v>-10</v>
      </c>
      <c r="D1074">
        <v>22.59</v>
      </c>
      <c r="E1074">
        <v>-2.5099999999999998</v>
      </c>
      <c r="F1074">
        <v>22.59</v>
      </c>
      <c r="G1074">
        <v>22.6</v>
      </c>
      <c r="H1074">
        <v>179088</v>
      </c>
      <c r="I1074">
        <v>1339</v>
      </c>
      <c r="J1074">
        <v>-0.52</v>
      </c>
      <c r="K1074">
        <v>11.22</v>
      </c>
      <c r="L1074">
        <v>25.94</v>
      </c>
      <c r="M1074">
        <v>25.94</v>
      </c>
      <c r="N1074">
        <v>22.59</v>
      </c>
      <c r="O1074">
        <v>25.1</v>
      </c>
      <c r="P1074">
        <v>1563.95</v>
      </c>
      <c r="Q1074">
        <v>426055648</v>
      </c>
      <c r="R1074">
        <v>1.47</v>
      </c>
      <c r="S1074" t="s">
        <v>195</v>
      </c>
      <c r="T1074" t="s">
        <v>323</v>
      </c>
      <c r="U1074">
        <v>13.35</v>
      </c>
      <c r="V1074">
        <v>23.79</v>
      </c>
      <c r="W1074">
        <v>94188</v>
      </c>
      <c r="X1074">
        <v>84900</v>
      </c>
      <c r="Y1074">
        <v>1.1100000000000001</v>
      </c>
      <c r="Z1074">
        <v>283</v>
      </c>
      <c r="AA1074">
        <v>265</v>
      </c>
      <c r="AB1074" t="s">
        <v>116</v>
      </c>
      <c r="AC1074">
        <v>10962200</v>
      </c>
      <c r="AD1074">
        <v>0.55000000000000004</v>
      </c>
      <c r="AE1074" t="s">
        <v>116</v>
      </c>
      <c r="AF1074" t="s">
        <v>116</v>
      </c>
      <c r="AG1074">
        <v>1.6</v>
      </c>
      <c r="AH1074" t="s">
        <v>3407</v>
      </c>
      <c r="AI1074" t="s">
        <v>6200</v>
      </c>
      <c r="AJ1074">
        <v>-9.32</v>
      </c>
      <c r="AK1074">
        <v>3127</v>
      </c>
      <c r="AL1074">
        <v>57</v>
      </c>
      <c r="AM1074">
        <v>3.5999999999999999E-3</v>
      </c>
      <c r="AN1074">
        <v>-1</v>
      </c>
      <c r="AO1074">
        <v>0.85</v>
      </c>
      <c r="AP1074">
        <v>59.53</v>
      </c>
      <c r="AQ1074">
        <v>60.44</v>
      </c>
      <c r="AR1074">
        <v>47.45</v>
      </c>
      <c r="AS1074">
        <v>23.22</v>
      </c>
      <c r="AT1074" t="s">
        <v>6201</v>
      </c>
      <c r="AU1074">
        <v>216.12</v>
      </c>
      <c r="AV1074">
        <v>45.62</v>
      </c>
      <c r="AW1074">
        <v>1.01</v>
      </c>
      <c r="BA1074">
        <v>3.35</v>
      </c>
      <c r="BB1074">
        <v>3.35</v>
      </c>
      <c r="BC1074">
        <v>-10</v>
      </c>
      <c r="BD1074">
        <v>-5.22</v>
      </c>
      <c r="BE1074">
        <v>-12.91</v>
      </c>
      <c r="BF1074">
        <v>-12.91</v>
      </c>
      <c r="BG1074">
        <v>0</v>
      </c>
      <c r="BH1074">
        <v>-4.78</v>
      </c>
      <c r="BI1074">
        <v>20191023</v>
      </c>
      <c r="BJ1074">
        <v>20111013</v>
      </c>
      <c r="BK1074">
        <v>1.6</v>
      </c>
      <c r="BL1074" t="s">
        <v>116</v>
      </c>
      <c r="BM1074" t="s">
        <v>116</v>
      </c>
      <c r="BN1074">
        <v>40.36</v>
      </c>
      <c r="BO1074">
        <v>22.22</v>
      </c>
      <c r="BP1074">
        <v>0.09</v>
      </c>
      <c r="BQ1074">
        <v>44.73</v>
      </c>
      <c r="BR1074">
        <v>17.03</v>
      </c>
      <c r="BS1074">
        <v>19.29</v>
      </c>
      <c r="BT1074">
        <v>1.45</v>
      </c>
      <c r="BU1074">
        <v>13.26</v>
      </c>
      <c r="BV1074">
        <v>1.76</v>
      </c>
      <c r="BW1074">
        <v>6.29</v>
      </c>
      <c r="BX1074">
        <v>14.85</v>
      </c>
      <c r="BY1074">
        <v>8.16</v>
      </c>
      <c r="BZ1074">
        <v>6.91</v>
      </c>
      <c r="CA1074">
        <v>-0.03</v>
      </c>
      <c r="CB1074">
        <v>-0.01</v>
      </c>
      <c r="CC1074">
        <v>-0.02</v>
      </c>
      <c r="CD1074">
        <v>0.05</v>
      </c>
      <c r="CE1074">
        <v>0.02</v>
      </c>
      <c r="CF1074">
        <v>-0.05</v>
      </c>
      <c r="CG1074">
        <v>5.01</v>
      </c>
      <c r="CH1074">
        <v>1.31</v>
      </c>
      <c r="CI1074">
        <v>-1.1499999999999999</v>
      </c>
      <c r="CJ1074">
        <v>19430</v>
      </c>
      <c r="CK1074">
        <v>3969</v>
      </c>
      <c r="CL1074" t="s">
        <v>6202</v>
      </c>
      <c r="CM1074">
        <v>-97.3</v>
      </c>
      <c r="CN1074">
        <v>-37.17</v>
      </c>
      <c r="CO1074">
        <v>1.63</v>
      </c>
      <c r="CP1074">
        <v>27.61</v>
      </c>
      <c r="CQ1074">
        <v>4.43</v>
      </c>
      <c r="CR1074">
        <v>0</v>
      </c>
      <c r="CS1074" t="s">
        <v>3700</v>
      </c>
      <c r="CT1074">
        <v>13.89</v>
      </c>
      <c r="CU1074">
        <v>0</v>
      </c>
      <c r="CV1074">
        <v>9.2799999999999994</v>
      </c>
      <c r="CW1074">
        <v>3.13</v>
      </c>
      <c r="CX1074">
        <v>0.82</v>
      </c>
      <c r="CY1074">
        <v>55.05</v>
      </c>
      <c r="CZ1074" t="s">
        <v>6203</v>
      </c>
      <c r="DA1074">
        <v>15.37</v>
      </c>
      <c r="DB1074">
        <v>-0.33</v>
      </c>
      <c r="DC1074">
        <v>0.21</v>
      </c>
      <c r="DD1074">
        <v>0.24</v>
      </c>
      <c r="DE1074">
        <v>788</v>
      </c>
      <c r="DF1074">
        <v>2623</v>
      </c>
      <c r="DG1074" t="s">
        <v>116</v>
      </c>
      <c r="DH1074" t="s">
        <v>116</v>
      </c>
      <c r="DI1074" t="s">
        <v>116</v>
      </c>
    </row>
    <row r="1075" spans="1:113" x14ac:dyDescent="0.4">
      <c r="A1075" t="str">
        <f>"002624"</f>
        <v>002624</v>
      </c>
      <c r="B1075" t="s">
        <v>6204</v>
      </c>
      <c r="C1075">
        <v>-7.0000000000000007E-2</v>
      </c>
      <c r="D1075">
        <v>44.36</v>
      </c>
      <c r="E1075">
        <v>-0.03</v>
      </c>
      <c r="F1075">
        <v>44.36</v>
      </c>
      <c r="G1075">
        <v>44.37</v>
      </c>
      <c r="H1075">
        <v>163278</v>
      </c>
      <c r="I1075">
        <v>1692</v>
      </c>
      <c r="J1075">
        <v>0.27</v>
      </c>
      <c r="K1075">
        <v>1.41</v>
      </c>
      <c r="L1075">
        <v>44.4</v>
      </c>
      <c r="M1075">
        <v>46.89</v>
      </c>
      <c r="N1075">
        <v>43.72</v>
      </c>
      <c r="O1075">
        <v>44.39</v>
      </c>
      <c r="P1075">
        <v>29.15</v>
      </c>
      <c r="Q1075">
        <v>739785024</v>
      </c>
      <c r="R1075">
        <v>1.0900000000000001</v>
      </c>
      <c r="S1075" t="s">
        <v>589</v>
      </c>
      <c r="T1075" t="s">
        <v>590</v>
      </c>
      <c r="U1075">
        <v>7.14</v>
      </c>
      <c r="V1075">
        <v>45.31</v>
      </c>
      <c r="W1075">
        <v>77249</v>
      </c>
      <c r="X1075">
        <v>86029</v>
      </c>
      <c r="Y1075">
        <v>0.9</v>
      </c>
      <c r="Z1075">
        <v>23</v>
      </c>
      <c r="AA1075">
        <v>130</v>
      </c>
      <c r="AB1075" t="s">
        <v>116</v>
      </c>
      <c r="AC1075">
        <v>821400</v>
      </c>
      <c r="AD1075">
        <v>0</v>
      </c>
      <c r="AE1075" t="s">
        <v>116</v>
      </c>
      <c r="AF1075" t="s">
        <v>116</v>
      </c>
      <c r="AG1075">
        <v>11.6</v>
      </c>
      <c r="AH1075" t="s">
        <v>6205</v>
      </c>
      <c r="AI1075" t="s">
        <v>6206</v>
      </c>
      <c r="AJ1075">
        <v>0.61</v>
      </c>
      <c r="AK1075">
        <v>4167</v>
      </c>
      <c r="AL1075">
        <v>39</v>
      </c>
      <c r="AM1075">
        <v>2.9999999999999997E-4</v>
      </c>
      <c r="AN1075">
        <v>-1</v>
      </c>
      <c r="AO1075">
        <v>5.12</v>
      </c>
      <c r="AP1075">
        <v>28.58</v>
      </c>
      <c r="AQ1075">
        <v>56.2</v>
      </c>
      <c r="AR1075">
        <v>60.32</v>
      </c>
      <c r="AS1075">
        <v>3.29</v>
      </c>
      <c r="AT1075" t="s">
        <v>6207</v>
      </c>
      <c r="AU1075">
        <v>30.76</v>
      </c>
      <c r="AV1075">
        <v>33.61</v>
      </c>
      <c r="AW1075">
        <v>1.1100000000000001</v>
      </c>
      <c r="BA1075">
        <v>0.02</v>
      </c>
      <c r="BB1075">
        <v>5.63</v>
      </c>
      <c r="BC1075">
        <v>-1.51</v>
      </c>
      <c r="BD1075">
        <v>2.0699999999999998</v>
      </c>
      <c r="BE1075">
        <v>-0.09</v>
      </c>
      <c r="BF1075">
        <v>-5.4</v>
      </c>
      <c r="BG1075">
        <v>1.46</v>
      </c>
      <c r="BH1075">
        <v>-2.14</v>
      </c>
      <c r="BI1075">
        <v>20191225</v>
      </c>
      <c r="BJ1075">
        <v>20111028</v>
      </c>
      <c r="BK1075">
        <v>12.93</v>
      </c>
      <c r="BL1075" t="s">
        <v>116</v>
      </c>
      <c r="BM1075" t="s">
        <v>116</v>
      </c>
      <c r="BN1075">
        <v>173.6</v>
      </c>
      <c r="BO1075">
        <v>95.38</v>
      </c>
      <c r="BP1075">
        <v>8.5399999999999991</v>
      </c>
      <c r="BQ1075">
        <v>40.14</v>
      </c>
      <c r="BR1075">
        <v>118.52</v>
      </c>
      <c r="BS1075">
        <v>3.63</v>
      </c>
      <c r="BT1075">
        <v>1.42</v>
      </c>
      <c r="BU1075">
        <v>46.21</v>
      </c>
      <c r="BV1075">
        <v>23</v>
      </c>
      <c r="BW1075">
        <v>29.75</v>
      </c>
      <c r="BX1075">
        <v>23.41</v>
      </c>
      <c r="BY1075">
        <v>58.12</v>
      </c>
      <c r="BZ1075">
        <v>19.95</v>
      </c>
      <c r="CA1075">
        <v>15.49</v>
      </c>
      <c r="CB1075">
        <v>1.17</v>
      </c>
      <c r="CC1075">
        <v>15.51</v>
      </c>
      <c r="CD1075">
        <v>14.61</v>
      </c>
      <c r="CE1075">
        <v>14.76</v>
      </c>
      <c r="CF1075">
        <v>14.2</v>
      </c>
      <c r="CG1075">
        <v>56.8</v>
      </c>
      <c r="CH1075">
        <v>8.17</v>
      </c>
      <c r="CI1075">
        <v>0.99</v>
      </c>
      <c r="CJ1075">
        <v>19584</v>
      </c>
      <c r="CK1075">
        <v>25362</v>
      </c>
      <c r="CL1075" t="s">
        <v>6208</v>
      </c>
      <c r="CM1075">
        <v>12</v>
      </c>
      <c r="CN1075">
        <v>5.43</v>
      </c>
      <c r="CO1075">
        <v>6.01</v>
      </c>
      <c r="CP1075">
        <v>70.16</v>
      </c>
      <c r="CQ1075">
        <v>9.8699999999999992</v>
      </c>
      <c r="CR1075">
        <v>0.41</v>
      </c>
      <c r="CS1075" t="s">
        <v>6209</v>
      </c>
      <c r="CT1075">
        <v>7.38</v>
      </c>
      <c r="CU1075">
        <v>0</v>
      </c>
      <c r="CV1075">
        <v>1.81</v>
      </c>
      <c r="CW1075">
        <v>4.3899999999999997</v>
      </c>
      <c r="CX1075">
        <v>0.63</v>
      </c>
      <c r="CY1075">
        <v>54.94</v>
      </c>
      <c r="CZ1075" t="s">
        <v>6210</v>
      </c>
      <c r="DA1075">
        <v>65.680000000000007</v>
      </c>
      <c r="DB1075">
        <v>26.64</v>
      </c>
      <c r="DC1075">
        <v>25.39</v>
      </c>
      <c r="DD1075">
        <v>10.06</v>
      </c>
      <c r="DE1075">
        <v>4300</v>
      </c>
      <c r="DF1075">
        <v>2624</v>
      </c>
      <c r="DG1075" t="s">
        <v>116</v>
      </c>
      <c r="DH1075" t="s">
        <v>116</v>
      </c>
      <c r="DI1075" t="s">
        <v>116</v>
      </c>
    </row>
    <row r="1076" spans="1:113" x14ac:dyDescent="0.4">
      <c r="A1076" t="str">
        <f>"002625"</f>
        <v>002625</v>
      </c>
      <c r="B1076" t="s">
        <v>6211</v>
      </c>
      <c r="C1076">
        <v>-2.02</v>
      </c>
      <c r="D1076">
        <v>9.2200000000000006</v>
      </c>
      <c r="E1076">
        <v>-0.19</v>
      </c>
      <c r="F1076">
        <v>9.2200000000000006</v>
      </c>
      <c r="G1076">
        <v>9.23</v>
      </c>
      <c r="H1076">
        <v>86437</v>
      </c>
      <c r="I1076">
        <v>1166</v>
      </c>
      <c r="J1076">
        <v>-0.1</v>
      </c>
      <c r="K1076">
        <v>1.69</v>
      </c>
      <c r="L1076">
        <v>9.41</v>
      </c>
      <c r="M1076">
        <v>9.48</v>
      </c>
      <c r="N1076">
        <v>9.2200000000000006</v>
      </c>
      <c r="O1076">
        <v>9.41</v>
      </c>
      <c r="P1076">
        <v>193.39</v>
      </c>
      <c r="Q1076">
        <v>80561896</v>
      </c>
      <c r="R1076">
        <v>0.69</v>
      </c>
      <c r="S1076" t="s">
        <v>293</v>
      </c>
      <c r="T1076" t="s">
        <v>590</v>
      </c>
      <c r="U1076">
        <v>2.76</v>
      </c>
      <c r="V1076">
        <v>9.32</v>
      </c>
      <c r="W1076">
        <v>55842</v>
      </c>
      <c r="X1076">
        <v>30595</v>
      </c>
      <c r="Y1076">
        <v>1.83</v>
      </c>
      <c r="Z1076">
        <v>248</v>
      </c>
      <c r="AA1076">
        <v>1323</v>
      </c>
      <c r="AB1076" t="s">
        <v>116</v>
      </c>
      <c r="AC1076">
        <v>224000</v>
      </c>
      <c r="AD1076">
        <v>0.01</v>
      </c>
      <c r="AE1076" t="s">
        <v>116</v>
      </c>
      <c r="AF1076" t="s">
        <v>116</v>
      </c>
      <c r="AG1076">
        <v>5.1100000000000003</v>
      </c>
      <c r="AH1076" t="s">
        <v>6212</v>
      </c>
      <c r="AI1076" t="s">
        <v>6213</v>
      </c>
      <c r="AJ1076">
        <v>-1.34</v>
      </c>
      <c r="AK1076">
        <v>2705</v>
      </c>
      <c r="AL1076">
        <v>32</v>
      </c>
      <c r="AM1076">
        <v>5.9999999999999995E-4</v>
      </c>
      <c r="AN1076">
        <v>-6</v>
      </c>
      <c r="AO1076">
        <v>-4.9400000000000004</v>
      </c>
      <c r="AP1076">
        <v>-4.8499999999999996</v>
      </c>
      <c r="AQ1076">
        <v>4.0599999999999996</v>
      </c>
      <c r="AR1076">
        <v>-6.87</v>
      </c>
      <c r="AS1076">
        <v>2.5099999999999998</v>
      </c>
      <c r="AT1076" t="s">
        <v>6214</v>
      </c>
      <c r="AU1076">
        <v>173.45</v>
      </c>
      <c r="AV1076">
        <v>281.64999999999998</v>
      </c>
      <c r="AW1076">
        <v>0.66</v>
      </c>
      <c r="BA1076">
        <v>0</v>
      </c>
      <c r="BB1076">
        <v>0.74</v>
      </c>
      <c r="BC1076">
        <v>-2.02</v>
      </c>
      <c r="BD1076">
        <v>-0.95</v>
      </c>
      <c r="BE1076">
        <v>-2.02</v>
      </c>
      <c r="BF1076">
        <v>-2.74</v>
      </c>
      <c r="BG1076">
        <v>0</v>
      </c>
      <c r="BH1076">
        <v>-1.07</v>
      </c>
      <c r="BI1076">
        <v>20191031</v>
      </c>
      <c r="BJ1076">
        <v>20111103</v>
      </c>
      <c r="BK1076">
        <v>21.55</v>
      </c>
      <c r="BL1076" t="s">
        <v>116</v>
      </c>
      <c r="BM1076" t="s">
        <v>116</v>
      </c>
      <c r="BN1076">
        <v>80.39</v>
      </c>
      <c r="BO1076">
        <v>76.709999999999994</v>
      </c>
      <c r="BP1076">
        <v>-0.03</v>
      </c>
      <c r="BQ1076">
        <v>4.6100000000000003</v>
      </c>
      <c r="BR1076">
        <v>70.069999999999993</v>
      </c>
      <c r="BS1076">
        <v>3.16</v>
      </c>
      <c r="BT1076">
        <v>1.39</v>
      </c>
      <c r="BU1076">
        <v>2.31</v>
      </c>
      <c r="BV1076">
        <v>1.04</v>
      </c>
      <c r="BW1076">
        <v>3</v>
      </c>
      <c r="BX1076">
        <v>50.43</v>
      </c>
      <c r="BY1076">
        <v>2.79</v>
      </c>
      <c r="BZ1076">
        <v>1.82</v>
      </c>
      <c r="CA1076">
        <v>0.84</v>
      </c>
      <c r="CB1076">
        <v>0.02</v>
      </c>
      <c r="CC1076">
        <v>0.84</v>
      </c>
      <c r="CD1076">
        <v>0.75</v>
      </c>
      <c r="CE1076">
        <v>0.77</v>
      </c>
      <c r="CF1076">
        <v>0.64</v>
      </c>
      <c r="CG1076">
        <v>4.33</v>
      </c>
      <c r="CH1076">
        <v>-0.25</v>
      </c>
      <c r="CI1076">
        <v>36.549999999999997</v>
      </c>
      <c r="CJ1076">
        <v>37581</v>
      </c>
      <c r="CK1076">
        <v>9152</v>
      </c>
      <c r="CL1076" t="s">
        <v>6215</v>
      </c>
      <c r="CM1076">
        <v>133.15</v>
      </c>
      <c r="CN1076">
        <v>0.61</v>
      </c>
      <c r="CO1076">
        <v>2.59</v>
      </c>
      <c r="CP1076">
        <v>-794.29</v>
      </c>
      <c r="CQ1076">
        <v>71.180000000000007</v>
      </c>
      <c r="CR1076">
        <v>0</v>
      </c>
      <c r="CS1076" t="s">
        <v>1223</v>
      </c>
      <c r="CT1076">
        <v>3.56</v>
      </c>
      <c r="CU1076">
        <v>0</v>
      </c>
      <c r="CV1076">
        <v>2.34</v>
      </c>
      <c r="CW1076">
        <v>0.2</v>
      </c>
      <c r="CX1076">
        <v>-0.01</v>
      </c>
      <c r="CY1076">
        <v>95.43</v>
      </c>
      <c r="CZ1076" t="s">
        <v>6216</v>
      </c>
      <c r="DA1076">
        <v>34.72</v>
      </c>
      <c r="DB1076">
        <v>30.22</v>
      </c>
      <c r="DC1076">
        <v>27.61</v>
      </c>
      <c r="DD1076">
        <v>0.4</v>
      </c>
      <c r="DE1076">
        <v>920</v>
      </c>
      <c r="DF1076">
        <v>2625</v>
      </c>
      <c r="DG1076" t="s">
        <v>116</v>
      </c>
      <c r="DH1076" t="s">
        <v>116</v>
      </c>
      <c r="DI1076" t="s">
        <v>116</v>
      </c>
    </row>
    <row r="1077" spans="1:113" x14ac:dyDescent="0.4">
      <c r="A1077" t="str">
        <f>"002626"</f>
        <v>002626</v>
      </c>
      <c r="B1077" t="s">
        <v>6217</v>
      </c>
      <c r="C1077">
        <v>-2.56</v>
      </c>
      <c r="D1077">
        <v>19.43</v>
      </c>
      <c r="E1077">
        <v>-0.51</v>
      </c>
      <c r="F1077">
        <v>19.420000000000002</v>
      </c>
      <c r="G1077">
        <v>19.43</v>
      </c>
      <c r="H1077">
        <v>56793</v>
      </c>
      <c r="I1077">
        <v>809</v>
      </c>
      <c r="J1077">
        <v>-0.2</v>
      </c>
      <c r="K1077">
        <v>0.92</v>
      </c>
      <c r="L1077">
        <v>20.09</v>
      </c>
      <c r="M1077">
        <v>20.100000000000001</v>
      </c>
      <c r="N1077">
        <v>19.36</v>
      </c>
      <c r="O1077">
        <v>19.940000000000001</v>
      </c>
      <c r="P1077">
        <v>17.010000000000002</v>
      </c>
      <c r="Q1077">
        <v>111674512</v>
      </c>
      <c r="R1077">
        <v>1.01</v>
      </c>
      <c r="S1077" t="s">
        <v>863</v>
      </c>
      <c r="T1077" t="s">
        <v>975</v>
      </c>
      <c r="U1077">
        <v>3.71</v>
      </c>
      <c r="V1077">
        <v>19.66</v>
      </c>
      <c r="W1077">
        <v>29339</v>
      </c>
      <c r="X1077">
        <v>27454</v>
      </c>
      <c r="Y1077">
        <v>1.07</v>
      </c>
      <c r="Z1077">
        <v>11</v>
      </c>
      <c r="AA1077">
        <v>123</v>
      </c>
      <c r="AB1077" t="s">
        <v>116</v>
      </c>
      <c r="AC1077">
        <v>116500</v>
      </c>
      <c r="AD1077">
        <v>0</v>
      </c>
      <c r="AE1077" t="s">
        <v>116</v>
      </c>
      <c r="AF1077" t="s">
        <v>116</v>
      </c>
      <c r="AG1077">
        <v>6.16</v>
      </c>
      <c r="AH1077" t="s">
        <v>6218</v>
      </c>
      <c r="AI1077" t="s">
        <v>6219</v>
      </c>
      <c r="AJ1077">
        <v>-1.88</v>
      </c>
      <c r="AK1077">
        <v>2247</v>
      </c>
      <c r="AL1077">
        <v>25</v>
      </c>
      <c r="AM1077">
        <v>4.0000000000000002E-4</v>
      </c>
      <c r="AN1077">
        <v>-2</v>
      </c>
      <c r="AO1077">
        <v>-0.52</v>
      </c>
      <c r="AP1077">
        <v>11.03</v>
      </c>
      <c r="AQ1077">
        <v>22.59</v>
      </c>
      <c r="AR1077">
        <v>73.17</v>
      </c>
      <c r="AS1077">
        <v>2.5499999999999998</v>
      </c>
      <c r="AT1077" t="s">
        <v>6220</v>
      </c>
      <c r="AU1077">
        <v>21.23</v>
      </c>
      <c r="AV1077">
        <v>17.43</v>
      </c>
      <c r="AW1077">
        <v>1.04</v>
      </c>
      <c r="BA1077">
        <v>0.75</v>
      </c>
      <c r="BB1077">
        <v>0.8</v>
      </c>
      <c r="BC1077">
        <v>-2.91</v>
      </c>
      <c r="BD1077">
        <v>-1.39</v>
      </c>
      <c r="BE1077">
        <v>-3.29</v>
      </c>
      <c r="BF1077">
        <v>-3.33</v>
      </c>
      <c r="BG1077">
        <v>0.36</v>
      </c>
      <c r="BH1077">
        <v>-1.17</v>
      </c>
      <c r="BI1077">
        <v>20191029</v>
      </c>
      <c r="BJ1077">
        <v>20111028</v>
      </c>
      <c r="BK1077">
        <v>6.16</v>
      </c>
      <c r="BL1077" t="s">
        <v>116</v>
      </c>
      <c r="BM1077" t="s">
        <v>116</v>
      </c>
      <c r="BN1077">
        <v>48.16</v>
      </c>
      <c r="BO1077">
        <v>30.24</v>
      </c>
      <c r="BP1077">
        <v>0.47</v>
      </c>
      <c r="BQ1077">
        <v>36.25</v>
      </c>
      <c r="BR1077">
        <v>20.07</v>
      </c>
      <c r="BS1077">
        <v>5.35</v>
      </c>
      <c r="BT1077">
        <v>4.38</v>
      </c>
      <c r="BU1077">
        <v>8.85</v>
      </c>
      <c r="BV1077">
        <v>5.14</v>
      </c>
      <c r="BW1077">
        <v>3.36</v>
      </c>
      <c r="BX1077">
        <v>8.85</v>
      </c>
      <c r="BY1077">
        <v>22.97</v>
      </c>
      <c r="BZ1077">
        <v>12.06</v>
      </c>
      <c r="CA1077">
        <v>6.5</v>
      </c>
      <c r="CB1077">
        <v>0.15</v>
      </c>
      <c r="CC1077">
        <v>6.49</v>
      </c>
      <c r="CD1077">
        <v>5.31</v>
      </c>
      <c r="CE1077">
        <v>5.28</v>
      </c>
      <c r="CF1077">
        <v>5.1100000000000003</v>
      </c>
      <c r="CG1077">
        <v>12.98</v>
      </c>
      <c r="CH1077">
        <v>6.39</v>
      </c>
      <c r="CI1077">
        <v>0.86</v>
      </c>
      <c r="CJ1077">
        <v>16969</v>
      </c>
      <c r="CK1077">
        <v>13133</v>
      </c>
      <c r="CL1077" t="s">
        <v>6221</v>
      </c>
      <c r="CM1077">
        <v>-18.88</v>
      </c>
      <c r="CN1077">
        <v>10.47</v>
      </c>
      <c r="CO1077">
        <v>3.96</v>
      </c>
      <c r="CP1077">
        <v>18.75</v>
      </c>
      <c r="CQ1077">
        <v>5.22</v>
      </c>
      <c r="CR1077">
        <v>4.0999999999999996</v>
      </c>
      <c r="CS1077" t="s">
        <v>6222</v>
      </c>
      <c r="CT1077">
        <v>4.9000000000000004</v>
      </c>
      <c r="CU1077">
        <v>0</v>
      </c>
      <c r="CV1077">
        <v>1.44</v>
      </c>
      <c r="CW1077">
        <v>2.11</v>
      </c>
      <c r="CX1077">
        <v>1.04</v>
      </c>
      <c r="CY1077">
        <v>62.78</v>
      </c>
      <c r="CZ1077" t="s">
        <v>6223</v>
      </c>
      <c r="DA1077">
        <v>47.47</v>
      </c>
      <c r="DB1077">
        <v>28.3</v>
      </c>
      <c r="DC1077">
        <v>22.99</v>
      </c>
      <c r="DD1077">
        <v>0.39</v>
      </c>
      <c r="DE1077">
        <v>1912</v>
      </c>
      <c r="DF1077">
        <v>2626</v>
      </c>
      <c r="DG1077" t="s">
        <v>116</v>
      </c>
      <c r="DH1077" t="s">
        <v>116</v>
      </c>
      <c r="DI1077" t="s">
        <v>116</v>
      </c>
    </row>
    <row r="1078" spans="1:113" x14ac:dyDescent="0.4">
      <c r="A1078" t="str">
        <f>"002627"</f>
        <v>002627</v>
      </c>
      <c r="B1078" t="s">
        <v>6224</v>
      </c>
      <c r="C1078">
        <v>0.48</v>
      </c>
      <c r="D1078">
        <v>10.45</v>
      </c>
      <c r="E1078">
        <v>0.05</v>
      </c>
      <c r="F1078">
        <v>10.45</v>
      </c>
      <c r="G1078">
        <v>10.48</v>
      </c>
      <c r="H1078">
        <v>28594</v>
      </c>
      <c r="I1078">
        <v>329</v>
      </c>
      <c r="J1078">
        <v>-0.37</v>
      </c>
      <c r="K1078">
        <v>1.03</v>
      </c>
      <c r="L1078">
        <v>10.44</v>
      </c>
      <c r="M1078">
        <v>10.52</v>
      </c>
      <c r="N1078">
        <v>10.31</v>
      </c>
      <c r="O1078">
        <v>10.4</v>
      </c>
      <c r="P1078">
        <v>23.95</v>
      </c>
      <c r="Q1078">
        <v>29918834</v>
      </c>
      <c r="R1078">
        <v>0.75</v>
      </c>
      <c r="S1078" t="s">
        <v>6225</v>
      </c>
      <c r="T1078" t="s">
        <v>774</v>
      </c>
      <c r="U1078">
        <v>2.02</v>
      </c>
      <c r="V1078">
        <v>10.46</v>
      </c>
      <c r="W1078">
        <v>12055</v>
      </c>
      <c r="X1078">
        <v>16539</v>
      </c>
      <c r="Y1078">
        <v>0.73</v>
      </c>
      <c r="Z1078">
        <v>191</v>
      </c>
      <c r="AA1078">
        <v>40</v>
      </c>
      <c r="AB1078" t="s">
        <v>116</v>
      </c>
      <c r="AC1078">
        <v>31300</v>
      </c>
      <c r="AD1078">
        <v>0</v>
      </c>
      <c r="AE1078" t="s">
        <v>116</v>
      </c>
      <c r="AF1078" t="s">
        <v>116</v>
      </c>
      <c r="AG1078">
        <v>2.77</v>
      </c>
      <c r="AH1078" t="s">
        <v>5317</v>
      </c>
      <c r="AI1078" t="s">
        <v>6226</v>
      </c>
      <c r="AJ1078">
        <v>1.1599999999999999</v>
      </c>
      <c r="AK1078">
        <v>1533</v>
      </c>
      <c r="AL1078">
        <v>19</v>
      </c>
      <c r="AM1078">
        <v>6.9999999999999999E-4</v>
      </c>
      <c r="AN1078">
        <v>1</v>
      </c>
      <c r="AO1078">
        <v>1.17</v>
      </c>
      <c r="AP1078">
        <v>11.29</v>
      </c>
      <c r="AQ1078">
        <v>36.96</v>
      </c>
      <c r="AR1078">
        <v>67.47</v>
      </c>
      <c r="AS1078">
        <v>1.46</v>
      </c>
      <c r="AT1078" t="s">
        <v>3546</v>
      </c>
      <c r="AU1078">
        <v>30.18</v>
      </c>
      <c r="AV1078">
        <v>36.75</v>
      </c>
      <c r="AW1078">
        <v>0.09</v>
      </c>
      <c r="BA1078">
        <v>0.38</v>
      </c>
      <c r="BB1078">
        <v>1.1499999999999999</v>
      </c>
      <c r="BC1078">
        <v>-0.87</v>
      </c>
      <c r="BD1078">
        <v>0.61</v>
      </c>
      <c r="BE1078">
        <v>0.1</v>
      </c>
      <c r="BF1078">
        <v>-0.67</v>
      </c>
      <c r="BG1078">
        <v>1.36</v>
      </c>
      <c r="BH1078">
        <v>-0.13</v>
      </c>
      <c r="BI1078">
        <v>20191028</v>
      </c>
      <c r="BJ1078">
        <v>20111103</v>
      </c>
      <c r="BK1078">
        <v>3.34</v>
      </c>
      <c r="BL1078" t="s">
        <v>116</v>
      </c>
      <c r="BM1078" t="s">
        <v>116</v>
      </c>
      <c r="BN1078">
        <v>39.99</v>
      </c>
      <c r="BO1078">
        <v>21.97</v>
      </c>
      <c r="BP1078">
        <v>1.22</v>
      </c>
      <c r="BQ1078">
        <v>42.01</v>
      </c>
      <c r="BR1078">
        <v>20.239999999999998</v>
      </c>
      <c r="BS1078">
        <v>6.77</v>
      </c>
      <c r="BT1078">
        <v>4</v>
      </c>
      <c r="BU1078">
        <v>8.4600000000000009</v>
      </c>
      <c r="BV1078">
        <v>1.97</v>
      </c>
      <c r="BW1078">
        <v>0.55000000000000004</v>
      </c>
      <c r="BX1078">
        <v>12.4</v>
      </c>
      <c r="BY1078">
        <v>16.940000000000001</v>
      </c>
      <c r="BZ1078">
        <v>14.2</v>
      </c>
      <c r="CA1078">
        <v>1.52</v>
      </c>
      <c r="CB1078">
        <v>0.13</v>
      </c>
      <c r="CC1078">
        <v>1.53</v>
      </c>
      <c r="CD1078">
        <v>1.1599999999999999</v>
      </c>
      <c r="CE1078">
        <v>1.0900000000000001</v>
      </c>
      <c r="CF1078">
        <v>0.98</v>
      </c>
      <c r="CG1078">
        <v>5.41</v>
      </c>
      <c r="CH1078">
        <v>0.19</v>
      </c>
      <c r="CI1078">
        <v>-0.25</v>
      </c>
      <c r="CJ1078">
        <v>10790</v>
      </c>
      <c r="CK1078">
        <v>18201</v>
      </c>
      <c r="CL1078" t="s">
        <v>6227</v>
      </c>
      <c r="CM1078">
        <v>23.29</v>
      </c>
      <c r="CN1078">
        <v>1.32</v>
      </c>
      <c r="CO1078">
        <v>1.59</v>
      </c>
      <c r="CP1078">
        <v>184.47</v>
      </c>
      <c r="CQ1078">
        <v>2.06</v>
      </c>
      <c r="CR1078">
        <v>1.35</v>
      </c>
      <c r="CS1078" t="s">
        <v>2122</v>
      </c>
      <c r="CT1078">
        <v>6.58</v>
      </c>
      <c r="CU1078">
        <v>0</v>
      </c>
      <c r="CV1078">
        <v>3.71</v>
      </c>
      <c r="CW1078">
        <v>1.62</v>
      </c>
      <c r="CX1078">
        <v>0.06</v>
      </c>
      <c r="CY1078">
        <v>54.93</v>
      </c>
      <c r="CZ1078" t="s">
        <v>6228</v>
      </c>
      <c r="DA1078">
        <v>16.170000000000002</v>
      </c>
      <c r="DB1078">
        <v>8.9499999999999993</v>
      </c>
      <c r="DC1078">
        <v>6.45</v>
      </c>
      <c r="DD1078">
        <v>0</v>
      </c>
      <c r="DE1078">
        <v>3042</v>
      </c>
      <c r="DF1078">
        <v>2627</v>
      </c>
      <c r="DG1078" t="s">
        <v>116</v>
      </c>
      <c r="DH1078" t="s">
        <v>116</v>
      </c>
      <c r="DI1078" t="s">
        <v>116</v>
      </c>
    </row>
    <row r="1079" spans="1:113" x14ac:dyDescent="0.4">
      <c r="A1079" t="str">
        <f>"002628"</f>
        <v>002628</v>
      </c>
      <c r="B1079" t="s">
        <v>6229</v>
      </c>
      <c r="C1079">
        <v>0</v>
      </c>
      <c r="D1079">
        <v>4.46</v>
      </c>
      <c r="E1079">
        <v>0</v>
      </c>
      <c r="F1079">
        <v>4.46</v>
      </c>
      <c r="G1079">
        <v>4.47</v>
      </c>
      <c r="H1079">
        <v>79121</v>
      </c>
      <c r="I1079">
        <v>1013</v>
      </c>
      <c r="J1079">
        <v>0</v>
      </c>
      <c r="K1079">
        <v>1.08</v>
      </c>
      <c r="L1079">
        <v>4.47</v>
      </c>
      <c r="M1079">
        <v>4.5</v>
      </c>
      <c r="N1079">
        <v>4.4400000000000004</v>
      </c>
      <c r="O1079">
        <v>4.46</v>
      </c>
      <c r="P1079">
        <v>79.27</v>
      </c>
      <c r="Q1079">
        <v>35397576</v>
      </c>
      <c r="R1079">
        <v>1.21</v>
      </c>
      <c r="S1079" t="s">
        <v>181</v>
      </c>
      <c r="T1079" t="s">
        <v>582</v>
      </c>
      <c r="U1079">
        <v>1.35</v>
      </c>
      <c r="V1079">
        <v>4.47</v>
      </c>
      <c r="W1079">
        <v>38675</v>
      </c>
      <c r="X1079">
        <v>40446</v>
      </c>
      <c r="Y1079">
        <v>0.96</v>
      </c>
      <c r="Z1079">
        <v>994</v>
      </c>
      <c r="AA1079">
        <v>2165</v>
      </c>
      <c r="AB1079" t="s">
        <v>116</v>
      </c>
      <c r="AC1079">
        <v>337500</v>
      </c>
      <c r="AD1079">
        <v>0.02</v>
      </c>
      <c r="AE1079" t="s">
        <v>116</v>
      </c>
      <c r="AF1079" t="s">
        <v>116</v>
      </c>
      <c r="AG1079">
        <v>7.33</v>
      </c>
      <c r="AH1079" t="s">
        <v>6230</v>
      </c>
      <c r="AI1079" t="s">
        <v>158</v>
      </c>
      <c r="AJ1079">
        <v>0.68</v>
      </c>
      <c r="AK1079">
        <v>977</v>
      </c>
      <c r="AL1079">
        <v>81</v>
      </c>
      <c r="AM1079">
        <v>1.1000000000000001E-3</v>
      </c>
      <c r="AN1079">
        <v>0</v>
      </c>
      <c r="AO1079">
        <v>-0.23</v>
      </c>
      <c r="AP1079">
        <v>0.22</v>
      </c>
      <c r="AQ1079">
        <v>-3.88</v>
      </c>
      <c r="AR1079">
        <v>-2.41</v>
      </c>
      <c r="AS1079">
        <v>1.86</v>
      </c>
      <c r="AT1079" t="s">
        <v>2939</v>
      </c>
      <c r="AU1079">
        <v>92</v>
      </c>
      <c r="AV1079">
        <v>159.41</v>
      </c>
      <c r="AW1079">
        <v>0.62</v>
      </c>
      <c r="BA1079">
        <v>0.22</v>
      </c>
      <c r="BB1079">
        <v>0.9</v>
      </c>
      <c r="BC1079">
        <v>-0.45</v>
      </c>
      <c r="BD1079">
        <v>0.31</v>
      </c>
      <c r="BE1079">
        <v>-0.22</v>
      </c>
      <c r="BF1079">
        <v>-0.89</v>
      </c>
      <c r="BG1079">
        <v>0.45</v>
      </c>
      <c r="BH1079">
        <v>-0.31</v>
      </c>
      <c r="BI1079">
        <v>20191217</v>
      </c>
      <c r="BJ1079">
        <v>20111103</v>
      </c>
      <c r="BK1079">
        <v>7.62</v>
      </c>
      <c r="BL1079" t="s">
        <v>116</v>
      </c>
      <c r="BM1079" t="s">
        <v>116</v>
      </c>
      <c r="BN1079">
        <v>66.38</v>
      </c>
      <c r="BO1079">
        <v>27.42</v>
      </c>
      <c r="BP1079">
        <v>0.5</v>
      </c>
      <c r="BQ1079">
        <v>57.93</v>
      </c>
      <c r="BR1079">
        <v>37.49</v>
      </c>
      <c r="BS1079">
        <v>0.45</v>
      </c>
      <c r="BT1079">
        <v>0.02</v>
      </c>
      <c r="BU1079">
        <v>28.78</v>
      </c>
      <c r="BV1079">
        <v>9.77</v>
      </c>
      <c r="BW1079">
        <v>4.6100000000000003</v>
      </c>
      <c r="BX1079">
        <v>8.94</v>
      </c>
      <c r="BY1079">
        <v>19.22</v>
      </c>
      <c r="BZ1079">
        <v>18.21</v>
      </c>
      <c r="CA1079">
        <v>0.41</v>
      </c>
      <c r="CB1079">
        <v>1.01</v>
      </c>
      <c r="CC1079">
        <v>0.41</v>
      </c>
      <c r="CD1079">
        <v>0.32</v>
      </c>
      <c r="CE1079">
        <v>0.32</v>
      </c>
      <c r="CF1079">
        <v>0.32</v>
      </c>
      <c r="CG1079">
        <v>9.9600000000000009</v>
      </c>
      <c r="CH1079">
        <v>-5.43</v>
      </c>
      <c r="CI1079">
        <v>0.78</v>
      </c>
      <c r="CJ1079">
        <v>45324</v>
      </c>
      <c r="CK1079">
        <v>9383</v>
      </c>
      <c r="CL1079" t="s">
        <v>563</v>
      </c>
      <c r="CM1079">
        <v>94.5</v>
      </c>
      <c r="CN1079">
        <v>1.43</v>
      </c>
      <c r="CO1079">
        <v>1.24</v>
      </c>
      <c r="CP1079">
        <v>-6.26</v>
      </c>
      <c r="CQ1079">
        <v>1.77</v>
      </c>
      <c r="CR1079">
        <v>0</v>
      </c>
      <c r="CS1079" t="s">
        <v>778</v>
      </c>
      <c r="CT1079">
        <v>3.61</v>
      </c>
      <c r="CU1079">
        <v>3.61</v>
      </c>
      <c r="CV1079">
        <v>1.17</v>
      </c>
      <c r="CW1079">
        <v>1.31</v>
      </c>
      <c r="CX1079">
        <v>-0.71</v>
      </c>
      <c r="CY1079">
        <v>41.31</v>
      </c>
      <c r="CZ1079" t="s">
        <v>5667</v>
      </c>
      <c r="DA1079">
        <v>5.25</v>
      </c>
      <c r="DB1079">
        <v>2.14</v>
      </c>
      <c r="DC1079">
        <v>1.67</v>
      </c>
      <c r="DD1079">
        <v>0.06</v>
      </c>
      <c r="DE1079">
        <v>626</v>
      </c>
      <c r="DF1079">
        <v>2628</v>
      </c>
      <c r="DG1079" t="s">
        <v>116</v>
      </c>
      <c r="DH1079" t="s">
        <v>116</v>
      </c>
      <c r="DI1079" t="s">
        <v>116</v>
      </c>
    </row>
    <row r="1080" spans="1:113" x14ac:dyDescent="0.4">
      <c r="A1080" t="str">
        <f>"002629"</f>
        <v>002629</v>
      </c>
      <c r="B1080" t="s">
        <v>6231</v>
      </c>
      <c r="C1080">
        <v>5.1100000000000003</v>
      </c>
      <c r="D1080">
        <v>2.88</v>
      </c>
      <c r="E1080">
        <v>0.14000000000000001</v>
      </c>
      <c r="F1080">
        <v>2.88</v>
      </c>
      <c r="G1080" t="s">
        <v>116</v>
      </c>
      <c r="H1080">
        <v>190092</v>
      </c>
      <c r="I1080">
        <v>370</v>
      </c>
      <c r="J1080">
        <v>0</v>
      </c>
      <c r="K1080">
        <v>5.52</v>
      </c>
      <c r="L1080">
        <v>2.76</v>
      </c>
      <c r="M1080">
        <v>2.88</v>
      </c>
      <c r="N1080">
        <v>2.69</v>
      </c>
      <c r="O1080">
        <v>2.74</v>
      </c>
      <c r="P1080" t="s">
        <v>116</v>
      </c>
      <c r="Q1080">
        <v>53370484</v>
      </c>
      <c r="R1080">
        <v>1.25</v>
      </c>
      <c r="S1080" t="s">
        <v>4171</v>
      </c>
      <c r="T1080" t="s">
        <v>590</v>
      </c>
      <c r="U1080">
        <v>6.93</v>
      </c>
      <c r="V1080">
        <v>2.81</v>
      </c>
      <c r="W1080">
        <v>97589</v>
      </c>
      <c r="X1080">
        <v>92503</v>
      </c>
      <c r="Y1080">
        <v>1.05</v>
      </c>
      <c r="Z1080">
        <v>9585</v>
      </c>
      <c r="AA1080">
        <v>0</v>
      </c>
      <c r="AB1080" t="s">
        <v>116</v>
      </c>
      <c r="AC1080">
        <v>119800</v>
      </c>
      <c r="AD1080">
        <v>0.01</v>
      </c>
      <c r="AE1080">
        <v>0.05</v>
      </c>
      <c r="AF1080">
        <v>2760480</v>
      </c>
      <c r="AG1080">
        <v>3.45</v>
      </c>
      <c r="AH1080" t="s">
        <v>6232</v>
      </c>
      <c r="AI1080" t="s">
        <v>6233</v>
      </c>
      <c r="AJ1080">
        <v>5.79</v>
      </c>
      <c r="AK1080">
        <v>1135</v>
      </c>
      <c r="AL1080">
        <v>167</v>
      </c>
      <c r="AM1080">
        <v>4.8999999999999998E-3</v>
      </c>
      <c r="AN1080">
        <v>1</v>
      </c>
      <c r="AO1080">
        <v>7.87</v>
      </c>
      <c r="AP1080">
        <v>32.11</v>
      </c>
      <c r="AQ1080">
        <v>69.41</v>
      </c>
      <c r="AR1080">
        <v>-26.53</v>
      </c>
      <c r="AS1080">
        <v>5.75</v>
      </c>
      <c r="AT1080" t="s">
        <v>6234</v>
      </c>
      <c r="AU1080" t="s">
        <v>116</v>
      </c>
      <c r="AV1080" t="s">
        <v>116</v>
      </c>
      <c r="AW1080">
        <v>0.78</v>
      </c>
      <c r="BA1080">
        <v>0.73</v>
      </c>
      <c r="BB1080">
        <v>5.1100000000000003</v>
      </c>
      <c r="BC1080">
        <v>-1.82</v>
      </c>
      <c r="BD1080">
        <v>2.4700000000000002</v>
      </c>
      <c r="BE1080">
        <v>4.3499999999999996</v>
      </c>
      <c r="BF1080">
        <v>0</v>
      </c>
      <c r="BG1080">
        <v>7.06</v>
      </c>
      <c r="BH1080">
        <v>2.64</v>
      </c>
      <c r="BI1080">
        <v>20191030</v>
      </c>
      <c r="BJ1080">
        <v>20111103</v>
      </c>
      <c r="BK1080">
        <v>4.12</v>
      </c>
      <c r="BL1080" t="s">
        <v>116</v>
      </c>
      <c r="BM1080" t="s">
        <v>116</v>
      </c>
      <c r="BN1080">
        <v>2.95</v>
      </c>
      <c r="BO1080">
        <v>0.14000000000000001</v>
      </c>
      <c r="BP1080">
        <v>0</v>
      </c>
      <c r="BQ1080">
        <v>95.32</v>
      </c>
      <c r="BR1080">
        <v>1.19</v>
      </c>
      <c r="BS1080">
        <v>0.39</v>
      </c>
      <c r="BT1080">
        <v>0.05</v>
      </c>
      <c r="BU1080">
        <v>2.78</v>
      </c>
      <c r="BV1080">
        <v>0.2</v>
      </c>
      <c r="BW1080">
        <v>0.54</v>
      </c>
      <c r="BX1080">
        <v>0.89</v>
      </c>
      <c r="BY1080">
        <v>0.65</v>
      </c>
      <c r="BZ1080">
        <v>0.49</v>
      </c>
      <c r="CA1080">
        <v>-0.04</v>
      </c>
      <c r="CB1080">
        <v>0.09</v>
      </c>
      <c r="CC1080">
        <v>-0.11</v>
      </c>
      <c r="CD1080">
        <v>-0.11</v>
      </c>
      <c r="CE1080">
        <v>-0.11</v>
      </c>
      <c r="CF1080">
        <v>-0.09</v>
      </c>
      <c r="CG1080">
        <v>-5.21</v>
      </c>
      <c r="CH1080">
        <v>-0.18</v>
      </c>
      <c r="CI1080">
        <v>-0.25</v>
      </c>
      <c r="CJ1080">
        <v>31139</v>
      </c>
      <c r="CK1080">
        <v>10616</v>
      </c>
      <c r="CL1080" t="s">
        <v>929</v>
      </c>
      <c r="CM1080">
        <v>47.34</v>
      </c>
      <c r="CN1080">
        <v>-97.44</v>
      </c>
      <c r="CO1080">
        <v>85.16</v>
      </c>
      <c r="CP1080">
        <v>-66.319999999999993</v>
      </c>
      <c r="CQ1080">
        <v>18.329999999999998</v>
      </c>
      <c r="CR1080">
        <v>0</v>
      </c>
      <c r="CS1080" t="s">
        <v>161</v>
      </c>
      <c r="CT1080">
        <v>0.03</v>
      </c>
      <c r="CU1080">
        <v>0</v>
      </c>
      <c r="CV1080">
        <v>0.22</v>
      </c>
      <c r="CW1080">
        <v>-1.26</v>
      </c>
      <c r="CX1080">
        <v>-0.04</v>
      </c>
      <c r="CY1080">
        <v>4.72</v>
      </c>
      <c r="CZ1080" t="s">
        <v>6235</v>
      </c>
      <c r="DA1080">
        <v>23.62</v>
      </c>
      <c r="DB1080">
        <v>-6.1</v>
      </c>
      <c r="DC1080">
        <v>-17.22</v>
      </c>
      <c r="DD1080">
        <v>0.01</v>
      </c>
      <c r="DE1080">
        <v>126</v>
      </c>
      <c r="DF1080">
        <v>2629</v>
      </c>
      <c r="DG1080" t="s">
        <v>116</v>
      </c>
      <c r="DH1080" t="s">
        <v>116</v>
      </c>
      <c r="DI1080" t="s">
        <v>116</v>
      </c>
    </row>
    <row r="1081" spans="1:113" x14ac:dyDescent="0.4">
      <c r="A1081" t="str">
        <f>"002630"</f>
        <v>002630</v>
      </c>
      <c r="B1081" t="s">
        <v>6236</v>
      </c>
      <c r="C1081">
        <v>0</v>
      </c>
      <c r="D1081">
        <v>2.41</v>
      </c>
      <c r="E1081">
        <v>0</v>
      </c>
      <c r="F1081">
        <v>2.41</v>
      </c>
      <c r="G1081">
        <v>2.42</v>
      </c>
      <c r="H1081">
        <v>197514</v>
      </c>
      <c r="I1081">
        <v>1859</v>
      </c>
      <c r="J1081">
        <v>0</v>
      </c>
      <c r="K1081">
        <v>2.0299999999999998</v>
      </c>
      <c r="L1081">
        <v>2.4</v>
      </c>
      <c r="M1081">
        <v>2.4500000000000002</v>
      </c>
      <c r="N1081">
        <v>2.4</v>
      </c>
      <c r="O1081">
        <v>2.41</v>
      </c>
      <c r="P1081">
        <v>55.96</v>
      </c>
      <c r="Q1081">
        <v>47885728</v>
      </c>
      <c r="R1081">
        <v>1.0900000000000001</v>
      </c>
      <c r="S1081" t="s">
        <v>682</v>
      </c>
      <c r="T1081" t="s">
        <v>582</v>
      </c>
      <c r="U1081">
        <v>2.0699999999999998</v>
      </c>
      <c r="V1081">
        <v>2.42</v>
      </c>
      <c r="W1081">
        <v>78139</v>
      </c>
      <c r="X1081">
        <v>119375</v>
      </c>
      <c r="Y1081">
        <v>0.65</v>
      </c>
      <c r="Z1081">
        <v>2152</v>
      </c>
      <c r="AA1081">
        <v>6375</v>
      </c>
      <c r="AB1081" t="s">
        <v>116</v>
      </c>
      <c r="AC1081">
        <v>336000</v>
      </c>
      <c r="AD1081">
        <v>0.02</v>
      </c>
      <c r="AE1081" t="s">
        <v>116</v>
      </c>
      <c r="AF1081" t="s">
        <v>116</v>
      </c>
      <c r="AG1081">
        <v>9.7100000000000009</v>
      </c>
      <c r="AH1081" t="s">
        <v>6237</v>
      </c>
      <c r="AI1081" t="s">
        <v>2236</v>
      </c>
      <c r="AJ1081">
        <v>0.68</v>
      </c>
      <c r="AK1081">
        <v>1556</v>
      </c>
      <c r="AL1081">
        <v>127</v>
      </c>
      <c r="AM1081">
        <v>1.2999999999999999E-3</v>
      </c>
      <c r="AN1081">
        <v>0</v>
      </c>
      <c r="AO1081">
        <v>0.42</v>
      </c>
      <c r="AP1081">
        <v>2.99</v>
      </c>
      <c r="AQ1081">
        <v>-4.74</v>
      </c>
      <c r="AR1081">
        <v>-15.44</v>
      </c>
      <c r="AS1081">
        <v>2.2200000000000002</v>
      </c>
      <c r="AT1081" t="s">
        <v>1318</v>
      </c>
      <c r="AU1081" t="s">
        <v>116</v>
      </c>
      <c r="AV1081" t="s">
        <v>116</v>
      </c>
      <c r="AW1081">
        <v>0.89</v>
      </c>
      <c r="BA1081">
        <v>-0.41</v>
      </c>
      <c r="BB1081">
        <v>1.66</v>
      </c>
      <c r="BC1081">
        <v>-0.41</v>
      </c>
      <c r="BD1081">
        <v>0.6</v>
      </c>
      <c r="BE1081">
        <v>0.42</v>
      </c>
      <c r="BF1081">
        <v>-1.63</v>
      </c>
      <c r="BG1081">
        <v>0.42</v>
      </c>
      <c r="BH1081">
        <v>-0.6</v>
      </c>
      <c r="BI1081">
        <v>20191204</v>
      </c>
      <c r="BJ1081">
        <v>20111111</v>
      </c>
      <c r="BK1081">
        <v>11.81</v>
      </c>
      <c r="BL1081" t="s">
        <v>116</v>
      </c>
      <c r="BM1081" t="s">
        <v>116</v>
      </c>
      <c r="BN1081">
        <v>144.04</v>
      </c>
      <c r="BO1081">
        <v>31.89</v>
      </c>
      <c r="BP1081">
        <v>1.63</v>
      </c>
      <c r="BQ1081">
        <v>76.73</v>
      </c>
      <c r="BR1081">
        <v>85.22</v>
      </c>
      <c r="BS1081">
        <v>7.92</v>
      </c>
      <c r="BT1081">
        <v>7.1</v>
      </c>
      <c r="BU1081">
        <v>96.44</v>
      </c>
      <c r="BV1081">
        <v>34.46</v>
      </c>
      <c r="BW1081">
        <v>37.85</v>
      </c>
      <c r="BX1081">
        <v>8.67</v>
      </c>
      <c r="BY1081">
        <v>24.71</v>
      </c>
      <c r="BZ1081">
        <v>20.27</v>
      </c>
      <c r="CA1081">
        <v>0.4</v>
      </c>
      <c r="CB1081">
        <v>0.4</v>
      </c>
      <c r="CC1081">
        <v>0.44</v>
      </c>
      <c r="CD1081">
        <v>0.38</v>
      </c>
      <c r="CE1081">
        <v>0.38</v>
      </c>
      <c r="CF1081">
        <v>0.19</v>
      </c>
      <c r="CG1081">
        <v>10.16</v>
      </c>
      <c r="CH1081">
        <v>2.5499999999999998</v>
      </c>
      <c r="CI1081">
        <v>-0.09</v>
      </c>
      <c r="CJ1081">
        <v>65638</v>
      </c>
      <c r="CK1081">
        <v>13554</v>
      </c>
      <c r="CL1081" t="s">
        <v>6238</v>
      </c>
      <c r="CM1081">
        <v>-65.680000000000007</v>
      </c>
      <c r="CN1081">
        <v>-27.86</v>
      </c>
      <c r="CO1081">
        <v>0.89</v>
      </c>
      <c r="CP1081">
        <v>11.15</v>
      </c>
      <c r="CQ1081">
        <v>1.1499999999999999</v>
      </c>
      <c r="CR1081">
        <v>0</v>
      </c>
      <c r="CS1081" t="s">
        <v>1284</v>
      </c>
      <c r="CT1081">
        <v>2.7</v>
      </c>
      <c r="CU1081">
        <v>0</v>
      </c>
      <c r="CV1081">
        <v>0.73</v>
      </c>
      <c r="CW1081">
        <v>0.86</v>
      </c>
      <c r="CX1081">
        <v>0.22</v>
      </c>
      <c r="CY1081">
        <v>22.14</v>
      </c>
      <c r="CZ1081" t="s">
        <v>6239</v>
      </c>
      <c r="DA1081">
        <v>17.96</v>
      </c>
      <c r="DB1081">
        <v>1.62</v>
      </c>
      <c r="DC1081">
        <v>1.54</v>
      </c>
      <c r="DD1081">
        <v>0.42</v>
      </c>
      <c r="DE1081">
        <v>1795</v>
      </c>
      <c r="DF1081">
        <v>2630</v>
      </c>
      <c r="DG1081" t="s">
        <v>116</v>
      </c>
      <c r="DH1081" t="s">
        <v>116</v>
      </c>
      <c r="DI1081" t="s">
        <v>116</v>
      </c>
    </row>
    <row r="1082" spans="1:113" x14ac:dyDescent="0.4">
      <c r="A1082" t="str">
        <f>"002631"</f>
        <v>002631</v>
      </c>
      <c r="B1082" t="s">
        <v>6240</v>
      </c>
      <c r="C1082">
        <v>-4.18</v>
      </c>
      <c r="D1082">
        <v>8.26</v>
      </c>
      <c r="E1082">
        <v>-0.36</v>
      </c>
      <c r="F1082">
        <v>8.26</v>
      </c>
      <c r="G1082">
        <v>8.27</v>
      </c>
      <c r="H1082">
        <v>229317</v>
      </c>
      <c r="I1082">
        <v>5645</v>
      </c>
      <c r="J1082">
        <v>-0.23</v>
      </c>
      <c r="K1082">
        <v>3.52</v>
      </c>
      <c r="L1082">
        <v>8.5299999999999994</v>
      </c>
      <c r="M1082">
        <v>8.58</v>
      </c>
      <c r="N1082">
        <v>8.25</v>
      </c>
      <c r="O1082">
        <v>8.6199999999999992</v>
      </c>
      <c r="P1082">
        <v>46.06</v>
      </c>
      <c r="Q1082">
        <v>193075968</v>
      </c>
      <c r="R1082">
        <v>1.1200000000000001</v>
      </c>
      <c r="S1082" t="s">
        <v>2640</v>
      </c>
      <c r="T1082" t="s">
        <v>323</v>
      </c>
      <c r="U1082">
        <v>3.83</v>
      </c>
      <c r="V1082">
        <v>8.42</v>
      </c>
      <c r="W1082">
        <v>134992</v>
      </c>
      <c r="X1082">
        <v>94325</v>
      </c>
      <c r="Y1082">
        <v>1.43</v>
      </c>
      <c r="Z1082">
        <v>708</v>
      </c>
      <c r="AA1082">
        <v>66</v>
      </c>
      <c r="AB1082" t="s">
        <v>116</v>
      </c>
      <c r="AC1082">
        <v>1306800</v>
      </c>
      <c r="AD1082">
        <v>7.0000000000000007E-2</v>
      </c>
      <c r="AE1082" t="s">
        <v>116</v>
      </c>
      <c r="AF1082" t="s">
        <v>116</v>
      </c>
      <c r="AG1082">
        <v>6.52</v>
      </c>
      <c r="AH1082" t="s">
        <v>6241</v>
      </c>
      <c r="AI1082" t="s">
        <v>6242</v>
      </c>
      <c r="AJ1082">
        <v>-3.5</v>
      </c>
      <c r="AK1082">
        <v>3243</v>
      </c>
      <c r="AL1082">
        <v>71</v>
      </c>
      <c r="AM1082">
        <v>1.1000000000000001E-3</v>
      </c>
      <c r="AN1082">
        <v>-1</v>
      </c>
      <c r="AO1082">
        <v>0.73</v>
      </c>
      <c r="AP1082">
        <v>19.71</v>
      </c>
      <c r="AQ1082">
        <v>7.55</v>
      </c>
      <c r="AR1082">
        <v>29.47</v>
      </c>
      <c r="AS1082">
        <v>9.83</v>
      </c>
      <c r="AT1082" t="s">
        <v>6061</v>
      </c>
      <c r="AU1082">
        <v>82.3</v>
      </c>
      <c r="AV1082">
        <v>53.23</v>
      </c>
      <c r="AW1082">
        <v>0.97</v>
      </c>
      <c r="BA1082">
        <v>-1.04</v>
      </c>
      <c r="BB1082">
        <v>-0.46</v>
      </c>
      <c r="BC1082">
        <v>-4.29</v>
      </c>
      <c r="BD1082">
        <v>-2.3199999999999998</v>
      </c>
      <c r="BE1082">
        <v>-3.17</v>
      </c>
      <c r="BF1082">
        <v>-3.73</v>
      </c>
      <c r="BG1082">
        <v>0.12</v>
      </c>
      <c r="BH1082">
        <v>-1.85</v>
      </c>
      <c r="BI1082">
        <v>20191031</v>
      </c>
      <c r="BJ1082">
        <v>20111111</v>
      </c>
      <c r="BK1082">
        <v>6.69</v>
      </c>
      <c r="BL1082" t="s">
        <v>116</v>
      </c>
      <c r="BM1082" t="s">
        <v>116</v>
      </c>
      <c r="BN1082">
        <v>32.869999999999997</v>
      </c>
      <c r="BO1082">
        <v>18.309999999999999</v>
      </c>
      <c r="BP1082">
        <v>0.96</v>
      </c>
      <c r="BQ1082">
        <v>41.4</v>
      </c>
      <c r="BR1082">
        <v>24.52</v>
      </c>
      <c r="BS1082">
        <v>4.8099999999999996</v>
      </c>
      <c r="BT1082">
        <v>1.96</v>
      </c>
      <c r="BU1082">
        <v>8.16</v>
      </c>
      <c r="BV1082">
        <v>5.6</v>
      </c>
      <c r="BW1082">
        <v>0.67</v>
      </c>
      <c r="BX1082">
        <v>2.16</v>
      </c>
      <c r="BY1082">
        <v>13.18</v>
      </c>
      <c r="BZ1082">
        <v>9.19</v>
      </c>
      <c r="CA1082">
        <v>1.1200000000000001</v>
      </c>
      <c r="CB1082">
        <v>0.18</v>
      </c>
      <c r="CC1082">
        <v>1.1599999999999999</v>
      </c>
      <c r="CD1082">
        <v>0.82</v>
      </c>
      <c r="CE1082">
        <v>0.9</v>
      </c>
      <c r="CF1082">
        <v>0.76</v>
      </c>
      <c r="CG1082">
        <v>8.31</v>
      </c>
      <c r="CH1082">
        <v>0.03</v>
      </c>
      <c r="CI1082">
        <v>-0.92</v>
      </c>
      <c r="CJ1082">
        <v>45635</v>
      </c>
      <c r="CK1082">
        <v>5114</v>
      </c>
      <c r="CL1082" t="s">
        <v>3877</v>
      </c>
      <c r="CM1082">
        <v>-28.95</v>
      </c>
      <c r="CN1082">
        <v>3.43</v>
      </c>
      <c r="CO1082">
        <v>3.19</v>
      </c>
      <c r="CP1082">
        <v>1638.88</v>
      </c>
      <c r="CQ1082">
        <v>4.1900000000000004</v>
      </c>
      <c r="CR1082">
        <v>0.72</v>
      </c>
      <c r="CS1082" t="s">
        <v>2620</v>
      </c>
      <c r="CT1082">
        <v>2.59</v>
      </c>
      <c r="CU1082">
        <v>2.59</v>
      </c>
      <c r="CV1082">
        <v>0.32</v>
      </c>
      <c r="CW1082">
        <v>1.24</v>
      </c>
      <c r="CX1082">
        <v>0.01</v>
      </c>
      <c r="CY1082">
        <v>55.68</v>
      </c>
      <c r="CZ1082" t="s">
        <v>3632</v>
      </c>
      <c r="DA1082">
        <v>30.31</v>
      </c>
      <c r="DB1082">
        <v>8.49</v>
      </c>
      <c r="DC1082">
        <v>6.83</v>
      </c>
      <c r="DD1082">
        <v>0.2</v>
      </c>
      <c r="DE1082">
        <v>3360</v>
      </c>
      <c r="DF1082">
        <v>2631</v>
      </c>
      <c r="DG1082" t="s">
        <v>116</v>
      </c>
      <c r="DH1082" t="s">
        <v>116</v>
      </c>
      <c r="DI1082" t="s">
        <v>116</v>
      </c>
    </row>
    <row r="1083" spans="1:113" x14ac:dyDescent="0.4">
      <c r="A1083" t="str">
        <f>"002632"</f>
        <v>002632</v>
      </c>
      <c r="B1083" t="s">
        <v>6243</v>
      </c>
      <c r="C1083">
        <v>-2.14</v>
      </c>
      <c r="D1083">
        <v>7.32</v>
      </c>
      <c r="E1083">
        <v>-0.16</v>
      </c>
      <c r="F1083">
        <v>7.32</v>
      </c>
      <c r="G1083">
        <v>7.33</v>
      </c>
      <c r="H1083">
        <v>62193</v>
      </c>
      <c r="I1083">
        <v>903</v>
      </c>
      <c r="J1083">
        <v>0</v>
      </c>
      <c r="K1083">
        <v>1.08</v>
      </c>
      <c r="L1083">
        <v>7.49</v>
      </c>
      <c r="M1083">
        <v>7.55</v>
      </c>
      <c r="N1083">
        <v>7.31</v>
      </c>
      <c r="O1083">
        <v>7.48</v>
      </c>
      <c r="P1083">
        <v>18.3</v>
      </c>
      <c r="Q1083">
        <v>46050636</v>
      </c>
      <c r="R1083">
        <v>0.82</v>
      </c>
      <c r="S1083" t="s">
        <v>891</v>
      </c>
      <c r="T1083" t="s">
        <v>590</v>
      </c>
      <c r="U1083">
        <v>3.21</v>
      </c>
      <c r="V1083">
        <v>7.4</v>
      </c>
      <c r="W1083">
        <v>34081</v>
      </c>
      <c r="X1083">
        <v>28112</v>
      </c>
      <c r="Y1083">
        <v>1.21</v>
      </c>
      <c r="Z1083">
        <v>21</v>
      </c>
      <c r="AA1083">
        <v>247</v>
      </c>
      <c r="AB1083" t="s">
        <v>116</v>
      </c>
      <c r="AC1083">
        <v>341500</v>
      </c>
      <c r="AD1083">
        <v>0.02</v>
      </c>
      <c r="AE1083" t="s">
        <v>116</v>
      </c>
      <c r="AF1083" t="s">
        <v>116</v>
      </c>
      <c r="AG1083">
        <v>5.77</v>
      </c>
      <c r="AH1083" t="s">
        <v>6244</v>
      </c>
      <c r="AI1083" t="s">
        <v>6245</v>
      </c>
      <c r="AJ1083">
        <v>-1.46</v>
      </c>
      <c r="AK1083">
        <v>1704</v>
      </c>
      <c r="AL1083">
        <v>36</v>
      </c>
      <c r="AM1083">
        <v>5.9999999999999995E-4</v>
      </c>
      <c r="AN1083">
        <v>-3</v>
      </c>
      <c r="AO1083">
        <v>-3.3</v>
      </c>
      <c r="AP1083">
        <v>16.190000000000001</v>
      </c>
      <c r="AQ1083">
        <v>20.39</v>
      </c>
      <c r="AR1083">
        <v>11.25</v>
      </c>
      <c r="AS1083">
        <v>2.42</v>
      </c>
      <c r="AT1083" t="s">
        <v>6246</v>
      </c>
      <c r="AU1083">
        <v>20.25</v>
      </c>
      <c r="AV1083">
        <v>22.26</v>
      </c>
      <c r="AW1083">
        <v>1.26</v>
      </c>
      <c r="BA1083">
        <v>0.13</v>
      </c>
      <c r="BB1083">
        <v>0.94</v>
      </c>
      <c r="BC1083">
        <v>-2.27</v>
      </c>
      <c r="BD1083">
        <v>-1.01</v>
      </c>
      <c r="BE1083">
        <v>-2.27</v>
      </c>
      <c r="BF1083">
        <v>-3.05</v>
      </c>
      <c r="BG1083">
        <v>0.14000000000000001</v>
      </c>
      <c r="BH1083">
        <v>-1.1299999999999999</v>
      </c>
      <c r="BI1083">
        <v>20191227</v>
      </c>
      <c r="BJ1083">
        <v>20111122</v>
      </c>
      <c r="BK1083">
        <v>6.25</v>
      </c>
      <c r="BL1083" t="s">
        <v>116</v>
      </c>
      <c r="BM1083" t="s">
        <v>116</v>
      </c>
      <c r="BN1083">
        <v>28.28</v>
      </c>
      <c r="BO1083">
        <v>19.47</v>
      </c>
      <c r="BP1083">
        <v>0.04</v>
      </c>
      <c r="BQ1083">
        <v>31.01</v>
      </c>
      <c r="BR1083">
        <v>11.66</v>
      </c>
      <c r="BS1083">
        <v>6.04</v>
      </c>
      <c r="BT1083">
        <v>6.03</v>
      </c>
      <c r="BU1083">
        <v>8.48</v>
      </c>
      <c r="BV1083">
        <v>3.64</v>
      </c>
      <c r="BW1083">
        <v>2.96</v>
      </c>
      <c r="BX1083">
        <v>7.91</v>
      </c>
      <c r="BY1083">
        <v>9.68</v>
      </c>
      <c r="BZ1083">
        <v>6.07</v>
      </c>
      <c r="CA1083">
        <v>2.13</v>
      </c>
      <c r="CB1083">
        <v>0.33</v>
      </c>
      <c r="CC1083">
        <v>2.16</v>
      </c>
      <c r="CD1083">
        <v>1.87</v>
      </c>
      <c r="CE1083">
        <v>1.87</v>
      </c>
      <c r="CF1083">
        <v>1.36</v>
      </c>
      <c r="CG1083">
        <v>4.93</v>
      </c>
      <c r="CH1083">
        <v>0.97</v>
      </c>
      <c r="CI1083">
        <v>-1.1000000000000001</v>
      </c>
      <c r="CJ1083">
        <v>27820</v>
      </c>
      <c r="CK1083">
        <v>9245</v>
      </c>
      <c r="CL1083" t="s">
        <v>6247</v>
      </c>
      <c r="CM1083">
        <v>12.19</v>
      </c>
      <c r="CN1083">
        <v>12.07</v>
      </c>
      <c r="CO1083">
        <v>2.35</v>
      </c>
      <c r="CP1083">
        <v>46.91</v>
      </c>
      <c r="CQ1083">
        <v>4.72</v>
      </c>
      <c r="CR1083">
        <v>4.8</v>
      </c>
      <c r="CS1083" t="s">
        <v>4088</v>
      </c>
      <c r="CT1083">
        <v>3.12</v>
      </c>
      <c r="CU1083">
        <v>0</v>
      </c>
      <c r="CV1083">
        <v>1.27</v>
      </c>
      <c r="CW1083">
        <v>0.79</v>
      </c>
      <c r="CX1083">
        <v>0.16</v>
      </c>
      <c r="CY1083">
        <v>68.849999999999994</v>
      </c>
      <c r="CZ1083" t="s">
        <v>499</v>
      </c>
      <c r="DA1083">
        <v>37.36</v>
      </c>
      <c r="DB1083">
        <v>21.99</v>
      </c>
      <c r="DC1083">
        <v>19.350000000000001</v>
      </c>
      <c r="DD1083">
        <v>0.4</v>
      </c>
      <c r="DE1083">
        <v>1508</v>
      </c>
      <c r="DF1083">
        <v>2632</v>
      </c>
      <c r="DG1083" t="s">
        <v>116</v>
      </c>
      <c r="DH1083" t="s">
        <v>116</v>
      </c>
      <c r="DI1083" t="s">
        <v>116</v>
      </c>
    </row>
    <row r="1084" spans="1:113" x14ac:dyDescent="0.4">
      <c r="A1084" t="str">
        <f>"002633"</f>
        <v>002633</v>
      </c>
      <c r="B1084" t="s">
        <v>6248</v>
      </c>
      <c r="C1084">
        <v>-1.28</v>
      </c>
      <c r="D1084">
        <v>8.48</v>
      </c>
      <c r="E1084">
        <v>-0.11</v>
      </c>
      <c r="F1084">
        <v>8.4700000000000006</v>
      </c>
      <c r="G1084">
        <v>8.48</v>
      </c>
      <c r="H1084">
        <v>12455</v>
      </c>
      <c r="I1084">
        <v>529</v>
      </c>
      <c r="J1084">
        <v>-0.81</v>
      </c>
      <c r="K1084">
        <v>0.83</v>
      </c>
      <c r="L1084">
        <v>8.5</v>
      </c>
      <c r="M1084">
        <v>8.64</v>
      </c>
      <c r="N1084">
        <v>8.4700000000000006</v>
      </c>
      <c r="O1084">
        <v>8.59</v>
      </c>
      <c r="P1084" t="s">
        <v>116</v>
      </c>
      <c r="Q1084">
        <v>10662229</v>
      </c>
      <c r="R1084">
        <v>1.21</v>
      </c>
      <c r="S1084" t="s">
        <v>996</v>
      </c>
      <c r="T1084" t="s">
        <v>590</v>
      </c>
      <c r="U1084">
        <v>1.98</v>
      </c>
      <c r="V1084">
        <v>8.56</v>
      </c>
      <c r="W1084">
        <v>7248</v>
      </c>
      <c r="X1084">
        <v>5207</v>
      </c>
      <c r="Y1084">
        <v>1.39</v>
      </c>
      <c r="Z1084">
        <v>45</v>
      </c>
      <c r="AA1084">
        <v>123</v>
      </c>
      <c r="AB1084" t="s">
        <v>116</v>
      </c>
      <c r="AC1084">
        <v>62900</v>
      </c>
      <c r="AD1084">
        <v>0.01</v>
      </c>
      <c r="AE1084" t="s">
        <v>116</v>
      </c>
      <c r="AF1084" t="s">
        <v>116</v>
      </c>
      <c r="AG1084">
        <v>1.49</v>
      </c>
      <c r="AH1084" t="s">
        <v>6249</v>
      </c>
      <c r="AI1084" t="s">
        <v>4600</v>
      </c>
      <c r="AJ1084">
        <v>-0.6</v>
      </c>
      <c r="AK1084">
        <v>591</v>
      </c>
      <c r="AL1084">
        <v>21</v>
      </c>
      <c r="AM1084">
        <v>1.4E-3</v>
      </c>
      <c r="AN1084">
        <v>-1</v>
      </c>
      <c r="AO1084">
        <v>1.8</v>
      </c>
      <c r="AP1084">
        <v>7.89</v>
      </c>
      <c r="AQ1084">
        <v>-0.35</v>
      </c>
      <c r="AR1084">
        <v>4.43</v>
      </c>
      <c r="AS1084">
        <v>1.86</v>
      </c>
      <c r="AT1084" t="s">
        <v>6250</v>
      </c>
      <c r="AU1084" t="s">
        <v>116</v>
      </c>
      <c r="AV1084">
        <v>312.92</v>
      </c>
      <c r="AW1084">
        <v>0.87</v>
      </c>
      <c r="BA1084">
        <v>-1.05</v>
      </c>
      <c r="BB1084">
        <v>0.57999999999999996</v>
      </c>
      <c r="BC1084">
        <v>-1.4</v>
      </c>
      <c r="BD1084">
        <v>-0.34</v>
      </c>
      <c r="BE1084">
        <v>-0.24</v>
      </c>
      <c r="BF1084">
        <v>-1.85</v>
      </c>
      <c r="BG1084">
        <v>0.12</v>
      </c>
      <c r="BH1084">
        <v>-0.94</v>
      </c>
      <c r="BI1084">
        <v>20191025</v>
      </c>
      <c r="BJ1084">
        <v>20111122</v>
      </c>
      <c r="BK1084">
        <v>1.5</v>
      </c>
      <c r="BL1084" t="s">
        <v>116</v>
      </c>
      <c r="BM1084" t="s">
        <v>116</v>
      </c>
      <c r="BN1084">
        <v>6.36</v>
      </c>
      <c r="BO1084">
        <v>5.14</v>
      </c>
      <c r="BP1084">
        <v>0</v>
      </c>
      <c r="BQ1084">
        <v>19.149999999999999</v>
      </c>
      <c r="BR1084">
        <v>3.46</v>
      </c>
      <c r="BS1084">
        <v>2.1</v>
      </c>
      <c r="BT1084">
        <v>0.41</v>
      </c>
      <c r="BU1084">
        <v>1.03</v>
      </c>
      <c r="BV1084">
        <v>0.98</v>
      </c>
      <c r="BW1084">
        <v>1.1399999999999999</v>
      </c>
      <c r="BX1084">
        <v>3.05</v>
      </c>
      <c r="BY1084">
        <v>0.91</v>
      </c>
      <c r="BZ1084">
        <v>0.7</v>
      </c>
      <c r="CA1084">
        <v>-0.11</v>
      </c>
      <c r="CB1084">
        <v>0</v>
      </c>
      <c r="CC1084">
        <v>-0.1</v>
      </c>
      <c r="CD1084">
        <v>-0.1</v>
      </c>
      <c r="CE1084">
        <v>-0.1</v>
      </c>
      <c r="CF1084">
        <v>-0.17</v>
      </c>
      <c r="CG1084">
        <v>0.42</v>
      </c>
      <c r="CH1084">
        <v>0.15</v>
      </c>
      <c r="CI1084">
        <v>0.26</v>
      </c>
      <c r="CJ1084">
        <v>9265</v>
      </c>
      <c r="CK1084">
        <v>7215</v>
      </c>
      <c r="CL1084" t="s">
        <v>6251</v>
      </c>
      <c r="CM1084">
        <v>-787.24</v>
      </c>
      <c r="CN1084">
        <v>-15.74</v>
      </c>
      <c r="CO1084">
        <v>2.4700000000000002</v>
      </c>
      <c r="CP1084">
        <v>83.73</v>
      </c>
      <c r="CQ1084">
        <v>14.03</v>
      </c>
      <c r="CR1084">
        <v>0</v>
      </c>
      <c r="CS1084" t="s">
        <v>3178</v>
      </c>
      <c r="CT1084">
        <v>3.43</v>
      </c>
      <c r="CU1084">
        <v>0</v>
      </c>
      <c r="CV1084">
        <v>2.0299999999999998</v>
      </c>
      <c r="CW1084">
        <v>0.28000000000000003</v>
      </c>
      <c r="CX1084">
        <v>0.1</v>
      </c>
      <c r="CY1084">
        <v>80.849999999999994</v>
      </c>
      <c r="CZ1084" t="s">
        <v>6252</v>
      </c>
      <c r="DA1084">
        <v>22.68</v>
      </c>
      <c r="DB1084">
        <v>-11.63</v>
      </c>
      <c r="DC1084">
        <v>-11.48</v>
      </c>
      <c r="DD1084">
        <v>0.06</v>
      </c>
      <c r="DE1084">
        <v>479</v>
      </c>
      <c r="DF1084">
        <v>2633</v>
      </c>
      <c r="DG1084" t="s">
        <v>116</v>
      </c>
      <c r="DH1084" t="s">
        <v>116</v>
      </c>
      <c r="DI1084" t="s">
        <v>116</v>
      </c>
    </row>
    <row r="1085" spans="1:113" x14ac:dyDescent="0.4">
      <c r="A1085" t="str">
        <f>"002634"</f>
        <v>002634</v>
      </c>
      <c r="B1085" t="s">
        <v>6253</v>
      </c>
      <c r="C1085">
        <v>0.56999999999999995</v>
      </c>
      <c r="D1085">
        <v>7</v>
      </c>
      <c r="E1085">
        <v>0.04</v>
      </c>
      <c r="F1085">
        <v>7</v>
      </c>
      <c r="G1085">
        <v>7.01</v>
      </c>
      <c r="H1085">
        <v>136292</v>
      </c>
      <c r="I1085">
        <v>8765</v>
      </c>
      <c r="J1085">
        <v>1.6</v>
      </c>
      <c r="K1085">
        <v>4.3099999999999996</v>
      </c>
      <c r="L1085">
        <v>6.94</v>
      </c>
      <c r="M1085">
        <v>7.08</v>
      </c>
      <c r="N1085">
        <v>6.82</v>
      </c>
      <c r="O1085">
        <v>6.96</v>
      </c>
      <c r="P1085">
        <v>75.209999999999994</v>
      </c>
      <c r="Q1085">
        <v>94097672</v>
      </c>
      <c r="R1085">
        <v>0.76</v>
      </c>
      <c r="S1085" t="s">
        <v>3070</v>
      </c>
      <c r="T1085" t="s">
        <v>590</v>
      </c>
      <c r="U1085">
        <v>3.74</v>
      </c>
      <c r="V1085">
        <v>6.9</v>
      </c>
      <c r="W1085">
        <v>54854</v>
      </c>
      <c r="X1085">
        <v>81438</v>
      </c>
      <c r="Y1085">
        <v>0.67</v>
      </c>
      <c r="Z1085">
        <v>2379</v>
      </c>
      <c r="AA1085">
        <v>24</v>
      </c>
      <c r="AB1085" t="s">
        <v>116</v>
      </c>
      <c r="AC1085">
        <v>295600</v>
      </c>
      <c r="AD1085">
        <v>0.02</v>
      </c>
      <c r="AE1085" t="s">
        <v>116</v>
      </c>
      <c r="AF1085" t="s">
        <v>116</v>
      </c>
      <c r="AG1085">
        <v>3.16</v>
      </c>
      <c r="AH1085" t="s">
        <v>4580</v>
      </c>
      <c r="AI1085" t="s">
        <v>6254</v>
      </c>
      <c r="AJ1085">
        <v>1.25</v>
      </c>
      <c r="AK1085">
        <v>1657</v>
      </c>
      <c r="AL1085">
        <v>82</v>
      </c>
      <c r="AM1085">
        <v>2.5999999999999999E-3</v>
      </c>
      <c r="AN1085">
        <v>2</v>
      </c>
      <c r="AO1085">
        <v>-0.72</v>
      </c>
      <c r="AP1085">
        <v>-30.69</v>
      </c>
      <c r="AQ1085">
        <v>-1.69</v>
      </c>
      <c r="AR1085">
        <v>41.7</v>
      </c>
      <c r="AS1085">
        <v>6.64</v>
      </c>
      <c r="AT1085" t="s">
        <v>6255</v>
      </c>
      <c r="AU1085">
        <v>127.7</v>
      </c>
      <c r="AV1085">
        <v>177.2</v>
      </c>
      <c r="AW1085">
        <v>0</v>
      </c>
      <c r="BA1085">
        <v>-0.28999999999999998</v>
      </c>
      <c r="BB1085">
        <v>1.72</v>
      </c>
      <c r="BC1085">
        <v>-2.0099999999999998</v>
      </c>
      <c r="BD1085">
        <v>-0.8</v>
      </c>
      <c r="BE1085">
        <v>0.86</v>
      </c>
      <c r="BF1085">
        <v>-1.1299999999999999</v>
      </c>
      <c r="BG1085">
        <v>2.64</v>
      </c>
      <c r="BH1085">
        <v>1.38</v>
      </c>
      <c r="BI1085">
        <v>20191120</v>
      </c>
      <c r="BJ1085">
        <v>20111205</v>
      </c>
      <c r="BK1085">
        <v>4.59</v>
      </c>
      <c r="BL1085" t="s">
        <v>116</v>
      </c>
      <c r="BM1085" t="s">
        <v>116</v>
      </c>
      <c r="BN1085">
        <v>9.34</v>
      </c>
      <c r="BO1085">
        <v>6.7</v>
      </c>
      <c r="BP1085">
        <v>0</v>
      </c>
      <c r="BQ1085">
        <v>28.28</v>
      </c>
      <c r="BR1085">
        <v>3.82</v>
      </c>
      <c r="BS1085">
        <v>2.0499999999999998</v>
      </c>
      <c r="BT1085">
        <v>0.43</v>
      </c>
      <c r="BU1085">
        <v>2.63</v>
      </c>
      <c r="BV1085">
        <v>0.86</v>
      </c>
      <c r="BW1085">
        <v>0.67</v>
      </c>
      <c r="BX1085">
        <v>0.13</v>
      </c>
      <c r="BY1085">
        <v>4.26</v>
      </c>
      <c r="BZ1085">
        <v>3.16</v>
      </c>
      <c r="CA1085">
        <v>0.39</v>
      </c>
      <c r="CB1085">
        <v>-0.14000000000000001</v>
      </c>
      <c r="CC1085">
        <v>0.4</v>
      </c>
      <c r="CD1085">
        <v>0.32</v>
      </c>
      <c r="CE1085">
        <v>0.32</v>
      </c>
      <c r="CF1085">
        <v>0.31</v>
      </c>
      <c r="CG1085">
        <v>2.0699999999999998</v>
      </c>
      <c r="CH1085">
        <v>0.25</v>
      </c>
      <c r="CI1085">
        <v>-0.43</v>
      </c>
      <c r="CJ1085">
        <v>19601</v>
      </c>
      <c r="CK1085">
        <v>10471</v>
      </c>
      <c r="CL1085" t="s">
        <v>6256</v>
      </c>
      <c r="CM1085">
        <v>28.1</v>
      </c>
      <c r="CN1085">
        <v>42.29</v>
      </c>
      <c r="CO1085">
        <v>4.8</v>
      </c>
      <c r="CP1085">
        <v>131.24</v>
      </c>
      <c r="CQ1085">
        <v>7.55</v>
      </c>
      <c r="CR1085">
        <v>0</v>
      </c>
      <c r="CS1085" t="s">
        <v>4071</v>
      </c>
      <c r="CT1085">
        <v>1.46</v>
      </c>
      <c r="CU1085">
        <v>0</v>
      </c>
      <c r="CV1085">
        <v>0.03</v>
      </c>
      <c r="CW1085">
        <v>0.45</v>
      </c>
      <c r="CX1085">
        <v>0.05</v>
      </c>
      <c r="CY1085">
        <v>71.72</v>
      </c>
      <c r="CZ1085" t="s">
        <v>6257</v>
      </c>
      <c r="DA1085">
        <v>25.84</v>
      </c>
      <c r="DB1085">
        <v>9.24</v>
      </c>
      <c r="DC1085">
        <v>7.53</v>
      </c>
      <c r="DD1085">
        <v>0.11</v>
      </c>
      <c r="DE1085">
        <v>1114</v>
      </c>
      <c r="DF1085">
        <v>2634</v>
      </c>
      <c r="DG1085" t="s">
        <v>116</v>
      </c>
      <c r="DH1085" t="s">
        <v>116</v>
      </c>
      <c r="DI1085" t="s">
        <v>116</v>
      </c>
    </row>
    <row r="1086" spans="1:113" x14ac:dyDescent="0.4">
      <c r="A1086" t="str">
        <f>"002635"</f>
        <v>002635</v>
      </c>
      <c r="B1086" t="s">
        <v>6258</v>
      </c>
      <c r="C1086">
        <v>-2.85</v>
      </c>
      <c r="D1086">
        <v>17.059999999999999</v>
      </c>
      <c r="E1086">
        <v>-0.5</v>
      </c>
      <c r="F1086">
        <v>17.059999999999999</v>
      </c>
      <c r="G1086">
        <v>17.07</v>
      </c>
      <c r="H1086">
        <v>225297</v>
      </c>
      <c r="I1086">
        <v>3738</v>
      </c>
      <c r="J1086">
        <v>-0.28000000000000003</v>
      </c>
      <c r="K1086">
        <v>6.21</v>
      </c>
      <c r="L1086">
        <v>17.43</v>
      </c>
      <c r="M1086">
        <v>17.77</v>
      </c>
      <c r="N1086">
        <v>17.059999999999999</v>
      </c>
      <c r="O1086">
        <v>17.559999999999999</v>
      </c>
      <c r="P1086">
        <v>26.66</v>
      </c>
      <c r="Q1086">
        <v>390731328</v>
      </c>
      <c r="R1086">
        <v>0.92</v>
      </c>
      <c r="S1086" t="s">
        <v>241</v>
      </c>
      <c r="T1086" t="s">
        <v>323</v>
      </c>
      <c r="U1086">
        <v>4.04</v>
      </c>
      <c r="V1086">
        <v>17.34</v>
      </c>
      <c r="W1086">
        <v>128590</v>
      </c>
      <c r="X1086">
        <v>96707</v>
      </c>
      <c r="Y1086">
        <v>1.33</v>
      </c>
      <c r="Z1086">
        <v>19</v>
      </c>
      <c r="AA1086">
        <v>289</v>
      </c>
      <c r="AB1086" t="s">
        <v>116</v>
      </c>
      <c r="AC1086">
        <v>1300500</v>
      </c>
      <c r="AD1086">
        <v>0.03</v>
      </c>
      <c r="AE1086" t="s">
        <v>116</v>
      </c>
      <c r="AF1086" t="s">
        <v>116</v>
      </c>
      <c r="AG1086">
        <v>3.63</v>
      </c>
      <c r="AH1086" t="s">
        <v>1692</v>
      </c>
      <c r="AI1086" t="s">
        <v>6259</v>
      </c>
      <c r="AJ1086">
        <v>-2.17</v>
      </c>
      <c r="AK1086">
        <v>3983</v>
      </c>
      <c r="AL1086">
        <v>57</v>
      </c>
      <c r="AM1086">
        <v>1.6000000000000001E-3</v>
      </c>
      <c r="AN1086">
        <v>-1</v>
      </c>
      <c r="AO1086">
        <v>1</v>
      </c>
      <c r="AP1086">
        <v>14.5</v>
      </c>
      <c r="AQ1086">
        <v>11.65</v>
      </c>
      <c r="AR1086">
        <v>51.91</v>
      </c>
      <c r="AS1086">
        <v>8.1999999999999993</v>
      </c>
      <c r="AT1086" t="s">
        <v>212</v>
      </c>
      <c r="AU1086">
        <v>26</v>
      </c>
      <c r="AV1086">
        <v>21.48</v>
      </c>
      <c r="AW1086">
        <v>1.65</v>
      </c>
      <c r="BA1086">
        <v>-0.74</v>
      </c>
      <c r="BB1086">
        <v>1.2</v>
      </c>
      <c r="BC1086">
        <v>-2.85</v>
      </c>
      <c r="BD1086">
        <v>-1.24</v>
      </c>
      <c r="BE1086">
        <v>-2.12</v>
      </c>
      <c r="BF1086">
        <v>-4</v>
      </c>
      <c r="BG1086">
        <v>0</v>
      </c>
      <c r="BH1086">
        <v>-1.61</v>
      </c>
      <c r="BI1086">
        <v>20191211</v>
      </c>
      <c r="BJ1086">
        <v>20111125</v>
      </c>
      <c r="BK1086">
        <v>6.89</v>
      </c>
      <c r="BL1086" t="s">
        <v>116</v>
      </c>
      <c r="BM1086" t="s">
        <v>116</v>
      </c>
      <c r="BN1086">
        <v>81.680000000000007</v>
      </c>
      <c r="BO1086">
        <v>66.75</v>
      </c>
      <c r="BP1086">
        <v>0.02</v>
      </c>
      <c r="BQ1086">
        <v>18.260000000000002</v>
      </c>
      <c r="BR1086">
        <v>27.91</v>
      </c>
      <c r="BS1086">
        <v>17.7</v>
      </c>
      <c r="BT1086">
        <v>3.55</v>
      </c>
      <c r="BU1086">
        <v>13.66</v>
      </c>
      <c r="BV1086">
        <v>5.46</v>
      </c>
      <c r="BW1086">
        <v>9.48</v>
      </c>
      <c r="BX1086">
        <v>39.659999999999997</v>
      </c>
      <c r="BY1086">
        <v>21.88</v>
      </c>
      <c r="BZ1086">
        <v>15.86</v>
      </c>
      <c r="CA1086">
        <v>-2.13</v>
      </c>
      <c r="CB1086">
        <v>7.0000000000000007E-2</v>
      </c>
      <c r="CC1086">
        <v>3.71</v>
      </c>
      <c r="CD1086">
        <v>3.31</v>
      </c>
      <c r="CE1086">
        <v>3.31</v>
      </c>
      <c r="CF1086">
        <v>2.34</v>
      </c>
      <c r="CG1086">
        <v>18.25</v>
      </c>
      <c r="CH1086">
        <v>4.3</v>
      </c>
      <c r="CI1086">
        <v>-2.91</v>
      </c>
      <c r="CJ1086">
        <v>58000</v>
      </c>
      <c r="CK1086">
        <v>4738</v>
      </c>
      <c r="CL1086" t="s">
        <v>6260</v>
      </c>
      <c r="CM1086">
        <v>-22.37</v>
      </c>
      <c r="CN1086">
        <v>-12.65</v>
      </c>
      <c r="CO1086">
        <v>1.76</v>
      </c>
      <c r="CP1086">
        <v>27.34</v>
      </c>
      <c r="CQ1086">
        <v>5.37</v>
      </c>
      <c r="CR1086">
        <v>0.59</v>
      </c>
      <c r="CS1086" t="s">
        <v>1744</v>
      </c>
      <c r="CT1086">
        <v>9.68</v>
      </c>
      <c r="CU1086">
        <v>0</v>
      </c>
      <c r="CV1086">
        <v>5.75</v>
      </c>
      <c r="CW1086">
        <v>2.65</v>
      </c>
      <c r="CX1086">
        <v>0.62</v>
      </c>
      <c r="CY1086">
        <v>81.72</v>
      </c>
      <c r="CZ1086" t="s">
        <v>2914</v>
      </c>
      <c r="DA1086">
        <v>27.49</v>
      </c>
      <c r="DB1086">
        <v>-9.76</v>
      </c>
      <c r="DC1086">
        <v>15.12</v>
      </c>
      <c r="DD1086">
        <v>1.35</v>
      </c>
      <c r="DE1086">
        <v>7655</v>
      </c>
      <c r="DF1086">
        <v>2635</v>
      </c>
      <c r="DG1086" t="s">
        <v>116</v>
      </c>
      <c r="DH1086" t="s">
        <v>116</v>
      </c>
      <c r="DI1086" t="s">
        <v>116</v>
      </c>
    </row>
    <row r="1087" spans="1:113" x14ac:dyDescent="0.4">
      <c r="A1087" t="str">
        <f>"002636"</f>
        <v>002636</v>
      </c>
      <c r="B1087" t="s">
        <v>6261</v>
      </c>
      <c r="C1087">
        <v>-2.2599999999999998</v>
      </c>
      <c r="D1087">
        <v>8.65</v>
      </c>
      <c r="E1087">
        <v>-0.2</v>
      </c>
      <c r="F1087">
        <v>8.65</v>
      </c>
      <c r="G1087">
        <v>8.66</v>
      </c>
      <c r="H1087">
        <v>121207</v>
      </c>
      <c r="I1087">
        <v>1097</v>
      </c>
      <c r="J1087">
        <v>-0.56000000000000005</v>
      </c>
      <c r="K1087">
        <v>1.68</v>
      </c>
      <c r="L1087">
        <v>8.84</v>
      </c>
      <c r="M1087">
        <v>9.16</v>
      </c>
      <c r="N1087">
        <v>8.65</v>
      </c>
      <c r="O1087">
        <v>8.85</v>
      </c>
      <c r="P1087">
        <v>36.32</v>
      </c>
      <c r="Q1087">
        <v>107846736</v>
      </c>
      <c r="R1087">
        <v>1.98</v>
      </c>
      <c r="S1087" t="s">
        <v>233</v>
      </c>
      <c r="T1087" t="s">
        <v>1653</v>
      </c>
      <c r="U1087">
        <v>5.76</v>
      </c>
      <c r="V1087">
        <v>8.9</v>
      </c>
      <c r="W1087">
        <v>67340</v>
      </c>
      <c r="X1087">
        <v>53867</v>
      </c>
      <c r="Y1087">
        <v>1.25</v>
      </c>
      <c r="Z1087">
        <v>288</v>
      </c>
      <c r="AA1087">
        <v>485</v>
      </c>
      <c r="AB1087" t="s">
        <v>116</v>
      </c>
      <c r="AC1087">
        <v>650600</v>
      </c>
      <c r="AD1087">
        <v>0.03</v>
      </c>
      <c r="AE1087" t="s">
        <v>116</v>
      </c>
      <c r="AF1087" t="s">
        <v>116</v>
      </c>
      <c r="AG1087">
        <v>7.23</v>
      </c>
      <c r="AH1087" t="s">
        <v>3043</v>
      </c>
      <c r="AI1087" t="s">
        <v>6262</v>
      </c>
      <c r="AJ1087">
        <v>-1.58</v>
      </c>
      <c r="AK1087">
        <v>2870</v>
      </c>
      <c r="AL1087">
        <v>42</v>
      </c>
      <c r="AM1087">
        <v>5.9999999999999995E-4</v>
      </c>
      <c r="AN1087">
        <v>-1</v>
      </c>
      <c r="AO1087">
        <v>2.61</v>
      </c>
      <c r="AP1087">
        <v>10.050000000000001</v>
      </c>
      <c r="AQ1087">
        <v>-3.35</v>
      </c>
      <c r="AR1087">
        <v>21.32</v>
      </c>
      <c r="AS1087">
        <v>5.44</v>
      </c>
      <c r="AT1087" t="s">
        <v>6061</v>
      </c>
      <c r="AU1087">
        <v>33.78</v>
      </c>
      <c r="AV1087">
        <v>21.49</v>
      </c>
      <c r="AW1087">
        <v>1.25</v>
      </c>
      <c r="BA1087">
        <v>-0.11</v>
      </c>
      <c r="BB1087">
        <v>3.5</v>
      </c>
      <c r="BC1087">
        <v>-2.2599999999999998</v>
      </c>
      <c r="BD1087">
        <v>0.54</v>
      </c>
      <c r="BE1087">
        <v>-2.15</v>
      </c>
      <c r="BF1087">
        <v>-5.57</v>
      </c>
      <c r="BG1087">
        <v>0</v>
      </c>
      <c r="BH1087">
        <v>-2.8</v>
      </c>
      <c r="BI1087">
        <v>20191127</v>
      </c>
      <c r="BJ1087">
        <v>20111125</v>
      </c>
      <c r="BK1087">
        <v>7.28</v>
      </c>
      <c r="BL1087" t="s">
        <v>116</v>
      </c>
      <c r="BM1087" t="s">
        <v>116</v>
      </c>
      <c r="BN1087">
        <v>44.26</v>
      </c>
      <c r="BO1087">
        <v>26.45</v>
      </c>
      <c r="BP1087">
        <v>0.28999999999999998</v>
      </c>
      <c r="BQ1087">
        <v>39.58</v>
      </c>
      <c r="BR1087">
        <v>32.72</v>
      </c>
      <c r="BS1087">
        <v>7.91</v>
      </c>
      <c r="BT1087">
        <v>0.7</v>
      </c>
      <c r="BU1087">
        <v>16.73</v>
      </c>
      <c r="BV1087">
        <v>1.88</v>
      </c>
      <c r="BW1087">
        <v>6.05</v>
      </c>
      <c r="BX1087">
        <v>1.91</v>
      </c>
      <c r="BY1087">
        <v>23.03</v>
      </c>
      <c r="BZ1087">
        <v>19.05</v>
      </c>
      <c r="CA1087">
        <v>1.45</v>
      </c>
      <c r="CB1087">
        <v>0.02</v>
      </c>
      <c r="CC1087">
        <v>1.58</v>
      </c>
      <c r="CD1087">
        <v>1.33</v>
      </c>
      <c r="CE1087">
        <v>1.3</v>
      </c>
      <c r="CF1087">
        <v>1.25</v>
      </c>
      <c r="CG1087">
        <v>16.54</v>
      </c>
      <c r="CH1087">
        <v>4.82</v>
      </c>
      <c r="CI1087">
        <v>1.43</v>
      </c>
      <c r="CJ1087">
        <v>48320</v>
      </c>
      <c r="CK1087">
        <v>4613</v>
      </c>
      <c r="CL1087" t="s">
        <v>2417</v>
      </c>
      <c r="CM1087">
        <v>-45.05</v>
      </c>
      <c r="CN1087">
        <v>-19.11</v>
      </c>
      <c r="CO1087">
        <v>2.38</v>
      </c>
      <c r="CP1087">
        <v>13.08</v>
      </c>
      <c r="CQ1087">
        <v>2.73</v>
      </c>
      <c r="CR1087">
        <v>0</v>
      </c>
      <c r="CS1087" t="s">
        <v>5426</v>
      </c>
      <c r="CT1087">
        <v>3.63</v>
      </c>
      <c r="CU1087">
        <v>0</v>
      </c>
      <c r="CV1087">
        <v>0.26</v>
      </c>
      <c r="CW1087">
        <v>2.27</v>
      </c>
      <c r="CX1087">
        <v>0.66</v>
      </c>
      <c r="CY1087">
        <v>59.77</v>
      </c>
      <c r="CZ1087" t="s">
        <v>3632</v>
      </c>
      <c r="DA1087">
        <v>17.260000000000002</v>
      </c>
      <c r="DB1087">
        <v>6.3</v>
      </c>
      <c r="DC1087">
        <v>5.65</v>
      </c>
      <c r="DD1087">
        <v>1.01</v>
      </c>
      <c r="DE1087">
        <v>2451</v>
      </c>
      <c r="DF1087">
        <v>2636</v>
      </c>
      <c r="DG1087" t="s">
        <v>116</v>
      </c>
      <c r="DH1087" t="s">
        <v>116</v>
      </c>
      <c r="DI1087" t="s">
        <v>116</v>
      </c>
    </row>
    <row r="1088" spans="1:113" x14ac:dyDescent="0.4">
      <c r="A1088" t="str">
        <f>"002637"</f>
        <v>002637</v>
      </c>
      <c r="B1088" t="s">
        <v>6263</v>
      </c>
      <c r="C1088">
        <v>1.6</v>
      </c>
      <c r="D1088">
        <v>10.18</v>
      </c>
      <c r="E1088">
        <v>0.16</v>
      </c>
      <c r="F1088">
        <v>10.17</v>
      </c>
      <c r="G1088">
        <v>10.18</v>
      </c>
      <c r="H1088">
        <v>68612</v>
      </c>
      <c r="I1088">
        <v>3252</v>
      </c>
      <c r="J1088">
        <v>0.49</v>
      </c>
      <c r="K1088">
        <v>1.84</v>
      </c>
      <c r="L1088">
        <v>10.09</v>
      </c>
      <c r="M1088">
        <v>10.18</v>
      </c>
      <c r="N1088">
        <v>9.9499999999999993</v>
      </c>
      <c r="O1088">
        <v>10.02</v>
      </c>
      <c r="P1088">
        <v>13.7</v>
      </c>
      <c r="Q1088">
        <v>69132432</v>
      </c>
      <c r="R1088">
        <v>0.82</v>
      </c>
      <c r="S1088" t="s">
        <v>953</v>
      </c>
      <c r="T1088" t="s">
        <v>590</v>
      </c>
      <c r="U1088">
        <v>2.2999999999999998</v>
      </c>
      <c r="V1088">
        <v>10.08</v>
      </c>
      <c r="W1088">
        <v>26210</v>
      </c>
      <c r="X1088">
        <v>42402</v>
      </c>
      <c r="Y1088">
        <v>0.62</v>
      </c>
      <c r="Z1088">
        <v>188</v>
      </c>
      <c r="AA1088">
        <v>135</v>
      </c>
      <c r="AB1088" t="s">
        <v>116</v>
      </c>
      <c r="AC1088">
        <v>565000</v>
      </c>
      <c r="AD1088">
        <v>0.02</v>
      </c>
      <c r="AE1088" t="s">
        <v>116</v>
      </c>
      <c r="AF1088" t="s">
        <v>116</v>
      </c>
      <c r="AG1088">
        <v>3.73</v>
      </c>
      <c r="AH1088" t="s">
        <v>6264</v>
      </c>
      <c r="AI1088" t="s">
        <v>6265</v>
      </c>
      <c r="AJ1088">
        <v>2.2799999999999998</v>
      </c>
      <c r="AK1088">
        <v>1776</v>
      </c>
      <c r="AL1088">
        <v>39</v>
      </c>
      <c r="AM1088">
        <v>1E-3</v>
      </c>
      <c r="AN1088">
        <v>4</v>
      </c>
      <c r="AO1088">
        <v>5.6</v>
      </c>
      <c r="AP1088">
        <v>14.25</v>
      </c>
      <c r="AQ1088">
        <v>31.19</v>
      </c>
      <c r="AR1088">
        <v>44.6</v>
      </c>
      <c r="AS1088">
        <v>2.94</v>
      </c>
      <c r="AT1088" t="s">
        <v>4784</v>
      </c>
      <c r="AU1088">
        <v>16.37</v>
      </c>
      <c r="AV1088">
        <v>24.16</v>
      </c>
      <c r="AW1088">
        <v>1.04</v>
      </c>
      <c r="BA1088">
        <v>0.7</v>
      </c>
      <c r="BB1088">
        <v>1.6</v>
      </c>
      <c r="BC1088">
        <v>-0.7</v>
      </c>
      <c r="BD1088">
        <v>0.56000000000000005</v>
      </c>
      <c r="BE1088">
        <v>0.89</v>
      </c>
      <c r="BF1088">
        <v>0</v>
      </c>
      <c r="BG1088">
        <v>2.31</v>
      </c>
      <c r="BH1088">
        <v>1.04</v>
      </c>
      <c r="BI1088">
        <v>20191122</v>
      </c>
      <c r="BJ1088">
        <v>20111125</v>
      </c>
      <c r="BK1088">
        <v>4.2300000000000004</v>
      </c>
      <c r="BL1088" t="s">
        <v>116</v>
      </c>
      <c r="BM1088" t="s">
        <v>116</v>
      </c>
      <c r="BN1088">
        <v>57.1</v>
      </c>
      <c r="BO1088">
        <v>25.66</v>
      </c>
      <c r="BP1088">
        <v>3.03</v>
      </c>
      <c r="BQ1088">
        <v>49.75</v>
      </c>
      <c r="BR1088">
        <v>20.59</v>
      </c>
      <c r="BS1088">
        <v>13.22</v>
      </c>
      <c r="BT1088">
        <v>2.65</v>
      </c>
      <c r="BU1088">
        <v>24.91</v>
      </c>
      <c r="BV1088">
        <v>6.03</v>
      </c>
      <c r="BW1088">
        <v>4.87</v>
      </c>
      <c r="BX1088">
        <v>12.43</v>
      </c>
      <c r="BY1088">
        <v>45.88</v>
      </c>
      <c r="BZ1088">
        <v>39.22</v>
      </c>
      <c r="CA1088">
        <v>3.51</v>
      </c>
      <c r="CB1088">
        <v>1.38</v>
      </c>
      <c r="CC1088">
        <v>3.3</v>
      </c>
      <c r="CD1088">
        <v>2.5099999999999998</v>
      </c>
      <c r="CE1088">
        <v>2.36</v>
      </c>
      <c r="CF1088">
        <v>1.34</v>
      </c>
      <c r="CG1088">
        <v>8.39</v>
      </c>
      <c r="CH1088">
        <v>2</v>
      </c>
      <c r="CI1088">
        <v>0.06</v>
      </c>
      <c r="CJ1088">
        <v>17487</v>
      </c>
      <c r="CK1088">
        <v>13362</v>
      </c>
      <c r="CL1088" t="s">
        <v>6266</v>
      </c>
      <c r="CM1088">
        <v>56.28</v>
      </c>
      <c r="CN1088">
        <v>-6.47</v>
      </c>
      <c r="CO1088">
        <v>1.68</v>
      </c>
      <c r="CP1088">
        <v>21.53</v>
      </c>
      <c r="CQ1088">
        <v>0.94</v>
      </c>
      <c r="CR1088">
        <v>0.98</v>
      </c>
      <c r="CS1088" t="s">
        <v>6267</v>
      </c>
      <c r="CT1088">
        <v>6.07</v>
      </c>
      <c r="CU1088">
        <v>0</v>
      </c>
      <c r="CV1088">
        <v>2.94</v>
      </c>
      <c r="CW1088">
        <v>1.98</v>
      </c>
      <c r="CX1088">
        <v>0.47</v>
      </c>
      <c r="CY1088">
        <v>44.94</v>
      </c>
      <c r="CZ1088" t="s">
        <v>6268</v>
      </c>
      <c r="DA1088">
        <v>14.52</v>
      </c>
      <c r="DB1088">
        <v>7.65</v>
      </c>
      <c r="DC1088">
        <v>5.13</v>
      </c>
      <c r="DD1088">
        <v>0.81</v>
      </c>
      <c r="DE1088">
        <v>2214</v>
      </c>
      <c r="DF1088">
        <v>2637</v>
      </c>
      <c r="DG1088" t="s">
        <v>116</v>
      </c>
      <c r="DH1088" t="s">
        <v>116</v>
      </c>
      <c r="DI1088" t="s">
        <v>116</v>
      </c>
    </row>
    <row r="1089" spans="1:113" x14ac:dyDescent="0.4">
      <c r="A1089" t="str">
        <f>"002638"</f>
        <v>002638</v>
      </c>
      <c r="B1089" t="s">
        <v>6269</v>
      </c>
      <c r="C1089">
        <v>-6.6</v>
      </c>
      <c r="D1089">
        <v>3.54</v>
      </c>
      <c r="E1089">
        <v>-0.25</v>
      </c>
      <c r="F1089">
        <v>3.53</v>
      </c>
      <c r="G1089">
        <v>3.54</v>
      </c>
      <c r="H1089">
        <v>340373</v>
      </c>
      <c r="I1089">
        <v>5963</v>
      </c>
      <c r="J1089">
        <v>-0.55000000000000004</v>
      </c>
      <c r="K1089">
        <v>3.48</v>
      </c>
      <c r="L1089">
        <v>3.74</v>
      </c>
      <c r="M1089">
        <v>3.78</v>
      </c>
      <c r="N1089">
        <v>3.54</v>
      </c>
      <c r="O1089">
        <v>3.79</v>
      </c>
      <c r="P1089">
        <v>3501.31</v>
      </c>
      <c r="Q1089">
        <v>124623704</v>
      </c>
      <c r="R1089">
        <v>1.33</v>
      </c>
      <c r="S1089" t="s">
        <v>217</v>
      </c>
      <c r="T1089" t="s">
        <v>551</v>
      </c>
      <c r="U1089">
        <v>6.33</v>
      </c>
      <c r="V1089">
        <v>3.66</v>
      </c>
      <c r="W1089">
        <v>174234</v>
      </c>
      <c r="X1089">
        <v>166139</v>
      </c>
      <c r="Y1089">
        <v>1.05</v>
      </c>
      <c r="Z1089">
        <v>2894</v>
      </c>
      <c r="AA1089">
        <v>144</v>
      </c>
      <c r="AB1089" t="s">
        <v>116</v>
      </c>
      <c r="AC1089">
        <v>481700</v>
      </c>
      <c r="AD1089">
        <v>0.02</v>
      </c>
      <c r="AE1089" t="s">
        <v>116</v>
      </c>
      <c r="AF1089" t="s">
        <v>116</v>
      </c>
      <c r="AG1089">
        <v>9.7899999999999991</v>
      </c>
      <c r="AH1089" t="s">
        <v>5376</v>
      </c>
      <c r="AI1089" t="s">
        <v>6270</v>
      </c>
      <c r="AJ1089">
        <v>-5.92</v>
      </c>
      <c r="AK1089">
        <v>2521</v>
      </c>
      <c r="AL1089">
        <v>135</v>
      </c>
      <c r="AM1089">
        <v>1.4E-3</v>
      </c>
      <c r="AN1089">
        <v>-1</v>
      </c>
      <c r="AO1089">
        <v>-2.21</v>
      </c>
      <c r="AP1089">
        <v>13.1</v>
      </c>
      <c r="AQ1089">
        <v>15.31</v>
      </c>
      <c r="AR1089">
        <v>37.74</v>
      </c>
      <c r="AS1089">
        <v>4.7</v>
      </c>
      <c r="AT1089" t="s">
        <v>5795</v>
      </c>
      <c r="AU1089" t="s">
        <v>116</v>
      </c>
      <c r="AV1089" t="s">
        <v>116</v>
      </c>
      <c r="AW1089">
        <v>0.91</v>
      </c>
      <c r="BA1089">
        <v>-1.32</v>
      </c>
      <c r="BB1089">
        <v>-0.26</v>
      </c>
      <c r="BC1089">
        <v>-6.6</v>
      </c>
      <c r="BD1089">
        <v>-3.39</v>
      </c>
      <c r="BE1089">
        <v>-5.35</v>
      </c>
      <c r="BF1089">
        <v>-6.35</v>
      </c>
      <c r="BG1089">
        <v>0</v>
      </c>
      <c r="BH1089">
        <v>-3.2</v>
      </c>
      <c r="BI1089">
        <v>20191031</v>
      </c>
      <c r="BJ1089">
        <v>20111125</v>
      </c>
      <c r="BK1089">
        <v>15.19</v>
      </c>
      <c r="BL1089" t="s">
        <v>116</v>
      </c>
      <c r="BM1089" t="s">
        <v>116</v>
      </c>
      <c r="BN1089">
        <v>47.68</v>
      </c>
      <c r="BO1089">
        <v>39.36</v>
      </c>
      <c r="BP1089">
        <v>0</v>
      </c>
      <c r="BQ1089">
        <v>17.440000000000001</v>
      </c>
      <c r="BR1089">
        <v>27.16</v>
      </c>
      <c r="BS1089">
        <v>1.84</v>
      </c>
      <c r="BT1089">
        <v>0.65</v>
      </c>
      <c r="BU1089">
        <v>6.4</v>
      </c>
      <c r="BV1089">
        <v>3.41</v>
      </c>
      <c r="BW1089">
        <v>6.12</v>
      </c>
      <c r="BX1089">
        <v>34.82</v>
      </c>
      <c r="BY1089">
        <v>8.36</v>
      </c>
      <c r="BZ1089">
        <v>6.76</v>
      </c>
      <c r="CA1089">
        <v>7.0000000000000007E-2</v>
      </c>
      <c r="CB1089">
        <v>0</v>
      </c>
      <c r="CC1089">
        <v>0.1</v>
      </c>
      <c r="CD1089">
        <v>0.01</v>
      </c>
      <c r="CE1089">
        <v>0.01</v>
      </c>
      <c r="CF1089">
        <v>-0.08</v>
      </c>
      <c r="CG1089">
        <v>-11.27</v>
      </c>
      <c r="CH1089">
        <v>-1.86</v>
      </c>
      <c r="CI1089">
        <v>-14.19</v>
      </c>
      <c r="CJ1089">
        <v>37432</v>
      </c>
      <c r="CK1089">
        <v>19353</v>
      </c>
      <c r="CL1089" t="s">
        <v>3227</v>
      </c>
      <c r="CM1089">
        <v>-98.41</v>
      </c>
      <c r="CN1089">
        <v>-12.91</v>
      </c>
      <c r="CO1089">
        <v>1.37</v>
      </c>
      <c r="CP1089">
        <v>-28.9</v>
      </c>
      <c r="CQ1089">
        <v>6.43</v>
      </c>
      <c r="CR1089">
        <v>0</v>
      </c>
      <c r="CS1089" t="s">
        <v>4302</v>
      </c>
      <c r="CT1089">
        <v>2.59</v>
      </c>
      <c r="CU1089">
        <v>0</v>
      </c>
      <c r="CV1089">
        <v>2.29</v>
      </c>
      <c r="CW1089">
        <v>-0.74</v>
      </c>
      <c r="CX1089">
        <v>-0.12</v>
      </c>
      <c r="CY1089">
        <v>82.56</v>
      </c>
      <c r="CZ1089" t="s">
        <v>4193</v>
      </c>
      <c r="DA1089">
        <v>19.190000000000001</v>
      </c>
      <c r="DB1089">
        <v>0.82</v>
      </c>
      <c r="DC1089">
        <v>0.14000000000000001</v>
      </c>
      <c r="DD1089">
        <v>0.03</v>
      </c>
      <c r="DE1089">
        <v>4977</v>
      </c>
      <c r="DF1089">
        <v>2638</v>
      </c>
      <c r="DG1089" t="s">
        <v>116</v>
      </c>
      <c r="DH1089" t="s">
        <v>116</v>
      </c>
      <c r="DI1089" t="s">
        <v>116</v>
      </c>
    </row>
    <row r="1090" spans="1:113" x14ac:dyDescent="0.4">
      <c r="A1090" t="str">
        <f>"002639"</f>
        <v>002639</v>
      </c>
      <c r="B1090" t="s">
        <v>6271</v>
      </c>
      <c r="C1090">
        <v>-3</v>
      </c>
      <c r="D1090">
        <v>8.42</v>
      </c>
      <c r="E1090">
        <v>-0.26</v>
      </c>
      <c r="F1090">
        <v>8.41</v>
      </c>
      <c r="G1090">
        <v>8.42</v>
      </c>
      <c r="H1090">
        <v>305020</v>
      </c>
      <c r="I1090">
        <v>3959</v>
      </c>
      <c r="J1090">
        <v>0</v>
      </c>
      <c r="K1090">
        <v>5.73</v>
      </c>
      <c r="L1090">
        <v>8.6300000000000008</v>
      </c>
      <c r="M1090">
        <v>8.7100000000000009</v>
      </c>
      <c r="N1090">
        <v>8.41</v>
      </c>
      <c r="O1090">
        <v>8.68</v>
      </c>
      <c r="P1090">
        <v>76.14</v>
      </c>
      <c r="Q1090">
        <v>261113040</v>
      </c>
      <c r="R1090">
        <v>1.03</v>
      </c>
      <c r="S1090" t="s">
        <v>682</v>
      </c>
      <c r="T1090" t="s">
        <v>975</v>
      </c>
      <c r="U1090">
        <v>3.46</v>
      </c>
      <c r="V1090">
        <v>8.56</v>
      </c>
      <c r="W1090">
        <v>164028</v>
      </c>
      <c r="X1090">
        <v>140992</v>
      </c>
      <c r="Y1090">
        <v>1.1599999999999999</v>
      </c>
      <c r="Z1090">
        <v>2175</v>
      </c>
      <c r="AA1090">
        <v>1188</v>
      </c>
      <c r="AB1090" t="s">
        <v>116</v>
      </c>
      <c r="AC1090">
        <v>2035800</v>
      </c>
      <c r="AD1090">
        <v>0.05</v>
      </c>
      <c r="AE1090" t="s">
        <v>116</v>
      </c>
      <c r="AF1090" t="s">
        <v>116</v>
      </c>
      <c r="AG1090">
        <v>5.32</v>
      </c>
      <c r="AH1090" t="s">
        <v>6272</v>
      </c>
      <c r="AI1090" t="s">
        <v>6273</v>
      </c>
      <c r="AJ1090">
        <v>-2.3199999999999998</v>
      </c>
      <c r="AK1090">
        <v>3537</v>
      </c>
      <c r="AL1090">
        <v>86</v>
      </c>
      <c r="AM1090">
        <v>1.6000000000000001E-3</v>
      </c>
      <c r="AN1090">
        <v>-1</v>
      </c>
      <c r="AO1090">
        <v>0.23</v>
      </c>
      <c r="AP1090">
        <v>8.65</v>
      </c>
      <c r="AQ1090">
        <v>-1.64</v>
      </c>
      <c r="AR1090">
        <v>58.18</v>
      </c>
      <c r="AS1090">
        <v>6.42</v>
      </c>
      <c r="AT1090" t="s">
        <v>6274</v>
      </c>
      <c r="AU1090">
        <v>98.54</v>
      </c>
      <c r="AV1090">
        <v>368.41</v>
      </c>
      <c r="AW1090">
        <v>1.36</v>
      </c>
      <c r="BA1090">
        <v>-0.57999999999999996</v>
      </c>
      <c r="BB1090">
        <v>0.35</v>
      </c>
      <c r="BC1090">
        <v>-3.11</v>
      </c>
      <c r="BD1090">
        <v>-1.38</v>
      </c>
      <c r="BE1090">
        <v>-2.4300000000000002</v>
      </c>
      <c r="BF1090">
        <v>-3.33</v>
      </c>
      <c r="BG1090">
        <v>0.12</v>
      </c>
      <c r="BH1090">
        <v>-1.62</v>
      </c>
      <c r="BI1090">
        <v>20191205</v>
      </c>
      <c r="BJ1090">
        <v>20111205</v>
      </c>
      <c r="BK1090">
        <v>6.74</v>
      </c>
      <c r="BL1090" t="s">
        <v>116</v>
      </c>
      <c r="BM1090" t="s">
        <v>116</v>
      </c>
      <c r="BN1090">
        <v>40.61</v>
      </c>
      <c r="BO1090">
        <v>23.01</v>
      </c>
      <c r="BP1090">
        <v>0.52</v>
      </c>
      <c r="BQ1090">
        <v>42.07</v>
      </c>
      <c r="BR1090">
        <v>19.32</v>
      </c>
      <c r="BS1090">
        <v>8.67</v>
      </c>
      <c r="BT1090">
        <v>2.2000000000000002</v>
      </c>
      <c r="BU1090">
        <v>15.41</v>
      </c>
      <c r="BV1090">
        <v>6.49</v>
      </c>
      <c r="BW1090">
        <v>5.52</v>
      </c>
      <c r="BX1090">
        <v>13.36</v>
      </c>
      <c r="BY1090">
        <v>10.53</v>
      </c>
      <c r="BZ1090">
        <v>8.36</v>
      </c>
      <c r="CA1090">
        <v>0.66</v>
      </c>
      <c r="CB1090">
        <v>0.97</v>
      </c>
      <c r="CC1090">
        <v>0.65</v>
      </c>
      <c r="CD1090">
        <v>0.49</v>
      </c>
      <c r="CE1090">
        <v>0.56000000000000005</v>
      </c>
      <c r="CF1090">
        <v>0.52</v>
      </c>
      <c r="CG1090">
        <v>2.21</v>
      </c>
      <c r="CH1090">
        <v>0.22</v>
      </c>
      <c r="CI1090">
        <v>1.89</v>
      </c>
      <c r="CJ1090">
        <v>64533</v>
      </c>
      <c r="CK1090">
        <v>7368</v>
      </c>
      <c r="CL1090" t="s">
        <v>3380</v>
      </c>
      <c r="CM1090">
        <v>307.70999999999998</v>
      </c>
      <c r="CN1090">
        <v>17.420000000000002</v>
      </c>
      <c r="CO1090">
        <v>2.4700000000000002</v>
      </c>
      <c r="CP1090">
        <v>259.63</v>
      </c>
      <c r="CQ1090">
        <v>5.39</v>
      </c>
      <c r="CR1090">
        <v>0.08</v>
      </c>
      <c r="CS1090" t="s">
        <v>6275</v>
      </c>
      <c r="CT1090">
        <v>3.41</v>
      </c>
      <c r="CU1090">
        <v>0</v>
      </c>
      <c r="CV1090">
        <v>1.98</v>
      </c>
      <c r="CW1090">
        <v>0.33</v>
      </c>
      <c r="CX1090">
        <v>0.03</v>
      </c>
      <c r="CY1090">
        <v>56.66</v>
      </c>
      <c r="CZ1090" t="s">
        <v>6276</v>
      </c>
      <c r="DA1090">
        <v>20.64</v>
      </c>
      <c r="DB1090">
        <v>6.29</v>
      </c>
      <c r="DC1090">
        <v>5.31</v>
      </c>
      <c r="DD1090">
        <v>0.45</v>
      </c>
      <c r="DE1090">
        <v>2787</v>
      </c>
      <c r="DF1090">
        <v>2639</v>
      </c>
      <c r="DG1090" t="s">
        <v>116</v>
      </c>
      <c r="DH1090" t="s">
        <v>116</v>
      </c>
      <c r="DI1090" t="s">
        <v>116</v>
      </c>
    </row>
    <row r="1091" spans="1:113" x14ac:dyDescent="0.4">
      <c r="A1091" t="str">
        <f>"002640"</f>
        <v>002640</v>
      </c>
      <c r="B1091" t="s">
        <v>6277</v>
      </c>
      <c r="C1091">
        <v>1.94</v>
      </c>
      <c r="D1091">
        <v>7.34</v>
      </c>
      <c r="E1091">
        <v>0.14000000000000001</v>
      </c>
      <c r="F1091">
        <v>7.34</v>
      </c>
      <c r="G1091">
        <v>7.35</v>
      </c>
      <c r="H1091">
        <v>415921</v>
      </c>
      <c r="I1091">
        <v>7767</v>
      </c>
      <c r="J1091">
        <v>0.14000000000000001</v>
      </c>
      <c r="K1091">
        <v>3.71</v>
      </c>
      <c r="L1091">
        <v>7.21</v>
      </c>
      <c r="M1091">
        <v>7.37</v>
      </c>
      <c r="N1091">
        <v>7.16</v>
      </c>
      <c r="O1091">
        <v>7.2</v>
      </c>
      <c r="P1091">
        <v>12.2</v>
      </c>
      <c r="Q1091">
        <v>303374592</v>
      </c>
      <c r="R1091">
        <v>1.76</v>
      </c>
      <c r="S1091" t="s">
        <v>1384</v>
      </c>
      <c r="T1091" t="s">
        <v>675</v>
      </c>
      <c r="U1091">
        <v>2.92</v>
      </c>
      <c r="V1091">
        <v>7.29</v>
      </c>
      <c r="W1091">
        <v>199739</v>
      </c>
      <c r="X1091">
        <v>216182</v>
      </c>
      <c r="Y1091">
        <v>0.92</v>
      </c>
      <c r="Z1091">
        <v>4693</v>
      </c>
      <c r="AA1091">
        <v>4349</v>
      </c>
      <c r="AB1091" t="s">
        <v>116</v>
      </c>
      <c r="AC1091">
        <v>594800</v>
      </c>
      <c r="AD1091">
        <v>0.01</v>
      </c>
      <c r="AE1091" t="s">
        <v>116</v>
      </c>
      <c r="AF1091" t="s">
        <v>116</v>
      </c>
      <c r="AG1091">
        <v>11.22</v>
      </c>
      <c r="AH1091" t="s">
        <v>6278</v>
      </c>
      <c r="AI1091" t="s">
        <v>6279</v>
      </c>
      <c r="AJ1091">
        <v>2.62</v>
      </c>
      <c r="AK1091">
        <v>3414</v>
      </c>
      <c r="AL1091">
        <v>122</v>
      </c>
      <c r="AM1091">
        <v>1.1000000000000001E-3</v>
      </c>
      <c r="AN1091">
        <v>1</v>
      </c>
      <c r="AO1091">
        <v>3.38</v>
      </c>
      <c r="AP1091">
        <v>6.53</v>
      </c>
      <c r="AQ1091">
        <v>-4.68</v>
      </c>
      <c r="AR1091">
        <v>-31.75</v>
      </c>
      <c r="AS1091">
        <v>4.53</v>
      </c>
      <c r="AT1091" t="s">
        <v>6280</v>
      </c>
      <c r="AU1091">
        <v>22.98</v>
      </c>
      <c r="AV1091">
        <v>18.36</v>
      </c>
      <c r="AW1091">
        <v>1.29</v>
      </c>
      <c r="BA1091">
        <v>0.14000000000000001</v>
      </c>
      <c r="BB1091">
        <v>2.36</v>
      </c>
      <c r="BC1091">
        <v>-0.56000000000000005</v>
      </c>
      <c r="BD1091">
        <v>1.31</v>
      </c>
      <c r="BE1091">
        <v>1.8</v>
      </c>
      <c r="BF1091">
        <v>-0.41</v>
      </c>
      <c r="BG1091">
        <v>2.5099999999999998</v>
      </c>
      <c r="BH1091">
        <v>0.64</v>
      </c>
      <c r="BI1091">
        <v>20191217</v>
      </c>
      <c r="BJ1091">
        <v>20111208</v>
      </c>
      <c r="BK1091">
        <v>15.58</v>
      </c>
      <c r="BL1091" t="s">
        <v>116</v>
      </c>
      <c r="BM1091" t="s">
        <v>116</v>
      </c>
      <c r="BN1091">
        <v>130.49</v>
      </c>
      <c r="BO1091">
        <v>80.459999999999994</v>
      </c>
      <c r="BP1091">
        <v>-0.13</v>
      </c>
      <c r="BQ1091">
        <v>38.44</v>
      </c>
      <c r="BR1091">
        <v>94.15</v>
      </c>
      <c r="BS1091">
        <v>4.1900000000000004</v>
      </c>
      <c r="BT1091">
        <v>2.7</v>
      </c>
      <c r="BU1091">
        <v>41.68</v>
      </c>
      <c r="BV1091">
        <v>50.52</v>
      </c>
      <c r="BW1091">
        <v>17.78</v>
      </c>
      <c r="BX1091">
        <v>38.299999999999997</v>
      </c>
      <c r="BY1091">
        <v>139.72999999999999</v>
      </c>
      <c r="BZ1091">
        <v>84.26</v>
      </c>
      <c r="CA1091">
        <v>8.3000000000000007</v>
      </c>
      <c r="CB1091">
        <v>-0.08</v>
      </c>
      <c r="CC1091">
        <v>8.6300000000000008</v>
      </c>
      <c r="CD1091">
        <v>6.89</v>
      </c>
      <c r="CE1091">
        <v>7.03</v>
      </c>
      <c r="CF1091">
        <v>6.76</v>
      </c>
      <c r="CG1091">
        <v>25.42</v>
      </c>
      <c r="CH1091">
        <v>0.38</v>
      </c>
      <c r="CI1091">
        <v>3.45</v>
      </c>
      <c r="CJ1091">
        <v>49363</v>
      </c>
      <c r="CK1091">
        <v>18607</v>
      </c>
      <c r="CL1091" t="s">
        <v>2973</v>
      </c>
      <c r="CM1091">
        <v>-15.11</v>
      </c>
      <c r="CN1091">
        <v>-11.51</v>
      </c>
      <c r="CO1091">
        <v>1.42</v>
      </c>
      <c r="CP1091">
        <v>300.95</v>
      </c>
      <c r="CQ1091">
        <v>0.82</v>
      </c>
      <c r="CR1091">
        <v>0.61</v>
      </c>
      <c r="CS1091" t="s">
        <v>6281</v>
      </c>
      <c r="CT1091">
        <v>5.16</v>
      </c>
      <c r="CU1091">
        <v>0</v>
      </c>
      <c r="CV1091">
        <v>2.46</v>
      </c>
      <c r="CW1091">
        <v>1.63</v>
      </c>
      <c r="CX1091">
        <v>0.02</v>
      </c>
      <c r="CY1091">
        <v>61.66</v>
      </c>
      <c r="CZ1091" t="s">
        <v>5411</v>
      </c>
      <c r="DA1091">
        <v>39.700000000000003</v>
      </c>
      <c r="DB1091">
        <v>5.94</v>
      </c>
      <c r="DC1091">
        <v>5.03</v>
      </c>
      <c r="DD1091">
        <v>0.55000000000000004</v>
      </c>
      <c r="DE1091">
        <v>6641</v>
      </c>
      <c r="DF1091">
        <v>2640</v>
      </c>
      <c r="DG1091" t="s">
        <v>116</v>
      </c>
      <c r="DH1091" t="s">
        <v>116</v>
      </c>
      <c r="DI1091" t="s">
        <v>116</v>
      </c>
    </row>
    <row r="1092" spans="1:113" x14ac:dyDescent="0.4">
      <c r="A1092" t="str">
        <f>"002641"</f>
        <v>002641</v>
      </c>
      <c r="B1092" t="s">
        <v>6282</v>
      </c>
      <c r="C1092">
        <v>-1.49</v>
      </c>
      <c r="D1092">
        <v>4.63</v>
      </c>
      <c r="E1092">
        <v>-7.0000000000000007E-2</v>
      </c>
      <c r="F1092">
        <v>4.63</v>
      </c>
      <c r="G1092">
        <v>4.6399999999999997</v>
      </c>
      <c r="H1092">
        <v>41447</v>
      </c>
      <c r="I1092">
        <v>125</v>
      </c>
      <c r="J1092">
        <v>-0.21</v>
      </c>
      <c r="K1092">
        <v>0.46</v>
      </c>
      <c r="L1092">
        <v>4.7</v>
      </c>
      <c r="M1092">
        <v>4.71</v>
      </c>
      <c r="N1092">
        <v>4.62</v>
      </c>
      <c r="O1092">
        <v>4.7</v>
      </c>
      <c r="P1092">
        <v>11.91</v>
      </c>
      <c r="Q1092">
        <v>19334528</v>
      </c>
      <c r="R1092">
        <v>0.61</v>
      </c>
      <c r="S1092" t="s">
        <v>2444</v>
      </c>
      <c r="T1092" t="s">
        <v>590</v>
      </c>
      <c r="U1092">
        <v>1.91</v>
      </c>
      <c r="V1092">
        <v>4.66</v>
      </c>
      <c r="W1092">
        <v>25621</v>
      </c>
      <c r="X1092">
        <v>15826</v>
      </c>
      <c r="Y1092">
        <v>1.62</v>
      </c>
      <c r="Z1092">
        <v>184</v>
      </c>
      <c r="AA1092">
        <v>580</v>
      </c>
      <c r="AB1092" t="s">
        <v>116</v>
      </c>
      <c r="AC1092">
        <v>77100</v>
      </c>
      <c r="AD1092">
        <v>0.01</v>
      </c>
      <c r="AE1092" t="s">
        <v>116</v>
      </c>
      <c r="AF1092" t="s">
        <v>116</v>
      </c>
      <c r="AG1092">
        <v>9.1</v>
      </c>
      <c r="AH1092" t="s">
        <v>6283</v>
      </c>
      <c r="AI1092" t="s">
        <v>6284</v>
      </c>
      <c r="AJ1092">
        <v>-0.81</v>
      </c>
      <c r="AK1092">
        <v>1172</v>
      </c>
      <c r="AL1092">
        <v>35</v>
      </c>
      <c r="AM1092">
        <v>4.0000000000000002E-4</v>
      </c>
      <c r="AN1092">
        <v>-1</v>
      </c>
      <c r="AO1092">
        <v>-1.9</v>
      </c>
      <c r="AP1092">
        <v>3.81</v>
      </c>
      <c r="AQ1092">
        <v>5.47</v>
      </c>
      <c r="AR1092">
        <v>43.48</v>
      </c>
      <c r="AS1092">
        <v>1.34</v>
      </c>
      <c r="AT1092" t="s">
        <v>6285</v>
      </c>
      <c r="AU1092">
        <v>12.69</v>
      </c>
      <c r="AV1092">
        <v>21.25</v>
      </c>
      <c r="AW1092">
        <v>0.89</v>
      </c>
      <c r="BA1092">
        <v>0</v>
      </c>
      <c r="BB1092">
        <v>0.21</v>
      </c>
      <c r="BC1092">
        <v>-1.7</v>
      </c>
      <c r="BD1092">
        <v>-0.75</v>
      </c>
      <c r="BE1092">
        <v>-1.49</v>
      </c>
      <c r="BF1092">
        <v>-1.7</v>
      </c>
      <c r="BG1092">
        <v>0.22</v>
      </c>
      <c r="BH1092">
        <v>-0.74</v>
      </c>
      <c r="BI1092">
        <v>20191025</v>
      </c>
      <c r="BJ1092">
        <v>20111208</v>
      </c>
      <c r="BK1092">
        <v>11.23</v>
      </c>
      <c r="BL1092" t="s">
        <v>116</v>
      </c>
      <c r="BM1092" t="s">
        <v>116</v>
      </c>
      <c r="BN1092">
        <v>56.46</v>
      </c>
      <c r="BO1092">
        <v>32.049999999999997</v>
      </c>
      <c r="BP1092">
        <v>0</v>
      </c>
      <c r="BQ1092">
        <v>43.24</v>
      </c>
      <c r="BR1092">
        <v>33.549999999999997</v>
      </c>
      <c r="BS1092">
        <v>17.260000000000002</v>
      </c>
      <c r="BT1092">
        <v>3.9</v>
      </c>
      <c r="BU1092">
        <v>22.72</v>
      </c>
      <c r="BV1092">
        <v>11.16</v>
      </c>
      <c r="BW1092">
        <v>10.01</v>
      </c>
      <c r="BX1092">
        <v>6.38</v>
      </c>
      <c r="BY1092">
        <v>44.05</v>
      </c>
      <c r="BZ1092">
        <v>33</v>
      </c>
      <c r="CA1092">
        <v>3.75</v>
      </c>
      <c r="CB1092">
        <v>-0.01</v>
      </c>
      <c r="CC1092">
        <v>3.79</v>
      </c>
      <c r="CD1092">
        <v>3.28</v>
      </c>
      <c r="CE1092">
        <v>3.28</v>
      </c>
      <c r="CF1092">
        <v>3.01</v>
      </c>
      <c r="CG1092">
        <v>11.98</v>
      </c>
      <c r="CH1092">
        <v>3.06</v>
      </c>
      <c r="CI1092">
        <v>-1.43</v>
      </c>
      <c r="CJ1092">
        <v>26755</v>
      </c>
      <c r="CK1092">
        <v>11556</v>
      </c>
      <c r="CL1092" t="s">
        <v>4525</v>
      </c>
      <c r="CM1092">
        <v>101.74</v>
      </c>
      <c r="CN1092">
        <v>18.489999999999998</v>
      </c>
      <c r="CO1092">
        <v>1.62</v>
      </c>
      <c r="CP1092">
        <v>17.010000000000002</v>
      </c>
      <c r="CQ1092">
        <v>1.18</v>
      </c>
      <c r="CR1092">
        <v>0.71</v>
      </c>
      <c r="CS1092" t="s">
        <v>1591</v>
      </c>
      <c r="CT1092">
        <v>2.85</v>
      </c>
      <c r="CU1092">
        <v>0</v>
      </c>
      <c r="CV1092">
        <v>0.56999999999999995</v>
      </c>
      <c r="CW1092">
        <v>1.07</v>
      </c>
      <c r="CX1092">
        <v>0.27</v>
      </c>
      <c r="CY1092">
        <v>56.76</v>
      </c>
      <c r="CZ1092" t="s">
        <v>6286</v>
      </c>
      <c r="DA1092">
        <v>25.07</v>
      </c>
      <c r="DB1092">
        <v>8.51</v>
      </c>
      <c r="DC1092">
        <v>7.44</v>
      </c>
      <c r="DD1092">
        <v>1.52</v>
      </c>
      <c r="DE1092">
        <v>5814</v>
      </c>
      <c r="DF1092">
        <v>2641</v>
      </c>
      <c r="DG1092" t="s">
        <v>116</v>
      </c>
      <c r="DH1092" t="s">
        <v>116</v>
      </c>
      <c r="DI1092" t="s">
        <v>116</v>
      </c>
    </row>
    <row r="1093" spans="1:113" x14ac:dyDescent="0.4">
      <c r="A1093" t="str">
        <f>"002642"</f>
        <v>002642</v>
      </c>
      <c r="B1093" t="s">
        <v>6287</v>
      </c>
      <c r="C1093">
        <v>-3.28</v>
      </c>
      <c r="D1093">
        <v>6.19</v>
      </c>
      <c r="E1093">
        <v>-0.21</v>
      </c>
      <c r="F1093">
        <v>6.18</v>
      </c>
      <c r="G1093">
        <v>6.19</v>
      </c>
      <c r="H1093">
        <v>108972</v>
      </c>
      <c r="I1093">
        <v>2270</v>
      </c>
      <c r="J1093">
        <v>0</v>
      </c>
      <c r="K1093">
        <v>2.09</v>
      </c>
      <c r="L1093">
        <v>6.46</v>
      </c>
      <c r="M1093">
        <v>6.47</v>
      </c>
      <c r="N1093">
        <v>6.18</v>
      </c>
      <c r="O1093">
        <v>6.4</v>
      </c>
      <c r="P1093">
        <v>144.61000000000001</v>
      </c>
      <c r="Q1093">
        <v>68722696</v>
      </c>
      <c r="R1093">
        <v>1.23</v>
      </c>
      <c r="S1093" t="s">
        <v>607</v>
      </c>
      <c r="T1093" t="s">
        <v>165</v>
      </c>
      <c r="U1093">
        <v>4.53</v>
      </c>
      <c r="V1093">
        <v>6.31</v>
      </c>
      <c r="W1093">
        <v>72920</v>
      </c>
      <c r="X1093">
        <v>36052</v>
      </c>
      <c r="Y1093">
        <v>2.02</v>
      </c>
      <c r="Z1093">
        <v>1421</v>
      </c>
      <c r="AA1093">
        <v>1118</v>
      </c>
      <c r="AB1093" t="s">
        <v>116</v>
      </c>
      <c r="AC1093">
        <v>522600</v>
      </c>
      <c r="AD1093">
        <v>0.02</v>
      </c>
      <c r="AE1093" t="s">
        <v>116</v>
      </c>
      <c r="AF1093" t="s">
        <v>116</v>
      </c>
      <c r="AG1093">
        <v>5.21</v>
      </c>
      <c r="AH1093" t="s">
        <v>6288</v>
      </c>
      <c r="AI1093" t="s">
        <v>6289</v>
      </c>
      <c r="AJ1093">
        <v>-2.6</v>
      </c>
      <c r="AK1093">
        <v>1549</v>
      </c>
      <c r="AL1093">
        <v>70</v>
      </c>
      <c r="AM1093">
        <v>1.4E-3</v>
      </c>
      <c r="AN1093">
        <v>-2</v>
      </c>
      <c r="AO1093">
        <v>-1.74</v>
      </c>
      <c r="AP1093">
        <v>7.47</v>
      </c>
      <c r="AQ1093">
        <v>-1.43</v>
      </c>
      <c r="AR1093">
        <v>-3.88</v>
      </c>
      <c r="AS1093">
        <v>2.85</v>
      </c>
      <c r="AT1093" t="s">
        <v>6290</v>
      </c>
      <c r="AU1093" t="s">
        <v>116</v>
      </c>
      <c r="AV1093" t="s">
        <v>116</v>
      </c>
      <c r="AW1093">
        <v>1.08</v>
      </c>
      <c r="BA1093">
        <v>0.94</v>
      </c>
      <c r="BB1093">
        <v>1.0900000000000001</v>
      </c>
      <c r="BC1093">
        <v>-3.44</v>
      </c>
      <c r="BD1093">
        <v>-1.46</v>
      </c>
      <c r="BE1093">
        <v>-4.18</v>
      </c>
      <c r="BF1093">
        <v>-4.33</v>
      </c>
      <c r="BG1093">
        <v>0.16</v>
      </c>
      <c r="BH1093">
        <v>-1.82</v>
      </c>
      <c r="BI1093">
        <v>20191029</v>
      </c>
      <c r="BJ1093">
        <v>20111220</v>
      </c>
      <c r="BK1093">
        <v>6.62</v>
      </c>
      <c r="BL1093" t="s">
        <v>116</v>
      </c>
      <c r="BM1093" t="s">
        <v>116</v>
      </c>
      <c r="BN1093">
        <v>40.770000000000003</v>
      </c>
      <c r="BO1093">
        <v>28.18</v>
      </c>
      <c r="BP1093">
        <v>0</v>
      </c>
      <c r="BQ1093">
        <v>30.88</v>
      </c>
      <c r="BR1093">
        <v>24.61</v>
      </c>
      <c r="BS1093">
        <v>4.93</v>
      </c>
      <c r="BT1093">
        <v>1.21</v>
      </c>
      <c r="BU1093">
        <v>11.55</v>
      </c>
      <c r="BV1093">
        <v>11.72</v>
      </c>
      <c r="BW1093">
        <v>7.42</v>
      </c>
      <c r="BX1093">
        <v>28.99</v>
      </c>
      <c r="BY1093">
        <v>18.04</v>
      </c>
      <c r="BZ1093">
        <v>14.44</v>
      </c>
      <c r="CA1093">
        <v>0.27</v>
      </c>
      <c r="CB1093">
        <v>0.1</v>
      </c>
      <c r="CC1093">
        <v>0.3</v>
      </c>
      <c r="CD1093">
        <v>0.2</v>
      </c>
      <c r="CE1093">
        <v>0.21</v>
      </c>
      <c r="CF1093">
        <v>0.02</v>
      </c>
      <c r="CG1093">
        <v>-8.25</v>
      </c>
      <c r="CH1093">
        <v>-4.45</v>
      </c>
      <c r="CI1093">
        <v>-6.58</v>
      </c>
      <c r="CJ1093">
        <v>42066</v>
      </c>
      <c r="CK1093">
        <v>9074</v>
      </c>
      <c r="CL1093" t="s">
        <v>2551</v>
      </c>
      <c r="CM1093">
        <v>401.97</v>
      </c>
      <c r="CN1093">
        <v>6</v>
      </c>
      <c r="CO1093">
        <v>1.45</v>
      </c>
      <c r="CP1093">
        <v>-9.2100000000000009</v>
      </c>
      <c r="CQ1093">
        <v>2.27</v>
      </c>
      <c r="CR1093">
        <v>0</v>
      </c>
      <c r="CS1093" t="s">
        <v>1284</v>
      </c>
      <c r="CT1093">
        <v>4.26</v>
      </c>
      <c r="CU1093">
        <v>0</v>
      </c>
      <c r="CV1093">
        <v>4.38</v>
      </c>
      <c r="CW1093">
        <v>-1.25</v>
      </c>
      <c r="CX1093">
        <v>-0.67</v>
      </c>
      <c r="CY1093">
        <v>69.12</v>
      </c>
      <c r="CZ1093" t="s">
        <v>3974</v>
      </c>
      <c r="DA1093">
        <v>19.989999999999998</v>
      </c>
      <c r="DB1093">
        <v>1.5</v>
      </c>
      <c r="DC1093">
        <v>1.18</v>
      </c>
      <c r="DD1093">
        <v>0.81</v>
      </c>
      <c r="DE1093">
        <v>1069</v>
      </c>
      <c r="DF1093">
        <v>2642</v>
      </c>
      <c r="DG1093" t="s">
        <v>116</v>
      </c>
      <c r="DH1093" t="s">
        <v>116</v>
      </c>
      <c r="DI1093" t="s">
        <v>116</v>
      </c>
    </row>
    <row r="1094" spans="1:113" x14ac:dyDescent="0.4">
      <c r="A1094" t="str">
        <f>"002643"</f>
        <v>002643</v>
      </c>
      <c r="B1094" t="s">
        <v>6291</v>
      </c>
      <c r="C1094">
        <v>0.61</v>
      </c>
      <c r="D1094">
        <v>14.91</v>
      </c>
      <c r="E1094">
        <v>0.09</v>
      </c>
      <c r="F1094">
        <v>14.9</v>
      </c>
      <c r="G1094">
        <v>14.91</v>
      </c>
      <c r="H1094">
        <v>121669</v>
      </c>
      <c r="I1094">
        <v>613</v>
      </c>
      <c r="J1094">
        <v>0.13</v>
      </c>
      <c r="K1094">
        <v>1.34</v>
      </c>
      <c r="L1094">
        <v>14.96</v>
      </c>
      <c r="M1094">
        <v>15.2</v>
      </c>
      <c r="N1094">
        <v>14.82</v>
      </c>
      <c r="O1094">
        <v>14.82</v>
      </c>
      <c r="P1094">
        <v>27.75</v>
      </c>
      <c r="Q1094">
        <v>182702016</v>
      </c>
      <c r="R1094">
        <v>0.86</v>
      </c>
      <c r="S1094" t="s">
        <v>891</v>
      </c>
      <c r="T1094" t="s">
        <v>645</v>
      </c>
      <c r="U1094">
        <v>2.56</v>
      </c>
      <c r="V1094">
        <v>15.02</v>
      </c>
      <c r="W1094">
        <v>68798</v>
      </c>
      <c r="X1094">
        <v>52871</v>
      </c>
      <c r="Y1094">
        <v>1.3</v>
      </c>
      <c r="Z1094">
        <v>260</v>
      </c>
      <c r="AA1094">
        <v>183</v>
      </c>
      <c r="AB1094" t="s">
        <v>116</v>
      </c>
      <c r="AC1094">
        <v>691200</v>
      </c>
      <c r="AD1094">
        <v>0.01</v>
      </c>
      <c r="AE1094" t="s">
        <v>116</v>
      </c>
      <c r="AF1094" t="s">
        <v>116</v>
      </c>
      <c r="AG1094">
        <v>9.09</v>
      </c>
      <c r="AH1094" t="s">
        <v>6292</v>
      </c>
      <c r="AI1094" t="s">
        <v>6292</v>
      </c>
      <c r="AJ1094">
        <v>1.29</v>
      </c>
      <c r="AK1094">
        <v>2790</v>
      </c>
      <c r="AL1094">
        <v>44</v>
      </c>
      <c r="AM1094">
        <v>5.0000000000000001E-4</v>
      </c>
      <c r="AN1094">
        <v>1</v>
      </c>
      <c r="AO1094">
        <v>-1.97</v>
      </c>
      <c r="AP1094">
        <v>16.03</v>
      </c>
      <c r="AQ1094">
        <v>13.99</v>
      </c>
      <c r="AR1094">
        <v>49.94</v>
      </c>
      <c r="AS1094">
        <v>2.48</v>
      </c>
      <c r="AT1094" t="s">
        <v>6293</v>
      </c>
      <c r="AU1094">
        <v>26.86</v>
      </c>
      <c r="AV1094">
        <v>30.5</v>
      </c>
      <c r="AW1094">
        <v>1</v>
      </c>
      <c r="BA1094">
        <v>0.94</v>
      </c>
      <c r="BB1094">
        <v>2.56</v>
      </c>
      <c r="BC1094">
        <v>0</v>
      </c>
      <c r="BD1094">
        <v>1.32</v>
      </c>
      <c r="BE1094">
        <v>-0.33</v>
      </c>
      <c r="BF1094">
        <v>-1.91</v>
      </c>
      <c r="BG1094">
        <v>0.61</v>
      </c>
      <c r="BH1094">
        <v>-0.72</v>
      </c>
      <c r="BI1094">
        <v>20191026</v>
      </c>
      <c r="BJ1094">
        <v>20111220</v>
      </c>
      <c r="BK1094">
        <v>9.09</v>
      </c>
      <c r="BL1094" t="s">
        <v>116</v>
      </c>
      <c r="BM1094" t="s">
        <v>116</v>
      </c>
      <c r="BN1094">
        <v>57.08</v>
      </c>
      <c r="BO1094">
        <v>46.94</v>
      </c>
      <c r="BP1094">
        <v>1.87</v>
      </c>
      <c r="BQ1094">
        <v>14.47</v>
      </c>
      <c r="BR1094">
        <v>24.85</v>
      </c>
      <c r="BS1094">
        <v>14.05</v>
      </c>
      <c r="BT1094">
        <v>2.4900000000000002</v>
      </c>
      <c r="BU1094">
        <v>7.79</v>
      </c>
      <c r="BV1094">
        <v>11.5</v>
      </c>
      <c r="BW1094">
        <v>3.08</v>
      </c>
      <c r="BX1094">
        <v>20.79</v>
      </c>
      <c r="BY1094">
        <v>19.43</v>
      </c>
      <c r="BZ1094">
        <v>11.18</v>
      </c>
      <c r="CA1094">
        <v>4.43</v>
      </c>
      <c r="CB1094">
        <v>0.06</v>
      </c>
      <c r="CC1094">
        <v>4.43</v>
      </c>
      <c r="CD1094">
        <v>3.86</v>
      </c>
      <c r="CE1094">
        <v>3.66</v>
      </c>
      <c r="CF1094">
        <v>3.55</v>
      </c>
      <c r="CG1094">
        <v>14.15</v>
      </c>
      <c r="CH1094">
        <v>5.7</v>
      </c>
      <c r="CI1094">
        <v>2.0099999999999998</v>
      </c>
      <c r="CJ1094">
        <v>24329</v>
      </c>
      <c r="CK1094">
        <v>20142</v>
      </c>
      <c r="CL1094" t="s">
        <v>6294</v>
      </c>
      <c r="CM1094">
        <v>19.64</v>
      </c>
      <c r="CN1094">
        <v>5.03</v>
      </c>
      <c r="CO1094">
        <v>2.89</v>
      </c>
      <c r="CP1094">
        <v>23.79</v>
      </c>
      <c r="CQ1094">
        <v>6.98</v>
      </c>
      <c r="CR1094">
        <v>1.18</v>
      </c>
      <c r="CS1094" t="s">
        <v>268</v>
      </c>
      <c r="CT1094">
        <v>5.16</v>
      </c>
      <c r="CU1094">
        <v>0</v>
      </c>
      <c r="CV1094">
        <v>2.29</v>
      </c>
      <c r="CW1094">
        <v>1.56</v>
      </c>
      <c r="CX1094">
        <v>0.63</v>
      </c>
      <c r="CY1094">
        <v>82.25</v>
      </c>
      <c r="CZ1094" t="s">
        <v>6295</v>
      </c>
      <c r="DA1094">
        <v>42.45</v>
      </c>
      <c r="DB1094">
        <v>22.82</v>
      </c>
      <c r="DC1094">
        <v>18.86</v>
      </c>
      <c r="DD1094">
        <v>1.45</v>
      </c>
      <c r="DE1094">
        <v>3250</v>
      </c>
      <c r="DF1094">
        <v>2643</v>
      </c>
      <c r="DG1094" t="s">
        <v>116</v>
      </c>
      <c r="DH1094" t="s">
        <v>116</v>
      </c>
      <c r="DI1094" t="s">
        <v>116</v>
      </c>
    </row>
    <row r="1095" spans="1:113" x14ac:dyDescent="0.4">
      <c r="A1095" t="str">
        <f>"002644"</f>
        <v>002644</v>
      </c>
      <c r="B1095" t="s">
        <v>6296</v>
      </c>
      <c r="C1095">
        <v>-2.48</v>
      </c>
      <c r="D1095">
        <v>7.09</v>
      </c>
      <c r="E1095">
        <v>-0.18</v>
      </c>
      <c r="F1095">
        <v>7.09</v>
      </c>
      <c r="G1095">
        <v>7.1</v>
      </c>
      <c r="H1095">
        <v>55957</v>
      </c>
      <c r="I1095">
        <v>293</v>
      </c>
      <c r="J1095">
        <v>-0.13</v>
      </c>
      <c r="K1095">
        <v>1.1000000000000001</v>
      </c>
      <c r="L1095">
        <v>7.23</v>
      </c>
      <c r="M1095">
        <v>7.42</v>
      </c>
      <c r="N1095">
        <v>7.06</v>
      </c>
      <c r="O1095">
        <v>7.27</v>
      </c>
      <c r="P1095">
        <v>37.200000000000003</v>
      </c>
      <c r="Q1095">
        <v>40415372</v>
      </c>
      <c r="R1095">
        <v>0.88</v>
      </c>
      <c r="S1095" t="s">
        <v>781</v>
      </c>
      <c r="T1095" t="s">
        <v>1122</v>
      </c>
      <c r="U1095">
        <v>4.95</v>
      </c>
      <c r="V1095">
        <v>7.22</v>
      </c>
      <c r="W1095">
        <v>33979</v>
      </c>
      <c r="X1095">
        <v>21978</v>
      </c>
      <c r="Y1095">
        <v>1.55</v>
      </c>
      <c r="Z1095">
        <v>7</v>
      </c>
      <c r="AA1095">
        <v>187</v>
      </c>
      <c r="AB1095" t="s">
        <v>116</v>
      </c>
      <c r="AC1095">
        <v>91800</v>
      </c>
      <c r="AD1095">
        <v>0.01</v>
      </c>
      <c r="AE1095" t="s">
        <v>116</v>
      </c>
      <c r="AF1095" t="s">
        <v>116</v>
      </c>
      <c r="AG1095">
        <v>5.1100000000000003</v>
      </c>
      <c r="AH1095" t="s">
        <v>6297</v>
      </c>
      <c r="AI1095" t="s">
        <v>6297</v>
      </c>
      <c r="AJ1095">
        <v>-1.8</v>
      </c>
      <c r="AK1095">
        <v>1253</v>
      </c>
      <c r="AL1095">
        <v>45</v>
      </c>
      <c r="AM1095">
        <v>8.9999999999999998E-4</v>
      </c>
      <c r="AN1095">
        <v>-1</v>
      </c>
      <c r="AO1095">
        <v>-0.99</v>
      </c>
      <c r="AP1095">
        <v>3.05</v>
      </c>
      <c r="AQ1095">
        <v>9.08</v>
      </c>
      <c r="AR1095">
        <v>-9.07</v>
      </c>
      <c r="AS1095">
        <v>2.86</v>
      </c>
      <c r="AT1095" t="s">
        <v>4901</v>
      </c>
      <c r="AU1095">
        <v>40.19</v>
      </c>
      <c r="AV1095">
        <v>48.74</v>
      </c>
      <c r="AW1095">
        <v>0.72</v>
      </c>
      <c r="BA1095">
        <v>-0.55000000000000004</v>
      </c>
      <c r="BB1095">
        <v>2.06</v>
      </c>
      <c r="BC1095">
        <v>-2.89</v>
      </c>
      <c r="BD1095">
        <v>-0.65</v>
      </c>
      <c r="BE1095">
        <v>-1.94</v>
      </c>
      <c r="BF1095">
        <v>-4.45</v>
      </c>
      <c r="BG1095">
        <v>0.42</v>
      </c>
      <c r="BH1095">
        <v>-1.82</v>
      </c>
      <c r="BI1095">
        <v>20191024</v>
      </c>
      <c r="BJ1095">
        <v>20111222</v>
      </c>
      <c r="BK1095">
        <v>5.1100000000000003</v>
      </c>
      <c r="BL1095" t="s">
        <v>116</v>
      </c>
      <c r="BM1095" t="s">
        <v>116</v>
      </c>
      <c r="BN1095">
        <v>24.38</v>
      </c>
      <c r="BO1095">
        <v>15.08</v>
      </c>
      <c r="BP1095">
        <v>0</v>
      </c>
      <c r="BQ1095">
        <v>38.14</v>
      </c>
      <c r="BR1095">
        <v>9.99</v>
      </c>
      <c r="BS1095">
        <v>11.47</v>
      </c>
      <c r="BT1095">
        <v>1.08</v>
      </c>
      <c r="BU1095">
        <v>3.93</v>
      </c>
      <c r="BV1095">
        <v>2.57</v>
      </c>
      <c r="BW1095">
        <v>2.2799999999999998</v>
      </c>
      <c r="BX1095">
        <v>3.43</v>
      </c>
      <c r="BY1095">
        <v>4.68</v>
      </c>
      <c r="BZ1095">
        <v>3.38</v>
      </c>
      <c r="CA1095">
        <v>0.86</v>
      </c>
      <c r="CB1095">
        <v>0</v>
      </c>
      <c r="CC1095">
        <v>0.86</v>
      </c>
      <c r="CD1095">
        <v>0.73</v>
      </c>
      <c r="CE1095">
        <v>0.73</v>
      </c>
      <c r="CF1095">
        <v>0.22</v>
      </c>
      <c r="CG1095">
        <v>5.75</v>
      </c>
      <c r="CH1095">
        <v>-0.08</v>
      </c>
      <c r="CI1095">
        <v>-0.57999999999999996</v>
      </c>
      <c r="CJ1095">
        <v>33239</v>
      </c>
      <c r="CK1095">
        <v>5895</v>
      </c>
      <c r="CL1095" t="s">
        <v>563</v>
      </c>
      <c r="CM1095">
        <v>27.63</v>
      </c>
      <c r="CN1095">
        <v>15.53</v>
      </c>
      <c r="CO1095">
        <v>2.4</v>
      </c>
      <c r="CP1095">
        <v>-445.76</v>
      </c>
      <c r="CQ1095">
        <v>7.74</v>
      </c>
      <c r="CR1095">
        <v>0.18</v>
      </c>
      <c r="CS1095" t="s">
        <v>4984</v>
      </c>
      <c r="CT1095">
        <v>2.95</v>
      </c>
      <c r="CU1095">
        <v>0</v>
      </c>
      <c r="CV1095">
        <v>0.67</v>
      </c>
      <c r="CW1095">
        <v>1.1299999999999999</v>
      </c>
      <c r="CX1095">
        <v>-0.02</v>
      </c>
      <c r="CY1095">
        <v>61.86</v>
      </c>
      <c r="CZ1095" t="s">
        <v>6298</v>
      </c>
      <c r="DA1095">
        <v>27.77</v>
      </c>
      <c r="DB1095">
        <v>18.309999999999999</v>
      </c>
      <c r="DC1095">
        <v>15.61</v>
      </c>
      <c r="DD1095">
        <v>0.13</v>
      </c>
      <c r="DE1095">
        <v>1504</v>
      </c>
      <c r="DF1095">
        <v>2644</v>
      </c>
      <c r="DG1095" t="s">
        <v>116</v>
      </c>
      <c r="DH1095" t="s">
        <v>116</v>
      </c>
      <c r="DI1095" t="s">
        <v>116</v>
      </c>
    </row>
    <row r="1096" spans="1:113" x14ac:dyDescent="0.4">
      <c r="A1096" t="str">
        <f>"002645"</f>
        <v>002645</v>
      </c>
      <c r="B1096" t="s">
        <v>6299</v>
      </c>
      <c r="C1096">
        <v>-1.44</v>
      </c>
      <c r="D1096">
        <v>8.24</v>
      </c>
      <c r="E1096">
        <v>-0.12</v>
      </c>
      <c r="F1096">
        <v>8.24</v>
      </c>
      <c r="G1096">
        <v>8.25</v>
      </c>
      <c r="H1096">
        <v>61837</v>
      </c>
      <c r="I1096">
        <v>854</v>
      </c>
      <c r="J1096">
        <v>0</v>
      </c>
      <c r="K1096">
        <v>1.56</v>
      </c>
      <c r="L1096">
        <v>8.43</v>
      </c>
      <c r="M1096">
        <v>8.4499999999999993</v>
      </c>
      <c r="N1096">
        <v>8.23</v>
      </c>
      <c r="O1096">
        <v>8.36</v>
      </c>
      <c r="P1096">
        <v>19.13</v>
      </c>
      <c r="Q1096">
        <v>51601940</v>
      </c>
      <c r="R1096">
        <v>1.26</v>
      </c>
      <c r="S1096" t="s">
        <v>682</v>
      </c>
      <c r="T1096" t="s">
        <v>323</v>
      </c>
      <c r="U1096">
        <v>2.63</v>
      </c>
      <c r="V1096">
        <v>8.34</v>
      </c>
      <c r="W1096">
        <v>29525</v>
      </c>
      <c r="X1096">
        <v>32312</v>
      </c>
      <c r="Y1096">
        <v>0.91</v>
      </c>
      <c r="Z1096">
        <v>108</v>
      </c>
      <c r="AA1096">
        <v>244</v>
      </c>
      <c r="AB1096" t="s">
        <v>116</v>
      </c>
      <c r="AC1096">
        <v>324600</v>
      </c>
      <c r="AD1096">
        <v>0.03</v>
      </c>
      <c r="AE1096" t="s">
        <v>116</v>
      </c>
      <c r="AF1096" t="s">
        <v>116</v>
      </c>
      <c r="AG1096">
        <v>3.96</v>
      </c>
      <c r="AH1096" t="s">
        <v>6300</v>
      </c>
      <c r="AI1096" t="s">
        <v>6301</v>
      </c>
      <c r="AJ1096">
        <v>-0.76</v>
      </c>
      <c r="AK1096">
        <v>2276</v>
      </c>
      <c r="AL1096">
        <v>27</v>
      </c>
      <c r="AM1096">
        <v>6.9999999999999999E-4</v>
      </c>
      <c r="AN1096">
        <v>-1</v>
      </c>
      <c r="AO1096">
        <v>1.98</v>
      </c>
      <c r="AP1096">
        <v>4.04</v>
      </c>
      <c r="AQ1096">
        <v>-6.47</v>
      </c>
      <c r="AR1096">
        <v>53.03</v>
      </c>
      <c r="AS1096">
        <v>4.8499999999999996</v>
      </c>
      <c r="AT1096" t="s">
        <v>6302</v>
      </c>
      <c r="AU1096">
        <v>20.67</v>
      </c>
      <c r="AV1096">
        <v>24.28</v>
      </c>
      <c r="AW1096">
        <v>0.91</v>
      </c>
      <c r="BA1096">
        <v>0.84</v>
      </c>
      <c r="BB1096">
        <v>1.08</v>
      </c>
      <c r="BC1096">
        <v>-1.56</v>
      </c>
      <c r="BD1096">
        <v>-0.18</v>
      </c>
      <c r="BE1096">
        <v>-2.25</v>
      </c>
      <c r="BF1096">
        <v>-2.4900000000000002</v>
      </c>
      <c r="BG1096">
        <v>0.12</v>
      </c>
      <c r="BH1096">
        <v>-1.25</v>
      </c>
      <c r="BI1096">
        <v>20191026</v>
      </c>
      <c r="BJ1096">
        <v>20111220</v>
      </c>
      <c r="BK1096">
        <v>4.63</v>
      </c>
      <c r="BL1096" t="s">
        <v>116</v>
      </c>
      <c r="BM1096" t="s">
        <v>116</v>
      </c>
      <c r="BN1096">
        <v>25.28</v>
      </c>
      <c r="BO1096">
        <v>19.25</v>
      </c>
      <c r="BP1096">
        <v>0.4</v>
      </c>
      <c r="BQ1096">
        <v>22.3</v>
      </c>
      <c r="BR1096">
        <v>12.74</v>
      </c>
      <c r="BS1096">
        <v>4.2699999999999996</v>
      </c>
      <c r="BT1096">
        <v>0.72</v>
      </c>
      <c r="BU1096">
        <v>5.46</v>
      </c>
      <c r="BV1096">
        <v>5.2</v>
      </c>
      <c r="BW1096">
        <v>3.07</v>
      </c>
      <c r="BX1096">
        <v>8.1999999999999993</v>
      </c>
      <c r="BY1096">
        <v>16.920000000000002</v>
      </c>
      <c r="BZ1096">
        <v>13.38</v>
      </c>
      <c r="CA1096">
        <v>1.82</v>
      </c>
      <c r="CB1096">
        <v>0.03</v>
      </c>
      <c r="CC1096">
        <v>1.83</v>
      </c>
      <c r="CD1096">
        <v>1.53</v>
      </c>
      <c r="CE1096">
        <v>1.5</v>
      </c>
      <c r="CF1096">
        <v>1.33</v>
      </c>
      <c r="CG1096">
        <v>5.84</v>
      </c>
      <c r="CH1096">
        <v>0.55000000000000004</v>
      </c>
      <c r="CI1096">
        <v>-0.76</v>
      </c>
      <c r="CJ1096">
        <v>23839</v>
      </c>
      <c r="CK1096">
        <v>5352</v>
      </c>
      <c r="CL1096" t="s">
        <v>3027</v>
      </c>
      <c r="CM1096">
        <v>22.53</v>
      </c>
      <c r="CN1096">
        <v>20.79</v>
      </c>
      <c r="CO1096">
        <v>1.98</v>
      </c>
      <c r="CP1096">
        <v>69.75</v>
      </c>
      <c r="CQ1096">
        <v>2.25</v>
      </c>
      <c r="CR1096">
        <v>1.1200000000000001</v>
      </c>
      <c r="CS1096" t="s">
        <v>3767</v>
      </c>
      <c r="CT1096">
        <v>4.16</v>
      </c>
      <c r="CU1096">
        <v>0</v>
      </c>
      <c r="CV1096">
        <v>1.77</v>
      </c>
      <c r="CW1096">
        <v>1.26</v>
      </c>
      <c r="CX1096">
        <v>0.12</v>
      </c>
      <c r="CY1096">
        <v>76.12</v>
      </c>
      <c r="CZ1096" t="s">
        <v>6303</v>
      </c>
      <c r="DA1096">
        <v>20.95</v>
      </c>
      <c r="DB1096">
        <v>10.76</v>
      </c>
      <c r="DC1096">
        <v>8.84</v>
      </c>
      <c r="DD1096">
        <v>0.59</v>
      </c>
      <c r="DE1096">
        <v>1570</v>
      </c>
      <c r="DF1096">
        <v>2645</v>
      </c>
      <c r="DG1096" t="s">
        <v>116</v>
      </c>
      <c r="DH1096" t="s">
        <v>116</v>
      </c>
      <c r="DI1096" t="s">
        <v>116</v>
      </c>
    </row>
    <row r="1097" spans="1:113" x14ac:dyDescent="0.4">
      <c r="A1097" t="str">
        <f>"002646"</f>
        <v>002646</v>
      </c>
      <c r="B1097" t="s">
        <v>6304</v>
      </c>
      <c r="C1097">
        <v>0.28000000000000003</v>
      </c>
      <c r="D1097">
        <v>10.61</v>
      </c>
      <c r="E1097">
        <v>0.03</v>
      </c>
      <c r="F1097">
        <v>10.61</v>
      </c>
      <c r="G1097">
        <v>10.62</v>
      </c>
      <c r="H1097">
        <v>35851</v>
      </c>
      <c r="I1097">
        <v>320</v>
      </c>
      <c r="J1097">
        <v>0</v>
      </c>
      <c r="K1097">
        <v>0.8</v>
      </c>
      <c r="L1097">
        <v>10.56</v>
      </c>
      <c r="M1097">
        <v>10.75</v>
      </c>
      <c r="N1097">
        <v>10.52</v>
      </c>
      <c r="O1097">
        <v>10.58</v>
      </c>
      <c r="P1097">
        <v>130.07</v>
      </c>
      <c r="Q1097">
        <v>38115724</v>
      </c>
      <c r="R1097">
        <v>1.24</v>
      </c>
      <c r="S1097" t="s">
        <v>1212</v>
      </c>
      <c r="T1097" t="s">
        <v>698</v>
      </c>
      <c r="U1097">
        <v>2.17</v>
      </c>
      <c r="V1097">
        <v>10.63</v>
      </c>
      <c r="W1097">
        <v>21400</v>
      </c>
      <c r="X1097">
        <v>14451</v>
      </c>
      <c r="Y1097">
        <v>1.48</v>
      </c>
      <c r="Z1097">
        <v>155</v>
      </c>
      <c r="AA1097">
        <v>304</v>
      </c>
      <c r="AB1097" t="s">
        <v>116</v>
      </c>
      <c r="AC1097">
        <v>26400</v>
      </c>
      <c r="AD1097">
        <v>0</v>
      </c>
      <c r="AE1097" t="s">
        <v>116</v>
      </c>
      <c r="AF1097" t="s">
        <v>116</v>
      </c>
      <c r="AG1097">
        <v>4.5</v>
      </c>
      <c r="AH1097" t="s">
        <v>6305</v>
      </c>
      <c r="AI1097" t="s">
        <v>6306</v>
      </c>
      <c r="AJ1097">
        <v>0.96</v>
      </c>
      <c r="AK1097">
        <v>884</v>
      </c>
      <c r="AL1097">
        <v>41</v>
      </c>
      <c r="AM1097">
        <v>8.9999999999999998E-4</v>
      </c>
      <c r="AN1097">
        <v>2</v>
      </c>
      <c r="AO1097">
        <v>0.67</v>
      </c>
      <c r="AP1097">
        <v>4.95</v>
      </c>
      <c r="AQ1097">
        <v>-10.01</v>
      </c>
      <c r="AR1097">
        <v>0.19</v>
      </c>
      <c r="AS1097">
        <v>2.12</v>
      </c>
      <c r="AT1097" t="s">
        <v>4755</v>
      </c>
      <c r="AU1097">
        <v>98.86</v>
      </c>
      <c r="AV1097">
        <v>44.38</v>
      </c>
      <c r="AW1097">
        <v>0.91</v>
      </c>
      <c r="BA1097">
        <v>-0.19</v>
      </c>
      <c r="BB1097">
        <v>1.61</v>
      </c>
      <c r="BC1097">
        <v>-0.56999999999999995</v>
      </c>
      <c r="BD1097">
        <v>0.49</v>
      </c>
      <c r="BE1097">
        <v>0.47</v>
      </c>
      <c r="BF1097">
        <v>-1.3</v>
      </c>
      <c r="BG1097">
        <v>0.86</v>
      </c>
      <c r="BH1097">
        <v>-0.21</v>
      </c>
      <c r="BI1097">
        <v>20191029</v>
      </c>
      <c r="BJ1097">
        <v>20111222</v>
      </c>
      <c r="BK1097">
        <v>4.5</v>
      </c>
      <c r="BL1097" t="s">
        <v>116</v>
      </c>
      <c r="BM1097" t="s">
        <v>116</v>
      </c>
      <c r="BN1097">
        <v>27.63</v>
      </c>
      <c r="BO1097">
        <v>23.63</v>
      </c>
      <c r="BP1097">
        <v>-7.0000000000000007E-2</v>
      </c>
      <c r="BQ1097">
        <v>14.73</v>
      </c>
      <c r="BR1097">
        <v>13.48</v>
      </c>
      <c r="BS1097">
        <v>11.58</v>
      </c>
      <c r="BT1097">
        <v>1.67</v>
      </c>
      <c r="BU1097">
        <v>3.85</v>
      </c>
      <c r="BV1097">
        <v>8.64</v>
      </c>
      <c r="BW1097">
        <v>0.22</v>
      </c>
      <c r="BX1097">
        <v>8.61</v>
      </c>
      <c r="BY1097">
        <v>8.26</v>
      </c>
      <c r="BZ1097">
        <v>2.91</v>
      </c>
      <c r="CA1097">
        <v>0.37</v>
      </c>
      <c r="CB1097">
        <v>0.02</v>
      </c>
      <c r="CC1097">
        <v>0.37</v>
      </c>
      <c r="CD1097">
        <v>0.17</v>
      </c>
      <c r="CE1097">
        <v>0.28000000000000003</v>
      </c>
      <c r="CF1097">
        <v>0.15</v>
      </c>
      <c r="CG1097">
        <v>9.07</v>
      </c>
      <c r="CH1097">
        <v>-1.04</v>
      </c>
      <c r="CI1097">
        <v>-1.83</v>
      </c>
      <c r="CJ1097">
        <v>23169</v>
      </c>
      <c r="CK1097">
        <v>7289</v>
      </c>
      <c r="CL1097" t="s">
        <v>2411</v>
      </c>
      <c r="CM1097">
        <v>-68.290000000000006</v>
      </c>
      <c r="CN1097">
        <v>-13.17</v>
      </c>
      <c r="CO1097">
        <v>2.02</v>
      </c>
      <c r="CP1097">
        <v>-45.72</v>
      </c>
      <c r="CQ1097">
        <v>5.78</v>
      </c>
      <c r="CR1097">
        <v>1.1299999999999999</v>
      </c>
      <c r="CS1097" t="s">
        <v>6307</v>
      </c>
      <c r="CT1097">
        <v>5.25</v>
      </c>
      <c r="CU1097">
        <v>0</v>
      </c>
      <c r="CV1097">
        <v>1.91</v>
      </c>
      <c r="CW1097">
        <v>2.0099999999999998</v>
      </c>
      <c r="CX1097">
        <v>-0.23</v>
      </c>
      <c r="CY1097">
        <v>85.52</v>
      </c>
      <c r="CZ1097" t="s">
        <v>6308</v>
      </c>
      <c r="DA1097">
        <v>64.75</v>
      </c>
      <c r="DB1097">
        <v>4.46</v>
      </c>
      <c r="DC1097">
        <v>3.33</v>
      </c>
      <c r="DD1097">
        <v>0.13</v>
      </c>
      <c r="DE1097">
        <v>2326</v>
      </c>
      <c r="DF1097">
        <v>2646</v>
      </c>
      <c r="DG1097" t="s">
        <v>116</v>
      </c>
      <c r="DH1097" t="s">
        <v>116</v>
      </c>
      <c r="DI1097" t="s">
        <v>116</v>
      </c>
    </row>
    <row r="1098" spans="1:113" x14ac:dyDescent="0.4">
      <c r="A1098" t="str">
        <f>"002647"</f>
        <v>002647</v>
      </c>
      <c r="B1098" t="s">
        <v>6309</v>
      </c>
      <c r="C1098">
        <v>-0.86</v>
      </c>
      <c r="D1098">
        <v>20.67</v>
      </c>
      <c r="E1098">
        <v>-0.18</v>
      </c>
      <c r="F1098">
        <v>20.43</v>
      </c>
      <c r="G1098">
        <v>20.67</v>
      </c>
      <c r="H1098">
        <v>116960</v>
      </c>
      <c r="I1098">
        <v>2776</v>
      </c>
      <c r="J1098">
        <v>2.48</v>
      </c>
      <c r="K1098">
        <v>2.09</v>
      </c>
      <c r="L1098">
        <v>21.19</v>
      </c>
      <c r="M1098">
        <v>21.19</v>
      </c>
      <c r="N1098">
        <v>19.88</v>
      </c>
      <c r="O1098">
        <v>20.85</v>
      </c>
      <c r="P1098">
        <v>176.21</v>
      </c>
      <c r="Q1098">
        <v>238810848</v>
      </c>
      <c r="R1098">
        <v>1.18</v>
      </c>
      <c r="S1098" t="s">
        <v>732</v>
      </c>
      <c r="T1098" t="s">
        <v>590</v>
      </c>
      <c r="U1098">
        <v>6.28</v>
      </c>
      <c r="V1098">
        <v>20.420000000000002</v>
      </c>
      <c r="W1098">
        <v>51020</v>
      </c>
      <c r="X1098">
        <v>65940</v>
      </c>
      <c r="Y1098">
        <v>0.77</v>
      </c>
      <c r="Z1098">
        <v>51</v>
      </c>
      <c r="AA1098">
        <v>175</v>
      </c>
      <c r="AB1098" t="s">
        <v>116</v>
      </c>
      <c r="AC1098">
        <v>154700</v>
      </c>
      <c r="AD1098">
        <v>0</v>
      </c>
      <c r="AE1098" t="s">
        <v>116</v>
      </c>
      <c r="AF1098" t="s">
        <v>116</v>
      </c>
      <c r="AG1098">
        <v>5.6</v>
      </c>
      <c r="AH1098" t="s">
        <v>6310</v>
      </c>
      <c r="AI1098" t="s">
        <v>6310</v>
      </c>
      <c r="AJ1098">
        <v>-0.18</v>
      </c>
      <c r="AK1098">
        <v>2444</v>
      </c>
      <c r="AL1098">
        <v>48</v>
      </c>
      <c r="AM1098">
        <v>8.9999999999999998E-4</v>
      </c>
      <c r="AN1098">
        <v>-4</v>
      </c>
      <c r="AO1098">
        <v>-2.08</v>
      </c>
      <c r="AP1098">
        <v>21.52</v>
      </c>
      <c r="AQ1098">
        <v>27.59</v>
      </c>
      <c r="AR1098">
        <v>43.34</v>
      </c>
      <c r="AS1098">
        <v>6.32</v>
      </c>
      <c r="AT1098" t="s">
        <v>6311</v>
      </c>
      <c r="AU1098">
        <v>159.61000000000001</v>
      </c>
      <c r="AV1098">
        <v>218.43</v>
      </c>
      <c r="AW1098">
        <v>0.62</v>
      </c>
      <c r="BA1098">
        <v>1.63</v>
      </c>
      <c r="BB1098">
        <v>1.63</v>
      </c>
      <c r="BC1098">
        <v>-4.6500000000000004</v>
      </c>
      <c r="BD1098">
        <v>-2.0699999999999998</v>
      </c>
      <c r="BE1098">
        <v>-2.4500000000000002</v>
      </c>
      <c r="BF1098">
        <v>-2.4500000000000002</v>
      </c>
      <c r="BG1098">
        <v>3.97</v>
      </c>
      <c r="BH1098">
        <v>1.21</v>
      </c>
      <c r="BI1098">
        <v>20191030</v>
      </c>
      <c r="BJ1098">
        <v>20111228</v>
      </c>
      <c r="BK1098">
        <v>5.6</v>
      </c>
      <c r="BL1098" t="s">
        <v>116</v>
      </c>
      <c r="BM1098" t="s">
        <v>116</v>
      </c>
      <c r="BN1098">
        <v>29.94</v>
      </c>
      <c r="BO1098">
        <v>10.07</v>
      </c>
      <c r="BP1098">
        <v>0.38</v>
      </c>
      <c r="BQ1098">
        <v>65.12</v>
      </c>
      <c r="BR1098">
        <v>14.59</v>
      </c>
      <c r="BS1098">
        <v>0.05</v>
      </c>
      <c r="BT1098">
        <v>0.33</v>
      </c>
      <c r="BU1098">
        <v>15.3</v>
      </c>
      <c r="BV1098">
        <v>0</v>
      </c>
      <c r="BW1098">
        <v>3.17</v>
      </c>
      <c r="BX1098">
        <v>1.91</v>
      </c>
      <c r="BY1098">
        <v>9.24</v>
      </c>
      <c r="BZ1098">
        <v>6.88</v>
      </c>
      <c r="CA1098">
        <v>0.7</v>
      </c>
      <c r="CB1098">
        <v>0.11</v>
      </c>
      <c r="CC1098">
        <v>0.75</v>
      </c>
      <c r="CD1098">
        <v>0.52</v>
      </c>
      <c r="CE1098">
        <v>0.49</v>
      </c>
      <c r="CF1098">
        <v>0.43</v>
      </c>
      <c r="CG1098">
        <v>2.12</v>
      </c>
      <c r="CH1098">
        <v>1.07</v>
      </c>
      <c r="CI1098">
        <v>-3.49</v>
      </c>
      <c r="CJ1098">
        <v>5726</v>
      </c>
      <c r="CK1098">
        <v>32341</v>
      </c>
      <c r="CL1098" t="s">
        <v>6312</v>
      </c>
      <c r="CM1098">
        <v>65.67</v>
      </c>
      <c r="CN1098">
        <v>-7.25</v>
      </c>
      <c r="CO1098">
        <v>11.5</v>
      </c>
      <c r="CP1098">
        <v>108.33</v>
      </c>
      <c r="CQ1098">
        <v>12.52</v>
      </c>
      <c r="CR1098">
        <v>0.1</v>
      </c>
      <c r="CS1098" t="s">
        <v>687</v>
      </c>
      <c r="CT1098">
        <v>1.8</v>
      </c>
      <c r="CU1098">
        <v>0</v>
      </c>
      <c r="CV1098">
        <v>0.34</v>
      </c>
      <c r="CW1098">
        <v>0.38</v>
      </c>
      <c r="CX1098">
        <v>0.19</v>
      </c>
      <c r="CY1098">
        <v>33.630000000000003</v>
      </c>
      <c r="CZ1098" t="s">
        <v>2327</v>
      </c>
      <c r="DA1098">
        <v>25.59</v>
      </c>
      <c r="DB1098">
        <v>7.61</v>
      </c>
      <c r="DC1098">
        <v>5.33</v>
      </c>
      <c r="DD1098">
        <v>0.38</v>
      </c>
      <c r="DE1098">
        <v>340</v>
      </c>
      <c r="DF1098">
        <v>2647</v>
      </c>
      <c r="DG1098" t="s">
        <v>116</v>
      </c>
      <c r="DH1098" t="s">
        <v>116</v>
      </c>
      <c r="DI1098" t="s">
        <v>116</v>
      </c>
    </row>
    <row r="1099" spans="1:113" x14ac:dyDescent="0.4">
      <c r="A1099" t="str">
        <f>"002648"</f>
        <v>002648</v>
      </c>
      <c r="B1099" t="s">
        <v>6313</v>
      </c>
      <c r="C1099">
        <v>-0.25</v>
      </c>
      <c r="D1099">
        <v>15.89</v>
      </c>
      <c r="E1099">
        <v>-0.04</v>
      </c>
      <c r="F1099">
        <v>15.89</v>
      </c>
      <c r="G1099">
        <v>15.9</v>
      </c>
      <c r="H1099">
        <v>136005</v>
      </c>
      <c r="I1099">
        <v>771</v>
      </c>
      <c r="J1099">
        <v>0.13</v>
      </c>
      <c r="K1099">
        <v>1.31</v>
      </c>
      <c r="L1099">
        <v>16</v>
      </c>
      <c r="M1099">
        <v>16.190000000000001</v>
      </c>
      <c r="N1099">
        <v>15.7</v>
      </c>
      <c r="O1099">
        <v>15.93</v>
      </c>
      <c r="P1099">
        <v>13.77</v>
      </c>
      <c r="Q1099">
        <v>216615008</v>
      </c>
      <c r="R1099">
        <v>1.1299999999999999</v>
      </c>
      <c r="S1099" t="s">
        <v>891</v>
      </c>
      <c r="T1099" t="s">
        <v>590</v>
      </c>
      <c r="U1099">
        <v>3.08</v>
      </c>
      <c r="V1099">
        <v>15.93</v>
      </c>
      <c r="W1099">
        <v>70815</v>
      </c>
      <c r="X1099">
        <v>65190</v>
      </c>
      <c r="Y1099">
        <v>1.0900000000000001</v>
      </c>
      <c r="Z1099">
        <v>37</v>
      </c>
      <c r="AA1099">
        <v>190</v>
      </c>
      <c r="AB1099" t="s">
        <v>116</v>
      </c>
      <c r="AC1099">
        <v>1283200</v>
      </c>
      <c r="AD1099">
        <v>0.02</v>
      </c>
      <c r="AE1099" t="s">
        <v>116</v>
      </c>
      <c r="AF1099" t="s">
        <v>116</v>
      </c>
      <c r="AG1099">
        <v>10.38</v>
      </c>
      <c r="AH1099" t="s">
        <v>6314</v>
      </c>
      <c r="AI1099" t="s">
        <v>6315</v>
      </c>
      <c r="AJ1099">
        <v>0.43</v>
      </c>
      <c r="AK1099">
        <v>3106</v>
      </c>
      <c r="AL1099">
        <v>44</v>
      </c>
      <c r="AM1099">
        <v>4.0000000000000002E-4</v>
      </c>
      <c r="AN1099">
        <v>-1</v>
      </c>
      <c r="AO1099">
        <v>-0.37</v>
      </c>
      <c r="AP1099">
        <v>6.93</v>
      </c>
      <c r="AQ1099">
        <v>25.71</v>
      </c>
      <c r="AR1099">
        <v>65.87</v>
      </c>
      <c r="AS1099">
        <v>3.05</v>
      </c>
      <c r="AT1099" t="s">
        <v>6316</v>
      </c>
      <c r="AU1099">
        <v>13.66</v>
      </c>
      <c r="AV1099">
        <v>18</v>
      </c>
      <c r="AW1099">
        <v>1.31</v>
      </c>
      <c r="BA1099">
        <v>0.44</v>
      </c>
      <c r="BB1099">
        <v>1.63</v>
      </c>
      <c r="BC1099">
        <v>-1.44</v>
      </c>
      <c r="BD1099">
        <v>-0.02</v>
      </c>
      <c r="BE1099">
        <v>-0.69</v>
      </c>
      <c r="BF1099">
        <v>-1.85</v>
      </c>
      <c r="BG1099">
        <v>1.21</v>
      </c>
      <c r="BH1099">
        <v>-0.23</v>
      </c>
      <c r="BI1099">
        <v>20191115</v>
      </c>
      <c r="BJ1099">
        <v>20111228</v>
      </c>
      <c r="BK1099">
        <v>10.66</v>
      </c>
      <c r="BL1099" t="s">
        <v>116</v>
      </c>
      <c r="BM1099" t="s">
        <v>116</v>
      </c>
      <c r="BN1099">
        <v>172.4</v>
      </c>
      <c r="BO1099">
        <v>88.97</v>
      </c>
      <c r="BP1099">
        <v>0.16</v>
      </c>
      <c r="BQ1099">
        <v>48.3</v>
      </c>
      <c r="BR1099">
        <v>77.709999999999994</v>
      </c>
      <c r="BS1099">
        <v>41.52</v>
      </c>
      <c r="BT1099">
        <v>8.2899999999999991</v>
      </c>
      <c r="BU1099">
        <v>81.7</v>
      </c>
      <c r="BV1099">
        <v>8.69</v>
      </c>
      <c r="BW1099">
        <v>3.97</v>
      </c>
      <c r="BX1099">
        <v>41.62</v>
      </c>
      <c r="BY1099">
        <v>80.23</v>
      </c>
      <c r="BZ1099">
        <v>59.69</v>
      </c>
      <c r="CA1099">
        <v>10.88</v>
      </c>
      <c r="CB1099">
        <v>-0.15</v>
      </c>
      <c r="CC1099">
        <v>10.9</v>
      </c>
      <c r="CD1099">
        <v>9.18</v>
      </c>
      <c r="CE1099">
        <v>9.2200000000000006</v>
      </c>
      <c r="CF1099">
        <v>9.16</v>
      </c>
      <c r="CG1099">
        <v>33.4</v>
      </c>
      <c r="CH1099">
        <v>17.18</v>
      </c>
      <c r="CI1099">
        <v>3.97</v>
      </c>
      <c r="CJ1099">
        <v>36244</v>
      </c>
      <c r="CK1099">
        <v>12283</v>
      </c>
      <c r="CL1099" t="s">
        <v>6317</v>
      </c>
      <c r="CM1099">
        <v>48.04</v>
      </c>
      <c r="CN1099">
        <v>15.81</v>
      </c>
      <c r="CO1099">
        <v>1.9</v>
      </c>
      <c r="CP1099">
        <v>9.86</v>
      </c>
      <c r="CQ1099">
        <v>2.11</v>
      </c>
      <c r="CR1099">
        <v>0.56999999999999995</v>
      </c>
      <c r="CS1099" t="s">
        <v>6318</v>
      </c>
      <c r="CT1099">
        <v>8.35</v>
      </c>
      <c r="CU1099">
        <v>0</v>
      </c>
      <c r="CV1099">
        <v>3.91</v>
      </c>
      <c r="CW1099">
        <v>3.13</v>
      </c>
      <c r="CX1099">
        <v>1.61</v>
      </c>
      <c r="CY1099">
        <v>51.61</v>
      </c>
      <c r="CZ1099" t="s">
        <v>6319</v>
      </c>
      <c r="DA1099">
        <v>25.6</v>
      </c>
      <c r="DB1099">
        <v>13.56</v>
      </c>
      <c r="DC1099">
        <v>11.49</v>
      </c>
      <c r="DD1099">
        <v>3.15</v>
      </c>
      <c r="DE1099">
        <v>2125</v>
      </c>
      <c r="DF1099">
        <v>2648</v>
      </c>
      <c r="DG1099" t="s">
        <v>116</v>
      </c>
      <c r="DH1099" t="s">
        <v>116</v>
      </c>
      <c r="DI1099" t="s">
        <v>116</v>
      </c>
    </row>
    <row r="1100" spans="1:113" x14ac:dyDescent="0.4">
      <c r="A1100" t="str">
        <f>"002649"</f>
        <v>002649</v>
      </c>
      <c r="B1100" t="s">
        <v>6320</v>
      </c>
      <c r="C1100">
        <v>-2.5499999999999998</v>
      </c>
      <c r="D1100">
        <v>9.57</v>
      </c>
      <c r="E1100">
        <v>-0.25</v>
      </c>
      <c r="F1100">
        <v>9.57</v>
      </c>
      <c r="G1100">
        <v>9.58</v>
      </c>
      <c r="H1100">
        <v>112486</v>
      </c>
      <c r="I1100">
        <v>890</v>
      </c>
      <c r="J1100">
        <v>-0.09</v>
      </c>
      <c r="K1100">
        <v>2.65</v>
      </c>
      <c r="L1100">
        <v>9.7799999999999994</v>
      </c>
      <c r="M1100">
        <v>9.85</v>
      </c>
      <c r="N1100">
        <v>9.51</v>
      </c>
      <c r="O1100">
        <v>9.82</v>
      </c>
      <c r="P1100">
        <v>18.59</v>
      </c>
      <c r="Q1100">
        <v>109123344</v>
      </c>
      <c r="R1100">
        <v>0.95</v>
      </c>
      <c r="S1100" t="s">
        <v>607</v>
      </c>
      <c r="T1100" t="s">
        <v>165</v>
      </c>
      <c r="U1100">
        <v>3.46</v>
      </c>
      <c r="V1100">
        <v>9.6999999999999993</v>
      </c>
      <c r="W1100">
        <v>67227</v>
      </c>
      <c r="X1100">
        <v>45259</v>
      </c>
      <c r="Y1100">
        <v>1.49</v>
      </c>
      <c r="Z1100">
        <v>124</v>
      </c>
      <c r="AA1100">
        <v>63</v>
      </c>
      <c r="AB1100" t="s">
        <v>116</v>
      </c>
      <c r="AC1100">
        <v>173100</v>
      </c>
      <c r="AD1100">
        <v>0</v>
      </c>
      <c r="AE1100" t="s">
        <v>116</v>
      </c>
      <c r="AF1100" t="s">
        <v>116</v>
      </c>
      <c r="AG1100">
        <v>4.24</v>
      </c>
      <c r="AH1100" t="s">
        <v>6321</v>
      </c>
      <c r="AI1100" t="s">
        <v>6322</v>
      </c>
      <c r="AJ1100">
        <v>-1.87</v>
      </c>
      <c r="AK1100">
        <v>2780</v>
      </c>
      <c r="AL1100">
        <v>40</v>
      </c>
      <c r="AM1100">
        <v>1E-3</v>
      </c>
      <c r="AN1100">
        <v>-1</v>
      </c>
      <c r="AO1100">
        <v>1.26</v>
      </c>
      <c r="AP1100">
        <v>9.6199999999999992</v>
      </c>
      <c r="AQ1100">
        <v>2.13</v>
      </c>
      <c r="AR1100">
        <v>32.11</v>
      </c>
      <c r="AS1100">
        <v>2.88</v>
      </c>
      <c r="AT1100" t="s">
        <v>6323</v>
      </c>
      <c r="AU1100">
        <v>19.55</v>
      </c>
      <c r="AV1100">
        <v>22.65</v>
      </c>
      <c r="AW1100">
        <v>1.96</v>
      </c>
      <c r="BA1100">
        <v>-0.41</v>
      </c>
      <c r="BB1100">
        <v>0.31</v>
      </c>
      <c r="BC1100">
        <v>-3.16</v>
      </c>
      <c r="BD1100">
        <v>-1.21</v>
      </c>
      <c r="BE1100">
        <v>-2.15</v>
      </c>
      <c r="BF1100">
        <v>-2.84</v>
      </c>
      <c r="BG1100">
        <v>0.63</v>
      </c>
      <c r="BH1100">
        <v>-1.33</v>
      </c>
      <c r="BI1100">
        <v>20191025</v>
      </c>
      <c r="BJ1100">
        <v>20120106</v>
      </c>
      <c r="BK1100">
        <v>5.25</v>
      </c>
      <c r="BL1100" t="s">
        <v>116</v>
      </c>
      <c r="BM1100" t="s">
        <v>116</v>
      </c>
      <c r="BN1100">
        <v>40.61</v>
      </c>
      <c r="BO1100">
        <v>27.15</v>
      </c>
      <c r="BP1100">
        <v>0.16</v>
      </c>
      <c r="BQ1100">
        <v>32.75</v>
      </c>
      <c r="BR1100">
        <v>27.82</v>
      </c>
      <c r="BS1100">
        <v>3.27</v>
      </c>
      <c r="BT1100">
        <v>0.93</v>
      </c>
      <c r="BU1100">
        <v>8.52</v>
      </c>
      <c r="BV1100">
        <v>0.12</v>
      </c>
      <c r="BW1100">
        <v>9.2899999999999991</v>
      </c>
      <c r="BX1100">
        <v>8.68</v>
      </c>
      <c r="BY1100">
        <v>26.96</v>
      </c>
      <c r="BZ1100">
        <v>20.69</v>
      </c>
      <c r="CA1100">
        <v>2.25</v>
      </c>
      <c r="CB1100">
        <v>0.1</v>
      </c>
      <c r="CC1100">
        <v>2.2599999999999998</v>
      </c>
      <c r="CD1100">
        <v>2.04</v>
      </c>
      <c r="CE1100">
        <v>2.0299999999999998</v>
      </c>
      <c r="CF1100">
        <v>1.79</v>
      </c>
      <c r="CG1100">
        <v>10.94</v>
      </c>
      <c r="CH1100">
        <v>1.0900000000000001</v>
      </c>
      <c r="CI1100">
        <v>4.41</v>
      </c>
      <c r="CJ1100">
        <v>39835</v>
      </c>
      <c r="CK1100">
        <v>9798</v>
      </c>
      <c r="CL1100" t="s">
        <v>6324</v>
      </c>
      <c r="CM1100">
        <v>20.99</v>
      </c>
      <c r="CN1100">
        <v>33.85</v>
      </c>
      <c r="CO1100">
        <v>1.92</v>
      </c>
      <c r="CP1100">
        <v>45.96</v>
      </c>
      <c r="CQ1100">
        <v>1.86</v>
      </c>
      <c r="CR1100">
        <v>0.9</v>
      </c>
      <c r="CS1100" t="s">
        <v>6325</v>
      </c>
      <c r="CT1100">
        <v>4.9800000000000004</v>
      </c>
      <c r="CU1100">
        <v>4.9800000000000004</v>
      </c>
      <c r="CV1100">
        <v>1.66</v>
      </c>
      <c r="CW1100">
        <v>2.08</v>
      </c>
      <c r="CX1100">
        <v>0.21</v>
      </c>
      <c r="CY1100">
        <v>66.86</v>
      </c>
      <c r="CZ1100" t="s">
        <v>6326</v>
      </c>
      <c r="DA1100">
        <v>23.28</v>
      </c>
      <c r="DB1100">
        <v>8.34</v>
      </c>
      <c r="DC1100">
        <v>7.51</v>
      </c>
      <c r="DD1100">
        <v>1.22</v>
      </c>
      <c r="DE1100">
        <v>15123</v>
      </c>
      <c r="DF1100">
        <v>2649</v>
      </c>
      <c r="DG1100" t="s">
        <v>116</v>
      </c>
      <c r="DH1100" t="s">
        <v>116</v>
      </c>
      <c r="DI1100" t="s">
        <v>116</v>
      </c>
    </row>
    <row r="1101" spans="1:113" x14ac:dyDescent="0.4">
      <c r="A1101" t="str">
        <f>"002650"</f>
        <v>002650</v>
      </c>
      <c r="B1101" t="s">
        <v>6327</v>
      </c>
      <c r="C1101">
        <v>-1.1200000000000001</v>
      </c>
      <c r="D1101">
        <v>3.54</v>
      </c>
      <c r="E1101">
        <v>-0.04</v>
      </c>
      <c r="F1101">
        <v>3.53</v>
      </c>
      <c r="G1101">
        <v>3.54</v>
      </c>
      <c r="H1101">
        <v>81738</v>
      </c>
      <c r="I1101">
        <v>4197</v>
      </c>
      <c r="J1101">
        <v>0</v>
      </c>
      <c r="K1101">
        <v>0.86</v>
      </c>
      <c r="L1101">
        <v>3.57</v>
      </c>
      <c r="M1101">
        <v>3.6</v>
      </c>
      <c r="N1101">
        <v>3.54</v>
      </c>
      <c r="O1101">
        <v>3.58</v>
      </c>
      <c r="P1101">
        <v>29.13</v>
      </c>
      <c r="Q1101">
        <v>29244984</v>
      </c>
      <c r="R1101">
        <v>0.91</v>
      </c>
      <c r="S1101" t="s">
        <v>863</v>
      </c>
      <c r="T1101" t="s">
        <v>599</v>
      </c>
      <c r="U1101">
        <v>1.68</v>
      </c>
      <c r="V1101">
        <v>3.58</v>
      </c>
      <c r="W1101">
        <v>46439</v>
      </c>
      <c r="X1101">
        <v>35299</v>
      </c>
      <c r="Y1101">
        <v>1.32</v>
      </c>
      <c r="Z1101">
        <v>4494</v>
      </c>
      <c r="AA1101">
        <v>162</v>
      </c>
      <c r="AB1101" t="s">
        <v>116</v>
      </c>
      <c r="AC1101">
        <v>12500</v>
      </c>
      <c r="AD1101">
        <v>0</v>
      </c>
      <c r="AE1101" t="s">
        <v>116</v>
      </c>
      <c r="AF1101" t="s">
        <v>116</v>
      </c>
      <c r="AG1101">
        <v>9.4600000000000009</v>
      </c>
      <c r="AH1101" t="s">
        <v>6328</v>
      </c>
      <c r="AI1101" t="s">
        <v>6329</v>
      </c>
      <c r="AJ1101">
        <v>-0.44</v>
      </c>
      <c r="AK1101">
        <v>913</v>
      </c>
      <c r="AL1101">
        <v>90</v>
      </c>
      <c r="AM1101">
        <v>8.9999999999999998E-4</v>
      </c>
      <c r="AN1101">
        <v>-1</v>
      </c>
      <c r="AO1101">
        <v>-0.84</v>
      </c>
      <c r="AP1101">
        <v>-2.21</v>
      </c>
      <c r="AQ1101">
        <v>-8.0500000000000007</v>
      </c>
      <c r="AR1101">
        <v>-1.67</v>
      </c>
      <c r="AS1101">
        <v>1.23</v>
      </c>
      <c r="AT1101" t="s">
        <v>4162</v>
      </c>
      <c r="AU1101">
        <v>34.89</v>
      </c>
      <c r="AV1101">
        <v>35.35</v>
      </c>
      <c r="AW1101">
        <v>1.05</v>
      </c>
      <c r="BA1101">
        <v>-0.28000000000000003</v>
      </c>
      <c r="BB1101">
        <v>0.56000000000000005</v>
      </c>
      <c r="BC1101">
        <v>-1.1200000000000001</v>
      </c>
      <c r="BD1101">
        <v>-0.06</v>
      </c>
      <c r="BE1101">
        <v>-0.84</v>
      </c>
      <c r="BF1101">
        <v>-1.67</v>
      </c>
      <c r="BG1101">
        <v>0</v>
      </c>
      <c r="BH1101">
        <v>-1.06</v>
      </c>
      <c r="BI1101">
        <v>20191024</v>
      </c>
      <c r="BJ1101">
        <v>20120106</v>
      </c>
      <c r="BK1101">
        <v>11.52</v>
      </c>
      <c r="BL1101" t="s">
        <v>116</v>
      </c>
      <c r="BM1101" t="s">
        <v>116</v>
      </c>
      <c r="BN1101">
        <v>26.47</v>
      </c>
      <c r="BO1101">
        <v>22.79</v>
      </c>
      <c r="BP1101">
        <v>0</v>
      </c>
      <c r="BQ1101">
        <v>13.9</v>
      </c>
      <c r="BR1101">
        <v>7.27</v>
      </c>
      <c r="BS1101">
        <v>15.1</v>
      </c>
      <c r="BT1101">
        <v>0.88</v>
      </c>
      <c r="BU1101">
        <v>3.06</v>
      </c>
      <c r="BV1101">
        <v>3.23</v>
      </c>
      <c r="BW1101">
        <v>0.81</v>
      </c>
      <c r="BX1101">
        <v>2.06</v>
      </c>
      <c r="BY1101">
        <v>14.74</v>
      </c>
      <c r="BZ1101">
        <v>10.72</v>
      </c>
      <c r="CA1101">
        <v>1.33</v>
      </c>
      <c r="CB1101">
        <v>0.01</v>
      </c>
      <c r="CC1101">
        <v>1.33</v>
      </c>
      <c r="CD1101">
        <v>1.05</v>
      </c>
      <c r="CE1101">
        <v>1.05</v>
      </c>
      <c r="CF1101">
        <v>1.02</v>
      </c>
      <c r="CG1101">
        <v>7.95</v>
      </c>
      <c r="CH1101">
        <v>1.22</v>
      </c>
      <c r="CI1101">
        <v>0.44</v>
      </c>
      <c r="CJ1101">
        <v>43259</v>
      </c>
      <c r="CK1101">
        <v>15311</v>
      </c>
      <c r="CL1101" t="s">
        <v>6330</v>
      </c>
      <c r="CM1101">
        <v>1.47</v>
      </c>
      <c r="CN1101">
        <v>12.36</v>
      </c>
      <c r="CO1101">
        <v>1.79</v>
      </c>
      <c r="CP1101">
        <v>33.340000000000003</v>
      </c>
      <c r="CQ1101">
        <v>2.77</v>
      </c>
      <c r="CR1101">
        <v>0</v>
      </c>
      <c r="CS1101" t="s">
        <v>1381</v>
      </c>
      <c r="CT1101">
        <v>1.98</v>
      </c>
      <c r="CU1101">
        <v>0</v>
      </c>
      <c r="CV1101">
        <v>0.18</v>
      </c>
      <c r="CW1101">
        <v>0.69</v>
      </c>
      <c r="CX1101">
        <v>0.11</v>
      </c>
      <c r="CY1101">
        <v>86.1</v>
      </c>
      <c r="CZ1101" t="s">
        <v>4384</v>
      </c>
      <c r="DA1101">
        <v>27.27</v>
      </c>
      <c r="DB1101">
        <v>9.0500000000000007</v>
      </c>
      <c r="DC1101">
        <v>7.12</v>
      </c>
      <c r="DD1101">
        <v>0.23</v>
      </c>
      <c r="DE1101">
        <v>1394</v>
      </c>
      <c r="DF1101">
        <v>2650</v>
      </c>
      <c r="DG1101" t="s">
        <v>116</v>
      </c>
      <c r="DH1101" t="s">
        <v>116</v>
      </c>
      <c r="DI1101" t="s">
        <v>116</v>
      </c>
    </row>
    <row r="1102" spans="1:113" x14ac:dyDescent="0.4">
      <c r="A1102" t="str">
        <f>"002651"</f>
        <v>002651</v>
      </c>
      <c r="B1102" t="s">
        <v>6331</v>
      </c>
      <c r="C1102">
        <v>1.04</v>
      </c>
      <c r="D1102">
        <v>4.8499999999999996</v>
      </c>
      <c r="E1102">
        <v>0.05</v>
      </c>
      <c r="F1102">
        <v>4.84</v>
      </c>
      <c r="G1102">
        <v>4.8499999999999996</v>
      </c>
      <c r="H1102">
        <v>124758</v>
      </c>
      <c r="I1102">
        <v>891</v>
      </c>
      <c r="J1102">
        <v>0</v>
      </c>
      <c r="K1102">
        <v>2.37</v>
      </c>
      <c r="L1102">
        <v>4.7699999999999996</v>
      </c>
      <c r="M1102">
        <v>4.96</v>
      </c>
      <c r="N1102">
        <v>4.75</v>
      </c>
      <c r="O1102">
        <v>4.8</v>
      </c>
      <c r="P1102">
        <v>34.74</v>
      </c>
      <c r="Q1102">
        <v>60647348</v>
      </c>
      <c r="R1102">
        <v>3.27</v>
      </c>
      <c r="S1102" t="s">
        <v>682</v>
      </c>
      <c r="T1102" t="s">
        <v>582</v>
      </c>
      <c r="U1102">
        <v>4.38</v>
      </c>
      <c r="V1102">
        <v>4.8600000000000003</v>
      </c>
      <c r="W1102">
        <v>55015</v>
      </c>
      <c r="X1102">
        <v>69743</v>
      </c>
      <c r="Y1102">
        <v>0.79</v>
      </c>
      <c r="Z1102">
        <v>425</v>
      </c>
      <c r="AA1102">
        <v>20</v>
      </c>
      <c r="AB1102" t="s">
        <v>116</v>
      </c>
      <c r="AC1102">
        <v>274300</v>
      </c>
      <c r="AD1102">
        <v>0.02</v>
      </c>
      <c r="AE1102" t="s">
        <v>116</v>
      </c>
      <c r="AF1102" t="s">
        <v>116</v>
      </c>
      <c r="AG1102">
        <v>5.27</v>
      </c>
      <c r="AH1102" t="s">
        <v>6332</v>
      </c>
      <c r="AI1102" t="s">
        <v>3725</v>
      </c>
      <c r="AJ1102">
        <v>1.72</v>
      </c>
      <c r="AK1102">
        <v>1748</v>
      </c>
      <c r="AL1102">
        <v>71</v>
      </c>
      <c r="AM1102">
        <v>1.4E-3</v>
      </c>
      <c r="AN1102">
        <v>4</v>
      </c>
      <c r="AO1102">
        <v>5.43</v>
      </c>
      <c r="AP1102">
        <v>6.13</v>
      </c>
      <c r="AQ1102">
        <v>-5.09</v>
      </c>
      <c r="AR1102">
        <v>20.350000000000001</v>
      </c>
      <c r="AS1102">
        <v>5.39</v>
      </c>
      <c r="AT1102" t="s">
        <v>1437</v>
      </c>
      <c r="AU1102">
        <v>39.14</v>
      </c>
      <c r="AV1102">
        <v>41.45</v>
      </c>
      <c r="AW1102">
        <v>1.03</v>
      </c>
      <c r="BA1102">
        <v>-0.62</v>
      </c>
      <c r="BB1102">
        <v>3.33</v>
      </c>
      <c r="BC1102">
        <v>-1.04</v>
      </c>
      <c r="BD1102">
        <v>1.28</v>
      </c>
      <c r="BE1102">
        <v>1.68</v>
      </c>
      <c r="BF1102">
        <v>-2.2200000000000002</v>
      </c>
      <c r="BG1102">
        <v>2.11</v>
      </c>
      <c r="BH1102">
        <v>-0.23</v>
      </c>
      <c r="BI1102">
        <v>20191029</v>
      </c>
      <c r="BJ1102">
        <v>20120106</v>
      </c>
      <c r="BK1102">
        <v>10.18</v>
      </c>
      <c r="BL1102" t="s">
        <v>116</v>
      </c>
      <c r="BM1102" t="s">
        <v>116</v>
      </c>
      <c r="BN1102">
        <v>25.69</v>
      </c>
      <c r="BO1102">
        <v>21.28</v>
      </c>
      <c r="BP1102">
        <v>0</v>
      </c>
      <c r="BQ1102">
        <v>17.18</v>
      </c>
      <c r="BR1102">
        <v>17.8</v>
      </c>
      <c r="BS1102">
        <v>1.67</v>
      </c>
      <c r="BT1102">
        <v>0.4</v>
      </c>
      <c r="BU1102">
        <v>4.32</v>
      </c>
      <c r="BV1102">
        <v>3.67</v>
      </c>
      <c r="BW1102">
        <v>1.74</v>
      </c>
      <c r="BX1102">
        <v>3.86</v>
      </c>
      <c r="BY1102">
        <v>4.13</v>
      </c>
      <c r="BZ1102">
        <v>2.34</v>
      </c>
      <c r="CA1102">
        <v>1.22</v>
      </c>
      <c r="CB1102">
        <v>0.17</v>
      </c>
      <c r="CC1102">
        <v>1.26</v>
      </c>
      <c r="CD1102">
        <v>1.07</v>
      </c>
      <c r="CE1102">
        <v>1.07</v>
      </c>
      <c r="CF1102">
        <v>0.86</v>
      </c>
      <c r="CG1102">
        <v>4.95</v>
      </c>
      <c r="CH1102">
        <v>0.27</v>
      </c>
      <c r="CI1102">
        <v>-1.2</v>
      </c>
      <c r="CJ1102">
        <v>38669</v>
      </c>
      <c r="CK1102">
        <v>5985</v>
      </c>
      <c r="CL1102" t="s">
        <v>6333</v>
      </c>
      <c r="CM1102">
        <v>7.06</v>
      </c>
      <c r="CN1102">
        <v>8.06</v>
      </c>
      <c r="CO1102">
        <v>2.3199999999999998</v>
      </c>
      <c r="CP1102">
        <v>184.98</v>
      </c>
      <c r="CQ1102">
        <v>11.94</v>
      </c>
      <c r="CR1102">
        <v>1.24</v>
      </c>
      <c r="CS1102" t="s">
        <v>4800</v>
      </c>
      <c r="CT1102">
        <v>2.09</v>
      </c>
      <c r="CU1102">
        <v>0</v>
      </c>
      <c r="CV1102">
        <v>0.38</v>
      </c>
      <c r="CW1102">
        <v>0.49</v>
      </c>
      <c r="CX1102">
        <v>0.03</v>
      </c>
      <c r="CY1102">
        <v>82.82</v>
      </c>
      <c r="CZ1102" t="s">
        <v>6334</v>
      </c>
      <c r="DA1102">
        <v>43.37</v>
      </c>
      <c r="DB1102">
        <v>29.63</v>
      </c>
      <c r="DC1102">
        <v>25.78</v>
      </c>
      <c r="DD1102">
        <v>0.11</v>
      </c>
      <c r="DE1102">
        <v>731</v>
      </c>
      <c r="DF1102">
        <v>2651</v>
      </c>
      <c r="DG1102" t="s">
        <v>116</v>
      </c>
      <c r="DH1102" t="s">
        <v>116</v>
      </c>
      <c r="DI1102" t="s">
        <v>116</v>
      </c>
    </row>
    <row r="1103" spans="1:113" x14ac:dyDescent="0.4">
      <c r="A1103" t="str">
        <f>"002652"</f>
        <v>002652</v>
      </c>
      <c r="B1103" t="s">
        <v>6335</v>
      </c>
      <c r="C1103">
        <v>-1.27</v>
      </c>
      <c r="D1103">
        <v>3.9</v>
      </c>
      <c r="E1103">
        <v>-0.05</v>
      </c>
      <c r="F1103">
        <v>3.89</v>
      </c>
      <c r="G1103">
        <v>3.9</v>
      </c>
      <c r="H1103">
        <v>60034</v>
      </c>
      <c r="I1103">
        <v>1037</v>
      </c>
      <c r="J1103">
        <v>0</v>
      </c>
      <c r="K1103">
        <v>1.34</v>
      </c>
      <c r="L1103">
        <v>3.94</v>
      </c>
      <c r="M1103">
        <v>3.99</v>
      </c>
      <c r="N1103">
        <v>3.9</v>
      </c>
      <c r="O1103">
        <v>3.95</v>
      </c>
      <c r="P1103">
        <v>120.6</v>
      </c>
      <c r="Q1103">
        <v>23606462</v>
      </c>
      <c r="R1103">
        <v>0.87</v>
      </c>
      <c r="S1103" t="s">
        <v>249</v>
      </c>
      <c r="T1103" t="s">
        <v>323</v>
      </c>
      <c r="U1103">
        <v>2.2799999999999998</v>
      </c>
      <c r="V1103">
        <v>3.93</v>
      </c>
      <c r="W1103">
        <v>38317</v>
      </c>
      <c r="X1103">
        <v>21717</v>
      </c>
      <c r="Y1103">
        <v>1.76</v>
      </c>
      <c r="Z1103">
        <v>544</v>
      </c>
      <c r="AA1103">
        <v>19</v>
      </c>
      <c r="AB1103" t="s">
        <v>116</v>
      </c>
      <c r="AC1103">
        <v>157200</v>
      </c>
      <c r="AD1103">
        <v>0.02</v>
      </c>
      <c r="AE1103" t="s">
        <v>116</v>
      </c>
      <c r="AF1103" t="s">
        <v>116</v>
      </c>
      <c r="AG1103">
        <v>4.47</v>
      </c>
      <c r="AH1103" t="s">
        <v>6336</v>
      </c>
      <c r="AI1103" t="s">
        <v>6337</v>
      </c>
      <c r="AJ1103">
        <v>-0.59</v>
      </c>
      <c r="AK1103">
        <v>1046</v>
      </c>
      <c r="AL1103">
        <v>57</v>
      </c>
      <c r="AM1103">
        <v>1.2999999999999999E-3</v>
      </c>
      <c r="AN1103">
        <v>-1</v>
      </c>
      <c r="AO1103">
        <v>0.25</v>
      </c>
      <c r="AP1103">
        <v>7.14</v>
      </c>
      <c r="AQ1103">
        <v>1.56</v>
      </c>
      <c r="AR1103">
        <v>1.04</v>
      </c>
      <c r="AS1103">
        <v>2.56</v>
      </c>
      <c r="AT1103" t="s">
        <v>6338</v>
      </c>
      <c r="AU1103">
        <v>664.72</v>
      </c>
      <c r="AV1103">
        <v>50.42</v>
      </c>
      <c r="AW1103">
        <v>1.21</v>
      </c>
      <c r="BA1103">
        <v>-0.25</v>
      </c>
      <c r="BB1103">
        <v>1.01</v>
      </c>
      <c r="BC1103">
        <v>-1.27</v>
      </c>
      <c r="BD1103">
        <v>-0.45</v>
      </c>
      <c r="BE1103">
        <v>-1.02</v>
      </c>
      <c r="BF1103">
        <v>-2.2599999999999998</v>
      </c>
      <c r="BG1103">
        <v>0</v>
      </c>
      <c r="BH1103">
        <v>-0.81</v>
      </c>
      <c r="BI1103">
        <v>20191031</v>
      </c>
      <c r="BJ1103">
        <v>20120119</v>
      </c>
      <c r="BK1103">
        <v>5.12</v>
      </c>
      <c r="BL1103" t="s">
        <v>116</v>
      </c>
      <c r="BM1103" t="s">
        <v>116</v>
      </c>
      <c r="BN1103">
        <v>32.58</v>
      </c>
      <c r="BO1103">
        <v>7.61</v>
      </c>
      <c r="BP1103">
        <v>2.52</v>
      </c>
      <c r="BQ1103">
        <v>68.88</v>
      </c>
      <c r="BR1103">
        <v>22.89</v>
      </c>
      <c r="BS1103">
        <v>5.85</v>
      </c>
      <c r="BT1103">
        <v>0.14000000000000001</v>
      </c>
      <c r="BU1103">
        <v>14.57</v>
      </c>
      <c r="BV1103">
        <v>10.210000000000001</v>
      </c>
      <c r="BW1103">
        <v>1.59</v>
      </c>
      <c r="BX1103">
        <v>0.11</v>
      </c>
      <c r="BY1103">
        <v>17.399999999999999</v>
      </c>
      <c r="BZ1103">
        <v>15.39</v>
      </c>
      <c r="CA1103">
        <v>0.28000000000000003</v>
      </c>
      <c r="CB1103">
        <v>0</v>
      </c>
      <c r="CC1103">
        <v>0.28000000000000003</v>
      </c>
      <c r="CD1103">
        <v>0.21</v>
      </c>
      <c r="CE1103">
        <v>0.12</v>
      </c>
      <c r="CF1103">
        <v>0.12</v>
      </c>
      <c r="CG1103">
        <v>2.15</v>
      </c>
      <c r="CH1103">
        <v>-1.91</v>
      </c>
      <c r="CI1103">
        <v>-0.49</v>
      </c>
      <c r="CJ1103">
        <v>20174</v>
      </c>
      <c r="CK1103">
        <v>11606</v>
      </c>
      <c r="CL1103" t="s">
        <v>5637</v>
      </c>
      <c r="CM1103">
        <v>-74.66</v>
      </c>
      <c r="CN1103">
        <v>-20.420000000000002</v>
      </c>
      <c r="CO1103">
        <v>2.62</v>
      </c>
      <c r="CP1103">
        <v>-10.45</v>
      </c>
      <c r="CQ1103">
        <v>1.1499999999999999</v>
      </c>
      <c r="CR1103">
        <v>0</v>
      </c>
      <c r="CS1103" t="s">
        <v>4700</v>
      </c>
      <c r="CT1103">
        <v>1.49</v>
      </c>
      <c r="CU1103">
        <v>0</v>
      </c>
      <c r="CV1103">
        <v>0.02</v>
      </c>
      <c r="CW1103">
        <v>0.42</v>
      </c>
      <c r="CX1103">
        <v>-0.37</v>
      </c>
      <c r="CY1103">
        <v>23.37</v>
      </c>
      <c r="CZ1103" t="s">
        <v>6339</v>
      </c>
      <c r="DA1103">
        <v>11.57</v>
      </c>
      <c r="DB1103">
        <v>1.62</v>
      </c>
      <c r="DC1103">
        <v>0.71</v>
      </c>
      <c r="DD1103">
        <v>0.51</v>
      </c>
      <c r="DE1103">
        <v>801</v>
      </c>
      <c r="DF1103">
        <v>2652</v>
      </c>
      <c r="DG1103" t="s">
        <v>116</v>
      </c>
      <c r="DH1103" t="s">
        <v>116</v>
      </c>
      <c r="DI1103" t="s">
        <v>116</v>
      </c>
    </row>
    <row r="1104" spans="1:113" x14ac:dyDescent="0.4">
      <c r="A1104" t="str">
        <f>"002653"</f>
        <v>002653</v>
      </c>
      <c r="B1104" t="s">
        <v>6340</v>
      </c>
      <c r="C1104">
        <v>0.25</v>
      </c>
      <c r="D1104">
        <v>20.22</v>
      </c>
      <c r="E1104">
        <v>0.05</v>
      </c>
      <c r="F1104">
        <v>20.21</v>
      </c>
      <c r="G1104">
        <v>20.22</v>
      </c>
      <c r="H1104">
        <v>39668</v>
      </c>
      <c r="I1104">
        <v>212</v>
      </c>
      <c r="J1104">
        <v>0.1</v>
      </c>
      <c r="K1104">
        <v>0.82</v>
      </c>
      <c r="L1104">
        <v>20.18</v>
      </c>
      <c r="M1104">
        <v>20.85</v>
      </c>
      <c r="N1104">
        <v>20.149999999999999</v>
      </c>
      <c r="O1104">
        <v>20.170000000000002</v>
      </c>
      <c r="P1104">
        <v>42.91</v>
      </c>
      <c r="Q1104">
        <v>81277400</v>
      </c>
      <c r="R1104">
        <v>0.9</v>
      </c>
      <c r="S1104" t="s">
        <v>574</v>
      </c>
      <c r="T1104" t="s">
        <v>2028</v>
      </c>
      <c r="U1104">
        <v>3.47</v>
      </c>
      <c r="V1104">
        <v>20.49</v>
      </c>
      <c r="W1104">
        <v>19016</v>
      </c>
      <c r="X1104">
        <v>20652</v>
      </c>
      <c r="Y1104">
        <v>0.92</v>
      </c>
      <c r="Z1104">
        <v>364</v>
      </c>
      <c r="AA1104">
        <v>157</v>
      </c>
      <c r="AB1104" t="s">
        <v>116</v>
      </c>
      <c r="AC1104">
        <v>157400</v>
      </c>
      <c r="AD1104">
        <v>0</v>
      </c>
      <c r="AE1104" t="s">
        <v>116</v>
      </c>
      <c r="AF1104" t="s">
        <v>116</v>
      </c>
      <c r="AG1104">
        <v>4.8499999999999996</v>
      </c>
      <c r="AH1104" t="s">
        <v>6341</v>
      </c>
      <c r="AI1104" t="s">
        <v>6342</v>
      </c>
      <c r="AJ1104">
        <v>0.93</v>
      </c>
      <c r="AK1104">
        <v>2250</v>
      </c>
      <c r="AL1104">
        <v>18</v>
      </c>
      <c r="AM1104">
        <v>4.0000000000000002E-4</v>
      </c>
      <c r="AN1104">
        <v>1</v>
      </c>
      <c r="AO1104">
        <v>-4.17</v>
      </c>
      <c r="AP1104">
        <v>-5.29</v>
      </c>
      <c r="AQ1104">
        <v>9.89</v>
      </c>
      <c r="AR1104">
        <v>72.819999999999993</v>
      </c>
      <c r="AS1104">
        <v>2.4700000000000002</v>
      </c>
      <c r="AT1104" t="s">
        <v>998</v>
      </c>
      <c r="AU1104">
        <v>53.05</v>
      </c>
      <c r="AV1104">
        <v>65.790000000000006</v>
      </c>
      <c r="AW1104">
        <v>0.77</v>
      </c>
      <c r="BA1104">
        <v>0.05</v>
      </c>
      <c r="BB1104">
        <v>3.37</v>
      </c>
      <c r="BC1104">
        <v>-0.1</v>
      </c>
      <c r="BD1104">
        <v>1.58</v>
      </c>
      <c r="BE1104">
        <v>0.2</v>
      </c>
      <c r="BF1104">
        <v>-3.02</v>
      </c>
      <c r="BG1104">
        <v>0.35</v>
      </c>
      <c r="BH1104">
        <v>-1.34</v>
      </c>
      <c r="BI1104">
        <v>20191028</v>
      </c>
      <c r="BJ1104">
        <v>20120117</v>
      </c>
      <c r="BK1104">
        <v>10.84</v>
      </c>
      <c r="BL1104" t="s">
        <v>116</v>
      </c>
      <c r="BM1104" t="s">
        <v>116</v>
      </c>
      <c r="BN1104">
        <v>46.19</v>
      </c>
      <c r="BO1104">
        <v>22.34</v>
      </c>
      <c r="BP1104">
        <v>-0.34</v>
      </c>
      <c r="BQ1104">
        <v>52.38</v>
      </c>
      <c r="BR1104">
        <v>15.66</v>
      </c>
      <c r="BS1104">
        <v>7.68</v>
      </c>
      <c r="BT1104">
        <v>2.78</v>
      </c>
      <c r="BU1104">
        <v>23.18</v>
      </c>
      <c r="BV1104">
        <v>1.7</v>
      </c>
      <c r="BW1104">
        <v>5.9</v>
      </c>
      <c r="BX1104">
        <v>0.43</v>
      </c>
      <c r="BY1104">
        <v>29.86</v>
      </c>
      <c r="BZ1104">
        <v>10.77</v>
      </c>
      <c r="CA1104">
        <v>4.2699999999999996</v>
      </c>
      <c r="CB1104">
        <v>0.24</v>
      </c>
      <c r="CC1104">
        <v>4.3099999999999996</v>
      </c>
      <c r="CD1104">
        <v>3.74</v>
      </c>
      <c r="CE1104">
        <v>3.83</v>
      </c>
      <c r="CF1104">
        <v>2.42</v>
      </c>
      <c r="CG1104">
        <v>9.3800000000000008</v>
      </c>
      <c r="CH1104">
        <v>3.47</v>
      </c>
      <c r="CI1104">
        <v>-1.02</v>
      </c>
      <c r="CJ1104">
        <v>20031</v>
      </c>
      <c r="CK1104">
        <v>8013</v>
      </c>
      <c r="CL1104" t="s">
        <v>6343</v>
      </c>
      <c r="CM1104">
        <v>26.4</v>
      </c>
      <c r="CN1104">
        <v>43.31</v>
      </c>
      <c r="CO1104">
        <v>9.81</v>
      </c>
      <c r="CP1104">
        <v>63.27</v>
      </c>
      <c r="CQ1104">
        <v>7.34</v>
      </c>
      <c r="CR1104">
        <v>0.93</v>
      </c>
      <c r="CS1104" t="s">
        <v>793</v>
      </c>
      <c r="CT1104">
        <v>2.06</v>
      </c>
      <c r="CU1104">
        <v>0</v>
      </c>
      <c r="CV1104">
        <v>0.04</v>
      </c>
      <c r="CW1104">
        <v>0.86</v>
      </c>
      <c r="CX1104">
        <v>0.32</v>
      </c>
      <c r="CY1104">
        <v>48.36</v>
      </c>
      <c r="CZ1104" t="s">
        <v>6344</v>
      </c>
      <c r="DA1104">
        <v>63.93</v>
      </c>
      <c r="DB1104">
        <v>14.3</v>
      </c>
      <c r="DC1104">
        <v>12.83</v>
      </c>
      <c r="DD1104">
        <v>1.36</v>
      </c>
      <c r="DE1104">
        <v>2211</v>
      </c>
      <c r="DF1104">
        <v>2653</v>
      </c>
      <c r="DG1104" t="s">
        <v>116</v>
      </c>
      <c r="DH1104" t="s">
        <v>116</v>
      </c>
      <c r="DI1104" t="s">
        <v>116</v>
      </c>
    </row>
    <row r="1105" spans="1:113" x14ac:dyDescent="0.4">
      <c r="A1105" t="str">
        <f>"002654"</f>
        <v>002654</v>
      </c>
      <c r="B1105" t="s">
        <v>6345</v>
      </c>
      <c r="C1105">
        <v>10</v>
      </c>
      <c r="D1105">
        <v>5.28</v>
      </c>
      <c r="E1105">
        <v>0.48</v>
      </c>
      <c r="F1105">
        <v>5.28</v>
      </c>
      <c r="G1105" t="s">
        <v>116</v>
      </c>
      <c r="H1105">
        <v>685305</v>
      </c>
      <c r="I1105">
        <v>1992</v>
      </c>
      <c r="J1105">
        <v>0</v>
      </c>
      <c r="K1105">
        <v>11.08</v>
      </c>
      <c r="L1105">
        <v>4.8</v>
      </c>
      <c r="M1105">
        <v>5.28</v>
      </c>
      <c r="N1105">
        <v>4.75</v>
      </c>
      <c r="O1105">
        <v>4.8</v>
      </c>
      <c r="P1105">
        <v>23.61</v>
      </c>
      <c r="Q1105">
        <v>353804832</v>
      </c>
      <c r="R1105">
        <v>2.11</v>
      </c>
      <c r="S1105" t="s">
        <v>1384</v>
      </c>
      <c r="T1105" t="s">
        <v>115</v>
      </c>
      <c r="U1105">
        <v>11.04</v>
      </c>
      <c r="V1105">
        <v>5.16</v>
      </c>
      <c r="W1105">
        <v>365305</v>
      </c>
      <c r="X1105">
        <v>320000</v>
      </c>
      <c r="Y1105">
        <v>1.1399999999999999</v>
      </c>
      <c r="Z1105">
        <v>47781</v>
      </c>
      <c r="AA1105">
        <v>0</v>
      </c>
      <c r="AB1105" t="s">
        <v>116</v>
      </c>
      <c r="AC1105">
        <v>535700</v>
      </c>
      <c r="AD1105">
        <v>0.03</v>
      </c>
      <c r="AE1105">
        <v>7.0000000000000007E-2</v>
      </c>
      <c r="AF1105">
        <v>25228370</v>
      </c>
      <c r="AG1105">
        <v>6.18</v>
      </c>
      <c r="AH1105" t="s">
        <v>4472</v>
      </c>
      <c r="AI1105" t="s">
        <v>1003</v>
      </c>
      <c r="AJ1105">
        <v>10.68</v>
      </c>
      <c r="AK1105">
        <v>3312</v>
      </c>
      <c r="AL1105">
        <v>207</v>
      </c>
      <c r="AM1105">
        <v>3.3E-3</v>
      </c>
      <c r="AN1105">
        <v>1</v>
      </c>
      <c r="AO1105">
        <v>12.1</v>
      </c>
      <c r="AP1105">
        <v>39.68</v>
      </c>
      <c r="AQ1105">
        <v>31.34</v>
      </c>
      <c r="AR1105">
        <v>33.67</v>
      </c>
      <c r="AS1105">
        <v>16.46</v>
      </c>
      <c r="AT1105" t="s">
        <v>4185</v>
      </c>
      <c r="AU1105" t="s">
        <v>116</v>
      </c>
      <c r="AV1105" t="s">
        <v>116</v>
      </c>
      <c r="AW1105">
        <v>0.97</v>
      </c>
      <c r="BA1105">
        <v>0</v>
      </c>
      <c r="BB1105">
        <v>10</v>
      </c>
      <c r="BC1105">
        <v>-1.04</v>
      </c>
      <c r="BD1105">
        <v>7.56</v>
      </c>
      <c r="BE1105">
        <v>10</v>
      </c>
      <c r="BF1105">
        <v>0</v>
      </c>
      <c r="BG1105">
        <v>11.16</v>
      </c>
      <c r="BH1105">
        <v>2.44</v>
      </c>
      <c r="BI1105">
        <v>20191218</v>
      </c>
      <c r="BJ1105">
        <v>20120217</v>
      </c>
      <c r="BK1105">
        <v>8.81</v>
      </c>
      <c r="BL1105" t="s">
        <v>116</v>
      </c>
      <c r="BM1105" t="s">
        <v>116</v>
      </c>
      <c r="BN1105">
        <v>45.98</v>
      </c>
      <c r="BO1105">
        <v>21.53</v>
      </c>
      <c r="BP1105">
        <v>0.9</v>
      </c>
      <c r="BQ1105">
        <v>51.21</v>
      </c>
      <c r="BR1105">
        <v>26.97</v>
      </c>
      <c r="BS1105">
        <v>6.27</v>
      </c>
      <c r="BT1105">
        <v>1.94</v>
      </c>
      <c r="BU1105">
        <v>19.38</v>
      </c>
      <c r="BV1105">
        <v>1.7</v>
      </c>
      <c r="BW1105">
        <v>15.02</v>
      </c>
      <c r="BX1105">
        <v>18.48</v>
      </c>
      <c r="BY1105">
        <v>29.98</v>
      </c>
      <c r="BZ1105">
        <v>25.56</v>
      </c>
      <c r="CA1105">
        <v>1.49</v>
      </c>
      <c r="CB1105">
        <v>0.61</v>
      </c>
      <c r="CC1105">
        <v>1.52</v>
      </c>
      <c r="CD1105">
        <v>1.48</v>
      </c>
      <c r="CE1105">
        <v>1.48</v>
      </c>
      <c r="CF1105">
        <v>0.95</v>
      </c>
      <c r="CG1105">
        <v>-5.6</v>
      </c>
      <c r="CH1105">
        <v>-1.51</v>
      </c>
      <c r="CI1105">
        <v>-0.56000000000000005</v>
      </c>
      <c r="CJ1105">
        <v>41181</v>
      </c>
      <c r="CK1105">
        <v>10110</v>
      </c>
      <c r="CL1105" t="s">
        <v>757</v>
      </c>
      <c r="CM1105">
        <v>5.29</v>
      </c>
      <c r="CN1105">
        <v>-12.27</v>
      </c>
      <c r="CO1105">
        <v>2.16</v>
      </c>
      <c r="CP1105">
        <v>-30.77</v>
      </c>
      <c r="CQ1105">
        <v>1.55</v>
      </c>
      <c r="CR1105">
        <v>0</v>
      </c>
      <c r="CS1105" t="s">
        <v>1127</v>
      </c>
      <c r="CT1105">
        <v>2.44</v>
      </c>
      <c r="CU1105">
        <v>0</v>
      </c>
      <c r="CV1105">
        <v>2.1</v>
      </c>
      <c r="CW1105">
        <v>-0.64</v>
      </c>
      <c r="CX1105">
        <v>-0.17</v>
      </c>
      <c r="CY1105">
        <v>46.83</v>
      </c>
      <c r="CZ1105" t="s">
        <v>3768</v>
      </c>
      <c r="DA1105">
        <v>14.74</v>
      </c>
      <c r="DB1105">
        <v>4.97</v>
      </c>
      <c r="DC1105">
        <v>4.93</v>
      </c>
      <c r="DD1105">
        <v>0.88</v>
      </c>
      <c r="DE1105">
        <v>2267</v>
      </c>
      <c r="DF1105">
        <v>2654</v>
      </c>
      <c r="DG1105" t="s">
        <v>116</v>
      </c>
      <c r="DH1105" t="s">
        <v>116</v>
      </c>
      <c r="DI1105" t="s">
        <v>116</v>
      </c>
    </row>
    <row r="1106" spans="1:113" x14ac:dyDescent="0.4">
      <c r="A1106" t="str">
        <f>"002655"</f>
        <v>002655</v>
      </c>
      <c r="B1106" t="s">
        <v>6346</v>
      </c>
      <c r="C1106">
        <v>-3.21</v>
      </c>
      <c r="D1106">
        <v>14.47</v>
      </c>
      <c r="E1106">
        <v>-0.48</v>
      </c>
      <c r="F1106">
        <v>14.46</v>
      </c>
      <c r="G1106">
        <v>14.47</v>
      </c>
      <c r="H1106">
        <v>566923</v>
      </c>
      <c r="I1106">
        <v>8838</v>
      </c>
      <c r="J1106">
        <v>-0.2</v>
      </c>
      <c r="K1106">
        <v>15.75</v>
      </c>
      <c r="L1106">
        <v>15.06</v>
      </c>
      <c r="M1106">
        <v>15.4</v>
      </c>
      <c r="N1106">
        <v>14.45</v>
      </c>
      <c r="O1106">
        <v>14.95</v>
      </c>
      <c r="P1106">
        <v>237</v>
      </c>
      <c r="Q1106">
        <v>848305344</v>
      </c>
      <c r="R1106">
        <v>0.83</v>
      </c>
      <c r="S1106" t="s">
        <v>233</v>
      </c>
      <c r="T1106" t="s">
        <v>645</v>
      </c>
      <c r="U1106">
        <v>6.35</v>
      </c>
      <c r="V1106">
        <v>14.96</v>
      </c>
      <c r="W1106">
        <v>280631</v>
      </c>
      <c r="X1106">
        <v>286292</v>
      </c>
      <c r="Y1106">
        <v>0.98</v>
      </c>
      <c r="Z1106">
        <v>683</v>
      </c>
      <c r="AA1106">
        <v>490</v>
      </c>
      <c r="AB1106" t="s">
        <v>116</v>
      </c>
      <c r="AC1106">
        <v>4524000</v>
      </c>
      <c r="AD1106">
        <v>0.1</v>
      </c>
      <c r="AE1106" t="s">
        <v>116</v>
      </c>
      <c r="AF1106" t="s">
        <v>116</v>
      </c>
      <c r="AG1106">
        <v>3.6</v>
      </c>
      <c r="AH1106" t="s">
        <v>6347</v>
      </c>
      <c r="AI1106" t="s">
        <v>6347</v>
      </c>
      <c r="AJ1106">
        <v>-2.5299999999999998</v>
      </c>
      <c r="AK1106">
        <v>4478</v>
      </c>
      <c r="AL1106">
        <v>127</v>
      </c>
      <c r="AM1106">
        <v>3.5000000000000001E-3</v>
      </c>
      <c r="AN1106">
        <v>-4</v>
      </c>
      <c r="AO1106">
        <v>-5.98</v>
      </c>
      <c r="AP1106">
        <v>15.76</v>
      </c>
      <c r="AQ1106">
        <v>36.64</v>
      </c>
      <c r="AR1106">
        <v>121.59</v>
      </c>
      <c r="AS1106">
        <v>18.59</v>
      </c>
      <c r="AT1106" t="s">
        <v>6348</v>
      </c>
      <c r="AU1106">
        <v>155.05000000000001</v>
      </c>
      <c r="AV1106">
        <v>243.98</v>
      </c>
      <c r="AW1106">
        <v>0.64</v>
      </c>
      <c r="BA1106">
        <v>0.74</v>
      </c>
      <c r="BB1106">
        <v>3.01</v>
      </c>
      <c r="BC1106">
        <v>-3.34</v>
      </c>
      <c r="BD1106">
        <v>0.09</v>
      </c>
      <c r="BE1106">
        <v>-3.92</v>
      </c>
      <c r="BF1106">
        <v>-6.04</v>
      </c>
      <c r="BG1106">
        <v>0.14000000000000001</v>
      </c>
      <c r="BH1106">
        <v>-3.3</v>
      </c>
      <c r="BI1106">
        <v>20191029</v>
      </c>
      <c r="BJ1106">
        <v>20120217</v>
      </c>
      <c r="BK1106">
        <v>3.6</v>
      </c>
      <c r="BL1106" t="s">
        <v>116</v>
      </c>
      <c r="BM1106" t="s">
        <v>116</v>
      </c>
      <c r="BN1106">
        <v>10.8</v>
      </c>
      <c r="BO1106">
        <v>5.05</v>
      </c>
      <c r="BP1106">
        <v>0</v>
      </c>
      <c r="BQ1106">
        <v>53.22</v>
      </c>
      <c r="BR1106">
        <v>5.52</v>
      </c>
      <c r="BS1106">
        <v>3.32</v>
      </c>
      <c r="BT1106">
        <v>1.01</v>
      </c>
      <c r="BU1106">
        <v>5.73</v>
      </c>
      <c r="BV1106">
        <v>1.72</v>
      </c>
      <c r="BW1106">
        <v>2.81</v>
      </c>
      <c r="BX1106">
        <v>0.64</v>
      </c>
      <c r="BY1106">
        <v>6.91</v>
      </c>
      <c r="BZ1106">
        <v>5.13</v>
      </c>
      <c r="CA1106">
        <v>0.17</v>
      </c>
      <c r="CB1106">
        <v>0</v>
      </c>
      <c r="CC1106">
        <v>0.17</v>
      </c>
      <c r="CD1106">
        <v>0.16</v>
      </c>
      <c r="CE1106">
        <v>0.16</v>
      </c>
      <c r="CF1106">
        <v>0.19</v>
      </c>
      <c r="CG1106">
        <v>0.55000000000000004</v>
      </c>
      <c r="CH1106">
        <v>0.27</v>
      </c>
      <c r="CI1106">
        <v>-0.16</v>
      </c>
      <c r="CJ1106">
        <v>31886</v>
      </c>
      <c r="CK1106">
        <v>9566</v>
      </c>
      <c r="CL1106" t="s">
        <v>6349</v>
      </c>
      <c r="CM1106">
        <v>288.86</v>
      </c>
      <c r="CN1106">
        <v>15.45</v>
      </c>
      <c r="CO1106">
        <v>10.31</v>
      </c>
      <c r="CP1106">
        <v>191.97</v>
      </c>
      <c r="CQ1106">
        <v>7.54</v>
      </c>
      <c r="CR1106">
        <v>0</v>
      </c>
      <c r="CS1106" t="s">
        <v>3798</v>
      </c>
      <c r="CT1106">
        <v>1.4</v>
      </c>
      <c r="CU1106">
        <v>0</v>
      </c>
      <c r="CV1106">
        <v>0.18</v>
      </c>
      <c r="CW1106">
        <v>0.15</v>
      </c>
      <c r="CX1106">
        <v>0.08</v>
      </c>
      <c r="CY1106">
        <v>46.78</v>
      </c>
      <c r="CZ1106" t="s">
        <v>6350</v>
      </c>
      <c r="DA1106">
        <v>25.77</v>
      </c>
      <c r="DB1106">
        <v>2.5299999999999998</v>
      </c>
      <c r="DC1106">
        <v>2.39</v>
      </c>
      <c r="DD1106">
        <v>0.46</v>
      </c>
      <c r="DE1106">
        <v>3145</v>
      </c>
      <c r="DF1106">
        <v>2655</v>
      </c>
      <c r="DG1106" t="s">
        <v>116</v>
      </c>
      <c r="DH1106" t="s">
        <v>116</v>
      </c>
      <c r="DI1106" t="s">
        <v>116</v>
      </c>
    </row>
    <row r="1107" spans="1:113" x14ac:dyDescent="0.4">
      <c r="A1107" t="str">
        <f>"002656"</f>
        <v>002656</v>
      </c>
      <c r="B1107" t="s">
        <v>6351</v>
      </c>
      <c r="C1107">
        <v>-2.0299999999999998</v>
      </c>
      <c r="D1107">
        <v>3.87</v>
      </c>
      <c r="E1107">
        <v>-0.08</v>
      </c>
      <c r="F1107">
        <v>3.86</v>
      </c>
      <c r="G1107">
        <v>3.87</v>
      </c>
      <c r="H1107">
        <v>188276</v>
      </c>
      <c r="I1107">
        <v>4560</v>
      </c>
      <c r="J1107">
        <v>0</v>
      </c>
      <c r="K1107">
        <v>3.91</v>
      </c>
      <c r="L1107">
        <v>3.95</v>
      </c>
      <c r="M1107">
        <v>4.0199999999999996</v>
      </c>
      <c r="N1107">
        <v>3.86</v>
      </c>
      <c r="O1107">
        <v>3.95</v>
      </c>
      <c r="P1107" t="s">
        <v>116</v>
      </c>
      <c r="Q1107">
        <v>74393832</v>
      </c>
      <c r="R1107">
        <v>0.68</v>
      </c>
      <c r="S1107" t="s">
        <v>3070</v>
      </c>
      <c r="T1107" t="s">
        <v>551</v>
      </c>
      <c r="U1107">
        <v>4.05</v>
      </c>
      <c r="V1107">
        <v>3.95</v>
      </c>
      <c r="W1107">
        <v>110651</v>
      </c>
      <c r="X1107">
        <v>77625</v>
      </c>
      <c r="Y1107">
        <v>1.43</v>
      </c>
      <c r="Z1107">
        <v>1358</v>
      </c>
      <c r="AA1107">
        <v>315</v>
      </c>
      <c r="AB1107" t="s">
        <v>116</v>
      </c>
      <c r="AC1107">
        <v>140200</v>
      </c>
      <c r="AD1107">
        <v>0.01</v>
      </c>
      <c r="AE1107" t="s">
        <v>116</v>
      </c>
      <c r="AF1107" t="s">
        <v>116</v>
      </c>
      <c r="AG1107">
        <v>4.82</v>
      </c>
      <c r="AH1107" t="s">
        <v>1220</v>
      </c>
      <c r="AI1107" t="s">
        <v>4115</v>
      </c>
      <c r="AJ1107">
        <v>-1.35</v>
      </c>
      <c r="AK1107">
        <v>2029</v>
      </c>
      <c r="AL1107">
        <v>93</v>
      </c>
      <c r="AM1107">
        <v>1.9E-3</v>
      </c>
      <c r="AN1107">
        <v>-1</v>
      </c>
      <c r="AO1107">
        <v>-2.52</v>
      </c>
      <c r="AP1107">
        <v>8.1</v>
      </c>
      <c r="AQ1107">
        <v>-0.77</v>
      </c>
      <c r="AR1107">
        <v>-37.54</v>
      </c>
      <c r="AS1107">
        <v>7.08</v>
      </c>
      <c r="AT1107" t="s">
        <v>846</v>
      </c>
      <c r="AU1107" t="s">
        <v>116</v>
      </c>
      <c r="AV1107">
        <v>98.99</v>
      </c>
      <c r="AW1107">
        <v>1.03</v>
      </c>
      <c r="BA1107">
        <v>0</v>
      </c>
      <c r="BB1107">
        <v>1.77</v>
      </c>
      <c r="BC1107">
        <v>-2.2799999999999998</v>
      </c>
      <c r="BD1107">
        <v>0.03</v>
      </c>
      <c r="BE1107">
        <v>-2.0299999999999998</v>
      </c>
      <c r="BF1107">
        <v>-3.73</v>
      </c>
      <c r="BG1107">
        <v>0.26</v>
      </c>
      <c r="BH1107">
        <v>-2.06</v>
      </c>
      <c r="BI1107">
        <v>20191031</v>
      </c>
      <c r="BJ1107">
        <v>20120228</v>
      </c>
      <c r="BK1107">
        <v>7.13</v>
      </c>
      <c r="BL1107" t="s">
        <v>116</v>
      </c>
      <c r="BM1107" t="s">
        <v>116</v>
      </c>
      <c r="BN1107">
        <v>31.12</v>
      </c>
      <c r="BO1107">
        <v>23.32</v>
      </c>
      <c r="BP1107">
        <v>0.04</v>
      </c>
      <c r="BQ1107">
        <v>24.95</v>
      </c>
      <c r="BR1107">
        <v>20.39</v>
      </c>
      <c r="BS1107">
        <v>0.17</v>
      </c>
      <c r="BT1107">
        <v>3.13</v>
      </c>
      <c r="BU1107">
        <v>5.64</v>
      </c>
      <c r="BV1107">
        <v>4.93</v>
      </c>
      <c r="BW1107">
        <v>2.76</v>
      </c>
      <c r="BX1107">
        <v>13.14</v>
      </c>
      <c r="BY1107">
        <v>9.61</v>
      </c>
      <c r="BZ1107">
        <v>5.2</v>
      </c>
      <c r="CA1107">
        <v>-0.26</v>
      </c>
      <c r="CB1107">
        <v>0.01</v>
      </c>
      <c r="CC1107">
        <v>-0.25</v>
      </c>
      <c r="CD1107">
        <v>-0.28000000000000003</v>
      </c>
      <c r="CE1107">
        <v>-0.25</v>
      </c>
      <c r="CF1107">
        <v>-0.28000000000000003</v>
      </c>
      <c r="CG1107">
        <v>2.31</v>
      </c>
      <c r="CH1107">
        <v>1.23</v>
      </c>
      <c r="CI1107">
        <v>-1.53</v>
      </c>
      <c r="CJ1107">
        <v>23997</v>
      </c>
      <c r="CK1107">
        <v>11087</v>
      </c>
      <c r="CL1107" t="s">
        <v>5799</v>
      </c>
      <c r="CM1107">
        <v>-143.05000000000001</v>
      </c>
      <c r="CN1107">
        <v>-8.25</v>
      </c>
      <c r="CO1107">
        <v>1.18</v>
      </c>
      <c r="CP1107">
        <v>22.43</v>
      </c>
      <c r="CQ1107">
        <v>2.87</v>
      </c>
      <c r="CR1107">
        <v>0.1</v>
      </c>
      <c r="CS1107" t="s">
        <v>6352</v>
      </c>
      <c r="CT1107">
        <v>3.27</v>
      </c>
      <c r="CU1107">
        <v>0</v>
      </c>
      <c r="CV1107">
        <v>1.84</v>
      </c>
      <c r="CW1107">
        <v>0.32</v>
      </c>
      <c r="CX1107">
        <v>0.17</v>
      </c>
      <c r="CY1107">
        <v>74.930000000000007</v>
      </c>
      <c r="CZ1107" t="s">
        <v>2088</v>
      </c>
      <c r="DA1107">
        <v>45.93</v>
      </c>
      <c r="DB1107">
        <v>-2.67</v>
      </c>
      <c r="DC1107">
        <v>-2.61</v>
      </c>
      <c r="DD1107">
        <v>0.35</v>
      </c>
      <c r="DE1107">
        <v>1424</v>
      </c>
      <c r="DF1107">
        <v>2656</v>
      </c>
      <c r="DG1107" t="s">
        <v>116</v>
      </c>
      <c r="DH1107" t="s">
        <v>116</v>
      </c>
      <c r="DI1107" t="s">
        <v>116</v>
      </c>
    </row>
    <row r="1108" spans="1:113" x14ac:dyDescent="0.4">
      <c r="A1108" t="str">
        <f>"002657"</f>
        <v>002657</v>
      </c>
      <c r="B1108" t="s">
        <v>6353</v>
      </c>
      <c r="C1108">
        <v>-3.21</v>
      </c>
      <c r="D1108">
        <v>18.11</v>
      </c>
      <c r="E1108">
        <v>-0.6</v>
      </c>
      <c r="F1108">
        <v>18.11</v>
      </c>
      <c r="G1108">
        <v>18.12</v>
      </c>
      <c r="H1108">
        <v>115228</v>
      </c>
      <c r="I1108">
        <v>2651</v>
      </c>
      <c r="J1108">
        <v>-0.32</v>
      </c>
      <c r="K1108">
        <v>4.08</v>
      </c>
      <c r="L1108">
        <v>18.66</v>
      </c>
      <c r="M1108">
        <v>18.84</v>
      </c>
      <c r="N1108">
        <v>18.11</v>
      </c>
      <c r="O1108">
        <v>18.71</v>
      </c>
      <c r="P1108">
        <v>45.67</v>
      </c>
      <c r="Q1108">
        <v>213483088</v>
      </c>
      <c r="R1108">
        <v>1.04</v>
      </c>
      <c r="S1108" t="s">
        <v>607</v>
      </c>
      <c r="T1108" t="s">
        <v>165</v>
      </c>
      <c r="U1108">
        <v>3.9</v>
      </c>
      <c r="V1108">
        <v>18.53</v>
      </c>
      <c r="W1108">
        <v>73557</v>
      </c>
      <c r="X1108">
        <v>41671</v>
      </c>
      <c r="Y1108">
        <v>1.77</v>
      </c>
      <c r="Z1108">
        <v>323</v>
      </c>
      <c r="AA1108">
        <v>12</v>
      </c>
      <c r="AB1108" t="s">
        <v>116</v>
      </c>
      <c r="AC1108">
        <v>724000</v>
      </c>
      <c r="AD1108">
        <v>0.01</v>
      </c>
      <c r="AE1108" t="s">
        <v>116</v>
      </c>
      <c r="AF1108" t="s">
        <v>116</v>
      </c>
      <c r="AG1108">
        <v>2.82</v>
      </c>
      <c r="AH1108" t="s">
        <v>6354</v>
      </c>
      <c r="AI1108" t="s">
        <v>6355</v>
      </c>
      <c r="AJ1108">
        <v>-2.5299999999999998</v>
      </c>
      <c r="AK1108">
        <v>3216</v>
      </c>
      <c r="AL1108">
        <v>36</v>
      </c>
      <c r="AM1108">
        <v>1.2999999999999999E-3</v>
      </c>
      <c r="AN1108">
        <v>-1</v>
      </c>
      <c r="AO1108">
        <v>-1.2</v>
      </c>
      <c r="AP1108">
        <v>5.91</v>
      </c>
      <c r="AQ1108">
        <v>-2.5299999999999998</v>
      </c>
      <c r="AR1108">
        <v>44.25</v>
      </c>
      <c r="AS1108">
        <v>4.41</v>
      </c>
      <c r="AT1108" t="s">
        <v>6356</v>
      </c>
      <c r="AU1108">
        <v>148.94</v>
      </c>
      <c r="AV1108">
        <v>744.69</v>
      </c>
      <c r="AW1108">
        <v>1.84</v>
      </c>
      <c r="BA1108">
        <v>-0.27</v>
      </c>
      <c r="BB1108">
        <v>0.69</v>
      </c>
      <c r="BC1108">
        <v>-3.21</v>
      </c>
      <c r="BD1108">
        <v>-0.98</v>
      </c>
      <c r="BE1108">
        <v>-2.95</v>
      </c>
      <c r="BF1108">
        <v>-3.87</v>
      </c>
      <c r="BG1108">
        <v>0</v>
      </c>
      <c r="BH1108">
        <v>-2.23</v>
      </c>
      <c r="BI1108">
        <v>20191029</v>
      </c>
      <c r="BJ1108">
        <v>20120228</v>
      </c>
      <c r="BK1108">
        <v>3.38</v>
      </c>
      <c r="BL1108" t="s">
        <v>116</v>
      </c>
      <c r="BM1108" t="s">
        <v>116</v>
      </c>
      <c r="BN1108">
        <v>35.479999999999997</v>
      </c>
      <c r="BO1108">
        <v>26.24</v>
      </c>
      <c r="BP1108">
        <v>0.01</v>
      </c>
      <c r="BQ1108">
        <v>26</v>
      </c>
      <c r="BR1108">
        <v>20.98</v>
      </c>
      <c r="BS1108">
        <v>0.12</v>
      </c>
      <c r="BT1108">
        <v>0.87</v>
      </c>
      <c r="BU1108">
        <v>8.9700000000000006</v>
      </c>
      <c r="BV1108">
        <v>6.85</v>
      </c>
      <c r="BW1108">
        <v>1.45</v>
      </c>
      <c r="BX1108">
        <v>17.73</v>
      </c>
      <c r="BY1108">
        <v>9.5500000000000007</v>
      </c>
      <c r="BZ1108">
        <v>8.15</v>
      </c>
      <c r="CA1108">
        <v>1.03</v>
      </c>
      <c r="CB1108">
        <v>1.76</v>
      </c>
      <c r="CC1108">
        <v>1</v>
      </c>
      <c r="CD1108">
        <v>0.99</v>
      </c>
      <c r="CE1108">
        <v>1</v>
      </c>
      <c r="CF1108">
        <v>-0.64</v>
      </c>
      <c r="CG1108">
        <v>4.46</v>
      </c>
      <c r="CH1108">
        <v>-3.66</v>
      </c>
      <c r="CI1108">
        <v>-1.42</v>
      </c>
      <c r="CJ1108">
        <v>74695</v>
      </c>
      <c r="CK1108">
        <v>3500</v>
      </c>
      <c r="CL1108" t="s">
        <v>2372</v>
      </c>
      <c r="CM1108">
        <v>48.6</v>
      </c>
      <c r="CN1108">
        <v>16.09</v>
      </c>
      <c r="CO1108">
        <v>2.33</v>
      </c>
      <c r="CP1108">
        <v>-16.7</v>
      </c>
      <c r="CQ1108">
        <v>6.4</v>
      </c>
      <c r="CR1108">
        <v>0.03</v>
      </c>
      <c r="CS1108" t="s">
        <v>6357</v>
      </c>
      <c r="CT1108">
        <v>7.77</v>
      </c>
      <c r="CU1108">
        <v>0</v>
      </c>
      <c r="CV1108">
        <v>5.25</v>
      </c>
      <c r="CW1108">
        <v>1.32</v>
      </c>
      <c r="CX1108">
        <v>-1.08</v>
      </c>
      <c r="CY1108">
        <v>73.97</v>
      </c>
      <c r="CZ1108" t="s">
        <v>1523</v>
      </c>
      <c r="DA1108">
        <v>14.73</v>
      </c>
      <c r="DB1108">
        <v>10.78</v>
      </c>
      <c r="DC1108">
        <v>10.51</v>
      </c>
      <c r="DD1108">
        <v>0.82</v>
      </c>
      <c r="DE1108">
        <v>1004</v>
      </c>
      <c r="DF1108">
        <v>2657</v>
      </c>
      <c r="DG1108" t="s">
        <v>116</v>
      </c>
      <c r="DH1108" t="s">
        <v>116</v>
      </c>
      <c r="DI1108" t="s">
        <v>116</v>
      </c>
    </row>
    <row r="1109" spans="1:113" x14ac:dyDescent="0.4">
      <c r="A1109" t="str">
        <f>"002658"</f>
        <v>002658</v>
      </c>
      <c r="B1109" t="s">
        <v>6358</v>
      </c>
      <c r="C1109">
        <v>10.029999999999999</v>
      </c>
      <c r="D1109">
        <v>7.68</v>
      </c>
      <c r="E1109">
        <v>0.7</v>
      </c>
      <c r="F1109">
        <v>7.68</v>
      </c>
      <c r="G1109" t="s">
        <v>116</v>
      </c>
      <c r="H1109">
        <v>64317</v>
      </c>
      <c r="I1109">
        <v>145</v>
      </c>
      <c r="J1109">
        <v>0</v>
      </c>
      <c r="K1109">
        <v>2.11</v>
      </c>
      <c r="L1109">
        <v>7.5</v>
      </c>
      <c r="M1109">
        <v>7.68</v>
      </c>
      <c r="N1109">
        <v>7.5</v>
      </c>
      <c r="O1109">
        <v>6.98</v>
      </c>
      <c r="P1109">
        <v>35.79</v>
      </c>
      <c r="Q1109">
        <v>49312036</v>
      </c>
      <c r="R1109">
        <v>3.62</v>
      </c>
      <c r="S1109" t="s">
        <v>140</v>
      </c>
      <c r="T1109" t="s">
        <v>165</v>
      </c>
      <c r="U1109">
        <v>2.58</v>
      </c>
      <c r="V1109">
        <v>7.67</v>
      </c>
      <c r="W1109">
        <v>50810</v>
      </c>
      <c r="X1109">
        <v>13507</v>
      </c>
      <c r="Y1109">
        <v>3.76</v>
      </c>
      <c r="Z1109">
        <v>153501</v>
      </c>
      <c r="AA1109">
        <v>0</v>
      </c>
      <c r="AB1109" t="s">
        <v>116</v>
      </c>
      <c r="AC1109">
        <v>2095500</v>
      </c>
      <c r="AD1109">
        <v>0.14000000000000001</v>
      </c>
      <c r="AE1109">
        <v>2.39</v>
      </c>
      <c r="AF1109">
        <v>117888768</v>
      </c>
      <c r="AG1109">
        <v>3.05</v>
      </c>
      <c r="AH1109" t="s">
        <v>6237</v>
      </c>
      <c r="AI1109" t="s">
        <v>6359</v>
      </c>
      <c r="AJ1109">
        <v>10.71</v>
      </c>
      <c r="AK1109">
        <v>677</v>
      </c>
      <c r="AL1109">
        <v>95</v>
      </c>
      <c r="AM1109">
        <v>3.0999999999999999E-3</v>
      </c>
      <c r="AN1109">
        <v>2</v>
      </c>
      <c r="AO1109">
        <v>9.1</v>
      </c>
      <c r="AP1109">
        <v>17.97</v>
      </c>
      <c r="AQ1109">
        <v>7.11</v>
      </c>
      <c r="AR1109">
        <v>9.7100000000000009</v>
      </c>
      <c r="AS1109">
        <v>3.2</v>
      </c>
      <c r="AT1109" t="s">
        <v>6360</v>
      </c>
      <c r="AU1109">
        <v>33.9</v>
      </c>
      <c r="AV1109">
        <v>25.92</v>
      </c>
      <c r="AW1109">
        <v>0.56999999999999995</v>
      </c>
      <c r="BA1109">
        <v>7.45</v>
      </c>
      <c r="BB1109">
        <v>10.029999999999999</v>
      </c>
      <c r="BC1109">
        <v>7.45</v>
      </c>
      <c r="BD1109">
        <v>9.84</v>
      </c>
      <c r="BE1109">
        <v>2.4</v>
      </c>
      <c r="BF1109">
        <v>0</v>
      </c>
      <c r="BG1109">
        <v>2.4</v>
      </c>
      <c r="BH1109">
        <v>0.19</v>
      </c>
      <c r="BI1109">
        <v>20191031</v>
      </c>
      <c r="BJ1109">
        <v>20120309</v>
      </c>
      <c r="BK1109">
        <v>6.05</v>
      </c>
      <c r="BL1109" t="s">
        <v>116</v>
      </c>
      <c r="BM1109" t="s">
        <v>116</v>
      </c>
      <c r="BN1109">
        <v>29.2</v>
      </c>
      <c r="BO1109">
        <v>20.91</v>
      </c>
      <c r="BP1109">
        <v>0.08</v>
      </c>
      <c r="BQ1109">
        <v>28.11</v>
      </c>
      <c r="BR1109">
        <v>24.74</v>
      </c>
      <c r="BS1109">
        <v>1.43</v>
      </c>
      <c r="BT1109">
        <v>0.44</v>
      </c>
      <c r="BU1109">
        <v>3.33</v>
      </c>
      <c r="BV1109">
        <v>4.58</v>
      </c>
      <c r="BW1109">
        <v>5.34</v>
      </c>
      <c r="BX1109">
        <v>2.4500000000000002</v>
      </c>
      <c r="BY1109">
        <v>9.43</v>
      </c>
      <c r="BZ1109">
        <v>5.52</v>
      </c>
      <c r="CA1109">
        <v>1.1100000000000001</v>
      </c>
      <c r="CB1109">
        <v>0.02</v>
      </c>
      <c r="CC1109">
        <v>1.0900000000000001</v>
      </c>
      <c r="CD1109">
        <v>0.96</v>
      </c>
      <c r="CE1109">
        <v>0.97</v>
      </c>
      <c r="CF1109">
        <v>0.96</v>
      </c>
      <c r="CG1109">
        <v>10.65</v>
      </c>
      <c r="CH1109">
        <v>1.31</v>
      </c>
      <c r="CI1109">
        <v>-0.1</v>
      </c>
      <c r="CJ1109">
        <v>38995</v>
      </c>
      <c r="CK1109">
        <v>5147</v>
      </c>
      <c r="CL1109" t="s">
        <v>895</v>
      </c>
      <c r="CM1109">
        <v>-30.24</v>
      </c>
      <c r="CN1109">
        <v>11.26</v>
      </c>
      <c r="CO1109">
        <v>2.35</v>
      </c>
      <c r="CP1109">
        <v>35.42</v>
      </c>
      <c r="CQ1109">
        <v>4.92</v>
      </c>
      <c r="CR1109">
        <v>1.28</v>
      </c>
      <c r="CS1109" t="s">
        <v>6361</v>
      </c>
      <c r="CT1109">
        <v>3.27</v>
      </c>
      <c r="CU1109">
        <v>3.27</v>
      </c>
      <c r="CV1109">
        <v>0.4</v>
      </c>
      <c r="CW1109">
        <v>1.76</v>
      </c>
      <c r="CX1109">
        <v>0.22</v>
      </c>
      <c r="CY1109">
        <v>71.63</v>
      </c>
      <c r="CZ1109" t="s">
        <v>5340</v>
      </c>
      <c r="DA1109">
        <v>41.48</v>
      </c>
      <c r="DB1109">
        <v>11.74</v>
      </c>
      <c r="DC1109">
        <v>10.32</v>
      </c>
      <c r="DD1109">
        <v>0.7</v>
      </c>
      <c r="DE1109">
        <v>1936</v>
      </c>
      <c r="DF1109">
        <v>2658</v>
      </c>
      <c r="DG1109" t="s">
        <v>116</v>
      </c>
      <c r="DH1109" t="s">
        <v>116</v>
      </c>
      <c r="DI1109" t="s">
        <v>116</v>
      </c>
    </row>
    <row r="1110" spans="1:113" x14ac:dyDescent="0.4">
      <c r="A1110" t="str">
        <f>"002659"</f>
        <v>002659</v>
      </c>
      <c r="B1110" t="s">
        <v>6362</v>
      </c>
      <c r="C1110">
        <v>-1.45</v>
      </c>
      <c r="D1110">
        <v>6.11</v>
      </c>
      <c r="E1110">
        <v>-0.09</v>
      </c>
      <c r="F1110">
        <v>6.1</v>
      </c>
      <c r="G1110">
        <v>6.11</v>
      </c>
      <c r="H1110">
        <v>43335</v>
      </c>
      <c r="I1110">
        <v>245</v>
      </c>
      <c r="J1110">
        <v>0</v>
      </c>
      <c r="K1110">
        <v>0.87</v>
      </c>
      <c r="L1110">
        <v>6.2</v>
      </c>
      <c r="M1110">
        <v>6.25</v>
      </c>
      <c r="N1110">
        <v>6.07</v>
      </c>
      <c r="O1110">
        <v>6.2</v>
      </c>
      <c r="P1110" t="s">
        <v>116</v>
      </c>
      <c r="Q1110">
        <v>26705644</v>
      </c>
      <c r="R1110">
        <v>0.96</v>
      </c>
      <c r="S1110" t="s">
        <v>217</v>
      </c>
      <c r="T1110" t="s">
        <v>165</v>
      </c>
      <c r="U1110">
        <v>2.9</v>
      </c>
      <c r="V1110">
        <v>6.16</v>
      </c>
      <c r="W1110">
        <v>31107</v>
      </c>
      <c r="X1110">
        <v>12228</v>
      </c>
      <c r="Y1110">
        <v>2.54</v>
      </c>
      <c r="Z1110">
        <v>79</v>
      </c>
      <c r="AA1110">
        <v>36</v>
      </c>
      <c r="AB1110" t="s">
        <v>116</v>
      </c>
      <c r="AC1110">
        <v>72500</v>
      </c>
      <c r="AD1110">
        <v>0</v>
      </c>
      <c r="AE1110" t="s">
        <v>116</v>
      </c>
      <c r="AF1110" t="s">
        <v>116</v>
      </c>
      <c r="AG1110">
        <v>4.99</v>
      </c>
      <c r="AH1110" t="s">
        <v>6363</v>
      </c>
      <c r="AI1110" t="s">
        <v>6363</v>
      </c>
      <c r="AJ1110">
        <v>-0.77</v>
      </c>
      <c r="AK1110">
        <v>838</v>
      </c>
      <c r="AL1110">
        <v>52</v>
      </c>
      <c r="AM1110">
        <v>1E-3</v>
      </c>
      <c r="AN1110">
        <v>-1</v>
      </c>
      <c r="AO1110">
        <v>-1.45</v>
      </c>
      <c r="AP1110">
        <v>-8.1199999999999992</v>
      </c>
      <c r="AQ1110">
        <v>-13.94</v>
      </c>
      <c r="AR1110">
        <v>-27.18</v>
      </c>
      <c r="AS1110">
        <v>1.29</v>
      </c>
      <c r="AT1110" t="s">
        <v>4233</v>
      </c>
      <c r="AU1110" t="s">
        <v>116</v>
      </c>
      <c r="AV1110" t="s">
        <v>116</v>
      </c>
      <c r="AW1110">
        <v>0.76</v>
      </c>
      <c r="BA1110">
        <v>0</v>
      </c>
      <c r="BB1110">
        <v>0.81</v>
      </c>
      <c r="BC1110">
        <v>-2.1</v>
      </c>
      <c r="BD1110">
        <v>-0.6</v>
      </c>
      <c r="BE1110">
        <v>-1.45</v>
      </c>
      <c r="BF1110">
        <v>-2.2400000000000002</v>
      </c>
      <c r="BG1110">
        <v>0.66</v>
      </c>
      <c r="BH1110">
        <v>-0.85</v>
      </c>
      <c r="BI1110">
        <v>20191126</v>
      </c>
      <c r="BJ1110">
        <v>20120309</v>
      </c>
      <c r="BK1110">
        <v>4.99</v>
      </c>
      <c r="BL1110" t="s">
        <v>116</v>
      </c>
      <c r="BM1110" t="s">
        <v>116</v>
      </c>
      <c r="BN1110">
        <v>36.58</v>
      </c>
      <c r="BO1110">
        <v>20.29</v>
      </c>
      <c r="BP1110">
        <v>0.09</v>
      </c>
      <c r="BQ1110">
        <v>44.29</v>
      </c>
      <c r="BR1110">
        <v>5.61</v>
      </c>
      <c r="BS1110">
        <v>12.19</v>
      </c>
      <c r="BT1110">
        <v>9.11</v>
      </c>
      <c r="BU1110">
        <v>5.8</v>
      </c>
      <c r="BV1110">
        <v>0</v>
      </c>
      <c r="BW1110">
        <v>0.14000000000000001</v>
      </c>
      <c r="BX1110">
        <v>16.690000000000001</v>
      </c>
      <c r="BY1110">
        <v>2.41</v>
      </c>
      <c r="BZ1110">
        <v>2.2400000000000002</v>
      </c>
      <c r="CA1110">
        <v>-1.02</v>
      </c>
      <c r="CB1110">
        <v>0</v>
      </c>
      <c r="CC1110">
        <v>-1.02</v>
      </c>
      <c r="CD1110">
        <v>-0.77</v>
      </c>
      <c r="CE1110">
        <v>-0.78</v>
      </c>
      <c r="CF1110">
        <v>-0.78</v>
      </c>
      <c r="CG1110">
        <v>-1.66</v>
      </c>
      <c r="CH1110">
        <v>1</v>
      </c>
      <c r="CI1110">
        <v>-1.88</v>
      </c>
      <c r="CJ1110">
        <v>13551</v>
      </c>
      <c r="CK1110">
        <v>24796</v>
      </c>
      <c r="CL1110" t="s">
        <v>6364</v>
      </c>
      <c r="CM1110">
        <v>-8.66</v>
      </c>
      <c r="CN1110">
        <v>53.24</v>
      </c>
      <c r="CO1110">
        <v>1.5</v>
      </c>
      <c r="CP1110">
        <v>30.53</v>
      </c>
      <c r="CQ1110">
        <v>12.64</v>
      </c>
      <c r="CR1110">
        <v>0</v>
      </c>
      <c r="CS1110" t="s">
        <v>6365</v>
      </c>
      <c r="CT1110">
        <v>4.07</v>
      </c>
      <c r="CU1110">
        <v>0</v>
      </c>
      <c r="CV1110">
        <v>3.35</v>
      </c>
      <c r="CW1110">
        <v>-0.33</v>
      </c>
      <c r="CX1110">
        <v>0.2</v>
      </c>
      <c r="CY1110">
        <v>55.47</v>
      </c>
      <c r="CZ1110" t="s">
        <v>6366</v>
      </c>
      <c r="DA1110">
        <v>7.07</v>
      </c>
      <c r="DB1110">
        <v>-42.15</v>
      </c>
      <c r="DC1110">
        <v>-32.19</v>
      </c>
      <c r="DD1110">
        <v>0</v>
      </c>
      <c r="DE1110">
        <v>565</v>
      </c>
      <c r="DF1110">
        <v>2659</v>
      </c>
      <c r="DG1110" t="s">
        <v>116</v>
      </c>
      <c r="DH1110" t="s">
        <v>116</v>
      </c>
      <c r="DI1110" t="s">
        <v>116</v>
      </c>
    </row>
    <row r="1111" spans="1:113" x14ac:dyDescent="0.4">
      <c r="A1111" t="str">
        <f>"002660"</f>
        <v>002660</v>
      </c>
      <c r="B1111" t="s">
        <v>6367</v>
      </c>
      <c r="C1111">
        <v>-2.0299999999999998</v>
      </c>
      <c r="D1111">
        <v>8.68</v>
      </c>
      <c r="E1111">
        <v>-0.18</v>
      </c>
      <c r="F1111">
        <v>8.68</v>
      </c>
      <c r="G1111">
        <v>8.69</v>
      </c>
      <c r="H1111">
        <v>100586</v>
      </c>
      <c r="I1111">
        <v>1361</v>
      </c>
      <c r="J1111">
        <v>-0.11</v>
      </c>
      <c r="K1111">
        <v>4.9000000000000004</v>
      </c>
      <c r="L1111">
        <v>8.7899999999999991</v>
      </c>
      <c r="M1111">
        <v>8.8699999999999992</v>
      </c>
      <c r="N1111">
        <v>8.65</v>
      </c>
      <c r="O1111">
        <v>8.86</v>
      </c>
      <c r="P1111">
        <v>35.04</v>
      </c>
      <c r="Q1111">
        <v>88149280</v>
      </c>
      <c r="R1111">
        <v>0.7</v>
      </c>
      <c r="S1111" t="s">
        <v>397</v>
      </c>
      <c r="T1111" t="s">
        <v>115</v>
      </c>
      <c r="U1111">
        <v>2.48</v>
      </c>
      <c r="V1111">
        <v>8.76</v>
      </c>
      <c r="W1111">
        <v>58537</v>
      </c>
      <c r="X1111">
        <v>42049</v>
      </c>
      <c r="Y1111">
        <v>1.39</v>
      </c>
      <c r="Z1111">
        <v>599</v>
      </c>
      <c r="AA1111">
        <v>308</v>
      </c>
      <c r="AB1111" t="s">
        <v>116</v>
      </c>
      <c r="AC1111">
        <v>469400</v>
      </c>
      <c r="AD1111">
        <v>0.03</v>
      </c>
      <c r="AE1111" t="s">
        <v>116</v>
      </c>
      <c r="AF1111" t="s">
        <v>116</v>
      </c>
      <c r="AG1111">
        <v>2.0499999999999998</v>
      </c>
      <c r="AH1111" t="s">
        <v>1915</v>
      </c>
      <c r="AI1111" t="s">
        <v>6368</v>
      </c>
      <c r="AJ1111">
        <v>-1.35</v>
      </c>
      <c r="AK1111">
        <v>2602</v>
      </c>
      <c r="AL1111">
        <v>39</v>
      </c>
      <c r="AM1111">
        <v>1.9E-3</v>
      </c>
      <c r="AN1111">
        <v>-1</v>
      </c>
      <c r="AO1111">
        <v>-1.36</v>
      </c>
      <c r="AP1111">
        <v>14.81</v>
      </c>
      <c r="AQ1111">
        <v>-4.41</v>
      </c>
      <c r="AR1111">
        <v>46.87</v>
      </c>
      <c r="AS1111">
        <v>5.82</v>
      </c>
      <c r="AT1111" t="s">
        <v>6369</v>
      </c>
      <c r="AU1111" t="s">
        <v>116</v>
      </c>
      <c r="AV1111" t="s">
        <v>116</v>
      </c>
      <c r="AW1111">
        <v>2.08</v>
      </c>
      <c r="BA1111">
        <v>-0.79</v>
      </c>
      <c r="BB1111">
        <v>0.11</v>
      </c>
      <c r="BC1111">
        <v>-2.37</v>
      </c>
      <c r="BD1111">
        <v>-1.0900000000000001</v>
      </c>
      <c r="BE1111">
        <v>-1.25</v>
      </c>
      <c r="BF1111">
        <v>-2.14</v>
      </c>
      <c r="BG1111">
        <v>0.35</v>
      </c>
      <c r="BH1111">
        <v>-0.94</v>
      </c>
      <c r="BI1111">
        <v>20191225</v>
      </c>
      <c r="BJ1111">
        <v>20120316</v>
      </c>
      <c r="BK1111">
        <v>2.74</v>
      </c>
      <c r="BL1111" t="s">
        <v>116</v>
      </c>
      <c r="BM1111" t="s">
        <v>116</v>
      </c>
      <c r="BN1111">
        <v>15.54</v>
      </c>
      <c r="BO1111">
        <v>6.06</v>
      </c>
      <c r="BP1111">
        <v>0.01</v>
      </c>
      <c r="BQ1111">
        <v>60.95</v>
      </c>
      <c r="BR1111">
        <v>9.4700000000000006</v>
      </c>
      <c r="BS1111">
        <v>3.87</v>
      </c>
      <c r="BT1111">
        <v>0.23</v>
      </c>
      <c r="BU1111">
        <v>8.9</v>
      </c>
      <c r="BV1111">
        <v>1.05</v>
      </c>
      <c r="BW1111">
        <v>4.42</v>
      </c>
      <c r="BX1111">
        <v>4.1100000000000003</v>
      </c>
      <c r="BY1111">
        <v>8.92</v>
      </c>
      <c r="BZ1111">
        <v>6.92</v>
      </c>
      <c r="CA1111">
        <v>0.53</v>
      </c>
      <c r="CB1111">
        <v>0.03</v>
      </c>
      <c r="CC1111">
        <v>0.55000000000000004</v>
      </c>
      <c r="CD1111">
        <v>0.5</v>
      </c>
      <c r="CE1111">
        <v>0.51</v>
      </c>
      <c r="CF1111">
        <v>0.4</v>
      </c>
      <c r="CG1111">
        <v>-1.05</v>
      </c>
      <c r="CH1111">
        <v>0.35</v>
      </c>
      <c r="CI1111">
        <v>0.19</v>
      </c>
      <c r="CJ1111">
        <v>34000</v>
      </c>
      <c r="CK1111">
        <v>5081</v>
      </c>
      <c r="CL1111" t="s">
        <v>3027</v>
      </c>
      <c r="CM1111">
        <v>600.57000000000005</v>
      </c>
      <c r="CN1111">
        <v>-8.5</v>
      </c>
      <c r="CO1111">
        <v>3.93</v>
      </c>
      <c r="CP1111">
        <v>68.260000000000005</v>
      </c>
      <c r="CQ1111">
        <v>2.67</v>
      </c>
      <c r="CR1111">
        <v>0</v>
      </c>
      <c r="CS1111" t="s">
        <v>3615</v>
      </c>
      <c r="CT1111">
        <v>2.21</v>
      </c>
      <c r="CU1111">
        <v>0</v>
      </c>
      <c r="CV1111">
        <v>1.5</v>
      </c>
      <c r="CW1111">
        <v>-0.38</v>
      </c>
      <c r="CX1111">
        <v>0.13</v>
      </c>
      <c r="CY1111">
        <v>39.020000000000003</v>
      </c>
      <c r="CZ1111" t="s">
        <v>1350</v>
      </c>
      <c r="DA1111">
        <v>22.37</v>
      </c>
      <c r="DB1111">
        <v>5.94</v>
      </c>
      <c r="DC1111">
        <v>5.71</v>
      </c>
      <c r="DD1111">
        <v>0.44</v>
      </c>
      <c r="DE1111">
        <v>1738</v>
      </c>
      <c r="DF1111">
        <v>2660</v>
      </c>
      <c r="DG1111" t="s">
        <v>116</v>
      </c>
      <c r="DH1111" t="s">
        <v>116</v>
      </c>
      <c r="DI1111" t="s">
        <v>116</v>
      </c>
    </row>
    <row r="1112" spans="1:113" x14ac:dyDescent="0.4">
      <c r="A1112" t="str">
        <f>"002661"</f>
        <v>002661</v>
      </c>
      <c r="B1112" t="s">
        <v>6370</v>
      </c>
      <c r="C1112">
        <v>0.36</v>
      </c>
      <c r="D1112">
        <v>11.18</v>
      </c>
      <c r="E1112">
        <v>0.04</v>
      </c>
      <c r="F1112">
        <v>11.17</v>
      </c>
      <c r="G1112">
        <v>11.18</v>
      </c>
      <c r="H1112">
        <v>19230</v>
      </c>
      <c r="I1112">
        <v>558</v>
      </c>
      <c r="J1112">
        <v>0</v>
      </c>
      <c r="K1112">
        <v>0.59</v>
      </c>
      <c r="L1112">
        <v>11.15</v>
      </c>
      <c r="M1112">
        <v>11.23</v>
      </c>
      <c r="N1112">
        <v>11.15</v>
      </c>
      <c r="O1112">
        <v>11.14</v>
      </c>
      <c r="P1112">
        <v>20.79</v>
      </c>
      <c r="Q1112">
        <v>21507260</v>
      </c>
      <c r="R1112">
        <v>1.23</v>
      </c>
      <c r="S1112" t="s">
        <v>863</v>
      </c>
      <c r="T1112" t="s">
        <v>599</v>
      </c>
      <c r="U1112">
        <v>0.72</v>
      </c>
      <c r="V1112">
        <v>11.18</v>
      </c>
      <c r="W1112">
        <v>10395</v>
      </c>
      <c r="X1112">
        <v>8835</v>
      </c>
      <c r="Y1112">
        <v>1.18</v>
      </c>
      <c r="Z1112">
        <v>174</v>
      </c>
      <c r="AA1112">
        <v>81</v>
      </c>
      <c r="AB1112" t="s">
        <v>116</v>
      </c>
      <c r="AC1112">
        <v>0</v>
      </c>
      <c r="AD1112">
        <v>0</v>
      </c>
      <c r="AE1112" t="s">
        <v>116</v>
      </c>
      <c r="AF1112" t="s">
        <v>116</v>
      </c>
      <c r="AG1112">
        <v>3.24</v>
      </c>
      <c r="AH1112" t="s">
        <v>2768</v>
      </c>
      <c r="AI1112" t="s">
        <v>6371</v>
      </c>
      <c r="AJ1112">
        <v>1.04</v>
      </c>
      <c r="AK1112">
        <v>774</v>
      </c>
      <c r="AL1112">
        <v>25</v>
      </c>
      <c r="AM1112">
        <v>8.0000000000000004E-4</v>
      </c>
      <c r="AN1112">
        <v>2</v>
      </c>
      <c r="AO1112">
        <v>0.18</v>
      </c>
      <c r="AP1112">
        <v>2.1</v>
      </c>
      <c r="AQ1112">
        <v>-9.11</v>
      </c>
      <c r="AR1112">
        <v>-7.53</v>
      </c>
      <c r="AS1112">
        <v>0.98</v>
      </c>
      <c r="AT1112" t="s">
        <v>5866</v>
      </c>
      <c r="AU1112">
        <v>23.74</v>
      </c>
      <c r="AV1112">
        <v>19.77</v>
      </c>
      <c r="AW1112">
        <v>0.37</v>
      </c>
      <c r="BA1112">
        <v>0.09</v>
      </c>
      <c r="BB1112">
        <v>0.81</v>
      </c>
      <c r="BC1112">
        <v>0.09</v>
      </c>
      <c r="BD1112">
        <v>0.4</v>
      </c>
      <c r="BE1112">
        <v>0.27</v>
      </c>
      <c r="BF1112">
        <v>-0.45</v>
      </c>
      <c r="BG1112">
        <v>0.27</v>
      </c>
      <c r="BH1112">
        <v>-0.04</v>
      </c>
      <c r="BI1112">
        <v>20191211</v>
      </c>
      <c r="BJ1112">
        <v>20120316</v>
      </c>
      <c r="BK1112">
        <v>3.29</v>
      </c>
      <c r="BL1112" t="s">
        <v>116</v>
      </c>
      <c r="BM1112" t="s">
        <v>116</v>
      </c>
      <c r="BN1112">
        <v>43.68</v>
      </c>
      <c r="BO1112">
        <v>22.27</v>
      </c>
      <c r="BP1112">
        <v>0</v>
      </c>
      <c r="BQ1112">
        <v>49.02</v>
      </c>
      <c r="BR1112">
        <v>19.649999999999999</v>
      </c>
      <c r="BS1112">
        <v>12.3</v>
      </c>
      <c r="BT1112">
        <v>2.46</v>
      </c>
      <c r="BU1112">
        <v>16.649999999999999</v>
      </c>
      <c r="BV1112">
        <v>4.18</v>
      </c>
      <c r="BW1112">
        <v>2.27</v>
      </c>
      <c r="BX1112">
        <v>13.26</v>
      </c>
      <c r="BY1112">
        <v>22.5</v>
      </c>
      <c r="BZ1112">
        <v>17.29</v>
      </c>
      <c r="CA1112">
        <v>1.62</v>
      </c>
      <c r="CB1112">
        <v>0.2</v>
      </c>
      <c r="CC1112">
        <v>1.62</v>
      </c>
      <c r="CD1112">
        <v>1.33</v>
      </c>
      <c r="CE1112">
        <v>1.33</v>
      </c>
      <c r="CF1112">
        <v>1.03</v>
      </c>
      <c r="CG1112">
        <v>5.54</v>
      </c>
      <c r="CH1112">
        <v>1.71</v>
      </c>
      <c r="CI1112">
        <v>-1.76</v>
      </c>
      <c r="CJ1112">
        <v>17813</v>
      </c>
      <c r="CK1112">
        <v>10980</v>
      </c>
      <c r="CL1112" t="s">
        <v>6372</v>
      </c>
      <c r="CM1112">
        <v>-18.989999999999998</v>
      </c>
      <c r="CN1112">
        <v>12.56</v>
      </c>
      <c r="CO1112">
        <v>1.65</v>
      </c>
      <c r="CP1112">
        <v>21.51</v>
      </c>
      <c r="CQ1112">
        <v>1.63</v>
      </c>
      <c r="CR1112">
        <v>2.25</v>
      </c>
      <c r="CS1112" t="s">
        <v>268</v>
      </c>
      <c r="CT1112">
        <v>6.77</v>
      </c>
      <c r="CU1112">
        <v>0</v>
      </c>
      <c r="CV1112">
        <v>4.03</v>
      </c>
      <c r="CW1112">
        <v>1.68</v>
      </c>
      <c r="CX1112">
        <v>0.52</v>
      </c>
      <c r="CY1112">
        <v>50.98</v>
      </c>
      <c r="CZ1112" t="s">
        <v>6373</v>
      </c>
      <c r="DA1112">
        <v>23.15</v>
      </c>
      <c r="DB1112">
        <v>7.18</v>
      </c>
      <c r="DC1112">
        <v>5.89</v>
      </c>
      <c r="DD1112">
        <v>0.2</v>
      </c>
      <c r="DE1112">
        <v>3944</v>
      </c>
      <c r="DF1112">
        <v>2661</v>
      </c>
      <c r="DG1112" t="s">
        <v>116</v>
      </c>
      <c r="DH1112" t="s">
        <v>116</v>
      </c>
      <c r="DI1112" t="s">
        <v>116</v>
      </c>
    </row>
    <row r="1113" spans="1:113" x14ac:dyDescent="0.4">
      <c r="A1113" t="str">
        <f>"002662"</f>
        <v>002662</v>
      </c>
      <c r="B1113" t="s">
        <v>6374</v>
      </c>
      <c r="C1113">
        <v>0.38</v>
      </c>
      <c r="D1113">
        <v>2.67</v>
      </c>
      <c r="E1113">
        <v>0.01</v>
      </c>
      <c r="F1113">
        <v>2.66</v>
      </c>
      <c r="G1113">
        <v>2.67</v>
      </c>
      <c r="H1113">
        <v>96415</v>
      </c>
      <c r="I1113">
        <v>679</v>
      </c>
      <c r="J1113">
        <v>0.75</v>
      </c>
      <c r="K1113">
        <v>0.66</v>
      </c>
      <c r="L1113">
        <v>2.66</v>
      </c>
      <c r="M1113">
        <v>2.75</v>
      </c>
      <c r="N1113">
        <v>2.64</v>
      </c>
      <c r="O1113">
        <v>2.66</v>
      </c>
      <c r="P1113" t="s">
        <v>116</v>
      </c>
      <c r="Q1113">
        <v>25878260</v>
      </c>
      <c r="R1113">
        <v>1.1399999999999999</v>
      </c>
      <c r="S1113" t="s">
        <v>293</v>
      </c>
      <c r="T1113" t="s">
        <v>165</v>
      </c>
      <c r="U1113">
        <v>4.1399999999999997</v>
      </c>
      <c r="V1113">
        <v>2.68</v>
      </c>
      <c r="W1113">
        <v>38534</v>
      </c>
      <c r="X1113">
        <v>57881</v>
      </c>
      <c r="Y1113">
        <v>0.67</v>
      </c>
      <c r="Z1113">
        <v>67</v>
      </c>
      <c r="AA1113">
        <v>1480</v>
      </c>
      <c r="AB1113" t="s">
        <v>116</v>
      </c>
      <c r="AC1113">
        <v>13300</v>
      </c>
      <c r="AD1113">
        <v>0</v>
      </c>
      <c r="AE1113" t="s">
        <v>116</v>
      </c>
      <c r="AF1113" t="s">
        <v>116</v>
      </c>
      <c r="AG1113">
        <v>14.59</v>
      </c>
      <c r="AH1113" t="s">
        <v>6375</v>
      </c>
      <c r="AI1113" t="s">
        <v>6376</v>
      </c>
      <c r="AJ1113">
        <v>1.05</v>
      </c>
      <c r="AK1113">
        <v>1197</v>
      </c>
      <c r="AL1113">
        <v>81</v>
      </c>
      <c r="AM1113">
        <v>5.9999999999999995E-4</v>
      </c>
      <c r="AN1113">
        <v>2</v>
      </c>
      <c r="AO1113">
        <v>0.76</v>
      </c>
      <c r="AP1113">
        <v>3.09</v>
      </c>
      <c r="AQ1113">
        <v>-8.25</v>
      </c>
      <c r="AR1113">
        <v>-28.8</v>
      </c>
      <c r="AS1113">
        <v>1.91</v>
      </c>
      <c r="AT1113" t="s">
        <v>5609</v>
      </c>
      <c r="AU1113" t="s">
        <v>116</v>
      </c>
      <c r="AV1113">
        <v>43.9</v>
      </c>
      <c r="AW1113">
        <v>1.1000000000000001</v>
      </c>
      <c r="BA1113">
        <v>0</v>
      </c>
      <c r="BB1113">
        <v>3.38</v>
      </c>
      <c r="BC1113">
        <v>-0.75</v>
      </c>
      <c r="BD1113">
        <v>0.9</v>
      </c>
      <c r="BE1113">
        <v>0.38</v>
      </c>
      <c r="BF1113">
        <v>-2.91</v>
      </c>
      <c r="BG1113">
        <v>1.1399999999999999</v>
      </c>
      <c r="BH1113">
        <v>-0.53</v>
      </c>
      <c r="BI1113">
        <v>20191106</v>
      </c>
      <c r="BJ1113">
        <v>20120309</v>
      </c>
      <c r="BK1113">
        <v>15</v>
      </c>
      <c r="BL1113" t="s">
        <v>116</v>
      </c>
      <c r="BM1113" t="s">
        <v>116</v>
      </c>
      <c r="BN1113">
        <v>78.03</v>
      </c>
      <c r="BO1113">
        <v>49.47</v>
      </c>
      <c r="BP1113">
        <v>0</v>
      </c>
      <c r="BQ1113">
        <v>36.6</v>
      </c>
      <c r="BR1113">
        <v>30.08</v>
      </c>
      <c r="BS1113">
        <v>21.89</v>
      </c>
      <c r="BT1113">
        <v>2.2599999999999998</v>
      </c>
      <c r="BU1113">
        <v>28.44</v>
      </c>
      <c r="BV1113">
        <v>10.08</v>
      </c>
      <c r="BW1113">
        <v>5.83</v>
      </c>
      <c r="BX1113">
        <v>16.84</v>
      </c>
      <c r="BY1113">
        <v>26.24</v>
      </c>
      <c r="BZ1113">
        <v>22.86</v>
      </c>
      <c r="CA1113">
        <v>-1.65</v>
      </c>
      <c r="CB1113">
        <v>-0.51</v>
      </c>
      <c r="CC1113">
        <v>-1.44</v>
      </c>
      <c r="CD1113">
        <v>-1.89</v>
      </c>
      <c r="CE1113">
        <v>-1.89</v>
      </c>
      <c r="CF1113">
        <v>-2.09</v>
      </c>
      <c r="CG1113">
        <v>14.14</v>
      </c>
      <c r="CH1113">
        <v>7.57</v>
      </c>
      <c r="CI1113">
        <v>0.36</v>
      </c>
      <c r="CJ1113">
        <v>34887</v>
      </c>
      <c r="CK1113">
        <v>14485</v>
      </c>
      <c r="CL1113" t="s">
        <v>1176</v>
      </c>
      <c r="CM1113">
        <v>-124.33</v>
      </c>
      <c r="CN1113">
        <v>-37.479999999999997</v>
      </c>
      <c r="CO1113">
        <v>0.81</v>
      </c>
      <c r="CP1113">
        <v>5.29</v>
      </c>
      <c r="CQ1113">
        <v>1.53</v>
      </c>
      <c r="CR1113">
        <v>0.75</v>
      </c>
      <c r="CS1113" t="s">
        <v>5624</v>
      </c>
      <c r="CT1113">
        <v>3.3</v>
      </c>
      <c r="CU1113">
        <v>0</v>
      </c>
      <c r="CV1113">
        <v>1.1200000000000001</v>
      </c>
      <c r="CW1113">
        <v>0.94</v>
      </c>
      <c r="CX1113">
        <v>0.5</v>
      </c>
      <c r="CY1113">
        <v>63.4</v>
      </c>
      <c r="CZ1113" t="s">
        <v>6377</v>
      </c>
      <c r="DA1113">
        <v>12.87</v>
      </c>
      <c r="DB1113">
        <v>-6.28</v>
      </c>
      <c r="DC1113">
        <v>-7.21</v>
      </c>
      <c r="DD1113">
        <v>0.7</v>
      </c>
      <c r="DE1113">
        <v>10840</v>
      </c>
      <c r="DF1113">
        <v>2662</v>
      </c>
      <c r="DG1113" t="s">
        <v>116</v>
      </c>
      <c r="DH1113" t="s">
        <v>116</v>
      </c>
      <c r="DI1113" t="s">
        <v>116</v>
      </c>
    </row>
    <row r="1114" spans="1:113" x14ac:dyDescent="0.4">
      <c r="A1114" t="str">
        <f>"002663"</f>
        <v>002663</v>
      </c>
      <c r="B1114" t="s">
        <v>6378</v>
      </c>
      <c r="C1114">
        <v>0.71</v>
      </c>
      <c r="D1114">
        <v>2.82</v>
      </c>
      <c r="E1114">
        <v>0.02</v>
      </c>
      <c r="F1114">
        <v>2.81</v>
      </c>
      <c r="G1114">
        <v>2.82</v>
      </c>
      <c r="H1114">
        <v>119347</v>
      </c>
      <c r="I1114">
        <v>2571</v>
      </c>
      <c r="J1114">
        <v>0.36</v>
      </c>
      <c r="K1114">
        <v>0.93</v>
      </c>
      <c r="L1114">
        <v>2.81</v>
      </c>
      <c r="M1114">
        <v>2.84</v>
      </c>
      <c r="N1114">
        <v>2.8</v>
      </c>
      <c r="O1114">
        <v>2.8</v>
      </c>
      <c r="P1114">
        <v>36.56</v>
      </c>
      <c r="Q1114">
        <v>33661960</v>
      </c>
      <c r="R1114">
        <v>0.98</v>
      </c>
      <c r="S1114" t="s">
        <v>181</v>
      </c>
      <c r="T1114" t="s">
        <v>551</v>
      </c>
      <c r="U1114">
        <v>1.43</v>
      </c>
      <c r="V1114">
        <v>2.82</v>
      </c>
      <c r="W1114">
        <v>64822</v>
      </c>
      <c r="X1114">
        <v>54525</v>
      </c>
      <c r="Y1114">
        <v>1.19</v>
      </c>
      <c r="Z1114">
        <v>1778</v>
      </c>
      <c r="AA1114">
        <v>4695</v>
      </c>
      <c r="AB1114" t="s">
        <v>116</v>
      </c>
      <c r="AC1114">
        <v>174200</v>
      </c>
      <c r="AD1114">
        <v>0.01</v>
      </c>
      <c r="AE1114" t="s">
        <v>116</v>
      </c>
      <c r="AF1114" t="s">
        <v>116</v>
      </c>
      <c r="AG1114">
        <v>12.82</v>
      </c>
      <c r="AH1114" t="s">
        <v>6379</v>
      </c>
      <c r="AI1114" t="s">
        <v>6380</v>
      </c>
      <c r="AJ1114">
        <v>1.39</v>
      </c>
      <c r="AK1114">
        <v>897</v>
      </c>
      <c r="AL1114">
        <v>133</v>
      </c>
      <c r="AM1114">
        <v>1E-3</v>
      </c>
      <c r="AN1114">
        <v>2</v>
      </c>
      <c r="AO1114">
        <v>0</v>
      </c>
      <c r="AP1114">
        <v>-0.35</v>
      </c>
      <c r="AQ1114">
        <v>-4.41</v>
      </c>
      <c r="AR1114">
        <v>14.31</v>
      </c>
      <c r="AS1114">
        <v>1.06</v>
      </c>
      <c r="AT1114" t="s">
        <v>6381</v>
      </c>
      <c r="AU1114">
        <v>659.35</v>
      </c>
      <c r="AV1114">
        <v>118.4</v>
      </c>
      <c r="AW1114">
        <v>1.17</v>
      </c>
      <c r="BA1114">
        <v>0.36</v>
      </c>
      <c r="BB1114">
        <v>1.43</v>
      </c>
      <c r="BC1114">
        <v>0</v>
      </c>
      <c r="BD1114">
        <v>0.73</v>
      </c>
      <c r="BE1114">
        <v>0.36</v>
      </c>
      <c r="BF1114">
        <v>-0.7</v>
      </c>
      <c r="BG1114">
        <v>0.71</v>
      </c>
      <c r="BH1114">
        <v>-0.02</v>
      </c>
      <c r="BI1114">
        <v>20191031</v>
      </c>
      <c r="BJ1114">
        <v>20120316</v>
      </c>
      <c r="BK1114">
        <v>17.96</v>
      </c>
      <c r="BL1114" t="s">
        <v>116</v>
      </c>
      <c r="BM1114" t="s">
        <v>116</v>
      </c>
      <c r="BN1114">
        <v>90.31</v>
      </c>
      <c r="BO1114">
        <v>52.21</v>
      </c>
      <c r="BP1114">
        <v>1.35</v>
      </c>
      <c r="BQ1114">
        <v>40.69</v>
      </c>
      <c r="BR1114">
        <v>61.62</v>
      </c>
      <c r="BS1114">
        <v>2.7</v>
      </c>
      <c r="BT1114">
        <v>6.72</v>
      </c>
      <c r="BU1114">
        <v>25.82</v>
      </c>
      <c r="BV1114">
        <v>26.37</v>
      </c>
      <c r="BW1114">
        <v>16.54</v>
      </c>
      <c r="BX1114">
        <v>19.32</v>
      </c>
      <c r="BY1114">
        <v>21.25</v>
      </c>
      <c r="BZ1114">
        <v>17.96</v>
      </c>
      <c r="CA1114">
        <v>1.18</v>
      </c>
      <c r="CB1114">
        <v>0.25</v>
      </c>
      <c r="CC1114">
        <v>1.18</v>
      </c>
      <c r="CD1114">
        <v>1.07</v>
      </c>
      <c r="CE1114">
        <v>1.04</v>
      </c>
      <c r="CF1114">
        <v>0.86</v>
      </c>
      <c r="CG1114">
        <v>13.45</v>
      </c>
      <c r="CH1114">
        <v>-0.25</v>
      </c>
      <c r="CI1114">
        <v>1.25</v>
      </c>
      <c r="CJ1114">
        <v>102835</v>
      </c>
      <c r="CK1114">
        <v>10956</v>
      </c>
      <c r="CL1114" t="s">
        <v>4348</v>
      </c>
      <c r="CM1114">
        <v>-25.25</v>
      </c>
      <c r="CN1114">
        <v>-16</v>
      </c>
      <c r="CO1114">
        <v>0.97</v>
      </c>
      <c r="CP1114">
        <v>-199.01</v>
      </c>
      <c r="CQ1114">
        <v>2.38</v>
      </c>
      <c r="CR1114">
        <v>0.11</v>
      </c>
      <c r="CS1114" t="s">
        <v>6382</v>
      </c>
      <c r="CT1114">
        <v>2.91</v>
      </c>
      <c r="CU1114">
        <v>0</v>
      </c>
      <c r="CV1114">
        <v>1.08</v>
      </c>
      <c r="CW1114">
        <v>0.75</v>
      </c>
      <c r="CX1114">
        <v>-0.01</v>
      </c>
      <c r="CY1114">
        <v>57.82</v>
      </c>
      <c r="CZ1114" t="s">
        <v>6383</v>
      </c>
      <c r="DA1114">
        <v>15.45</v>
      </c>
      <c r="DB1114">
        <v>5.57</v>
      </c>
      <c r="DC1114">
        <v>4.8899999999999997</v>
      </c>
      <c r="DD1114">
        <v>0.65</v>
      </c>
      <c r="DE1114">
        <v>2397</v>
      </c>
      <c r="DF1114">
        <v>2663</v>
      </c>
      <c r="DG1114" t="s">
        <v>116</v>
      </c>
      <c r="DH1114" t="s">
        <v>116</v>
      </c>
      <c r="DI1114" t="s">
        <v>116</v>
      </c>
    </row>
    <row r="1115" spans="1:113" x14ac:dyDescent="0.4">
      <c r="A1115" t="str">
        <f>"002664"</f>
        <v>002664</v>
      </c>
      <c r="B1115" t="s">
        <v>6384</v>
      </c>
      <c r="C1115">
        <v>-1.89</v>
      </c>
      <c r="D1115">
        <v>15.56</v>
      </c>
      <c r="E1115">
        <v>-0.3</v>
      </c>
      <c r="F1115">
        <v>15.55</v>
      </c>
      <c r="G1115">
        <v>15.56</v>
      </c>
      <c r="H1115">
        <v>68282</v>
      </c>
      <c r="I1115">
        <v>963</v>
      </c>
      <c r="J1115">
        <v>0.39</v>
      </c>
      <c r="K1115">
        <v>1.95</v>
      </c>
      <c r="L1115">
        <v>15.82</v>
      </c>
      <c r="M1115">
        <v>15.87</v>
      </c>
      <c r="N1115">
        <v>15.38</v>
      </c>
      <c r="O1115">
        <v>15.86</v>
      </c>
      <c r="P1115">
        <v>21.38</v>
      </c>
      <c r="Q1115">
        <v>106436848</v>
      </c>
      <c r="R1115">
        <v>0.7</v>
      </c>
      <c r="S1115" t="s">
        <v>293</v>
      </c>
      <c r="T1115" t="s">
        <v>590</v>
      </c>
      <c r="U1115">
        <v>3.09</v>
      </c>
      <c r="V1115">
        <v>15.59</v>
      </c>
      <c r="W1115">
        <v>42352</v>
      </c>
      <c r="X1115">
        <v>25930</v>
      </c>
      <c r="Y1115">
        <v>1.63</v>
      </c>
      <c r="Z1115">
        <v>1473</v>
      </c>
      <c r="AA1115">
        <v>306</v>
      </c>
      <c r="AB1115" t="s">
        <v>116</v>
      </c>
      <c r="AC1115">
        <v>227800</v>
      </c>
      <c r="AD1115">
        <v>0.01</v>
      </c>
      <c r="AE1115" t="s">
        <v>116</v>
      </c>
      <c r="AF1115" t="s">
        <v>116</v>
      </c>
      <c r="AG1115">
        <v>3.5</v>
      </c>
      <c r="AH1115" t="s">
        <v>6385</v>
      </c>
      <c r="AI1115" t="s">
        <v>6386</v>
      </c>
      <c r="AJ1115">
        <v>-1.21</v>
      </c>
      <c r="AK1115">
        <v>1982</v>
      </c>
      <c r="AL1115">
        <v>34</v>
      </c>
      <c r="AM1115">
        <v>1E-3</v>
      </c>
      <c r="AN1115">
        <v>-1</v>
      </c>
      <c r="AO1115">
        <v>2.09</v>
      </c>
      <c r="AP1115">
        <v>17.88</v>
      </c>
      <c r="AQ1115">
        <v>-0.32</v>
      </c>
      <c r="AR1115">
        <v>27.44</v>
      </c>
      <c r="AS1115">
        <v>4.04</v>
      </c>
      <c r="AT1115" t="s">
        <v>6387</v>
      </c>
      <c r="AU1115">
        <v>22.25</v>
      </c>
      <c r="AV1115">
        <v>23.9</v>
      </c>
      <c r="AW1115">
        <v>1.03</v>
      </c>
      <c r="BA1115">
        <v>-0.25</v>
      </c>
      <c r="BB1115">
        <v>0.06</v>
      </c>
      <c r="BC1115">
        <v>-3.03</v>
      </c>
      <c r="BD1115">
        <v>-1.72</v>
      </c>
      <c r="BE1115">
        <v>-1.64</v>
      </c>
      <c r="BF1115">
        <v>-1.95</v>
      </c>
      <c r="BG1115">
        <v>1.17</v>
      </c>
      <c r="BH1115">
        <v>-0.17</v>
      </c>
      <c r="BI1115">
        <v>20191022</v>
      </c>
      <c r="BJ1115">
        <v>20120316</v>
      </c>
      <c r="BK1115">
        <v>4</v>
      </c>
      <c r="BL1115" t="s">
        <v>116</v>
      </c>
      <c r="BM1115" t="s">
        <v>116</v>
      </c>
      <c r="BN1115">
        <v>37.83</v>
      </c>
      <c r="BO1115">
        <v>23.53</v>
      </c>
      <c r="BP1115">
        <v>1.45</v>
      </c>
      <c r="BQ1115">
        <v>33.97</v>
      </c>
      <c r="BR1115">
        <v>25.41</v>
      </c>
      <c r="BS1115">
        <v>4.7300000000000004</v>
      </c>
      <c r="BT1115">
        <v>2.13</v>
      </c>
      <c r="BU1115">
        <v>10.99</v>
      </c>
      <c r="BV1115">
        <v>3.88</v>
      </c>
      <c r="BW1115">
        <v>6.93</v>
      </c>
      <c r="BX1115">
        <v>4.3899999999999997</v>
      </c>
      <c r="BY1115">
        <v>19.52</v>
      </c>
      <c r="BZ1115">
        <v>14.57</v>
      </c>
      <c r="CA1115">
        <v>2.82</v>
      </c>
      <c r="CB1115">
        <v>0</v>
      </c>
      <c r="CC1115">
        <v>2.8</v>
      </c>
      <c r="CD1115">
        <v>2.38</v>
      </c>
      <c r="CE1115">
        <v>2.1800000000000002</v>
      </c>
      <c r="CF1115">
        <v>2.0699999999999998</v>
      </c>
      <c r="CG1115">
        <v>13.72</v>
      </c>
      <c r="CH1115">
        <v>2.66</v>
      </c>
      <c r="CI1115">
        <v>-0.24</v>
      </c>
      <c r="CJ1115">
        <v>19942</v>
      </c>
      <c r="CK1115">
        <v>8470</v>
      </c>
      <c r="CL1115" t="s">
        <v>6388</v>
      </c>
      <c r="CM1115">
        <v>9.74</v>
      </c>
      <c r="CN1115">
        <v>-0.75</v>
      </c>
      <c r="CO1115">
        <v>2.65</v>
      </c>
      <c r="CP1115">
        <v>23.42</v>
      </c>
      <c r="CQ1115">
        <v>3.19</v>
      </c>
      <c r="CR1115">
        <v>0.45</v>
      </c>
      <c r="CS1115" t="s">
        <v>6389</v>
      </c>
      <c r="CT1115">
        <v>5.88</v>
      </c>
      <c r="CU1115">
        <v>0</v>
      </c>
      <c r="CV1115">
        <v>1.1000000000000001</v>
      </c>
      <c r="CW1115">
        <v>3.43</v>
      </c>
      <c r="CX1115">
        <v>0.66</v>
      </c>
      <c r="CY1115">
        <v>62.2</v>
      </c>
      <c r="CZ1115" t="s">
        <v>794</v>
      </c>
      <c r="DA1115">
        <v>25.34</v>
      </c>
      <c r="DB1115">
        <v>14.43</v>
      </c>
      <c r="DC1115">
        <v>11.19</v>
      </c>
      <c r="DD1115">
        <v>0.82</v>
      </c>
      <c r="DE1115">
        <v>2971</v>
      </c>
      <c r="DF1115">
        <v>2664</v>
      </c>
      <c r="DG1115" t="s">
        <v>116</v>
      </c>
      <c r="DH1115" t="s">
        <v>116</v>
      </c>
      <c r="DI1115" t="s">
        <v>116</v>
      </c>
    </row>
    <row r="1116" spans="1:113" x14ac:dyDescent="0.4">
      <c r="A1116" t="str">
        <f>"002665"</f>
        <v>002665</v>
      </c>
      <c r="B1116" t="s">
        <v>6390</v>
      </c>
      <c r="C1116">
        <v>-1.72</v>
      </c>
      <c r="D1116">
        <v>3.42</v>
      </c>
      <c r="E1116">
        <v>-0.06</v>
      </c>
      <c r="F1116">
        <v>3.42</v>
      </c>
      <c r="G1116">
        <v>3.43</v>
      </c>
      <c r="H1116">
        <v>371591</v>
      </c>
      <c r="I1116">
        <v>12852</v>
      </c>
      <c r="J1116">
        <v>0</v>
      </c>
      <c r="K1116">
        <v>1.65</v>
      </c>
      <c r="L1116">
        <v>3.48</v>
      </c>
      <c r="M1116">
        <v>3.51</v>
      </c>
      <c r="N1116">
        <v>3.42</v>
      </c>
      <c r="O1116">
        <v>3.48</v>
      </c>
      <c r="P1116">
        <v>417.31</v>
      </c>
      <c r="Q1116">
        <v>128232768</v>
      </c>
      <c r="R1116">
        <v>0.99</v>
      </c>
      <c r="S1116" t="s">
        <v>397</v>
      </c>
      <c r="T1116" t="s">
        <v>165</v>
      </c>
      <c r="U1116">
        <v>2.59</v>
      </c>
      <c r="V1116">
        <v>3.45</v>
      </c>
      <c r="W1116">
        <v>242083</v>
      </c>
      <c r="X1116">
        <v>129508</v>
      </c>
      <c r="Y1116">
        <v>1.87</v>
      </c>
      <c r="Z1116">
        <v>8026</v>
      </c>
      <c r="AA1116">
        <v>5081</v>
      </c>
      <c r="AB1116" t="s">
        <v>116</v>
      </c>
      <c r="AC1116">
        <v>715100</v>
      </c>
      <c r="AD1116">
        <v>0.01</v>
      </c>
      <c r="AE1116" t="s">
        <v>116</v>
      </c>
      <c r="AF1116" t="s">
        <v>116</v>
      </c>
      <c r="AG1116">
        <v>22.56</v>
      </c>
      <c r="AH1116" t="s">
        <v>6391</v>
      </c>
      <c r="AI1116" t="s">
        <v>6392</v>
      </c>
      <c r="AJ1116">
        <v>-1.05</v>
      </c>
      <c r="AK1116">
        <v>2288</v>
      </c>
      <c r="AL1116">
        <v>162</v>
      </c>
      <c r="AM1116">
        <v>6.9999999999999999E-4</v>
      </c>
      <c r="AN1116">
        <v>-1</v>
      </c>
      <c r="AO1116">
        <v>-2</v>
      </c>
      <c r="AP1116">
        <v>-2.84</v>
      </c>
      <c r="AQ1116">
        <v>5.23</v>
      </c>
      <c r="AR1116">
        <v>21.71</v>
      </c>
      <c r="AS1116">
        <v>2.16</v>
      </c>
      <c r="AT1116" t="s">
        <v>6393</v>
      </c>
      <c r="AU1116" t="s">
        <v>116</v>
      </c>
      <c r="AV1116" t="s">
        <v>116</v>
      </c>
      <c r="AW1116">
        <v>1.0900000000000001</v>
      </c>
      <c r="BA1116">
        <v>0</v>
      </c>
      <c r="BB1116">
        <v>0.86</v>
      </c>
      <c r="BC1116">
        <v>-1.72</v>
      </c>
      <c r="BD1116">
        <v>-0.84</v>
      </c>
      <c r="BE1116">
        <v>-1.72</v>
      </c>
      <c r="BF1116">
        <v>-2.56</v>
      </c>
      <c r="BG1116">
        <v>0</v>
      </c>
      <c r="BH1116">
        <v>-0.89</v>
      </c>
      <c r="BI1116">
        <v>20191031</v>
      </c>
      <c r="BJ1116">
        <v>20120327</v>
      </c>
      <c r="BK1116">
        <v>25.39</v>
      </c>
      <c r="BL1116" t="s">
        <v>116</v>
      </c>
      <c r="BM1116" t="s">
        <v>116</v>
      </c>
      <c r="BN1116">
        <v>83.71</v>
      </c>
      <c r="BO1116">
        <v>67.260000000000005</v>
      </c>
      <c r="BP1116">
        <v>0.59</v>
      </c>
      <c r="BQ1116">
        <v>18.940000000000001</v>
      </c>
      <c r="BR1116">
        <v>34.92</v>
      </c>
      <c r="BS1116">
        <v>36.5</v>
      </c>
      <c r="BT1116">
        <v>2.54</v>
      </c>
      <c r="BU1116">
        <v>14.7</v>
      </c>
      <c r="BV1116">
        <v>3.09</v>
      </c>
      <c r="BW1116">
        <v>6.24</v>
      </c>
      <c r="BX1116">
        <v>39.86</v>
      </c>
      <c r="BY1116">
        <v>3.52</v>
      </c>
      <c r="BZ1116">
        <v>2.46</v>
      </c>
      <c r="CA1116">
        <v>0.06</v>
      </c>
      <c r="CB1116">
        <v>-0.01</v>
      </c>
      <c r="CC1116">
        <v>0.17</v>
      </c>
      <c r="CD1116">
        <v>0.12</v>
      </c>
      <c r="CE1116">
        <v>0.16</v>
      </c>
      <c r="CF1116">
        <v>0.19</v>
      </c>
      <c r="CG1116">
        <v>1.23</v>
      </c>
      <c r="CH1116">
        <v>-2.0099999999999998</v>
      </c>
      <c r="CI1116">
        <v>-3.75</v>
      </c>
      <c r="CJ1116">
        <v>63076</v>
      </c>
      <c r="CK1116">
        <v>27241</v>
      </c>
      <c r="CL1116" t="s">
        <v>6394</v>
      </c>
      <c r="CM1116">
        <v>195.48</v>
      </c>
      <c r="CN1116">
        <v>-28.37</v>
      </c>
      <c r="CO1116">
        <v>1.29</v>
      </c>
      <c r="CP1116">
        <v>-43.22</v>
      </c>
      <c r="CQ1116">
        <v>24.64</v>
      </c>
      <c r="CR1116">
        <v>0</v>
      </c>
      <c r="CS1116" t="s">
        <v>1177</v>
      </c>
      <c r="CT1116">
        <v>2.65</v>
      </c>
      <c r="CU1116">
        <v>0</v>
      </c>
      <c r="CV1116">
        <v>1.57</v>
      </c>
      <c r="CW1116">
        <v>0.05</v>
      </c>
      <c r="CX1116">
        <v>-0.08</v>
      </c>
      <c r="CY1116">
        <v>80.349999999999994</v>
      </c>
      <c r="CZ1116" t="s">
        <v>3701</v>
      </c>
      <c r="DA1116">
        <v>30.12</v>
      </c>
      <c r="DB1116">
        <v>1.83</v>
      </c>
      <c r="DC1116">
        <v>4.43</v>
      </c>
      <c r="DD1116">
        <v>0.27</v>
      </c>
      <c r="DE1116">
        <v>962</v>
      </c>
      <c r="DF1116">
        <v>2665</v>
      </c>
      <c r="DG1116" t="s">
        <v>116</v>
      </c>
      <c r="DH1116" t="s">
        <v>116</v>
      </c>
      <c r="DI1116" t="s">
        <v>116</v>
      </c>
    </row>
    <row r="1117" spans="1:113" x14ac:dyDescent="0.4">
      <c r="A1117" t="str">
        <f>"002666"</f>
        <v>002666</v>
      </c>
      <c r="B1117" t="s">
        <v>6395</v>
      </c>
      <c r="C1117">
        <v>-1.91</v>
      </c>
      <c r="D1117">
        <v>4.63</v>
      </c>
      <c r="E1117">
        <v>-0.09</v>
      </c>
      <c r="F1117">
        <v>4.63</v>
      </c>
      <c r="G1117">
        <v>4.6399999999999997</v>
      </c>
      <c r="H1117">
        <v>91536</v>
      </c>
      <c r="I1117">
        <v>1124</v>
      </c>
      <c r="J1117">
        <v>-0.42</v>
      </c>
      <c r="K1117">
        <v>2.06</v>
      </c>
      <c r="L1117">
        <v>4.7</v>
      </c>
      <c r="M1117">
        <v>4.7300000000000004</v>
      </c>
      <c r="N1117">
        <v>4.63</v>
      </c>
      <c r="O1117">
        <v>4.72</v>
      </c>
      <c r="P1117">
        <v>21.17</v>
      </c>
      <c r="Q1117">
        <v>42800488</v>
      </c>
      <c r="R1117">
        <v>0.55000000000000004</v>
      </c>
      <c r="S1117" t="s">
        <v>891</v>
      </c>
      <c r="T1117" t="s">
        <v>551</v>
      </c>
      <c r="U1117">
        <v>2.12</v>
      </c>
      <c r="V1117">
        <v>4.68</v>
      </c>
      <c r="W1117">
        <v>60200</v>
      </c>
      <c r="X1117">
        <v>31336</v>
      </c>
      <c r="Y1117">
        <v>1.92</v>
      </c>
      <c r="Z1117">
        <v>905</v>
      </c>
      <c r="AA1117">
        <v>29</v>
      </c>
      <c r="AB1117" t="s">
        <v>116</v>
      </c>
      <c r="AC1117">
        <v>91200</v>
      </c>
      <c r="AD1117">
        <v>0.01</v>
      </c>
      <c r="AE1117" t="s">
        <v>116</v>
      </c>
      <c r="AF1117" t="s">
        <v>116</v>
      </c>
      <c r="AG1117">
        <v>4.4400000000000004</v>
      </c>
      <c r="AH1117" t="s">
        <v>6396</v>
      </c>
      <c r="AI1117" t="s">
        <v>6397</v>
      </c>
      <c r="AJ1117">
        <v>-1.23</v>
      </c>
      <c r="AK1117">
        <v>1657</v>
      </c>
      <c r="AL1117">
        <v>55</v>
      </c>
      <c r="AM1117">
        <v>1.1999999999999999E-3</v>
      </c>
      <c r="AN1117">
        <v>-1</v>
      </c>
      <c r="AO1117">
        <v>-1.08</v>
      </c>
      <c r="AP1117">
        <v>11.03</v>
      </c>
      <c r="AQ1117">
        <v>0.22</v>
      </c>
      <c r="AR1117">
        <v>29.19</v>
      </c>
      <c r="AS1117">
        <v>2.63</v>
      </c>
      <c r="AT1117" t="s">
        <v>6398</v>
      </c>
      <c r="AU1117">
        <v>20.13</v>
      </c>
      <c r="AV1117">
        <v>24.12</v>
      </c>
      <c r="AW1117">
        <v>1.26</v>
      </c>
      <c r="BA1117">
        <v>-0.42</v>
      </c>
      <c r="BB1117">
        <v>0.21</v>
      </c>
      <c r="BC1117">
        <v>-1.91</v>
      </c>
      <c r="BD1117">
        <v>-0.94</v>
      </c>
      <c r="BE1117">
        <v>-1.49</v>
      </c>
      <c r="BF1117">
        <v>-2.11</v>
      </c>
      <c r="BG1117">
        <v>0</v>
      </c>
      <c r="BH1117">
        <v>-0.97</v>
      </c>
      <c r="BI1117">
        <v>20191224</v>
      </c>
      <c r="BJ1117">
        <v>20120327</v>
      </c>
      <c r="BK1117">
        <v>7.54</v>
      </c>
      <c r="BL1117" t="s">
        <v>116</v>
      </c>
      <c r="BM1117" t="s">
        <v>116</v>
      </c>
      <c r="BN1117">
        <v>38.22</v>
      </c>
      <c r="BO1117">
        <v>28.98</v>
      </c>
      <c r="BP1117">
        <v>0.04</v>
      </c>
      <c r="BQ1117">
        <v>24.09</v>
      </c>
      <c r="BR1117">
        <v>25.37</v>
      </c>
      <c r="BS1117">
        <v>5.45</v>
      </c>
      <c r="BT1117">
        <v>2</v>
      </c>
      <c r="BU1117">
        <v>8.84</v>
      </c>
      <c r="BV1117">
        <v>7.94</v>
      </c>
      <c r="BW1117">
        <v>6.51</v>
      </c>
      <c r="BX1117">
        <v>9.82</v>
      </c>
      <c r="BY1117">
        <v>26.88</v>
      </c>
      <c r="BZ1117">
        <v>22.88</v>
      </c>
      <c r="CA1117">
        <v>1.47</v>
      </c>
      <c r="CB1117">
        <v>0.6</v>
      </c>
      <c r="CC1117">
        <v>1.47</v>
      </c>
      <c r="CD1117">
        <v>1.24</v>
      </c>
      <c r="CE1117">
        <v>1.24</v>
      </c>
      <c r="CF1117">
        <v>1.1200000000000001</v>
      </c>
      <c r="CG1117">
        <v>10.77</v>
      </c>
      <c r="CH1117">
        <v>1.35</v>
      </c>
      <c r="CI1117">
        <v>-0.2</v>
      </c>
      <c r="CJ1117">
        <v>39936</v>
      </c>
      <c r="CK1117">
        <v>8719</v>
      </c>
      <c r="CL1117" t="s">
        <v>992</v>
      </c>
      <c r="CM1117">
        <v>30.15</v>
      </c>
      <c r="CN1117">
        <v>1.55</v>
      </c>
      <c r="CO1117">
        <v>1.21</v>
      </c>
      <c r="CP1117">
        <v>25.92</v>
      </c>
      <c r="CQ1117">
        <v>1.3</v>
      </c>
      <c r="CR1117">
        <v>5.75</v>
      </c>
      <c r="CS1117" t="s">
        <v>1514</v>
      </c>
      <c r="CT1117">
        <v>3.84</v>
      </c>
      <c r="CU1117">
        <v>0</v>
      </c>
      <c r="CV1117">
        <v>1.3</v>
      </c>
      <c r="CW1117">
        <v>1.43</v>
      </c>
      <c r="CX1117">
        <v>0.18</v>
      </c>
      <c r="CY1117">
        <v>75.819999999999993</v>
      </c>
      <c r="CZ1117" t="s">
        <v>1183</v>
      </c>
      <c r="DA1117">
        <v>14.89</v>
      </c>
      <c r="DB1117">
        <v>5.47</v>
      </c>
      <c r="DC1117">
        <v>4.5999999999999996</v>
      </c>
      <c r="DD1117">
        <v>0.79</v>
      </c>
      <c r="DE1117">
        <v>688</v>
      </c>
      <c r="DF1117">
        <v>2666</v>
      </c>
      <c r="DG1117" t="s">
        <v>116</v>
      </c>
      <c r="DH1117" t="s">
        <v>116</v>
      </c>
      <c r="DI1117" t="s">
        <v>116</v>
      </c>
    </row>
    <row r="1118" spans="1:113" x14ac:dyDescent="0.4">
      <c r="A1118" t="str">
        <f>"002667"</f>
        <v>002667</v>
      </c>
      <c r="B1118" t="s">
        <v>6399</v>
      </c>
      <c r="C1118">
        <v>-0.86</v>
      </c>
      <c r="D1118">
        <v>6.93</v>
      </c>
      <c r="E1118">
        <v>-0.06</v>
      </c>
      <c r="F1118">
        <v>6.93</v>
      </c>
      <c r="G1118">
        <v>6.94</v>
      </c>
      <c r="H1118">
        <v>19972</v>
      </c>
      <c r="I1118">
        <v>234</v>
      </c>
      <c r="J1118">
        <v>-0.13</v>
      </c>
      <c r="K1118">
        <v>1.22</v>
      </c>
      <c r="L1118">
        <v>7.04</v>
      </c>
      <c r="M1118">
        <v>7.11</v>
      </c>
      <c r="N1118">
        <v>6.91</v>
      </c>
      <c r="O1118">
        <v>6.99</v>
      </c>
      <c r="P1118">
        <v>53.95</v>
      </c>
      <c r="Q1118">
        <v>14031755</v>
      </c>
      <c r="R1118">
        <v>1.28</v>
      </c>
      <c r="S1118" t="s">
        <v>598</v>
      </c>
      <c r="T1118" t="s">
        <v>434</v>
      </c>
      <c r="U1118">
        <v>2.86</v>
      </c>
      <c r="V1118">
        <v>7.03</v>
      </c>
      <c r="W1118">
        <v>10972</v>
      </c>
      <c r="X1118">
        <v>9000</v>
      </c>
      <c r="Y1118">
        <v>1.22</v>
      </c>
      <c r="Z1118">
        <v>197</v>
      </c>
      <c r="AA1118">
        <v>20</v>
      </c>
      <c r="AB1118" t="s">
        <v>116</v>
      </c>
      <c r="AC1118">
        <v>21100</v>
      </c>
      <c r="AD1118">
        <v>0</v>
      </c>
      <c r="AE1118" t="s">
        <v>116</v>
      </c>
      <c r="AF1118" t="s">
        <v>116</v>
      </c>
      <c r="AG1118">
        <v>1.64</v>
      </c>
      <c r="AH1118" t="s">
        <v>6400</v>
      </c>
      <c r="AI1118" t="s">
        <v>5879</v>
      </c>
      <c r="AJ1118">
        <v>-0.18</v>
      </c>
      <c r="AK1118">
        <v>695</v>
      </c>
      <c r="AL1118">
        <v>29</v>
      </c>
      <c r="AM1118">
        <v>1.8E-3</v>
      </c>
      <c r="AN1118">
        <v>-1</v>
      </c>
      <c r="AO1118">
        <v>-0.57999999999999996</v>
      </c>
      <c r="AP1118">
        <v>4.37</v>
      </c>
      <c r="AQ1118">
        <v>1.02</v>
      </c>
      <c r="AR1118">
        <v>5.8</v>
      </c>
      <c r="AS1118">
        <v>1.79</v>
      </c>
      <c r="AT1118" t="s">
        <v>6401</v>
      </c>
      <c r="AU1118">
        <v>99.6</v>
      </c>
      <c r="AV1118">
        <v>127.11</v>
      </c>
      <c r="AW1118">
        <v>0.8</v>
      </c>
      <c r="BA1118">
        <v>0.72</v>
      </c>
      <c r="BB1118">
        <v>1.72</v>
      </c>
      <c r="BC1118">
        <v>-1.1399999999999999</v>
      </c>
      <c r="BD1118">
        <v>0.51</v>
      </c>
      <c r="BE1118">
        <v>-1.56</v>
      </c>
      <c r="BF1118">
        <v>-2.5299999999999998</v>
      </c>
      <c r="BG1118">
        <v>0.28999999999999998</v>
      </c>
      <c r="BH1118">
        <v>-1.37</v>
      </c>
      <c r="BI1118">
        <v>20191225</v>
      </c>
      <c r="BJ1118">
        <v>20120329</v>
      </c>
      <c r="BK1118">
        <v>2.31</v>
      </c>
      <c r="BL1118" t="s">
        <v>116</v>
      </c>
      <c r="BM1118" t="s">
        <v>116</v>
      </c>
      <c r="BN1118">
        <v>9.2899999999999991</v>
      </c>
      <c r="BO1118">
        <v>7.89</v>
      </c>
      <c r="BP1118">
        <v>0.02</v>
      </c>
      <c r="BQ1118">
        <v>14.85</v>
      </c>
      <c r="BR1118">
        <v>6.79</v>
      </c>
      <c r="BS1118">
        <v>1.27</v>
      </c>
      <c r="BT1118">
        <v>0.34</v>
      </c>
      <c r="BU1118">
        <v>1.18</v>
      </c>
      <c r="BV1118">
        <v>1.5</v>
      </c>
      <c r="BW1118">
        <v>1.3</v>
      </c>
      <c r="BX1118">
        <v>2.34</v>
      </c>
      <c r="BY1118">
        <v>1.73</v>
      </c>
      <c r="BZ1118">
        <v>1.1399999999999999</v>
      </c>
      <c r="CA1118">
        <v>0.28000000000000003</v>
      </c>
      <c r="CB1118">
        <v>0.13</v>
      </c>
      <c r="CC1118">
        <v>0.28000000000000003</v>
      </c>
      <c r="CD1118">
        <v>0.22</v>
      </c>
      <c r="CE1118">
        <v>0.22</v>
      </c>
      <c r="CF1118">
        <v>0.13</v>
      </c>
      <c r="CG1118">
        <v>2.85</v>
      </c>
      <c r="CH1118">
        <v>-0.01</v>
      </c>
      <c r="CI1118">
        <v>0.15</v>
      </c>
      <c r="CJ1118">
        <v>12305</v>
      </c>
      <c r="CK1118">
        <v>9047</v>
      </c>
      <c r="CL1118" t="s">
        <v>6402</v>
      </c>
      <c r="CM1118">
        <v>18.53</v>
      </c>
      <c r="CN1118">
        <v>25.59</v>
      </c>
      <c r="CO1118">
        <v>2.0299999999999998</v>
      </c>
      <c r="CP1118">
        <v>-1498.36</v>
      </c>
      <c r="CQ1118">
        <v>9.2799999999999994</v>
      </c>
      <c r="CR1118">
        <v>0.14000000000000001</v>
      </c>
      <c r="CS1118" t="s">
        <v>2025</v>
      </c>
      <c r="CT1118">
        <v>3.41</v>
      </c>
      <c r="CU1118">
        <v>0</v>
      </c>
      <c r="CV1118">
        <v>1.01</v>
      </c>
      <c r="CW1118">
        <v>1.23</v>
      </c>
      <c r="CX1118">
        <v>0</v>
      </c>
      <c r="CY1118">
        <v>84.92</v>
      </c>
      <c r="CZ1118" t="s">
        <v>485</v>
      </c>
      <c r="DA1118">
        <v>33.729999999999997</v>
      </c>
      <c r="DB1118">
        <v>16.5</v>
      </c>
      <c r="DC1118">
        <v>12.9</v>
      </c>
      <c r="DD1118">
        <v>0.11</v>
      </c>
      <c r="DE1118">
        <v>417</v>
      </c>
      <c r="DF1118">
        <v>2667</v>
      </c>
      <c r="DG1118" t="s">
        <v>116</v>
      </c>
      <c r="DH1118" t="s">
        <v>116</v>
      </c>
      <c r="DI1118" t="s">
        <v>116</v>
      </c>
    </row>
    <row r="1119" spans="1:113" x14ac:dyDescent="0.4">
      <c r="A1119" t="str">
        <f>"002668"</f>
        <v>002668</v>
      </c>
      <c r="B1119" t="s">
        <v>6403</v>
      </c>
      <c r="C1119">
        <v>-2.5299999999999998</v>
      </c>
      <c r="D1119">
        <v>5.78</v>
      </c>
      <c r="E1119">
        <v>-0.15</v>
      </c>
      <c r="F1119">
        <v>5.78</v>
      </c>
      <c r="G1119">
        <v>5.79</v>
      </c>
      <c r="H1119">
        <v>597750</v>
      </c>
      <c r="I1119">
        <v>9861</v>
      </c>
      <c r="J1119">
        <v>0</v>
      </c>
      <c r="K1119">
        <v>9.14</v>
      </c>
      <c r="L1119">
        <v>5.93</v>
      </c>
      <c r="M1119">
        <v>5.98</v>
      </c>
      <c r="N1119">
        <v>5.77</v>
      </c>
      <c r="O1119">
        <v>5.93</v>
      </c>
      <c r="P1119">
        <v>15.72</v>
      </c>
      <c r="Q1119">
        <v>350386880</v>
      </c>
      <c r="R1119">
        <v>0.56000000000000005</v>
      </c>
      <c r="S1119" t="s">
        <v>209</v>
      </c>
      <c r="T1119" t="s">
        <v>551</v>
      </c>
      <c r="U1119">
        <v>3.54</v>
      </c>
      <c r="V1119">
        <v>5.86</v>
      </c>
      <c r="W1119">
        <v>363771</v>
      </c>
      <c r="X1119">
        <v>233979</v>
      </c>
      <c r="Y1119">
        <v>1.55</v>
      </c>
      <c r="Z1119">
        <v>1735</v>
      </c>
      <c r="AA1119">
        <v>4722</v>
      </c>
      <c r="AB1119" t="s">
        <v>116</v>
      </c>
      <c r="AC1119">
        <v>1471800</v>
      </c>
      <c r="AD1119">
        <v>0.04</v>
      </c>
      <c r="AE1119" t="s">
        <v>116</v>
      </c>
      <c r="AF1119" t="s">
        <v>116</v>
      </c>
      <c r="AG1119">
        <v>6.54</v>
      </c>
      <c r="AH1119" t="s">
        <v>2700</v>
      </c>
      <c r="AI1119" t="s">
        <v>6404</v>
      </c>
      <c r="AJ1119">
        <v>-1.85</v>
      </c>
      <c r="AK1119">
        <v>4114</v>
      </c>
      <c r="AL1119">
        <v>145</v>
      </c>
      <c r="AM1119">
        <v>2.2000000000000001E-3</v>
      </c>
      <c r="AN1119">
        <v>-2</v>
      </c>
      <c r="AO1119">
        <v>-1.2</v>
      </c>
      <c r="AP1119">
        <v>7.64</v>
      </c>
      <c r="AQ1119">
        <v>-23.85</v>
      </c>
      <c r="AR1119">
        <v>18.690000000000001</v>
      </c>
      <c r="AS1119">
        <v>9.82</v>
      </c>
      <c r="AT1119" t="s">
        <v>1366</v>
      </c>
      <c r="AU1119" t="s">
        <v>116</v>
      </c>
      <c r="AV1119" t="s">
        <v>116</v>
      </c>
      <c r="AW1119">
        <v>1.96</v>
      </c>
      <c r="BA1119">
        <v>0</v>
      </c>
      <c r="BB1119">
        <v>0.84</v>
      </c>
      <c r="BC1119">
        <v>-2.7</v>
      </c>
      <c r="BD1119">
        <v>-1.1499999999999999</v>
      </c>
      <c r="BE1119">
        <v>-2.5299999999999998</v>
      </c>
      <c r="BF1119">
        <v>-3.34</v>
      </c>
      <c r="BG1119">
        <v>0.17</v>
      </c>
      <c r="BH1119">
        <v>-1.38</v>
      </c>
      <c r="BI1119">
        <v>20191024</v>
      </c>
      <c r="BJ1119">
        <v>20120416</v>
      </c>
      <c r="BK1119">
        <v>10.84</v>
      </c>
      <c r="BL1119" t="s">
        <v>116</v>
      </c>
      <c r="BM1119" t="s">
        <v>116</v>
      </c>
      <c r="BN1119">
        <v>93.4</v>
      </c>
      <c r="BO1119">
        <v>26.47</v>
      </c>
      <c r="BP1119">
        <v>0.09</v>
      </c>
      <c r="BQ1119">
        <v>71.56</v>
      </c>
      <c r="BR1119">
        <v>64.69</v>
      </c>
      <c r="BS1119">
        <v>11.14</v>
      </c>
      <c r="BT1119">
        <v>1.8</v>
      </c>
      <c r="BU1119">
        <v>50.55</v>
      </c>
      <c r="BV1119">
        <v>5.78</v>
      </c>
      <c r="BW1119">
        <v>22.28</v>
      </c>
      <c r="BX1119">
        <v>14.82</v>
      </c>
      <c r="BY1119">
        <v>57.83</v>
      </c>
      <c r="BZ1119">
        <v>43.53</v>
      </c>
      <c r="CA1119">
        <v>3.82</v>
      </c>
      <c r="CB1119">
        <v>-1.1599999999999999</v>
      </c>
      <c r="CC1119">
        <v>3.98</v>
      </c>
      <c r="CD1119">
        <v>2.99</v>
      </c>
      <c r="CE1119">
        <v>2.99</v>
      </c>
      <c r="CF1119">
        <v>2.72</v>
      </c>
      <c r="CG1119">
        <v>-0.4</v>
      </c>
      <c r="CH1119">
        <v>8.02</v>
      </c>
      <c r="CI1119">
        <v>10.31</v>
      </c>
      <c r="CJ1119">
        <v>102757</v>
      </c>
      <c r="CK1119">
        <v>5925</v>
      </c>
      <c r="CL1119" t="s">
        <v>2637</v>
      </c>
      <c r="CM1119">
        <v>9.93</v>
      </c>
      <c r="CN1119">
        <v>-5.26</v>
      </c>
      <c r="CO1119">
        <v>2.37</v>
      </c>
      <c r="CP1119">
        <v>7.81</v>
      </c>
      <c r="CQ1119">
        <v>1.08</v>
      </c>
      <c r="CR1119">
        <v>0</v>
      </c>
      <c r="CS1119" t="s">
        <v>3370</v>
      </c>
      <c r="CT1119">
        <v>2.44</v>
      </c>
      <c r="CU1119">
        <v>0</v>
      </c>
      <c r="CV1119">
        <v>1.37</v>
      </c>
      <c r="CW1119">
        <v>-0.04</v>
      </c>
      <c r="CX1119">
        <v>0.74</v>
      </c>
      <c r="CY1119">
        <v>28.34</v>
      </c>
      <c r="CZ1119" t="s">
        <v>6405</v>
      </c>
      <c r="DA1119">
        <v>24.73</v>
      </c>
      <c r="DB1119">
        <v>6.61</v>
      </c>
      <c r="DC1119">
        <v>5.17</v>
      </c>
      <c r="DD1119">
        <v>2.1</v>
      </c>
      <c r="DE1119">
        <v>10876</v>
      </c>
      <c r="DF1119">
        <v>2668</v>
      </c>
      <c r="DG1119" t="s">
        <v>116</v>
      </c>
      <c r="DH1119" t="s">
        <v>116</v>
      </c>
      <c r="DI1119" t="s">
        <v>116</v>
      </c>
    </row>
    <row r="1120" spans="1:113" x14ac:dyDescent="0.4">
      <c r="A1120" t="str">
        <f>"002669"</f>
        <v>002669</v>
      </c>
      <c r="B1120" t="s">
        <v>6406</v>
      </c>
      <c r="C1120">
        <v>-1.43</v>
      </c>
      <c r="D1120">
        <v>12.42</v>
      </c>
      <c r="E1120">
        <v>-0.18</v>
      </c>
      <c r="F1120">
        <v>12.42</v>
      </c>
      <c r="G1120">
        <v>12.43</v>
      </c>
      <c r="H1120">
        <v>29333</v>
      </c>
      <c r="I1120">
        <v>232</v>
      </c>
      <c r="J1120">
        <v>-0.31</v>
      </c>
      <c r="K1120">
        <v>1.25</v>
      </c>
      <c r="L1120">
        <v>12.6</v>
      </c>
      <c r="M1120">
        <v>12.66</v>
      </c>
      <c r="N1120">
        <v>12.42</v>
      </c>
      <c r="O1120">
        <v>12.6</v>
      </c>
      <c r="P1120">
        <v>26.08</v>
      </c>
      <c r="Q1120">
        <v>36830328</v>
      </c>
      <c r="R1120">
        <v>1.04</v>
      </c>
      <c r="S1120" t="s">
        <v>891</v>
      </c>
      <c r="T1120" t="s">
        <v>1653</v>
      </c>
      <c r="U1120">
        <v>1.9</v>
      </c>
      <c r="V1120">
        <v>12.56</v>
      </c>
      <c r="W1120">
        <v>18858</v>
      </c>
      <c r="X1120">
        <v>10475</v>
      </c>
      <c r="Y1120">
        <v>1.8</v>
      </c>
      <c r="Z1120">
        <v>484</v>
      </c>
      <c r="AA1120">
        <v>173</v>
      </c>
      <c r="AB1120" t="s">
        <v>116</v>
      </c>
      <c r="AC1120">
        <v>81900</v>
      </c>
      <c r="AD1120">
        <v>0</v>
      </c>
      <c r="AE1120" t="s">
        <v>116</v>
      </c>
      <c r="AF1120" t="s">
        <v>116</v>
      </c>
      <c r="AG1120">
        <v>2.35</v>
      </c>
      <c r="AH1120" t="s">
        <v>2277</v>
      </c>
      <c r="AI1120" t="s">
        <v>6407</v>
      </c>
      <c r="AJ1120">
        <v>-0.75</v>
      </c>
      <c r="AK1120">
        <v>1958</v>
      </c>
      <c r="AL1120">
        <v>15</v>
      </c>
      <c r="AM1120">
        <v>5.9999999999999995E-4</v>
      </c>
      <c r="AN1120">
        <v>-1</v>
      </c>
      <c r="AO1120">
        <v>0.56999999999999995</v>
      </c>
      <c r="AP1120">
        <v>7.35</v>
      </c>
      <c r="AQ1120">
        <v>-4.9000000000000004</v>
      </c>
      <c r="AR1120">
        <v>23.42</v>
      </c>
      <c r="AS1120">
        <v>1.71</v>
      </c>
      <c r="AT1120" t="s">
        <v>6408</v>
      </c>
      <c r="AU1120">
        <v>28.42</v>
      </c>
      <c r="AV1120">
        <v>38.979999999999997</v>
      </c>
      <c r="AW1120">
        <v>0.93</v>
      </c>
      <c r="BA1120">
        <v>0</v>
      </c>
      <c r="BB1120">
        <v>0.48</v>
      </c>
      <c r="BC1120">
        <v>-1.43</v>
      </c>
      <c r="BD1120">
        <v>-0.35</v>
      </c>
      <c r="BE1120">
        <v>-1.43</v>
      </c>
      <c r="BF1120">
        <v>-1.9</v>
      </c>
      <c r="BG1120">
        <v>0</v>
      </c>
      <c r="BH1120">
        <v>-1.08</v>
      </c>
      <c r="BI1120">
        <v>20191026</v>
      </c>
      <c r="BJ1120">
        <v>20120416</v>
      </c>
      <c r="BK1120">
        <v>2.52</v>
      </c>
      <c r="BL1120" t="s">
        <v>116</v>
      </c>
      <c r="BM1120" t="s">
        <v>116</v>
      </c>
      <c r="BN1120">
        <v>23.75</v>
      </c>
      <c r="BO1120">
        <v>20.83</v>
      </c>
      <c r="BP1120">
        <v>-0.01</v>
      </c>
      <c r="BQ1120">
        <v>12.33</v>
      </c>
      <c r="BR1120">
        <v>14.47</v>
      </c>
      <c r="BS1120">
        <v>2.61</v>
      </c>
      <c r="BT1120">
        <v>0.84</v>
      </c>
      <c r="BU1120">
        <v>2.89</v>
      </c>
      <c r="BV1120">
        <v>1.74</v>
      </c>
      <c r="BW1120">
        <v>5.14</v>
      </c>
      <c r="BX1120">
        <v>13.24</v>
      </c>
      <c r="BY1120">
        <v>6.78</v>
      </c>
      <c r="BZ1120">
        <v>4.2699999999999996</v>
      </c>
      <c r="CA1120">
        <v>1.0900000000000001</v>
      </c>
      <c r="CB1120">
        <v>0.1</v>
      </c>
      <c r="CC1120">
        <v>1.0900000000000001</v>
      </c>
      <c r="CD1120">
        <v>0.89</v>
      </c>
      <c r="CE1120">
        <v>0.9</v>
      </c>
      <c r="CF1120">
        <v>0.83</v>
      </c>
      <c r="CG1120">
        <v>4.68</v>
      </c>
      <c r="CH1120">
        <v>1.38</v>
      </c>
      <c r="CI1120">
        <v>0.51</v>
      </c>
      <c r="CJ1120">
        <v>19590</v>
      </c>
      <c r="CK1120">
        <v>8771</v>
      </c>
      <c r="CL1120" t="s">
        <v>6409</v>
      </c>
      <c r="CM1120">
        <v>49.61</v>
      </c>
      <c r="CN1120">
        <v>-2.5</v>
      </c>
      <c r="CO1120">
        <v>1.51</v>
      </c>
      <c r="CP1120">
        <v>22.75</v>
      </c>
      <c r="CQ1120">
        <v>4.62</v>
      </c>
      <c r="CR1120">
        <v>0.62</v>
      </c>
      <c r="CS1120" t="s">
        <v>793</v>
      </c>
      <c r="CT1120">
        <v>8.25</v>
      </c>
      <c r="CU1120">
        <v>0</v>
      </c>
      <c r="CV1120">
        <v>5.24</v>
      </c>
      <c r="CW1120">
        <v>1.86</v>
      </c>
      <c r="CX1120">
        <v>0.55000000000000004</v>
      </c>
      <c r="CY1120">
        <v>87.7</v>
      </c>
      <c r="CZ1120" t="s">
        <v>6410</v>
      </c>
      <c r="DA1120">
        <v>37</v>
      </c>
      <c r="DB1120">
        <v>16.14</v>
      </c>
      <c r="DC1120">
        <v>13.29</v>
      </c>
      <c r="DD1120">
        <v>0.43</v>
      </c>
      <c r="DE1120">
        <v>779</v>
      </c>
      <c r="DF1120">
        <v>2669</v>
      </c>
      <c r="DG1120" t="s">
        <v>116</v>
      </c>
      <c r="DH1120" t="s">
        <v>116</v>
      </c>
      <c r="DI1120" t="s">
        <v>116</v>
      </c>
    </row>
    <row r="1121" spans="1:113" x14ac:dyDescent="0.4">
      <c r="A1121" t="str">
        <f>"002670"</f>
        <v>002670</v>
      </c>
      <c r="B1121" t="s">
        <v>6411</v>
      </c>
      <c r="C1121">
        <v>-3.7</v>
      </c>
      <c r="D1121">
        <v>11.72</v>
      </c>
      <c r="E1121">
        <v>-0.45</v>
      </c>
      <c r="F1121">
        <v>11.72</v>
      </c>
      <c r="G1121">
        <v>11.73</v>
      </c>
      <c r="H1121">
        <v>392777</v>
      </c>
      <c r="I1121">
        <v>4459</v>
      </c>
      <c r="J1121">
        <v>-0.57999999999999996</v>
      </c>
      <c r="K1121">
        <v>2.42</v>
      </c>
      <c r="L1121">
        <v>12.07</v>
      </c>
      <c r="M1121">
        <v>12.35</v>
      </c>
      <c r="N1121">
        <v>11.72</v>
      </c>
      <c r="O1121">
        <v>12.17</v>
      </c>
      <c r="P1121">
        <v>183.72</v>
      </c>
      <c r="Q1121">
        <v>473639104</v>
      </c>
      <c r="R1121">
        <v>1.3</v>
      </c>
      <c r="S1121" t="s">
        <v>623</v>
      </c>
      <c r="T1121" t="s">
        <v>551</v>
      </c>
      <c r="U1121">
        <v>5.18</v>
      </c>
      <c r="V1121">
        <v>12.06</v>
      </c>
      <c r="W1121">
        <v>214501</v>
      </c>
      <c r="X1121">
        <v>178276</v>
      </c>
      <c r="Y1121">
        <v>1.2</v>
      </c>
      <c r="Z1121">
        <v>173</v>
      </c>
      <c r="AA1121">
        <v>560</v>
      </c>
      <c r="AB1121" t="s">
        <v>116</v>
      </c>
      <c r="AC1121">
        <v>2654200</v>
      </c>
      <c r="AD1121">
        <v>0.04</v>
      </c>
      <c r="AE1121" t="s">
        <v>116</v>
      </c>
      <c r="AF1121" t="s">
        <v>116</v>
      </c>
      <c r="AG1121">
        <v>16.23</v>
      </c>
      <c r="AH1121" t="s">
        <v>6412</v>
      </c>
      <c r="AI1121" t="s">
        <v>6413</v>
      </c>
      <c r="AJ1121">
        <v>-3.02</v>
      </c>
      <c r="AK1121">
        <v>4132</v>
      </c>
      <c r="AL1121">
        <v>95</v>
      </c>
      <c r="AM1121">
        <v>5.9999999999999995E-4</v>
      </c>
      <c r="AN1121">
        <v>-1</v>
      </c>
      <c r="AO1121">
        <v>-2.2599999999999998</v>
      </c>
      <c r="AP1121">
        <v>5.59</v>
      </c>
      <c r="AQ1121">
        <v>-1.1000000000000001</v>
      </c>
      <c r="AR1121">
        <v>16.27</v>
      </c>
      <c r="AS1121">
        <v>6.41</v>
      </c>
      <c r="AT1121" t="s">
        <v>6414</v>
      </c>
      <c r="AU1121" t="s">
        <v>116</v>
      </c>
      <c r="AV1121" t="s">
        <v>116</v>
      </c>
      <c r="AW1121">
        <v>1.81</v>
      </c>
      <c r="BA1121">
        <v>-0.82</v>
      </c>
      <c r="BB1121">
        <v>1.48</v>
      </c>
      <c r="BC1121">
        <v>-3.7</v>
      </c>
      <c r="BD1121">
        <v>-0.91</v>
      </c>
      <c r="BE1121">
        <v>-2.9</v>
      </c>
      <c r="BF1121">
        <v>-5.0999999999999996</v>
      </c>
      <c r="BG1121">
        <v>0</v>
      </c>
      <c r="BH1121">
        <v>-2.78</v>
      </c>
      <c r="BI1121">
        <v>20191030</v>
      </c>
      <c r="BJ1121">
        <v>20120416</v>
      </c>
      <c r="BK1121">
        <v>19.350000000000001</v>
      </c>
      <c r="BL1121" t="s">
        <v>116</v>
      </c>
      <c r="BM1121" t="s">
        <v>116</v>
      </c>
      <c r="BN1121">
        <v>341</v>
      </c>
      <c r="BO1121">
        <v>115.91</v>
      </c>
      <c r="BP1121">
        <v>0.03</v>
      </c>
      <c r="BQ1121">
        <v>66</v>
      </c>
      <c r="BR1121">
        <v>294.02999999999997</v>
      </c>
      <c r="BS1121">
        <v>1.07</v>
      </c>
      <c r="BT1121">
        <v>0.44</v>
      </c>
      <c r="BU1121">
        <v>199.38</v>
      </c>
      <c r="BV1121">
        <v>0</v>
      </c>
      <c r="BW1121">
        <v>4.01</v>
      </c>
      <c r="BX1121">
        <v>88.62</v>
      </c>
      <c r="BY1121">
        <v>0.01</v>
      </c>
      <c r="BZ1121">
        <v>0</v>
      </c>
      <c r="CA1121">
        <v>1.39</v>
      </c>
      <c r="CB1121">
        <v>3.64</v>
      </c>
      <c r="CC1121">
        <v>1.34</v>
      </c>
      <c r="CD1121">
        <v>0.92</v>
      </c>
      <c r="CE1121">
        <v>0.93</v>
      </c>
      <c r="CF1121">
        <v>0.85</v>
      </c>
      <c r="CG1121">
        <v>7.64</v>
      </c>
      <c r="CH1121">
        <v>8.51</v>
      </c>
      <c r="CI1121">
        <v>27.55</v>
      </c>
      <c r="CJ1121">
        <v>47788</v>
      </c>
      <c r="CK1121">
        <v>12818</v>
      </c>
      <c r="CL1121" t="s">
        <v>6415</v>
      </c>
      <c r="CM1121">
        <v>136.41999999999999</v>
      </c>
      <c r="CN1121">
        <v>-22.43</v>
      </c>
      <c r="CO1121">
        <v>1.96</v>
      </c>
      <c r="CP1121">
        <v>26.66</v>
      </c>
      <c r="CQ1121">
        <v>20429.86</v>
      </c>
      <c r="CR1121">
        <v>0</v>
      </c>
      <c r="CS1121" t="s">
        <v>2674</v>
      </c>
      <c r="CT1121">
        <v>5.99</v>
      </c>
      <c r="CU1121">
        <v>0</v>
      </c>
      <c r="CV1121">
        <v>4.58</v>
      </c>
      <c r="CW1121">
        <v>0.39</v>
      </c>
      <c r="CX1121">
        <v>0.44</v>
      </c>
      <c r="CY1121">
        <v>33.99</v>
      </c>
      <c r="CZ1121" t="s">
        <v>3002</v>
      </c>
      <c r="DA1121" t="s">
        <v>116</v>
      </c>
      <c r="DB1121">
        <v>12515.54</v>
      </c>
      <c r="DC1121">
        <v>8340.01</v>
      </c>
      <c r="DD1121">
        <v>0.24</v>
      </c>
      <c r="DE1121">
        <v>2304</v>
      </c>
      <c r="DF1121">
        <v>2670</v>
      </c>
      <c r="DG1121" t="s">
        <v>116</v>
      </c>
      <c r="DH1121" t="s">
        <v>116</v>
      </c>
      <c r="DI1121" t="s">
        <v>116</v>
      </c>
    </row>
    <row r="1122" spans="1:113" x14ac:dyDescent="0.4">
      <c r="A1122" t="str">
        <f>"002671"</f>
        <v>002671</v>
      </c>
      <c r="B1122" t="s">
        <v>6416</v>
      </c>
      <c r="C1122">
        <v>-0.88</v>
      </c>
      <c r="D1122">
        <v>4.4800000000000004</v>
      </c>
      <c r="E1122">
        <v>-0.04</v>
      </c>
      <c r="F1122">
        <v>4.47</v>
      </c>
      <c r="G1122">
        <v>4.4800000000000004</v>
      </c>
      <c r="H1122">
        <v>31764</v>
      </c>
      <c r="I1122">
        <v>270</v>
      </c>
      <c r="J1122">
        <v>0</v>
      </c>
      <c r="K1122">
        <v>0.94</v>
      </c>
      <c r="L1122">
        <v>4.51</v>
      </c>
      <c r="M1122">
        <v>4.5599999999999996</v>
      </c>
      <c r="N1122">
        <v>4.4800000000000004</v>
      </c>
      <c r="O1122">
        <v>4.5199999999999996</v>
      </c>
      <c r="P1122" t="s">
        <v>116</v>
      </c>
      <c r="Q1122">
        <v>14364598</v>
      </c>
      <c r="R1122">
        <v>1.34</v>
      </c>
      <c r="S1122" t="s">
        <v>249</v>
      </c>
      <c r="T1122" t="s">
        <v>645</v>
      </c>
      <c r="U1122">
        <v>1.77</v>
      </c>
      <c r="V1122">
        <v>4.5199999999999996</v>
      </c>
      <c r="W1122">
        <v>18514</v>
      </c>
      <c r="X1122">
        <v>13250</v>
      </c>
      <c r="Y1122">
        <v>1.4</v>
      </c>
      <c r="Z1122">
        <v>801</v>
      </c>
      <c r="AA1122">
        <v>209</v>
      </c>
      <c r="AB1122" t="s">
        <v>116</v>
      </c>
      <c r="AC1122">
        <v>0</v>
      </c>
      <c r="AD1122">
        <v>0</v>
      </c>
      <c r="AE1122" t="s">
        <v>116</v>
      </c>
      <c r="AF1122" t="s">
        <v>116</v>
      </c>
      <c r="AG1122">
        <v>3.39</v>
      </c>
      <c r="AH1122" t="s">
        <v>2150</v>
      </c>
      <c r="AI1122" t="s">
        <v>6417</v>
      </c>
      <c r="AJ1122">
        <v>-0.21</v>
      </c>
      <c r="AK1122">
        <v>481</v>
      </c>
      <c r="AL1122">
        <v>66</v>
      </c>
      <c r="AM1122">
        <v>1.9E-3</v>
      </c>
      <c r="AN1122">
        <v>-1</v>
      </c>
      <c r="AO1122">
        <v>0</v>
      </c>
      <c r="AP1122">
        <v>-0.44</v>
      </c>
      <c r="AQ1122">
        <v>-4.2699999999999996</v>
      </c>
      <c r="AR1122">
        <v>9.27</v>
      </c>
      <c r="AS1122">
        <v>1.04</v>
      </c>
      <c r="AT1122" t="s">
        <v>6418</v>
      </c>
      <c r="AU1122" t="s">
        <v>116</v>
      </c>
      <c r="AV1122" t="s">
        <v>116</v>
      </c>
      <c r="AW1122">
        <v>0.68</v>
      </c>
      <c r="BA1122">
        <v>-0.22</v>
      </c>
      <c r="BB1122">
        <v>0.88</v>
      </c>
      <c r="BC1122">
        <v>-0.88</v>
      </c>
      <c r="BD1122">
        <v>0.05</v>
      </c>
      <c r="BE1122">
        <v>-0.67</v>
      </c>
      <c r="BF1122">
        <v>-1.75</v>
      </c>
      <c r="BG1122">
        <v>0</v>
      </c>
      <c r="BH1122">
        <v>-0.94</v>
      </c>
      <c r="BI1122">
        <v>20191031</v>
      </c>
      <c r="BJ1122">
        <v>20120426</v>
      </c>
      <c r="BK1122">
        <v>4.72</v>
      </c>
      <c r="BL1122" t="s">
        <v>116</v>
      </c>
      <c r="BM1122" t="s">
        <v>116</v>
      </c>
      <c r="BN1122">
        <v>32.99</v>
      </c>
      <c r="BO1122">
        <v>20.02</v>
      </c>
      <c r="BP1122">
        <v>0.15</v>
      </c>
      <c r="BQ1122">
        <v>38.880000000000003</v>
      </c>
      <c r="BR1122">
        <v>16.72</v>
      </c>
      <c r="BS1122">
        <v>8.94</v>
      </c>
      <c r="BT1122">
        <v>2.5099999999999998</v>
      </c>
      <c r="BU1122">
        <v>12.36</v>
      </c>
      <c r="BV1122">
        <v>3.58</v>
      </c>
      <c r="BW1122">
        <v>9.6300000000000008</v>
      </c>
      <c r="BX1122">
        <v>11.76</v>
      </c>
      <c r="BY1122">
        <v>7.93</v>
      </c>
      <c r="BZ1122">
        <v>5.96</v>
      </c>
      <c r="CA1122">
        <v>-0.06</v>
      </c>
      <c r="CB1122">
        <v>0</v>
      </c>
      <c r="CC1122">
        <v>-0.06</v>
      </c>
      <c r="CD1122">
        <v>-0.04</v>
      </c>
      <c r="CE1122">
        <v>-0.02</v>
      </c>
      <c r="CF1122">
        <v>-7.0000000000000007E-2</v>
      </c>
      <c r="CG1122">
        <v>2.73</v>
      </c>
      <c r="CH1122">
        <v>0.75</v>
      </c>
      <c r="CI1122">
        <v>-1.19</v>
      </c>
      <c r="CJ1122">
        <v>28414</v>
      </c>
      <c r="CK1122">
        <v>10800</v>
      </c>
      <c r="CL1122" t="s">
        <v>5020</v>
      </c>
      <c r="CM1122">
        <v>-112.66</v>
      </c>
      <c r="CN1122">
        <v>6.78</v>
      </c>
      <c r="CO1122">
        <v>1.06</v>
      </c>
      <c r="CP1122">
        <v>28.25</v>
      </c>
      <c r="CQ1122">
        <v>2.67</v>
      </c>
      <c r="CR1122">
        <v>0</v>
      </c>
      <c r="CS1122" t="s">
        <v>6419</v>
      </c>
      <c r="CT1122">
        <v>4.24</v>
      </c>
      <c r="CU1122">
        <v>0</v>
      </c>
      <c r="CV1122">
        <v>2.4900000000000002</v>
      </c>
      <c r="CW1122">
        <v>0.57999999999999996</v>
      </c>
      <c r="CX1122">
        <v>0.16</v>
      </c>
      <c r="CY1122">
        <v>60.67</v>
      </c>
      <c r="CZ1122" t="s">
        <v>1452</v>
      </c>
      <c r="DA1122">
        <v>24.9</v>
      </c>
      <c r="DB1122">
        <v>-0.78</v>
      </c>
      <c r="DC1122">
        <v>-0.31</v>
      </c>
      <c r="DD1122">
        <v>0.08</v>
      </c>
      <c r="DE1122">
        <v>1090</v>
      </c>
      <c r="DF1122">
        <v>2671</v>
      </c>
      <c r="DG1122" t="s">
        <v>116</v>
      </c>
      <c r="DH1122" t="s">
        <v>116</v>
      </c>
      <c r="DI1122" t="s">
        <v>116</v>
      </c>
    </row>
    <row r="1123" spans="1:113" x14ac:dyDescent="0.4">
      <c r="A1123" t="str">
        <f>"002672"</f>
        <v>002672</v>
      </c>
      <c r="B1123" t="s">
        <v>6420</v>
      </c>
      <c r="C1123">
        <v>0.68</v>
      </c>
      <c r="D1123">
        <v>8.91</v>
      </c>
      <c r="E1123">
        <v>0.06</v>
      </c>
      <c r="F1123">
        <v>8.9</v>
      </c>
      <c r="G1123">
        <v>8.91</v>
      </c>
      <c r="H1123">
        <v>47748</v>
      </c>
      <c r="I1123">
        <v>376</v>
      </c>
      <c r="J1123">
        <v>0.11</v>
      </c>
      <c r="K1123">
        <v>0.72</v>
      </c>
      <c r="L1123">
        <v>8.9</v>
      </c>
      <c r="M1123">
        <v>9.07</v>
      </c>
      <c r="N1123">
        <v>8.86</v>
      </c>
      <c r="O1123">
        <v>8.85</v>
      </c>
      <c r="P1123">
        <v>17.690000000000001</v>
      </c>
      <c r="Q1123">
        <v>42853024</v>
      </c>
      <c r="R1123">
        <v>1.72</v>
      </c>
      <c r="S1123" t="s">
        <v>140</v>
      </c>
      <c r="T1123" t="s">
        <v>115</v>
      </c>
      <c r="U1123">
        <v>2.37</v>
      </c>
      <c r="V1123">
        <v>8.9700000000000006</v>
      </c>
      <c r="W1123">
        <v>21543</v>
      </c>
      <c r="X1123">
        <v>26205</v>
      </c>
      <c r="Y1123">
        <v>0.82</v>
      </c>
      <c r="Z1123">
        <v>1977</v>
      </c>
      <c r="AA1123">
        <v>41</v>
      </c>
      <c r="AB1123" t="s">
        <v>116</v>
      </c>
      <c r="AC1123">
        <v>190500</v>
      </c>
      <c r="AD1123">
        <v>0.01</v>
      </c>
      <c r="AE1123" t="s">
        <v>116</v>
      </c>
      <c r="AF1123" t="s">
        <v>116</v>
      </c>
      <c r="AG1123">
        <v>6.6</v>
      </c>
      <c r="AH1123" t="s">
        <v>3683</v>
      </c>
      <c r="AI1123" t="s">
        <v>6421</v>
      </c>
      <c r="AJ1123">
        <v>1.36</v>
      </c>
      <c r="AK1123">
        <v>1508</v>
      </c>
      <c r="AL1123">
        <v>32</v>
      </c>
      <c r="AM1123">
        <v>5.0000000000000001E-4</v>
      </c>
      <c r="AN1123">
        <v>2</v>
      </c>
      <c r="AO1123">
        <v>0.56999999999999995</v>
      </c>
      <c r="AP1123">
        <v>-3.15</v>
      </c>
      <c r="AQ1123">
        <v>-9.08</v>
      </c>
      <c r="AR1123">
        <v>-21.15</v>
      </c>
      <c r="AS1123">
        <v>1.2</v>
      </c>
      <c r="AT1123" t="s">
        <v>6422</v>
      </c>
      <c r="AU1123">
        <v>21.32</v>
      </c>
      <c r="AV1123">
        <v>19.21</v>
      </c>
      <c r="AW1123">
        <v>0.72</v>
      </c>
      <c r="BA1123">
        <v>0.56000000000000005</v>
      </c>
      <c r="BB1123">
        <v>2.4900000000000002</v>
      </c>
      <c r="BC1123">
        <v>0.11</v>
      </c>
      <c r="BD1123">
        <v>1.41</v>
      </c>
      <c r="BE1123">
        <v>0.11</v>
      </c>
      <c r="BF1123">
        <v>-1.76</v>
      </c>
      <c r="BG1123">
        <v>0.56000000000000005</v>
      </c>
      <c r="BH1123">
        <v>-0.73</v>
      </c>
      <c r="BI1123">
        <v>20191216</v>
      </c>
      <c r="BJ1123">
        <v>20120426</v>
      </c>
      <c r="BK1123">
        <v>8.7899999999999991</v>
      </c>
      <c r="BL1123" t="s">
        <v>116</v>
      </c>
      <c r="BM1123">
        <v>2</v>
      </c>
      <c r="BN1123">
        <v>102.9</v>
      </c>
      <c r="BO1123">
        <v>42.5</v>
      </c>
      <c r="BP1123">
        <v>7.04</v>
      </c>
      <c r="BQ1123">
        <v>51.85</v>
      </c>
      <c r="BR1123">
        <v>30.19</v>
      </c>
      <c r="BS1123">
        <v>26.29</v>
      </c>
      <c r="BT1123">
        <v>9.14</v>
      </c>
      <c r="BU1123">
        <v>45.06</v>
      </c>
      <c r="BV1123">
        <v>2.67</v>
      </c>
      <c r="BW1123">
        <v>7.93</v>
      </c>
      <c r="BX1123">
        <v>4.37</v>
      </c>
      <c r="BY1123">
        <v>25.77</v>
      </c>
      <c r="BZ1123">
        <v>16.36</v>
      </c>
      <c r="CA1123">
        <v>4.43</v>
      </c>
      <c r="CB1123">
        <v>0.13</v>
      </c>
      <c r="CC1123">
        <v>4.46</v>
      </c>
      <c r="CD1123">
        <v>3.84</v>
      </c>
      <c r="CE1123">
        <v>3.32</v>
      </c>
      <c r="CF1123">
        <v>3</v>
      </c>
      <c r="CG1123">
        <v>27.04</v>
      </c>
      <c r="CH1123">
        <v>8.81</v>
      </c>
      <c r="CI1123">
        <v>1.88</v>
      </c>
      <c r="CJ1123">
        <v>35136</v>
      </c>
      <c r="CK1123">
        <v>11286</v>
      </c>
      <c r="CL1123" t="s">
        <v>525</v>
      </c>
      <c r="CM1123">
        <v>-10.88</v>
      </c>
      <c r="CN1123">
        <v>4.21</v>
      </c>
      <c r="CO1123">
        <v>1.84</v>
      </c>
      <c r="CP1123">
        <v>8.9</v>
      </c>
      <c r="CQ1123">
        <v>3.04</v>
      </c>
      <c r="CR1123">
        <v>1.57</v>
      </c>
      <c r="CS1123" t="s">
        <v>6423</v>
      </c>
      <c r="CT1123">
        <v>4.83</v>
      </c>
      <c r="CU1123">
        <v>0</v>
      </c>
      <c r="CV1123">
        <v>0.5</v>
      </c>
      <c r="CW1123">
        <v>3.08</v>
      </c>
      <c r="CX1123">
        <v>1</v>
      </c>
      <c r="CY1123">
        <v>41.3</v>
      </c>
      <c r="CZ1123" t="s">
        <v>3258</v>
      </c>
      <c r="DA1123">
        <v>36.54</v>
      </c>
      <c r="DB1123">
        <v>17.170000000000002</v>
      </c>
      <c r="DC1123">
        <v>12.88</v>
      </c>
      <c r="DD1123">
        <v>0.8</v>
      </c>
      <c r="DE1123">
        <v>4609</v>
      </c>
      <c r="DF1123">
        <v>2672</v>
      </c>
      <c r="DG1123" t="s">
        <v>116</v>
      </c>
      <c r="DH1123" t="s">
        <v>116</v>
      </c>
      <c r="DI1123" t="s">
        <v>116</v>
      </c>
    </row>
    <row r="1124" spans="1:113" x14ac:dyDescent="0.4">
      <c r="A1124" t="str">
        <f>"002673"</f>
        <v>002673</v>
      </c>
      <c r="B1124" t="s">
        <v>6424</v>
      </c>
      <c r="C1124">
        <v>-2.67</v>
      </c>
      <c r="D1124">
        <v>9.4600000000000009</v>
      </c>
      <c r="E1124">
        <v>-0.26</v>
      </c>
      <c r="F1124">
        <v>9.4499999999999993</v>
      </c>
      <c r="G1124">
        <v>9.4600000000000009</v>
      </c>
      <c r="H1124">
        <v>587916</v>
      </c>
      <c r="I1124">
        <v>4263</v>
      </c>
      <c r="J1124">
        <v>0</v>
      </c>
      <c r="K1124">
        <v>1.68</v>
      </c>
      <c r="L1124">
        <v>9.7200000000000006</v>
      </c>
      <c r="M1124">
        <v>9.8800000000000008</v>
      </c>
      <c r="N1124">
        <v>9.43</v>
      </c>
      <c r="O1124">
        <v>9.7200000000000006</v>
      </c>
      <c r="P1124">
        <v>47.56</v>
      </c>
      <c r="Q1124">
        <v>568929920</v>
      </c>
      <c r="R1124">
        <v>1.06</v>
      </c>
      <c r="S1124" t="s">
        <v>623</v>
      </c>
      <c r="T1124" t="s">
        <v>913</v>
      </c>
      <c r="U1124">
        <v>4.63</v>
      </c>
      <c r="V1124">
        <v>9.68</v>
      </c>
      <c r="W1124">
        <v>309138</v>
      </c>
      <c r="X1124">
        <v>278778</v>
      </c>
      <c r="Y1124">
        <v>1.1100000000000001</v>
      </c>
      <c r="Z1124">
        <v>1191</v>
      </c>
      <c r="AA1124">
        <v>1346</v>
      </c>
      <c r="AB1124" t="s">
        <v>116</v>
      </c>
      <c r="AC1124">
        <v>4443600</v>
      </c>
      <c r="AD1124">
        <v>0.03</v>
      </c>
      <c r="AE1124" t="s">
        <v>116</v>
      </c>
      <c r="AF1124" t="s">
        <v>116</v>
      </c>
      <c r="AG1124">
        <v>35.020000000000003</v>
      </c>
      <c r="AH1124" t="s">
        <v>6425</v>
      </c>
      <c r="AI1124" t="s">
        <v>6425</v>
      </c>
      <c r="AJ1124">
        <v>-2</v>
      </c>
      <c r="AK1124">
        <v>4098</v>
      </c>
      <c r="AL1124">
        <v>143</v>
      </c>
      <c r="AM1124">
        <v>4.0000000000000002E-4</v>
      </c>
      <c r="AN1124">
        <v>-1</v>
      </c>
      <c r="AO1124">
        <v>-1.25</v>
      </c>
      <c r="AP1124">
        <v>7.26</v>
      </c>
      <c r="AQ1124">
        <v>4.53</v>
      </c>
      <c r="AR1124">
        <v>24.28</v>
      </c>
      <c r="AS1124">
        <v>3.52</v>
      </c>
      <c r="AT1124" t="s">
        <v>6426</v>
      </c>
      <c r="AU1124">
        <v>87.43</v>
      </c>
      <c r="AV1124">
        <v>165.28</v>
      </c>
      <c r="AW1124">
        <v>0.73</v>
      </c>
      <c r="BA1124">
        <v>0</v>
      </c>
      <c r="BB1124">
        <v>1.65</v>
      </c>
      <c r="BC1124">
        <v>-2.98</v>
      </c>
      <c r="BD1124">
        <v>-0.44</v>
      </c>
      <c r="BE1124">
        <v>-2.67</v>
      </c>
      <c r="BF1124">
        <v>-4.25</v>
      </c>
      <c r="BG1124">
        <v>0.32</v>
      </c>
      <c r="BH1124">
        <v>-2.23</v>
      </c>
      <c r="BI1124">
        <v>20191118</v>
      </c>
      <c r="BJ1124">
        <v>20120503</v>
      </c>
      <c r="BK1124">
        <v>35.020000000000003</v>
      </c>
      <c r="BL1124" t="s">
        <v>116</v>
      </c>
      <c r="BM1124" t="s">
        <v>116</v>
      </c>
      <c r="BN1124">
        <v>495.93</v>
      </c>
      <c r="BO1124">
        <v>176.52</v>
      </c>
      <c r="BP1124">
        <v>0.77</v>
      </c>
      <c r="BQ1124">
        <v>64.25</v>
      </c>
      <c r="BR1124">
        <v>0</v>
      </c>
      <c r="BS1124">
        <v>1.67</v>
      </c>
      <c r="BT1124">
        <v>1.61</v>
      </c>
      <c r="BU1124">
        <v>0</v>
      </c>
      <c r="BV1124">
        <v>0</v>
      </c>
      <c r="BW1124">
        <v>0</v>
      </c>
      <c r="BX1124">
        <v>95.01</v>
      </c>
      <c r="BY1124">
        <v>29.87</v>
      </c>
      <c r="BZ1124">
        <v>0</v>
      </c>
      <c r="CA1124">
        <v>7</v>
      </c>
      <c r="CB1124">
        <v>11.03</v>
      </c>
      <c r="CC1124">
        <v>7</v>
      </c>
      <c r="CD1124">
        <v>5.27</v>
      </c>
      <c r="CE1124">
        <v>5.22</v>
      </c>
      <c r="CF1124">
        <v>5.03</v>
      </c>
      <c r="CG1124">
        <v>19.3</v>
      </c>
      <c r="CH1124">
        <v>20.11</v>
      </c>
      <c r="CI1124">
        <v>14.96</v>
      </c>
      <c r="CJ1124">
        <v>200225</v>
      </c>
      <c r="CK1124">
        <v>8337</v>
      </c>
      <c r="CL1124" t="s">
        <v>2806</v>
      </c>
      <c r="CM1124">
        <v>51.88</v>
      </c>
      <c r="CN1124">
        <v>83.66</v>
      </c>
      <c r="CO1124">
        <v>1.88</v>
      </c>
      <c r="CP1124">
        <v>16.47</v>
      </c>
      <c r="CQ1124">
        <v>11.09</v>
      </c>
      <c r="CR1124">
        <v>0.61</v>
      </c>
      <c r="CS1124" t="s">
        <v>261</v>
      </c>
      <c r="CT1124">
        <v>5.04</v>
      </c>
      <c r="CU1124">
        <v>0</v>
      </c>
      <c r="CV1124">
        <v>2.71</v>
      </c>
      <c r="CW1124">
        <v>0.55000000000000004</v>
      </c>
      <c r="CX1124">
        <v>0.56999999999999995</v>
      </c>
      <c r="CY1124">
        <v>35.590000000000003</v>
      </c>
      <c r="CZ1124" t="s">
        <v>5095</v>
      </c>
      <c r="DA1124" t="s">
        <v>116</v>
      </c>
      <c r="DB1124">
        <v>23.42</v>
      </c>
      <c r="DC1124">
        <v>17.489999999999998</v>
      </c>
      <c r="DD1124">
        <v>0</v>
      </c>
      <c r="DE1124">
        <v>2947</v>
      </c>
      <c r="DF1124">
        <v>2673</v>
      </c>
      <c r="DG1124" t="s">
        <v>116</v>
      </c>
      <c r="DH1124" t="s">
        <v>116</v>
      </c>
      <c r="DI1124" t="s">
        <v>116</v>
      </c>
    </row>
    <row r="1125" spans="1:113" x14ac:dyDescent="0.4">
      <c r="A1125" t="str">
        <f>"002674"</f>
        <v>002674</v>
      </c>
      <c r="B1125" t="s">
        <v>6427</v>
      </c>
      <c r="C1125">
        <v>1.36</v>
      </c>
      <c r="D1125">
        <v>11.21</v>
      </c>
      <c r="E1125">
        <v>0.15</v>
      </c>
      <c r="F1125">
        <v>11.2</v>
      </c>
      <c r="G1125">
        <v>11.21</v>
      </c>
      <c r="H1125">
        <v>25434</v>
      </c>
      <c r="I1125">
        <v>64</v>
      </c>
      <c r="J1125">
        <v>-0.08</v>
      </c>
      <c r="K1125">
        <v>0.85</v>
      </c>
      <c r="L1125">
        <v>11.06</v>
      </c>
      <c r="M1125">
        <v>11.3</v>
      </c>
      <c r="N1125">
        <v>11.02</v>
      </c>
      <c r="O1125">
        <v>11.06</v>
      </c>
      <c r="P1125">
        <v>26.97</v>
      </c>
      <c r="Q1125">
        <v>28469442</v>
      </c>
      <c r="R1125">
        <v>1.74</v>
      </c>
      <c r="S1125" t="s">
        <v>1420</v>
      </c>
      <c r="T1125" t="s">
        <v>975</v>
      </c>
      <c r="U1125">
        <v>2.5299999999999998</v>
      </c>
      <c r="V1125">
        <v>11.19</v>
      </c>
      <c r="W1125">
        <v>11487</v>
      </c>
      <c r="X1125">
        <v>13947</v>
      </c>
      <c r="Y1125">
        <v>0.82</v>
      </c>
      <c r="Z1125">
        <v>791</v>
      </c>
      <c r="AA1125">
        <v>17</v>
      </c>
      <c r="AB1125" t="s">
        <v>116</v>
      </c>
      <c r="AC1125">
        <v>0</v>
      </c>
      <c r="AD1125">
        <v>0</v>
      </c>
      <c r="AE1125" t="s">
        <v>116</v>
      </c>
      <c r="AF1125" t="s">
        <v>116</v>
      </c>
      <c r="AG1125">
        <v>2.99</v>
      </c>
      <c r="AH1125" t="s">
        <v>6428</v>
      </c>
      <c r="AI1125" t="s">
        <v>6429</v>
      </c>
      <c r="AJ1125">
        <v>2.04</v>
      </c>
      <c r="AK1125">
        <v>860</v>
      </c>
      <c r="AL1125">
        <v>30</v>
      </c>
      <c r="AM1125">
        <v>1E-3</v>
      </c>
      <c r="AN1125">
        <v>2</v>
      </c>
      <c r="AO1125">
        <v>0.63</v>
      </c>
      <c r="AP1125">
        <v>2</v>
      </c>
      <c r="AQ1125">
        <v>1.72</v>
      </c>
      <c r="AR1125">
        <v>60.37</v>
      </c>
      <c r="AS1125">
        <v>2.2799999999999998</v>
      </c>
      <c r="AT1125" t="s">
        <v>6430</v>
      </c>
      <c r="AU1125">
        <v>21.88</v>
      </c>
      <c r="AV1125">
        <v>29.26</v>
      </c>
      <c r="AW1125">
        <v>0.44</v>
      </c>
      <c r="BA1125">
        <v>0</v>
      </c>
      <c r="BB1125">
        <v>2.17</v>
      </c>
      <c r="BC1125">
        <v>-0.36</v>
      </c>
      <c r="BD1125">
        <v>1.21</v>
      </c>
      <c r="BE1125">
        <v>1.36</v>
      </c>
      <c r="BF1125">
        <v>-0.8</v>
      </c>
      <c r="BG1125">
        <v>1.72</v>
      </c>
      <c r="BH1125">
        <v>0.15</v>
      </c>
      <c r="BI1125">
        <v>20191029</v>
      </c>
      <c r="BJ1125">
        <v>20120507</v>
      </c>
      <c r="BK1125">
        <v>3.02</v>
      </c>
      <c r="BL1125" t="s">
        <v>116</v>
      </c>
      <c r="BM1125" t="s">
        <v>116</v>
      </c>
      <c r="BN1125">
        <v>27.77</v>
      </c>
      <c r="BO1125">
        <v>22.29</v>
      </c>
      <c r="BP1125">
        <v>0.05</v>
      </c>
      <c r="BQ1125">
        <v>19.57</v>
      </c>
      <c r="BR1125">
        <v>20.85</v>
      </c>
      <c r="BS1125">
        <v>5</v>
      </c>
      <c r="BT1125">
        <v>0.51</v>
      </c>
      <c r="BU1125">
        <v>5.24</v>
      </c>
      <c r="BV1125">
        <v>5.35</v>
      </c>
      <c r="BW1125">
        <v>1.91</v>
      </c>
      <c r="BX1125">
        <v>13.57</v>
      </c>
      <c r="BY1125">
        <v>10.96</v>
      </c>
      <c r="BZ1125">
        <v>9.14</v>
      </c>
      <c r="CA1125">
        <v>1.0900000000000001</v>
      </c>
      <c r="CB1125">
        <v>0.12</v>
      </c>
      <c r="CC1125">
        <v>1.0900000000000001</v>
      </c>
      <c r="CD1125">
        <v>0.94</v>
      </c>
      <c r="CE1125">
        <v>0.94</v>
      </c>
      <c r="CF1125">
        <v>0.92</v>
      </c>
      <c r="CG1125">
        <v>4.62</v>
      </c>
      <c r="CH1125">
        <v>0.16</v>
      </c>
      <c r="CI1125">
        <v>-2.04</v>
      </c>
      <c r="CJ1125">
        <v>8574</v>
      </c>
      <c r="CK1125">
        <v>13009</v>
      </c>
      <c r="CL1125" t="s">
        <v>6431</v>
      </c>
      <c r="CM1125">
        <v>70.73</v>
      </c>
      <c r="CN1125">
        <v>-13.69</v>
      </c>
      <c r="CO1125">
        <v>1.52</v>
      </c>
      <c r="CP1125">
        <v>212.17</v>
      </c>
      <c r="CQ1125">
        <v>3.09</v>
      </c>
      <c r="CR1125">
        <v>5.35</v>
      </c>
      <c r="CS1125" t="s">
        <v>4520</v>
      </c>
      <c r="CT1125">
        <v>7.38</v>
      </c>
      <c r="CU1125">
        <v>0</v>
      </c>
      <c r="CV1125">
        <v>4.49</v>
      </c>
      <c r="CW1125">
        <v>1.53</v>
      </c>
      <c r="CX1125">
        <v>0.05</v>
      </c>
      <c r="CY1125">
        <v>80.260000000000005</v>
      </c>
      <c r="CZ1125" t="s">
        <v>247</v>
      </c>
      <c r="DA1125">
        <v>16.64</v>
      </c>
      <c r="DB1125">
        <v>9.9600000000000009</v>
      </c>
      <c r="DC1125">
        <v>8.59</v>
      </c>
      <c r="DD1125">
        <v>0.34</v>
      </c>
      <c r="DE1125">
        <v>2561</v>
      </c>
      <c r="DF1125">
        <v>2674</v>
      </c>
      <c r="DG1125" t="s">
        <v>116</v>
      </c>
      <c r="DH1125" t="s">
        <v>116</v>
      </c>
      <c r="DI1125" t="s">
        <v>116</v>
      </c>
    </row>
    <row r="1126" spans="1:113" x14ac:dyDescent="0.4">
      <c r="A1126" t="str">
        <f>"002675"</f>
        <v>002675</v>
      </c>
      <c r="B1126" t="s">
        <v>6432</v>
      </c>
      <c r="C1126">
        <v>-0.71</v>
      </c>
      <c r="D1126">
        <v>15.4</v>
      </c>
      <c r="E1126">
        <v>-0.11</v>
      </c>
      <c r="F1126">
        <v>15.4</v>
      </c>
      <c r="G1126">
        <v>15.41</v>
      </c>
      <c r="H1126">
        <v>103574</v>
      </c>
      <c r="I1126">
        <v>369</v>
      </c>
      <c r="J1126">
        <v>-0.05</v>
      </c>
      <c r="K1126">
        <v>1.56</v>
      </c>
      <c r="L1126">
        <v>15.46</v>
      </c>
      <c r="M1126">
        <v>15.68</v>
      </c>
      <c r="N1126">
        <v>15.17</v>
      </c>
      <c r="O1126">
        <v>15.51</v>
      </c>
      <c r="P1126">
        <v>33.22</v>
      </c>
      <c r="Q1126">
        <v>159070352</v>
      </c>
      <c r="R1126">
        <v>1.9</v>
      </c>
      <c r="S1126" t="s">
        <v>574</v>
      </c>
      <c r="T1126" t="s">
        <v>645</v>
      </c>
      <c r="U1126">
        <v>3.29</v>
      </c>
      <c r="V1126">
        <v>15.36</v>
      </c>
      <c r="W1126">
        <v>53170</v>
      </c>
      <c r="X1126">
        <v>50404</v>
      </c>
      <c r="Y1126">
        <v>1.05</v>
      </c>
      <c r="Z1126">
        <v>367</v>
      </c>
      <c r="AA1126">
        <v>46</v>
      </c>
      <c r="AB1126" t="s">
        <v>116</v>
      </c>
      <c r="AC1126">
        <v>109800</v>
      </c>
      <c r="AD1126">
        <v>0</v>
      </c>
      <c r="AE1126" t="s">
        <v>116</v>
      </c>
      <c r="AF1126" t="s">
        <v>116</v>
      </c>
      <c r="AG1126">
        <v>6.62</v>
      </c>
      <c r="AH1126" t="s">
        <v>6433</v>
      </c>
      <c r="AI1126" t="s">
        <v>6434</v>
      </c>
      <c r="AJ1126">
        <v>-0.03</v>
      </c>
      <c r="AK1126">
        <v>2402</v>
      </c>
      <c r="AL1126">
        <v>43</v>
      </c>
      <c r="AM1126">
        <v>6.9999999999999999E-4</v>
      </c>
      <c r="AN1126">
        <v>-3</v>
      </c>
      <c r="AO1126">
        <v>-2.4700000000000002</v>
      </c>
      <c r="AP1126">
        <v>-2.2200000000000002</v>
      </c>
      <c r="AQ1126">
        <v>28.55</v>
      </c>
      <c r="AR1126">
        <v>96.88</v>
      </c>
      <c r="AS1126">
        <v>2.14</v>
      </c>
      <c r="AT1126" t="s">
        <v>6435</v>
      </c>
      <c r="AU1126">
        <v>33.79</v>
      </c>
      <c r="AV1126">
        <v>44.05</v>
      </c>
      <c r="AW1126">
        <v>0.8</v>
      </c>
      <c r="BA1126">
        <v>-0.32</v>
      </c>
      <c r="BB1126">
        <v>1.1000000000000001</v>
      </c>
      <c r="BC1126">
        <v>-2.19</v>
      </c>
      <c r="BD1126">
        <v>-0.98</v>
      </c>
      <c r="BE1126">
        <v>-0.39</v>
      </c>
      <c r="BF1126">
        <v>-1.79</v>
      </c>
      <c r="BG1126">
        <v>1.52</v>
      </c>
      <c r="BH1126">
        <v>0.27</v>
      </c>
      <c r="BI1126">
        <v>20191129</v>
      </c>
      <c r="BJ1126">
        <v>20120525</v>
      </c>
      <c r="BK1126">
        <v>8.02</v>
      </c>
      <c r="BL1126" t="s">
        <v>116</v>
      </c>
      <c r="BM1126" t="s">
        <v>116</v>
      </c>
      <c r="BN1126">
        <v>74.45</v>
      </c>
      <c r="BO1126">
        <v>44.48</v>
      </c>
      <c r="BP1126">
        <v>6.01</v>
      </c>
      <c r="BQ1126">
        <v>32.19</v>
      </c>
      <c r="BR1126">
        <v>30.48</v>
      </c>
      <c r="BS1126">
        <v>8.35</v>
      </c>
      <c r="BT1126">
        <v>1.87</v>
      </c>
      <c r="BU1126">
        <v>21.66</v>
      </c>
      <c r="BV1126">
        <v>8.07</v>
      </c>
      <c r="BW1126">
        <v>10.06</v>
      </c>
      <c r="BX1126">
        <v>23.48</v>
      </c>
      <c r="BY1126">
        <v>21.75</v>
      </c>
      <c r="BZ1126">
        <v>8.8000000000000007</v>
      </c>
      <c r="CA1126">
        <v>4.62</v>
      </c>
      <c r="CB1126">
        <v>0.11</v>
      </c>
      <c r="CC1126">
        <v>4.62</v>
      </c>
      <c r="CD1126">
        <v>3.75</v>
      </c>
      <c r="CE1126">
        <v>2.79</v>
      </c>
      <c r="CF1126">
        <v>2.93</v>
      </c>
      <c r="CG1126">
        <v>11.04</v>
      </c>
      <c r="CH1126">
        <v>3.99</v>
      </c>
      <c r="CI1126">
        <v>-3.53</v>
      </c>
      <c r="CJ1126">
        <v>25024</v>
      </c>
      <c r="CK1126">
        <v>19357</v>
      </c>
      <c r="CL1126" t="s">
        <v>6436</v>
      </c>
      <c r="CM1126">
        <v>43.98</v>
      </c>
      <c r="CN1126">
        <v>33.380000000000003</v>
      </c>
      <c r="CO1126">
        <v>2.78</v>
      </c>
      <c r="CP1126">
        <v>31</v>
      </c>
      <c r="CQ1126">
        <v>5.68</v>
      </c>
      <c r="CR1126">
        <v>0.31</v>
      </c>
      <c r="CS1126" t="s">
        <v>2852</v>
      </c>
      <c r="CT1126">
        <v>5.54</v>
      </c>
      <c r="CU1126">
        <v>0</v>
      </c>
      <c r="CV1126">
        <v>2.93</v>
      </c>
      <c r="CW1126">
        <v>1.38</v>
      </c>
      <c r="CX1126">
        <v>0.5</v>
      </c>
      <c r="CY1126">
        <v>59.74</v>
      </c>
      <c r="CZ1126" t="s">
        <v>6437</v>
      </c>
      <c r="DA1126">
        <v>59.55</v>
      </c>
      <c r="DB1126">
        <v>21.23</v>
      </c>
      <c r="DC1126">
        <v>12.82</v>
      </c>
      <c r="DD1126">
        <v>0.56999999999999995</v>
      </c>
      <c r="DE1126">
        <v>1673</v>
      </c>
      <c r="DF1126">
        <v>2675</v>
      </c>
      <c r="DG1126" t="s">
        <v>116</v>
      </c>
      <c r="DH1126" t="s">
        <v>116</v>
      </c>
      <c r="DI1126" t="s">
        <v>116</v>
      </c>
    </row>
    <row r="1127" spans="1:113" x14ac:dyDescent="0.4">
      <c r="A1127" t="str">
        <f>"002676"</f>
        <v>002676</v>
      </c>
      <c r="B1127" t="s">
        <v>6438</v>
      </c>
      <c r="C1127">
        <v>-1.57</v>
      </c>
      <c r="D1127">
        <v>3.14</v>
      </c>
      <c r="E1127">
        <v>-0.05</v>
      </c>
      <c r="F1127">
        <v>3.14</v>
      </c>
      <c r="G1127">
        <v>3.15</v>
      </c>
      <c r="H1127">
        <v>79946</v>
      </c>
      <c r="I1127">
        <v>194</v>
      </c>
      <c r="J1127">
        <v>-0.31</v>
      </c>
      <c r="K1127">
        <v>1.1100000000000001</v>
      </c>
      <c r="L1127">
        <v>3.2</v>
      </c>
      <c r="M1127">
        <v>3.21</v>
      </c>
      <c r="N1127">
        <v>3.13</v>
      </c>
      <c r="O1127">
        <v>3.19</v>
      </c>
      <c r="P1127">
        <v>206.3</v>
      </c>
      <c r="Q1127">
        <v>25377846</v>
      </c>
      <c r="R1127">
        <v>1.08</v>
      </c>
      <c r="S1127" t="s">
        <v>2444</v>
      </c>
      <c r="T1127" t="s">
        <v>551</v>
      </c>
      <c r="U1127">
        <v>2.5099999999999998</v>
      </c>
      <c r="V1127">
        <v>3.17</v>
      </c>
      <c r="W1127">
        <v>45344</v>
      </c>
      <c r="X1127">
        <v>34602</v>
      </c>
      <c r="Y1127">
        <v>1.31</v>
      </c>
      <c r="Z1127">
        <v>1784</v>
      </c>
      <c r="AA1127">
        <v>66</v>
      </c>
      <c r="AB1127" t="s">
        <v>116</v>
      </c>
      <c r="AC1127">
        <v>144000</v>
      </c>
      <c r="AD1127">
        <v>0.02</v>
      </c>
      <c r="AE1127" t="s">
        <v>116</v>
      </c>
      <c r="AF1127" t="s">
        <v>116</v>
      </c>
      <c r="AG1127">
        <v>7.2</v>
      </c>
      <c r="AH1127" t="s">
        <v>5651</v>
      </c>
      <c r="AI1127" t="s">
        <v>5651</v>
      </c>
      <c r="AJ1127">
        <v>-0.89</v>
      </c>
      <c r="AK1127">
        <v>980</v>
      </c>
      <c r="AL1127">
        <v>82</v>
      </c>
      <c r="AM1127">
        <v>1.1000000000000001E-3</v>
      </c>
      <c r="AN1127">
        <v>-1</v>
      </c>
      <c r="AO1127">
        <v>-1.89</v>
      </c>
      <c r="AP1127">
        <v>-11.3</v>
      </c>
      <c r="AQ1127">
        <v>-14.21</v>
      </c>
      <c r="AR1127">
        <v>9.7899999999999991</v>
      </c>
      <c r="AS1127">
        <v>3.29</v>
      </c>
      <c r="AT1127" t="s">
        <v>6439</v>
      </c>
      <c r="AU1127">
        <v>81.28</v>
      </c>
      <c r="AV1127">
        <v>395.42</v>
      </c>
      <c r="AW1127">
        <v>0.78</v>
      </c>
      <c r="BA1127">
        <v>0.31</v>
      </c>
      <c r="BB1127">
        <v>0.63</v>
      </c>
      <c r="BC1127">
        <v>-1.88</v>
      </c>
      <c r="BD1127">
        <v>-0.49</v>
      </c>
      <c r="BE1127">
        <v>-1.87</v>
      </c>
      <c r="BF1127">
        <v>-2.1800000000000002</v>
      </c>
      <c r="BG1127">
        <v>0.32</v>
      </c>
      <c r="BH1127">
        <v>-1.08</v>
      </c>
      <c r="BI1127">
        <v>20191029</v>
      </c>
      <c r="BJ1127">
        <v>20120525</v>
      </c>
      <c r="BK1127">
        <v>7.2</v>
      </c>
      <c r="BL1127" t="s">
        <v>116</v>
      </c>
      <c r="BM1127" t="s">
        <v>116</v>
      </c>
      <c r="BN1127">
        <v>18.399999999999999</v>
      </c>
      <c r="BO1127">
        <v>10.46</v>
      </c>
      <c r="BP1127">
        <v>0.19</v>
      </c>
      <c r="BQ1127">
        <v>42.18</v>
      </c>
      <c r="BR1127">
        <v>11.48</v>
      </c>
      <c r="BS1127">
        <v>5.0999999999999996</v>
      </c>
      <c r="BT1127">
        <v>0.98</v>
      </c>
      <c r="BU1127">
        <v>7.51</v>
      </c>
      <c r="BV1127">
        <v>3.17</v>
      </c>
      <c r="BW1127">
        <v>3.98</v>
      </c>
      <c r="BX1127">
        <v>0.61</v>
      </c>
      <c r="BY1127">
        <v>12.48</v>
      </c>
      <c r="BZ1127">
        <v>10.08</v>
      </c>
      <c r="CA1127">
        <v>7.0000000000000007E-2</v>
      </c>
      <c r="CB1127">
        <v>0</v>
      </c>
      <c r="CC1127">
        <v>0.09</v>
      </c>
      <c r="CD1127">
        <v>0.08</v>
      </c>
      <c r="CE1127">
        <v>0.08</v>
      </c>
      <c r="CF1127">
        <v>0.04</v>
      </c>
      <c r="CG1127">
        <v>2.21</v>
      </c>
      <c r="CH1127">
        <v>0.24</v>
      </c>
      <c r="CI1127">
        <v>-0.12</v>
      </c>
      <c r="CJ1127">
        <v>33662</v>
      </c>
      <c r="CK1127">
        <v>7220</v>
      </c>
      <c r="CL1127" t="s">
        <v>6149</v>
      </c>
      <c r="CM1127">
        <v>159.22</v>
      </c>
      <c r="CN1127">
        <v>-0.62</v>
      </c>
      <c r="CO1127">
        <v>2.16</v>
      </c>
      <c r="CP1127">
        <v>92.45</v>
      </c>
      <c r="CQ1127">
        <v>1.81</v>
      </c>
      <c r="CR1127">
        <v>0</v>
      </c>
      <c r="CS1127" t="s">
        <v>3700</v>
      </c>
      <c r="CT1127">
        <v>1.45</v>
      </c>
      <c r="CU1127">
        <v>0</v>
      </c>
      <c r="CV1127">
        <v>0.08</v>
      </c>
      <c r="CW1127">
        <v>0.31</v>
      </c>
      <c r="CX1127">
        <v>0.03</v>
      </c>
      <c r="CY1127">
        <v>56.81</v>
      </c>
      <c r="CZ1127" t="s">
        <v>2424</v>
      </c>
      <c r="DA1127">
        <v>19.239999999999998</v>
      </c>
      <c r="DB1127">
        <v>0.53</v>
      </c>
      <c r="DC1127">
        <v>0.66</v>
      </c>
      <c r="DD1127">
        <v>0.26</v>
      </c>
      <c r="DE1127">
        <v>3560</v>
      </c>
      <c r="DF1127">
        <v>2676</v>
      </c>
      <c r="DG1127" t="s">
        <v>116</v>
      </c>
      <c r="DH1127" t="s">
        <v>116</v>
      </c>
      <c r="DI1127" t="s">
        <v>116</v>
      </c>
    </row>
    <row r="1128" spans="1:113" x14ac:dyDescent="0.4">
      <c r="A1128" t="str">
        <f>"002677"</f>
        <v>002677</v>
      </c>
      <c r="B1128" t="s">
        <v>6440</v>
      </c>
      <c r="C1128">
        <v>-0.3</v>
      </c>
      <c r="D1128">
        <v>13.17</v>
      </c>
      <c r="E1128">
        <v>-0.04</v>
      </c>
      <c r="F1128">
        <v>13.17</v>
      </c>
      <c r="G1128">
        <v>13.18</v>
      </c>
      <c r="H1128">
        <v>33180</v>
      </c>
      <c r="I1128">
        <v>598</v>
      </c>
      <c r="J1128">
        <v>-0.14000000000000001</v>
      </c>
      <c r="K1128">
        <v>1.06</v>
      </c>
      <c r="L1128">
        <v>13.15</v>
      </c>
      <c r="M1128">
        <v>13.27</v>
      </c>
      <c r="N1128">
        <v>13.15</v>
      </c>
      <c r="O1128">
        <v>13.21</v>
      </c>
      <c r="P1128">
        <v>20.96</v>
      </c>
      <c r="Q1128">
        <v>43875016</v>
      </c>
      <c r="R1128">
        <v>0.94</v>
      </c>
      <c r="S1128" t="s">
        <v>209</v>
      </c>
      <c r="T1128" t="s">
        <v>590</v>
      </c>
      <c r="U1128">
        <v>0.91</v>
      </c>
      <c r="V1128">
        <v>13.22</v>
      </c>
      <c r="W1128">
        <v>18254</v>
      </c>
      <c r="X1128">
        <v>14926</v>
      </c>
      <c r="Y1128">
        <v>1.22</v>
      </c>
      <c r="Z1128">
        <v>28</v>
      </c>
      <c r="AA1128">
        <v>279</v>
      </c>
      <c r="AB1128" t="s">
        <v>116</v>
      </c>
      <c r="AC1128">
        <v>622000</v>
      </c>
      <c r="AD1128">
        <v>0.02</v>
      </c>
      <c r="AE1128" t="s">
        <v>116</v>
      </c>
      <c r="AF1128" t="s">
        <v>116</v>
      </c>
      <c r="AG1128">
        <v>3.13</v>
      </c>
      <c r="AH1128" t="s">
        <v>6441</v>
      </c>
      <c r="AI1128" t="s">
        <v>6442</v>
      </c>
      <c r="AJ1128">
        <v>0.38</v>
      </c>
      <c r="AK1128">
        <v>1340</v>
      </c>
      <c r="AL1128">
        <v>25</v>
      </c>
      <c r="AM1128">
        <v>8.0000000000000004E-4</v>
      </c>
      <c r="AN1128">
        <v>-1</v>
      </c>
      <c r="AO1128">
        <v>0.3</v>
      </c>
      <c r="AP1128">
        <v>0.15</v>
      </c>
      <c r="AQ1128">
        <v>0.69</v>
      </c>
      <c r="AR1128">
        <v>38.56</v>
      </c>
      <c r="AS1128">
        <v>1.54</v>
      </c>
      <c r="AT1128" t="s">
        <v>6443</v>
      </c>
      <c r="AU1128">
        <v>19.57</v>
      </c>
      <c r="AV1128">
        <v>22.54</v>
      </c>
      <c r="AW1128">
        <v>1.01</v>
      </c>
      <c r="BA1128">
        <v>-0.45</v>
      </c>
      <c r="BB1128">
        <v>0.45</v>
      </c>
      <c r="BC1128">
        <v>-0.45</v>
      </c>
      <c r="BD1128">
        <v>0.1</v>
      </c>
      <c r="BE1128">
        <v>0.15</v>
      </c>
      <c r="BF1128">
        <v>-0.75</v>
      </c>
      <c r="BG1128">
        <v>0.15</v>
      </c>
      <c r="BH1128">
        <v>-0.4</v>
      </c>
      <c r="BI1128">
        <v>20191220</v>
      </c>
      <c r="BJ1128">
        <v>20120525</v>
      </c>
      <c r="BK1128">
        <v>6.46</v>
      </c>
      <c r="BL1128" t="s">
        <v>116</v>
      </c>
      <c r="BM1128" t="s">
        <v>116</v>
      </c>
      <c r="BN1128">
        <v>18.46</v>
      </c>
      <c r="BO1128">
        <v>13.54</v>
      </c>
      <c r="BP1128">
        <v>0</v>
      </c>
      <c r="BQ1128">
        <v>26.65</v>
      </c>
      <c r="BR1128">
        <v>9.14</v>
      </c>
      <c r="BS1128">
        <v>3.03</v>
      </c>
      <c r="BT1128">
        <v>1.74</v>
      </c>
      <c r="BU1128">
        <v>4.84</v>
      </c>
      <c r="BV1128">
        <v>0.83</v>
      </c>
      <c r="BW1128">
        <v>0.37</v>
      </c>
      <c r="BX1128">
        <v>1.05</v>
      </c>
      <c r="BY1128">
        <v>11.42</v>
      </c>
      <c r="BZ1128">
        <v>5.43</v>
      </c>
      <c r="CA1128">
        <v>3.56</v>
      </c>
      <c r="CB1128">
        <v>0.04</v>
      </c>
      <c r="CC1128">
        <v>3.56</v>
      </c>
      <c r="CD1128">
        <v>3.05</v>
      </c>
      <c r="CE1128">
        <v>3.05</v>
      </c>
      <c r="CF1128">
        <v>2.99</v>
      </c>
      <c r="CG1128">
        <v>5.18</v>
      </c>
      <c r="CH1128">
        <v>4.24</v>
      </c>
      <c r="CI1128">
        <v>-0.64</v>
      </c>
      <c r="CJ1128">
        <v>24545</v>
      </c>
      <c r="CK1128">
        <v>8780</v>
      </c>
      <c r="CL1128" t="s">
        <v>6444</v>
      </c>
      <c r="CM1128">
        <v>23.12</v>
      </c>
      <c r="CN1128">
        <v>22.38</v>
      </c>
      <c r="CO1128">
        <v>6.28</v>
      </c>
      <c r="CP1128">
        <v>20.079999999999998</v>
      </c>
      <c r="CQ1128">
        <v>7.45</v>
      </c>
      <c r="CR1128">
        <v>3.53</v>
      </c>
      <c r="CS1128" t="s">
        <v>6445</v>
      </c>
      <c r="CT1128">
        <v>2.1</v>
      </c>
      <c r="CU1128">
        <v>0</v>
      </c>
      <c r="CV1128">
        <v>0.16</v>
      </c>
      <c r="CW1128">
        <v>0.8</v>
      </c>
      <c r="CX1128">
        <v>0.66</v>
      </c>
      <c r="CY1128">
        <v>73.349999999999994</v>
      </c>
      <c r="CZ1128" t="s">
        <v>6446</v>
      </c>
      <c r="DA1128">
        <v>52.46</v>
      </c>
      <c r="DB1128">
        <v>31.19</v>
      </c>
      <c r="DC1128">
        <v>26.66</v>
      </c>
      <c r="DD1128">
        <v>0.35</v>
      </c>
      <c r="DE1128">
        <v>1150</v>
      </c>
      <c r="DF1128">
        <v>2677</v>
      </c>
      <c r="DG1128" t="s">
        <v>116</v>
      </c>
      <c r="DH1128" t="s">
        <v>116</v>
      </c>
      <c r="DI1128" t="s">
        <v>116</v>
      </c>
    </row>
    <row r="1129" spans="1:113" x14ac:dyDescent="0.4">
      <c r="A1129" t="str">
        <f>"002678"</f>
        <v>002678</v>
      </c>
      <c r="B1129" t="s">
        <v>6447</v>
      </c>
      <c r="C1129">
        <v>-0.13</v>
      </c>
      <c r="D1129">
        <v>7.88</v>
      </c>
      <c r="E1129">
        <v>-0.01</v>
      </c>
      <c r="F1129">
        <v>7.87</v>
      </c>
      <c r="G1129">
        <v>7.88</v>
      </c>
      <c r="H1129">
        <v>16207</v>
      </c>
      <c r="I1129">
        <v>497</v>
      </c>
      <c r="J1129">
        <v>0</v>
      </c>
      <c r="K1129">
        <v>0.12</v>
      </c>
      <c r="L1129">
        <v>7.89</v>
      </c>
      <c r="M1129">
        <v>7.96</v>
      </c>
      <c r="N1129">
        <v>7.83</v>
      </c>
      <c r="O1129">
        <v>7.89</v>
      </c>
      <c r="P1129">
        <v>52.89</v>
      </c>
      <c r="Q1129">
        <v>12799325</v>
      </c>
      <c r="R1129">
        <v>1.69</v>
      </c>
      <c r="S1129" t="s">
        <v>217</v>
      </c>
      <c r="T1129" t="s">
        <v>551</v>
      </c>
      <c r="U1129">
        <v>1.65</v>
      </c>
      <c r="V1129">
        <v>7.9</v>
      </c>
      <c r="W1129">
        <v>5727</v>
      </c>
      <c r="X1129">
        <v>10480</v>
      </c>
      <c r="Y1129">
        <v>0.55000000000000004</v>
      </c>
      <c r="Z1129">
        <v>5</v>
      </c>
      <c r="AA1129">
        <v>64</v>
      </c>
      <c r="AB1129" t="s">
        <v>116</v>
      </c>
      <c r="AC1129">
        <v>15000</v>
      </c>
      <c r="AD1129">
        <v>0</v>
      </c>
      <c r="AE1129" t="s">
        <v>116</v>
      </c>
      <c r="AF1129" t="s">
        <v>116</v>
      </c>
      <c r="AG1129">
        <v>13.57</v>
      </c>
      <c r="AH1129" t="s">
        <v>6448</v>
      </c>
      <c r="AI1129" t="s">
        <v>6449</v>
      </c>
      <c r="AJ1129">
        <v>0.55000000000000004</v>
      </c>
      <c r="AK1129">
        <v>383</v>
      </c>
      <c r="AL1129">
        <v>42</v>
      </c>
      <c r="AM1129">
        <v>2.9999999999999997E-4</v>
      </c>
      <c r="AN1129">
        <v>-2</v>
      </c>
      <c r="AO1129">
        <v>0.38</v>
      </c>
      <c r="AP1129">
        <v>-1.99</v>
      </c>
      <c r="AQ1129">
        <v>7.95</v>
      </c>
      <c r="AR1129">
        <v>39.35</v>
      </c>
      <c r="AS1129">
        <v>0.72</v>
      </c>
      <c r="AT1129" t="s">
        <v>5040</v>
      </c>
      <c r="AU1129">
        <v>57.8</v>
      </c>
      <c r="AV1129">
        <v>60.73</v>
      </c>
      <c r="AW1129">
        <v>0.35</v>
      </c>
      <c r="BA1129">
        <v>0</v>
      </c>
      <c r="BB1129">
        <v>0.89</v>
      </c>
      <c r="BC1129">
        <v>-0.76</v>
      </c>
      <c r="BD1129">
        <v>0.1</v>
      </c>
      <c r="BE1129">
        <v>-0.13</v>
      </c>
      <c r="BF1129">
        <v>-1.01</v>
      </c>
      <c r="BG1129">
        <v>0.64</v>
      </c>
      <c r="BH1129">
        <v>-0.22</v>
      </c>
      <c r="BI1129">
        <v>20191025</v>
      </c>
      <c r="BJ1129">
        <v>20120530</v>
      </c>
      <c r="BK1129">
        <v>13.58</v>
      </c>
      <c r="BL1129" t="s">
        <v>116</v>
      </c>
      <c r="BM1129" t="s">
        <v>116</v>
      </c>
      <c r="BN1129">
        <v>44.49</v>
      </c>
      <c r="BO1129">
        <v>33.53</v>
      </c>
      <c r="BP1129">
        <v>0.33</v>
      </c>
      <c r="BQ1129">
        <v>23.88</v>
      </c>
      <c r="BR1129">
        <v>26.79</v>
      </c>
      <c r="BS1129">
        <v>10.66</v>
      </c>
      <c r="BT1129">
        <v>1.99</v>
      </c>
      <c r="BU1129">
        <v>9.25</v>
      </c>
      <c r="BV1129">
        <v>9.68</v>
      </c>
      <c r="BW1129">
        <v>3.24</v>
      </c>
      <c r="BX1129">
        <v>9.81</v>
      </c>
      <c r="BY1129">
        <v>15.99</v>
      </c>
      <c r="BZ1129">
        <v>11.2</v>
      </c>
      <c r="CA1129">
        <v>1.86</v>
      </c>
      <c r="CB1129">
        <v>0.18</v>
      </c>
      <c r="CC1129">
        <v>1.82</v>
      </c>
      <c r="CD1129">
        <v>1.51</v>
      </c>
      <c r="CE1129">
        <v>1.52</v>
      </c>
      <c r="CF1129">
        <v>1.38</v>
      </c>
      <c r="CG1129">
        <v>8.76</v>
      </c>
      <c r="CH1129">
        <v>-0.45</v>
      </c>
      <c r="CI1129">
        <v>-1.37</v>
      </c>
      <c r="CJ1129">
        <v>16053</v>
      </c>
      <c r="CK1129">
        <v>13967</v>
      </c>
      <c r="CL1129" t="s">
        <v>6450</v>
      </c>
      <c r="CM1129">
        <v>6.24</v>
      </c>
      <c r="CN1129">
        <v>3.06</v>
      </c>
      <c r="CO1129">
        <v>3.19</v>
      </c>
      <c r="CP1129">
        <v>-235.87</v>
      </c>
      <c r="CQ1129">
        <v>6.69</v>
      </c>
      <c r="CR1129">
        <v>0.82</v>
      </c>
      <c r="CS1129" t="s">
        <v>2261</v>
      </c>
      <c r="CT1129">
        <v>2.4700000000000002</v>
      </c>
      <c r="CU1129">
        <v>0</v>
      </c>
      <c r="CV1129">
        <v>0.72</v>
      </c>
      <c r="CW1129">
        <v>0.64</v>
      </c>
      <c r="CX1129">
        <v>-0.03</v>
      </c>
      <c r="CY1129">
        <v>75.38</v>
      </c>
      <c r="CZ1129" t="s">
        <v>2007</v>
      </c>
      <c r="DA1129">
        <v>29.97</v>
      </c>
      <c r="DB1129">
        <v>11.6</v>
      </c>
      <c r="DC1129">
        <v>9.49</v>
      </c>
      <c r="DD1129">
        <v>0.67</v>
      </c>
      <c r="DE1129">
        <v>2094</v>
      </c>
      <c r="DF1129">
        <v>2678</v>
      </c>
      <c r="DG1129" t="s">
        <v>116</v>
      </c>
      <c r="DH1129" t="s">
        <v>116</v>
      </c>
      <c r="DI1129" t="s">
        <v>116</v>
      </c>
    </row>
    <row r="1130" spans="1:113" x14ac:dyDescent="0.4">
      <c r="A1130" t="str">
        <f>"002679"</f>
        <v>002679</v>
      </c>
      <c r="B1130" t="s">
        <v>6451</v>
      </c>
      <c r="C1130">
        <v>1.76</v>
      </c>
      <c r="D1130">
        <v>16.149999999999999</v>
      </c>
      <c r="E1130">
        <v>0.28000000000000003</v>
      </c>
      <c r="F1130">
        <v>16.149999999999999</v>
      </c>
      <c r="G1130">
        <v>16.18</v>
      </c>
      <c r="H1130">
        <v>38828</v>
      </c>
      <c r="I1130">
        <v>195</v>
      </c>
      <c r="J1130">
        <v>-0.3</v>
      </c>
      <c r="K1130">
        <v>1.65</v>
      </c>
      <c r="L1130">
        <v>15.8</v>
      </c>
      <c r="M1130">
        <v>16.68</v>
      </c>
      <c r="N1130">
        <v>15.7</v>
      </c>
      <c r="O1130">
        <v>15.87</v>
      </c>
      <c r="P1130">
        <v>340.26</v>
      </c>
      <c r="Q1130">
        <v>63457484</v>
      </c>
      <c r="R1130">
        <v>1.41</v>
      </c>
      <c r="S1130" t="s">
        <v>1310</v>
      </c>
      <c r="T1130" t="s">
        <v>975</v>
      </c>
      <c r="U1130">
        <v>6.18</v>
      </c>
      <c r="V1130">
        <v>16.34</v>
      </c>
      <c r="W1130">
        <v>17982</v>
      </c>
      <c r="X1130">
        <v>20846</v>
      </c>
      <c r="Y1130">
        <v>0.86</v>
      </c>
      <c r="Z1130">
        <v>46</v>
      </c>
      <c r="AA1130">
        <v>16</v>
      </c>
      <c r="AB1130" t="s">
        <v>116</v>
      </c>
      <c r="AC1130">
        <v>75800</v>
      </c>
      <c r="AD1130">
        <v>0.01</v>
      </c>
      <c r="AE1130" t="s">
        <v>116</v>
      </c>
      <c r="AF1130" t="s">
        <v>116</v>
      </c>
      <c r="AG1130">
        <v>2.36</v>
      </c>
      <c r="AH1130" t="s">
        <v>5820</v>
      </c>
      <c r="AI1130" t="s">
        <v>5820</v>
      </c>
      <c r="AJ1130">
        <v>2.44</v>
      </c>
      <c r="AK1130">
        <v>2171</v>
      </c>
      <c r="AL1130">
        <v>18</v>
      </c>
      <c r="AM1130">
        <v>8.0000000000000004E-4</v>
      </c>
      <c r="AN1130">
        <v>2</v>
      </c>
      <c r="AO1130">
        <v>4.7300000000000004</v>
      </c>
      <c r="AP1130">
        <v>-7.18</v>
      </c>
      <c r="AQ1130">
        <v>-5.61</v>
      </c>
      <c r="AR1130">
        <v>-6.08</v>
      </c>
      <c r="AS1130">
        <v>5.55</v>
      </c>
      <c r="AT1130" t="s">
        <v>6452</v>
      </c>
      <c r="AU1130">
        <v>88.26</v>
      </c>
      <c r="AV1130">
        <v>80.010000000000005</v>
      </c>
      <c r="AW1130">
        <v>0.33</v>
      </c>
      <c r="BA1130">
        <v>-0.44</v>
      </c>
      <c r="BB1130">
        <v>5.0999999999999996</v>
      </c>
      <c r="BC1130">
        <v>-1.07</v>
      </c>
      <c r="BD1130">
        <v>2.98</v>
      </c>
      <c r="BE1130">
        <v>2.2200000000000002</v>
      </c>
      <c r="BF1130">
        <v>-3.18</v>
      </c>
      <c r="BG1130">
        <v>2.87</v>
      </c>
      <c r="BH1130">
        <v>-1.22</v>
      </c>
      <c r="BI1130">
        <v>20191213</v>
      </c>
      <c r="BJ1130">
        <v>20120605</v>
      </c>
      <c r="BK1130">
        <v>2.36</v>
      </c>
      <c r="BL1130" t="s">
        <v>116</v>
      </c>
      <c r="BM1130" t="s">
        <v>116</v>
      </c>
      <c r="BN1130">
        <v>16.45</v>
      </c>
      <c r="BO1130">
        <v>7.56</v>
      </c>
      <c r="BP1130">
        <v>0</v>
      </c>
      <c r="BQ1130">
        <v>54.04</v>
      </c>
      <c r="BR1130">
        <v>14.87</v>
      </c>
      <c r="BS1130">
        <v>0.2</v>
      </c>
      <c r="BT1130">
        <v>0.2</v>
      </c>
      <c r="BU1130">
        <v>3.68</v>
      </c>
      <c r="BV1130">
        <v>13.01</v>
      </c>
      <c r="BW1130">
        <v>0.51</v>
      </c>
      <c r="BX1130">
        <v>2.4500000000000002</v>
      </c>
      <c r="BY1130">
        <v>1</v>
      </c>
      <c r="BZ1130">
        <v>0.31</v>
      </c>
      <c r="CA1130">
        <v>0.08</v>
      </c>
      <c r="CB1130">
        <v>0.01</v>
      </c>
      <c r="CC1130">
        <v>0.09</v>
      </c>
      <c r="CD1130">
        <v>0.08</v>
      </c>
      <c r="CE1130">
        <v>0.08</v>
      </c>
      <c r="CF1130">
        <v>7.0000000000000007E-2</v>
      </c>
      <c r="CG1130">
        <v>2.4700000000000002</v>
      </c>
      <c r="CH1130">
        <v>0.11</v>
      </c>
      <c r="CI1130">
        <v>-0.75</v>
      </c>
      <c r="CJ1130">
        <v>8248</v>
      </c>
      <c r="CK1130">
        <v>8484</v>
      </c>
      <c r="CL1130" t="s">
        <v>6453</v>
      </c>
      <c r="CM1130">
        <v>-34.65</v>
      </c>
      <c r="CN1130">
        <v>12.09</v>
      </c>
      <c r="CO1130">
        <v>5.04</v>
      </c>
      <c r="CP1130">
        <v>360.21</v>
      </c>
      <c r="CQ1130">
        <v>38.15</v>
      </c>
      <c r="CR1130">
        <v>0.34</v>
      </c>
      <c r="CS1130" t="s">
        <v>1223</v>
      </c>
      <c r="CT1130">
        <v>3.21</v>
      </c>
      <c r="CU1130">
        <v>0</v>
      </c>
      <c r="CV1130">
        <v>1.04</v>
      </c>
      <c r="CW1130">
        <v>1.05</v>
      </c>
      <c r="CX1130">
        <v>0.04</v>
      </c>
      <c r="CY1130">
        <v>45.94</v>
      </c>
      <c r="CZ1130" t="s">
        <v>6454</v>
      </c>
      <c r="DA1130">
        <v>68.67</v>
      </c>
      <c r="DB1130">
        <v>8.5</v>
      </c>
      <c r="DC1130">
        <v>8.41</v>
      </c>
      <c r="DD1130">
        <v>0</v>
      </c>
      <c r="DE1130">
        <v>281</v>
      </c>
      <c r="DF1130">
        <v>2679</v>
      </c>
      <c r="DG1130" t="s">
        <v>116</v>
      </c>
      <c r="DH1130" t="s">
        <v>116</v>
      </c>
      <c r="DI1130" t="s">
        <v>116</v>
      </c>
    </row>
    <row r="1131" spans="1:113" x14ac:dyDescent="0.4">
      <c r="A1131" t="str">
        <f>"002681"</f>
        <v>002681</v>
      </c>
      <c r="B1131" t="s">
        <v>6455</v>
      </c>
      <c r="C1131">
        <v>-0.98</v>
      </c>
      <c r="D1131">
        <v>6.06</v>
      </c>
      <c r="E1131">
        <v>-0.06</v>
      </c>
      <c r="F1131">
        <v>6.05</v>
      </c>
      <c r="G1131">
        <v>6.06</v>
      </c>
      <c r="H1131">
        <v>883053</v>
      </c>
      <c r="I1131">
        <v>12055</v>
      </c>
      <c r="J1131">
        <v>0</v>
      </c>
      <c r="K1131">
        <v>8.18</v>
      </c>
      <c r="L1131">
        <v>6.13</v>
      </c>
      <c r="M1131">
        <v>6.33</v>
      </c>
      <c r="N1131">
        <v>6.05</v>
      </c>
      <c r="O1131">
        <v>6.12</v>
      </c>
      <c r="P1131">
        <v>68.569999999999993</v>
      </c>
      <c r="Q1131">
        <v>546522048</v>
      </c>
      <c r="R1131">
        <v>1.3</v>
      </c>
      <c r="S1131" t="s">
        <v>209</v>
      </c>
      <c r="T1131" t="s">
        <v>115</v>
      </c>
      <c r="U1131">
        <v>4.58</v>
      </c>
      <c r="V1131">
        <v>6.19</v>
      </c>
      <c r="W1131">
        <v>436696</v>
      </c>
      <c r="X1131">
        <v>446357</v>
      </c>
      <c r="Y1131">
        <v>0.98</v>
      </c>
      <c r="Z1131">
        <v>5287</v>
      </c>
      <c r="AA1131">
        <v>2022</v>
      </c>
      <c r="AB1131" t="s">
        <v>116</v>
      </c>
      <c r="AC1131">
        <v>1089300</v>
      </c>
      <c r="AD1131">
        <v>0.02</v>
      </c>
      <c r="AE1131" t="s">
        <v>116</v>
      </c>
      <c r="AF1131" t="s">
        <v>116</v>
      </c>
      <c r="AG1131">
        <v>10.8</v>
      </c>
      <c r="AH1131" t="s">
        <v>6456</v>
      </c>
      <c r="AI1131" t="s">
        <v>6457</v>
      </c>
      <c r="AJ1131">
        <v>-0.3</v>
      </c>
      <c r="AK1131">
        <v>4210</v>
      </c>
      <c r="AL1131">
        <v>210</v>
      </c>
      <c r="AM1131">
        <v>1.9E-3</v>
      </c>
      <c r="AN1131">
        <v>-2</v>
      </c>
      <c r="AO1131">
        <v>-1.1399999999999999</v>
      </c>
      <c r="AP1131">
        <v>22.92</v>
      </c>
      <c r="AQ1131">
        <v>35.270000000000003</v>
      </c>
      <c r="AR1131">
        <v>65.569999999999993</v>
      </c>
      <c r="AS1131">
        <v>10.57</v>
      </c>
      <c r="AT1131" t="s">
        <v>6380</v>
      </c>
      <c r="AU1131" t="s">
        <v>116</v>
      </c>
      <c r="AV1131" t="s">
        <v>116</v>
      </c>
      <c r="AW1131">
        <v>1.39</v>
      </c>
      <c r="BA1131">
        <v>0.16</v>
      </c>
      <c r="BB1131">
        <v>3.43</v>
      </c>
      <c r="BC1131">
        <v>-1.1399999999999999</v>
      </c>
      <c r="BD1131">
        <v>1.1299999999999999</v>
      </c>
      <c r="BE1131">
        <v>-1.1399999999999999</v>
      </c>
      <c r="BF1131">
        <v>-4.2699999999999996</v>
      </c>
      <c r="BG1131">
        <v>0.17</v>
      </c>
      <c r="BH1131">
        <v>-2.11</v>
      </c>
      <c r="BI1131">
        <v>20191217</v>
      </c>
      <c r="BJ1131">
        <v>20120605</v>
      </c>
      <c r="BK1131">
        <v>20.329999999999998</v>
      </c>
      <c r="BL1131" t="s">
        <v>116</v>
      </c>
      <c r="BM1131" t="s">
        <v>116</v>
      </c>
      <c r="BN1131">
        <v>75.73</v>
      </c>
      <c r="BO1131">
        <v>53.59</v>
      </c>
      <c r="BP1131">
        <v>0.05</v>
      </c>
      <c r="BQ1131">
        <v>29.17</v>
      </c>
      <c r="BR1131">
        <v>23.52</v>
      </c>
      <c r="BS1131">
        <v>9.98</v>
      </c>
      <c r="BT1131">
        <v>3.2</v>
      </c>
      <c r="BU1131">
        <v>19.14</v>
      </c>
      <c r="BV1131">
        <v>6.63</v>
      </c>
      <c r="BW1131">
        <v>9.42</v>
      </c>
      <c r="BX1131">
        <v>26.72</v>
      </c>
      <c r="BY1131">
        <v>24.95</v>
      </c>
      <c r="BZ1131">
        <v>20.079999999999998</v>
      </c>
      <c r="CA1131">
        <v>1.59</v>
      </c>
      <c r="CB1131">
        <v>0.09</v>
      </c>
      <c r="CC1131">
        <v>1.61</v>
      </c>
      <c r="CD1131">
        <v>1.33</v>
      </c>
      <c r="CE1131">
        <v>1.35</v>
      </c>
      <c r="CF1131">
        <v>1.01</v>
      </c>
      <c r="CG1131">
        <v>6.04</v>
      </c>
      <c r="CH1131">
        <v>5.0199999999999996</v>
      </c>
      <c r="CI1131">
        <v>-2.68</v>
      </c>
      <c r="CJ1131">
        <v>84000</v>
      </c>
      <c r="CK1131">
        <v>9949</v>
      </c>
      <c r="CL1131" t="s">
        <v>6458</v>
      </c>
      <c r="CM1131">
        <v>-48.54</v>
      </c>
      <c r="CN1131">
        <v>3.46</v>
      </c>
      <c r="CO1131">
        <v>2.2999999999999998</v>
      </c>
      <c r="CP1131">
        <v>24.56</v>
      </c>
      <c r="CQ1131">
        <v>4.9400000000000004</v>
      </c>
      <c r="CR1131">
        <v>0</v>
      </c>
      <c r="CS1131" t="s">
        <v>1522</v>
      </c>
      <c r="CT1131">
        <v>2.64</v>
      </c>
      <c r="CU1131">
        <v>0</v>
      </c>
      <c r="CV1131">
        <v>1.31</v>
      </c>
      <c r="CW1131">
        <v>0.3</v>
      </c>
      <c r="CX1131">
        <v>0.25</v>
      </c>
      <c r="CY1131">
        <v>70.760000000000005</v>
      </c>
      <c r="CZ1131" t="s">
        <v>2083</v>
      </c>
      <c r="DA1131">
        <v>19.510000000000002</v>
      </c>
      <c r="DB1131">
        <v>6.39</v>
      </c>
      <c r="DC1131">
        <v>5.4</v>
      </c>
      <c r="DD1131">
        <v>1.37</v>
      </c>
      <c r="DE1131">
        <v>7399</v>
      </c>
      <c r="DF1131">
        <v>2681</v>
      </c>
      <c r="DG1131" t="s">
        <v>116</v>
      </c>
      <c r="DH1131" t="s">
        <v>116</v>
      </c>
      <c r="DI1131" t="s">
        <v>116</v>
      </c>
    </row>
    <row r="1132" spans="1:113" x14ac:dyDescent="0.4">
      <c r="A1132" t="str">
        <f>"002682"</f>
        <v>002682</v>
      </c>
      <c r="B1132" t="s">
        <v>6459</v>
      </c>
      <c r="C1132">
        <v>-0.45</v>
      </c>
      <c r="D1132">
        <v>4.3899999999999997</v>
      </c>
      <c r="E1132">
        <v>-0.02</v>
      </c>
      <c r="F1132">
        <v>4.3899999999999997</v>
      </c>
      <c r="G1132">
        <v>4.4000000000000004</v>
      </c>
      <c r="H1132">
        <v>38395</v>
      </c>
      <c r="I1132">
        <v>470</v>
      </c>
      <c r="J1132">
        <v>0</v>
      </c>
      <c r="K1132">
        <v>0.86</v>
      </c>
      <c r="L1132">
        <v>4.38</v>
      </c>
      <c r="M1132">
        <v>4.4400000000000004</v>
      </c>
      <c r="N1132">
        <v>4.38</v>
      </c>
      <c r="O1132">
        <v>4.41</v>
      </c>
      <c r="P1132">
        <v>31.88</v>
      </c>
      <c r="Q1132">
        <v>16944040</v>
      </c>
      <c r="R1132">
        <v>0.77</v>
      </c>
      <c r="S1132" t="s">
        <v>2041</v>
      </c>
      <c r="T1132" t="s">
        <v>975</v>
      </c>
      <c r="U1132">
        <v>1.36</v>
      </c>
      <c r="V1132">
        <v>4.41</v>
      </c>
      <c r="W1132">
        <v>23622</v>
      </c>
      <c r="X1132">
        <v>14773</v>
      </c>
      <c r="Y1132">
        <v>1.6</v>
      </c>
      <c r="Z1132">
        <v>20</v>
      </c>
      <c r="AA1132">
        <v>385</v>
      </c>
      <c r="AB1132" t="s">
        <v>116</v>
      </c>
      <c r="AC1132">
        <v>43800</v>
      </c>
      <c r="AD1132">
        <v>0</v>
      </c>
      <c r="AE1132" t="s">
        <v>116</v>
      </c>
      <c r="AF1132" t="s">
        <v>116</v>
      </c>
      <c r="AG1132">
        <v>4.4400000000000004</v>
      </c>
      <c r="AH1132" t="s">
        <v>6460</v>
      </c>
      <c r="AI1132" t="s">
        <v>4812</v>
      </c>
      <c r="AJ1132">
        <v>0.23</v>
      </c>
      <c r="AK1132">
        <v>895</v>
      </c>
      <c r="AL1132">
        <v>43</v>
      </c>
      <c r="AM1132">
        <v>1E-3</v>
      </c>
      <c r="AN1132">
        <v>-1</v>
      </c>
      <c r="AO1132">
        <v>0.47</v>
      </c>
      <c r="AP1132">
        <v>4.5199999999999996</v>
      </c>
      <c r="AQ1132">
        <v>-1.35</v>
      </c>
      <c r="AR1132">
        <v>3.78</v>
      </c>
      <c r="AS1132">
        <v>1.27</v>
      </c>
      <c r="AT1132" t="s">
        <v>6461</v>
      </c>
      <c r="AU1132">
        <v>18.41</v>
      </c>
      <c r="AV1132">
        <v>14.75</v>
      </c>
      <c r="AW1132">
        <v>0.71</v>
      </c>
      <c r="BA1132">
        <v>-0.68</v>
      </c>
      <c r="BB1132">
        <v>0.68</v>
      </c>
      <c r="BC1132">
        <v>-0.68</v>
      </c>
      <c r="BD1132">
        <v>7.0000000000000007E-2</v>
      </c>
      <c r="BE1132">
        <v>0.23</v>
      </c>
      <c r="BF1132">
        <v>-1.1299999999999999</v>
      </c>
      <c r="BG1132">
        <v>0.23</v>
      </c>
      <c r="BH1132">
        <v>-0.52</v>
      </c>
      <c r="BI1132">
        <v>20191223</v>
      </c>
      <c r="BJ1132">
        <v>20120612</v>
      </c>
      <c r="BK1132">
        <v>5.62</v>
      </c>
      <c r="BL1132" t="s">
        <v>116</v>
      </c>
      <c r="BM1132" t="s">
        <v>116</v>
      </c>
      <c r="BN1132">
        <v>96.79</v>
      </c>
      <c r="BO1132">
        <v>28.38</v>
      </c>
      <c r="BP1132">
        <v>4.9000000000000004</v>
      </c>
      <c r="BQ1132">
        <v>65.61</v>
      </c>
      <c r="BR1132">
        <v>50.86</v>
      </c>
      <c r="BS1132">
        <v>16.47</v>
      </c>
      <c r="BT1132">
        <v>7.76</v>
      </c>
      <c r="BU1132">
        <v>45.81</v>
      </c>
      <c r="BV1132">
        <v>7.62</v>
      </c>
      <c r="BW1132">
        <v>13.65</v>
      </c>
      <c r="BX1132">
        <v>13.74</v>
      </c>
      <c r="BY1132">
        <v>30.28</v>
      </c>
      <c r="BZ1132">
        <v>26.3</v>
      </c>
      <c r="CA1132">
        <v>0.86</v>
      </c>
      <c r="CB1132">
        <v>0.06</v>
      </c>
      <c r="CC1132">
        <v>0.91</v>
      </c>
      <c r="CD1132">
        <v>0.65</v>
      </c>
      <c r="CE1132">
        <v>0.57999999999999996</v>
      </c>
      <c r="CF1132">
        <v>0.54</v>
      </c>
      <c r="CG1132">
        <v>8.18</v>
      </c>
      <c r="CH1132">
        <v>0.66</v>
      </c>
      <c r="CI1132">
        <v>0.43</v>
      </c>
      <c r="CJ1132">
        <v>24584</v>
      </c>
      <c r="CK1132">
        <v>12333</v>
      </c>
      <c r="CL1132" t="s">
        <v>6462</v>
      </c>
      <c r="CM1132">
        <v>-36.4</v>
      </c>
      <c r="CN1132">
        <v>-3.26</v>
      </c>
      <c r="CO1132">
        <v>0.87</v>
      </c>
      <c r="CP1132">
        <v>37.6</v>
      </c>
      <c r="CQ1132">
        <v>0.82</v>
      </c>
      <c r="CR1132">
        <v>1.59</v>
      </c>
      <c r="CS1132" t="s">
        <v>2918</v>
      </c>
      <c r="CT1132">
        <v>5.05</v>
      </c>
      <c r="CU1132">
        <v>0</v>
      </c>
      <c r="CV1132">
        <v>2.44</v>
      </c>
      <c r="CW1132">
        <v>1.46</v>
      </c>
      <c r="CX1132">
        <v>0.12</v>
      </c>
      <c r="CY1132">
        <v>29.32</v>
      </c>
      <c r="CZ1132" t="s">
        <v>6463</v>
      </c>
      <c r="DA1132">
        <v>13.15</v>
      </c>
      <c r="DB1132">
        <v>2.83</v>
      </c>
      <c r="DC1132">
        <v>1.92</v>
      </c>
      <c r="DD1132">
        <v>0.14000000000000001</v>
      </c>
      <c r="DE1132">
        <v>5796</v>
      </c>
      <c r="DF1132">
        <v>2682</v>
      </c>
      <c r="DG1132" t="s">
        <v>116</v>
      </c>
      <c r="DH1132" t="s">
        <v>116</v>
      </c>
      <c r="DI1132" t="s">
        <v>116</v>
      </c>
    </row>
    <row r="1133" spans="1:113" x14ac:dyDescent="0.4">
      <c r="A1133" t="str">
        <f>"002683"</f>
        <v>002683</v>
      </c>
      <c r="B1133" t="s">
        <v>6464</v>
      </c>
      <c r="C1133">
        <v>-0.28000000000000003</v>
      </c>
      <c r="D1133">
        <v>17.86</v>
      </c>
      <c r="E1133">
        <v>-0.05</v>
      </c>
      <c r="F1133">
        <v>17.850000000000001</v>
      </c>
      <c r="G1133">
        <v>17.86</v>
      </c>
      <c r="H1133">
        <v>93566</v>
      </c>
      <c r="I1133">
        <v>656</v>
      </c>
      <c r="J1133">
        <v>0.06</v>
      </c>
      <c r="K1133">
        <v>1.54</v>
      </c>
      <c r="L1133">
        <v>17.87</v>
      </c>
      <c r="M1133">
        <v>18.13</v>
      </c>
      <c r="N1133">
        <v>17.72</v>
      </c>
      <c r="O1133">
        <v>17.91</v>
      </c>
      <c r="P1133">
        <v>43.41</v>
      </c>
      <c r="Q1133">
        <v>167835408</v>
      </c>
      <c r="R1133">
        <v>0.69</v>
      </c>
      <c r="S1133" t="s">
        <v>891</v>
      </c>
      <c r="T1133" t="s">
        <v>551</v>
      </c>
      <c r="U1133">
        <v>2.29</v>
      </c>
      <c r="V1133">
        <v>17.940000000000001</v>
      </c>
      <c r="W1133">
        <v>49378</v>
      </c>
      <c r="X1133">
        <v>44188</v>
      </c>
      <c r="Y1133">
        <v>1.1200000000000001</v>
      </c>
      <c r="Z1133">
        <v>57</v>
      </c>
      <c r="AA1133">
        <v>288</v>
      </c>
      <c r="AB1133" t="s">
        <v>116</v>
      </c>
      <c r="AC1133">
        <v>897100</v>
      </c>
      <c r="AD1133">
        <v>0.01</v>
      </c>
      <c r="AE1133" t="s">
        <v>116</v>
      </c>
      <c r="AF1133" t="s">
        <v>116</v>
      </c>
      <c r="AG1133">
        <v>6.07</v>
      </c>
      <c r="AH1133" t="s">
        <v>6465</v>
      </c>
      <c r="AI1133" t="s">
        <v>6466</v>
      </c>
      <c r="AJ1133">
        <v>0.4</v>
      </c>
      <c r="AK1133">
        <v>2604</v>
      </c>
      <c r="AL1133">
        <v>36</v>
      </c>
      <c r="AM1133">
        <v>5.9999999999999995E-4</v>
      </c>
      <c r="AN1133">
        <v>-1</v>
      </c>
      <c r="AO1133">
        <v>-0.94</v>
      </c>
      <c r="AP1133">
        <v>30.75</v>
      </c>
      <c r="AQ1133">
        <v>25.33</v>
      </c>
      <c r="AR1133">
        <v>121.04</v>
      </c>
      <c r="AS1133">
        <v>2.39</v>
      </c>
      <c r="AT1133" t="s">
        <v>6467</v>
      </c>
      <c r="AU1133">
        <v>45.29</v>
      </c>
      <c r="AV1133">
        <v>59</v>
      </c>
      <c r="AW1133">
        <v>1.1599999999999999</v>
      </c>
      <c r="BA1133">
        <v>-0.22</v>
      </c>
      <c r="BB1133">
        <v>1.23</v>
      </c>
      <c r="BC1133">
        <v>-1.06</v>
      </c>
      <c r="BD1133">
        <v>0.15</v>
      </c>
      <c r="BE1133">
        <v>-0.06</v>
      </c>
      <c r="BF1133">
        <v>-1.49</v>
      </c>
      <c r="BG1133">
        <v>0.79</v>
      </c>
      <c r="BH1133">
        <v>-0.43</v>
      </c>
      <c r="BI1133">
        <v>20191212</v>
      </c>
      <c r="BJ1133">
        <v>20120612</v>
      </c>
      <c r="BK1133">
        <v>7.07</v>
      </c>
      <c r="BL1133" t="s">
        <v>116</v>
      </c>
      <c r="BM1133" t="s">
        <v>116</v>
      </c>
      <c r="BN1133">
        <v>71.48</v>
      </c>
      <c r="BO1133">
        <v>31.85</v>
      </c>
      <c r="BP1133">
        <v>4.45</v>
      </c>
      <c r="BQ1133">
        <v>49.21</v>
      </c>
      <c r="BR1133">
        <v>42.38</v>
      </c>
      <c r="BS1133">
        <v>10.46</v>
      </c>
      <c r="BT1133">
        <v>1.78</v>
      </c>
      <c r="BU1133">
        <v>32.880000000000003</v>
      </c>
      <c r="BV1133">
        <v>9.89</v>
      </c>
      <c r="BW1133">
        <v>16.59</v>
      </c>
      <c r="BX1133">
        <v>15.18</v>
      </c>
      <c r="BY1133">
        <v>38.880000000000003</v>
      </c>
      <c r="BZ1133">
        <v>31.27</v>
      </c>
      <c r="CA1133">
        <v>3.04</v>
      </c>
      <c r="CB1133">
        <v>0.12</v>
      </c>
      <c r="CC1133">
        <v>3.06</v>
      </c>
      <c r="CD1133">
        <v>2.65</v>
      </c>
      <c r="CE1133">
        <v>2.1800000000000002</v>
      </c>
      <c r="CF1133">
        <v>2.0299999999999998</v>
      </c>
      <c r="CG1133">
        <v>8.76</v>
      </c>
      <c r="CH1133">
        <v>5.19</v>
      </c>
      <c r="CI1133">
        <v>-1.49</v>
      </c>
      <c r="CJ1133">
        <v>17984</v>
      </c>
      <c r="CK1133">
        <v>21787</v>
      </c>
      <c r="CL1133" t="s">
        <v>6468</v>
      </c>
      <c r="CM1133">
        <v>42.27</v>
      </c>
      <c r="CN1133">
        <v>26.45</v>
      </c>
      <c r="CO1133">
        <v>3.97</v>
      </c>
      <c r="CP1133">
        <v>24.34</v>
      </c>
      <c r="CQ1133">
        <v>3.25</v>
      </c>
      <c r="CR1133">
        <v>0.84</v>
      </c>
      <c r="CS1133" t="s">
        <v>5378</v>
      </c>
      <c r="CT1133">
        <v>4.5</v>
      </c>
      <c r="CU1133">
        <v>0</v>
      </c>
      <c r="CV1133">
        <v>2.15</v>
      </c>
      <c r="CW1133">
        <v>1.24</v>
      </c>
      <c r="CX1133">
        <v>0.73</v>
      </c>
      <c r="CY1133">
        <v>44.55</v>
      </c>
      <c r="CZ1133" t="s">
        <v>6469</v>
      </c>
      <c r="DA1133">
        <v>19.559999999999999</v>
      </c>
      <c r="DB1133">
        <v>7.82</v>
      </c>
      <c r="DC1133">
        <v>5.61</v>
      </c>
      <c r="DD1133">
        <v>1.41</v>
      </c>
      <c r="DE1133">
        <v>4667</v>
      </c>
      <c r="DF1133">
        <v>2683</v>
      </c>
      <c r="DG1133" t="s">
        <v>116</v>
      </c>
      <c r="DH1133" t="s">
        <v>116</v>
      </c>
      <c r="DI1133" t="s">
        <v>116</v>
      </c>
    </row>
    <row r="1134" spans="1:113" x14ac:dyDescent="0.4">
      <c r="A1134" t="str">
        <f>"002684"</f>
        <v>002684</v>
      </c>
      <c r="B1134" t="s">
        <v>6470</v>
      </c>
      <c r="C1134">
        <v>-4.95</v>
      </c>
      <c r="D1134">
        <v>6.33</v>
      </c>
      <c r="E1134">
        <v>-0.33</v>
      </c>
      <c r="F1134" t="s">
        <v>116</v>
      </c>
      <c r="G1134">
        <v>6.33</v>
      </c>
      <c r="H1134">
        <v>151879</v>
      </c>
      <c r="I1134">
        <v>498</v>
      </c>
      <c r="J1134">
        <v>0</v>
      </c>
      <c r="K1134">
        <v>3.76</v>
      </c>
      <c r="L1134">
        <v>6.45</v>
      </c>
      <c r="M1134">
        <v>6.83</v>
      </c>
      <c r="N1134">
        <v>6.33</v>
      </c>
      <c r="O1134">
        <v>6.66</v>
      </c>
      <c r="P1134" t="s">
        <v>116</v>
      </c>
      <c r="Q1134">
        <v>97840936</v>
      </c>
      <c r="R1134">
        <v>1.38</v>
      </c>
      <c r="S1134" t="s">
        <v>397</v>
      </c>
      <c r="T1134" t="s">
        <v>551</v>
      </c>
      <c r="U1134">
        <v>7.51</v>
      </c>
      <c r="V1134">
        <v>6.44</v>
      </c>
      <c r="W1134">
        <v>83940</v>
      </c>
      <c r="X1134">
        <v>67939</v>
      </c>
      <c r="Y1134">
        <v>1.24</v>
      </c>
      <c r="Z1134">
        <v>0</v>
      </c>
      <c r="AA1134">
        <v>11838</v>
      </c>
      <c r="AB1134" t="s">
        <v>116</v>
      </c>
      <c r="AC1134">
        <v>775900</v>
      </c>
      <c r="AD1134">
        <v>0.06</v>
      </c>
      <c r="AE1134">
        <v>0.08</v>
      </c>
      <c r="AF1134">
        <v>7493454</v>
      </c>
      <c r="AG1134">
        <v>4.04</v>
      </c>
      <c r="AH1134" t="s">
        <v>6471</v>
      </c>
      <c r="AI1134" t="s">
        <v>6472</v>
      </c>
      <c r="AJ1134">
        <v>-4.28</v>
      </c>
      <c r="AK1134">
        <v>2412</v>
      </c>
      <c r="AL1134">
        <v>63</v>
      </c>
      <c r="AM1134">
        <v>1.6000000000000001E-3</v>
      </c>
      <c r="AN1134">
        <v>-2</v>
      </c>
      <c r="AO1134">
        <v>-5.66</v>
      </c>
      <c r="AP1134">
        <v>59.45</v>
      </c>
      <c r="AQ1134">
        <v>132.72</v>
      </c>
      <c r="AR1134">
        <v>0.32</v>
      </c>
      <c r="AS1134">
        <v>7.12</v>
      </c>
      <c r="AT1134" t="s">
        <v>3328</v>
      </c>
      <c r="AU1134" t="s">
        <v>116</v>
      </c>
      <c r="AV1134" t="s">
        <v>116</v>
      </c>
      <c r="AW1134">
        <v>0</v>
      </c>
      <c r="BA1134">
        <v>-3.15</v>
      </c>
      <c r="BB1134">
        <v>2.5499999999999998</v>
      </c>
      <c r="BC1134">
        <v>-4.95</v>
      </c>
      <c r="BD1134">
        <v>-3.27</v>
      </c>
      <c r="BE1134">
        <v>-1.86</v>
      </c>
      <c r="BF1134">
        <v>-7.32</v>
      </c>
      <c r="BG1134">
        <v>0</v>
      </c>
      <c r="BH1134">
        <v>-1.68</v>
      </c>
      <c r="BI1134">
        <v>20191029</v>
      </c>
      <c r="BJ1134">
        <v>20120612</v>
      </c>
      <c r="BK1134">
        <v>5.67</v>
      </c>
      <c r="BL1134" t="s">
        <v>116</v>
      </c>
      <c r="BM1134" t="s">
        <v>116</v>
      </c>
      <c r="BN1134">
        <v>72.92</v>
      </c>
      <c r="BO1134">
        <v>-7.97</v>
      </c>
      <c r="BP1134">
        <v>-0.11</v>
      </c>
      <c r="BQ1134">
        <v>111.08</v>
      </c>
      <c r="BR1134">
        <v>29.6</v>
      </c>
      <c r="BS1134">
        <v>22.45</v>
      </c>
      <c r="BT1134">
        <v>1.68</v>
      </c>
      <c r="BU1134">
        <v>71.2</v>
      </c>
      <c r="BV1134">
        <v>7.85</v>
      </c>
      <c r="BW1134">
        <v>14.35</v>
      </c>
      <c r="BX1134">
        <v>20.079999999999998</v>
      </c>
      <c r="BY1134">
        <v>8.39</v>
      </c>
      <c r="BZ1134">
        <v>7.68</v>
      </c>
      <c r="CA1134">
        <v>-4.88</v>
      </c>
      <c r="CB1134">
        <v>-0.05</v>
      </c>
      <c r="CC1134">
        <v>-7.66</v>
      </c>
      <c r="CD1134">
        <v>-7.48</v>
      </c>
      <c r="CE1134">
        <v>-7.25</v>
      </c>
      <c r="CF1134">
        <v>-4.76</v>
      </c>
      <c r="CG1134">
        <v>-33.96</v>
      </c>
      <c r="CH1134">
        <v>3.58</v>
      </c>
      <c r="CI1134">
        <v>-0.3</v>
      </c>
      <c r="CJ1134">
        <v>30839</v>
      </c>
      <c r="CK1134">
        <v>6920</v>
      </c>
      <c r="CL1134" t="s">
        <v>1807</v>
      </c>
      <c r="CM1134">
        <v>-23.34</v>
      </c>
      <c r="CN1134">
        <v>-26.77</v>
      </c>
      <c r="CO1134">
        <v>-4.51</v>
      </c>
      <c r="CP1134">
        <v>10.039999999999999</v>
      </c>
      <c r="CQ1134">
        <v>4.28</v>
      </c>
      <c r="CR1134">
        <v>0</v>
      </c>
      <c r="CS1134" t="s">
        <v>6473</v>
      </c>
      <c r="CT1134">
        <v>-1.4</v>
      </c>
      <c r="CU1134">
        <v>0</v>
      </c>
      <c r="CV1134">
        <v>3.54</v>
      </c>
      <c r="CW1134">
        <v>-5.99</v>
      </c>
      <c r="CX1134">
        <v>0.63</v>
      </c>
      <c r="CY1134">
        <v>-10.92</v>
      </c>
      <c r="CZ1134" t="s">
        <v>116</v>
      </c>
      <c r="DA1134">
        <v>8.3699999999999992</v>
      </c>
      <c r="DB1134">
        <v>-58.14</v>
      </c>
      <c r="DC1134">
        <v>-86.39</v>
      </c>
      <c r="DD1134">
        <v>0.54</v>
      </c>
      <c r="DE1134">
        <v>2747</v>
      </c>
      <c r="DF1134">
        <v>2684</v>
      </c>
      <c r="DG1134" t="s">
        <v>116</v>
      </c>
      <c r="DH1134" t="s">
        <v>116</v>
      </c>
      <c r="DI1134" t="s">
        <v>116</v>
      </c>
    </row>
    <row r="1135" spans="1:113" x14ac:dyDescent="0.4">
      <c r="A1135" t="str">
        <f>"002685"</f>
        <v>002685</v>
      </c>
      <c r="B1135" t="s">
        <v>6474</v>
      </c>
      <c r="C1135">
        <v>-1.87</v>
      </c>
      <c r="D1135">
        <v>6.82</v>
      </c>
      <c r="E1135">
        <v>-0.13</v>
      </c>
      <c r="F1135">
        <v>6.81</v>
      </c>
      <c r="G1135">
        <v>6.82</v>
      </c>
      <c r="H1135">
        <v>69510</v>
      </c>
      <c r="I1135">
        <v>1785</v>
      </c>
      <c r="J1135">
        <v>0.28999999999999998</v>
      </c>
      <c r="K1135">
        <v>0.9</v>
      </c>
      <c r="L1135">
        <v>6.93</v>
      </c>
      <c r="M1135">
        <v>6.99</v>
      </c>
      <c r="N1135">
        <v>6.77</v>
      </c>
      <c r="O1135">
        <v>6.95</v>
      </c>
      <c r="P1135">
        <v>30.77</v>
      </c>
      <c r="Q1135">
        <v>47703612</v>
      </c>
      <c r="R1135">
        <v>0.77</v>
      </c>
      <c r="S1135" t="s">
        <v>598</v>
      </c>
      <c r="T1135" t="s">
        <v>323</v>
      </c>
      <c r="U1135">
        <v>3.17</v>
      </c>
      <c r="V1135">
        <v>6.86</v>
      </c>
      <c r="W1135">
        <v>39528</v>
      </c>
      <c r="X1135">
        <v>29982</v>
      </c>
      <c r="Y1135">
        <v>1.32</v>
      </c>
      <c r="Z1135">
        <v>35</v>
      </c>
      <c r="AA1135">
        <v>1091</v>
      </c>
      <c r="AB1135" t="s">
        <v>116</v>
      </c>
      <c r="AC1135">
        <v>193300</v>
      </c>
      <c r="AD1135">
        <v>0.01</v>
      </c>
      <c r="AE1135" t="s">
        <v>116</v>
      </c>
      <c r="AF1135" t="s">
        <v>116</v>
      </c>
      <c r="AG1135">
        <v>7.71</v>
      </c>
      <c r="AH1135" t="s">
        <v>6475</v>
      </c>
      <c r="AI1135" t="s">
        <v>6476</v>
      </c>
      <c r="AJ1135">
        <v>-1.19</v>
      </c>
      <c r="AK1135">
        <v>1345</v>
      </c>
      <c r="AL1135">
        <v>52</v>
      </c>
      <c r="AM1135">
        <v>6.9999999999999999E-4</v>
      </c>
      <c r="AN1135">
        <v>-3</v>
      </c>
      <c r="AO1135">
        <v>-4.88</v>
      </c>
      <c r="AP1135">
        <v>1.34</v>
      </c>
      <c r="AQ1135">
        <v>39.75</v>
      </c>
      <c r="AR1135">
        <v>40.04</v>
      </c>
      <c r="AS1135">
        <v>1.64</v>
      </c>
      <c r="AT1135" t="s">
        <v>5317</v>
      </c>
      <c r="AU1135">
        <v>52.67</v>
      </c>
      <c r="AV1135">
        <v>22.32</v>
      </c>
      <c r="AW1135">
        <v>0.38</v>
      </c>
      <c r="BA1135">
        <v>-0.28999999999999998</v>
      </c>
      <c r="BB1135">
        <v>0.57999999999999996</v>
      </c>
      <c r="BC1135">
        <v>-2.59</v>
      </c>
      <c r="BD1135">
        <v>-1.25</v>
      </c>
      <c r="BE1135">
        <v>-1.59</v>
      </c>
      <c r="BF1135">
        <v>-2.4300000000000002</v>
      </c>
      <c r="BG1135">
        <v>0.74</v>
      </c>
      <c r="BH1135">
        <v>-0.62</v>
      </c>
      <c r="BI1135">
        <v>20191107</v>
      </c>
      <c r="BJ1135">
        <v>20120612</v>
      </c>
      <c r="BK1135">
        <v>10.08</v>
      </c>
      <c r="BL1135" t="s">
        <v>116</v>
      </c>
      <c r="BM1135" t="s">
        <v>116</v>
      </c>
      <c r="BN1135">
        <v>65.62</v>
      </c>
      <c r="BO1135">
        <v>47.5</v>
      </c>
      <c r="BP1135">
        <v>1.1200000000000001</v>
      </c>
      <c r="BQ1135">
        <v>25.91</v>
      </c>
      <c r="BR1135">
        <v>35.659999999999997</v>
      </c>
      <c r="BS1135">
        <v>2.57</v>
      </c>
      <c r="BT1135">
        <v>1.45</v>
      </c>
      <c r="BU1135">
        <v>16.260000000000002</v>
      </c>
      <c r="BV1135">
        <v>7.53</v>
      </c>
      <c r="BW1135">
        <v>18.420000000000002</v>
      </c>
      <c r="BX1135">
        <v>30.24</v>
      </c>
      <c r="BY1135">
        <v>92.82</v>
      </c>
      <c r="BZ1135">
        <v>88.6</v>
      </c>
      <c r="CA1135">
        <v>2.11</v>
      </c>
      <c r="CB1135">
        <v>0.03</v>
      </c>
      <c r="CC1135">
        <v>2.12</v>
      </c>
      <c r="CD1135">
        <v>1.8</v>
      </c>
      <c r="CE1135">
        <v>1.68</v>
      </c>
      <c r="CF1135">
        <v>1.4</v>
      </c>
      <c r="CG1135">
        <v>6.65</v>
      </c>
      <c r="CH1135">
        <v>-1.28</v>
      </c>
      <c r="CI1135">
        <v>0.57999999999999996</v>
      </c>
      <c r="CJ1135">
        <v>38881</v>
      </c>
      <c r="CK1135">
        <v>10930</v>
      </c>
      <c r="CL1135" t="s">
        <v>800</v>
      </c>
      <c r="CM1135">
        <v>-51.43</v>
      </c>
      <c r="CN1135">
        <v>35.31</v>
      </c>
      <c r="CO1135">
        <v>1.45</v>
      </c>
      <c r="CP1135">
        <v>-53.49</v>
      </c>
      <c r="CQ1135">
        <v>0.74</v>
      </c>
      <c r="CR1135">
        <v>0.73</v>
      </c>
      <c r="CS1135" t="s">
        <v>1297</v>
      </c>
      <c r="CT1135">
        <v>4.71</v>
      </c>
      <c r="CU1135">
        <v>0</v>
      </c>
      <c r="CV1135">
        <v>3</v>
      </c>
      <c r="CW1135">
        <v>0.66</v>
      </c>
      <c r="CX1135">
        <v>-0.13</v>
      </c>
      <c r="CY1135">
        <v>72.38</v>
      </c>
      <c r="CZ1135" t="s">
        <v>2717</v>
      </c>
      <c r="DA1135">
        <v>4.54</v>
      </c>
      <c r="DB1135">
        <v>2.2799999999999998</v>
      </c>
      <c r="DC1135">
        <v>1.8</v>
      </c>
      <c r="DD1135">
        <v>0.36</v>
      </c>
      <c r="DE1135">
        <v>961</v>
      </c>
      <c r="DF1135">
        <v>2685</v>
      </c>
      <c r="DG1135" t="s">
        <v>116</v>
      </c>
      <c r="DH1135" t="s">
        <v>116</v>
      </c>
      <c r="DI1135" t="s">
        <v>116</v>
      </c>
    </row>
    <row r="1136" spans="1:113" x14ac:dyDescent="0.4">
      <c r="A1136" t="str">
        <f>"002686"</f>
        <v>002686</v>
      </c>
      <c r="B1136" t="s">
        <v>6477</v>
      </c>
      <c r="C1136">
        <v>-1.26</v>
      </c>
      <c r="D1136">
        <v>6.27</v>
      </c>
      <c r="E1136">
        <v>-0.08</v>
      </c>
      <c r="F1136">
        <v>6.26</v>
      </c>
      <c r="G1136">
        <v>6.27</v>
      </c>
      <c r="H1136">
        <v>21337</v>
      </c>
      <c r="I1136">
        <v>551</v>
      </c>
      <c r="J1136">
        <v>0.16</v>
      </c>
      <c r="K1136">
        <v>0.63</v>
      </c>
      <c r="L1136">
        <v>6.38</v>
      </c>
      <c r="M1136">
        <v>6.38</v>
      </c>
      <c r="N1136">
        <v>6.23</v>
      </c>
      <c r="O1136">
        <v>6.35</v>
      </c>
      <c r="P1136">
        <v>89.03</v>
      </c>
      <c r="Q1136">
        <v>13416316</v>
      </c>
      <c r="R1136">
        <v>1.1100000000000001</v>
      </c>
      <c r="S1136" t="s">
        <v>682</v>
      </c>
      <c r="T1136" t="s">
        <v>590</v>
      </c>
      <c r="U1136">
        <v>2.36</v>
      </c>
      <c r="V1136">
        <v>6.29</v>
      </c>
      <c r="W1136">
        <v>13414</v>
      </c>
      <c r="X1136">
        <v>7923</v>
      </c>
      <c r="Y1136">
        <v>1.69</v>
      </c>
      <c r="Z1136">
        <v>391</v>
      </c>
      <c r="AA1136">
        <v>154</v>
      </c>
      <c r="AB1136" t="s">
        <v>116</v>
      </c>
      <c r="AC1136">
        <v>1300</v>
      </c>
      <c r="AD1136">
        <v>0</v>
      </c>
      <c r="AE1136" t="s">
        <v>116</v>
      </c>
      <c r="AF1136" t="s">
        <v>116</v>
      </c>
      <c r="AG1136">
        <v>3.41</v>
      </c>
      <c r="AH1136" t="s">
        <v>6478</v>
      </c>
      <c r="AI1136" t="s">
        <v>6479</v>
      </c>
      <c r="AJ1136">
        <v>-0.57999999999999996</v>
      </c>
      <c r="AK1136">
        <v>585</v>
      </c>
      <c r="AL1136">
        <v>36</v>
      </c>
      <c r="AM1136">
        <v>1.1000000000000001E-3</v>
      </c>
      <c r="AN1136">
        <v>-1</v>
      </c>
      <c r="AO1136">
        <v>0.32</v>
      </c>
      <c r="AP1136">
        <v>4.8499999999999996</v>
      </c>
      <c r="AQ1136">
        <v>-8.6</v>
      </c>
      <c r="AR1136">
        <v>-9.7799999999999994</v>
      </c>
      <c r="AS1136">
        <v>1.02</v>
      </c>
      <c r="AT1136" t="s">
        <v>6480</v>
      </c>
      <c r="AU1136" t="s">
        <v>116</v>
      </c>
      <c r="AV1136">
        <v>106.12</v>
      </c>
      <c r="AW1136">
        <v>0.83</v>
      </c>
      <c r="BA1136">
        <v>0.47</v>
      </c>
      <c r="BB1136">
        <v>0.47</v>
      </c>
      <c r="BC1136">
        <v>-1.89</v>
      </c>
      <c r="BD1136">
        <v>-0.98</v>
      </c>
      <c r="BE1136">
        <v>-1.72</v>
      </c>
      <c r="BF1136">
        <v>-1.72</v>
      </c>
      <c r="BG1136">
        <v>0.64</v>
      </c>
      <c r="BH1136">
        <v>-0.28000000000000003</v>
      </c>
      <c r="BI1136">
        <v>20191129</v>
      </c>
      <c r="BJ1136">
        <v>20120703</v>
      </c>
      <c r="BK1136">
        <v>4.3600000000000003</v>
      </c>
      <c r="BL1136" t="s">
        <v>116</v>
      </c>
      <c r="BM1136" t="s">
        <v>116</v>
      </c>
      <c r="BN1136">
        <v>36.119999999999997</v>
      </c>
      <c r="BO1136">
        <v>15.19</v>
      </c>
      <c r="BP1136">
        <v>3.16</v>
      </c>
      <c r="BQ1136">
        <v>49.2</v>
      </c>
      <c r="BR1136">
        <v>15.64</v>
      </c>
      <c r="BS1136">
        <v>7.19</v>
      </c>
      <c r="BT1136">
        <v>4.63</v>
      </c>
      <c r="BU1136">
        <v>14.86</v>
      </c>
      <c r="BV1136">
        <v>4.33</v>
      </c>
      <c r="BW1136">
        <v>4.7699999999999996</v>
      </c>
      <c r="BX1136">
        <v>5.05</v>
      </c>
      <c r="BY1136">
        <v>10.01</v>
      </c>
      <c r="BZ1136">
        <v>7.38</v>
      </c>
      <c r="CA1136">
        <v>-0.21</v>
      </c>
      <c r="CB1136">
        <v>0.01</v>
      </c>
      <c r="CC1136">
        <v>0.13</v>
      </c>
      <c r="CD1136">
        <v>0.13</v>
      </c>
      <c r="CE1136">
        <v>0.23</v>
      </c>
      <c r="CF1136">
        <v>-0.04</v>
      </c>
      <c r="CG1136">
        <v>5.3</v>
      </c>
      <c r="CH1136">
        <v>2.6</v>
      </c>
      <c r="CI1136">
        <v>-1.71</v>
      </c>
      <c r="CJ1136">
        <v>13984</v>
      </c>
      <c r="CK1136">
        <v>14979</v>
      </c>
      <c r="CL1136" t="s">
        <v>5785</v>
      </c>
      <c r="CM1136">
        <v>-70.069999999999993</v>
      </c>
      <c r="CN1136">
        <v>-8.35</v>
      </c>
      <c r="CO1136">
        <v>1.8</v>
      </c>
      <c r="CP1136">
        <v>10.5</v>
      </c>
      <c r="CQ1136">
        <v>2.73</v>
      </c>
      <c r="CR1136">
        <v>0.32</v>
      </c>
      <c r="CS1136" t="s">
        <v>170</v>
      </c>
      <c r="CT1136">
        <v>3.49</v>
      </c>
      <c r="CU1136">
        <v>0</v>
      </c>
      <c r="CV1136">
        <v>1.1599999999999999</v>
      </c>
      <c r="CW1136">
        <v>1.22</v>
      </c>
      <c r="CX1136">
        <v>0.6</v>
      </c>
      <c r="CY1136">
        <v>42.06</v>
      </c>
      <c r="CZ1136" t="s">
        <v>6481</v>
      </c>
      <c r="DA1136">
        <v>26.25</v>
      </c>
      <c r="DB1136">
        <v>-2.1</v>
      </c>
      <c r="DC1136">
        <v>2.2999999999999998</v>
      </c>
      <c r="DD1136">
        <v>0.56000000000000005</v>
      </c>
      <c r="DE1136">
        <v>2734</v>
      </c>
      <c r="DF1136">
        <v>2686</v>
      </c>
      <c r="DG1136" t="s">
        <v>116</v>
      </c>
      <c r="DH1136" t="s">
        <v>116</v>
      </c>
      <c r="DI1136" t="s">
        <v>116</v>
      </c>
    </row>
    <row r="1137" spans="1:113" x14ac:dyDescent="0.4">
      <c r="A1137" t="str">
        <f>"002687"</f>
        <v>002687</v>
      </c>
      <c r="B1137" t="s">
        <v>6482</v>
      </c>
      <c r="C1137">
        <v>0</v>
      </c>
      <c r="D1137">
        <v>5.76</v>
      </c>
      <c r="E1137">
        <v>0</v>
      </c>
      <c r="F1137">
        <v>5.76</v>
      </c>
      <c r="G1137">
        <v>5.77</v>
      </c>
      <c r="H1137">
        <v>59970</v>
      </c>
      <c r="I1137">
        <v>776</v>
      </c>
      <c r="J1137">
        <v>-0.51</v>
      </c>
      <c r="K1137">
        <v>2.04</v>
      </c>
      <c r="L1137">
        <v>5.76</v>
      </c>
      <c r="M1137">
        <v>5.95</v>
      </c>
      <c r="N1137">
        <v>5.74</v>
      </c>
      <c r="O1137">
        <v>5.76</v>
      </c>
      <c r="P1137">
        <v>19.27</v>
      </c>
      <c r="Q1137">
        <v>34991384</v>
      </c>
      <c r="R1137">
        <v>2.4700000000000002</v>
      </c>
      <c r="S1137" t="s">
        <v>3070</v>
      </c>
      <c r="T1137" t="s">
        <v>590</v>
      </c>
      <c r="U1137">
        <v>3.65</v>
      </c>
      <c r="V1137">
        <v>5.83</v>
      </c>
      <c r="W1137">
        <v>26180</v>
      </c>
      <c r="X1137">
        <v>33790</v>
      </c>
      <c r="Y1137">
        <v>0.77</v>
      </c>
      <c r="Z1137">
        <v>354</v>
      </c>
      <c r="AA1137">
        <v>34</v>
      </c>
      <c r="AB1137" t="s">
        <v>116</v>
      </c>
      <c r="AC1137">
        <v>61100</v>
      </c>
      <c r="AD1137">
        <v>0</v>
      </c>
      <c r="AE1137" t="s">
        <v>116</v>
      </c>
      <c r="AF1137" t="s">
        <v>116</v>
      </c>
      <c r="AG1137">
        <v>2.94</v>
      </c>
      <c r="AH1137" t="s">
        <v>6483</v>
      </c>
      <c r="AI1137" t="s">
        <v>6484</v>
      </c>
      <c r="AJ1137">
        <v>0.68</v>
      </c>
      <c r="AK1137">
        <v>936</v>
      </c>
      <c r="AL1137">
        <v>64</v>
      </c>
      <c r="AM1137">
        <v>2.2000000000000001E-3</v>
      </c>
      <c r="AN1137">
        <v>0</v>
      </c>
      <c r="AO1137">
        <v>1.05</v>
      </c>
      <c r="AP1137">
        <v>5.3</v>
      </c>
      <c r="AQ1137">
        <v>1.05</v>
      </c>
      <c r="AR1137">
        <v>-4.6399999999999997</v>
      </c>
      <c r="AS1137">
        <v>2.81</v>
      </c>
      <c r="AT1137" t="s">
        <v>6485</v>
      </c>
      <c r="AU1137">
        <v>15.22</v>
      </c>
      <c r="AV1137">
        <v>17.84</v>
      </c>
      <c r="AW1137">
        <v>0.73</v>
      </c>
      <c r="BA1137">
        <v>0</v>
      </c>
      <c r="BB1137">
        <v>3.3</v>
      </c>
      <c r="BC1137">
        <v>-0.35</v>
      </c>
      <c r="BD1137">
        <v>1.3</v>
      </c>
      <c r="BE1137">
        <v>0</v>
      </c>
      <c r="BF1137">
        <v>-3.19</v>
      </c>
      <c r="BG1137">
        <v>0.35</v>
      </c>
      <c r="BH1137">
        <v>-1.3</v>
      </c>
      <c r="BI1137">
        <v>20191212</v>
      </c>
      <c r="BJ1137">
        <v>20120713</v>
      </c>
      <c r="BK1137">
        <v>3.5</v>
      </c>
      <c r="BL1137" t="s">
        <v>116</v>
      </c>
      <c r="BM1137" t="s">
        <v>116</v>
      </c>
      <c r="BN1137">
        <v>14.78</v>
      </c>
      <c r="BO1137">
        <v>10.67</v>
      </c>
      <c r="BP1137">
        <v>0.37</v>
      </c>
      <c r="BQ1137">
        <v>25.28</v>
      </c>
      <c r="BR1137">
        <v>7.68</v>
      </c>
      <c r="BS1137">
        <v>4.6500000000000004</v>
      </c>
      <c r="BT1137">
        <v>0.98</v>
      </c>
      <c r="BU1137">
        <v>3.42</v>
      </c>
      <c r="BV1137">
        <v>3.31</v>
      </c>
      <c r="BW1137">
        <v>2.65</v>
      </c>
      <c r="BX1137">
        <v>3.29</v>
      </c>
      <c r="BY1137">
        <v>7.37</v>
      </c>
      <c r="BZ1137">
        <v>3.62</v>
      </c>
      <c r="CA1137">
        <v>1.1000000000000001</v>
      </c>
      <c r="CB1137">
        <v>0</v>
      </c>
      <c r="CC1137">
        <v>1.05</v>
      </c>
      <c r="CD1137">
        <v>0.8</v>
      </c>
      <c r="CE1137">
        <v>0.78</v>
      </c>
      <c r="CF1137">
        <v>0.75</v>
      </c>
      <c r="CG1137">
        <v>2.99</v>
      </c>
      <c r="CH1137">
        <v>-0.86</v>
      </c>
      <c r="CI1137">
        <v>-1.97</v>
      </c>
      <c r="CJ1137">
        <v>20923</v>
      </c>
      <c r="CK1137">
        <v>10198</v>
      </c>
      <c r="CL1137" t="s">
        <v>1011</v>
      </c>
      <c r="CM1137">
        <v>32.97</v>
      </c>
      <c r="CN1137">
        <v>13.71</v>
      </c>
      <c r="CO1137">
        <v>1.89</v>
      </c>
      <c r="CP1137">
        <v>-23.31</v>
      </c>
      <c r="CQ1137">
        <v>2.74</v>
      </c>
      <c r="CR1137">
        <v>2.6</v>
      </c>
      <c r="CS1137" t="s">
        <v>6486</v>
      </c>
      <c r="CT1137">
        <v>3.05</v>
      </c>
      <c r="CU1137">
        <v>0</v>
      </c>
      <c r="CV1137">
        <v>0.94</v>
      </c>
      <c r="CW1137">
        <v>0.86</v>
      </c>
      <c r="CX1137">
        <v>-0.25</v>
      </c>
      <c r="CY1137">
        <v>72.19</v>
      </c>
      <c r="CZ1137" t="s">
        <v>2482</v>
      </c>
      <c r="DA1137">
        <v>50.82</v>
      </c>
      <c r="DB1137">
        <v>14.97</v>
      </c>
      <c r="DC1137">
        <v>10.65</v>
      </c>
      <c r="DD1137">
        <v>0.26</v>
      </c>
      <c r="DE1137">
        <v>3721</v>
      </c>
      <c r="DF1137">
        <v>2687</v>
      </c>
      <c r="DG1137" t="s">
        <v>116</v>
      </c>
      <c r="DH1137" t="s">
        <v>116</v>
      </c>
      <c r="DI1137" t="s">
        <v>116</v>
      </c>
    </row>
    <row r="1138" spans="1:113" x14ac:dyDescent="0.4">
      <c r="A1138" t="str">
        <f>"002688"</f>
        <v>002688</v>
      </c>
      <c r="B1138" t="s">
        <v>6487</v>
      </c>
      <c r="C1138">
        <v>-0.17</v>
      </c>
      <c r="D1138">
        <v>5.99</v>
      </c>
      <c r="E1138">
        <v>-0.01</v>
      </c>
      <c r="F1138">
        <v>5.99</v>
      </c>
      <c r="G1138">
        <v>6</v>
      </c>
      <c r="H1138">
        <v>93901</v>
      </c>
      <c r="I1138">
        <v>827</v>
      </c>
      <c r="J1138">
        <v>0.17</v>
      </c>
      <c r="K1138">
        <v>1.51</v>
      </c>
      <c r="L1138">
        <v>6.02</v>
      </c>
      <c r="M1138">
        <v>6.14</v>
      </c>
      <c r="N1138">
        <v>5.94</v>
      </c>
      <c r="O1138">
        <v>6</v>
      </c>
      <c r="P1138">
        <v>19.920000000000002</v>
      </c>
      <c r="Q1138">
        <v>56687848</v>
      </c>
      <c r="R1138">
        <v>0.46</v>
      </c>
      <c r="S1138" t="s">
        <v>574</v>
      </c>
      <c r="T1138" t="s">
        <v>796</v>
      </c>
      <c r="U1138">
        <v>3.33</v>
      </c>
      <c r="V1138">
        <v>6.04</v>
      </c>
      <c r="W1138">
        <v>45652</v>
      </c>
      <c r="X1138">
        <v>48249</v>
      </c>
      <c r="Y1138">
        <v>0.95</v>
      </c>
      <c r="Z1138">
        <v>255</v>
      </c>
      <c r="AA1138">
        <v>616</v>
      </c>
      <c r="AB1138" t="s">
        <v>116</v>
      </c>
      <c r="AC1138">
        <v>290800</v>
      </c>
      <c r="AD1138">
        <v>0.02</v>
      </c>
      <c r="AE1138" t="s">
        <v>116</v>
      </c>
      <c r="AF1138" t="s">
        <v>116</v>
      </c>
      <c r="AG1138">
        <v>6.23</v>
      </c>
      <c r="AH1138" t="s">
        <v>1268</v>
      </c>
      <c r="AI1138" t="s">
        <v>420</v>
      </c>
      <c r="AJ1138">
        <v>0.51</v>
      </c>
      <c r="AK1138">
        <v>1921</v>
      </c>
      <c r="AL1138">
        <v>49</v>
      </c>
      <c r="AM1138">
        <v>8.0000000000000004E-4</v>
      </c>
      <c r="AN1138">
        <v>-2</v>
      </c>
      <c r="AO1138">
        <v>-1.64</v>
      </c>
      <c r="AP1138">
        <v>14.53</v>
      </c>
      <c r="AQ1138">
        <v>4.72</v>
      </c>
      <c r="AR1138">
        <v>42.28</v>
      </c>
      <c r="AS1138">
        <v>3.05</v>
      </c>
      <c r="AT1138" t="s">
        <v>6488</v>
      </c>
      <c r="AU1138">
        <v>21.38</v>
      </c>
      <c r="AV1138">
        <v>23.26</v>
      </c>
      <c r="AW1138">
        <v>0.55000000000000004</v>
      </c>
      <c r="BA1138">
        <v>0.33</v>
      </c>
      <c r="BB1138">
        <v>2.33</v>
      </c>
      <c r="BC1138">
        <v>-1</v>
      </c>
      <c r="BD1138">
        <v>0.62</v>
      </c>
      <c r="BE1138">
        <v>-0.5</v>
      </c>
      <c r="BF1138">
        <v>-2.44</v>
      </c>
      <c r="BG1138">
        <v>0.84</v>
      </c>
      <c r="BH1138">
        <v>-0.78</v>
      </c>
      <c r="BI1138">
        <v>20191022</v>
      </c>
      <c r="BJ1138">
        <v>20120713</v>
      </c>
      <c r="BK1138">
        <v>6.35</v>
      </c>
      <c r="BL1138" t="s">
        <v>116</v>
      </c>
      <c r="BM1138" t="s">
        <v>116</v>
      </c>
      <c r="BN1138">
        <v>33.47</v>
      </c>
      <c r="BO1138">
        <v>16.68</v>
      </c>
      <c r="BP1138">
        <v>1</v>
      </c>
      <c r="BQ1138">
        <v>47.15</v>
      </c>
      <c r="BR1138">
        <v>12.44</v>
      </c>
      <c r="BS1138">
        <v>8.17</v>
      </c>
      <c r="BT1138">
        <v>7.03</v>
      </c>
      <c r="BU1138">
        <v>11.58</v>
      </c>
      <c r="BV1138">
        <v>3.92</v>
      </c>
      <c r="BW1138">
        <v>2.77</v>
      </c>
      <c r="BX1138">
        <v>4.45</v>
      </c>
      <c r="BY1138">
        <v>12.49</v>
      </c>
      <c r="BZ1138">
        <v>7.61</v>
      </c>
      <c r="CA1138">
        <v>1.78</v>
      </c>
      <c r="CB1138">
        <v>0</v>
      </c>
      <c r="CC1138">
        <v>1.78</v>
      </c>
      <c r="CD1138">
        <v>1.43</v>
      </c>
      <c r="CE1138">
        <v>1.43</v>
      </c>
      <c r="CF1138">
        <v>1.36</v>
      </c>
      <c r="CG1138">
        <v>4.79</v>
      </c>
      <c r="CH1138">
        <v>2.29</v>
      </c>
      <c r="CI1138">
        <v>-0.78</v>
      </c>
      <c r="CJ1138">
        <v>35282</v>
      </c>
      <c r="CK1138">
        <v>8725</v>
      </c>
      <c r="CL1138" t="s">
        <v>6489</v>
      </c>
      <c r="CM1138">
        <v>11.14</v>
      </c>
      <c r="CN1138">
        <v>12.39</v>
      </c>
      <c r="CO1138">
        <v>2.2799999999999998</v>
      </c>
      <c r="CP1138">
        <v>16.61</v>
      </c>
      <c r="CQ1138">
        <v>3.05</v>
      </c>
      <c r="CR1138">
        <v>4.17</v>
      </c>
      <c r="CS1138" t="s">
        <v>3375</v>
      </c>
      <c r="CT1138">
        <v>2.63</v>
      </c>
      <c r="CU1138">
        <v>0</v>
      </c>
      <c r="CV1138">
        <v>0.7</v>
      </c>
      <c r="CW1138">
        <v>0.75</v>
      </c>
      <c r="CX1138">
        <v>0.36</v>
      </c>
      <c r="CY1138">
        <v>49.85</v>
      </c>
      <c r="CZ1138" t="s">
        <v>5111</v>
      </c>
      <c r="DA1138">
        <v>39.090000000000003</v>
      </c>
      <c r="DB1138">
        <v>14.24</v>
      </c>
      <c r="DC1138">
        <v>11.47</v>
      </c>
      <c r="DD1138">
        <v>0.44</v>
      </c>
      <c r="DE1138">
        <v>2168</v>
      </c>
      <c r="DF1138">
        <v>2688</v>
      </c>
      <c r="DG1138" t="s">
        <v>116</v>
      </c>
      <c r="DH1138" t="s">
        <v>116</v>
      </c>
      <c r="DI1138" t="s">
        <v>116</v>
      </c>
    </row>
    <row r="1139" spans="1:113" x14ac:dyDescent="0.4">
      <c r="A1139" t="str">
        <f>"002689"</f>
        <v>002689</v>
      </c>
      <c r="B1139" t="s">
        <v>6490</v>
      </c>
      <c r="C1139">
        <v>-1.0900000000000001</v>
      </c>
      <c r="D1139">
        <v>3.62</v>
      </c>
      <c r="E1139">
        <v>-0.04</v>
      </c>
      <c r="F1139">
        <v>3.62</v>
      </c>
      <c r="G1139">
        <v>3.63</v>
      </c>
      <c r="H1139">
        <v>40159</v>
      </c>
      <c r="I1139">
        <v>408</v>
      </c>
      <c r="J1139">
        <v>0</v>
      </c>
      <c r="K1139">
        <v>0.39</v>
      </c>
      <c r="L1139">
        <v>3.68</v>
      </c>
      <c r="M1139">
        <v>3.69</v>
      </c>
      <c r="N1139">
        <v>3.61</v>
      </c>
      <c r="O1139">
        <v>3.66</v>
      </c>
      <c r="P1139" t="s">
        <v>116</v>
      </c>
      <c r="Q1139">
        <v>14657182</v>
      </c>
      <c r="R1139">
        <v>0.96</v>
      </c>
      <c r="S1139" t="s">
        <v>164</v>
      </c>
      <c r="T1139" t="s">
        <v>434</v>
      </c>
      <c r="U1139">
        <v>2.19</v>
      </c>
      <c r="V1139">
        <v>3.65</v>
      </c>
      <c r="W1139">
        <v>29143</v>
      </c>
      <c r="X1139">
        <v>11016</v>
      </c>
      <c r="Y1139">
        <v>2.65</v>
      </c>
      <c r="Z1139">
        <v>321</v>
      </c>
      <c r="AA1139">
        <v>884</v>
      </c>
      <c r="AB1139" t="s">
        <v>116</v>
      </c>
      <c r="AC1139">
        <v>61100</v>
      </c>
      <c r="AD1139">
        <v>0</v>
      </c>
      <c r="AE1139" t="s">
        <v>116</v>
      </c>
      <c r="AF1139" t="s">
        <v>116</v>
      </c>
      <c r="AG1139">
        <v>10.41</v>
      </c>
      <c r="AH1139" t="s">
        <v>6491</v>
      </c>
      <c r="AI1139" t="s">
        <v>5870</v>
      </c>
      <c r="AJ1139">
        <v>-0.41</v>
      </c>
      <c r="AK1139">
        <v>683</v>
      </c>
      <c r="AL1139">
        <v>59</v>
      </c>
      <c r="AM1139">
        <v>5.9999999999999995E-4</v>
      </c>
      <c r="AN1139">
        <v>-1</v>
      </c>
      <c r="AO1139">
        <v>-0.27</v>
      </c>
      <c r="AP1139">
        <v>5.23</v>
      </c>
      <c r="AQ1139">
        <v>-10.4</v>
      </c>
      <c r="AR1139">
        <v>10.7</v>
      </c>
      <c r="AS1139">
        <v>0.92</v>
      </c>
      <c r="AT1139" t="s">
        <v>6492</v>
      </c>
      <c r="AU1139" t="s">
        <v>116</v>
      </c>
      <c r="AV1139">
        <v>403.76</v>
      </c>
      <c r="AW1139">
        <v>1.0900000000000001</v>
      </c>
      <c r="BA1139">
        <v>0.55000000000000004</v>
      </c>
      <c r="BB1139">
        <v>0.82</v>
      </c>
      <c r="BC1139">
        <v>-1.37</v>
      </c>
      <c r="BD1139">
        <v>-0.28000000000000003</v>
      </c>
      <c r="BE1139">
        <v>-1.63</v>
      </c>
      <c r="BF1139">
        <v>-1.9</v>
      </c>
      <c r="BG1139">
        <v>0.28000000000000003</v>
      </c>
      <c r="BH1139">
        <v>-0.81</v>
      </c>
      <c r="BI1139">
        <v>20191023</v>
      </c>
      <c r="BJ1139">
        <v>20120717</v>
      </c>
      <c r="BK1139">
        <v>10.43</v>
      </c>
      <c r="BL1139" t="s">
        <v>116</v>
      </c>
      <c r="BM1139" t="s">
        <v>116</v>
      </c>
      <c r="BN1139">
        <v>22.38</v>
      </c>
      <c r="BO1139">
        <v>13.22</v>
      </c>
      <c r="BP1139">
        <v>-0.05</v>
      </c>
      <c r="BQ1139">
        <v>41.17</v>
      </c>
      <c r="BR1139">
        <v>13.59</v>
      </c>
      <c r="BS1139">
        <v>4.3600000000000003</v>
      </c>
      <c r="BT1139">
        <v>2.63</v>
      </c>
      <c r="BU1139">
        <v>7.47</v>
      </c>
      <c r="BV1139">
        <v>3.18</v>
      </c>
      <c r="BW1139">
        <v>7.66</v>
      </c>
      <c r="BX1139">
        <v>0.24</v>
      </c>
      <c r="BY1139">
        <v>6.26</v>
      </c>
      <c r="BZ1139">
        <v>4.43</v>
      </c>
      <c r="CA1139">
        <v>-0.49</v>
      </c>
      <c r="CB1139">
        <v>0</v>
      </c>
      <c r="CC1139">
        <v>-0.49</v>
      </c>
      <c r="CD1139">
        <v>-0.5</v>
      </c>
      <c r="CE1139">
        <v>-0.49</v>
      </c>
      <c r="CF1139">
        <v>-0.62</v>
      </c>
      <c r="CG1139">
        <v>1.73</v>
      </c>
      <c r="CH1139">
        <v>-0.53</v>
      </c>
      <c r="CI1139">
        <v>-0.73</v>
      </c>
      <c r="CJ1139">
        <v>61567</v>
      </c>
      <c r="CK1139">
        <v>7053</v>
      </c>
      <c r="CL1139" t="s">
        <v>1236</v>
      </c>
      <c r="CM1139">
        <v>-255.01</v>
      </c>
      <c r="CN1139">
        <v>-13.59</v>
      </c>
      <c r="CO1139">
        <v>2.86</v>
      </c>
      <c r="CP1139">
        <v>-70.790000000000006</v>
      </c>
      <c r="CQ1139">
        <v>6.04</v>
      </c>
      <c r="CR1139">
        <v>0</v>
      </c>
      <c r="CS1139" t="s">
        <v>1157</v>
      </c>
      <c r="CT1139">
        <v>1.27</v>
      </c>
      <c r="CU1139">
        <v>0</v>
      </c>
      <c r="CV1139">
        <v>0.02</v>
      </c>
      <c r="CW1139">
        <v>0.17</v>
      </c>
      <c r="CX1139">
        <v>-0.05</v>
      </c>
      <c r="CY1139">
        <v>59.06</v>
      </c>
      <c r="CZ1139" t="s">
        <v>6493</v>
      </c>
      <c r="DA1139">
        <v>29.18</v>
      </c>
      <c r="DB1139">
        <v>-7.88</v>
      </c>
      <c r="DC1139">
        <v>-7.91</v>
      </c>
      <c r="DD1139">
        <v>0.31</v>
      </c>
      <c r="DE1139">
        <v>1740</v>
      </c>
      <c r="DF1139">
        <v>2689</v>
      </c>
      <c r="DG1139" t="s">
        <v>116</v>
      </c>
      <c r="DH1139" t="s">
        <v>116</v>
      </c>
      <c r="DI1139" t="s">
        <v>116</v>
      </c>
    </row>
    <row r="1140" spans="1:113" x14ac:dyDescent="0.4">
      <c r="A1140" t="str">
        <f>"002690"</f>
        <v>002690</v>
      </c>
      <c r="B1140" t="s">
        <v>6494</v>
      </c>
      <c r="C1140">
        <v>-0.1</v>
      </c>
      <c r="D1140">
        <v>38.06</v>
      </c>
      <c r="E1140">
        <v>-0.04</v>
      </c>
      <c r="F1140">
        <v>38.06</v>
      </c>
      <c r="G1140">
        <v>38.07</v>
      </c>
      <c r="H1140">
        <v>31281</v>
      </c>
      <c r="I1140">
        <v>326</v>
      </c>
      <c r="J1140">
        <v>0</v>
      </c>
      <c r="K1140">
        <v>0.95</v>
      </c>
      <c r="L1140">
        <v>38</v>
      </c>
      <c r="M1140">
        <v>38.549999999999997</v>
      </c>
      <c r="N1140">
        <v>37.700000000000003</v>
      </c>
      <c r="O1140">
        <v>38.1</v>
      </c>
      <c r="P1140">
        <v>48.08</v>
      </c>
      <c r="Q1140">
        <v>119170080</v>
      </c>
      <c r="R1140">
        <v>0.84</v>
      </c>
      <c r="S1140" t="s">
        <v>682</v>
      </c>
      <c r="T1140" t="s">
        <v>575</v>
      </c>
      <c r="U1140">
        <v>2.23</v>
      </c>
      <c r="V1140">
        <v>38.1</v>
      </c>
      <c r="W1140">
        <v>16923</v>
      </c>
      <c r="X1140">
        <v>14358</v>
      </c>
      <c r="Y1140">
        <v>1.18</v>
      </c>
      <c r="Z1140">
        <v>16</v>
      </c>
      <c r="AA1140">
        <v>1</v>
      </c>
      <c r="AB1140" t="s">
        <v>116</v>
      </c>
      <c r="AC1140">
        <v>547600</v>
      </c>
      <c r="AD1140">
        <v>0.01</v>
      </c>
      <c r="AE1140" t="s">
        <v>116</v>
      </c>
      <c r="AF1140" t="s">
        <v>116</v>
      </c>
      <c r="AG1140">
        <v>3.28</v>
      </c>
      <c r="AH1140" t="s">
        <v>6495</v>
      </c>
      <c r="AI1140" t="s">
        <v>6496</v>
      </c>
      <c r="AJ1140">
        <v>0.56999999999999995</v>
      </c>
      <c r="AK1140">
        <v>2547</v>
      </c>
      <c r="AL1140">
        <v>12</v>
      </c>
      <c r="AM1140">
        <v>4.0000000000000002E-4</v>
      </c>
      <c r="AN1140">
        <v>-3</v>
      </c>
      <c r="AO1140">
        <v>-3.52</v>
      </c>
      <c r="AP1140">
        <v>2.0099999999999998</v>
      </c>
      <c r="AQ1140">
        <v>11.94</v>
      </c>
      <c r="AR1140">
        <v>84.94</v>
      </c>
      <c r="AS1140">
        <v>1.4</v>
      </c>
      <c r="AT1140" t="s">
        <v>6497</v>
      </c>
      <c r="AU1140">
        <v>48.6</v>
      </c>
      <c r="AV1140">
        <v>57.44</v>
      </c>
      <c r="AW1140">
        <v>1.18</v>
      </c>
      <c r="BA1140">
        <v>-0.26</v>
      </c>
      <c r="BB1140">
        <v>1.18</v>
      </c>
      <c r="BC1140">
        <v>-1.05</v>
      </c>
      <c r="BD1140">
        <v>-0.01</v>
      </c>
      <c r="BE1140">
        <v>0.16</v>
      </c>
      <c r="BF1140">
        <v>-1.27</v>
      </c>
      <c r="BG1140">
        <v>0.95</v>
      </c>
      <c r="BH1140">
        <v>-0.1</v>
      </c>
      <c r="BI1140">
        <v>20191224</v>
      </c>
      <c r="BJ1140">
        <v>20120731</v>
      </c>
      <c r="BK1140">
        <v>6.76</v>
      </c>
      <c r="BL1140" t="s">
        <v>116</v>
      </c>
      <c r="BM1140" t="s">
        <v>116</v>
      </c>
      <c r="BN1140">
        <v>26.16</v>
      </c>
      <c r="BO1140">
        <v>22.4</v>
      </c>
      <c r="BP1140">
        <v>0</v>
      </c>
      <c r="BQ1140">
        <v>14.38</v>
      </c>
      <c r="BR1140">
        <v>22.11</v>
      </c>
      <c r="BS1140">
        <v>2.06</v>
      </c>
      <c r="BT1140">
        <v>0.57999999999999996</v>
      </c>
      <c r="BU1140">
        <v>3.2</v>
      </c>
      <c r="BV1140">
        <v>1.58</v>
      </c>
      <c r="BW1140">
        <v>2.37</v>
      </c>
      <c r="BX1140">
        <v>3.97</v>
      </c>
      <c r="BY1140">
        <v>10.5</v>
      </c>
      <c r="BZ1140">
        <v>4.67</v>
      </c>
      <c r="CA1140">
        <v>4.67</v>
      </c>
      <c r="CB1140">
        <v>0.48</v>
      </c>
      <c r="CC1140">
        <v>4.67</v>
      </c>
      <c r="CD1140">
        <v>4.01</v>
      </c>
      <c r="CE1140">
        <v>4.01</v>
      </c>
      <c r="CF1140">
        <v>3.41</v>
      </c>
      <c r="CG1140">
        <v>7.68</v>
      </c>
      <c r="CH1140">
        <v>3.04</v>
      </c>
      <c r="CI1140">
        <v>3.04</v>
      </c>
      <c r="CJ1140">
        <v>17186</v>
      </c>
      <c r="CK1140">
        <v>13036</v>
      </c>
      <c r="CL1140" t="s">
        <v>6498</v>
      </c>
      <c r="CM1140">
        <v>25.46</v>
      </c>
      <c r="CN1140">
        <v>21.99</v>
      </c>
      <c r="CO1140">
        <v>11.49</v>
      </c>
      <c r="CP1140">
        <v>84.5</v>
      </c>
      <c r="CQ1140">
        <v>24.51</v>
      </c>
      <c r="CR1140">
        <v>1.84</v>
      </c>
      <c r="CS1140" t="s">
        <v>6499</v>
      </c>
      <c r="CT1140">
        <v>3.31</v>
      </c>
      <c r="CU1140">
        <v>0</v>
      </c>
      <c r="CV1140">
        <v>0.59</v>
      </c>
      <c r="CW1140">
        <v>1.1399999999999999</v>
      </c>
      <c r="CX1140">
        <v>0.45</v>
      </c>
      <c r="CY1140">
        <v>85.62</v>
      </c>
      <c r="CZ1140" t="s">
        <v>6500</v>
      </c>
      <c r="DA1140">
        <v>55.52</v>
      </c>
      <c r="DB1140">
        <v>44.47</v>
      </c>
      <c r="DC1140">
        <v>38.229999999999997</v>
      </c>
      <c r="DD1140">
        <v>0.55000000000000004</v>
      </c>
      <c r="DE1140">
        <v>1118</v>
      </c>
      <c r="DF1140">
        <v>2690</v>
      </c>
      <c r="DG1140" t="s">
        <v>116</v>
      </c>
      <c r="DH1140" t="s">
        <v>116</v>
      </c>
      <c r="DI1140" t="s">
        <v>116</v>
      </c>
    </row>
    <row r="1141" spans="1:113" x14ac:dyDescent="0.4">
      <c r="A1141" t="str">
        <f>"002691"</f>
        <v>002691</v>
      </c>
      <c r="B1141" t="s">
        <v>6501</v>
      </c>
      <c r="C1141">
        <v>-0.34</v>
      </c>
      <c r="D1141">
        <v>5.9</v>
      </c>
      <c r="E1141">
        <v>-0.02</v>
      </c>
      <c r="F1141">
        <v>5.9</v>
      </c>
      <c r="G1141">
        <v>5.91</v>
      </c>
      <c r="H1141">
        <v>18821</v>
      </c>
      <c r="I1141">
        <v>265</v>
      </c>
      <c r="J1141">
        <v>-0.16</v>
      </c>
      <c r="K1141">
        <v>0.56000000000000005</v>
      </c>
      <c r="L1141">
        <v>5.92</v>
      </c>
      <c r="M1141">
        <v>5.99</v>
      </c>
      <c r="N1141">
        <v>5.9</v>
      </c>
      <c r="O1141">
        <v>5.92</v>
      </c>
      <c r="P1141">
        <v>111.76</v>
      </c>
      <c r="Q1141">
        <v>11196106</v>
      </c>
      <c r="R1141">
        <v>1.1399999999999999</v>
      </c>
      <c r="S1141" t="s">
        <v>682</v>
      </c>
      <c r="T1141" t="s">
        <v>608</v>
      </c>
      <c r="U1141">
        <v>1.52</v>
      </c>
      <c r="V1141">
        <v>5.95</v>
      </c>
      <c r="W1141">
        <v>10132</v>
      </c>
      <c r="X1141">
        <v>8689</v>
      </c>
      <c r="Y1141">
        <v>1.17</v>
      </c>
      <c r="Z1141">
        <v>668</v>
      </c>
      <c r="AA1141">
        <v>201</v>
      </c>
      <c r="AB1141" t="s">
        <v>116</v>
      </c>
      <c r="AC1141">
        <v>37900</v>
      </c>
      <c r="AD1141">
        <v>0.01</v>
      </c>
      <c r="AE1141" t="s">
        <v>116</v>
      </c>
      <c r="AF1141" t="s">
        <v>116</v>
      </c>
      <c r="AG1141">
        <v>3.39</v>
      </c>
      <c r="AH1141" t="s">
        <v>5928</v>
      </c>
      <c r="AI1141" t="s">
        <v>885</v>
      </c>
      <c r="AJ1141">
        <v>0.34</v>
      </c>
      <c r="AK1141">
        <v>688</v>
      </c>
      <c r="AL1141">
        <v>27</v>
      </c>
      <c r="AM1141">
        <v>8.0000000000000004E-4</v>
      </c>
      <c r="AN1141">
        <v>-1</v>
      </c>
      <c r="AO1141">
        <v>-0.34</v>
      </c>
      <c r="AP1141">
        <v>1.9</v>
      </c>
      <c r="AQ1141">
        <v>-4.84</v>
      </c>
      <c r="AR1141">
        <v>-20.09</v>
      </c>
      <c r="AS1141">
        <v>1.94</v>
      </c>
      <c r="AT1141" t="s">
        <v>6502</v>
      </c>
      <c r="AU1141">
        <v>119.42</v>
      </c>
      <c r="AV1141">
        <v>133.13999999999999</v>
      </c>
      <c r="AW1141">
        <v>0.57999999999999996</v>
      </c>
      <c r="BA1141">
        <v>0</v>
      </c>
      <c r="BB1141">
        <v>1.18</v>
      </c>
      <c r="BC1141">
        <v>-0.34</v>
      </c>
      <c r="BD1141">
        <v>0.49</v>
      </c>
      <c r="BE1141">
        <v>-0.34</v>
      </c>
      <c r="BF1141">
        <v>-1.5</v>
      </c>
      <c r="BG1141">
        <v>0</v>
      </c>
      <c r="BH1141">
        <v>-0.82</v>
      </c>
      <c r="BI1141">
        <v>20191023</v>
      </c>
      <c r="BJ1141">
        <v>20120731</v>
      </c>
      <c r="BK1141">
        <v>3.4</v>
      </c>
      <c r="BL1141" t="s">
        <v>116</v>
      </c>
      <c r="BM1141" t="s">
        <v>116</v>
      </c>
      <c r="BN1141">
        <v>11.02</v>
      </c>
      <c r="BO1141">
        <v>8.9</v>
      </c>
      <c r="BP1141">
        <v>0</v>
      </c>
      <c r="BQ1141">
        <v>19.25</v>
      </c>
      <c r="BR1141">
        <v>6.76</v>
      </c>
      <c r="BS1141">
        <v>2.35</v>
      </c>
      <c r="BT1141">
        <v>0.94</v>
      </c>
      <c r="BU1141">
        <v>1.57</v>
      </c>
      <c r="BV1141">
        <v>2.64</v>
      </c>
      <c r="BW1141">
        <v>3.36</v>
      </c>
      <c r="BX1141">
        <v>3.02</v>
      </c>
      <c r="BY1141">
        <v>2.57</v>
      </c>
      <c r="BZ1141">
        <v>1.5</v>
      </c>
      <c r="CA1141">
        <v>0.16</v>
      </c>
      <c r="CB1141">
        <v>0</v>
      </c>
      <c r="CC1141">
        <v>0.18</v>
      </c>
      <c r="CD1141">
        <v>0.13</v>
      </c>
      <c r="CE1141">
        <v>0.13</v>
      </c>
      <c r="CF1141">
        <v>0.08</v>
      </c>
      <c r="CG1141">
        <v>2.14</v>
      </c>
      <c r="CH1141">
        <v>-0.31</v>
      </c>
      <c r="CI1141">
        <v>-0.22</v>
      </c>
      <c r="CJ1141">
        <v>15498</v>
      </c>
      <c r="CK1141">
        <v>6261</v>
      </c>
      <c r="CL1141" t="s">
        <v>1380</v>
      </c>
      <c r="CM1141">
        <v>14.76</v>
      </c>
      <c r="CN1141">
        <v>-6.02</v>
      </c>
      <c r="CO1141">
        <v>2.2599999999999998</v>
      </c>
      <c r="CP1141">
        <v>-65.709999999999994</v>
      </c>
      <c r="CQ1141">
        <v>7.82</v>
      </c>
      <c r="CR1141">
        <v>0.12</v>
      </c>
      <c r="CS1141" t="s">
        <v>778</v>
      </c>
      <c r="CT1141">
        <v>2.62</v>
      </c>
      <c r="CU1141">
        <v>0</v>
      </c>
      <c r="CV1141">
        <v>0.89</v>
      </c>
      <c r="CW1141">
        <v>0.63</v>
      </c>
      <c r="CX1141">
        <v>-0.09</v>
      </c>
      <c r="CY1141">
        <v>80.75</v>
      </c>
      <c r="CZ1141" t="s">
        <v>6481</v>
      </c>
      <c r="DA1141">
        <v>41.52</v>
      </c>
      <c r="DB1141">
        <v>6.33</v>
      </c>
      <c r="DC1141">
        <v>5.24</v>
      </c>
      <c r="DD1141">
        <v>0.08</v>
      </c>
      <c r="DE1141">
        <v>719</v>
      </c>
      <c r="DF1141">
        <v>2691</v>
      </c>
      <c r="DG1141" t="s">
        <v>116</v>
      </c>
      <c r="DH1141" t="s">
        <v>116</v>
      </c>
      <c r="DI1141" t="s">
        <v>116</v>
      </c>
    </row>
    <row r="1142" spans="1:113" x14ac:dyDescent="0.4">
      <c r="A1142" t="str">
        <f>"002692"</f>
        <v>002692</v>
      </c>
      <c r="B1142" t="s">
        <v>6503</v>
      </c>
      <c r="C1142">
        <v>0.28000000000000003</v>
      </c>
      <c r="D1142">
        <v>3.57</v>
      </c>
      <c r="E1142">
        <v>0.01</v>
      </c>
      <c r="F1142">
        <v>3.57</v>
      </c>
      <c r="G1142">
        <v>3.58</v>
      </c>
      <c r="H1142">
        <v>12744</v>
      </c>
      <c r="I1142">
        <v>86</v>
      </c>
      <c r="J1142">
        <v>0</v>
      </c>
      <c r="K1142">
        <v>0.18</v>
      </c>
      <c r="L1142">
        <v>3.58</v>
      </c>
      <c r="M1142">
        <v>3.62</v>
      </c>
      <c r="N1142">
        <v>3.54</v>
      </c>
      <c r="O1142">
        <v>3.56</v>
      </c>
      <c r="P1142" t="s">
        <v>116</v>
      </c>
      <c r="Q1142">
        <v>4549179</v>
      </c>
      <c r="R1142">
        <v>0.52</v>
      </c>
      <c r="S1142" t="s">
        <v>397</v>
      </c>
      <c r="T1142" t="s">
        <v>323</v>
      </c>
      <c r="U1142">
        <v>2.25</v>
      </c>
      <c r="V1142">
        <v>3.57</v>
      </c>
      <c r="W1142">
        <v>6940</v>
      </c>
      <c r="X1142">
        <v>5804</v>
      </c>
      <c r="Y1142">
        <v>1.2</v>
      </c>
      <c r="Z1142">
        <v>34</v>
      </c>
      <c r="AA1142">
        <v>1358</v>
      </c>
      <c r="AB1142" t="s">
        <v>116</v>
      </c>
      <c r="AC1142">
        <v>0</v>
      </c>
      <c r="AD1142">
        <v>0</v>
      </c>
      <c r="AE1142" t="s">
        <v>116</v>
      </c>
      <c r="AF1142" t="s">
        <v>116</v>
      </c>
      <c r="AG1142">
        <v>7.15</v>
      </c>
      <c r="AH1142" t="s">
        <v>6471</v>
      </c>
      <c r="AI1142" t="s">
        <v>5795</v>
      </c>
      <c r="AJ1142">
        <v>0.96</v>
      </c>
      <c r="AK1142">
        <v>218</v>
      </c>
      <c r="AL1142">
        <v>58</v>
      </c>
      <c r="AM1142">
        <v>8.0000000000000004E-4</v>
      </c>
      <c r="AN1142">
        <v>1</v>
      </c>
      <c r="AO1142">
        <v>-1.1100000000000001</v>
      </c>
      <c r="AP1142">
        <v>4.08</v>
      </c>
      <c r="AQ1142">
        <v>-7.75</v>
      </c>
      <c r="AR1142">
        <v>-10.53</v>
      </c>
      <c r="AS1142">
        <v>0.35</v>
      </c>
      <c r="AT1142" t="s">
        <v>6504</v>
      </c>
      <c r="AU1142" t="s">
        <v>116</v>
      </c>
      <c r="AV1142" t="s">
        <v>116</v>
      </c>
      <c r="AW1142">
        <v>0.5</v>
      </c>
      <c r="BA1142">
        <v>0.56000000000000005</v>
      </c>
      <c r="BB1142">
        <v>1.69</v>
      </c>
      <c r="BC1142">
        <v>-0.56000000000000005</v>
      </c>
      <c r="BD1142">
        <v>0.27</v>
      </c>
      <c r="BE1142">
        <v>-0.28000000000000003</v>
      </c>
      <c r="BF1142">
        <v>-1.38</v>
      </c>
      <c r="BG1142">
        <v>0.85</v>
      </c>
      <c r="BH1142">
        <v>0.01</v>
      </c>
      <c r="BI1142">
        <v>20191024</v>
      </c>
      <c r="BJ1142">
        <v>20120808</v>
      </c>
      <c r="BK1142">
        <v>7.18</v>
      </c>
      <c r="BL1142" t="s">
        <v>116</v>
      </c>
      <c r="BM1142" t="s">
        <v>116</v>
      </c>
      <c r="BN1142">
        <v>30.76</v>
      </c>
      <c r="BO1142">
        <v>10.51</v>
      </c>
      <c r="BP1142">
        <v>-0.03</v>
      </c>
      <c r="BQ1142">
        <v>65.900000000000006</v>
      </c>
      <c r="BR1142">
        <v>24.88</v>
      </c>
      <c r="BS1142">
        <v>4.24</v>
      </c>
      <c r="BT1142">
        <v>0.96</v>
      </c>
      <c r="BU1142">
        <v>16.34</v>
      </c>
      <c r="BV1142">
        <v>5.57</v>
      </c>
      <c r="BW1142">
        <v>12.14</v>
      </c>
      <c r="BX1142">
        <v>1.5</v>
      </c>
      <c r="BY1142">
        <v>22.15</v>
      </c>
      <c r="BZ1142">
        <v>17.96</v>
      </c>
      <c r="CA1142">
        <v>0.77</v>
      </c>
      <c r="CB1142">
        <v>0</v>
      </c>
      <c r="CC1142">
        <v>-0.6</v>
      </c>
      <c r="CD1142">
        <v>-0.72</v>
      </c>
      <c r="CE1142">
        <v>-0.72</v>
      </c>
      <c r="CF1142">
        <v>0.63</v>
      </c>
      <c r="CG1142">
        <v>1.02</v>
      </c>
      <c r="CH1142">
        <v>-1.5</v>
      </c>
      <c r="CI1142">
        <v>-0.94</v>
      </c>
      <c r="CJ1142">
        <v>21703</v>
      </c>
      <c r="CK1142">
        <v>16560</v>
      </c>
      <c r="CL1142" t="s">
        <v>6505</v>
      </c>
      <c r="CM1142">
        <v>-301.83</v>
      </c>
      <c r="CN1142">
        <v>-0.73</v>
      </c>
      <c r="CO1142">
        <v>2.44</v>
      </c>
      <c r="CP1142">
        <v>-17.13</v>
      </c>
      <c r="CQ1142">
        <v>1.1599999999999999</v>
      </c>
      <c r="CR1142">
        <v>0</v>
      </c>
      <c r="CS1142" t="s">
        <v>5461</v>
      </c>
      <c r="CT1142">
        <v>1.46</v>
      </c>
      <c r="CU1142">
        <v>0</v>
      </c>
      <c r="CV1142">
        <v>0.21</v>
      </c>
      <c r="CW1142">
        <v>0.14000000000000001</v>
      </c>
      <c r="CX1142">
        <v>-0.21</v>
      </c>
      <c r="CY1142">
        <v>34.18</v>
      </c>
      <c r="CZ1142" t="s">
        <v>6506</v>
      </c>
      <c r="DA1142">
        <v>18.95</v>
      </c>
      <c r="DB1142">
        <v>3.47</v>
      </c>
      <c r="DC1142">
        <v>-3.25</v>
      </c>
      <c r="DD1142">
        <v>0.35</v>
      </c>
      <c r="DE1142">
        <v>1351</v>
      </c>
      <c r="DF1142">
        <v>2692</v>
      </c>
      <c r="DG1142" t="s">
        <v>116</v>
      </c>
      <c r="DH1142" t="s">
        <v>116</v>
      </c>
      <c r="DI1142" t="s">
        <v>116</v>
      </c>
    </row>
    <row r="1143" spans="1:113" x14ac:dyDescent="0.4">
      <c r="A1143" t="str">
        <f>"002693"</f>
        <v>002693</v>
      </c>
      <c r="B1143" t="s">
        <v>6507</v>
      </c>
      <c r="C1143">
        <v>-0.66</v>
      </c>
      <c r="D1143">
        <v>4.5</v>
      </c>
      <c r="E1143">
        <v>-0.03</v>
      </c>
      <c r="F1143">
        <v>4.49</v>
      </c>
      <c r="G1143">
        <v>4.5</v>
      </c>
      <c r="H1143">
        <v>21523</v>
      </c>
      <c r="I1143">
        <v>757</v>
      </c>
      <c r="J1143">
        <v>0.22</v>
      </c>
      <c r="K1143">
        <v>0.53</v>
      </c>
      <c r="L1143">
        <v>4.53</v>
      </c>
      <c r="M1143">
        <v>4.57</v>
      </c>
      <c r="N1143">
        <v>4.4800000000000004</v>
      </c>
      <c r="O1143">
        <v>4.53</v>
      </c>
      <c r="P1143" t="s">
        <v>116</v>
      </c>
      <c r="Q1143">
        <v>9743568</v>
      </c>
      <c r="R1143">
        <v>0.9</v>
      </c>
      <c r="S1143" t="s">
        <v>574</v>
      </c>
      <c r="T1143" t="s">
        <v>851</v>
      </c>
      <c r="U1143">
        <v>1.99</v>
      </c>
      <c r="V1143">
        <v>4.53</v>
      </c>
      <c r="W1143">
        <v>14123</v>
      </c>
      <c r="X1143">
        <v>7400</v>
      </c>
      <c r="Y1143">
        <v>1.91</v>
      </c>
      <c r="Z1143">
        <v>10</v>
      </c>
      <c r="AA1143">
        <v>427</v>
      </c>
      <c r="AB1143" t="s">
        <v>116</v>
      </c>
      <c r="AC1143">
        <v>500</v>
      </c>
      <c r="AD1143">
        <v>0</v>
      </c>
      <c r="AE1143" t="s">
        <v>116</v>
      </c>
      <c r="AF1143" t="s">
        <v>116</v>
      </c>
      <c r="AG1143">
        <v>4.03</v>
      </c>
      <c r="AH1143" t="s">
        <v>2246</v>
      </c>
      <c r="AI1143" t="s">
        <v>6508</v>
      </c>
      <c r="AJ1143">
        <v>0.02</v>
      </c>
      <c r="AK1143">
        <v>540</v>
      </c>
      <c r="AL1143">
        <v>40</v>
      </c>
      <c r="AM1143">
        <v>1E-3</v>
      </c>
      <c r="AN1143">
        <v>-1</v>
      </c>
      <c r="AO1143">
        <v>-1.32</v>
      </c>
      <c r="AP1143">
        <v>2.04</v>
      </c>
      <c r="AQ1143">
        <v>-2.17</v>
      </c>
      <c r="AR1143">
        <v>15.68</v>
      </c>
      <c r="AS1143">
        <v>1.08</v>
      </c>
      <c r="AT1143" t="s">
        <v>6509</v>
      </c>
      <c r="AU1143" t="s">
        <v>116</v>
      </c>
      <c r="AV1143" t="s">
        <v>116</v>
      </c>
      <c r="AW1143">
        <v>1.04</v>
      </c>
      <c r="BA1143">
        <v>0</v>
      </c>
      <c r="BB1143">
        <v>0.88</v>
      </c>
      <c r="BC1143">
        <v>-1.1000000000000001</v>
      </c>
      <c r="BD1143">
        <v>-0.06</v>
      </c>
      <c r="BE1143">
        <v>-0.66</v>
      </c>
      <c r="BF1143">
        <v>-1.53</v>
      </c>
      <c r="BG1143">
        <v>0.45</v>
      </c>
      <c r="BH1143">
        <v>-0.6</v>
      </c>
      <c r="BI1143">
        <v>20191105</v>
      </c>
      <c r="BJ1143">
        <v>20120808</v>
      </c>
      <c r="BK1143">
        <v>4.05</v>
      </c>
      <c r="BL1143" t="s">
        <v>116</v>
      </c>
      <c r="BM1143" t="s">
        <v>116</v>
      </c>
      <c r="BN1143">
        <v>9.3699999999999992</v>
      </c>
      <c r="BO1143">
        <v>5</v>
      </c>
      <c r="BP1143">
        <v>1.36</v>
      </c>
      <c r="BQ1143">
        <v>32.11</v>
      </c>
      <c r="BR1143">
        <v>2.04</v>
      </c>
      <c r="BS1143">
        <v>6.04</v>
      </c>
      <c r="BT1143">
        <v>0.85</v>
      </c>
      <c r="BU1143">
        <v>1.1299999999999999</v>
      </c>
      <c r="BV1143">
        <v>0.42</v>
      </c>
      <c r="BW1143">
        <v>0.53</v>
      </c>
      <c r="BX1143">
        <v>3.39</v>
      </c>
      <c r="BY1143">
        <v>2.7</v>
      </c>
      <c r="BZ1143">
        <v>0.79</v>
      </c>
      <c r="CA1143">
        <v>-0.53</v>
      </c>
      <c r="CB1143">
        <v>0.03</v>
      </c>
      <c r="CC1143">
        <v>-0.33</v>
      </c>
      <c r="CD1143">
        <v>-0.33</v>
      </c>
      <c r="CE1143">
        <v>-0.22</v>
      </c>
      <c r="CF1143">
        <v>-0.47</v>
      </c>
      <c r="CG1143">
        <v>-2.78</v>
      </c>
      <c r="CH1143">
        <v>0.39</v>
      </c>
      <c r="CI1143">
        <v>-0.51</v>
      </c>
      <c r="CJ1143">
        <v>31612</v>
      </c>
      <c r="CK1143">
        <v>6295</v>
      </c>
      <c r="CL1143" t="s">
        <v>6510</v>
      </c>
      <c r="CM1143">
        <v>33.340000000000003</v>
      </c>
      <c r="CN1143">
        <v>4.1500000000000004</v>
      </c>
      <c r="CO1143">
        <v>3.64</v>
      </c>
      <c r="CP1143">
        <v>46.23</v>
      </c>
      <c r="CQ1143">
        <v>6.75</v>
      </c>
      <c r="CR1143">
        <v>0</v>
      </c>
      <c r="CS1143" t="s">
        <v>6511</v>
      </c>
      <c r="CT1143">
        <v>1.24</v>
      </c>
      <c r="CU1143">
        <v>0</v>
      </c>
      <c r="CV1143">
        <v>0.84</v>
      </c>
      <c r="CW1143">
        <v>-0.69</v>
      </c>
      <c r="CX1143">
        <v>0.1</v>
      </c>
      <c r="CY1143">
        <v>53.37</v>
      </c>
      <c r="CZ1143" t="s">
        <v>6512</v>
      </c>
      <c r="DA1143">
        <v>70.819999999999993</v>
      </c>
      <c r="DB1143">
        <v>-19.600000000000001</v>
      </c>
      <c r="DC1143">
        <v>-8.02</v>
      </c>
      <c r="DD1143">
        <v>0.24</v>
      </c>
      <c r="DE1143">
        <v>483</v>
      </c>
      <c r="DF1143">
        <v>2693</v>
      </c>
      <c r="DG1143" t="s">
        <v>116</v>
      </c>
      <c r="DH1143" t="s">
        <v>116</v>
      </c>
      <c r="DI1143" t="s">
        <v>116</v>
      </c>
    </row>
    <row r="1144" spans="1:113" x14ac:dyDescent="0.4">
      <c r="A1144" t="str">
        <f>"002694"</f>
        <v>002694</v>
      </c>
      <c r="B1144" t="s">
        <v>6513</v>
      </c>
      <c r="C1144">
        <v>-0.93</v>
      </c>
      <c r="D1144">
        <v>3.21</v>
      </c>
      <c r="E1144">
        <v>-0.03</v>
      </c>
      <c r="F1144">
        <v>3.21</v>
      </c>
      <c r="G1144">
        <v>3.22</v>
      </c>
      <c r="H1144">
        <v>97174</v>
      </c>
      <c r="I1144">
        <v>424</v>
      </c>
      <c r="J1144">
        <v>0</v>
      </c>
      <c r="K1144">
        <v>1.91</v>
      </c>
      <c r="L1144">
        <v>3.26</v>
      </c>
      <c r="M1144">
        <v>3.28</v>
      </c>
      <c r="N1144">
        <v>3.17</v>
      </c>
      <c r="O1144">
        <v>3.24</v>
      </c>
      <c r="P1144">
        <v>337.21</v>
      </c>
      <c r="Q1144">
        <v>31486248</v>
      </c>
      <c r="R1144">
        <v>1.19</v>
      </c>
      <c r="S1144" t="s">
        <v>2444</v>
      </c>
      <c r="T1144" t="s">
        <v>774</v>
      </c>
      <c r="U1144">
        <v>3.4</v>
      </c>
      <c r="V1144">
        <v>3.24</v>
      </c>
      <c r="W1144">
        <v>54643</v>
      </c>
      <c r="X1144">
        <v>42531</v>
      </c>
      <c r="Y1144">
        <v>1.28</v>
      </c>
      <c r="Z1144">
        <v>111</v>
      </c>
      <c r="AA1144">
        <v>1710</v>
      </c>
      <c r="AB1144" t="s">
        <v>116</v>
      </c>
      <c r="AC1144">
        <v>218400</v>
      </c>
      <c r="AD1144">
        <v>0.02</v>
      </c>
      <c r="AE1144" t="s">
        <v>116</v>
      </c>
      <c r="AF1144" t="s">
        <v>116</v>
      </c>
      <c r="AG1144">
        <v>5.09</v>
      </c>
      <c r="AH1144" t="s">
        <v>228</v>
      </c>
      <c r="AI1144" t="s">
        <v>4799</v>
      </c>
      <c r="AJ1144">
        <v>-0.25</v>
      </c>
      <c r="AK1144">
        <v>1292</v>
      </c>
      <c r="AL1144">
        <v>75</v>
      </c>
      <c r="AM1144">
        <v>1.5E-3</v>
      </c>
      <c r="AN1144">
        <v>-1</v>
      </c>
      <c r="AO1144">
        <v>0.31</v>
      </c>
      <c r="AP1144">
        <v>3.55</v>
      </c>
      <c r="AQ1144">
        <v>-1.53</v>
      </c>
      <c r="AR1144">
        <v>-23.21</v>
      </c>
      <c r="AS1144">
        <v>3.24</v>
      </c>
      <c r="AT1144" t="s">
        <v>6514</v>
      </c>
      <c r="AU1144" t="s">
        <v>116</v>
      </c>
      <c r="AV1144" t="s">
        <v>116</v>
      </c>
      <c r="AW1144">
        <v>0.84</v>
      </c>
      <c r="BA1144">
        <v>0.62</v>
      </c>
      <c r="BB1144">
        <v>1.23</v>
      </c>
      <c r="BC1144">
        <v>-2.16</v>
      </c>
      <c r="BD1144">
        <v>0.01</v>
      </c>
      <c r="BE1144">
        <v>-1.53</v>
      </c>
      <c r="BF1144">
        <v>-2.13</v>
      </c>
      <c r="BG1144">
        <v>1.26</v>
      </c>
      <c r="BH1144">
        <v>-0.93</v>
      </c>
      <c r="BI1144">
        <v>20191023</v>
      </c>
      <c r="BJ1144">
        <v>20120816</v>
      </c>
      <c r="BK1144">
        <v>5.97</v>
      </c>
      <c r="BL1144" t="s">
        <v>116</v>
      </c>
      <c r="BM1144" t="s">
        <v>116</v>
      </c>
      <c r="BN1144">
        <v>27.1</v>
      </c>
      <c r="BO1144">
        <v>9.81</v>
      </c>
      <c r="BP1144">
        <v>1.05</v>
      </c>
      <c r="BQ1144">
        <v>59.93</v>
      </c>
      <c r="BR1144">
        <v>12.74</v>
      </c>
      <c r="BS1144">
        <v>7.09</v>
      </c>
      <c r="BT1144">
        <v>2.4500000000000002</v>
      </c>
      <c r="BU1144">
        <v>15.74</v>
      </c>
      <c r="BV1144">
        <v>3.38</v>
      </c>
      <c r="BW1144">
        <v>4.33</v>
      </c>
      <c r="BX1144">
        <v>2.16</v>
      </c>
      <c r="BY1144">
        <v>11.49</v>
      </c>
      <c r="BZ1144">
        <v>9.1300000000000008</v>
      </c>
      <c r="CA1144">
        <v>0</v>
      </c>
      <c r="CB1144">
        <v>0</v>
      </c>
      <c r="CC1144">
        <v>0.01</v>
      </c>
      <c r="CD1144">
        <v>-0.05</v>
      </c>
      <c r="CE1144">
        <v>0.04</v>
      </c>
      <c r="CF1144">
        <v>0.04</v>
      </c>
      <c r="CG1144">
        <v>2.09</v>
      </c>
      <c r="CH1144">
        <v>0.44</v>
      </c>
      <c r="CI1144">
        <v>-0.38</v>
      </c>
      <c r="CJ1144">
        <v>33661</v>
      </c>
      <c r="CK1144">
        <v>8922</v>
      </c>
      <c r="CL1144" t="s">
        <v>4809</v>
      </c>
      <c r="CM1144">
        <v>-75.55</v>
      </c>
      <c r="CN1144">
        <v>-10.14</v>
      </c>
      <c r="CO1144">
        <v>1.83</v>
      </c>
      <c r="CP1144">
        <v>43.88</v>
      </c>
      <c r="CQ1144">
        <v>1.67</v>
      </c>
      <c r="CR1144">
        <v>0</v>
      </c>
      <c r="CS1144" t="s">
        <v>5809</v>
      </c>
      <c r="CT1144">
        <v>1.75</v>
      </c>
      <c r="CU1144">
        <v>1.75</v>
      </c>
      <c r="CV1144">
        <v>0.36</v>
      </c>
      <c r="CW1144">
        <v>0.35</v>
      </c>
      <c r="CX1144">
        <v>7.0000000000000007E-2</v>
      </c>
      <c r="CY1144">
        <v>36.21</v>
      </c>
      <c r="CZ1144" t="s">
        <v>343</v>
      </c>
      <c r="DA1144">
        <v>20.54</v>
      </c>
      <c r="DB1144">
        <v>-0.02</v>
      </c>
      <c r="DC1144">
        <v>0.37</v>
      </c>
      <c r="DD1144">
        <v>0.39</v>
      </c>
      <c r="DE1144">
        <v>2094</v>
      </c>
      <c r="DF1144">
        <v>2694</v>
      </c>
      <c r="DG1144" t="s">
        <v>116</v>
      </c>
      <c r="DH1144" t="s">
        <v>116</v>
      </c>
      <c r="DI1144" t="s">
        <v>116</v>
      </c>
    </row>
    <row r="1145" spans="1:113" x14ac:dyDescent="0.4">
      <c r="A1145" t="str">
        <f>"002695"</f>
        <v>002695</v>
      </c>
      <c r="B1145" t="s">
        <v>6515</v>
      </c>
      <c r="C1145">
        <v>0.19</v>
      </c>
      <c r="D1145">
        <v>15.99</v>
      </c>
      <c r="E1145">
        <v>0.03</v>
      </c>
      <c r="F1145">
        <v>15.99</v>
      </c>
      <c r="G1145">
        <v>16</v>
      </c>
      <c r="H1145">
        <v>34703</v>
      </c>
      <c r="I1145">
        <v>690</v>
      </c>
      <c r="J1145">
        <v>0.25</v>
      </c>
      <c r="K1145">
        <v>0.76</v>
      </c>
      <c r="L1145">
        <v>15.96</v>
      </c>
      <c r="M1145">
        <v>16.25</v>
      </c>
      <c r="N1145">
        <v>15.86</v>
      </c>
      <c r="O1145">
        <v>15.96</v>
      </c>
      <c r="P1145">
        <v>29.15</v>
      </c>
      <c r="Q1145">
        <v>55622796</v>
      </c>
      <c r="R1145">
        <v>0.8</v>
      </c>
      <c r="S1145" t="s">
        <v>863</v>
      </c>
      <c r="T1145" t="s">
        <v>683</v>
      </c>
      <c r="U1145">
        <v>2.44</v>
      </c>
      <c r="V1145">
        <v>16.03</v>
      </c>
      <c r="W1145">
        <v>20058</v>
      </c>
      <c r="X1145">
        <v>14645</v>
      </c>
      <c r="Y1145">
        <v>1.37</v>
      </c>
      <c r="Z1145">
        <v>1255</v>
      </c>
      <c r="AA1145">
        <v>87</v>
      </c>
      <c r="AB1145" t="s">
        <v>116</v>
      </c>
      <c r="AC1145">
        <v>228200</v>
      </c>
      <c r="AD1145">
        <v>0.01</v>
      </c>
      <c r="AE1145" t="s">
        <v>116</v>
      </c>
      <c r="AF1145" t="s">
        <v>116</v>
      </c>
      <c r="AG1145">
        <v>4.58</v>
      </c>
      <c r="AH1145" t="s">
        <v>6516</v>
      </c>
      <c r="AI1145" t="s">
        <v>6517</v>
      </c>
      <c r="AJ1145">
        <v>0.87</v>
      </c>
      <c r="AK1145">
        <v>2273</v>
      </c>
      <c r="AL1145">
        <v>15</v>
      </c>
      <c r="AM1145">
        <v>2.9999999999999997E-4</v>
      </c>
      <c r="AN1145">
        <v>2</v>
      </c>
      <c r="AO1145">
        <v>0</v>
      </c>
      <c r="AP1145">
        <v>4.17</v>
      </c>
      <c r="AQ1145">
        <v>12.61</v>
      </c>
      <c r="AR1145">
        <v>62.2</v>
      </c>
      <c r="AS1145">
        <v>1.94</v>
      </c>
      <c r="AT1145" t="s">
        <v>6518</v>
      </c>
      <c r="AU1145">
        <v>38.130000000000003</v>
      </c>
      <c r="AV1145">
        <v>47.55</v>
      </c>
      <c r="AW1145">
        <v>0.74</v>
      </c>
      <c r="BA1145">
        <v>0</v>
      </c>
      <c r="BB1145">
        <v>1.82</v>
      </c>
      <c r="BC1145">
        <v>-0.63</v>
      </c>
      <c r="BD1145">
        <v>0.43</v>
      </c>
      <c r="BE1145">
        <v>0.19</v>
      </c>
      <c r="BF1145">
        <v>-1.6</v>
      </c>
      <c r="BG1145">
        <v>0.82</v>
      </c>
      <c r="BH1145">
        <v>-0.24</v>
      </c>
      <c r="BI1145">
        <v>20191223</v>
      </c>
      <c r="BJ1145">
        <v>20120905</v>
      </c>
      <c r="BK1145">
        <v>5.14</v>
      </c>
      <c r="BL1145" t="s">
        <v>116</v>
      </c>
      <c r="BM1145" t="s">
        <v>116</v>
      </c>
      <c r="BN1145">
        <v>27.37</v>
      </c>
      <c r="BO1145">
        <v>20.84</v>
      </c>
      <c r="BP1145">
        <v>0.47</v>
      </c>
      <c r="BQ1145">
        <v>22.16</v>
      </c>
      <c r="BR1145">
        <v>19.010000000000002</v>
      </c>
      <c r="BS1145">
        <v>5.39</v>
      </c>
      <c r="BT1145">
        <v>0.93</v>
      </c>
      <c r="BU1145">
        <v>4.3600000000000003</v>
      </c>
      <c r="BV1145">
        <v>4.4800000000000004</v>
      </c>
      <c r="BW1145">
        <v>0.89</v>
      </c>
      <c r="BX1145">
        <v>7.7</v>
      </c>
      <c r="BY1145">
        <v>16.77</v>
      </c>
      <c r="BZ1145">
        <v>10.48</v>
      </c>
      <c r="CA1145">
        <v>2.61</v>
      </c>
      <c r="CB1145">
        <v>0.02</v>
      </c>
      <c r="CC1145">
        <v>2.65</v>
      </c>
      <c r="CD1145">
        <v>2.2000000000000002</v>
      </c>
      <c r="CE1145">
        <v>2.12</v>
      </c>
      <c r="CF1145">
        <v>2.0499999999999998</v>
      </c>
      <c r="CG1145">
        <v>8.41</v>
      </c>
      <c r="CH1145">
        <v>2.61</v>
      </c>
      <c r="CI1145">
        <v>1.41</v>
      </c>
      <c r="CJ1145">
        <v>51441</v>
      </c>
      <c r="CK1145">
        <v>3478</v>
      </c>
      <c r="CL1145" t="s">
        <v>742</v>
      </c>
      <c r="CM1145">
        <v>25.33</v>
      </c>
      <c r="CN1145">
        <v>15.28</v>
      </c>
      <c r="CO1145">
        <v>3.95</v>
      </c>
      <c r="CP1145">
        <v>31.45</v>
      </c>
      <c r="CQ1145">
        <v>4.9000000000000004</v>
      </c>
      <c r="CR1145">
        <v>0.51</v>
      </c>
      <c r="CS1145" t="s">
        <v>6519</v>
      </c>
      <c r="CT1145">
        <v>4.05</v>
      </c>
      <c r="CU1145">
        <v>0</v>
      </c>
      <c r="CV1145">
        <v>1.5</v>
      </c>
      <c r="CW1145">
        <v>1.63</v>
      </c>
      <c r="CX1145">
        <v>0.51</v>
      </c>
      <c r="CY1145">
        <v>76.13</v>
      </c>
      <c r="CZ1145" t="s">
        <v>6520</v>
      </c>
      <c r="DA1145">
        <v>37.520000000000003</v>
      </c>
      <c r="DB1145">
        <v>15.57</v>
      </c>
      <c r="DC1145">
        <v>12.61</v>
      </c>
      <c r="DD1145">
        <v>0.52</v>
      </c>
      <c r="DE1145">
        <v>1675</v>
      </c>
      <c r="DF1145">
        <v>2695</v>
      </c>
      <c r="DG1145" t="s">
        <v>116</v>
      </c>
      <c r="DH1145" t="s">
        <v>116</v>
      </c>
      <c r="DI1145" t="s">
        <v>116</v>
      </c>
    </row>
    <row r="1146" spans="1:113" x14ac:dyDescent="0.4">
      <c r="A1146" t="str">
        <f>"002696"</f>
        <v>002696</v>
      </c>
      <c r="B1146" t="s">
        <v>6521</v>
      </c>
      <c r="C1146">
        <v>-1.93</v>
      </c>
      <c r="D1146">
        <v>6.09</v>
      </c>
      <c r="E1146">
        <v>-0.12</v>
      </c>
      <c r="F1146">
        <v>6.08</v>
      </c>
      <c r="G1146">
        <v>6.09</v>
      </c>
      <c r="H1146">
        <v>234617</v>
      </c>
      <c r="I1146">
        <v>4141</v>
      </c>
      <c r="J1146">
        <v>-1.1299999999999999</v>
      </c>
      <c r="K1146">
        <v>12.83</v>
      </c>
      <c r="L1146">
        <v>6.1</v>
      </c>
      <c r="M1146">
        <v>6.45</v>
      </c>
      <c r="N1146">
        <v>6.02</v>
      </c>
      <c r="O1146">
        <v>6.21</v>
      </c>
      <c r="P1146">
        <v>27.95</v>
      </c>
      <c r="Q1146">
        <v>144563584</v>
      </c>
      <c r="R1146">
        <v>1.05</v>
      </c>
      <c r="S1146" t="s">
        <v>2216</v>
      </c>
      <c r="T1146" t="s">
        <v>982</v>
      </c>
      <c r="U1146">
        <v>6.92</v>
      </c>
      <c r="V1146">
        <v>6.16</v>
      </c>
      <c r="W1146">
        <v>137981</v>
      </c>
      <c r="X1146">
        <v>96636</v>
      </c>
      <c r="Y1146">
        <v>1.43</v>
      </c>
      <c r="Z1146">
        <v>135</v>
      </c>
      <c r="AA1146">
        <v>321</v>
      </c>
      <c r="AB1146" t="s">
        <v>116</v>
      </c>
      <c r="AC1146">
        <v>3387300</v>
      </c>
      <c r="AD1146">
        <v>0.3</v>
      </c>
      <c r="AE1146" t="s">
        <v>116</v>
      </c>
      <c r="AF1146" t="s">
        <v>116</v>
      </c>
      <c r="AG1146">
        <v>1.83</v>
      </c>
      <c r="AH1146" t="s">
        <v>6522</v>
      </c>
      <c r="AI1146" t="s">
        <v>6523</v>
      </c>
      <c r="AJ1146">
        <v>-1.25</v>
      </c>
      <c r="AK1146">
        <v>2525</v>
      </c>
      <c r="AL1146">
        <v>93</v>
      </c>
      <c r="AM1146">
        <v>5.1000000000000004E-3</v>
      </c>
      <c r="AN1146">
        <v>-1</v>
      </c>
      <c r="AO1146">
        <v>0.34</v>
      </c>
      <c r="AP1146">
        <v>14.91</v>
      </c>
      <c r="AQ1146">
        <v>8.36</v>
      </c>
      <c r="AR1146">
        <v>-31.65</v>
      </c>
      <c r="AS1146">
        <v>12.83</v>
      </c>
      <c r="AT1146" t="s">
        <v>6522</v>
      </c>
      <c r="AU1146" t="s">
        <v>116</v>
      </c>
      <c r="AV1146">
        <v>42.13</v>
      </c>
      <c r="AW1146">
        <v>1.23</v>
      </c>
      <c r="BA1146">
        <v>-1.77</v>
      </c>
      <c r="BB1146">
        <v>3.86</v>
      </c>
      <c r="BC1146">
        <v>-3.06</v>
      </c>
      <c r="BD1146">
        <v>-0.78</v>
      </c>
      <c r="BE1146">
        <v>-0.16</v>
      </c>
      <c r="BF1146">
        <v>-5.58</v>
      </c>
      <c r="BG1146">
        <v>1.1599999999999999</v>
      </c>
      <c r="BH1146">
        <v>-1.1499999999999999</v>
      </c>
      <c r="BI1146">
        <v>20191220</v>
      </c>
      <c r="BJ1146">
        <v>20120905</v>
      </c>
      <c r="BK1146">
        <v>3.95</v>
      </c>
      <c r="BL1146" t="s">
        <v>116</v>
      </c>
      <c r="BM1146" t="s">
        <v>116</v>
      </c>
      <c r="BN1146">
        <v>42.98</v>
      </c>
      <c r="BO1146">
        <v>19.850000000000001</v>
      </c>
      <c r="BP1146">
        <v>0.91</v>
      </c>
      <c r="BQ1146">
        <v>51.68</v>
      </c>
      <c r="BR1146">
        <v>20.399999999999999</v>
      </c>
      <c r="BS1146">
        <v>8.7799999999999994</v>
      </c>
      <c r="BT1146">
        <v>1.61</v>
      </c>
      <c r="BU1146">
        <v>19.489999999999998</v>
      </c>
      <c r="BV1146">
        <v>4</v>
      </c>
      <c r="BW1146">
        <v>5.5</v>
      </c>
      <c r="BX1146">
        <v>10.79</v>
      </c>
      <c r="BY1146">
        <v>21.04</v>
      </c>
      <c r="BZ1146">
        <v>15.68</v>
      </c>
      <c r="CA1146">
        <v>0.57999999999999996</v>
      </c>
      <c r="CB1146">
        <v>-0.1</v>
      </c>
      <c r="CC1146">
        <v>0.65</v>
      </c>
      <c r="CD1146">
        <v>0.67</v>
      </c>
      <c r="CE1146">
        <v>0.65</v>
      </c>
      <c r="CF1146">
        <v>0.59</v>
      </c>
      <c r="CG1146">
        <v>4.68</v>
      </c>
      <c r="CH1146">
        <v>2.2799999999999998</v>
      </c>
      <c r="CI1146">
        <v>1.43</v>
      </c>
      <c r="CJ1146">
        <v>19813</v>
      </c>
      <c r="CK1146">
        <v>9232</v>
      </c>
      <c r="CL1146" t="s">
        <v>2551</v>
      </c>
      <c r="CM1146">
        <v>-50.25</v>
      </c>
      <c r="CN1146">
        <v>-3.33</v>
      </c>
      <c r="CO1146">
        <v>1.21</v>
      </c>
      <c r="CP1146">
        <v>10.57</v>
      </c>
      <c r="CQ1146">
        <v>1.1399999999999999</v>
      </c>
      <c r="CR1146">
        <v>0.82</v>
      </c>
      <c r="CS1146" t="s">
        <v>2243</v>
      </c>
      <c r="CT1146">
        <v>5.0199999999999996</v>
      </c>
      <c r="CU1146">
        <v>0</v>
      </c>
      <c r="CV1146">
        <v>2.73</v>
      </c>
      <c r="CW1146">
        <v>1.18</v>
      </c>
      <c r="CX1146">
        <v>0.57999999999999996</v>
      </c>
      <c r="CY1146">
        <v>46.19</v>
      </c>
      <c r="CZ1146" t="s">
        <v>455</v>
      </c>
      <c r="DA1146">
        <v>25.48</v>
      </c>
      <c r="DB1146">
        <v>2.77</v>
      </c>
      <c r="DC1146">
        <v>3.07</v>
      </c>
      <c r="DD1146">
        <v>0</v>
      </c>
      <c r="DE1146">
        <v>3967</v>
      </c>
      <c r="DF1146">
        <v>2696</v>
      </c>
      <c r="DG1146" t="s">
        <v>116</v>
      </c>
      <c r="DH1146" t="s">
        <v>116</v>
      </c>
      <c r="DI1146" t="s">
        <v>116</v>
      </c>
    </row>
    <row r="1147" spans="1:113" x14ac:dyDescent="0.4">
      <c r="A1147" t="str">
        <f>"002697"</f>
        <v>002697</v>
      </c>
      <c r="B1147" t="s">
        <v>6524</v>
      </c>
      <c r="C1147">
        <v>0.4</v>
      </c>
      <c r="D1147">
        <v>7.52</v>
      </c>
      <c r="E1147">
        <v>0.03</v>
      </c>
      <c r="F1147">
        <v>7.51</v>
      </c>
      <c r="G1147">
        <v>7.52</v>
      </c>
      <c r="H1147">
        <v>106712</v>
      </c>
      <c r="I1147">
        <v>2966</v>
      </c>
      <c r="J1147">
        <v>0.27</v>
      </c>
      <c r="K1147">
        <v>0.99</v>
      </c>
      <c r="L1147">
        <v>7.46</v>
      </c>
      <c r="M1147">
        <v>7.59</v>
      </c>
      <c r="N1147">
        <v>7.46</v>
      </c>
      <c r="O1147">
        <v>7.49</v>
      </c>
      <c r="P1147">
        <v>18.89</v>
      </c>
      <c r="Q1147">
        <v>80320280</v>
      </c>
      <c r="R1147">
        <v>1.18</v>
      </c>
      <c r="S1147" t="s">
        <v>2064</v>
      </c>
      <c r="T1147" t="s">
        <v>582</v>
      </c>
      <c r="U1147">
        <v>1.74</v>
      </c>
      <c r="V1147">
        <v>7.53</v>
      </c>
      <c r="W1147">
        <v>50602</v>
      </c>
      <c r="X1147">
        <v>56110</v>
      </c>
      <c r="Y1147">
        <v>0.9</v>
      </c>
      <c r="Z1147">
        <v>206</v>
      </c>
      <c r="AA1147">
        <v>1209</v>
      </c>
      <c r="AB1147" t="s">
        <v>116</v>
      </c>
      <c r="AC1147">
        <v>660200</v>
      </c>
      <c r="AD1147">
        <v>0.01</v>
      </c>
      <c r="AE1147" t="s">
        <v>116</v>
      </c>
      <c r="AF1147" t="s">
        <v>116</v>
      </c>
      <c r="AG1147">
        <v>10.78</v>
      </c>
      <c r="AH1147" t="s">
        <v>6525</v>
      </c>
      <c r="AI1147" t="s">
        <v>6526</v>
      </c>
      <c r="AJ1147">
        <v>1.08</v>
      </c>
      <c r="AK1147">
        <v>3125</v>
      </c>
      <c r="AL1147">
        <v>34</v>
      </c>
      <c r="AM1147">
        <v>2.9999999999999997E-4</v>
      </c>
      <c r="AN1147">
        <v>1</v>
      </c>
      <c r="AO1147">
        <v>-2.34</v>
      </c>
      <c r="AP1147">
        <v>-5.29</v>
      </c>
      <c r="AQ1147">
        <v>1.35</v>
      </c>
      <c r="AR1147">
        <v>48.12</v>
      </c>
      <c r="AS1147">
        <v>1.77</v>
      </c>
      <c r="AT1147" t="s">
        <v>6527</v>
      </c>
      <c r="AU1147">
        <v>21.63</v>
      </c>
      <c r="AV1147">
        <v>31.69</v>
      </c>
      <c r="AW1147">
        <v>0.43</v>
      </c>
      <c r="BA1147">
        <v>-0.4</v>
      </c>
      <c r="BB1147">
        <v>1.34</v>
      </c>
      <c r="BC1147">
        <v>-0.4</v>
      </c>
      <c r="BD1147">
        <v>0.49</v>
      </c>
      <c r="BE1147">
        <v>0.8</v>
      </c>
      <c r="BF1147">
        <v>-0.92</v>
      </c>
      <c r="BG1147">
        <v>0.8</v>
      </c>
      <c r="BH1147">
        <v>-0.09</v>
      </c>
      <c r="BI1147">
        <v>20191223</v>
      </c>
      <c r="BJ1147">
        <v>20120905</v>
      </c>
      <c r="BK1147">
        <v>13.6</v>
      </c>
      <c r="BL1147" t="s">
        <v>116</v>
      </c>
      <c r="BM1147" t="s">
        <v>116</v>
      </c>
      <c r="BN1147">
        <v>49.09</v>
      </c>
      <c r="BO1147">
        <v>29.47</v>
      </c>
      <c r="BP1147">
        <v>0.02</v>
      </c>
      <c r="BQ1147">
        <v>39.93</v>
      </c>
      <c r="BR1147">
        <v>28.2</v>
      </c>
      <c r="BS1147">
        <v>11.17</v>
      </c>
      <c r="BT1147">
        <v>2.77</v>
      </c>
      <c r="BU1147">
        <v>19.600000000000001</v>
      </c>
      <c r="BV1147">
        <v>11.49</v>
      </c>
      <c r="BW1147">
        <v>0.21</v>
      </c>
      <c r="BX1147">
        <v>0.44</v>
      </c>
      <c r="BY1147">
        <v>58.88</v>
      </c>
      <c r="BZ1147">
        <v>41.19</v>
      </c>
      <c r="CA1147">
        <v>4.54</v>
      </c>
      <c r="CB1147">
        <v>1.31</v>
      </c>
      <c r="CC1147">
        <v>4.53</v>
      </c>
      <c r="CD1147">
        <v>4.0599999999999996</v>
      </c>
      <c r="CE1147">
        <v>4.0599999999999996</v>
      </c>
      <c r="CF1147">
        <v>3.94</v>
      </c>
      <c r="CG1147">
        <v>13.68</v>
      </c>
      <c r="CH1147">
        <v>0.51</v>
      </c>
      <c r="CI1147">
        <v>0</v>
      </c>
      <c r="CJ1147">
        <v>42617</v>
      </c>
      <c r="CK1147">
        <v>14125</v>
      </c>
      <c r="CL1147" t="s">
        <v>6528</v>
      </c>
      <c r="CM1147">
        <v>58.69</v>
      </c>
      <c r="CN1147">
        <v>7.82</v>
      </c>
      <c r="CO1147">
        <v>3.47</v>
      </c>
      <c r="CP1147">
        <v>199.97</v>
      </c>
      <c r="CQ1147">
        <v>1.74</v>
      </c>
      <c r="CR1147">
        <v>0.7</v>
      </c>
      <c r="CS1147" t="s">
        <v>6529</v>
      </c>
      <c r="CT1147">
        <v>2.17</v>
      </c>
      <c r="CU1147">
        <v>0</v>
      </c>
      <c r="CV1147">
        <v>0.03</v>
      </c>
      <c r="CW1147">
        <v>1.01</v>
      </c>
      <c r="CX1147">
        <v>0.04</v>
      </c>
      <c r="CY1147">
        <v>60.04</v>
      </c>
      <c r="CZ1147" t="s">
        <v>6530</v>
      </c>
      <c r="DA1147">
        <v>30.05</v>
      </c>
      <c r="DB1147">
        <v>7.71</v>
      </c>
      <c r="DC1147">
        <v>6.9</v>
      </c>
      <c r="DD1147">
        <v>0</v>
      </c>
      <c r="DE1147">
        <v>15202</v>
      </c>
      <c r="DF1147">
        <v>2697</v>
      </c>
      <c r="DG1147" t="s">
        <v>116</v>
      </c>
      <c r="DH1147" t="s">
        <v>116</v>
      </c>
      <c r="DI1147" t="s">
        <v>116</v>
      </c>
    </row>
    <row r="1148" spans="1:113" x14ac:dyDescent="0.4">
      <c r="A1148" t="str">
        <f>"002698"</f>
        <v>002698</v>
      </c>
      <c r="B1148" t="s">
        <v>6531</v>
      </c>
      <c r="C1148">
        <v>-3.21</v>
      </c>
      <c r="D1148">
        <v>10.55</v>
      </c>
      <c r="E1148">
        <v>-0.35</v>
      </c>
      <c r="F1148">
        <v>10.54</v>
      </c>
      <c r="G1148">
        <v>10.55</v>
      </c>
      <c r="H1148">
        <v>99742</v>
      </c>
      <c r="I1148">
        <v>1375</v>
      </c>
      <c r="J1148">
        <v>0.19</v>
      </c>
      <c r="K1148">
        <v>1.21</v>
      </c>
      <c r="L1148">
        <v>10.91</v>
      </c>
      <c r="M1148">
        <v>11.14</v>
      </c>
      <c r="N1148">
        <v>10.5</v>
      </c>
      <c r="O1148">
        <v>10.9</v>
      </c>
      <c r="P1148">
        <v>32.39</v>
      </c>
      <c r="Q1148">
        <v>107782600</v>
      </c>
      <c r="R1148">
        <v>1.21</v>
      </c>
      <c r="S1148" t="s">
        <v>2426</v>
      </c>
      <c r="T1148" t="s">
        <v>1287</v>
      </c>
      <c r="U1148">
        <v>5.87</v>
      </c>
      <c r="V1148">
        <v>10.81</v>
      </c>
      <c r="W1148">
        <v>57115</v>
      </c>
      <c r="X1148">
        <v>42627</v>
      </c>
      <c r="Y1148">
        <v>1.34</v>
      </c>
      <c r="Z1148">
        <v>68</v>
      </c>
      <c r="AA1148">
        <v>28</v>
      </c>
      <c r="AB1148" t="s">
        <v>116</v>
      </c>
      <c r="AC1148">
        <v>1171700</v>
      </c>
      <c r="AD1148">
        <v>0.03</v>
      </c>
      <c r="AE1148" t="s">
        <v>116</v>
      </c>
      <c r="AF1148" t="s">
        <v>116</v>
      </c>
      <c r="AG1148">
        <v>8.23</v>
      </c>
      <c r="AH1148" t="s">
        <v>3677</v>
      </c>
      <c r="AI1148" t="s">
        <v>6532</v>
      </c>
      <c r="AJ1148">
        <v>-2.5299999999999998</v>
      </c>
      <c r="AK1148">
        <v>3151</v>
      </c>
      <c r="AL1148">
        <v>32</v>
      </c>
      <c r="AM1148">
        <v>4.0000000000000002E-4</v>
      </c>
      <c r="AN1148">
        <v>-1</v>
      </c>
      <c r="AO1148">
        <v>-1.49</v>
      </c>
      <c r="AP1148">
        <v>9.7799999999999994</v>
      </c>
      <c r="AQ1148">
        <v>7.11</v>
      </c>
      <c r="AR1148">
        <v>80.86</v>
      </c>
      <c r="AS1148">
        <v>2.57</v>
      </c>
      <c r="AT1148" t="s">
        <v>6533</v>
      </c>
      <c r="AU1148">
        <v>35.869999999999997</v>
      </c>
      <c r="AV1148">
        <v>59.25</v>
      </c>
      <c r="AW1148">
        <v>1.1399999999999999</v>
      </c>
      <c r="BA1148">
        <v>0.09</v>
      </c>
      <c r="BB1148">
        <v>2.2000000000000002</v>
      </c>
      <c r="BC1148">
        <v>-3.67</v>
      </c>
      <c r="BD1148">
        <v>-0.86</v>
      </c>
      <c r="BE1148">
        <v>-3.3</v>
      </c>
      <c r="BF1148">
        <v>-5.3</v>
      </c>
      <c r="BG1148">
        <v>0.48</v>
      </c>
      <c r="BH1148">
        <v>-2.35</v>
      </c>
      <c r="BI1148">
        <v>20191030</v>
      </c>
      <c r="BJ1148">
        <v>20120911</v>
      </c>
      <c r="BK1148">
        <v>10.23</v>
      </c>
      <c r="BL1148" t="s">
        <v>116</v>
      </c>
      <c r="BM1148" t="s">
        <v>116</v>
      </c>
      <c r="BN1148">
        <v>38.28</v>
      </c>
      <c r="BO1148">
        <v>22.21</v>
      </c>
      <c r="BP1148">
        <v>0.85</v>
      </c>
      <c r="BQ1148">
        <v>39.78</v>
      </c>
      <c r="BR1148">
        <v>31.16</v>
      </c>
      <c r="BS1148">
        <v>2.06</v>
      </c>
      <c r="BT1148">
        <v>0.68</v>
      </c>
      <c r="BU1148">
        <v>14.55</v>
      </c>
      <c r="BV1148">
        <v>13.37</v>
      </c>
      <c r="BW1148">
        <v>5.31</v>
      </c>
      <c r="BX1148">
        <v>0.97</v>
      </c>
      <c r="BY1148">
        <v>10.76</v>
      </c>
      <c r="BZ1148">
        <v>5.93</v>
      </c>
      <c r="CA1148">
        <v>3.14</v>
      </c>
      <c r="CB1148">
        <v>0.08</v>
      </c>
      <c r="CC1148">
        <v>3.14</v>
      </c>
      <c r="CD1148">
        <v>2.67</v>
      </c>
      <c r="CE1148">
        <v>2.5</v>
      </c>
      <c r="CF1148">
        <v>2.34</v>
      </c>
      <c r="CG1148">
        <v>9.36</v>
      </c>
      <c r="CH1148">
        <v>1.85</v>
      </c>
      <c r="CI1148">
        <v>0.73</v>
      </c>
      <c r="CJ1148">
        <v>27240</v>
      </c>
      <c r="CK1148">
        <v>14270</v>
      </c>
      <c r="CL1148" t="s">
        <v>6534</v>
      </c>
      <c r="CM1148">
        <v>90.55</v>
      </c>
      <c r="CN1148">
        <v>70.34</v>
      </c>
      <c r="CO1148">
        <v>4.8600000000000003</v>
      </c>
      <c r="CP1148">
        <v>58.42</v>
      </c>
      <c r="CQ1148">
        <v>10.029999999999999</v>
      </c>
      <c r="CR1148">
        <v>0.88</v>
      </c>
      <c r="CS1148" t="s">
        <v>3212</v>
      </c>
      <c r="CT1148">
        <v>2.17</v>
      </c>
      <c r="CU1148">
        <v>0</v>
      </c>
      <c r="CV1148">
        <v>0.1</v>
      </c>
      <c r="CW1148">
        <v>0.92</v>
      </c>
      <c r="CX1148">
        <v>0.18</v>
      </c>
      <c r="CY1148">
        <v>58.01</v>
      </c>
      <c r="CZ1148" t="s">
        <v>6535</v>
      </c>
      <c r="DA1148">
        <v>44.89</v>
      </c>
      <c r="DB1148">
        <v>29.18</v>
      </c>
      <c r="DC1148">
        <v>23.22</v>
      </c>
      <c r="DD1148">
        <v>0.48</v>
      </c>
      <c r="DE1148">
        <v>1088</v>
      </c>
      <c r="DF1148">
        <v>2698</v>
      </c>
      <c r="DG1148" t="s">
        <v>116</v>
      </c>
      <c r="DH1148" t="s">
        <v>116</v>
      </c>
      <c r="DI1148" t="s">
        <v>116</v>
      </c>
    </row>
    <row r="1149" spans="1:113" x14ac:dyDescent="0.4">
      <c r="A1149" t="str">
        <f>"002699"</f>
        <v>002699</v>
      </c>
      <c r="B1149" t="s">
        <v>6536</v>
      </c>
      <c r="C1149">
        <v>2.86</v>
      </c>
      <c r="D1149">
        <v>6.84</v>
      </c>
      <c r="E1149">
        <v>0.19</v>
      </c>
      <c r="F1149">
        <v>6.84</v>
      </c>
      <c r="G1149">
        <v>6.85</v>
      </c>
      <c r="H1149">
        <v>549050</v>
      </c>
      <c r="I1149">
        <v>7346</v>
      </c>
      <c r="J1149">
        <v>-0.28000000000000003</v>
      </c>
      <c r="K1149">
        <v>6.91</v>
      </c>
      <c r="L1149">
        <v>6.72</v>
      </c>
      <c r="M1149">
        <v>7.32</v>
      </c>
      <c r="N1149">
        <v>6.57</v>
      </c>
      <c r="O1149">
        <v>6.65</v>
      </c>
      <c r="P1149">
        <v>51.43</v>
      </c>
      <c r="Q1149">
        <v>381377344</v>
      </c>
      <c r="R1149">
        <v>2.2400000000000002</v>
      </c>
      <c r="S1149" t="s">
        <v>3070</v>
      </c>
      <c r="T1149" t="s">
        <v>590</v>
      </c>
      <c r="U1149">
        <v>11.28</v>
      </c>
      <c r="V1149">
        <v>6.95</v>
      </c>
      <c r="W1149">
        <v>251799</v>
      </c>
      <c r="X1149">
        <v>297251</v>
      </c>
      <c r="Y1149">
        <v>0.85</v>
      </c>
      <c r="Z1149">
        <v>124</v>
      </c>
      <c r="AA1149">
        <v>1899</v>
      </c>
      <c r="AB1149" t="s">
        <v>116</v>
      </c>
      <c r="AC1149">
        <v>1181400</v>
      </c>
      <c r="AD1149">
        <v>0.06</v>
      </c>
      <c r="AE1149" t="s">
        <v>116</v>
      </c>
      <c r="AF1149" t="s">
        <v>116</v>
      </c>
      <c r="AG1149">
        <v>7.94</v>
      </c>
      <c r="AH1149" t="s">
        <v>4872</v>
      </c>
      <c r="AI1149" t="s">
        <v>6537</v>
      </c>
      <c r="AJ1149">
        <v>3.54</v>
      </c>
      <c r="AK1149">
        <v>4040</v>
      </c>
      <c r="AL1149">
        <v>136</v>
      </c>
      <c r="AM1149">
        <v>1.6999999999999999E-3</v>
      </c>
      <c r="AN1149">
        <v>4</v>
      </c>
      <c r="AO1149">
        <v>9.09</v>
      </c>
      <c r="AP1149">
        <v>22.14</v>
      </c>
      <c r="AQ1149">
        <v>15.74</v>
      </c>
      <c r="AR1149">
        <v>24.82</v>
      </c>
      <c r="AS1149">
        <v>17.22</v>
      </c>
      <c r="AT1149" t="s">
        <v>6538</v>
      </c>
      <c r="AU1149" t="s">
        <v>116</v>
      </c>
      <c r="AV1149" t="s">
        <v>116</v>
      </c>
      <c r="AW1149">
        <v>1.64</v>
      </c>
      <c r="BA1149">
        <v>1.05</v>
      </c>
      <c r="BB1149">
        <v>10.08</v>
      </c>
      <c r="BC1149">
        <v>-1.2</v>
      </c>
      <c r="BD1149">
        <v>4.45</v>
      </c>
      <c r="BE1149">
        <v>1.79</v>
      </c>
      <c r="BF1149">
        <v>-6.56</v>
      </c>
      <c r="BG1149">
        <v>4.1100000000000003</v>
      </c>
      <c r="BH1149">
        <v>-1.6</v>
      </c>
      <c r="BI1149">
        <v>20191031</v>
      </c>
      <c r="BJ1149">
        <v>20120911</v>
      </c>
      <c r="BK1149">
        <v>9.1</v>
      </c>
      <c r="BL1149" t="s">
        <v>116</v>
      </c>
      <c r="BM1149" t="s">
        <v>116</v>
      </c>
      <c r="BN1149">
        <v>39.950000000000003</v>
      </c>
      <c r="BO1149">
        <v>31.26</v>
      </c>
      <c r="BP1149">
        <v>0.21</v>
      </c>
      <c r="BQ1149">
        <v>21.22</v>
      </c>
      <c r="BR1149">
        <v>20.27</v>
      </c>
      <c r="BS1149">
        <v>2.77</v>
      </c>
      <c r="BT1149">
        <v>0.4</v>
      </c>
      <c r="BU1149">
        <v>8.19</v>
      </c>
      <c r="BV1149">
        <v>2.4900000000000002</v>
      </c>
      <c r="BW1149">
        <v>6.52</v>
      </c>
      <c r="BX1149">
        <v>19.809999999999999</v>
      </c>
      <c r="BY1149">
        <v>10.09</v>
      </c>
      <c r="BZ1149">
        <v>7.16</v>
      </c>
      <c r="CA1149">
        <v>0.86</v>
      </c>
      <c r="CB1149">
        <v>-0.48</v>
      </c>
      <c r="CC1149">
        <v>1.01</v>
      </c>
      <c r="CD1149">
        <v>0.8</v>
      </c>
      <c r="CE1149">
        <v>0.91</v>
      </c>
      <c r="CF1149">
        <v>0.66</v>
      </c>
      <c r="CG1149">
        <v>1.79</v>
      </c>
      <c r="CH1149">
        <v>-1.95</v>
      </c>
      <c r="CI1149">
        <v>4.91</v>
      </c>
      <c r="CJ1149">
        <v>28904</v>
      </c>
      <c r="CK1149">
        <v>11032</v>
      </c>
      <c r="CL1149" t="s">
        <v>6539</v>
      </c>
      <c r="CM1149">
        <v>-17.2</v>
      </c>
      <c r="CN1149">
        <v>52.19</v>
      </c>
      <c r="CO1149">
        <v>1.99</v>
      </c>
      <c r="CP1149">
        <v>-31.96</v>
      </c>
      <c r="CQ1149">
        <v>6.16</v>
      </c>
      <c r="CR1149">
        <v>0</v>
      </c>
      <c r="CS1149" t="s">
        <v>2448</v>
      </c>
      <c r="CT1149">
        <v>3.44</v>
      </c>
      <c r="CU1149">
        <v>0</v>
      </c>
      <c r="CV1149">
        <v>2.1800000000000002</v>
      </c>
      <c r="CW1149">
        <v>0.2</v>
      </c>
      <c r="CX1149">
        <v>-0.21</v>
      </c>
      <c r="CY1149">
        <v>78.25</v>
      </c>
      <c r="CZ1149" t="s">
        <v>146</v>
      </c>
      <c r="DA1149">
        <v>29.08</v>
      </c>
      <c r="DB1149">
        <v>8.51</v>
      </c>
      <c r="DC1149">
        <v>8.99</v>
      </c>
      <c r="DD1149">
        <v>0.26</v>
      </c>
      <c r="DE1149">
        <v>1377</v>
      </c>
      <c r="DF1149">
        <v>2699</v>
      </c>
      <c r="DG1149" t="s">
        <v>116</v>
      </c>
      <c r="DH1149" t="s">
        <v>116</v>
      </c>
      <c r="DI1149" t="s">
        <v>116</v>
      </c>
    </row>
    <row r="1150" spans="1:113" x14ac:dyDescent="0.4">
      <c r="A1150" t="str">
        <f>"002700"</f>
        <v>002700</v>
      </c>
      <c r="B1150" t="s">
        <v>6540</v>
      </c>
      <c r="C1150">
        <v>-0.4</v>
      </c>
      <c r="D1150">
        <v>7.46</v>
      </c>
      <c r="E1150">
        <v>-0.03</v>
      </c>
      <c r="F1150">
        <v>7.45</v>
      </c>
      <c r="G1150">
        <v>7.46</v>
      </c>
      <c r="H1150">
        <v>28793</v>
      </c>
      <c r="I1150">
        <v>1261</v>
      </c>
      <c r="J1150">
        <v>-0.12</v>
      </c>
      <c r="K1150">
        <v>0.92</v>
      </c>
      <c r="L1150">
        <v>7.49</v>
      </c>
      <c r="M1150">
        <v>7.55</v>
      </c>
      <c r="N1150">
        <v>7.45</v>
      </c>
      <c r="O1150">
        <v>7.49</v>
      </c>
      <c r="P1150">
        <v>41.06</v>
      </c>
      <c r="Q1150">
        <v>21611190</v>
      </c>
      <c r="R1150">
        <v>0.69</v>
      </c>
      <c r="S1150" t="s">
        <v>690</v>
      </c>
      <c r="T1150" t="s">
        <v>616</v>
      </c>
      <c r="U1150">
        <v>1.34</v>
      </c>
      <c r="V1150">
        <v>7.51</v>
      </c>
      <c r="W1150">
        <v>16491</v>
      </c>
      <c r="X1150">
        <v>12302</v>
      </c>
      <c r="Y1150">
        <v>1.34</v>
      </c>
      <c r="Z1150">
        <v>944</v>
      </c>
      <c r="AA1150">
        <v>415</v>
      </c>
      <c r="AB1150" t="s">
        <v>116</v>
      </c>
      <c r="AC1150">
        <v>67400</v>
      </c>
      <c r="AD1150">
        <v>0.01</v>
      </c>
      <c r="AE1150" t="s">
        <v>116</v>
      </c>
      <c r="AF1150" t="s">
        <v>116</v>
      </c>
      <c r="AG1150">
        <v>3.13</v>
      </c>
      <c r="AH1150" t="s">
        <v>6541</v>
      </c>
      <c r="AI1150" t="s">
        <v>6542</v>
      </c>
      <c r="AJ1150">
        <v>0.28000000000000003</v>
      </c>
      <c r="AK1150">
        <v>1043</v>
      </c>
      <c r="AL1150">
        <v>28</v>
      </c>
      <c r="AM1150">
        <v>8.9999999999999998E-4</v>
      </c>
      <c r="AN1150">
        <v>-3</v>
      </c>
      <c r="AO1150">
        <v>-2.62</v>
      </c>
      <c r="AP1150">
        <v>-2.23</v>
      </c>
      <c r="AQ1150">
        <v>-2.74</v>
      </c>
      <c r="AR1150">
        <v>-24.42</v>
      </c>
      <c r="AS1150">
        <v>1.74</v>
      </c>
      <c r="AT1150" t="s">
        <v>1275</v>
      </c>
      <c r="AU1150">
        <v>38.74</v>
      </c>
      <c r="AV1150">
        <v>45.17</v>
      </c>
      <c r="AW1150">
        <v>0.89</v>
      </c>
      <c r="BA1150">
        <v>0</v>
      </c>
      <c r="BB1150">
        <v>0.8</v>
      </c>
      <c r="BC1150">
        <v>-0.53</v>
      </c>
      <c r="BD1150">
        <v>0.21</v>
      </c>
      <c r="BE1150">
        <v>-0.4</v>
      </c>
      <c r="BF1150">
        <v>-1.19</v>
      </c>
      <c r="BG1150">
        <v>0.13</v>
      </c>
      <c r="BH1150">
        <v>-0.61</v>
      </c>
      <c r="BI1150">
        <v>20191023</v>
      </c>
      <c r="BJ1150">
        <v>20120921</v>
      </c>
      <c r="BK1150">
        <v>4.22</v>
      </c>
      <c r="BL1150" t="s">
        <v>116</v>
      </c>
      <c r="BM1150" t="s">
        <v>116</v>
      </c>
      <c r="BN1150">
        <v>12.86</v>
      </c>
      <c r="BO1150">
        <v>10.62</v>
      </c>
      <c r="BP1150">
        <v>0.55000000000000004</v>
      </c>
      <c r="BQ1150">
        <v>13.11</v>
      </c>
      <c r="BR1150">
        <v>7.5</v>
      </c>
      <c r="BS1150">
        <v>3.57</v>
      </c>
      <c r="BT1150">
        <v>0.62</v>
      </c>
      <c r="BU1150">
        <v>1.69</v>
      </c>
      <c r="BV1150">
        <v>0.36</v>
      </c>
      <c r="BW1150">
        <v>0.4</v>
      </c>
      <c r="BX1150">
        <v>0.23</v>
      </c>
      <c r="BY1150">
        <v>3.62</v>
      </c>
      <c r="BZ1150">
        <v>2.5299999999999998</v>
      </c>
      <c r="CA1150">
        <v>0.67</v>
      </c>
      <c r="CB1150">
        <v>0</v>
      </c>
      <c r="CC1150">
        <v>0.67</v>
      </c>
      <c r="CD1150">
        <v>0.56000000000000005</v>
      </c>
      <c r="CE1150">
        <v>0.57999999999999996</v>
      </c>
      <c r="CF1150">
        <v>0.56999999999999995</v>
      </c>
      <c r="CG1150">
        <v>5.47</v>
      </c>
      <c r="CH1150">
        <v>0.59</v>
      </c>
      <c r="CI1150">
        <v>-0.06</v>
      </c>
      <c r="CJ1150">
        <v>31869</v>
      </c>
      <c r="CK1150">
        <v>5203</v>
      </c>
      <c r="CL1150" t="s">
        <v>2781</v>
      </c>
      <c r="CM1150">
        <v>25.18</v>
      </c>
      <c r="CN1150">
        <v>41.25</v>
      </c>
      <c r="CO1150">
        <v>2.97</v>
      </c>
      <c r="CP1150">
        <v>53.08</v>
      </c>
      <c r="CQ1150">
        <v>8.6999999999999993</v>
      </c>
      <c r="CR1150">
        <v>0.4</v>
      </c>
      <c r="CS1150" t="s">
        <v>6543</v>
      </c>
      <c r="CT1150">
        <v>2.52</v>
      </c>
      <c r="CU1150">
        <v>0</v>
      </c>
      <c r="CV1150">
        <v>0.05</v>
      </c>
      <c r="CW1150">
        <v>1.29</v>
      </c>
      <c r="CX1150">
        <v>0.14000000000000001</v>
      </c>
      <c r="CY1150">
        <v>82.64</v>
      </c>
      <c r="CZ1150" t="s">
        <v>6544</v>
      </c>
      <c r="DA1150">
        <v>30.02</v>
      </c>
      <c r="DB1150">
        <v>18.37</v>
      </c>
      <c r="DC1150">
        <v>15.9</v>
      </c>
      <c r="DD1150">
        <v>0.02</v>
      </c>
      <c r="DE1150">
        <v>550</v>
      </c>
      <c r="DF1150">
        <v>2700</v>
      </c>
      <c r="DG1150" t="s">
        <v>116</v>
      </c>
      <c r="DH1150" t="s">
        <v>116</v>
      </c>
      <c r="DI1150" t="s">
        <v>116</v>
      </c>
    </row>
    <row r="1151" spans="1:113" x14ac:dyDescent="0.4">
      <c r="A1151" t="str">
        <f>"002701"</f>
        <v>002701</v>
      </c>
      <c r="B1151" t="s">
        <v>6545</v>
      </c>
      <c r="C1151">
        <v>-0.46</v>
      </c>
      <c r="D1151">
        <v>4.34</v>
      </c>
      <c r="E1151">
        <v>-0.02</v>
      </c>
      <c r="F1151">
        <v>4.33</v>
      </c>
      <c r="G1151">
        <v>4.34</v>
      </c>
      <c r="H1151">
        <v>136011</v>
      </c>
      <c r="I1151">
        <v>803</v>
      </c>
      <c r="J1151">
        <v>0</v>
      </c>
      <c r="K1151">
        <v>0.57999999999999996</v>
      </c>
      <c r="L1151">
        <v>4.3499999999999996</v>
      </c>
      <c r="M1151">
        <v>4.38</v>
      </c>
      <c r="N1151">
        <v>4.32</v>
      </c>
      <c r="O1151">
        <v>4.3600000000000003</v>
      </c>
      <c r="P1151">
        <v>11.16</v>
      </c>
      <c r="Q1151">
        <v>59170844</v>
      </c>
      <c r="R1151">
        <v>1.1000000000000001</v>
      </c>
      <c r="S1151" t="s">
        <v>345</v>
      </c>
      <c r="T1151" t="s">
        <v>165</v>
      </c>
      <c r="U1151">
        <v>1.38</v>
      </c>
      <c r="V1151">
        <v>4.3499999999999996</v>
      </c>
      <c r="W1151">
        <v>91338</v>
      </c>
      <c r="X1151">
        <v>44673</v>
      </c>
      <c r="Y1151">
        <v>2.04</v>
      </c>
      <c r="Z1151">
        <v>978</v>
      </c>
      <c r="AA1151">
        <v>146</v>
      </c>
      <c r="AB1151" t="s">
        <v>116</v>
      </c>
      <c r="AC1151">
        <v>141400</v>
      </c>
      <c r="AD1151">
        <v>0</v>
      </c>
      <c r="AE1151" t="s">
        <v>116</v>
      </c>
      <c r="AF1151" t="s">
        <v>116</v>
      </c>
      <c r="AG1151">
        <v>23.31</v>
      </c>
      <c r="AH1151" t="s">
        <v>6546</v>
      </c>
      <c r="AI1151" t="s">
        <v>6547</v>
      </c>
      <c r="AJ1151">
        <v>0.22</v>
      </c>
      <c r="AK1151">
        <v>3004</v>
      </c>
      <c r="AL1151">
        <v>45</v>
      </c>
      <c r="AM1151">
        <v>2.0000000000000001E-4</v>
      </c>
      <c r="AN1151">
        <v>-1</v>
      </c>
      <c r="AO1151">
        <v>0</v>
      </c>
      <c r="AP1151">
        <v>2.12</v>
      </c>
      <c r="AQ1151">
        <v>-8.2799999999999994</v>
      </c>
      <c r="AR1151">
        <v>-12.36</v>
      </c>
      <c r="AS1151">
        <v>1.1399999999999999</v>
      </c>
      <c r="AT1151" t="s">
        <v>6548</v>
      </c>
      <c r="AU1151">
        <v>48.62</v>
      </c>
      <c r="AV1151">
        <v>45.35</v>
      </c>
      <c r="AW1151">
        <v>0.95</v>
      </c>
      <c r="BA1151">
        <v>-0.23</v>
      </c>
      <c r="BB1151">
        <v>0.46</v>
      </c>
      <c r="BC1151">
        <v>-0.92</v>
      </c>
      <c r="BD1151">
        <v>-0.22</v>
      </c>
      <c r="BE1151">
        <v>-0.23</v>
      </c>
      <c r="BF1151">
        <v>-0.91</v>
      </c>
      <c r="BG1151">
        <v>0.46</v>
      </c>
      <c r="BH1151">
        <v>-0.24</v>
      </c>
      <c r="BI1151">
        <v>20191119</v>
      </c>
      <c r="BJ1151">
        <v>20121011</v>
      </c>
      <c r="BK1151">
        <v>23.55</v>
      </c>
      <c r="BL1151" t="s">
        <v>116</v>
      </c>
      <c r="BM1151" t="s">
        <v>116</v>
      </c>
      <c r="BN1151">
        <v>139.94999999999999</v>
      </c>
      <c r="BO1151">
        <v>58.2</v>
      </c>
      <c r="BP1151">
        <v>2.44</v>
      </c>
      <c r="BQ1151">
        <v>56.67</v>
      </c>
      <c r="BR1151">
        <v>53.63</v>
      </c>
      <c r="BS1151">
        <v>42.56</v>
      </c>
      <c r="BT1151">
        <v>4.8499999999999996</v>
      </c>
      <c r="BU1151">
        <v>59.8</v>
      </c>
      <c r="BV1151">
        <v>7.54</v>
      </c>
      <c r="BW1151">
        <v>18.86</v>
      </c>
      <c r="BX1151">
        <v>-0.22</v>
      </c>
      <c r="BY1151">
        <v>64.55</v>
      </c>
      <c r="BZ1151">
        <v>47.26</v>
      </c>
      <c r="CA1151">
        <v>9.66</v>
      </c>
      <c r="CB1151">
        <v>0.83</v>
      </c>
      <c r="CC1151">
        <v>9.68</v>
      </c>
      <c r="CD1151">
        <v>6.98</v>
      </c>
      <c r="CE1151">
        <v>6.87</v>
      </c>
      <c r="CF1151">
        <v>6.16</v>
      </c>
      <c r="CG1151">
        <v>32.93</v>
      </c>
      <c r="CH1151">
        <v>11.28</v>
      </c>
      <c r="CI1151">
        <v>-3.99</v>
      </c>
      <c r="CJ1151">
        <v>56131</v>
      </c>
      <c r="CK1151">
        <v>21305</v>
      </c>
      <c r="CL1151" t="s">
        <v>6549</v>
      </c>
      <c r="CM1151">
        <v>-2.16</v>
      </c>
      <c r="CN1151">
        <v>3.29</v>
      </c>
      <c r="CO1151">
        <v>1.76</v>
      </c>
      <c r="CP1151">
        <v>9.06</v>
      </c>
      <c r="CQ1151">
        <v>1.58</v>
      </c>
      <c r="CR1151">
        <v>2.4700000000000002</v>
      </c>
      <c r="CS1151" t="s">
        <v>1591</v>
      </c>
      <c r="CT1151">
        <v>2.4700000000000002</v>
      </c>
      <c r="CU1151">
        <v>0</v>
      </c>
      <c r="CV1151">
        <v>-0.01</v>
      </c>
      <c r="CW1151">
        <v>1.4</v>
      </c>
      <c r="CX1151">
        <v>0.48</v>
      </c>
      <c r="CY1151">
        <v>41.59</v>
      </c>
      <c r="CZ1151" t="s">
        <v>6550</v>
      </c>
      <c r="DA1151">
        <v>26.78</v>
      </c>
      <c r="DB1151">
        <v>14.97</v>
      </c>
      <c r="DC1151">
        <v>10.64</v>
      </c>
      <c r="DD1151">
        <v>0.61</v>
      </c>
      <c r="DE1151">
        <v>3188</v>
      </c>
      <c r="DF1151">
        <v>2701</v>
      </c>
      <c r="DG1151" t="s">
        <v>116</v>
      </c>
      <c r="DH1151" t="s">
        <v>116</v>
      </c>
      <c r="DI1151" t="s">
        <v>116</v>
      </c>
    </row>
    <row r="1152" spans="1:113" x14ac:dyDescent="0.4">
      <c r="A1152" t="str">
        <f>"002702"</f>
        <v>002702</v>
      </c>
      <c r="B1152" t="s">
        <v>6551</v>
      </c>
      <c r="C1152">
        <v>-0.47</v>
      </c>
      <c r="D1152">
        <v>4.21</v>
      </c>
      <c r="E1152">
        <v>-0.02</v>
      </c>
      <c r="F1152">
        <v>4.21</v>
      </c>
      <c r="G1152">
        <v>4.22</v>
      </c>
      <c r="H1152">
        <v>55908</v>
      </c>
      <c r="I1152">
        <v>3219</v>
      </c>
      <c r="J1152">
        <v>0</v>
      </c>
      <c r="K1152">
        <v>1.75</v>
      </c>
      <c r="L1152">
        <v>4.24</v>
      </c>
      <c r="M1152">
        <v>4.2699999999999996</v>
      </c>
      <c r="N1152">
        <v>4.2</v>
      </c>
      <c r="O1152">
        <v>4.2300000000000004</v>
      </c>
      <c r="P1152">
        <v>122.57</v>
      </c>
      <c r="Q1152">
        <v>23744158</v>
      </c>
      <c r="R1152">
        <v>1.1599999999999999</v>
      </c>
      <c r="S1152" t="s">
        <v>863</v>
      </c>
      <c r="T1152" t="s">
        <v>975</v>
      </c>
      <c r="U1152">
        <v>1.65</v>
      </c>
      <c r="V1152">
        <v>4.25</v>
      </c>
      <c r="W1152">
        <v>25946</v>
      </c>
      <c r="X1152">
        <v>29962</v>
      </c>
      <c r="Y1152">
        <v>0.87</v>
      </c>
      <c r="Z1152">
        <v>166</v>
      </c>
      <c r="AA1152">
        <v>735</v>
      </c>
      <c r="AB1152" t="s">
        <v>116</v>
      </c>
      <c r="AC1152">
        <v>10600</v>
      </c>
      <c r="AD1152">
        <v>0</v>
      </c>
      <c r="AE1152" t="s">
        <v>116</v>
      </c>
      <c r="AF1152" t="s">
        <v>116</v>
      </c>
      <c r="AG1152">
        <v>3.19</v>
      </c>
      <c r="AH1152" t="s">
        <v>1589</v>
      </c>
      <c r="AI1152" t="s">
        <v>1654</v>
      </c>
      <c r="AJ1152">
        <v>0.21</v>
      </c>
      <c r="AK1152">
        <v>1248</v>
      </c>
      <c r="AL1152">
        <v>45</v>
      </c>
      <c r="AM1152">
        <v>1.4E-3</v>
      </c>
      <c r="AN1152">
        <v>-1</v>
      </c>
      <c r="AO1152">
        <v>0.49</v>
      </c>
      <c r="AP1152">
        <v>3.69</v>
      </c>
      <c r="AQ1152">
        <v>-4.97</v>
      </c>
      <c r="AR1152">
        <v>6.85</v>
      </c>
      <c r="AS1152">
        <v>2.11</v>
      </c>
      <c r="AT1152" t="s">
        <v>6552</v>
      </c>
      <c r="AU1152">
        <v>98.8</v>
      </c>
      <c r="AV1152">
        <v>58</v>
      </c>
      <c r="AW1152">
        <v>0.85</v>
      </c>
      <c r="BA1152">
        <v>0.24</v>
      </c>
      <c r="BB1152">
        <v>0.95</v>
      </c>
      <c r="BC1152">
        <v>-0.71</v>
      </c>
      <c r="BD1152">
        <v>0.4</v>
      </c>
      <c r="BE1152">
        <v>-0.71</v>
      </c>
      <c r="BF1152">
        <v>-1.41</v>
      </c>
      <c r="BG1152">
        <v>0.24</v>
      </c>
      <c r="BH1152">
        <v>-0.87</v>
      </c>
      <c r="BI1152">
        <v>20191023</v>
      </c>
      <c r="BJ1152">
        <v>20121011</v>
      </c>
      <c r="BK1152">
        <v>4.8099999999999996</v>
      </c>
      <c r="BL1152" t="s">
        <v>116</v>
      </c>
      <c r="BM1152" t="s">
        <v>116</v>
      </c>
      <c r="BN1152">
        <v>10.9</v>
      </c>
      <c r="BO1152">
        <v>7.92</v>
      </c>
      <c r="BP1152">
        <v>0</v>
      </c>
      <c r="BQ1152">
        <v>27.33</v>
      </c>
      <c r="BR1152">
        <v>6.45</v>
      </c>
      <c r="BS1152">
        <v>2.98</v>
      </c>
      <c r="BT1152">
        <v>0.53</v>
      </c>
      <c r="BU1152">
        <v>2.96</v>
      </c>
      <c r="BV1152">
        <v>2.61</v>
      </c>
      <c r="BW1152">
        <v>1.36</v>
      </c>
      <c r="BX1152">
        <v>1.03</v>
      </c>
      <c r="BY1152">
        <v>8.7799999999999994</v>
      </c>
      <c r="BZ1152">
        <v>6.28</v>
      </c>
      <c r="CA1152">
        <v>0.23</v>
      </c>
      <c r="CB1152">
        <v>0.04</v>
      </c>
      <c r="CC1152">
        <v>0.24</v>
      </c>
      <c r="CD1152">
        <v>0.12</v>
      </c>
      <c r="CE1152">
        <v>0.12</v>
      </c>
      <c r="CF1152">
        <v>0.09</v>
      </c>
      <c r="CG1152">
        <v>1.76</v>
      </c>
      <c r="CH1152">
        <v>-0.49</v>
      </c>
      <c r="CI1152">
        <v>-7.0000000000000007E-2</v>
      </c>
      <c r="CJ1152">
        <v>45996</v>
      </c>
      <c r="CK1152">
        <v>5758</v>
      </c>
      <c r="CL1152" t="s">
        <v>6553</v>
      </c>
      <c r="CM1152">
        <v>-53.78</v>
      </c>
      <c r="CN1152">
        <v>20.440000000000001</v>
      </c>
      <c r="CO1152">
        <v>2.56</v>
      </c>
      <c r="CP1152">
        <v>-41.18</v>
      </c>
      <c r="CQ1152">
        <v>2.31</v>
      </c>
      <c r="CR1152">
        <v>1.19</v>
      </c>
      <c r="CS1152" t="s">
        <v>613</v>
      </c>
      <c r="CT1152">
        <v>1.65</v>
      </c>
      <c r="CU1152">
        <v>0</v>
      </c>
      <c r="CV1152">
        <v>0.21</v>
      </c>
      <c r="CW1152">
        <v>0.37</v>
      </c>
      <c r="CX1152">
        <v>-0.1</v>
      </c>
      <c r="CY1152">
        <v>72.67</v>
      </c>
      <c r="CZ1152" t="s">
        <v>931</v>
      </c>
      <c r="DA1152">
        <v>28.39</v>
      </c>
      <c r="DB1152">
        <v>2.67</v>
      </c>
      <c r="DC1152">
        <v>1.41</v>
      </c>
      <c r="DD1152">
        <v>0.11</v>
      </c>
      <c r="DE1152">
        <v>1325</v>
      </c>
      <c r="DF1152">
        <v>2702</v>
      </c>
      <c r="DG1152" t="s">
        <v>116</v>
      </c>
      <c r="DH1152" t="s">
        <v>116</v>
      </c>
      <c r="DI1152" t="s">
        <v>116</v>
      </c>
    </row>
    <row r="1153" spans="1:113" x14ac:dyDescent="0.4">
      <c r="A1153" t="str">
        <f>"002703"</f>
        <v>002703</v>
      </c>
      <c r="B1153" t="s">
        <v>6554</v>
      </c>
      <c r="C1153">
        <v>1.94</v>
      </c>
      <c r="D1153">
        <v>4.74</v>
      </c>
      <c r="E1153">
        <v>0.09</v>
      </c>
      <c r="F1153">
        <v>4.74</v>
      </c>
      <c r="G1153">
        <v>4.75</v>
      </c>
      <c r="H1153">
        <v>93507</v>
      </c>
      <c r="I1153">
        <v>2838</v>
      </c>
      <c r="J1153">
        <v>0.64</v>
      </c>
      <c r="K1153">
        <v>1.69</v>
      </c>
      <c r="L1153">
        <v>4.66</v>
      </c>
      <c r="M1153">
        <v>4.82</v>
      </c>
      <c r="N1153">
        <v>4.63</v>
      </c>
      <c r="O1153">
        <v>4.6500000000000004</v>
      </c>
      <c r="P1153" t="s">
        <v>116</v>
      </c>
      <c r="Q1153">
        <v>44015648</v>
      </c>
      <c r="R1153">
        <v>1.03</v>
      </c>
      <c r="S1153" t="s">
        <v>293</v>
      </c>
      <c r="T1153" t="s">
        <v>590</v>
      </c>
      <c r="U1153">
        <v>4.09</v>
      </c>
      <c r="V1153">
        <v>4.71</v>
      </c>
      <c r="W1153">
        <v>43660</v>
      </c>
      <c r="X1153">
        <v>49847</v>
      </c>
      <c r="Y1153">
        <v>0.88</v>
      </c>
      <c r="Z1153">
        <v>1629</v>
      </c>
      <c r="AA1153">
        <v>910</v>
      </c>
      <c r="AB1153" t="s">
        <v>116</v>
      </c>
      <c r="AC1153">
        <v>194300</v>
      </c>
      <c r="AD1153">
        <v>0.02</v>
      </c>
      <c r="AE1153" t="s">
        <v>116</v>
      </c>
      <c r="AF1153" t="s">
        <v>116</v>
      </c>
      <c r="AG1153">
        <v>5.53</v>
      </c>
      <c r="AH1153" t="s">
        <v>4568</v>
      </c>
      <c r="AI1153" t="s">
        <v>6555</v>
      </c>
      <c r="AJ1153">
        <v>2.61</v>
      </c>
      <c r="AK1153">
        <v>1351</v>
      </c>
      <c r="AL1153">
        <v>69</v>
      </c>
      <c r="AM1153">
        <v>1.2999999999999999E-3</v>
      </c>
      <c r="AN1153">
        <v>2</v>
      </c>
      <c r="AO1153">
        <v>1.72</v>
      </c>
      <c r="AP1153">
        <v>7.97</v>
      </c>
      <c r="AQ1153">
        <v>-9.3699999999999992</v>
      </c>
      <c r="AR1153">
        <v>13.13</v>
      </c>
      <c r="AS1153">
        <v>4.57</v>
      </c>
      <c r="AT1153" t="s">
        <v>6556</v>
      </c>
      <c r="AU1153" t="s">
        <v>116</v>
      </c>
      <c r="AV1153">
        <v>514.25</v>
      </c>
      <c r="AW1153">
        <v>0.59</v>
      </c>
      <c r="BA1153">
        <v>0.22</v>
      </c>
      <c r="BB1153">
        <v>3.66</v>
      </c>
      <c r="BC1153">
        <v>-0.43</v>
      </c>
      <c r="BD1153">
        <v>1.23</v>
      </c>
      <c r="BE1153">
        <v>1.72</v>
      </c>
      <c r="BF1153">
        <v>-1.66</v>
      </c>
      <c r="BG1153">
        <v>2.38</v>
      </c>
      <c r="BH1153">
        <v>0.71</v>
      </c>
      <c r="BI1153">
        <v>20191028</v>
      </c>
      <c r="BJ1153">
        <v>20121102</v>
      </c>
      <c r="BK1153">
        <v>7.9</v>
      </c>
      <c r="BL1153" t="s">
        <v>116</v>
      </c>
      <c r="BM1153">
        <v>2.17</v>
      </c>
      <c r="BN1153">
        <v>19.64</v>
      </c>
      <c r="BO1153">
        <v>14.44</v>
      </c>
      <c r="BP1153">
        <v>0.05</v>
      </c>
      <c r="BQ1153">
        <v>26.22</v>
      </c>
      <c r="BR1153">
        <v>10.07</v>
      </c>
      <c r="BS1153">
        <v>6.82</v>
      </c>
      <c r="BT1153">
        <v>0.87</v>
      </c>
      <c r="BU1153">
        <v>4.58</v>
      </c>
      <c r="BV1153">
        <v>2.88</v>
      </c>
      <c r="BW1153">
        <v>3.96</v>
      </c>
      <c r="BX1153">
        <v>1.82</v>
      </c>
      <c r="BY1153">
        <v>6.87</v>
      </c>
      <c r="BZ1153">
        <v>5.71</v>
      </c>
      <c r="CA1153">
        <v>-0.42</v>
      </c>
      <c r="CB1153">
        <v>0.01</v>
      </c>
      <c r="CC1153">
        <v>-0.43</v>
      </c>
      <c r="CD1153">
        <v>-0.42</v>
      </c>
      <c r="CE1153">
        <v>-0.35</v>
      </c>
      <c r="CF1153">
        <v>-0.46</v>
      </c>
      <c r="CG1153">
        <v>3.36</v>
      </c>
      <c r="CH1153">
        <v>0.14000000000000001</v>
      </c>
      <c r="CI1153">
        <v>-0.08</v>
      </c>
      <c r="CJ1153">
        <v>37698</v>
      </c>
      <c r="CK1153">
        <v>5430</v>
      </c>
      <c r="CL1153" t="s">
        <v>3987</v>
      </c>
      <c r="CM1153">
        <v>-544.84</v>
      </c>
      <c r="CN1153">
        <v>-22.49</v>
      </c>
      <c r="CO1153">
        <v>2.59</v>
      </c>
      <c r="CP1153">
        <v>262.58</v>
      </c>
      <c r="CQ1153">
        <v>5.45</v>
      </c>
      <c r="CR1153">
        <v>0</v>
      </c>
      <c r="CS1153" t="s">
        <v>5090</v>
      </c>
      <c r="CT1153">
        <v>1.83</v>
      </c>
      <c r="CU1153">
        <v>0</v>
      </c>
      <c r="CV1153">
        <v>0.23</v>
      </c>
      <c r="CW1153">
        <v>0.43</v>
      </c>
      <c r="CX1153">
        <v>0.02</v>
      </c>
      <c r="CY1153">
        <v>73.52</v>
      </c>
      <c r="CZ1153" t="s">
        <v>6557</v>
      </c>
      <c r="DA1153">
        <v>16.899999999999999</v>
      </c>
      <c r="DB1153">
        <v>-6.19</v>
      </c>
      <c r="DC1153">
        <v>-5.07</v>
      </c>
      <c r="DD1153">
        <v>0.41</v>
      </c>
      <c r="DE1153">
        <v>1571</v>
      </c>
      <c r="DF1153">
        <v>2703</v>
      </c>
      <c r="DG1153" t="s">
        <v>116</v>
      </c>
      <c r="DH1153" t="s">
        <v>116</v>
      </c>
      <c r="DI1153" t="s">
        <v>116</v>
      </c>
    </row>
    <row r="1154" spans="1:113" x14ac:dyDescent="0.4">
      <c r="A1154" t="str">
        <f>"002705"</f>
        <v>002705</v>
      </c>
      <c r="B1154" t="s">
        <v>6558</v>
      </c>
      <c r="C1154">
        <v>0.89</v>
      </c>
      <c r="D1154">
        <v>15.88</v>
      </c>
      <c r="E1154">
        <v>0.14000000000000001</v>
      </c>
      <c r="F1154">
        <v>15.87</v>
      </c>
      <c r="G1154">
        <v>15.88</v>
      </c>
      <c r="H1154">
        <v>76483</v>
      </c>
      <c r="I1154">
        <v>514</v>
      </c>
      <c r="J1154">
        <v>-0.24</v>
      </c>
      <c r="K1154">
        <v>0.96</v>
      </c>
      <c r="L1154">
        <v>15.7</v>
      </c>
      <c r="M1154">
        <v>16.23</v>
      </c>
      <c r="N1154">
        <v>15.45</v>
      </c>
      <c r="O1154">
        <v>15.74</v>
      </c>
      <c r="P1154">
        <v>18.399999999999999</v>
      </c>
      <c r="Q1154">
        <v>121312688</v>
      </c>
      <c r="R1154">
        <v>2.33</v>
      </c>
      <c r="S1154" t="s">
        <v>209</v>
      </c>
      <c r="T1154" t="s">
        <v>551</v>
      </c>
      <c r="U1154">
        <v>4.96</v>
      </c>
      <c r="V1154">
        <v>15.86</v>
      </c>
      <c r="W1154">
        <v>35008</v>
      </c>
      <c r="X1154">
        <v>41475</v>
      </c>
      <c r="Y1154">
        <v>0.84</v>
      </c>
      <c r="Z1154">
        <v>137</v>
      </c>
      <c r="AA1154">
        <v>1972</v>
      </c>
      <c r="AB1154" t="s">
        <v>116</v>
      </c>
      <c r="AC1154">
        <v>565200</v>
      </c>
      <c r="AD1154">
        <v>0.01</v>
      </c>
      <c r="AE1154" t="s">
        <v>116</v>
      </c>
      <c r="AF1154" t="s">
        <v>116</v>
      </c>
      <c r="AG1154">
        <v>7.96</v>
      </c>
      <c r="AH1154" t="s">
        <v>6559</v>
      </c>
      <c r="AI1154" t="s">
        <v>6560</v>
      </c>
      <c r="AJ1154">
        <v>1.57</v>
      </c>
      <c r="AK1154">
        <v>3022</v>
      </c>
      <c r="AL1154">
        <v>25</v>
      </c>
      <c r="AM1154">
        <v>2.9999999999999997E-4</v>
      </c>
      <c r="AN1154">
        <v>2</v>
      </c>
      <c r="AO1154">
        <v>0.56999999999999995</v>
      </c>
      <c r="AP1154">
        <v>0.25</v>
      </c>
      <c r="AQ1154">
        <v>22.25</v>
      </c>
      <c r="AR1154">
        <v>79.84</v>
      </c>
      <c r="AS1154">
        <v>3.1</v>
      </c>
      <c r="AT1154" t="s">
        <v>6561</v>
      </c>
      <c r="AU1154">
        <v>19.18</v>
      </c>
      <c r="AV1154">
        <v>25.32</v>
      </c>
      <c r="AW1154">
        <v>1.03</v>
      </c>
      <c r="BA1154">
        <v>-0.25</v>
      </c>
      <c r="BB1154">
        <v>3.11</v>
      </c>
      <c r="BC1154">
        <v>-1.84</v>
      </c>
      <c r="BD1154">
        <v>0.77</v>
      </c>
      <c r="BE1154">
        <v>1.1499999999999999</v>
      </c>
      <c r="BF1154">
        <v>-2.16</v>
      </c>
      <c r="BG1154">
        <v>2.78</v>
      </c>
      <c r="BH1154">
        <v>0.12</v>
      </c>
      <c r="BI1154">
        <v>20191223</v>
      </c>
      <c r="BJ1154">
        <v>20140121</v>
      </c>
      <c r="BK1154">
        <v>8.01</v>
      </c>
      <c r="BL1154" t="s">
        <v>116</v>
      </c>
      <c r="BM1154" t="s">
        <v>116</v>
      </c>
      <c r="BN1154">
        <v>78.849999999999994</v>
      </c>
      <c r="BO1154">
        <v>41.31</v>
      </c>
      <c r="BP1154">
        <v>0.25</v>
      </c>
      <c r="BQ1154">
        <v>47.3</v>
      </c>
      <c r="BR1154">
        <v>50.01</v>
      </c>
      <c r="BS1154">
        <v>19.27</v>
      </c>
      <c r="BT1154">
        <v>4.9000000000000004</v>
      </c>
      <c r="BU1154">
        <v>35.75</v>
      </c>
      <c r="BV1154">
        <v>11.3</v>
      </c>
      <c r="BW1154">
        <v>12.13</v>
      </c>
      <c r="BX1154">
        <v>11.39</v>
      </c>
      <c r="BY1154">
        <v>68.27</v>
      </c>
      <c r="BZ1154">
        <v>52.49</v>
      </c>
      <c r="CA1154">
        <v>6.02</v>
      </c>
      <c r="CB1154">
        <v>-0.37</v>
      </c>
      <c r="CC1154">
        <v>6.1</v>
      </c>
      <c r="CD1154">
        <v>5.2</v>
      </c>
      <c r="CE1154">
        <v>5.19</v>
      </c>
      <c r="CF1154">
        <v>5.64</v>
      </c>
      <c r="CG1154">
        <v>18.920000000000002</v>
      </c>
      <c r="CH1154">
        <v>10.95</v>
      </c>
      <c r="CI1154">
        <v>5.0199999999999996</v>
      </c>
      <c r="CJ1154">
        <v>11146</v>
      </c>
      <c r="CK1154">
        <v>22164</v>
      </c>
      <c r="CL1154" t="s">
        <v>6562</v>
      </c>
      <c r="CM1154">
        <v>44.88</v>
      </c>
      <c r="CN1154">
        <v>9.19</v>
      </c>
      <c r="CO1154">
        <v>3.08</v>
      </c>
      <c r="CP1154">
        <v>11.63</v>
      </c>
      <c r="CQ1154">
        <v>1.86</v>
      </c>
      <c r="CR1154">
        <v>2.2000000000000002</v>
      </c>
      <c r="CS1154" t="s">
        <v>6563</v>
      </c>
      <c r="CT1154">
        <v>5.15</v>
      </c>
      <c r="CU1154">
        <v>0</v>
      </c>
      <c r="CV1154">
        <v>1.42</v>
      </c>
      <c r="CW1154">
        <v>2.36</v>
      </c>
      <c r="CX1154">
        <v>1.37</v>
      </c>
      <c r="CY1154">
        <v>52.39</v>
      </c>
      <c r="CZ1154" t="s">
        <v>6564</v>
      </c>
      <c r="DA1154">
        <v>23.11</v>
      </c>
      <c r="DB1154">
        <v>8.82</v>
      </c>
      <c r="DC1154">
        <v>7.6</v>
      </c>
      <c r="DD1154">
        <v>2.33</v>
      </c>
      <c r="DE1154">
        <v>19537</v>
      </c>
      <c r="DF1154">
        <v>2705</v>
      </c>
      <c r="DG1154" t="s">
        <v>116</v>
      </c>
      <c r="DH1154" t="s">
        <v>116</v>
      </c>
      <c r="DI1154" t="s">
        <v>116</v>
      </c>
    </row>
    <row r="1155" spans="1:113" x14ac:dyDescent="0.4">
      <c r="A1155" t="str">
        <f>"002706"</f>
        <v>002706</v>
      </c>
      <c r="B1155" t="s">
        <v>6565</v>
      </c>
      <c r="C1155">
        <v>-1.06</v>
      </c>
      <c r="D1155">
        <v>8.44</v>
      </c>
      <c r="E1155">
        <v>-0.09</v>
      </c>
      <c r="F1155">
        <v>8.44</v>
      </c>
      <c r="G1155">
        <v>8.4499999999999993</v>
      </c>
      <c r="H1155">
        <v>39986</v>
      </c>
      <c r="I1155">
        <v>352</v>
      </c>
      <c r="J1155">
        <v>0.24</v>
      </c>
      <c r="K1155">
        <v>0.68</v>
      </c>
      <c r="L1155">
        <v>8.61</v>
      </c>
      <c r="M1155">
        <v>8.74</v>
      </c>
      <c r="N1155">
        <v>8.39</v>
      </c>
      <c r="O1155">
        <v>8.5299999999999994</v>
      </c>
      <c r="P1155">
        <v>19.64</v>
      </c>
      <c r="Q1155">
        <v>34128260</v>
      </c>
      <c r="R1155">
        <v>1.1200000000000001</v>
      </c>
      <c r="S1155" t="s">
        <v>397</v>
      </c>
      <c r="T1155" t="s">
        <v>1653</v>
      </c>
      <c r="U1155">
        <v>4.0999999999999996</v>
      </c>
      <c r="V1155">
        <v>8.5399999999999991</v>
      </c>
      <c r="W1155">
        <v>15264</v>
      </c>
      <c r="X1155">
        <v>24722</v>
      </c>
      <c r="Y1155">
        <v>0.62</v>
      </c>
      <c r="Z1155">
        <v>162</v>
      </c>
      <c r="AA1155">
        <v>419</v>
      </c>
      <c r="AB1155" t="s">
        <v>116</v>
      </c>
      <c r="AC1155">
        <v>90400</v>
      </c>
      <c r="AD1155">
        <v>0</v>
      </c>
      <c r="AE1155" t="s">
        <v>116</v>
      </c>
      <c r="AF1155" t="s">
        <v>116</v>
      </c>
      <c r="AG1155">
        <v>5.88</v>
      </c>
      <c r="AH1155" t="s">
        <v>6566</v>
      </c>
      <c r="AI1155" t="s">
        <v>6567</v>
      </c>
      <c r="AJ1155">
        <v>-0.38</v>
      </c>
      <c r="AK1155">
        <v>2695</v>
      </c>
      <c r="AL1155">
        <v>15</v>
      </c>
      <c r="AM1155">
        <v>2.9999999999999997E-4</v>
      </c>
      <c r="AN1155">
        <v>-3</v>
      </c>
      <c r="AO1155">
        <v>-2.4300000000000002</v>
      </c>
      <c r="AP1155">
        <v>10.039999999999999</v>
      </c>
      <c r="AQ1155">
        <v>6.43</v>
      </c>
      <c r="AR1155">
        <v>42.57</v>
      </c>
      <c r="AS1155">
        <v>0.81</v>
      </c>
      <c r="AT1155" t="s">
        <v>6568</v>
      </c>
      <c r="AU1155">
        <v>25.96</v>
      </c>
      <c r="AV1155">
        <v>29.85</v>
      </c>
      <c r="AW1155">
        <v>0.39</v>
      </c>
      <c r="BA1155">
        <v>0.94</v>
      </c>
      <c r="BB1155">
        <v>2.46</v>
      </c>
      <c r="BC1155">
        <v>-1.64</v>
      </c>
      <c r="BD1155">
        <v>0.06</v>
      </c>
      <c r="BE1155">
        <v>-1.97</v>
      </c>
      <c r="BF1155">
        <v>-3.43</v>
      </c>
      <c r="BG1155">
        <v>0.6</v>
      </c>
      <c r="BH1155">
        <v>-1.1100000000000001</v>
      </c>
      <c r="BI1155">
        <v>20191023</v>
      </c>
      <c r="BJ1155">
        <v>20140121</v>
      </c>
      <c r="BK1155">
        <v>7.85</v>
      </c>
      <c r="BL1155" t="s">
        <v>116</v>
      </c>
      <c r="BM1155" t="s">
        <v>116</v>
      </c>
      <c r="BN1155">
        <v>22.79</v>
      </c>
      <c r="BO1155">
        <v>17.84</v>
      </c>
      <c r="BP1155">
        <v>0</v>
      </c>
      <c r="BQ1155">
        <v>21.72</v>
      </c>
      <c r="BR1155">
        <v>13.32</v>
      </c>
      <c r="BS1155">
        <v>6.44</v>
      </c>
      <c r="BT1155">
        <v>0.63</v>
      </c>
      <c r="BU1155">
        <v>4.91</v>
      </c>
      <c r="BV1155">
        <v>2.62</v>
      </c>
      <c r="BW1155">
        <v>1.63</v>
      </c>
      <c r="BX1155">
        <v>3.82</v>
      </c>
      <c r="BY1155">
        <v>15.05</v>
      </c>
      <c r="BZ1155">
        <v>8.83</v>
      </c>
      <c r="CA1155">
        <v>2.71</v>
      </c>
      <c r="CB1155">
        <v>0.06</v>
      </c>
      <c r="CC1155">
        <v>2.98</v>
      </c>
      <c r="CD1155">
        <v>2.5299999999999998</v>
      </c>
      <c r="CE1155">
        <v>2.5299999999999998</v>
      </c>
      <c r="CF1155">
        <v>2.2200000000000002</v>
      </c>
      <c r="CG1155">
        <v>6.13</v>
      </c>
      <c r="CH1155">
        <v>2.74</v>
      </c>
      <c r="CI1155">
        <v>1.7</v>
      </c>
      <c r="CJ1155">
        <v>14574</v>
      </c>
      <c r="CK1155">
        <v>33980</v>
      </c>
      <c r="CL1155" t="s">
        <v>6569</v>
      </c>
      <c r="CM1155">
        <v>15.14</v>
      </c>
      <c r="CN1155">
        <v>22.75</v>
      </c>
      <c r="CO1155">
        <v>3.71</v>
      </c>
      <c r="CP1155">
        <v>24.17</v>
      </c>
      <c r="CQ1155">
        <v>4.4000000000000004</v>
      </c>
      <c r="CR1155">
        <v>2.91</v>
      </c>
      <c r="CS1155" t="s">
        <v>6570</v>
      </c>
      <c r="CT1155">
        <v>2.27</v>
      </c>
      <c r="CU1155">
        <v>0</v>
      </c>
      <c r="CV1155">
        <v>0.49</v>
      </c>
      <c r="CW1155">
        <v>0.78</v>
      </c>
      <c r="CX1155">
        <v>0.35</v>
      </c>
      <c r="CY1155">
        <v>78.28</v>
      </c>
      <c r="CZ1155" t="s">
        <v>6571</v>
      </c>
      <c r="DA1155">
        <v>41.32</v>
      </c>
      <c r="DB1155">
        <v>17.98</v>
      </c>
      <c r="DC1155">
        <v>16.809999999999999</v>
      </c>
      <c r="DD1155">
        <v>1.1299999999999999</v>
      </c>
      <c r="DE1155">
        <v>1973</v>
      </c>
      <c r="DF1155">
        <v>2706</v>
      </c>
      <c r="DG1155" t="s">
        <v>116</v>
      </c>
      <c r="DH1155" t="s">
        <v>116</v>
      </c>
      <c r="DI1155" t="s">
        <v>116</v>
      </c>
    </row>
    <row r="1156" spans="1:113" x14ac:dyDescent="0.4">
      <c r="A1156" t="str">
        <f>"002707"</f>
        <v>002707</v>
      </c>
      <c r="B1156" t="s">
        <v>6572</v>
      </c>
      <c r="C1156">
        <v>-0.78</v>
      </c>
      <c r="D1156">
        <v>6.39</v>
      </c>
      <c r="E1156">
        <v>-0.05</v>
      </c>
      <c r="F1156">
        <v>6.38</v>
      </c>
      <c r="G1156">
        <v>6.39</v>
      </c>
      <c r="H1156">
        <v>247753</v>
      </c>
      <c r="I1156">
        <v>4145</v>
      </c>
      <c r="J1156">
        <v>0.79</v>
      </c>
      <c r="K1156">
        <v>4.67</v>
      </c>
      <c r="L1156">
        <v>6.43</v>
      </c>
      <c r="M1156">
        <v>6.48</v>
      </c>
      <c r="N1156">
        <v>6.32</v>
      </c>
      <c r="O1156">
        <v>6.44</v>
      </c>
      <c r="P1156">
        <v>36.74</v>
      </c>
      <c r="Q1156">
        <v>158021584</v>
      </c>
      <c r="R1156">
        <v>0.66</v>
      </c>
      <c r="S1156" t="s">
        <v>1412</v>
      </c>
      <c r="T1156" t="s">
        <v>165</v>
      </c>
      <c r="U1156">
        <v>2.48</v>
      </c>
      <c r="V1156">
        <v>6.38</v>
      </c>
      <c r="W1156">
        <v>140256</v>
      </c>
      <c r="X1156">
        <v>107497</v>
      </c>
      <c r="Y1156">
        <v>1.3</v>
      </c>
      <c r="Z1156">
        <v>221</v>
      </c>
      <c r="AA1156">
        <v>534</v>
      </c>
      <c r="AB1156" t="s">
        <v>116</v>
      </c>
      <c r="AC1156">
        <v>553600</v>
      </c>
      <c r="AD1156">
        <v>0.02</v>
      </c>
      <c r="AE1156" t="s">
        <v>116</v>
      </c>
      <c r="AF1156" t="s">
        <v>116</v>
      </c>
      <c r="AG1156">
        <v>5.31</v>
      </c>
      <c r="AH1156" t="s">
        <v>6573</v>
      </c>
      <c r="AI1156" t="s">
        <v>6574</v>
      </c>
      <c r="AJ1156">
        <v>-0.1</v>
      </c>
      <c r="AK1156">
        <v>2701</v>
      </c>
      <c r="AL1156">
        <v>92</v>
      </c>
      <c r="AM1156">
        <v>1.6999999999999999E-3</v>
      </c>
      <c r="AN1156">
        <v>-2</v>
      </c>
      <c r="AO1156">
        <v>2.9</v>
      </c>
      <c r="AP1156">
        <v>24.56</v>
      </c>
      <c r="AQ1156">
        <v>18.989999999999998</v>
      </c>
      <c r="AR1156">
        <v>1.48</v>
      </c>
      <c r="AS1156">
        <v>5.5</v>
      </c>
      <c r="AT1156" t="s">
        <v>6575</v>
      </c>
      <c r="AU1156" t="s">
        <v>116</v>
      </c>
      <c r="AV1156">
        <v>238.37</v>
      </c>
      <c r="AW1156">
        <v>1.26</v>
      </c>
      <c r="BA1156">
        <v>-0.16</v>
      </c>
      <c r="BB1156">
        <v>0.62</v>
      </c>
      <c r="BC1156">
        <v>-1.86</v>
      </c>
      <c r="BD1156">
        <v>-0.96</v>
      </c>
      <c r="BE1156">
        <v>-0.62</v>
      </c>
      <c r="BF1156">
        <v>-1.39</v>
      </c>
      <c r="BG1156">
        <v>1.1100000000000001</v>
      </c>
      <c r="BH1156">
        <v>0.18</v>
      </c>
      <c r="BI1156">
        <v>20191030</v>
      </c>
      <c r="BJ1156">
        <v>20140123</v>
      </c>
      <c r="BK1156">
        <v>8.7899999999999991</v>
      </c>
      <c r="BL1156" t="s">
        <v>116</v>
      </c>
      <c r="BM1156" t="s">
        <v>116</v>
      </c>
      <c r="BN1156">
        <v>62.76</v>
      </c>
      <c r="BO1156">
        <v>24.46</v>
      </c>
      <c r="BP1156">
        <v>0.83</v>
      </c>
      <c r="BQ1156">
        <v>59.69</v>
      </c>
      <c r="BR1156">
        <v>37.56</v>
      </c>
      <c r="BS1156">
        <v>0.89</v>
      </c>
      <c r="BT1156">
        <v>0.91</v>
      </c>
      <c r="BU1156">
        <v>31.29</v>
      </c>
      <c r="BV1156">
        <v>0.09</v>
      </c>
      <c r="BW1156">
        <v>6.46</v>
      </c>
      <c r="BX1156">
        <v>4.37</v>
      </c>
      <c r="BY1156">
        <v>95.47</v>
      </c>
      <c r="BZ1156">
        <v>85.92</v>
      </c>
      <c r="CA1156">
        <v>1.65</v>
      </c>
      <c r="CB1156">
        <v>0.09</v>
      </c>
      <c r="CC1156">
        <v>1.73</v>
      </c>
      <c r="CD1156">
        <v>1.29</v>
      </c>
      <c r="CE1156">
        <v>1.1499999999999999</v>
      </c>
      <c r="CF1156">
        <v>1.06</v>
      </c>
      <c r="CG1156">
        <v>9.25</v>
      </c>
      <c r="CH1156">
        <v>1.7</v>
      </c>
      <c r="CI1156">
        <v>1.68</v>
      </c>
      <c r="CJ1156">
        <v>37914</v>
      </c>
      <c r="CK1156">
        <v>11873</v>
      </c>
      <c r="CL1156" t="s">
        <v>4073</v>
      </c>
      <c r="CM1156">
        <v>-45.09</v>
      </c>
      <c r="CN1156">
        <v>1.67</v>
      </c>
      <c r="CO1156">
        <v>2.4500000000000002</v>
      </c>
      <c r="CP1156">
        <v>33.08</v>
      </c>
      <c r="CQ1156">
        <v>0.59</v>
      </c>
      <c r="CR1156">
        <v>0.36</v>
      </c>
      <c r="CS1156" t="s">
        <v>2655</v>
      </c>
      <c r="CT1156">
        <v>2.6</v>
      </c>
      <c r="CU1156">
        <v>2.6</v>
      </c>
      <c r="CV1156">
        <v>0.5</v>
      </c>
      <c r="CW1156">
        <v>1.05</v>
      </c>
      <c r="CX1156">
        <v>0.19</v>
      </c>
      <c r="CY1156">
        <v>38.979999999999997</v>
      </c>
      <c r="CZ1156" t="s">
        <v>6576</v>
      </c>
      <c r="DA1156">
        <v>10</v>
      </c>
      <c r="DB1156">
        <v>1.72</v>
      </c>
      <c r="DC1156">
        <v>1.2</v>
      </c>
      <c r="DD1156">
        <v>0</v>
      </c>
      <c r="DE1156">
        <v>5005</v>
      </c>
      <c r="DF1156">
        <v>2707</v>
      </c>
      <c r="DG1156" t="s">
        <v>116</v>
      </c>
      <c r="DH1156" t="s">
        <v>116</v>
      </c>
      <c r="DI1156" t="s">
        <v>116</v>
      </c>
    </row>
    <row r="1157" spans="1:113" x14ac:dyDescent="0.4">
      <c r="A1157" t="str">
        <f>"002708"</f>
        <v>002708</v>
      </c>
      <c r="B1157" t="s">
        <v>6577</v>
      </c>
      <c r="C1157">
        <v>-1.77</v>
      </c>
      <c r="D1157">
        <v>7.79</v>
      </c>
      <c r="E1157">
        <v>-0.14000000000000001</v>
      </c>
      <c r="F1157">
        <v>7.79</v>
      </c>
      <c r="G1157">
        <v>7.8</v>
      </c>
      <c r="H1157">
        <v>47198</v>
      </c>
      <c r="I1157">
        <v>824</v>
      </c>
      <c r="J1157">
        <v>-0.37</v>
      </c>
      <c r="K1157">
        <v>1.23</v>
      </c>
      <c r="L1157">
        <v>7.91</v>
      </c>
      <c r="M1157">
        <v>8.07</v>
      </c>
      <c r="N1157">
        <v>7.79</v>
      </c>
      <c r="O1157">
        <v>7.93</v>
      </c>
      <c r="P1157">
        <v>646.42999999999995</v>
      </c>
      <c r="Q1157">
        <v>37379228</v>
      </c>
      <c r="R1157">
        <v>0.74</v>
      </c>
      <c r="S1157" t="s">
        <v>293</v>
      </c>
      <c r="T1157" t="s">
        <v>323</v>
      </c>
      <c r="U1157">
        <v>3.53</v>
      </c>
      <c r="V1157">
        <v>7.92</v>
      </c>
      <c r="W1157">
        <v>25090</v>
      </c>
      <c r="X1157">
        <v>22108</v>
      </c>
      <c r="Y1157">
        <v>1.1299999999999999</v>
      </c>
      <c r="Z1157">
        <v>258</v>
      </c>
      <c r="AA1157">
        <v>778</v>
      </c>
      <c r="AB1157" t="s">
        <v>116</v>
      </c>
      <c r="AC1157">
        <v>191400</v>
      </c>
      <c r="AD1157">
        <v>0.02</v>
      </c>
      <c r="AE1157" t="s">
        <v>116</v>
      </c>
      <c r="AF1157" t="s">
        <v>116</v>
      </c>
      <c r="AG1157">
        <v>3.83</v>
      </c>
      <c r="AH1157" t="s">
        <v>2906</v>
      </c>
      <c r="AI1157" t="s">
        <v>4546</v>
      </c>
      <c r="AJ1157">
        <v>-1.0900000000000001</v>
      </c>
      <c r="AK1157">
        <v>2199</v>
      </c>
      <c r="AL1157">
        <v>21</v>
      </c>
      <c r="AM1157">
        <v>5.9999999999999995E-4</v>
      </c>
      <c r="AN1157">
        <v>-1</v>
      </c>
      <c r="AO1157">
        <v>1.82</v>
      </c>
      <c r="AP1157">
        <v>6.71</v>
      </c>
      <c r="AQ1157">
        <v>-7.15</v>
      </c>
      <c r="AR1157">
        <v>2.23</v>
      </c>
      <c r="AS1157">
        <v>3.02</v>
      </c>
      <c r="AT1157" t="s">
        <v>1626</v>
      </c>
      <c r="AU1157" t="s">
        <v>116</v>
      </c>
      <c r="AV1157" t="s">
        <v>116</v>
      </c>
      <c r="AW1157">
        <v>1.1399999999999999</v>
      </c>
      <c r="BA1157">
        <v>-0.25</v>
      </c>
      <c r="BB1157">
        <v>1.77</v>
      </c>
      <c r="BC1157">
        <v>-1.77</v>
      </c>
      <c r="BD1157">
        <v>-0.13</v>
      </c>
      <c r="BE1157">
        <v>-1.52</v>
      </c>
      <c r="BF1157">
        <v>-3.47</v>
      </c>
      <c r="BG1157">
        <v>0</v>
      </c>
      <c r="BH1157">
        <v>-1.64</v>
      </c>
      <c r="BI1157">
        <v>20191029</v>
      </c>
      <c r="BJ1157">
        <v>20140121</v>
      </c>
      <c r="BK1157">
        <v>4.6900000000000004</v>
      </c>
      <c r="BL1157" t="s">
        <v>116</v>
      </c>
      <c r="BM1157" t="s">
        <v>116</v>
      </c>
      <c r="BN1157">
        <v>20.54</v>
      </c>
      <c r="BO1157">
        <v>14.15</v>
      </c>
      <c r="BP1157">
        <v>0</v>
      </c>
      <c r="BQ1157">
        <v>31.1</v>
      </c>
      <c r="BR1157">
        <v>9.73</v>
      </c>
      <c r="BS1157">
        <v>9.1199999999999992</v>
      </c>
      <c r="BT1157">
        <v>1.18</v>
      </c>
      <c r="BU1157">
        <v>5.73</v>
      </c>
      <c r="BV1157">
        <v>2.9</v>
      </c>
      <c r="BW1157">
        <v>3.18</v>
      </c>
      <c r="BX1157">
        <v>7.51</v>
      </c>
      <c r="BY1157">
        <v>9.2799999999999994</v>
      </c>
      <c r="BZ1157">
        <v>7.57</v>
      </c>
      <c r="CA1157">
        <v>0.02</v>
      </c>
      <c r="CB1157">
        <v>0.01</v>
      </c>
      <c r="CC1157">
        <v>0.04</v>
      </c>
      <c r="CD1157">
        <v>0.04</v>
      </c>
      <c r="CE1157">
        <v>0.04</v>
      </c>
      <c r="CF1157">
        <v>-0.04</v>
      </c>
      <c r="CG1157">
        <v>1.61</v>
      </c>
      <c r="CH1157">
        <v>1</v>
      </c>
      <c r="CI1157">
        <v>0.36</v>
      </c>
      <c r="CJ1157">
        <v>30697</v>
      </c>
      <c r="CK1157">
        <v>5088</v>
      </c>
      <c r="CL1157" t="s">
        <v>4451</v>
      </c>
      <c r="CM1157">
        <v>-80.959999999999994</v>
      </c>
      <c r="CN1157">
        <v>-8.5299999999999994</v>
      </c>
      <c r="CO1157">
        <v>2.58</v>
      </c>
      <c r="CP1157">
        <v>36.659999999999997</v>
      </c>
      <c r="CQ1157">
        <v>3.94</v>
      </c>
      <c r="CR1157">
        <v>0</v>
      </c>
      <c r="CS1157" t="s">
        <v>930</v>
      </c>
      <c r="CT1157">
        <v>3.02</v>
      </c>
      <c r="CU1157">
        <v>0</v>
      </c>
      <c r="CV1157">
        <v>1.6</v>
      </c>
      <c r="CW1157">
        <v>0.34</v>
      </c>
      <c r="CX1157">
        <v>0.21</v>
      </c>
      <c r="CY1157">
        <v>68.900000000000006</v>
      </c>
      <c r="CZ1157" t="s">
        <v>6578</v>
      </c>
      <c r="DA1157">
        <v>18.41</v>
      </c>
      <c r="DB1157">
        <v>0.26</v>
      </c>
      <c r="DC1157">
        <v>0.46</v>
      </c>
      <c r="DD1157">
        <v>0.42</v>
      </c>
      <c r="DE1157">
        <v>2988</v>
      </c>
      <c r="DF1157">
        <v>2708</v>
      </c>
      <c r="DG1157" t="s">
        <v>116</v>
      </c>
      <c r="DH1157" t="s">
        <v>116</v>
      </c>
      <c r="DI1157" t="s">
        <v>116</v>
      </c>
    </row>
    <row r="1158" spans="1:113" x14ac:dyDescent="0.4">
      <c r="A1158" t="str">
        <f>"002709"</f>
        <v>002709</v>
      </c>
      <c r="B1158" t="s">
        <v>6579</v>
      </c>
      <c r="C1158">
        <v>-0.91</v>
      </c>
      <c r="D1158">
        <v>20.7</v>
      </c>
      <c r="E1158">
        <v>-0.19</v>
      </c>
      <c r="F1158">
        <v>20.69</v>
      </c>
      <c r="G1158">
        <v>20.7</v>
      </c>
      <c r="H1158">
        <v>105038</v>
      </c>
      <c r="I1158">
        <v>1368</v>
      </c>
      <c r="J1158">
        <v>-0.28000000000000003</v>
      </c>
      <c r="K1158">
        <v>2.86</v>
      </c>
      <c r="L1158">
        <v>20.7</v>
      </c>
      <c r="M1158">
        <v>21.46</v>
      </c>
      <c r="N1158">
        <v>20.6</v>
      </c>
      <c r="O1158">
        <v>20.89</v>
      </c>
      <c r="P1158">
        <v>94.57</v>
      </c>
      <c r="Q1158">
        <v>219995648</v>
      </c>
      <c r="R1158">
        <v>0.93</v>
      </c>
      <c r="S1158" t="s">
        <v>891</v>
      </c>
      <c r="T1158" t="s">
        <v>551</v>
      </c>
      <c r="U1158">
        <v>4.12</v>
      </c>
      <c r="V1158">
        <v>20.94</v>
      </c>
      <c r="W1158">
        <v>55780</v>
      </c>
      <c r="X1158">
        <v>49258</v>
      </c>
      <c r="Y1158">
        <v>1.1299999999999999</v>
      </c>
      <c r="Z1158">
        <v>8</v>
      </c>
      <c r="AA1158">
        <v>150</v>
      </c>
      <c r="AB1158" t="s">
        <v>116</v>
      </c>
      <c r="AC1158">
        <v>418100</v>
      </c>
      <c r="AD1158">
        <v>0.01</v>
      </c>
      <c r="AE1158" t="s">
        <v>116</v>
      </c>
      <c r="AF1158" t="s">
        <v>116</v>
      </c>
      <c r="AG1158">
        <v>3.67</v>
      </c>
      <c r="AH1158" t="s">
        <v>4575</v>
      </c>
      <c r="AI1158" t="s">
        <v>6580</v>
      </c>
      <c r="AJ1158">
        <v>-0.23</v>
      </c>
      <c r="AK1158">
        <v>3205</v>
      </c>
      <c r="AL1158">
        <v>33</v>
      </c>
      <c r="AM1158">
        <v>8.9999999999999998E-4</v>
      </c>
      <c r="AN1158">
        <v>-1</v>
      </c>
      <c r="AO1158">
        <v>-0.62</v>
      </c>
      <c r="AP1158">
        <v>19.86</v>
      </c>
      <c r="AQ1158">
        <v>26.99</v>
      </c>
      <c r="AR1158">
        <v>53.62</v>
      </c>
      <c r="AS1158">
        <v>4.03</v>
      </c>
      <c r="AT1158" t="s">
        <v>6581</v>
      </c>
      <c r="AU1158">
        <v>153.87</v>
      </c>
      <c r="AV1158">
        <v>24.88</v>
      </c>
      <c r="AW1158">
        <v>1.05</v>
      </c>
      <c r="BA1158">
        <v>-0.91</v>
      </c>
      <c r="BB1158">
        <v>2.73</v>
      </c>
      <c r="BC1158">
        <v>-1.39</v>
      </c>
      <c r="BD1158">
        <v>0.26</v>
      </c>
      <c r="BE1158">
        <v>0</v>
      </c>
      <c r="BF1158">
        <v>-3.54</v>
      </c>
      <c r="BG1158">
        <v>0.49</v>
      </c>
      <c r="BH1158">
        <v>-1.17</v>
      </c>
      <c r="BI1158">
        <v>20191216</v>
      </c>
      <c r="BJ1158">
        <v>20140123</v>
      </c>
      <c r="BK1158">
        <v>5.48</v>
      </c>
      <c r="BL1158" t="s">
        <v>116</v>
      </c>
      <c r="BM1158" t="s">
        <v>116</v>
      </c>
      <c r="BN1158">
        <v>53.76</v>
      </c>
      <c r="BO1158">
        <v>28.76</v>
      </c>
      <c r="BP1158">
        <v>1.33</v>
      </c>
      <c r="BQ1158">
        <v>44.03</v>
      </c>
      <c r="BR1158">
        <v>24.59</v>
      </c>
      <c r="BS1158">
        <v>15.67</v>
      </c>
      <c r="BT1158">
        <v>3.09</v>
      </c>
      <c r="BU1158">
        <v>20.170000000000002</v>
      </c>
      <c r="BV1158">
        <v>8.18</v>
      </c>
      <c r="BW1158">
        <v>9.51</v>
      </c>
      <c r="BX1158">
        <v>8.9600000000000009</v>
      </c>
      <c r="BY1158">
        <v>19.64</v>
      </c>
      <c r="BZ1158">
        <v>14.22</v>
      </c>
      <c r="CA1158">
        <v>1.24</v>
      </c>
      <c r="CB1158">
        <v>-0.02</v>
      </c>
      <c r="CC1158">
        <v>1.1100000000000001</v>
      </c>
      <c r="CD1158">
        <v>0.78</v>
      </c>
      <c r="CE1158">
        <v>0.9</v>
      </c>
      <c r="CF1158">
        <v>0.93</v>
      </c>
      <c r="CG1158">
        <v>13.56</v>
      </c>
      <c r="CH1158">
        <v>-1.0900000000000001</v>
      </c>
      <c r="CI1158">
        <v>0.28000000000000003</v>
      </c>
      <c r="CJ1158">
        <v>34202</v>
      </c>
      <c r="CK1158">
        <v>7629</v>
      </c>
      <c r="CL1158" t="s">
        <v>2886</v>
      </c>
      <c r="CM1158">
        <v>-80.95</v>
      </c>
      <c r="CN1158">
        <v>31.2</v>
      </c>
      <c r="CO1158">
        <v>3.95</v>
      </c>
      <c r="CP1158">
        <v>-103.88</v>
      </c>
      <c r="CQ1158">
        <v>5.78</v>
      </c>
      <c r="CR1158">
        <v>0.3</v>
      </c>
      <c r="CS1158" t="s">
        <v>328</v>
      </c>
      <c r="CT1158">
        <v>5.24</v>
      </c>
      <c r="CU1158">
        <v>0</v>
      </c>
      <c r="CV1158">
        <v>1.63</v>
      </c>
      <c r="CW1158">
        <v>2.4700000000000002</v>
      </c>
      <c r="CX1158">
        <v>-0.2</v>
      </c>
      <c r="CY1158">
        <v>53.49</v>
      </c>
      <c r="CZ1158" t="s">
        <v>5816</v>
      </c>
      <c r="DA1158">
        <v>27.61</v>
      </c>
      <c r="DB1158">
        <v>6.32</v>
      </c>
      <c r="DC1158">
        <v>4.58</v>
      </c>
      <c r="DD1158">
        <v>0.86</v>
      </c>
      <c r="DE1158">
        <v>2289</v>
      </c>
      <c r="DF1158">
        <v>2709</v>
      </c>
      <c r="DG1158" t="s">
        <v>116</v>
      </c>
      <c r="DH1158" t="s">
        <v>116</v>
      </c>
      <c r="DI1158" t="s">
        <v>116</v>
      </c>
    </row>
    <row r="1159" spans="1:113" x14ac:dyDescent="0.4">
      <c r="A1159" t="str">
        <f>"002711"</f>
        <v>002711</v>
      </c>
      <c r="B1159" t="s">
        <v>6582</v>
      </c>
      <c r="C1159">
        <v>-4.76</v>
      </c>
      <c r="D1159">
        <v>1.4</v>
      </c>
      <c r="E1159">
        <v>-7.0000000000000007E-2</v>
      </c>
      <c r="F1159" t="s">
        <v>116</v>
      </c>
      <c r="G1159">
        <v>1.4</v>
      </c>
      <c r="H1159">
        <v>258102</v>
      </c>
      <c r="I1159">
        <v>1483</v>
      </c>
      <c r="J1159">
        <v>0</v>
      </c>
      <c r="K1159">
        <v>2.4500000000000002</v>
      </c>
      <c r="L1159">
        <v>1.4</v>
      </c>
      <c r="M1159">
        <v>1.42</v>
      </c>
      <c r="N1159">
        <v>1.4</v>
      </c>
      <c r="O1159">
        <v>1.47</v>
      </c>
      <c r="P1159" t="s">
        <v>116</v>
      </c>
      <c r="Q1159">
        <v>36139680</v>
      </c>
      <c r="R1159">
        <v>0.57999999999999996</v>
      </c>
      <c r="S1159" t="s">
        <v>3113</v>
      </c>
      <c r="T1159" t="s">
        <v>551</v>
      </c>
      <c r="U1159">
        <v>1.36</v>
      </c>
      <c r="V1159">
        <v>1.4</v>
      </c>
      <c r="W1159">
        <v>24055</v>
      </c>
      <c r="X1159">
        <v>234047</v>
      </c>
      <c r="Y1159">
        <v>0.1</v>
      </c>
      <c r="Z1159">
        <v>0</v>
      </c>
      <c r="AA1159">
        <v>208683</v>
      </c>
      <c r="AB1159" t="s">
        <v>116</v>
      </c>
      <c r="AC1159">
        <v>4099900</v>
      </c>
      <c r="AD1159">
        <v>0.56999999999999995</v>
      </c>
      <c r="AE1159">
        <v>0.81</v>
      </c>
      <c r="AF1159">
        <v>29215620</v>
      </c>
      <c r="AG1159">
        <v>10.53</v>
      </c>
      <c r="AH1159" t="s">
        <v>6583</v>
      </c>
      <c r="AI1159" t="s">
        <v>6584</v>
      </c>
      <c r="AJ1159">
        <v>-4.08</v>
      </c>
      <c r="AK1159">
        <v>1063</v>
      </c>
      <c r="AL1159">
        <v>243</v>
      </c>
      <c r="AM1159">
        <v>2.3E-3</v>
      </c>
      <c r="AN1159">
        <v>-1</v>
      </c>
      <c r="AO1159">
        <v>-7.28</v>
      </c>
      <c r="AP1159">
        <v>17.649999999999999</v>
      </c>
      <c r="AQ1159">
        <v>30.84</v>
      </c>
      <c r="AR1159">
        <v>-64.010000000000005</v>
      </c>
      <c r="AS1159">
        <v>5.0599999999999996</v>
      </c>
      <c r="AT1159" t="s">
        <v>4141</v>
      </c>
      <c r="AU1159" t="s">
        <v>116</v>
      </c>
      <c r="AV1159" t="s">
        <v>116</v>
      </c>
      <c r="AW1159">
        <v>0.62</v>
      </c>
      <c r="BA1159">
        <v>-4.76</v>
      </c>
      <c r="BB1159">
        <v>-3.4</v>
      </c>
      <c r="BC1159">
        <v>-4.76</v>
      </c>
      <c r="BD1159">
        <v>-4.75</v>
      </c>
      <c r="BE1159">
        <v>0</v>
      </c>
      <c r="BF1159">
        <v>-1.41</v>
      </c>
      <c r="BG1159">
        <v>0</v>
      </c>
      <c r="BH1159">
        <v>-0.01</v>
      </c>
      <c r="BI1159">
        <v>20191031</v>
      </c>
      <c r="BJ1159">
        <v>20140127</v>
      </c>
      <c r="BK1159">
        <v>10.56</v>
      </c>
      <c r="BL1159" t="s">
        <v>116</v>
      </c>
      <c r="BM1159" t="s">
        <v>116</v>
      </c>
      <c r="BN1159">
        <v>7.1</v>
      </c>
      <c r="BO1159">
        <v>-26.04</v>
      </c>
      <c r="BP1159">
        <v>0.69</v>
      </c>
      <c r="BQ1159">
        <v>456.97</v>
      </c>
      <c r="BR1159">
        <v>1.99</v>
      </c>
      <c r="BS1159">
        <v>1.82</v>
      </c>
      <c r="BT1159">
        <v>2.04</v>
      </c>
      <c r="BU1159">
        <v>9.59</v>
      </c>
      <c r="BV1159">
        <v>0.25</v>
      </c>
      <c r="BW1159">
        <v>0.27</v>
      </c>
      <c r="BX1159">
        <v>0.01</v>
      </c>
      <c r="BY1159">
        <v>1.38</v>
      </c>
      <c r="BZ1159">
        <v>1.28</v>
      </c>
      <c r="CA1159">
        <v>-0.92</v>
      </c>
      <c r="CB1159">
        <v>0</v>
      </c>
      <c r="CC1159">
        <v>-0.92</v>
      </c>
      <c r="CD1159">
        <v>-0.91</v>
      </c>
      <c r="CE1159">
        <v>-0.9</v>
      </c>
      <c r="CF1159">
        <v>-0.9</v>
      </c>
      <c r="CG1159">
        <v>-37.64</v>
      </c>
      <c r="CH1159">
        <v>-0.18</v>
      </c>
      <c r="CI1159">
        <v>-7.0000000000000007E-2</v>
      </c>
      <c r="CJ1159">
        <v>38291</v>
      </c>
      <c r="CK1159">
        <v>13312</v>
      </c>
      <c r="CL1159" t="s">
        <v>6585</v>
      </c>
      <c r="CM1159">
        <v>-154.19999999999999</v>
      </c>
      <c r="CN1159">
        <v>-96.72</v>
      </c>
      <c r="CO1159">
        <v>-0.56999999999999995</v>
      </c>
      <c r="CP1159">
        <v>-81.510000000000005</v>
      </c>
      <c r="CQ1159">
        <v>10.68</v>
      </c>
      <c r="CR1159">
        <v>0</v>
      </c>
      <c r="CS1159" t="s">
        <v>6586</v>
      </c>
      <c r="CT1159">
        <v>-2.4700000000000002</v>
      </c>
      <c r="CU1159">
        <v>0</v>
      </c>
      <c r="CV1159">
        <v>0</v>
      </c>
      <c r="CW1159">
        <v>-3.56</v>
      </c>
      <c r="CX1159">
        <v>-0.02</v>
      </c>
      <c r="CY1159">
        <v>-366.65</v>
      </c>
      <c r="CZ1159" t="s">
        <v>116</v>
      </c>
      <c r="DA1159">
        <v>7.39</v>
      </c>
      <c r="DB1159">
        <v>-66.66</v>
      </c>
      <c r="DC1159">
        <v>-65.069999999999993</v>
      </c>
      <c r="DD1159">
        <v>0.01</v>
      </c>
      <c r="DE1159">
        <v>854</v>
      </c>
      <c r="DF1159">
        <v>2711</v>
      </c>
      <c r="DG1159" t="s">
        <v>116</v>
      </c>
      <c r="DH1159" t="s">
        <v>116</v>
      </c>
      <c r="DI1159" t="s">
        <v>116</v>
      </c>
    </row>
    <row r="1160" spans="1:113" x14ac:dyDescent="0.4">
      <c r="A1160" t="str">
        <f>"002712"</f>
        <v>002712</v>
      </c>
      <c r="B1160" t="s">
        <v>6587</v>
      </c>
      <c r="C1160">
        <v>2.78</v>
      </c>
      <c r="D1160">
        <v>8.1300000000000008</v>
      </c>
      <c r="E1160">
        <v>0.22</v>
      </c>
      <c r="F1160">
        <v>8.1199999999999992</v>
      </c>
      <c r="G1160">
        <v>8.1300000000000008</v>
      </c>
      <c r="H1160">
        <v>257859</v>
      </c>
      <c r="I1160">
        <v>5754</v>
      </c>
      <c r="J1160">
        <v>1.37</v>
      </c>
      <c r="K1160">
        <v>6.87</v>
      </c>
      <c r="L1160">
        <v>7.9</v>
      </c>
      <c r="M1160">
        <v>8.26</v>
      </c>
      <c r="N1160">
        <v>7.77</v>
      </c>
      <c r="O1160">
        <v>7.91</v>
      </c>
      <c r="P1160">
        <v>18.510000000000002</v>
      </c>
      <c r="Q1160">
        <v>206948096</v>
      </c>
      <c r="R1160">
        <v>1.65</v>
      </c>
      <c r="S1160" t="s">
        <v>345</v>
      </c>
      <c r="T1160" t="s">
        <v>590</v>
      </c>
      <c r="U1160">
        <v>6.19</v>
      </c>
      <c r="V1160">
        <v>8.0299999999999994</v>
      </c>
      <c r="W1160">
        <v>113909</v>
      </c>
      <c r="X1160">
        <v>143950</v>
      </c>
      <c r="Y1160">
        <v>0.79</v>
      </c>
      <c r="Z1160">
        <v>17</v>
      </c>
      <c r="AA1160">
        <v>531</v>
      </c>
      <c r="AB1160" t="s">
        <v>116</v>
      </c>
      <c r="AC1160">
        <v>756800</v>
      </c>
      <c r="AD1160">
        <v>0.04</v>
      </c>
      <c r="AE1160" t="s">
        <v>116</v>
      </c>
      <c r="AF1160" t="s">
        <v>116</v>
      </c>
      <c r="AG1160">
        <v>3.75</v>
      </c>
      <c r="AH1160" t="s">
        <v>6588</v>
      </c>
      <c r="AI1160" t="s">
        <v>6589</v>
      </c>
      <c r="AJ1160">
        <v>3.46</v>
      </c>
      <c r="AK1160">
        <v>2281</v>
      </c>
      <c r="AL1160">
        <v>113</v>
      </c>
      <c r="AM1160">
        <v>3.0000000000000001E-3</v>
      </c>
      <c r="AN1160">
        <v>3</v>
      </c>
      <c r="AO1160">
        <v>8.83</v>
      </c>
      <c r="AP1160">
        <v>22.07</v>
      </c>
      <c r="AQ1160">
        <v>18.34</v>
      </c>
      <c r="AR1160">
        <v>36.369999999999997</v>
      </c>
      <c r="AS1160">
        <v>9.74</v>
      </c>
      <c r="AT1160" t="s">
        <v>6590</v>
      </c>
      <c r="AU1160">
        <v>204.88</v>
      </c>
      <c r="AV1160">
        <v>149.9</v>
      </c>
      <c r="AW1160">
        <v>0.96</v>
      </c>
      <c r="BA1160">
        <v>-0.13</v>
      </c>
      <c r="BB1160">
        <v>4.42</v>
      </c>
      <c r="BC1160">
        <v>-1.77</v>
      </c>
      <c r="BD1160">
        <v>1.46</v>
      </c>
      <c r="BE1160">
        <v>2.91</v>
      </c>
      <c r="BF1160">
        <v>-1.57</v>
      </c>
      <c r="BG1160">
        <v>4.63</v>
      </c>
      <c r="BH1160">
        <v>1.32</v>
      </c>
      <c r="BI1160">
        <v>20191217</v>
      </c>
      <c r="BJ1160">
        <v>20140123</v>
      </c>
      <c r="BK1160">
        <v>5.81</v>
      </c>
      <c r="BL1160" t="s">
        <v>116</v>
      </c>
      <c r="BM1160" t="s">
        <v>116</v>
      </c>
      <c r="BN1160">
        <v>45.61</v>
      </c>
      <c r="BO1160">
        <v>32.44</v>
      </c>
      <c r="BP1160">
        <v>0.23</v>
      </c>
      <c r="BQ1160">
        <v>28.38</v>
      </c>
      <c r="BR1160">
        <v>25.18</v>
      </c>
      <c r="BS1160">
        <v>0.05</v>
      </c>
      <c r="BT1160">
        <v>0.21</v>
      </c>
      <c r="BU1160">
        <v>12.91</v>
      </c>
      <c r="BV1160">
        <v>0.85</v>
      </c>
      <c r="BW1160">
        <v>8.7200000000000006</v>
      </c>
      <c r="BX1160">
        <v>18.89</v>
      </c>
      <c r="BY1160">
        <v>20.56</v>
      </c>
      <c r="BZ1160">
        <v>16.63</v>
      </c>
      <c r="CA1160">
        <v>2.02</v>
      </c>
      <c r="CB1160">
        <v>0.06</v>
      </c>
      <c r="CC1160">
        <v>2.02</v>
      </c>
      <c r="CD1160">
        <v>1.95</v>
      </c>
      <c r="CE1160">
        <v>1.91</v>
      </c>
      <c r="CF1160">
        <v>1.74</v>
      </c>
      <c r="CG1160">
        <v>9.6199999999999992</v>
      </c>
      <c r="CH1160">
        <v>2.81</v>
      </c>
      <c r="CI1160">
        <v>-0.28000000000000003</v>
      </c>
      <c r="CJ1160">
        <v>20917</v>
      </c>
      <c r="CK1160">
        <v>12655</v>
      </c>
      <c r="CL1160" t="s">
        <v>6591</v>
      </c>
      <c r="CM1160">
        <v>-4.2300000000000004</v>
      </c>
      <c r="CN1160">
        <v>-51</v>
      </c>
      <c r="CO1160">
        <v>1.46</v>
      </c>
      <c r="CP1160">
        <v>16.809999999999999</v>
      </c>
      <c r="CQ1160">
        <v>2.2999999999999998</v>
      </c>
      <c r="CR1160">
        <v>0.1</v>
      </c>
      <c r="CS1160" t="s">
        <v>4936</v>
      </c>
      <c r="CT1160">
        <v>5.58</v>
      </c>
      <c r="CU1160">
        <v>0</v>
      </c>
      <c r="CV1160">
        <v>3.25</v>
      </c>
      <c r="CW1160">
        <v>1.66</v>
      </c>
      <c r="CX1160">
        <v>0.48</v>
      </c>
      <c r="CY1160">
        <v>71.12</v>
      </c>
      <c r="CZ1160" t="s">
        <v>3138</v>
      </c>
      <c r="DA1160">
        <v>19.100000000000001</v>
      </c>
      <c r="DB1160">
        <v>9.85</v>
      </c>
      <c r="DC1160">
        <v>9.31</v>
      </c>
      <c r="DD1160">
        <v>0.09</v>
      </c>
      <c r="DE1160">
        <v>694</v>
      </c>
      <c r="DF1160">
        <v>2712</v>
      </c>
      <c r="DG1160" t="s">
        <v>116</v>
      </c>
      <c r="DH1160" t="s">
        <v>116</v>
      </c>
      <c r="DI1160" t="s">
        <v>116</v>
      </c>
    </row>
    <row r="1161" spans="1:113" x14ac:dyDescent="0.4">
      <c r="A1161" t="str">
        <f>"002713"</f>
        <v>002713</v>
      </c>
      <c r="B1161" t="s">
        <v>6592</v>
      </c>
      <c r="C1161">
        <v>-1.54</v>
      </c>
      <c r="D1161">
        <v>7.03</v>
      </c>
      <c r="E1161">
        <v>-0.11</v>
      </c>
      <c r="F1161">
        <v>7.02</v>
      </c>
      <c r="G1161">
        <v>7.03</v>
      </c>
      <c r="H1161">
        <v>23937</v>
      </c>
      <c r="I1161">
        <v>666</v>
      </c>
      <c r="J1161">
        <v>0.14000000000000001</v>
      </c>
      <c r="K1161">
        <v>0.6</v>
      </c>
      <c r="L1161">
        <v>7.16</v>
      </c>
      <c r="M1161">
        <v>7.17</v>
      </c>
      <c r="N1161">
        <v>7</v>
      </c>
      <c r="O1161">
        <v>7.14</v>
      </c>
      <c r="P1161" t="s">
        <v>116</v>
      </c>
      <c r="Q1161">
        <v>16966954</v>
      </c>
      <c r="R1161">
        <v>1.01</v>
      </c>
      <c r="S1161" t="s">
        <v>3331</v>
      </c>
      <c r="T1161" t="s">
        <v>165</v>
      </c>
      <c r="U1161">
        <v>2.38</v>
      </c>
      <c r="V1161">
        <v>7.09</v>
      </c>
      <c r="W1161">
        <v>14450</v>
      </c>
      <c r="X1161">
        <v>9487</v>
      </c>
      <c r="Y1161">
        <v>1.52</v>
      </c>
      <c r="Z1161">
        <v>144</v>
      </c>
      <c r="AA1161">
        <v>45</v>
      </c>
      <c r="AB1161" t="s">
        <v>116</v>
      </c>
      <c r="AC1161">
        <v>26500</v>
      </c>
      <c r="AD1161">
        <v>0</v>
      </c>
      <c r="AE1161" t="s">
        <v>116</v>
      </c>
      <c r="AF1161" t="s">
        <v>116</v>
      </c>
      <c r="AG1161">
        <v>4.01</v>
      </c>
      <c r="AH1161" t="s">
        <v>6593</v>
      </c>
      <c r="AI1161" t="s">
        <v>6594</v>
      </c>
      <c r="AJ1161">
        <v>-0.86</v>
      </c>
      <c r="AK1161">
        <v>744</v>
      </c>
      <c r="AL1161">
        <v>32</v>
      </c>
      <c r="AM1161">
        <v>8.0000000000000004E-4</v>
      </c>
      <c r="AN1161">
        <v>-1</v>
      </c>
      <c r="AO1161">
        <v>-0.7</v>
      </c>
      <c r="AP1161">
        <v>11.23</v>
      </c>
      <c r="AQ1161">
        <v>-13.32</v>
      </c>
      <c r="AR1161">
        <v>-24</v>
      </c>
      <c r="AS1161">
        <v>1.72</v>
      </c>
      <c r="AT1161" t="s">
        <v>6595</v>
      </c>
      <c r="AU1161">
        <v>84.16</v>
      </c>
      <c r="AV1161">
        <v>11.67</v>
      </c>
      <c r="AW1161">
        <v>1.6</v>
      </c>
      <c r="BA1161">
        <v>0.28000000000000003</v>
      </c>
      <c r="BB1161">
        <v>0.42</v>
      </c>
      <c r="BC1161">
        <v>-1.96</v>
      </c>
      <c r="BD1161">
        <v>-0.73</v>
      </c>
      <c r="BE1161">
        <v>-1.82</v>
      </c>
      <c r="BF1161">
        <v>-1.95</v>
      </c>
      <c r="BG1161">
        <v>0.43</v>
      </c>
      <c r="BH1161">
        <v>-0.82</v>
      </c>
      <c r="BI1161">
        <v>20191031</v>
      </c>
      <c r="BJ1161">
        <v>20140219</v>
      </c>
      <c r="BK1161">
        <v>4.2</v>
      </c>
      <c r="BL1161" t="s">
        <v>116</v>
      </c>
      <c r="BM1161" t="s">
        <v>116</v>
      </c>
      <c r="BN1161">
        <v>32.35</v>
      </c>
      <c r="BO1161">
        <v>8.44</v>
      </c>
      <c r="BP1161">
        <v>1.07</v>
      </c>
      <c r="BQ1161">
        <v>70.61</v>
      </c>
      <c r="BR1161">
        <v>16.64</v>
      </c>
      <c r="BS1161">
        <v>5.53</v>
      </c>
      <c r="BT1161">
        <v>1.1499999999999999</v>
      </c>
      <c r="BU1161">
        <v>22.32</v>
      </c>
      <c r="BV1161">
        <v>1.56</v>
      </c>
      <c r="BW1161">
        <v>4.4400000000000004</v>
      </c>
      <c r="BX1161">
        <v>4.25</v>
      </c>
      <c r="BY1161">
        <v>27.82</v>
      </c>
      <c r="BZ1161">
        <v>18.739999999999998</v>
      </c>
      <c r="CA1161">
        <v>-0.83</v>
      </c>
      <c r="CB1161">
        <v>0.14000000000000001</v>
      </c>
      <c r="CC1161">
        <v>-0.73</v>
      </c>
      <c r="CD1161">
        <v>-0.97</v>
      </c>
      <c r="CE1161">
        <v>-1.33</v>
      </c>
      <c r="CF1161">
        <v>-1.44</v>
      </c>
      <c r="CG1161">
        <v>-1.32</v>
      </c>
      <c r="CH1161">
        <v>2.17</v>
      </c>
      <c r="CI1161">
        <v>-3.41</v>
      </c>
      <c r="CJ1161">
        <v>15319</v>
      </c>
      <c r="CK1161">
        <v>9062</v>
      </c>
      <c r="CL1161" t="s">
        <v>6596</v>
      </c>
      <c r="CM1161">
        <v>-257.60000000000002</v>
      </c>
      <c r="CN1161">
        <v>-5.38</v>
      </c>
      <c r="CO1161">
        <v>3.5</v>
      </c>
      <c r="CP1161">
        <v>13.59</v>
      </c>
      <c r="CQ1161">
        <v>1.06</v>
      </c>
      <c r="CR1161">
        <v>7.84</v>
      </c>
      <c r="CS1161" t="s">
        <v>6597</v>
      </c>
      <c r="CT1161">
        <v>2.0099999999999998</v>
      </c>
      <c r="CU1161">
        <v>0</v>
      </c>
      <c r="CV1161">
        <v>1.01</v>
      </c>
      <c r="CW1161">
        <v>-0.31</v>
      </c>
      <c r="CX1161">
        <v>0.52</v>
      </c>
      <c r="CY1161">
        <v>26.08</v>
      </c>
      <c r="CZ1161" t="s">
        <v>6598</v>
      </c>
      <c r="DA1161">
        <v>32.64</v>
      </c>
      <c r="DB1161">
        <v>-2.97</v>
      </c>
      <c r="DC1161">
        <v>-4.79</v>
      </c>
      <c r="DD1161">
        <v>1.02</v>
      </c>
      <c r="DE1161">
        <v>7081</v>
      </c>
      <c r="DF1161">
        <v>2713</v>
      </c>
      <c r="DG1161" t="s">
        <v>116</v>
      </c>
      <c r="DH1161" t="s">
        <v>116</v>
      </c>
      <c r="DI1161" t="s">
        <v>116</v>
      </c>
    </row>
    <row r="1162" spans="1:113" x14ac:dyDescent="0.4">
      <c r="A1162" t="str">
        <f>"002714"</f>
        <v>002714</v>
      </c>
      <c r="B1162" t="s">
        <v>6599</v>
      </c>
      <c r="C1162">
        <v>6.67</v>
      </c>
      <c r="D1162">
        <v>82.97</v>
      </c>
      <c r="E1162">
        <v>5.19</v>
      </c>
      <c r="F1162">
        <v>82.96</v>
      </c>
      <c r="G1162">
        <v>82.97</v>
      </c>
      <c r="H1162">
        <v>288619</v>
      </c>
      <c r="I1162">
        <v>2999</v>
      </c>
      <c r="J1162">
        <v>0</v>
      </c>
      <c r="K1162">
        <v>2.4700000000000002</v>
      </c>
      <c r="L1162">
        <v>78.790000000000006</v>
      </c>
      <c r="M1162">
        <v>83.17</v>
      </c>
      <c r="N1162">
        <v>78.22</v>
      </c>
      <c r="O1162">
        <v>77.78</v>
      </c>
      <c r="P1162">
        <v>97</v>
      </c>
      <c r="Q1162">
        <v>2341710848</v>
      </c>
      <c r="R1162">
        <v>2.08</v>
      </c>
      <c r="S1162" t="s">
        <v>449</v>
      </c>
      <c r="T1162" t="s">
        <v>652</v>
      </c>
      <c r="U1162">
        <v>6.36</v>
      </c>
      <c r="V1162">
        <v>81.14</v>
      </c>
      <c r="W1162">
        <v>114682</v>
      </c>
      <c r="X1162">
        <v>173937</v>
      </c>
      <c r="Y1162">
        <v>0.66</v>
      </c>
      <c r="Z1162">
        <v>36</v>
      </c>
      <c r="AA1162">
        <v>519</v>
      </c>
      <c r="AB1162" t="s">
        <v>116</v>
      </c>
      <c r="AC1162">
        <v>10891400</v>
      </c>
      <c r="AD1162">
        <v>0.02</v>
      </c>
      <c r="AE1162" t="s">
        <v>116</v>
      </c>
      <c r="AF1162" t="s">
        <v>116</v>
      </c>
      <c r="AG1162">
        <v>11.67</v>
      </c>
      <c r="AH1162" t="s">
        <v>6600</v>
      </c>
      <c r="AI1162" t="s">
        <v>6601</v>
      </c>
      <c r="AJ1162">
        <v>7.35</v>
      </c>
      <c r="AK1162">
        <v>4675</v>
      </c>
      <c r="AL1162">
        <v>62</v>
      </c>
      <c r="AM1162">
        <v>5.0000000000000001E-4</v>
      </c>
      <c r="AN1162">
        <v>1</v>
      </c>
      <c r="AO1162">
        <v>5.33</v>
      </c>
      <c r="AP1162">
        <v>-4.41</v>
      </c>
      <c r="AQ1162">
        <v>22.01</v>
      </c>
      <c r="AR1162">
        <v>189.09</v>
      </c>
      <c r="AS1162">
        <v>4.0599999999999996</v>
      </c>
      <c r="AT1162" t="s">
        <v>6602</v>
      </c>
      <c r="AU1162">
        <v>115.21</v>
      </c>
      <c r="AV1162">
        <v>344.81</v>
      </c>
      <c r="AW1162">
        <v>0.72</v>
      </c>
      <c r="BA1162">
        <v>1.3</v>
      </c>
      <c r="BB1162">
        <v>6.93</v>
      </c>
      <c r="BC1162">
        <v>0.56999999999999995</v>
      </c>
      <c r="BD1162">
        <v>4.3099999999999996</v>
      </c>
      <c r="BE1162">
        <v>5.31</v>
      </c>
      <c r="BF1162">
        <v>-0.24</v>
      </c>
      <c r="BG1162">
        <v>6.07</v>
      </c>
      <c r="BH1162">
        <v>2.36</v>
      </c>
      <c r="BI1162">
        <v>20191019</v>
      </c>
      <c r="BJ1162">
        <v>20140128</v>
      </c>
      <c r="BK1162">
        <v>21.62</v>
      </c>
      <c r="BL1162" t="s">
        <v>116</v>
      </c>
      <c r="BM1162" t="s">
        <v>116</v>
      </c>
      <c r="BN1162">
        <v>372.33</v>
      </c>
      <c r="BO1162">
        <v>185.49</v>
      </c>
      <c r="BP1162">
        <v>14.86</v>
      </c>
      <c r="BQ1162">
        <v>46.19</v>
      </c>
      <c r="BR1162">
        <v>120.26</v>
      </c>
      <c r="BS1162">
        <v>155.93</v>
      </c>
      <c r="BT1162">
        <v>3.67</v>
      </c>
      <c r="BU1162">
        <v>142.71</v>
      </c>
      <c r="BV1162">
        <v>62.59</v>
      </c>
      <c r="BW1162">
        <v>1.38</v>
      </c>
      <c r="BX1162">
        <v>78.39</v>
      </c>
      <c r="BY1162">
        <v>117.33</v>
      </c>
      <c r="BZ1162">
        <v>95.34</v>
      </c>
      <c r="CA1162">
        <v>14.52</v>
      </c>
      <c r="CB1162">
        <v>0.26</v>
      </c>
      <c r="CC1162">
        <v>14.42</v>
      </c>
      <c r="CD1162">
        <v>14.54</v>
      </c>
      <c r="CE1162">
        <v>13.87</v>
      </c>
      <c r="CF1162">
        <v>13.49</v>
      </c>
      <c r="CG1162">
        <v>56.26</v>
      </c>
      <c r="CH1162">
        <v>47.26</v>
      </c>
      <c r="CI1162">
        <v>6.54</v>
      </c>
      <c r="CJ1162">
        <v>43677</v>
      </c>
      <c r="CK1162">
        <v>16258</v>
      </c>
      <c r="CL1162" t="s">
        <v>6603</v>
      </c>
      <c r="CM1162">
        <v>296.04000000000002</v>
      </c>
      <c r="CN1162">
        <v>27.79</v>
      </c>
      <c r="CO1162">
        <v>11.15</v>
      </c>
      <c r="CP1162">
        <v>37.96</v>
      </c>
      <c r="CQ1162">
        <v>15.29</v>
      </c>
      <c r="CR1162">
        <v>0.06</v>
      </c>
      <c r="CS1162" t="s">
        <v>2661</v>
      </c>
      <c r="CT1162">
        <v>7.44</v>
      </c>
      <c r="CU1162">
        <v>7.44</v>
      </c>
      <c r="CV1162">
        <v>3.63</v>
      </c>
      <c r="CW1162">
        <v>2.6</v>
      </c>
      <c r="CX1162">
        <v>2.19</v>
      </c>
      <c r="CY1162">
        <v>49.82</v>
      </c>
      <c r="CZ1162" t="s">
        <v>2926</v>
      </c>
      <c r="DA1162">
        <v>18.739999999999998</v>
      </c>
      <c r="DB1162">
        <v>12.38</v>
      </c>
      <c r="DC1162">
        <v>11.82</v>
      </c>
      <c r="DD1162">
        <v>0.69</v>
      </c>
      <c r="DE1162">
        <v>29978</v>
      </c>
      <c r="DF1162">
        <v>2714</v>
      </c>
      <c r="DG1162" t="s">
        <v>116</v>
      </c>
      <c r="DH1162" t="s">
        <v>116</v>
      </c>
      <c r="DI1162" t="s">
        <v>116</v>
      </c>
    </row>
    <row r="1163" spans="1:113" x14ac:dyDescent="0.4">
      <c r="A1163" t="str">
        <f>"002715"</f>
        <v>002715</v>
      </c>
      <c r="B1163" t="s">
        <v>6604</v>
      </c>
      <c r="C1163">
        <v>0</v>
      </c>
      <c r="D1163">
        <v>18.420000000000002</v>
      </c>
      <c r="E1163">
        <v>0</v>
      </c>
      <c r="F1163">
        <v>18.38</v>
      </c>
      <c r="G1163">
        <v>18.420000000000002</v>
      </c>
      <c r="H1163">
        <v>15250</v>
      </c>
      <c r="I1163">
        <v>504</v>
      </c>
      <c r="J1163">
        <v>0</v>
      </c>
      <c r="K1163">
        <v>1.79</v>
      </c>
      <c r="L1163">
        <v>18.420000000000002</v>
      </c>
      <c r="M1163">
        <v>18.55</v>
      </c>
      <c r="N1163">
        <v>18.239999999999998</v>
      </c>
      <c r="O1163">
        <v>18.420000000000002</v>
      </c>
      <c r="P1163">
        <v>334.02</v>
      </c>
      <c r="Q1163">
        <v>28058938</v>
      </c>
      <c r="R1163">
        <v>1.01</v>
      </c>
      <c r="S1163" t="s">
        <v>293</v>
      </c>
      <c r="T1163" t="s">
        <v>551</v>
      </c>
      <c r="U1163">
        <v>1.68</v>
      </c>
      <c r="V1163">
        <v>18.399999999999999</v>
      </c>
      <c r="W1163">
        <v>7596</v>
      </c>
      <c r="X1163">
        <v>7654</v>
      </c>
      <c r="Y1163">
        <v>0.99</v>
      </c>
      <c r="Z1163">
        <v>256</v>
      </c>
      <c r="AA1163">
        <v>57</v>
      </c>
      <c r="AB1163" t="s">
        <v>116</v>
      </c>
      <c r="AC1163">
        <v>276300</v>
      </c>
      <c r="AD1163">
        <v>0.03</v>
      </c>
      <c r="AE1163" t="s">
        <v>116</v>
      </c>
      <c r="AF1163" t="s">
        <v>116</v>
      </c>
      <c r="AG1163">
        <v>0.85</v>
      </c>
      <c r="AH1163" t="s">
        <v>6605</v>
      </c>
      <c r="AI1163" t="s">
        <v>3937</v>
      </c>
      <c r="AJ1163">
        <v>0.68</v>
      </c>
      <c r="AK1163">
        <v>999</v>
      </c>
      <c r="AL1163">
        <v>15</v>
      </c>
      <c r="AM1163">
        <v>1.8E-3</v>
      </c>
      <c r="AN1163">
        <v>0</v>
      </c>
      <c r="AO1163">
        <v>3.77</v>
      </c>
      <c r="AP1163">
        <v>20.079999999999998</v>
      </c>
      <c r="AQ1163">
        <v>19.07</v>
      </c>
      <c r="AR1163">
        <v>11.3</v>
      </c>
      <c r="AS1163">
        <v>3.41</v>
      </c>
      <c r="AT1163" t="s">
        <v>6606</v>
      </c>
      <c r="AU1163">
        <v>309.45999999999998</v>
      </c>
      <c r="AV1163">
        <v>165.07</v>
      </c>
      <c r="AW1163">
        <v>1.04</v>
      </c>
      <c r="BA1163">
        <v>0</v>
      </c>
      <c r="BB1163">
        <v>0.71</v>
      </c>
      <c r="BC1163">
        <v>-0.98</v>
      </c>
      <c r="BD1163">
        <v>-0.11</v>
      </c>
      <c r="BE1163">
        <v>0</v>
      </c>
      <c r="BF1163">
        <v>-0.7</v>
      </c>
      <c r="BG1163">
        <v>0.99</v>
      </c>
      <c r="BH1163">
        <v>0.11</v>
      </c>
      <c r="BI1163">
        <v>20191024</v>
      </c>
      <c r="BJ1163">
        <v>20140219</v>
      </c>
      <c r="BK1163">
        <v>0.92</v>
      </c>
      <c r="BL1163" t="s">
        <v>116</v>
      </c>
      <c r="BM1163" t="s">
        <v>116</v>
      </c>
      <c r="BN1163">
        <v>7.27</v>
      </c>
      <c r="BO1163">
        <v>4.92</v>
      </c>
      <c r="BP1163">
        <v>0</v>
      </c>
      <c r="BQ1163">
        <v>32.28</v>
      </c>
      <c r="BR1163">
        <v>3.98</v>
      </c>
      <c r="BS1163">
        <v>2.08</v>
      </c>
      <c r="BT1163">
        <v>0.38</v>
      </c>
      <c r="BU1163">
        <v>2.2799999999999998</v>
      </c>
      <c r="BV1163">
        <v>2</v>
      </c>
      <c r="BW1163">
        <v>0.95</v>
      </c>
      <c r="BX1163">
        <v>2.5499999999999998</v>
      </c>
      <c r="BY1163">
        <v>2.42</v>
      </c>
      <c r="BZ1163">
        <v>1.83</v>
      </c>
      <c r="CA1163">
        <v>0.06</v>
      </c>
      <c r="CB1163">
        <v>0</v>
      </c>
      <c r="CC1163">
        <v>0.06</v>
      </c>
      <c r="CD1163">
        <v>0.04</v>
      </c>
      <c r="CE1163">
        <v>0.04</v>
      </c>
      <c r="CF1163">
        <v>0</v>
      </c>
      <c r="CG1163">
        <v>1.23</v>
      </c>
      <c r="CH1163">
        <v>0.63</v>
      </c>
      <c r="CI1163">
        <v>-0.1</v>
      </c>
      <c r="CJ1163">
        <v>7589</v>
      </c>
      <c r="CK1163">
        <v>5892</v>
      </c>
      <c r="CL1163" t="s">
        <v>6607</v>
      </c>
      <c r="CM1163">
        <v>-55.73</v>
      </c>
      <c r="CN1163">
        <v>-11.48</v>
      </c>
      <c r="CO1163">
        <v>3.44</v>
      </c>
      <c r="CP1163">
        <v>27.11</v>
      </c>
      <c r="CQ1163">
        <v>7.02</v>
      </c>
      <c r="CR1163">
        <v>0</v>
      </c>
      <c r="CS1163" t="s">
        <v>765</v>
      </c>
      <c r="CT1163">
        <v>5.35</v>
      </c>
      <c r="CU1163">
        <v>0</v>
      </c>
      <c r="CV1163">
        <v>2.77</v>
      </c>
      <c r="CW1163">
        <v>1.33</v>
      </c>
      <c r="CX1163">
        <v>0.68</v>
      </c>
      <c r="CY1163">
        <v>67.72</v>
      </c>
      <c r="CZ1163" t="s">
        <v>6608</v>
      </c>
      <c r="DA1163">
        <v>24.12</v>
      </c>
      <c r="DB1163">
        <v>2.31</v>
      </c>
      <c r="DC1163">
        <v>1.58</v>
      </c>
      <c r="DD1163">
        <v>0.1</v>
      </c>
      <c r="DE1163">
        <v>1478</v>
      </c>
      <c r="DF1163">
        <v>2715</v>
      </c>
      <c r="DG1163" t="s">
        <v>116</v>
      </c>
      <c r="DH1163" t="s">
        <v>116</v>
      </c>
      <c r="DI1163" t="s">
        <v>116</v>
      </c>
    </row>
    <row r="1164" spans="1:113" x14ac:dyDescent="0.4">
      <c r="A1164" t="str">
        <f>"002716"</f>
        <v>002716</v>
      </c>
      <c r="B1164" t="s">
        <v>6609</v>
      </c>
      <c r="C1164">
        <v>-0.32</v>
      </c>
      <c r="D1164">
        <v>3.07</v>
      </c>
      <c r="E1164">
        <v>-0.01</v>
      </c>
      <c r="F1164">
        <v>3.06</v>
      </c>
      <c r="G1164">
        <v>3.07</v>
      </c>
      <c r="H1164">
        <v>955987</v>
      </c>
      <c r="I1164">
        <v>17197</v>
      </c>
      <c r="J1164">
        <v>-0.96</v>
      </c>
      <c r="K1164">
        <v>15.36</v>
      </c>
      <c r="L1164">
        <v>3.16</v>
      </c>
      <c r="M1164">
        <v>3.23</v>
      </c>
      <c r="N1164">
        <v>3.01</v>
      </c>
      <c r="O1164">
        <v>3.08</v>
      </c>
      <c r="P1164" t="s">
        <v>116</v>
      </c>
      <c r="Q1164">
        <v>304029152</v>
      </c>
      <c r="R1164">
        <v>1.33</v>
      </c>
      <c r="S1164" t="s">
        <v>1509</v>
      </c>
      <c r="T1164" t="s">
        <v>599</v>
      </c>
      <c r="U1164">
        <v>7.14</v>
      </c>
      <c r="V1164">
        <v>3.18</v>
      </c>
      <c r="W1164">
        <v>501542</v>
      </c>
      <c r="X1164">
        <v>454445</v>
      </c>
      <c r="Y1164">
        <v>1.1000000000000001</v>
      </c>
      <c r="Z1164">
        <v>2190</v>
      </c>
      <c r="AA1164">
        <v>9214</v>
      </c>
      <c r="AB1164" t="s">
        <v>116</v>
      </c>
      <c r="AC1164">
        <v>5209300</v>
      </c>
      <c r="AD1164">
        <v>0.27</v>
      </c>
      <c r="AE1164" t="s">
        <v>116</v>
      </c>
      <c r="AF1164" t="s">
        <v>116</v>
      </c>
      <c r="AG1164">
        <v>6.23</v>
      </c>
      <c r="AH1164" t="s">
        <v>6610</v>
      </c>
      <c r="AI1164" t="s">
        <v>6594</v>
      </c>
      <c r="AJ1164">
        <v>0.35</v>
      </c>
      <c r="AK1164">
        <v>2128</v>
      </c>
      <c r="AL1164">
        <v>449</v>
      </c>
      <c r="AM1164">
        <v>7.1999999999999998E-3</v>
      </c>
      <c r="AN1164">
        <v>-1</v>
      </c>
      <c r="AO1164">
        <v>9.65</v>
      </c>
      <c r="AP1164">
        <v>29.54</v>
      </c>
      <c r="AQ1164">
        <v>-44.48</v>
      </c>
      <c r="AR1164">
        <v>-49.92</v>
      </c>
      <c r="AS1164">
        <v>15.52</v>
      </c>
      <c r="AT1164" t="s">
        <v>6611</v>
      </c>
      <c r="AU1164" t="s">
        <v>116</v>
      </c>
      <c r="AV1164">
        <v>24.9</v>
      </c>
      <c r="AW1164">
        <v>0.38</v>
      </c>
      <c r="BA1164">
        <v>2.6</v>
      </c>
      <c r="BB1164">
        <v>4.87</v>
      </c>
      <c r="BC1164">
        <v>-2.27</v>
      </c>
      <c r="BD1164">
        <v>3.26</v>
      </c>
      <c r="BE1164">
        <v>-2.85</v>
      </c>
      <c r="BF1164">
        <v>-4.95</v>
      </c>
      <c r="BG1164">
        <v>1.99</v>
      </c>
      <c r="BH1164">
        <v>-3.58</v>
      </c>
      <c r="BI1164">
        <v>20191031</v>
      </c>
      <c r="BJ1164">
        <v>20140128</v>
      </c>
      <c r="BK1164">
        <v>9.6</v>
      </c>
      <c r="BL1164" t="s">
        <v>116</v>
      </c>
      <c r="BM1164" t="s">
        <v>116</v>
      </c>
      <c r="BN1164">
        <v>120.88</v>
      </c>
      <c r="BO1164">
        <v>21.29</v>
      </c>
      <c r="BP1164">
        <v>0</v>
      </c>
      <c r="BQ1164">
        <v>82.39</v>
      </c>
      <c r="BR1164">
        <v>93.42</v>
      </c>
      <c r="BS1164">
        <v>12.83</v>
      </c>
      <c r="BT1164">
        <v>12.45</v>
      </c>
      <c r="BU1164">
        <v>86.23</v>
      </c>
      <c r="BV1164">
        <v>44.56</v>
      </c>
      <c r="BW1164">
        <v>0.36</v>
      </c>
      <c r="BX1164">
        <v>13.34</v>
      </c>
      <c r="BY1164">
        <v>56.23</v>
      </c>
      <c r="BZ1164">
        <v>54.21</v>
      </c>
      <c r="CA1164">
        <v>-12.24</v>
      </c>
      <c r="CB1164">
        <v>0.01</v>
      </c>
      <c r="CC1164">
        <v>-15.88</v>
      </c>
      <c r="CD1164">
        <v>-15.84</v>
      </c>
      <c r="CE1164">
        <v>-15.84</v>
      </c>
      <c r="CF1164">
        <v>-12.83</v>
      </c>
      <c r="CG1164">
        <v>-4.24</v>
      </c>
      <c r="CH1164">
        <v>-1.92</v>
      </c>
      <c r="CI1164">
        <v>-1.71</v>
      </c>
      <c r="CJ1164">
        <v>87735</v>
      </c>
      <c r="CK1164">
        <v>7020</v>
      </c>
      <c r="CL1164" t="s">
        <v>6612</v>
      </c>
      <c r="CM1164">
        <v>-855.95</v>
      </c>
      <c r="CN1164">
        <v>-30.39</v>
      </c>
      <c r="CO1164">
        <v>1.38</v>
      </c>
      <c r="CP1164">
        <v>-15.36</v>
      </c>
      <c r="CQ1164">
        <v>0.52</v>
      </c>
      <c r="CR1164">
        <v>0</v>
      </c>
      <c r="CS1164" t="s">
        <v>6613</v>
      </c>
      <c r="CT1164">
        <v>2.2200000000000002</v>
      </c>
      <c r="CU1164">
        <v>0</v>
      </c>
      <c r="CV1164">
        <v>1.39</v>
      </c>
      <c r="CW1164">
        <v>-0.44</v>
      </c>
      <c r="CX1164">
        <v>-0.2</v>
      </c>
      <c r="CY1164">
        <v>17.61</v>
      </c>
      <c r="CZ1164" t="s">
        <v>6614</v>
      </c>
      <c r="DA1164">
        <v>3.59</v>
      </c>
      <c r="DB1164">
        <v>-21.77</v>
      </c>
      <c r="DC1164">
        <v>-28.18</v>
      </c>
      <c r="DD1164">
        <v>0</v>
      </c>
      <c r="DE1164">
        <v>605</v>
      </c>
      <c r="DF1164">
        <v>2716</v>
      </c>
      <c r="DG1164" t="s">
        <v>116</v>
      </c>
      <c r="DH1164" t="s">
        <v>116</v>
      </c>
      <c r="DI1164" t="s">
        <v>116</v>
      </c>
    </row>
    <row r="1165" spans="1:113" x14ac:dyDescent="0.4">
      <c r="A1165" t="str">
        <f>"002717"</f>
        <v>002717</v>
      </c>
      <c r="B1165" t="s">
        <v>6615</v>
      </c>
      <c r="C1165">
        <v>0.43</v>
      </c>
      <c r="D1165">
        <v>4.66</v>
      </c>
      <c r="E1165">
        <v>0.02</v>
      </c>
      <c r="F1165">
        <v>4.66</v>
      </c>
      <c r="G1165">
        <v>4.67</v>
      </c>
      <c r="H1165">
        <v>112292</v>
      </c>
      <c r="I1165">
        <v>767</v>
      </c>
      <c r="J1165">
        <v>0</v>
      </c>
      <c r="K1165">
        <v>1.06</v>
      </c>
      <c r="L1165">
        <v>4.67</v>
      </c>
      <c r="M1165">
        <v>4.74</v>
      </c>
      <c r="N1165">
        <v>4.6399999999999997</v>
      </c>
      <c r="O1165">
        <v>4.6399999999999997</v>
      </c>
      <c r="P1165">
        <v>17.62</v>
      </c>
      <c r="Q1165">
        <v>52691680</v>
      </c>
      <c r="R1165">
        <v>0.9</v>
      </c>
      <c r="S1165" t="s">
        <v>140</v>
      </c>
      <c r="T1165" t="s">
        <v>551</v>
      </c>
      <c r="U1165">
        <v>2.16</v>
      </c>
      <c r="V1165">
        <v>4.6900000000000004</v>
      </c>
      <c r="W1165">
        <v>60482</v>
      </c>
      <c r="X1165">
        <v>51810</v>
      </c>
      <c r="Y1165">
        <v>1.17</v>
      </c>
      <c r="Z1165">
        <v>978</v>
      </c>
      <c r="AA1165">
        <v>753</v>
      </c>
      <c r="AB1165" t="s">
        <v>116</v>
      </c>
      <c r="AC1165">
        <v>750500</v>
      </c>
      <c r="AD1165">
        <v>0.02</v>
      </c>
      <c r="AE1165" t="s">
        <v>116</v>
      </c>
      <c r="AF1165" t="s">
        <v>116</v>
      </c>
      <c r="AG1165">
        <v>10.6</v>
      </c>
      <c r="AH1165" t="s">
        <v>6616</v>
      </c>
      <c r="AI1165" t="s">
        <v>6617</v>
      </c>
      <c r="AJ1165">
        <v>1.1100000000000001</v>
      </c>
      <c r="AK1165">
        <v>1233</v>
      </c>
      <c r="AL1165">
        <v>91</v>
      </c>
      <c r="AM1165">
        <v>8.9999999999999998E-4</v>
      </c>
      <c r="AN1165">
        <v>1</v>
      </c>
      <c r="AO1165">
        <v>-2.5099999999999998</v>
      </c>
      <c r="AP1165">
        <v>6.39</v>
      </c>
      <c r="AQ1165">
        <v>-2.1</v>
      </c>
      <c r="AR1165">
        <v>-20.84</v>
      </c>
      <c r="AS1165">
        <v>1.21</v>
      </c>
      <c r="AT1165" t="s">
        <v>6618</v>
      </c>
      <c r="AU1165">
        <v>14.01</v>
      </c>
      <c r="AV1165">
        <v>9.1999999999999993</v>
      </c>
      <c r="AW1165">
        <v>0.4</v>
      </c>
      <c r="BA1165">
        <v>0.65</v>
      </c>
      <c r="BB1165">
        <v>2.16</v>
      </c>
      <c r="BC1165">
        <v>0</v>
      </c>
      <c r="BD1165">
        <v>1.1299999999999999</v>
      </c>
      <c r="BE1165">
        <v>-0.21</v>
      </c>
      <c r="BF1165">
        <v>-1.69</v>
      </c>
      <c r="BG1165">
        <v>0.43</v>
      </c>
      <c r="BH1165">
        <v>-0.7</v>
      </c>
      <c r="BI1165">
        <v>20191227</v>
      </c>
      <c r="BJ1165">
        <v>20140219</v>
      </c>
      <c r="BK1165">
        <v>15.37</v>
      </c>
      <c r="BL1165" t="s">
        <v>116</v>
      </c>
      <c r="BM1165" t="s">
        <v>116</v>
      </c>
      <c r="BN1165">
        <v>179.23</v>
      </c>
      <c r="BO1165">
        <v>47.5</v>
      </c>
      <c r="BP1165">
        <v>1.33</v>
      </c>
      <c r="BQ1165">
        <v>72.760000000000005</v>
      </c>
      <c r="BR1165">
        <v>118.71</v>
      </c>
      <c r="BS1165">
        <v>4.32</v>
      </c>
      <c r="BT1165">
        <v>0.27</v>
      </c>
      <c r="BU1165">
        <v>116.9</v>
      </c>
      <c r="BV1165">
        <v>64.900000000000006</v>
      </c>
      <c r="BW1165">
        <v>29.93</v>
      </c>
      <c r="BX1165">
        <v>9.77</v>
      </c>
      <c r="BY1165">
        <v>52.71</v>
      </c>
      <c r="BZ1165">
        <v>39.86</v>
      </c>
      <c r="CA1165">
        <v>3.64</v>
      </c>
      <c r="CB1165">
        <v>-0.01</v>
      </c>
      <c r="CC1165">
        <v>3.67</v>
      </c>
      <c r="CD1165">
        <v>3.15</v>
      </c>
      <c r="CE1165">
        <v>3.05</v>
      </c>
      <c r="CF1165">
        <v>3.02</v>
      </c>
      <c r="CG1165">
        <v>20.43</v>
      </c>
      <c r="CH1165">
        <v>-1.38</v>
      </c>
      <c r="CI1165">
        <v>-5.25</v>
      </c>
      <c r="CJ1165">
        <v>41324</v>
      </c>
      <c r="CK1165">
        <v>22368</v>
      </c>
      <c r="CL1165" t="s">
        <v>6619</v>
      </c>
      <c r="CM1165">
        <v>-46.71</v>
      </c>
      <c r="CN1165">
        <v>-7.73</v>
      </c>
      <c r="CO1165">
        <v>1.55</v>
      </c>
      <c r="CP1165">
        <v>-52.05</v>
      </c>
      <c r="CQ1165">
        <v>1.36</v>
      </c>
      <c r="CR1165">
        <v>1.1399999999999999</v>
      </c>
      <c r="CS1165" t="s">
        <v>729</v>
      </c>
      <c r="CT1165">
        <v>3.01</v>
      </c>
      <c r="CU1165">
        <v>3.01</v>
      </c>
      <c r="CV1165">
        <v>0.64</v>
      </c>
      <c r="CW1165">
        <v>1.33</v>
      </c>
      <c r="CX1165">
        <v>-0.09</v>
      </c>
      <c r="CY1165">
        <v>26.5</v>
      </c>
      <c r="CZ1165" t="s">
        <v>5769</v>
      </c>
      <c r="DA1165">
        <v>24.37</v>
      </c>
      <c r="DB1165">
        <v>6.9</v>
      </c>
      <c r="DC1165">
        <v>5.78</v>
      </c>
      <c r="DD1165">
        <v>1.72</v>
      </c>
      <c r="DE1165">
        <v>3887</v>
      </c>
      <c r="DF1165">
        <v>2717</v>
      </c>
      <c r="DG1165" t="s">
        <v>116</v>
      </c>
      <c r="DH1165" t="s">
        <v>116</v>
      </c>
      <c r="DI1165" t="s">
        <v>116</v>
      </c>
    </row>
    <row r="1166" spans="1:113" x14ac:dyDescent="0.4">
      <c r="A1166" t="str">
        <f>"002718"</f>
        <v>002718</v>
      </c>
      <c r="B1166" t="s">
        <v>6620</v>
      </c>
      <c r="C1166">
        <v>-0.54</v>
      </c>
      <c r="D1166">
        <v>16.57</v>
      </c>
      <c r="E1166">
        <v>-0.09</v>
      </c>
      <c r="F1166">
        <v>16.57</v>
      </c>
      <c r="G1166">
        <v>16.59</v>
      </c>
      <c r="H1166">
        <v>5661</v>
      </c>
      <c r="I1166">
        <v>75</v>
      </c>
      <c r="J1166">
        <v>-0.17</v>
      </c>
      <c r="K1166">
        <v>0.85</v>
      </c>
      <c r="L1166">
        <v>16.66</v>
      </c>
      <c r="M1166">
        <v>16.71</v>
      </c>
      <c r="N1166">
        <v>16.54</v>
      </c>
      <c r="O1166">
        <v>16.66</v>
      </c>
      <c r="P1166">
        <v>33.36</v>
      </c>
      <c r="Q1166">
        <v>9416625</v>
      </c>
      <c r="R1166">
        <v>0.87</v>
      </c>
      <c r="S1166" t="s">
        <v>2640</v>
      </c>
      <c r="T1166" t="s">
        <v>590</v>
      </c>
      <c r="U1166">
        <v>1.02</v>
      </c>
      <c r="V1166">
        <v>16.64</v>
      </c>
      <c r="W1166">
        <v>2924</v>
      </c>
      <c r="X1166">
        <v>2737</v>
      </c>
      <c r="Y1166">
        <v>1.07</v>
      </c>
      <c r="Z1166">
        <v>189</v>
      </c>
      <c r="AA1166">
        <v>50</v>
      </c>
      <c r="AB1166" t="s">
        <v>116</v>
      </c>
      <c r="AC1166">
        <v>26700</v>
      </c>
      <c r="AD1166">
        <v>0</v>
      </c>
      <c r="AE1166" t="s">
        <v>116</v>
      </c>
      <c r="AF1166" t="s">
        <v>116</v>
      </c>
      <c r="AG1166">
        <v>0.66</v>
      </c>
      <c r="AH1166" t="s">
        <v>6621</v>
      </c>
      <c r="AI1166" t="s">
        <v>6622</v>
      </c>
      <c r="AJ1166">
        <v>0.14000000000000001</v>
      </c>
      <c r="AK1166">
        <v>593</v>
      </c>
      <c r="AL1166">
        <v>10</v>
      </c>
      <c r="AM1166">
        <v>1.4E-3</v>
      </c>
      <c r="AN1166">
        <v>-1</v>
      </c>
      <c r="AO1166">
        <v>0.55000000000000004</v>
      </c>
      <c r="AP1166">
        <v>-6.17</v>
      </c>
      <c r="AQ1166">
        <v>-4.55</v>
      </c>
      <c r="AR1166">
        <v>-8.9600000000000009</v>
      </c>
      <c r="AS1166">
        <v>1.57</v>
      </c>
      <c r="AT1166" t="s">
        <v>6623</v>
      </c>
      <c r="AU1166">
        <v>37.229999999999997</v>
      </c>
      <c r="AV1166">
        <v>20.86</v>
      </c>
      <c r="AW1166">
        <v>1</v>
      </c>
      <c r="BA1166">
        <v>0</v>
      </c>
      <c r="BB1166">
        <v>0.3</v>
      </c>
      <c r="BC1166">
        <v>-0.72</v>
      </c>
      <c r="BD1166">
        <v>-0.15</v>
      </c>
      <c r="BE1166">
        <v>-0.54</v>
      </c>
      <c r="BF1166">
        <v>-0.84</v>
      </c>
      <c r="BG1166">
        <v>0.18</v>
      </c>
      <c r="BH1166">
        <v>-0.39</v>
      </c>
      <c r="BI1166">
        <v>20191024</v>
      </c>
      <c r="BJ1166">
        <v>20140128</v>
      </c>
      <c r="BK1166">
        <v>1.31</v>
      </c>
      <c r="BL1166" t="s">
        <v>116</v>
      </c>
      <c r="BM1166" t="s">
        <v>116</v>
      </c>
      <c r="BN1166">
        <v>17.04</v>
      </c>
      <c r="BO1166">
        <v>12.11</v>
      </c>
      <c r="BP1166">
        <v>0.08</v>
      </c>
      <c r="BQ1166">
        <v>28.43</v>
      </c>
      <c r="BR1166">
        <v>6.53</v>
      </c>
      <c r="BS1166">
        <v>2.27</v>
      </c>
      <c r="BT1166">
        <v>1.1299999999999999</v>
      </c>
      <c r="BU1166">
        <v>4.84</v>
      </c>
      <c r="BV1166">
        <v>1.1599999999999999</v>
      </c>
      <c r="BW1166">
        <v>1.75</v>
      </c>
      <c r="BX1166">
        <v>4.0599999999999996</v>
      </c>
      <c r="BY1166">
        <v>5.04</v>
      </c>
      <c r="BZ1166">
        <v>3.38</v>
      </c>
      <c r="CA1166">
        <v>0.49</v>
      </c>
      <c r="CB1166">
        <v>0.09</v>
      </c>
      <c r="CC1166">
        <v>0.55000000000000004</v>
      </c>
      <c r="CD1166">
        <v>0.48</v>
      </c>
      <c r="CE1166">
        <v>0.49</v>
      </c>
      <c r="CF1166">
        <v>0.32</v>
      </c>
      <c r="CG1166">
        <v>5.87</v>
      </c>
      <c r="CH1166">
        <v>-0.16</v>
      </c>
      <c r="CI1166">
        <v>-0.41</v>
      </c>
      <c r="CJ1166">
        <v>7500</v>
      </c>
      <c r="CK1166">
        <v>4807</v>
      </c>
      <c r="CL1166" t="s">
        <v>6624</v>
      </c>
      <c r="CM1166">
        <v>-48.38</v>
      </c>
      <c r="CN1166">
        <v>-6.16</v>
      </c>
      <c r="CO1166">
        <v>1.8</v>
      </c>
      <c r="CP1166">
        <v>-138.02000000000001</v>
      </c>
      <c r="CQ1166">
        <v>4.32</v>
      </c>
      <c r="CR1166">
        <v>1.21</v>
      </c>
      <c r="CS1166" t="s">
        <v>2807</v>
      </c>
      <c r="CT1166">
        <v>9.2100000000000009</v>
      </c>
      <c r="CU1166">
        <v>0</v>
      </c>
      <c r="CV1166">
        <v>3.09</v>
      </c>
      <c r="CW1166">
        <v>4.46</v>
      </c>
      <c r="CX1166">
        <v>-0.12</v>
      </c>
      <c r="CY1166">
        <v>71.069999999999993</v>
      </c>
      <c r="CZ1166" t="s">
        <v>6625</v>
      </c>
      <c r="DA1166">
        <v>32.93</v>
      </c>
      <c r="DB1166">
        <v>9.74</v>
      </c>
      <c r="DC1166">
        <v>9.7200000000000006</v>
      </c>
      <c r="DD1166">
        <v>0.22</v>
      </c>
      <c r="DE1166">
        <v>1012</v>
      </c>
      <c r="DF1166">
        <v>2718</v>
      </c>
      <c r="DG1166" t="s">
        <v>116</v>
      </c>
      <c r="DH1166" t="s">
        <v>116</v>
      </c>
      <c r="DI1166" t="s">
        <v>116</v>
      </c>
    </row>
    <row r="1167" spans="1:113" x14ac:dyDescent="0.4">
      <c r="A1167" t="str">
        <f>"002719"</f>
        <v>002719</v>
      </c>
      <c r="B1167" t="s">
        <v>6626</v>
      </c>
      <c r="C1167">
        <v>-0.64</v>
      </c>
      <c r="D1167">
        <v>10.8</v>
      </c>
      <c r="E1167">
        <v>-7.0000000000000007E-2</v>
      </c>
      <c r="F1167">
        <v>10.78</v>
      </c>
      <c r="G1167">
        <v>10.8</v>
      </c>
      <c r="H1167">
        <v>11060</v>
      </c>
      <c r="I1167">
        <v>21</v>
      </c>
      <c r="J1167">
        <v>-0.63</v>
      </c>
      <c r="K1167">
        <v>0.68</v>
      </c>
      <c r="L1167">
        <v>10.92</v>
      </c>
      <c r="M1167">
        <v>10.92</v>
      </c>
      <c r="N1167">
        <v>10.69</v>
      </c>
      <c r="O1167">
        <v>10.87</v>
      </c>
      <c r="P1167">
        <v>76.52</v>
      </c>
      <c r="Q1167">
        <v>11977015</v>
      </c>
      <c r="R1167">
        <v>0.9</v>
      </c>
      <c r="S1167" t="s">
        <v>4803</v>
      </c>
      <c r="T1167" t="s">
        <v>616</v>
      </c>
      <c r="U1167">
        <v>2.12</v>
      </c>
      <c r="V1167">
        <v>10.83</v>
      </c>
      <c r="W1167">
        <v>4677</v>
      </c>
      <c r="X1167">
        <v>6383</v>
      </c>
      <c r="Y1167">
        <v>0.73</v>
      </c>
      <c r="Z1167">
        <v>27</v>
      </c>
      <c r="AA1167">
        <v>38</v>
      </c>
      <c r="AB1167" t="s">
        <v>116</v>
      </c>
      <c r="AC1167">
        <v>0</v>
      </c>
      <c r="AD1167">
        <v>0</v>
      </c>
      <c r="AE1167" t="s">
        <v>116</v>
      </c>
      <c r="AF1167" t="s">
        <v>116</v>
      </c>
      <c r="AG1167">
        <v>1.62</v>
      </c>
      <c r="AH1167" t="s">
        <v>6627</v>
      </c>
      <c r="AI1167" t="s">
        <v>6628</v>
      </c>
      <c r="AJ1167">
        <v>0.03</v>
      </c>
      <c r="AK1167">
        <v>670</v>
      </c>
      <c r="AL1167">
        <v>17</v>
      </c>
      <c r="AM1167">
        <v>1E-3</v>
      </c>
      <c r="AN1167">
        <v>-1</v>
      </c>
      <c r="AO1167">
        <v>-1.01</v>
      </c>
      <c r="AP1167">
        <v>9.76</v>
      </c>
      <c r="AQ1167">
        <v>0.37</v>
      </c>
      <c r="AR1167">
        <v>-0.74</v>
      </c>
      <c r="AS1167">
        <v>1.58</v>
      </c>
      <c r="AT1167" t="s">
        <v>6629</v>
      </c>
      <c r="AU1167" t="s">
        <v>116</v>
      </c>
      <c r="AV1167" t="s">
        <v>116</v>
      </c>
      <c r="AW1167">
        <v>1.03</v>
      </c>
      <c r="BA1167">
        <v>0.46</v>
      </c>
      <c r="BB1167">
        <v>0.46</v>
      </c>
      <c r="BC1167">
        <v>-1.66</v>
      </c>
      <c r="BD1167">
        <v>-0.37</v>
      </c>
      <c r="BE1167">
        <v>-1.1000000000000001</v>
      </c>
      <c r="BF1167">
        <v>-1.1000000000000001</v>
      </c>
      <c r="BG1167">
        <v>1.03</v>
      </c>
      <c r="BH1167">
        <v>-0.27</v>
      </c>
      <c r="BI1167">
        <v>20191023</v>
      </c>
      <c r="BJ1167">
        <v>20140128</v>
      </c>
      <c r="BK1167">
        <v>1.74</v>
      </c>
      <c r="BL1167" t="s">
        <v>116</v>
      </c>
      <c r="BM1167" t="s">
        <v>116</v>
      </c>
      <c r="BN1167">
        <v>12.67</v>
      </c>
      <c r="BO1167">
        <v>9.07</v>
      </c>
      <c r="BP1167">
        <v>0.02</v>
      </c>
      <c r="BQ1167">
        <v>28.26</v>
      </c>
      <c r="BR1167">
        <v>7.52</v>
      </c>
      <c r="BS1167">
        <v>2.1800000000000002</v>
      </c>
      <c r="BT1167">
        <v>0.6</v>
      </c>
      <c r="BU1167">
        <v>3.51</v>
      </c>
      <c r="BV1167">
        <v>0.66</v>
      </c>
      <c r="BW1167">
        <v>1.8</v>
      </c>
      <c r="BX1167">
        <v>6.75</v>
      </c>
      <c r="BY1167">
        <v>4.97</v>
      </c>
      <c r="BZ1167">
        <v>3.28</v>
      </c>
      <c r="CA1167">
        <v>0.19</v>
      </c>
      <c r="CB1167">
        <v>0.01</v>
      </c>
      <c r="CC1167">
        <v>0.19</v>
      </c>
      <c r="CD1167">
        <v>0.18</v>
      </c>
      <c r="CE1167">
        <v>0.18</v>
      </c>
      <c r="CF1167">
        <v>0.17</v>
      </c>
      <c r="CG1167">
        <v>1.51</v>
      </c>
      <c r="CH1167">
        <v>0.22</v>
      </c>
      <c r="CI1167">
        <v>-1.3</v>
      </c>
      <c r="CJ1167">
        <v>12054</v>
      </c>
      <c r="CK1167">
        <v>5801</v>
      </c>
      <c r="CL1167" t="s">
        <v>6402</v>
      </c>
      <c r="CM1167">
        <v>-28.67</v>
      </c>
      <c r="CN1167">
        <v>8</v>
      </c>
      <c r="CO1167">
        <v>2.0699999999999998</v>
      </c>
      <c r="CP1167">
        <v>83.86</v>
      </c>
      <c r="CQ1167">
        <v>3.79</v>
      </c>
      <c r="CR1167">
        <v>0</v>
      </c>
      <c r="CS1167" t="s">
        <v>6630</v>
      </c>
      <c r="CT1167">
        <v>5.21</v>
      </c>
      <c r="CU1167">
        <v>0</v>
      </c>
      <c r="CV1167">
        <v>3.88</v>
      </c>
      <c r="CW1167">
        <v>0.86</v>
      </c>
      <c r="CX1167">
        <v>0.13</v>
      </c>
      <c r="CY1167">
        <v>71.599999999999994</v>
      </c>
      <c r="CZ1167" t="s">
        <v>4998</v>
      </c>
      <c r="DA1167">
        <v>34.04</v>
      </c>
      <c r="DB1167">
        <v>3.89</v>
      </c>
      <c r="DC1167">
        <v>3.71</v>
      </c>
      <c r="DD1167">
        <v>0.02</v>
      </c>
      <c r="DE1167">
        <v>1974</v>
      </c>
      <c r="DF1167">
        <v>2719</v>
      </c>
      <c r="DG1167" t="s">
        <v>116</v>
      </c>
      <c r="DH1167" t="s">
        <v>116</v>
      </c>
      <c r="DI1167" t="s">
        <v>116</v>
      </c>
    </row>
    <row r="1168" spans="1:113" x14ac:dyDescent="0.4">
      <c r="A1168" t="str">
        <f>"002721"</f>
        <v>002721</v>
      </c>
      <c r="B1168" t="s">
        <v>6631</v>
      </c>
      <c r="C1168">
        <v>-1.84</v>
      </c>
      <c r="D1168">
        <v>5.88</v>
      </c>
      <c r="E1168">
        <v>-0.11</v>
      </c>
      <c r="F1168">
        <v>5.88</v>
      </c>
      <c r="G1168">
        <v>5.89</v>
      </c>
      <c r="H1168">
        <v>264755</v>
      </c>
      <c r="I1168">
        <v>3188</v>
      </c>
      <c r="J1168">
        <v>-0.16</v>
      </c>
      <c r="K1168">
        <v>4.26</v>
      </c>
      <c r="L1168">
        <v>5.92</v>
      </c>
      <c r="M1168">
        <v>6.12</v>
      </c>
      <c r="N1168">
        <v>5.87</v>
      </c>
      <c r="O1168">
        <v>5.99</v>
      </c>
      <c r="P1168">
        <v>54.13</v>
      </c>
      <c r="Q1168">
        <v>158629776</v>
      </c>
      <c r="R1168">
        <v>0.63</v>
      </c>
      <c r="S1168" t="s">
        <v>3070</v>
      </c>
      <c r="T1168" t="s">
        <v>165</v>
      </c>
      <c r="U1168">
        <v>4.17</v>
      </c>
      <c r="V1168">
        <v>5.99</v>
      </c>
      <c r="W1168">
        <v>147489</v>
      </c>
      <c r="X1168">
        <v>117266</v>
      </c>
      <c r="Y1168">
        <v>1.26</v>
      </c>
      <c r="Z1168">
        <v>503</v>
      </c>
      <c r="AA1168">
        <v>1960</v>
      </c>
      <c r="AB1168" t="s">
        <v>116</v>
      </c>
      <c r="AC1168">
        <v>1486500</v>
      </c>
      <c r="AD1168">
        <v>0.06</v>
      </c>
      <c r="AE1168" t="s">
        <v>116</v>
      </c>
      <c r="AF1168" t="s">
        <v>116</v>
      </c>
      <c r="AG1168">
        <v>6.21</v>
      </c>
      <c r="AH1168" t="s">
        <v>6632</v>
      </c>
      <c r="AI1168" t="s">
        <v>4340</v>
      </c>
      <c r="AJ1168">
        <v>-1.1599999999999999</v>
      </c>
      <c r="AK1168">
        <v>3040</v>
      </c>
      <c r="AL1168">
        <v>87</v>
      </c>
      <c r="AM1168">
        <v>1.4E-3</v>
      </c>
      <c r="AN1168">
        <v>-4</v>
      </c>
      <c r="AO1168">
        <v>-5.17</v>
      </c>
      <c r="AP1168">
        <v>17.37</v>
      </c>
      <c r="AQ1168">
        <v>7.3</v>
      </c>
      <c r="AR1168">
        <v>-7.84</v>
      </c>
      <c r="AS1168">
        <v>6.45</v>
      </c>
      <c r="AT1168" t="s">
        <v>6633</v>
      </c>
      <c r="AU1168">
        <v>1696.85</v>
      </c>
      <c r="AV1168" t="s">
        <v>116</v>
      </c>
      <c r="AW1168">
        <v>0</v>
      </c>
      <c r="BA1168">
        <v>-1.17</v>
      </c>
      <c r="BB1168">
        <v>2.17</v>
      </c>
      <c r="BC1168">
        <v>-2</v>
      </c>
      <c r="BD1168">
        <v>0.03</v>
      </c>
      <c r="BE1168">
        <v>-0.68</v>
      </c>
      <c r="BF1168">
        <v>-3.92</v>
      </c>
      <c r="BG1168">
        <v>0.17</v>
      </c>
      <c r="BH1168">
        <v>-1.86</v>
      </c>
      <c r="BI1168">
        <v>20191030</v>
      </c>
      <c r="BJ1168">
        <v>20140127</v>
      </c>
      <c r="BK1168">
        <v>8.35</v>
      </c>
      <c r="BL1168" t="s">
        <v>116</v>
      </c>
      <c r="BM1168" t="s">
        <v>116</v>
      </c>
      <c r="BN1168">
        <v>149.30000000000001</v>
      </c>
      <c r="BO1168">
        <v>46.72</v>
      </c>
      <c r="BP1168">
        <v>3.17</v>
      </c>
      <c r="BQ1168">
        <v>66.59</v>
      </c>
      <c r="BR1168">
        <v>119.58</v>
      </c>
      <c r="BS1168">
        <v>4.17</v>
      </c>
      <c r="BT1168">
        <v>1.28</v>
      </c>
      <c r="BU1168">
        <v>83.03</v>
      </c>
      <c r="BV1168">
        <v>36.04</v>
      </c>
      <c r="BW1168">
        <v>48.47</v>
      </c>
      <c r="BX1168">
        <v>30.49</v>
      </c>
      <c r="BY1168">
        <v>77.13</v>
      </c>
      <c r="BZ1168">
        <v>69.16</v>
      </c>
      <c r="CA1168">
        <v>0.9</v>
      </c>
      <c r="CB1168">
        <v>0.01</v>
      </c>
      <c r="CC1168">
        <v>0.91</v>
      </c>
      <c r="CD1168">
        <v>0.66</v>
      </c>
      <c r="CE1168">
        <v>0.68</v>
      </c>
      <c r="CF1168">
        <v>0.66</v>
      </c>
      <c r="CG1168">
        <v>7.64</v>
      </c>
      <c r="CH1168">
        <v>-27.62</v>
      </c>
      <c r="CI1168">
        <v>-0.24</v>
      </c>
      <c r="CJ1168">
        <v>37704</v>
      </c>
      <c r="CK1168">
        <v>10879</v>
      </c>
      <c r="CL1168" t="s">
        <v>3596</v>
      </c>
      <c r="CM1168">
        <v>545.76</v>
      </c>
      <c r="CN1168">
        <v>-29.11</v>
      </c>
      <c r="CO1168">
        <v>1.05</v>
      </c>
      <c r="CP1168">
        <v>-1.78</v>
      </c>
      <c r="CQ1168">
        <v>0.64</v>
      </c>
      <c r="CR1168">
        <v>0</v>
      </c>
      <c r="CS1168" t="s">
        <v>1105</v>
      </c>
      <c r="CT1168">
        <v>5.6</v>
      </c>
      <c r="CU1168">
        <v>0</v>
      </c>
      <c r="CV1168">
        <v>3.65</v>
      </c>
      <c r="CW1168">
        <v>0.92</v>
      </c>
      <c r="CX1168">
        <v>-3.31</v>
      </c>
      <c r="CY1168">
        <v>31.29</v>
      </c>
      <c r="CZ1168" t="s">
        <v>6634</v>
      </c>
      <c r="DA1168">
        <v>10.34</v>
      </c>
      <c r="DB1168">
        <v>1.17</v>
      </c>
      <c r="DC1168">
        <v>0.88</v>
      </c>
      <c r="DD1168">
        <v>0.03</v>
      </c>
      <c r="DE1168">
        <v>2208</v>
      </c>
      <c r="DF1168">
        <v>2721</v>
      </c>
      <c r="DG1168" t="s">
        <v>116</v>
      </c>
      <c r="DH1168" t="s">
        <v>116</v>
      </c>
      <c r="DI1168" t="s">
        <v>116</v>
      </c>
    </row>
    <row r="1169" spans="1:113" x14ac:dyDescent="0.4">
      <c r="A1169" t="str">
        <f>"002722"</f>
        <v>002722</v>
      </c>
      <c r="B1169" t="s">
        <v>6635</v>
      </c>
      <c r="C1169">
        <v>-1.44</v>
      </c>
      <c r="D1169">
        <v>15.75</v>
      </c>
      <c r="E1169">
        <v>-0.23</v>
      </c>
      <c r="F1169">
        <v>15.75</v>
      </c>
      <c r="G1169">
        <v>15.76</v>
      </c>
      <c r="H1169">
        <v>36462</v>
      </c>
      <c r="I1169">
        <v>538</v>
      </c>
      <c r="J1169">
        <v>-0.05</v>
      </c>
      <c r="K1169">
        <v>2.12</v>
      </c>
      <c r="L1169">
        <v>15.88</v>
      </c>
      <c r="M1169">
        <v>16.14</v>
      </c>
      <c r="N1169">
        <v>15.71</v>
      </c>
      <c r="O1169">
        <v>15.98</v>
      </c>
      <c r="P1169">
        <v>23.19</v>
      </c>
      <c r="Q1169">
        <v>58112124</v>
      </c>
      <c r="R1169">
        <v>0.91</v>
      </c>
      <c r="S1169" t="s">
        <v>3176</v>
      </c>
      <c r="T1169" t="s">
        <v>323</v>
      </c>
      <c r="U1169">
        <v>2.69</v>
      </c>
      <c r="V1169">
        <v>15.94</v>
      </c>
      <c r="W1169">
        <v>23242</v>
      </c>
      <c r="X1169">
        <v>13220</v>
      </c>
      <c r="Y1169">
        <v>1.76</v>
      </c>
      <c r="Z1169">
        <v>373</v>
      </c>
      <c r="AA1169">
        <v>64</v>
      </c>
      <c r="AB1169" t="s">
        <v>116</v>
      </c>
      <c r="AC1169">
        <v>95300</v>
      </c>
      <c r="AD1169">
        <v>0.01</v>
      </c>
      <c r="AE1169" t="s">
        <v>116</v>
      </c>
      <c r="AF1169" t="s">
        <v>116</v>
      </c>
      <c r="AG1169">
        <v>1.72</v>
      </c>
      <c r="AH1169" t="s">
        <v>6636</v>
      </c>
      <c r="AI1169" t="s">
        <v>6637</v>
      </c>
      <c r="AJ1169">
        <v>-0.76</v>
      </c>
      <c r="AK1169">
        <v>1412</v>
      </c>
      <c r="AL1169">
        <v>26</v>
      </c>
      <c r="AM1169">
        <v>1.5E-3</v>
      </c>
      <c r="AN1169">
        <v>-1</v>
      </c>
      <c r="AO1169">
        <v>-1.68</v>
      </c>
      <c r="AP1169">
        <v>6.2</v>
      </c>
      <c r="AQ1169">
        <v>6.28</v>
      </c>
      <c r="AR1169">
        <v>12.5</v>
      </c>
      <c r="AS1169">
        <v>4.2699999999999996</v>
      </c>
      <c r="AT1169" t="s">
        <v>6638</v>
      </c>
      <c r="AU1169">
        <v>24.34</v>
      </c>
      <c r="AV1169">
        <v>22.74</v>
      </c>
      <c r="AW1169">
        <v>0.91</v>
      </c>
      <c r="BA1169">
        <v>-0.63</v>
      </c>
      <c r="BB1169">
        <v>1</v>
      </c>
      <c r="BC1169">
        <v>-1.69</v>
      </c>
      <c r="BD1169">
        <v>-0.26</v>
      </c>
      <c r="BE1169">
        <v>-0.82</v>
      </c>
      <c r="BF1169">
        <v>-2.42</v>
      </c>
      <c r="BG1169">
        <v>0.25</v>
      </c>
      <c r="BH1169">
        <v>-1.18</v>
      </c>
      <c r="BI1169">
        <v>20191031</v>
      </c>
      <c r="BJ1169">
        <v>20140128</v>
      </c>
      <c r="BK1169">
        <v>1.75</v>
      </c>
      <c r="BL1169" t="s">
        <v>116</v>
      </c>
      <c r="BM1169" t="s">
        <v>116</v>
      </c>
      <c r="BN1169">
        <v>29.42</v>
      </c>
      <c r="BO1169">
        <v>18.86</v>
      </c>
      <c r="BP1169">
        <v>7.0000000000000007E-2</v>
      </c>
      <c r="BQ1169">
        <v>35.67</v>
      </c>
      <c r="BR1169">
        <v>16.39</v>
      </c>
      <c r="BS1169">
        <v>4.04</v>
      </c>
      <c r="BT1169">
        <v>0.72</v>
      </c>
      <c r="BU1169">
        <v>10.36</v>
      </c>
      <c r="BV1169">
        <v>5.54</v>
      </c>
      <c r="BW1169">
        <v>5.16</v>
      </c>
      <c r="BX1169">
        <v>11.12</v>
      </c>
      <c r="BY1169">
        <v>17.48</v>
      </c>
      <c r="BZ1169">
        <v>14.29</v>
      </c>
      <c r="CA1169">
        <v>1.22</v>
      </c>
      <c r="CB1169">
        <v>-0.02</v>
      </c>
      <c r="CC1169">
        <v>1.22</v>
      </c>
      <c r="CD1169">
        <v>0.88</v>
      </c>
      <c r="CE1169">
        <v>0.89</v>
      </c>
      <c r="CF1169">
        <v>0.83</v>
      </c>
      <c r="CG1169">
        <v>5.24</v>
      </c>
      <c r="CH1169">
        <v>-0.1</v>
      </c>
      <c r="CI1169">
        <v>-0.83</v>
      </c>
      <c r="CJ1169">
        <v>25020</v>
      </c>
      <c r="CK1169">
        <v>3410</v>
      </c>
      <c r="CL1169" t="s">
        <v>5431</v>
      </c>
      <c r="CM1169">
        <v>-8.24</v>
      </c>
      <c r="CN1169">
        <v>0.76</v>
      </c>
      <c r="CO1169">
        <v>1.47</v>
      </c>
      <c r="CP1169">
        <v>-275.32</v>
      </c>
      <c r="CQ1169">
        <v>1.58</v>
      </c>
      <c r="CR1169">
        <v>1.27</v>
      </c>
      <c r="CS1169" t="s">
        <v>3482</v>
      </c>
      <c r="CT1169">
        <v>10.75</v>
      </c>
      <c r="CU1169">
        <v>0</v>
      </c>
      <c r="CV1169">
        <v>6.34</v>
      </c>
      <c r="CW1169">
        <v>2.99</v>
      </c>
      <c r="CX1169">
        <v>-0.06</v>
      </c>
      <c r="CY1169">
        <v>64.09</v>
      </c>
      <c r="CZ1169" t="s">
        <v>2987</v>
      </c>
      <c r="DA1169">
        <v>18.27</v>
      </c>
      <c r="DB1169">
        <v>7</v>
      </c>
      <c r="DC1169">
        <v>5.1100000000000003</v>
      </c>
      <c r="DD1169">
        <v>0.12</v>
      </c>
      <c r="DE1169">
        <v>2139</v>
      </c>
      <c r="DF1169">
        <v>2722</v>
      </c>
      <c r="DG1169" t="s">
        <v>116</v>
      </c>
      <c r="DH1169" t="s">
        <v>116</v>
      </c>
      <c r="DI1169" t="s">
        <v>116</v>
      </c>
    </row>
    <row r="1170" spans="1:113" x14ac:dyDescent="0.4">
      <c r="A1170" t="str">
        <f>"002723"</f>
        <v>002723</v>
      </c>
      <c r="B1170" t="s">
        <v>6639</v>
      </c>
      <c r="C1170">
        <v>-0.42</v>
      </c>
      <c r="D1170">
        <v>9.51</v>
      </c>
      <c r="E1170">
        <v>-0.04</v>
      </c>
      <c r="F1170">
        <v>9.51</v>
      </c>
      <c r="G1170">
        <v>9.52</v>
      </c>
      <c r="H1170">
        <v>28630</v>
      </c>
      <c r="I1170">
        <v>166</v>
      </c>
      <c r="J1170">
        <v>-0.3</v>
      </c>
      <c r="K1170">
        <v>1.65</v>
      </c>
      <c r="L1170">
        <v>9.51</v>
      </c>
      <c r="M1170">
        <v>9.6</v>
      </c>
      <c r="N1170">
        <v>9.39</v>
      </c>
      <c r="O1170">
        <v>9.5500000000000007</v>
      </c>
      <c r="P1170">
        <v>36.53</v>
      </c>
      <c r="Q1170">
        <v>27139812</v>
      </c>
      <c r="R1170">
        <v>1.44</v>
      </c>
      <c r="S1170" t="s">
        <v>209</v>
      </c>
      <c r="T1170" t="s">
        <v>551</v>
      </c>
      <c r="U1170">
        <v>2.2000000000000002</v>
      </c>
      <c r="V1170">
        <v>9.48</v>
      </c>
      <c r="W1170">
        <v>16380</v>
      </c>
      <c r="X1170">
        <v>12250</v>
      </c>
      <c r="Y1170">
        <v>1.34</v>
      </c>
      <c r="Z1170">
        <v>339</v>
      </c>
      <c r="AA1170">
        <v>243</v>
      </c>
      <c r="AB1170" t="s">
        <v>116</v>
      </c>
      <c r="AC1170">
        <v>39000</v>
      </c>
      <c r="AD1170">
        <v>0.01</v>
      </c>
      <c r="AE1170" t="s">
        <v>116</v>
      </c>
      <c r="AF1170" t="s">
        <v>116</v>
      </c>
      <c r="AG1170">
        <v>1.74</v>
      </c>
      <c r="AH1170" t="s">
        <v>3535</v>
      </c>
      <c r="AI1170" t="s">
        <v>4831</v>
      </c>
      <c r="AJ1170">
        <v>0.26</v>
      </c>
      <c r="AK1170">
        <v>1217</v>
      </c>
      <c r="AL1170">
        <v>24</v>
      </c>
      <c r="AM1170">
        <v>1.4E-3</v>
      </c>
      <c r="AN1170">
        <v>-1</v>
      </c>
      <c r="AO1170">
        <v>1.82</v>
      </c>
      <c r="AP1170">
        <v>-0.31</v>
      </c>
      <c r="AQ1170">
        <v>-1.45</v>
      </c>
      <c r="AR1170">
        <v>5.43</v>
      </c>
      <c r="AS1170">
        <v>4.4000000000000004</v>
      </c>
      <c r="AT1170" t="s">
        <v>6640</v>
      </c>
      <c r="AU1170" t="s">
        <v>116</v>
      </c>
      <c r="AV1170" t="s">
        <v>116</v>
      </c>
      <c r="AW1170">
        <v>1.1200000000000001</v>
      </c>
      <c r="BA1170">
        <v>-0.42</v>
      </c>
      <c r="BB1170">
        <v>0.52</v>
      </c>
      <c r="BC1170">
        <v>-1.68</v>
      </c>
      <c r="BD1170">
        <v>-0.74</v>
      </c>
      <c r="BE1170">
        <v>0</v>
      </c>
      <c r="BF1170">
        <v>-0.94</v>
      </c>
      <c r="BG1170">
        <v>1.28</v>
      </c>
      <c r="BH1170">
        <v>0.32</v>
      </c>
      <c r="BI1170">
        <v>20191218</v>
      </c>
      <c r="BJ1170">
        <v>20140129</v>
      </c>
      <c r="BK1170">
        <v>1.92</v>
      </c>
      <c r="BL1170" t="s">
        <v>116</v>
      </c>
      <c r="BM1170" t="s">
        <v>116</v>
      </c>
      <c r="BN1170">
        <v>9.82</v>
      </c>
      <c r="BO1170">
        <v>6.23</v>
      </c>
      <c r="BP1170">
        <v>0</v>
      </c>
      <c r="BQ1170">
        <v>36.520000000000003</v>
      </c>
      <c r="BR1170">
        <v>4.04</v>
      </c>
      <c r="BS1170">
        <v>4.28</v>
      </c>
      <c r="BT1170">
        <v>0.52</v>
      </c>
      <c r="BU1170">
        <v>3.53</v>
      </c>
      <c r="BV1170">
        <v>1.83</v>
      </c>
      <c r="BW1170">
        <v>1.53</v>
      </c>
      <c r="BX1170">
        <v>2.4700000000000002</v>
      </c>
      <c r="BY1170">
        <v>6.64</v>
      </c>
      <c r="BZ1170">
        <v>5.58</v>
      </c>
      <c r="CA1170">
        <v>0.37</v>
      </c>
      <c r="CB1170">
        <v>-0.03</v>
      </c>
      <c r="CC1170">
        <v>0.37</v>
      </c>
      <c r="CD1170">
        <v>0.37</v>
      </c>
      <c r="CE1170">
        <v>0.37</v>
      </c>
      <c r="CF1170">
        <v>0.28999999999999998</v>
      </c>
      <c r="CG1170">
        <v>1.5</v>
      </c>
      <c r="CH1170">
        <v>7.0000000000000007E-2</v>
      </c>
      <c r="CI1170">
        <v>-0.05</v>
      </c>
      <c r="CJ1170">
        <v>14826</v>
      </c>
      <c r="CK1170">
        <v>4392</v>
      </c>
      <c r="CL1170" t="s">
        <v>563</v>
      </c>
      <c r="CM1170">
        <v>360.88</v>
      </c>
      <c r="CN1170">
        <v>-2.61</v>
      </c>
      <c r="CO1170">
        <v>2.91</v>
      </c>
      <c r="CP1170">
        <v>271.33</v>
      </c>
      <c r="CQ1170">
        <v>2.75</v>
      </c>
      <c r="CR1170">
        <v>0</v>
      </c>
      <c r="CS1170" t="s">
        <v>541</v>
      </c>
      <c r="CT1170">
        <v>3.27</v>
      </c>
      <c r="CU1170">
        <v>3.27</v>
      </c>
      <c r="CV1170">
        <v>1.29</v>
      </c>
      <c r="CW1170">
        <v>0.78</v>
      </c>
      <c r="CX1170">
        <v>0.04</v>
      </c>
      <c r="CY1170">
        <v>63.48</v>
      </c>
      <c r="CZ1170" t="s">
        <v>973</v>
      </c>
      <c r="DA1170">
        <v>15.93</v>
      </c>
      <c r="DB1170">
        <v>5.55</v>
      </c>
      <c r="DC1170">
        <v>5.64</v>
      </c>
      <c r="DD1170">
        <v>0.21</v>
      </c>
      <c r="DE1170">
        <v>1273</v>
      </c>
      <c r="DF1170">
        <v>2723</v>
      </c>
      <c r="DG1170" t="s">
        <v>116</v>
      </c>
      <c r="DH1170" t="s">
        <v>116</v>
      </c>
      <c r="DI1170" t="s">
        <v>116</v>
      </c>
    </row>
    <row r="1171" spans="1:113" x14ac:dyDescent="0.4">
      <c r="A1171" t="str">
        <f>"002724"</f>
        <v>002724</v>
      </c>
      <c r="B1171" t="s">
        <v>6641</v>
      </c>
      <c r="C1171">
        <v>-2.37</v>
      </c>
      <c r="D1171">
        <v>7</v>
      </c>
      <c r="E1171">
        <v>-0.17</v>
      </c>
      <c r="F1171">
        <v>7</v>
      </c>
      <c r="G1171">
        <v>7.01</v>
      </c>
      <c r="H1171">
        <v>53871</v>
      </c>
      <c r="I1171">
        <v>981</v>
      </c>
      <c r="J1171">
        <v>0.14000000000000001</v>
      </c>
      <c r="K1171">
        <v>1.62</v>
      </c>
      <c r="L1171">
        <v>7.21</v>
      </c>
      <c r="M1171">
        <v>7.24</v>
      </c>
      <c r="N1171">
        <v>6.93</v>
      </c>
      <c r="O1171">
        <v>7.17</v>
      </c>
      <c r="P1171">
        <v>36.380000000000003</v>
      </c>
      <c r="Q1171">
        <v>38119168</v>
      </c>
      <c r="R1171">
        <v>1.1100000000000001</v>
      </c>
      <c r="S1171" t="s">
        <v>3507</v>
      </c>
      <c r="T1171" t="s">
        <v>115</v>
      </c>
      <c r="U1171">
        <v>4.32</v>
      </c>
      <c r="V1171">
        <v>7.08</v>
      </c>
      <c r="W1171">
        <v>27053</v>
      </c>
      <c r="X1171">
        <v>26818</v>
      </c>
      <c r="Y1171">
        <v>1.01</v>
      </c>
      <c r="Z1171">
        <v>81</v>
      </c>
      <c r="AA1171">
        <v>278</v>
      </c>
      <c r="AB1171" t="s">
        <v>116</v>
      </c>
      <c r="AC1171">
        <v>291600</v>
      </c>
      <c r="AD1171">
        <v>0.02</v>
      </c>
      <c r="AE1171" t="s">
        <v>116</v>
      </c>
      <c r="AF1171" t="s">
        <v>116</v>
      </c>
      <c r="AG1171">
        <v>3.32</v>
      </c>
      <c r="AH1171" t="s">
        <v>6642</v>
      </c>
      <c r="AI1171" t="s">
        <v>6643</v>
      </c>
      <c r="AJ1171">
        <v>-1.69</v>
      </c>
      <c r="AK1171">
        <v>2400</v>
      </c>
      <c r="AL1171">
        <v>22</v>
      </c>
      <c r="AM1171">
        <v>6.9999999999999999E-4</v>
      </c>
      <c r="AN1171">
        <v>-3</v>
      </c>
      <c r="AO1171">
        <v>-4.51</v>
      </c>
      <c r="AP1171">
        <v>5.9</v>
      </c>
      <c r="AQ1171">
        <v>11.82</v>
      </c>
      <c r="AR1171">
        <v>36.99</v>
      </c>
      <c r="AS1171">
        <v>2.91</v>
      </c>
      <c r="AT1171" t="s">
        <v>2823</v>
      </c>
      <c r="AU1171">
        <v>23.54</v>
      </c>
      <c r="AV1171">
        <v>26.53</v>
      </c>
      <c r="AW1171">
        <v>1.17</v>
      </c>
      <c r="BA1171">
        <v>0.56000000000000005</v>
      </c>
      <c r="BB1171">
        <v>0.98</v>
      </c>
      <c r="BC1171">
        <v>-3.35</v>
      </c>
      <c r="BD1171">
        <v>-1.31</v>
      </c>
      <c r="BE1171">
        <v>-2.91</v>
      </c>
      <c r="BF1171">
        <v>-3.31</v>
      </c>
      <c r="BG1171">
        <v>1.01</v>
      </c>
      <c r="BH1171">
        <v>-1.06</v>
      </c>
      <c r="BI1171">
        <v>20191024</v>
      </c>
      <c r="BJ1171">
        <v>20141104</v>
      </c>
      <c r="BK1171">
        <v>7.2</v>
      </c>
      <c r="BL1171" t="s">
        <v>116</v>
      </c>
      <c r="BM1171" t="s">
        <v>116</v>
      </c>
      <c r="BN1171">
        <v>21.15</v>
      </c>
      <c r="BO1171">
        <v>19.309999999999999</v>
      </c>
      <c r="BP1171">
        <v>0</v>
      </c>
      <c r="BQ1171">
        <v>8.7200000000000006</v>
      </c>
      <c r="BR1171">
        <v>16.010000000000002</v>
      </c>
      <c r="BS1171">
        <v>4.1100000000000003</v>
      </c>
      <c r="BT1171">
        <v>0.77</v>
      </c>
      <c r="BU1171">
        <v>1.84</v>
      </c>
      <c r="BV1171">
        <v>1.81</v>
      </c>
      <c r="BW1171">
        <v>3.44</v>
      </c>
      <c r="BX1171">
        <v>0.56000000000000005</v>
      </c>
      <c r="BY1171">
        <v>8.8699999999999992</v>
      </c>
      <c r="BZ1171">
        <v>2.78</v>
      </c>
      <c r="CA1171">
        <v>1.29</v>
      </c>
      <c r="CB1171">
        <v>0.18</v>
      </c>
      <c r="CC1171">
        <v>1.3</v>
      </c>
      <c r="CD1171">
        <v>1.04</v>
      </c>
      <c r="CE1171">
        <v>1.04</v>
      </c>
      <c r="CF1171">
        <v>0.8</v>
      </c>
      <c r="CG1171">
        <v>10.58</v>
      </c>
      <c r="CH1171">
        <v>0.33</v>
      </c>
      <c r="CI1171">
        <v>-2.29</v>
      </c>
      <c r="CJ1171">
        <v>18793</v>
      </c>
      <c r="CK1171">
        <v>9834</v>
      </c>
      <c r="CL1171" t="s">
        <v>5924</v>
      </c>
      <c r="CM1171">
        <v>30.23</v>
      </c>
      <c r="CN1171">
        <v>10.74</v>
      </c>
      <c r="CO1171">
        <v>2.61</v>
      </c>
      <c r="CP1171">
        <v>155.07</v>
      </c>
      <c r="CQ1171">
        <v>5.68</v>
      </c>
      <c r="CR1171">
        <v>1.43</v>
      </c>
      <c r="CS1171" t="s">
        <v>3664</v>
      </c>
      <c r="CT1171">
        <v>2.68</v>
      </c>
      <c r="CU1171">
        <v>0</v>
      </c>
      <c r="CV1171">
        <v>0.08</v>
      </c>
      <c r="CW1171">
        <v>1.47</v>
      </c>
      <c r="CX1171">
        <v>0.05</v>
      </c>
      <c r="CY1171">
        <v>91.28</v>
      </c>
      <c r="CZ1171" t="s">
        <v>5473</v>
      </c>
      <c r="DA1171">
        <v>68.67</v>
      </c>
      <c r="DB1171">
        <v>14.59</v>
      </c>
      <c r="DC1171">
        <v>11.71</v>
      </c>
      <c r="DD1171">
        <v>0.52</v>
      </c>
      <c r="DE1171">
        <v>2621</v>
      </c>
      <c r="DF1171">
        <v>2724</v>
      </c>
      <c r="DG1171" t="s">
        <v>116</v>
      </c>
      <c r="DH1171" t="s">
        <v>116</v>
      </c>
      <c r="DI1171" t="s">
        <v>116</v>
      </c>
    </row>
    <row r="1172" spans="1:113" x14ac:dyDescent="0.4">
      <c r="A1172" t="str">
        <f>"002725"</f>
        <v>002725</v>
      </c>
      <c r="B1172" t="s">
        <v>6644</v>
      </c>
      <c r="C1172">
        <v>-3.21</v>
      </c>
      <c r="D1172">
        <v>9.65</v>
      </c>
      <c r="E1172">
        <v>-0.32</v>
      </c>
      <c r="F1172">
        <v>9.65</v>
      </c>
      <c r="G1172">
        <v>9.66</v>
      </c>
      <c r="H1172">
        <v>63043</v>
      </c>
      <c r="I1172">
        <v>1183</v>
      </c>
      <c r="J1172">
        <v>-0.4</v>
      </c>
      <c r="K1172">
        <v>3.57</v>
      </c>
      <c r="L1172">
        <v>10.15</v>
      </c>
      <c r="M1172">
        <v>10.15</v>
      </c>
      <c r="N1172">
        <v>9.56</v>
      </c>
      <c r="O1172">
        <v>9.9700000000000006</v>
      </c>
      <c r="P1172">
        <v>48.63</v>
      </c>
      <c r="Q1172">
        <v>62022456</v>
      </c>
      <c r="R1172">
        <v>1.03</v>
      </c>
      <c r="S1172" t="s">
        <v>293</v>
      </c>
      <c r="T1172" t="s">
        <v>590</v>
      </c>
      <c r="U1172">
        <v>5.92</v>
      </c>
      <c r="V1172">
        <v>9.84</v>
      </c>
      <c r="W1172">
        <v>41641</v>
      </c>
      <c r="X1172">
        <v>21402</v>
      </c>
      <c r="Y1172">
        <v>1.95</v>
      </c>
      <c r="Z1172">
        <v>466</v>
      </c>
      <c r="AA1172">
        <v>1</v>
      </c>
      <c r="AB1172" t="s">
        <v>116</v>
      </c>
      <c r="AC1172">
        <v>532900</v>
      </c>
      <c r="AD1172">
        <v>0.05</v>
      </c>
      <c r="AE1172" t="s">
        <v>116</v>
      </c>
      <c r="AF1172" t="s">
        <v>116</v>
      </c>
      <c r="AG1172">
        <v>1.77</v>
      </c>
      <c r="AH1172" t="s">
        <v>2037</v>
      </c>
      <c r="AI1172" t="s">
        <v>6645</v>
      </c>
      <c r="AJ1172">
        <v>-2.5299999999999998</v>
      </c>
      <c r="AK1172">
        <v>1815</v>
      </c>
      <c r="AL1172">
        <v>35</v>
      </c>
      <c r="AM1172">
        <v>2E-3</v>
      </c>
      <c r="AN1172">
        <v>-1</v>
      </c>
      <c r="AO1172">
        <v>-0.62</v>
      </c>
      <c r="AP1172">
        <v>7.94</v>
      </c>
      <c r="AQ1172">
        <v>-8.18</v>
      </c>
      <c r="AR1172">
        <v>22.15</v>
      </c>
      <c r="AS1172">
        <v>5.64</v>
      </c>
      <c r="AT1172" t="s">
        <v>6646</v>
      </c>
      <c r="AU1172">
        <v>42.52</v>
      </c>
      <c r="AV1172">
        <v>52.91</v>
      </c>
      <c r="AW1172">
        <v>1.48</v>
      </c>
      <c r="BA1172">
        <v>1.81</v>
      </c>
      <c r="BB1172">
        <v>1.81</v>
      </c>
      <c r="BC1172">
        <v>-4.1100000000000003</v>
      </c>
      <c r="BD1172">
        <v>-1.32</v>
      </c>
      <c r="BE1172">
        <v>-4.93</v>
      </c>
      <c r="BF1172">
        <v>-4.93</v>
      </c>
      <c r="BG1172">
        <v>0.94</v>
      </c>
      <c r="BH1172">
        <v>-1.89</v>
      </c>
      <c r="BI1172">
        <v>20191028</v>
      </c>
      <c r="BJ1172">
        <v>20140129</v>
      </c>
      <c r="BK1172">
        <v>2.56</v>
      </c>
      <c r="BL1172" t="s">
        <v>116</v>
      </c>
      <c r="BM1172" t="s">
        <v>116</v>
      </c>
      <c r="BN1172">
        <v>11.45</v>
      </c>
      <c r="BO1172">
        <v>9.68</v>
      </c>
      <c r="BP1172">
        <v>0</v>
      </c>
      <c r="BQ1172">
        <v>15.45</v>
      </c>
      <c r="BR1172">
        <v>4.13</v>
      </c>
      <c r="BS1172">
        <v>3.83</v>
      </c>
      <c r="BT1172">
        <v>0.96</v>
      </c>
      <c r="BU1172">
        <v>1.68</v>
      </c>
      <c r="BV1172">
        <v>1.71</v>
      </c>
      <c r="BW1172">
        <v>1.34</v>
      </c>
      <c r="BX1172">
        <v>2.97</v>
      </c>
      <c r="BY1172">
        <v>5.37</v>
      </c>
      <c r="BZ1172">
        <v>4.24</v>
      </c>
      <c r="CA1172">
        <v>0.44</v>
      </c>
      <c r="CB1172">
        <v>-0.02</v>
      </c>
      <c r="CC1172">
        <v>0.43</v>
      </c>
      <c r="CD1172">
        <v>0.38</v>
      </c>
      <c r="CE1172">
        <v>0.38</v>
      </c>
      <c r="CF1172">
        <v>0.38</v>
      </c>
      <c r="CG1172">
        <v>3.58</v>
      </c>
      <c r="CH1172">
        <v>0.84</v>
      </c>
      <c r="CI1172">
        <v>-0.43</v>
      </c>
      <c r="CJ1172">
        <v>24745</v>
      </c>
      <c r="CK1172">
        <v>4519</v>
      </c>
      <c r="CL1172" t="s">
        <v>6647</v>
      </c>
      <c r="CM1172">
        <v>42.72</v>
      </c>
      <c r="CN1172">
        <v>-20.64</v>
      </c>
      <c r="CO1172">
        <v>2.5499999999999998</v>
      </c>
      <c r="CP1172">
        <v>29.5</v>
      </c>
      <c r="CQ1172">
        <v>4.5999999999999996</v>
      </c>
      <c r="CR1172">
        <v>1.04</v>
      </c>
      <c r="CS1172" t="s">
        <v>261</v>
      </c>
      <c r="CT1172">
        <v>3.78</v>
      </c>
      <c r="CU1172">
        <v>0</v>
      </c>
      <c r="CV1172">
        <v>1.1599999999999999</v>
      </c>
      <c r="CW1172">
        <v>1.4</v>
      </c>
      <c r="CX1172">
        <v>0.33</v>
      </c>
      <c r="CY1172">
        <v>84.55</v>
      </c>
      <c r="CZ1172" t="s">
        <v>5053</v>
      </c>
      <c r="DA1172">
        <v>21.05</v>
      </c>
      <c r="DB1172">
        <v>8.2200000000000006</v>
      </c>
      <c r="DC1172">
        <v>7.09</v>
      </c>
      <c r="DD1172">
        <v>0.17</v>
      </c>
      <c r="DE1172">
        <v>1579</v>
      </c>
      <c r="DF1172">
        <v>2725</v>
      </c>
      <c r="DG1172" t="s">
        <v>116</v>
      </c>
      <c r="DH1172" t="s">
        <v>116</v>
      </c>
      <c r="DI1172" t="s">
        <v>116</v>
      </c>
    </row>
    <row r="1173" spans="1:113" x14ac:dyDescent="0.4">
      <c r="A1173" t="str">
        <f>"002726"</f>
        <v>002726</v>
      </c>
      <c r="B1173" t="s">
        <v>6648</v>
      </c>
      <c r="C1173">
        <v>0.73</v>
      </c>
      <c r="D1173">
        <v>6.89</v>
      </c>
      <c r="E1173">
        <v>0.05</v>
      </c>
      <c r="F1173">
        <v>6.88</v>
      </c>
      <c r="G1173">
        <v>6.89</v>
      </c>
      <c r="H1173">
        <v>90445</v>
      </c>
      <c r="I1173">
        <v>732</v>
      </c>
      <c r="J1173">
        <v>0.15</v>
      </c>
      <c r="K1173">
        <v>0.92</v>
      </c>
      <c r="L1173">
        <v>6.84</v>
      </c>
      <c r="M1173">
        <v>6.96</v>
      </c>
      <c r="N1173">
        <v>6.84</v>
      </c>
      <c r="O1173">
        <v>6.84</v>
      </c>
      <c r="P1173">
        <v>33.03</v>
      </c>
      <c r="Q1173">
        <v>62363440</v>
      </c>
      <c r="R1173">
        <v>1.1000000000000001</v>
      </c>
      <c r="S1173" t="s">
        <v>863</v>
      </c>
      <c r="T1173" t="s">
        <v>645</v>
      </c>
      <c r="U1173">
        <v>1.75</v>
      </c>
      <c r="V1173">
        <v>6.9</v>
      </c>
      <c r="W1173">
        <v>44588</v>
      </c>
      <c r="X1173">
        <v>45857</v>
      </c>
      <c r="Y1173">
        <v>0.97</v>
      </c>
      <c r="Z1173">
        <v>444</v>
      </c>
      <c r="AA1173">
        <v>658</v>
      </c>
      <c r="AB1173" t="s">
        <v>116</v>
      </c>
      <c r="AC1173">
        <v>35800</v>
      </c>
      <c r="AD1173">
        <v>0</v>
      </c>
      <c r="AE1173" t="s">
        <v>116</v>
      </c>
      <c r="AF1173" t="s">
        <v>116</v>
      </c>
      <c r="AG1173">
        <v>9.7899999999999991</v>
      </c>
      <c r="AH1173" t="s">
        <v>6649</v>
      </c>
      <c r="AI1173" t="s">
        <v>6650</v>
      </c>
      <c r="AJ1173">
        <v>1.41</v>
      </c>
      <c r="AK1173">
        <v>2511</v>
      </c>
      <c r="AL1173">
        <v>36</v>
      </c>
      <c r="AM1173">
        <v>4.0000000000000002E-4</v>
      </c>
      <c r="AN1173">
        <v>1</v>
      </c>
      <c r="AO1173">
        <v>0.28999999999999998</v>
      </c>
      <c r="AP1173">
        <v>-0.72</v>
      </c>
      <c r="AQ1173">
        <v>3.07</v>
      </c>
      <c r="AR1173">
        <v>13.91</v>
      </c>
      <c r="AS1173">
        <v>2.78</v>
      </c>
      <c r="AT1173" t="s">
        <v>6651</v>
      </c>
      <c r="AU1173">
        <v>33.26</v>
      </c>
      <c r="AV1173">
        <v>38.22</v>
      </c>
      <c r="AW1173">
        <v>0.78</v>
      </c>
      <c r="BA1173">
        <v>0</v>
      </c>
      <c r="BB1173">
        <v>1.75</v>
      </c>
      <c r="BC1173">
        <v>0</v>
      </c>
      <c r="BD1173">
        <v>0.81</v>
      </c>
      <c r="BE1173">
        <v>0.73</v>
      </c>
      <c r="BF1173">
        <v>-1.01</v>
      </c>
      <c r="BG1173">
        <v>0.73</v>
      </c>
      <c r="BH1173">
        <v>-0.08</v>
      </c>
      <c r="BI1173">
        <v>20191216</v>
      </c>
      <c r="BJ1173">
        <v>20140626</v>
      </c>
      <c r="BK1173">
        <v>9.82</v>
      </c>
      <c r="BL1173" t="s">
        <v>116</v>
      </c>
      <c r="BM1173" t="s">
        <v>116</v>
      </c>
      <c r="BN1173">
        <v>55.32</v>
      </c>
      <c r="BO1173">
        <v>22.28</v>
      </c>
      <c r="BP1173">
        <v>2.25</v>
      </c>
      <c r="BQ1173">
        <v>55.67</v>
      </c>
      <c r="BR1173">
        <v>41.25</v>
      </c>
      <c r="BS1173">
        <v>8.2899999999999991</v>
      </c>
      <c r="BT1173">
        <v>0.52</v>
      </c>
      <c r="BU1173">
        <v>30.46</v>
      </c>
      <c r="BV1173">
        <v>22.49</v>
      </c>
      <c r="BW1173">
        <v>3.23</v>
      </c>
      <c r="BX1173">
        <v>3.82</v>
      </c>
      <c r="BY1173">
        <v>108.74</v>
      </c>
      <c r="BZ1173">
        <v>102.07</v>
      </c>
      <c r="CA1173">
        <v>2.29</v>
      </c>
      <c r="CB1173">
        <v>0</v>
      </c>
      <c r="CC1173">
        <v>2.37</v>
      </c>
      <c r="CD1173">
        <v>1.94</v>
      </c>
      <c r="CE1173">
        <v>1.54</v>
      </c>
      <c r="CF1173">
        <v>1.47</v>
      </c>
      <c r="CG1173">
        <v>9.0500000000000007</v>
      </c>
      <c r="CH1173">
        <v>-16.57</v>
      </c>
      <c r="CI1173">
        <v>-6.23</v>
      </c>
      <c r="CJ1173">
        <v>36071</v>
      </c>
      <c r="CK1173">
        <v>9020</v>
      </c>
      <c r="CL1173" t="s">
        <v>6652</v>
      </c>
      <c r="CM1173">
        <v>20.74</v>
      </c>
      <c r="CN1173">
        <v>84.59</v>
      </c>
      <c r="CO1173">
        <v>3.04</v>
      </c>
      <c r="CP1173">
        <v>-4.08</v>
      </c>
      <c r="CQ1173">
        <v>0.62</v>
      </c>
      <c r="CR1173">
        <v>0.52</v>
      </c>
      <c r="CS1173" t="s">
        <v>1636</v>
      </c>
      <c r="CT1173">
        <v>2.27</v>
      </c>
      <c r="CU1173">
        <v>0</v>
      </c>
      <c r="CV1173">
        <v>0.39</v>
      </c>
      <c r="CW1173">
        <v>0.92</v>
      </c>
      <c r="CX1173">
        <v>-1.69</v>
      </c>
      <c r="CY1173">
        <v>40.270000000000003</v>
      </c>
      <c r="CZ1173" t="s">
        <v>6653</v>
      </c>
      <c r="DA1173">
        <v>6.13</v>
      </c>
      <c r="DB1173">
        <v>2.11</v>
      </c>
      <c r="DC1173">
        <v>1.41</v>
      </c>
      <c r="DD1173">
        <v>0.03</v>
      </c>
      <c r="DE1173">
        <v>4649</v>
      </c>
      <c r="DF1173">
        <v>2726</v>
      </c>
      <c r="DG1173" t="s">
        <v>116</v>
      </c>
      <c r="DH1173" t="s">
        <v>116</v>
      </c>
      <c r="DI1173" t="s">
        <v>116</v>
      </c>
    </row>
    <row r="1174" spans="1:113" x14ac:dyDescent="0.4">
      <c r="A1174" t="str">
        <f>"002727"</f>
        <v>002727</v>
      </c>
      <c r="B1174" t="s">
        <v>6654</v>
      </c>
      <c r="C1174">
        <v>-0.04</v>
      </c>
      <c r="D1174">
        <v>22.8</v>
      </c>
      <c r="E1174">
        <v>-0.01</v>
      </c>
      <c r="F1174">
        <v>22.8</v>
      </c>
      <c r="G1174">
        <v>22.86</v>
      </c>
      <c r="H1174">
        <v>32665</v>
      </c>
      <c r="I1174">
        <v>722</v>
      </c>
      <c r="J1174">
        <v>-0.17</v>
      </c>
      <c r="K1174">
        <v>1.0900000000000001</v>
      </c>
      <c r="L1174">
        <v>22.81</v>
      </c>
      <c r="M1174">
        <v>23.13</v>
      </c>
      <c r="N1174">
        <v>22.67</v>
      </c>
      <c r="O1174">
        <v>22.81</v>
      </c>
      <c r="P1174">
        <v>20.059999999999999</v>
      </c>
      <c r="Q1174">
        <v>74744192</v>
      </c>
      <c r="R1174">
        <v>1.48</v>
      </c>
      <c r="S1174" t="s">
        <v>278</v>
      </c>
      <c r="T1174" t="s">
        <v>1043</v>
      </c>
      <c r="U1174">
        <v>2.02</v>
      </c>
      <c r="V1174">
        <v>22.88</v>
      </c>
      <c r="W1174">
        <v>14310</v>
      </c>
      <c r="X1174">
        <v>18355</v>
      </c>
      <c r="Y1174">
        <v>0.78</v>
      </c>
      <c r="Z1174">
        <v>15</v>
      </c>
      <c r="AA1174">
        <v>10</v>
      </c>
      <c r="AB1174" t="s">
        <v>116</v>
      </c>
      <c r="AC1174">
        <v>86700</v>
      </c>
      <c r="AD1174">
        <v>0</v>
      </c>
      <c r="AE1174" t="s">
        <v>116</v>
      </c>
      <c r="AF1174" t="s">
        <v>116</v>
      </c>
      <c r="AG1174">
        <v>3</v>
      </c>
      <c r="AH1174" t="s">
        <v>6655</v>
      </c>
      <c r="AI1174" t="s">
        <v>6656</v>
      </c>
      <c r="AJ1174">
        <v>0.64</v>
      </c>
      <c r="AK1174">
        <v>1721</v>
      </c>
      <c r="AL1174">
        <v>19</v>
      </c>
      <c r="AM1174">
        <v>5.9999999999999995E-4</v>
      </c>
      <c r="AN1174">
        <v>-2</v>
      </c>
      <c r="AO1174">
        <v>0.18</v>
      </c>
      <c r="AP1174">
        <v>1.38</v>
      </c>
      <c r="AQ1174">
        <v>-0.74</v>
      </c>
      <c r="AR1174">
        <v>30.43</v>
      </c>
      <c r="AS1174">
        <v>1.4</v>
      </c>
      <c r="AT1174" t="s">
        <v>6657</v>
      </c>
      <c r="AU1174">
        <v>22.07</v>
      </c>
      <c r="AV1174">
        <v>24.84</v>
      </c>
      <c r="AW1174">
        <v>0.67</v>
      </c>
      <c r="BA1174">
        <v>0</v>
      </c>
      <c r="BB1174">
        <v>1.4</v>
      </c>
      <c r="BC1174">
        <v>-0.61</v>
      </c>
      <c r="BD1174">
        <v>0.32</v>
      </c>
      <c r="BE1174">
        <v>-0.04</v>
      </c>
      <c r="BF1174">
        <v>-1.43</v>
      </c>
      <c r="BG1174">
        <v>0.56999999999999995</v>
      </c>
      <c r="BH1174">
        <v>-0.36</v>
      </c>
      <c r="BI1174">
        <v>20191224</v>
      </c>
      <c r="BJ1174">
        <v>20140702</v>
      </c>
      <c r="BK1174">
        <v>5.68</v>
      </c>
      <c r="BL1174" t="s">
        <v>116</v>
      </c>
      <c r="BM1174" t="s">
        <v>116</v>
      </c>
      <c r="BN1174">
        <v>81.69</v>
      </c>
      <c r="BO1174">
        <v>44.63</v>
      </c>
      <c r="BP1174">
        <v>0.05</v>
      </c>
      <c r="BQ1174">
        <v>45.31</v>
      </c>
      <c r="BR1174">
        <v>58.05</v>
      </c>
      <c r="BS1174">
        <v>5.0599999999999996</v>
      </c>
      <c r="BT1174">
        <v>0.97</v>
      </c>
      <c r="BU1174">
        <v>31.68</v>
      </c>
      <c r="BV1174">
        <v>19.68</v>
      </c>
      <c r="BW1174">
        <v>6.54</v>
      </c>
      <c r="BX1174">
        <v>14.1</v>
      </c>
      <c r="BY1174">
        <v>76.61</v>
      </c>
      <c r="BZ1174">
        <v>46.9</v>
      </c>
      <c r="CA1174">
        <v>5.88</v>
      </c>
      <c r="CB1174">
        <v>0.15</v>
      </c>
      <c r="CC1174">
        <v>5.92</v>
      </c>
      <c r="CD1174">
        <v>4.84</v>
      </c>
      <c r="CE1174">
        <v>4.84</v>
      </c>
      <c r="CF1174">
        <v>4.78</v>
      </c>
      <c r="CG1174">
        <v>21.95</v>
      </c>
      <c r="CH1174">
        <v>6.33</v>
      </c>
      <c r="CI1174">
        <v>-0.46</v>
      </c>
      <c r="CJ1174">
        <v>22564</v>
      </c>
      <c r="CK1174">
        <v>10313</v>
      </c>
      <c r="CL1174" t="s">
        <v>6658</v>
      </c>
      <c r="CM1174">
        <v>15.66</v>
      </c>
      <c r="CN1174">
        <v>15.75</v>
      </c>
      <c r="CO1174">
        <v>2.97</v>
      </c>
      <c r="CP1174">
        <v>20.46</v>
      </c>
      <c r="CQ1174">
        <v>1.69</v>
      </c>
      <c r="CR1174">
        <v>1.32</v>
      </c>
      <c r="CS1174" t="s">
        <v>6659</v>
      </c>
      <c r="CT1174">
        <v>7.69</v>
      </c>
      <c r="CU1174">
        <v>7.69</v>
      </c>
      <c r="CV1174">
        <v>2.48</v>
      </c>
      <c r="CW1174">
        <v>3.87</v>
      </c>
      <c r="CX1174">
        <v>1.1100000000000001</v>
      </c>
      <c r="CY1174">
        <v>54.63</v>
      </c>
      <c r="CZ1174" t="s">
        <v>4913</v>
      </c>
      <c r="DA1174">
        <v>38.79</v>
      </c>
      <c r="DB1174">
        <v>7.67</v>
      </c>
      <c r="DC1174">
        <v>6.32</v>
      </c>
      <c r="DD1174">
        <v>0</v>
      </c>
      <c r="DE1174">
        <v>26999</v>
      </c>
      <c r="DF1174">
        <v>2727</v>
      </c>
      <c r="DG1174" t="s">
        <v>116</v>
      </c>
      <c r="DH1174" t="s">
        <v>116</v>
      </c>
      <c r="DI1174" t="s">
        <v>116</v>
      </c>
    </row>
    <row r="1175" spans="1:113" x14ac:dyDescent="0.4">
      <c r="A1175" t="str">
        <f>"002728"</f>
        <v>002728</v>
      </c>
      <c r="B1175" t="s">
        <v>6660</v>
      </c>
      <c r="C1175">
        <v>-0.65</v>
      </c>
      <c r="D1175">
        <v>16.86</v>
      </c>
      <c r="E1175">
        <v>-0.11</v>
      </c>
      <c r="F1175">
        <v>16.82</v>
      </c>
      <c r="G1175">
        <v>16.86</v>
      </c>
      <c r="H1175">
        <v>6486</v>
      </c>
      <c r="I1175">
        <v>158</v>
      </c>
      <c r="J1175">
        <v>-0.05</v>
      </c>
      <c r="K1175">
        <v>0.54</v>
      </c>
      <c r="L1175">
        <v>16.95</v>
      </c>
      <c r="M1175">
        <v>17.05</v>
      </c>
      <c r="N1175">
        <v>16.809999999999999</v>
      </c>
      <c r="O1175">
        <v>16.97</v>
      </c>
      <c r="P1175">
        <v>18.93</v>
      </c>
      <c r="Q1175">
        <v>10955147</v>
      </c>
      <c r="R1175">
        <v>1.08</v>
      </c>
      <c r="S1175" t="s">
        <v>781</v>
      </c>
      <c r="T1175" t="s">
        <v>551</v>
      </c>
      <c r="U1175">
        <v>1.41</v>
      </c>
      <c r="V1175">
        <v>16.89</v>
      </c>
      <c r="W1175">
        <v>3656</v>
      </c>
      <c r="X1175">
        <v>2830</v>
      </c>
      <c r="Y1175">
        <v>1.29</v>
      </c>
      <c r="Z1175">
        <v>76</v>
      </c>
      <c r="AA1175">
        <v>61</v>
      </c>
      <c r="AB1175" t="s">
        <v>116</v>
      </c>
      <c r="AC1175">
        <v>149200</v>
      </c>
      <c r="AD1175">
        <v>0.01</v>
      </c>
      <c r="AE1175" t="s">
        <v>116</v>
      </c>
      <c r="AF1175" t="s">
        <v>116</v>
      </c>
      <c r="AG1175">
        <v>1.2</v>
      </c>
      <c r="AH1175" t="s">
        <v>6661</v>
      </c>
      <c r="AI1175" t="s">
        <v>6662</v>
      </c>
      <c r="AJ1175">
        <v>0.03</v>
      </c>
      <c r="AK1175">
        <v>536</v>
      </c>
      <c r="AL1175">
        <v>12</v>
      </c>
      <c r="AM1175">
        <v>1E-3</v>
      </c>
      <c r="AN1175">
        <v>-1</v>
      </c>
      <c r="AO1175">
        <v>1.26</v>
      </c>
      <c r="AP1175">
        <v>4.46</v>
      </c>
      <c r="AQ1175">
        <v>4.01</v>
      </c>
      <c r="AR1175">
        <v>35.200000000000003</v>
      </c>
      <c r="AS1175">
        <v>0.86</v>
      </c>
      <c r="AT1175" t="s">
        <v>6663</v>
      </c>
      <c r="AU1175">
        <v>20.12</v>
      </c>
      <c r="AV1175">
        <v>21.78</v>
      </c>
      <c r="AW1175">
        <v>0.42</v>
      </c>
      <c r="BA1175">
        <v>-0.12</v>
      </c>
      <c r="BB1175">
        <v>0.47</v>
      </c>
      <c r="BC1175">
        <v>-0.94</v>
      </c>
      <c r="BD1175">
        <v>-0.47</v>
      </c>
      <c r="BE1175">
        <v>-0.53</v>
      </c>
      <c r="BF1175">
        <v>-1.1100000000000001</v>
      </c>
      <c r="BG1175">
        <v>0.3</v>
      </c>
      <c r="BH1175">
        <v>-0.18</v>
      </c>
      <c r="BI1175">
        <v>20191029</v>
      </c>
      <c r="BJ1175">
        <v>20140731</v>
      </c>
      <c r="BK1175">
        <v>2.0099999999999998</v>
      </c>
      <c r="BL1175" t="s">
        <v>116</v>
      </c>
      <c r="BM1175" t="s">
        <v>116</v>
      </c>
      <c r="BN1175">
        <v>23.2</v>
      </c>
      <c r="BO1175">
        <v>11.15</v>
      </c>
      <c r="BP1175">
        <v>0</v>
      </c>
      <c r="BQ1175">
        <v>51.92</v>
      </c>
      <c r="BR1175">
        <v>10.29</v>
      </c>
      <c r="BS1175">
        <v>4.2300000000000004</v>
      </c>
      <c r="BT1175">
        <v>1.34</v>
      </c>
      <c r="BU1175">
        <v>8.2200000000000006</v>
      </c>
      <c r="BV1175">
        <v>2.0499999999999998</v>
      </c>
      <c r="BW1175">
        <v>1</v>
      </c>
      <c r="BX1175">
        <v>2.52</v>
      </c>
      <c r="BY1175">
        <v>6.86</v>
      </c>
      <c r="BZ1175">
        <v>2.84</v>
      </c>
      <c r="CA1175">
        <v>1.59</v>
      </c>
      <c r="CB1175">
        <v>0.04</v>
      </c>
      <c r="CC1175">
        <v>1.58</v>
      </c>
      <c r="CD1175">
        <v>1.34</v>
      </c>
      <c r="CE1175">
        <v>1.34</v>
      </c>
      <c r="CF1175">
        <v>1.21</v>
      </c>
      <c r="CG1175">
        <v>5.18</v>
      </c>
      <c r="CH1175">
        <v>1.58</v>
      </c>
      <c r="CI1175">
        <v>-2.19</v>
      </c>
      <c r="CJ1175">
        <v>15520</v>
      </c>
      <c r="CK1175">
        <v>4881</v>
      </c>
      <c r="CL1175" t="s">
        <v>6664</v>
      </c>
      <c r="CM1175">
        <v>10.57</v>
      </c>
      <c r="CN1175">
        <v>8.4600000000000009</v>
      </c>
      <c r="CO1175">
        <v>3.21</v>
      </c>
      <c r="CP1175">
        <v>21.46</v>
      </c>
      <c r="CQ1175">
        <v>4.93</v>
      </c>
      <c r="CR1175">
        <v>3.86</v>
      </c>
      <c r="CS1175" t="s">
        <v>1458</v>
      </c>
      <c r="CT1175">
        <v>5.24</v>
      </c>
      <c r="CU1175">
        <v>5.24</v>
      </c>
      <c r="CV1175">
        <v>1.25</v>
      </c>
      <c r="CW1175">
        <v>2.58</v>
      </c>
      <c r="CX1175">
        <v>0.79</v>
      </c>
      <c r="CY1175">
        <v>48.08</v>
      </c>
      <c r="CZ1175" t="s">
        <v>6665</v>
      </c>
      <c r="DA1175">
        <v>58.61</v>
      </c>
      <c r="DB1175">
        <v>23.14</v>
      </c>
      <c r="DC1175">
        <v>19.55</v>
      </c>
      <c r="DD1175">
        <v>0.32</v>
      </c>
      <c r="DE1175">
        <v>1280</v>
      </c>
      <c r="DF1175">
        <v>2728</v>
      </c>
      <c r="DG1175" t="s">
        <v>116</v>
      </c>
      <c r="DH1175" t="s">
        <v>116</v>
      </c>
      <c r="DI1175" t="s">
        <v>116</v>
      </c>
    </row>
    <row r="1176" spans="1:113" x14ac:dyDescent="0.4">
      <c r="A1176" t="str">
        <f>"002729"</f>
        <v>002729</v>
      </c>
      <c r="B1176" t="s">
        <v>6666</v>
      </c>
      <c r="C1176">
        <v>-2.44</v>
      </c>
      <c r="D1176">
        <v>46.83</v>
      </c>
      <c r="E1176">
        <v>-1.17</v>
      </c>
      <c r="F1176">
        <v>46.83</v>
      </c>
      <c r="G1176">
        <v>46.86</v>
      </c>
      <c r="H1176">
        <v>10457</v>
      </c>
      <c r="I1176">
        <v>59</v>
      </c>
      <c r="J1176">
        <v>0.73</v>
      </c>
      <c r="K1176">
        <v>1.57</v>
      </c>
      <c r="L1176">
        <v>48</v>
      </c>
      <c r="M1176">
        <v>49.5</v>
      </c>
      <c r="N1176">
        <v>45.58</v>
      </c>
      <c r="O1176">
        <v>48</v>
      </c>
      <c r="P1176">
        <v>154.78</v>
      </c>
      <c r="Q1176">
        <v>49100528</v>
      </c>
      <c r="R1176">
        <v>1.45</v>
      </c>
      <c r="S1176" t="s">
        <v>233</v>
      </c>
      <c r="T1176" t="s">
        <v>975</v>
      </c>
      <c r="U1176">
        <v>8.17</v>
      </c>
      <c r="V1176">
        <v>46.96</v>
      </c>
      <c r="W1176">
        <v>6514</v>
      </c>
      <c r="X1176">
        <v>3943</v>
      </c>
      <c r="Y1176">
        <v>1.65</v>
      </c>
      <c r="Z1176">
        <v>36</v>
      </c>
      <c r="AA1176">
        <v>41</v>
      </c>
      <c r="AB1176" t="s">
        <v>116</v>
      </c>
      <c r="AC1176">
        <v>201600</v>
      </c>
      <c r="AD1176">
        <v>0.02</v>
      </c>
      <c r="AE1176" t="s">
        <v>116</v>
      </c>
      <c r="AF1176" t="s">
        <v>116</v>
      </c>
      <c r="AG1176">
        <v>0.67</v>
      </c>
      <c r="AH1176" t="s">
        <v>3373</v>
      </c>
      <c r="AI1176" t="s">
        <v>3373</v>
      </c>
      <c r="AJ1176">
        <v>-1.76</v>
      </c>
      <c r="AK1176">
        <v>1111</v>
      </c>
      <c r="AL1176">
        <v>9</v>
      </c>
      <c r="AM1176">
        <v>1.4E-3</v>
      </c>
      <c r="AN1176">
        <v>-1</v>
      </c>
      <c r="AO1176">
        <v>8.5</v>
      </c>
      <c r="AP1176">
        <v>18.079999999999998</v>
      </c>
      <c r="AQ1176">
        <v>24.88</v>
      </c>
      <c r="AR1176">
        <v>128.11000000000001</v>
      </c>
      <c r="AS1176">
        <v>4.97</v>
      </c>
      <c r="AT1176" t="s">
        <v>6667</v>
      </c>
      <c r="AU1176">
        <v>165.84</v>
      </c>
      <c r="AV1176">
        <v>151.38999999999999</v>
      </c>
      <c r="AW1176">
        <v>0.87</v>
      </c>
      <c r="BA1176">
        <v>0</v>
      </c>
      <c r="BB1176">
        <v>3.13</v>
      </c>
      <c r="BC1176">
        <v>-5.04</v>
      </c>
      <c r="BD1176">
        <v>-2.17</v>
      </c>
      <c r="BE1176">
        <v>-2.44</v>
      </c>
      <c r="BF1176">
        <v>-5.39</v>
      </c>
      <c r="BG1176">
        <v>2.74</v>
      </c>
      <c r="BH1176">
        <v>-0.26</v>
      </c>
      <c r="BI1176">
        <v>20191031</v>
      </c>
      <c r="BJ1176">
        <v>20140912</v>
      </c>
      <c r="BK1176">
        <v>0.67</v>
      </c>
      <c r="BL1176" t="s">
        <v>116</v>
      </c>
      <c r="BM1176" t="s">
        <v>116</v>
      </c>
      <c r="BN1176">
        <v>4.93</v>
      </c>
      <c r="BO1176">
        <v>4.45</v>
      </c>
      <c r="BP1176">
        <v>0</v>
      </c>
      <c r="BQ1176">
        <v>9.77</v>
      </c>
      <c r="BR1176">
        <v>2.23</v>
      </c>
      <c r="BS1176">
        <v>2.0299999999999998</v>
      </c>
      <c r="BT1176">
        <v>0.13</v>
      </c>
      <c r="BU1176">
        <v>0.47</v>
      </c>
      <c r="BV1176">
        <v>0.38</v>
      </c>
      <c r="BW1176">
        <v>0.35</v>
      </c>
      <c r="BX1176">
        <v>1.78</v>
      </c>
      <c r="BY1176">
        <v>1.3</v>
      </c>
      <c r="BZ1176">
        <v>0.76</v>
      </c>
      <c r="CA1176">
        <v>0.19</v>
      </c>
      <c r="CB1176">
        <v>0</v>
      </c>
      <c r="CC1176">
        <v>0.19</v>
      </c>
      <c r="CD1176">
        <v>0.15</v>
      </c>
      <c r="CE1176">
        <v>0.15</v>
      </c>
      <c r="CF1176">
        <v>0.13</v>
      </c>
      <c r="CG1176">
        <v>1.76</v>
      </c>
      <c r="CH1176">
        <v>0.22</v>
      </c>
      <c r="CI1176">
        <v>0.11</v>
      </c>
      <c r="CJ1176">
        <v>5044</v>
      </c>
      <c r="CK1176">
        <v>4173</v>
      </c>
      <c r="CL1176" t="s">
        <v>6668</v>
      </c>
      <c r="CM1176">
        <v>-10.62</v>
      </c>
      <c r="CN1176">
        <v>-2.44</v>
      </c>
      <c r="CO1176">
        <v>7.02</v>
      </c>
      <c r="CP1176">
        <v>142.38999999999999</v>
      </c>
      <c r="CQ1176">
        <v>24.09</v>
      </c>
      <c r="CR1176">
        <v>0.15</v>
      </c>
      <c r="CS1176" t="s">
        <v>1967</v>
      </c>
      <c r="CT1176">
        <v>6.67</v>
      </c>
      <c r="CU1176">
        <v>0</v>
      </c>
      <c r="CV1176">
        <v>2.67</v>
      </c>
      <c r="CW1176">
        <v>2.63</v>
      </c>
      <c r="CX1176">
        <v>0.33</v>
      </c>
      <c r="CY1176">
        <v>90.23</v>
      </c>
      <c r="CZ1176" t="s">
        <v>2262</v>
      </c>
      <c r="DA1176">
        <v>41.64</v>
      </c>
      <c r="DB1176">
        <v>14.49</v>
      </c>
      <c r="DC1176">
        <v>11.67</v>
      </c>
      <c r="DD1176">
        <v>0.06</v>
      </c>
      <c r="DE1176">
        <v>573</v>
      </c>
      <c r="DF1176">
        <v>2729</v>
      </c>
      <c r="DG1176" t="s">
        <v>116</v>
      </c>
      <c r="DH1176" t="s">
        <v>116</v>
      </c>
      <c r="DI1176" t="s">
        <v>116</v>
      </c>
    </row>
    <row r="1177" spans="1:113" x14ac:dyDescent="0.4">
      <c r="A1177" t="str">
        <f>"002730"</f>
        <v>002730</v>
      </c>
      <c r="B1177" t="s">
        <v>6669</v>
      </c>
      <c r="C1177">
        <v>-0.12</v>
      </c>
      <c r="D1177">
        <v>8.1</v>
      </c>
      <c r="E1177">
        <v>-0.01</v>
      </c>
      <c r="F1177">
        <v>8.09</v>
      </c>
      <c r="G1177">
        <v>8.1</v>
      </c>
      <c r="H1177">
        <v>28859</v>
      </c>
      <c r="I1177">
        <v>261</v>
      </c>
      <c r="J1177">
        <v>0</v>
      </c>
      <c r="K1177">
        <v>0.99</v>
      </c>
      <c r="L1177">
        <v>8.11</v>
      </c>
      <c r="M1177">
        <v>8.32</v>
      </c>
      <c r="N1177">
        <v>8.09</v>
      </c>
      <c r="O1177">
        <v>8.11</v>
      </c>
      <c r="P1177">
        <v>32.880000000000003</v>
      </c>
      <c r="Q1177">
        <v>23662730</v>
      </c>
      <c r="R1177">
        <v>1.88</v>
      </c>
      <c r="S1177" t="s">
        <v>397</v>
      </c>
      <c r="T1177" t="s">
        <v>590</v>
      </c>
      <c r="U1177">
        <v>2.84</v>
      </c>
      <c r="V1177">
        <v>8.1999999999999993</v>
      </c>
      <c r="W1177">
        <v>12052</v>
      </c>
      <c r="X1177">
        <v>16807</v>
      </c>
      <c r="Y1177">
        <v>0.72</v>
      </c>
      <c r="Z1177">
        <v>269</v>
      </c>
      <c r="AA1177">
        <v>16</v>
      </c>
      <c r="AB1177" t="s">
        <v>116</v>
      </c>
      <c r="AC1177">
        <v>0</v>
      </c>
      <c r="AD1177">
        <v>0</v>
      </c>
      <c r="AE1177" t="s">
        <v>116</v>
      </c>
      <c r="AF1177" t="s">
        <v>116</v>
      </c>
      <c r="AG1177">
        <v>2.9</v>
      </c>
      <c r="AH1177" t="s">
        <v>6670</v>
      </c>
      <c r="AI1177" t="s">
        <v>6671</v>
      </c>
      <c r="AJ1177">
        <v>0.56000000000000005</v>
      </c>
      <c r="AK1177">
        <v>1075</v>
      </c>
      <c r="AL1177">
        <v>27</v>
      </c>
      <c r="AM1177">
        <v>8.9999999999999998E-4</v>
      </c>
      <c r="AN1177">
        <v>-1</v>
      </c>
      <c r="AO1177">
        <v>2.4</v>
      </c>
      <c r="AP1177">
        <v>12.19</v>
      </c>
      <c r="AQ1177">
        <v>-5.81</v>
      </c>
      <c r="AR1177">
        <v>20.72</v>
      </c>
      <c r="AS1177">
        <v>2.56</v>
      </c>
      <c r="AT1177" t="s">
        <v>6338</v>
      </c>
      <c r="AU1177">
        <v>38.590000000000003</v>
      </c>
      <c r="AV1177">
        <v>45.72</v>
      </c>
      <c r="AW1177">
        <v>1.1000000000000001</v>
      </c>
      <c r="BA1177">
        <v>0</v>
      </c>
      <c r="BB1177">
        <v>2.59</v>
      </c>
      <c r="BC1177">
        <v>-0.25</v>
      </c>
      <c r="BD1177">
        <v>1.1000000000000001</v>
      </c>
      <c r="BE1177">
        <v>-0.12</v>
      </c>
      <c r="BF1177">
        <v>-2.64</v>
      </c>
      <c r="BG1177">
        <v>0.12</v>
      </c>
      <c r="BH1177">
        <v>-1.23</v>
      </c>
      <c r="BI1177">
        <v>20191023</v>
      </c>
      <c r="BJ1177">
        <v>20141009</v>
      </c>
      <c r="BK1177">
        <v>3.23</v>
      </c>
      <c r="BL1177" t="s">
        <v>116</v>
      </c>
      <c r="BM1177" t="s">
        <v>116</v>
      </c>
      <c r="BN1177">
        <v>16.48</v>
      </c>
      <c r="BO1177">
        <v>9.85</v>
      </c>
      <c r="BP1177">
        <v>0.65</v>
      </c>
      <c r="BQ1177">
        <v>36.270000000000003</v>
      </c>
      <c r="BR1177">
        <v>10.050000000000001</v>
      </c>
      <c r="BS1177">
        <v>2.2599999999999998</v>
      </c>
      <c r="BT1177">
        <v>0.73</v>
      </c>
      <c r="BU1177">
        <v>5.87</v>
      </c>
      <c r="BV1177">
        <v>1.64</v>
      </c>
      <c r="BW1177">
        <v>5.26</v>
      </c>
      <c r="BX1177">
        <v>1.79</v>
      </c>
      <c r="BY1177">
        <v>6.94</v>
      </c>
      <c r="BZ1177">
        <v>4.5</v>
      </c>
      <c r="CA1177">
        <v>0.76</v>
      </c>
      <c r="CB1177">
        <v>0.01</v>
      </c>
      <c r="CC1177">
        <v>0.76</v>
      </c>
      <c r="CD1177">
        <v>0.66</v>
      </c>
      <c r="CE1177">
        <v>0.6</v>
      </c>
      <c r="CF1177">
        <v>0.54</v>
      </c>
      <c r="CG1177">
        <v>4.32</v>
      </c>
      <c r="CH1177">
        <v>1.72</v>
      </c>
      <c r="CI1177">
        <v>-0.74</v>
      </c>
      <c r="CJ1177">
        <v>23008</v>
      </c>
      <c r="CK1177">
        <v>4899</v>
      </c>
      <c r="CL1177" t="s">
        <v>5944</v>
      </c>
      <c r="CM1177">
        <v>21.55</v>
      </c>
      <c r="CN1177">
        <v>7.96</v>
      </c>
      <c r="CO1177">
        <v>2.65</v>
      </c>
      <c r="CP1177">
        <v>15.16</v>
      </c>
      <c r="CQ1177">
        <v>3.77</v>
      </c>
      <c r="CR1177">
        <v>0.62</v>
      </c>
      <c r="CS1177" t="s">
        <v>246</v>
      </c>
      <c r="CT1177">
        <v>3.05</v>
      </c>
      <c r="CU1177">
        <v>0</v>
      </c>
      <c r="CV1177">
        <v>0.55000000000000004</v>
      </c>
      <c r="CW1177">
        <v>1.34</v>
      </c>
      <c r="CX1177">
        <v>0.53</v>
      </c>
      <c r="CY1177">
        <v>59.79</v>
      </c>
      <c r="CZ1177" t="s">
        <v>6672</v>
      </c>
      <c r="DA1177">
        <v>35.11</v>
      </c>
      <c r="DB1177">
        <v>10.99</v>
      </c>
      <c r="DC1177">
        <v>8.59</v>
      </c>
      <c r="DD1177">
        <v>0.26</v>
      </c>
      <c r="DE1177">
        <v>1522</v>
      </c>
      <c r="DF1177">
        <v>2730</v>
      </c>
      <c r="DG1177" t="s">
        <v>116</v>
      </c>
      <c r="DH1177" t="s">
        <v>116</v>
      </c>
      <c r="DI1177" t="s">
        <v>116</v>
      </c>
    </row>
    <row r="1178" spans="1:113" x14ac:dyDescent="0.4">
      <c r="A1178" t="str">
        <f>"002731"</f>
        <v>002731</v>
      </c>
      <c r="B1178" t="s">
        <v>6673</v>
      </c>
      <c r="C1178">
        <v>1.46</v>
      </c>
      <c r="D1178">
        <v>7.64</v>
      </c>
      <c r="E1178">
        <v>0.11</v>
      </c>
      <c r="F1178">
        <v>7.63</v>
      </c>
      <c r="G1178">
        <v>7.64</v>
      </c>
      <c r="H1178">
        <v>78334</v>
      </c>
      <c r="I1178">
        <v>932</v>
      </c>
      <c r="J1178">
        <v>0.26</v>
      </c>
      <c r="K1178">
        <v>3.57</v>
      </c>
      <c r="L1178">
        <v>7.56</v>
      </c>
      <c r="M1178">
        <v>7.78</v>
      </c>
      <c r="N1178">
        <v>7.51</v>
      </c>
      <c r="O1178">
        <v>7.53</v>
      </c>
      <c r="P1178">
        <v>63.97</v>
      </c>
      <c r="Q1178">
        <v>60018944</v>
      </c>
      <c r="R1178">
        <v>1.93</v>
      </c>
      <c r="S1178" t="s">
        <v>3070</v>
      </c>
      <c r="T1178" t="s">
        <v>434</v>
      </c>
      <c r="U1178">
        <v>3.59</v>
      </c>
      <c r="V1178">
        <v>7.66</v>
      </c>
      <c r="W1178">
        <v>35413</v>
      </c>
      <c r="X1178">
        <v>42921</v>
      </c>
      <c r="Y1178">
        <v>0.83</v>
      </c>
      <c r="Z1178">
        <v>128</v>
      </c>
      <c r="AA1178">
        <v>968</v>
      </c>
      <c r="AB1178" t="s">
        <v>116</v>
      </c>
      <c r="AC1178">
        <v>511800</v>
      </c>
      <c r="AD1178">
        <v>0.06</v>
      </c>
      <c r="AE1178" t="s">
        <v>116</v>
      </c>
      <c r="AF1178" t="s">
        <v>116</v>
      </c>
      <c r="AG1178">
        <v>2.2000000000000002</v>
      </c>
      <c r="AH1178" t="s">
        <v>6674</v>
      </c>
      <c r="AI1178" t="s">
        <v>1004</v>
      </c>
      <c r="AJ1178">
        <v>2.14</v>
      </c>
      <c r="AK1178">
        <v>2043</v>
      </c>
      <c r="AL1178">
        <v>38</v>
      </c>
      <c r="AM1178">
        <v>1.6999999999999999E-3</v>
      </c>
      <c r="AN1178">
        <v>4</v>
      </c>
      <c r="AO1178">
        <v>2.5499999999999998</v>
      </c>
      <c r="AP1178">
        <v>3.95</v>
      </c>
      <c r="AQ1178">
        <v>-4.38</v>
      </c>
      <c r="AR1178">
        <v>-24.71</v>
      </c>
      <c r="AS1178">
        <v>6.39</v>
      </c>
      <c r="AT1178" t="s">
        <v>6675</v>
      </c>
      <c r="AU1178">
        <v>90.33</v>
      </c>
      <c r="AV1178">
        <v>66.09</v>
      </c>
      <c r="AW1178">
        <v>0.73</v>
      </c>
      <c r="BA1178">
        <v>0.4</v>
      </c>
      <c r="BB1178">
        <v>3.32</v>
      </c>
      <c r="BC1178">
        <v>-0.27</v>
      </c>
      <c r="BD1178">
        <v>1.75</v>
      </c>
      <c r="BE1178">
        <v>1.06</v>
      </c>
      <c r="BF1178">
        <v>-1.8</v>
      </c>
      <c r="BG1178">
        <v>1.73</v>
      </c>
      <c r="BH1178">
        <v>-0.28999999999999998</v>
      </c>
      <c r="BI1178">
        <v>20191023</v>
      </c>
      <c r="BJ1178">
        <v>20141104</v>
      </c>
      <c r="BK1178">
        <v>2.56</v>
      </c>
      <c r="BL1178" t="s">
        <v>116</v>
      </c>
      <c r="BM1178" t="s">
        <v>116</v>
      </c>
      <c r="BN1178">
        <v>33.93</v>
      </c>
      <c r="BO1178">
        <v>12.16</v>
      </c>
      <c r="BP1178">
        <v>-0.24</v>
      </c>
      <c r="BQ1178">
        <v>64.88</v>
      </c>
      <c r="BR1178">
        <v>29.11</v>
      </c>
      <c r="BS1178">
        <v>3</v>
      </c>
      <c r="BT1178">
        <v>0.03</v>
      </c>
      <c r="BU1178">
        <v>21.7</v>
      </c>
      <c r="BV1178">
        <v>19.25</v>
      </c>
      <c r="BW1178">
        <v>3.26</v>
      </c>
      <c r="BX1178">
        <v>2.96</v>
      </c>
      <c r="BY1178">
        <v>17.579999999999998</v>
      </c>
      <c r="BZ1178">
        <v>14.63</v>
      </c>
      <c r="CA1178">
        <v>0.38</v>
      </c>
      <c r="CB1178">
        <v>-0.66</v>
      </c>
      <c r="CC1178">
        <v>0.36</v>
      </c>
      <c r="CD1178">
        <v>0.19</v>
      </c>
      <c r="CE1178">
        <v>0.23</v>
      </c>
      <c r="CF1178">
        <v>0.24</v>
      </c>
      <c r="CG1178">
        <v>6.27</v>
      </c>
      <c r="CH1178">
        <v>0.94</v>
      </c>
      <c r="CI1178">
        <v>-1.91</v>
      </c>
      <c r="CJ1178">
        <v>23868</v>
      </c>
      <c r="CK1178">
        <v>5138</v>
      </c>
      <c r="CL1178" t="s">
        <v>3727</v>
      </c>
      <c r="CM1178">
        <v>-25.72</v>
      </c>
      <c r="CN1178">
        <v>-7.84</v>
      </c>
      <c r="CO1178">
        <v>1.61</v>
      </c>
      <c r="CP1178">
        <v>20.77</v>
      </c>
      <c r="CQ1178">
        <v>1.1100000000000001</v>
      </c>
      <c r="CR1178">
        <v>0.38</v>
      </c>
      <c r="CS1178" t="s">
        <v>2739</v>
      </c>
      <c r="CT1178">
        <v>4.75</v>
      </c>
      <c r="CU1178">
        <v>0</v>
      </c>
      <c r="CV1178">
        <v>1.1599999999999999</v>
      </c>
      <c r="CW1178">
        <v>2.4500000000000002</v>
      </c>
      <c r="CX1178">
        <v>0.37</v>
      </c>
      <c r="CY1178">
        <v>35.82</v>
      </c>
      <c r="CZ1178" t="s">
        <v>6676</v>
      </c>
      <c r="DA1178">
        <v>16.77</v>
      </c>
      <c r="DB1178">
        <v>2.15</v>
      </c>
      <c r="DC1178">
        <v>1.3</v>
      </c>
      <c r="DD1178">
        <v>0.02</v>
      </c>
      <c r="DE1178">
        <v>625</v>
      </c>
      <c r="DF1178">
        <v>2731</v>
      </c>
      <c r="DG1178" t="s">
        <v>116</v>
      </c>
      <c r="DH1178" t="s">
        <v>116</v>
      </c>
      <c r="DI1178" t="s">
        <v>116</v>
      </c>
    </row>
    <row r="1179" spans="1:113" x14ac:dyDescent="0.4">
      <c r="A1179" t="str">
        <f>"002732"</f>
        <v>002732</v>
      </c>
      <c r="B1179" t="s">
        <v>6677</v>
      </c>
      <c r="C1179">
        <v>-0.87</v>
      </c>
      <c r="D1179">
        <v>21.66</v>
      </c>
      <c r="E1179">
        <v>-0.19</v>
      </c>
      <c r="F1179">
        <v>21.65</v>
      </c>
      <c r="G1179">
        <v>21.66</v>
      </c>
      <c r="H1179">
        <v>12388</v>
      </c>
      <c r="I1179">
        <v>141</v>
      </c>
      <c r="J1179">
        <v>-0.13</v>
      </c>
      <c r="K1179">
        <v>0.8</v>
      </c>
      <c r="L1179">
        <v>21.86</v>
      </c>
      <c r="M1179">
        <v>22</v>
      </c>
      <c r="N1179">
        <v>21.65</v>
      </c>
      <c r="O1179">
        <v>21.85</v>
      </c>
      <c r="P1179">
        <v>23.11</v>
      </c>
      <c r="Q1179">
        <v>27028760</v>
      </c>
      <c r="R1179">
        <v>0.92</v>
      </c>
      <c r="S1179" t="s">
        <v>4803</v>
      </c>
      <c r="T1179" t="s">
        <v>551</v>
      </c>
      <c r="U1179">
        <v>1.6</v>
      </c>
      <c r="V1179">
        <v>21.82</v>
      </c>
      <c r="W1179">
        <v>7458</v>
      </c>
      <c r="X1179">
        <v>4930</v>
      </c>
      <c r="Y1179">
        <v>1.51</v>
      </c>
      <c r="Z1179">
        <v>105</v>
      </c>
      <c r="AA1179">
        <v>2</v>
      </c>
      <c r="AB1179" t="s">
        <v>116</v>
      </c>
      <c r="AC1179">
        <v>37200</v>
      </c>
      <c r="AD1179">
        <v>0</v>
      </c>
      <c r="AE1179" t="s">
        <v>116</v>
      </c>
      <c r="AF1179" t="s">
        <v>116</v>
      </c>
      <c r="AG1179">
        <v>1.56</v>
      </c>
      <c r="AH1179" t="s">
        <v>4177</v>
      </c>
      <c r="AI1179" t="s">
        <v>6678</v>
      </c>
      <c r="AJ1179">
        <v>-0.19</v>
      </c>
      <c r="AK1179">
        <v>1277</v>
      </c>
      <c r="AL1179">
        <v>10</v>
      </c>
      <c r="AM1179">
        <v>5.9999999999999995E-4</v>
      </c>
      <c r="AN1179">
        <v>-3</v>
      </c>
      <c r="AO1179">
        <v>-2.65</v>
      </c>
      <c r="AP1179">
        <v>0.05</v>
      </c>
      <c r="AQ1179">
        <v>-0.51</v>
      </c>
      <c r="AR1179">
        <v>27.34</v>
      </c>
      <c r="AS1179">
        <v>1.91</v>
      </c>
      <c r="AT1179" t="s">
        <v>6679</v>
      </c>
      <c r="AU1179">
        <v>38.68</v>
      </c>
      <c r="AV1179">
        <v>80.760000000000005</v>
      </c>
      <c r="AW1179">
        <v>0.8</v>
      </c>
      <c r="BA1179">
        <v>0.05</v>
      </c>
      <c r="BB1179">
        <v>0.69</v>
      </c>
      <c r="BC1179">
        <v>-0.92</v>
      </c>
      <c r="BD1179">
        <v>-0.15</v>
      </c>
      <c r="BE1179">
        <v>-0.91</v>
      </c>
      <c r="BF1179">
        <v>-1.55</v>
      </c>
      <c r="BG1179">
        <v>0.05</v>
      </c>
      <c r="BH1179">
        <v>-0.72</v>
      </c>
      <c r="BI1179">
        <v>20191022</v>
      </c>
      <c r="BJ1179">
        <v>20141205</v>
      </c>
      <c r="BK1179">
        <v>1.57</v>
      </c>
      <c r="BL1179" t="s">
        <v>116</v>
      </c>
      <c r="BM1179" t="s">
        <v>116</v>
      </c>
      <c r="BN1179">
        <v>13.74</v>
      </c>
      <c r="BO1179">
        <v>9.92</v>
      </c>
      <c r="BP1179">
        <v>0.21</v>
      </c>
      <c r="BQ1179">
        <v>26.26</v>
      </c>
      <c r="BR1179">
        <v>3.55</v>
      </c>
      <c r="BS1179">
        <v>8.2200000000000006</v>
      </c>
      <c r="BT1179">
        <v>0.28000000000000003</v>
      </c>
      <c r="BU1179">
        <v>3.11</v>
      </c>
      <c r="BV1179">
        <v>1.25</v>
      </c>
      <c r="BW1179">
        <v>0.92</v>
      </c>
      <c r="BX1179">
        <v>3.19</v>
      </c>
      <c r="BY1179">
        <v>10.92</v>
      </c>
      <c r="BZ1179">
        <v>7.05</v>
      </c>
      <c r="CA1179">
        <v>1.29</v>
      </c>
      <c r="CB1179">
        <v>0.01</v>
      </c>
      <c r="CC1179">
        <v>1.29</v>
      </c>
      <c r="CD1179">
        <v>1.1399999999999999</v>
      </c>
      <c r="CE1179">
        <v>1.1100000000000001</v>
      </c>
      <c r="CF1179">
        <v>1.1000000000000001</v>
      </c>
      <c r="CG1179">
        <v>4.5</v>
      </c>
      <c r="CH1179">
        <v>1.57</v>
      </c>
      <c r="CI1179">
        <v>0.35</v>
      </c>
      <c r="CJ1179">
        <v>16272</v>
      </c>
      <c r="CK1179">
        <v>3982</v>
      </c>
      <c r="CL1179" t="s">
        <v>3660</v>
      </c>
      <c r="CM1179">
        <v>70.95</v>
      </c>
      <c r="CN1179">
        <v>13.11</v>
      </c>
      <c r="CO1179">
        <v>3.44</v>
      </c>
      <c r="CP1179">
        <v>21.72</v>
      </c>
      <c r="CQ1179">
        <v>3.12</v>
      </c>
      <c r="CR1179">
        <v>0.46</v>
      </c>
      <c r="CS1179" t="s">
        <v>6680</v>
      </c>
      <c r="CT1179">
        <v>6.3</v>
      </c>
      <c r="CU1179">
        <v>0</v>
      </c>
      <c r="CV1179">
        <v>2.0299999999999998</v>
      </c>
      <c r="CW1179">
        <v>2.86</v>
      </c>
      <c r="CX1179">
        <v>1</v>
      </c>
      <c r="CY1179">
        <v>72.209999999999994</v>
      </c>
      <c r="CZ1179" t="s">
        <v>6681</v>
      </c>
      <c r="DA1179">
        <v>35.4</v>
      </c>
      <c r="DB1179">
        <v>11.78</v>
      </c>
      <c r="DC1179">
        <v>10.130000000000001</v>
      </c>
      <c r="DD1179">
        <v>0.02</v>
      </c>
      <c r="DE1179">
        <v>1422</v>
      </c>
      <c r="DF1179">
        <v>2732</v>
      </c>
      <c r="DG1179" t="s">
        <v>116</v>
      </c>
      <c r="DH1179" t="s">
        <v>116</v>
      </c>
      <c r="DI1179" t="s">
        <v>116</v>
      </c>
    </row>
    <row r="1180" spans="1:113" x14ac:dyDescent="0.4">
      <c r="A1180" t="str">
        <f>"002733"</f>
        <v>002733</v>
      </c>
      <c r="B1180" t="s">
        <v>6682</v>
      </c>
      <c r="C1180">
        <v>0</v>
      </c>
      <c r="D1180">
        <v>27.57</v>
      </c>
      <c r="E1180">
        <v>0</v>
      </c>
      <c r="F1180">
        <v>27.56</v>
      </c>
      <c r="G1180">
        <v>27.57</v>
      </c>
      <c r="H1180">
        <v>419004</v>
      </c>
      <c r="I1180">
        <v>5170</v>
      </c>
      <c r="J1180">
        <v>-0.32</v>
      </c>
      <c r="K1180">
        <v>12.8</v>
      </c>
      <c r="L1180">
        <v>28.1</v>
      </c>
      <c r="M1180">
        <v>28.73</v>
      </c>
      <c r="N1180">
        <v>27.11</v>
      </c>
      <c r="O1180">
        <v>27.57</v>
      </c>
      <c r="P1180">
        <v>47.01</v>
      </c>
      <c r="Q1180">
        <v>1164922880</v>
      </c>
      <c r="R1180">
        <v>2</v>
      </c>
      <c r="S1180" t="s">
        <v>397</v>
      </c>
      <c r="T1180" t="s">
        <v>115</v>
      </c>
      <c r="U1180">
        <v>5.88</v>
      </c>
      <c r="V1180">
        <v>27.8</v>
      </c>
      <c r="W1180">
        <v>218406</v>
      </c>
      <c r="X1180">
        <v>200598</v>
      </c>
      <c r="Y1180">
        <v>1.0900000000000001</v>
      </c>
      <c r="Z1180">
        <v>253</v>
      </c>
      <c r="AA1180">
        <v>1115</v>
      </c>
      <c r="AB1180" t="s">
        <v>116</v>
      </c>
      <c r="AC1180">
        <v>26470200</v>
      </c>
      <c r="AD1180">
        <v>0.56000000000000005</v>
      </c>
      <c r="AE1180" t="s">
        <v>116</v>
      </c>
      <c r="AF1180" t="s">
        <v>116</v>
      </c>
      <c r="AG1180">
        <v>3.27</v>
      </c>
      <c r="AH1180" t="s">
        <v>6683</v>
      </c>
      <c r="AI1180" t="s">
        <v>6684</v>
      </c>
      <c r="AJ1180">
        <v>0.68</v>
      </c>
      <c r="AK1180">
        <v>4520</v>
      </c>
      <c r="AL1180">
        <v>93</v>
      </c>
      <c r="AM1180">
        <v>2.8E-3</v>
      </c>
      <c r="AN1180">
        <v>0</v>
      </c>
      <c r="AO1180">
        <v>10.68</v>
      </c>
      <c r="AP1180">
        <v>17.920000000000002</v>
      </c>
      <c r="AQ1180">
        <v>36.08</v>
      </c>
      <c r="AR1180">
        <v>172.97</v>
      </c>
      <c r="AS1180">
        <v>25.09</v>
      </c>
      <c r="AT1180" t="s">
        <v>6685</v>
      </c>
      <c r="AU1180">
        <v>54.73</v>
      </c>
      <c r="AV1180">
        <v>102.44</v>
      </c>
      <c r="AW1180">
        <v>1.54</v>
      </c>
      <c r="BA1180">
        <v>1.92</v>
      </c>
      <c r="BB1180">
        <v>4.21</v>
      </c>
      <c r="BC1180">
        <v>-1.67</v>
      </c>
      <c r="BD1180">
        <v>0.84</v>
      </c>
      <c r="BE1180">
        <v>-1.89</v>
      </c>
      <c r="BF1180">
        <v>-4.04</v>
      </c>
      <c r="BG1180">
        <v>1.7</v>
      </c>
      <c r="BH1180">
        <v>-0.84</v>
      </c>
      <c r="BI1180">
        <v>20191223</v>
      </c>
      <c r="BJ1180">
        <v>20141203</v>
      </c>
      <c r="BK1180">
        <v>3.5</v>
      </c>
      <c r="BL1180" t="s">
        <v>116</v>
      </c>
      <c r="BM1180" t="s">
        <v>116</v>
      </c>
      <c r="BN1180">
        <v>47.75</v>
      </c>
      <c r="BO1180">
        <v>24.76</v>
      </c>
      <c r="BP1180">
        <v>1.1200000000000001</v>
      </c>
      <c r="BQ1180">
        <v>45.79</v>
      </c>
      <c r="BR1180">
        <v>32.630000000000003</v>
      </c>
      <c r="BS1180">
        <v>5</v>
      </c>
      <c r="BT1180">
        <v>2.68</v>
      </c>
      <c r="BU1180">
        <v>21.34</v>
      </c>
      <c r="BV1180">
        <v>5.12</v>
      </c>
      <c r="BW1180">
        <v>8.2100000000000009</v>
      </c>
      <c r="BX1180">
        <v>13.65</v>
      </c>
      <c r="BY1180">
        <v>21.62</v>
      </c>
      <c r="BZ1180">
        <v>17.940000000000001</v>
      </c>
      <c r="CA1180">
        <v>1.56</v>
      </c>
      <c r="CB1180">
        <v>0.51</v>
      </c>
      <c r="CC1180">
        <v>1.61</v>
      </c>
      <c r="CD1180">
        <v>1.51</v>
      </c>
      <c r="CE1180">
        <v>1.54</v>
      </c>
      <c r="CF1180">
        <v>0.71</v>
      </c>
      <c r="CG1180">
        <v>7.24</v>
      </c>
      <c r="CH1180">
        <v>2.57</v>
      </c>
      <c r="CI1180">
        <v>2.69</v>
      </c>
      <c r="CJ1180">
        <v>40713</v>
      </c>
      <c r="CK1180">
        <v>4101</v>
      </c>
      <c r="CL1180" t="s">
        <v>6686</v>
      </c>
      <c r="CM1180">
        <v>114.3</v>
      </c>
      <c r="CN1180">
        <v>-4.04</v>
      </c>
      <c r="CO1180">
        <v>3.9</v>
      </c>
      <c r="CP1180">
        <v>37.49</v>
      </c>
      <c r="CQ1180">
        <v>4.47</v>
      </c>
      <c r="CR1180">
        <v>0.54</v>
      </c>
      <c r="CS1180" t="s">
        <v>604</v>
      </c>
      <c r="CT1180">
        <v>7.07</v>
      </c>
      <c r="CU1180">
        <v>0</v>
      </c>
      <c r="CV1180">
        <v>3.9</v>
      </c>
      <c r="CW1180">
        <v>2.0699999999999998</v>
      </c>
      <c r="CX1180">
        <v>0.74</v>
      </c>
      <c r="CY1180">
        <v>51.87</v>
      </c>
      <c r="CZ1180" t="s">
        <v>6687</v>
      </c>
      <c r="DA1180">
        <v>17</v>
      </c>
      <c r="DB1180">
        <v>7.21</v>
      </c>
      <c r="DC1180">
        <v>7.12</v>
      </c>
      <c r="DD1180">
        <v>0.37</v>
      </c>
      <c r="DE1180">
        <v>3503</v>
      </c>
      <c r="DF1180">
        <v>2733</v>
      </c>
      <c r="DG1180" t="s">
        <v>116</v>
      </c>
      <c r="DH1180" t="s">
        <v>116</v>
      </c>
      <c r="DI1180" t="s">
        <v>116</v>
      </c>
    </row>
    <row r="1181" spans="1:113" x14ac:dyDescent="0.4">
      <c r="A1181" t="str">
        <f>"002734"</f>
        <v>002734</v>
      </c>
      <c r="B1181" t="s">
        <v>6688</v>
      </c>
      <c r="C1181">
        <v>-1.4</v>
      </c>
      <c r="D1181">
        <v>13.38</v>
      </c>
      <c r="E1181">
        <v>-0.19</v>
      </c>
      <c r="F1181">
        <v>13.37</v>
      </c>
      <c r="G1181">
        <v>13.38</v>
      </c>
      <c r="H1181">
        <v>36201</v>
      </c>
      <c r="I1181">
        <v>276</v>
      </c>
      <c r="J1181">
        <v>0</v>
      </c>
      <c r="K1181">
        <v>1.47</v>
      </c>
      <c r="L1181">
        <v>13.55</v>
      </c>
      <c r="M1181">
        <v>13.56</v>
      </c>
      <c r="N1181">
        <v>13.36</v>
      </c>
      <c r="O1181">
        <v>13.57</v>
      </c>
      <c r="P1181">
        <v>10.039999999999999</v>
      </c>
      <c r="Q1181">
        <v>48674636</v>
      </c>
      <c r="R1181">
        <v>1.24</v>
      </c>
      <c r="S1181" t="s">
        <v>697</v>
      </c>
      <c r="T1181" t="s">
        <v>323</v>
      </c>
      <c r="U1181">
        <v>1.47</v>
      </c>
      <c r="V1181">
        <v>13.45</v>
      </c>
      <c r="W1181">
        <v>21710</v>
      </c>
      <c r="X1181">
        <v>14491</v>
      </c>
      <c r="Y1181">
        <v>1.5</v>
      </c>
      <c r="Z1181">
        <v>68</v>
      </c>
      <c r="AA1181">
        <v>250</v>
      </c>
      <c r="AB1181" t="s">
        <v>116</v>
      </c>
      <c r="AC1181">
        <v>353700</v>
      </c>
      <c r="AD1181">
        <v>0.01</v>
      </c>
      <c r="AE1181" t="s">
        <v>116</v>
      </c>
      <c r="AF1181" t="s">
        <v>116</v>
      </c>
      <c r="AG1181">
        <v>2.46</v>
      </c>
      <c r="AH1181" t="s">
        <v>2917</v>
      </c>
      <c r="AI1181" t="s">
        <v>6689</v>
      </c>
      <c r="AJ1181">
        <v>-0.72</v>
      </c>
      <c r="AK1181">
        <v>1932</v>
      </c>
      <c r="AL1181">
        <v>19</v>
      </c>
      <c r="AM1181">
        <v>8.0000000000000004E-4</v>
      </c>
      <c r="AN1181">
        <v>-1</v>
      </c>
      <c r="AO1181">
        <v>1.22</v>
      </c>
      <c r="AP1181">
        <v>7.99</v>
      </c>
      <c r="AQ1181">
        <v>-15.74</v>
      </c>
      <c r="AR1181">
        <v>35.29</v>
      </c>
      <c r="AS1181">
        <v>2.0099999999999998</v>
      </c>
      <c r="AT1181" t="s">
        <v>6690</v>
      </c>
      <c r="AU1181">
        <v>11.2</v>
      </c>
      <c r="AV1181">
        <v>18.600000000000001</v>
      </c>
      <c r="AW1181">
        <v>0.69</v>
      </c>
      <c r="BA1181">
        <v>-0.15</v>
      </c>
      <c r="BB1181">
        <v>-7.0000000000000007E-2</v>
      </c>
      <c r="BC1181">
        <v>-1.55</v>
      </c>
      <c r="BD1181">
        <v>-0.92</v>
      </c>
      <c r="BE1181">
        <v>-1.25</v>
      </c>
      <c r="BF1181">
        <v>-1.33</v>
      </c>
      <c r="BG1181">
        <v>0.15</v>
      </c>
      <c r="BH1181">
        <v>-0.48</v>
      </c>
      <c r="BI1181">
        <v>20191216</v>
      </c>
      <c r="BJ1181">
        <v>20150127</v>
      </c>
      <c r="BK1181">
        <v>2.87</v>
      </c>
      <c r="BL1181" t="s">
        <v>116</v>
      </c>
      <c r="BM1181" t="s">
        <v>116</v>
      </c>
      <c r="BN1181">
        <v>46.64</v>
      </c>
      <c r="BO1181">
        <v>20.22</v>
      </c>
      <c r="BP1181">
        <v>3.88</v>
      </c>
      <c r="BQ1181">
        <v>48.33</v>
      </c>
      <c r="BR1181">
        <v>19.309999999999999</v>
      </c>
      <c r="BS1181">
        <v>13.53</v>
      </c>
      <c r="BT1181">
        <v>3.6</v>
      </c>
      <c r="BU1181">
        <v>18.5</v>
      </c>
      <c r="BV1181">
        <v>5.57</v>
      </c>
      <c r="BW1181">
        <v>5.32</v>
      </c>
      <c r="BX1181">
        <v>10.050000000000001</v>
      </c>
      <c r="BY1181">
        <v>20.13</v>
      </c>
      <c r="BZ1181">
        <v>14.89</v>
      </c>
      <c r="CA1181">
        <v>3.49</v>
      </c>
      <c r="CB1181">
        <v>1.54</v>
      </c>
      <c r="CC1181">
        <v>3.45</v>
      </c>
      <c r="CD1181">
        <v>3.15</v>
      </c>
      <c r="CE1181">
        <v>2.86</v>
      </c>
      <c r="CF1181">
        <v>2.6</v>
      </c>
      <c r="CG1181">
        <v>6.57</v>
      </c>
      <c r="CH1181">
        <v>0.96</v>
      </c>
      <c r="CI1181">
        <v>-0.53</v>
      </c>
      <c r="CJ1181">
        <v>16016</v>
      </c>
      <c r="CK1181">
        <v>11248</v>
      </c>
      <c r="CL1181" t="s">
        <v>6534</v>
      </c>
      <c r="CM1181">
        <v>90.71</v>
      </c>
      <c r="CN1181">
        <v>86.7</v>
      </c>
      <c r="CO1181">
        <v>1.9</v>
      </c>
      <c r="CP1181">
        <v>40.1</v>
      </c>
      <c r="CQ1181">
        <v>1.9</v>
      </c>
      <c r="CR1181">
        <v>2.59</v>
      </c>
      <c r="CS1181" t="s">
        <v>6691</v>
      </c>
      <c r="CT1181">
        <v>7.06</v>
      </c>
      <c r="CU1181">
        <v>7.06</v>
      </c>
      <c r="CV1181">
        <v>3.51</v>
      </c>
      <c r="CW1181">
        <v>2.29</v>
      </c>
      <c r="CX1181">
        <v>0.33</v>
      </c>
      <c r="CY1181">
        <v>43.35</v>
      </c>
      <c r="CZ1181" t="s">
        <v>6692</v>
      </c>
      <c r="DA1181">
        <v>26.05</v>
      </c>
      <c r="DB1181">
        <v>17.32</v>
      </c>
      <c r="DC1181">
        <v>14.23</v>
      </c>
      <c r="DD1181">
        <v>0.66</v>
      </c>
      <c r="DE1181">
        <v>1937</v>
      </c>
      <c r="DF1181">
        <v>2734</v>
      </c>
      <c r="DG1181" t="s">
        <v>116</v>
      </c>
      <c r="DH1181" t="s">
        <v>116</v>
      </c>
      <c r="DI1181" t="s">
        <v>116</v>
      </c>
    </row>
    <row r="1182" spans="1:113" x14ac:dyDescent="0.4">
      <c r="A1182" t="str">
        <f>"002735"</f>
        <v>002735</v>
      </c>
      <c r="B1182" t="s">
        <v>6693</v>
      </c>
      <c r="C1182">
        <v>-2.16</v>
      </c>
      <c r="D1182">
        <v>18.09</v>
      </c>
      <c r="E1182">
        <v>-0.4</v>
      </c>
      <c r="F1182">
        <v>18.09</v>
      </c>
      <c r="G1182">
        <v>18.100000000000001</v>
      </c>
      <c r="H1182">
        <v>6510</v>
      </c>
      <c r="I1182">
        <v>88</v>
      </c>
      <c r="J1182">
        <v>0.11</v>
      </c>
      <c r="K1182">
        <v>0.86</v>
      </c>
      <c r="L1182">
        <v>18.52</v>
      </c>
      <c r="M1182">
        <v>18.64</v>
      </c>
      <c r="N1182">
        <v>18</v>
      </c>
      <c r="O1182">
        <v>18.489999999999998</v>
      </c>
      <c r="P1182">
        <v>57.08</v>
      </c>
      <c r="Q1182">
        <v>11907016</v>
      </c>
      <c r="R1182">
        <v>0.71</v>
      </c>
      <c r="S1182" t="s">
        <v>2444</v>
      </c>
      <c r="T1182" t="s">
        <v>115</v>
      </c>
      <c r="U1182">
        <v>3.46</v>
      </c>
      <c r="V1182">
        <v>18.29</v>
      </c>
      <c r="W1182">
        <v>4117</v>
      </c>
      <c r="X1182">
        <v>2393</v>
      </c>
      <c r="Y1182">
        <v>1.72</v>
      </c>
      <c r="Z1182">
        <v>44</v>
      </c>
      <c r="AA1182">
        <v>4</v>
      </c>
      <c r="AB1182" t="s">
        <v>116</v>
      </c>
      <c r="AC1182">
        <v>0</v>
      </c>
      <c r="AD1182">
        <v>0</v>
      </c>
      <c r="AE1182" t="s">
        <v>116</v>
      </c>
      <c r="AF1182" t="s">
        <v>116</v>
      </c>
      <c r="AG1182">
        <v>0.76</v>
      </c>
      <c r="AH1182" t="s">
        <v>6694</v>
      </c>
      <c r="AI1182" t="s">
        <v>6695</v>
      </c>
      <c r="AJ1182">
        <v>-1.48</v>
      </c>
      <c r="AK1182">
        <v>699</v>
      </c>
      <c r="AL1182">
        <v>9</v>
      </c>
      <c r="AM1182">
        <v>1.1999999999999999E-3</v>
      </c>
      <c r="AN1182">
        <v>-1</v>
      </c>
      <c r="AO1182">
        <v>-0.38</v>
      </c>
      <c r="AP1182">
        <v>9.24</v>
      </c>
      <c r="AQ1182">
        <v>3.55</v>
      </c>
      <c r="AR1182">
        <v>44.28</v>
      </c>
      <c r="AS1182">
        <v>1.38</v>
      </c>
      <c r="AT1182" t="s">
        <v>6696</v>
      </c>
      <c r="AU1182">
        <v>49.39</v>
      </c>
      <c r="AV1182">
        <v>51.88</v>
      </c>
      <c r="AW1182">
        <v>0.37</v>
      </c>
      <c r="BA1182">
        <v>0.16</v>
      </c>
      <c r="BB1182">
        <v>0.81</v>
      </c>
      <c r="BC1182">
        <v>-2.65</v>
      </c>
      <c r="BD1182">
        <v>-1.0900000000000001</v>
      </c>
      <c r="BE1182">
        <v>-2.3199999999999998</v>
      </c>
      <c r="BF1182">
        <v>-2.95</v>
      </c>
      <c r="BG1182">
        <v>0.5</v>
      </c>
      <c r="BH1182">
        <v>-1.08</v>
      </c>
      <c r="BI1182">
        <v>20191023</v>
      </c>
      <c r="BJ1182">
        <v>20141203</v>
      </c>
      <c r="BK1182">
        <v>1.43</v>
      </c>
      <c r="BL1182" t="s">
        <v>116</v>
      </c>
      <c r="BM1182" t="s">
        <v>116</v>
      </c>
      <c r="BN1182">
        <v>11.51</v>
      </c>
      <c r="BO1182">
        <v>6.25</v>
      </c>
      <c r="BP1182">
        <v>0.78</v>
      </c>
      <c r="BQ1182">
        <v>38.869999999999997</v>
      </c>
      <c r="BR1182">
        <v>7.8</v>
      </c>
      <c r="BS1182">
        <v>2.13</v>
      </c>
      <c r="BT1182">
        <v>0.27</v>
      </c>
      <c r="BU1182">
        <v>3.72</v>
      </c>
      <c r="BV1182">
        <v>1.52</v>
      </c>
      <c r="BW1182">
        <v>3.6</v>
      </c>
      <c r="BX1182">
        <v>1.94</v>
      </c>
      <c r="BY1182">
        <v>8.6300000000000008</v>
      </c>
      <c r="BZ1182">
        <v>6.87</v>
      </c>
      <c r="CA1182">
        <v>0.52</v>
      </c>
      <c r="CB1182">
        <v>0</v>
      </c>
      <c r="CC1182">
        <v>0.52</v>
      </c>
      <c r="CD1182">
        <v>0.38</v>
      </c>
      <c r="CE1182">
        <v>0.34</v>
      </c>
      <c r="CF1182">
        <v>0.34</v>
      </c>
      <c r="CG1182">
        <v>3.15</v>
      </c>
      <c r="CH1182">
        <v>0.22</v>
      </c>
      <c r="CI1182">
        <v>0</v>
      </c>
      <c r="CJ1182">
        <v>9255</v>
      </c>
      <c r="CK1182">
        <v>5102</v>
      </c>
      <c r="CL1182" t="s">
        <v>1201</v>
      </c>
      <c r="CM1182">
        <v>7.99</v>
      </c>
      <c r="CN1182">
        <v>50.87</v>
      </c>
      <c r="CO1182">
        <v>4.13</v>
      </c>
      <c r="CP1182">
        <v>117.52</v>
      </c>
      <c r="CQ1182">
        <v>2.99</v>
      </c>
      <c r="CR1182">
        <v>0.76</v>
      </c>
      <c r="CS1182" t="s">
        <v>6697</v>
      </c>
      <c r="CT1182">
        <v>4.38</v>
      </c>
      <c r="CU1182">
        <v>0</v>
      </c>
      <c r="CV1182">
        <v>1.36</v>
      </c>
      <c r="CW1182">
        <v>2.21</v>
      </c>
      <c r="CX1182">
        <v>0.15</v>
      </c>
      <c r="CY1182">
        <v>54.32</v>
      </c>
      <c r="CZ1182" t="s">
        <v>6544</v>
      </c>
      <c r="DA1182">
        <v>20.420000000000002</v>
      </c>
      <c r="DB1182">
        <v>6.03</v>
      </c>
      <c r="DC1182">
        <v>3.93</v>
      </c>
      <c r="DD1182">
        <v>0.27</v>
      </c>
      <c r="DE1182">
        <v>1651</v>
      </c>
      <c r="DF1182">
        <v>2735</v>
      </c>
      <c r="DG1182" t="s">
        <v>116</v>
      </c>
      <c r="DH1182" t="s">
        <v>116</v>
      </c>
      <c r="DI1182" t="s">
        <v>116</v>
      </c>
    </row>
    <row r="1183" spans="1:113" x14ac:dyDescent="0.4">
      <c r="A1183" t="str">
        <f>"002736"</f>
        <v>002736</v>
      </c>
      <c r="B1183" t="s">
        <v>6698</v>
      </c>
      <c r="C1183">
        <v>-0.82</v>
      </c>
      <c r="D1183">
        <v>12.06</v>
      </c>
      <c r="E1183">
        <v>-0.1</v>
      </c>
      <c r="F1183">
        <v>12.06</v>
      </c>
      <c r="G1183">
        <v>12.07</v>
      </c>
      <c r="H1183">
        <v>268747</v>
      </c>
      <c r="I1183">
        <v>3378</v>
      </c>
      <c r="J1183">
        <v>-0.16</v>
      </c>
      <c r="K1183">
        <v>0.33</v>
      </c>
      <c r="L1183">
        <v>12.16</v>
      </c>
      <c r="M1183">
        <v>12.39</v>
      </c>
      <c r="N1183">
        <v>12.06</v>
      </c>
      <c r="O1183">
        <v>12.16</v>
      </c>
      <c r="P1183">
        <v>19.86</v>
      </c>
      <c r="Q1183">
        <v>328821120</v>
      </c>
      <c r="R1183">
        <v>1.43</v>
      </c>
      <c r="S1183" t="s">
        <v>623</v>
      </c>
      <c r="T1183" t="s">
        <v>115</v>
      </c>
      <c r="U1183">
        <v>2.71</v>
      </c>
      <c r="V1183">
        <v>12.24</v>
      </c>
      <c r="W1183">
        <v>137222</v>
      </c>
      <c r="X1183">
        <v>131525</v>
      </c>
      <c r="Y1183">
        <v>1.04</v>
      </c>
      <c r="Z1183">
        <v>1082</v>
      </c>
      <c r="AA1183">
        <v>685</v>
      </c>
      <c r="AB1183" t="s">
        <v>116</v>
      </c>
      <c r="AC1183">
        <v>2259300</v>
      </c>
      <c r="AD1183">
        <v>0.01</v>
      </c>
      <c r="AE1183" t="s">
        <v>116</v>
      </c>
      <c r="AF1183" t="s">
        <v>116</v>
      </c>
      <c r="AG1183">
        <v>82</v>
      </c>
      <c r="AH1183" t="s">
        <v>6699</v>
      </c>
      <c r="AI1183" t="s">
        <v>6699</v>
      </c>
      <c r="AJ1183">
        <v>-0.14000000000000001</v>
      </c>
      <c r="AK1183">
        <v>3632</v>
      </c>
      <c r="AL1183">
        <v>74</v>
      </c>
      <c r="AM1183">
        <v>1E-4</v>
      </c>
      <c r="AN1183">
        <v>-1</v>
      </c>
      <c r="AO1183">
        <v>0.92</v>
      </c>
      <c r="AP1183">
        <v>6.16</v>
      </c>
      <c r="AQ1183">
        <v>-1.79</v>
      </c>
      <c r="AR1183">
        <v>46.18</v>
      </c>
      <c r="AS1183">
        <v>1.33</v>
      </c>
      <c r="AT1183" t="s">
        <v>6700</v>
      </c>
      <c r="AU1183">
        <v>18.920000000000002</v>
      </c>
      <c r="AV1183">
        <v>28.89</v>
      </c>
      <c r="AW1183">
        <v>0.97</v>
      </c>
      <c r="BA1183">
        <v>0</v>
      </c>
      <c r="BB1183">
        <v>1.89</v>
      </c>
      <c r="BC1183">
        <v>-0.82</v>
      </c>
      <c r="BD1183">
        <v>0.62</v>
      </c>
      <c r="BE1183">
        <v>-0.82</v>
      </c>
      <c r="BF1183">
        <v>-2.66</v>
      </c>
      <c r="BG1183">
        <v>0</v>
      </c>
      <c r="BH1183">
        <v>-1.44</v>
      </c>
      <c r="BI1183">
        <v>20191029</v>
      </c>
      <c r="BJ1183">
        <v>20141229</v>
      </c>
      <c r="BK1183">
        <v>82</v>
      </c>
      <c r="BL1183" t="s">
        <v>116</v>
      </c>
      <c r="BM1183" t="s">
        <v>116</v>
      </c>
      <c r="BN1183">
        <v>2194.59</v>
      </c>
      <c r="BO1183">
        <v>549.03</v>
      </c>
      <c r="BP1183">
        <v>0.6</v>
      </c>
      <c r="BQ1183">
        <v>74.959999999999994</v>
      </c>
      <c r="BR1183">
        <v>0</v>
      </c>
      <c r="BS1183">
        <v>13.51</v>
      </c>
      <c r="BT1183">
        <v>6.23</v>
      </c>
      <c r="BU1183">
        <v>0</v>
      </c>
      <c r="BV1183">
        <v>0</v>
      </c>
      <c r="BW1183">
        <v>0</v>
      </c>
      <c r="BX1183">
        <v>67.73</v>
      </c>
      <c r="BY1183">
        <v>98.67</v>
      </c>
      <c r="BZ1183">
        <v>0</v>
      </c>
      <c r="CA1183">
        <v>49.24</v>
      </c>
      <c r="CB1183">
        <v>28.47</v>
      </c>
      <c r="CC1183">
        <v>47.96</v>
      </c>
      <c r="CD1183">
        <v>37.369999999999997</v>
      </c>
      <c r="CE1183">
        <v>37.35</v>
      </c>
      <c r="CF1183">
        <v>38.22</v>
      </c>
      <c r="CG1183">
        <v>198.28</v>
      </c>
      <c r="CH1183">
        <v>296.06</v>
      </c>
      <c r="CI1183">
        <v>169.75</v>
      </c>
      <c r="CJ1183">
        <v>110826</v>
      </c>
      <c r="CK1183">
        <v>18169</v>
      </c>
      <c r="CL1183" t="s">
        <v>6701</v>
      </c>
      <c r="CM1183">
        <v>93.37</v>
      </c>
      <c r="CN1183">
        <v>55.67</v>
      </c>
      <c r="CO1183">
        <v>1.98</v>
      </c>
      <c r="CP1183">
        <v>3.34</v>
      </c>
      <c r="CQ1183">
        <v>10.02</v>
      </c>
      <c r="CR1183">
        <v>1</v>
      </c>
      <c r="CS1183" t="s">
        <v>604</v>
      </c>
      <c r="CT1183">
        <v>6.09</v>
      </c>
      <c r="CU1183">
        <v>6.09</v>
      </c>
      <c r="CV1183">
        <v>0.83</v>
      </c>
      <c r="CW1183">
        <v>2.42</v>
      </c>
      <c r="CX1183">
        <v>3.61</v>
      </c>
      <c r="CY1183">
        <v>25.02</v>
      </c>
      <c r="CZ1183" t="s">
        <v>269</v>
      </c>
      <c r="DA1183" t="s">
        <v>116</v>
      </c>
      <c r="DB1183">
        <v>49.9</v>
      </c>
      <c r="DC1183">
        <v>37.85</v>
      </c>
      <c r="DD1183">
        <v>0</v>
      </c>
      <c r="DE1183">
        <v>9362</v>
      </c>
      <c r="DF1183">
        <v>2736</v>
      </c>
      <c r="DG1183" t="s">
        <v>116</v>
      </c>
      <c r="DH1183" t="s">
        <v>116</v>
      </c>
      <c r="DI1183" t="s">
        <v>116</v>
      </c>
    </row>
    <row r="1184" spans="1:113" x14ac:dyDescent="0.4">
      <c r="A1184" t="str">
        <f>"002737"</f>
        <v>002737</v>
      </c>
      <c r="B1184" t="s">
        <v>6702</v>
      </c>
      <c r="C1184">
        <v>-0.69</v>
      </c>
      <c r="D1184">
        <v>14.41</v>
      </c>
      <c r="E1184">
        <v>-0.1</v>
      </c>
      <c r="F1184">
        <v>14.4</v>
      </c>
      <c r="G1184">
        <v>14.41</v>
      </c>
      <c r="H1184">
        <v>18597</v>
      </c>
      <c r="I1184">
        <v>167</v>
      </c>
      <c r="J1184">
        <v>-0.06</v>
      </c>
      <c r="K1184">
        <v>0.35</v>
      </c>
      <c r="L1184">
        <v>14.5</v>
      </c>
      <c r="M1184">
        <v>14.6</v>
      </c>
      <c r="N1184">
        <v>14.4</v>
      </c>
      <c r="O1184">
        <v>14.51</v>
      </c>
      <c r="P1184">
        <v>16.91</v>
      </c>
      <c r="Q1184">
        <v>26925488</v>
      </c>
      <c r="R1184">
        <v>0.99</v>
      </c>
      <c r="S1184" t="s">
        <v>781</v>
      </c>
      <c r="T1184" t="s">
        <v>1287</v>
      </c>
      <c r="U1184">
        <v>1.38</v>
      </c>
      <c r="V1184">
        <v>14.48</v>
      </c>
      <c r="W1184">
        <v>11964</v>
      </c>
      <c r="X1184">
        <v>6633</v>
      </c>
      <c r="Y1184">
        <v>1.8</v>
      </c>
      <c r="Z1184">
        <v>217</v>
      </c>
      <c r="AA1184">
        <v>80</v>
      </c>
      <c r="AB1184" t="s">
        <v>116</v>
      </c>
      <c r="AC1184">
        <v>87000</v>
      </c>
      <c r="AD1184">
        <v>0</v>
      </c>
      <c r="AE1184" t="s">
        <v>116</v>
      </c>
      <c r="AF1184" t="s">
        <v>116</v>
      </c>
      <c r="AG1184">
        <v>5.33</v>
      </c>
      <c r="AH1184" t="s">
        <v>6703</v>
      </c>
      <c r="AI1184" t="s">
        <v>6704</v>
      </c>
      <c r="AJ1184">
        <v>-0.01</v>
      </c>
      <c r="AK1184">
        <v>1169</v>
      </c>
      <c r="AL1184">
        <v>16</v>
      </c>
      <c r="AM1184">
        <v>2.9999999999999997E-4</v>
      </c>
      <c r="AN1184">
        <v>-1</v>
      </c>
      <c r="AO1184">
        <v>-0.48</v>
      </c>
      <c r="AP1184">
        <v>2.0499999999999998</v>
      </c>
      <c r="AQ1184">
        <v>-1.17</v>
      </c>
      <c r="AR1184">
        <v>4.57</v>
      </c>
      <c r="AS1184">
        <v>0.84</v>
      </c>
      <c r="AT1184" t="s">
        <v>6705</v>
      </c>
      <c r="AU1184">
        <v>14.24</v>
      </c>
      <c r="AV1184">
        <v>14.94</v>
      </c>
      <c r="AW1184">
        <v>0.5</v>
      </c>
      <c r="BA1184">
        <v>-7.0000000000000007E-2</v>
      </c>
      <c r="BB1184">
        <v>0.62</v>
      </c>
      <c r="BC1184">
        <v>-0.76</v>
      </c>
      <c r="BD1184">
        <v>-0.22</v>
      </c>
      <c r="BE1184">
        <v>-0.62</v>
      </c>
      <c r="BF1184">
        <v>-1.3</v>
      </c>
      <c r="BG1184">
        <v>7.0000000000000007E-2</v>
      </c>
      <c r="BH1184">
        <v>-0.47</v>
      </c>
      <c r="BI1184">
        <v>20191030</v>
      </c>
      <c r="BJ1184">
        <v>20141230</v>
      </c>
      <c r="BK1184">
        <v>5.84</v>
      </c>
      <c r="BL1184" t="s">
        <v>116</v>
      </c>
      <c r="BM1184" t="s">
        <v>116</v>
      </c>
      <c r="BN1184">
        <v>48.45</v>
      </c>
      <c r="BO1184">
        <v>30.62</v>
      </c>
      <c r="BP1184">
        <v>1.9</v>
      </c>
      <c r="BQ1184">
        <v>32.880000000000003</v>
      </c>
      <c r="BR1184">
        <v>27.24</v>
      </c>
      <c r="BS1184">
        <v>11.81</v>
      </c>
      <c r="BT1184">
        <v>3.89</v>
      </c>
      <c r="BU1184">
        <v>11.5</v>
      </c>
      <c r="BV1184">
        <v>7.41</v>
      </c>
      <c r="BW1184">
        <v>3.36</v>
      </c>
      <c r="BX1184">
        <v>8.9600000000000009</v>
      </c>
      <c r="BY1184">
        <v>31.51</v>
      </c>
      <c r="BZ1184">
        <v>13.48</v>
      </c>
      <c r="CA1184">
        <v>5.17</v>
      </c>
      <c r="CB1184">
        <v>0.06</v>
      </c>
      <c r="CC1184">
        <v>5.3</v>
      </c>
      <c r="CD1184">
        <v>4.2</v>
      </c>
      <c r="CE1184">
        <v>3.73</v>
      </c>
      <c r="CF1184">
        <v>3.22</v>
      </c>
      <c r="CG1184">
        <v>13.35</v>
      </c>
      <c r="CH1184">
        <v>4.47</v>
      </c>
      <c r="CI1184">
        <v>-2.52</v>
      </c>
      <c r="CJ1184">
        <v>38745</v>
      </c>
      <c r="CK1184">
        <v>5728</v>
      </c>
      <c r="CL1184" t="s">
        <v>6706</v>
      </c>
      <c r="CM1184">
        <v>8.07</v>
      </c>
      <c r="CN1184">
        <v>0.52</v>
      </c>
      <c r="CO1184">
        <v>2.75</v>
      </c>
      <c r="CP1184">
        <v>18.82</v>
      </c>
      <c r="CQ1184">
        <v>2.67</v>
      </c>
      <c r="CR1184">
        <v>6.94</v>
      </c>
      <c r="CS1184" t="s">
        <v>6707</v>
      </c>
      <c r="CT1184">
        <v>5.24</v>
      </c>
      <c r="CU1184">
        <v>0</v>
      </c>
      <c r="CV1184">
        <v>1.53</v>
      </c>
      <c r="CW1184">
        <v>2.29</v>
      </c>
      <c r="CX1184">
        <v>0.77</v>
      </c>
      <c r="CY1184">
        <v>63.2</v>
      </c>
      <c r="CZ1184" t="s">
        <v>6708</v>
      </c>
      <c r="DA1184">
        <v>57.21</v>
      </c>
      <c r="DB1184">
        <v>16.420000000000002</v>
      </c>
      <c r="DC1184">
        <v>11.85</v>
      </c>
      <c r="DD1184">
        <v>0.94</v>
      </c>
      <c r="DE1184">
        <v>5940</v>
      </c>
      <c r="DF1184">
        <v>2737</v>
      </c>
      <c r="DG1184" t="s">
        <v>116</v>
      </c>
      <c r="DH1184" t="s">
        <v>116</v>
      </c>
      <c r="DI1184" t="s">
        <v>116</v>
      </c>
    </row>
    <row r="1185" spans="1:113" x14ac:dyDescent="0.4">
      <c r="A1185" t="str">
        <f>"002738"</f>
        <v>002738</v>
      </c>
      <c r="B1185" t="s">
        <v>6709</v>
      </c>
      <c r="C1185">
        <v>-0.53</v>
      </c>
      <c r="D1185">
        <v>16.86</v>
      </c>
      <c r="E1185">
        <v>-0.09</v>
      </c>
      <c r="F1185">
        <v>16.850000000000001</v>
      </c>
      <c r="G1185">
        <v>16.86</v>
      </c>
      <c r="H1185">
        <v>42028</v>
      </c>
      <c r="I1185">
        <v>397</v>
      </c>
      <c r="J1185">
        <v>-0.11</v>
      </c>
      <c r="K1185">
        <v>2.27</v>
      </c>
      <c r="L1185">
        <v>16.899999999999999</v>
      </c>
      <c r="M1185">
        <v>17.3</v>
      </c>
      <c r="N1185">
        <v>16.760000000000002</v>
      </c>
      <c r="O1185">
        <v>16.95</v>
      </c>
      <c r="P1185">
        <v>27.8</v>
      </c>
      <c r="Q1185">
        <v>71494168</v>
      </c>
      <c r="R1185">
        <v>1.1200000000000001</v>
      </c>
      <c r="S1185" t="s">
        <v>1509</v>
      </c>
      <c r="T1185" t="s">
        <v>165</v>
      </c>
      <c r="U1185">
        <v>3.19</v>
      </c>
      <c r="V1185">
        <v>17.010000000000002</v>
      </c>
      <c r="W1185">
        <v>19620</v>
      </c>
      <c r="X1185">
        <v>22408</v>
      </c>
      <c r="Y1185">
        <v>0.88</v>
      </c>
      <c r="Z1185">
        <v>39</v>
      </c>
      <c r="AA1185">
        <v>51</v>
      </c>
      <c r="AB1185" t="s">
        <v>116</v>
      </c>
      <c r="AC1185">
        <v>236600</v>
      </c>
      <c r="AD1185">
        <v>0.01</v>
      </c>
      <c r="AE1185" t="s">
        <v>116</v>
      </c>
      <c r="AF1185" t="s">
        <v>116</v>
      </c>
      <c r="AG1185">
        <v>1.85</v>
      </c>
      <c r="AH1185" t="s">
        <v>3396</v>
      </c>
      <c r="AI1185" t="s">
        <v>4590</v>
      </c>
      <c r="AJ1185">
        <v>0.15</v>
      </c>
      <c r="AK1185">
        <v>1739</v>
      </c>
      <c r="AL1185">
        <v>24</v>
      </c>
      <c r="AM1185">
        <v>1.2999999999999999E-3</v>
      </c>
      <c r="AN1185">
        <v>-1</v>
      </c>
      <c r="AO1185">
        <v>3.82</v>
      </c>
      <c r="AP1185">
        <v>23.97</v>
      </c>
      <c r="AQ1185">
        <v>2.1800000000000002</v>
      </c>
      <c r="AR1185">
        <v>16.36</v>
      </c>
      <c r="AS1185">
        <v>3.43</v>
      </c>
      <c r="AT1185" t="s">
        <v>4684</v>
      </c>
      <c r="AU1185">
        <v>26.85</v>
      </c>
      <c r="AV1185">
        <v>42.27</v>
      </c>
      <c r="AW1185">
        <v>1.01</v>
      </c>
      <c r="BA1185">
        <v>-0.28999999999999998</v>
      </c>
      <c r="BB1185">
        <v>2.06</v>
      </c>
      <c r="BC1185">
        <v>-1.1200000000000001</v>
      </c>
      <c r="BD1185">
        <v>0.36</v>
      </c>
      <c r="BE1185">
        <v>-0.24</v>
      </c>
      <c r="BF1185">
        <v>-2.54</v>
      </c>
      <c r="BG1185">
        <v>0.6</v>
      </c>
      <c r="BH1185">
        <v>-0.89</v>
      </c>
      <c r="BI1185">
        <v>20191206</v>
      </c>
      <c r="BJ1185">
        <v>20141230</v>
      </c>
      <c r="BK1185">
        <v>2.78</v>
      </c>
      <c r="BL1185" t="s">
        <v>116</v>
      </c>
      <c r="BM1185" t="s">
        <v>116</v>
      </c>
      <c r="BN1185">
        <v>41.92</v>
      </c>
      <c r="BO1185">
        <v>26.73</v>
      </c>
      <c r="BP1185">
        <v>7.0000000000000007E-2</v>
      </c>
      <c r="BQ1185">
        <v>36.06</v>
      </c>
      <c r="BR1185">
        <v>17.899999999999999</v>
      </c>
      <c r="BS1185">
        <v>2.92</v>
      </c>
      <c r="BT1185">
        <v>1.1299999999999999</v>
      </c>
      <c r="BU1185">
        <v>9.5399999999999991</v>
      </c>
      <c r="BV1185">
        <v>5.03</v>
      </c>
      <c r="BW1185">
        <v>5.34</v>
      </c>
      <c r="BX1185">
        <v>19.75</v>
      </c>
      <c r="BY1185">
        <v>8.5299999999999994</v>
      </c>
      <c r="BZ1185">
        <v>5.29</v>
      </c>
      <c r="CA1185">
        <v>1.74</v>
      </c>
      <c r="CB1185">
        <v>0.05</v>
      </c>
      <c r="CC1185">
        <v>1.74</v>
      </c>
      <c r="CD1185">
        <v>1.26</v>
      </c>
      <c r="CE1185">
        <v>1.26</v>
      </c>
      <c r="CF1185">
        <v>1.1399999999999999</v>
      </c>
      <c r="CG1185">
        <v>6.16</v>
      </c>
      <c r="CH1185">
        <v>1.18</v>
      </c>
      <c r="CI1185">
        <v>-3.11</v>
      </c>
      <c r="CJ1185">
        <v>14737</v>
      </c>
      <c r="CK1185">
        <v>8308</v>
      </c>
      <c r="CL1185" t="s">
        <v>6710</v>
      </c>
      <c r="CM1185">
        <v>101.53</v>
      </c>
      <c r="CN1185">
        <v>82.42</v>
      </c>
      <c r="CO1185">
        <v>1.75</v>
      </c>
      <c r="CP1185">
        <v>39.74</v>
      </c>
      <c r="CQ1185">
        <v>5.49</v>
      </c>
      <c r="CR1185">
        <v>0.3</v>
      </c>
      <c r="CS1185" t="s">
        <v>386</v>
      </c>
      <c r="CT1185">
        <v>9.6199999999999992</v>
      </c>
      <c r="CU1185">
        <v>0</v>
      </c>
      <c r="CV1185">
        <v>7.11</v>
      </c>
      <c r="CW1185">
        <v>2.2200000000000002</v>
      </c>
      <c r="CX1185">
        <v>0.42</v>
      </c>
      <c r="CY1185">
        <v>63.77</v>
      </c>
      <c r="CZ1185" t="s">
        <v>6711</v>
      </c>
      <c r="DA1185">
        <v>38.03</v>
      </c>
      <c r="DB1185">
        <v>20.420000000000002</v>
      </c>
      <c r="DC1185">
        <v>14.82</v>
      </c>
      <c r="DD1185">
        <v>0.18</v>
      </c>
      <c r="DE1185">
        <v>974</v>
      </c>
      <c r="DF1185">
        <v>2738</v>
      </c>
      <c r="DG1185" t="s">
        <v>116</v>
      </c>
      <c r="DH1185" t="s">
        <v>116</v>
      </c>
      <c r="DI1185" t="s">
        <v>116</v>
      </c>
    </row>
    <row r="1186" spans="1:113" x14ac:dyDescent="0.4">
      <c r="A1186" t="str">
        <f>"002739"</f>
        <v>002739</v>
      </c>
      <c r="B1186" t="s">
        <v>6712</v>
      </c>
      <c r="C1186">
        <v>0.85</v>
      </c>
      <c r="D1186">
        <v>17.89</v>
      </c>
      <c r="E1186">
        <v>0.15</v>
      </c>
      <c r="F1186">
        <v>17.88</v>
      </c>
      <c r="G1186">
        <v>17.89</v>
      </c>
      <c r="H1186">
        <v>262684</v>
      </c>
      <c r="I1186">
        <v>2482</v>
      </c>
      <c r="J1186">
        <v>0.17</v>
      </c>
      <c r="K1186">
        <v>1.49</v>
      </c>
      <c r="L1186">
        <v>17.77</v>
      </c>
      <c r="M1186">
        <v>18.510000000000002</v>
      </c>
      <c r="N1186">
        <v>17.64</v>
      </c>
      <c r="O1186">
        <v>17.739999999999998</v>
      </c>
      <c r="P1186">
        <v>33.619999999999997</v>
      </c>
      <c r="Q1186">
        <v>475200256</v>
      </c>
      <c r="R1186">
        <v>0.83</v>
      </c>
      <c r="S1186" t="s">
        <v>589</v>
      </c>
      <c r="T1186" t="s">
        <v>165</v>
      </c>
      <c r="U1186">
        <v>4.9000000000000004</v>
      </c>
      <c r="V1186">
        <v>18.09</v>
      </c>
      <c r="W1186">
        <v>121800</v>
      </c>
      <c r="X1186">
        <v>140884</v>
      </c>
      <c r="Y1186">
        <v>0.86</v>
      </c>
      <c r="Z1186">
        <v>303</v>
      </c>
      <c r="AA1186">
        <v>261</v>
      </c>
      <c r="AB1186" t="s">
        <v>116</v>
      </c>
      <c r="AC1186">
        <v>2827200</v>
      </c>
      <c r="AD1186">
        <v>0.02</v>
      </c>
      <c r="AE1186" t="s">
        <v>116</v>
      </c>
      <c r="AF1186" t="s">
        <v>116</v>
      </c>
      <c r="AG1186">
        <v>17.61</v>
      </c>
      <c r="AH1186" t="s">
        <v>6713</v>
      </c>
      <c r="AI1186" t="s">
        <v>6714</v>
      </c>
      <c r="AJ1186">
        <v>1.52</v>
      </c>
      <c r="AK1186">
        <v>3987</v>
      </c>
      <c r="AL1186">
        <v>66</v>
      </c>
      <c r="AM1186">
        <v>4.0000000000000002E-4</v>
      </c>
      <c r="AN1186">
        <v>2</v>
      </c>
      <c r="AO1186">
        <v>0.51</v>
      </c>
      <c r="AP1186">
        <v>25.46</v>
      </c>
      <c r="AQ1186">
        <v>6.81</v>
      </c>
      <c r="AR1186">
        <v>-18.05</v>
      </c>
      <c r="AS1186">
        <v>3.81</v>
      </c>
      <c r="AT1186" t="s">
        <v>6715</v>
      </c>
      <c r="AU1186">
        <v>202.23</v>
      </c>
      <c r="AV1186">
        <v>28.72</v>
      </c>
      <c r="AW1186">
        <v>0.57999999999999996</v>
      </c>
      <c r="BA1186">
        <v>0.17</v>
      </c>
      <c r="BB1186">
        <v>4.34</v>
      </c>
      <c r="BC1186">
        <v>-0.56000000000000005</v>
      </c>
      <c r="BD1186">
        <v>1.97</v>
      </c>
      <c r="BE1186">
        <v>0.68</v>
      </c>
      <c r="BF1186">
        <v>-3.35</v>
      </c>
      <c r="BG1186">
        <v>1.42</v>
      </c>
      <c r="BH1186">
        <v>-1.1299999999999999</v>
      </c>
      <c r="BI1186">
        <v>20191030</v>
      </c>
      <c r="BJ1186">
        <v>20150122</v>
      </c>
      <c r="BK1186">
        <v>20.78</v>
      </c>
      <c r="BL1186" t="s">
        <v>116</v>
      </c>
      <c r="BM1186" t="s">
        <v>116</v>
      </c>
      <c r="BN1186">
        <v>320.79000000000002</v>
      </c>
      <c r="BO1186">
        <v>195.17</v>
      </c>
      <c r="BP1186">
        <v>2.99</v>
      </c>
      <c r="BQ1186">
        <v>38.229999999999997</v>
      </c>
      <c r="BR1186">
        <v>93.57</v>
      </c>
      <c r="BS1186">
        <v>27.73</v>
      </c>
      <c r="BT1186">
        <v>9.67</v>
      </c>
      <c r="BU1186">
        <v>94.45</v>
      </c>
      <c r="BV1186">
        <v>18.739999999999998</v>
      </c>
      <c r="BW1186">
        <v>26.18</v>
      </c>
      <c r="BX1186">
        <v>80.95</v>
      </c>
      <c r="BY1186">
        <v>115.94</v>
      </c>
      <c r="BZ1186">
        <v>85.04</v>
      </c>
      <c r="CA1186">
        <v>9.52</v>
      </c>
      <c r="CB1186">
        <v>0.04</v>
      </c>
      <c r="CC1186">
        <v>9.5500000000000007</v>
      </c>
      <c r="CD1186">
        <v>8.3000000000000007</v>
      </c>
      <c r="CE1186">
        <v>8.2899999999999991</v>
      </c>
      <c r="CF1186">
        <v>7.72</v>
      </c>
      <c r="CG1186">
        <v>86.81</v>
      </c>
      <c r="CH1186">
        <v>10.44</v>
      </c>
      <c r="CI1186">
        <v>1.1499999999999999</v>
      </c>
      <c r="CJ1186">
        <v>111549</v>
      </c>
      <c r="CK1186">
        <v>6177</v>
      </c>
      <c r="CL1186" t="s">
        <v>2081</v>
      </c>
      <c r="CM1186">
        <v>-57.25</v>
      </c>
      <c r="CN1186">
        <v>-7.45</v>
      </c>
      <c r="CO1186">
        <v>1.91</v>
      </c>
      <c r="CP1186">
        <v>35.619999999999997</v>
      </c>
      <c r="CQ1186">
        <v>3.21</v>
      </c>
      <c r="CR1186">
        <v>0</v>
      </c>
      <c r="CS1186" t="s">
        <v>604</v>
      </c>
      <c r="CT1186">
        <v>9.39</v>
      </c>
      <c r="CU1186">
        <v>0</v>
      </c>
      <c r="CV1186">
        <v>3.89</v>
      </c>
      <c r="CW1186">
        <v>4.18</v>
      </c>
      <c r="CX1186">
        <v>0.5</v>
      </c>
      <c r="CY1186">
        <v>60.84</v>
      </c>
      <c r="CZ1186" t="s">
        <v>5280</v>
      </c>
      <c r="DA1186">
        <v>26.66</v>
      </c>
      <c r="DB1186">
        <v>8.2100000000000009</v>
      </c>
      <c r="DC1186">
        <v>7.15</v>
      </c>
      <c r="DD1186">
        <v>0.3</v>
      </c>
      <c r="DE1186">
        <v>18036</v>
      </c>
      <c r="DF1186">
        <v>2739</v>
      </c>
      <c r="DG1186" t="s">
        <v>116</v>
      </c>
      <c r="DH1186" t="s">
        <v>116</v>
      </c>
      <c r="DI1186" t="s">
        <v>116</v>
      </c>
    </row>
    <row r="1187" spans="1:113" x14ac:dyDescent="0.4">
      <c r="A1187" t="str">
        <f>"002740"</f>
        <v>002740</v>
      </c>
      <c r="B1187" t="s">
        <v>6716</v>
      </c>
      <c r="C1187">
        <v>1.28</v>
      </c>
      <c r="D1187">
        <v>6.31</v>
      </c>
      <c r="E1187">
        <v>0.08</v>
      </c>
      <c r="F1187">
        <v>6.3</v>
      </c>
      <c r="G1187">
        <v>6.31</v>
      </c>
      <c r="H1187">
        <v>109595</v>
      </c>
      <c r="I1187">
        <v>891</v>
      </c>
      <c r="J1187">
        <v>0</v>
      </c>
      <c r="K1187">
        <v>5.77</v>
      </c>
      <c r="L1187">
        <v>6.41</v>
      </c>
      <c r="M1187">
        <v>6.59</v>
      </c>
      <c r="N1187">
        <v>6.26</v>
      </c>
      <c r="O1187">
        <v>6.23</v>
      </c>
      <c r="P1187">
        <v>41</v>
      </c>
      <c r="Q1187">
        <v>70320424</v>
      </c>
      <c r="R1187">
        <v>1.32</v>
      </c>
      <c r="S1187" t="s">
        <v>3070</v>
      </c>
      <c r="T1187" t="s">
        <v>975</v>
      </c>
      <c r="U1187">
        <v>5.3</v>
      </c>
      <c r="V1187">
        <v>6.42</v>
      </c>
      <c r="W1187">
        <v>55177</v>
      </c>
      <c r="X1187">
        <v>54418</v>
      </c>
      <c r="Y1187">
        <v>1.01</v>
      </c>
      <c r="Z1187">
        <v>106</v>
      </c>
      <c r="AA1187">
        <v>642</v>
      </c>
      <c r="AB1187" t="s">
        <v>116</v>
      </c>
      <c r="AC1187">
        <v>1349300</v>
      </c>
      <c r="AD1187">
        <v>0.11</v>
      </c>
      <c r="AE1187" t="s">
        <v>116</v>
      </c>
      <c r="AF1187" t="s">
        <v>116</v>
      </c>
      <c r="AG1187">
        <v>1.9</v>
      </c>
      <c r="AH1187" t="s">
        <v>4394</v>
      </c>
      <c r="AI1187" t="s">
        <v>1125</v>
      </c>
      <c r="AJ1187">
        <v>1.96</v>
      </c>
      <c r="AK1187">
        <v>1658</v>
      </c>
      <c r="AL1187">
        <v>66</v>
      </c>
      <c r="AM1187">
        <v>3.5000000000000001E-3</v>
      </c>
      <c r="AN1187">
        <v>1</v>
      </c>
      <c r="AO1187">
        <v>-1.42</v>
      </c>
      <c r="AP1187">
        <v>2.27</v>
      </c>
      <c r="AQ1187">
        <v>-10.62</v>
      </c>
      <c r="AR1187">
        <v>20.88</v>
      </c>
      <c r="AS1187">
        <v>5.94</v>
      </c>
      <c r="AT1187" t="s">
        <v>6717</v>
      </c>
      <c r="AU1187">
        <v>69.78</v>
      </c>
      <c r="AV1187">
        <v>101.78</v>
      </c>
      <c r="AW1187">
        <v>0.6</v>
      </c>
      <c r="BA1187">
        <v>2.89</v>
      </c>
      <c r="BB1187">
        <v>5.78</v>
      </c>
      <c r="BC1187">
        <v>0.48</v>
      </c>
      <c r="BD1187">
        <v>2.99</v>
      </c>
      <c r="BE1187">
        <v>-1.56</v>
      </c>
      <c r="BF1187">
        <v>-4.25</v>
      </c>
      <c r="BG1187">
        <v>0.8</v>
      </c>
      <c r="BH1187">
        <v>-1.71</v>
      </c>
      <c r="BI1187">
        <v>20191118</v>
      </c>
      <c r="BJ1187">
        <v>20150122</v>
      </c>
      <c r="BK1187">
        <v>4.54</v>
      </c>
      <c r="BL1187" t="s">
        <v>116</v>
      </c>
      <c r="BM1187" t="s">
        <v>116</v>
      </c>
      <c r="BN1187">
        <v>47.38</v>
      </c>
      <c r="BO1187">
        <v>28.3</v>
      </c>
      <c r="BP1187">
        <v>1.54</v>
      </c>
      <c r="BQ1187">
        <v>37.03</v>
      </c>
      <c r="BR1187">
        <v>35.65</v>
      </c>
      <c r="BS1187">
        <v>0.56999999999999995</v>
      </c>
      <c r="BT1187">
        <v>1.48</v>
      </c>
      <c r="BU1187">
        <v>16.79</v>
      </c>
      <c r="BV1187">
        <v>20.62</v>
      </c>
      <c r="BW1187">
        <v>11.79</v>
      </c>
      <c r="BX1187">
        <v>17.829999999999998</v>
      </c>
      <c r="BY1187">
        <v>16.07</v>
      </c>
      <c r="BZ1187">
        <v>12.92</v>
      </c>
      <c r="CA1187">
        <v>1.02</v>
      </c>
      <c r="CB1187">
        <v>-0.03</v>
      </c>
      <c r="CC1187">
        <v>1</v>
      </c>
      <c r="CD1187">
        <v>0.68</v>
      </c>
      <c r="CE1187">
        <v>0.52</v>
      </c>
      <c r="CF1187">
        <v>0.48</v>
      </c>
      <c r="CG1187">
        <v>5.34</v>
      </c>
      <c r="CH1187">
        <v>1.4</v>
      </c>
      <c r="CI1187">
        <v>-0.28999999999999998</v>
      </c>
      <c r="CJ1187">
        <v>19347</v>
      </c>
      <c r="CK1187">
        <v>9535</v>
      </c>
      <c r="CL1187" t="s">
        <v>274</v>
      </c>
      <c r="CM1187">
        <v>32.68</v>
      </c>
      <c r="CN1187">
        <v>6.84</v>
      </c>
      <c r="CO1187">
        <v>1.01</v>
      </c>
      <c r="CP1187">
        <v>20.45</v>
      </c>
      <c r="CQ1187">
        <v>1.78</v>
      </c>
      <c r="CR1187">
        <v>0.16</v>
      </c>
      <c r="CS1187" t="s">
        <v>6030</v>
      </c>
      <c r="CT1187">
        <v>6.23</v>
      </c>
      <c r="CU1187">
        <v>0</v>
      </c>
      <c r="CV1187">
        <v>3.93</v>
      </c>
      <c r="CW1187">
        <v>1.18</v>
      </c>
      <c r="CX1187">
        <v>0.31</v>
      </c>
      <c r="CY1187">
        <v>59.73</v>
      </c>
      <c r="CZ1187" t="s">
        <v>6718</v>
      </c>
      <c r="DA1187">
        <v>19.63</v>
      </c>
      <c r="DB1187">
        <v>6.36</v>
      </c>
      <c r="DC1187">
        <v>3.26</v>
      </c>
      <c r="DD1187">
        <v>0</v>
      </c>
      <c r="DE1187">
        <v>525</v>
      </c>
      <c r="DF1187">
        <v>2740</v>
      </c>
      <c r="DG1187" t="s">
        <v>116</v>
      </c>
      <c r="DH1187" t="s">
        <v>116</v>
      </c>
      <c r="DI1187" t="s">
        <v>116</v>
      </c>
    </row>
    <row r="1188" spans="1:113" x14ac:dyDescent="0.4">
      <c r="A1188" t="str">
        <f>"002741"</f>
        <v>002741</v>
      </c>
      <c r="B1188" t="s">
        <v>6719</v>
      </c>
      <c r="C1188">
        <v>-2.95</v>
      </c>
      <c r="D1188">
        <v>12.48</v>
      </c>
      <c r="E1188">
        <v>-0.38</v>
      </c>
      <c r="F1188">
        <v>12.48</v>
      </c>
      <c r="G1188">
        <v>12.49</v>
      </c>
      <c r="H1188">
        <v>117689</v>
      </c>
      <c r="I1188">
        <v>1788</v>
      </c>
      <c r="J1188">
        <v>0.32</v>
      </c>
      <c r="K1188">
        <v>5.3</v>
      </c>
      <c r="L1188">
        <v>12.6</v>
      </c>
      <c r="M1188">
        <v>12.75</v>
      </c>
      <c r="N1188">
        <v>12.43</v>
      </c>
      <c r="O1188">
        <v>12.86</v>
      </c>
      <c r="P1188">
        <v>102.56</v>
      </c>
      <c r="Q1188">
        <v>147841920</v>
      </c>
      <c r="R1188">
        <v>1.18</v>
      </c>
      <c r="S1188" t="s">
        <v>891</v>
      </c>
      <c r="T1188" t="s">
        <v>551</v>
      </c>
      <c r="U1188">
        <v>2.4900000000000002</v>
      </c>
      <c r="V1188">
        <v>12.56</v>
      </c>
      <c r="W1188">
        <v>71671</v>
      </c>
      <c r="X1188">
        <v>46018</v>
      </c>
      <c r="Y1188">
        <v>1.56</v>
      </c>
      <c r="Z1188">
        <v>1256</v>
      </c>
      <c r="AA1188">
        <v>83</v>
      </c>
      <c r="AB1188" t="s">
        <v>116</v>
      </c>
      <c r="AC1188">
        <v>3215500</v>
      </c>
      <c r="AD1188">
        <v>0.15</v>
      </c>
      <c r="AE1188" t="s">
        <v>116</v>
      </c>
      <c r="AF1188" t="s">
        <v>116</v>
      </c>
      <c r="AG1188">
        <v>2.2200000000000002</v>
      </c>
      <c r="AH1188" t="s">
        <v>6720</v>
      </c>
      <c r="AI1188" t="s">
        <v>6721</v>
      </c>
      <c r="AJ1188">
        <v>-2.2799999999999998</v>
      </c>
      <c r="AK1188">
        <v>2855</v>
      </c>
      <c r="AL1188">
        <v>41</v>
      </c>
      <c r="AM1188">
        <v>1.9E-3</v>
      </c>
      <c r="AN1188">
        <v>-1</v>
      </c>
      <c r="AO1188">
        <v>0.41</v>
      </c>
      <c r="AP1188">
        <v>12.94</v>
      </c>
      <c r="AQ1188">
        <v>-1.5</v>
      </c>
      <c r="AR1188">
        <v>-20.84</v>
      </c>
      <c r="AS1188">
        <v>6.86</v>
      </c>
      <c r="AT1188" t="s">
        <v>6722</v>
      </c>
      <c r="AU1188">
        <v>123.05</v>
      </c>
      <c r="AV1188">
        <v>34.700000000000003</v>
      </c>
      <c r="AW1188">
        <v>1.05</v>
      </c>
      <c r="BA1188">
        <v>-2.02</v>
      </c>
      <c r="BB1188">
        <v>-0.86</v>
      </c>
      <c r="BC1188">
        <v>-3.34</v>
      </c>
      <c r="BD1188">
        <v>-2.3199999999999998</v>
      </c>
      <c r="BE1188">
        <v>-0.95</v>
      </c>
      <c r="BF1188">
        <v>-2.12</v>
      </c>
      <c r="BG1188">
        <v>0.4</v>
      </c>
      <c r="BH1188">
        <v>-0.64</v>
      </c>
      <c r="BI1188">
        <v>20191031</v>
      </c>
      <c r="BJ1188">
        <v>20150216</v>
      </c>
      <c r="BK1188">
        <v>3.74</v>
      </c>
      <c r="BL1188" t="s">
        <v>116</v>
      </c>
      <c r="BM1188" t="s">
        <v>116</v>
      </c>
      <c r="BN1188">
        <v>25.04</v>
      </c>
      <c r="BO1188">
        <v>12.71</v>
      </c>
      <c r="BP1188">
        <v>0.05</v>
      </c>
      <c r="BQ1188">
        <v>49.03</v>
      </c>
      <c r="BR1188">
        <v>13.53</v>
      </c>
      <c r="BS1188">
        <v>7.81</v>
      </c>
      <c r="BT1188">
        <v>0.37</v>
      </c>
      <c r="BU1188">
        <v>8.65</v>
      </c>
      <c r="BV1188">
        <v>5.29</v>
      </c>
      <c r="BW1188">
        <v>4.5999999999999996</v>
      </c>
      <c r="BX1188">
        <v>3.13</v>
      </c>
      <c r="BY1188">
        <v>12.51</v>
      </c>
      <c r="BZ1188">
        <v>10.07</v>
      </c>
      <c r="CA1188">
        <v>0.36</v>
      </c>
      <c r="CB1188">
        <v>0</v>
      </c>
      <c r="CC1188">
        <v>0.36</v>
      </c>
      <c r="CD1188">
        <v>0.32</v>
      </c>
      <c r="CE1188">
        <v>0.34</v>
      </c>
      <c r="CF1188">
        <v>0.22</v>
      </c>
      <c r="CG1188">
        <v>4.6900000000000004</v>
      </c>
      <c r="CH1188">
        <v>-0.28000000000000003</v>
      </c>
      <c r="CI1188">
        <v>-1.62</v>
      </c>
      <c r="CJ1188">
        <v>34728</v>
      </c>
      <c r="CK1188">
        <v>4938</v>
      </c>
      <c r="CL1188" t="s">
        <v>1271</v>
      </c>
      <c r="CM1188">
        <v>-73.89</v>
      </c>
      <c r="CN1188">
        <v>4.7</v>
      </c>
      <c r="CO1188">
        <v>3.86</v>
      </c>
      <c r="CP1188">
        <v>-165.37</v>
      </c>
      <c r="CQ1188">
        <v>3.73</v>
      </c>
      <c r="CR1188">
        <v>0.68</v>
      </c>
      <c r="CS1188" t="s">
        <v>1381</v>
      </c>
      <c r="CT1188">
        <v>3.23</v>
      </c>
      <c r="CU1188">
        <v>3.23</v>
      </c>
      <c r="CV1188">
        <v>0.84</v>
      </c>
      <c r="CW1188">
        <v>1.25</v>
      </c>
      <c r="CX1188">
        <v>-0.08</v>
      </c>
      <c r="CY1188">
        <v>50.77</v>
      </c>
      <c r="CZ1188" t="s">
        <v>2522</v>
      </c>
      <c r="DA1188">
        <v>19.510000000000002</v>
      </c>
      <c r="DB1188">
        <v>2.87</v>
      </c>
      <c r="DC1188">
        <v>2.73</v>
      </c>
      <c r="DD1188">
        <v>0.56999999999999995</v>
      </c>
      <c r="DE1188">
        <v>812</v>
      </c>
      <c r="DF1188">
        <v>2741</v>
      </c>
      <c r="DG1188" t="s">
        <v>116</v>
      </c>
      <c r="DH1188" t="s">
        <v>116</v>
      </c>
      <c r="DI1188" t="s">
        <v>116</v>
      </c>
    </row>
    <row r="1189" spans="1:113" x14ac:dyDescent="0.4">
      <c r="A1189" t="str">
        <f>"002742"</f>
        <v>002742</v>
      </c>
      <c r="B1189" t="s">
        <v>6723</v>
      </c>
      <c r="C1189">
        <v>0</v>
      </c>
      <c r="D1189">
        <v>5.92</v>
      </c>
      <c r="E1189">
        <v>0</v>
      </c>
      <c r="F1189">
        <v>5.92</v>
      </c>
      <c r="G1189">
        <v>5.93</v>
      </c>
      <c r="H1189">
        <v>28188</v>
      </c>
      <c r="I1189">
        <v>330</v>
      </c>
      <c r="J1189">
        <v>0</v>
      </c>
      <c r="K1189">
        <v>1.04</v>
      </c>
      <c r="L1189">
        <v>5.94</v>
      </c>
      <c r="M1189">
        <v>5.96</v>
      </c>
      <c r="N1189">
        <v>5.89</v>
      </c>
      <c r="O1189">
        <v>5.92</v>
      </c>
      <c r="P1189">
        <v>23.68</v>
      </c>
      <c r="Q1189">
        <v>16711784</v>
      </c>
      <c r="R1189">
        <v>1.21</v>
      </c>
      <c r="S1189" t="s">
        <v>249</v>
      </c>
      <c r="T1189" t="s">
        <v>906</v>
      </c>
      <c r="U1189">
        <v>1.18</v>
      </c>
      <c r="V1189">
        <v>5.93</v>
      </c>
      <c r="W1189">
        <v>13936</v>
      </c>
      <c r="X1189">
        <v>14252</v>
      </c>
      <c r="Y1189">
        <v>0.98</v>
      </c>
      <c r="Z1189">
        <v>242</v>
      </c>
      <c r="AA1189">
        <v>366</v>
      </c>
      <c r="AB1189" t="s">
        <v>116</v>
      </c>
      <c r="AC1189">
        <v>11900</v>
      </c>
      <c r="AD1189">
        <v>0</v>
      </c>
      <c r="AE1189" t="s">
        <v>116</v>
      </c>
      <c r="AF1189" t="s">
        <v>116</v>
      </c>
      <c r="AG1189">
        <v>2.7</v>
      </c>
      <c r="AH1189" t="s">
        <v>6724</v>
      </c>
      <c r="AI1189" t="s">
        <v>6332</v>
      </c>
      <c r="AJ1189">
        <v>0.68</v>
      </c>
      <c r="AK1189">
        <v>619</v>
      </c>
      <c r="AL1189">
        <v>46</v>
      </c>
      <c r="AM1189">
        <v>1.6999999999999999E-3</v>
      </c>
      <c r="AN1189">
        <v>0</v>
      </c>
      <c r="AO1189">
        <v>0.16</v>
      </c>
      <c r="AP1189">
        <v>4.2300000000000004</v>
      </c>
      <c r="AQ1189">
        <v>-3.43</v>
      </c>
      <c r="AR1189">
        <v>-27.27</v>
      </c>
      <c r="AS1189">
        <v>1.9</v>
      </c>
      <c r="AT1189" t="s">
        <v>6725</v>
      </c>
      <c r="AU1189">
        <v>22.55</v>
      </c>
      <c r="AV1189">
        <v>23.07</v>
      </c>
      <c r="AW1189">
        <v>1.05</v>
      </c>
      <c r="BA1189">
        <v>0.34</v>
      </c>
      <c r="BB1189">
        <v>0.68</v>
      </c>
      <c r="BC1189">
        <v>-0.51</v>
      </c>
      <c r="BD1189">
        <v>0.15</v>
      </c>
      <c r="BE1189">
        <v>-0.34</v>
      </c>
      <c r="BF1189">
        <v>-0.67</v>
      </c>
      <c r="BG1189">
        <v>0.51</v>
      </c>
      <c r="BH1189">
        <v>-0.15</v>
      </c>
      <c r="BI1189">
        <v>20191023</v>
      </c>
      <c r="BJ1189">
        <v>20150217</v>
      </c>
      <c r="BK1189">
        <v>4.32</v>
      </c>
      <c r="BL1189" t="s">
        <v>116</v>
      </c>
      <c r="BM1189" t="s">
        <v>116</v>
      </c>
      <c r="BN1189">
        <v>50</v>
      </c>
      <c r="BO1189">
        <v>15.46</v>
      </c>
      <c r="BP1189">
        <v>2.64</v>
      </c>
      <c r="BQ1189">
        <v>63.81</v>
      </c>
      <c r="BR1189">
        <v>25.67</v>
      </c>
      <c r="BS1189">
        <v>14.3</v>
      </c>
      <c r="BT1189">
        <v>3.21</v>
      </c>
      <c r="BU1189">
        <v>24.94</v>
      </c>
      <c r="BV1189">
        <v>3.58</v>
      </c>
      <c r="BW1189">
        <v>15.36</v>
      </c>
      <c r="BX1189">
        <v>2.52</v>
      </c>
      <c r="BY1189">
        <v>22.07</v>
      </c>
      <c r="BZ1189">
        <v>17.63</v>
      </c>
      <c r="CA1189">
        <v>1.25</v>
      </c>
      <c r="CB1189">
        <v>0</v>
      </c>
      <c r="CC1189">
        <v>1.22</v>
      </c>
      <c r="CD1189">
        <v>1.03</v>
      </c>
      <c r="CE1189">
        <v>0.81</v>
      </c>
      <c r="CF1189">
        <v>0.77</v>
      </c>
      <c r="CG1189">
        <v>8.06</v>
      </c>
      <c r="CH1189">
        <v>0.74</v>
      </c>
      <c r="CI1189">
        <v>1.06</v>
      </c>
      <c r="CJ1189">
        <v>24951</v>
      </c>
      <c r="CK1189">
        <v>5934</v>
      </c>
      <c r="CL1189" t="s">
        <v>764</v>
      </c>
      <c r="CM1189">
        <v>3.28</v>
      </c>
      <c r="CN1189">
        <v>25.14</v>
      </c>
      <c r="CO1189">
        <v>1.65</v>
      </c>
      <c r="CP1189">
        <v>34.340000000000003</v>
      </c>
      <c r="CQ1189">
        <v>1.1599999999999999</v>
      </c>
      <c r="CR1189">
        <v>1.69</v>
      </c>
      <c r="CS1189" t="s">
        <v>214</v>
      </c>
      <c r="CT1189">
        <v>3.58</v>
      </c>
      <c r="CU1189">
        <v>0</v>
      </c>
      <c r="CV1189">
        <v>0.57999999999999996</v>
      </c>
      <c r="CW1189">
        <v>1.87</v>
      </c>
      <c r="CX1189">
        <v>0.17</v>
      </c>
      <c r="CY1189">
        <v>30.91</v>
      </c>
      <c r="CZ1189" t="s">
        <v>6726</v>
      </c>
      <c r="DA1189">
        <v>20.12</v>
      </c>
      <c r="DB1189">
        <v>5.66</v>
      </c>
      <c r="DC1189">
        <v>3.67</v>
      </c>
      <c r="DD1189">
        <v>0.25</v>
      </c>
      <c r="DE1189">
        <v>2944</v>
      </c>
      <c r="DF1189">
        <v>2742</v>
      </c>
      <c r="DG1189" t="s">
        <v>116</v>
      </c>
      <c r="DH1189" t="s">
        <v>116</v>
      </c>
      <c r="DI1189" t="s">
        <v>116</v>
      </c>
    </row>
    <row r="1190" spans="1:113" x14ac:dyDescent="0.4">
      <c r="A1190" t="str">
        <f>"002743"</f>
        <v>002743</v>
      </c>
      <c r="B1190" t="s">
        <v>6727</v>
      </c>
      <c r="C1190">
        <v>2.23</v>
      </c>
      <c r="D1190">
        <v>6.42</v>
      </c>
      <c r="E1190">
        <v>0.14000000000000001</v>
      </c>
      <c r="F1190">
        <v>6.41</v>
      </c>
      <c r="G1190">
        <v>6.42</v>
      </c>
      <c r="H1190">
        <v>63135</v>
      </c>
      <c r="I1190">
        <v>1545</v>
      </c>
      <c r="J1190">
        <v>0.31</v>
      </c>
      <c r="K1190">
        <v>1.89</v>
      </c>
      <c r="L1190">
        <v>6.28</v>
      </c>
      <c r="M1190">
        <v>6.47</v>
      </c>
      <c r="N1190">
        <v>6.25</v>
      </c>
      <c r="O1190">
        <v>6.28</v>
      </c>
      <c r="P1190">
        <v>22.71</v>
      </c>
      <c r="Q1190">
        <v>40092116</v>
      </c>
      <c r="R1190">
        <v>2.29</v>
      </c>
      <c r="S1190" t="s">
        <v>2118</v>
      </c>
      <c r="T1190" t="s">
        <v>575</v>
      </c>
      <c r="U1190">
        <v>3.5</v>
      </c>
      <c r="V1190">
        <v>6.35</v>
      </c>
      <c r="W1190">
        <v>24835</v>
      </c>
      <c r="X1190">
        <v>38300</v>
      </c>
      <c r="Y1190">
        <v>0.65</v>
      </c>
      <c r="Z1190">
        <v>276</v>
      </c>
      <c r="AA1190">
        <v>30</v>
      </c>
      <c r="AB1190" t="s">
        <v>116</v>
      </c>
      <c r="AC1190">
        <v>341000</v>
      </c>
      <c r="AD1190">
        <v>0.03</v>
      </c>
      <c r="AE1190" t="s">
        <v>116</v>
      </c>
      <c r="AF1190" t="s">
        <v>116</v>
      </c>
      <c r="AG1190">
        <v>3.33</v>
      </c>
      <c r="AH1190" t="s">
        <v>5731</v>
      </c>
      <c r="AI1190" t="s">
        <v>763</v>
      </c>
      <c r="AJ1190">
        <v>2.91</v>
      </c>
      <c r="AK1190">
        <v>1768</v>
      </c>
      <c r="AL1190">
        <v>36</v>
      </c>
      <c r="AM1190">
        <v>1.1000000000000001E-3</v>
      </c>
      <c r="AN1190">
        <v>1</v>
      </c>
      <c r="AO1190">
        <v>1.58</v>
      </c>
      <c r="AP1190">
        <v>11.65</v>
      </c>
      <c r="AQ1190">
        <v>-6.14</v>
      </c>
      <c r="AR1190">
        <v>11.07</v>
      </c>
      <c r="AS1190">
        <v>3.57</v>
      </c>
      <c r="AT1190" t="s">
        <v>4477</v>
      </c>
      <c r="AU1190">
        <v>23.78</v>
      </c>
      <c r="AV1190">
        <v>26.19</v>
      </c>
      <c r="AW1190">
        <v>1.01</v>
      </c>
      <c r="BA1190">
        <v>0</v>
      </c>
      <c r="BB1190">
        <v>3.03</v>
      </c>
      <c r="BC1190">
        <v>-0.48</v>
      </c>
      <c r="BD1190">
        <v>1.1200000000000001</v>
      </c>
      <c r="BE1190">
        <v>2.23</v>
      </c>
      <c r="BF1190">
        <v>-0.77</v>
      </c>
      <c r="BG1190">
        <v>2.72</v>
      </c>
      <c r="BH1190">
        <v>1.1100000000000001</v>
      </c>
      <c r="BI1190">
        <v>20191024</v>
      </c>
      <c r="BJ1190">
        <v>20150217</v>
      </c>
      <c r="BK1190">
        <v>3.36</v>
      </c>
      <c r="BL1190" t="s">
        <v>116</v>
      </c>
      <c r="BM1190" t="s">
        <v>116</v>
      </c>
      <c r="BN1190">
        <v>72.42</v>
      </c>
      <c r="BO1190">
        <v>21.12</v>
      </c>
      <c r="BP1190">
        <v>0.62</v>
      </c>
      <c r="BQ1190">
        <v>69.98</v>
      </c>
      <c r="BR1190">
        <v>53.51</v>
      </c>
      <c r="BS1190">
        <v>14.18</v>
      </c>
      <c r="BT1190">
        <v>1.87</v>
      </c>
      <c r="BU1190">
        <v>42.92</v>
      </c>
      <c r="BV1190">
        <v>22.11</v>
      </c>
      <c r="BW1190">
        <v>19.04</v>
      </c>
      <c r="BX1190">
        <v>12</v>
      </c>
      <c r="BY1190">
        <v>28.06</v>
      </c>
      <c r="BZ1190">
        <v>24.26</v>
      </c>
      <c r="CA1190">
        <v>0.84</v>
      </c>
      <c r="CB1190">
        <v>0.04</v>
      </c>
      <c r="CC1190">
        <v>0.84</v>
      </c>
      <c r="CD1190">
        <v>0.71</v>
      </c>
      <c r="CE1190">
        <v>0.71</v>
      </c>
      <c r="CF1190">
        <v>0.71</v>
      </c>
      <c r="CG1190">
        <v>5.53</v>
      </c>
      <c r="CH1190">
        <v>1.75</v>
      </c>
      <c r="CI1190">
        <v>-1.71</v>
      </c>
      <c r="CJ1190">
        <v>22965</v>
      </c>
      <c r="CK1190">
        <v>7695</v>
      </c>
      <c r="CL1190" t="s">
        <v>6728</v>
      </c>
      <c r="CM1190">
        <v>13.27</v>
      </c>
      <c r="CN1190">
        <v>21.46</v>
      </c>
      <c r="CO1190">
        <v>1.02</v>
      </c>
      <c r="CP1190">
        <v>12.34</v>
      </c>
      <c r="CQ1190">
        <v>0.77</v>
      </c>
      <c r="CR1190">
        <v>0.78</v>
      </c>
      <c r="CS1190" t="s">
        <v>313</v>
      </c>
      <c r="CT1190">
        <v>6.28</v>
      </c>
      <c r="CU1190">
        <v>0</v>
      </c>
      <c r="CV1190">
        <v>3.57</v>
      </c>
      <c r="CW1190">
        <v>1.64</v>
      </c>
      <c r="CX1190">
        <v>0.52</v>
      </c>
      <c r="CY1190">
        <v>29.16</v>
      </c>
      <c r="CZ1190" t="s">
        <v>3229</v>
      </c>
      <c r="DA1190">
        <v>13.53</v>
      </c>
      <c r="DB1190">
        <v>3</v>
      </c>
      <c r="DC1190">
        <v>2.54</v>
      </c>
      <c r="DD1190">
        <v>1.08</v>
      </c>
      <c r="DE1190">
        <v>2132</v>
      </c>
      <c r="DF1190">
        <v>2743</v>
      </c>
      <c r="DG1190" t="s">
        <v>116</v>
      </c>
      <c r="DH1190" t="s">
        <v>116</v>
      </c>
      <c r="DI1190" t="s">
        <v>116</v>
      </c>
    </row>
    <row r="1191" spans="1:113" x14ac:dyDescent="0.4">
      <c r="A1191" t="str">
        <f>"002745"</f>
        <v>002745</v>
      </c>
      <c r="B1191" t="s">
        <v>6729</v>
      </c>
      <c r="C1191">
        <v>-2.12</v>
      </c>
      <c r="D1191">
        <v>13.85</v>
      </c>
      <c r="E1191">
        <v>-0.3</v>
      </c>
      <c r="F1191">
        <v>13.84</v>
      </c>
      <c r="G1191">
        <v>13.85</v>
      </c>
      <c r="H1191">
        <v>248367</v>
      </c>
      <c r="I1191">
        <v>2091</v>
      </c>
      <c r="J1191">
        <v>-0.13</v>
      </c>
      <c r="K1191">
        <v>3.39</v>
      </c>
      <c r="L1191">
        <v>14.1</v>
      </c>
      <c r="M1191">
        <v>14.44</v>
      </c>
      <c r="N1191">
        <v>13.81</v>
      </c>
      <c r="O1191">
        <v>14.15</v>
      </c>
      <c r="P1191">
        <v>19.25</v>
      </c>
      <c r="Q1191">
        <v>351352096</v>
      </c>
      <c r="R1191">
        <v>1.34</v>
      </c>
      <c r="S1191" t="s">
        <v>3507</v>
      </c>
      <c r="T1191" t="s">
        <v>551</v>
      </c>
      <c r="U1191">
        <v>4.45</v>
      </c>
      <c r="V1191">
        <v>14.15</v>
      </c>
      <c r="W1191">
        <v>107601</v>
      </c>
      <c r="X1191">
        <v>140766</v>
      </c>
      <c r="Y1191">
        <v>0.76</v>
      </c>
      <c r="Z1191">
        <v>139</v>
      </c>
      <c r="AA1191">
        <v>98</v>
      </c>
      <c r="AB1191" t="s">
        <v>116</v>
      </c>
      <c r="AC1191">
        <v>445600</v>
      </c>
      <c r="AD1191">
        <v>0.01</v>
      </c>
      <c r="AE1191" t="s">
        <v>116</v>
      </c>
      <c r="AF1191" t="s">
        <v>116</v>
      </c>
      <c r="AG1191">
        <v>7.32</v>
      </c>
      <c r="AH1191" t="s">
        <v>6730</v>
      </c>
      <c r="AI1191" t="s">
        <v>6731</v>
      </c>
      <c r="AJ1191">
        <v>-1.44</v>
      </c>
      <c r="AK1191">
        <v>3778</v>
      </c>
      <c r="AL1191">
        <v>66</v>
      </c>
      <c r="AM1191">
        <v>8.9999999999999998E-4</v>
      </c>
      <c r="AN1191">
        <v>-1</v>
      </c>
      <c r="AO1191">
        <v>-2.2599999999999998</v>
      </c>
      <c r="AP1191">
        <v>12.06</v>
      </c>
      <c r="AQ1191">
        <v>17.670000000000002</v>
      </c>
      <c r="AR1191">
        <v>24.1</v>
      </c>
      <c r="AS1191">
        <v>6.94</v>
      </c>
      <c r="AT1191" t="s">
        <v>6732</v>
      </c>
      <c r="AU1191">
        <v>21.88</v>
      </c>
      <c r="AV1191">
        <v>24.56</v>
      </c>
      <c r="AW1191">
        <v>0.88</v>
      </c>
      <c r="BA1191">
        <v>-0.35</v>
      </c>
      <c r="BB1191">
        <v>2.0499999999999998</v>
      </c>
      <c r="BC1191">
        <v>-2.4</v>
      </c>
      <c r="BD1191">
        <v>-0.02</v>
      </c>
      <c r="BE1191">
        <v>-1.77</v>
      </c>
      <c r="BF1191">
        <v>-4.09</v>
      </c>
      <c r="BG1191">
        <v>0.28999999999999998</v>
      </c>
      <c r="BH1191">
        <v>-2.1</v>
      </c>
      <c r="BI1191">
        <v>20191030</v>
      </c>
      <c r="BJ1191">
        <v>20150217</v>
      </c>
      <c r="BK1191">
        <v>12.77</v>
      </c>
      <c r="BL1191" t="s">
        <v>116</v>
      </c>
      <c r="BM1191" t="s">
        <v>116</v>
      </c>
      <c r="BN1191">
        <v>327.33999999999997</v>
      </c>
      <c r="BO1191">
        <v>99.82</v>
      </c>
      <c r="BP1191">
        <v>0.63</v>
      </c>
      <c r="BQ1191">
        <v>69.31</v>
      </c>
      <c r="BR1191">
        <v>195.98</v>
      </c>
      <c r="BS1191">
        <v>62.17</v>
      </c>
      <c r="BT1191">
        <v>9.35</v>
      </c>
      <c r="BU1191">
        <v>187.35</v>
      </c>
      <c r="BV1191">
        <v>43.38</v>
      </c>
      <c r="BW1191">
        <v>43.85</v>
      </c>
      <c r="BX1191">
        <v>54.92</v>
      </c>
      <c r="BY1191">
        <v>143.11000000000001</v>
      </c>
      <c r="BZ1191">
        <v>98.42</v>
      </c>
      <c r="CA1191">
        <v>10.61</v>
      </c>
      <c r="CB1191">
        <v>0.32</v>
      </c>
      <c r="CC1191">
        <v>10.71</v>
      </c>
      <c r="CD1191">
        <v>6.99</v>
      </c>
      <c r="CE1191">
        <v>6.89</v>
      </c>
      <c r="CF1191">
        <v>2.2999999999999998</v>
      </c>
      <c r="CG1191">
        <v>29.52</v>
      </c>
      <c r="CH1191">
        <v>5.35</v>
      </c>
      <c r="CI1191">
        <v>-2.57</v>
      </c>
      <c r="CJ1191">
        <v>41340</v>
      </c>
      <c r="CK1191">
        <v>8657</v>
      </c>
      <c r="CL1191" t="s">
        <v>6733</v>
      </c>
      <c r="CM1191">
        <v>14.65</v>
      </c>
      <c r="CN1191">
        <v>15.88</v>
      </c>
      <c r="CO1191">
        <v>1.77</v>
      </c>
      <c r="CP1191">
        <v>33.07</v>
      </c>
      <c r="CQ1191">
        <v>1.24</v>
      </c>
      <c r="CR1191">
        <v>0.94</v>
      </c>
      <c r="CS1191" t="s">
        <v>2154</v>
      </c>
      <c r="CT1191">
        <v>7.82</v>
      </c>
      <c r="CU1191">
        <v>0</v>
      </c>
      <c r="CV1191">
        <v>4.3</v>
      </c>
      <c r="CW1191">
        <v>2.31</v>
      </c>
      <c r="CX1191">
        <v>0.42</v>
      </c>
      <c r="CY1191">
        <v>30.49</v>
      </c>
      <c r="CZ1191" t="s">
        <v>6653</v>
      </c>
      <c r="DA1191">
        <v>31.23</v>
      </c>
      <c r="DB1191">
        <v>7.41</v>
      </c>
      <c r="DC1191">
        <v>4.82</v>
      </c>
      <c r="DD1191">
        <v>4.1399999999999997</v>
      </c>
      <c r="DE1191">
        <v>27560</v>
      </c>
      <c r="DF1191">
        <v>2745</v>
      </c>
      <c r="DG1191" t="s">
        <v>116</v>
      </c>
      <c r="DH1191" t="s">
        <v>116</v>
      </c>
      <c r="DI1191" t="s">
        <v>116</v>
      </c>
    </row>
    <row r="1192" spans="1:113" x14ac:dyDescent="0.4">
      <c r="A1192" t="str">
        <f>"002746"</f>
        <v>002746</v>
      </c>
      <c r="B1192" t="s">
        <v>6734</v>
      </c>
      <c r="C1192">
        <v>-0.32</v>
      </c>
      <c r="D1192">
        <v>15.6</v>
      </c>
      <c r="E1192">
        <v>-0.05</v>
      </c>
      <c r="F1192">
        <v>15.59</v>
      </c>
      <c r="G1192">
        <v>15.6</v>
      </c>
      <c r="H1192">
        <v>60660</v>
      </c>
      <c r="I1192">
        <v>321</v>
      </c>
      <c r="J1192">
        <v>0.06</v>
      </c>
      <c r="K1192">
        <v>1.67</v>
      </c>
      <c r="L1192">
        <v>15.66</v>
      </c>
      <c r="M1192">
        <v>15.79</v>
      </c>
      <c r="N1192">
        <v>15.57</v>
      </c>
      <c r="O1192">
        <v>15.65</v>
      </c>
      <c r="P1192">
        <v>8.39</v>
      </c>
      <c r="Q1192">
        <v>94992664</v>
      </c>
      <c r="R1192">
        <v>0.86</v>
      </c>
      <c r="S1192" t="s">
        <v>449</v>
      </c>
      <c r="T1192" t="s">
        <v>645</v>
      </c>
      <c r="U1192">
        <v>1.41</v>
      </c>
      <c r="V1192">
        <v>15.66</v>
      </c>
      <c r="W1192">
        <v>33267</v>
      </c>
      <c r="X1192">
        <v>27393</v>
      </c>
      <c r="Y1192">
        <v>1.21</v>
      </c>
      <c r="Z1192">
        <v>143</v>
      </c>
      <c r="AA1192">
        <v>165</v>
      </c>
      <c r="AB1192" t="s">
        <v>116</v>
      </c>
      <c r="AC1192">
        <v>249000</v>
      </c>
      <c r="AD1192">
        <v>0.01</v>
      </c>
      <c r="AE1192" t="s">
        <v>116</v>
      </c>
      <c r="AF1192" t="s">
        <v>116</v>
      </c>
      <c r="AG1192">
        <v>3.63</v>
      </c>
      <c r="AH1192" t="s">
        <v>6735</v>
      </c>
      <c r="AI1192" t="s">
        <v>1904</v>
      </c>
      <c r="AJ1192">
        <v>0.36</v>
      </c>
      <c r="AK1192">
        <v>2896</v>
      </c>
      <c r="AL1192">
        <v>21</v>
      </c>
      <c r="AM1192">
        <v>5.9999999999999995E-4</v>
      </c>
      <c r="AN1192">
        <v>-2</v>
      </c>
      <c r="AO1192">
        <v>0.45</v>
      </c>
      <c r="AP1192">
        <v>-1.1399999999999999</v>
      </c>
      <c r="AQ1192">
        <v>-0.26</v>
      </c>
      <c r="AR1192">
        <v>77.540000000000006</v>
      </c>
      <c r="AS1192">
        <v>2.93</v>
      </c>
      <c r="AT1192" t="s">
        <v>6736</v>
      </c>
      <c r="AU1192">
        <v>8.73</v>
      </c>
      <c r="AV1192">
        <v>18</v>
      </c>
      <c r="AW1192">
        <v>0.92</v>
      </c>
      <c r="BA1192">
        <v>0.06</v>
      </c>
      <c r="BB1192">
        <v>0.89</v>
      </c>
      <c r="BC1192">
        <v>-0.51</v>
      </c>
      <c r="BD1192">
        <v>0.06</v>
      </c>
      <c r="BE1192">
        <v>-0.38</v>
      </c>
      <c r="BF1192">
        <v>-1.2</v>
      </c>
      <c r="BG1192">
        <v>0.19</v>
      </c>
      <c r="BH1192">
        <v>-0.38</v>
      </c>
      <c r="BI1192">
        <v>20191029</v>
      </c>
      <c r="BJ1192">
        <v>20150216</v>
      </c>
      <c r="BK1192">
        <v>4.6399999999999997</v>
      </c>
      <c r="BL1192" t="s">
        <v>116</v>
      </c>
      <c r="BM1192" t="s">
        <v>116</v>
      </c>
      <c r="BN1192">
        <v>38.64</v>
      </c>
      <c r="BO1192">
        <v>29.4</v>
      </c>
      <c r="BP1192">
        <v>0.77</v>
      </c>
      <c r="BQ1192">
        <v>21.9</v>
      </c>
      <c r="BR1192">
        <v>28.18</v>
      </c>
      <c r="BS1192">
        <v>8.86</v>
      </c>
      <c r="BT1192">
        <v>0.75</v>
      </c>
      <c r="BU1192">
        <v>8.42</v>
      </c>
      <c r="BV1192">
        <v>3.48</v>
      </c>
      <c r="BW1192">
        <v>0.6</v>
      </c>
      <c r="BX1192">
        <v>9.0500000000000007</v>
      </c>
      <c r="BY1192">
        <v>24.87</v>
      </c>
      <c r="BZ1192">
        <v>17.96</v>
      </c>
      <c r="CA1192">
        <v>6.85</v>
      </c>
      <c r="CB1192">
        <v>0.35</v>
      </c>
      <c r="CC1192">
        <v>6.84</v>
      </c>
      <c r="CD1192">
        <v>6.84</v>
      </c>
      <c r="CE1192">
        <v>6.47</v>
      </c>
      <c r="CF1192">
        <v>6.1</v>
      </c>
      <c r="CG1192">
        <v>14.88</v>
      </c>
      <c r="CH1192">
        <v>8.24</v>
      </c>
      <c r="CI1192">
        <v>1.06</v>
      </c>
      <c r="CJ1192">
        <v>38582</v>
      </c>
      <c r="CK1192">
        <v>5370</v>
      </c>
      <c r="CL1192" t="s">
        <v>6737</v>
      </c>
      <c r="CM1192">
        <v>194.29</v>
      </c>
      <c r="CN1192">
        <v>41.38</v>
      </c>
      <c r="CO1192">
        <v>2.46</v>
      </c>
      <c r="CP1192">
        <v>8.7799999999999994</v>
      </c>
      <c r="CQ1192">
        <v>2.91</v>
      </c>
      <c r="CR1192">
        <v>2.14</v>
      </c>
      <c r="CS1192" t="s">
        <v>6738</v>
      </c>
      <c r="CT1192">
        <v>6.34</v>
      </c>
      <c r="CU1192">
        <v>0</v>
      </c>
      <c r="CV1192">
        <v>1.95</v>
      </c>
      <c r="CW1192">
        <v>3.21</v>
      </c>
      <c r="CX1192">
        <v>1.78</v>
      </c>
      <c r="CY1192">
        <v>76.099999999999994</v>
      </c>
      <c r="CZ1192" t="s">
        <v>6739</v>
      </c>
      <c r="DA1192">
        <v>27.79</v>
      </c>
      <c r="DB1192">
        <v>27.55</v>
      </c>
      <c r="DC1192">
        <v>26</v>
      </c>
      <c r="DD1192">
        <v>0.02</v>
      </c>
      <c r="DE1192">
        <v>5078</v>
      </c>
      <c r="DF1192">
        <v>2746</v>
      </c>
      <c r="DG1192" t="s">
        <v>116</v>
      </c>
      <c r="DH1192" t="s">
        <v>116</v>
      </c>
      <c r="DI1192" t="s">
        <v>116</v>
      </c>
    </row>
    <row r="1193" spans="1:113" x14ac:dyDescent="0.4">
      <c r="A1193" t="str">
        <f>"002747"</f>
        <v>002747</v>
      </c>
      <c r="B1193" t="s">
        <v>6740</v>
      </c>
      <c r="C1193">
        <v>-2.21</v>
      </c>
      <c r="D1193">
        <v>11.04</v>
      </c>
      <c r="E1193">
        <v>-0.25</v>
      </c>
      <c r="F1193">
        <v>11.03</v>
      </c>
      <c r="G1193">
        <v>11.04</v>
      </c>
      <c r="H1193">
        <v>88435</v>
      </c>
      <c r="I1193">
        <v>1128</v>
      </c>
      <c r="J1193">
        <v>-0.17</v>
      </c>
      <c r="K1193">
        <v>1.21</v>
      </c>
      <c r="L1193">
        <v>11.2</v>
      </c>
      <c r="M1193">
        <v>11.31</v>
      </c>
      <c r="N1193">
        <v>10.82</v>
      </c>
      <c r="O1193">
        <v>11.29</v>
      </c>
      <c r="P1193">
        <v>120.56</v>
      </c>
      <c r="Q1193">
        <v>97783968</v>
      </c>
      <c r="R1193">
        <v>1.21</v>
      </c>
      <c r="S1193" t="s">
        <v>996</v>
      </c>
      <c r="T1193" t="s">
        <v>323</v>
      </c>
      <c r="U1193">
        <v>4.34</v>
      </c>
      <c r="V1193">
        <v>11.06</v>
      </c>
      <c r="W1193">
        <v>55002</v>
      </c>
      <c r="X1193">
        <v>33433</v>
      </c>
      <c r="Y1193">
        <v>1.65</v>
      </c>
      <c r="Z1193">
        <v>12</v>
      </c>
      <c r="AA1193">
        <v>502</v>
      </c>
      <c r="AB1193" t="s">
        <v>116</v>
      </c>
      <c r="AC1193">
        <v>859000</v>
      </c>
      <c r="AD1193">
        <v>0.03</v>
      </c>
      <c r="AE1193" t="s">
        <v>116</v>
      </c>
      <c r="AF1193" t="s">
        <v>116</v>
      </c>
      <c r="AG1193">
        <v>7.28</v>
      </c>
      <c r="AH1193" t="s">
        <v>6741</v>
      </c>
      <c r="AI1193" t="s">
        <v>5164</v>
      </c>
      <c r="AJ1193">
        <v>-1.54</v>
      </c>
      <c r="AK1193">
        <v>2092</v>
      </c>
      <c r="AL1193">
        <v>42</v>
      </c>
      <c r="AM1193">
        <v>5.9999999999999995E-4</v>
      </c>
      <c r="AN1193">
        <v>-1</v>
      </c>
      <c r="AO1193">
        <v>-1.43</v>
      </c>
      <c r="AP1193">
        <v>17.45</v>
      </c>
      <c r="AQ1193">
        <v>19.739999999999998</v>
      </c>
      <c r="AR1193">
        <v>30.84</v>
      </c>
      <c r="AS1193">
        <v>2.89</v>
      </c>
      <c r="AT1193" t="s">
        <v>6742</v>
      </c>
      <c r="AU1193">
        <v>104.9</v>
      </c>
      <c r="AV1193">
        <v>91.05</v>
      </c>
      <c r="AW1193">
        <v>1.33</v>
      </c>
      <c r="BA1193">
        <v>-0.8</v>
      </c>
      <c r="BB1193">
        <v>0.18</v>
      </c>
      <c r="BC1193">
        <v>-4.16</v>
      </c>
      <c r="BD1193">
        <v>-2.06</v>
      </c>
      <c r="BE1193">
        <v>-1.43</v>
      </c>
      <c r="BF1193">
        <v>-2.39</v>
      </c>
      <c r="BG1193">
        <v>2.0299999999999998</v>
      </c>
      <c r="BH1193">
        <v>-0.15</v>
      </c>
      <c r="BI1193">
        <v>20191227</v>
      </c>
      <c r="BJ1193">
        <v>20150320</v>
      </c>
      <c r="BK1193">
        <v>8.35</v>
      </c>
      <c r="BL1193" t="s">
        <v>116</v>
      </c>
      <c r="BM1193" t="s">
        <v>116</v>
      </c>
      <c r="BN1193">
        <v>40.130000000000003</v>
      </c>
      <c r="BO1193">
        <v>15.66</v>
      </c>
      <c r="BP1193">
        <v>1.06</v>
      </c>
      <c r="BQ1193">
        <v>58.33</v>
      </c>
      <c r="BR1193">
        <v>22.63</v>
      </c>
      <c r="BS1193">
        <v>3.64</v>
      </c>
      <c r="BT1193">
        <v>3.54</v>
      </c>
      <c r="BU1193">
        <v>20.94</v>
      </c>
      <c r="BV1193">
        <v>3.69</v>
      </c>
      <c r="BW1193">
        <v>6.19</v>
      </c>
      <c r="BX1193">
        <v>5.0599999999999996</v>
      </c>
      <c r="BY1193">
        <v>9.68</v>
      </c>
      <c r="BZ1193">
        <v>6.15</v>
      </c>
      <c r="CA1193">
        <v>0.52</v>
      </c>
      <c r="CB1193">
        <v>0.14000000000000001</v>
      </c>
      <c r="CC1193">
        <v>0.68</v>
      </c>
      <c r="CD1193">
        <v>0.72</v>
      </c>
      <c r="CE1193">
        <v>0.56999999999999995</v>
      </c>
      <c r="CF1193">
        <v>0.31</v>
      </c>
      <c r="CG1193">
        <v>2.67</v>
      </c>
      <c r="CH1193">
        <v>0.18</v>
      </c>
      <c r="CI1193">
        <v>4.3099999999999996</v>
      </c>
      <c r="CJ1193">
        <v>35499</v>
      </c>
      <c r="CK1193">
        <v>8616</v>
      </c>
      <c r="CL1193" t="s">
        <v>2273</v>
      </c>
      <c r="CM1193">
        <v>-18.899999999999999</v>
      </c>
      <c r="CN1193">
        <v>-9.11</v>
      </c>
      <c r="CO1193">
        <v>5.89</v>
      </c>
      <c r="CP1193">
        <v>508.67</v>
      </c>
      <c r="CQ1193">
        <v>9.5299999999999994</v>
      </c>
      <c r="CR1193">
        <v>0.65</v>
      </c>
      <c r="CS1193" t="s">
        <v>1395</v>
      </c>
      <c r="CT1193">
        <v>1.88</v>
      </c>
      <c r="CU1193">
        <v>0</v>
      </c>
      <c r="CV1193">
        <v>0.61</v>
      </c>
      <c r="CW1193">
        <v>0.32</v>
      </c>
      <c r="CX1193">
        <v>0.02</v>
      </c>
      <c r="CY1193">
        <v>39.03</v>
      </c>
      <c r="CZ1193" t="s">
        <v>1869</v>
      </c>
      <c r="DA1193">
        <v>36.47</v>
      </c>
      <c r="DB1193">
        <v>5.37</v>
      </c>
      <c r="DC1193">
        <v>5.93</v>
      </c>
      <c r="DD1193">
        <v>1.07</v>
      </c>
      <c r="DE1193">
        <v>1708</v>
      </c>
      <c r="DF1193">
        <v>2747</v>
      </c>
      <c r="DG1193" t="s">
        <v>116</v>
      </c>
      <c r="DH1193" t="s">
        <v>116</v>
      </c>
      <c r="DI1193" t="s">
        <v>116</v>
      </c>
    </row>
    <row r="1194" spans="1:113" x14ac:dyDescent="0.4">
      <c r="A1194" t="str">
        <f>"002748"</f>
        <v>002748</v>
      </c>
      <c r="B1194" t="s">
        <v>6743</v>
      </c>
      <c r="C1194">
        <v>-1.08</v>
      </c>
      <c r="D1194">
        <v>7.34</v>
      </c>
      <c r="E1194">
        <v>-0.08</v>
      </c>
      <c r="F1194">
        <v>7.34</v>
      </c>
      <c r="G1194">
        <v>7.35</v>
      </c>
      <c r="H1194">
        <v>8439</v>
      </c>
      <c r="I1194">
        <v>91</v>
      </c>
      <c r="J1194">
        <v>-0.26</v>
      </c>
      <c r="K1194">
        <v>0.35</v>
      </c>
      <c r="L1194">
        <v>7.45</v>
      </c>
      <c r="M1194">
        <v>7.47</v>
      </c>
      <c r="N1194">
        <v>7.32</v>
      </c>
      <c r="O1194">
        <v>7.42</v>
      </c>
      <c r="P1194" t="s">
        <v>116</v>
      </c>
      <c r="Q1194">
        <v>6244135</v>
      </c>
      <c r="R1194">
        <v>0.7</v>
      </c>
      <c r="S1194" t="s">
        <v>891</v>
      </c>
      <c r="T1194" t="s">
        <v>683</v>
      </c>
      <c r="U1194">
        <v>2.02</v>
      </c>
      <c r="V1194">
        <v>7.4</v>
      </c>
      <c r="W1194">
        <v>4467</v>
      </c>
      <c r="X1194">
        <v>3972</v>
      </c>
      <c r="Y1194">
        <v>1.1200000000000001</v>
      </c>
      <c r="Z1194">
        <v>119</v>
      </c>
      <c r="AA1194">
        <v>30</v>
      </c>
      <c r="AB1194" t="s">
        <v>116</v>
      </c>
      <c r="AC1194">
        <v>0</v>
      </c>
      <c r="AD1194">
        <v>0</v>
      </c>
      <c r="AE1194" t="s">
        <v>116</v>
      </c>
      <c r="AF1194" t="s">
        <v>116</v>
      </c>
      <c r="AG1194">
        <v>2.4</v>
      </c>
      <c r="AH1194" t="s">
        <v>686</v>
      </c>
      <c r="AI1194" t="s">
        <v>686</v>
      </c>
      <c r="AJ1194">
        <v>-0.4</v>
      </c>
      <c r="AK1194">
        <v>403</v>
      </c>
      <c r="AL1194">
        <v>21</v>
      </c>
      <c r="AM1194">
        <v>8.9999999999999998E-4</v>
      </c>
      <c r="AN1194">
        <v>-2</v>
      </c>
      <c r="AO1194">
        <v>0.13</v>
      </c>
      <c r="AP1194">
        <v>6.53</v>
      </c>
      <c r="AQ1194">
        <v>-8.59</v>
      </c>
      <c r="AR1194">
        <v>5.61</v>
      </c>
      <c r="AS1194">
        <v>0.97</v>
      </c>
      <c r="AT1194" t="s">
        <v>6744</v>
      </c>
      <c r="AU1194">
        <v>154.61000000000001</v>
      </c>
      <c r="AV1194">
        <v>30.96</v>
      </c>
      <c r="AW1194">
        <v>1.1499999999999999</v>
      </c>
      <c r="BA1194">
        <v>0.4</v>
      </c>
      <c r="BB1194">
        <v>0.67</v>
      </c>
      <c r="BC1194">
        <v>-1.35</v>
      </c>
      <c r="BD1194">
        <v>-0.28000000000000003</v>
      </c>
      <c r="BE1194">
        <v>-1.48</v>
      </c>
      <c r="BF1194">
        <v>-1.74</v>
      </c>
      <c r="BG1194">
        <v>0.27</v>
      </c>
      <c r="BH1194">
        <v>-0.8</v>
      </c>
      <c r="BI1194">
        <v>20191101</v>
      </c>
      <c r="BJ1194">
        <v>20150319</v>
      </c>
      <c r="BK1194">
        <v>2.4</v>
      </c>
      <c r="BL1194" t="s">
        <v>116</v>
      </c>
      <c r="BM1194" t="s">
        <v>116</v>
      </c>
      <c r="BN1194">
        <v>15.95</v>
      </c>
      <c r="BO1194">
        <v>11.3</v>
      </c>
      <c r="BP1194">
        <v>0.19</v>
      </c>
      <c r="BQ1194">
        <v>27.97</v>
      </c>
      <c r="BR1194">
        <v>5.36</v>
      </c>
      <c r="BS1194">
        <v>7.28</v>
      </c>
      <c r="BT1194">
        <v>0.8</v>
      </c>
      <c r="BU1194">
        <v>4.3099999999999996</v>
      </c>
      <c r="BV1194">
        <v>1.08</v>
      </c>
      <c r="BW1194">
        <v>1.6</v>
      </c>
      <c r="BX1194">
        <v>3.33</v>
      </c>
      <c r="BY1194">
        <v>16.399999999999999</v>
      </c>
      <c r="BZ1194">
        <v>15.3</v>
      </c>
      <c r="CA1194">
        <v>-0.13</v>
      </c>
      <c r="CB1194">
        <v>0</v>
      </c>
      <c r="CC1194">
        <v>-0.13</v>
      </c>
      <c r="CD1194">
        <v>-0.12</v>
      </c>
      <c r="CE1194">
        <v>-0.12</v>
      </c>
      <c r="CF1194">
        <v>-0.14000000000000001</v>
      </c>
      <c r="CG1194">
        <v>4.7699999999999996</v>
      </c>
      <c r="CH1194">
        <v>-0.15</v>
      </c>
      <c r="CI1194">
        <v>-1.35</v>
      </c>
      <c r="CJ1194">
        <v>18220</v>
      </c>
      <c r="CK1194">
        <v>4777</v>
      </c>
      <c r="CL1194" t="s">
        <v>764</v>
      </c>
      <c r="CM1194">
        <v>-135.66</v>
      </c>
      <c r="CN1194">
        <v>68.599999999999994</v>
      </c>
      <c r="CO1194">
        <v>1.56</v>
      </c>
      <c r="CP1194">
        <v>-114.46</v>
      </c>
      <c r="CQ1194">
        <v>1.07</v>
      </c>
      <c r="CR1194">
        <v>1.36</v>
      </c>
      <c r="CS1194" t="s">
        <v>6745</v>
      </c>
      <c r="CT1194">
        <v>4.71</v>
      </c>
      <c r="CU1194">
        <v>0</v>
      </c>
      <c r="CV1194">
        <v>1.39</v>
      </c>
      <c r="CW1194">
        <v>1.99</v>
      </c>
      <c r="CX1194">
        <v>-0.06</v>
      </c>
      <c r="CY1194">
        <v>70.81</v>
      </c>
      <c r="CZ1194" t="s">
        <v>1993</v>
      </c>
      <c r="DA1194">
        <v>6.65</v>
      </c>
      <c r="DB1194">
        <v>-0.79</v>
      </c>
      <c r="DC1194">
        <v>-0.73</v>
      </c>
      <c r="DD1194">
        <v>0.03</v>
      </c>
      <c r="DE1194">
        <v>1289</v>
      </c>
      <c r="DF1194">
        <v>2748</v>
      </c>
      <c r="DG1194" t="s">
        <v>116</v>
      </c>
      <c r="DH1194" t="s">
        <v>116</v>
      </c>
      <c r="DI1194" t="s">
        <v>116</v>
      </c>
    </row>
    <row r="1195" spans="1:113" x14ac:dyDescent="0.4">
      <c r="A1195" t="str">
        <f>"002749"</f>
        <v>002749</v>
      </c>
      <c r="B1195" t="s">
        <v>6746</v>
      </c>
      <c r="C1195">
        <v>4.2300000000000004</v>
      </c>
      <c r="D1195">
        <v>12.8</v>
      </c>
      <c r="E1195">
        <v>0.52</v>
      </c>
      <c r="F1195">
        <v>12.1</v>
      </c>
      <c r="G1195">
        <v>12.8</v>
      </c>
      <c r="H1195">
        <v>36744</v>
      </c>
      <c r="I1195">
        <v>4693</v>
      </c>
      <c r="J1195">
        <v>6.84</v>
      </c>
      <c r="K1195">
        <v>1.55</v>
      </c>
      <c r="L1195">
        <v>12.27</v>
      </c>
      <c r="M1195">
        <v>12.8</v>
      </c>
      <c r="N1195">
        <v>11.81</v>
      </c>
      <c r="O1195">
        <v>12.28</v>
      </c>
      <c r="P1195">
        <v>19.760000000000002</v>
      </c>
      <c r="Q1195">
        <v>44485360</v>
      </c>
      <c r="R1195">
        <v>2.5499999999999998</v>
      </c>
      <c r="S1195" t="s">
        <v>697</v>
      </c>
      <c r="T1195" t="s">
        <v>582</v>
      </c>
      <c r="U1195">
        <v>8.06</v>
      </c>
      <c r="V1195">
        <v>12.11</v>
      </c>
      <c r="W1195">
        <v>19629</v>
      </c>
      <c r="X1195">
        <v>17115</v>
      </c>
      <c r="Y1195">
        <v>1.1499999999999999</v>
      </c>
      <c r="Z1195">
        <v>90</v>
      </c>
      <c r="AA1195">
        <v>3</v>
      </c>
      <c r="AB1195" t="s">
        <v>116</v>
      </c>
      <c r="AC1195">
        <v>141100</v>
      </c>
      <c r="AD1195">
        <v>0.01</v>
      </c>
      <c r="AE1195" t="s">
        <v>116</v>
      </c>
      <c r="AF1195" t="s">
        <v>116</v>
      </c>
      <c r="AG1195">
        <v>2.38</v>
      </c>
      <c r="AH1195" t="s">
        <v>6747</v>
      </c>
      <c r="AI1195" t="s">
        <v>6748</v>
      </c>
      <c r="AJ1195">
        <v>4.91</v>
      </c>
      <c r="AK1195">
        <v>1421</v>
      </c>
      <c r="AL1195">
        <v>26</v>
      </c>
      <c r="AM1195">
        <v>1.1000000000000001E-3</v>
      </c>
      <c r="AN1195">
        <v>4</v>
      </c>
      <c r="AO1195">
        <v>12.18</v>
      </c>
      <c r="AP1195">
        <v>18.63</v>
      </c>
      <c r="AQ1195">
        <v>8.84</v>
      </c>
      <c r="AR1195">
        <v>27.1</v>
      </c>
      <c r="AS1195">
        <v>2.63</v>
      </c>
      <c r="AT1195" t="s">
        <v>182</v>
      </c>
      <c r="AU1195">
        <v>19.93</v>
      </c>
      <c r="AV1195">
        <v>20.32</v>
      </c>
      <c r="AW1195">
        <v>1.01</v>
      </c>
      <c r="BA1195">
        <v>-0.08</v>
      </c>
      <c r="BB1195">
        <v>4.2300000000000004</v>
      </c>
      <c r="BC1195">
        <v>-3.83</v>
      </c>
      <c r="BD1195">
        <v>-1.41</v>
      </c>
      <c r="BE1195">
        <v>4.32</v>
      </c>
      <c r="BF1195">
        <v>0</v>
      </c>
      <c r="BG1195">
        <v>8.3800000000000008</v>
      </c>
      <c r="BH1195">
        <v>5.65</v>
      </c>
      <c r="BI1195">
        <v>20191025</v>
      </c>
      <c r="BJ1195">
        <v>20150320</v>
      </c>
      <c r="BK1195">
        <v>3.72</v>
      </c>
      <c r="BL1195" t="s">
        <v>116</v>
      </c>
      <c r="BM1195" t="s">
        <v>116</v>
      </c>
      <c r="BN1195">
        <v>12.35</v>
      </c>
      <c r="BO1195">
        <v>10.93</v>
      </c>
      <c r="BP1195">
        <v>0</v>
      </c>
      <c r="BQ1195">
        <v>11.48</v>
      </c>
      <c r="BR1195">
        <v>7.96</v>
      </c>
      <c r="BS1195">
        <v>0.22</v>
      </c>
      <c r="BT1195">
        <v>0.3</v>
      </c>
      <c r="BU1195">
        <v>1.28</v>
      </c>
      <c r="BV1195">
        <v>1.96</v>
      </c>
      <c r="BW1195">
        <v>0.3</v>
      </c>
      <c r="BX1195">
        <v>0.73</v>
      </c>
      <c r="BY1195">
        <v>7.94</v>
      </c>
      <c r="BZ1195">
        <v>4.33</v>
      </c>
      <c r="CA1195">
        <v>2.11</v>
      </c>
      <c r="CB1195">
        <v>0</v>
      </c>
      <c r="CC1195">
        <v>2.11</v>
      </c>
      <c r="CD1195">
        <v>1.81</v>
      </c>
      <c r="CE1195">
        <v>1.81</v>
      </c>
      <c r="CF1195">
        <v>1.8</v>
      </c>
      <c r="CG1195">
        <v>5.75</v>
      </c>
      <c r="CH1195">
        <v>1.18</v>
      </c>
      <c r="CI1195">
        <v>0.08</v>
      </c>
      <c r="CJ1195">
        <v>10676</v>
      </c>
      <c r="CK1195">
        <v>13109</v>
      </c>
      <c r="CL1195" t="s">
        <v>6749</v>
      </c>
      <c r="CM1195">
        <v>2.57</v>
      </c>
      <c r="CN1195">
        <v>17.920000000000002</v>
      </c>
      <c r="CO1195">
        <v>4.3600000000000003</v>
      </c>
      <c r="CP1195">
        <v>40.54</v>
      </c>
      <c r="CQ1195">
        <v>6.01</v>
      </c>
      <c r="CR1195">
        <v>1.06</v>
      </c>
      <c r="CS1195" t="s">
        <v>6750</v>
      </c>
      <c r="CT1195">
        <v>2.93</v>
      </c>
      <c r="CU1195">
        <v>0</v>
      </c>
      <c r="CV1195">
        <v>0.2</v>
      </c>
      <c r="CW1195">
        <v>1.54</v>
      </c>
      <c r="CX1195">
        <v>0.32</v>
      </c>
      <c r="CY1195">
        <v>88.52</v>
      </c>
      <c r="CZ1195" t="s">
        <v>6751</v>
      </c>
      <c r="DA1195">
        <v>45.45</v>
      </c>
      <c r="DB1195">
        <v>26.63</v>
      </c>
      <c r="DC1195">
        <v>22.8</v>
      </c>
      <c r="DD1195">
        <v>0.24</v>
      </c>
      <c r="DE1195">
        <v>1049</v>
      </c>
      <c r="DF1195">
        <v>2749</v>
      </c>
      <c r="DG1195" t="s">
        <v>116</v>
      </c>
      <c r="DH1195" t="s">
        <v>116</v>
      </c>
      <c r="DI1195" t="s">
        <v>116</v>
      </c>
    </row>
    <row r="1196" spans="1:113" x14ac:dyDescent="0.4">
      <c r="A1196" t="str">
        <f>"002750"</f>
        <v>002750</v>
      </c>
      <c r="B1196" t="s">
        <v>6752</v>
      </c>
      <c r="C1196">
        <v>-1.35</v>
      </c>
      <c r="D1196">
        <v>12.45</v>
      </c>
      <c r="E1196">
        <v>-0.17</v>
      </c>
      <c r="F1196">
        <v>12.45</v>
      </c>
      <c r="G1196">
        <v>12.46</v>
      </c>
      <c r="H1196">
        <v>106689</v>
      </c>
      <c r="I1196">
        <v>2768</v>
      </c>
      <c r="J1196">
        <v>-7.0000000000000007E-2</v>
      </c>
      <c r="K1196">
        <v>2.69</v>
      </c>
      <c r="L1196">
        <v>12.53</v>
      </c>
      <c r="M1196">
        <v>12.75</v>
      </c>
      <c r="N1196">
        <v>12.38</v>
      </c>
      <c r="O1196">
        <v>12.62</v>
      </c>
      <c r="P1196">
        <v>2070.92</v>
      </c>
      <c r="Q1196">
        <v>134143472</v>
      </c>
      <c r="R1196">
        <v>0.41</v>
      </c>
      <c r="S1196" t="s">
        <v>781</v>
      </c>
      <c r="T1196" t="s">
        <v>1043</v>
      </c>
      <c r="U1196">
        <v>2.93</v>
      </c>
      <c r="V1196">
        <v>12.57</v>
      </c>
      <c r="W1196">
        <v>65353</v>
      </c>
      <c r="X1196">
        <v>41336</v>
      </c>
      <c r="Y1196">
        <v>1.58</v>
      </c>
      <c r="Z1196">
        <v>10</v>
      </c>
      <c r="AA1196">
        <v>212</v>
      </c>
      <c r="AB1196" t="s">
        <v>116</v>
      </c>
      <c r="AC1196">
        <v>610200</v>
      </c>
      <c r="AD1196">
        <v>0.04</v>
      </c>
      <c r="AE1196" t="s">
        <v>116</v>
      </c>
      <c r="AF1196" t="s">
        <v>116</v>
      </c>
      <c r="AG1196">
        <v>3.97</v>
      </c>
      <c r="AH1196" t="s">
        <v>6753</v>
      </c>
      <c r="AI1196" t="s">
        <v>6754</v>
      </c>
      <c r="AJ1196">
        <v>-0.67</v>
      </c>
      <c r="AK1196">
        <v>2792</v>
      </c>
      <c r="AL1196">
        <v>38</v>
      </c>
      <c r="AM1196">
        <v>1E-3</v>
      </c>
      <c r="AN1196">
        <v>-2</v>
      </c>
      <c r="AO1196">
        <v>-0.56000000000000005</v>
      </c>
      <c r="AP1196">
        <v>-2.73</v>
      </c>
      <c r="AQ1196">
        <v>-6.11</v>
      </c>
      <c r="AR1196">
        <v>122.32</v>
      </c>
      <c r="AS1196">
        <v>9.5</v>
      </c>
      <c r="AT1196" t="s">
        <v>5961</v>
      </c>
      <c r="AU1196">
        <v>4327.32</v>
      </c>
      <c r="AV1196">
        <v>359.49</v>
      </c>
      <c r="AW1196">
        <v>1.1399999999999999</v>
      </c>
      <c r="BA1196">
        <v>-0.71</v>
      </c>
      <c r="BB1196">
        <v>1.03</v>
      </c>
      <c r="BC1196">
        <v>-1.9</v>
      </c>
      <c r="BD1196">
        <v>-0.37</v>
      </c>
      <c r="BE1196">
        <v>-0.64</v>
      </c>
      <c r="BF1196">
        <v>-2.35</v>
      </c>
      <c r="BG1196">
        <v>0.56999999999999995</v>
      </c>
      <c r="BH1196">
        <v>-0.98</v>
      </c>
      <c r="BI1196">
        <v>20191024</v>
      </c>
      <c r="BJ1196">
        <v>20150324</v>
      </c>
      <c r="BK1196">
        <v>4</v>
      </c>
      <c r="BL1196" t="s">
        <v>116</v>
      </c>
      <c r="BM1196" t="s">
        <v>116</v>
      </c>
      <c r="BN1196">
        <v>7.9</v>
      </c>
      <c r="BO1196">
        <v>6.49</v>
      </c>
      <c r="BP1196">
        <v>0.37</v>
      </c>
      <c r="BQ1196">
        <v>13.19</v>
      </c>
      <c r="BR1196">
        <v>4.5199999999999996</v>
      </c>
      <c r="BS1196">
        <v>1.9</v>
      </c>
      <c r="BT1196">
        <v>0.33</v>
      </c>
      <c r="BU1196">
        <v>0.73</v>
      </c>
      <c r="BV1196">
        <v>0.28000000000000003</v>
      </c>
      <c r="BW1196">
        <v>0.26</v>
      </c>
      <c r="BX1196">
        <v>0</v>
      </c>
      <c r="BY1196">
        <v>1.88</v>
      </c>
      <c r="BZ1196">
        <v>0.23</v>
      </c>
      <c r="CA1196">
        <v>0.04</v>
      </c>
      <c r="CB1196">
        <v>-0.01</v>
      </c>
      <c r="CC1196">
        <v>0.04</v>
      </c>
      <c r="CD1196">
        <v>0.01</v>
      </c>
      <c r="CE1196">
        <v>0.02</v>
      </c>
      <c r="CF1196">
        <v>-0.02</v>
      </c>
      <c r="CG1196">
        <v>2.0099999999999998</v>
      </c>
      <c r="CH1196">
        <v>0.08</v>
      </c>
      <c r="CI1196">
        <v>-0.15</v>
      </c>
      <c r="CJ1196">
        <v>39670</v>
      </c>
      <c r="CK1196">
        <v>2830</v>
      </c>
      <c r="CL1196" t="s">
        <v>777</v>
      </c>
      <c r="CM1196">
        <v>-87.57</v>
      </c>
      <c r="CN1196">
        <v>-25.22</v>
      </c>
      <c r="CO1196">
        <v>7.68</v>
      </c>
      <c r="CP1196">
        <v>595.71</v>
      </c>
      <c r="CQ1196">
        <v>26.49</v>
      </c>
      <c r="CR1196">
        <v>0</v>
      </c>
      <c r="CS1196" t="s">
        <v>1701</v>
      </c>
      <c r="CT1196">
        <v>1.62</v>
      </c>
      <c r="CU1196">
        <v>0</v>
      </c>
      <c r="CV1196">
        <v>0</v>
      </c>
      <c r="CW1196">
        <v>0.5</v>
      </c>
      <c r="CX1196">
        <v>0.02</v>
      </c>
      <c r="CY1196">
        <v>82.13</v>
      </c>
      <c r="CZ1196" t="s">
        <v>1178</v>
      </c>
      <c r="DA1196">
        <v>88.04</v>
      </c>
      <c r="DB1196">
        <v>2.02</v>
      </c>
      <c r="DC1196">
        <v>0.96</v>
      </c>
      <c r="DD1196">
        <v>0.14000000000000001</v>
      </c>
      <c r="DE1196">
        <v>238</v>
      </c>
      <c r="DF1196">
        <v>2750</v>
      </c>
      <c r="DG1196" t="s">
        <v>116</v>
      </c>
      <c r="DH1196" t="s">
        <v>116</v>
      </c>
      <c r="DI1196" t="s">
        <v>116</v>
      </c>
    </row>
    <row r="1197" spans="1:113" x14ac:dyDescent="0.4">
      <c r="A1197" t="str">
        <f>"002751"</f>
        <v>002751</v>
      </c>
      <c r="B1197" t="s">
        <v>6755</v>
      </c>
      <c r="C1197">
        <v>-4.97</v>
      </c>
      <c r="D1197">
        <v>26.37</v>
      </c>
      <c r="E1197">
        <v>-1.38</v>
      </c>
      <c r="F1197">
        <v>26.36</v>
      </c>
      <c r="G1197">
        <v>26.37</v>
      </c>
      <c r="H1197">
        <v>97718</v>
      </c>
      <c r="I1197">
        <v>1243</v>
      </c>
      <c r="J1197">
        <v>0</v>
      </c>
      <c r="K1197">
        <v>8.2799999999999994</v>
      </c>
      <c r="L1197">
        <v>27.61</v>
      </c>
      <c r="M1197">
        <v>27.7</v>
      </c>
      <c r="N1197">
        <v>26.28</v>
      </c>
      <c r="O1197">
        <v>27.75</v>
      </c>
      <c r="P1197">
        <v>83.76</v>
      </c>
      <c r="Q1197">
        <v>263392320</v>
      </c>
      <c r="R1197">
        <v>1.04</v>
      </c>
      <c r="S1197" t="s">
        <v>2640</v>
      </c>
      <c r="T1197" t="s">
        <v>115</v>
      </c>
      <c r="U1197">
        <v>5.12</v>
      </c>
      <c r="V1197">
        <v>26.95</v>
      </c>
      <c r="W1197">
        <v>60162</v>
      </c>
      <c r="X1197">
        <v>37556</v>
      </c>
      <c r="Y1197">
        <v>1.6</v>
      </c>
      <c r="Z1197">
        <v>101</v>
      </c>
      <c r="AA1197">
        <v>169</v>
      </c>
      <c r="AB1197" t="s">
        <v>116</v>
      </c>
      <c r="AC1197">
        <v>2095600</v>
      </c>
      <c r="AD1197">
        <v>0.08</v>
      </c>
      <c r="AE1197" t="s">
        <v>116</v>
      </c>
      <c r="AF1197" t="s">
        <v>116</v>
      </c>
      <c r="AG1197">
        <v>1.18</v>
      </c>
      <c r="AH1197" t="s">
        <v>3395</v>
      </c>
      <c r="AI1197" t="s">
        <v>6756</v>
      </c>
      <c r="AJ1197">
        <v>-4.29</v>
      </c>
      <c r="AK1197">
        <v>3216</v>
      </c>
      <c r="AL1197">
        <v>30</v>
      </c>
      <c r="AM1197">
        <v>2.5999999999999999E-3</v>
      </c>
      <c r="AN1197">
        <v>-1</v>
      </c>
      <c r="AO1197">
        <v>-1.41</v>
      </c>
      <c r="AP1197">
        <v>18.46</v>
      </c>
      <c r="AQ1197">
        <v>-2.37</v>
      </c>
      <c r="AR1197">
        <v>22.88</v>
      </c>
      <c r="AS1197">
        <v>9.9700000000000006</v>
      </c>
      <c r="AT1197" t="s">
        <v>2627</v>
      </c>
      <c r="AU1197">
        <v>67.900000000000006</v>
      </c>
      <c r="AV1197">
        <v>50.58</v>
      </c>
      <c r="AW1197">
        <v>1.33</v>
      </c>
      <c r="BA1197">
        <v>-0.5</v>
      </c>
      <c r="BB1197">
        <v>-0.18</v>
      </c>
      <c r="BC1197">
        <v>-5.3</v>
      </c>
      <c r="BD1197">
        <v>-2.87</v>
      </c>
      <c r="BE1197">
        <v>-4.49</v>
      </c>
      <c r="BF1197">
        <v>-4.8</v>
      </c>
      <c r="BG1197">
        <v>0.34</v>
      </c>
      <c r="BH1197">
        <v>-2.11</v>
      </c>
      <c r="BI1197">
        <v>20191118</v>
      </c>
      <c r="BJ1197">
        <v>20150424</v>
      </c>
      <c r="BK1197">
        <v>1.55</v>
      </c>
      <c r="BL1197" t="s">
        <v>116</v>
      </c>
      <c r="BM1197" t="s">
        <v>116</v>
      </c>
      <c r="BN1197">
        <v>30.2</v>
      </c>
      <c r="BO1197">
        <v>10.47</v>
      </c>
      <c r="BP1197">
        <v>0.35</v>
      </c>
      <c r="BQ1197">
        <v>64.180000000000007</v>
      </c>
      <c r="BR1197">
        <v>11.96</v>
      </c>
      <c r="BS1197">
        <v>10.6</v>
      </c>
      <c r="BT1197">
        <v>6.57</v>
      </c>
      <c r="BU1197">
        <v>16.989999999999998</v>
      </c>
      <c r="BV1197">
        <v>2.41</v>
      </c>
      <c r="BW1197">
        <v>5.35</v>
      </c>
      <c r="BX1197">
        <v>5.71</v>
      </c>
      <c r="BY1197">
        <v>7.62</v>
      </c>
      <c r="BZ1197">
        <v>4.82</v>
      </c>
      <c r="CA1197">
        <v>0.74</v>
      </c>
      <c r="CB1197">
        <v>0</v>
      </c>
      <c r="CC1197">
        <v>0.74</v>
      </c>
      <c r="CD1197">
        <v>0.68</v>
      </c>
      <c r="CE1197">
        <v>0.37</v>
      </c>
      <c r="CF1197">
        <v>0.17</v>
      </c>
      <c r="CG1197">
        <v>3.11</v>
      </c>
      <c r="CH1197">
        <v>2.57</v>
      </c>
      <c r="CI1197">
        <v>-0.9</v>
      </c>
      <c r="CJ1197">
        <v>32000</v>
      </c>
      <c r="CK1197">
        <v>3064</v>
      </c>
      <c r="CL1197" t="s">
        <v>6260</v>
      </c>
      <c r="CM1197">
        <v>-36.03</v>
      </c>
      <c r="CN1197">
        <v>28.47</v>
      </c>
      <c r="CO1197">
        <v>3.89</v>
      </c>
      <c r="CP1197">
        <v>15.85</v>
      </c>
      <c r="CQ1197">
        <v>5.35</v>
      </c>
      <c r="CR1197">
        <v>0.08</v>
      </c>
      <c r="CS1197" t="s">
        <v>2116</v>
      </c>
      <c r="CT1197">
        <v>6.77</v>
      </c>
      <c r="CU1197">
        <v>0</v>
      </c>
      <c r="CV1197">
        <v>3.7</v>
      </c>
      <c r="CW1197">
        <v>2.0099999999999998</v>
      </c>
      <c r="CX1197">
        <v>1.66</v>
      </c>
      <c r="CY1197">
        <v>34.659999999999997</v>
      </c>
      <c r="CZ1197" t="s">
        <v>6757</v>
      </c>
      <c r="DA1197">
        <v>36.75</v>
      </c>
      <c r="DB1197">
        <v>9.67</v>
      </c>
      <c r="DC1197">
        <v>4.79</v>
      </c>
      <c r="DD1197">
        <v>0.19</v>
      </c>
      <c r="DE1197">
        <v>906</v>
      </c>
      <c r="DF1197">
        <v>2751</v>
      </c>
      <c r="DG1197" t="s">
        <v>116</v>
      </c>
      <c r="DH1197" t="s">
        <v>116</v>
      </c>
      <c r="DI1197" t="s">
        <v>116</v>
      </c>
    </row>
    <row r="1198" spans="1:113" x14ac:dyDescent="0.4">
      <c r="A1198" t="str">
        <f>"002752"</f>
        <v>002752</v>
      </c>
      <c r="B1198" t="s">
        <v>6758</v>
      </c>
      <c r="C1198">
        <v>0.33</v>
      </c>
      <c r="D1198">
        <v>6.05</v>
      </c>
      <c r="E1198">
        <v>0.02</v>
      </c>
      <c r="F1198">
        <v>6.05</v>
      </c>
      <c r="G1198">
        <v>6.07</v>
      </c>
      <c r="H1198">
        <v>16584</v>
      </c>
      <c r="I1198">
        <v>287</v>
      </c>
      <c r="J1198">
        <v>-0.15</v>
      </c>
      <c r="K1198">
        <v>0.2</v>
      </c>
      <c r="L1198">
        <v>6.07</v>
      </c>
      <c r="M1198">
        <v>6.14</v>
      </c>
      <c r="N1198">
        <v>5.99</v>
      </c>
      <c r="O1198">
        <v>6.03</v>
      </c>
      <c r="P1198">
        <v>77.98</v>
      </c>
      <c r="Q1198">
        <v>10062422</v>
      </c>
      <c r="R1198">
        <v>0.92</v>
      </c>
      <c r="S1198" t="s">
        <v>345</v>
      </c>
      <c r="T1198" t="s">
        <v>975</v>
      </c>
      <c r="U1198">
        <v>2.4900000000000002</v>
      </c>
      <c r="V1198">
        <v>6.07</v>
      </c>
      <c r="W1198">
        <v>7636</v>
      </c>
      <c r="X1198">
        <v>8948</v>
      </c>
      <c r="Y1198">
        <v>0.85</v>
      </c>
      <c r="Z1198">
        <v>528</v>
      </c>
      <c r="AA1198">
        <v>27</v>
      </c>
      <c r="AB1198" t="s">
        <v>116</v>
      </c>
      <c r="AC1198">
        <v>2400</v>
      </c>
      <c r="AD1198">
        <v>0</v>
      </c>
      <c r="AE1198" t="s">
        <v>116</v>
      </c>
      <c r="AF1198" t="s">
        <v>116</v>
      </c>
      <c r="AG1198">
        <v>8.3000000000000007</v>
      </c>
      <c r="AH1198" t="s">
        <v>6759</v>
      </c>
      <c r="AI1198" t="s">
        <v>6760</v>
      </c>
      <c r="AJ1198">
        <v>1.01</v>
      </c>
      <c r="AK1198">
        <v>807</v>
      </c>
      <c r="AL1198">
        <v>21</v>
      </c>
      <c r="AM1198">
        <v>2.0000000000000001E-4</v>
      </c>
      <c r="AN1198">
        <v>1</v>
      </c>
      <c r="AO1198">
        <v>0.66</v>
      </c>
      <c r="AP1198">
        <v>7.08</v>
      </c>
      <c r="AQ1198">
        <v>5.4</v>
      </c>
      <c r="AR1198">
        <v>-16.260000000000002</v>
      </c>
      <c r="AS1198">
        <v>0.95</v>
      </c>
      <c r="AT1198" t="s">
        <v>6761</v>
      </c>
      <c r="AU1198">
        <v>96.24</v>
      </c>
      <c r="AV1198">
        <v>118.15</v>
      </c>
      <c r="AW1198">
        <v>0.69</v>
      </c>
      <c r="BA1198">
        <v>0.66</v>
      </c>
      <c r="BB1198">
        <v>1.82</v>
      </c>
      <c r="BC1198">
        <v>-0.66</v>
      </c>
      <c r="BD1198">
        <v>0.62</v>
      </c>
      <c r="BE1198">
        <v>-0.33</v>
      </c>
      <c r="BF1198">
        <v>-1.47</v>
      </c>
      <c r="BG1198">
        <v>1</v>
      </c>
      <c r="BH1198">
        <v>-0.28999999999999998</v>
      </c>
      <c r="BI1198">
        <v>20191220</v>
      </c>
      <c r="BJ1198">
        <v>20150422</v>
      </c>
      <c r="BK1198">
        <v>8.33</v>
      </c>
      <c r="BL1198" t="s">
        <v>116</v>
      </c>
      <c r="BM1198" t="s">
        <v>116</v>
      </c>
      <c r="BN1198">
        <v>48.33</v>
      </c>
      <c r="BO1198">
        <v>18.22</v>
      </c>
      <c r="BP1198">
        <v>0.55000000000000004</v>
      </c>
      <c r="BQ1198">
        <v>61.16</v>
      </c>
      <c r="BR1198">
        <v>22.28</v>
      </c>
      <c r="BS1198">
        <v>19.54</v>
      </c>
      <c r="BT1198">
        <v>2.57</v>
      </c>
      <c r="BU1198">
        <v>25.16</v>
      </c>
      <c r="BV1198">
        <v>5.04</v>
      </c>
      <c r="BW1198">
        <v>6.95</v>
      </c>
      <c r="BX1198">
        <v>2.9</v>
      </c>
      <c r="BY1198">
        <v>17.37</v>
      </c>
      <c r="BZ1198">
        <v>14.88</v>
      </c>
      <c r="CA1198">
        <v>0.43</v>
      </c>
      <c r="CB1198">
        <v>0.05</v>
      </c>
      <c r="CC1198">
        <v>0.52</v>
      </c>
      <c r="CD1198">
        <v>0.44</v>
      </c>
      <c r="CE1198">
        <v>0.48</v>
      </c>
      <c r="CF1198">
        <v>0.3</v>
      </c>
      <c r="CG1198">
        <v>6.53</v>
      </c>
      <c r="CH1198">
        <v>2.91</v>
      </c>
      <c r="CI1198">
        <v>0.38</v>
      </c>
      <c r="CJ1198">
        <v>23193</v>
      </c>
      <c r="CK1198">
        <v>7531</v>
      </c>
      <c r="CL1198" t="s">
        <v>349</v>
      </c>
      <c r="CM1198">
        <v>25.05</v>
      </c>
      <c r="CN1198">
        <v>14.62</v>
      </c>
      <c r="CO1198">
        <v>2.77</v>
      </c>
      <c r="CP1198">
        <v>17.350000000000001</v>
      </c>
      <c r="CQ1198">
        <v>2.9</v>
      </c>
      <c r="CR1198">
        <v>0.41</v>
      </c>
      <c r="CS1198" t="s">
        <v>6382</v>
      </c>
      <c r="CT1198">
        <v>2.19</v>
      </c>
      <c r="CU1198">
        <v>0</v>
      </c>
      <c r="CV1198">
        <v>0.35</v>
      </c>
      <c r="CW1198">
        <v>0.78</v>
      </c>
      <c r="CX1198">
        <v>0.35</v>
      </c>
      <c r="CY1198">
        <v>37.700000000000003</v>
      </c>
      <c r="CZ1198" t="s">
        <v>4111</v>
      </c>
      <c r="DA1198">
        <v>14.35</v>
      </c>
      <c r="DB1198">
        <v>2.48</v>
      </c>
      <c r="DC1198">
        <v>2.79</v>
      </c>
      <c r="DD1198">
        <v>0.05</v>
      </c>
      <c r="DE1198">
        <v>2050</v>
      </c>
      <c r="DF1198">
        <v>2752</v>
      </c>
      <c r="DG1198" t="s">
        <v>116</v>
      </c>
      <c r="DH1198" t="s">
        <v>116</v>
      </c>
      <c r="DI1198" t="s">
        <v>116</v>
      </c>
    </row>
    <row r="1199" spans="1:113" x14ac:dyDescent="0.4">
      <c r="A1199" t="str">
        <f>"002753"</f>
        <v>002753</v>
      </c>
      <c r="B1199" t="s">
        <v>6762</v>
      </c>
      <c r="C1199">
        <v>-2.5499999999999998</v>
      </c>
      <c r="D1199">
        <v>8.0299999999999994</v>
      </c>
      <c r="E1199">
        <v>-0.21</v>
      </c>
      <c r="F1199">
        <v>8.02</v>
      </c>
      <c r="G1199">
        <v>8.0299999999999994</v>
      </c>
      <c r="H1199">
        <v>86297</v>
      </c>
      <c r="I1199">
        <v>768</v>
      </c>
      <c r="J1199">
        <v>0.12</v>
      </c>
      <c r="K1199">
        <v>4.3099999999999996</v>
      </c>
      <c r="L1199">
        <v>8.2100000000000009</v>
      </c>
      <c r="M1199">
        <v>8.42</v>
      </c>
      <c r="N1199">
        <v>8</v>
      </c>
      <c r="O1199">
        <v>8.24</v>
      </c>
      <c r="P1199">
        <v>33.22</v>
      </c>
      <c r="Q1199">
        <v>70199240</v>
      </c>
      <c r="R1199">
        <v>3.63</v>
      </c>
      <c r="S1199" t="s">
        <v>891</v>
      </c>
      <c r="T1199" t="s">
        <v>675</v>
      </c>
      <c r="U1199">
        <v>5.0999999999999996</v>
      </c>
      <c r="V1199">
        <v>8.1300000000000008</v>
      </c>
      <c r="W1199">
        <v>38114</v>
      </c>
      <c r="X1199">
        <v>48183</v>
      </c>
      <c r="Y1199">
        <v>0.79</v>
      </c>
      <c r="Z1199">
        <v>351</v>
      </c>
      <c r="AA1199">
        <v>198</v>
      </c>
      <c r="AB1199" t="s">
        <v>116</v>
      </c>
      <c r="AC1199">
        <v>41100</v>
      </c>
      <c r="AD1199">
        <v>0.01</v>
      </c>
      <c r="AE1199" t="s">
        <v>116</v>
      </c>
      <c r="AF1199" t="s">
        <v>116</v>
      </c>
      <c r="AG1199">
        <v>2</v>
      </c>
      <c r="AH1199" t="s">
        <v>6763</v>
      </c>
      <c r="AI1199" t="s">
        <v>4740</v>
      </c>
      <c r="AJ1199">
        <v>-1.87</v>
      </c>
      <c r="AK1199">
        <v>1604</v>
      </c>
      <c r="AL1199">
        <v>54</v>
      </c>
      <c r="AM1199">
        <v>2.7000000000000001E-3</v>
      </c>
      <c r="AN1199">
        <v>-1</v>
      </c>
      <c r="AO1199">
        <v>2.17</v>
      </c>
      <c r="AP1199">
        <v>4.5599999999999996</v>
      </c>
      <c r="AQ1199">
        <v>0.12</v>
      </c>
      <c r="AR1199">
        <v>-8.44</v>
      </c>
      <c r="AS1199">
        <v>9.5500000000000007</v>
      </c>
      <c r="AT1199" t="s">
        <v>6764</v>
      </c>
      <c r="AU1199">
        <v>25.73</v>
      </c>
      <c r="AV1199">
        <v>10.85</v>
      </c>
      <c r="AW1199">
        <v>0.63</v>
      </c>
      <c r="BA1199">
        <v>-0.36</v>
      </c>
      <c r="BB1199">
        <v>2.1800000000000002</v>
      </c>
      <c r="BC1199">
        <v>-2.91</v>
      </c>
      <c r="BD1199">
        <v>-1.28</v>
      </c>
      <c r="BE1199">
        <v>-2.19</v>
      </c>
      <c r="BF1199">
        <v>-4.63</v>
      </c>
      <c r="BG1199">
        <v>0.38</v>
      </c>
      <c r="BH1199">
        <v>-1.27</v>
      </c>
      <c r="BI1199">
        <v>20191101</v>
      </c>
      <c r="BJ1199">
        <v>20150519</v>
      </c>
      <c r="BK1199">
        <v>3.75</v>
      </c>
      <c r="BL1199" t="s">
        <v>116</v>
      </c>
      <c r="BM1199" t="s">
        <v>116</v>
      </c>
      <c r="BN1199">
        <v>20.84</v>
      </c>
      <c r="BO1199">
        <v>14.59</v>
      </c>
      <c r="BP1199">
        <v>0</v>
      </c>
      <c r="BQ1199">
        <v>29.98</v>
      </c>
      <c r="BR1199">
        <v>11.27</v>
      </c>
      <c r="BS1199">
        <v>6.56</v>
      </c>
      <c r="BT1199">
        <v>1.1499999999999999</v>
      </c>
      <c r="BU1199">
        <v>3.26</v>
      </c>
      <c r="BV1199">
        <v>2.98</v>
      </c>
      <c r="BW1199">
        <v>4.2699999999999996</v>
      </c>
      <c r="BX1199">
        <v>1.58</v>
      </c>
      <c r="BY1199">
        <v>21.33</v>
      </c>
      <c r="BZ1199">
        <v>18.37</v>
      </c>
      <c r="CA1199">
        <v>0.78</v>
      </c>
      <c r="CB1199">
        <v>0.04</v>
      </c>
      <c r="CC1199">
        <v>0.8</v>
      </c>
      <c r="CD1199">
        <v>0.68</v>
      </c>
      <c r="CE1199">
        <v>0.68</v>
      </c>
      <c r="CF1199">
        <v>0.66</v>
      </c>
      <c r="CG1199">
        <v>7.81</v>
      </c>
      <c r="CH1199">
        <v>-0.72</v>
      </c>
      <c r="CI1199">
        <v>-1.17</v>
      </c>
      <c r="CJ1199">
        <v>15312</v>
      </c>
      <c r="CK1199">
        <v>5899</v>
      </c>
      <c r="CL1199" t="s">
        <v>1296</v>
      </c>
      <c r="CM1199">
        <v>-70.25</v>
      </c>
      <c r="CN1199">
        <v>13.42</v>
      </c>
      <c r="CO1199">
        <v>1.94</v>
      </c>
      <c r="CP1199">
        <v>-42.05</v>
      </c>
      <c r="CQ1199">
        <v>1.41</v>
      </c>
      <c r="CR1199">
        <v>3.11</v>
      </c>
      <c r="CS1199" t="s">
        <v>541</v>
      </c>
      <c r="CT1199">
        <v>4.13</v>
      </c>
      <c r="CU1199">
        <v>4.13</v>
      </c>
      <c r="CV1199">
        <v>0.42</v>
      </c>
      <c r="CW1199">
        <v>2.08</v>
      </c>
      <c r="CX1199">
        <v>-0.19</v>
      </c>
      <c r="CY1199">
        <v>70.02</v>
      </c>
      <c r="CZ1199" t="s">
        <v>6765</v>
      </c>
      <c r="DA1199">
        <v>13.91</v>
      </c>
      <c r="DB1199">
        <v>3.67</v>
      </c>
      <c r="DC1199">
        <v>3.19</v>
      </c>
      <c r="DD1199">
        <v>0.32</v>
      </c>
      <c r="DE1199">
        <v>705</v>
      </c>
      <c r="DF1199">
        <v>2753</v>
      </c>
      <c r="DG1199" t="s">
        <v>116</v>
      </c>
      <c r="DH1199" t="s">
        <v>116</v>
      </c>
      <c r="DI1199" t="s">
        <v>116</v>
      </c>
    </row>
    <row r="1200" spans="1:113" x14ac:dyDescent="0.4">
      <c r="A1200" t="str">
        <f>"002755"</f>
        <v>002755</v>
      </c>
      <c r="B1200" t="s">
        <v>6766</v>
      </c>
      <c r="C1200">
        <v>-1.69</v>
      </c>
      <c r="D1200">
        <v>15.68</v>
      </c>
      <c r="E1200">
        <v>-0.27</v>
      </c>
      <c r="F1200">
        <v>15.67</v>
      </c>
      <c r="G1200">
        <v>15.68</v>
      </c>
      <c r="H1200">
        <v>30501</v>
      </c>
      <c r="I1200">
        <v>333</v>
      </c>
      <c r="J1200">
        <v>0.51</v>
      </c>
      <c r="K1200">
        <v>2.13</v>
      </c>
      <c r="L1200">
        <v>15.88</v>
      </c>
      <c r="M1200">
        <v>16.149999999999999</v>
      </c>
      <c r="N1200">
        <v>15.58</v>
      </c>
      <c r="O1200">
        <v>15.95</v>
      </c>
      <c r="P1200">
        <v>18.62</v>
      </c>
      <c r="Q1200">
        <v>48323500</v>
      </c>
      <c r="R1200">
        <v>0.85</v>
      </c>
      <c r="S1200" t="s">
        <v>574</v>
      </c>
      <c r="T1200" t="s">
        <v>165</v>
      </c>
      <c r="U1200">
        <v>3.57</v>
      </c>
      <c r="V1200">
        <v>15.84</v>
      </c>
      <c r="W1200">
        <v>21259</v>
      </c>
      <c r="X1200">
        <v>9242</v>
      </c>
      <c r="Y1200">
        <v>2.2999999999999998</v>
      </c>
      <c r="Z1200">
        <v>20</v>
      </c>
      <c r="AA1200">
        <v>223</v>
      </c>
      <c r="AB1200" t="s">
        <v>116</v>
      </c>
      <c r="AC1200">
        <v>23800</v>
      </c>
      <c r="AD1200">
        <v>0</v>
      </c>
      <c r="AE1200" t="s">
        <v>116</v>
      </c>
      <c r="AF1200" t="s">
        <v>116</v>
      </c>
      <c r="AG1200">
        <v>1.43</v>
      </c>
      <c r="AH1200" t="s">
        <v>6767</v>
      </c>
      <c r="AI1200" t="s">
        <v>6768</v>
      </c>
      <c r="AJ1200">
        <v>-1.01</v>
      </c>
      <c r="AK1200">
        <v>1419</v>
      </c>
      <c r="AL1200">
        <v>21</v>
      </c>
      <c r="AM1200">
        <v>1.5E-3</v>
      </c>
      <c r="AN1200">
        <v>-3</v>
      </c>
      <c r="AO1200">
        <v>-3.85</v>
      </c>
      <c r="AP1200">
        <v>-0.25</v>
      </c>
      <c r="AQ1200">
        <v>16.84</v>
      </c>
      <c r="AR1200">
        <v>21.74</v>
      </c>
      <c r="AS1200">
        <v>2.13</v>
      </c>
      <c r="AT1200" t="s">
        <v>6767</v>
      </c>
      <c r="AU1200">
        <v>18.82</v>
      </c>
      <c r="AV1200">
        <v>21.72</v>
      </c>
      <c r="AW1200">
        <v>0.91</v>
      </c>
      <c r="BA1200">
        <v>-0.44</v>
      </c>
      <c r="BB1200">
        <v>1.25</v>
      </c>
      <c r="BC1200">
        <v>-2.3199999999999998</v>
      </c>
      <c r="BD1200">
        <v>-0.67</v>
      </c>
      <c r="BE1200">
        <v>-1.26</v>
      </c>
      <c r="BF1200">
        <v>-2.91</v>
      </c>
      <c r="BG1200">
        <v>0.64</v>
      </c>
      <c r="BH1200">
        <v>-1.02</v>
      </c>
      <c r="BI1200">
        <v>20191223</v>
      </c>
      <c r="BJ1200">
        <v>20150515</v>
      </c>
      <c r="BK1200">
        <v>9.2799999999999994</v>
      </c>
      <c r="BL1200" t="s">
        <v>116</v>
      </c>
      <c r="BM1200" t="s">
        <v>116</v>
      </c>
      <c r="BN1200">
        <v>36.82</v>
      </c>
      <c r="BO1200">
        <v>23.19</v>
      </c>
      <c r="BP1200">
        <v>0.02</v>
      </c>
      <c r="BQ1200">
        <v>36.96</v>
      </c>
      <c r="BR1200">
        <v>26.92</v>
      </c>
      <c r="BS1200">
        <v>7.5</v>
      </c>
      <c r="BT1200">
        <v>0.88</v>
      </c>
      <c r="BU1200">
        <v>12.8</v>
      </c>
      <c r="BV1200">
        <v>2.02</v>
      </c>
      <c r="BW1200">
        <v>9.2100000000000009</v>
      </c>
      <c r="BX1200">
        <v>0.02</v>
      </c>
      <c r="BY1200">
        <v>35.36</v>
      </c>
      <c r="BZ1200">
        <v>2.5499999999999998</v>
      </c>
      <c r="CA1200">
        <v>6.64</v>
      </c>
      <c r="CB1200">
        <v>0.01</v>
      </c>
      <c r="CC1200">
        <v>6.89</v>
      </c>
      <c r="CD1200">
        <v>5.85</v>
      </c>
      <c r="CE1200">
        <v>5.86</v>
      </c>
      <c r="CF1200">
        <v>5.61</v>
      </c>
      <c r="CG1200">
        <v>11.84</v>
      </c>
      <c r="CH1200">
        <v>4.55</v>
      </c>
      <c r="CI1200">
        <v>2.5099999999999998</v>
      </c>
      <c r="CJ1200">
        <v>19117</v>
      </c>
      <c r="CK1200">
        <v>7482</v>
      </c>
      <c r="CL1200" t="s">
        <v>5179</v>
      </c>
      <c r="CM1200">
        <v>21.4</v>
      </c>
      <c r="CN1200">
        <v>19.420000000000002</v>
      </c>
      <c r="CO1200">
        <v>6.28</v>
      </c>
      <c r="CP1200">
        <v>31.97</v>
      </c>
      <c r="CQ1200">
        <v>4.12</v>
      </c>
      <c r="CR1200">
        <v>0.77</v>
      </c>
      <c r="CS1200" t="s">
        <v>6769</v>
      </c>
      <c r="CT1200">
        <v>2.5</v>
      </c>
      <c r="CU1200">
        <v>0</v>
      </c>
      <c r="CV1200">
        <v>0</v>
      </c>
      <c r="CW1200">
        <v>1.28</v>
      </c>
      <c r="CX1200">
        <v>0.49</v>
      </c>
      <c r="CY1200">
        <v>62.98</v>
      </c>
      <c r="CZ1200" t="s">
        <v>6770</v>
      </c>
      <c r="DA1200">
        <v>92.78</v>
      </c>
      <c r="DB1200">
        <v>18.78</v>
      </c>
      <c r="DC1200">
        <v>16.579999999999998</v>
      </c>
      <c r="DD1200">
        <v>2</v>
      </c>
      <c r="DE1200">
        <v>1566</v>
      </c>
      <c r="DF1200">
        <v>2755</v>
      </c>
      <c r="DG1200" t="s">
        <v>116</v>
      </c>
      <c r="DH1200" t="s">
        <v>116</v>
      </c>
      <c r="DI1200" t="s">
        <v>116</v>
      </c>
    </row>
    <row r="1201" spans="1:113" x14ac:dyDescent="0.4">
      <c r="A1201" t="str">
        <f>"002756"</f>
        <v>002756</v>
      </c>
      <c r="B1201" t="s">
        <v>6771</v>
      </c>
      <c r="C1201">
        <v>0.47</v>
      </c>
      <c r="D1201">
        <v>17.170000000000002</v>
      </c>
      <c r="E1201">
        <v>0.08</v>
      </c>
      <c r="F1201">
        <v>17.170000000000002</v>
      </c>
      <c r="G1201">
        <v>17.18</v>
      </c>
      <c r="H1201">
        <v>62128</v>
      </c>
      <c r="I1201">
        <v>268</v>
      </c>
      <c r="J1201">
        <v>-0.34</v>
      </c>
      <c r="K1201">
        <v>3.37</v>
      </c>
      <c r="L1201">
        <v>17.09</v>
      </c>
      <c r="M1201">
        <v>17.59</v>
      </c>
      <c r="N1201">
        <v>16.989999999999998</v>
      </c>
      <c r="O1201">
        <v>17.09</v>
      </c>
      <c r="P1201">
        <v>12.83</v>
      </c>
      <c r="Q1201">
        <v>107709296</v>
      </c>
      <c r="R1201">
        <v>2.31</v>
      </c>
      <c r="S1201" t="s">
        <v>1839</v>
      </c>
      <c r="T1201" t="s">
        <v>590</v>
      </c>
      <c r="U1201">
        <v>3.51</v>
      </c>
      <c r="V1201">
        <v>17.34</v>
      </c>
      <c r="W1201">
        <v>29614</v>
      </c>
      <c r="X1201">
        <v>32514</v>
      </c>
      <c r="Y1201">
        <v>0.91</v>
      </c>
      <c r="Z1201">
        <v>15</v>
      </c>
      <c r="AA1201">
        <v>16</v>
      </c>
      <c r="AB1201" t="s">
        <v>116</v>
      </c>
      <c r="AC1201">
        <v>63900</v>
      </c>
      <c r="AD1201">
        <v>0</v>
      </c>
      <c r="AE1201" t="s">
        <v>116</v>
      </c>
      <c r="AF1201" t="s">
        <v>116</v>
      </c>
      <c r="AG1201">
        <v>1.85</v>
      </c>
      <c r="AH1201" t="s">
        <v>1872</v>
      </c>
      <c r="AI1201" t="s">
        <v>6772</v>
      </c>
      <c r="AJ1201">
        <v>1.1499999999999999</v>
      </c>
      <c r="AK1201">
        <v>2213</v>
      </c>
      <c r="AL1201">
        <v>28</v>
      </c>
      <c r="AM1201">
        <v>1.5E-3</v>
      </c>
      <c r="AN1201">
        <v>2</v>
      </c>
      <c r="AO1201">
        <v>2.3199999999999998</v>
      </c>
      <c r="AP1201">
        <v>8.19</v>
      </c>
      <c r="AQ1201">
        <v>-3.81</v>
      </c>
      <c r="AR1201">
        <v>57.23</v>
      </c>
      <c r="AS1201">
        <v>4.6100000000000003</v>
      </c>
      <c r="AT1201" t="s">
        <v>6773</v>
      </c>
      <c r="AU1201">
        <v>14.78</v>
      </c>
      <c r="AV1201">
        <v>15.96</v>
      </c>
      <c r="AW1201">
        <v>0.79</v>
      </c>
      <c r="BA1201">
        <v>0</v>
      </c>
      <c r="BB1201">
        <v>2.93</v>
      </c>
      <c r="BC1201">
        <v>-0.59</v>
      </c>
      <c r="BD1201">
        <v>1.44</v>
      </c>
      <c r="BE1201">
        <v>0.47</v>
      </c>
      <c r="BF1201">
        <v>-2.39</v>
      </c>
      <c r="BG1201">
        <v>1.06</v>
      </c>
      <c r="BH1201">
        <v>-0.98</v>
      </c>
      <c r="BI1201">
        <v>20191030</v>
      </c>
      <c r="BJ1201">
        <v>20150515</v>
      </c>
      <c r="BK1201">
        <v>3.6</v>
      </c>
      <c r="BL1201" t="s">
        <v>116</v>
      </c>
      <c r="BM1201" t="s">
        <v>116</v>
      </c>
      <c r="BN1201">
        <v>45.46</v>
      </c>
      <c r="BO1201">
        <v>34.11</v>
      </c>
      <c r="BP1201">
        <v>0.09</v>
      </c>
      <c r="BQ1201">
        <v>24.77</v>
      </c>
      <c r="BR1201">
        <v>23.58</v>
      </c>
      <c r="BS1201">
        <v>8.5299999999999994</v>
      </c>
      <c r="BT1201">
        <v>1.51</v>
      </c>
      <c r="BU1201">
        <v>7.73</v>
      </c>
      <c r="BV1201">
        <v>3.94</v>
      </c>
      <c r="BW1201">
        <v>2.12</v>
      </c>
      <c r="BX1201">
        <v>8.25</v>
      </c>
      <c r="BY1201">
        <v>36.97</v>
      </c>
      <c r="BZ1201">
        <v>32.19</v>
      </c>
      <c r="CA1201">
        <v>4.25</v>
      </c>
      <c r="CB1201">
        <v>0.1</v>
      </c>
      <c r="CC1201">
        <v>4.29</v>
      </c>
      <c r="CD1201">
        <v>3.61</v>
      </c>
      <c r="CE1201">
        <v>3.61</v>
      </c>
      <c r="CF1201">
        <v>1.93</v>
      </c>
      <c r="CG1201">
        <v>19.149999999999999</v>
      </c>
      <c r="CH1201">
        <v>3.63</v>
      </c>
      <c r="CI1201">
        <v>3.76</v>
      </c>
      <c r="CJ1201">
        <v>22254</v>
      </c>
      <c r="CK1201">
        <v>6058</v>
      </c>
      <c r="CL1201" t="s">
        <v>603</v>
      </c>
      <c r="CM1201">
        <v>9.39</v>
      </c>
      <c r="CN1201">
        <v>1.69</v>
      </c>
      <c r="CO1201">
        <v>1.81</v>
      </c>
      <c r="CP1201">
        <v>17.04</v>
      </c>
      <c r="CQ1201">
        <v>1.67</v>
      </c>
      <c r="CR1201">
        <v>5.82</v>
      </c>
      <c r="CS1201" t="s">
        <v>6774</v>
      </c>
      <c r="CT1201">
        <v>9.4700000000000006</v>
      </c>
      <c r="CU1201">
        <v>0</v>
      </c>
      <c r="CV1201">
        <v>2.29</v>
      </c>
      <c r="CW1201">
        <v>5.32</v>
      </c>
      <c r="CX1201">
        <v>1.01</v>
      </c>
      <c r="CY1201">
        <v>75.03</v>
      </c>
      <c r="CZ1201" t="s">
        <v>6775</v>
      </c>
      <c r="DA1201">
        <v>12.94</v>
      </c>
      <c r="DB1201">
        <v>11.51</v>
      </c>
      <c r="DC1201">
        <v>9.77</v>
      </c>
      <c r="DD1201">
        <v>1.21</v>
      </c>
      <c r="DE1201">
        <v>1121</v>
      </c>
      <c r="DF1201">
        <v>2756</v>
      </c>
      <c r="DG1201" t="s">
        <v>116</v>
      </c>
      <c r="DH1201" t="s">
        <v>116</v>
      </c>
      <c r="DI1201" t="s">
        <v>116</v>
      </c>
    </row>
    <row r="1202" spans="1:113" x14ac:dyDescent="0.4">
      <c r="A1202" t="str">
        <f>"002757"</f>
        <v>002757</v>
      </c>
      <c r="B1202" t="s">
        <v>6776</v>
      </c>
      <c r="C1202">
        <v>-2.06</v>
      </c>
      <c r="D1202">
        <v>16.649999999999999</v>
      </c>
      <c r="E1202">
        <v>-0.35</v>
      </c>
      <c r="F1202">
        <v>16.649999999999999</v>
      </c>
      <c r="G1202">
        <v>16.66</v>
      </c>
      <c r="H1202">
        <v>33225</v>
      </c>
      <c r="I1202">
        <v>334</v>
      </c>
      <c r="J1202">
        <v>-0.05</v>
      </c>
      <c r="K1202">
        <v>2.11</v>
      </c>
      <c r="L1202">
        <v>16.88</v>
      </c>
      <c r="M1202">
        <v>17.079999999999998</v>
      </c>
      <c r="N1202">
        <v>16.62</v>
      </c>
      <c r="O1202">
        <v>17</v>
      </c>
      <c r="P1202">
        <v>16.59</v>
      </c>
      <c r="Q1202">
        <v>55731000</v>
      </c>
      <c r="R1202">
        <v>1.31</v>
      </c>
      <c r="S1202" t="s">
        <v>682</v>
      </c>
      <c r="T1202" t="s">
        <v>551</v>
      </c>
      <c r="U1202">
        <v>2.71</v>
      </c>
      <c r="V1202">
        <v>16.77</v>
      </c>
      <c r="W1202">
        <v>21196</v>
      </c>
      <c r="X1202">
        <v>12029</v>
      </c>
      <c r="Y1202">
        <v>1.76</v>
      </c>
      <c r="Z1202">
        <v>124</v>
      </c>
      <c r="AA1202">
        <v>110</v>
      </c>
      <c r="AB1202" t="s">
        <v>116</v>
      </c>
      <c r="AC1202">
        <v>972300</v>
      </c>
      <c r="AD1202">
        <v>0.08</v>
      </c>
      <c r="AE1202" t="s">
        <v>116</v>
      </c>
      <c r="AF1202" t="s">
        <v>116</v>
      </c>
      <c r="AG1202">
        <v>1.58</v>
      </c>
      <c r="AH1202" t="s">
        <v>6777</v>
      </c>
      <c r="AI1202" t="s">
        <v>6778</v>
      </c>
      <c r="AJ1202">
        <v>-1.38</v>
      </c>
      <c r="AK1202">
        <v>1382</v>
      </c>
      <c r="AL1202">
        <v>24</v>
      </c>
      <c r="AM1202">
        <v>1.5E-3</v>
      </c>
      <c r="AN1202">
        <v>-1</v>
      </c>
      <c r="AO1202">
        <v>2.0299999999999998</v>
      </c>
      <c r="AP1202">
        <v>4.9800000000000004</v>
      </c>
      <c r="AQ1202">
        <v>-0.6</v>
      </c>
      <c r="AR1202">
        <v>-10.48</v>
      </c>
      <c r="AS1202">
        <v>4.88</v>
      </c>
      <c r="AT1202" t="s">
        <v>3467</v>
      </c>
      <c r="AU1202">
        <v>16.84</v>
      </c>
      <c r="AV1202">
        <v>20.05</v>
      </c>
      <c r="AW1202">
        <v>1.22</v>
      </c>
      <c r="BA1202">
        <v>-0.71</v>
      </c>
      <c r="BB1202">
        <v>0.47</v>
      </c>
      <c r="BC1202">
        <v>-2.2400000000000002</v>
      </c>
      <c r="BD1202">
        <v>-1.33</v>
      </c>
      <c r="BE1202">
        <v>-1.36</v>
      </c>
      <c r="BF1202">
        <v>-2.52</v>
      </c>
      <c r="BG1202">
        <v>0.18</v>
      </c>
      <c r="BH1202">
        <v>-0.73</v>
      </c>
      <c r="BI1202">
        <v>20191122</v>
      </c>
      <c r="BJ1202">
        <v>20150527</v>
      </c>
      <c r="BK1202">
        <v>1.97</v>
      </c>
      <c r="BL1202" t="s">
        <v>116</v>
      </c>
      <c r="BM1202" t="s">
        <v>116</v>
      </c>
      <c r="BN1202">
        <v>23.1</v>
      </c>
      <c r="BO1202">
        <v>17.440000000000001</v>
      </c>
      <c r="BP1202">
        <v>0.16</v>
      </c>
      <c r="BQ1202">
        <v>23.81</v>
      </c>
      <c r="BR1202">
        <v>9.33</v>
      </c>
      <c r="BS1202">
        <v>5.04</v>
      </c>
      <c r="BT1202">
        <v>1.07</v>
      </c>
      <c r="BU1202">
        <v>4.26</v>
      </c>
      <c r="BV1202">
        <v>2.15</v>
      </c>
      <c r="BW1202">
        <v>2.77</v>
      </c>
      <c r="BX1202">
        <v>9.4499999999999993</v>
      </c>
      <c r="BY1202">
        <v>10.99</v>
      </c>
      <c r="BZ1202">
        <v>8.06</v>
      </c>
      <c r="CA1202">
        <v>1.72</v>
      </c>
      <c r="CB1202">
        <v>0.14000000000000001</v>
      </c>
      <c r="CC1202">
        <v>1.72</v>
      </c>
      <c r="CD1202">
        <v>1.49</v>
      </c>
      <c r="CE1202">
        <v>1.48</v>
      </c>
      <c r="CF1202">
        <v>1.32</v>
      </c>
      <c r="CG1202">
        <v>5.7</v>
      </c>
      <c r="CH1202">
        <v>2.21</v>
      </c>
      <c r="CI1202">
        <v>1.03</v>
      </c>
      <c r="CJ1202">
        <v>13929</v>
      </c>
      <c r="CK1202">
        <v>4893</v>
      </c>
      <c r="CL1202" t="s">
        <v>5394</v>
      </c>
      <c r="CM1202">
        <v>26.61</v>
      </c>
      <c r="CN1202">
        <v>35.24</v>
      </c>
      <c r="CO1202">
        <v>1.88</v>
      </c>
      <c r="CP1202">
        <v>14.83</v>
      </c>
      <c r="CQ1202">
        <v>2.99</v>
      </c>
      <c r="CR1202">
        <v>2</v>
      </c>
      <c r="CS1202" t="s">
        <v>6779</v>
      </c>
      <c r="CT1202">
        <v>8.85</v>
      </c>
      <c r="CU1202">
        <v>0</v>
      </c>
      <c r="CV1202">
        <v>4.79</v>
      </c>
      <c r="CW1202">
        <v>2.89</v>
      </c>
      <c r="CX1202">
        <v>1.1200000000000001</v>
      </c>
      <c r="CY1202">
        <v>75.5</v>
      </c>
      <c r="CZ1202" t="s">
        <v>6780</v>
      </c>
      <c r="DA1202">
        <v>26.7</v>
      </c>
      <c r="DB1202">
        <v>15.65</v>
      </c>
      <c r="DC1202">
        <v>13.5</v>
      </c>
      <c r="DD1202">
        <v>0.42</v>
      </c>
      <c r="DE1202">
        <v>1375</v>
      </c>
      <c r="DF1202">
        <v>2757</v>
      </c>
      <c r="DG1202" t="s">
        <v>116</v>
      </c>
      <c r="DH1202" t="s">
        <v>116</v>
      </c>
      <c r="DI1202" t="s">
        <v>116</v>
      </c>
    </row>
    <row r="1203" spans="1:113" x14ac:dyDescent="0.4">
      <c r="A1203" t="str">
        <f>"002758"</f>
        <v>002758</v>
      </c>
      <c r="B1203" t="s">
        <v>6781</v>
      </c>
      <c r="C1203">
        <v>0.28000000000000003</v>
      </c>
      <c r="D1203">
        <v>10.58</v>
      </c>
      <c r="E1203">
        <v>0.03</v>
      </c>
      <c r="F1203">
        <v>10.57</v>
      </c>
      <c r="G1203">
        <v>10.58</v>
      </c>
      <c r="H1203">
        <v>22961</v>
      </c>
      <c r="I1203">
        <v>461</v>
      </c>
      <c r="J1203">
        <v>0</v>
      </c>
      <c r="K1203">
        <v>1.27</v>
      </c>
      <c r="L1203">
        <v>10.55</v>
      </c>
      <c r="M1203">
        <v>10.66</v>
      </c>
      <c r="N1203">
        <v>10.51</v>
      </c>
      <c r="O1203">
        <v>10.55</v>
      </c>
      <c r="P1203">
        <v>61.82</v>
      </c>
      <c r="Q1203">
        <v>24273346</v>
      </c>
      <c r="R1203">
        <v>0.89</v>
      </c>
      <c r="S1203" t="s">
        <v>278</v>
      </c>
      <c r="T1203" t="s">
        <v>590</v>
      </c>
      <c r="U1203">
        <v>1.42</v>
      </c>
      <c r="V1203">
        <v>10.57</v>
      </c>
      <c r="W1203">
        <v>11747</v>
      </c>
      <c r="X1203">
        <v>11214</v>
      </c>
      <c r="Y1203">
        <v>1.05</v>
      </c>
      <c r="Z1203">
        <v>90</v>
      </c>
      <c r="AA1203">
        <v>216</v>
      </c>
      <c r="AB1203" t="s">
        <v>116</v>
      </c>
      <c r="AC1203">
        <v>0</v>
      </c>
      <c r="AD1203">
        <v>0</v>
      </c>
      <c r="AE1203" t="s">
        <v>116</v>
      </c>
      <c r="AF1203" t="s">
        <v>116</v>
      </c>
      <c r="AG1203">
        <v>1.8</v>
      </c>
      <c r="AH1203" t="s">
        <v>1015</v>
      </c>
      <c r="AI1203" t="s">
        <v>6782</v>
      </c>
      <c r="AJ1203">
        <v>0.96</v>
      </c>
      <c r="AK1203">
        <v>936</v>
      </c>
      <c r="AL1203">
        <v>25</v>
      </c>
      <c r="AM1203">
        <v>1.4E-3</v>
      </c>
      <c r="AN1203">
        <v>2</v>
      </c>
      <c r="AO1203">
        <v>-0.19</v>
      </c>
      <c r="AP1203">
        <v>2.82</v>
      </c>
      <c r="AQ1203">
        <v>3.02</v>
      </c>
      <c r="AR1203">
        <v>49.22</v>
      </c>
      <c r="AS1203">
        <v>1.91</v>
      </c>
      <c r="AT1203" t="s">
        <v>3855</v>
      </c>
      <c r="AU1203">
        <v>65.41</v>
      </c>
      <c r="AV1203">
        <v>64.33</v>
      </c>
      <c r="AW1203">
        <v>0.99</v>
      </c>
      <c r="BA1203">
        <v>0</v>
      </c>
      <c r="BB1203">
        <v>1.04</v>
      </c>
      <c r="BC1203">
        <v>-0.38</v>
      </c>
      <c r="BD1203">
        <v>0.2</v>
      </c>
      <c r="BE1203">
        <v>0.28000000000000003</v>
      </c>
      <c r="BF1203">
        <v>-0.75</v>
      </c>
      <c r="BG1203">
        <v>0.67</v>
      </c>
      <c r="BH1203">
        <v>0.08</v>
      </c>
      <c r="BI1203">
        <v>20191030</v>
      </c>
      <c r="BJ1203">
        <v>20150527</v>
      </c>
      <c r="BK1203">
        <v>2.1</v>
      </c>
      <c r="BL1203" t="s">
        <v>116</v>
      </c>
      <c r="BM1203" t="s">
        <v>116</v>
      </c>
      <c r="BN1203">
        <v>15.49</v>
      </c>
      <c r="BO1203">
        <v>6.68</v>
      </c>
      <c r="BP1203">
        <v>0</v>
      </c>
      <c r="BQ1203">
        <v>56.87</v>
      </c>
      <c r="BR1203">
        <v>10.58</v>
      </c>
      <c r="BS1203">
        <v>3.22</v>
      </c>
      <c r="BT1203">
        <v>1.04</v>
      </c>
      <c r="BU1203">
        <v>6.75</v>
      </c>
      <c r="BV1203">
        <v>2.4300000000000002</v>
      </c>
      <c r="BW1203">
        <v>3.83</v>
      </c>
      <c r="BX1203">
        <v>1.41</v>
      </c>
      <c r="BY1203">
        <v>12.67</v>
      </c>
      <c r="BZ1203">
        <v>10.76</v>
      </c>
      <c r="CA1203">
        <v>0.36</v>
      </c>
      <c r="CB1203">
        <v>0.04</v>
      </c>
      <c r="CC1203">
        <v>0.33</v>
      </c>
      <c r="CD1203">
        <v>0.25</v>
      </c>
      <c r="CE1203">
        <v>0.27</v>
      </c>
      <c r="CF1203">
        <v>0.25</v>
      </c>
      <c r="CG1203">
        <v>2.3199999999999998</v>
      </c>
      <c r="CH1203">
        <v>0.24</v>
      </c>
      <c r="CI1203">
        <v>1.84</v>
      </c>
      <c r="CJ1203">
        <v>18808</v>
      </c>
      <c r="CK1203">
        <v>6386</v>
      </c>
      <c r="CL1203" t="s">
        <v>1053</v>
      </c>
      <c r="CM1203">
        <v>-2.08</v>
      </c>
      <c r="CN1203">
        <v>12.41</v>
      </c>
      <c r="CO1203">
        <v>3.53</v>
      </c>
      <c r="CP1203">
        <v>91.8</v>
      </c>
      <c r="CQ1203">
        <v>1.75</v>
      </c>
      <c r="CR1203">
        <v>0.76</v>
      </c>
      <c r="CS1203" t="s">
        <v>5140</v>
      </c>
      <c r="CT1203">
        <v>3</v>
      </c>
      <c r="CU1203">
        <v>3</v>
      </c>
      <c r="CV1203">
        <v>0.67</v>
      </c>
      <c r="CW1203">
        <v>1.1000000000000001</v>
      </c>
      <c r="CX1203">
        <v>0.12</v>
      </c>
      <c r="CY1203">
        <v>43.14</v>
      </c>
      <c r="CZ1203" t="s">
        <v>6625</v>
      </c>
      <c r="DA1203">
        <v>15.06</v>
      </c>
      <c r="DB1203">
        <v>2.88</v>
      </c>
      <c r="DC1203">
        <v>2.13</v>
      </c>
      <c r="DD1203">
        <v>0.08</v>
      </c>
      <c r="DE1203">
        <v>1042</v>
      </c>
      <c r="DF1203">
        <v>2758</v>
      </c>
      <c r="DG1203" t="s">
        <v>116</v>
      </c>
      <c r="DH1203" t="s">
        <v>116</v>
      </c>
      <c r="DI1203" t="s">
        <v>116</v>
      </c>
    </row>
    <row r="1204" spans="1:113" x14ac:dyDescent="0.4">
      <c r="A1204" t="str">
        <f>"002759"</f>
        <v>002759</v>
      </c>
      <c r="B1204" t="s">
        <v>6783</v>
      </c>
      <c r="C1204">
        <v>-1.21</v>
      </c>
      <c r="D1204">
        <v>9</v>
      </c>
      <c r="E1204">
        <v>-0.11</v>
      </c>
      <c r="F1204">
        <v>9</v>
      </c>
      <c r="G1204">
        <v>9.01</v>
      </c>
      <c r="H1204">
        <v>47616</v>
      </c>
      <c r="I1204">
        <v>180</v>
      </c>
      <c r="J1204">
        <v>-0.1</v>
      </c>
      <c r="K1204">
        <v>1.18</v>
      </c>
      <c r="L1204">
        <v>9.14</v>
      </c>
      <c r="M1204">
        <v>9.14</v>
      </c>
      <c r="N1204">
        <v>8.98</v>
      </c>
      <c r="O1204">
        <v>9.11</v>
      </c>
      <c r="P1204">
        <v>7.16</v>
      </c>
      <c r="Q1204">
        <v>43211188</v>
      </c>
      <c r="R1204">
        <v>0.81</v>
      </c>
      <c r="S1204" t="s">
        <v>209</v>
      </c>
      <c r="T1204" t="s">
        <v>551</v>
      </c>
      <c r="U1204">
        <v>1.76</v>
      </c>
      <c r="V1204">
        <v>9.07</v>
      </c>
      <c r="W1204">
        <v>28142</v>
      </c>
      <c r="X1204">
        <v>19474</v>
      </c>
      <c r="Y1204">
        <v>1.45</v>
      </c>
      <c r="Z1204">
        <v>394</v>
      </c>
      <c r="AA1204">
        <v>412</v>
      </c>
      <c r="AB1204" t="s">
        <v>116</v>
      </c>
      <c r="AC1204">
        <v>130700</v>
      </c>
      <c r="AD1204">
        <v>0.01</v>
      </c>
      <c r="AE1204" t="s">
        <v>116</v>
      </c>
      <c r="AF1204" t="s">
        <v>116</v>
      </c>
      <c r="AG1204">
        <v>4.0199999999999996</v>
      </c>
      <c r="AH1204" t="s">
        <v>6784</v>
      </c>
      <c r="AI1204" t="s">
        <v>6784</v>
      </c>
      <c r="AJ1204">
        <v>-0.53</v>
      </c>
      <c r="AK1204">
        <v>1818</v>
      </c>
      <c r="AL1204">
        <v>26</v>
      </c>
      <c r="AM1204">
        <v>6.9999999999999999E-4</v>
      </c>
      <c r="AN1204">
        <v>-2</v>
      </c>
      <c r="AO1204">
        <v>1.01</v>
      </c>
      <c r="AP1204">
        <v>4.53</v>
      </c>
      <c r="AQ1204">
        <v>-4.1500000000000004</v>
      </c>
      <c r="AR1204">
        <v>13.35</v>
      </c>
      <c r="AS1204">
        <v>3.92</v>
      </c>
      <c r="AT1204" t="s">
        <v>6785</v>
      </c>
      <c r="AU1204">
        <v>8.75</v>
      </c>
      <c r="AV1204">
        <v>43.19</v>
      </c>
      <c r="AW1204">
        <v>0.76</v>
      </c>
      <c r="BA1204">
        <v>0.33</v>
      </c>
      <c r="BB1204">
        <v>0.33</v>
      </c>
      <c r="BC1204">
        <v>-1.43</v>
      </c>
      <c r="BD1204">
        <v>-0.39</v>
      </c>
      <c r="BE1204">
        <v>-1.53</v>
      </c>
      <c r="BF1204">
        <v>-1.53</v>
      </c>
      <c r="BG1204">
        <v>0.22</v>
      </c>
      <c r="BH1204">
        <v>-0.82</v>
      </c>
      <c r="BI1204">
        <v>20191220</v>
      </c>
      <c r="BJ1204">
        <v>20150528</v>
      </c>
      <c r="BK1204">
        <v>4.0199999999999996</v>
      </c>
      <c r="BL1204" t="s">
        <v>116</v>
      </c>
      <c r="BM1204" t="s">
        <v>116</v>
      </c>
      <c r="BN1204">
        <v>35.630000000000003</v>
      </c>
      <c r="BO1204">
        <v>30.41</v>
      </c>
      <c r="BP1204">
        <v>0</v>
      </c>
      <c r="BQ1204">
        <v>14.64</v>
      </c>
      <c r="BR1204">
        <v>8.27</v>
      </c>
      <c r="BS1204">
        <v>5.69</v>
      </c>
      <c r="BT1204">
        <v>1.33</v>
      </c>
      <c r="BU1204">
        <v>5.04</v>
      </c>
      <c r="BV1204">
        <v>2.02</v>
      </c>
      <c r="BW1204">
        <v>2.06</v>
      </c>
      <c r="BX1204">
        <v>19.170000000000002</v>
      </c>
      <c r="BY1204">
        <v>5.66</v>
      </c>
      <c r="BZ1204">
        <v>4.26</v>
      </c>
      <c r="CA1204">
        <v>3.84</v>
      </c>
      <c r="CB1204">
        <v>0</v>
      </c>
      <c r="CC1204">
        <v>3.84</v>
      </c>
      <c r="CD1204">
        <v>3.79</v>
      </c>
      <c r="CE1204">
        <v>3.79</v>
      </c>
      <c r="CF1204">
        <v>0.27</v>
      </c>
      <c r="CG1204">
        <v>6.74</v>
      </c>
      <c r="CH1204">
        <v>-0.69</v>
      </c>
      <c r="CI1204">
        <v>-0.64</v>
      </c>
      <c r="CJ1204">
        <v>25735</v>
      </c>
      <c r="CK1204">
        <v>4723</v>
      </c>
      <c r="CL1204" t="s">
        <v>1394</v>
      </c>
      <c r="CM1204">
        <v>673.02</v>
      </c>
      <c r="CN1204">
        <v>-8.09</v>
      </c>
      <c r="CO1204">
        <v>1.19</v>
      </c>
      <c r="CP1204">
        <v>-52.84</v>
      </c>
      <c r="CQ1204">
        <v>6.4</v>
      </c>
      <c r="CR1204">
        <v>0</v>
      </c>
      <c r="CS1204" t="s">
        <v>6786</v>
      </c>
      <c r="CT1204">
        <v>7.56</v>
      </c>
      <c r="CU1204">
        <v>0</v>
      </c>
      <c r="CV1204">
        <v>4.7699999999999996</v>
      </c>
      <c r="CW1204">
        <v>1.68</v>
      </c>
      <c r="CX1204">
        <v>-0.17</v>
      </c>
      <c r="CY1204">
        <v>85.36</v>
      </c>
      <c r="CZ1204" t="s">
        <v>2815</v>
      </c>
      <c r="DA1204">
        <v>24.66</v>
      </c>
      <c r="DB1204">
        <v>67.83</v>
      </c>
      <c r="DC1204">
        <v>67</v>
      </c>
      <c r="DD1204">
        <v>0.24</v>
      </c>
      <c r="DE1204">
        <v>975</v>
      </c>
      <c r="DF1204">
        <v>2759</v>
      </c>
      <c r="DG1204" t="s">
        <v>116</v>
      </c>
      <c r="DH1204" t="s">
        <v>116</v>
      </c>
      <c r="DI1204" t="s">
        <v>116</v>
      </c>
    </row>
    <row r="1205" spans="1:113" x14ac:dyDescent="0.4">
      <c r="A1205" t="str">
        <f>"002760"</f>
        <v>002760</v>
      </c>
      <c r="B1205" t="s">
        <v>6787</v>
      </c>
      <c r="C1205">
        <v>-1.29</v>
      </c>
      <c r="D1205">
        <v>17.649999999999999</v>
      </c>
      <c r="E1205">
        <v>-0.23</v>
      </c>
      <c r="F1205">
        <v>17.63</v>
      </c>
      <c r="G1205">
        <v>17.649999999999999</v>
      </c>
      <c r="H1205">
        <v>7411</v>
      </c>
      <c r="I1205">
        <v>166</v>
      </c>
      <c r="J1205">
        <v>-0.05</v>
      </c>
      <c r="K1205">
        <v>1.02</v>
      </c>
      <c r="L1205">
        <v>17.89</v>
      </c>
      <c r="M1205">
        <v>18.07</v>
      </c>
      <c r="N1205">
        <v>17.61</v>
      </c>
      <c r="O1205">
        <v>17.88</v>
      </c>
      <c r="P1205">
        <v>28.83</v>
      </c>
      <c r="Q1205">
        <v>13224383</v>
      </c>
      <c r="R1205">
        <v>0.48</v>
      </c>
      <c r="S1205" t="s">
        <v>996</v>
      </c>
      <c r="T1205" t="s">
        <v>575</v>
      </c>
      <c r="U1205">
        <v>2.57</v>
      </c>
      <c r="V1205">
        <v>17.84</v>
      </c>
      <c r="W1205">
        <v>4592</v>
      </c>
      <c r="X1205">
        <v>2819</v>
      </c>
      <c r="Y1205">
        <v>1.63</v>
      </c>
      <c r="Z1205">
        <v>1</v>
      </c>
      <c r="AA1205">
        <v>38</v>
      </c>
      <c r="AB1205" t="s">
        <v>116</v>
      </c>
      <c r="AC1205">
        <v>107300</v>
      </c>
      <c r="AD1205">
        <v>0.01</v>
      </c>
      <c r="AE1205" t="s">
        <v>116</v>
      </c>
      <c r="AF1205" t="s">
        <v>116</v>
      </c>
      <c r="AG1205">
        <v>0.73</v>
      </c>
      <c r="AH1205" t="s">
        <v>6788</v>
      </c>
      <c r="AI1205" t="s">
        <v>6789</v>
      </c>
      <c r="AJ1205">
        <v>-0.61</v>
      </c>
      <c r="AK1205">
        <v>665</v>
      </c>
      <c r="AL1205">
        <v>11</v>
      </c>
      <c r="AM1205">
        <v>1.5E-3</v>
      </c>
      <c r="AN1205">
        <v>-1</v>
      </c>
      <c r="AO1205">
        <v>0.69</v>
      </c>
      <c r="AP1205">
        <v>7.75</v>
      </c>
      <c r="AQ1205">
        <v>1.91</v>
      </c>
      <c r="AR1205">
        <v>19.260000000000002</v>
      </c>
      <c r="AS1205">
        <v>1.8</v>
      </c>
      <c r="AT1205" t="s">
        <v>6790</v>
      </c>
      <c r="AU1205">
        <v>29.43</v>
      </c>
      <c r="AV1205">
        <v>50.99</v>
      </c>
      <c r="AW1205">
        <v>1</v>
      </c>
      <c r="BA1205">
        <v>0.06</v>
      </c>
      <c r="BB1205">
        <v>1.06</v>
      </c>
      <c r="BC1205">
        <v>-1.51</v>
      </c>
      <c r="BD1205">
        <v>-0.2</v>
      </c>
      <c r="BE1205">
        <v>-1.34</v>
      </c>
      <c r="BF1205">
        <v>-2.3199999999999998</v>
      </c>
      <c r="BG1205">
        <v>0.23</v>
      </c>
      <c r="BH1205">
        <v>-1.0900000000000001</v>
      </c>
      <c r="BI1205">
        <v>20191018</v>
      </c>
      <c r="BJ1205">
        <v>20150611</v>
      </c>
      <c r="BK1205">
        <v>0.88</v>
      </c>
      <c r="BL1205" t="s">
        <v>116</v>
      </c>
      <c r="BM1205" t="s">
        <v>116</v>
      </c>
      <c r="BN1205">
        <v>10.08</v>
      </c>
      <c r="BO1205">
        <v>5.53</v>
      </c>
      <c r="BP1205">
        <v>0</v>
      </c>
      <c r="BQ1205">
        <v>45.12</v>
      </c>
      <c r="BR1205">
        <v>5.48</v>
      </c>
      <c r="BS1205">
        <v>3.46</v>
      </c>
      <c r="BT1205">
        <v>0.33</v>
      </c>
      <c r="BU1205">
        <v>2.41</v>
      </c>
      <c r="BV1205">
        <v>0.81</v>
      </c>
      <c r="BW1205">
        <v>0.84</v>
      </c>
      <c r="BX1205">
        <v>2.37</v>
      </c>
      <c r="BY1205">
        <v>3.92</v>
      </c>
      <c r="BZ1205">
        <v>2.83</v>
      </c>
      <c r="CA1205">
        <v>0.41</v>
      </c>
      <c r="CB1205">
        <v>0.03</v>
      </c>
      <c r="CC1205">
        <v>0.4</v>
      </c>
      <c r="CD1205">
        <v>0.4</v>
      </c>
      <c r="CE1205">
        <v>0.4</v>
      </c>
      <c r="CF1205">
        <v>0.23</v>
      </c>
      <c r="CG1205">
        <v>1.95</v>
      </c>
      <c r="CH1205">
        <v>7.0000000000000007E-2</v>
      </c>
      <c r="CI1205">
        <v>0.74</v>
      </c>
      <c r="CJ1205">
        <v>9124</v>
      </c>
      <c r="CK1205">
        <v>4510</v>
      </c>
      <c r="CL1205" t="s">
        <v>6791</v>
      </c>
      <c r="CM1205">
        <v>123.35</v>
      </c>
      <c r="CN1205">
        <v>12.99</v>
      </c>
      <c r="CO1205">
        <v>2.81</v>
      </c>
      <c r="CP1205">
        <v>225.48</v>
      </c>
      <c r="CQ1205">
        <v>3.96</v>
      </c>
      <c r="CR1205">
        <v>0</v>
      </c>
      <c r="CS1205" t="s">
        <v>6792</v>
      </c>
      <c r="CT1205">
        <v>6.29</v>
      </c>
      <c r="CU1205">
        <v>0</v>
      </c>
      <c r="CV1205">
        <v>2.69</v>
      </c>
      <c r="CW1205">
        <v>2.21</v>
      </c>
      <c r="CX1205">
        <v>0.08</v>
      </c>
      <c r="CY1205">
        <v>54.88</v>
      </c>
      <c r="CZ1205" t="s">
        <v>3359</v>
      </c>
      <c r="DA1205">
        <v>27.91</v>
      </c>
      <c r="DB1205">
        <v>10.33</v>
      </c>
      <c r="DC1205">
        <v>10.3</v>
      </c>
      <c r="DD1205">
        <v>0.12</v>
      </c>
      <c r="DE1205">
        <v>656</v>
      </c>
      <c r="DF1205">
        <v>2760</v>
      </c>
      <c r="DG1205" t="s">
        <v>116</v>
      </c>
      <c r="DH1205" t="s">
        <v>116</v>
      </c>
      <c r="DI1205" t="s">
        <v>116</v>
      </c>
    </row>
    <row r="1206" spans="1:113" x14ac:dyDescent="0.4">
      <c r="A1206" t="str">
        <f>"002761"</f>
        <v>002761</v>
      </c>
      <c r="B1206" t="s">
        <v>6793</v>
      </c>
      <c r="C1206">
        <v>-5.43</v>
      </c>
      <c r="D1206">
        <v>11.68</v>
      </c>
      <c r="E1206">
        <v>-0.67</v>
      </c>
      <c r="F1206">
        <v>11.68</v>
      </c>
      <c r="G1206">
        <v>11.69</v>
      </c>
      <c r="H1206">
        <v>235238</v>
      </c>
      <c r="I1206">
        <v>4413</v>
      </c>
      <c r="J1206">
        <v>-0.16</v>
      </c>
      <c r="K1206">
        <v>6.81</v>
      </c>
      <c r="L1206">
        <v>12.27</v>
      </c>
      <c r="M1206">
        <v>12.3</v>
      </c>
      <c r="N1206">
        <v>11.6</v>
      </c>
      <c r="O1206">
        <v>12.35</v>
      </c>
      <c r="P1206" t="s">
        <v>116</v>
      </c>
      <c r="Q1206">
        <v>280720608</v>
      </c>
      <c r="R1206">
        <v>0.96</v>
      </c>
      <c r="S1206" t="s">
        <v>1420</v>
      </c>
      <c r="T1206" t="s">
        <v>599</v>
      </c>
      <c r="U1206">
        <v>5.67</v>
      </c>
      <c r="V1206">
        <v>11.93</v>
      </c>
      <c r="W1206">
        <v>135513</v>
      </c>
      <c r="X1206">
        <v>99725</v>
      </c>
      <c r="Y1206">
        <v>1.36</v>
      </c>
      <c r="Z1206">
        <v>195</v>
      </c>
      <c r="AA1206">
        <v>66</v>
      </c>
      <c r="AB1206" t="s">
        <v>116</v>
      </c>
      <c r="AC1206">
        <v>4373000</v>
      </c>
      <c r="AD1206">
        <v>0.31</v>
      </c>
      <c r="AE1206" t="s">
        <v>116</v>
      </c>
      <c r="AF1206" t="s">
        <v>116</v>
      </c>
      <c r="AG1206">
        <v>3.45</v>
      </c>
      <c r="AH1206" t="s">
        <v>6794</v>
      </c>
      <c r="AI1206" t="s">
        <v>4807</v>
      </c>
      <c r="AJ1206">
        <v>-4.75</v>
      </c>
      <c r="AK1206">
        <v>3700</v>
      </c>
      <c r="AL1206">
        <v>64</v>
      </c>
      <c r="AM1206">
        <v>1.8E-3</v>
      </c>
      <c r="AN1206">
        <v>-1</v>
      </c>
      <c r="AO1206">
        <v>7.15</v>
      </c>
      <c r="AP1206">
        <v>0.95</v>
      </c>
      <c r="AQ1206">
        <v>18.22</v>
      </c>
      <c r="AR1206">
        <v>9.4</v>
      </c>
      <c r="AS1206">
        <v>20.48</v>
      </c>
      <c r="AT1206" t="s">
        <v>1589</v>
      </c>
      <c r="AU1206" t="s">
        <v>116</v>
      </c>
      <c r="AV1206">
        <v>145.79</v>
      </c>
      <c r="AW1206">
        <v>0.59</v>
      </c>
      <c r="BA1206">
        <v>-0.65</v>
      </c>
      <c r="BB1206">
        <v>-0.4</v>
      </c>
      <c r="BC1206">
        <v>-6.07</v>
      </c>
      <c r="BD1206">
        <v>-3.37</v>
      </c>
      <c r="BE1206">
        <v>-4.8099999999999996</v>
      </c>
      <c r="BF1206">
        <v>-5.04</v>
      </c>
      <c r="BG1206">
        <v>0.69</v>
      </c>
      <c r="BH1206">
        <v>-2.0499999999999998</v>
      </c>
      <c r="BI1206">
        <v>20191030</v>
      </c>
      <c r="BJ1206">
        <v>20150610</v>
      </c>
      <c r="BK1206">
        <v>3.47</v>
      </c>
      <c r="BL1206" t="s">
        <v>116</v>
      </c>
      <c r="BM1206" t="s">
        <v>116</v>
      </c>
      <c r="BN1206">
        <v>8.64</v>
      </c>
      <c r="BO1206">
        <v>6.87</v>
      </c>
      <c r="BP1206">
        <v>0.15</v>
      </c>
      <c r="BQ1206">
        <v>18.62</v>
      </c>
      <c r="BR1206">
        <v>4.8600000000000003</v>
      </c>
      <c r="BS1206">
        <v>3.04</v>
      </c>
      <c r="BT1206">
        <v>0.38</v>
      </c>
      <c r="BU1206">
        <v>1.44</v>
      </c>
      <c r="BV1206">
        <v>2.95</v>
      </c>
      <c r="BW1206">
        <v>0.44</v>
      </c>
      <c r="BX1206">
        <v>0.13</v>
      </c>
      <c r="BY1206">
        <v>5.49</v>
      </c>
      <c r="BZ1206">
        <v>3.58</v>
      </c>
      <c r="CA1206">
        <v>-0.03</v>
      </c>
      <c r="CB1206">
        <v>0</v>
      </c>
      <c r="CC1206">
        <v>-0.03</v>
      </c>
      <c r="CD1206">
        <v>-0.05</v>
      </c>
      <c r="CE1206">
        <v>-0.03</v>
      </c>
      <c r="CF1206">
        <v>-0.04</v>
      </c>
      <c r="CG1206">
        <v>2.92</v>
      </c>
      <c r="CH1206">
        <v>-0.93</v>
      </c>
      <c r="CI1206">
        <v>-0.87</v>
      </c>
      <c r="CJ1206">
        <v>23746</v>
      </c>
      <c r="CK1206">
        <v>4837</v>
      </c>
      <c r="CL1206" t="s">
        <v>847</v>
      </c>
      <c r="CM1206">
        <v>-108.51</v>
      </c>
      <c r="CN1206">
        <v>-9.86</v>
      </c>
      <c r="CO1206">
        <v>5.89</v>
      </c>
      <c r="CP1206">
        <v>-43.57</v>
      </c>
      <c r="CQ1206">
        <v>7.38</v>
      </c>
      <c r="CR1206">
        <v>0.1</v>
      </c>
      <c r="CS1206" t="s">
        <v>1610</v>
      </c>
      <c r="CT1206">
        <v>1.98</v>
      </c>
      <c r="CU1206">
        <v>0</v>
      </c>
      <c r="CV1206">
        <v>0.04</v>
      </c>
      <c r="CW1206">
        <v>0.84</v>
      </c>
      <c r="CX1206">
        <v>-0.27</v>
      </c>
      <c r="CY1206">
        <v>79.59</v>
      </c>
      <c r="CZ1206" t="s">
        <v>6795</v>
      </c>
      <c r="DA1206">
        <v>34.78</v>
      </c>
      <c r="DB1206">
        <v>-0.52</v>
      </c>
      <c r="DC1206">
        <v>-0.46</v>
      </c>
      <c r="DD1206">
        <v>0.16</v>
      </c>
      <c r="DE1206">
        <v>1223</v>
      </c>
      <c r="DF1206">
        <v>2761</v>
      </c>
      <c r="DG1206" t="s">
        <v>116</v>
      </c>
      <c r="DH1206" t="s">
        <v>116</v>
      </c>
      <c r="DI1206" t="s">
        <v>116</v>
      </c>
    </row>
    <row r="1207" spans="1:113" x14ac:dyDescent="0.4">
      <c r="A1207" t="str">
        <f>"002762"</f>
        <v>002762</v>
      </c>
      <c r="B1207" t="s">
        <v>6796</v>
      </c>
      <c r="C1207">
        <v>-3.2</v>
      </c>
      <c r="D1207">
        <v>5.45</v>
      </c>
      <c r="E1207">
        <v>-0.18</v>
      </c>
      <c r="F1207">
        <v>5.45</v>
      </c>
      <c r="G1207">
        <v>5.47</v>
      </c>
      <c r="H1207">
        <v>113908</v>
      </c>
      <c r="I1207">
        <v>1073</v>
      </c>
      <c r="J1207">
        <v>-0.9</v>
      </c>
      <c r="K1207">
        <v>5.99</v>
      </c>
      <c r="L1207">
        <v>5.6</v>
      </c>
      <c r="M1207">
        <v>5.9</v>
      </c>
      <c r="N1207">
        <v>5.43</v>
      </c>
      <c r="O1207">
        <v>5.63</v>
      </c>
      <c r="P1207">
        <v>30.45</v>
      </c>
      <c r="Q1207">
        <v>64857932</v>
      </c>
      <c r="R1207">
        <v>3.14</v>
      </c>
      <c r="S1207" t="s">
        <v>3070</v>
      </c>
      <c r="T1207" t="s">
        <v>551</v>
      </c>
      <c r="U1207">
        <v>8.35</v>
      </c>
      <c r="V1207">
        <v>5.69</v>
      </c>
      <c r="W1207">
        <v>47837</v>
      </c>
      <c r="X1207">
        <v>66071</v>
      </c>
      <c r="Y1207">
        <v>0.72</v>
      </c>
      <c r="Z1207">
        <v>127</v>
      </c>
      <c r="AA1207">
        <v>872</v>
      </c>
      <c r="AB1207" t="s">
        <v>116</v>
      </c>
      <c r="AC1207">
        <v>0</v>
      </c>
      <c r="AD1207">
        <v>0</v>
      </c>
      <c r="AE1207" t="s">
        <v>116</v>
      </c>
      <c r="AF1207" t="s">
        <v>116</v>
      </c>
      <c r="AG1207">
        <v>1.9</v>
      </c>
      <c r="AH1207" t="s">
        <v>6797</v>
      </c>
      <c r="AI1207" t="s">
        <v>4834</v>
      </c>
      <c r="AJ1207">
        <v>-2.52</v>
      </c>
      <c r="AK1207">
        <v>1509</v>
      </c>
      <c r="AL1207">
        <v>75</v>
      </c>
      <c r="AM1207">
        <v>4.0000000000000001E-3</v>
      </c>
      <c r="AN1207">
        <v>-1</v>
      </c>
      <c r="AO1207">
        <v>-4.8899999999999997</v>
      </c>
      <c r="AP1207">
        <v>8.57</v>
      </c>
      <c r="AQ1207">
        <v>2.64</v>
      </c>
      <c r="AR1207">
        <v>7.07</v>
      </c>
      <c r="AS1207">
        <v>8.83</v>
      </c>
      <c r="AT1207" t="s">
        <v>6798</v>
      </c>
      <c r="AU1207">
        <v>71.88</v>
      </c>
      <c r="AV1207">
        <v>48.83</v>
      </c>
      <c r="AW1207">
        <v>0.96</v>
      </c>
      <c r="BA1207">
        <v>-0.53</v>
      </c>
      <c r="BB1207">
        <v>4.8</v>
      </c>
      <c r="BC1207">
        <v>-3.55</v>
      </c>
      <c r="BD1207">
        <v>1.1299999999999999</v>
      </c>
      <c r="BE1207">
        <v>-2.68</v>
      </c>
      <c r="BF1207">
        <v>-7.63</v>
      </c>
      <c r="BG1207">
        <v>0.37</v>
      </c>
      <c r="BH1207">
        <v>-4.33</v>
      </c>
      <c r="BI1207">
        <v>20191030</v>
      </c>
      <c r="BJ1207">
        <v>20150610</v>
      </c>
      <c r="BK1207">
        <v>3.54</v>
      </c>
      <c r="BL1207" t="s">
        <v>116</v>
      </c>
      <c r="BM1207" t="s">
        <v>116</v>
      </c>
      <c r="BN1207">
        <v>10.88</v>
      </c>
      <c r="BO1207">
        <v>9.9600000000000009</v>
      </c>
      <c r="BP1207">
        <v>0.02</v>
      </c>
      <c r="BQ1207">
        <v>8.23</v>
      </c>
      <c r="BR1207">
        <v>6.47</v>
      </c>
      <c r="BS1207">
        <v>1.72</v>
      </c>
      <c r="BT1207">
        <v>0.49</v>
      </c>
      <c r="BU1207">
        <v>0.9</v>
      </c>
      <c r="BV1207">
        <v>2.09</v>
      </c>
      <c r="BW1207">
        <v>0.34</v>
      </c>
      <c r="BX1207">
        <v>1.6</v>
      </c>
      <c r="BY1207">
        <v>3.02</v>
      </c>
      <c r="BZ1207">
        <v>1.32</v>
      </c>
      <c r="CA1207">
        <v>0.55000000000000004</v>
      </c>
      <c r="CB1207">
        <v>0.08</v>
      </c>
      <c r="CC1207">
        <v>0.56000000000000005</v>
      </c>
      <c r="CD1207">
        <v>0.47</v>
      </c>
      <c r="CE1207">
        <v>0.48</v>
      </c>
      <c r="CF1207">
        <v>0.42</v>
      </c>
      <c r="CG1207">
        <v>4.2300000000000004</v>
      </c>
      <c r="CH1207">
        <v>0.55000000000000004</v>
      </c>
      <c r="CI1207">
        <v>0.01</v>
      </c>
      <c r="CJ1207">
        <v>17643</v>
      </c>
      <c r="CK1207">
        <v>7308</v>
      </c>
      <c r="CL1207" t="s">
        <v>1713</v>
      </c>
      <c r="CM1207">
        <v>-21.05</v>
      </c>
      <c r="CN1207">
        <v>-4.5999999999999996</v>
      </c>
      <c r="CO1207">
        <v>1.94</v>
      </c>
      <c r="CP1207">
        <v>34.99</v>
      </c>
      <c r="CQ1207">
        <v>6.39</v>
      </c>
      <c r="CR1207">
        <v>1.65</v>
      </c>
      <c r="CS1207" t="s">
        <v>2620</v>
      </c>
      <c r="CT1207">
        <v>2.81</v>
      </c>
      <c r="CU1207">
        <v>0</v>
      </c>
      <c r="CV1207">
        <v>0.45</v>
      </c>
      <c r="CW1207">
        <v>1.2</v>
      </c>
      <c r="CX1207">
        <v>0.16</v>
      </c>
      <c r="CY1207">
        <v>91.57</v>
      </c>
      <c r="CZ1207" t="s">
        <v>1507</v>
      </c>
      <c r="DA1207">
        <v>56.41</v>
      </c>
      <c r="DB1207">
        <v>18.149999999999999</v>
      </c>
      <c r="DC1207">
        <v>15.73</v>
      </c>
      <c r="DD1207">
        <v>0.11</v>
      </c>
      <c r="DE1207">
        <v>1157</v>
      </c>
      <c r="DF1207">
        <v>2762</v>
      </c>
      <c r="DG1207" t="s">
        <v>116</v>
      </c>
      <c r="DH1207" t="s">
        <v>116</v>
      </c>
      <c r="DI1207" t="s">
        <v>116</v>
      </c>
    </row>
    <row r="1208" spans="1:113" x14ac:dyDescent="0.4">
      <c r="A1208" t="str">
        <f>"002763"</f>
        <v>002763</v>
      </c>
      <c r="B1208" t="s">
        <v>6799</v>
      </c>
      <c r="C1208">
        <v>-0.73</v>
      </c>
      <c r="D1208">
        <v>8.16</v>
      </c>
      <c r="E1208">
        <v>-0.06</v>
      </c>
      <c r="F1208">
        <v>8.16</v>
      </c>
      <c r="G1208">
        <v>8.17</v>
      </c>
      <c r="H1208">
        <v>26847</v>
      </c>
      <c r="I1208">
        <v>216</v>
      </c>
      <c r="J1208">
        <v>0</v>
      </c>
      <c r="K1208">
        <v>1.47</v>
      </c>
      <c r="L1208">
        <v>8.31</v>
      </c>
      <c r="M1208">
        <v>8.4700000000000006</v>
      </c>
      <c r="N1208">
        <v>8.16</v>
      </c>
      <c r="O1208">
        <v>8.2200000000000006</v>
      </c>
      <c r="P1208">
        <v>11.64</v>
      </c>
      <c r="Q1208">
        <v>22295962</v>
      </c>
      <c r="R1208">
        <v>1.69</v>
      </c>
      <c r="S1208" t="s">
        <v>3070</v>
      </c>
      <c r="T1208" t="s">
        <v>115</v>
      </c>
      <c r="U1208">
        <v>3.77</v>
      </c>
      <c r="V1208">
        <v>8.3000000000000007</v>
      </c>
      <c r="W1208">
        <v>13158</v>
      </c>
      <c r="X1208">
        <v>13689</v>
      </c>
      <c r="Y1208">
        <v>0.96</v>
      </c>
      <c r="Z1208">
        <v>51</v>
      </c>
      <c r="AA1208">
        <v>179</v>
      </c>
      <c r="AB1208" t="s">
        <v>116</v>
      </c>
      <c r="AC1208">
        <v>1185800</v>
      </c>
      <c r="AD1208">
        <v>0.12</v>
      </c>
      <c r="AE1208" t="s">
        <v>116</v>
      </c>
      <c r="AF1208" t="s">
        <v>116</v>
      </c>
      <c r="AG1208">
        <v>1.83</v>
      </c>
      <c r="AH1208" t="s">
        <v>6800</v>
      </c>
      <c r="AI1208" t="s">
        <v>5488</v>
      </c>
      <c r="AJ1208">
        <v>-0.05</v>
      </c>
      <c r="AK1208">
        <v>746</v>
      </c>
      <c r="AL1208">
        <v>36</v>
      </c>
      <c r="AM1208">
        <v>2E-3</v>
      </c>
      <c r="AN1208">
        <v>-1</v>
      </c>
      <c r="AO1208">
        <v>1.36</v>
      </c>
      <c r="AP1208">
        <v>6.11</v>
      </c>
      <c r="AQ1208">
        <v>-0.24</v>
      </c>
      <c r="AR1208">
        <v>7.94</v>
      </c>
      <c r="AS1208">
        <v>2.34</v>
      </c>
      <c r="AT1208" t="s">
        <v>1712</v>
      </c>
      <c r="AU1208">
        <v>16.62</v>
      </c>
      <c r="AV1208">
        <v>20.28</v>
      </c>
      <c r="AW1208">
        <v>0.61</v>
      </c>
      <c r="BA1208">
        <v>1.0900000000000001</v>
      </c>
      <c r="BB1208">
        <v>3.04</v>
      </c>
      <c r="BC1208">
        <v>-0.73</v>
      </c>
      <c r="BD1208">
        <v>1.03</v>
      </c>
      <c r="BE1208">
        <v>-1.81</v>
      </c>
      <c r="BF1208">
        <v>-3.66</v>
      </c>
      <c r="BG1208">
        <v>0</v>
      </c>
      <c r="BH1208">
        <v>-1.76</v>
      </c>
      <c r="BI1208">
        <v>20191023</v>
      </c>
      <c r="BJ1208">
        <v>20150610</v>
      </c>
      <c r="BK1208">
        <v>4.12</v>
      </c>
      <c r="BL1208" t="s">
        <v>116</v>
      </c>
      <c r="BM1208" t="s">
        <v>116</v>
      </c>
      <c r="BN1208">
        <v>25.53</v>
      </c>
      <c r="BO1208">
        <v>18.73</v>
      </c>
      <c r="BP1208">
        <v>0.61</v>
      </c>
      <c r="BQ1208">
        <v>24.22</v>
      </c>
      <c r="BR1208">
        <v>17.48</v>
      </c>
      <c r="BS1208">
        <v>4.8</v>
      </c>
      <c r="BT1208">
        <v>0.97</v>
      </c>
      <c r="BU1208">
        <v>5.47</v>
      </c>
      <c r="BV1208">
        <v>8.2899999999999991</v>
      </c>
      <c r="BW1208">
        <v>2.14</v>
      </c>
      <c r="BX1208">
        <v>7.24</v>
      </c>
      <c r="BY1208">
        <v>18.75</v>
      </c>
      <c r="BZ1208">
        <v>6.16</v>
      </c>
      <c r="CA1208">
        <v>3.16</v>
      </c>
      <c r="CB1208">
        <v>0</v>
      </c>
      <c r="CC1208">
        <v>3.18</v>
      </c>
      <c r="CD1208">
        <v>2.44</v>
      </c>
      <c r="CE1208">
        <v>2.16</v>
      </c>
      <c r="CF1208">
        <v>2.11</v>
      </c>
      <c r="CG1208">
        <v>7.13</v>
      </c>
      <c r="CH1208">
        <v>1.49</v>
      </c>
      <c r="CI1208">
        <v>-0.02</v>
      </c>
      <c r="CJ1208">
        <v>17322</v>
      </c>
      <c r="CK1208">
        <v>6637</v>
      </c>
      <c r="CL1208" t="s">
        <v>6330</v>
      </c>
      <c r="CM1208">
        <v>20.25</v>
      </c>
      <c r="CN1208">
        <v>11.37</v>
      </c>
      <c r="CO1208">
        <v>1.79</v>
      </c>
      <c r="CP1208">
        <v>22.49</v>
      </c>
      <c r="CQ1208">
        <v>1.79</v>
      </c>
      <c r="CR1208">
        <v>5.21</v>
      </c>
      <c r="CS1208" t="s">
        <v>6801</v>
      </c>
      <c r="CT1208">
        <v>4.55</v>
      </c>
      <c r="CU1208">
        <v>0</v>
      </c>
      <c r="CV1208">
        <v>1.76</v>
      </c>
      <c r="CW1208">
        <v>1.73</v>
      </c>
      <c r="CX1208">
        <v>0.36</v>
      </c>
      <c r="CY1208">
        <v>73.38</v>
      </c>
      <c r="CZ1208" t="s">
        <v>815</v>
      </c>
      <c r="DA1208">
        <v>67.14</v>
      </c>
      <c r="DB1208">
        <v>16.87</v>
      </c>
      <c r="DC1208">
        <v>11.54</v>
      </c>
      <c r="DD1208">
        <v>0.1</v>
      </c>
      <c r="DE1208">
        <v>7321</v>
      </c>
      <c r="DF1208">
        <v>2763</v>
      </c>
      <c r="DG1208" t="s">
        <v>116</v>
      </c>
      <c r="DH1208" t="s">
        <v>116</v>
      </c>
      <c r="DI1208" t="s">
        <v>116</v>
      </c>
    </row>
    <row r="1209" spans="1:113" x14ac:dyDescent="0.4">
      <c r="A1209" t="str">
        <f>"002765"</f>
        <v>002765</v>
      </c>
      <c r="B1209" t="s">
        <v>6802</v>
      </c>
      <c r="C1209">
        <v>-1.72</v>
      </c>
      <c r="D1209">
        <v>5.15</v>
      </c>
      <c r="E1209">
        <v>-0.09</v>
      </c>
      <c r="F1209">
        <v>5.15</v>
      </c>
      <c r="G1209">
        <v>5.16</v>
      </c>
      <c r="H1209">
        <v>126465</v>
      </c>
      <c r="I1209">
        <v>1498</v>
      </c>
      <c r="J1209">
        <v>0.39</v>
      </c>
      <c r="K1209">
        <v>4.97</v>
      </c>
      <c r="L1209">
        <v>5.25</v>
      </c>
      <c r="M1209">
        <v>5.32</v>
      </c>
      <c r="N1209">
        <v>5.0999999999999996</v>
      </c>
      <c r="O1209">
        <v>5.24</v>
      </c>
      <c r="P1209" t="s">
        <v>116</v>
      </c>
      <c r="Q1209">
        <v>65749012</v>
      </c>
      <c r="R1209">
        <v>1.03</v>
      </c>
      <c r="S1209" t="s">
        <v>293</v>
      </c>
      <c r="T1209" t="s">
        <v>906</v>
      </c>
      <c r="U1209">
        <v>4.2</v>
      </c>
      <c r="V1209">
        <v>5.2</v>
      </c>
      <c r="W1209">
        <v>81579</v>
      </c>
      <c r="X1209">
        <v>44886</v>
      </c>
      <c r="Y1209">
        <v>1.82</v>
      </c>
      <c r="Z1209">
        <v>319</v>
      </c>
      <c r="AA1209">
        <v>891</v>
      </c>
      <c r="AB1209" t="s">
        <v>116</v>
      </c>
      <c r="AC1209">
        <v>154900</v>
      </c>
      <c r="AD1209">
        <v>0.02</v>
      </c>
      <c r="AE1209" t="s">
        <v>116</v>
      </c>
      <c r="AF1209" t="s">
        <v>116</v>
      </c>
      <c r="AG1209">
        <v>2.54</v>
      </c>
      <c r="AH1209" t="s">
        <v>6803</v>
      </c>
      <c r="AI1209" t="s">
        <v>719</v>
      </c>
      <c r="AJ1209">
        <v>-1.04</v>
      </c>
      <c r="AK1209">
        <v>1671</v>
      </c>
      <c r="AL1209">
        <v>76</v>
      </c>
      <c r="AM1209">
        <v>3.0000000000000001E-3</v>
      </c>
      <c r="AN1209">
        <v>-1</v>
      </c>
      <c r="AO1209">
        <v>-0.2</v>
      </c>
      <c r="AP1209">
        <v>10.75</v>
      </c>
      <c r="AQ1209">
        <v>-5.68</v>
      </c>
      <c r="AR1209">
        <v>-17.47</v>
      </c>
      <c r="AS1209">
        <v>7.44</v>
      </c>
      <c r="AT1209" t="s">
        <v>6725</v>
      </c>
      <c r="AU1209" t="s">
        <v>116</v>
      </c>
      <c r="AV1209">
        <v>896.96</v>
      </c>
      <c r="AW1209">
        <v>1.55</v>
      </c>
      <c r="BA1209">
        <v>0.19</v>
      </c>
      <c r="BB1209">
        <v>1.53</v>
      </c>
      <c r="BC1209">
        <v>-2.67</v>
      </c>
      <c r="BD1209">
        <v>-0.78</v>
      </c>
      <c r="BE1209">
        <v>-1.9</v>
      </c>
      <c r="BF1209">
        <v>-3.2</v>
      </c>
      <c r="BG1209">
        <v>0.98</v>
      </c>
      <c r="BH1209">
        <v>-0.93</v>
      </c>
      <c r="BI1209">
        <v>20191031</v>
      </c>
      <c r="BJ1209">
        <v>20150612</v>
      </c>
      <c r="BK1209">
        <v>4.8099999999999996</v>
      </c>
      <c r="BL1209" t="s">
        <v>116</v>
      </c>
      <c r="BM1209" t="s">
        <v>116</v>
      </c>
      <c r="BN1209">
        <v>35.299999999999997</v>
      </c>
      <c r="BO1209">
        <v>16.03</v>
      </c>
      <c r="BP1209">
        <v>0.08</v>
      </c>
      <c r="BQ1209">
        <v>54.38</v>
      </c>
      <c r="BR1209">
        <v>14.1</v>
      </c>
      <c r="BS1209">
        <v>8.41</v>
      </c>
      <c r="BT1209">
        <v>2.99</v>
      </c>
      <c r="BU1209">
        <v>11.06</v>
      </c>
      <c r="BV1209">
        <v>4.76</v>
      </c>
      <c r="BW1209">
        <v>4.55</v>
      </c>
      <c r="BX1209">
        <v>8.35</v>
      </c>
      <c r="BY1209">
        <v>6.31</v>
      </c>
      <c r="BZ1209">
        <v>5.96</v>
      </c>
      <c r="CA1209">
        <v>-0.91</v>
      </c>
      <c r="CB1209">
        <v>0.01</v>
      </c>
      <c r="CC1209">
        <v>-0.91</v>
      </c>
      <c r="CD1209">
        <v>-0.73</v>
      </c>
      <c r="CE1209">
        <v>-0.69</v>
      </c>
      <c r="CF1209">
        <v>-0.86</v>
      </c>
      <c r="CG1209">
        <v>2.35</v>
      </c>
      <c r="CH1209">
        <v>0.37</v>
      </c>
      <c r="CI1209">
        <v>-0.91</v>
      </c>
      <c r="CJ1209">
        <v>25836</v>
      </c>
      <c r="CK1209">
        <v>6582</v>
      </c>
      <c r="CL1209" t="s">
        <v>1444</v>
      </c>
      <c r="CM1209">
        <v>-353.92</v>
      </c>
      <c r="CN1209">
        <v>-13.71</v>
      </c>
      <c r="CO1209">
        <v>1.55</v>
      </c>
      <c r="CP1209">
        <v>67.63</v>
      </c>
      <c r="CQ1209">
        <v>3.93</v>
      </c>
      <c r="CR1209">
        <v>0</v>
      </c>
      <c r="CS1209" t="s">
        <v>6804</v>
      </c>
      <c r="CT1209">
        <v>3.33</v>
      </c>
      <c r="CU1209">
        <v>0</v>
      </c>
      <c r="CV1209">
        <v>1.73</v>
      </c>
      <c r="CW1209">
        <v>0.49</v>
      </c>
      <c r="CX1209">
        <v>0.08</v>
      </c>
      <c r="CY1209">
        <v>45.4</v>
      </c>
      <c r="CZ1209" t="s">
        <v>6805</v>
      </c>
      <c r="DA1209">
        <v>5.44</v>
      </c>
      <c r="DB1209">
        <v>-14.39</v>
      </c>
      <c r="DC1209">
        <v>-10.91</v>
      </c>
      <c r="DD1209">
        <v>0.42</v>
      </c>
      <c r="DE1209">
        <v>1882</v>
      </c>
      <c r="DF1209">
        <v>2765</v>
      </c>
      <c r="DG1209" t="s">
        <v>116</v>
      </c>
      <c r="DH1209" t="s">
        <v>116</v>
      </c>
      <c r="DI1209" t="s">
        <v>116</v>
      </c>
    </row>
    <row r="1210" spans="1:113" x14ac:dyDescent="0.4">
      <c r="A1210" t="str">
        <f>"002766"</f>
        <v>002766</v>
      </c>
      <c r="B1210" t="s">
        <v>6806</v>
      </c>
      <c r="C1210">
        <v>4.82</v>
      </c>
      <c r="D1210">
        <v>3.48</v>
      </c>
      <c r="E1210">
        <v>0.16</v>
      </c>
      <c r="F1210">
        <v>3.47</v>
      </c>
      <c r="G1210">
        <v>3.48</v>
      </c>
      <c r="H1210">
        <v>174578</v>
      </c>
      <c r="I1210">
        <v>7851</v>
      </c>
      <c r="J1210">
        <v>-0.28000000000000003</v>
      </c>
      <c r="K1210">
        <v>5.92</v>
      </c>
      <c r="L1210">
        <v>3.46</v>
      </c>
      <c r="M1210">
        <v>3.49</v>
      </c>
      <c r="N1210">
        <v>3.4</v>
      </c>
      <c r="O1210">
        <v>3.32</v>
      </c>
      <c r="P1210" t="s">
        <v>116</v>
      </c>
      <c r="Q1210">
        <v>60806572</v>
      </c>
      <c r="R1210">
        <v>2.11</v>
      </c>
      <c r="S1210" t="s">
        <v>293</v>
      </c>
      <c r="T1210" t="s">
        <v>115</v>
      </c>
      <c r="U1210">
        <v>2.71</v>
      </c>
      <c r="V1210">
        <v>3.48</v>
      </c>
      <c r="W1210">
        <v>107237</v>
      </c>
      <c r="X1210">
        <v>67341</v>
      </c>
      <c r="Y1210">
        <v>1.59</v>
      </c>
      <c r="Z1210">
        <v>7579</v>
      </c>
      <c r="AA1210">
        <v>1181</v>
      </c>
      <c r="AB1210" t="s">
        <v>116</v>
      </c>
      <c r="AC1210">
        <v>6223200</v>
      </c>
      <c r="AD1210">
        <v>0.89</v>
      </c>
      <c r="AE1210" t="s">
        <v>116</v>
      </c>
      <c r="AF1210" t="s">
        <v>116</v>
      </c>
      <c r="AG1210">
        <v>2.95</v>
      </c>
      <c r="AH1210" t="s">
        <v>1778</v>
      </c>
      <c r="AI1210" t="s">
        <v>6807</v>
      </c>
      <c r="AJ1210">
        <v>5.5</v>
      </c>
      <c r="AK1210">
        <v>532</v>
      </c>
      <c r="AL1210">
        <v>328</v>
      </c>
      <c r="AM1210">
        <v>1.11E-2</v>
      </c>
      <c r="AN1210">
        <v>7</v>
      </c>
      <c r="AO1210">
        <v>15.61</v>
      </c>
      <c r="AP1210">
        <v>59.63</v>
      </c>
      <c r="AQ1210">
        <v>50.65</v>
      </c>
      <c r="AR1210">
        <v>-36.26</v>
      </c>
      <c r="AS1210">
        <v>8.65</v>
      </c>
      <c r="AT1210" t="s">
        <v>6798</v>
      </c>
      <c r="AU1210" t="s">
        <v>116</v>
      </c>
      <c r="AV1210" t="s">
        <v>116</v>
      </c>
      <c r="AW1210">
        <v>0.72</v>
      </c>
      <c r="BA1210">
        <v>4.22</v>
      </c>
      <c r="BB1210">
        <v>5.12</v>
      </c>
      <c r="BC1210">
        <v>2.41</v>
      </c>
      <c r="BD1210">
        <v>4.91</v>
      </c>
      <c r="BE1210">
        <v>0.57999999999999996</v>
      </c>
      <c r="BF1210">
        <v>-0.28999999999999998</v>
      </c>
      <c r="BG1210">
        <v>2.35</v>
      </c>
      <c r="BH1210">
        <v>-0.09</v>
      </c>
      <c r="BI1210">
        <v>20191121</v>
      </c>
      <c r="BJ1210">
        <v>20150611</v>
      </c>
      <c r="BK1210">
        <v>4.22</v>
      </c>
      <c r="BL1210" t="s">
        <v>116</v>
      </c>
      <c r="BM1210" t="s">
        <v>116</v>
      </c>
      <c r="BN1210">
        <v>39.82</v>
      </c>
      <c r="BO1210">
        <v>11.64</v>
      </c>
      <c r="BP1210">
        <v>0.03</v>
      </c>
      <c r="BQ1210">
        <v>70.7</v>
      </c>
      <c r="BR1210">
        <v>27.79</v>
      </c>
      <c r="BS1210">
        <v>3.75</v>
      </c>
      <c r="BT1210">
        <v>1.5</v>
      </c>
      <c r="BU1210">
        <v>22.66</v>
      </c>
      <c r="BV1210">
        <v>2.42</v>
      </c>
      <c r="BW1210">
        <v>9.8000000000000007</v>
      </c>
      <c r="BX1210">
        <v>9.1300000000000008</v>
      </c>
      <c r="BY1210">
        <v>5.91</v>
      </c>
      <c r="BZ1210">
        <v>4.8899999999999997</v>
      </c>
      <c r="CA1210">
        <v>-1.9</v>
      </c>
      <c r="CB1210">
        <v>-0.02</v>
      </c>
      <c r="CC1210">
        <v>-1.91</v>
      </c>
      <c r="CD1210">
        <v>-1.51</v>
      </c>
      <c r="CE1210">
        <v>-1.5</v>
      </c>
      <c r="CF1210">
        <v>-1.53</v>
      </c>
      <c r="CG1210">
        <v>-2.14</v>
      </c>
      <c r="CH1210">
        <v>-0.39</v>
      </c>
      <c r="CI1210">
        <v>-0.57999999999999996</v>
      </c>
      <c r="CJ1210">
        <v>23745</v>
      </c>
      <c r="CK1210">
        <v>8502</v>
      </c>
      <c r="CL1210" t="s">
        <v>2044</v>
      </c>
      <c r="CM1210">
        <v>-331.66</v>
      </c>
      <c r="CN1210">
        <v>-47.34</v>
      </c>
      <c r="CO1210">
        <v>1.26</v>
      </c>
      <c r="CP1210">
        <v>-37.869999999999997</v>
      </c>
      <c r="CQ1210">
        <v>2.4900000000000002</v>
      </c>
      <c r="CR1210">
        <v>0</v>
      </c>
      <c r="CS1210" t="s">
        <v>6808</v>
      </c>
      <c r="CT1210">
        <v>2.76</v>
      </c>
      <c r="CU1210">
        <v>0</v>
      </c>
      <c r="CV1210">
        <v>2.16</v>
      </c>
      <c r="CW1210">
        <v>-0.51</v>
      </c>
      <c r="CX1210">
        <v>-0.09</v>
      </c>
      <c r="CY1210">
        <v>29.22</v>
      </c>
      <c r="CZ1210" t="s">
        <v>6809</v>
      </c>
      <c r="DA1210">
        <v>17.13</v>
      </c>
      <c r="DB1210">
        <v>-32.24</v>
      </c>
      <c r="DC1210">
        <v>-25.46</v>
      </c>
      <c r="DD1210">
        <v>0.84</v>
      </c>
      <c r="DE1210">
        <v>1536</v>
      </c>
      <c r="DF1210">
        <v>2766</v>
      </c>
      <c r="DG1210" t="s">
        <v>116</v>
      </c>
      <c r="DH1210" t="s">
        <v>116</v>
      </c>
      <c r="DI1210" t="s">
        <v>116</v>
      </c>
    </row>
    <row r="1211" spans="1:113" x14ac:dyDescent="0.4">
      <c r="A1211" t="str">
        <f>"002767"</f>
        <v>002767</v>
      </c>
      <c r="B1211" t="s">
        <v>6810</v>
      </c>
      <c r="C1211">
        <v>7.0000000000000007E-2</v>
      </c>
      <c r="D1211">
        <v>14.9</v>
      </c>
      <c r="E1211">
        <v>0.01</v>
      </c>
      <c r="F1211">
        <v>14.89</v>
      </c>
      <c r="G1211">
        <v>14.9</v>
      </c>
      <c r="H1211">
        <v>11406</v>
      </c>
      <c r="I1211">
        <v>302</v>
      </c>
      <c r="J1211">
        <v>0.34</v>
      </c>
      <c r="K1211">
        <v>0.92</v>
      </c>
      <c r="L1211">
        <v>14.8</v>
      </c>
      <c r="M1211">
        <v>14.96</v>
      </c>
      <c r="N1211">
        <v>14.72</v>
      </c>
      <c r="O1211">
        <v>14.89</v>
      </c>
      <c r="P1211">
        <v>96.72</v>
      </c>
      <c r="Q1211">
        <v>16937486</v>
      </c>
      <c r="R1211">
        <v>1.22</v>
      </c>
      <c r="S1211" t="s">
        <v>2977</v>
      </c>
      <c r="T1211" t="s">
        <v>590</v>
      </c>
      <c r="U1211">
        <v>1.61</v>
      </c>
      <c r="V1211">
        <v>14.85</v>
      </c>
      <c r="W1211">
        <v>5160</v>
      </c>
      <c r="X1211">
        <v>6246</v>
      </c>
      <c r="Y1211">
        <v>0.83</v>
      </c>
      <c r="Z1211">
        <v>85</v>
      </c>
      <c r="AA1211">
        <v>188</v>
      </c>
      <c r="AB1211" t="s">
        <v>116</v>
      </c>
      <c r="AC1211">
        <v>177600</v>
      </c>
      <c r="AD1211">
        <v>0.03</v>
      </c>
      <c r="AE1211" t="s">
        <v>116</v>
      </c>
      <c r="AF1211" t="s">
        <v>116</v>
      </c>
      <c r="AG1211">
        <v>1.24</v>
      </c>
      <c r="AH1211" t="s">
        <v>6811</v>
      </c>
      <c r="AI1211" t="s">
        <v>6812</v>
      </c>
      <c r="AJ1211">
        <v>0.75</v>
      </c>
      <c r="AK1211">
        <v>632</v>
      </c>
      <c r="AL1211">
        <v>18</v>
      </c>
      <c r="AM1211">
        <v>1.5E-3</v>
      </c>
      <c r="AN1211">
        <v>4</v>
      </c>
      <c r="AO1211">
        <v>2.48</v>
      </c>
      <c r="AP1211">
        <v>5.97</v>
      </c>
      <c r="AQ1211">
        <v>-10.24</v>
      </c>
      <c r="AR1211">
        <v>5.91</v>
      </c>
      <c r="AS1211">
        <v>2.54</v>
      </c>
      <c r="AT1211" t="s">
        <v>6813</v>
      </c>
      <c r="AU1211">
        <v>97.11</v>
      </c>
      <c r="AV1211">
        <v>86.56</v>
      </c>
      <c r="AW1211">
        <v>0.59</v>
      </c>
      <c r="BA1211">
        <v>-0.6</v>
      </c>
      <c r="BB1211">
        <v>0.47</v>
      </c>
      <c r="BC1211">
        <v>-1.1399999999999999</v>
      </c>
      <c r="BD1211">
        <v>-0.27</v>
      </c>
      <c r="BE1211">
        <v>0.68</v>
      </c>
      <c r="BF1211">
        <v>-0.4</v>
      </c>
      <c r="BG1211">
        <v>1.22</v>
      </c>
      <c r="BH1211">
        <v>0.34</v>
      </c>
      <c r="BI1211">
        <v>20191224</v>
      </c>
      <c r="BJ1211">
        <v>20150612</v>
      </c>
      <c r="BK1211">
        <v>1.5</v>
      </c>
      <c r="BL1211" t="s">
        <v>116</v>
      </c>
      <c r="BM1211" t="s">
        <v>116</v>
      </c>
      <c r="BN1211">
        <v>8.57</v>
      </c>
      <c r="BO1211">
        <v>7.28</v>
      </c>
      <c r="BP1211">
        <v>0.01</v>
      </c>
      <c r="BQ1211">
        <v>14.96</v>
      </c>
      <c r="BR1211">
        <v>7.05</v>
      </c>
      <c r="BS1211">
        <v>0.14000000000000001</v>
      </c>
      <c r="BT1211">
        <v>7.0000000000000007E-2</v>
      </c>
      <c r="BU1211">
        <v>1.26</v>
      </c>
      <c r="BV1211">
        <v>0.63</v>
      </c>
      <c r="BW1211">
        <v>2.37</v>
      </c>
      <c r="BX1211">
        <v>2.87</v>
      </c>
      <c r="BY1211">
        <v>2.14</v>
      </c>
      <c r="BZ1211">
        <v>1.45</v>
      </c>
      <c r="CA1211">
        <v>0.19</v>
      </c>
      <c r="CB1211">
        <v>0.04</v>
      </c>
      <c r="CC1211">
        <v>0.19</v>
      </c>
      <c r="CD1211">
        <v>0.17</v>
      </c>
      <c r="CE1211">
        <v>0.17</v>
      </c>
      <c r="CF1211">
        <v>0.14000000000000001</v>
      </c>
      <c r="CG1211">
        <v>2.44</v>
      </c>
      <c r="CH1211">
        <v>-0.18</v>
      </c>
      <c r="CI1211">
        <v>-0.01</v>
      </c>
      <c r="CJ1211">
        <v>11726</v>
      </c>
      <c r="CK1211">
        <v>3824</v>
      </c>
      <c r="CL1211" t="s">
        <v>6814</v>
      </c>
      <c r="CM1211">
        <v>-13.94</v>
      </c>
      <c r="CN1211">
        <v>0.38</v>
      </c>
      <c r="CO1211">
        <v>3.07</v>
      </c>
      <c r="CP1211">
        <v>-125.06</v>
      </c>
      <c r="CQ1211">
        <v>10.44</v>
      </c>
      <c r="CR1211">
        <v>0.21</v>
      </c>
      <c r="CS1211" t="s">
        <v>1182</v>
      </c>
      <c r="CT1211">
        <v>4.8499999999999996</v>
      </c>
      <c r="CU1211">
        <v>0</v>
      </c>
      <c r="CV1211">
        <v>1.92</v>
      </c>
      <c r="CW1211">
        <v>1.63</v>
      </c>
      <c r="CX1211">
        <v>-0.12</v>
      </c>
      <c r="CY1211">
        <v>84.89</v>
      </c>
      <c r="CZ1211" t="s">
        <v>6815</v>
      </c>
      <c r="DA1211">
        <v>32.07</v>
      </c>
      <c r="DB1211">
        <v>8.89</v>
      </c>
      <c r="DC1211">
        <v>8.1</v>
      </c>
      <c r="DD1211">
        <v>0.15</v>
      </c>
      <c r="DE1211">
        <v>435</v>
      </c>
      <c r="DF1211">
        <v>2767</v>
      </c>
      <c r="DG1211" t="s">
        <v>116</v>
      </c>
      <c r="DH1211" t="s">
        <v>116</v>
      </c>
      <c r="DI1211" t="s">
        <v>116</v>
      </c>
    </row>
    <row r="1212" spans="1:113" x14ac:dyDescent="0.4">
      <c r="A1212" t="str">
        <f>"002768"</f>
        <v>002768</v>
      </c>
      <c r="B1212" t="s">
        <v>6816</v>
      </c>
      <c r="C1212">
        <v>-0.6</v>
      </c>
      <c r="D1212">
        <v>23.07</v>
      </c>
      <c r="E1212">
        <v>-0.14000000000000001</v>
      </c>
      <c r="F1212">
        <v>23.05</v>
      </c>
      <c r="G1212">
        <v>23.07</v>
      </c>
      <c r="H1212">
        <v>12002</v>
      </c>
      <c r="I1212">
        <v>310</v>
      </c>
      <c r="J1212">
        <v>0.22</v>
      </c>
      <c r="K1212">
        <v>0.68</v>
      </c>
      <c r="L1212">
        <v>23.21</v>
      </c>
      <c r="M1212">
        <v>23.34</v>
      </c>
      <c r="N1212">
        <v>23</v>
      </c>
      <c r="O1212">
        <v>23.21</v>
      </c>
      <c r="P1212">
        <v>18.7</v>
      </c>
      <c r="Q1212">
        <v>27826426</v>
      </c>
      <c r="R1212">
        <v>0.65</v>
      </c>
      <c r="S1212" t="s">
        <v>2444</v>
      </c>
      <c r="T1212" t="s">
        <v>645</v>
      </c>
      <c r="U1212">
        <v>1.46</v>
      </c>
      <c r="V1212">
        <v>23.18</v>
      </c>
      <c r="W1212">
        <v>6881</v>
      </c>
      <c r="X1212">
        <v>5121</v>
      </c>
      <c r="Y1212">
        <v>1.34</v>
      </c>
      <c r="Z1212">
        <v>40</v>
      </c>
      <c r="AA1212">
        <v>29</v>
      </c>
      <c r="AB1212" t="s">
        <v>116</v>
      </c>
      <c r="AC1212">
        <v>48700</v>
      </c>
      <c r="AD1212">
        <v>0</v>
      </c>
      <c r="AE1212" t="s">
        <v>116</v>
      </c>
      <c r="AF1212" t="s">
        <v>116</v>
      </c>
      <c r="AG1212">
        <v>1.77</v>
      </c>
      <c r="AH1212" t="s">
        <v>6817</v>
      </c>
      <c r="AI1212" t="s">
        <v>6818</v>
      </c>
      <c r="AJ1212">
        <v>0.08</v>
      </c>
      <c r="AK1212">
        <v>936</v>
      </c>
      <c r="AL1212">
        <v>13</v>
      </c>
      <c r="AM1212">
        <v>6.9999999999999999E-4</v>
      </c>
      <c r="AN1212">
        <v>-1</v>
      </c>
      <c r="AO1212">
        <v>-0.94</v>
      </c>
      <c r="AP1212">
        <v>0.44</v>
      </c>
      <c r="AQ1212">
        <v>-2.12</v>
      </c>
      <c r="AR1212">
        <v>4.01</v>
      </c>
      <c r="AS1212">
        <v>1.02</v>
      </c>
      <c r="AT1212" t="s">
        <v>6819</v>
      </c>
      <c r="AU1212">
        <v>17.510000000000002</v>
      </c>
      <c r="AV1212">
        <v>20.29</v>
      </c>
      <c r="AW1212">
        <v>0.82</v>
      </c>
      <c r="BA1212">
        <v>0</v>
      </c>
      <c r="BB1212">
        <v>0.56000000000000005</v>
      </c>
      <c r="BC1212">
        <v>-0.9</v>
      </c>
      <c r="BD1212">
        <v>-0.11</v>
      </c>
      <c r="BE1212">
        <v>-0.6</v>
      </c>
      <c r="BF1212">
        <v>-1.1599999999999999</v>
      </c>
      <c r="BG1212">
        <v>0.3</v>
      </c>
      <c r="BH1212">
        <v>-0.49</v>
      </c>
      <c r="BI1212">
        <v>20191030</v>
      </c>
      <c r="BJ1212">
        <v>20150630</v>
      </c>
      <c r="BK1212">
        <v>2.71</v>
      </c>
      <c r="BL1212" t="s">
        <v>116</v>
      </c>
      <c r="BM1212" t="s">
        <v>116</v>
      </c>
      <c r="BN1212">
        <v>43.3</v>
      </c>
      <c r="BO1212">
        <v>22.4</v>
      </c>
      <c r="BP1212">
        <v>1</v>
      </c>
      <c r="BQ1212">
        <v>45.97</v>
      </c>
      <c r="BR1212">
        <v>31.49</v>
      </c>
      <c r="BS1212">
        <v>7.38</v>
      </c>
      <c r="BT1212">
        <v>0.74</v>
      </c>
      <c r="BU1212">
        <v>19.5</v>
      </c>
      <c r="BV1212">
        <v>11.05</v>
      </c>
      <c r="BW1212">
        <v>9.74</v>
      </c>
      <c r="BX1212">
        <v>9.36</v>
      </c>
      <c r="BY1212">
        <v>30.57</v>
      </c>
      <c r="BZ1212">
        <v>25.08</v>
      </c>
      <c r="CA1212">
        <v>2.92</v>
      </c>
      <c r="CB1212">
        <v>0</v>
      </c>
      <c r="CC1212">
        <v>2.92</v>
      </c>
      <c r="CD1212">
        <v>2.52</v>
      </c>
      <c r="CE1212">
        <v>2.5099999999999998</v>
      </c>
      <c r="CF1212">
        <v>2.46</v>
      </c>
      <c r="CG1212">
        <v>9.4499999999999993</v>
      </c>
      <c r="CH1212">
        <v>-3.57</v>
      </c>
      <c r="CI1212">
        <v>-3.71</v>
      </c>
      <c r="CJ1212">
        <v>14792</v>
      </c>
      <c r="CK1212">
        <v>7990</v>
      </c>
      <c r="CL1212" t="s">
        <v>5219</v>
      </c>
      <c r="CM1212">
        <v>24.26</v>
      </c>
      <c r="CN1212">
        <v>30.57</v>
      </c>
      <c r="CO1212">
        <v>2.79</v>
      </c>
      <c r="CP1212">
        <v>-17.54</v>
      </c>
      <c r="CQ1212">
        <v>2.0499999999999998</v>
      </c>
      <c r="CR1212">
        <v>0.52</v>
      </c>
      <c r="CS1212" t="s">
        <v>6820</v>
      </c>
      <c r="CT1212">
        <v>8.26</v>
      </c>
      <c r="CU1212">
        <v>0</v>
      </c>
      <c r="CV1212">
        <v>3.45</v>
      </c>
      <c r="CW1212">
        <v>3.48</v>
      </c>
      <c r="CX1212">
        <v>-1.32</v>
      </c>
      <c r="CY1212">
        <v>51.73</v>
      </c>
      <c r="CZ1212" t="s">
        <v>6821</v>
      </c>
      <c r="DA1212">
        <v>17.96</v>
      </c>
      <c r="DB1212">
        <v>9.5500000000000007</v>
      </c>
      <c r="DC1212">
        <v>8.2100000000000009</v>
      </c>
      <c r="DD1212">
        <v>0.91</v>
      </c>
      <c r="DE1212">
        <v>2209</v>
      </c>
      <c r="DF1212">
        <v>2768</v>
      </c>
      <c r="DG1212" t="s">
        <v>116</v>
      </c>
      <c r="DH1212" t="s">
        <v>116</v>
      </c>
      <c r="DI1212" t="s">
        <v>116</v>
      </c>
    </row>
    <row r="1213" spans="1:113" x14ac:dyDescent="0.4">
      <c r="A1213" t="str">
        <f>"002769"</f>
        <v>002769</v>
      </c>
      <c r="B1213" t="s">
        <v>6822</v>
      </c>
      <c r="C1213">
        <v>0.47</v>
      </c>
      <c r="D1213">
        <v>8.52</v>
      </c>
      <c r="E1213">
        <v>0.04</v>
      </c>
      <c r="F1213">
        <v>8.51</v>
      </c>
      <c r="G1213">
        <v>8.52</v>
      </c>
      <c r="H1213">
        <v>62276</v>
      </c>
      <c r="I1213">
        <v>487</v>
      </c>
      <c r="J1213">
        <v>0.12</v>
      </c>
      <c r="K1213">
        <v>2.63</v>
      </c>
      <c r="L1213">
        <v>8.48</v>
      </c>
      <c r="M1213">
        <v>8.68</v>
      </c>
      <c r="N1213">
        <v>8.2200000000000006</v>
      </c>
      <c r="O1213">
        <v>8.48</v>
      </c>
      <c r="P1213">
        <v>39.03</v>
      </c>
      <c r="Q1213">
        <v>52924304</v>
      </c>
      <c r="R1213">
        <v>2.34</v>
      </c>
      <c r="S1213" t="s">
        <v>3113</v>
      </c>
      <c r="T1213" t="s">
        <v>115</v>
      </c>
      <c r="U1213">
        <v>5.42</v>
      </c>
      <c r="V1213">
        <v>8.5</v>
      </c>
      <c r="W1213">
        <v>33264</v>
      </c>
      <c r="X1213">
        <v>29012</v>
      </c>
      <c r="Y1213">
        <v>1.1499999999999999</v>
      </c>
      <c r="Z1213">
        <v>625</v>
      </c>
      <c r="AA1213">
        <v>149</v>
      </c>
      <c r="AB1213" t="s">
        <v>116</v>
      </c>
      <c r="AC1213">
        <v>19500</v>
      </c>
      <c r="AD1213">
        <v>0</v>
      </c>
      <c r="AE1213" t="s">
        <v>116</v>
      </c>
      <c r="AF1213" t="s">
        <v>116</v>
      </c>
      <c r="AG1213">
        <v>2.36</v>
      </c>
      <c r="AH1213" t="s">
        <v>6823</v>
      </c>
      <c r="AI1213" t="s">
        <v>6824</v>
      </c>
      <c r="AJ1213">
        <v>1.1499999999999999</v>
      </c>
      <c r="AK1213">
        <v>2171</v>
      </c>
      <c r="AL1213">
        <v>29</v>
      </c>
      <c r="AM1213">
        <v>1.1999999999999999E-3</v>
      </c>
      <c r="AN1213">
        <v>4</v>
      </c>
      <c r="AO1213">
        <v>1.06</v>
      </c>
      <c r="AP1213">
        <v>2.65</v>
      </c>
      <c r="AQ1213">
        <v>-0.47</v>
      </c>
      <c r="AR1213">
        <v>-15.59</v>
      </c>
      <c r="AS1213">
        <v>3.81</v>
      </c>
      <c r="AT1213" t="s">
        <v>6825</v>
      </c>
      <c r="AU1213">
        <v>50.11</v>
      </c>
      <c r="AV1213">
        <v>31.15</v>
      </c>
      <c r="AW1213">
        <v>1.64</v>
      </c>
      <c r="BA1213">
        <v>0</v>
      </c>
      <c r="BB1213">
        <v>2.36</v>
      </c>
      <c r="BC1213">
        <v>-3.07</v>
      </c>
      <c r="BD1213">
        <v>0.22</v>
      </c>
      <c r="BE1213">
        <v>0.47</v>
      </c>
      <c r="BF1213">
        <v>-1.84</v>
      </c>
      <c r="BG1213">
        <v>3.65</v>
      </c>
      <c r="BH1213">
        <v>0.26</v>
      </c>
      <c r="BI1213">
        <v>20191030</v>
      </c>
      <c r="BJ1213">
        <v>20150629</v>
      </c>
      <c r="BK1213">
        <v>3.73</v>
      </c>
      <c r="BL1213" t="s">
        <v>116</v>
      </c>
      <c r="BM1213" t="s">
        <v>116</v>
      </c>
      <c r="BN1213">
        <v>61.8</v>
      </c>
      <c r="BO1213">
        <v>13.78</v>
      </c>
      <c r="BP1213">
        <v>0</v>
      </c>
      <c r="BQ1213">
        <v>77.7</v>
      </c>
      <c r="BR1213">
        <v>58.76</v>
      </c>
      <c r="BS1213">
        <v>0.1</v>
      </c>
      <c r="BT1213">
        <v>0.03</v>
      </c>
      <c r="BU1213">
        <v>47.86</v>
      </c>
      <c r="BV1213">
        <v>1.44</v>
      </c>
      <c r="BW1213">
        <v>10.68</v>
      </c>
      <c r="BX1213">
        <v>2.5499999999999998</v>
      </c>
      <c r="BY1213">
        <v>47.78</v>
      </c>
      <c r="BZ1213">
        <v>43.36</v>
      </c>
      <c r="CA1213">
        <v>0.83</v>
      </c>
      <c r="CB1213">
        <v>0.15</v>
      </c>
      <c r="CC1213">
        <v>0.83</v>
      </c>
      <c r="CD1213">
        <v>0.61</v>
      </c>
      <c r="CE1213">
        <v>0.61</v>
      </c>
      <c r="CF1213">
        <v>0.56000000000000005</v>
      </c>
      <c r="CG1213">
        <v>6.79</v>
      </c>
      <c r="CH1213">
        <v>-3.53</v>
      </c>
      <c r="CI1213">
        <v>-1.66</v>
      </c>
      <c r="CJ1213">
        <v>30109</v>
      </c>
      <c r="CK1213">
        <v>5426</v>
      </c>
      <c r="CL1213" t="s">
        <v>1571</v>
      </c>
      <c r="CM1213">
        <v>-38.74</v>
      </c>
      <c r="CN1213">
        <v>5.0199999999999996</v>
      </c>
      <c r="CO1213">
        <v>2.31</v>
      </c>
      <c r="CP1213">
        <v>-9</v>
      </c>
      <c r="CQ1213">
        <v>0.67</v>
      </c>
      <c r="CR1213">
        <v>0.55000000000000004</v>
      </c>
      <c r="CS1213" t="s">
        <v>1514</v>
      </c>
      <c r="CT1213">
        <v>3.69</v>
      </c>
      <c r="CU1213">
        <v>0</v>
      </c>
      <c r="CV1213">
        <v>0.68</v>
      </c>
      <c r="CW1213">
        <v>1.82</v>
      </c>
      <c r="CX1213">
        <v>-0.95</v>
      </c>
      <c r="CY1213">
        <v>22.3</v>
      </c>
      <c r="CZ1213" t="s">
        <v>5037</v>
      </c>
      <c r="DA1213">
        <v>9.25</v>
      </c>
      <c r="DB1213">
        <v>1.73</v>
      </c>
      <c r="DC1213">
        <v>1.28</v>
      </c>
      <c r="DD1213">
        <v>0.13</v>
      </c>
      <c r="DE1213">
        <v>445</v>
      </c>
      <c r="DF1213">
        <v>2769</v>
      </c>
      <c r="DG1213" t="s">
        <v>116</v>
      </c>
      <c r="DH1213" t="s">
        <v>116</v>
      </c>
      <c r="DI1213" t="s">
        <v>116</v>
      </c>
    </row>
    <row r="1214" spans="1:113" x14ac:dyDescent="0.4">
      <c r="A1214" t="str">
        <f>"002770"</f>
        <v>002770</v>
      </c>
      <c r="B1214" t="s">
        <v>6826</v>
      </c>
      <c r="C1214">
        <v>-1.22</v>
      </c>
      <c r="D1214">
        <v>2.4300000000000002</v>
      </c>
      <c r="E1214">
        <v>-0.03</v>
      </c>
      <c r="F1214">
        <v>2.42</v>
      </c>
      <c r="G1214">
        <v>2.4300000000000002</v>
      </c>
      <c r="H1214">
        <v>230465</v>
      </c>
      <c r="I1214">
        <v>2860</v>
      </c>
      <c r="J1214">
        <v>0.41</v>
      </c>
      <c r="K1214">
        <v>3.82</v>
      </c>
      <c r="L1214">
        <v>2.4500000000000002</v>
      </c>
      <c r="M1214">
        <v>2.5099999999999998</v>
      </c>
      <c r="N1214">
        <v>2.42</v>
      </c>
      <c r="O1214">
        <v>2.46</v>
      </c>
      <c r="P1214">
        <v>60.92</v>
      </c>
      <c r="Q1214">
        <v>56678588</v>
      </c>
      <c r="R1214">
        <v>0.84</v>
      </c>
      <c r="S1214" t="s">
        <v>4803</v>
      </c>
      <c r="T1214" t="s">
        <v>652</v>
      </c>
      <c r="U1214">
        <v>3.66</v>
      </c>
      <c r="V1214">
        <v>2.46</v>
      </c>
      <c r="W1214">
        <v>132813</v>
      </c>
      <c r="X1214">
        <v>97652</v>
      </c>
      <c r="Y1214">
        <v>1.36</v>
      </c>
      <c r="Z1214">
        <v>4475</v>
      </c>
      <c r="AA1214">
        <v>7559</v>
      </c>
      <c r="AB1214" t="s">
        <v>116</v>
      </c>
      <c r="AC1214">
        <v>103600</v>
      </c>
      <c r="AD1214">
        <v>0.01</v>
      </c>
      <c r="AE1214" t="s">
        <v>116</v>
      </c>
      <c r="AF1214" t="s">
        <v>116</v>
      </c>
      <c r="AG1214">
        <v>6.03</v>
      </c>
      <c r="AH1214" t="s">
        <v>6827</v>
      </c>
      <c r="AI1214" t="s">
        <v>6828</v>
      </c>
      <c r="AJ1214">
        <v>-0.54</v>
      </c>
      <c r="AK1214">
        <v>1571</v>
      </c>
      <c r="AL1214">
        <v>147</v>
      </c>
      <c r="AM1214">
        <v>2.3999999999999998E-3</v>
      </c>
      <c r="AN1214">
        <v>-1</v>
      </c>
      <c r="AO1214">
        <v>1.25</v>
      </c>
      <c r="AP1214">
        <v>7.05</v>
      </c>
      <c r="AQ1214">
        <v>-3.95</v>
      </c>
      <c r="AR1214">
        <v>-12.31</v>
      </c>
      <c r="AS1214">
        <v>4.53</v>
      </c>
      <c r="AT1214" t="s">
        <v>204</v>
      </c>
      <c r="AU1214">
        <v>49.49</v>
      </c>
      <c r="AV1214">
        <v>20.6</v>
      </c>
      <c r="AW1214">
        <v>1.06</v>
      </c>
      <c r="BA1214">
        <v>-0.41</v>
      </c>
      <c r="BB1214">
        <v>2.0299999999999998</v>
      </c>
      <c r="BC1214">
        <v>-1.63</v>
      </c>
      <c r="BD1214">
        <v>-0.03</v>
      </c>
      <c r="BE1214">
        <v>-0.82</v>
      </c>
      <c r="BF1214">
        <v>-3.19</v>
      </c>
      <c r="BG1214">
        <v>0.41</v>
      </c>
      <c r="BH1214">
        <v>-1.19</v>
      </c>
      <c r="BI1214">
        <v>20191031</v>
      </c>
      <c r="BJ1214">
        <v>20150630</v>
      </c>
      <c r="BK1214">
        <v>10.95</v>
      </c>
      <c r="BL1214" t="s">
        <v>116</v>
      </c>
      <c r="BM1214" t="s">
        <v>116</v>
      </c>
      <c r="BN1214">
        <v>36.090000000000003</v>
      </c>
      <c r="BO1214">
        <v>17.850000000000001</v>
      </c>
      <c r="BP1214">
        <v>0</v>
      </c>
      <c r="BQ1214">
        <v>50.54</v>
      </c>
      <c r="BR1214">
        <v>20.97</v>
      </c>
      <c r="BS1214">
        <v>13.32</v>
      </c>
      <c r="BT1214">
        <v>0.48</v>
      </c>
      <c r="BU1214">
        <v>18.010000000000002</v>
      </c>
      <c r="BV1214">
        <v>0.53</v>
      </c>
      <c r="BW1214">
        <v>0.3</v>
      </c>
      <c r="BX1214">
        <v>0.06</v>
      </c>
      <c r="BY1214">
        <v>7.49</v>
      </c>
      <c r="BZ1214">
        <v>5.91</v>
      </c>
      <c r="CA1214">
        <v>0.41</v>
      </c>
      <c r="CB1214">
        <v>0</v>
      </c>
      <c r="CC1214">
        <v>0.43</v>
      </c>
      <c r="CD1214">
        <v>0.33</v>
      </c>
      <c r="CE1214">
        <v>0.33</v>
      </c>
      <c r="CF1214">
        <v>0.28999999999999998</v>
      </c>
      <c r="CG1214">
        <v>6.13</v>
      </c>
      <c r="CH1214">
        <v>1.81</v>
      </c>
      <c r="CI1214">
        <v>-16.440000000000001</v>
      </c>
      <c r="CJ1214">
        <v>47133</v>
      </c>
      <c r="CK1214">
        <v>10790</v>
      </c>
      <c r="CL1214" t="s">
        <v>6829</v>
      </c>
      <c r="CM1214">
        <v>-69.7</v>
      </c>
      <c r="CN1214">
        <v>-22.89</v>
      </c>
      <c r="CO1214">
        <v>1.49</v>
      </c>
      <c r="CP1214">
        <v>14.71</v>
      </c>
      <c r="CQ1214">
        <v>3.55</v>
      </c>
      <c r="CR1214">
        <v>0.78</v>
      </c>
      <c r="CS1214" t="s">
        <v>2913</v>
      </c>
      <c r="CT1214">
        <v>1.63</v>
      </c>
      <c r="CU1214">
        <v>0</v>
      </c>
      <c r="CV1214">
        <v>0.01</v>
      </c>
      <c r="CW1214">
        <v>0.56000000000000005</v>
      </c>
      <c r="CX1214">
        <v>0.17</v>
      </c>
      <c r="CY1214">
        <v>49.46</v>
      </c>
      <c r="CZ1214" t="s">
        <v>2285</v>
      </c>
      <c r="DA1214">
        <v>21.05</v>
      </c>
      <c r="DB1214">
        <v>5.54</v>
      </c>
      <c r="DC1214">
        <v>4.38</v>
      </c>
      <c r="DD1214">
        <v>0</v>
      </c>
      <c r="DE1214">
        <v>1565</v>
      </c>
      <c r="DF1214">
        <v>2770</v>
      </c>
      <c r="DG1214" t="s">
        <v>116</v>
      </c>
      <c r="DH1214" t="s">
        <v>116</v>
      </c>
      <c r="DI1214" t="s">
        <v>116</v>
      </c>
    </row>
    <row r="1215" spans="1:113" x14ac:dyDescent="0.4">
      <c r="A1215" t="str">
        <f>"002771"</f>
        <v>002771</v>
      </c>
      <c r="B1215" t="s">
        <v>6830</v>
      </c>
      <c r="C1215">
        <v>-1.66</v>
      </c>
      <c r="D1215">
        <v>11.26</v>
      </c>
      <c r="E1215">
        <v>-0.19</v>
      </c>
      <c r="F1215">
        <v>11.26</v>
      </c>
      <c r="G1215">
        <v>11.27</v>
      </c>
      <c r="H1215">
        <v>30501</v>
      </c>
      <c r="I1215">
        <v>394</v>
      </c>
      <c r="J1215">
        <v>0.27</v>
      </c>
      <c r="K1215">
        <v>2.37</v>
      </c>
      <c r="L1215">
        <v>11.56</v>
      </c>
      <c r="M1215">
        <v>11.58</v>
      </c>
      <c r="N1215">
        <v>11.2</v>
      </c>
      <c r="O1215">
        <v>11.45</v>
      </c>
      <c r="P1215">
        <v>110.48</v>
      </c>
      <c r="Q1215">
        <v>34728960</v>
      </c>
      <c r="R1215">
        <v>0.88</v>
      </c>
      <c r="S1215" t="s">
        <v>607</v>
      </c>
      <c r="T1215" t="s">
        <v>165</v>
      </c>
      <c r="U1215">
        <v>3.32</v>
      </c>
      <c r="V1215">
        <v>11.39</v>
      </c>
      <c r="W1215">
        <v>17278</v>
      </c>
      <c r="X1215">
        <v>13223</v>
      </c>
      <c r="Y1215">
        <v>1.31</v>
      </c>
      <c r="Z1215">
        <v>158</v>
      </c>
      <c r="AA1215">
        <v>23</v>
      </c>
      <c r="AB1215" t="s">
        <v>116</v>
      </c>
      <c r="AC1215">
        <v>168800</v>
      </c>
      <c r="AD1215">
        <v>0.01</v>
      </c>
      <c r="AE1215" t="s">
        <v>116</v>
      </c>
      <c r="AF1215" t="s">
        <v>116</v>
      </c>
      <c r="AG1215">
        <v>1.28</v>
      </c>
      <c r="AH1215" t="s">
        <v>5321</v>
      </c>
      <c r="AI1215" t="s">
        <v>6290</v>
      </c>
      <c r="AJ1215">
        <v>-0.98</v>
      </c>
      <c r="AK1215">
        <v>1767</v>
      </c>
      <c r="AL1215">
        <v>17</v>
      </c>
      <c r="AM1215">
        <v>1.2999999999999999E-3</v>
      </c>
      <c r="AN1215">
        <v>-1</v>
      </c>
      <c r="AO1215">
        <v>0.98</v>
      </c>
      <c r="AP1215">
        <v>9.2100000000000009</v>
      </c>
      <c r="AQ1215">
        <v>-6.01</v>
      </c>
      <c r="AR1215">
        <v>33.5</v>
      </c>
      <c r="AS1215">
        <v>2.94</v>
      </c>
      <c r="AT1215" t="s">
        <v>5948</v>
      </c>
      <c r="AU1215">
        <v>79.680000000000007</v>
      </c>
      <c r="AV1215">
        <v>56.15</v>
      </c>
      <c r="AW1215">
        <v>1.47</v>
      </c>
      <c r="BA1215">
        <v>0.96</v>
      </c>
      <c r="BB1215">
        <v>1.1399999999999999</v>
      </c>
      <c r="BC1215">
        <v>-2.1800000000000002</v>
      </c>
      <c r="BD1215">
        <v>-0.56000000000000005</v>
      </c>
      <c r="BE1215">
        <v>-2.6</v>
      </c>
      <c r="BF1215">
        <v>-2.76</v>
      </c>
      <c r="BG1215">
        <v>0.54</v>
      </c>
      <c r="BH1215">
        <v>-1.1000000000000001</v>
      </c>
      <c r="BI1215">
        <v>20191226</v>
      </c>
      <c r="BJ1215">
        <v>20150629</v>
      </c>
      <c r="BK1215">
        <v>2.1</v>
      </c>
      <c r="BL1215" t="s">
        <v>116</v>
      </c>
      <c r="BM1215" t="s">
        <v>116</v>
      </c>
      <c r="BN1215">
        <v>11.43</v>
      </c>
      <c r="BO1215">
        <v>6.77</v>
      </c>
      <c r="BP1215">
        <v>0.01</v>
      </c>
      <c r="BQ1215">
        <v>40.71</v>
      </c>
      <c r="BR1215">
        <v>9.6300000000000008</v>
      </c>
      <c r="BS1215">
        <v>1.1599999999999999</v>
      </c>
      <c r="BT1215">
        <v>0.16</v>
      </c>
      <c r="BU1215">
        <v>4.5599999999999996</v>
      </c>
      <c r="BV1215">
        <v>2.8</v>
      </c>
      <c r="BW1215">
        <v>5.14</v>
      </c>
      <c r="BX1215">
        <v>1.52</v>
      </c>
      <c r="BY1215">
        <v>4.63</v>
      </c>
      <c r="BZ1215">
        <v>3.45</v>
      </c>
      <c r="CA1215">
        <v>0.18</v>
      </c>
      <c r="CB1215">
        <v>0</v>
      </c>
      <c r="CC1215">
        <v>0.18</v>
      </c>
      <c r="CD1215">
        <v>0.16</v>
      </c>
      <c r="CE1215">
        <v>0.16</v>
      </c>
      <c r="CF1215">
        <v>0.13</v>
      </c>
      <c r="CG1215">
        <v>2.79</v>
      </c>
      <c r="CH1215">
        <v>-1.04</v>
      </c>
      <c r="CI1215">
        <v>-1.1000000000000001</v>
      </c>
      <c r="CJ1215">
        <v>22548</v>
      </c>
      <c r="CK1215">
        <v>4601</v>
      </c>
      <c r="CL1215" t="s">
        <v>6831</v>
      </c>
      <c r="CM1215">
        <v>-43.66</v>
      </c>
      <c r="CN1215">
        <v>-14.9</v>
      </c>
      <c r="CO1215">
        <v>3.49</v>
      </c>
      <c r="CP1215">
        <v>-22.81</v>
      </c>
      <c r="CQ1215">
        <v>5.0999999999999996</v>
      </c>
      <c r="CR1215">
        <v>0.51</v>
      </c>
      <c r="CS1215" t="s">
        <v>3475</v>
      </c>
      <c r="CT1215">
        <v>3.23</v>
      </c>
      <c r="CU1215">
        <v>0</v>
      </c>
      <c r="CV1215">
        <v>0.72</v>
      </c>
      <c r="CW1215">
        <v>1.33</v>
      </c>
      <c r="CX1215">
        <v>-0.49</v>
      </c>
      <c r="CY1215">
        <v>59.2</v>
      </c>
      <c r="CZ1215" t="s">
        <v>6832</v>
      </c>
      <c r="DA1215">
        <v>25.42</v>
      </c>
      <c r="DB1215">
        <v>3.89</v>
      </c>
      <c r="DC1215">
        <v>3.46</v>
      </c>
      <c r="DD1215">
        <v>0.28999999999999998</v>
      </c>
      <c r="DE1215">
        <v>532</v>
      </c>
      <c r="DF1215">
        <v>2771</v>
      </c>
      <c r="DG1215" t="s">
        <v>116</v>
      </c>
      <c r="DH1215" t="s">
        <v>116</v>
      </c>
      <c r="DI1215" t="s">
        <v>116</v>
      </c>
    </row>
    <row r="1216" spans="1:113" x14ac:dyDescent="0.4">
      <c r="A1216" t="str">
        <f>"002772"</f>
        <v>002772</v>
      </c>
      <c r="B1216" t="s">
        <v>6833</v>
      </c>
      <c r="C1216">
        <v>-1.01</v>
      </c>
      <c r="D1216">
        <v>6.87</v>
      </c>
      <c r="E1216">
        <v>-7.0000000000000007E-2</v>
      </c>
      <c r="F1216">
        <v>6.87</v>
      </c>
      <c r="G1216">
        <v>6.88</v>
      </c>
      <c r="H1216">
        <v>17832</v>
      </c>
      <c r="I1216">
        <v>53</v>
      </c>
      <c r="J1216">
        <v>0</v>
      </c>
      <c r="K1216">
        <v>0.7</v>
      </c>
      <c r="L1216">
        <v>6.95</v>
      </c>
      <c r="M1216">
        <v>6.95</v>
      </c>
      <c r="N1216">
        <v>6.86</v>
      </c>
      <c r="O1216">
        <v>6.94</v>
      </c>
      <c r="P1216">
        <v>48.03</v>
      </c>
      <c r="Q1216">
        <v>12322247</v>
      </c>
      <c r="R1216">
        <v>0.71</v>
      </c>
      <c r="S1216" t="s">
        <v>1871</v>
      </c>
      <c r="T1216" t="s">
        <v>1122</v>
      </c>
      <c r="U1216">
        <v>1.3</v>
      </c>
      <c r="V1216">
        <v>6.91</v>
      </c>
      <c r="W1216">
        <v>10731</v>
      </c>
      <c r="X1216">
        <v>7101</v>
      </c>
      <c r="Y1216">
        <v>1.51</v>
      </c>
      <c r="Z1216">
        <v>156</v>
      </c>
      <c r="AA1216">
        <v>780</v>
      </c>
      <c r="AB1216" t="s">
        <v>116</v>
      </c>
      <c r="AC1216">
        <v>37500</v>
      </c>
      <c r="AD1216">
        <v>0</v>
      </c>
      <c r="AE1216" t="s">
        <v>116</v>
      </c>
      <c r="AF1216" t="s">
        <v>116</v>
      </c>
      <c r="AG1216">
        <v>2.56</v>
      </c>
      <c r="AH1216" t="s">
        <v>6834</v>
      </c>
      <c r="AI1216" t="s">
        <v>6835</v>
      </c>
      <c r="AJ1216">
        <v>-0.33</v>
      </c>
      <c r="AK1216">
        <v>632</v>
      </c>
      <c r="AL1216">
        <v>28</v>
      </c>
      <c r="AM1216">
        <v>1.1000000000000001E-3</v>
      </c>
      <c r="AN1216">
        <v>-1</v>
      </c>
      <c r="AO1216">
        <v>0.44</v>
      </c>
      <c r="AP1216">
        <v>2.54</v>
      </c>
      <c r="AQ1216">
        <v>-0.28999999999999998</v>
      </c>
      <c r="AR1216">
        <v>7.85</v>
      </c>
      <c r="AS1216">
        <v>0.81</v>
      </c>
      <c r="AT1216" t="s">
        <v>1885</v>
      </c>
      <c r="AU1216">
        <v>55.55</v>
      </c>
      <c r="AV1216">
        <v>22.57</v>
      </c>
      <c r="AW1216">
        <v>0.68</v>
      </c>
      <c r="BA1216">
        <v>0.14000000000000001</v>
      </c>
      <c r="BB1216">
        <v>0.14000000000000001</v>
      </c>
      <c r="BC1216">
        <v>-1.1499999999999999</v>
      </c>
      <c r="BD1216">
        <v>-0.43</v>
      </c>
      <c r="BE1216">
        <v>-1.1499999999999999</v>
      </c>
      <c r="BF1216">
        <v>-1.1499999999999999</v>
      </c>
      <c r="BG1216">
        <v>0.15</v>
      </c>
      <c r="BH1216">
        <v>-0.57999999999999996</v>
      </c>
      <c r="BI1216">
        <v>20191026</v>
      </c>
      <c r="BJ1216">
        <v>20150626</v>
      </c>
      <c r="BK1216">
        <v>3.68</v>
      </c>
      <c r="BL1216" t="s">
        <v>116</v>
      </c>
      <c r="BM1216" t="s">
        <v>116</v>
      </c>
      <c r="BN1216">
        <v>49.45</v>
      </c>
      <c r="BO1216">
        <v>26.15</v>
      </c>
      <c r="BP1216">
        <v>0.02</v>
      </c>
      <c r="BQ1216">
        <v>47.07</v>
      </c>
      <c r="BR1216">
        <v>17.97</v>
      </c>
      <c r="BS1216">
        <v>18.63</v>
      </c>
      <c r="BT1216">
        <v>3.15</v>
      </c>
      <c r="BU1216">
        <v>3.32</v>
      </c>
      <c r="BV1216">
        <v>1.31</v>
      </c>
      <c r="BW1216">
        <v>0.09</v>
      </c>
      <c r="BX1216">
        <v>15.19</v>
      </c>
      <c r="BY1216">
        <v>7.68</v>
      </c>
      <c r="BZ1216">
        <v>6.22</v>
      </c>
      <c r="CA1216">
        <v>0.39</v>
      </c>
      <c r="CB1216">
        <v>0.14000000000000001</v>
      </c>
      <c r="CC1216">
        <v>0.4</v>
      </c>
      <c r="CD1216">
        <v>0.4</v>
      </c>
      <c r="CE1216">
        <v>0.39</v>
      </c>
      <c r="CF1216">
        <v>0.13</v>
      </c>
      <c r="CG1216">
        <v>6.27</v>
      </c>
      <c r="CH1216">
        <v>2.2400000000000002</v>
      </c>
      <c r="CI1216">
        <v>6.33</v>
      </c>
      <c r="CJ1216">
        <v>34346</v>
      </c>
      <c r="CK1216">
        <v>6402</v>
      </c>
      <c r="CL1216" t="s">
        <v>2061</v>
      </c>
      <c r="CM1216">
        <v>-62.76</v>
      </c>
      <c r="CN1216">
        <v>12.2</v>
      </c>
      <c r="CO1216">
        <v>1.04</v>
      </c>
      <c r="CP1216">
        <v>11.3</v>
      </c>
      <c r="CQ1216">
        <v>3.29</v>
      </c>
      <c r="CR1216">
        <v>1.4</v>
      </c>
      <c r="CS1216" t="s">
        <v>4957</v>
      </c>
      <c r="CT1216">
        <v>6.57</v>
      </c>
      <c r="CU1216">
        <v>6.57</v>
      </c>
      <c r="CV1216">
        <v>4.13</v>
      </c>
      <c r="CW1216">
        <v>1.71</v>
      </c>
      <c r="CX1216">
        <v>0.61</v>
      </c>
      <c r="CY1216">
        <v>52.88</v>
      </c>
      <c r="CZ1216" t="s">
        <v>6481</v>
      </c>
      <c r="DA1216">
        <v>18.96</v>
      </c>
      <c r="DB1216">
        <v>5.1100000000000003</v>
      </c>
      <c r="DC1216">
        <v>5.14</v>
      </c>
      <c r="DD1216">
        <v>0.03</v>
      </c>
      <c r="DE1216">
        <v>3881</v>
      </c>
      <c r="DF1216">
        <v>2772</v>
      </c>
      <c r="DG1216" t="s">
        <v>116</v>
      </c>
      <c r="DH1216" t="s">
        <v>116</v>
      </c>
      <c r="DI1216" t="s">
        <v>116</v>
      </c>
    </row>
    <row r="1217" spans="1:113" x14ac:dyDescent="0.4">
      <c r="A1217" t="str">
        <f>"002773"</f>
        <v>002773</v>
      </c>
      <c r="B1217" t="s">
        <v>6836</v>
      </c>
      <c r="C1217">
        <v>-1.52</v>
      </c>
      <c r="D1217">
        <v>35.700000000000003</v>
      </c>
      <c r="E1217">
        <v>-0.55000000000000004</v>
      </c>
      <c r="F1217">
        <v>35.69</v>
      </c>
      <c r="G1217">
        <v>35.700000000000003</v>
      </c>
      <c r="H1217">
        <v>37433</v>
      </c>
      <c r="I1217">
        <v>367</v>
      </c>
      <c r="J1217">
        <v>-0.49</v>
      </c>
      <c r="K1217">
        <v>0.6</v>
      </c>
      <c r="L1217">
        <v>36.47</v>
      </c>
      <c r="M1217">
        <v>36.47</v>
      </c>
      <c r="N1217">
        <v>35.61</v>
      </c>
      <c r="O1217">
        <v>36.25</v>
      </c>
      <c r="P1217">
        <v>42.45</v>
      </c>
      <c r="Q1217">
        <v>134566256</v>
      </c>
      <c r="R1217">
        <v>0.74</v>
      </c>
      <c r="S1217" t="s">
        <v>574</v>
      </c>
      <c r="T1217" t="s">
        <v>582</v>
      </c>
      <c r="U1217">
        <v>2.37</v>
      </c>
      <c r="V1217">
        <v>35.950000000000003</v>
      </c>
      <c r="W1217">
        <v>21270</v>
      </c>
      <c r="X1217">
        <v>16163</v>
      </c>
      <c r="Y1217">
        <v>1.32</v>
      </c>
      <c r="Z1217">
        <v>28</v>
      </c>
      <c r="AA1217">
        <v>4</v>
      </c>
      <c r="AB1217" t="s">
        <v>116</v>
      </c>
      <c r="AC1217">
        <v>481400</v>
      </c>
      <c r="AD1217">
        <v>0.01</v>
      </c>
      <c r="AE1217" t="s">
        <v>116</v>
      </c>
      <c r="AF1217" t="s">
        <v>116</v>
      </c>
      <c r="AG1217">
        <v>6.21</v>
      </c>
      <c r="AH1217" t="s">
        <v>6837</v>
      </c>
      <c r="AI1217" t="s">
        <v>6838</v>
      </c>
      <c r="AJ1217">
        <v>-0.84</v>
      </c>
      <c r="AK1217">
        <v>3339</v>
      </c>
      <c r="AL1217">
        <v>11</v>
      </c>
      <c r="AM1217">
        <v>2.0000000000000001E-4</v>
      </c>
      <c r="AN1217">
        <v>-2</v>
      </c>
      <c r="AO1217">
        <v>-0.51</v>
      </c>
      <c r="AP1217">
        <v>-10.26</v>
      </c>
      <c r="AQ1217">
        <v>8.02</v>
      </c>
      <c r="AR1217">
        <v>37.35</v>
      </c>
      <c r="AS1217">
        <v>1.47</v>
      </c>
      <c r="AT1217" t="s">
        <v>6839</v>
      </c>
      <c r="AU1217">
        <v>42.2</v>
      </c>
      <c r="AV1217">
        <v>44.98</v>
      </c>
      <c r="AW1217">
        <v>0.38</v>
      </c>
      <c r="BA1217">
        <v>0.61</v>
      </c>
      <c r="BB1217">
        <v>0.61</v>
      </c>
      <c r="BC1217">
        <v>-1.77</v>
      </c>
      <c r="BD1217">
        <v>-0.83</v>
      </c>
      <c r="BE1217">
        <v>-2.11</v>
      </c>
      <c r="BF1217">
        <v>-2.11</v>
      </c>
      <c r="BG1217">
        <v>0.25</v>
      </c>
      <c r="BH1217">
        <v>-0.69</v>
      </c>
      <c r="BI1217">
        <v>20191031</v>
      </c>
      <c r="BJ1217">
        <v>20150626</v>
      </c>
      <c r="BK1217">
        <v>8.76</v>
      </c>
      <c r="BL1217" t="s">
        <v>116</v>
      </c>
      <c r="BM1217" t="s">
        <v>116</v>
      </c>
      <c r="BN1217">
        <v>55.08</v>
      </c>
      <c r="BO1217">
        <v>44.55</v>
      </c>
      <c r="BP1217">
        <v>0</v>
      </c>
      <c r="BQ1217">
        <v>19.11</v>
      </c>
      <c r="BR1217">
        <v>30.87</v>
      </c>
      <c r="BS1217">
        <v>6.9</v>
      </c>
      <c r="BT1217">
        <v>3.08</v>
      </c>
      <c r="BU1217">
        <v>5.88</v>
      </c>
      <c r="BV1217">
        <v>2.48</v>
      </c>
      <c r="BW1217">
        <v>4.1399999999999997</v>
      </c>
      <c r="BX1217">
        <v>3.77</v>
      </c>
      <c r="BY1217">
        <v>24.1</v>
      </c>
      <c r="BZ1217">
        <v>1.86</v>
      </c>
      <c r="CA1217">
        <v>6.49</v>
      </c>
      <c r="CB1217">
        <v>0.17</v>
      </c>
      <c r="CC1217">
        <v>6.54</v>
      </c>
      <c r="CD1217">
        <v>5.52</v>
      </c>
      <c r="CE1217">
        <v>5.52</v>
      </c>
      <c r="CF1217">
        <v>5.04</v>
      </c>
      <c r="CG1217">
        <v>28.73</v>
      </c>
      <c r="CH1217">
        <v>5.38</v>
      </c>
      <c r="CI1217">
        <v>-4.8099999999999996</v>
      </c>
      <c r="CJ1217">
        <v>12461</v>
      </c>
      <c r="CK1217">
        <v>20462</v>
      </c>
      <c r="CL1217" t="s">
        <v>6840</v>
      </c>
      <c r="CM1217">
        <v>9.0500000000000007</v>
      </c>
      <c r="CN1217">
        <v>10.41</v>
      </c>
      <c r="CO1217">
        <v>7</v>
      </c>
      <c r="CP1217">
        <v>58.13</v>
      </c>
      <c r="CQ1217">
        <v>12.97</v>
      </c>
      <c r="CR1217">
        <v>0.6</v>
      </c>
      <c r="CS1217" t="s">
        <v>6841</v>
      </c>
      <c r="CT1217">
        <v>5.0999999999999996</v>
      </c>
      <c r="CU1217">
        <v>5.0999999999999996</v>
      </c>
      <c r="CV1217">
        <v>0.43</v>
      </c>
      <c r="CW1217">
        <v>3.28</v>
      </c>
      <c r="CX1217">
        <v>0.61</v>
      </c>
      <c r="CY1217">
        <v>80.89</v>
      </c>
      <c r="CZ1217" t="s">
        <v>6842</v>
      </c>
      <c r="DA1217">
        <v>92.29</v>
      </c>
      <c r="DB1217">
        <v>26.95</v>
      </c>
      <c r="DC1217">
        <v>22.92</v>
      </c>
      <c r="DD1217">
        <v>1.87</v>
      </c>
      <c r="DE1217">
        <v>4382</v>
      </c>
      <c r="DF1217">
        <v>2773</v>
      </c>
      <c r="DG1217" t="s">
        <v>116</v>
      </c>
      <c r="DH1217" t="s">
        <v>116</v>
      </c>
      <c r="DI1217" t="s">
        <v>116</v>
      </c>
    </row>
    <row r="1218" spans="1:113" x14ac:dyDescent="0.4">
      <c r="A1218" t="str">
        <f>"002774"</f>
        <v>002774</v>
      </c>
      <c r="B1218" t="s">
        <v>6843</v>
      </c>
      <c r="C1218">
        <v>0.27</v>
      </c>
      <c r="D1218">
        <v>7.55</v>
      </c>
      <c r="E1218">
        <v>0.02</v>
      </c>
      <c r="F1218">
        <v>7.54</v>
      </c>
      <c r="G1218">
        <v>7.55</v>
      </c>
      <c r="H1218">
        <v>15335</v>
      </c>
      <c r="I1218">
        <v>227</v>
      </c>
      <c r="J1218">
        <v>0</v>
      </c>
      <c r="K1218">
        <v>1.71</v>
      </c>
      <c r="L1218">
        <v>7.57</v>
      </c>
      <c r="M1218">
        <v>7.61</v>
      </c>
      <c r="N1218">
        <v>7.54</v>
      </c>
      <c r="O1218">
        <v>7.53</v>
      </c>
      <c r="P1218">
        <v>1926.14</v>
      </c>
      <c r="Q1218">
        <v>11611099</v>
      </c>
      <c r="R1218">
        <v>0.84</v>
      </c>
      <c r="S1218" t="s">
        <v>164</v>
      </c>
      <c r="T1218" t="s">
        <v>551</v>
      </c>
      <c r="U1218">
        <v>0.93</v>
      </c>
      <c r="V1218">
        <v>7.57</v>
      </c>
      <c r="W1218">
        <v>8135</v>
      </c>
      <c r="X1218">
        <v>7200</v>
      </c>
      <c r="Y1218">
        <v>1.1299999999999999</v>
      </c>
      <c r="Z1218">
        <v>158</v>
      </c>
      <c r="AA1218">
        <v>164</v>
      </c>
      <c r="AB1218" t="s">
        <v>116</v>
      </c>
      <c r="AC1218">
        <v>45400</v>
      </c>
      <c r="AD1218">
        <v>0.01</v>
      </c>
      <c r="AE1218" t="s">
        <v>116</v>
      </c>
      <c r="AF1218" t="s">
        <v>116</v>
      </c>
      <c r="AG1218">
        <v>0.9</v>
      </c>
      <c r="AH1218" t="s">
        <v>6844</v>
      </c>
      <c r="AI1218" t="s">
        <v>3123</v>
      </c>
      <c r="AJ1218">
        <v>0.94</v>
      </c>
      <c r="AK1218">
        <v>552</v>
      </c>
      <c r="AL1218">
        <v>28</v>
      </c>
      <c r="AM1218">
        <v>3.0999999999999999E-3</v>
      </c>
      <c r="AN1218">
        <v>1</v>
      </c>
      <c r="AO1218">
        <v>-0.39</v>
      </c>
      <c r="AP1218">
        <v>2.0299999999999998</v>
      </c>
      <c r="AQ1218">
        <v>-5.63</v>
      </c>
      <c r="AR1218">
        <v>-6.3</v>
      </c>
      <c r="AS1218">
        <v>1.71</v>
      </c>
      <c r="AT1218" t="s">
        <v>6844</v>
      </c>
      <c r="AU1218">
        <v>57.69</v>
      </c>
      <c r="AV1218">
        <v>35.92</v>
      </c>
      <c r="AW1218">
        <v>0.57999999999999996</v>
      </c>
      <c r="BA1218">
        <v>0.53</v>
      </c>
      <c r="BB1218">
        <v>1.06</v>
      </c>
      <c r="BC1218">
        <v>0.13</v>
      </c>
      <c r="BD1218">
        <v>0.55000000000000004</v>
      </c>
      <c r="BE1218">
        <v>-0.26</v>
      </c>
      <c r="BF1218">
        <v>-0.79</v>
      </c>
      <c r="BG1218">
        <v>0.13</v>
      </c>
      <c r="BH1218">
        <v>-0.28999999999999998</v>
      </c>
      <c r="BI1218">
        <v>20191120</v>
      </c>
      <c r="BJ1218">
        <v>20170324</v>
      </c>
      <c r="BK1218">
        <v>3.41</v>
      </c>
      <c r="BL1218" t="s">
        <v>116</v>
      </c>
      <c r="BM1218" t="s">
        <v>116</v>
      </c>
      <c r="BN1218">
        <v>15.81</v>
      </c>
      <c r="BO1218">
        <v>10.57</v>
      </c>
      <c r="BP1218">
        <v>0.01</v>
      </c>
      <c r="BQ1218">
        <v>33.06</v>
      </c>
      <c r="BR1218">
        <v>13.16</v>
      </c>
      <c r="BS1218">
        <v>1.17</v>
      </c>
      <c r="BT1218">
        <v>0.69</v>
      </c>
      <c r="BU1218">
        <v>4.76</v>
      </c>
      <c r="BV1218">
        <v>3.41</v>
      </c>
      <c r="BW1218">
        <v>1.88</v>
      </c>
      <c r="BX1218">
        <v>4.3</v>
      </c>
      <c r="BY1218">
        <v>5.14</v>
      </c>
      <c r="BZ1218">
        <v>3.8</v>
      </c>
      <c r="CA1218">
        <v>0.02</v>
      </c>
      <c r="CB1218">
        <v>0.12</v>
      </c>
      <c r="CC1218">
        <v>0.03</v>
      </c>
      <c r="CD1218">
        <v>0.01</v>
      </c>
      <c r="CE1218">
        <v>0.01</v>
      </c>
      <c r="CF1218">
        <v>-0.11</v>
      </c>
      <c r="CG1218">
        <v>2.34</v>
      </c>
      <c r="CH1218">
        <v>-0.28999999999999998</v>
      </c>
      <c r="CI1218">
        <v>-7.0000000000000007E-2</v>
      </c>
      <c r="CJ1218">
        <v>26528</v>
      </c>
      <c r="CK1218">
        <v>3387</v>
      </c>
      <c r="CL1218" t="s">
        <v>6845</v>
      </c>
      <c r="CM1218">
        <v>-96.43</v>
      </c>
      <c r="CN1218">
        <v>-3.18</v>
      </c>
      <c r="CO1218">
        <v>2.44</v>
      </c>
      <c r="CP1218">
        <v>-88.97</v>
      </c>
      <c r="CQ1218">
        <v>5.01</v>
      </c>
      <c r="CR1218">
        <v>0.56000000000000005</v>
      </c>
      <c r="CS1218" t="s">
        <v>350</v>
      </c>
      <c r="CT1218">
        <v>3.1</v>
      </c>
      <c r="CU1218">
        <v>0</v>
      </c>
      <c r="CV1218">
        <v>1.26</v>
      </c>
      <c r="CW1218">
        <v>0.69</v>
      </c>
      <c r="CX1218">
        <v>-0.08</v>
      </c>
      <c r="CY1218">
        <v>66.88</v>
      </c>
      <c r="CZ1218" t="s">
        <v>5544</v>
      </c>
      <c r="DA1218">
        <v>26.09</v>
      </c>
      <c r="DB1218">
        <v>0.43</v>
      </c>
      <c r="DC1218">
        <v>0.2</v>
      </c>
      <c r="DD1218">
        <v>0.18</v>
      </c>
      <c r="DE1218">
        <v>1392</v>
      </c>
      <c r="DF1218">
        <v>2774</v>
      </c>
      <c r="DG1218" t="s">
        <v>116</v>
      </c>
      <c r="DH1218" t="s">
        <v>116</v>
      </c>
      <c r="DI1218" t="s">
        <v>116</v>
      </c>
    </row>
    <row r="1219" spans="1:113" x14ac:dyDescent="0.4">
      <c r="A1219" t="str">
        <f>"002775"</f>
        <v>002775</v>
      </c>
      <c r="B1219" t="s">
        <v>6846</v>
      </c>
      <c r="C1219">
        <v>-0.52</v>
      </c>
      <c r="D1219">
        <v>5.73</v>
      </c>
      <c r="E1219">
        <v>-0.03</v>
      </c>
      <c r="F1219">
        <v>5.72</v>
      </c>
      <c r="G1219">
        <v>5.73</v>
      </c>
      <c r="H1219">
        <v>22024</v>
      </c>
      <c r="I1219">
        <v>452</v>
      </c>
      <c r="J1219">
        <v>0.17</v>
      </c>
      <c r="K1219">
        <v>0.53</v>
      </c>
      <c r="L1219">
        <v>5.75</v>
      </c>
      <c r="M1219">
        <v>5.79</v>
      </c>
      <c r="N1219">
        <v>5.72</v>
      </c>
      <c r="O1219">
        <v>5.76</v>
      </c>
      <c r="P1219">
        <v>11.22</v>
      </c>
      <c r="Q1219">
        <v>12678171</v>
      </c>
      <c r="R1219">
        <v>1.1299999999999999</v>
      </c>
      <c r="S1219" t="s">
        <v>181</v>
      </c>
      <c r="T1219" t="s">
        <v>115</v>
      </c>
      <c r="U1219">
        <v>1.22</v>
      </c>
      <c r="V1219">
        <v>5.76</v>
      </c>
      <c r="W1219">
        <v>11537</v>
      </c>
      <c r="X1219">
        <v>10487</v>
      </c>
      <c r="Y1219">
        <v>1.1000000000000001</v>
      </c>
      <c r="Z1219">
        <v>501</v>
      </c>
      <c r="AA1219">
        <v>56</v>
      </c>
      <c r="AB1219" t="s">
        <v>116</v>
      </c>
      <c r="AC1219">
        <v>37400</v>
      </c>
      <c r="AD1219">
        <v>0</v>
      </c>
      <c r="AE1219" t="s">
        <v>116</v>
      </c>
      <c r="AF1219" t="s">
        <v>116</v>
      </c>
      <c r="AG1219">
        <v>4.16</v>
      </c>
      <c r="AH1219" t="s">
        <v>6847</v>
      </c>
      <c r="AI1219" t="s">
        <v>2706</v>
      </c>
      <c r="AJ1219">
        <v>0.16</v>
      </c>
      <c r="AK1219">
        <v>583</v>
      </c>
      <c r="AL1219">
        <v>38</v>
      </c>
      <c r="AM1219">
        <v>8.9999999999999998E-4</v>
      </c>
      <c r="AN1219">
        <v>-1</v>
      </c>
      <c r="AO1219">
        <v>0.89</v>
      </c>
      <c r="AP1219">
        <v>4.75</v>
      </c>
      <c r="AQ1219">
        <v>1.06</v>
      </c>
      <c r="AR1219">
        <v>2.3199999999999998</v>
      </c>
      <c r="AS1219">
        <v>0.76</v>
      </c>
      <c r="AT1219" t="s">
        <v>6848</v>
      </c>
      <c r="AU1219">
        <v>11.63</v>
      </c>
      <c r="AV1219">
        <v>11.77</v>
      </c>
      <c r="AW1219">
        <v>0.75</v>
      </c>
      <c r="BA1219">
        <v>-0.17</v>
      </c>
      <c r="BB1219">
        <v>0.52</v>
      </c>
      <c r="BC1219">
        <v>-0.69</v>
      </c>
      <c r="BD1219">
        <v>-0.06</v>
      </c>
      <c r="BE1219">
        <v>-0.35</v>
      </c>
      <c r="BF1219">
        <v>-1.04</v>
      </c>
      <c r="BG1219">
        <v>0.17</v>
      </c>
      <c r="BH1219">
        <v>-0.46</v>
      </c>
      <c r="BI1219">
        <v>20191030</v>
      </c>
      <c r="BJ1219">
        <v>20150629</v>
      </c>
      <c r="BK1219">
        <v>5.13</v>
      </c>
      <c r="BL1219" t="s">
        <v>116</v>
      </c>
      <c r="BM1219" t="s">
        <v>116</v>
      </c>
      <c r="BN1219">
        <v>41.16</v>
      </c>
      <c r="BO1219">
        <v>25.03</v>
      </c>
      <c r="BP1219">
        <v>0.03</v>
      </c>
      <c r="BQ1219">
        <v>39.119999999999997</v>
      </c>
      <c r="BR1219">
        <v>30.66</v>
      </c>
      <c r="BS1219">
        <v>0.21</v>
      </c>
      <c r="BT1219">
        <v>1.05</v>
      </c>
      <c r="BU1219">
        <v>16.09</v>
      </c>
      <c r="BV1219">
        <v>8.57</v>
      </c>
      <c r="BW1219">
        <v>8.3000000000000007</v>
      </c>
      <c r="BX1219">
        <v>10.95</v>
      </c>
      <c r="BY1219">
        <v>21.92</v>
      </c>
      <c r="BZ1219">
        <v>17.52</v>
      </c>
      <c r="CA1219">
        <v>2.2999999999999998</v>
      </c>
      <c r="CB1219">
        <v>0</v>
      </c>
      <c r="CC1219">
        <v>2.29</v>
      </c>
      <c r="CD1219">
        <v>1.96</v>
      </c>
      <c r="CE1219">
        <v>1.96</v>
      </c>
      <c r="CF1219">
        <v>1.95</v>
      </c>
      <c r="CG1219">
        <v>8.35</v>
      </c>
      <c r="CH1219">
        <v>1.87</v>
      </c>
      <c r="CI1219">
        <v>-1.89</v>
      </c>
      <c r="CJ1219">
        <v>21558</v>
      </c>
      <c r="CK1219">
        <v>13400</v>
      </c>
      <c r="CL1219" t="s">
        <v>6849</v>
      </c>
      <c r="CM1219">
        <v>1.57</v>
      </c>
      <c r="CN1219">
        <v>3.12</v>
      </c>
      <c r="CO1219">
        <v>1.17</v>
      </c>
      <c r="CP1219">
        <v>15.68</v>
      </c>
      <c r="CQ1219">
        <v>1.34</v>
      </c>
      <c r="CR1219">
        <v>6.85</v>
      </c>
      <c r="CS1219" t="s">
        <v>6850</v>
      </c>
      <c r="CT1219">
        <v>4.88</v>
      </c>
      <c r="CU1219">
        <v>0</v>
      </c>
      <c r="CV1219">
        <v>2.14</v>
      </c>
      <c r="CW1219">
        <v>1.63</v>
      </c>
      <c r="CX1219">
        <v>0.37</v>
      </c>
      <c r="CY1219">
        <v>60.81</v>
      </c>
      <c r="CZ1219" t="s">
        <v>4737</v>
      </c>
      <c r="DA1219">
        <v>20.059999999999999</v>
      </c>
      <c r="DB1219">
        <v>10.48</v>
      </c>
      <c r="DC1219">
        <v>8.9600000000000009</v>
      </c>
      <c r="DD1219">
        <v>0.22</v>
      </c>
      <c r="DE1219">
        <v>1254</v>
      </c>
      <c r="DF1219">
        <v>2775</v>
      </c>
      <c r="DG1219" t="s">
        <v>116</v>
      </c>
      <c r="DH1219" t="s">
        <v>116</v>
      </c>
      <c r="DI1219" t="s">
        <v>116</v>
      </c>
    </row>
    <row r="1220" spans="1:113" x14ac:dyDescent="0.4">
      <c r="A1220" t="str">
        <f>"002776"</f>
        <v>002776</v>
      </c>
      <c r="B1220" t="s">
        <v>6851</v>
      </c>
      <c r="C1220">
        <v>2.5299999999999998</v>
      </c>
      <c r="D1220">
        <v>7.69</v>
      </c>
      <c r="E1220">
        <v>0.19</v>
      </c>
      <c r="F1220">
        <v>7.69</v>
      </c>
      <c r="G1220">
        <v>7.7</v>
      </c>
      <c r="H1220">
        <v>479749</v>
      </c>
      <c r="I1220">
        <v>2807</v>
      </c>
      <c r="J1220">
        <v>0.13</v>
      </c>
      <c r="K1220">
        <v>14.14</v>
      </c>
      <c r="L1220">
        <v>7.44</v>
      </c>
      <c r="M1220">
        <v>7.95</v>
      </c>
      <c r="N1220">
        <v>7.38</v>
      </c>
      <c r="O1220">
        <v>7.5</v>
      </c>
      <c r="P1220">
        <v>28.53</v>
      </c>
      <c r="Q1220">
        <v>371172096</v>
      </c>
      <c r="R1220">
        <v>2.2200000000000002</v>
      </c>
      <c r="S1220" t="s">
        <v>3070</v>
      </c>
      <c r="T1220" t="s">
        <v>551</v>
      </c>
      <c r="U1220">
        <v>7.6</v>
      </c>
      <c r="V1220">
        <v>7.74</v>
      </c>
      <c r="W1220">
        <v>213877</v>
      </c>
      <c r="X1220">
        <v>265872</v>
      </c>
      <c r="Y1220">
        <v>0.8</v>
      </c>
      <c r="Z1220">
        <v>564</v>
      </c>
      <c r="AA1220">
        <v>753</v>
      </c>
      <c r="AB1220" t="s">
        <v>116</v>
      </c>
      <c r="AC1220">
        <v>3286200</v>
      </c>
      <c r="AD1220">
        <v>0.17</v>
      </c>
      <c r="AE1220" t="s">
        <v>116</v>
      </c>
      <c r="AF1220" t="s">
        <v>116</v>
      </c>
      <c r="AG1220">
        <v>3.39</v>
      </c>
      <c r="AH1220" t="s">
        <v>6852</v>
      </c>
      <c r="AI1220" t="s">
        <v>6853</v>
      </c>
      <c r="AJ1220">
        <v>3.21</v>
      </c>
      <c r="AK1220">
        <v>3931</v>
      </c>
      <c r="AL1220">
        <v>122</v>
      </c>
      <c r="AM1220">
        <v>3.5999999999999999E-3</v>
      </c>
      <c r="AN1220">
        <v>4</v>
      </c>
      <c r="AO1220">
        <v>8.92</v>
      </c>
      <c r="AP1220">
        <v>27.95</v>
      </c>
      <c r="AQ1220">
        <v>0.13</v>
      </c>
      <c r="AR1220">
        <v>-28.62</v>
      </c>
      <c r="AS1220">
        <v>18.5</v>
      </c>
      <c r="AT1220" t="s">
        <v>6854</v>
      </c>
      <c r="AU1220">
        <v>22.72</v>
      </c>
      <c r="AV1220">
        <v>21.49</v>
      </c>
      <c r="AW1220">
        <v>0.88</v>
      </c>
      <c r="BA1220">
        <v>-0.8</v>
      </c>
      <c r="BB1220">
        <v>6</v>
      </c>
      <c r="BC1220">
        <v>-1.6</v>
      </c>
      <c r="BD1220">
        <v>3.16</v>
      </c>
      <c r="BE1220">
        <v>3.36</v>
      </c>
      <c r="BF1220">
        <v>-3.27</v>
      </c>
      <c r="BG1220">
        <v>4.2</v>
      </c>
      <c r="BH1220">
        <v>-0.62</v>
      </c>
      <c r="BI1220">
        <v>20191031</v>
      </c>
      <c r="BJ1220">
        <v>20150626</v>
      </c>
      <c r="BK1220">
        <v>5.38</v>
      </c>
      <c r="BL1220" t="s">
        <v>116</v>
      </c>
      <c r="BM1220" t="s">
        <v>116</v>
      </c>
      <c r="BN1220">
        <v>30.7</v>
      </c>
      <c r="BO1220">
        <v>23.91</v>
      </c>
      <c r="BP1220">
        <v>-0.01</v>
      </c>
      <c r="BQ1220">
        <v>22.16</v>
      </c>
      <c r="BR1220">
        <v>21.28</v>
      </c>
      <c r="BS1220">
        <v>1.47</v>
      </c>
      <c r="BT1220">
        <v>1.72</v>
      </c>
      <c r="BU1220">
        <v>6.37</v>
      </c>
      <c r="BV1220">
        <v>0.56999999999999995</v>
      </c>
      <c r="BW1220">
        <v>2.09</v>
      </c>
      <c r="BX1220">
        <v>11.28</v>
      </c>
      <c r="BY1220">
        <v>7.03</v>
      </c>
      <c r="BZ1220">
        <v>4.88</v>
      </c>
      <c r="CA1220">
        <v>1.22</v>
      </c>
      <c r="CB1220">
        <v>0.14000000000000001</v>
      </c>
      <c r="CC1220">
        <v>1.22</v>
      </c>
      <c r="CD1220">
        <v>1.0900000000000001</v>
      </c>
      <c r="CE1220">
        <v>1.0900000000000001</v>
      </c>
      <c r="CF1220">
        <v>0.9</v>
      </c>
      <c r="CG1220">
        <v>6.24</v>
      </c>
      <c r="CH1220">
        <v>0.79</v>
      </c>
      <c r="CI1220">
        <v>-0.53</v>
      </c>
      <c r="CJ1220">
        <v>22742</v>
      </c>
      <c r="CK1220">
        <v>11401</v>
      </c>
      <c r="CL1220" t="s">
        <v>1938</v>
      </c>
      <c r="CM1220">
        <v>-8.74</v>
      </c>
      <c r="CN1220">
        <v>3.94</v>
      </c>
      <c r="CO1220">
        <v>1.73</v>
      </c>
      <c r="CP1220">
        <v>52.33</v>
      </c>
      <c r="CQ1220">
        <v>5.89</v>
      </c>
      <c r="CR1220">
        <v>0.87</v>
      </c>
      <c r="CS1220" t="s">
        <v>6855</v>
      </c>
      <c r="CT1220">
        <v>4.4400000000000004</v>
      </c>
      <c r="CU1220">
        <v>0</v>
      </c>
      <c r="CV1220">
        <v>2.1</v>
      </c>
      <c r="CW1220">
        <v>1.1599999999999999</v>
      </c>
      <c r="CX1220">
        <v>0.15</v>
      </c>
      <c r="CY1220">
        <v>77.87</v>
      </c>
      <c r="CZ1220" t="s">
        <v>6856</v>
      </c>
      <c r="DA1220">
        <v>30.48</v>
      </c>
      <c r="DB1220">
        <v>17.38</v>
      </c>
      <c r="DC1220">
        <v>15.48</v>
      </c>
      <c r="DD1220">
        <v>0.18</v>
      </c>
      <c r="DE1220">
        <v>1119</v>
      </c>
      <c r="DF1220">
        <v>2776</v>
      </c>
      <c r="DG1220" t="s">
        <v>116</v>
      </c>
      <c r="DH1220" t="s">
        <v>116</v>
      </c>
      <c r="DI1220" t="s">
        <v>116</v>
      </c>
    </row>
    <row r="1221" spans="1:113" x14ac:dyDescent="0.4">
      <c r="A1221" t="str">
        <f>"002777"</f>
        <v>002777</v>
      </c>
      <c r="B1221" t="s">
        <v>6857</v>
      </c>
      <c r="C1221">
        <v>-1.43</v>
      </c>
      <c r="D1221">
        <v>34.380000000000003</v>
      </c>
      <c r="E1221">
        <v>-0.5</v>
      </c>
      <c r="F1221">
        <v>34.380000000000003</v>
      </c>
      <c r="G1221">
        <v>34.39</v>
      </c>
      <c r="H1221">
        <v>17834</v>
      </c>
      <c r="I1221">
        <v>150</v>
      </c>
      <c r="J1221">
        <v>-0.34</v>
      </c>
      <c r="K1221">
        <v>0.94</v>
      </c>
      <c r="L1221">
        <v>34.700000000000003</v>
      </c>
      <c r="M1221">
        <v>35.479999999999997</v>
      </c>
      <c r="N1221">
        <v>34.200000000000003</v>
      </c>
      <c r="O1221">
        <v>34.880000000000003</v>
      </c>
      <c r="P1221">
        <v>68.66</v>
      </c>
      <c r="Q1221">
        <v>62369860</v>
      </c>
      <c r="R1221">
        <v>1.05</v>
      </c>
      <c r="S1221" t="s">
        <v>607</v>
      </c>
      <c r="T1221" t="s">
        <v>582</v>
      </c>
      <c r="U1221">
        <v>3.67</v>
      </c>
      <c r="V1221">
        <v>34.97</v>
      </c>
      <c r="W1221">
        <v>8240</v>
      </c>
      <c r="X1221">
        <v>9594</v>
      </c>
      <c r="Y1221">
        <v>0.86</v>
      </c>
      <c r="Z1221">
        <v>35</v>
      </c>
      <c r="AA1221">
        <v>61</v>
      </c>
      <c r="AB1221" t="s">
        <v>116</v>
      </c>
      <c r="AC1221">
        <v>76300</v>
      </c>
      <c r="AD1221">
        <v>0</v>
      </c>
      <c r="AE1221" t="s">
        <v>116</v>
      </c>
      <c r="AF1221" t="s">
        <v>116</v>
      </c>
      <c r="AG1221">
        <v>1.9</v>
      </c>
      <c r="AH1221" t="s">
        <v>6858</v>
      </c>
      <c r="AI1221" t="s">
        <v>6859</v>
      </c>
      <c r="AJ1221">
        <v>-0.75</v>
      </c>
      <c r="AK1221">
        <v>1812</v>
      </c>
      <c r="AL1221">
        <v>10</v>
      </c>
      <c r="AM1221">
        <v>5.0000000000000001E-4</v>
      </c>
      <c r="AN1221">
        <v>-1</v>
      </c>
      <c r="AO1221">
        <v>0.68</v>
      </c>
      <c r="AP1221">
        <v>8.08</v>
      </c>
      <c r="AQ1221">
        <v>-1.0900000000000001</v>
      </c>
      <c r="AR1221">
        <v>91.57</v>
      </c>
      <c r="AS1221">
        <v>1.79</v>
      </c>
      <c r="AT1221" t="s">
        <v>6860</v>
      </c>
      <c r="AU1221">
        <v>53.75</v>
      </c>
      <c r="AV1221">
        <v>64.97</v>
      </c>
      <c r="AW1221">
        <v>1.49</v>
      </c>
      <c r="BA1221">
        <v>-0.52</v>
      </c>
      <c r="BB1221">
        <v>1.72</v>
      </c>
      <c r="BC1221">
        <v>-1.95</v>
      </c>
      <c r="BD1221">
        <v>0.27</v>
      </c>
      <c r="BE1221">
        <v>-0.92</v>
      </c>
      <c r="BF1221">
        <v>-3.1</v>
      </c>
      <c r="BG1221">
        <v>0.53</v>
      </c>
      <c r="BH1221">
        <v>-1.7</v>
      </c>
      <c r="BI1221">
        <v>20191028</v>
      </c>
      <c r="BJ1221">
        <v>20151231</v>
      </c>
      <c r="BK1221">
        <v>2.2400000000000002</v>
      </c>
      <c r="BL1221" t="s">
        <v>116</v>
      </c>
      <c r="BM1221" t="s">
        <v>116</v>
      </c>
      <c r="BN1221">
        <v>19.440000000000001</v>
      </c>
      <c r="BO1221">
        <v>10.61</v>
      </c>
      <c r="BP1221">
        <v>0.98</v>
      </c>
      <c r="BQ1221">
        <v>40.369999999999997</v>
      </c>
      <c r="BR1221">
        <v>15.69</v>
      </c>
      <c r="BS1221">
        <v>0.96</v>
      </c>
      <c r="BT1221">
        <v>1.22</v>
      </c>
      <c r="BU1221">
        <v>6.61</v>
      </c>
      <c r="BV1221">
        <v>3.86</v>
      </c>
      <c r="BW1221">
        <v>2.5299999999999998</v>
      </c>
      <c r="BX1221">
        <v>4.9400000000000004</v>
      </c>
      <c r="BY1221">
        <v>4.95</v>
      </c>
      <c r="BZ1221">
        <v>2.1800000000000002</v>
      </c>
      <c r="CA1221">
        <v>1.01</v>
      </c>
      <c r="CB1221">
        <v>7.0000000000000007E-2</v>
      </c>
      <c r="CC1221">
        <v>1.01</v>
      </c>
      <c r="CD1221">
        <v>0.91</v>
      </c>
      <c r="CE1221">
        <v>0.84</v>
      </c>
      <c r="CF1221">
        <v>0.8</v>
      </c>
      <c r="CG1221">
        <v>2.88</v>
      </c>
      <c r="CH1221">
        <v>-1.23</v>
      </c>
      <c r="CI1221">
        <v>-1.04</v>
      </c>
      <c r="CJ1221">
        <v>10390</v>
      </c>
      <c r="CK1221">
        <v>9614</v>
      </c>
      <c r="CL1221" t="s">
        <v>6861</v>
      </c>
      <c r="CM1221">
        <v>41.69</v>
      </c>
      <c r="CN1221">
        <v>17.57</v>
      </c>
      <c r="CO1221">
        <v>7.27</v>
      </c>
      <c r="CP1221">
        <v>-62.52</v>
      </c>
      <c r="CQ1221">
        <v>15.56</v>
      </c>
      <c r="CR1221">
        <v>0.56000000000000005</v>
      </c>
      <c r="CS1221" t="s">
        <v>6862</v>
      </c>
      <c r="CT1221">
        <v>4.7300000000000004</v>
      </c>
      <c r="CU1221">
        <v>0</v>
      </c>
      <c r="CV1221">
        <v>2.2000000000000002</v>
      </c>
      <c r="CW1221">
        <v>1.29</v>
      </c>
      <c r="CX1221">
        <v>-0.55000000000000004</v>
      </c>
      <c r="CY1221">
        <v>54.57</v>
      </c>
      <c r="CZ1221" t="s">
        <v>6863</v>
      </c>
      <c r="DA1221">
        <v>56.08</v>
      </c>
      <c r="DB1221">
        <v>20.43</v>
      </c>
      <c r="DC1221">
        <v>17</v>
      </c>
      <c r="DD1221">
        <v>0.4</v>
      </c>
      <c r="DE1221">
        <v>2848</v>
      </c>
      <c r="DF1221">
        <v>2777</v>
      </c>
      <c r="DG1221" t="s">
        <v>116</v>
      </c>
      <c r="DH1221" t="s">
        <v>116</v>
      </c>
      <c r="DI1221" t="s">
        <v>116</v>
      </c>
    </row>
    <row r="1222" spans="1:113" x14ac:dyDescent="0.4">
      <c r="A1222" t="str">
        <f>"002778"</f>
        <v>002778</v>
      </c>
      <c r="B1222" t="s">
        <v>6864</v>
      </c>
      <c r="C1222">
        <v>-0.96</v>
      </c>
      <c r="D1222">
        <v>20.73</v>
      </c>
      <c r="E1222">
        <v>-0.2</v>
      </c>
      <c r="F1222">
        <v>20.73</v>
      </c>
      <c r="G1222">
        <v>20.76</v>
      </c>
      <c r="H1222">
        <v>6583</v>
      </c>
      <c r="I1222">
        <v>52</v>
      </c>
      <c r="J1222">
        <v>-0.33</v>
      </c>
      <c r="K1222">
        <v>1.1399999999999999</v>
      </c>
      <c r="L1222">
        <v>21</v>
      </c>
      <c r="M1222">
        <v>21.07</v>
      </c>
      <c r="N1222">
        <v>20.72</v>
      </c>
      <c r="O1222">
        <v>20.93</v>
      </c>
      <c r="P1222">
        <v>104.78</v>
      </c>
      <c r="Q1222">
        <v>13688634</v>
      </c>
      <c r="R1222">
        <v>0.46</v>
      </c>
      <c r="S1222" t="s">
        <v>433</v>
      </c>
      <c r="T1222" t="s">
        <v>323</v>
      </c>
      <c r="U1222">
        <v>1.67</v>
      </c>
      <c r="V1222">
        <v>20.79</v>
      </c>
      <c r="W1222">
        <v>4707</v>
      </c>
      <c r="X1222">
        <v>1876</v>
      </c>
      <c r="Y1222">
        <v>2.5099999999999998</v>
      </c>
      <c r="Z1222">
        <v>3</v>
      </c>
      <c r="AA1222">
        <v>5</v>
      </c>
      <c r="AB1222" t="s">
        <v>116</v>
      </c>
      <c r="AC1222">
        <v>0</v>
      </c>
      <c r="AD1222">
        <v>0</v>
      </c>
      <c r="AE1222" t="s">
        <v>116</v>
      </c>
      <c r="AF1222" t="s">
        <v>116</v>
      </c>
      <c r="AG1222">
        <v>0.57999999999999996</v>
      </c>
      <c r="AH1222" t="s">
        <v>6865</v>
      </c>
      <c r="AI1222" t="s">
        <v>6866</v>
      </c>
      <c r="AJ1222">
        <v>-0.28000000000000003</v>
      </c>
      <c r="AK1222">
        <v>678</v>
      </c>
      <c r="AL1222">
        <v>10</v>
      </c>
      <c r="AM1222">
        <v>1.6999999999999999E-3</v>
      </c>
      <c r="AN1222">
        <v>-1</v>
      </c>
      <c r="AO1222">
        <v>-0.53</v>
      </c>
      <c r="AP1222">
        <v>8.19</v>
      </c>
      <c r="AQ1222">
        <v>19.14</v>
      </c>
      <c r="AR1222">
        <v>19.04</v>
      </c>
      <c r="AS1222">
        <v>1.65</v>
      </c>
      <c r="AT1222" t="s">
        <v>6867</v>
      </c>
      <c r="AU1222">
        <v>164.81</v>
      </c>
      <c r="AV1222">
        <v>101.88</v>
      </c>
      <c r="AW1222">
        <v>0.44</v>
      </c>
      <c r="BA1222">
        <v>0.33</v>
      </c>
      <c r="BB1222">
        <v>0.67</v>
      </c>
      <c r="BC1222">
        <v>-1</v>
      </c>
      <c r="BD1222">
        <v>-0.65</v>
      </c>
      <c r="BE1222">
        <v>-1.29</v>
      </c>
      <c r="BF1222">
        <v>-1.61</v>
      </c>
      <c r="BG1222">
        <v>0.05</v>
      </c>
      <c r="BH1222">
        <v>-0.31</v>
      </c>
      <c r="BI1222">
        <v>20191024</v>
      </c>
      <c r="BJ1222">
        <v>20160106</v>
      </c>
      <c r="BK1222">
        <v>0.89</v>
      </c>
      <c r="BL1222" t="s">
        <v>116</v>
      </c>
      <c r="BM1222" t="s">
        <v>116</v>
      </c>
      <c r="BN1222">
        <v>8.0399999999999991</v>
      </c>
      <c r="BO1222">
        <v>6.4</v>
      </c>
      <c r="BP1222">
        <v>0</v>
      </c>
      <c r="BQ1222">
        <v>20.420000000000002</v>
      </c>
      <c r="BR1222">
        <v>4.96</v>
      </c>
      <c r="BS1222">
        <v>1.77</v>
      </c>
      <c r="BT1222">
        <v>0.4</v>
      </c>
      <c r="BU1222">
        <v>1.63</v>
      </c>
      <c r="BV1222">
        <v>1.73</v>
      </c>
      <c r="BW1222">
        <v>1.18</v>
      </c>
      <c r="BX1222">
        <v>2.14</v>
      </c>
      <c r="BY1222">
        <v>4.9800000000000004</v>
      </c>
      <c r="BZ1222">
        <v>4.3899999999999997</v>
      </c>
      <c r="CA1222">
        <v>0.14000000000000001</v>
      </c>
      <c r="CB1222">
        <v>0</v>
      </c>
      <c r="CC1222">
        <v>0.14000000000000001</v>
      </c>
      <c r="CD1222">
        <v>0.13</v>
      </c>
      <c r="CE1222">
        <v>0.13</v>
      </c>
      <c r="CF1222">
        <v>0.1</v>
      </c>
      <c r="CG1222">
        <v>3.02</v>
      </c>
      <c r="CH1222">
        <v>0.12</v>
      </c>
      <c r="CI1222">
        <v>0.08</v>
      </c>
      <c r="CJ1222">
        <v>9973</v>
      </c>
      <c r="CK1222">
        <v>4005</v>
      </c>
      <c r="CL1222" t="s">
        <v>6868</v>
      </c>
      <c r="CM1222">
        <v>-34.36</v>
      </c>
      <c r="CN1222">
        <v>0.6</v>
      </c>
      <c r="CO1222">
        <v>2.89</v>
      </c>
      <c r="CP1222">
        <v>148.84</v>
      </c>
      <c r="CQ1222">
        <v>3.71</v>
      </c>
      <c r="CR1222">
        <v>0.22</v>
      </c>
      <c r="CS1222" t="s">
        <v>1195</v>
      </c>
      <c r="CT1222">
        <v>7.18</v>
      </c>
      <c r="CU1222">
        <v>0</v>
      </c>
      <c r="CV1222">
        <v>2.41</v>
      </c>
      <c r="CW1222">
        <v>3.38</v>
      </c>
      <c r="CX1222">
        <v>0.14000000000000001</v>
      </c>
      <c r="CY1222">
        <v>79.58</v>
      </c>
      <c r="CZ1222" t="s">
        <v>5446</v>
      </c>
      <c r="DA1222">
        <v>11.73</v>
      </c>
      <c r="DB1222">
        <v>2.83</v>
      </c>
      <c r="DC1222">
        <v>2.66</v>
      </c>
      <c r="DD1222">
        <v>0.16</v>
      </c>
      <c r="DE1222">
        <v>177</v>
      </c>
      <c r="DF1222">
        <v>2778</v>
      </c>
      <c r="DG1222" t="s">
        <v>116</v>
      </c>
      <c r="DH1222" t="s">
        <v>116</v>
      </c>
      <c r="DI1222" t="s">
        <v>116</v>
      </c>
    </row>
    <row r="1223" spans="1:113" x14ac:dyDescent="0.4">
      <c r="A1223" t="str">
        <f>"002779"</f>
        <v>002779</v>
      </c>
      <c r="B1223" t="s">
        <v>6869</v>
      </c>
      <c r="C1223">
        <v>0.06</v>
      </c>
      <c r="D1223">
        <v>16.760000000000002</v>
      </c>
      <c r="E1223">
        <v>0.01</v>
      </c>
      <c r="F1223">
        <v>16.760000000000002</v>
      </c>
      <c r="G1223">
        <v>16.77</v>
      </c>
      <c r="H1223">
        <v>5168</v>
      </c>
      <c r="I1223">
        <v>702</v>
      </c>
      <c r="J1223">
        <v>0.72</v>
      </c>
      <c r="K1223">
        <v>0.44</v>
      </c>
      <c r="L1223">
        <v>16.71</v>
      </c>
      <c r="M1223">
        <v>16.86</v>
      </c>
      <c r="N1223">
        <v>16.489999999999998</v>
      </c>
      <c r="O1223">
        <v>16.75</v>
      </c>
      <c r="P1223">
        <v>145.75</v>
      </c>
      <c r="Q1223">
        <v>8623813</v>
      </c>
      <c r="R1223">
        <v>1.35</v>
      </c>
      <c r="S1223" t="s">
        <v>2298</v>
      </c>
      <c r="T1223" t="s">
        <v>590</v>
      </c>
      <c r="U1223">
        <v>2.21</v>
      </c>
      <c r="V1223">
        <v>16.690000000000001</v>
      </c>
      <c r="W1223">
        <v>2889</v>
      </c>
      <c r="X1223">
        <v>2279</v>
      </c>
      <c r="Y1223">
        <v>1.27</v>
      </c>
      <c r="Z1223">
        <v>449</v>
      </c>
      <c r="AA1223">
        <v>20</v>
      </c>
      <c r="AB1223" t="s">
        <v>116</v>
      </c>
      <c r="AC1223">
        <v>0</v>
      </c>
      <c r="AD1223">
        <v>0</v>
      </c>
      <c r="AE1223" t="s">
        <v>116</v>
      </c>
      <c r="AF1223" t="s">
        <v>116</v>
      </c>
      <c r="AG1223">
        <v>1.18</v>
      </c>
      <c r="AH1223" t="s">
        <v>577</v>
      </c>
      <c r="AI1223" t="s">
        <v>4580</v>
      </c>
      <c r="AJ1223">
        <v>0.74</v>
      </c>
      <c r="AK1223">
        <v>318</v>
      </c>
      <c r="AL1223">
        <v>16</v>
      </c>
      <c r="AM1223">
        <v>1.4E-3</v>
      </c>
      <c r="AN1223">
        <v>1</v>
      </c>
      <c r="AO1223">
        <v>-0.89</v>
      </c>
      <c r="AP1223">
        <v>-4.88</v>
      </c>
      <c r="AQ1223">
        <v>-6.63</v>
      </c>
      <c r="AR1223">
        <v>3.38</v>
      </c>
      <c r="AS1223">
        <v>1.28</v>
      </c>
      <c r="AT1223" t="s">
        <v>6844</v>
      </c>
      <c r="AU1223">
        <v>179.69</v>
      </c>
      <c r="AV1223">
        <v>187.89</v>
      </c>
      <c r="AW1223">
        <v>0.06</v>
      </c>
      <c r="BA1223">
        <v>-0.24</v>
      </c>
      <c r="BB1223">
        <v>0.66</v>
      </c>
      <c r="BC1223">
        <v>-1.55</v>
      </c>
      <c r="BD1223">
        <v>-0.37</v>
      </c>
      <c r="BE1223">
        <v>0.3</v>
      </c>
      <c r="BF1223">
        <v>-0.59</v>
      </c>
      <c r="BG1223">
        <v>1.64</v>
      </c>
      <c r="BH1223">
        <v>0.43</v>
      </c>
      <c r="BI1223">
        <v>20191024</v>
      </c>
      <c r="BJ1223">
        <v>20151209</v>
      </c>
      <c r="BK1223">
        <v>1.32</v>
      </c>
      <c r="BL1223" t="s">
        <v>116</v>
      </c>
      <c r="BM1223" t="s">
        <v>116</v>
      </c>
      <c r="BN1223">
        <v>8.57</v>
      </c>
      <c r="BO1223">
        <v>6.47</v>
      </c>
      <c r="BP1223">
        <v>0</v>
      </c>
      <c r="BQ1223">
        <v>24.51</v>
      </c>
      <c r="BR1223">
        <v>4.82</v>
      </c>
      <c r="BS1223">
        <v>2.5499999999999998</v>
      </c>
      <c r="BT1223">
        <v>0.47</v>
      </c>
      <c r="BU1223">
        <v>2.08</v>
      </c>
      <c r="BV1223">
        <v>1.41</v>
      </c>
      <c r="BW1223">
        <v>0.9</v>
      </c>
      <c r="BX1223">
        <v>1.95</v>
      </c>
      <c r="BY1223">
        <v>3</v>
      </c>
      <c r="BZ1223">
        <v>2.42</v>
      </c>
      <c r="CA1223">
        <v>0.11</v>
      </c>
      <c r="CB1223">
        <v>0.05</v>
      </c>
      <c r="CC1223">
        <v>0.11</v>
      </c>
      <c r="CD1223">
        <v>0.11</v>
      </c>
      <c r="CE1223">
        <v>0.11</v>
      </c>
      <c r="CF1223">
        <v>7.0000000000000007E-2</v>
      </c>
      <c r="CG1223">
        <v>2.84</v>
      </c>
      <c r="CH1223">
        <v>0.18</v>
      </c>
      <c r="CI1223">
        <v>-0.1</v>
      </c>
      <c r="CJ1223">
        <v>8771</v>
      </c>
      <c r="CK1223">
        <v>4609</v>
      </c>
      <c r="CL1223" t="s">
        <v>4087</v>
      </c>
      <c r="CM1223">
        <v>4.95</v>
      </c>
      <c r="CN1223">
        <v>-1.89</v>
      </c>
      <c r="CO1223">
        <v>3.42</v>
      </c>
      <c r="CP1223">
        <v>122.17</v>
      </c>
      <c r="CQ1223">
        <v>7.38</v>
      </c>
      <c r="CR1223">
        <v>0.11</v>
      </c>
      <c r="CS1223" t="s">
        <v>1469</v>
      </c>
      <c r="CT1223">
        <v>4.9000000000000004</v>
      </c>
      <c r="CU1223">
        <v>0</v>
      </c>
      <c r="CV1223">
        <v>1.48</v>
      </c>
      <c r="CW1223">
        <v>2.15</v>
      </c>
      <c r="CX1223">
        <v>0.14000000000000001</v>
      </c>
      <c r="CY1223">
        <v>75.489999999999995</v>
      </c>
      <c r="CZ1223" t="s">
        <v>6023</v>
      </c>
      <c r="DA1223">
        <v>19.41</v>
      </c>
      <c r="DB1223">
        <v>3.57</v>
      </c>
      <c r="DC1223">
        <v>3.8</v>
      </c>
      <c r="DD1223">
        <v>0.18</v>
      </c>
      <c r="DE1223">
        <v>731</v>
      </c>
      <c r="DF1223">
        <v>2779</v>
      </c>
      <c r="DG1223" t="s">
        <v>116</v>
      </c>
      <c r="DH1223" t="s">
        <v>116</v>
      </c>
      <c r="DI1223" t="s">
        <v>116</v>
      </c>
    </row>
    <row r="1224" spans="1:113" x14ac:dyDescent="0.4">
      <c r="A1224" t="str">
        <f>"002780"</f>
        <v>002780</v>
      </c>
      <c r="B1224" t="s">
        <v>6870</v>
      </c>
      <c r="C1224">
        <v>0.42</v>
      </c>
      <c r="D1224">
        <v>16.57</v>
      </c>
      <c r="E1224">
        <v>7.0000000000000007E-2</v>
      </c>
      <c r="F1224">
        <v>16.559999999999999</v>
      </c>
      <c r="G1224">
        <v>16.57</v>
      </c>
      <c r="H1224">
        <v>64394</v>
      </c>
      <c r="I1224">
        <v>276</v>
      </c>
      <c r="J1224">
        <v>0.36</v>
      </c>
      <c r="K1224">
        <v>6.15</v>
      </c>
      <c r="L1224">
        <v>16.55</v>
      </c>
      <c r="M1224">
        <v>16.77</v>
      </c>
      <c r="N1224">
        <v>16.32</v>
      </c>
      <c r="O1224">
        <v>16.5</v>
      </c>
      <c r="P1224">
        <v>1632.6</v>
      </c>
      <c r="Q1224">
        <v>106486680</v>
      </c>
      <c r="R1224">
        <v>1.51</v>
      </c>
      <c r="S1224" t="s">
        <v>225</v>
      </c>
      <c r="T1224" t="s">
        <v>165</v>
      </c>
      <c r="U1224">
        <v>2.73</v>
      </c>
      <c r="V1224">
        <v>16.54</v>
      </c>
      <c r="W1224">
        <v>22827</v>
      </c>
      <c r="X1224">
        <v>41567</v>
      </c>
      <c r="Y1224">
        <v>0.55000000000000004</v>
      </c>
      <c r="Z1224">
        <v>122</v>
      </c>
      <c r="AA1224">
        <v>280</v>
      </c>
      <c r="AB1224" t="s">
        <v>116</v>
      </c>
      <c r="AC1224">
        <v>256500</v>
      </c>
      <c r="AD1224">
        <v>0.02</v>
      </c>
      <c r="AE1224" t="s">
        <v>116</v>
      </c>
      <c r="AF1224" t="s">
        <v>116</v>
      </c>
      <c r="AG1224">
        <v>1.05</v>
      </c>
      <c r="AH1224" t="s">
        <v>6871</v>
      </c>
      <c r="AI1224" t="s">
        <v>6633</v>
      </c>
      <c r="AJ1224">
        <v>1.1000000000000001</v>
      </c>
      <c r="AK1224">
        <v>1604</v>
      </c>
      <c r="AL1224">
        <v>40</v>
      </c>
      <c r="AM1224">
        <v>3.8E-3</v>
      </c>
      <c r="AN1224">
        <v>3</v>
      </c>
      <c r="AO1224">
        <v>4.7300000000000004</v>
      </c>
      <c r="AP1224">
        <v>-1.37</v>
      </c>
      <c r="AQ1224">
        <v>-10.77</v>
      </c>
      <c r="AR1224">
        <v>70.819999999999993</v>
      </c>
      <c r="AS1224">
        <v>8.14</v>
      </c>
      <c r="AT1224" t="s">
        <v>1710</v>
      </c>
      <c r="AU1224">
        <v>591.03</v>
      </c>
      <c r="AV1224">
        <v>479.67</v>
      </c>
      <c r="AW1224">
        <v>0.15</v>
      </c>
      <c r="BA1224">
        <v>0.3</v>
      </c>
      <c r="BB1224">
        <v>1.64</v>
      </c>
      <c r="BC1224">
        <v>-1.0900000000000001</v>
      </c>
      <c r="BD1224">
        <v>0.22</v>
      </c>
      <c r="BE1224">
        <v>0.12</v>
      </c>
      <c r="BF1224">
        <v>-1.19</v>
      </c>
      <c r="BG1224">
        <v>1.53</v>
      </c>
      <c r="BH1224">
        <v>0.2</v>
      </c>
      <c r="BI1224">
        <v>20191029</v>
      </c>
      <c r="BJ1224">
        <v>20151209</v>
      </c>
      <c r="BK1224">
        <v>1.46</v>
      </c>
      <c r="BL1224" t="s">
        <v>116</v>
      </c>
      <c r="BM1224" t="s">
        <v>116</v>
      </c>
      <c r="BN1224">
        <v>9.1300000000000008</v>
      </c>
      <c r="BO1224">
        <v>6.38</v>
      </c>
      <c r="BP1224">
        <v>0.39</v>
      </c>
      <c r="BQ1224">
        <v>25.86</v>
      </c>
      <c r="BR1224">
        <v>6.4</v>
      </c>
      <c r="BS1224">
        <v>1.77</v>
      </c>
      <c r="BT1224">
        <v>0.04</v>
      </c>
      <c r="BU1224">
        <v>2.0099999999999998</v>
      </c>
      <c r="BV1224">
        <v>2.3199999999999998</v>
      </c>
      <c r="BW1224">
        <v>0.44</v>
      </c>
      <c r="BX1224">
        <v>3.4</v>
      </c>
      <c r="BY1224">
        <v>2.69</v>
      </c>
      <c r="BZ1224">
        <v>1.4</v>
      </c>
      <c r="CA1224">
        <v>0.03</v>
      </c>
      <c r="CB1224">
        <v>-0.01</v>
      </c>
      <c r="CC1224">
        <v>0.03</v>
      </c>
      <c r="CD1224">
        <v>0.02</v>
      </c>
      <c r="CE1224">
        <v>0.01</v>
      </c>
      <c r="CF1224">
        <v>0.01</v>
      </c>
      <c r="CG1224">
        <v>1.38</v>
      </c>
      <c r="CH1224">
        <v>-0.68</v>
      </c>
      <c r="CI1224">
        <v>0.32</v>
      </c>
      <c r="CJ1224">
        <v>11056</v>
      </c>
      <c r="CK1224">
        <v>7154</v>
      </c>
      <c r="CL1224" t="s">
        <v>6872</v>
      </c>
      <c r="CM1224">
        <v>-46.1</v>
      </c>
      <c r="CN1224">
        <v>-6.84</v>
      </c>
      <c r="CO1224">
        <v>3.78</v>
      </c>
      <c r="CP1224">
        <v>-35.4</v>
      </c>
      <c r="CQ1224">
        <v>8.98</v>
      </c>
      <c r="CR1224">
        <v>0.09</v>
      </c>
      <c r="CS1224" t="s">
        <v>571</v>
      </c>
      <c r="CT1224">
        <v>4.38</v>
      </c>
      <c r="CU1224">
        <v>0</v>
      </c>
      <c r="CV1224">
        <v>2.33</v>
      </c>
      <c r="CW1224">
        <v>0.95</v>
      </c>
      <c r="CX1224">
        <v>-0.47</v>
      </c>
      <c r="CY1224">
        <v>69.91</v>
      </c>
      <c r="CZ1224" t="s">
        <v>6873</v>
      </c>
      <c r="DA1224">
        <v>47.86</v>
      </c>
      <c r="DB1224">
        <v>1.0900000000000001</v>
      </c>
      <c r="DC1224">
        <v>0.41</v>
      </c>
      <c r="DD1224">
        <v>0.08</v>
      </c>
      <c r="DE1224">
        <v>616</v>
      </c>
      <c r="DF1224">
        <v>2780</v>
      </c>
      <c r="DG1224" t="s">
        <v>116</v>
      </c>
      <c r="DH1224" t="s">
        <v>116</v>
      </c>
      <c r="DI1224" t="s">
        <v>116</v>
      </c>
    </row>
    <row r="1225" spans="1:113" x14ac:dyDescent="0.4">
      <c r="A1225" t="str">
        <f>"002781"</f>
        <v>002781</v>
      </c>
      <c r="B1225" t="s">
        <v>6874</v>
      </c>
      <c r="C1225">
        <v>-1.02</v>
      </c>
      <c r="D1225">
        <v>16.53</v>
      </c>
      <c r="E1225">
        <v>-0.17</v>
      </c>
      <c r="F1225">
        <v>16.53</v>
      </c>
      <c r="G1225">
        <v>16.600000000000001</v>
      </c>
      <c r="H1225">
        <v>13567</v>
      </c>
      <c r="I1225">
        <v>153</v>
      </c>
      <c r="J1225">
        <v>-0.11</v>
      </c>
      <c r="K1225">
        <v>0.67</v>
      </c>
      <c r="L1225">
        <v>16.7</v>
      </c>
      <c r="M1225">
        <v>16.75</v>
      </c>
      <c r="N1225">
        <v>16.52</v>
      </c>
      <c r="O1225">
        <v>16.7</v>
      </c>
      <c r="P1225">
        <v>45.67</v>
      </c>
      <c r="Q1225">
        <v>22560478</v>
      </c>
      <c r="R1225">
        <v>0.93</v>
      </c>
      <c r="S1225" t="s">
        <v>3331</v>
      </c>
      <c r="T1225" t="s">
        <v>115</v>
      </c>
      <c r="U1225">
        <v>1.38</v>
      </c>
      <c r="V1225">
        <v>16.63</v>
      </c>
      <c r="W1225">
        <v>7272</v>
      </c>
      <c r="X1225">
        <v>6295</v>
      </c>
      <c r="Y1225">
        <v>1.1599999999999999</v>
      </c>
      <c r="Z1225">
        <v>85</v>
      </c>
      <c r="AA1225">
        <v>2</v>
      </c>
      <c r="AB1225" t="s">
        <v>116</v>
      </c>
      <c r="AC1225">
        <v>0</v>
      </c>
      <c r="AD1225">
        <v>0</v>
      </c>
      <c r="AE1225" t="s">
        <v>116</v>
      </c>
      <c r="AF1225" t="s">
        <v>116</v>
      </c>
      <c r="AG1225">
        <v>2.0299999999999998</v>
      </c>
      <c r="AH1225" t="s">
        <v>6875</v>
      </c>
      <c r="AI1225" t="s">
        <v>6876</v>
      </c>
      <c r="AJ1225">
        <v>-0.34</v>
      </c>
      <c r="AK1225">
        <v>375</v>
      </c>
      <c r="AL1225">
        <v>36</v>
      </c>
      <c r="AM1225">
        <v>1.8E-3</v>
      </c>
      <c r="AN1225">
        <v>-1</v>
      </c>
      <c r="AO1225">
        <v>-0.49</v>
      </c>
      <c r="AP1225">
        <v>0.06</v>
      </c>
      <c r="AQ1225">
        <v>-12.35</v>
      </c>
      <c r="AR1225">
        <v>15.31</v>
      </c>
      <c r="AS1225">
        <v>1.31</v>
      </c>
      <c r="AT1225" t="s">
        <v>817</v>
      </c>
      <c r="AU1225">
        <v>45.92</v>
      </c>
      <c r="AV1225">
        <v>22.07</v>
      </c>
      <c r="AW1225">
        <v>0.24</v>
      </c>
      <c r="BA1225">
        <v>0</v>
      </c>
      <c r="BB1225">
        <v>0.3</v>
      </c>
      <c r="BC1225">
        <v>-1.08</v>
      </c>
      <c r="BD1225">
        <v>-0.43</v>
      </c>
      <c r="BE1225">
        <v>-1.02</v>
      </c>
      <c r="BF1225">
        <v>-1.31</v>
      </c>
      <c r="BG1225">
        <v>0.06</v>
      </c>
      <c r="BH1225">
        <v>-0.59</v>
      </c>
      <c r="BI1225">
        <v>20191030</v>
      </c>
      <c r="BJ1225">
        <v>20151222</v>
      </c>
      <c r="BK1225">
        <v>2.25</v>
      </c>
      <c r="BL1225" t="s">
        <v>116</v>
      </c>
      <c r="BM1225" t="s">
        <v>116</v>
      </c>
      <c r="BN1225">
        <v>46.97</v>
      </c>
      <c r="BO1225">
        <v>19.66</v>
      </c>
      <c r="BP1225">
        <v>0.36</v>
      </c>
      <c r="BQ1225">
        <v>57.4</v>
      </c>
      <c r="BR1225">
        <v>42.28</v>
      </c>
      <c r="BS1225">
        <v>2.16</v>
      </c>
      <c r="BT1225">
        <v>0.31</v>
      </c>
      <c r="BU1225">
        <v>26.83</v>
      </c>
      <c r="BV1225">
        <v>3.67</v>
      </c>
      <c r="BW1225">
        <v>32.85</v>
      </c>
      <c r="BX1225">
        <v>7.14</v>
      </c>
      <c r="BY1225">
        <v>26.99</v>
      </c>
      <c r="BZ1225">
        <v>22.21</v>
      </c>
      <c r="CA1225">
        <v>0.7</v>
      </c>
      <c r="CB1225">
        <v>0.06</v>
      </c>
      <c r="CC1225">
        <v>0.7</v>
      </c>
      <c r="CD1225">
        <v>0.52</v>
      </c>
      <c r="CE1225">
        <v>0.61</v>
      </c>
      <c r="CF1225">
        <v>0.59</v>
      </c>
      <c r="CG1225">
        <v>9.26</v>
      </c>
      <c r="CH1225">
        <v>0.16</v>
      </c>
      <c r="CI1225">
        <v>-2.15</v>
      </c>
      <c r="CJ1225">
        <v>14432</v>
      </c>
      <c r="CK1225">
        <v>7187</v>
      </c>
      <c r="CL1225" t="s">
        <v>6877</v>
      </c>
      <c r="CM1225">
        <v>-58.91</v>
      </c>
      <c r="CN1225">
        <v>-22.16</v>
      </c>
      <c r="CO1225">
        <v>1.89</v>
      </c>
      <c r="CP1225">
        <v>227.41</v>
      </c>
      <c r="CQ1225">
        <v>1.38</v>
      </c>
      <c r="CR1225">
        <v>0.45</v>
      </c>
      <c r="CS1225" t="s">
        <v>4110</v>
      </c>
      <c r="CT1225">
        <v>8.74</v>
      </c>
      <c r="CU1225">
        <v>0</v>
      </c>
      <c r="CV1225">
        <v>3.18</v>
      </c>
      <c r="CW1225">
        <v>4.12</v>
      </c>
      <c r="CX1225">
        <v>7.0000000000000007E-2</v>
      </c>
      <c r="CY1225">
        <v>41.85</v>
      </c>
      <c r="CZ1225" t="s">
        <v>1013</v>
      </c>
      <c r="DA1225">
        <v>17.690000000000001</v>
      </c>
      <c r="DB1225">
        <v>2.59</v>
      </c>
      <c r="DC1225">
        <v>2.2599999999999998</v>
      </c>
      <c r="DD1225">
        <v>0.86</v>
      </c>
      <c r="DE1225">
        <v>1551</v>
      </c>
      <c r="DF1225">
        <v>2781</v>
      </c>
      <c r="DG1225" t="s">
        <v>116</v>
      </c>
      <c r="DH1225" t="s">
        <v>116</v>
      </c>
      <c r="DI1225" t="s">
        <v>116</v>
      </c>
    </row>
    <row r="1226" spans="1:113" x14ac:dyDescent="0.4">
      <c r="A1226" t="str">
        <f>"002782"</f>
        <v>002782</v>
      </c>
      <c r="B1226" t="s">
        <v>6878</v>
      </c>
      <c r="C1226">
        <v>-1.03</v>
      </c>
      <c r="D1226">
        <v>10.62</v>
      </c>
      <c r="E1226">
        <v>-0.11</v>
      </c>
      <c r="F1226">
        <v>10.62</v>
      </c>
      <c r="G1226">
        <v>10.63</v>
      </c>
      <c r="H1226">
        <v>41687</v>
      </c>
      <c r="I1226">
        <v>376</v>
      </c>
      <c r="J1226">
        <v>-0.08</v>
      </c>
      <c r="K1226">
        <v>0.98</v>
      </c>
      <c r="L1226">
        <v>10.69</v>
      </c>
      <c r="M1226">
        <v>10.85</v>
      </c>
      <c r="N1226">
        <v>10.62</v>
      </c>
      <c r="O1226">
        <v>10.73</v>
      </c>
      <c r="P1226">
        <v>43.42</v>
      </c>
      <c r="Q1226">
        <v>44714660</v>
      </c>
      <c r="R1226">
        <v>1.32</v>
      </c>
      <c r="S1226" t="s">
        <v>397</v>
      </c>
      <c r="T1226" t="s">
        <v>115</v>
      </c>
      <c r="U1226">
        <v>2.14</v>
      </c>
      <c r="V1226">
        <v>10.73</v>
      </c>
      <c r="W1226">
        <v>20447</v>
      </c>
      <c r="X1226">
        <v>21240</v>
      </c>
      <c r="Y1226">
        <v>0.96</v>
      </c>
      <c r="Z1226">
        <v>137</v>
      </c>
      <c r="AA1226">
        <v>196</v>
      </c>
      <c r="AB1226" t="s">
        <v>116</v>
      </c>
      <c r="AC1226">
        <v>113300</v>
      </c>
      <c r="AD1226">
        <v>0.01</v>
      </c>
      <c r="AE1226" t="s">
        <v>116</v>
      </c>
      <c r="AF1226" t="s">
        <v>116</v>
      </c>
      <c r="AG1226">
        <v>4.26</v>
      </c>
      <c r="AH1226" t="s">
        <v>6879</v>
      </c>
      <c r="AI1226" t="s">
        <v>6879</v>
      </c>
      <c r="AJ1226">
        <v>-0.35</v>
      </c>
      <c r="AK1226">
        <v>2075</v>
      </c>
      <c r="AL1226">
        <v>20</v>
      </c>
      <c r="AM1226">
        <v>5.0000000000000001E-4</v>
      </c>
      <c r="AN1226">
        <v>-1</v>
      </c>
      <c r="AO1226">
        <v>1.62</v>
      </c>
      <c r="AP1226">
        <v>5.88</v>
      </c>
      <c r="AQ1226">
        <v>1.24</v>
      </c>
      <c r="AR1226">
        <v>-2.39</v>
      </c>
      <c r="AS1226">
        <v>3.64</v>
      </c>
      <c r="AT1226" t="s">
        <v>1626</v>
      </c>
      <c r="AU1226">
        <v>52.27</v>
      </c>
      <c r="AV1226">
        <v>53.23</v>
      </c>
      <c r="AW1226">
        <v>0.91</v>
      </c>
      <c r="BA1226">
        <v>-0.37</v>
      </c>
      <c r="BB1226">
        <v>1.1200000000000001</v>
      </c>
      <c r="BC1226">
        <v>-1.03</v>
      </c>
      <c r="BD1226">
        <v>-0.03</v>
      </c>
      <c r="BE1226">
        <v>-0.65</v>
      </c>
      <c r="BF1226">
        <v>-2.12</v>
      </c>
      <c r="BG1226">
        <v>0</v>
      </c>
      <c r="BH1226">
        <v>-0.99</v>
      </c>
      <c r="BI1226">
        <v>20191025</v>
      </c>
      <c r="BJ1226">
        <v>20151222</v>
      </c>
      <c r="BK1226">
        <v>4.26</v>
      </c>
      <c r="BL1226" t="s">
        <v>116</v>
      </c>
      <c r="BM1226" t="s">
        <v>116</v>
      </c>
      <c r="BN1226">
        <v>11.31</v>
      </c>
      <c r="BO1226">
        <v>8.68</v>
      </c>
      <c r="BP1226">
        <v>0</v>
      </c>
      <c r="BQ1226">
        <v>23.31</v>
      </c>
      <c r="BR1226">
        <v>7.88</v>
      </c>
      <c r="BS1226">
        <v>1.79</v>
      </c>
      <c r="BT1226">
        <v>0.54</v>
      </c>
      <c r="BU1226">
        <v>2.5499999999999998</v>
      </c>
      <c r="BV1226">
        <v>1.3</v>
      </c>
      <c r="BW1226">
        <v>2.78</v>
      </c>
      <c r="BX1226">
        <v>0.59</v>
      </c>
      <c r="BY1226">
        <v>7.53</v>
      </c>
      <c r="BZ1226">
        <v>5.87</v>
      </c>
      <c r="CA1226">
        <v>0.93</v>
      </c>
      <c r="CB1226">
        <v>0.02</v>
      </c>
      <c r="CC1226">
        <v>0.97</v>
      </c>
      <c r="CD1226">
        <v>0.78</v>
      </c>
      <c r="CE1226">
        <v>0.78</v>
      </c>
      <c r="CF1226">
        <v>0.38</v>
      </c>
      <c r="CG1226">
        <v>3.43</v>
      </c>
      <c r="CH1226">
        <v>0.79</v>
      </c>
      <c r="CI1226">
        <v>0.85</v>
      </c>
      <c r="CJ1226">
        <v>40939</v>
      </c>
      <c r="CK1226">
        <v>2799</v>
      </c>
      <c r="CL1226" t="s">
        <v>6880</v>
      </c>
      <c r="CM1226">
        <v>2.0299999999999998</v>
      </c>
      <c r="CN1226">
        <v>-7.33</v>
      </c>
      <c r="CO1226">
        <v>5.21</v>
      </c>
      <c r="CP1226">
        <v>57.49</v>
      </c>
      <c r="CQ1226">
        <v>6.01</v>
      </c>
      <c r="CR1226">
        <v>0.94</v>
      </c>
      <c r="CS1226" t="s">
        <v>1113</v>
      </c>
      <c r="CT1226">
        <v>2.04</v>
      </c>
      <c r="CU1226">
        <v>0</v>
      </c>
      <c r="CV1226">
        <v>0.14000000000000001</v>
      </c>
      <c r="CW1226">
        <v>0.81</v>
      </c>
      <c r="CX1226">
        <v>0.18</v>
      </c>
      <c r="CY1226">
        <v>76.69</v>
      </c>
      <c r="CZ1226" t="s">
        <v>6881</v>
      </c>
      <c r="DA1226">
        <v>22.04</v>
      </c>
      <c r="DB1226">
        <v>12.3</v>
      </c>
      <c r="DC1226">
        <v>10.37</v>
      </c>
      <c r="DD1226">
        <v>0.28000000000000003</v>
      </c>
      <c r="DE1226">
        <v>3355</v>
      </c>
      <c r="DF1226">
        <v>2782</v>
      </c>
      <c r="DG1226" t="s">
        <v>116</v>
      </c>
      <c r="DH1226" t="s">
        <v>116</v>
      </c>
      <c r="DI1226" t="s">
        <v>116</v>
      </c>
    </row>
    <row r="1227" spans="1:113" x14ac:dyDescent="0.4">
      <c r="A1227" t="str">
        <f>"002783"</f>
        <v>002783</v>
      </c>
      <c r="B1227" t="s">
        <v>6882</v>
      </c>
      <c r="C1227">
        <v>-4.12</v>
      </c>
      <c r="D1227">
        <v>12.1</v>
      </c>
      <c r="E1227">
        <v>-0.52</v>
      </c>
      <c r="F1227">
        <v>12.1</v>
      </c>
      <c r="G1227">
        <v>12.11</v>
      </c>
      <c r="H1227">
        <v>151902</v>
      </c>
      <c r="I1227">
        <v>910</v>
      </c>
      <c r="J1227">
        <v>0</v>
      </c>
      <c r="K1227">
        <v>4.88</v>
      </c>
      <c r="L1227">
        <v>12.5</v>
      </c>
      <c r="M1227">
        <v>12.5</v>
      </c>
      <c r="N1227">
        <v>12.05</v>
      </c>
      <c r="O1227">
        <v>12.62</v>
      </c>
      <c r="P1227">
        <v>36.590000000000003</v>
      </c>
      <c r="Q1227">
        <v>186816992</v>
      </c>
      <c r="R1227">
        <v>0.98</v>
      </c>
      <c r="S1227" t="s">
        <v>891</v>
      </c>
      <c r="T1227" t="s">
        <v>774</v>
      </c>
      <c r="U1227">
        <v>3.57</v>
      </c>
      <c r="V1227">
        <v>12.3</v>
      </c>
      <c r="W1227">
        <v>97093</v>
      </c>
      <c r="X1227">
        <v>54809</v>
      </c>
      <c r="Y1227">
        <v>1.77</v>
      </c>
      <c r="Z1227">
        <v>484</v>
      </c>
      <c r="AA1227">
        <v>347</v>
      </c>
      <c r="AB1227" t="s">
        <v>116</v>
      </c>
      <c r="AC1227">
        <v>2875000</v>
      </c>
      <c r="AD1227">
        <v>0.1</v>
      </c>
      <c r="AE1227" t="s">
        <v>116</v>
      </c>
      <c r="AF1227" t="s">
        <v>116</v>
      </c>
      <c r="AG1227">
        <v>3.11</v>
      </c>
      <c r="AH1227" t="s">
        <v>3160</v>
      </c>
      <c r="AI1227" t="s">
        <v>6272</v>
      </c>
      <c r="AJ1227">
        <v>-3.44</v>
      </c>
      <c r="AK1227">
        <v>2897</v>
      </c>
      <c r="AL1227">
        <v>52</v>
      </c>
      <c r="AM1227">
        <v>1.6999999999999999E-3</v>
      </c>
      <c r="AN1227">
        <v>-1</v>
      </c>
      <c r="AO1227">
        <v>-1.7</v>
      </c>
      <c r="AP1227">
        <v>20.28</v>
      </c>
      <c r="AQ1227">
        <v>0.41</v>
      </c>
      <c r="AR1227">
        <v>94.22</v>
      </c>
      <c r="AS1227">
        <v>6.28</v>
      </c>
      <c r="AT1227" t="s">
        <v>6883</v>
      </c>
      <c r="AU1227">
        <v>61.44</v>
      </c>
      <c r="AV1227">
        <v>54.79</v>
      </c>
      <c r="AW1227">
        <v>1.9</v>
      </c>
      <c r="BA1227">
        <v>-0.95</v>
      </c>
      <c r="BB1227">
        <v>-0.95</v>
      </c>
      <c r="BC1227">
        <v>-4.5199999999999996</v>
      </c>
      <c r="BD1227">
        <v>-2.5499999999999998</v>
      </c>
      <c r="BE1227">
        <v>-3.2</v>
      </c>
      <c r="BF1227">
        <v>-3.2</v>
      </c>
      <c r="BG1227">
        <v>0.41</v>
      </c>
      <c r="BH1227">
        <v>-1.57</v>
      </c>
      <c r="BI1227">
        <v>20191022</v>
      </c>
      <c r="BJ1227">
        <v>20151209</v>
      </c>
      <c r="BK1227">
        <v>3.7</v>
      </c>
      <c r="BL1227" t="s">
        <v>116</v>
      </c>
      <c r="BM1227" t="s">
        <v>116</v>
      </c>
      <c r="BN1227">
        <v>41.34</v>
      </c>
      <c r="BO1227">
        <v>17.190000000000001</v>
      </c>
      <c r="BP1227">
        <v>4.57</v>
      </c>
      <c r="BQ1227">
        <v>47.36</v>
      </c>
      <c r="BR1227">
        <v>14.51</v>
      </c>
      <c r="BS1227">
        <v>9.9</v>
      </c>
      <c r="BT1227">
        <v>2.48</v>
      </c>
      <c r="BU1227">
        <v>9.9499999999999993</v>
      </c>
      <c r="BV1227">
        <v>1.66</v>
      </c>
      <c r="BW1227">
        <v>3.14</v>
      </c>
      <c r="BX1227">
        <v>4.7699999999999996</v>
      </c>
      <c r="BY1227">
        <v>13.66</v>
      </c>
      <c r="BZ1227">
        <v>8.75</v>
      </c>
      <c r="CA1227">
        <v>1.76</v>
      </c>
      <c r="CB1227">
        <v>0.08</v>
      </c>
      <c r="CC1227">
        <v>1.76</v>
      </c>
      <c r="CD1227">
        <v>1.41</v>
      </c>
      <c r="CE1227">
        <v>0.92</v>
      </c>
      <c r="CF1227">
        <v>0.76</v>
      </c>
      <c r="CG1227">
        <v>6.57</v>
      </c>
      <c r="CH1227">
        <v>1.1100000000000001</v>
      </c>
      <c r="CI1227">
        <v>-7.24</v>
      </c>
      <c r="CJ1227">
        <v>29649</v>
      </c>
      <c r="CK1227">
        <v>8155</v>
      </c>
      <c r="CL1227" t="s">
        <v>3048</v>
      </c>
      <c r="CM1227">
        <v>-8.7899999999999991</v>
      </c>
      <c r="CN1227">
        <v>4.1900000000000004</v>
      </c>
      <c r="CO1227">
        <v>2.64</v>
      </c>
      <c r="CP1227">
        <v>40.29</v>
      </c>
      <c r="CQ1227">
        <v>3.28</v>
      </c>
      <c r="CR1227">
        <v>1.49</v>
      </c>
      <c r="CS1227" t="s">
        <v>6884</v>
      </c>
      <c r="CT1227">
        <v>4.59</v>
      </c>
      <c r="CU1227">
        <v>4.59</v>
      </c>
      <c r="CV1227">
        <v>1.29</v>
      </c>
      <c r="CW1227">
        <v>1.77</v>
      </c>
      <c r="CX1227">
        <v>0.3</v>
      </c>
      <c r="CY1227">
        <v>41.58</v>
      </c>
      <c r="CZ1227" t="s">
        <v>4661</v>
      </c>
      <c r="DA1227">
        <v>35.950000000000003</v>
      </c>
      <c r="DB1227">
        <v>12.88</v>
      </c>
      <c r="DC1227">
        <v>6.72</v>
      </c>
      <c r="DD1227">
        <v>0.36</v>
      </c>
      <c r="DE1227">
        <v>2606</v>
      </c>
      <c r="DF1227">
        <v>2783</v>
      </c>
      <c r="DG1227" t="s">
        <v>116</v>
      </c>
      <c r="DH1227" t="s">
        <v>116</v>
      </c>
      <c r="DI1227" t="s">
        <v>116</v>
      </c>
    </row>
    <row r="1228" spans="1:113" x14ac:dyDescent="0.4">
      <c r="A1228" t="str">
        <f>"002785"</f>
        <v>002785</v>
      </c>
      <c r="B1228" t="s">
        <v>6885</v>
      </c>
      <c r="C1228">
        <v>-2.63</v>
      </c>
      <c r="D1228">
        <v>15.53</v>
      </c>
      <c r="E1228">
        <v>-0.42</v>
      </c>
      <c r="F1228">
        <v>15.52</v>
      </c>
      <c r="G1228">
        <v>15.53</v>
      </c>
      <c r="H1228">
        <v>46157</v>
      </c>
      <c r="I1228">
        <v>326</v>
      </c>
      <c r="J1228">
        <v>-0.12</v>
      </c>
      <c r="K1228">
        <v>2.98</v>
      </c>
      <c r="L1228">
        <v>16.25</v>
      </c>
      <c r="M1228">
        <v>16.25</v>
      </c>
      <c r="N1228">
        <v>15.5</v>
      </c>
      <c r="O1228">
        <v>15.95</v>
      </c>
      <c r="P1228">
        <v>393.03</v>
      </c>
      <c r="Q1228">
        <v>72442208</v>
      </c>
      <c r="R1228">
        <v>0.74</v>
      </c>
      <c r="S1228" t="s">
        <v>249</v>
      </c>
      <c r="T1228" t="s">
        <v>975</v>
      </c>
      <c r="U1228">
        <v>4.7</v>
      </c>
      <c r="V1228">
        <v>15.69</v>
      </c>
      <c r="W1228">
        <v>25028</v>
      </c>
      <c r="X1228">
        <v>21129</v>
      </c>
      <c r="Y1228">
        <v>1.18</v>
      </c>
      <c r="Z1228">
        <v>92</v>
      </c>
      <c r="AA1228">
        <v>451</v>
      </c>
      <c r="AB1228" t="s">
        <v>116</v>
      </c>
      <c r="AC1228">
        <v>710100</v>
      </c>
      <c r="AD1228">
        <v>0.04</v>
      </c>
      <c r="AE1228" t="s">
        <v>116</v>
      </c>
      <c r="AF1228" t="s">
        <v>116</v>
      </c>
      <c r="AG1228">
        <v>1.55</v>
      </c>
      <c r="AH1228" t="s">
        <v>6886</v>
      </c>
      <c r="AI1228" t="s">
        <v>6887</v>
      </c>
      <c r="AJ1228">
        <v>-1.95</v>
      </c>
      <c r="AK1228">
        <v>2150</v>
      </c>
      <c r="AL1228">
        <v>21</v>
      </c>
      <c r="AM1228">
        <v>1.4E-3</v>
      </c>
      <c r="AN1228">
        <v>-3</v>
      </c>
      <c r="AO1228">
        <v>-6.95</v>
      </c>
      <c r="AP1228">
        <v>-3.12</v>
      </c>
      <c r="AQ1228">
        <v>26.36</v>
      </c>
      <c r="AR1228">
        <v>62.55</v>
      </c>
      <c r="AS1228">
        <v>4.5</v>
      </c>
      <c r="AT1228" t="s">
        <v>6888</v>
      </c>
      <c r="AU1228">
        <v>535.23</v>
      </c>
      <c r="AV1228">
        <v>304.36</v>
      </c>
      <c r="AW1228">
        <v>1.35</v>
      </c>
      <c r="BA1228">
        <v>1.88</v>
      </c>
      <c r="BB1228">
        <v>1.88</v>
      </c>
      <c r="BC1228">
        <v>-2.82</v>
      </c>
      <c r="BD1228">
        <v>-1.6</v>
      </c>
      <c r="BE1228">
        <v>-4.43</v>
      </c>
      <c r="BF1228">
        <v>-4.43</v>
      </c>
      <c r="BG1228">
        <v>0.19</v>
      </c>
      <c r="BH1228">
        <v>-1.03</v>
      </c>
      <c r="BI1228">
        <v>20191030</v>
      </c>
      <c r="BJ1228">
        <v>20151223</v>
      </c>
      <c r="BK1228">
        <v>2</v>
      </c>
      <c r="BL1228" t="s">
        <v>116</v>
      </c>
      <c r="BM1228" t="s">
        <v>116</v>
      </c>
      <c r="BN1228">
        <v>12.99</v>
      </c>
      <c r="BO1228">
        <v>6.6</v>
      </c>
      <c r="BP1228">
        <v>0.38</v>
      </c>
      <c r="BQ1228">
        <v>46.27</v>
      </c>
      <c r="BR1228">
        <v>10.050000000000001</v>
      </c>
      <c r="BS1228">
        <v>0.93</v>
      </c>
      <c r="BT1228">
        <v>0.24</v>
      </c>
      <c r="BU1228">
        <v>5.94</v>
      </c>
      <c r="BV1228">
        <v>2.1800000000000002</v>
      </c>
      <c r="BW1228">
        <v>6.21</v>
      </c>
      <c r="BX1228">
        <v>1.73</v>
      </c>
      <c r="BY1228">
        <v>6.85</v>
      </c>
      <c r="BZ1228">
        <v>5.78</v>
      </c>
      <c r="CA1228">
        <v>7.0000000000000007E-2</v>
      </c>
      <c r="CB1228">
        <v>0.01</v>
      </c>
      <c r="CC1228">
        <v>7.0000000000000007E-2</v>
      </c>
      <c r="CD1228">
        <v>0.06</v>
      </c>
      <c r="CE1228">
        <v>0.06</v>
      </c>
      <c r="CF1228">
        <v>0.05</v>
      </c>
      <c r="CG1228">
        <v>2.71</v>
      </c>
      <c r="CH1228">
        <v>-0.18</v>
      </c>
      <c r="CI1228">
        <v>-0.67</v>
      </c>
      <c r="CJ1228">
        <v>21976</v>
      </c>
      <c r="CK1228">
        <v>4666</v>
      </c>
      <c r="CL1228" t="s">
        <v>1898</v>
      </c>
      <c r="CM1228">
        <v>-42.62</v>
      </c>
      <c r="CN1228">
        <v>-0.83</v>
      </c>
      <c r="CO1228">
        <v>4.7</v>
      </c>
      <c r="CP1228">
        <v>-174.75</v>
      </c>
      <c r="CQ1228">
        <v>4.53</v>
      </c>
      <c r="CR1228">
        <v>0.04</v>
      </c>
      <c r="CS1228" t="s">
        <v>2913</v>
      </c>
      <c r="CT1228">
        <v>3.3</v>
      </c>
      <c r="CU1228">
        <v>0</v>
      </c>
      <c r="CV1228">
        <v>0.87</v>
      </c>
      <c r="CW1228">
        <v>1.36</v>
      </c>
      <c r="CX1228">
        <v>-0.09</v>
      </c>
      <c r="CY1228">
        <v>50.83</v>
      </c>
      <c r="CZ1228" t="s">
        <v>6889</v>
      </c>
      <c r="DA1228">
        <v>15.72</v>
      </c>
      <c r="DB1228">
        <v>1.02</v>
      </c>
      <c r="DC1228">
        <v>0.86</v>
      </c>
      <c r="DD1228">
        <v>0</v>
      </c>
      <c r="DE1228">
        <v>1018</v>
      </c>
      <c r="DF1228">
        <v>2785</v>
      </c>
      <c r="DG1228" t="s">
        <v>116</v>
      </c>
      <c r="DH1228" t="s">
        <v>116</v>
      </c>
      <c r="DI1228" t="s">
        <v>116</v>
      </c>
    </row>
    <row r="1229" spans="1:113" x14ac:dyDescent="0.4">
      <c r="A1229" t="str">
        <f>"002786"</f>
        <v>002786</v>
      </c>
      <c r="B1229" t="s">
        <v>6890</v>
      </c>
      <c r="C1229">
        <v>-1.54</v>
      </c>
      <c r="D1229">
        <v>8.32</v>
      </c>
      <c r="E1229">
        <v>-0.13</v>
      </c>
      <c r="F1229">
        <v>8.31</v>
      </c>
      <c r="G1229">
        <v>8.32</v>
      </c>
      <c r="H1229">
        <v>75683</v>
      </c>
      <c r="I1229">
        <v>847</v>
      </c>
      <c r="J1229">
        <v>0</v>
      </c>
      <c r="K1229">
        <v>1.99</v>
      </c>
      <c r="L1229">
        <v>8.44</v>
      </c>
      <c r="M1229">
        <v>8.64</v>
      </c>
      <c r="N1229">
        <v>8.3000000000000007</v>
      </c>
      <c r="O1229">
        <v>8.4499999999999993</v>
      </c>
      <c r="P1229" t="s">
        <v>116</v>
      </c>
      <c r="Q1229">
        <v>64170996</v>
      </c>
      <c r="R1229">
        <v>1.06</v>
      </c>
      <c r="S1229" t="s">
        <v>682</v>
      </c>
      <c r="T1229" t="s">
        <v>115</v>
      </c>
      <c r="U1229">
        <v>4.0199999999999996</v>
      </c>
      <c r="V1229">
        <v>8.48</v>
      </c>
      <c r="W1229">
        <v>46649</v>
      </c>
      <c r="X1229">
        <v>29034</v>
      </c>
      <c r="Y1229">
        <v>1.61</v>
      </c>
      <c r="Z1229">
        <v>446</v>
      </c>
      <c r="AA1229">
        <v>242</v>
      </c>
      <c r="AB1229" t="s">
        <v>116</v>
      </c>
      <c r="AC1229">
        <v>416100</v>
      </c>
      <c r="AD1229">
        <v>0.03</v>
      </c>
      <c r="AE1229" t="s">
        <v>116</v>
      </c>
      <c r="AF1229" t="s">
        <v>116</v>
      </c>
      <c r="AG1229">
        <v>3.8</v>
      </c>
      <c r="AH1229" t="s">
        <v>5430</v>
      </c>
      <c r="AI1229" t="s">
        <v>6891</v>
      </c>
      <c r="AJ1229">
        <v>-0.86</v>
      </c>
      <c r="AK1229">
        <v>2302</v>
      </c>
      <c r="AL1229">
        <v>33</v>
      </c>
      <c r="AM1229">
        <v>8.9999999999999998E-4</v>
      </c>
      <c r="AN1229">
        <v>-1</v>
      </c>
      <c r="AO1229">
        <v>-1.77</v>
      </c>
      <c r="AP1229">
        <v>3.74</v>
      </c>
      <c r="AQ1229">
        <v>-29.25</v>
      </c>
      <c r="AR1229">
        <v>37.090000000000003</v>
      </c>
      <c r="AS1229">
        <v>5.17</v>
      </c>
      <c r="AT1229" t="s">
        <v>1626</v>
      </c>
      <c r="AU1229" t="s">
        <v>116</v>
      </c>
      <c r="AV1229">
        <v>76.13</v>
      </c>
      <c r="AW1229">
        <v>1.91</v>
      </c>
      <c r="BA1229">
        <v>-0.12</v>
      </c>
      <c r="BB1229">
        <v>2.25</v>
      </c>
      <c r="BC1229">
        <v>-1.78</v>
      </c>
      <c r="BD1229">
        <v>0.34</v>
      </c>
      <c r="BE1229">
        <v>-1.42</v>
      </c>
      <c r="BF1229">
        <v>-3.7</v>
      </c>
      <c r="BG1229">
        <v>0.24</v>
      </c>
      <c r="BH1229">
        <v>-1.88</v>
      </c>
      <c r="BI1229">
        <v>20191031</v>
      </c>
      <c r="BJ1229">
        <v>20151223</v>
      </c>
      <c r="BK1229">
        <v>3.81</v>
      </c>
      <c r="BL1229" t="s">
        <v>116</v>
      </c>
      <c r="BM1229" t="s">
        <v>116</v>
      </c>
      <c r="BN1229">
        <v>43</v>
      </c>
      <c r="BO1229">
        <v>9.83</v>
      </c>
      <c r="BP1229">
        <v>0.54</v>
      </c>
      <c r="BQ1229">
        <v>75.88</v>
      </c>
      <c r="BR1229">
        <v>28.86</v>
      </c>
      <c r="BS1229">
        <v>10.029999999999999</v>
      </c>
      <c r="BT1229">
        <v>1.47</v>
      </c>
      <c r="BU1229">
        <v>30.04</v>
      </c>
      <c r="BV1229">
        <v>13.59</v>
      </c>
      <c r="BW1229">
        <v>6.02</v>
      </c>
      <c r="BX1229">
        <v>1.74</v>
      </c>
      <c r="BY1229">
        <v>20.67</v>
      </c>
      <c r="BZ1229">
        <v>17.940000000000001</v>
      </c>
      <c r="CA1229">
        <v>-1.82</v>
      </c>
      <c r="CB1229">
        <v>0.01</v>
      </c>
      <c r="CC1229">
        <v>-1.83</v>
      </c>
      <c r="CD1229">
        <v>-1.52</v>
      </c>
      <c r="CE1229">
        <v>-1.49</v>
      </c>
      <c r="CF1229">
        <v>-1.64</v>
      </c>
      <c r="CG1229">
        <v>3.69</v>
      </c>
      <c r="CH1229">
        <v>1.05</v>
      </c>
      <c r="CI1229">
        <v>0.98</v>
      </c>
      <c r="CJ1229">
        <v>46579</v>
      </c>
      <c r="CK1229">
        <v>3140</v>
      </c>
      <c r="CL1229" t="s">
        <v>6892</v>
      </c>
      <c r="CM1229">
        <v>-901.52</v>
      </c>
      <c r="CN1229">
        <v>-6.29</v>
      </c>
      <c r="CO1229">
        <v>3.23</v>
      </c>
      <c r="CP1229">
        <v>30.23</v>
      </c>
      <c r="CQ1229">
        <v>1.53</v>
      </c>
      <c r="CR1229">
        <v>0.25</v>
      </c>
      <c r="CS1229" t="s">
        <v>6893</v>
      </c>
      <c r="CT1229">
        <v>2.58</v>
      </c>
      <c r="CU1229">
        <v>0</v>
      </c>
      <c r="CV1229">
        <v>0.46</v>
      </c>
      <c r="CW1229">
        <v>0.97</v>
      </c>
      <c r="CX1229">
        <v>0.28000000000000003</v>
      </c>
      <c r="CY1229">
        <v>22.85</v>
      </c>
      <c r="CZ1229" t="s">
        <v>6894</v>
      </c>
      <c r="DA1229">
        <v>13.19</v>
      </c>
      <c r="DB1229">
        <v>-8.81</v>
      </c>
      <c r="DC1229">
        <v>-7.22</v>
      </c>
      <c r="DD1229">
        <v>0.88</v>
      </c>
      <c r="DE1229">
        <v>8378</v>
      </c>
      <c r="DF1229">
        <v>2786</v>
      </c>
      <c r="DG1229" t="s">
        <v>116</v>
      </c>
      <c r="DH1229" t="s">
        <v>116</v>
      </c>
      <c r="DI1229" t="s">
        <v>116</v>
      </c>
    </row>
    <row r="1230" spans="1:113" x14ac:dyDescent="0.4">
      <c r="A1230" t="str">
        <f>"002787"</f>
        <v>002787</v>
      </c>
      <c r="B1230" t="s">
        <v>6895</v>
      </c>
      <c r="C1230">
        <v>-1.67</v>
      </c>
      <c r="D1230">
        <v>7.08</v>
      </c>
      <c r="E1230">
        <v>-0.12</v>
      </c>
      <c r="F1230">
        <v>7.07</v>
      </c>
      <c r="G1230">
        <v>7.08</v>
      </c>
      <c r="H1230">
        <v>29995</v>
      </c>
      <c r="I1230">
        <v>733</v>
      </c>
      <c r="J1230">
        <v>-0.27</v>
      </c>
      <c r="K1230">
        <v>1.8</v>
      </c>
      <c r="L1230">
        <v>7.21</v>
      </c>
      <c r="M1230">
        <v>7.25</v>
      </c>
      <c r="N1230">
        <v>7.08</v>
      </c>
      <c r="O1230">
        <v>7.2</v>
      </c>
      <c r="P1230">
        <v>38.18</v>
      </c>
      <c r="Q1230">
        <v>21511970</v>
      </c>
      <c r="R1230">
        <v>0.88</v>
      </c>
      <c r="S1230" t="s">
        <v>345</v>
      </c>
      <c r="T1230" t="s">
        <v>323</v>
      </c>
      <c r="U1230">
        <v>2.36</v>
      </c>
      <c r="V1230">
        <v>7.17</v>
      </c>
      <c r="W1230">
        <v>21110</v>
      </c>
      <c r="X1230">
        <v>8885</v>
      </c>
      <c r="Y1230">
        <v>2.38</v>
      </c>
      <c r="Z1230">
        <v>253</v>
      </c>
      <c r="AA1230">
        <v>221</v>
      </c>
      <c r="AB1230" t="s">
        <v>116</v>
      </c>
      <c r="AC1230">
        <v>7200</v>
      </c>
      <c r="AD1230">
        <v>0</v>
      </c>
      <c r="AE1230" t="s">
        <v>116</v>
      </c>
      <c r="AF1230" t="s">
        <v>116</v>
      </c>
      <c r="AG1230">
        <v>1.67</v>
      </c>
      <c r="AH1230" t="s">
        <v>6896</v>
      </c>
      <c r="AI1230" t="s">
        <v>6897</v>
      </c>
      <c r="AJ1230">
        <v>-0.99</v>
      </c>
      <c r="AK1230">
        <v>796</v>
      </c>
      <c r="AL1230">
        <v>38</v>
      </c>
      <c r="AM1230">
        <v>2.3E-3</v>
      </c>
      <c r="AN1230">
        <v>-1</v>
      </c>
      <c r="AO1230">
        <v>-0.98</v>
      </c>
      <c r="AP1230">
        <v>14.75</v>
      </c>
      <c r="AQ1230">
        <v>5.83</v>
      </c>
      <c r="AR1230">
        <v>8.09</v>
      </c>
      <c r="AS1230">
        <v>2.36</v>
      </c>
      <c r="AT1230" t="s">
        <v>6898</v>
      </c>
      <c r="AU1230">
        <v>52.9</v>
      </c>
      <c r="AV1230">
        <v>41.15</v>
      </c>
      <c r="AW1230">
        <v>1.1499999999999999</v>
      </c>
      <c r="BA1230">
        <v>0.14000000000000001</v>
      </c>
      <c r="BB1230">
        <v>0.69</v>
      </c>
      <c r="BC1230">
        <v>-1.67</v>
      </c>
      <c r="BD1230">
        <v>-0.39</v>
      </c>
      <c r="BE1230">
        <v>-1.8</v>
      </c>
      <c r="BF1230">
        <v>-2.34</v>
      </c>
      <c r="BG1230">
        <v>0</v>
      </c>
      <c r="BH1230">
        <v>-1.28</v>
      </c>
      <c r="BI1230">
        <v>20191030</v>
      </c>
      <c r="BJ1230">
        <v>20151231</v>
      </c>
      <c r="BK1230">
        <v>3.11</v>
      </c>
      <c r="BL1230" t="s">
        <v>116</v>
      </c>
      <c r="BM1230" t="s">
        <v>116</v>
      </c>
      <c r="BN1230">
        <v>24.01</v>
      </c>
      <c r="BO1230">
        <v>15.08</v>
      </c>
      <c r="BP1230">
        <v>0.06</v>
      </c>
      <c r="BQ1230">
        <v>36.96</v>
      </c>
      <c r="BR1230">
        <v>15.81</v>
      </c>
      <c r="BS1230">
        <v>4.2699999999999996</v>
      </c>
      <c r="BT1230">
        <v>1.0900000000000001</v>
      </c>
      <c r="BU1230">
        <v>5.51</v>
      </c>
      <c r="BV1230">
        <v>2.8</v>
      </c>
      <c r="BW1230">
        <v>4.3600000000000003</v>
      </c>
      <c r="BX1230">
        <v>6.87</v>
      </c>
      <c r="BY1230">
        <v>12.16</v>
      </c>
      <c r="BZ1230">
        <v>9.81</v>
      </c>
      <c r="CA1230">
        <v>0.57999999999999996</v>
      </c>
      <c r="CB1230">
        <v>7.0000000000000007E-2</v>
      </c>
      <c r="CC1230">
        <v>0.56999999999999995</v>
      </c>
      <c r="CD1230">
        <v>0.44</v>
      </c>
      <c r="CE1230">
        <v>0.43</v>
      </c>
      <c r="CF1230">
        <v>0.37</v>
      </c>
      <c r="CG1230">
        <v>3.67</v>
      </c>
      <c r="CH1230">
        <v>0.94</v>
      </c>
      <c r="CI1230">
        <v>-3.54</v>
      </c>
      <c r="CJ1230">
        <v>18171</v>
      </c>
      <c r="CK1230">
        <v>7003</v>
      </c>
      <c r="CL1230" t="s">
        <v>1463</v>
      </c>
      <c r="CM1230">
        <v>-21.54</v>
      </c>
      <c r="CN1230">
        <v>22.23</v>
      </c>
      <c r="CO1230">
        <v>1.56</v>
      </c>
      <c r="CP1230">
        <v>23.48</v>
      </c>
      <c r="CQ1230">
        <v>1.81</v>
      </c>
      <c r="CR1230">
        <v>0.71</v>
      </c>
      <c r="CS1230" t="s">
        <v>416</v>
      </c>
      <c r="CT1230">
        <v>4.54</v>
      </c>
      <c r="CU1230">
        <v>4.54</v>
      </c>
      <c r="CV1230">
        <v>2.21</v>
      </c>
      <c r="CW1230">
        <v>1.18</v>
      </c>
      <c r="CX1230">
        <v>0.3</v>
      </c>
      <c r="CY1230">
        <v>62.81</v>
      </c>
      <c r="CZ1230" t="s">
        <v>6899</v>
      </c>
      <c r="DA1230">
        <v>19.350000000000001</v>
      </c>
      <c r="DB1230">
        <v>4.79</v>
      </c>
      <c r="DC1230">
        <v>3.56</v>
      </c>
      <c r="DD1230">
        <v>0.44</v>
      </c>
      <c r="DE1230">
        <v>1880</v>
      </c>
      <c r="DF1230">
        <v>2787</v>
      </c>
      <c r="DG1230" t="s">
        <v>116</v>
      </c>
      <c r="DH1230" t="s">
        <v>116</v>
      </c>
      <c r="DI1230" t="s">
        <v>116</v>
      </c>
    </row>
    <row r="1231" spans="1:113" x14ac:dyDescent="0.4">
      <c r="A1231" t="str">
        <f>"002788"</f>
        <v>002788</v>
      </c>
      <c r="B1231" t="s">
        <v>6900</v>
      </c>
      <c r="C1231">
        <v>0.76</v>
      </c>
      <c r="D1231">
        <v>7.93</v>
      </c>
      <c r="E1231">
        <v>0.06</v>
      </c>
      <c r="F1231">
        <v>7.93</v>
      </c>
      <c r="G1231">
        <v>7.94</v>
      </c>
      <c r="H1231">
        <v>38278</v>
      </c>
      <c r="I1231">
        <v>1062</v>
      </c>
      <c r="J1231">
        <v>0.25</v>
      </c>
      <c r="K1231">
        <v>1.2</v>
      </c>
      <c r="L1231">
        <v>7.9</v>
      </c>
      <c r="M1231">
        <v>8</v>
      </c>
      <c r="N1231">
        <v>7.85</v>
      </c>
      <c r="O1231">
        <v>7.87</v>
      </c>
      <c r="P1231">
        <v>9.91</v>
      </c>
      <c r="Q1231">
        <v>30388716</v>
      </c>
      <c r="R1231">
        <v>1.75</v>
      </c>
      <c r="S1231" t="s">
        <v>278</v>
      </c>
      <c r="T1231" t="s">
        <v>975</v>
      </c>
      <c r="U1231">
        <v>1.91</v>
      </c>
      <c r="V1231">
        <v>7.94</v>
      </c>
      <c r="W1231">
        <v>17990</v>
      </c>
      <c r="X1231">
        <v>20288</v>
      </c>
      <c r="Y1231">
        <v>0.89</v>
      </c>
      <c r="Z1231">
        <v>831</v>
      </c>
      <c r="AA1231">
        <v>426</v>
      </c>
      <c r="AB1231" t="s">
        <v>116</v>
      </c>
      <c r="AC1231">
        <v>284400</v>
      </c>
      <c r="AD1231">
        <v>0.02</v>
      </c>
      <c r="AE1231" t="s">
        <v>116</v>
      </c>
      <c r="AF1231" t="s">
        <v>116</v>
      </c>
      <c r="AG1231">
        <v>3.18</v>
      </c>
      <c r="AH1231" t="s">
        <v>6901</v>
      </c>
      <c r="AI1231" t="s">
        <v>6902</v>
      </c>
      <c r="AJ1231">
        <v>1.44</v>
      </c>
      <c r="AK1231">
        <v>1176</v>
      </c>
      <c r="AL1231">
        <v>33</v>
      </c>
      <c r="AM1231">
        <v>1E-3</v>
      </c>
      <c r="AN1231">
        <v>2</v>
      </c>
      <c r="AO1231">
        <v>0.89</v>
      </c>
      <c r="AP1231">
        <v>3.8</v>
      </c>
      <c r="AQ1231">
        <v>-1.25</v>
      </c>
      <c r="AR1231">
        <v>8.5399999999999991</v>
      </c>
      <c r="AS1231">
        <v>1.96</v>
      </c>
      <c r="AT1231" t="s">
        <v>5420</v>
      </c>
      <c r="AU1231">
        <v>10.78</v>
      </c>
      <c r="AV1231">
        <v>14.37</v>
      </c>
      <c r="AW1231">
        <v>1.33</v>
      </c>
      <c r="BA1231">
        <v>0.38</v>
      </c>
      <c r="BB1231">
        <v>1.65</v>
      </c>
      <c r="BC1231">
        <v>-0.25</v>
      </c>
      <c r="BD1231">
        <v>0.88</v>
      </c>
      <c r="BE1231">
        <v>0.38</v>
      </c>
      <c r="BF1231">
        <v>-0.88</v>
      </c>
      <c r="BG1231">
        <v>1.02</v>
      </c>
      <c r="BH1231">
        <v>-0.11</v>
      </c>
      <c r="BI1231">
        <v>20191024</v>
      </c>
      <c r="BJ1231">
        <v>20160218</v>
      </c>
      <c r="BK1231">
        <v>3.27</v>
      </c>
      <c r="BL1231" t="s">
        <v>116</v>
      </c>
      <c r="BM1231" t="s">
        <v>116</v>
      </c>
      <c r="BN1231">
        <v>72.97</v>
      </c>
      <c r="BO1231">
        <v>17.440000000000001</v>
      </c>
      <c r="BP1231">
        <v>0.97</v>
      </c>
      <c r="BQ1231">
        <v>74.760000000000005</v>
      </c>
      <c r="BR1231">
        <v>60.67</v>
      </c>
      <c r="BS1231">
        <v>5.59</v>
      </c>
      <c r="BT1231">
        <v>1.0900000000000001</v>
      </c>
      <c r="BU1231">
        <v>52.8</v>
      </c>
      <c r="BV1231">
        <v>16.32</v>
      </c>
      <c r="BW1231">
        <v>37.25</v>
      </c>
      <c r="BX1231">
        <v>4.72</v>
      </c>
      <c r="BY1231">
        <v>111.28</v>
      </c>
      <c r="BZ1231">
        <v>102.75</v>
      </c>
      <c r="CA1231">
        <v>2.67</v>
      </c>
      <c r="CB1231">
        <v>0</v>
      </c>
      <c r="CC1231">
        <v>2.66</v>
      </c>
      <c r="CD1231">
        <v>1.97</v>
      </c>
      <c r="CE1231">
        <v>1.96</v>
      </c>
      <c r="CF1231">
        <v>1.96</v>
      </c>
      <c r="CG1231">
        <v>8.68</v>
      </c>
      <c r="CH1231">
        <v>-7.29</v>
      </c>
      <c r="CI1231">
        <v>-1.24</v>
      </c>
      <c r="CJ1231">
        <v>26705</v>
      </c>
      <c r="CK1231">
        <v>7297</v>
      </c>
      <c r="CL1231" t="s">
        <v>6903</v>
      </c>
      <c r="CM1231">
        <v>44.15</v>
      </c>
      <c r="CN1231">
        <v>32.39</v>
      </c>
      <c r="CO1231">
        <v>1.49</v>
      </c>
      <c r="CP1231">
        <v>-3.56</v>
      </c>
      <c r="CQ1231">
        <v>0.23</v>
      </c>
      <c r="CR1231">
        <v>1.48</v>
      </c>
      <c r="CS1231" t="s">
        <v>986</v>
      </c>
      <c r="CT1231">
        <v>5.34</v>
      </c>
      <c r="CU1231">
        <v>0</v>
      </c>
      <c r="CV1231">
        <v>1.44</v>
      </c>
      <c r="CW1231">
        <v>2.66</v>
      </c>
      <c r="CX1231">
        <v>-2.23</v>
      </c>
      <c r="CY1231">
        <v>23.9</v>
      </c>
      <c r="CZ1231" t="s">
        <v>6535</v>
      </c>
      <c r="DA1231">
        <v>7.66</v>
      </c>
      <c r="DB1231">
        <v>2.4</v>
      </c>
      <c r="DC1231">
        <v>1.76</v>
      </c>
      <c r="DD1231">
        <v>0.03</v>
      </c>
      <c r="DE1231">
        <v>4086</v>
      </c>
      <c r="DF1231">
        <v>2788</v>
      </c>
      <c r="DG1231" t="s">
        <v>116</v>
      </c>
      <c r="DH1231" t="s">
        <v>116</v>
      </c>
      <c r="DI1231" t="s">
        <v>116</v>
      </c>
    </row>
    <row r="1232" spans="1:113" x14ac:dyDescent="0.4">
      <c r="A1232" t="str">
        <f>"002789"</f>
        <v>002789</v>
      </c>
      <c r="B1232" t="s">
        <v>6904</v>
      </c>
      <c r="C1232">
        <v>-0.61</v>
      </c>
      <c r="D1232">
        <v>16.34</v>
      </c>
      <c r="E1232">
        <v>-0.1</v>
      </c>
      <c r="F1232">
        <v>16.34</v>
      </c>
      <c r="G1232">
        <v>16.399999999999999</v>
      </c>
      <c r="H1232">
        <v>9620</v>
      </c>
      <c r="I1232">
        <v>256</v>
      </c>
      <c r="J1232">
        <v>-0.36</v>
      </c>
      <c r="K1232">
        <v>1.18</v>
      </c>
      <c r="L1232">
        <v>16.43</v>
      </c>
      <c r="M1232">
        <v>16.48</v>
      </c>
      <c r="N1232">
        <v>16.28</v>
      </c>
      <c r="O1232">
        <v>16.440000000000001</v>
      </c>
      <c r="P1232">
        <v>20.68</v>
      </c>
      <c r="Q1232">
        <v>15765208</v>
      </c>
      <c r="R1232">
        <v>0.91</v>
      </c>
      <c r="S1232" t="s">
        <v>3331</v>
      </c>
      <c r="T1232" t="s">
        <v>115</v>
      </c>
      <c r="U1232">
        <v>1.22</v>
      </c>
      <c r="V1232">
        <v>16.39</v>
      </c>
      <c r="W1232">
        <v>5965</v>
      </c>
      <c r="X1232">
        <v>3655</v>
      </c>
      <c r="Y1232">
        <v>1.63</v>
      </c>
      <c r="Z1232">
        <v>25</v>
      </c>
      <c r="AA1232">
        <v>218</v>
      </c>
      <c r="AB1232" t="s">
        <v>116</v>
      </c>
      <c r="AC1232">
        <v>13100</v>
      </c>
      <c r="AD1232">
        <v>0</v>
      </c>
      <c r="AE1232" t="s">
        <v>116</v>
      </c>
      <c r="AF1232" t="s">
        <v>116</v>
      </c>
      <c r="AG1232">
        <v>0.81</v>
      </c>
      <c r="AH1232" t="s">
        <v>5814</v>
      </c>
      <c r="AI1232" t="s">
        <v>6905</v>
      </c>
      <c r="AJ1232">
        <v>7.0000000000000007E-2</v>
      </c>
      <c r="AK1232">
        <v>443</v>
      </c>
      <c r="AL1232">
        <v>22</v>
      </c>
      <c r="AM1232">
        <v>2.7000000000000001E-3</v>
      </c>
      <c r="AN1232">
        <v>-1</v>
      </c>
      <c r="AO1232">
        <v>-0.54</v>
      </c>
      <c r="AP1232">
        <v>-5.93</v>
      </c>
      <c r="AQ1232">
        <v>-0.37</v>
      </c>
      <c r="AR1232">
        <v>0.6</v>
      </c>
      <c r="AS1232">
        <v>1.4</v>
      </c>
      <c r="AT1232" t="s">
        <v>6906</v>
      </c>
      <c r="AU1232">
        <v>23.63</v>
      </c>
      <c r="AV1232">
        <v>24.46</v>
      </c>
      <c r="AW1232">
        <v>0</v>
      </c>
      <c r="BA1232">
        <v>-0.06</v>
      </c>
      <c r="BB1232">
        <v>0.24</v>
      </c>
      <c r="BC1232">
        <v>-0.97</v>
      </c>
      <c r="BD1232">
        <v>-0.31</v>
      </c>
      <c r="BE1232">
        <v>-0.55000000000000004</v>
      </c>
      <c r="BF1232">
        <v>-0.85</v>
      </c>
      <c r="BG1232">
        <v>0.37</v>
      </c>
      <c r="BH1232">
        <v>-0.28999999999999998</v>
      </c>
      <c r="BI1232">
        <v>20191031</v>
      </c>
      <c r="BJ1232">
        <v>20160311</v>
      </c>
      <c r="BK1232">
        <v>1.38</v>
      </c>
      <c r="BL1232" t="s">
        <v>116</v>
      </c>
      <c r="BM1232" t="s">
        <v>116</v>
      </c>
      <c r="BN1232">
        <v>42.47</v>
      </c>
      <c r="BO1232">
        <v>13.2</v>
      </c>
      <c r="BP1232">
        <v>-7.0000000000000007E-2</v>
      </c>
      <c r="BQ1232">
        <v>69.069999999999993</v>
      </c>
      <c r="BR1232">
        <v>31</v>
      </c>
      <c r="BS1232">
        <v>0.48</v>
      </c>
      <c r="BT1232">
        <v>2.21</v>
      </c>
      <c r="BU1232">
        <v>28.09</v>
      </c>
      <c r="BV1232">
        <v>1.36</v>
      </c>
      <c r="BW1232">
        <v>21.36</v>
      </c>
      <c r="BX1232">
        <v>5.54</v>
      </c>
      <c r="BY1232">
        <v>21.37</v>
      </c>
      <c r="BZ1232">
        <v>17.920000000000002</v>
      </c>
      <c r="CA1232">
        <v>0.98</v>
      </c>
      <c r="CB1232">
        <v>0.35</v>
      </c>
      <c r="CC1232">
        <v>0.95</v>
      </c>
      <c r="CD1232">
        <v>0.81</v>
      </c>
      <c r="CE1232">
        <v>0.82</v>
      </c>
      <c r="CF1232">
        <v>0.79</v>
      </c>
      <c r="CG1232">
        <v>5.6</v>
      </c>
      <c r="CH1232">
        <v>3.3</v>
      </c>
      <c r="CI1232">
        <v>-1.64</v>
      </c>
      <c r="CJ1232">
        <v>12069</v>
      </c>
      <c r="CK1232">
        <v>5673</v>
      </c>
      <c r="CL1232" t="s">
        <v>6907</v>
      </c>
      <c r="CM1232">
        <v>4.1100000000000003</v>
      </c>
      <c r="CN1232">
        <v>2.62</v>
      </c>
      <c r="CO1232">
        <v>1.71</v>
      </c>
      <c r="CP1232">
        <v>6.84</v>
      </c>
      <c r="CQ1232">
        <v>1.06</v>
      </c>
      <c r="CR1232">
        <v>0.42</v>
      </c>
      <c r="CS1232" t="s">
        <v>6908</v>
      </c>
      <c r="CT1232">
        <v>9.56</v>
      </c>
      <c r="CU1232">
        <v>0</v>
      </c>
      <c r="CV1232">
        <v>4.01</v>
      </c>
      <c r="CW1232">
        <v>4.0599999999999996</v>
      </c>
      <c r="CX1232">
        <v>2.39</v>
      </c>
      <c r="CY1232">
        <v>31.08</v>
      </c>
      <c r="CZ1232" t="s">
        <v>2123</v>
      </c>
      <c r="DA1232">
        <v>16.13</v>
      </c>
      <c r="DB1232">
        <v>4.5999999999999996</v>
      </c>
      <c r="DC1232">
        <v>3.83</v>
      </c>
      <c r="DD1232">
        <v>0.72</v>
      </c>
      <c r="DE1232">
        <v>479</v>
      </c>
      <c r="DF1232">
        <v>2789</v>
      </c>
      <c r="DG1232" t="s">
        <v>116</v>
      </c>
      <c r="DH1232" t="s">
        <v>116</v>
      </c>
      <c r="DI1232" t="s">
        <v>116</v>
      </c>
    </row>
    <row r="1233" spans="1:113" x14ac:dyDescent="0.4">
      <c r="A1233" t="str">
        <f>"002790"</f>
        <v>002790</v>
      </c>
      <c r="B1233" t="s">
        <v>6909</v>
      </c>
      <c r="C1233">
        <v>0</v>
      </c>
      <c r="D1233">
        <v>6.42</v>
      </c>
      <c r="E1233">
        <v>0</v>
      </c>
      <c r="F1233">
        <v>6.42</v>
      </c>
      <c r="G1233">
        <v>6.43</v>
      </c>
      <c r="H1233">
        <v>16542</v>
      </c>
      <c r="I1233">
        <v>91</v>
      </c>
      <c r="J1233">
        <v>-0.15</v>
      </c>
      <c r="K1233">
        <v>0.65</v>
      </c>
      <c r="L1233">
        <v>6.44</v>
      </c>
      <c r="M1233">
        <v>6.47</v>
      </c>
      <c r="N1233">
        <v>6.38</v>
      </c>
      <c r="O1233">
        <v>6.42</v>
      </c>
      <c r="P1233">
        <v>15.53</v>
      </c>
      <c r="Q1233">
        <v>10653172</v>
      </c>
      <c r="R1233">
        <v>1.17</v>
      </c>
      <c r="S1233" t="s">
        <v>2640</v>
      </c>
      <c r="T1233" t="s">
        <v>975</v>
      </c>
      <c r="U1233">
        <v>1.4</v>
      </c>
      <c r="V1233">
        <v>6.44</v>
      </c>
      <c r="W1233">
        <v>9931</v>
      </c>
      <c r="X1233">
        <v>6611</v>
      </c>
      <c r="Y1233">
        <v>1.5</v>
      </c>
      <c r="Z1233">
        <v>78</v>
      </c>
      <c r="AA1233">
        <v>358</v>
      </c>
      <c r="AB1233" t="s">
        <v>116</v>
      </c>
      <c r="AC1233">
        <v>5800</v>
      </c>
      <c r="AD1233">
        <v>0</v>
      </c>
      <c r="AE1233" t="s">
        <v>116</v>
      </c>
      <c r="AF1233" t="s">
        <v>116</v>
      </c>
      <c r="AG1233">
        <v>2.5299999999999998</v>
      </c>
      <c r="AH1233" t="s">
        <v>6910</v>
      </c>
      <c r="AI1233" t="s">
        <v>2583</v>
      </c>
      <c r="AJ1233">
        <v>0.68</v>
      </c>
      <c r="AK1233">
        <v>587</v>
      </c>
      <c r="AL1233">
        <v>28</v>
      </c>
      <c r="AM1233">
        <v>1.1000000000000001E-3</v>
      </c>
      <c r="AN1233">
        <v>0</v>
      </c>
      <c r="AO1233">
        <v>0.32</v>
      </c>
      <c r="AP1233">
        <v>-6</v>
      </c>
      <c r="AQ1233">
        <v>-1.38</v>
      </c>
      <c r="AR1233">
        <v>-0.17</v>
      </c>
      <c r="AS1233">
        <v>0.82</v>
      </c>
      <c r="AT1233" t="s">
        <v>6911</v>
      </c>
      <c r="AU1233">
        <v>15.01</v>
      </c>
      <c r="AV1233">
        <v>16.329999999999998</v>
      </c>
      <c r="AW1233">
        <v>0.41</v>
      </c>
      <c r="BA1233">
        <v>0.31</v>
      </c>
      <c r="BB1233">
        <v>0.78</v>
      </c>
      <c r="BC1233">
        <v>-0.62</v>
      </c>
      <c r="BD1233">
        <v>0.31</v>
      </c>
      <c r="BE1233">
        <v>-0.31</v>
      </c>
      <c r="BF1233">
        <v>-0.77</v>
      </c>
      <c r="BG1233">
        <v>0.63</v>
      </c>
      <c r="BH1233">
        <v>-0.31</v>
      </c>
      <c r="BI1233">
        <v>20191107</v>
      </c>
      <c r="BJ1233">
        <v>20160308</v>
      </c>
      <c r="BK1233">
        <v>4.0999999999999996</v>
      </c>
      <c r="BL1233" t="s">
        <v>116</v>
      </c>
      <c r="BM1233" t="s">
        <v>116</v>
      </c>
      <c r="BN1233">
        <v>18.399999999999999</v>
      </c>
      <c r="BO1233">
        <v>15.86</v>
      </c>
      <c r="BP1233">
        <v>0</v>
      </c>
      <c r="BQ1233">
        <v>13.81</v>
      </c>
      <c r="BR1233">
        <v>13.86</v>
      </c>
      <c r="BS1233">
        <v>4.17</v>
      </c>
      <c r="BT1233">
        <v>0.25</v>
      </c>
      <c r="BU1233">
        <v>2.29</v>
      </c>
      <c r="BV1233">
        <v>1.99</v>
      </c>
      <c r="BW1233">
        <v>2.2599999999999998</v>
      </c>
      <c r="BX1233">
        <v>4.17</v>
      </c>
      <c r="BY1233">
        <v>7.87</v>
      </c>
      <c r="BZ1233">
        <v>5.57</v>
      </c>
      <c r="CA1233">
        <v>1.46</v>
      </c>
      <c r="CB1233">
        <v>0.08</v>
      </c>
      <c r="CC1233">
        <v>1.47</v>
      </c>
      <c r="CD1233">
        <v>1.27</v>
      </c>
      <c r="CE1233">
        <v>1.27</v>
      </c>
      <c r="CF1233">
        <v>1.18</v>
      </c>
      <c r="CG1233">
        <v>6.58</v>
      </c>
      <c r="CH1233">
        <v>1.23</v>
      </c>
      <c r="CI1233">
        <v>0.37</v>
      </c>
      <c r="CJ1233">
        <v>18272</v>
      </c>
      <c r="CK1233">
        <v>10984</v>
      </c>
      <c r="CL1233" t="s">
        <v>453</v>
      </c>
      <c r="CM1233">
        <v>12.58</v>
      </c>
      <c r="CN1233">
        <v>12.39</v>
      </c>
      <c r="CO1233">
        <v>1.66</v>
      </c>
      <c r="CP1233">
        <v>21.3</v>
      </c>
      <c r="CQ1233">
        <v>3.34</v>
      </c>
      <c r="CR1233">
        <v>2.92</v>
      </c>
      <c r="CS1233" t="s">
        <v>3626</v>
      </c>
      <c r="CT1233">
        <v>3.87</v>
      </c>
      <c r="CU1233">
        <v>0</v>
      </c>
      <c r="CV1233">
        <v>1.02</v>
      </c>
      <c r="CW1233">
        <v>1.61</v>
      </c>
      <c r="CX1233">
        <v>0.3</v>
      </c>
      <c r="CY1233">
        <v>86.19</v>
      </c>
      <c r="CZ1233" t="s">
        <v>6912</v>
      </c>
      <c r="DA1233">
        <v>29.3</v>
      </c>
      <c r="DB1233">
        <v>18.57</v>
      </c>
      <c r="DC1233">
        <v>16.13</v>
      </c>
      <c r="DD1233">
        <v>0.26</v>
      </c>
      <c r="DE1233">
        <v>2133</v>
      </c>
      <c r="DF1233">
        <v>2790</v>
      </c>
      <c r="DG1233" t="s">
        <v>116</v>
      </c>
      <c r="DH1233" t="s">
        <v>116</v>
      </c>
      <c r="DI1233" t="s">
        <v>116</v>
      </c>
    </row>
    <row r="1234" spans="1:113" x14ac:dyDescent="0.4">
      <c r="A1234" t="str">
        <f>"002791"</f>
        <v>002791</v>
      </c>
      <c r="B1234" t="s">
        <v>6913</v>
      </c>
      <c r="C1234">
        <v>-0.99</v>
      </c>
      <c r="D1234">
        <v>29.09</v>
      </c>
      <c r="E1234">
        <v>-0.28999999999999998</v>
      </c>
      <c r="F1234">
        <v>29.09</v>
      </c>
      <c r="G1234">
        <v>29.1</v>
      </c>
      <c r="H1234">
        <v>16504</v>
      </c>
      <c r="I1234">
        <v>187</v>
      </c>
      <c r="J1234">
        <v>0.14000000000000001</v>
      </c>
      <c r="K1234">
        <v>1.02</v>
      </c>
      <c r="L1234">
        <v>29.33</v>
      </c>
      <c r="M1234">
        <v>29.4</v>
      </c>
      <c r="N1234">
        <v>28.88</v>
      </c>
      <c r="O1234">
        <v>29.38</v>
      </c>
      <c r="P1234">
        <v>26.04</v>
      </c>
      <c r="Q1234">
        <v>47950652</v>
      </c>
      <c r="R1234">
        <v>0.84</v>
      </c>
      <c r="S1234" t="s">
        <v>249</v>
      </c>
      <c r="T1234" t="s">
        <v>551</v>
      </c>
      <c r="U1234">
        <v>1.77</v>
      </c>
      <c r="V1234">
        <v>29.05</v>
      </c>
      <c r="W1234">
        <v>10121</v>
      </c>
      <c r="X1234">
        <v>6383</v>
      </c>
      <c r="Y1234">
        <v>1.59</v>
      </c>
      <c r="Z1234">
        <v>40</v>
      </c>
      <c r="AA1234">
        <v>62</v>
      </c>
      <c r="AB1234" t="s">
        <v>116</v>
      </c>
      <c r="AC1234">
        <v>117300</v>
      </c>
      <c r="AD1234">
        <v>0</v>
      </c>
      <c r="AE1234" t="s">
        <v>116</v>
      </c>
      <c r="AF1234" t="s">
        <v>116</v>
      </c>
      <c r="AG1234">
        <v>1.61</v>
      </c>
      <c r="AH1234" t="s">
        <v>6914</v>
      </c>
      <c r="AI1234" t="s">
        <v>6915</v>
      </c>
      <c r="AJ1234">
        <v>-0.31</v>
      </c>
      <c r="AK1234">
        <v>1739</v>
      </c>
      <c r="AL1234">
        <v>9</v>
      </c>
      <c r="AM1234">
        <v>5.9999999999999995E-4</v>
      </c>
      <c r="AN1234">
        <v>-1</v>
      </c>
      <c r="AO1234">
        <v>3.37</v>
      </c>
      <c r="AP1234">
        <v>4.83</v>
      </c>
      <c r="AQ1234">
        <v>40.67</v>
      </c>
      <c r="AR1234">
        <v>198.05</v>
      </c>
      <c r="AS1234">
        <v>1.67</v>
      </c>
      <c r="AT1234" t="s">
        <v>6575</v>
      </c>
      <c r="AU1234">
        <v>28.84</v>
      </c>
      <c r="AV1234">
        <v>54.34</v>
      </c>
      <c r="AW1234">
        <v>1.07</v>
      </c>
      <c r="BA1234">
        <v>-0.17</v>
      </c>
      <c r="BB1234">
        <v>7.0000000000000007E-2</v>
      </c>
      <c r="BC1234">
        <v>-1.7</v>
      </c>
      <c r="BD1234">
        <v>-1.1100000000000001</v>
      </c>
      <c r="BE1234">
        <v>-0.82</v>
      </c>
      <c r="BF1234">
        <v>-1.05</v>
      </c>
      <c r="BG1234">
        <v>0.73</v>
      </c>
      <c r="BH1234">
        <v>0.12</v>
      </c>
      <c r="BI1234">
        <v>20191223</v>
      </c>
      <c r="BJ1234">
        <v>20160329</v>
      </c>
      <c r="BK1234">
        <v>3.22</v>
      </c>
      <c r="BL1234" t="s">
        <v>116</v>
      </c>
      <c r="BM1234" t="s">
        <v>116</v>
      </c>
      <c r="BN1234">
        <v>50.15</v>
      </c>
      <c r="BO1234">
        <v>28.95</v>
      </c>
      <c r="BP1234">
        <v>0.86</v>
      </c>
      <c r="BQ1234">
        <v>40.56</v>
      </c>
      <c r="BR1234">
        <v>39.51</v>
      </c>
      <c r="BS1234">
        <v>5.37</v>
      </c>
      <c r="BT1234">
        <v>2.2200000000000002</v>
      </c>
      <c r="BU1234">
        <v>20.170000000000002</v>
      </c>
      <c r="BV1234">
        <v>9.91</v>
      </c>
      <c r="BW1234">
        <v>17.79</v>
      </c>
      <c r="BX1234">
        <v>9.76</v>
      </c>
      <c r="BY1234">
        <v>35.75</v>
      </c>
      <c r="BZ1234">
        <v>21.34</v>
      </c>
      <c r="CA1234">
        <v>3.11</v>
      </c>
      <c r="CB1234">
        <v>0.06</v>
      </c>
      <c r="CC1234">
        <v>3.1</v>
      </c>
      <c r="CD1234">
        <v>2.65</v>
      </c>
      <c r="CE1234">
        <v>2.69</v>
      </c>
      <c r="CF1234">
        <v>2.58</v>
      </c>
      <c r="CG1234">
        <v>15.5</v>
      </c>
      <c r="CH1234">
        <v>-1.83</v>
      </c>
      <c r="CI1234">
        <v>-0.14000000000000001</v>
      </c>
      <c r="CJ1234">
        <v>13133</v>
      </c>
      <c r="CK1234">
        <v>7532</v>
      </c>
      <c r="CL1234" t="s">
        <v>6701</v>
      </c>
      <c r="CM1234">
        <v>129.94</v>
      </c>
      <c r="CN1234">
        <v>32.21</v>
      </c>
      <c r="CO1234">
        <v>3.23</v>
      </c>
      <c r="CP1234">
        <v>-51.1</v>
      </c>
      <c r="CQ1234">
        <v>2.62</v>
      </c>
      <c r="CR1234">
        <v>0.34</v>
      </c>
      <c r="CS1234" t="s">
        <v>6916</v>
      </c>
      <c r="CT1234">
        <v>9</v>
      </c>
      <c r="CU1234">
        <v>0</v>
      </c>
      <c r="CV1234">
        <v>3.04</v>
      </c>
      <c r="CW1234">
        <v>4.82</v>
      </c>
      <c r="CX1234">
        <v>-0.56999999999999995</v>
      </c>
      <c r="CY1234">
        <v>57.73</v>
      </c>
      <c r="CZ1234" t="s">
        <v>6917</v>
      </c>
      <c r="DA1234">
        <v>40.29</v>
      </c>
      <c r="DB1234">
        <v>8.7100000000000009</v>
      </c>
      <c r="DC1234">
        <v>7.53</v>
      </c>
      <c r="DD1234">
        <v>1.81</v>
      </c>
      <c r="DE1234">
        <v>10333</v>
      </c>
      <c r="DF1234">
        <v>2791</v>
      </c>
      <c r="DG1234" t="s">
        <v>116</v>
      </c>
      <c r="DH1234" t="s">
        <v>116</v>
      </c>
      <c r="DI1234" t="s">
        <v>116</v>
      </c>
    </row>
    <row r="1235" spans="1:113" x14ac:dyDescent="0.4">
      <c r="A1235" t="str">
        <f>"002792"</f>
        <v>002792</v>
      </c>
      <c r="B1235" t="s">
        <v>6918</v>
      </c>
      <c r="C1235">
        <v>-2.48</v>
      </c>
      <c r="D1235">
        <v>25.99</v>
      </c>
      <c r="E1235">
        <v>-0.66</v>
      </c>
      <c r="F1235">
        <v>25.99</v>
      </c>
      <c r="G1235">
        <v>26</v>
      </c>
      <c r="H1235">
        <v>53451</v>
      </c>
      <c r="I1235">
        <v>591</v>
      </c>
      <c r="J1235">
        <v>-0.37</v>
      </c>
      <c r="K1235">
        <v>3.57</v>
      </c>
      <c r="L1235">
        <v>26.77</v>
      </c>
      <c r="M1235">
        <v>26.86</v>
      </c>
      <c r="N1235">
        <v>25.98</v>
      </c>
      <c r="O1235">
        <v>26.65</v>
      </c>
      <c r="P1235">
        <v>72.33</v>
      </c>
      <c r="Q1235">
        <v>141345792</v>
      </c>
      <c r="R1235">
        <v>1.35</v>
      </c>
      <c r="S1235" t="s">
        <v>465</v>
      </c>
      <c r="T1235" t="s">
        <v>551</v>
      </c>
      <c r="U1235">
        <v>3.3</v>
      </c>
      <c r="V1235">
        <v>26.44</v>
      </c>
      <c r="W1235">
        <v>30287</v>
      </c>
      <c r="X1235">
        <v>23164</v>
      </c>
      <c r="Y1235">
        <v>1.31</v>
      </c>
      <c r="Z1235">
        <v>166</v>
      </c>
      <c r="AA1235">
        <v>37</v>
      </c>
      <c r="AB1235" t="s">
        <v>116</v>
      </c>
      <c r="AC1235">
        <v>481900</v>
      </c>
      <c r="AD1235">
        <v>0.02</v>
      </c>
      <c r="AE1235" t="s">
        <v>116</v>
      </c>
      <c r="AF1235" t="s">
        <v>116</v>
      </c>
      <c r="AG1235">
        <v>1.5</v>
      </c>
      <c r="AH1235" t="s">
        <v>5353</v>
      </c>
      <c r="AI1235" t="s">
        <v>6919</v>
      </c>
      <c r="AJ1235">
        <v>-1.8</v>
      </c>
      <c r="AK1235">
        <v>3163</v>
      </c>
      <c r="AL1235">
        <v>17</v>
      </c>
      <c r="AM1235">
        <v>1.1000000000000001E-3</v>
      </c>
      <c r="AN1235">
        <v>-1</v>
      </c>
      <c r="AO1235">
        <v>-1.59</v>
      </c>
      <c r="AP1235">
        <v>6.95</v>
      </c>
      <c r="AQ1235">
        <v>-1.96</v>
      </c>
      <c r="AR1235">
        <v>27.49</v>
      </c>
      <c r="AS1235">
        <v>6.04</v>
      </c>
      <c r="AT1235" t="s">
        <v>4541</v>
      </c>
      <c r="AU1235">
        <v>116.98</v>
      </c>
      <c r="AV1235">
        <v>197.65</v>
      </c>
      <c r="AW1235">
        <v>1.48</v>
      </c>
      <c r="BA1235">
        <v>0.45</v>
      </c>
      <c r="BB1235">
        <v>0.79</v>
      </c>
      <c r="BC1235">
        <v>-2.5099999999999998</v>
      </c>
      <c r="BD1235">
        <v>-0.77</v>
      </c>
      <c r="BE1235">
        <v>-2.91</v>
      </c>
      <c r="BF1235">
        <v>-3.24</v>
      </c>
      <c r="BG1235">
        <v>0.04</v>
      </c>
      <c r="BH1235">
        <v>-1.7</v>
      </c>
      <c r="BI1235">
        <v>20191211</v>
      </c>
      <c r="BJ1235">
        <v>20160328</v>
      </c>
      <c r="BK1235">
        <v>3.38</v>
      </c>
      <c r="BL1235" t="s">
        <v>116</v>
      </c>
      <c r="BM1235" t="s">
        <v>116</v>
      </c>
      <c r="BN1235">
        <v>32.36</v>
      </c>
      <c r="BO1235">
        <v>20.260000000000002</v>
      </c>
      <c r="BP1235">
        <v>0.73</v>
      </c>
      <c r="BQ1235">
        <v>35.17</v>
      </c>
      <c r="BR1235">
        <v>26.06</v>
      </c>
      <c r="BS1235">
        <v>4.05</v>
      </c>
      <c r="BT1235">
        <v>0.56999999999999995</v>
      </c>
      <c r="BU1235">
        <v>10.84</v>
      </c>
      <c r="BV1235">
        <v>4.59</v>
      </c>
      <c r="BW1235">
        <v>8.42</v>
      </c>
      <c r="BX1235">
        <v>6.32</v>
      </c>
      <c r="BY1235">
        <v>13.32</v>
      </c>
      <c r="BZ1235">
        <v>9.61</v>
      </c>
      <c r="CA1235">
        <v>1.1599999999999999</v>
      </c>
      <c r="CB1235">
        <v>0.11</v>
      </c>
      <c r="CC1235">
        <v>1.1499999999999999</v>
      </c>
      <c r="CD1235">
        <v>0.94</v>
      </c>
      <c r="CE1235">
        <v>0.91</v>
      </c>
      <c r="CF1235">
        <v>0.73</v>
      </c>
      <c r="CG1235">
        <v>9.49</v>
      </c>
      <c r="CH1235">
        <v>1.66</v>
      </c>
      <c r="CI1235">
        <v>0.96</v>
      </c>
      <c r="CJ1235">
        <v>28682</v>
      </c>
      <c r="CK1235">
        <v>3085</v>
      </c>
      <c r="CL1235" t="s">
        <v>6920</v>
      </c>
      <c r="CM1235">
        <v>50.71</v>
      </c>
      <c r="CN1235">
        <v>35.049999999999997</v>
      </c>
      <c r="CO1235">
        <v>4.33</v>
      </c>
      <c r="CP1235">
        <v>52.95</v>
      </c>
      <c r="CQ1235">
        <v>6.59</v>
      </c>
      <c r="CR1235">
        <v>0.1</v>
      </c>
      <c r="CS1235" t="s">
        <v>2326</v>
      </c>
      <c r="CT1235">
        <v>6</v>
      </c>
      <c r="CU1235">
        <v>0</v>
      </c>
      <c r="CV1235">
        <v>1.87</v>
      </c>
      <c r="CW1235">
        <v>2.81</v>
      </c>
      <c r="CX1235">
        <v>0.49</v>
      </c>
      <c r="CY1235">
        <v>62.59</v>
      </c>
      <c r="CZ1235" t="s">
        <v>5063</v>
      </c>
      <c r="DA1235">
        <v>27.89</v>
      </c>
      <c r="DB1235">
        <v>8.73</v>
      </c>
      <c r="DC1235">
        <v>6.84</v>
      </c>
      <c r="DD1235">
        <v>0.97</v>
      </c>
      <c r="DE1235">
        <v>2450</v>
      </c>
      <c r="DF1235">
        <v>2792</v>
      </c>
      <c r="DG1235" t="s">
        <v>116</v>
      </c>
      <c r="DH1235" t="s">
        <v>116</v>
      </c>
      <c r="DI1235" t="s">
        <v>116</v>
      </c>
    </row>
    <row r="1236" spans="1:113" x14ac:dyDescent="0.4">
      <c r="A1236" t="str">
        <f>"002793"</f>
        <v>002793</v>
      </c>
      <c r="B1236" t="s">
        <v>6921</v>
      </c>
      <c r="C1236">
        <v>-3.45</v>
      </c>
      <c r="D1236">
        <v>13.7</v>
      </c>
      <c r="E1236">
        <v>-0.49</v>
      </c>
      <c r="F1236">
        <v>13.7</v>
      </c>
      <c r="G1236">
        <v>13.71</v>
      </c>
      <c r="H1236">
        <v>98608</v>
      </c>
      <c r="I1236">
        <v>2227</v>
      </c>
      <c r="J1236">
        <v>-0.43</v>
      </c>
      <c r="K1236">
        <v>4.17</v>
      </c>
      <c r="L1236">
        <v>14.17</v>
      </c>
      <c r="M1236">
        <v>14.29</v>
      </c>
      <c r="N1236">
        <v>13.63</v>
      </c>
      <c r="O1236">
        <v>14.19</v>
      </c>
      <c r="P1236">
        <v>78.75</v>
      </c>
      <c r="Q1236">
        <v>138156896</v>
      </c>
      <c r="R1236">
        <v>0.7</v>
      </c>
      <c r="S1236" t="s">
        <v>682</v>
      </c>
      <c r="T1236" t="s">
        <v>590</v>
      </c>
      <c r="U1236">
        <v>4.6500000000000004</v>
      </c>
      <c r="V1236">
        <v>14.01</v>
      </c>
      <c r="W1236">
        <v>60097</v>
      </c>
      <c r="X1236">
        <v>38511</v>
      </c>
      <c r="Y1236">
        <v>1.56</v>
      </c>
      <c r="Z1236">
        <v>288</v>
      </c>
      <c r="AA1236">
        <v>44</v>
      </c>
      <c r="AB1236" t="s">
        <v>116</v>
      </c>
      <c r="AC1236">
        <v>446400</v>
      </c>
      <c r="AD1236">
        <v>0.03</v>
      </c>
      <c r="AE1236" t="s">
        <v>116</v>
      </c>
      <c r="AF1236" t="s">
        <v>116</v>
      </c>
      <c r="AG1236">
        <v>2.37</v>
      </c>
      <c r="AH1236" t="s">
        <v>6922</v>
      </c>
      <c r="AI1236" t="s">
        <v>6923</v>
      </c>
      <c r="AJ1236">
        <v>-2.77</v>
      </c>
      <c r="AK1236">
        <v>2684</v>
      </c>
      <c r="AL1236">
        <v>37</v>
      </c>
      <c r="AM1236">
        <v>1.6000000000000001E-3</v>
      </c>
      <c r="AN1236">
        <v>-2</v>
      </c>
      <c r="AO1236">
        <v>-4.8600000000000003</v>
      </c>
      <c r="AP1236">
        <v>10.220000000000001</v>
      </c>
      <c r="AQ1236">
        <v>20.28</v>
      </c>
      <c r="AR1236">
        <v>135.25</v>
      </c>
      <c r="AS1236">
        <v>7.99</v>
      </c>
      <c r="AT1236" t="s">
        <v>6924</v>
      </c>
      <c r="AU1236">
        <v>66.650000000000006</v>
      </c>
      <c r="AV1236">
        <v>44.13</v>
      </c>
      <c r="AW1236">
        <v>0</v>
      </c>
      <c r="BA1236">
        <v>-0.14000000000000001</v>
      </c>
      <c r="BB1236">
        <v>0.7</v>
      </c>
      <c r="BC1236">
        <v>-3.95</v>
      </c>
      <c r="BD1236">
        <v>-1.26</v>
      </c>
      <c r="BE1236">
        <v>-3.32</v>
      </c>
      <c r="BF1236">
        <v>-4.13</v>
      </c>
      <c r="BG1236">
        <v>0.51</v>
      </c>
      <c r="BH1236">
        <v>-2.19</v>
      </c>
      <c r="BI1236">
        <v>20191031</v>
      </c>
      <c r="BJ1236">
        <v>20160415</v>
      </c>
      <c r="BK1236">
        <v>3.59</v>
      </c>
      <c r="BL1236" t="s">
        <v>116</v>
      </c>
      <c r="BM1236" t="s">
        <v>116</v>
      </c>
      <c r="BN1236">
        <v>13.6</v>
      </c>
      <c r="BO1236">
        <v>9.9499999999999993</v>
      </c>
      <c r="BP1236">
        <v>0</v>
      </c>
      <c r="BQ1236">
        <v>26.85</v>
      </c>
      <c r="BR1236">
        <v>6.41</v>
      </c>
      <c r="BS1236">
        <v>2.02</v>
      </c>
      <c r="BT1236">
        <v>1.84</v>
      </c>
      <c r="BU1236">
        <v>1.83</v>
      </c>
      <c r="BV1236">
        <v>2.37</v>
      </c>
      <c r="BW1236">
        <v>1.34</v>
      </c>
      <c r="BX1236">
        <v>1.78</v>
      </c>
      <c r="BY1236">
        <v>8.06</v>
      </c>
      <c r="BZ1236">
        <v>5.97</v>
      </c>
      <c r="CA1236">
        <v>0.51</v>
      </c>
      <c r="CB1236">
        <v>-0.06</v>
      </c>
      <c r="CC1236">
        <v>0.5</v>
      </c>
      <c r="CD1236">
        <v>0.47</v>
      </c>
      <c r="CE1236">
        <v>0.47</v>
      </c>
      <c r="CF1236">
        <v>0.67</v>
      </c>
      <c r="CG1236">
        <v>3.57</v>
      </c>
      <c r="CH1236">
        <v>1.47</v>
      </c>
      <c r="CI1236">
        <v>-0.74</v>
      </c>
      <c r="CJ1236">
        <v>19741</v>
      </c>
      <c r="CK1236">
        <v>6254</v>
      </c>
      <c r="CL1236" t="s">
        <v>6925</v>
      </c>
      <c r="CM1236">
        <v>-44.56</v>
      </c>
      <c r="CN1236">
        <v>22.01</v>
      </c>
      <c r="CO1236">
        <v>5.13</v>
      </c>
      <c r="CP1236">
        <v>33.32</v>
      </c>
      <c r="CQ1236">
        <v>6.1</v>
      </c>
      <c r="CR1236">
        <v>1.23</v>
      </c>
      <c r="CS1236" t="s">
        <v>2655</v>
      </c>
      <c r="CT1236">
        <v>2.67</v>
      </c>
      <c r="CU1236">
        <v>2.67</v>
      </c>
      <c r="CV1236">
        <v>0.5</v>
      </c>
      <c r="CW1236">
        <v>1</v>
      </c>
      <c r="CX1236">
        <v>0.41</v>
      </c>
      <c r="CY1236">
        <v>73.150000000000006</v>
      </c>
      <c r="CZ1236" t="s">
        <v>1343</v>
      </c>
      <c r="DA1236">
        <v>25.94</v>
      </c>
      <c r="DB1236">
        <v>6.29</v>
      </c>
      <c r="DC1236">
        <v>5.81</v>
      </c>
      <c r="DD1236">
        <v>0.37</v>
      </c>
      <c r="DE1236">
        <v>1406</v>
      </c>
      <c r="DF1236">
        <v>2793</v>
      </c>
      <c r="DG1236" t="s">
        <v>116</v>
      </c>
      <c r="DH1236" t="s">
        <v>116</v>
      </c>
      <c r="DI1236" t="s">
        <v>116</v>
      </c>
    </row>
    <row r="1237" spans="1:113" x14ac:dyDescent="0.4">
      <c r="A1237" t="str">
        <f>"002795"</f>
        <v>002795</v>
      </c>
      <c r="B1237" t="s">
        <v>6926</v>
      </c>
      <c r="C1237">
        <v>-1.04</v>
      </c>
      <c r="D1237">
        <v>14.27</v>
      </c>
      <c r="E1237">
        <v>-0.15</v>
      </c>
      <c r="F1237">
        <v>14.27</v>
      </c>
      <c r="G1237">
        <v>14.28</v>
      </c>
      <c r="H1237">
        <v>45685</v>
      </c>
      <c r="I1237">
        <v>793</v>
      </c>
      <c r="J1237">
        <v>7.0000000000000007E-2</v>
      </c>
      <c r="K1237">
        <v>2.2799999999999998</v>
      </c>
      <c r="L1237">
        <v>14.49</v>
      </c>
      <c r="M1237">
        <v>14.52</v>
      </c>
      <c r="N1237">
        <v>14.08</v>
      </c>
      <c r="O1237">
        <v>14.42</v>
      </c>
      <c r="P1237">
        <v>37.58</v>
      </c>
      <c r="Q1237">
        <v>65246584</v>
      </c>
      <c r="R1237">
        <v>0.94</v>
      </c>
      <c r="S1237" t="s">
        <v>996</v>
      </c>
      <c r="T1237" t="s">
        <v>590</v>
      </c>
      <c r="U1237">
        <v>3.05</v>
      </c>
      <c r="V1237">
        <v>14.28</v>
      </c>
      <c r="W1237">
        <v>29769</v>
      </c>
      <c r="X1237">
        <v>15916</v>
      </c>
      <c r="Y1237">
        <v>1.87</v>
      </c>
      <c r="Z1237">
        <v>345</v>
      </c>
      <c r="AA1237">
        <v>132</v>
      </c>
      <c r="AB1237" t="s">
        <v>116</v>
      </c>
      <c r="AC1237">
        <v>417300</v>
      </c>
      <c r="AD1237">
        <v>0.05</v>
      </c>
      <c r="AE1237" t="s">
        <v>116</v>
      </c>
      <c r="AF1237" t="s">
        <v>116</v>
      </c>
      <c r="AG1237">
        <v>2</v>
      </c>
      <c r="AH1237" t="s">
        <v>4267</v>
      </c>
      <c r="AI1237" t="s">
        <v>4267</v>
      </c>
      <c r="AJ1237">
        <v>-0.36</v>
      </c>
      <c r="AK1237">
        <v>1875</v>
      </c>
      <c r="AL1237">
        <v>24</v>
      </c>
      <c r="AM1237">
        <v>1.1999999999999999E-3</v>
      </c>
      <c r="AN1237">
        <v>-1</v>
      </c>
      <c r="AO1237">
        <v>1.42</v>
      </c>
      <c r="AP1237">
        <v>7.29</v>
      </c>
      <c r="AQ1237">
        <v>4.62</v>
      </c>
      <c r="AR1237">
        <v>-2.86</v>
      </c>
      <c r="AS1237">
        <v>7.17</v>
      </c>
      <c r="AT1237" t="s">
        <v>6927</v>
      </c>
      <c r="AU1237">
        <v>36.83</v>
      </c>
      <c r="AV1237">
        <v>35.090000000000003</v>
      </c>
      <c r="AW1237">
        <v>0.89</v>
      </c>
      <c r="BA1237">
        <v>0.49</v>
      </c>
      <c r="BB1237">
        <v>0.69</v>
      </c>
      <c r="BC1237">
        <v>-2.36</v>
      </c>
      <c r="BD1237">
        <v>-0.96</v>
      </c>
      <c r="BE1237">
        <v>-1.52</v>
      </c>
      <c r="BF1237">
        <v>-1.72</v>
      </c>
      <c r="BG1237">
        <v>1.35</v>
      </c>
      <c r="BH1237">
        <v>-0.08</v>
      </c>
      <c r="BI1237">
        <v>20191129</v>
      </c>
      <c r="BJ1237">
        <v>20160428</v>
      </c>
      <c r="BK1237">
        <v>2</v>
      </c>
      <c r="BL1237" t="s">
        <v>116</v>
      </c>
      <c r="BM1237" t="s">
        <v>116</v>
      </c>
      <c r="BN1237">
        <v>7.04</v>
      </c>
      <c r="BO1237">
        <v>6.05</v>
      </c>
      <c r="BP1237">
        <v>0</v>
      </c>
      <c r="BQ1237">
        <v>14.02</v>
      </c>
      <c r="BR1237">
        <v>4.95</v>
      </c>
      <c r="BS1237">
        <v>0.71</v>
      </c>
      <c r="BT1237">
        <v>0.67</v>
      </c>
      <c r="BU1237">
        <v>0.88</v>
      </c>
      <c r="BV1237">
        <v>1.21</v>
      </c>
      <c r="BW1237">
        <v>1.01</v>
      </c>
      <c r="BX1237">
        <v>2.44</v>
      </c>
      <c r="BY1237">
        <v>4.55</v>
      </c>
      <c r="BZ1237">
        <v>3.15</v>
      </c>
      <c r="CA1237">
        <v>0.7</v>
      </c>
      <c r="CB1237">
        <v>-0.03</v>
      </c>
      <c r="CC1237">
        <v>0.7</v>
      </c>
      <c r="CD1237">
        <v>0.56999999999999995</v>
      </c>
      <c r="CE1237">
        <v>0.56999999999999995</v>
      </c>
      <c r="CF1237">
        <v>0.56999999999999995</v>
      </c>
      <c r="CG1237">
        <v>1.17</v>
      </c>
      <c r="CH1237">
        <v>0.77</v>
      </c>
      <c r="CI1237">
        <v>0</v>
      </c>
      <c r="CJ1237">
        <v>21695</v>
      </c>
      <c r="CK1237">
        <v>2938</v>
      </c>
      <c r="CL1237" t="s">
        <v>6928</v>
      </c>
      <c r="CM1237">
        <v>-6.33</v>
      </c>
      <c r="CN1237">
        <v>-9.66</v>
      </c>
      <c r="CO1237">
        <v>4.72</v>
      </c>
      <c r="CP1237">
        <v>36.89</v>
      </c>
      <c r="CQ1237">
        <v>6.28</v>
      </c>
      <c r="CR1237">
        <v>3.5</v>
      </c>
      <c r="CS1237" t="s">
        <v>6929</v>
      </c>
      <c r="CT1237">
        <v>3.03</v>
      </c>
      <c r="CU1237">
        <v>0</v>
      </c>
      <c r="CV1237">
        <v>1.22</v>
      </c>
      <c r="CW1237">
        <v>0.59</v>
      </c>
      <c r="CX1237">
        <v>0.39</v>
      </c>
      <c r="CY1237">
        <v>85.98</v>
      </c>
      <c r="CZ1237" t="s">
        <v>6930</v>
      </c>
      <c r="DA1237">
        <v>30.76</v>
      </c>
      <c r="DB1237">
        <v>15.31</v>
      </c>
      <c r="DC1237">
        <v>12.53</v>
      </c>
      <c r="DD1237">
        <v>0.13</v>
      </c>
      <c r="DE1237">
        <v>913</v>
      </c>
      <c r="DF1237">
        <v>2795</v>
      </c>
      <c r="DG1237" t="s">
        <v>116</v>
      </c>
      <c r="DH1237" t="s">
        <v>116</v>
      </c>
      <c r="DI1237" t="s">
        <v>116</v>
      </c>
    </row>
    <row r="1238" spans="1:113" x14ac:dyDescent="0.4">
      <c r="A1238" t="str">
        <f>"002796"</f>
        <v>002796</v>
      </c>
      <c r="B1238" t="s">
        <v>6931</v>
      </c>
      <c r="C1238">
        <v>-1.93</v>
      </c>
      <c r="D1238">
        <v>35.54</v>
      </c>
      <c r="E1238">
        <v>-0.7</v>
      </c>
      <c r="F1238">
        <v>35.54</v>
      </c>
      <c r="G1238">
        <v>35.65</v>
      </c>
      <c r="H1238">
        <v>46956</v>
      </c>
      <c r="I1238">
        <v>611</v>
      </c>
      <c r="J1238">
        <v>-0.13</v>
      </c>
      <c r="K1238">
        <v>3.53</v>
      </c>
      <c r="L1238">
        <v>36.299999999999997</v>
      </c>
      <c r="M1238">
        <v>36.880000000000003</v>
      </c>
      <c r="N1238">
        <v>35.31</v>
      </c>
      <c r="O1238">
        <v>36.24</v>
      </c>
      <c r="P1238">
        <v>45.68</v>
      </c>
      <c r="Q1238">
        <v>169458736</v>
      </c>
      <c r="R1238">
        <v>1.34</v>
      </c>
      <c r="S1238" t="s">
        <v>682</v>
      </c>
      <c r="T1238" t="s">
        <v>323</v>
      </c>
      <c r="U1238">
        <v>4.33</v>
      </c>
      <c r="V1238">
        <v>36.090000000000003</v>
      </c>
      <c r="W1238">
        <v>27604</v>
      </c>
      <c r="X1238">
        <v>19352</v>
      </c>
      <c r="Y1238">
        <v>1.43</v>
      </c>
      <c r="Z1238">
        <v>208</v>
      </c>
      <c r="AA1238">
        <v>16</v>
      </c>
      <c r="AB1238" t="s">
        <v>116</v>
      </c>
      <c r="AC1238">
        <v>930500</v>
      </c>
      <c r="AD1238">
        <v>0.03</v>
      </c>
      <c r="AE1238" t="s">
        <v>116</v>
      </c>
      <c r="AF1238" t="s">
        <v>116</v>
      </c>
      <c r="AG1238">
        <v>1.33</v>
      </c>
      <c r="AH1238" t="s">
        <v>5128</v>
      </c>
      <c r="AI1238" t="s">
        <v>6932</v>
      </c>
      <c r="AJ1238">
        <v>-1.25</v>
      </c>
      <c r="AK1238">
        <v>3234</v>
      </c>
      <c r="AL1238">
        <v>15</v>
      </c>
      <c r="AM1238">
        <v>1.1000000000000001E-3</v>
      </c>
      <c r="AN1238">
        <v>-1</v>
      </c>
      <c r="AO1238">
        <v>-1.79</v>
      </c>
      <c r="AP1238">
        <v>11.34</v>
      </c>
      <c r="AQ1238">
        <v>-6.91</v>
      </c>
      <c r="AR1238">
        <v>54.79</v>
      </c>
      <c r="AS1238">
        <v>5.91</v>
      </c>
      <c r="AT1238" t="s">
        <v>1341</v>
      </c>
      <c r="AU1238">
        <v>49.38</v>
      </c>
      <c r="AV1238">
        <v>123.05</v>
      </c>
      <c r="AW1238">
        <v>1.65</v>
      </c>
      <c r="BA1238">
        <v>0.17</v>
      </c>
      <c r="BB1238">
        <v>1.77</v>
      </c>
      <c r="BC1238">
        <v>-2.57</v>
      </c>
      <c r="BD1238">
        <v>-0.42</v>
      </c>
      <c r="BE1238">
        <v>-2.09</v>
      </c>
      <c r="BF1238">
        <v>-3.63</v>
      </c>
      <c r="BG1238">
        <v>0.65</v>
      </c>
      <c r="BH1238">
        <v>-1.51</v>
      </c>
      <c r="BI1238">
        <v>20191205</v>
      </c>
      <c r="BJ1238">
        <v>20160510</v>
      </c>
      <c r="BK1238">
        <v>1.68</v>
      </c>
      <c r="BL1238" t="s">
        <v>116</v>
      </c>
      <c r="BM1238" t="s">
        <v>116</v>
      </c>
      <c r="BN1238">
        <v>25.55</v>
      </c>
      <c r="BO1238">
        <v>15.06</v>
      </c>
      <c r="BP1238">
        <v>0.27</v>
      </c>
      <c r="BQ1238">
        <v>39.97</v>
      </c>
      <c r="BR1238">
        <v>14.74</v>
      </c>
      <c r="BS1238">
        <v>3.7</v>
      </c>
      <c r="BT1238">
        <v>0.67</v>
      </c>
      <c r="BU1238">
        <v>10.130000000000001</v>
      </c>
      <c r="BV1238">
        <v>2.46</v>
      </c>
      <c r="BW1238">
        <v>3.53</v>
      </c>
      <c r="BX1238">
        <v>11.16</v>
      </c>
      <c r="BY1238">
        <v>14.31</v>
      </c>
      <c r="BZ1238">
        <v>11.49</v>
      </c>
      <c r="CA1238">
        <v>1.28</v>
      </c>
      <c r="CB1238">
        <v>0.05</v>
      </c>
      <c r="CC1238">
        <v>1.28</v>
      </c>
      <c r="CD1238">
        <v>1.1100000000000001</v>
      </c>
      <c r="CE1238">
        <v>0.98</v>
      </c>
      <c r="CF1238">
        <v>0.95</v>
      </c>
      <c r="CG1238">
        <v>2.17</v>
      </c>
      <c r="CH1238">
        <v>1.54</v>
      </c>
      <c r="CI1238">
        <v>0.42</v>
      </c>
      <c r="CJ1238">
        <v>18875</v>
      </c>
      <c r="CK1238">
        <v>4210</v>
      </c>
      <c r="CL1238" t="s">
        <v>6933</v>
      </c>
      <c r="CM1238">
        <v>282.56</v>
      </c>
      <c r="CN1238">
        <v>60.13</v>
      </c>
      <c r="CO1238">
        <v>3.97</v>
      </c>
      <c r="CP1238">
        <v>38.770000000000003</v>
      </c>
      <c r="CQ1238">
        <v>4.18</v>
      </c>
      <c r="CR1238">
        <v>0.38</v>
      </c>
      <c r="CS1238" t="s">
        <v>3264</v>
      </c>
      <c r="CT1238">
        <v>8.9499999999999993</v>
      </c>
      <c r="CU1238">
        <v>0</v>
      </c>
      <c r="CV1238">
        <v>6.63</v>
      </c>
      <c r="CW1238">
        <v>1.29</v>
      </c>
      <c r="CX1238">
        <v>0.92</v>
      </c>
      <c r="CY1238">
        <v>58.96</v>
      </c>
      <c r="CZ1238" t="s">
        <v>6049</v>
      </c>
      <c r="DA1238">
        <v>19.690000000000001</v>
      </c>
      <c r="DB1238">
        <v>8.9700000000000006</v>
      </c>
      <c r="DC1238">
        <v>6.86</v>
      </c>
      <c r="DD1238">
        <v>0.56999999999999995</v>
      </c>
      <c r="DE1238">
        <v>1980</v>
      </c>
      <c r="DF1238">
        <v>2796</v>
      </c>
      <c r="DG1238" t="s">
        <v>116</v>
      </c>
      <c r="DH1238" t="s">
        <v>116</v>
      </c>
      <c r="DI1238" t="s">
        <v>116</v>
      </c>
    </row>
    <row r="1239" spans="1:113" x14ac:dyDescent="0.4">
      <c r="A1239" t="str">
        <f>"002797"</f>
        <v>002797</v>
      </c>
      <c r="B1239" t="s">
        <v>6934</v>
      </c>
      <c r="C1239">
        <v>-3.47</v>
      </c>
      <c r="D1239">
        <v>8.07</v>
      </c>
      <c r="E1239">
        <v>-0.28999999999999998</v>
      </c>
      <c r="F1239">
        <v>8.06</v>
      </c>
      <c r="G1239">
        <v>8.07</v>
      </c>
      <c r="H1239">
        <v>2047042</v>
      </c>
      <c r="I1239">
        <v>22234</v>
      </c>
      <c r="J1239">
        <v>-0.11</v>
      </c>
      <c r="K1239">
        <v>5.84</v>
      </c>
      <c r="L1239">
        <v>8.3000000000000007</v>
      </c>
      <c r="M1239">
        <v>8.44</v>
      </c>
      <c r="N1239">
        <v>8.0500000000000007</v>
      </c>
      <c r="O1239">
        <v>8.36</v>
      </c>
      <c r="P1239">
        <v>61.2</v>
      </c>
      <c r="Q1239">
        <v>1693355008</v>
      </c>
      <c r="R1239">
        <v>1.31</v>
      </c>
      <c r="S1239" t="s">
        <v>623</v>
      </c>
      <c r="T1239" t="s">
        <v>115</v>
      </c>
      <c r="U1239">
        <v>4.67</v>
      </c>
      <c r="V1239">
        <v>8.27</v>
      </c>
      <c r="W1239">
        <v>1020711</v>
      </c>
      <c r="X1239">
        <v>1026331</v>
      </c>
      <c r="Y1239">
        <v>0.99</v>
      </c>
      <c r="Z1239">
        <v>6563</v>
      </c>
      <c r="AA1239">
        <v>13371</v>
      </c>
      <c r="AB1239" t="s">
        <v>116</v>
      </c>
      <c r="AC1239">
        <v>12630900</v>
      </c>
      <c r="AD1239">
        <v>7.0000000000000007E-2</v>
      </c>
      <c r="AE1239" t="s">
        <v>116</v>
      </c>
      <c r="AF1239" t="s">
        <v>116</v>
      </c>
      <c r="AG1239">
        <v>35.020000000000003</v>
      </c>
      <c r="AH1239" t="s">
        <v>6935</v>
      </c>
      <c r="AI1239" t="s">
        <v>6935</v>
      </c>
      <c r="AJ1239">
        <v>-2.79</v>
      </c>
      <c r="AK1239">
        <v>4682</v>
      </c>
      <c r="AL1239">
        <v>437</v>
      </c>
      <c r="AM1239">
        <v>1.1999999999999999E-3</v>
      </c>
      <c r="AN1239">
        <v>-1</v>
      </c>
      <c r="AO1239">
        <v>-1.34</v>
      </c>
      <c r="AP1239">
        <v>12.24</v>
      </c>
      <c r="AQ1239">
        <v>20.63</v>
      </c>
      <c r="AR1239">
        <v>49.17</v>
      </c>
      <c r="AS1239">
        <v>9.9</v>
      </c>
      <c r="AT1239" t="s">
        <v>6936</v>
      </c>
      <c r="AU1239">
        <v>81.84</v>
      </c>
      <c r="AV1239">
        <v>227.29</v>
      </c>
      <c r="AW1239">
        <v>1.73</v>
      </c>
      <c r="BA1239">
        <v>-0.72</v>
      </c>
      <c r="BB1239">
        <v>0.96</v>
      </c>
      <c r="BC1239">
        <v>-3.71</v>
      </c>
      <c r="BD1239">
        <v>-1.05</v>
      </c>
      <c r="BE1239">
        <v>-2.77</v>
      </c>
      <c r="BF1239">
        <v>-4.38</v>
      </c>
      <c r="BG1239">
        <v>0.25</v>
      </c>
      <c r="BH1239">
        <v>-2.42</v>
      </c>
      <c r="BI1239">
        <v>20191026</v>
      </c>
      <c r="BJ1239">
        <v>20160511</v>
      </c>
      <c r="BK1239">
        <v>35.020000000000003</v>
      </c>
      <c r="BL1239" t="s">
        <v>116</v>
      </c>
      <c r="BM1239" t="s">
        <v>116</v>
      </c>
      <c r="BN1239">
        <v>348.78</v>
      </c>
      <c r="BO1239">
        <v>88.71</v>
      </c>
      <c r="BP1239">
        <v>4.59</v>
      </c>
      <c r="BQ1239">
        <v>73.25</v>
      </c>
      <c r="BR1239">
        <v>0</v>
      </c>
      <c r="BS1239">
        <v>1.4</v>
      </c>
      <c r="BT1239">
        <v>2.76</v>
      </c>
      <c r="BU1239">
        <v>0</v>
      </c>
      <c r="BV1239">
        <v>0</v>
      </c>
      <c r="BW1239">
        <v>0</v>
      </c>
      <c r="BX1239">
        <v>26.02</v>
      </c>
      <c r="BY1239">
        <v>17.77</v>
      </c>
      <c r="BZ1239">
        <v>0</v>
      </c>
      <c r="CA1239">
        <v>4.57</v>
      </c>
      <c r="CB1239">
        <v>5.03</v>
      </c>
      <c r="CC1239">
        <v>4.5999999999999996</v>
      </c>
      <c r="CD1239">
        <v>3.96</v>
      </c>
      <c r="CE1239">
        <v>3.46</v>
      </c>
      <c r="CF1239">
        <v>3.44</v>
      </c>
      <c r="CG1239">
        <v>15.75</v>
      </c>
      <c r="CH1239">
        <v>23.08</v>
      </c>
      <c r="CI1239">
        <v>23.5</v>
      </c>
      <c r="CJ1239">
        <v>233831</v>
      </c>
      <c r="CK1239">
        <v>8838</v>
      </c>
      <c r="CL1239" t="s">
        <v>5738</v>
      </c>
      <c r="CM1239">
        <v>176.3</v>
      </c>
      <c r="CN1239">
        <v>41.48</v>
      </c>
      <c r="CO1239">
        <v>3.19</v>
      </c>
      <c r="CP1239">
        <v>12.24</v>
      </c>
      <c r="CQ1239">
        <v>15.9</v>
      </c>
      <c r="CR1239">
        <v>0.12</v>
      </c>
      <c r="CS1239" t="s">
        <v>4902</v>
      </c>
      <c r="CT1239">
        <v>2.5299999999999998</v>
      </c>
      <c r="CU1239">
        <v>0</v>
      </c>
      <c r="CV1239">
        <v>0.74</v>
      </c>
      <c r="CW1239">
        <v>0.45</v>
      </c>
      <c r="CX1239">
        <v>0.66</v>
      </c>
      <c r="CY1239">
        <v>25.43</v>
      </c>
      <c r="CZ1239" t="s">
        <v>3754</v>
      </c>
      <c r="DA1239" t="s">
        <v>116</v>
      </c>
      <c r="DB1239">
        <v>25.71</v>
      </c>
      <c r="DC1239">
        <v>19.489999999999998</v>
      </c>
      <c r="DD1239">
        <v>0</v>
      </c>
      <c r="DE1239">
        <v>3725</v>
      </c>
      <c r="DF1239">
        <v>2797</v>
      </c>
      <c r="DG1239" t="s">
        <v>116</v>
      </c>
      <c r="DH1239" t="s">
        <v>116</v>
      </c>
      <c r="DI1239" t="s">
        <v>116</v>
      </c>
    </row>
    <row r="1240" spans="1:113" x14ac:dyDescent="0.4">
      <c r="A1240" t="str">
        <f>"002798"</f>
        <v>002798</v>
      </c>
      <c r="B1240" t="s">
        <v>6937</v>
      </c>
      <c r="C1240">
        <v>-0.04</v>
      </c>
      <c r="D1240">
        <v>24.09</v>
      </c>
      <c r="E1240">
        <v>-0.01</v>
      </c>
      <c r="F1240">
        <v>24.07</v>
      </c>
      <c r="G1240">
        <v>24.09</v>
      </c>
      <c r="H1240">
        <v>29353</v>
      </c>
      <c r="I1240">
        <v>258</v>
      </c>
      <c r="J1240">
        <v>-7.0000000000000007E-2</v>
      </c>
      <c r="K1240">
        <v>1.55</v>
      </c>
      <c r="L1240">
        <v>23.92</v>
      </c>
      <c r="M1240">
        <v>24.6</v>
      </c>
      <c r="N1240">
        <v>23.9</v>
      </c>
      <c r="O1240">
        <v>24.1</v>
      </c>
      <c r="P1240">
        <v>16.32</v>
      </c>
      <c r="Q1240">
        <v>71228632</v>
      </c>
      <c r="R1240">
        <v>0.86</v>
      </c>
      <c r="S1240" t="s">
        <v>2640</v>
      </c>
      <c r="T1240" t="s">
        <v>582</v>
      </c>
      <c r="U1240">
        <v>2.9</v>
      </c>
      <c r="V1240">
        <v>24.27</v>
      </c>
      <c r="W1240">
        <v>14090</v>
      </c>
      <c r="X1240">
        <v>15263</v>
      </c>
      <c r="Y1240">
        <v>0.92</v>
      </c>
      <c r="Z1240">
        <v>33</v>
      </c>
      <c r="AA1240">
        <v>4</v>
      </c>
      <c r="AB1240" t="s">
        <v>116</v>
      </c>
      <c r="AC1240">
        <v>210500</v>
      </c>
      <c r="AD1240">
        <v>0.01</v>
      </c>
      <c r="AE1240" t="s">
        <v>116</v>
      </c>
      <c r="AF1240" t="s">
        <v>116</v>
      </c>
      <c r="AG1240">
        <v>1.9</v>
      </c>
      <c r="AH1240" t="s">
        <v>6245</v>
      </c>
      <c r="AI1240" t="s">
        <v>6938</v>
      </c>
      <c r="AJ1240">
        <v>0.64</v>
      </c>
      <c r="AK1240">
        <v>2105</v>
      </c>
      <c r="AL1240">
        <v>14</v>
      </c>
      <c r="AM1240">
        <v>6.9999999999999999E-4</v>
      </c>
      <c r="AN1240">
        <v>-1</v>
      </c>
      <c r="AO1240">
        <v>2.2999999999999998</v>
      </c>
      <c r="AP1240">
        <v>5.47</v>
      </c>
      <c r="AQ1240">
        <v>17.399999999999999</v>
      </c>
      <c r="AR1240">
        <v>83.75</v>
      </c>
      <c r="AS1240">
        <v>2.0699999999999998</v>
      </c>
      <c r="AT1240" t="s">
        <v>1491</v>
      </c>
      <c r="AU1240">
        <v>17.309999999999999</v>
      </c>
      <c r="AV1240">
        <v>24.36</v>
      </c>
      <c r="AW1240">
        <v>1.18</v>
      </c>
      <c r="BA1240">
        <v>-0.75</v>
      </c>
      <c r="BB1240">
        <v>2.0699999999999998</v>
      </c>
      <c r="BC1240">
        <v>-0.83</v>
      </c>
      <c r="BD1240">
        <v>0.69</v>
      </c>
      <c r="BE1240">
        <v>0.71</v>
      </c>
      <c r="BF1240">
        <v>-2.0699999999999998</v>
      </c>
      <c r="BG1240">
        <v>0.79</v>
      </c>
      <c r="BH1240">
        <v>-0.73</v>
      </c>
      <c r="BI1240">
        <v>20191112</v>
      </c>
      <c r="BJ1240">
        <v>20160525</v>
      </c>
      <c r="BK1240">
        <v>3.85</v>
      </c>
      <c r="BL1240" t="s">
        <v>116</v>
      </c>
      <c r="BM1240" t="s">
        <v>116</v>
      </c>
      <c r="BN1240">
        <v>64.209999999999994</v>
      </c>
      <c r="BO1240">
        <v>34.799999999999997</v>
      </c>
      <c r="BP1240">
        <v>-0.08</v>
      </c>
      <c r="BQ1240">
        <v>45.91</v>
      </c>
      <c r="BR1240">
        <v>35.72</v>
      </c>
      <c r="BS1240">
        <v>14.15</v>
      </c>
      <c r="BT1240">
        <v>7.79</v>
      </c>
      <c r="BU1240">
        <v>24.62</v>
      </c>
      <c r="BV1240">
        <v>6.14</v>
      </c>
      <c r="BW1240">
        <v>19.98</v>
      </c>
      <c r="BX1240">
        <v>22.23</v>
      </c>
      <c r="BY1240">
        <v>41.02</v>
      </c>
      <c r="BZ1240">
        <v>26.28</v>
      </c>
      <c r="CA1240">
        <v>4.8600000000000003</v>
      </c>
      <c r="CB1240">
        <v>0.03</v>
      </c>
      <c r="CC1240">
        <v>4.84</v>
      </c>
      <c r="CD1240">
        <v>4.22</v>
      </c>
      <c r="CE1240">
        <v>4.26</v>
      </c>
      <c r="CF1240">
        <v>3.75</v>
      </c>
      <c r="CG1240">
        <v>9.2100000000000009</v>
      </c>
      <c r="CH1240">
        <v>2.78</v>
      </c>
      <c r="CI1240">
        <v>-0.22</v>
      </c>
      <c r="CJ1240">
        <v>9618</v>
      </c>
      <c r="CK1240">
        <v>14758</v>
      </c>
      <c r="CL1240" t="s">
        <v>6939</v>
      </c>
      <c r="CM1240">
        <v>57.17</v>
      </c>
      <c r="CN1240">
        <v>29.47</v>
      </c>
      <c r="CO1240">
        <v>2.66</v>
      </c>
      <c r="CP1240">
        <v>33.369999999999997</v>
      </c>
      <c r="CQ1240">
        <v>2.2599999999999998</v>
      </c>
      <c r="CR1240">
        <v>1.23</v>
      </c>
      <c r="CS1240" t="s">
        <v>3780</v>
      </c>
      <c r="CT1240">
        <v>9.0399999999999991</v>
      </c>
      <c r="CU1240">
        <v>0</v>
      </c>
      <c r="CV1240">
        <v>5.78</v>
      </c>
      <c r="CW1240">
        <v>2.39</v>
      </c>
      <c r="CX1240">
        <v>0.72</v>
      </c>
      <c r="CY1240">
        <v>54.2</v>
      </c>
      <c r="CZ1240" t="s">
        <v>6940</v>
      </c>
      <c r="DA1240">
        <v>35.94</v>
      </c>
      <c r="DB1240">
        <v>11.85</v>
      </c>
      <c r="DC1240">
        <v>10.39</v>
      </c>
      <c r="DD1240">
        <v>1.68</v>
      </c>
      <c r="DE1240">
        <v>5729</v>
      </c>
      <c r="DF1240">
        <v>2798</v>
      </c>
      <c r="DG1240" t="s">
        <v>116</v>
      </c>
      <c r="DH1240" t="s">
        <v>116</v>
      </c>
      <c r="DI1240" t="s">
        <v>116</v>
      </c>
    </row>
    <row r="1241" spans="1:113" x14ac:dyDescent="0.4">
      <c r="A1241" t="str">
        <f>"002799"</f>
        <v>002799</v>
      </c>
      <c r="B1241" t="s">
        <v>6941</v>
      </c>
      <c r="C1241">
        <v>-3.76</v>
      </c>
      <c r="D1241">
        <v>17.64</v>
      </c>
      <c r="E1241">
        <v>-0.69</v>
      </c>
      <c r="F1241">
        <v>17.64</v>
      </c>
      <c r="G1241">
        <v>17.649999999999999</v>
      </c>
      <c r="H1241">
        <v>45772</v>
      </c>
      <c r="I1241">
        <v>684</v>
      </c>
      <c r="J1241">
        <v>-0.1</v>
      </c>
      <c r="K1241">
        <v>3.05</v>
      </c>
      <c r="L1241">
        <v>18.25</v>
      </c>
      <c r="M1241">
        <v>18.28</v>
      </c>
      <c r="N1241">
        <v>17.559999999999999</v>
      </c>
      <c r="O1241">
        <v>18.329999999999998</v>
      </c>
      <c r="P1241">
        <v>44.43</v>
      </c>
      <c r="Q1241">
        <v>82044744</v>
      </c>
      <c r="R1241">
        <v>0.64</v>
      </c>
      <c r="S1241" t="s">
        <v>345</v>
      </c>
      <c r="T1241" t="s">
        <v>913</v>
      </c>
      <c r="U1241">
        <v>3.93</v>
      </c>
      <c r="V1241">
        <v>17.920000000000002</v>
      </c>
      <c r="W1241">
        <v>29347</v>
      </c>
      <c r="X1241">
        <v>16425</v>
      </c>
      <c r="Y1241">
        <v>1.79</v>
      </c>
      <c r="Z1241">
        <v>94</v>
      </c>
      <c r="AA1241">
        <v>10</v>
      </c>
      <c r="AB1241" t="s">
        <v>116</v>
      </c>
      <c r="AC1241">
        <v>268300</v>
      </c>
      <c r="AD1241">
        <v>0.04</v>
      </c>
      <c r="AE1241" t="s">
        <v>116</v>
      </c>
      <c r="AF1241" t="s">
        <v>116</v>
      </c>
      <c r="AG1241">
        <v>1.5</v>
      </c>
      <c r="AH1241" t="s">
        <v>2911</v>
      </c>
      <c r="AI1241" t="s">
        <v>2911</v>
      </c>
      <c r="AJ1241">
        <v>-3.09</v>
      </c>
      <c r="AK1241">
        <v>2165</v>
      </c>
      <c r="AL1241">
        <v>21</v>
      </c>
      <c r="AM1241">
        <v>1.4E-3</v>
      </c>
      <c r="AN1241">
        <v>-3</v>
      </c>
      <c r="AO1241">
        <v>-7.1</v>
      </c>
      <c r="AP1241">
        <v>8.69</v>
      </c>
      <c r="AQ1241">
        <v>20.079999999999998</v>
      </c>
      <c r="AR1241">
        <v>47.06</v>
      </c>
      <c r="AS1241">
        <v>11.1</v>
      </c>
      <c r="AT1241" t="s">
        <v>6942</v>
      </c>
      <c r="AU1241">
        <v>46.69</v>
      </c>
      <c r="AV1241">
        <v>94.12</v>
      </c>
      <c r="AW1241">
        <v>0.99</v>
      </c>
      <c r="BA1241">
        <v>-0.44</v>
      </c>
      <c r="BB1241">
        <v>-0.27</v>
      </c>
      <c r="BC1241">
        <v>-4.2</v>
      </c>
      <c r="BD1241">
        <v>-2.21</v>
      </c>
      <c r="BE1241">
        <v>-3.34</v>
      </c>
      <c r="BF1241">
        <v>-3.5</v>
      </c>
      <c r="BG1241">
        <v>0.46</v>
      </c>
      <c r="BH1241">
        <v>-1.55</v>
      </c>
      <c r="BI1241">
        <v>20191022</v>
      </c>
      <c r="BJ1241">
        <v>20160608</v>
      </c>
      <c r="BK1241">
        <v>1.5</v>
      </c>
      <c r="BL1241" t="s">
        <v>116</v>
      </c>
      <c r="BM1241" t="s">
        <v>116</v>
      </c>
      <c r="BN1241">
        <v>13.66</v>
      </c>
      <c r="BO1241">
        <v>5.82</v>
      </c>
      <c r="BP1241">
        <v>0.55000000000000004</v>
      </c>
      <c r="BQ1241">
        <v>53.34</v>
      </c>
      <c r="BR1241">
        <v>7.59</v>
      </c>
      <c r="BS1241">
        <v>2.8</v>
      </c>
      <c r="BT1241">
        <v>0.28999999999999998</v>
      </c>
      <c r="BU1241">
        <v>6.63</v>
      </c>
      <c r="BV1241">
        <v>0.86</v>
      </c>
      <c r="BW1241">
        <v>3.12</v>
      </c>
      <c r="BX1241">
        <v>1.48</v>
      </c>
      <c r="BY1241">
        <v>8.42</v>
      </c>
      <c r="BZ1241">
        <v>7.08</v>
      </c>
      <c r="CA1241">
        <v>0.61</v>
      </c>
      <c r="CB1241">
        <v>0.05</v>
      </c>
      <c r="CC1241">
        <v>0.61</v>
      </c>
      <c r="CD1241">
        <v>0.55000000000000004</v>
      </c>
      <c r="CE1241">
        <v>0.45</v>
      </c>
      <c r="CF1241">
        <v>0.42</v>
      </c>
      <c r="CG1241">
        <v>2.5099999999999998</v>
      </c>
      <c r="CH1241">
        <v>0.76</v>
      </c>
      <c r="CI1241">
        <v>0.27</v>
      </c>
      <c r="CJ1241">
        <v>10957</v>
      </c>
      <c r="CK1241">
        <v>3765</v>
      </c>
      <c r="CL1241" t="s">
        <v>4354</v>
      </c>
      <c r="CM1241">
        <v>177.35</v>
      </c>
      <c r="CN1241">
        <v>130.22999999999999</v>
      </c>
      <c r="CO1241">
        <v>4.55</v>
      </c>
      <c r="CP1241">
        <v>34.659999999999997</v>
      </c>
      <c r="CQ1241">
        <v>3.14</v>
      </c>
      <c r="CR1241">
        <v>0.2</v>
      </c>
      <c r="CS1241" t="s">
        <v>5985</v>
      </c>
      <c r="CT1241">
        <v>3.88</v>
      </c>
      <c r="CU1241">
        <v>0</v>
      </c>
      <c r="CV1241">
        <v>0.99</v>
      </c>
      <c r="CW1241">
        <v>1.67</v>
      </c>
      <c r="CX1241">
        <v>0.51</v>
      </c>
      <c r="CY1241">
        <v>42.61</v>
      </c>
      <c r="CZ1241" t="s">
        <v>6943</v>
      </c>
      <c r="DA1241">
        <v>15.93</v>
      </c>
      <c r="DB1241">
        <v>7.22</v>
      </c>
      <c r="DC1241">
        <v>5.31</v>
      </c>
      <c r="DD1241">
        <v>0.17</v>
      </c>
      <c r="DE1241">
        <v>910</v>
      </c>
      <c r="DF1241">
        <v>2799</v>
      </c>
      <c r="DG1241" t="s">
        <v>116</v>
      </c>
      <c r="DH1241" t="s">
        <v>116</v>
      </c>
      <c r="DI1241" t="s">
        <v>116</v>
      </c>
    </row>
    <row r="1242" spans="1:113" x14ac:dyDescent="0.4">
      <c r="A1242" t="str">
        <f>"002800"</f>
        <v>002800</v>
      </c>
      <c r="B1242" t="s">
        <v>6944</v>
      </c>
      <c r="C1242">
        <v>-0.67</v>
      </c>
      <c r="D1242">
        <v>28.16</v>
      </c>
      <c r="E1242">
        <v>-0.19</v>
      </c>
      <c r="F1242">
        <v>28.15</v>
      </c>
      <c r="G1242">
        <v>28.16</v>
      </c>
      <c r="H1242">
        <v>24461</v>
      </c>
      <c r="I1242">
        <v>475</v>
      </c>
      <c r="J1242">
        <v>0.04</v>
      </c>
      <c r="K1242">
        <v>3.43</v>
      </c>
      <c r="L1242">
        <v>28.2</v>
      </c>
      <c r="M1242">
        <v>28.63</v>
      </c>
      <c r="N1242">
        <v>28.12</v>
      </c>
      <c r="O1242">
        <v>28.35</v>
      </c>
      <c r="P1242">
        <v>59.18</v>
      </c>
      <c r="Q1242">
        <v>69350480</v>
      </c>
      <c r="R1242">
        <v>0.53</v>
      </c>
      <c r="S1242" t="s">
        <v>3113</v>
      </c>
      <c r="T1242" t="s">
        <v>616</v>
      </c>
      <c r="U1242">
        <v>1.8</v>
      </c>
      <c r="V1242">
        <v>28.35</v>
      </c>
      <c r="W1242">
        <v>13834</v>
      </c>
      <c r="X1242">
        <v>10627</v>
      </c>
      <c r="Y1242">
        <v>1.3</v>
      </c>
      <c r="Z1242">
        <v>56</v>
      </c>
      <c r="AA1242">
        <v>108</v>
      </c>
      <c r="AB1242" t="s">
        <v>116</v>
      </c>
      <c r="AC1242">
        <v>431500</v>
      </c>
      <c r="AD1242">
        <v>0.04</v>
      </c>
      <c r="AE1242" t="s">
        <v>116</v>
      </c>
      <c r="AF1242" t="s">
        <v>116</v>
      </c>
      <c r="AG1242">
        <v>0.71</v>
      </c>
      <c r="AH1242" t="s">
        <v>4298</v>
      </c>
      <c r="AI1242" t="s">
        <v>6945</v>
      </c>
      <c r="AJ1242">
        <v>0.01</v>
      </c>
      <c r="AK1242">
        <v>2073</v>
      </c>
      <c r="AL1242">
        <v>12</v>
      </c>
      <c r="AM1242">
        <v>1.6999999999999999E-3</v>
      </c>
      <c r="AN1242">
        <v>-1</v>
      </c>
      <c r="AO1242">
        <v>-1.61</v>
      </c>
      <c r="AP1242">
        <v>6.95</v>
      </c>
      <c r="AQ1242">
        <v>11.97</v>
      </c>
      <c r="AR1242">
        <v>70.11</v>
      </c>
      <c r="AS1242">
        <v>6.61</v>
      </c>
      <c r="AT1242" t="s">
        <v>6946</v>
      </c>
      <c r="AU1242">
        <v>65.81</v>
      </c>
      <c r="AV1242">
        <v>361.99</v>
      </c>
      <c r="AW1242">
        <v>2.2400000000000002</v>
      </c>
      <c r="BA1242">
        <v>-0.53</v>
      </c>
      <c r="BB1242">
        <v>0.99</v>
      </c>
      <c r="BC1242">
        <v>-0.81</v>
      </c>
      <c r="BD1242">
        <v>0.01</v>
      </c>
      <c r="BE1242">
        <v>-0.14000000000000001</v>
      </c>
      <c r="BF1242">
        <v>-1.64</v>
      </c>
      <c r="BG1242">
        <v>0.14000000000000001</v>
      </c>
      <c r="BH1242">
        <v>-0.68</v>
      </c>
      <c r="BI1242">
        <v>20191114</v>
      </c>
      <c r="BJ1242">
        <v>20160530</v>
      </c>
      <c r="BK1242">
        <v>0.75</v>
      </c>
      <c r="BL1242" t="s">
        <v>116</v>
      </c>
      <c r="BM1242" t="s">
        <v>116</v>
      </c>
      <c r="BN1242">
        <v>9.59</v>
      </c>
      <c r="BO1242">
        <v>4.67</v>
      </c>
      <c r="BP1242">
        <v>0.09</v>
      </c>
      <c r="BQ1242">
        <v>50.33</v>
      </c>
      <c r="BR1242">
        <v>7.79</v>
      </c>
      <c r="BS1242">
        <v>0.33</v>
      </c>
      <c r="BT1242">
        <v>7.0000000000000007E-2</v>
      </c>
      <c r="BU1242">
        <v>4.13</v>
      </c>
      <c r="BV1242">
        <v>1.07</v>
      </c>
      <c r="BW1242">
        <v>3.1</v>
      </c>
      <c r="BX1242">
        <v>1.53</v>
      </c>
      <c r="BY1242">
        <v>9.5299999999999994</v>
      </c>
      <c r="BZ1242">
        <v>8.7799999999999994</v>
      </c>
      <c r="CA1242">
        <v>0.32</v>
      </c>
      <c r="CB1242">
        <v>0.03</v>
      </c>
      <c r="CC1242">
        <v>0.28000000000000003</v>
      </c>
      <c r="CD1242">
        <v>0.23</v>
      </c>
      <c r="CE1242">
        <v>0.27</v>
      </c>
      <c r="CF1242">
        <v>0.25</v>
      </c>
      <c r="CG1242">
        <v>2.2000000000000002</v>
      </c>
      <c r="CH1242">
        <v>-0.62</v>
      </c>
      <c r="CI1242">
        <v>-0.33</v>
      </c>
      <c r="CJ1242">
        <v>21162</v>
      </c>
      <c r="CK1242">
        <v>1748</v>
      </c>
      <c r="CL1242" t="s">
        <v>6947</v>
      </c>
      <c r="CM1242">
        <v>5175.32</v>
      </c>
      <c r="CN1242">
        <v>45.64</v>
      </c>
      <c r="CO1242">
        <v>4.5</v>
      </c>
      <c r="CP1242">
        <v>-34.17</v>
      </c>
      <c r="CQ1242">
        <v>2.21</v>
      </c>
      <c r="CR1242">
        <v>0.06</v>
      </c>
      <c r="CS1242" t="s">
        <v>6948</v>
      </c>
      <c r="CT1242">
        <v>6.25</v>
      </c>
      <c r="CU1242">
        <v>0</v>
      </c>
      <c r="CV1242">
        <v>2.04</v>
      </c>
      <c r="CW1242">
        <v>2.94</v>
      </c>
      <c r="CX1242">
        <v>-0.82</v>
      </c>
      <c r="CY1242">
        <v>48.73</v>
      </c>
      <c r="CZ1242" t="s">
        <v>3661</v>
      </c>
      <c r="DA1242">
        <v>7.88</v>
      </c>
      <c r="DB1242">
        <v>3.35</v>
      </c>
      <c r="DC1242">
        <v>2.8</v>
      </c>
      <c r="DD1242">
        <v>0.02</v>
      </c>
      <c r="DE1242">
        <v>231</v>
      </c>
      <c r="DF1242">
        <v>2800</v>
      </c>
      <c r="DG1242" t="s">
        <v>116</v>
      </c>
      <c r="DH1242" t="s">
        <v>116</v>
      </c>
      <c r="DI1242" t="s">
        <v>116</v>
      </c>
    </row>
    <row r="1243" spans="1:113" x14ac:dyDescent="0.4">
      <c r="A1243" t="str">
        <f>"002801"</f>
        <v>002801</v>
      </c>
      <c r="B1243" t="s">
        <v>6949</v>
      </c>
      <c r="C1243">
        <v>-0.64</v>
      </c>
      <c r="D1243">
        <v>35.86</v>
      </c>
      <c r="E1243">
        <v>-0.23</v>
      </c>
      <c r="F1243">
        <v>35.69</v>
      </c>
      <c r="G1243">
        <v>35.86</v>
      </c>
      <c r="H1243">
        <v>11695</v>
      </c>
      <c r="I1243">
        <v>394</v>
      </c>
      <c r="J1243">
        <v>0.39</v>
      </c>
      <c r="K1243">
        <v>2.0099999999999998</v>
      </c>
      <c r="L1243">
        <v>35.99</v>
      </c>
      <c r="M1243">
        <v>36.15</v>
      </c>
      <c r="N1243">
        <v>35.4</v>
      </c>
      <c r="O1243">
        <v>36.090000000000003</v>
      </c>
      <c r="P1243">
        <v>25.51</v>
      </c>
      <c r="Q1243">
        <v>41706124</v>
      </c>
      <c r="R1243">
        <v>1.35</v>
      </c>
      <c r="S1243" t="s">
        <v>397</v>
      </c>
      <c r="T1243" t="s">
        <v>590</v>
      </c>
      <c r="U1243">
        <v>2.08</v>
      </c>
      <c r="V1243">
        <v>35.659999999999997</v>
      </c>
      <c r="W1243">
        <v>5956</v>
      </c>
      <c r="X1243">
        <v>5739</v>
      </c>
      <c r="Y1243">
        <v>1.04</v>
      </c>
      <c r="Z1243">
        <v>1</v>
      </c>
      <c r="AA1243">
        <v>5</v>
      </c>
      <c r="AB1243" t="s">
        <v>116</v>
      </c>
      <c r="AC1243">
        <v>133200</v>
      </c>
      <c r="AD1243">
        <v>0.01</v>
      </c>
      <c r="AE1243" t="s">
        <v>116</v>
      </c>
      <c r="AF1243" t="s">
        <v>116</v>
      </c>
      <c r="AG1243">
        <v>0.57999999999999996</v>
      </c>
      <c r="AH1243" t="s">
        <v>6950</v>
      </c>
      <c r="AI1243" t="s">
        <v>6951</v>
      </c>
      <c r="AJ1243">
        <v>0.04</v>
      </c>
      <c r="AK1243">
        <v>1028</v>
      </c>
      <c r="AL1243">
        <v>11</v>
      </c>
      <c r="AM1243">
        <v>2E-3</v>
      </c>
      <c r="AN1243">
        <v>-1</v>
      </c>
      <c r="AO1243">
        <v>1.24</v>
      </c>
      <c r="AP1243">
        <v>5.5</v>
      </c>
      <c r="AQ1243">
        <v>1.36</v>
      </c>
      <c r="AR1243">
        <v>71.33</v>
      </c>
      <c r="AS1243">
        <v>3.35</v>
      </c>
      <c r="AT1243" t="s">
        <v>2593</v>
      </c>
      <c r="AU1243">
        <v>30.08</v>
      </c>
      <c r="AV1243">
        <v>43.41</v>
      </c>
      <c r="AW1243">
        <v>0.45</v>
      </c>
      <c r="BA1243">
        <v>-0.28000000000000003</v>
      </c>
      <c r="BB1243">
        <v>0.17</v>
      </c>
      <c r="BC1243">
        <v>-1.91</v>
      </c>
      <c r="BD1243">
        <v>-1.19</v>
      </c>
      <c r="BE1243">
        <v>-0.36</v>
      </c>
      <c r="BF1243">
        <v>-0.8</v>
      </c>
      <c r="BG1243">
        <v>1.3</v>
      </c>
      <c r="BH1243">
        <v>0.55000000000000004</v>
      </c>
      <c r="BI1243">
        <v>20191206</v>
      </c>
      <c r="BJ1243">
        <v>20160622</v>
      </c>
      <c r="BK1243">
        <v>1.18</v>
      </c>
      <c r="BL1243" t="s">
        <v>116</v>
      </c>
      <c r="BM1243" t="s">
        <v>116</v>
      </c>
      <c r="BN1243">
        <v>12.08</v>
      </c>
      <c r="BO1243">
        <v>9.74</v>
      </c>
      <c r="BP1243">
        <v>0.04</v>
      </c>
      <c r="BQ1243">
        <v>19</v>
      </c>
      <c r="BR1243">
        <v>10.050000000000001</v>
      </c>
      <c r="BS1243">
        <v>1.38</v>
      </c>
      <c r="BT1243">
        <v>0.39</v>
      </c>
      <c r="BU1243">
        <v>2.27</v>
      </c>
      <c r="BV1243">
        <v>0.88</v>
      </c>
      <c r="BW1243">
        <v>1.78</v>
      </c>
      <c r="BX1243">
        <v>2.2599999999999998</v>
      </c>
      <c r="BY1243">
        <v>5.81</v>
      </c>
      <c r="BZ1243">
        <v>3.9</v>
      </c>
      <c r="CA1243">
        <v>1.42</v>
      </c>
      <c r="CB1243">
        <v>0.39</v>
      </c>
      <c r="CC1243">
        <v>1.42</v>
      </c>
      <c r="CD1243">
        <v>1.22</v>
      </c>
      <c r="CE1243">
        <v>1.24</v>
      </c>
      <c r="CF1243">
        <v>1.06</v>
      </c>
      <c r="CG1243">
        <v>5.64</v>
      </c>
      <c r="CH1243">
        <v>0.95</v>
      </c>
      <c r="CI1243">
        <v>-0.7</v>
      </c>
      <c r="CJ1243">
        <v>10066</v>
      </c>
      <c r="CK1243">
        <v>3473</v>
      </c>
      <c r="CL1243" t="s">
        <v>6952</v>
      </c>
      <c r="CM1243">
        <v>53.22</v>
      </c>
      <c r="CN1243">
        <v>26.41</v>
      </c>
      <c r="CO1243">
        <v>4.34</v>
      </c>
      <c r="CP1243">
        <v>44.38</v>
      </c>
      <c r="CQ1243">
        <v>7.26</v>
      </c>
      <c r="CR1243">
        <v>0.84</v>
      </c>
      <c r="CS1243" t="s">
        <v>6953</v>
      </c>
      <c r="CT1243">
        <v>8.27</v>
      </c>
      <c r="CU1243">
        <v>0</v>
      </c>
      <c r="CV1243">
        <v>1.92</v>
      </c>
      <c r="CW1243">
        <v>4.79</v>
      </c>
      <c r="CX1243">
        <v>0.81</v>
      </c>
      <c r="CY1243">
        <v>80.66</v>
      </c>
      <c r="CZ1243" t="s">
        <v>6954</v>
      </c>
      <c r="DA1243">
        <v>32.99</v>
      </c>
      <c r="DB1243">
        <v>24.39</v>
      </c>
      <c r="DC1243">
        <v>21.36</v>
      </c>
      <c r="DD1243">
        <v>0.23</v>
      </c>
      <c r="DE1243">
        <v>857</v>
      </c>
      <c r="DF1243">
        <v>2801</v>
      </c>
      <c r="DG1243" t="s">
        <v>116</v>
      </c>
      <c r="DH1243" t="s">
        <v>116</v>
      </c>
      <c r="DI1243" t="s">
        <v>116</v>
      </c>
    </row>
    <row r="1244" spans="1:113" x14ac:dyDescent="0.4">
      <c r="A1244" t="str">
        <f>"002802"</f>
        <v>002802</v>
      </c>
      <c r="B1244" t="s">
        <v>6955</v>
      </c>
      <c r="C1244">
        <v>-0.74</v>
      </c>
      <c r="D1244">
        <v>20.100000000000001</v>
      </c>
      <c r="E1244">
        <v>-0.15</v>
      </c>
      <c r="F1244">
        <v>20.079999999999998</v>
      </c>
      <c r="G1244">
        <v>20.100000000000001</v>
      </c>
      <c r="H1244">
        <v>4044</v>
      </c>
      <c r="I1244">
        <v>11</v>
      </c>
      <c r="J1244">
        <v>0.25</v>
      </c>
      <c r="K1244">
        <v>0.67</v>
      </c>
      <c r="L1244">
        <v>20.25</v>
      </c>
      <c r="M1244">
        <v>20.46</v>
      </c>
      <c r="N1244">
        <v>20.03</v>
      </c>
      <c r="O1244">
        <v>20.25</v>
      </c>
      <c r="P1244">
        <v>26.47</v>
      </c>
      <c r="Q1244">
        <v>8207631</v>
      </c>
      <c r="R1244">
        <v>1.1200000000000001</v>
      </c>
      <c r="S1244" t="s">
        <v>891</v>
      </c>
      <c r="T1244" t="s">
        <v>323</v>
      </c>
      <c r="U1244">
        <v>2.12</v>
      </c>
      <c r="V1244">
        <v>20.29</v>
      </c>
      <c r="W1244">
        <v>2101</v>
      </c>
      <c r="X1244">
        <v>1943</v>
      </c>
      <c r="Y1244">
        <v>1.08</v>
      </c>
      <c r="Z1244">
        <v>95</v>
      </c>
      <c r="AA1244">
        <v>2</v>
      </c>
      <c r="AB1244" t="s">
        <v>116</v>
      </c>
      <c r="AC1244">
        <v>40500</v>
      </c>
      <c r="AD1244">
        <v>0.01</v>
      </c>
      <c r="AE1244" t="s">
        <v>116</v>
      </c>
      <c r="AF1244" t="s">
        <v>116</v>
      </c>
      <c r="AG1244">
        <v>0.61</v>
      </c>
      <c r="AH1244" t="s">
        <v>6956</v>
      </c>
      <c r="AI1244" t="s">
        <v>6622</v>
      </c>
      <c r="AJ1244">
        <v>-0.06</v>
      </c>
      <c r="AK1244">
        <v>429</v>
      </c>
      <c r="AL1244">
        <v>9</v>
      </c>
      <c r="AM1244">
        <v>1.6000000000000001E-3</v>
      </c>
      <c r="AN1244">
        <v>-1</v>
      </c>
      <c r="AO1244">
        <v>-0.09</v>
      </c>
      <c r="AP1244">
        <v>5.51</v>
      </c>
      <c r="AQ1244">
        <v>2.0299999999999998</v>
      </c>
      <c r="AR1244">
        <v>1.21</v>
      </c>
      <c r="AS1244">
        <v>1.05</v>
      </c>
      <c r="AT1244" t="s">
        <v>6401</v>
      </c>
      <c r="AU1244">
        <v>27.39</v>
      </c>
      <c r="AV1244">
        <v>29.67</v>
      </c>
      <c r="AW1244">
        <v>0.88</v>
      </c>
      <c r="BA1244">
        <v>0</v>
      </c>
      <c r="BB1244">
        <v>1.04</v>
      </c>
      <c r="BC1244">
        <v>-1.0900000000000001</v>
      </c>
      <c r="BD1244">
        <v>0.22</v>
      </c>
      <c r="BE1244">
        <v>-0.74</v>
      </c>
      <c r="BF1244">
        <v>-1.76</v>
      </c>
      <c r="BG1244">
        <v>0.35</v>
      </c>
      <c r="BH1244">
        <v>-0.96</v>
      </c>
      <c r="BI1244">
        <v>20191128</v>
      </c>
      <c r="BJ1244">
        <v>20160629</v>
      </c>
      <c r="BK1244">
        <v>1.08</v>
      </c>
      <c r="BL1244" t="s">
        <v>116</v>
      </c>
      <c r="BM1244" t="s">
        <v>116</v>
      </c>
      <c r="BN1244">
        <v>5.99</v>
      </c>
      <c r="BO1244">
        <v>5.45</v>
      </c>
      <c r="BP1244">
        <v>0</v>
      </c>
      <c r="BQ1244">
        <v>8.99</v>
      </c>
      <c r="BR1244">
        <v>3.65</v>
      </c>
      <c r="BS1244">
        <v>1.83</v>
      </c>
      <c r="BT1244">
        <v>0.4</v>
      </c>
      <c r="BU1244">
        <v>0.41</v>
      </c>
      <c r="BV1244">
        <v>0.28999999999999998</v>
      </c>
      <c r="BW1244">
        <v>0.69</v>
      </c>
      <c r="BX1244">
        <v>2.48</v>
      </c>
      <c r="BY1244">
        <v>4.0199999999999996</v>
      </c>
      <c r="BZ1244">
        <v>2.81</v>
      </c>
      <c r="CA1244">
        <v>0.73</v>
      </c>
      <c r="CB1244">
        <v>0.05</v>
      </c>
      <c r="CC1244">
        <v>0.73</v>
      </c>
      <c r="CD1244">
        <v>0.62</v>
      </c>
      <c r="CE1244">
        <v>0.62</v>
      </c>
      <c r="CF1244">
        <v>0.56000000000000005</v>
      </c>
      <c r="CG1244">
        <v>2.13</v>
      </c>
      <c r="CH1244">
        <v>0.6</v>
      </c>
      <c r="CI1244">
        <v>0.02</v>
      </c>
      <c r="CJ1244">
        <v>11498</v>
      </c>
      <c r="CK1244">
        <v>3335</v>
      </c>
      <c r="CL1244" t="s">
        <v>1706</v>
      </c>
      <c r="CM1244">
        <v>11</v>
      </c>
      <c r="CN1244">
        <v>3.18</v>
      </c>
      <c r="CO1244">
        <v>4</v>
      </c>
      <c r="CP1244">
        <v>36.49</v>
      </c>
      <c r="CQ1244">
        <v>5.42</v>
      </c>
      <c r="CR1244">
        <v>4.87</v>
      </c>
      <c r="CS1244" t="s">
        <v>723</v>
      </c>
      <c r="CT1244">
        <v>5.03</v>
      </c>
      <c r="CU1244">
        <v>0</v>
      </c>
      <c r="CV1244">
        <v>2.29</v>
      </c>
      <c r="CW1244">
        <v>1.97</v>
      </c>
      <c r="CX1244">
        <v>0.55000000000000004</v>
      </c>
      <c r="CY1244">
        <v>91.01</v>
      </c>
      <c r="CZ1244" t="s">
        <v>6957</v>
      </c>
      <c r="DA1244">
        <v>30</v>
      </c>
      <c r="DB1244">
        <v>18.100000000000001</v>
      </c>
      <c r="DC1244">
        <v>15.36</v>
      </c>
      <c r="DD1244">
        <v>0.18</v>
      </c>
      <c r="DE1244">
        <v>302</v>
      </c>
      <c r="DF1244">
        <v>2802</v>
      </c>
      <c r="DG1244" t="s">
        <v>116</v>
      </c>
      <c r="DH1244" t="s">
        <v>116</v>
      </c>
      <c r="DI1244" t="s">
        <v>116</v>
      </c>
    </row>
    <row r="1245" spans="1:113" x14ac:dyDescent="0.4">
      <c r="A1245" t="str">
        <f>"002803"</f>
        <v>002803</v>
      </c>
      <c r="B1245" t="s">
        <v>6958</v>
      </c>
      <c r="C1245">
        <v>2.36</v>
      </c>
      <c r="D1245">
        <v>25.59</v>
      </c>
      <c r="E1245">
        <v>0.59</v>
      </c>
      <c r="F1245">
        <v>25.58</v>
      </c>
      <c r="G1245">
        <v>25.59</v>
      </c>
      <c r="H1245">
        <v>88784</v>
      </c>
      <c r="I1245">
        <v>917</v>
      </c>
      <c r="J1245">
        <v>-0.5</v>
      </c>
      <c r="K1245">
        <v>7.52</v>
      </c>
      <c r="L1245">
        <v>25.1</v>
      </c>
      <c r="M1245">
        <v>27.17</v>
      </c>
      <c r="N1245">
        <v>24.81</v>
      </c>
      <c r="O1245">
        <v>25</v>
      </c>
      <c r="P1245">
        <v>18.45</v>
      </c>
      <c r="Q1245">
        <v>230267520</v>
      </c>
      <c r="R1245">
        <v>2.87</v>
      </c>
      <c r="S1245" t="s">
        <v>1384</v>
      </c>
      <c r="T1245" t="s">
        <v>975</v>
      </c>
      <c r="U1245">
        <v>9.44</v>
      </c>
      <c r="V1245">
        <v>25.94</v>
      </c>
      <c r="W1245">
        <v>39413</v>
      </c>
      <c r="X1245">
        <v>49371</v>
      </c>
      <c r="Y1245">
        <v>0.8</v>
      </c>
      <c r="Z1245">
        <v>75</v>
      </c>
      <c r="AA1245">
        <v>217</v>
      </c>
      <c r="AB1245" t="s">
        <v>116</v>
      </c>
      <c r="AC1245">
        <v>3034600</v>
      </c>
      <c r="AD1245">
        <v>0.14000000000000001</v>
      </c>
      <c r="AE1245" t="s">
        <v>116</v>
      </c>
      <c r="AF1245" t="s">
        <v>116</v>
      </c>
      <c r="AG1245">
        <v>1.18</v>
      </c>
      <c r="AH1245" t="s">
        <v>6959</v>
      </c>
      <c r="AI1245" t="s">
        <v>6960</v>
      </c>
      <c r="AJ1245">
        <v>3.04</v>
      </c>
      <c r="AK1245">
        <v>3135</v>
      </c>
      <c r="AL1245">
        <v>28</v>
      </c>
      <c r="AM1245">
        <v>2.3999999999999998E-3</v>
      </c>
      <c r="AN1245">
        <v>4</v>
      </c>
      <c r="AO1245">
        <v>10.44</v>
      </c>
      <c r="AP1245">
        <v>18.690000000000001</v>
      </c>
      <c r="AQ1245">
        <v>14.8</v>
      </c>
      <c r="AR1245">
        <v>78.86</v>
      </c>
      <c r="AS1245">
        <v>10.45</v>
      </c>
      <c r="AT1245" t="s">
        <v>6961</v>
      </c>
      <c r="AU1245">
        <v>18.18</v>
      </c>
      <c r="AV1245">
        <v>26.72</v>
      </c>
      <c r="AW1245">
        <v>1.43</v>
      </c>
      <c r="BA1245">
        <v>0.4</v>
      </c>
      <c r="BB1245">
        <v>8.68</v>
      </c>
      <c r="BC1245">
        <v>-0.76</v>
      </c>
      <c r="BD1245">
        <v>3.74</v>
      </c>
      <c r="BE1245">
        <v>1.95</v>
      </c>
      <c r="BF1245">
        <v>-5.82</v>
      </c>
      <c r="BG1245">
        <v>3.14</v>
      </c>
      <c r="BH1245">
        <v>-1.38</v>
      </c>
      <c r="BI1245">
        <v>20191216</v>
      </c>
      <c r="BJ1245">
        <v>20160712</v>
      </c>
      <c r="BK1245">
        <v>2.23</v>
      </c>
      <c r="BL1245" t="s">
        <v>116</v>
      </c>
      <c r="BM1245" t="s">
        <v>116</v>
      </c>
      <c r="BN1245">
        <v>23.7</v>
      </c>
      <c r="BO1245">
        <v>13.3</v>
      </c>
      <c r="BP1245">
        <v>0.42</v>
      </c>
      <c r="BQ1245">
        <v>42.09</v>
      </c>
      <c r="BR1245">
        <v>15.59</v>
      </c>
      <c r="BS1245">
        <v>4.46</v>
      </c>
      <c r="BT1245">
        <v>1.17</v>
      </c>
      <c r="BU1245">
        <v>9.4700000000000006</v>
      </c>
      <c r="BV1245">
        <v>2.27</v>
      </c>
      <c r="BW1245">
        <v>4.74</v>
      </c>
      <c r="BX1245">
        <v>5.33</v>
      </c>
      <c r="BY1245">
        <v>21.62</v>
      </c>
      <c r="BZ1245">
        <v>12.07</v>
      </c>
      <c r="CA1245">
        <v>2.76</v>
      </c>
      <c r="CB1245">
        <v>0.05</v>
      </c>
      <c r="CC1245">
        <v>2.8</v>
      </c>
      <c r="CD1245">
        <v>2.4700000000000002</v>
      </c>
      <c r="CE1245">
        <v>2.3199999999999998</v>
      </c>
      <c r="CF1245">
        <v>2.35</v>
      </c>
      <c r="CG1245">
        <v>5.41</v>
      </c>
      <c r="CH1245">
        <v>1.62</v>
      </c>
      <c r="CI1245">
        <v>0.2</v>
      </c>
      <c r="CJ1245">
        <v>11020</v>
      </c>
      <c r="CK1245">
        <v>7712</v>
      </c>
      <c r="CL1245" t="s">
        <v>6962</v>
      </c>
      <c r="CM1245">
        <v>76.290000000000006</v>
      </c>
      <c r="CN1245">
        <v>33.61</v>
      </c>
      <c r="CO1245">
        <v>4.28</v>
      </c>
      <c r="CP1245">
        <v>35.200000000000003</v>
      </c>
      <c r="CQ1245">
        <v>2.63</v>
      </c>
      <c r="CR1245">
        <v>1.73</v>
      </c>
      <c r="CS1245" t="s">
        <v>6086</v>
      </c>
      <c r="CT1245">
        <v>5.98</v>
      </c>
      <c r="CU1245">
        <v>0</v>
      </c>
      <c r="CV1245">
        <v>2.4</v>
      </c>
      <c r="CW1245">
        <v>2.4300000000000002</v>
      </c>
      <c r="CX1245">
        <v>0.73</v>
      </c>
      <c r="CY1245">
        <v>56.12</v>
      </c>
      <c r="CZ1245" t="s">
        <v>6963</v>
      </c>
      <c r="DA1245">
        <v>44.18</v>
      </c>
      <c r="DB1245">
        <v>12.74</v>
      </c>
      <c r="DC1245">
        <v>10.71</v>
      </c>
      <c r="DD1245">
        <v>0.38</v>
      </c>
      <c r="DE1245">
        <v>2427</v>
      </c>
      <c r="DF1245">
        <v>2803</v>
      </c>
      <c r="DG1245" t="s">
        <v>116</v>
      </c>
      <c r="DH1245" t="s">
        <v>116</v>
      </c>
      <c r="DI1245" t="s">
        <v>116</v>
      </c>
    </row>
    <row r="1246" spans="1:113" x14ac:dyDescent="0.4">
      <c r="A1246" t="str">
        <f>"002805"</f>
        <v>002805</v>
      </c>
      <c r="B1246" t="s">
        <v>6964</v>
      </c>
      <c r="C1246">
        <v>-0.51</v>
      </c>
      <c r="D1246">
        <v>11.72</v>
      </c>
      <c r="E1246">
        <v>-0.06</v>
      </c>
      <c r="F1246">
        <v>11.71</v>
      </c>
      <c r="G1246">
        <v>11.72</v>
      </c>
      <c r="H1246">
        <v>32058</v>
      </c>
      <c r="I1246">
        <v>455</v>
      </c>
      <c r="J1246">
        <v>0</v>
      </c>
      <c r="K1246">
        <v>3.31</v>
      </c>
      <c r="L1246">
        <v>11.89</v>
      </c>
      <c r="M1246">
        <v>11.96</v>
      </c>
      <c r="N1246">
        <v>11.7</v>
      </c>
      <c r="O1246">
        <v>11.78</v>
      </c>
      <c r="P1246">
        <v>72.540000000000006</v>
      </c>
      <c r="Q1246">
        <v>38012408</v>
      </c>
      <c r="R1246">
        <v>1</v>
      </c>
      <c r="S1246" t="s">
        <v>891</v>
      </c>
      <c r="T1246" t="s">
        <v>645</v>
      </c>
      <c r="U1246">
        <v>2.21</v>
      </c>
      <c r="V1246">
        <v>11.86</v>
      </c>
      <c r="W1246">
        <v>16013</v>
      </c>
      <c r="X1246">
        <v>16045</v>
      </c>
      <c r="Y1246">
        <v>1</v>
      </c>
      <c r="Z1246">
        <v>65</v>
      </c>
      <c r="AA1246">
        <v>41</v>
      </c>
      <c r="AB1246" t="s">
        <v>116</v>
      </c>
      <c r="AC1246">
        <v>386400</v>
      </c>
      <c r="AD1246">
        <v>0.03</v>
      </c>
      <c r="AE1246" t="s">
        <v>116</v>
      </c>
      <c r="AF1246" t="s">
        <v>116</v>
      </c>
      <c r="AG1246">
        <v>0.97</v>
      </c>
      <c r="AH1246" t="s">
        <v>3467</v>
      </c>
      <c r="AI1246" t="s">
        <v>2037</v>
      </c>
      <c r="AJ1246">
        <v>0.17</v>
      </c>
      <c r="AK1246">
        <v>1291</v>
      </c>
      <c r="AL1246">
        <v>25</v>
      </c>
      <c r="AM1246">
        <v>2.5999999999999999E-3</v>
      </c>
      <c r="AN1246">
        <v>-1</v>
      </c>
      <c r="AO1246">
        <v>0.86</v>
      </c>
      <c r="AP1246">
        <v>-1.01</v>
      </c>
      <c r="AQ1246">
        <v>-10.6</v>
      </c>
      <c r="AR1246">
        <v>19.86</v>
      </c>
      <c r="AS1246">
        <v>3.31</v>
      </c>
      <c r="AT1246" t="s">
        <v>3467</v>
      </c>
      <c r="AU1246">
        <v>94.92</v>
      </c>
      <c r="AV1246">
        <v>104.47</v>
      </c>
      <c r="AW1246">
        <v>0.71</v>
      </c>
      <c r="BA1246">
        <v>0.93</v>
      </c>
      <c r="BB1246">
        <v>1.53</v>
      </c>
      <c r="BC1246">
        <v>-0.68</v>
      </c>
      <c r="BD1246">
        <v>0.66</v>
      </c>
      <c r="BE1246">
        <v>-1.43</v>
      </c>
      <c r="BF1246">
        <v>-2.0099999999999998</v>
      </c>
      <c r="BG1246">
        <v>0.17</v>
      </c>
      <c r="BH1246">
        <v>-1.17</v>
      </c>
      <c r="BI1246">
        <v>20191021</v>
      </c>
      <c r="BJ1246">
        <v>20160707</v>
      </c>
      <c r="BK1246">
        <v>1.45</v>
      </c>
      <c r="BL1246" t="s">
        <v>116</v>
      </c>
      <c r="BM1246" t="s">
        <v>116</v>
      </c>
      <c r="BN1246">
        <v>8.9499999999999993</v>
      </c>
      <c r="BO1246">
        <v>5.95</v>
      </c>
      <c r="BP1246">
        <v>0</v>
      </c>
      <c r="BQ1246">
        <v>33.520000000000003</v>
      </c>
      <c r="BR1246">
        <v>3.78</v>
      </c>
      <c r="BS1246">
        <v>3.47</v>
      </c>
      <c r="BT1246">
        <v>0.32</v>
      </c>
      <c r="BU1246">
        <v>2.69</v>
      </c>
      <c r="BV1246">
        <v>1.65</v>
      </c>
      <c r="BW1246">
        <v>1.47</v>
      </c>
      <c r="BX1246">
        <v>1.1000000000000001</v>
      </c>
      <c r="BY1246">
        <v>3.36</v>
      </c>
      <c r="BZ1246">
        <v>2.81</v>
      </c>
      <c r="CA1246">
        <v>0.22</v>
      </c>
      <c r="CB1246">
        <v>0</v>
      </c>
      <c r="CC1246">
        <v>0.22</v>
      </c>
      <c r="CD1246">
        <v>0.18</v>
      </c>
      <c r="CE1246">
        <v>0.18</v>
      </c>
      <c r="CF1246">
        <v>0.13</v>
      </c>
      <c r="CG1246">
        <v>2.98</v>
      </c>
      <c r="CH1246">
        <v>-0.5</v>
      </c>
      <c r="CI1246">
        <v>-0.51</v>
      </c>
      <c r="CJ1246">
        <v>13145</v>
      </c>
      <c r="CK1246">
        <v>7367</v>
      </c>
      <c r="CL1246" t="s">
        <v>3660</v>
      </c>
      <c r="CM1246">
        <v>10.27</v>
      </c>
      <c r="CN1246">
        <v>70.489999999999995</v>
      </c>
      <c r="CO1246">
        <v>2.86</v>
      </c>
      <c r="CP1246">
        <v>-33.799999999999997</v>
      </c>
      <c r="CQ1246">
        <v>5.07</v>
      </c>
      <c r="CR1246">
        <v>0.19</v>
      </c>
      <c r="CS1246" t="s">
        <v>6965</v>
      </c>
      <c r="CT1246">
        <v>4.09</v>
      </c>
      <c r="CU1246">
        <v>0</v>
      </c>
      <c r="CV1246">
        <v>0.75</v>
      </c>
      <c r="CW1246">
        <v>2.0499999999999998</v>
      </c>
      <c r="CX1246">
        <v>-0.35</v>
      </c>
      <c r="CY1246">
        <v>66.48</v>
      </c>
      <c r="CZ1246" t="s">
        <v>5095</v>
      </c>
      <c r="DA1246">
        <v>16.239999999999998</v>
      </c>
      <c r="DB1246">
        <v>6.57</v>
      </c>
      <c r="DC1246">
        <v>5.24</v>
      </c>
      <c r="DD1246">
        <v>0.03</v>
      </c>
      <c r="DE1246">
        <v>469</v>
      </c>
      <c r="DF1246">
        <v>2805</v>
      </c>
      <c r="DG1246" t="s">
        <v>116</v>
      </c>
      <c r="DH1246" t="s">
        <v>116</v>
      </c>
      <c r="DI1246" t="s">
        <v>116</v>
      </c>
    </row>
    <row r="1247" spans="1:113" x14ac:dyDescent="0.4">
      <c r="A1247" t="str">
        <f>"002806"</f>
        <v>002806</v>
      </c>
      <c r="B1247" t="s">
        <v>6966</v>
      </c>
      <c r="C1247">
        <v>0.14000000000000001</v>
      </c>
      <c r="D1247">
        <v>14.24</v>
      </c>
      <c r="E1247">
        <v>0.02</v>
      </c>
      <c r="F1247">
        <v>14.24</v>
      </c>
      <c r="G1247">
        <v>14.25</v>
      </c>
      <c r="H1247">
        <v>29157</v>
      </c>
      <c r="I1247">
        <v>706</v>
      </c>
      <c r="J1247">
        <v>0.21</v>
      </c>
      <c r="K1247">
        <v>2.99</v>
      </c>
      <c r="L1247">
        <v>14.17</v>
      </c>
      <c r="M1247">
        <v>14.37</v>
      </c>
      <c r="N1247">
        <v>14.04</v>
      </c>
      <c r="O1247">
        <v>14.22</v>
      </c>
      <c r="P1247">
        <v>558.51</v>
      </c>
      <c r="Q1247">
        <v>41389704</v>
      </c>
      <c r="R1247">
        <v>0.69</v>
      </c>
      <c r="S1247" t="s">
        <v>233</v>
      </c>
      <c r="T1247" t="s">
        <v>551</v>
      </c>
      <c r="U1247">
        <v>2.3199999999999998</v>
      </c>
      <c r="V1247">
        <v>14.2</v>
      </c>
      <c r="W1247">
        <v>13814</v>
      </c>
      <c r="X1247">
        <v>15343</v>
      </c>
      <c r="Y1247">
        <v>0.9</v>
      </c>
      <c r="Z1247">
        <v>82</v>
      </c>
      <c r="AA1247">
        <v>393</v>
      </c>
      <c r="AB1247" t="s">
        <v>116</v>
      </c>
      <c r="AC1247">
        <v>104900</v>
      </c>
      <c r="AD1247">
        <v>0.01</v>
      </c>
      <c r="AE1247" t="s">
        <v>116</v>
      </c>
      <c r="AF1247" t="s">
        <v>116</v>
      </c>
      <c r="AG1247">
        <v>0.98</v>
      </c>
      <c r="AH1247" t="s">
        <v>5972</v>
      </c>
      <c r="AI1247" t="s">
        <v>3226</v>
      </c>
      <c r="AJ1247">
        <v>0.82</v>
      </c>
      <c r="AK1247">
        <v>1356</v>
      </c>
      <c r="AL1247">
        <v>22</v>
      </c>
      <c r="AM1247">
        <v>2.2000000000000001E-3</v>
      </c>
      <c r="AN1247">
        <v>1</v>
      </c>
      <c r="AO1247">
        <v>-1.45</v>
      </c>
      <c r="AP1247">
        <v>14.1</v>
      </c>
      <c r="AQ1247">
        <v>-1.39</v>
      </c>
      <c r="AR1247">
        <v>-22.06</v>
      </c>
      <c r="AS1247">
        <v>5.25</v>
      </c>
      <c r="AT1247" t="s">
        <v>6967</v>
      </c>
      <c r="AU1247">
        <v>42.98</v>
      </c>
      <c r="AV1247">
        <v>32.11</v>
      </c>
      <c r="AW1247">
        <v>1.04</v>
      </c>
      <c r="BA1247">
        <v>-0.35</v>
      </c>
      <c r="BB1247">
        <v>1.05</v>
      </c>
      <c r="BC1247">
        <v>-1.27</v>
      </c>
      <c r="BD1247">
        <v>-0.17</v>
      </c>
      <c r="BE1247">
        <v>0.49</v>
      </c>
      <c r="BF1247">
        <v>-0.9</v>
      </c>
      <c r="BG1247">
        <v>1.42</v>
      </c>
      <c r="BH1247">
        <v>0.31</v>
      </c>
      <c r="BI1247">
        <v>20191029</v>
      </c>
      <c r="BJ1247">
        <v>20160726</v>
      </c>
      <c r="BK1247">
        <v>1.76</v>
      </c>
      <c r="BL1247" t="s">
        <v>116</v>
      </c>
      <c r="BM1247" t="s">
        <v>116</v>
      </c>
      <c r="BN1247">
        <v>17.05</v>
      </c>
      <c r="BO1247">
        <v>12.59</v>
      </c>
      <c r="BP1247">
        <v>0.17</v>
      </c>
      <c r="BQ1247">
        <v>25.15</v>
      </c>
      <c r="BR1247">
        <v>5.24</v>
      </c>
      <c r="BS1247">
        <v>3.01</v>
      </c>
      <c r="BT1247">
        <v>1.25</v>
      </c>
      <c r="BU1247">
        <v>3.9</v>
      </c>
      <c r="BV1247">
        <v>1.25</v>
      </c>
      <c r="BW1247">
        <v>2.4300000000000002</v>
      </c>
      <c r="BX1247">
        <v>8.24</v>
      </c>
      <c r="BY1247">
        <v>4.41</v>
      </c>
      <c r="BZ1247">
        <v>3.46</v>
      </c>
      <c r="CA1247">
        <v>0.05</v>
      </c>
      <c r="CB1247">
        <v>0</v>
      </c>
      <c r="CC1247">
        <v>0.05</v>
      </c>
      <c r="CD1247">
        <v>0.04</v>
      </c>
      <c r="CE1247">
        <v>0.03</v>
      </c>
      <c r="CF1247">
        <v>-0.03</v>
      </c>
      <c r="CG1247">
        <v>2.46</v>
      </c>
      <c r="CH1247">
        <v>0.44</v>
      </c>
      <c r="CI1247">
        <v>-0.2</v>
      </c>
      <c r="CJ1247">
        <v>19375</v>
      </c>
      <c r="CK1247">
        <v>2869</v>
      </c>
      <c r="CL1247" t="s">
        <v>6968</v>
      </c>
      <c r="CM1247">
        <v>-85.43</v>
      </c>
      <c r="CN1247">
        <v>19.27</v>
      </c>
      <c r="CO1247">
        <v>1.99</v>
      </c>
      <c r="CP1247">
        <v>56.75</v>
      </c>
      <c r="CQ1247">
        <v>5.69</v>
      </c>
      <c r="CR1247">
        <v>0.56000000000000005</v>
      </c>
      <c r="CS1247" t="s">
        <v>2098</v>
      </c>
      <c r="CT1247">
        <v>7.15</v>
      </c>
      <c r="CU1247">
        <v>0</v>
      </c>
      <c r="CV1247">
        <v>4.67</v>
      </c>
      <c r="CW1247">
        <v>1.4</v>
      </c>
      <c r="CX1247">
        <v>0.25</v>
      </c>
      <c r="CY1247">
        <v>73.88</v>
      </c>
      <c r="CZ1247" t="s">
        <v>6969</v>
      </c>
      <c r="DA1247">
        <v>21.57</v>
      </c>
      <c r="DB1247">
        <v>1.1200000000000001</v>
      </c>
      <c r="DC1247">
        <v>0.76</v>
      </c>
      <c r="DD1247">
        <v>0.14000000000000001</v>
      </c>
      <c r="DE1247">
        <v>834</v>
      </c>
      <c r="DF1247">
        <v>2806</v>
      </c>
      <c r="DG1247" t="s">
        <v>116</v>
      </c>
      <c r="DH1247" t="s">
        <v>116</v>
      </c>
      <c r="DI1247" t="s">
        <v>116</v>
      </c>
    </row>
    <row r="1248" spans="1:113" x14ac:dyDescent="0.4">
      <c r="A1248" t="str">
        <f>"002807"</f>
        <v>002807</v>
      </c>
      <c r="B1248" t="s">
        <v>6970</v>
      </c>
      <c r="C1248">
        <v>-0.22</v>
      </c>
      <c r="D1248">
        <v>4.58</v>
      </c>
      <c r="E1248">
        <v>-0.01</v>
      </c>
      <c r="F1248">
        <v>4.57</v>
      </c>
      <c r="G1248">
        <v>4.58</v>
      </c>
      <c r="H1248">
        <v>128823</v>
      </c>
      <c r="I1248">
        <v>594</v>
      </c>
      <c r="J1248">
        <v>0</v>
      </c>
      <c r="K1248">
        <v>0.6</v>
      </c>
      <c r="L1248">
        <v>4.5999999999999996</v>
      </c>
      <c r="M1248">
        <v>4.66</v>
      </c>
      <c r="N1248">
        <v>4.57</v>
      </c>
      <c r="O1248">
        <v>4.59</v>
      </c>
      <c r="P1248">
        <v>11.72</v>
      </c>
      <c r="Q1248">
        <v>59437760</v>
      </c>
      <c r="R1248">
        <v>1.02</v>
      </c>
      <c r="S1248" t="s">
        <v>114</v>
      </c>
      <c r="T1248" t="s">
        <v>323</v>
      </c>
      <c r="U1248">
        <v>1.96</v>
      </c>
      <c r="V1248">
        <v>4.6100000000000003</v>
      </c>
      <c r="W1248">
        <v>70701</v>
      </c>
      <c r="X1248">
        <v>58122</v>
      </c>
      <c r="Y1248">
        <v>1.22</v>
      </c>
      <c r="Z1248">
        <v>704</v>
      </c>
      <c r="AA1248">
        <v>813</v>
      </c>
      <c r="AB1248" t="s">
        <v>116</v>
      </c>
      <c r="AC1248">
        <v>749300</v>
      </c>
      <c r="AD1248">
        <v>0.01</v>
      </c>
      <c r="AE1248" t="s">
        <v>116</v>
      </c>
      <c r="AF1248" t="s">
        <v>116</v>
      </c>
      <c r="AG1248">
        <v>21.58</v>
      </c>
      <c r="AH1248" t="s">
        <v>6971</v>
      </c>
      <c r="AI1248" t="s">
        <v>6972</v>
      </c>
      <c r="AJ1248">
        <v>0.46</v>
      </c>
      <c r="AK1248">
        <v>2238</v>
      </c>
      <c r="AL1248">
        <v>58</v>
      </c>
      <c r="AM1248">
        <v>2.9999999999999997E-4</v>
      </c>
      <c r="AN1248">
        <v>-1</v>
      </c>
      <c r="AO1248">
        <v>0.88</v>
      </c>
      <c r="AP1248">
        <v>5.53</v>
      </c>
      <c r="AQ1248">
        <v>4.33</v>
      </c>
      <c r="AR1248">
        <v>9.26</v>
      </c>
      <c r="AS1248">
        <v>0.6</v>
      </c>
      <c r="AT1248" t="s">
        <v>6971</v>
      </c>
      <c r="AU1248">
        <v>10.43</v>
      </c>
      <c r="AV1248">
        <v>11.6</v>
      </c>
      <c r="AW1248">
        <v>0.69</v>
      </c>
      <c r="BA1248">
        <v>0.22</v>
      </c>
      <c r="BB1248">
        <v>1.53</v>
      </c>
      <c r="BC1248">
        <v>-0.44</v>
      </c>
      <c r="BD1248">
        <v>0.52</v>
      </c>
      <c r="BE1248">
        <v>-0.43</v>
      </c>
      <c r="BF1248">
        <v>-1.72</v>
      </c>
      <c r="BG1248">
        <v>0.22</v>
      </c>
      <c r="BH1248">
        <v>-0.74</v>
      </c>
      <c r="BI1248">
        <v>20191029</v>
      </c>
      <c r="BJ1248">
        <v>20160902</v>
      </c>
      <c r="BK1248">
        <v>21.72</v>
      </c>
      <c r="BL1248" t="s">
        <v>116</v>
      </c>
      <c r="BM1248" t="s">
        <v>116</v>
      </c>
      <c r="BN1248">
        <v>1216.07</v>
      </c>
      <c r="BO1248">
        <v>113.36</v>
      </c>
      <c r="BP1248">
        <v>1.18</v>
      </c>
      <c r="BQ1248">
        <v>90.58</v>
      </c>
      <c r="BR1248">
        <v>0</v>
      </c>
      <c r="BS1248">
        <v>9.49</v>
      </c>
      <c r="BT1248">
        <v>1.0900000000000001</v>
      </c>
      <c r="BU1248">
        <v>0</v>
      </c>
      <c r="BV1248">
        <v>0</v>
      </c>
      <c r="BW1248">
        <v>0</v>
      </c>
      <c r="BX1248">
        <v>9.25</v>
      </c>
      <c r="BY1248">
        <v>25.84</v>
      </c>
      <c r="BZ1248">
        <v>0</v>
      </c>
      <c r="CA1248">
        <v>7.27</v>
      </c>
      <c r="CB1248">
        <v>6.2</v>
      </c>
      <c r="CC1248">
        <v>7.11</v>
      </c>
      <c r="CD1248">
        <v>6.39</v>
      </c>
      <c r="CE1248">
        <v>6.37</v>
      </c>
      <c r="CF1248">
        <v>6.45</v>
      </c>
      <c r="CG1248">
        <v>27.37</v>
      </c>
      <c r="CH1248">
        <v>45.33</v>
      </c>
      <c r="CI1248">
        <v>0.09</v>
      </c>
      <c r="CJ1248">
        <v>68971</v>
      </c>
      <c r="CK1248">
        <v>31283</v>
      </c>
      <c r="CL1248" t="s">
        <v>6973</v>
      </c>
      <c r="CM1248">
        <v>17.940000000000001</v>
      </c>
      <c r="CN1248">
        <v>12.89</v>
      </c>
      <c r="CO1248">
        <v>0.91</v>
      </c>
      <c r="CP1248">
        <v>2.19</v>
      </c>
      <c r="CQ1248">
        <v>3.85</v>
      </c>
      <c r="CR1248">
        <v>0.91</v>
      </c>
      <c r="CS1248" t="s">
        <v>3311</v>
      </c>
      <c r="CT1248">
        <v>5.05</v>
      </c>
      <c r="CU1248">
        <v>5.05</v>
      </c>
      <c r="CV1248">
        <v>0.43</v>
      </c>
      <c r="CW1248">
        <v>1.26</v>
      </c>
      <c r="CX1248">
        <v>2.09</v>
      </c>
      <c r="CY1248">
        <v>9.32</v>
      </c>
      <c r="CZ1248" t="s">
        <v>6974</v>
      </c>
      <c r="DA1248" t="s">
        <v>116</v>
      </c>
      <c r="DB1248">
        <v>28.14</v>
      </c>
      <c r="DC1248">
        <v>24.64</v>
      </c>
      <c r="DD1248">
        <v>0</v>
      </c>
      <c r="DE1248">
        <v>1649</v>
      </c>
      <c r="DF1248">
        <v>2807</v>
      </c>
      <c r="DG1248" t="s">
        <v>116</v>
      </c>
      <c r="DH1248" t="s">
        <v>116</v>
      </c>
      <c r="DI1248" t="s">
        <v>116</v>
      </c>
    </row>
    <row r="1249" spans="1:113" x14ac:dyDescent="0.4">
      <c r="A1249" t="str">
        <f>"002808"</f>
        <v>002808</v>
      </c>
      <c r="B1249" t="s">
        <v>6975</v>
      </c>
      <c r="C1249">
        <v>-1.72</v>
      </c>
      <c r="D1249">
        <v>9.69</v>
      </c>
      <c r="E1249">
        <v>-0.17</v>
      </c>
      <c r="F1249">
        <v>9.68</v>
      </c>
      <c r="G1249">
        <v>9.69</v>
      </c>
      <c r="H1249">
        <v>80892</v>
      </c>
      <c r="I1249">
        <v>732</v>
      </c>
      <c r="J1249">
        <v>-0.09</v>
      </c>
      <c r="K1249">
        <v>4.72</v>
      </c>
      <c r="L1249">
        <v>9.85</v>
      </c>
      <c r="M1249">
        <v>9.9499999999999993</v>
      </c>
      <c r="N1249">
        <v>9.65</v>
      </c>
      <c r="O1249">
        <v>9.86</v>
      </c>
      <c r="P1249">
        <v>129.5</v>
      </c>
      <c r="Q1249">
        <v>79348424</v>
      </c>
      <c r="R1249">
        <v>0.77</v>
      </c>
      <c r="S1249" t="s">
        <v>233</v>
      </c>
      <c r="T1249" t="s">
        <v>323</v>
      </c>
      <c r="U1249">
        <v>3.04</v>
      </c>
      <c r="V1249">
        <v>9.81</v>
      </c>
      <c r="W1249">
        <v>48409</v>
      </c>
      <c r="X1249">
        <v>32483</v>
      </c>
      <c r="Y1249">
        <v>1.49</v>
      </c>
      <c r="Z1249">
        <v>867</v>
      </c>
      <c r="AA1249">
        <v>116</v>
      </c>
      <c r="AB1249" t="s">
        <v>116</v>
      </c>
      <c r="AC1249">
        <v>266000</v>
      </c>
      <c r="AD1249">
        <v>0.02</v>
      </c>
      <c r="AE1249" t="s">
        <v>116</v>
      </c>
      <c r="AF1249" t="s">
        <v>116</v>
      </c>
      <c r="AG1249">
        <v>1.71</v>
      </c>
      <c r="AH1249" t="s">
        <v>3148</v>
      </c>
      <c r="AI1249" t="s">
        <v>6976</v>
      </c>
      <c r="AJ1249">
        <v>-1.05</v>
      </c>
      <c r="AK1249">
        <v>1981</v>
      </c>
      <c r="AL1249">
        <v>41</v>
      </c>
      <c r="AM1249">
        <v>2.3999999999999998E-3</v>
      </c>
      <c r="AN1249">
        <v>-1</v>
      </c>
      <c r="AO1249">
        <v>-0.51</v>
      </c>
      <c r="AP1249">
        <v>-12.15</v>
      </c>
      <c r="AQ1249">
        <v>7.07</v>
      </c>
      <c r="AR1249">
        <v>6.4</v>
      </c>
      <c r="AS1249">
        <v>6.48</v>
      </c>
      <c r="AT1249" t="s">
        <v>6977</v>
      </c>
      <c r="AU1249">
        <v>99.43</v>
      </c>
      <c r="AV1249">
        <v>75.150000000000006</v>
      </c>
      <c r="AW1249">
        <v>1.41</v>
      </c>
      <c r="BA1249">
        <v>-0.1</v>
      </c>
      <c r="BB1249">
        <v>0.91</v>
      </c>
      <c r="BC1249">
        <v>-2.13</v>
      </c>
      <c r="BD1249">
        <v>-0.52</v>
      </c>
      <c r="BE1249">
        <v>-1.62</v>
      </c>
      <c r="BF1249">
        <v>-2.61</v>
      </c>
      <c r="BG1249">
        <v>0.41</v>
      </c>
      <c r="BH1249">
        <v>-1.21</v>
      </c>
      <c r="BI1249">
        <v>20191216</v>
      </c>
      <c r="BJ1249">
        <v>20160812</v>
      </c>
      <c r="BK1249">
        <v>2.69</v>
      </c>
      <c r="BL1249" t="s">
        <v>116</v>
      </c>
      <c r="BM1249" t="s">
        <v>116</v>
      </c>
      <c r="BN1249">
        <v>6.97</v>
      </c>
      <c r="BO1249">
        <v>5.73</v>
      </c>
      <c r="BP1249">
        <v>0</v>
      </c>
      <c r="BQ1249">
        <v>17.84</v>
      </c>
      <c r="BR1249">
        <v>4.87</v>
      </c>
      <c r="BS1249">
        <v>0.93</v>
      </c>
      <c r="BT1249">
        <v>0.16</v>
      </c>
      <c r="BU1249">
        <v>1.23</v>
      </c>
      <c r="BV1249">
        <v>0.95</v>
      </c>
      <c r="BW1249">
        <v>1.32</v>
      </c>
      <c r="BX1249">
        <v>0.55000000000000004</v>
      </c>
      <c r="BY1249">
        <v>2.11</v>
      </c>
      <c r="BZ1249">
        <v>1.67</v>
      </c>
      <c r="CA1249">
        <v>0.2</v>
      </c>
      <c r="CB1249">
        <v>-0.06</v>
      </c>
      <c r="CC1249">
        <v>0.2</v>
      </c>
      <c r="CD1249">
        <v>0.15</v>
      </c>
      <c r="CE1249">
        <v>0.15</v>
      </c>
      <c r="CF1249">
        <v>0.13</v>
      </c>
      <c r="CG1249">
        <v>2.13</v>
      </c>
      <c r="CH1249">
        <v>0.28000000000000003</v>
      </c>
      <c r="CI1249">
        <v>0.09</v>
      </c>
      <c r="CJ1249">
        <v>15768</v>
      </c>
      <c r="CK1249">
        <v>7922</v>
      </c>
      <c r="CL1249" t="s">
        <v>6849</v>
      </c>
      <c r="CM1249">
        <v>-35.94</v>
      </c>
      <c r="CN1249">
        <v>-6.12</v>
      </c>
      <c r="CO1249">
        <v>4.55</v>
      </c>
      <c r="CP1249">
        <v>92.39</v>
      </c>
      <c r="CQ1249">
        <v>12.34</v>
      </c>
      <c r="CR1249">
        <v>0.37</v>
      </c>
      <c r="CS1249" t="s">
        <v>743</v>
      </c>
      <c r="CT1249">
        <v>2.13</v>
      </c>
      <c r="CU1249">
        <v>0</v>
      </c>
      <c r="CV1249">
        <v>0.2</v>
      </c>
      <c r="CW1249">
        <v>0.79</v>
      </c>
      <c r="CX1249">
        <v>0.1</v>
      </c>
      <c r="CY1249">
        <v>82.16</v>
      </c>
      <c r="CZ1249" t="s">
        <v>1720</v>
      </c>
      <c r="DA1249">
        <v>20.91</v>
      </c>
      <c r="DB1249">
        <v>9.57</v>
      </c>
      <c r="DC1249">
        <v>7.15</v>
      </c>
      <c r="DD1249">
        <v>0.1</v>
      </c>
      <c r="DE1249">
        <v>243</v>
      </c>
      <c r="DF1249">
        <v>2808</v>
      </c>
      <c r="DG1249" t="s">
        <v>116</v>
      </c>
      <c r="DH1249" t="s">
        <v>116</v>
      </c>
      <c r="DI1249" t="s">
        <v>116</v>
      </c>
    </row>
    <row r="1250" spans="1:113" x14ac:dyDescent="0.4">
      <c r="A1250" t="str">
        <f>"002809"</f>
        <v>002809</v>
      </c>
      <c r="B1250" t="s">
        <v>6978</v>
      </c>
      <c r="C1250">
        <v>6.48</v>
      </c>
      <c r="D1250">
        <v>19.23</v>
      </c>
      <c r="E1250">
        <v>1.17</v>
      </c>
      <c r="F1250">
        <v>19.23</v>
      </c>
      <c r="G1250">
        <v>19.239999999999998</v>
      </c>
      <c r="H1250">
        <v>92678</v>
      </c>
      <c r="I1250">
        <v>2280</v>
      </c>
      <c r="J1250">
        <v>-0.51</v>
      </c>
      <c r="K1250">
        <v>13.1</v>
      </c>
      <c r="L1250">
        <v>17.95</v>
      </c>
      <c r="M1250">
        <v>19.87</v>
      </c>
      <c r="N1250">
        <v>17.899999999999999</v>
      </c>
      <c r="O1250">
        <v>18.059999999999999</v>
      </c>
      <c r="P1250">
        <v>18.29</v>
      </c>
      <c r="Q1250">
        <v>174754464</v>
      </c>
      <c r="R1250">
        <v>2.34</v>
      </c>
      <c r="S1250" t="s">
        <v>891</v>
      </c>
      <c r="T1250" t="s">
        <v>551</v>
      </c>
      <c r="U1250">
        <v>10.91</v>
      </c>
      <c r="V1250">
        <v>18.86</v>
      </c>
      <c r="W1250">
        <v>41491</v>
      </c>
      <c r="X1250">
        <v>51187</v>
      </c>
      <c r="Y1250">
        <v>0.81</v>
      </c>
      <c r="Z1250">
        <v>37</v>
      </c>
      <c r="AA1250">
        <v>33</v>
      </c>
      <c r="AB1250" t="s">
        <v>116</v>
      </c>
      <c r="AC1250">
        <v>253100</v>
      </c>
      <c r="AD1250">
        <v>0.03</v>
      </c>
      <c r="AE1250" t="s">
        <v>116</v>
      </c>
      <c r="AF1250" t="s">
        <v>116</v>
      </c>
      <c r="AG1250">
        <v>0.71</v>
      </c>
      <c r="AH1250" t="s">
        <v>6979</v>
      </c>
      <c r="AI1250" t="s">
        <v>1552</v>
      </c>
      <c r="AJ1250">
        <v>7.16</v>
      </c>
      <c r="AK1250">
        <v>2440</v>
      </c>
      <c r="AL1250">
        <v>38</v>
      </c>
      <c r="AM1250">
        <v>5.4000000000000003E-3</v>
      </c>
      <c r="AN1250">
        <v>3</v>
      </c>
      <c r="AO1250">
        <v>10.01</v>
      </c>
      <c r="AP1250">
        <v>17.18</v>
      </c>
      <c r="AQ1250">
        <v>18.41</v>
      </c>
      <c r="AR1250">
        <v>29.06</v>
      </c>
      <c r="AS1250">
        <v>18.48</v>
      </c>
      <c r="AT1250" t="s">
        <v>6514</v>
      </c>
      <c r="AU1250">
        <v>26.29</v>
      </c>
      <c r="AV1250">
        <v>33.78</v>
      </c>
      <c r="AW1250">
        <v>0.83</v>
      </c>
      <c r="BA1250">
        <v>-0.61</v>
      </c>
      <c r="BB1250">
        <v>10.02</v>
      </c>
      <c r="BC1250">
        <v>-0.89</v>
      </c>
      <c r="BD1250">
        <v>4.41</v>
      </c>
      <c r="BE1250">
        <v>7.13</v>
      </c>
      <c r="BF1250">
        <v>-3.22</v>
      </c>
      <c r="BG1250">
        <v>7.43</v>
      </c>
      <c r="BH1250">
        <v>2.0699999999999998</v>
      </c>
      <c r="BI1250">
        <v>20191120</v>
      </c>
      <c r="BJ1250">
        <v>20160823</v>
      </c>
      <c r="BK1250">
        <v>1.2</v>
      </c>
      <c r="BL1250" t="s">
        <v>116</v>
      </c>
      <c r="BM1250" t="s">
        <v>116</v>
      </c>
      <c r="BN1250">
        <v>15.55</v>
      </c>
      <c r="BO1250">
        <v>11.14</v>
      </c>
      <c r="BP1250">
        <v>0</v>
      </c>
      <c r="BQ1250">
        <v>28.39</v>
      </c>
      <c r="BR1250">
        <v>13.73</v>
      </c>
      <c r="BS1250">
        <v>1.37</v>
      </c>
      <c r="BT1250">
        <v>0.2</v>
      </c>
      <c r="BU1250">
        <v>4.41</v>
      </c>
      <c r="BV1250">
        <v>0.63</v>
      </c>
      <c r="BW1250">
        <v>6.06</v>
      </c>
      <c r="BX1250">
        <v>4.51</v>
      </c>
      <c r="BY1250">
        <v>7.75</v>
      </c>
      <c r="BZ1250">
        <v>5.12</v>
      </c>
      <c r="CA1250">
        <v>1.1499999999999999</v>
      </c>
      <c r="CB1250">
        <v>0.02</v>
      </c>
      <c r="CC1250">
        <v>1.1599999999999999</v>
      </c>
      <c r="CD1250">
        <v>0.95</v>
      </c>
      <c r="CE1250">
        <v>0.95</v>
      </c>
      <c r="CF1250">
        <v>0.82</v>
      </c>
      <c r="CG1250">
        <v>5.01</v>
      </c>
      <c r="CH1250">
        <v>-0.43</v>
      </c>
      <c r="CI1250">
        <v>-1.8</v>
      </c>
      <c r="CJ1250">
        <v>16670</v>
      </c>
      <c r="CK1250">
        <v>3009</v>
      </c>
      <c r="CL1250" t="s">
        <v>6903</v>
      </c>
      <c r="CM1250">
        <v>25.9</v>
      </c>
      <c r="CN1250">
        <v>-5.16</v>
      </c>
      <c r="CO1250">
        <v>2.0699999999999998</v>
      </c>
      <c r="CP1250">
        <v>-53.28</v>
      </c>
      <c r="CQ1250">
        <v>2.98</v>
      </c>
      <c r="CR1250">
        <v>1.04</v>
      </c>
      <c r="CS1250" t="s">
        <v>5980</v>
      </c>
      <c r="CT1250">
        <v>9.2799999999999994</v>
      </c>
      <c r="CU1250">
        <v>0</v>
      </c>
      <c r="CV1250">
        <v>3.76</v>
      </c>
      <c r="CW1250">
        <v>4.18</v>
      </c>
      <c r="CX1250">
        <v>-0.36</v>
      </c>
      <c r="CY1250">
        <v>71.61</v>
      </c>
      <c r="CZ1250" t="s">
        <v>6780</v>
      </c>
      <c r="DA1250">
        <v>34.01</v>
      </c>
      <c r="DB1250">
        <v>14.77</v>
      </c>
      <c r="DC1250">
        <v>12.21</v>
      </c>
      <c r="DD1250">
        <v>0.26</v>
      </c>
      <c r="DE1250">
        <v>446</v>
      </c>
      <c r="DF1250">
        <v>2809</v>
      </c>
      <c r="DG1250" t="s">
        <v>116</v>
      </c>
      <c r="DH1250" t="s">
        <v>116</v>
      </c>
      <c r="DI1250" t="s">
        <v>116</v>
      </c>
    </row>
    <row r="1251" spans="1:113" x14ac:dyDescent="0.4">
      <c r="A1251" t="str">
        <f>"002810"</f>
        <v>002810</v>
      </c>
      <c r="B1251" t="s">
        <v>6980</v>
      </c>
      <c r="C1251">
        <v>1.62</v>
      </c>
      <c r="D1251">
        <v>19.47</v>
      </c>
      <c r="E1251">
        <v>0.31</v>
      </c>
      <c r="F1251">
        <v>19.47</v>
      </c>
      <c r="G1251">
        <v>19.48</v>
      </c>
      <c r="H1251">
        <v>60579</v>
      </c>
      <c r="I1251">
        <v>812</v>
      </c>
      <c r="J1251">
        <v>0.05</v>
      </c>
      <c r="K1251">
        <v>4.4400000000000004</v>
      </c>
      <c r="L1251">
        <v>19</v>
      </c>
      <c r="M1251">
        <v>19.600000000000001</v>
      </c>
      <c r="N1251">
        <v>18.920000000000002</v>
      </c>
      <c r="O1251">
        <v>19.16</v>
      </c>
      <c r="P1251">
        <v>22.5</v>
      </c>
      <c r="Q1251">
        <v>116805488</v>
      </c>
      <c r="R1251">
        <v>1.48</v>
      </c>
      <c r="S1251" t="s">
        <v>891</v>
      </c>
      <c r="T1251" t="s">
        <v>645</v>
      </c>
      <c r="U1251">
        <v>3.55</v>
      </c>
      <c r="V1251">
        <v>19.28</v>
      </c>
      <c r="W1251">
        <v>29541</v>
      </c>
      <c r="X1251">
        <v>31038</v>
      </c>
      <c r="Y1251">
        <v>0.95</v>
      </c>
      <c r="Z1251">
        <v>416</v>
      </c>
      <c r="AA1251">
        <v>248</v>
      </c>
      <c r="AB1251" t="s">
        <v>116</v>
      </c>
      <c r="AC1251">
        <v>558600</v>
      </c>
      <c r="AD1251">
        <v>0.03</v>
      </c>
      <c r="AE1251" t="s">
        <v>116</v>
      </c>
      <c r="AF1251" t="s">
        <v>116</v>
      </c>
      <c r="AG1251">
        <v>1.36</v>
      </c>
      <c r="AH1251" t="s">
        <v>5548</v>
      </c>
      <c r="AI1251" t="s">
        <v>6981</v>
      </c>
      <c r="AJ1251">
        <v>2.2999999999999998</v>
      </c>
      <c r="AK1251">
        <v>2029</v>
      </c>
      <c r="AL1251">
        <v>30</v>
      </c>
      <c r="AM1251">
        <v>2.2000000000000001E-3</v>
      </c>
      <c r="AN1251">
        <v>2</v>
      </c>
      <c r="AO1251">
        <v>3.29</v>
      </c>
      <c r="AP1251">
        <v>11.58</v>
      </c>
      <c r="AQ1251">
        <v>48.4</v>
      </c>
      <c r="AR1251">
        <v>76.7</v>
      </c>
      <c r="AS1251">
        <v>5.65</v>
      </c>
      <c r="AT1251" t="s">
        <v>2053</v>
      </c>
      <c r="AU1251">
        <v>26.44</v>
      </c>
      <c r="AV1251">
        <v>50.47</v>
      </c>
      <c r="AW1251">
        <v>0.23</v>
      </c>
      <c r="BA1251">
        <v>-0.84</v>
      </c>
      <c r="BB1251">
        <v>2.2999999999999998</v>
      </c>
      <c r="BC1251">
        <v>-1.25</v>
      </c>
      <c r="BD1251">
        <v>0.63</v>
      </c>
      <c r="BE1251">
        <v>2.4700000000000002</v>
      </c>
      <c r="BF1251">
        <v>-0.66</v>
      </c>
      <c r="BG1251">
        <v>2.91</v>
      </c>
      <c r="BH1251">
        <v>0.98</v>
      </c>
      <c r="BI1251">
        <v>20191220</v>
      </c>
      <c r="BJ1251">
        <v>20160826</v>
      </c>
      <c r="BK1251">
        <v>1.9</v>
      </c>
      <c r="BL1251" t="s">
        <v>116</v>
      </c>
      <c r="BM1251" t="s">
        <v>116</v>
      </c>
      <c r="BN1251">
        <v>14.22</v>
      </c>
      <c r="BO1251">
        <v>8.77</v>
      </c>
      <c r="BP1251">
        <v>0.18</v>
      </c>
      <c r="BQ1251">
        <v>37.04</v>
      </c>
      <c r="BR1251">
        <v>5.63</v>
      </c>
      <c r="BS1251">
        <v>7.13</v>
      </c>
      <c r="BT1251">
        <v>0.91</v>
      </c>
      <c r="BU1251">
        <v>3.61</v>
      </c>
      <c r="BV1251">
        <v>1.37</v>
      </c>
      <c r="BW1251">
        <v>2.0699999999999998</v>
      </c>
      <c r="BX1251">
        <v>1.54</v>
      </c>
      <c r="BY1251">
        <v>8.2899999999999991</v>
      </c>
      <c r="BZ1251">
        <v>5.56</v>
      </c>
      <c r="CA1251">
        <v>1.56</v>
      </c>
      <c r="CB1251">
        <v>0.08</v>
      </c>
      <c r="CC1251">
        <v>1.48</v>
      </c>
      <c r="CD1251">
        <v>1.26</v>
      </c>
      <c r="CE1251">
        <v>1.24</v>
      </c>
      <c r="CF1251">
        <v>1.26</v>
      </c>
      <c r="CG1251">
        <v>4.95</v>
      </c>
      <c r="CH1251">
        <v>1.47</v>
      </c>
      <c r="CI1251">
        <v>0.3</v>
      </c>
      <c r="CJ1251">
        <v>14223</v>
      </c>
      <c r="CK1251">
        <v>7534</v>
      </c>
      <c r="CL1251" t="s">
        <v>6982</v>
      </c>
      <c r="CM1251">
        <v>117.39</v>
      </c>
      <c r="CN1251">
        <v>25.06</v>
      </c>
      <c r="CO1251">
        <v>4.22</v>
      </c>
      <c r="CP1251">
        <v>25.24</v>
      </c>
      <c r="CQ1251">
        <v>4.47</v>
      </c>
      <c r="CR1251">
        <v>0.64</v>
      </c>
      <c r="CS1251" t="s">
        <v>6983</v>
      </c>
      <c r="CT1251">
        <v>4.6100000000000003</v>
      </c>
      <c r="CU1251">
        <v>0</v>
      </c>
      <c r="CV1251">
        <v>0.81</v>
      </c>
      <c r="CW1251">
        <v>2.6</v>
      </c>
      <c r="CX1251">
        <v>0.77</v>
      </c>
      <c r="CY1251">
        <v>61.69</v>
      </c>
      <c r="CZ1251" t="s">
        <v>6984</v>
      </c>
      <c r="DA1251">
        <v>32.92</v>
      </c>
      <c r="DB1251">
        <v>18.809999999999999</v>
      </c>
      <c r="DC1251">
        <v>14.9</v>
      </c>
      <c r="DD1251">
        <v>0.31</v>
      </c>
      <c r="DE1251">
        <v>1052</v>
      </c>
      <c r="DF1251">
        <v>2810</v>
      </c>
      <c r="DG1251" t="s">
        <v>116</v>
      </c>
      <c r="DH1251" t="s">
        <v>116</v>
      </c>
      <c r="DI1251" t="s">
        <v>116</v>
      </c>
    </row>
    <row r="1252" spans="1:113" x14ac:dyDescent="0.4">
      <c r="A1252" t="str">
        <f>"002811"</f>
        <v>002811</v>
      </c>
      <c r="B1252" t="s">
        <v>6985</v>
      </c>
      <c r="C1252">
        <v>-1.86</v>
      </c>
      <c r="D1252">
        <v>15.8</v>
      </c>
      <c r="E1252">
        <v>-0.3</v>
      </c>
      <c r="F1252">
        <v>15.79</v>
      </c>
      <c r="G1252">
        <v>15.8</v>
      </c>
      <c r="H1252">
        <v>18870</v>
      </c>
      <c r="I1252">
        <v>470</v>
      </c>
      <c r="J1252">
        <v>0</v>
      </c>
      <c r="K1252">
        <v>1.1599999999999999</v>
      </c>
      <c r="L1252">
        <v>16.100000000000001</v>
      </c>
      <c r="M1252">
        <v>16.28</v>
      </c>
      <c r="N1252">
        <v>15.8</v>
      </c>
      <c r="O1252">
        <v>16.100000000000001</v>
      </c>
      <c r="P1252">
        <v>22.05</v>
      </c>
      <c r="Q1252">
        <v>30261240</v>
      </c>
      <c r="R1252">
        <v>0.79</v>
      </c>
      <c r="S1252" t="s">
        <v>3331</v>
      </c>
      <c r="T1252" t="s">
        <v>115</v>
      </c>
      <c r="U1252">
        <v>2.98</v>
      </c>
      <c r="V1252">
        <v>16.04</v>
      </c>
      <c r="W1252">
        <v>12337</v>
      </c>
      <c r="X1252">
        <v>6533</v>
      </c>
      <c r="Y1252">
        <v>1.89</v>
      </c>
      <c r="Z1252">
        <v>10</v>
      </c>
      <c r="AA1252">
        <v>80</v>
      </c>
      <c r="AB1252" t="s">
        <v>116</v>
      </c>
      <c r="AC1252">
        <v>46700</v>
      </c>
      <c r="AD1252">
        <v>0.01</v>
      </c>
      <c r="AE1252" t="s">
        <v>116</v>
      </c>
      <c r="AF1252" t="s">
        <v>116</v>
      </c>
      <c r="AG1252">
        <v>1.62</v>
      </c>
      <c r="AH1252" t="s">
        <v>6986</v>
      </c>
      <c r="AI1252" t="s">
        <v>2659</v>
      </c>
      <c r="AJ1252">
        <v>-1.18</v>
      </c>
      <c r="AK1252">
        <v>1146</v>
      </c>
      <c r="AL1252">
        <v>16</v>
      </c>
      <c r="AM1252">
        <v>1E-3</v>
      </c>
      <c r="AN1252">
        <v>-3</v>
      </c>
      <c r="AO1252">
        <v>-3.37</v>
      </c>
      <c r="AP1252">
        <v>4.08</v>
      </c>
      <c r="AQ1252">
        <v>7.85</v>
      </c>
      <c r="AR1252">
        <v>-11.24</v>
      </c>
      <c r="AS1252">
        <v>4.1900000000000004</v>
      </c>
      <c r="AT1252" t="s">
        <v>6987</v>
      </c>
      <c r="AU1252">
        <v>21.51</v>
      </c>
      <c r="AV1252">
        <v>24.89</v>
      </c>
      <c r="AW1252">
        <v>0.77</v>
      </c>
      <c r="BA1252">
        <v>0</v>
      </c>
      <c r="BB1252">
        <v>1.1200000000000001</v>
      </c>
      <c r="BC1252">
        <v>-1.86</v>
      </c>
      <c r="BD1252">
        <v>-0.39</v>
      </c>
      <c r="BE1252">
        <v>-1.86</v>
      </c>
      <c r="BF1252">
        <v>-2.95</v>
      </c>
      <c r="BG1252">
        <v>0</v>
      </c>
      <c r="BH1252">
        <v>-1.47</v>
      </c>
      <c r="BI1252">
        <v>20191220</v>
      </c>
      <c r="BJ1252">
        <v>20160908</v>
      </c>
      <c r="BK1252">
        <v>1.8</v>
      </c>
      <c r="BL1252" t="s">
        <v>116</v>
      </c>
      <c r="BM1252" t="s">
        <v>116</v>
      </c>
      <c r="BN1252">
        <v>32.520000000000003</v>
      </c>
      <c r="BO1252">
        <v>15.85</v>
      </c>
      <c r="BP1252">
        <v>0.11</v>
      </c>
      <c r="BQ1252">
        <v>50.91</v>
      </c>
      <c r="BR1252">
        <v>27.21</v>
      </c>
      <c r="BS1252">
        <v>2.82</v>
      </c>
      <c r="BT1252">
        <v>0.3</v>
      </c>
      <c r="BU1252">
        <v>12.85</v>
      </c>
      <c r="BV1252">
        <v>1.57</v>
      </c>
      <c r="BW1252">
        <v>15.78</v>
      </c>
      <c r="BX1252">
        <v>6.17</v>
      </c>
      <c r="BY1252">
        <v>16.63</v>
      </c>
      <c r="BZ1252">
        <v>13.08</v>
      </c>
      <c r="CA1252">
        <v>1.1599999999999999</v>
      </c>
      <c r="CB1252">
        <v>0</v>
      </c>
      <c r="CC1252">
        <v>1.1499999999999999</v>
      </c>
      <c r="CD1252">
        <v>0.96</v>
      </c>
      <c r="CE1252">
        <v>0.97</v>
      </c>
      <c r="CF1252">
        <v>0.92</v>
      </c>
      <c r="CG1252">
        <v>5.77</v>
      </c>
      <c r="CH1252">
        <v>0.04</v>
      </c>
      <c r="CI1252">
        <v>1.46</v>
      </c>
      <c r="CJ1252">
        <v>16939</v>
      </c>
      <c r="CK1252">
        <v>2657</v>
      </c>
      <c r="CL1252" t="s">
        <v>4433</v>
      </c>
      <c r="CM1252">
        <v>22.83</v>
      </c>
      <c r="CN1252">
        <v>6.41</v>
      </c>
      <c r="CO1252">
        <v>1.96</v>
      </c>
      <c r="CP1252">
        <v>794.39</v>
      </c>
      <c r="CQ1252">
        <v>1.71</v>
      </c>
      <c r="CR1252">
        <v>1.27</v>
      </c>
      <c r="CS1252" t="s">
        <v>2776</v>
      </c>
      <c r="CT1252">
        <v>8.06</v>
      </c>
      <c r="CU1252">
        <v>8.06</v>
      </c>
      <c r="CV1252">
        <v>3.43</v>
      </c>
      <c r="CW1252">
        <v>3.2</v>
      </c>
      <c r="CX1252">
        <v>0.02</v>
      </c>
      <c r="CY1252">
        <v>48.75</v>
      </c>
      <c r="CZ1252" t="s">
        <v>6988</v>
      </c>
      <c r="DA1252">
        <v>21.36</v>
      </c>
      <c r="DB1252">
        <v>6.96</v>
      </c>
      <c r="DC1252">
        <v>5.82</v>
      </c>
      <c r="DD1252">
        <v>0.66</v>
      </c>
      <c r="DE1252">
        <v>1692</v>
      </c>
      <c r="DF1252">
        <v>2811</v>
      </c>
      <c r="DG1252" t="s">
        <v>116</v>
      </c>
      <c r="DH1252" t="s">
        <v>116</v>
      </c>
      <c r="DI1252" t="s">
        <v>116</v>
      </c>
    </row>
    <row r="1253" spans="1:113" x14ac:dyDescent="0.4">
      <c r="A1253" t="str">
        <f>"002812"</f>
        <v>002812</v>
      </c>
      <c r="B1253" t="s">
        <v>6989</v>
      </c>
      <c r="C1253">
        <v>0.6</v>
      </c>
      <c r="D1253">
        <v>50</v>
      </c>
      <c r="E1253">
        <v>0.3</v>
      </c>
      <c r="F1253">
        <v>50</v>
      </c>
      <c r="G1253">
        <v>50.04</v>
      </c>
      <c r="H1253">
        <v>76979</v>
      </c>
      <c r="I1253">
        <v>666</v>
      </c>
      <c r="J1253">
        <v>0.4</v>
      </c>
      <c r="K1253">
        <v>1.48</v>
      </c>
      <c r="L1253">
        <v>50</v>
      </c>
      <c r="M1253">
        <v>51.38</v>
      </c>
      <c r="N1253">
        <v>49.52</v>
      </c>
      <c r="O1253">
        <v>49.7</v>
      </c>
      <c r="P1253">
        <v>47.8</v>
      </c>
      <c r="Q1253">
        <v>388069248</v>
      </c>
      <c r="R1253">
        <v>0.83</v>
      </c>
      <c r="S1253" t="s">
        <v>345</v>
      </c>
      <c r="T1253" t="s">
        <v>1043</v>
      </c>
      <c r="U1253">
        <v>3.74</v>
      </c>
      <c r="V1253">
        <v>50.41</v>
      </c>
      <c r="W1253">
        <v>39902</v>
      </c>
      <c r="X1253">
        <v>37077</v>
      </c>
      <c r="Y1253">
        <v>1.08</v>
      </c>
      <c r="Z1253">
        <v>25</v>
      </c>
      <c r="AA1253">
        <v>15</v>
      </c>
      <c r="AB1253" t="s">
        <v>116</v>
      </c>
      <c r="AC1253">
        <v>825000</v>
      </c>
      <c r="AD1253">
        <v>0.01</v>
      </c>
      <c r="AE1253" t="s">
        <v>116</v>
      </c>
      <c r="AF1253" t="s">
        <v>116</v>
      </c>
      <c r="AG1253">
        <v>5.21</v>
      </c>
      <c r="AH1253" t="s">
        <v>6990</v>
      </c>
      <c r="AI1253" t="s">
        <v>6991</v>
      </c>
      <c r="AJ1253">
        <v>1.28</v>
      </c>
      <c r="AK1253">
        <v>3544</v>
      </c>
      <c r="AL1253">
        <v>22</v>
      </c>
      <c r="AM1253">
        <v>4.0000000000000002E-4</v>
      </c>
      <c r="AN1253">
        <v>1</v>
      </c>
      <c r="AO1253">
        <v>3.94</v>
      </c>
      <c r="AP1253">
        <v>21.07</v>
      </c>
      <c r="AQ1253">
        <v>53.14</v>
      </c>
      <c r="AR1253">
        <v>73.36</v>
      </c>
      <c r="AS1253">
        <v>2.4300000000000002</v>
      </c>
      <c r="AT1253" t="s">
        <v>6992</v>
      </c>
      <c r="AU1253">
        <v>48.66</v>
      </c>
      <c r="AV1253">
        <v>77.67</v>
      </c>
      <c r="AW1253">
        <v>1.08</v>
      </c>
      <c r="BA1253">
        <v>0.6</v>
      </c>
      <c r="BB1253">
        <v>3.38</v>
      </c>
      <c r="BC1253">
        <v>-0.36</v>
      </c>
      <c r="BD1253">
        <v>1.43</v>
      </c>
      <c r="BE1253">
        <v>0</v>
      </c>
      <c r="BF1253">
        <v>-2.69</v>
      </c>
      <c r="BG1253">
        <v>0.97</v>
      </c>
      <c r="BH1253">
        <v>-0.83</v>
      </c>
      <c r="BI1253">
        <v>20191216</v>
      </c>
      <c r="BJ1253">
        <v>20160914</v>
      </c>
      <c r="BK1253">
        <v>8.0500000000000007</v>
      </c>
      <c r="BL1253" t="s">
        <v>116</v>
      </c>
      <c r="BM1253" t="s">
        <v>116</v>
      </c>
      <c r="BN1253">
        <v>105.52</v>
      </c>
      <c r="BO1253">
        <v>43.05</v>
      </c>
      <c r="BP1253">
        <v>3.06</v>
      </c>
      <c r="BQ1253">
        <v>56.3</v>
      </c>
      <c r="BR1253">
        <v>42.63</v>
      </c>
      <c r="BS1253">
        <v>32.119999999999997</v>
      </c>
      <c r="BT1253">
        <v>2.87</v>
      </c>
      <c r="BU1253">
        <v>35.49</v>
      </c>
      <c r="BV1253">
        <v>6.74</v>
      </c>
      <c r="BW1253">
        <v>15</v>
      </c>
      <c r="BX1253">
        <v>18.87</v>
      </c>
      <c r="BY1253">
        <v>21.06</v>
      </c>
      <c r="BZ1253">
        <v>11.61</v>
      </c>
      <c r="CA1253">
        <v>7.89</v>
      </c>
      <c r="CB1253">
        <v>0.01</v>
      </c>
      <c r="CC1253">
        <v>7.89</v>
      </c>
      <c r="CD1253">
        <v>6.96</v>
      </c>
      <c r="CE1253">
        <v>6.32</v>
      </c>
      <c r="CF1253">
        <v>5.53</v>
      </c>
      <c r="CG1253">
        <v>15.46</v>
      </c>
      <c r="CH1253">
        <v>2.0499999999999998</v>
      </c>
      <c r="CI1253">
        <v>3.69</v>
      </c>
      <c r="CJ1253">
        <v>15989</v>
      </c>
      <c r="CK1253">
        <v>19828</v>
      </c>
      <c r="CL1253" t="s">
        <v>6993</v>
      </c>
      <c r="CM1253">
        <v>95.8</v>
      </c>
      <c r="CN1253">
        <v>29.88</v>
      </c>
      <c r="CO1253">
        <v>9.35</v>
      </c>
      <c r="CP1253">
        <v>195.99</v>
      </c>
      <c r="CQ1253">
        <v>19.12</v>
      </c>
      <c r="CR1253">
        <v>0.45</v>
      </c>
      <c r="CS1253" t="s">
        <v>6994</v>
      </c>
      <c r="CT1253">
        <v>5.35</v>
      </c>
      <c r="CU1253">
        <v>0</v>
      </c>
      <c r="CV1253">
        <v>2.34</v>
      </c>
      <c r="CW1253">
        <v>1.92</v>
      </c>
      <c r="CX1253">
        <v>0.26</v>
      </c>
      <c r="CY1253">
        <v>40.799999999999997</v>
      </c>
      <c r="CZ1253" t="s">
        <v>6995</v>
      </c>
      <c r="DA1253">
        <v>44.86</v>
      </c>
      <c r="DB1253">
        <v>37.44</v>
      </c>
      <c r="DC1253">
        <v>29.99</v>
      </c>
      <c r="DD1253">
        <v>0.73</v>
      </c>
      <c r="DE1253">
        <v>3107</v>
      </c>
      <c r="DF1253">
        <v>2812</v>
      </c>
      <c r="DG1253" t="s">
        <v>116</v>
      </c>
      <c r="DH1253" t="s">
        <v>116</v>
      </c>
      <c r="DI1253" t="s">
        <v>116</v>
      </c>
    </row>
    <row r="1254" spans="1:113" x14ac:dyDescent="0.4">
      <c r="A1254" t="str">
        <f>"002813"</f>
        <v>002813</v>
      </c>
      <c r="B1254" t="s">
        <v>6996</v>
      </c>
      <c r="C1254">
        <v>-2.42</v>
      </c>
      <c r="D1254">
        <v>24.18</v>
      </c>
      <c r="E1254">
        <v>-0.6</v>
      </c>
      <c r="F1254">
        <v>24.18</v>
      </c>
      <c r="G1254">
        <v>24.2</v>
      </c>
      <c r="H1254">
        <v>12049</v>
      </c>
      <c r="I1254">
        <v>81</v>
      </c>
      <c r="J1254">
        <v>-0.11</v>
      </c>
      <c r="K1254">
        <v>2.23</v>
      </c>
      <c r="L1254">
        <v>24.77</v>
      </c>
      <c r="M1254">
        <v>24.96</v>
      </c>
      <c r="N1254">
        <v>24.11</v>
      </c>
      <c r="O1254">
        <v>24.78</v>
      </c>
      <c r="P1254" t="s">
        <v>116</v>
      </c>
      <c r="Q1254">
        <v>29547714</v>
      </c>
      <c r="R1254">
        <v>0.7</v>
      </c>
      <c r="S1254" t="s">
        <v>293</v>
      </c>
      <c r="T1254" t="s">
        <v>115</v>
      </c>
      <c r="U1254">
        <v>3.43</v>
      </c>
      <c r="V1254">
        <v>24.52</v>
      </c>
      <c r="W1254">
        <v>7955</v>
      </c>
      <c r="X1254">
        <v>4094</v>
      </c>
      <c r="Y1254">
        <v>1.94</v>
      </c>
      <c r="Z1254">
        <v>425</v>
      </c>
      <c r="AA1254">
        <v>9</v>
      </c>
      <c r="AB1254" t="s">
        <v>116</v>
      </c>
      <c r="AC1254">
        <v>9900</v>
      </c>
      <c r="AD1254">
        <v>0</v>
      </c>
      <c r="AE1254" t="s">
        <v>116</v>
      </c>
      <c r="AF1254" t="s">
        <v>116</v>
      </c>
      <c r="AG1254">
        <v>0.54</v>
      </c>
      <c r="AH1254" t="s">
        <v>6997</v>
      </c>
      <c r="AI1254" t="s">
        <v>6998</v>
      </c>
      <c r="AJ1254">
        <v>-1.74</v>
      </c>
      <c r="AK1254">
        <v>1018</v>
      </c>
      <c r="AL1254">
        <v>12</v>
      </c>
      <c r="AM1254">
        <v>2.2000000000000001E-3</v>
      </c>
      <c r="AN1254">
        <v>-1</v>
      </c>
      <c r="AO1254">
        <v>-2.42</v>
      </c>
      <c r="AP1254">
        <v>5.04</v>
      </c>
      <c r="AQ1254">
        <v>-9.3699999999999992</v>
      </c>
      <c r="AR1254">
        <v>-6.57</v>
      </c>
      <c r="AS1254">
        <v>3.14</v>
      </c>
      <c r="AT1254" t="s">
        <v>6999</v>
      </c>
      <c r="AU1254" t="s">
        <v>116</v>
      </c>
      <c r="AV1254">
        <v>171.15</v>
      </c>
      <c r="AW1254">
        <v>1.22</v>
      </c>
      <c r="BA1254">
        <v>-0.04</v>
      </c>
      <c r="BB1254">
        <v>0.73</v>
      </c>
      <c r="BC1254">
        <v>-2.7</v>
      </c>
      <c r="BD1254">
        <v>-1.04</v>
      </c>
      <c r="BE1254">
        <v>-2.38</v>
      </c>
      <c r="BF1254">
        <v>-3.13</v>
      </c>
      <c r="BG1254">
        <v>0.28999999999999998</v>
      </c>
      <c r="BH1254">
        <v>-1.38</v>
      </c>
      <c r="BI1254">
        <v>20191216</v>
      </c>
      <c r="BJ1254">
        <v>20161012</v>
      </c>
      <c r="BK1254">
        <v>1.2</v>
      </c>
      <c r="BL1254" t="s">
        <v>116</v>
      </c>
      <c r="BM1254" t="s">
        <v>116</v>
      </c>
      <c r="BN1254">
        <v>14.65</v>
      </c>
      <c r="BO1254">
        <v>5.89</v>
      </c>
      <c r="BP1254">
        <v>-0.01</v>
      </c>
      <c r="BQ1254">
        <v>59.89</v>
      </c>
      <c r="BR1254">
        <v>10.26</v>
      </c>
      <c r="BS1254">
        <v>2.36</v>
      </c>
      <c r="BT1254">
        <v>0.01</v>
      </c>
      <c r="BU1254">
        <v>8.6199999999999992</v>
      </c>
      <c r="BV1254">
        <v>3.84</v>
      </c>
      <c r="BW1254">
        <v>2.61</v>
      </c>
      <c r="BX1254">
        <v>2.06</v>
      </c>
      <c r="BY1254">
        <v>4.71</v>
      </c>
      <c r="BZ1254">
        <v>4.2</v>
      </c>
      <c r="CA1254">
        <v>-0.84</v>
      </c>
      <c r="CB1254">
        <v>0.17</v>
      </c>
      <c r="CC1254">
        <v>-0.84</v>
      </c>
      <c r="CD1254">
        <v>-0.72</v>
      </c>
      <c r="CE1254">
        <v>-0.69</v>
      </c>
      <c r="CF1254">
        <v>-0.88</v>
      </c>
      <c r="CG1254">
        <v>2.2000000000000002</v>
      </c>
      <c r="CH1254">
        <v>0.42</v>
      </c>
      <c r="CI1254">
        <v>-0.03</v>
      </c>
      <c r="CJ1254">
        <v>18652</v>
      </c>
      <c r="CK1254">
        <v>2060</v>
      </c>
      <c r="CL1254" t="s">
        <v>2763</v>
      </c>
      <c r="CM1254">
        <v>-154.51</v>
      </c>
      <c r="CN1254">
        <v>-17.18</v>
      </c>
      <c r="CO1254">
        <v>4.93</v>
      </c>
      <c r="CP1254">
        <v>68.650000000000006</v>
      </c>
      <c r="CQ1254">
        <v>6.16</v>
      </c>
      <c r="CR1254">
        <v>0.12</v>
      </c>
      <c r="CS1254" t="s">
        <v>7000</v>
      </c>
      <c r="CT1254">
        <v>4.91</v>
      </c>
      <c r="CU1254">
        <v>0</v>
      </c>
      <c r="CV1254">
        <v>1.72</v>
      </c>
      <c r="CW1254">
        <v>1.83</v>
      </c>
      <c r="CX1254">
        <v>0.35</v>
      </c>
      <c r="CY1254">
        <v>40.19</v>
      </c>
      <c r="CZ1254" t="s">
        <v>7001</v>
      </c>
      <c r="DA1254">
        <v>10.84</v>
      </c>
      <c r="DB1254">
        <v>-17.78</v>
      </c>
      <c r="DC1254">
        <v>-14.59</v>
      </c>
      <c r="DD1254">
        <v>0.38</v>
      </c>
      <c r="DE1254">
        <v>985</v>
      </c>
      <c r="DF1254">
        <v>2813</v>
      </c>
      <c r="DG1254" t="s">
        <v>116</v>
      </c>
      <c r="DH1254" t="s">
        <v>116</v>
      </c>
      <c r="DI1254" t="s">
        <v>116</v>
      </c>
    </row>
    <row r="1255" spans="1:113" x14ac:dyDescent="0.4">
      <c r="A1255" t="str">
        <f>"002815"</f>
        <v>002815</v>
      </c>
      <c r="B1255" t="s">
        <v>7002</v>
      </c>
      <c r="C1255">
        <v>-3.19</v>
      </c>
      <c r="D1255">
        <v>17.32</v>
      </c>
      <c r="E1255">
        <v>-0.56999999999999995</v>
      </c>
      <c r="F1255">
        <v>17.309999999999999</v>
      </c>
      <c r="G1255">
        <v>17.32</v>
      </c>
      <c r="H1255">
        <v>128155</v>
      </c>
      <c r="I1255">
        <v>2007</v>
      </c>
      <c r="J1255">
        <v>-0.22</v>
      </c>
      <c r="K1255">
        <v>3.07</v>
      </c>
      <c r="L1255">
        <v>18.010000000000002</v>
      </c>
      <c r="M1255">
        <v>18.11</v>
      </c>
      <c r="N1255">
        <v>17.25</v>
      </c>
      <c r="O1255">
        <v>17.89</v>
      </c>
      <c r="P1255">
        <v>29.42</v>
      </c>
      <c r="Q1255">
        <v>225731664</v>
      </c>
      <c r="R1255">
        <v>1.1000000000000001</v>
      </c>
      <c r="S1255" t="s">
        <v>233</v>
      </c>
      <c r="T1255" t="s">
        <v>115</v>
      </c>
      <c r="U1255">
        <v>4.8099999999999996</v>
      </c>
      <c r="V1255">
        <v>17.61</v>
      </c>
      <c r="W1255">
        <v>73407</v>
      </c>
      <c r="X1255">
        <v>54748</v>
      </c>
      <c r="Y1255">
        <v>1.34</v>
      </c>
      <c r="Z1255">
        <v>94</v>
      </c>
      <c r="AA1255">
        <v>350</v>
      </c>
      <c r="AB1255" t="s">
        <v>116</v>
      </c>
      <c r="AC1255">
        <v>727600</v>
      </c>
      <c r="AD1255">
        <v>0.01</v>
      </c>
      <c r="AE1255" t="s">
        <v>116</v>
      </c>
      <c r="AF1255" t="s">
        <v>116</v>
      </c>
      <c r="AG1255">
        <v>4.17</v>
      </c>
      <c r="AH1255" t="s">
        <v>5592</v>
      </c>
      <c r="AI1255" t="s">
        <v>7003</v>
      </c>
      <c r="AJ1255">
        <v>-2.5099999999999998</v>
      </c>
      <c r="AK1255">
        <v>3431</v>
      </c>
      <c r="AL1255">
        <v>37</v>
      </c>
      <c r="AM1255">
        <v>8.9999999999999998E-4</v>
      </c>
      <c r="AN1255">
        <v>-1</v>
      </c>
      <c r="AO1255">
        <v>0.99</v>
      </c>
      <c r="AP1255">
        <v>13.05</v>
      </c>
      <c r="AQ1255">
        <v>-8.26</v>
      </c>
      <c r="AR1255">
        <v>21.37</v>
      </c>
      <c r="AS1255">
        <v>4.71</v>
      </c>
      <c r="AT1255" t="s">
        <v>7004</v>
      </c>
      <c r="AU1255">
        <v>29.56</v>
      </c>
      <c r="AV1255">
        <v>27.31</v>
      </c>
      <c r="AW1255">
        <v>1.36</v>
      </c>
      <c r="BA1255">
        <v>0.67</v>
      </c>
      <c r="BB1255">
        <v>1.23</v>
      </c>
      <c r="BC1255">
        <v>-3.58</v>
      </c>
      <c r="BD1255">
        <v>-1.54</v>
      </c>
      <c r="BE1255">
        <v>-3.83</v>
      </c>
      <c r="BF1255">
        <v>-4.3600000000000003</v>
      </c>
      <c r="BG1255">
        <v>0.41</v>
      </c>
      <c r="BH1255">
        <v>-1.64</v>
      </c>
      <c r="BI1255">
        <v>20191226</v>
      </c>
      <c r="BJ1255">
        <v>20161012</v>
      </c>
      <c r="BK1255">
        <v>8.84</v>
      </c>
      <c r="BL1255" t="s">
        <v>116</v>
      </c>
      <c r="BM1255" t="s">
        <v>116</v>
      </c>
      <c r="BN1255">
        <v>53.19</v>
      </c>
      <c r="BO1255">
        <v>35.49</v>
      </c>
      <c r="BP1255">
        <v>0</v>
      </c>
      <c r="BQ1255">
        <v>33.270000000000003</v>
      </c>
      <c r="BR1255">
        <v>19.88</v>
      </c>
      <c r="BS1255">
        <v>20.54</v>
      </c>
      <c r="BT1255">
        <v>2.64</v>
      </c>
      <c r="BU1255">
        <v>14.55</v>
      </c>
      <c r="BV1255">
        <v>3.15</v>
      </c>
      <c r="BW1255">
        <v>7.41</v>
      </c>
      <c r="BX1255">
        <v>10.36</v>
      </c>
      <c r="BY1255">
        <v>27.77</v>
      </c>
      <c r="BZ1255">
        <v>19.27</v>
      </c>
      <c r="CA1255">
        <v>4.38</v>
      </c>
      <c r="CB1255">
        <v>0.54</v>
      </c>
      <c r="CC1255">
        <v>4.37</v>
      </c>
      <c r="CD1255">
        <v>3.9</v>
      </c>
      <c r="CE1255">
        <v>3.9</v>
      </c>
      <c r="CF1255">
        <v>3.67</v>
      </c>
      <c r="CG1255">
        <v>15.57</v>
      </c>
      <c r="CH1255">
        <v>6.96</v>
      </c>
      <c r="CI1255">
        <v>-0.14000000000000001</v>
      </c>
      <c r="CJ1255">
        <v>30078</v>
      </c>
      <c r="CK1255">
        <v>9043</v>
      </c>
      <c r="CL1255" t="s">
        <v>532</v>
      </c>
      <c r="CM1255">
        <v>-9.83</v>
      </c>
      <c r="CN1255">
        <v>0.17</v>
      </c>
      <c r="CO1255">
        <v>4.3099999999999996</v>
      </c>
      <c r="CP1255">
        <v>22</v>
      </c>
      <c r="CQ1255">
        <v>5.51</v>
      </c>
      <c r="CR1255">
        <v>1.85</v>
      </c>
      <c r="CS1255" t="s">
        <v>7005</v>
      </c>
      <c r="CT1255">
        <v>4.0199999999999996</v>
      </c>
      <c r="CU1255">
        <v>4.0199999999999996</v>
      </c>
      <c r="CV1255">
        <v>1.17</v>
      </c>
      <c r="CW1255">
        <v>1.76</v>
      </c>
      <c r="CX1255">
        <v>0.79</v>
      </c>
      <c r="CY1255">
        <v>66.73</v>
      </c>
      <c r="CZ1255" t="s">
        <v>3852</v>
      </c>
      <c r="DA1255">
        <v>30.62</v>
      </c>
      <c r="DB1255">
        <v>15.76</v>
      </c>
      <c r="DC1255">
        <v>14.06</v>
      </c>
      <c r="DD1255">
        <v>1.63</v>
      </c>
      <c r="DE1255">
        <v>4165</v>
      </c>
      <c r="DF1255">
        <v>2815</v>
      </c>
      <c r="DG1255" t="s">
        <v>116</v>
      </c>
      <c r="DH1255" t="s">
        <v>116</v>
      </c>
      <c r="DI1255" t="s">
        <v>116</v>
      </c>
    </row>
    <row r="1256" spans="1:113" x14ac:dyDescent="0.4">
      <c r="A1256" t="str">
        <f>"002816"</f>
        <v>002816</v>
      </c>
      <c r="B1256" t="s">
        <v>7006</v>
      </c>
      <c r="C1256">
        <v>-0.95</v>
      </c>
      <c r="D1256">
        <v>21.98</v>
      </c>
      <c r="E1256">
        <v>-0.21</v>
      </c>
      <c r="F1256">
        <v>21.9</v>
      </c>
      <c r="G1256">
        <v>21.98</v>
      </c>
      <c r="H1256">
        <v>9598</v>
      </c>
      <c r="I1256">
        <v>67</v>
      </c>
      <c r="J1256">
        <v>-0.49</v>
      </c>
      <c r="K1256">
        <v>1.03</v>
      </c>
      <c r="L1256">
        <v>22.25</v>
      </c>
      <c r="M1256">
        <v>22.25</v>
      </c>
      <c r="N1256">
        <v>21.79</v>
      </c>
      <c r="O1256">
        <v>22.19</v>
      </c>
      <c r="P1256" t="s">
        <v>116</v>
      </c>
      <c r="Q1256">
        <v>21057224</v>
      </c>
      <c r="R1256">
        <v>1.03</v>
      </c>
      <c r="S1256" t="s">
        <v>682</v>
      </c>
      <c r="T1256" t="s">
        <v>115</v>
      </c>
      <c r="U1256">
        <v>2.0699999999999998</v>
      </c>
      <c r="V1256">
        <v>21.94</v>
      </c>
      <c r="W1256">
        <v>4664</v>
      </c>
      <c r="X1256">
        <v>4934</v>
      </c>
      <c r="Y1256">
        <v>0.95</v>
      </c>
      <c r="Z1256">
        <v>15</v>
      </c>
      <c r="AA1256">
        <v>26</v>
      </c>
      <c r="AB1256" t="s">
        <v>116</v>
      </c>
      <c r="AC1256">
        <v>120200</v>
      </c>
      <c r="AD1256">
        <v>0.01</v>
      </c>
      <c r="AE1256" t="s">
        <v>116</v>
      </c>
      <c r="AF1256" t="s">
        <v>116</v>
      </c>
      <c r="AG1256">
        <v>0.93</v>
      </c>
      <c r="AH1256" t="s">
        <v>7007</v>
      </c>
      <c r="AI1256" t="s">
        <v>4185</v>
      </c>
      <c r="AJ1256">
        <v>-0.27</v>
      </c>
      <c r="AK1256">
        <v>571</v>
      </c>
      <c r="AL1256">
        <v>17</v>
      </c>
      <c r="AM1256">
        <v>1.8E-3</v>
      </c>
      <c r="AN1256">
        <v>-1</v>
      </c>
      <c r="AO1256">
        <v>0.09</v>
      </c>
      <c r="AP1256">
        <v>3.63</v>
      </c>
      <c r="AQ1256">
        <v>13.83</v>
      </c>
      <c r="AR1256">
        <v>46.73</v>
      </c>
      <c r="AS1256">
        <v>1.58</v>
      </c>
      <c r="AT1256" t="s">
        <v>1917</v>
      </c>
      <c r="AU1256" t="s">
        <v>116</v>
      </c>
      <c r="AV1256">
        <v>341.66</v>
      </c>
      <c r="AW1256">
        <v>0.67</v>
      </c>
      <c r="BA1256">
        <v>0.27</v>
      </c>
      <c r="BB1256">
        <v>0.27</v>
      </c>
      <c r="BC1256">
        <v>-1.8</v>
      </c>
      <c r="BD1256">
        <v>-1.1299999999999999</v>
      </c>
      <c r="BE1256">
        <v>-1.21</v>
      </c>
      <c r="BF1256">
        <v>-1.21</v>
      </c>
      <c r="BG1256">
        <v>0.87</v>
      </c>
      <c r="BH1256">
        <v>0.18</v>
      </c>
      <c r="BI1256">
        <v>20191029</v>
      </c>
      <c r="BJ1256">
        <v>20161025</v>
      </c>
      <c r="BK1256">
        <v>1</v>
      </c>
      <c r="BL1256" t="s">
        <v>116</v>
      </c>
      <c r="BM1256" t="s">
        <v>116</v>
      </c>
      <c r="BN1256">
        <v>5.99</v>
      </c>
      <c r="BO1256">
        <v>5.05</v>
      </c>
      <c r="BP1256">
        <v>0</v>
      </c>
      <c r="BQ1256">
        <v>15.74</v>
      </c>
      <c r="BR1256">
        <v>4.63</v>
      </c>
      <c r="BS1256">
        <v>0.77</v>
      </c>
      <c r="BT1256">
        <v>0.18</v>
      </c>
      <c r="BU1256">
        <v>0.9</v>
      </c>
      <c r="BV1256">
        <v>1.52</v>
      </c>
      <c r="BW1256">
        <v>1.83</v>
      </c>
      <c r="BX1256">
        <v>2.0499999999999998</v>
      </c>
      <c r="BY1256">
        <v>0.87</v>
      </c>
      <c r="BZ1256">
        <v>0.57999999999999996</v>
      </c>
      <c r="CA1256">
        <v>-0.25</v>
      </c>
      <c r="CB1256">
        <v>0</v>
      </c>
      <c r="CC1256">
        <v>-0.22</v>
      </c>
      <c r="CD1256">
        <v>-0.21</v>
      </c>
      <c r="CE1256">
        <v>-0.21</v>
      </c>
      <c r="CF1256">
        <v>-0.24</v>
      </c>
      <c r="CG1256">
        <v>1.91</v>
      </c>
      <c r="CH1256">
        <v>0.19</v>
      </c>
      <c r="CI1256">
        <v>-0.42</v>
      </c>
      <c r="CJ1256">
        <v>8085</v>
      </c>
      <c r="CK1256">
        <v>7519</v>
      </c>
      <c r="CL1256" t="s">
        <v>7008</v>
      </c>
      <c r="CM1256">
        <v>-415.29</v>
      </c>
      <c r="CN1256">
        <v>-61.4</v>
      </c>
      <c r="CO1256">
        <v>4.3600000000000003</v>
      </c>
      <c r="CP1256">
        <v>114.29</v>
      </c>
      <c r="CQ1256">
        <v>25.29</v>
      </c>
      <c r="CR1256">
        <v>0.05</v>
      </c>
      <c r="CS1256" t="s">
        <v>7009</v>
      </c>
      <c r="CT1256">
        <v>5.05</v>
      </c>
      <c r="CU1256">
        <v>0</v>
      </c>
      <c r="CV1256">
        <v>2.0499999999999998</v>
      </c>
      <c r="CW1256">
        <v>1.91</v>
      </c>
      <c r="CX1256">
        <v>0.19</v>
      </c>
      <c r="CY1256">
        <v>84.26</v>
      </c>
      <c r="CZ1256" t="s">
        <v>7010</v>
      </c>
      <c r="DA1256">
        <v>33.15</v>
      </c>
      <c r="DB1256">
        <v>-28.71</v>
      </c>
      <c r="DC1256">
        <v>-24.19</v>
      </c>
      <c r="DD1256">
        <v>7.0000000000000007E-2</v>
      </c>
      <c r="DE1256">
        <v>737</v>
      </c>
      <c r="DF1256">
        <v>2816</v>
      </c>
      <c r="DG1256" t="s">
        <v>116</v>
      </c>
      <c r="DH1256" t="s">
        <v>116</v>
      </c>
      <c r="DI1256" t="s">
        <v>116</v>
      </c>
    </row>
    <row r="1257" spans="1:113" x14ac:dyDescent="0.4">
      <c r="A1257" t="str">
        <f>"002817"</f>
        <v>002817</v>
      </c>
      <c r="B1257" t="s">
        <v>7011</v>
      </c>
      <c r="C1257">
        <v>0.45</v>
      </c>
      <c r="D1257">
        <v>22.18</v>
      </c>
      <c r="E1257">
        <v>0.1</v>
      </c>
      <c r="F1257">
        <v>22.17</v>
      </c>
      <c r="G1257">
        <v>22.18</v>
      </c>
      <c r="H1257">
        <v>34561</v>
      </c>
      <c r="I1257">
        <v>740</v>
      </c>
      <c r="J1257">
        <v>0.41</v>
      </c>
      <c r="K1257">
        <v>6.14</v>
      </c>
      <c r="L1257">
        <v>21.87</v>
      </c>
      <c r="M1257">
        <v>22.47</v>
      </c>
      <c r="N1257">
        <v>21.7</v>
      </c>
      <c r="O1257">
        <v>22.08</v>
      </c>
      <c r="P1257">
        <v>45.92</v>
      </c>
      <c r="Q1257">
        <v>76075200</v>
      </c>
      <c r="R1257">
        <v>1.1000000000000001</v>
      </c>
      <c r="S1257" t="s">
        <v>574</v>
      </c>
      <c r="T1257" t="s">
        <v>575</v>
      </c>
      <c r="U1257">
        <v>3.49</v>
      </c>
      <c r="V1257">
        <v>22.01</v>
      </c>
      <c r="W1257">
        <v>19103</v>
      </c>
      <c r="X1257">
        <v>15458</v>
      </c>
      <c r="Y1257">
        <v>1.24</v>
      </c>
      <c r="Z1257">
        <v>22</v>
      </c>
      <c r="AA1257">
        <v>101</v>
      </c>
      <c r="AB1257" t="s">
        <v>116</v>
      </c>
      <c r="AC1257">
        <v>1288100</v>
      </c>
      <c r="AD1257">
        <v>0.13</v>
      </c>
      <c r="AE1257" t="s">
        <v>116</v>
      </c>
      <c r="AF1257" t="s">
        <v>116</v>
      </c>
      <c r="AG1257">
        <v>0.56000000000000005</v>
      </c>
      <c r="AH1257" t="s">
        <v>7012</v>
      </c>
      <c r="AI1257" t="s">
        <v>7013</v>
      </c>
      <c r="AJ1257">
        <v>1.1299999999999999</v>
      </c>
      <c r="AK1257">
        <v>1752</v>
      </c>
      <c r="AL1257">
        <v>20</v>
      </c>
      <c r="AM1257">
        <v>3.5000000000000001E-3</v>
      </c>
      <c r="AN1257">
        <v>2</v>
      </c>
      <c r="AO1257">
        <v>0.81</v>
      </c>
      <c r="AP1257">
        <v>9.5299999999999994</v>
      </c>
      <c r="AQ1257">
        <v>21.2</v>
      </c>
      <c r="AR1257">
        <v>29.59</v>
      </c>
      <c r="AS1257">
        <v>7.87</v>
      </c>
      <c r="AT1257" t="s">
        <v>7014</v>
      </c>
      <c r="AU1257">
        <v>49.91</v>
      </c>
      <c r="AV1257">
        <v>53.45</v>
      </c>
      <c r="AW1257">
        <v>1.27</v>
      </c>
      <c r="BA1257">
        <v>-0.95</v>
      </c>
      <c r="BB1257">
        <v>1.77</v>
      </c>
      <c r="BC1257">
        <v>-1.72</v>
      </c>
      <c r="BD1257">
        <v>-0.31</v>
      </c>
      <c r="BE1257">
        <v>1.42</v>
      </c>
      <c r="BF1257">
        <v>-1.29</v>
      </c>
      <c r="BG1257">
        <v>2.21</v>
      </c>
      <c r="BH1257">
        <v>0.76</v>
      </c>
      <c r="BI1257">
        <v>20191024</v>
      </c>
      <c r="BJ1257">
        <v>20161025</v>
      </c>
      <c r="BK1257">
        <v>0.87</v>
      </c>
      <c r="BL1257" t="s">
        <v>116</v>
      </c>
      <c r="BM1257" t="s">
        <v>116</v>
      </c>
      <c r="BN1257">
        <v>8.01</v>
      </c>
      <c r="BO1257">
        <v>7.17</v>
      </c>
      <c r="BP1257">
        <v>0.03</v>
      </c>
      <c r="BQ1257">
        <v>10.11</v>
      </c>
      <c r="BR1257">
        <v>5.34</v>
      </c>
      <c r="BS1257">
        <v>2.15</v>
      </c>
      <c r="BT1257">
        <v>0.16</v>
      </c>
      <c r="BU1257">
        <v>0.6</v>
      </c>
      <c r="BV1257">
        <v>0.67</v>
      </c>
      <c r="BW1257">
        <v>0.88</v>
      </c>
      <c r="BX1257">
        <v>2.98</v>
      </c>
      <c r="BY1257">
        <v>2.37</v>
      </c>
      <c r="BZ1257">
        <v>1.51</v>
      </c>
      <c r="CA1257">
        <v>0.35</v>
      </c>
      <c r="CB1257">
        <v>0.02</v>
      </c>
      <c r="CC1257">
        <v>0.35</v>
      </c>
      <c r="CD1257">
        <v>0.3</v>
      </c>
      <c r="CE1257">
        <v>0.31</v>
      </c>
      <c r="CF1257">
        <v>0.27</v>
      </c>
      <c r="CG1257">
        <v>2.95</v>
      </c>
      <c r="CH1257">
        <v>0.3</v>
      </c>
      <c r="CI1257">
        <v>-0.09</v>
      </c>
      <c r="CJ1257">
        <v>13534</v>
      </c>
      <c r="CK1257">
        <v>3246</v>
      </c>
      <c r="CL1257" t="s">
        <v>437</v>
      </c>
      <c r="CM1257">
        <v>8.85</v>
      </c>
      <c r="CN1257">
        <v>11.71</v>
      </c>
      <c r="CO1257">
        <v>2.68</v>
      </c>
      <c r="CP1257">
        <v>63.5</v>
      </c>
      <c r="CQ1257">
        <v>8.1199999999999992</v>
      </c>
      <c r="CR1257">
        <v>0.38</v>
      </c>
      <c r="CS1257" t="s">
        <v>7015</v>
      </c>
      <c r="CT1257">
        <v>8.27</v>
      </c>
      <c r="CU1257">
        <v>0</v>
      </c>
      <c r="CV1257">
        <v>3.43</v>
      </c>
      <c r="CW1257">
        <v>3.4</v>
      </c>
      <c r="CX1257">
        <v>0.35</v>
      </c>
      <c r="CY1257">
        <v>89.49</v>
      </c>
      <c r="CZ1257" t="s">
        <v>7016</v>
      </c>
      <c r="DA1257">
        <v>36.15</v>
      </c>
      <c r="DB1257">
        <v>14.85</v>
      </c>
      <c r="DC1257">
        <v>13.26</v>
      </c>
      <c r="DD1257">
        <v>0.09</v>
      </c>
      <c r="DE1257">
        <v>662</v>
      </c>
      <c r="DF1257">
        <v>2817</v>
      </c>
      <c r="DG1257" t="s">
        <v>116</v>
      </c>
      <c r="DH1257" t="s">
        <v>116</v>
      </c>
      <c r="DI1257" t="s">
        <v>116</v>
      </c>
    </row>
    <row r="1258" spans="1:113" x14ac:dyDescent="0.4">
      <c r="A1258" t="str">
        <f>"002818"</f>
        <v>002818</v>
      </c>
      <c r="B1258" t="s">
        <v>7017</v>
      </c>
      <c r="C1258">
        <v>-0.56000000000000005</v>
      </c>
      <c r="D1258">
        <v>12.39</v>
      </c>
      <c r="E1258">
        <v>-7.0000000000000007E-2</v>
      </c>
      <c r="F1258">
        <v>12.39</v>
      </c>
      <c r="G1258">
        <v>12.42</v>
      </c>
      <c r="H1258">
        <v>23246</v>
      </c>
      <c r="I1258">
        <v>307</v>
      </c>
      <c r="J1258">
        <v>0</v>
      </c>
      <c r="K1258">
        <v>0.77</v>
      </c>
      <c r="L1258">
        <v>12.48</v>
      </c>
      <c r="M1258">
        <v>12.63</v>
      </c>
      <c r="N1258">
        <v>12.38</v>
      </c>
      <c r="O1258">
        <v>12.46</v>
      </c>
      <c r="P1258">
        <v>11.71</v>
      </c>
      <c r="Q1258">
        <v>29102274</v>
      </c>
      <c r="R1258">
        <v>1.49</v>
      </c>
      <c r="S1258" t="s">
        <v>225</v>
      </c>
      <c r="T1258" t="s">
        <v>582</v>
      </c>
      <c r="U1258">
        <v>2.0099999999999998</v>
      </c>
      <c r="V1258">
        <v>12.52</v>
      </c>
      <c r="W1258">
        <v>12462</v>
      </c>
      <c r="X1258">
        <v>10784</v>
      </c>
      <c r="Y1258">
        <v>1.1599999999999999</v>
      </c>
      <c r="Z1258">
        <v>324</v>
      </c>
      <c r="AA1258">
        <v>97</v>
      </c>
      <c r="AB1258" t="s">
        <v>116</v>
      </c>
      <c r="AC1258">
        <v>36200</v>
      </c>
      <c r="AD1258">
        <v>0</v>
      </c>
      <c r="AE1258" t="s">
        <v>116</v>
      </c>
      <c r="AF1258" t="s">
        <v>116</v>
      </c>
      <c r="AG1258">
        <v>3.01</v>
      </c>
      <c r="AH1258" t="s">
        <v>7018</v>
      </c>
      <c r="AI1258" t="s">
        <v>4743</v>
      </c>
      <c r="AJ1258">
        <v>0.12</v>
      </c>
      <c r="AK1258">
        <v>1366</v>
      </c>
      <c r="AL1258">
        <v>17</v>
      </c>
      <c r="AM1258">
        <v>5.9999999999999995E-4</v>
      </c>
      <c r="AN1258">
        <v>-1</v>
      </c>
      <c r="AO1258">
        <v>-0.16</v>
      </c>
      <c r="AP1258">
        <v>4.29</v>
      </c>
      <c r="AQ1258">
        <v>1.98</v>
      </c>
      <c r="AR1258">
        <v>5.58</v>
      </c>
      <c r="AS1258">
        <v>1.62</v>
      </c>
      <c r="AT1258" t="s">
        <v>7019</v>
      </c>
      <c r="AU1258">
        <v>12.14</v>
      </c>
      <c r="AV1258">
        <v>12.75</v>
      </c>
      <c r="AW1258">
        <v>0.71</v>
      </c>
      <c r="BA1258">
        <v>0.16</v>
      </c>
      <c r="BB1258">
        <v>1.36</v>
      </c>
      <c r="BC1258">
        <v>-0.64</v>
      </c>
      <c r="BD1258">
        <v>0.47</v>
      </c>
      <c r="BE1258">
        <v>-0.72</v>
      </c>
      <c r="BF1258">
        <v>-1.9</v>
      </c>
      <c r="BG1258">
        <v>0.08</v>
      </c>
      <c r="BH1258">
        <v>-1.04</v>
      </c>
      <c r="BI1258">
        <v>20191225</v>
      </c>
      <c r="BJ1258">
        <v>20161109</v>
      </c>
      <c r="BK1258">
        <v>7.56</v>
      </c>
      <c r="BL1258" t="s">
        <v>116</v>
      </c>
      <c r="BM1258" t="s">
        <v>116</v>
      </c>
      <c r="BN1258">
        <v>60.16</v>
      </c>
      <c r="BO1258">
        <v>47.62</v>
      </c>
      <c r="BP1258">
        <v>0.2</v>
      </c>
      <c r="BQ1258">
        <v>20.5</v>
      </c>
      <c r="BR1258">
        <v>23.4</v>
      </c>
      <c r="BS1258">
        <v>2.74</v>
      </c>
      <c r="BT1258">
        <v>13.72</v>
      </c>
      <c r="BU1258">
        <v>12.2</v>
      </c>
      <c r="BV1258">
        <v>1.93</v>
      </c>
      <c r="BW1258">
        <v>0.39</v>
      </c>
      <c r="BX1258">
        <v>8.1300000000000008</v>
      </c>
      <c r="BY1258">
        <v>11.63</v>
      </c>
      <c r="BZ1258">
        <v>3.62</v>
      </c>
      <c r="CA1258">
        <v>7.17</v>
      </c>
      <c r="CB1258">
        <v>0.35</v>
      </c>
      <c r="CC1258">
        <v>7.18</v>
      </c>
      <c r="CD1258">
        <v>6</v>
      </c>
      <c r="CE1258">
        <v>6</v>
      </c>
      <c r="CF1258">
        <v>5.68</v>
      </c>
      <c r="CG1258">
        <v>29.88</v>
      </c>
      <c r="CH1258">
        <v>7.02</v>
      </c>
      <c r="CI1258">
        <v>6.29</v>
      </c>
      <c r="CJ1258">
        <v>24663</v>
      </c>
      <c r="CK1258">
        <v>5825</v>
      </c>
      <c r="CL1258" t="s">
        <v>245</v>
      </c>
      <c r="CM1258">
        <v>6.51</v>
      </c>
      <c r="CN1258">
        <v>8.1199999999999992</v>
      </c>
      <c r="CO1258">
        <v>1.97</v>
      </c>
      <c r="CP1258">
        <v>13.36</v>
      </c>
      <c r="CQ1258">
        <v>8.06</v>
      </c>
      <c r="CR1258">
        <v>3.99</v>
      </c>
      <c r="CS1258" t="s">
        <v>4039</v>
      </c>
      <c r="CT1258">
        <v>6.29</v>
      </c>
      <c r="CU1258">
        <v>0</v>
      </c>
      <c r="CV1258">
        <v>1.08</v>
      </c>
      <c r="CW1258">
        <v>3.95</v>
      </c>
      <c r="CX1258">
        <v>0.93</v>
      </c>
      <c r="CY1258">
        <v>79.16</v>
      </c>
      <c r="CZ1258" t="s">
        <v>7020</v>
      </c>
      <c r="DA1258">
        <v>68.87</v>
      </c>
      <c r="DB1258">
        <v>61.62</v>
      </c>
      <c r="DC1258">
        <v>51.63</v>
      </c>
      <c r="DD1258">
        <v>0</v>
      </c>
      <c r="DE1258">
        <v>756</v>
      </c>
      <c r="DF1258">
        <v>2818</v>
      </c>
      <c r="DG1258" t="s">
        <v>116</v>
      </c>
      <c r="DH1258" t="s">
        <v>116</v>
      </c>
      <c r="DI1258" t="s">
        <v>116</v>
      </c>
    </row>
    <row r="1259" spans="1:113" x14ac:dyDescent="0.4">
      <c r="A1259" t="str">
        <f>"002819"</f>
        <v>002819</v>
      </c>
      <c r="B1259" t="s">
        <v>7021</v>
      </c>
      <c r="C1259">
        <v>-3.3</v>
      </c>
      <c r="D1259">
        <v>25.49</v>
      </c>
      <c r="E1259">
        <v>-0.87</v>
      </c>
      <c r="F1259">
        <v>25.48</v>
      </c>
      <c r="G1259">
        <v>25.49</v>
      </c>
      <c r="H1259">
        <v>67829</v>
      </c>
      <c r="I1259">
        <v>719</v>
      </c>
      <c r="J1259">
        <v>-0.15</v>
      </c>
      <c r="K1259">
        <v>4.88</v>
      </c>
      <c r="L1259">
        <v>26.58</v>
      </c>
      <c r="M1259">
        <v>26.65</v>
      </c>
      <c r="N1259">
        <v>25.3</v>
      </c>
      <c r="O1259">
        <v>26.36</v>
      </c>
      <c r="P1259">
        <v>76.27</v>
      </c>
      <c r="Q1259">
        <v>175093408</v>
      </c>
      <c r="R1259">
        <v>1.21</v>
      </c>
      <c r="S1259" t="s">
        <v>2977</v>
      </c>
      <c r="T1259" t="s">
        <v>165</v>
      </c>
      <c r="U1259">
        <v>5.12</v>
      </c>
      <c r="V1259">
        <v>25.81</v>
      </c>
      <c r="W1259">
        <v>37750</v>
      </c>
      <c r="X1259">
        <v>30079</v>
      </c>
      <c r="Y1259">
        <v>1.26</v>
      </c>
      <c r="Z1259">
        <v>29</v>
      </c>
      <c r="AA1259">
        <v>161</v>
      </c>
      <c r="AB1259" t="s">
        <v>116</v>
      </c>
      <c r="AC1259">
        <v>590100</v>
      </c>
      <c r="AD1259">
        <v>0.04</v>
      </c>
      <c r="AE1259" t="s">
        <v>116</v>
      </c>
      <c r="AF1259" t="s">
        <v>116</v>
      </c>
      <c r="AG1259">
        <v>1.39</v>
      </c>
      <c r="AH1259" t="s">
        <v>7022</v>
      </c>
      <c r="AI1259" t="s">
        <v>7023</v>
      </c>
      <c r="AJ1259">
        <v>-2.62</v>
      </c>
      <c r="AK1259">
        <v>3276</v>
      </c>
      <c r="AL1259">
        <v>21</v>
      </c>
      <c r="AM1259">
        <v>1.5E-3</v>
      </c>
      <c r="AN1259">
        <v>-2</v>
      </c>
      <c r="AO1259">
        <v>-3.22</v>
      </c>
      <c r="AP1259">
        <v>4.42</v>
      </c>
      <c r="AQ1259">
        <v>-18.82</v>
      </c>
      <c r="AR1259">
        <v>58.85</v>
      </c>
      <c r="AS1259">
        <v>10.83</v>
      </c>
      <c r="AT1259" t="s">
        <v>7024</v>
      </c>
      <c r="AU1259">
        <v>66.650000000000006</v>
      </c>
      <c r="AV1259">
        <v>85.72</v>
      </c>
      <c r="AW1259">
        <v>1.19</v>
      </c>
      <c r="BA1259">
        <v>0.83</v>
      </c>
      <c r="BB1259">
        <v>1.1000000000000001</v>
      </c>
      <c r="BC1259">
        <v>-4.0199999999999996</v>
      </c>
      <c r="BD1259">
        <v>-2.0699999999999998</v>
      </c>
      <c r="BE1259">
        <v>-4.0999999999999996</v>
      </c>
      <c r="BF1259">
        <v>-4.3499999999999996</v>
      </c>
      <c r="BG1259">
        <v>0.75</v>
      </c>
      <c r="BH1259">
        <v>-1.23</v>
      </c>
      <c r="BI1259">
        <v>20191218</v>
      </c>
      <c r="BJ1259">
        <v>20161111</v>
      </c>
      <c r="BK1259">
        <v>1.58</v>
      </c>
      <c r="BL1259" t="s">
        <v>116</v>
      </c>
      <c r="BM1259" t="s">
        <v>116</v>
      </c>
      <c r="BN1259">
        <v>9.3800000000000008</v>
      </c>
      <c r="BO1259">
        <v>5.09</v>
      </c>
      <c r="BP1259">
        <v>0.31</v>
      </c>
      <c r="BQ1259">
        <v>42.42</v>
      </c>
      <c r="BR1259">
        <v>8.8000000000000007</v>
      </c>
      <c r="BS1259">
        <v>0.48</v>
      </c>
      <c r="BT1259">
        <v>0.03</v>
      </c>
      <c r="BU1259">
        <v>3.83</v>
      </c>
      <c r="BV1259">
        <v>1.01</v>
      </c>
      <c r="BW1259">
        <v>1.28</v>
      </c>
      <c r="BX1259">
        <v>0.8</v>
      </c>
      <c r="BY1259">
        <v>7.35</v>
      </c>
      <c r="BZ1259">
        <v>5.91</v>
      </c>
      <c r="CA1259">
        <v>0.57999999999999996</v>
      </c>
      <c r="CB1259">
        <v>0.01</v>
      </c>
      <c r="CC1259">
        <v>0.57999999999999996</v>
      </c>
      <c r="CD1259">
        <v>0.48</v>
      </c>
      <c r="CE1259">
        <v>0.39</v>
      </c>
      <c r="CF1259">
        <v>0.39</v>
      </c>
      <c r="CG1259">
        <v>2.56</v>
      </c>
      <c r="CH1259">
        <v>-0.04</v>
      </c>
      <c r="CI1259">
        <v>0.04</v>
      </c>
      <c r="CJ1259">
        <v>25568</v>
      </c>
      <c r="CK1259">
        <v>2450</v>
      </c>
      <c r="CL1259" t="s">
        <v>7025</v>
      </c>
      <c r="CM1259">
        <v>51.35</v>
      </c>
      <c r="CN1259">
        <v>14.78</v>
      </c>
      <c r="CO1259">
        <v>7.88</v>
      </c>
      <c r="CP1259">
        <v>-1101.69</v>
      </c>
      <c r="CQ1259">
        <v>5.46</v>
      </c>
      <c r="CR1259">
        <v>0.12</v>
      </c>
      <c r="CS1259" t="s">
        <v>3553</v>
      </c>
      <c r="CT1259">
        <v>3.23</v>
      </c>
      <c r="CU1259">
        <v>3.23</v>
      </c>
      <c r="CV1259">
        <v>0.51</v>
      </c>
      <c r="CW1259">
        <v>1.62</v>
      </c>
      <c r="CX1259">
        <v>-0.02</v>
      </c>
      <c r="CY1259">
        <v>54.25</v>
      </c>
      <c r="CZ1259" t="s">
        <v>7026</v>
      </c>
      <c r="DA1259">
        <v>19.670000000000002</v>
      </c>
      <c r="DB1259">
        <v>7.92</v>
      </c>
      <c r="DC1259">
        <v>5.37</v>
      </c>
      <c r="DD1259">
        <v>0.2</v>
      </c>
      <c r="DE1259">
        <v>284</v>
      </c>
      <c r="DF1259">
        <v>2819</v>
      </c>
      <c r="DG1259" t="s">
        <v>116</v>
      </c>
      <c r="DH1259" t="s">
        <v>116</v>
      </c>
      <c r="DI1259" t="s">
        <v>116</v>
      </c>
    </row>
    <row r="1260" spans="1:113" x14ac:dyDescent="0.4">
      <c r="A1260" t="str">
        <f>"002820"</f>
        <v>002820</v>
      </c>
      <c r="B1260" t="s">
        <v>7027</v>
      </c>
      <c r="C1260">
        <v>-0.17</v>
      </c>
      <c r="D1260">
        <v>11.73</v>
      </c>
      <c r="E1260">
        <v>-0.02</v>
      </c>
      <c r="F1260">
        <v>11.71</v>
      </c>
      <c r="G1260">
        <v>11.73</v>
      </c>
      <c r="H1260">
        <v>9576</v>
      </c>
      <c r="I1260">
        <v>112</v>
      </c>
      <c r="J1260">
        <v>0</v>
      </c>
      <c r="K1260">
        <v>0.47</v>
      </c>
      <c r="L1260">
        <v>11.77</v>
      </c>
      <c r="M1260">
        <v>11.84</v>
      </c>
      <c r="N1260">
        <v>11.69</v>
      </c>
      <c r="O1260">
        <v>11.75</v>
      </c>
      <c r="P1260">
        <v>25.94</v>
      </c>
      <c r="Q1260">
        <v>11280898</v>
      </c>
      <c r="R1260">
        <v>1.17</v>
      </c>
      <c r="S1260" t="s">
        <v>863</v>
      </c>
      <c r="T1260" t="s">
        <v>1035</v>
      </c>
      <c r="U1260">
        <v>1.28</v>
      </c>
      <c r="V1260">
        <v>11.78</v>
      </c>
      <c r="W1260">
        <v>5526</v>
      </c>
      <c r="X1260">
        <v>4050</v>
      </c>
      <c r="Y1260">
        <v>1.36</v>
      </c>
      <c r="Z1260">
        <v>57</v>
      </c>
      <c r="AA1260">
        <v>409</v>
      </c>
      <c r="AB1260" t="s">
        <v>116</v>
      </c>
      <c r="AC1260">
        <v>23500</v>
      </c>
      <c r="AD1260">
        <v>0</v>
      </c>
      <c r="AE1260" t="s">
        <v>116</v>
      </c>
      <c r="AF1260" t="s">
        <v>116</v>
      </c>
      <c r="AG1260">
        <v>2.0299999999999998</v>
      </c>
      <c r="AH1260" t="s">
        <v>3876</v>
      </c>
      <c r="AI1260" t="s">
        <v>3361</v>
      </c>
      <c r="AJ1260">
        <v>0.51</v>
      </c>
      <c r="AK1260">
        <v>535</v>
      </c>
      <c r="AL1260">
        <v>18</v>
      </c>
      <c r="AM1260">
        <v>8.9999999999999998E-4</v>
      </c>
      <c r="AN1260">
        <v>-1</v>
      </c>
      <c r="AO1260">
        <v>-0.42</v>
      </c>
      <c r="AP1260">
        <v>2.4500000000000002</v>
      </c>
      <c r="AQ1260">
        <v>-3.22</v>
      </c>
      <c r="AR1260">
        <v>-1.76</v>
      </c>
      <c r="AS1260">
        <v>1.34</v>
      </c>
      <c r="AT1260" t="s">
        <v>7028</v>
      </c>
      <c r="AU1260">
        <v>29.07</v>
      </c>
      <c r="AV1260">
        <v>28.55</v>
      </c>
      <c r="AW1260">
        <v>0.4</v>
      </c>
      <c r="BA1260">
        <v>0.17</v>
      </c>
      <c r="BB1260">
        <v>0.77</v>
      </c>
      <c r="BC1260">
        <v>-0.51</v>
      </c>
      <c r="BD1260">
        <v>0.26</v>
      </c>
      <c r="BE1260">
        <v>-0.34</v>
      </c>
      <c r="BF1260">
        <v>-0.93</v>
      </c>
      <c r="BG1260">
        <v>0.34</v>
      </c>
      <c r="BH1260">
        <v>-0.43</v>
      </c>
      <c r="BI1260">
        <v>20191115</v>
      </c>
      <c r="BJ1260">
        <v>20161118</v>
      </c>
      <c r="BK1260">
        <v>2.0499999999999998</v>
      </c>
      <c r="BL1260" t="s">
        <v>116</v>
      </c>
      <c r="BM1260" t="s">
        <v>116</v>
      </c>
      <c r="BN1260">
        <v>11.22</v>
      </c>
      <c r="BO1260">
        <v>10.62</v>
      </c>
      <c r="BP1260">
        <v>0</v>
      </c>
      <c r="BQ1260">
        <v>5.27</v>
      </c>
      <c r="BR1260">
        <v>7.21</v>
      </c>
      <c r="BS1260">
        <v>1.49</v>
      </c>
      <c r="BT1260">
        <v>0.4</v>
      </c>
      <c r="BU1260">
        <v>0.48</v>
      </c>
      <c r="BV1260">
        <v>0.44</v>
      </c>
      <c r="BW1260">
        <v>0.28000000000000003</v>
      </c>
      <c r="BX1260">
        <v>4.8499999999999996</v>
      </c>
      <c r="BY1260">
        <v>3.97</v>
      </c>
      <c r="BZ1260">
        <v>2.04</v>
      </c>
      <c r="CA1260">
        <v>0.87</v>
      </c>
      <c r="CB1260">
        <v>0.16</v>
      </c>
      <c r="CC1260">
        <v>0.9</v>
      </c>
      <c r="CD1260">
        <v>0.69</v>
      </c>
      <c r="CE1260">
        <v>0.69</v>
      </c>
      <c r="CF1260">
        <v>0.65</v>
      </c>
      <c r="CG1260">
        <v>3.74</v>
      </c>
      <c r="CH1260">
        <v>0.75</v>
      </c>
      <c r="CI1260">
        <v>-4.97</v>
      </c>
      <c r="CJ1260">
        <v>16886</v>
      </c>
      <c r="CK1260">
        <v>4228</v>
      </c>
      <c r="CL1260" t="s">
        <v>1463</v>
      </c>
      <c r="CM1260">
        <v>-2.1</v>
      </c>
      <c r="CN1260">
        <v>3.55</v>
      </c>
      <c r="CO1260">
        <v>2.2599999999999998</v>
      </c>
      <c r="CP1260">
        <v>32.21</v>
      </c>
      <c r="CQ1260">
        <v>6.05</v>
      </c>
      <c r="CR1260">
        <v>1.67</v>
      </c>
      <c r="CS1260" t="s">
        <v>3416</v>
      </c>
      <c r="CT1260">
        <v>5.19</v>
      </c>
      <c r="CU1260">
        <v>0</v>
      </c>
      <c r="CV1260">
        <v>2.37</v>
      </c>
      <c r="CW1260">
        <v>1.83</v>
      </c>
      <c r="CX1260">
        <v>0.36</v>
      </c>
      <c r="CY1260">
        <v>94.73</v>
      </c>
      <c r="CZ1260" t="s">
        <v>5232</v>
      </c>
      <c r="DA1260">
        <v>48.68</v>
      </c>
      <c r="DB1260">
        <v>21.82</v>
      </c>
      <c r="DC1260">
        <v>17.5</v>
      </c>
      <c r="DD1260">
        <v>0.02</v>
      </c>
      <c r="DE1260">
        <v>1034</v>
      </c>
      <c r="DF1260">
        <v>2820</v>
      </c>
      <c r="DG1260" t="s">
        <v>116</v>
      </c>
      <c r="DH1260" t="s">
        <v>116</v>
      </c>
      <c r="DI1260" t="s">
        <v>116</v>
      </c>
    </row>
    <row r="1261" spans="1:113" x14ac:dyDescent="0.4">
      <c r="A1261" t="str">
        <f>"002821"</f>
        <v>002821</v>
      </c>
      <c r="B1261" t="s">
        <v>7029</v>
      </c>
      <c r="C1261">
        <v>-0.51</v>
      </c>
      <c r="D1261">
        <v>127.84</v>
      </c>
      <c r="E1261">
        <v>-0.66</v>
      </c>
      <c r="F1261">
        <v>127.84</v>
      </c>
      <c r="G1261">
        <v>127.89</v>
      </c>
      <c r="H1261">
        <v>10515</v>
      </c>
      <c r="I1261">
        <v>108</v>
      </c>
      <c r="J1261">
        <v>0.14000000000000001</v>
      </c>
      <c r="K1261">
        <v>0.46</v>
      </c>
      <c r="L1261">
        <v>127.96</v>
      </c>
      <c r="M1261">
        <v>129.69999999999999</v>
      </c>
      <c r="N1261">
        <v>126.88</v>
      </c>
      <c r="O1261">
        <v>128.5</v>
      </c>
      <c r="P1261">
        <v>60.53</v>
      </c>
      <c r="Q1261">
        <v>134678336</v>
      </c>
      <c r="R1261">
        <v>0.83</v>
      </c>
      <c r="S1261" t="s">
        <v>132</v>
      </c>
      <c r="T1261" t="s">
        <v>1035</v>
      </c>
      <c r="U1261">
        <v>2.19</v>
      </c>
      <c r="V1261">
        <v>128.08000000000001</v>
      </c>
      <c r="W1261">
        <v>5388</v>
      </c>
      <c r="X1261">
        <v>5127</v>
      </c>
      <c r="Y1261">
        <v>1.05</v>
      </c>
      <c r="Z1261">
        <v>26</v>
      </c>
      <c r="AA1261">
        <v>1</v>
      </c>
      <c r="AB1261" t="s">
        <v>116</v>
      </c>
      <c r="AC1261">
        <v>1177000</v>
      </c>
      <c r="AD1261">
        <v>0.01</v>
      </c>
      <c r="AE1261" t="s">
        <v>116</v>
      </c>
      <c r="AF1261" t="s">
        <v>116</v>
      </c>
      <c r="AG1261">
        <v>2.29</v>
      </c>
      <c r="AH1261" t="s">
        <v>7030</v>
      </c>
      <c r="AI1261" t="s">
        <v>7031</v>
      </c>
      <c r="AJ1261">
        <v>0.17</v>
      </c>
      <c r="AK1261">
        <v>2195</v>
      </c>
      <c r="AL1261">
        <v>5</v>
      </c>
      <c r="AM1261">
        <v>2.0000000000000001E-4</v>
      </c>
      <c r="AN1261">
        <v>-3</v>
      </c>
      <c r="AO1261">
        <v>-2.23</v>
      </c>
      <c r="AP1261">
        <v>3.93</v>
      </c>
      <c r="AQ1261">
        <v>7.89</v>
      </c>
      <c r="AR1261">
        <v>89.53</v>
      </c>
      <c r="AS1261">
        <v>0.86</v>
      </c>
      <c r="AT1261" t="s">
        <v>7032</v>
      </c>
      <c r="AU1261">
        <v>55.4</v>
      </c>
      <c r="AV1261">
        <v>69.06</v>
      </c>
      <c r="AW1261">
        <v>1.25</v>
      </c>
      <c r="BA1261">
        <v>-0.42</v>
      </c>
      <c r="BB1261">
        <v>0.93</v>
      </c>
      <c r="BC1261">
        <v>-1.26</v>
      </c>
      <c r="BD1261">
        <v>-0.32</v>
      </c>
      <c r="BE1261">
        <v>-0.09</v>
      </c>
      <c r="BF1261">
        <v>-1.43</v>
      </c>
      <c r="BG1261">
        <v>0.76</v>
      </c>
      <c r="BH1261">
        <v>-0.19</v>
      </c>
      <c r="BI1261">
        <v>20191209</v>
      </c>
      <c r="BJ1261">
        <v>20161118</v>
      </c>
      <c r="BK1261">
        <v>2.31</v>
      </c>
      <c r="BL1261" t="s">
        <v>116</v>
      </c>
      <c r="BM1261" t="s">
        <v>116</v>
      </c>
      <c r="BN1261">
        <v>35.68</v>
      </c>
      <c r="BO1261">
        <v>28.55</v>
      </c>
      <c r="BP1261">
        <v>0</v>
      </c>
      <c r="BQ1261">
        <v>19.989999999999998</v>
      </c>
      <c r="BR1261">
        <v>15.88</v>
      </c>
      <c r="BS1261">
        <v>10.58</v>
      </c>
      <c r="BT1261">
        <v>1.1599999999999999</v>
      </c>
      <c r="BU1261">
        <v>5.5</v>
      </c>
      <c r="BV1261">
        <v>4.49</v>
      </c>
      <c r="BW1261">
        <v>6.51</v>
      </c>
      <c r="BX1261">
        <v>11.44</v>
      </c>
      <c r="BY1261">
        <v>17.420000000000002</v>
      </c>
      <c r="BZ1261">
        <v>9.66</v>
      </c>
      <c r="CA1261">
        <v>4.12</v>
      </c>
      <c r="CB1261">
        <v>0.08</v>
      </c>
      <c r="CC1261">
        <v>4.12</v>
      </c>
      <c r="CD1261">
        <v>3.67</v>
      </c>
      <c r="CE1261">
        <v>3.67</v>
      </c>
      <c r="CF1261">
        <v>3.38</v>
      </c>
      <c r="CG1261">
        <v>15.26</v>
      </c>
      <c r="CH1261">
        <v>3.51</v>
      </c>
      <c r="CI1261">
        <v>-3.57</v>
      </c>
      <c r="CJ1261">
        <v>12708</v>
      </c>
      <c r="CK1261">
        <v>9631</v>
      </c>
      <c r="CL1261" t="s">
        <v>7033</v>
      </c>
      <c r="CM1261">
        <v>40.479999999999997</v>
      </c>
      <c r="CN1261">
        <v>44.61</v>
      </c>
      <c r="CO1261">
        <v>10.36</v>
      </c>
      <c r="CP1261">
        <v>84.27</v>
      </c>
      <c r="CQ1261">
        <v>16.98</v>
      </c>
      <c r="CR1261">
        <v>0.31</v>
      </c>
      <c r="CS1261" t="s">
        <v>7034</v>
      </c>
      <c r="CT1261">
        <v>12.34</v>
      </c>
      <c r="CU1261">
        <v>0</v>
      </c>
      <c r="CV1261">
        <v>4.95</v>
      </c>
      <c r="CW1261">
        <v>6.59</v>
      </c>
      <c r="CX1261">
        <v>1.52</v>
      </c>
      <c r="CY1261">
        <v>80.010000000000005</v>
      </c>
      <c r="CZ1261" t="s">
        <v>336</v>
      </c>
      <c r="DA1261">
        <v>44.59</v>
      </c>
      <c r="DB1261">
        <v>23.67</v>
      </c>
      <c r="DC1261">
        <v>21.03</v>
      </c>
      <c r="DD1261">
        <v>1.35</v>
      </c>
      <c r="DE1261">
        <v>3291</v>
      </c>
      <c r="DF1261">
        <v>2821</v>
      </c>
      <c r="DG1261" t="s">
        <v>116</v>
      </c>
      <c r="DH1261" t="s">
        <v>116</v>
      </c>
      <c r="DI1261" t="s">
        <v>116</v>
      </c>
    </row>
    <row r="1262" spans="1:113" x14ac:dyDescent="0.4">
      <c r="A1262" t="str">
        <f>"002822"</f>
        <v>002822</v>
      </c>
      <c r="B1262" t="s">
        <v>7035</v>
      </c>
      <c r="C1262">
        <v>0</v>
      </c>
      <c r="D1262">
        <v>9.6999999999999993</v>
      </c>
      <c r="E1262">
        <v>0</v>
      </c>
      <c r="F1262">
        <v>9.6999999999999993</v>
      </c>
      <c r="G1262">
        <v>9.7100000000000009</v>
      </c>
      <c r="H1262">
        <v>297329</v>
      </c>
      <c r="I1262">
        <v>2103</v>
      </c>
      <c r="J1262">
        <v>0</v>
      </c>
      <c r="K1262">
        <v>4.4400000000000004</v>
      </c>
      <c r="L1262">
        <v>9.65</v>
      </c>
      <c r="M1262">
        <v>9.9499999999999993</v>
      </c>
      <c r="N1262">
        <v>9.59</v>
      </c>
      <c r="O1262">
        <v>9.6999999999999993</v>
      </c>
      <c r="P1262">
        <v>23.92</v>
      </c>
      <c r="Q1262">
        <v>289945664</v>
      </c>
      <c r="R1262">
        <v>0.88</v>
      </c>
      <c r="S1262" t="s">
        <v>3331</v>
      </c>
      <c r="T1262" t="s">
        <v>115</v>
      </c>
      <c r="U1262">
        <v>3.71</v>
      </c>
      <c r="V1262">
        <v>9.75</v>
      </c>
      <c r="W1262">
        <v>138272</v>
      </c>
      <c r="X1262">
        <v>159057</v>
      </c>
      <c r="Y1262">
        <v>0.87</v>
      </c>
      <c r="Z1262">
        <v>290</v>
      </c>
      <c r="AA1262">
        <v>2136</v>
      </c>
      <c r="AB1262" t="s">
        <v>116</v>
      </c>
      <c r="AC1262">
        <v>1718700</v>
      </c>
      <c r="AD1262">
        <v>0.06</v>
      </c>
      <c r="AE1262" t="s">
        <v>116</v>
      </c>
      <c r="AF1262" t="s">
        <v>116</v>
      </c>
      <c r="AG1262">
        <v>6.69</v>
      </c>
      <c r="AH1262" t="s">
        <v>7036</v>
      </c>
      <c r="AI1262" t="s">
        <v>7037</v>
      </c>
      <c r="AJ1262">
        <v>0.68</v>
      </c>
      <c r="AK1262">
        <v>3566</v>
      </c>
      <c r="AL1262">
        <v>83</v>
      </c>
      <c r="AM1262">
        <v>1.1999999999999999E-3</v>
      </c>
      <c r="AN1262">
        <v>0</v>
      </c>
      <c r="AO1262">
        <v>7.77</v>
      </c>
      <c r="AP1262">
        <v>14.66</v>
      </c>
      <c r="AQ1262">
        <v>11.75</v>
      </c>
      <c r="AR1262">
        <v>88.35</v>
      </c>
      <c r="AS1262">
        <v>10.15</v>
      </c>
      <c r="AT1262" t="s">
        <v>4130</v>
      </c>
      <c r="AU1262">
        <v>27.33</v>
      </c>
      <c r="AV1262">
        <v>39.19</v>
      </c>
      <c r="AW1262">
        <v>1.29</v>
      </c>
      <c r="BA1262">
        <v>-0.52</v>
      </c>
      <c r="BB1262">
        <v>2.58</v>
      </c>
      <c r="BC1262">
        <v>-1.1299999999999999</v>
      </c>
      <c r="BD1262">
        <v>0.53</v>
      </c>
      <c r="BE1262">
        <v>0.52</v>
      </c>
      <c r="BF1262">
        <v>-2.5099999999999998</v>
      </c>
      <c r="BG1262">
        <v>1.1499999999999999</v>
      </c>
      <c r="BH1262">
        <v>-0.53</v>
      </c>
      <c r="BI1262">
        <v>20191225</v>
      </c>
      <c r="BJ1262">
        <v>20161129</v>
      </c>
      <c r="BK1262">
        <v>6.75</v>
      </c>
      <c r="BL1262" t="s">
        <v>116</v>
      </c>
      <c r="BM1262" t="s">
        <v>116</v>
      </c>
      <c r="BN1262">
        <v>58.04</v>
      </c>
      <c r="BO1262">
        <v>24.65</v>
      </c>
      <c r="BP1262">
        <v>-0.03</v>
      </c>
      <c r="BQ1262">
        <v>57.58</v>
      </c>
      <c r="BR1262">
        <v>51.99</v>
      </c>
      <c r="BS1262">
        <v>1.46</v>
      </c>
      <c r="BT1262">
        <v>2.59</v>
      </c>
      <c r="BU1262">
        <v>27.95</v>
      </c>
      <c r="BV1262">
        <v>2.2000000000000002</v>
      </c>
      <c r="BW1262">
        <v>35.68</v>
      </c>
      <c r="BX1262">
        <v>6.77</v>
      </c>
      <c r="BY1262">
        <v>35.58</v>
      </c>
      <c r="BZ1262">
        <v>29.39</v>
      </c>
      <c r="CA1262">
        <v>2.81</v>
      </c>
      <c r="CB1262">
        <v>0.12</v>
      </c>
      <c r="CC1262">
        <v>2.8</v>
      </c>
      <c r="CD1262">
        <v>2.0299999999999998</v>
      </c>
      <c r="CE1262">
        <v>2.0499999999999998</v>
      </c>
      <c r="CF1262">
        <v>2.0099999999999998</v>
      </c>
      <c r="CG1262">
        <v>10</v>
      </c>
      <c r="CH1262">
        <v>0.61</v>
      </c>
      <c r="CI1262">
        <v>-3.18</v>
      </c>
      <c r="CJ1262">
        <v>33282</v>
      </c>
      <c r="CK1262">
        <v>8802</v>
      </c>
      <c r="CL1262" t="s">
        <v>1143</v>
      </c>
      <c r="CM1262">
        <v>54.53</v>
      </c>
      <c r="CN1262">
        <v>20.07</v>
      </c>
      <c r="CO1262">
        <v>2.4700000000000002</v>
      </c>
      <c r="CP1262">
        <v>106.94</v>
      </c>
      <c r="CQ1262">
        <v>1.84</v>
      </c>
      <c r="CR1262">
        <v>0.27</v>
      </c>
      <c r="CS1262" t="s">
        <v>7038</v>
      </c>
      <c r="CT1262">
        <v>3.93</v>
      </c>
      <c r="CU1262">
        <v>3.93</v>
      </c>
      <c r="CV1262">
        <v>1</v>
      </c>
      <c r="CW1262">
        <v>1.48</v>
      </c>
      <c r="CX1262">
        <v>0.09</v>
      </c>
      <c r="CY1262">
        <v>42.47</v>
      </c>
      <c r="CZ1262" t="s">
        <v>1529</v>
      </c>
      <c r="DA1262">
        <v>17.399999999999999</v>
      </c>
      <c r="DB1262">
        <v>7.91</v>
      </c>
      <c r="DC1262">
        <v>5.77</v>
      </c>
      <c r="DD1262">
        <v>1.06</v>
      </c>
      <c r="DE1262">
        <v>974</v>
      </c>
      <c r="DF1262">
        <v>2822</v>
      </c>
      <c r="DG1262" t="s">
        <v>116</v>
      </c>
      <c r="DH1262" t="s">
        <v>116</v>
      </c>
      <c r="DI1262" t="s">
        <v>116</v>
      </c>
    </row>
    <row r="1263" spans="1:113" x14ac:dyDescent="0.4">
      <c r="A1263" t="str">
        <f>"002823"</f>
        <v>002823</v>
      </c>
      <c r="B1263" t="s">
        <v>7039</v>
      </c>
      <c r="C1263">
        <v>-0.22</v>
      </c>
      <c r="D1263">
        <v>9.02</v>
      </c>
      <c r="E1263">
        <v>-0.02</v>
      </c>
      <c r="F1263">
        <v>9.01</v>
      </c>
      <c r="G1263">
        <v>9.02</v>
      </c>
      <c r="H1263">
        <v>31050</v>
      </c>
      <c r="I1263">
        <v>354</v>
      </c>
      <c r="J1263">
        <v>0.56000000000000005</v>
      </c>
      <c r="K1263">
        <v>2</v>
      </c>
      <c r="L1263">
        <v>9.02</v>
      </c>
      <c r="M1263">
        <v>9.2799999999999994</v>
      </c>
      <c r="N1263">
        <v>8.9600000000000009</v>
      </c>
      <c r="O1263">
        <v>9.0399999999999991</v>
      </c>
      <c r="P1263">
        <v>41.66</v>
      </c>
      <c r="Q1263">
        <v>28277180</v>
      </c>
      <c r="R1263">
        <v>1.49</v>
      </c>
      <c r="S1263" t="s">
        <v>996</v>
      </c>
      <c r="T1263" t="s">
        <v>115</v>
      </c>
      <c r="U1263">
        <v>3.54</v>
      </c>
      <c r="V1263">
        <v>9.11</v>
      </c>
      <c r="W1263">
        <v>15678</v>
      </c>
      <c r="X1263">
        <v>15372</v>
      </c>
      <c r="Y1263">
        <v>1.02</v>
      </c>
      <c r="Z1263">
        <v>1</v>
      </c>
      <c r="AA1263">
        <v>101</v>
      </c>
      <c r="AB1263" t="s">
        <v>116</v>
      </c>
      <c r="AC1263">
        <v>14400</v>
      </c>
      <c r="AD1263">
        <v>0</v>
      </c>
      <c r="AE1263" t="s">
        <v>116</v>
      </c>
      <c r="AF1263" t="s">
        <v>116</v>
      </c>
      <c r="AG1263">
        <v>1.55</v>
      </c>
      <c r="AH1263" t="s">
        <v>7040</v>
      </c>
      <c r="AI1263" t="s">
        <v>6852</v>
      </c>
      <c r="AJ1263">
        <v>0.46</v>
      </c>
      <c r="AK1263">
        <v>1043</v>
      </c>
      <c r="AL1263">
        <v>30</v>
      </c>
      <c r="AM1263">
        <v>1.9E-3</v>
      </c>
      <c r="AN1263">
        <v>-1</v>
      </c>
      <c r="AO1263">
        <v>-0.12</v>
      </c>
      <c r="AP1263">
        <v>2.97</v>
      </c>
      <c r="AQ1263">
        <v>-7.01</v>
      </c>
      <c r="AR1263">
        <v>-10.27</v>
      </c>
      <c r="AS1263">
        <v>3.11</v>
      </c>
      <c r="AT1263" t="s">
        <v>6898</v>
      </c>
      <c r="AU1263">
        <v>72.430000000000007</v>
      </c>
      <c r="AV1263">
        <v>23.01</v>
      </c>
      <c r="AW1263">
        <v>0.98</v>
      </c>
      <c r="BA1263">
        <v>-0.22</v>
      </c>
      <c r="BB1263">
        <v>2.65</v>
      </c>
      <c r="BC1263">
        <v>-0.88</v>
      </c>
      <c r="BD1263">
        <v>0.74</v>
      </c>
      <c r="BE1263">
        <v>0</v>
      </c>
      <c r="BF1263">
        <v>-2.8</v>
      </c>
      <c r="BG1263">
        <v>0.67</v>
      </c>
      <c r="BH1263">
        <v>-0.96</v>
      </c>
      <c r="BI1263">
        <v>20191226</v>
      </c>
      <c r="BJ1263">
        <v>20161124</v>
      </c>
      <c r="BK1263">
        <v>2.89</v>
      </c>
      <c r="BL1263" t="s">
        <v>116</v>
      </c>
      <c r="BM1263" t="s">
        <v>116</v>
      </c>
      <c r="BN1263">
        <v>29.64</v>
      </c>
      <c r="BO1263">
        <v>12.93</v>
      </c>
      <c r="BP1263">
        <v>0</v>
      </c>
      <c r="BQ1263">
        <v>56.37</v>
      </c>
      <c r="BR1263">
        <v>10.27</v>
      </c>
      <c r="BS1263">
        <v>12.67</v>
      </c>
      <c r="BT1263">
        <v>1.35</v>
      </c>
      <c r="BU1263">
        <v>8.1300000000000008</v>
      </c>
      <c r="BV1263">
        <v>3.42</v>
      </c>
      <c r="BW1263">
        <v>3.92</v>
      </c>
      <c r="BX1263">
        <v>3.94</v>
      </c>
      <c r="BY1263">
        <v>14.76</v>
      </c>
      <c r="BZ1263">
        <v>11.53</v>
      </c>
      <c r="CA1263">
        <v>0.51</v>
      </c>
      <c r="CB1263">
        <v>0</v>
      </c>
      <c r="CC1263">
        <v>0.53</v>
      </c>
      <c r="CD1263">
        <v>0.47</v>
      </c>
      <c r="CE1263">
        <v>0.47</v>
      </c>
      <c r="CF1263">
        <v>0.37</v>
      </c>
      <c r="CG1263">
        <v>4.6900000000000004</v>
      </c>
      <c r="CH1263">
        <v>1.54</v>
      </c>
      <c r="CI1263">
        <v>-0.31</v>
      </c>
      <c r="CJ1263">
        <v>19599</v>
      </c>
      <c r="CK1263">
        <v>5098</v>
      </c>
      <c r="CL1263" t="s">
        <v>4939</v>
      </c>
      <c r="CM1263">
        <v>-62.23</v>
      </c>
      <c r="CN1263">
        <v>29.77</v>
      </c>
      <c r="CO1263">
        <v>2.1800000000000002</v>
      </c>
      <c r="CP1263">
        <v>16.95</v>
      </c>
      <c r="CQ1263">
        <v>1.77</v>
      </c>
      <c r="CR1263">
        <v>2.87</v>
      </c>
      <c r="CS1263" t="s">
        <v>7041</v>
      </c>
      <c r="CT1263">
        <v>4.13</v>
      </c>
      <c r="CU1263">
        <v>4.13</v>
      </c>
      <c r="CV1263">
        <v>1.36</v>
      </c>
      <c r="CW1263">
        <v>1.62</v>
      </c>
      <c r="CX1263">
        <v>0.53</v>
      </c>
      <c r="CY1263">
        <v>43.63</v>
      </c>
      <c r="CZ1263" t="s">
        <v>2723</v>
      </c>
      <c r="DA1263">
        <v>21.87</v>
      </c>
      <c r="DB1263">
        <v>3.43</v>
      </c>
      <c r="DC1263">
        <v>3.18</v>
      </c>
      <c r="DD1263">
        <v>0.76</v>
      </c>
      <c r="DE1263">
        <v>4721</v>
      </c>
      <c r="DF1263">
        <v>2823</v>
      </c>
      <c r="DG1263" t="s">
        <v>116</v>
      </c>
      <c r="DH1263" t="s">
        <v>116</v>
      </c>
      <c r="DI1263" t="s">
        <v>116</v>
      </c>
    </row>
    <row r="1264" spans="1:113" x14ac:dyDescent="0.4">
      <c r="A1264" t="str">
        <f>"002824"</f>
        <v>002824</v>
      </c>
      <c r="B1264" t="s">
        <v>7042</v>
      </c>
      <c r="C1264">
        <v>-1.67</v>
      </c>
      <c r="D1264">
        <v>10.62</v>
      </c>
      <c r="E1264">
        <v>-0.18</v>
      </c>
      <c r="F1264">
        <v>10.62</v>
      </c>
      <c r="G1264">
        <v>10.63</v>
      </c>
      <c r="H1264">
        <v>24807</v>
      </c>
      <c r="I1264">
        <v>351</v>
      </c>
      <c r="J1264">
        <v>0</v>
      </c>
      <c r="K1264">
        <v>3.19</v>
      </c>
      <c r="L1264">
        <v>10.8</v>
      </c>
      <c r="M1264">
        <v>11.06</v>
      </c>
      <c r="N1264">
        <v>10.6</v>
      </c>
      <c r="O1264">
        <v>10.8</v>
      </c>
      <c r="P1264">
        <v>158.30000000000001</v>
      </c>
      <c r="Q1264">
        <v>26866758</v>
      </c>
      <c r="R1264">
        <v>1.88</v>
      </c>
      <c r="S1264" t="s">
        <v>1428</v>
      </c>
      <c r="T1264" t="s">
        <v>551</v>
      </c>
      <c r="U1264">
        <v>4.26</v>
      </c>
      <c r="V1264">
        <v>10.83</v>
      </c>
      <c r="W1264">
        <v>12938</v>
      </c>
      <c r="X1264">
        <v>11869</v>
      </c>
      <c r="Y1264">
        <v>1.0900000000000001</v>
      </c>
      <c r="Z1264">
        <v>37</v>
      </c>
      <c r="AA1264">
        <v>44</v>
      </c>
      <c r="AB1264" t="s">
        <v>116</v>
      </c>
      <c r="AC1264">
        <v>22700</v>
      </c>
      <c r="AD1264">
        <v>0</v>
      </c>
      <c r="AE1264" t="s">
        <v>116</v>
      </c>
      <c r="AF1264" t="s">
        <v>116</v>
      </c>
      <c r="AG1264">
        <v>0.78</v>
      </c>
      <c r="AH1264" t="s">
        <v>3607</v>
      </c>
      <c r="AI1264" t="s">
        <v>6460</v>
      </c>
      <c r="AJ1264">
        <v>-0.99</v>
      </c>
      <c r="AK1264">
        <v>1175</v>
      </c>
      <c r="AL1264">
        <v>21</v>
      </c>
      <c r="AM1264">
        <v>2.7000000000000001E-3</v>
      </c>
      <c r="AN1264">
        <v>-1</v>
      </c>
      <c r="AO1264">
        <v>-0.93</v>
      </c>
      <c r="AP1264">
        <v>7.38</v>
      </c>
      <c r="AQ1264">
        <v>-1.67</v>
      </c>
      <c r="AR1264">
        <v>16.59</v>
      </c>
      <c r="AS1264">
        <v>4.96</v>
      </c>
      <c r="AT1264" t="s">
        <v>7043</v>
      </c>
      <c r="AU1264">
        <v>972.86</v>
      </c>
      <c r="AV1264">
        <v>104.09</v>
      </c>
      <c r="AW1264">
        <v>1.54</v>
      </c>
      <c r="BA1264">
        <v>0</v>
      </c>
      <c r="BB1264">
        <v>2.41</v>
      </c>
      <c r="BC1264">
        <v>-1.85</v>
      </c>
      <c r="BD1264">
        <v>0.28000000000000003</v>
      </c>
      <c r="BE1264">
        <v>-1.67</v>
      </c>
      <c r="BF1264">
        <v>-3.98</v>
      </c>
      <c r="BG1264">
        <v>0.19</v>
      </c>
      <c r="BH1264">
        <v>-1.95</v>
      </c>
      <c r="BI1264">
        <v>20191111</v>
      </c>
      <c r="BJ1264">
        <v>20170112</v>
      </c>
      <c r="BK1264">
        <v>1.84</v>
      </c>
      <c r="BL1264" t="s">
        <v>116</v>
      </c>
      <c r="BM1264" t="s">
        <v>116</v>
      </c>
      <c r="BN1264">
        <v>13.81</v>
      </c>
      <c r="BO1264">
        <v>7.68</v>
      </c>
      <c r="BP1264">
        <v>0.59</v>
      </c>
      <c r="BQ1264">
        <v>40.14</v>
      </c>
      <c r="BR1264">
        <v>7.27</v>
      </c>
      <c r="BS1264">
        <v>4.26</v>
      </c>
      <c r="BT1264">
        <v>0.71</v>
      </c>
      <c r="BU1264">
        <v>5.01</v>
      </c>
      <c r="BV1264">
        <v>2.89</v>
      </c>
      <c r="BW1264">
        <v>2.59</v>
      </c>
      <c r="BX1264">
        <v>3.59</v>
      </c>
      <c r="BY1264">
        <v>9.15</v>
      </c>
      <c r="BZ1264">
        <v>7.67</v>
      </c>
      <c r="CA1264">
        <v>0.14000000000000001</v>
      </c>
      <c r="CB1264">
        <v>0</v>
      </c>
      <c r="CC1264">
        <v>0.14000000000000001</v>
      </c>
      <c r="CD1264">
        <v>0.11</v>
      </c>
      <c r="CE1264">
        <v>0.09</v>
      </c>
      <c r="CF1264">
        <v>0.09</v>
      </c>
      <c r="CG1264">
        <v>2.11</v>
      </c>
      <c r="CH1264">
        <v>1.23</v>
      </c>
      <c r="CI1264">
        <v>7.0000000000000007E-2</v>
      </c>
      <c r="CJ1264">
        <v>16423</v>
      </c>
      <c r="CK1264">
        <v>3044</v>
      </c>
      <c r="CL1264" t="s">
        <v>7044</v>
      </c>
      <c r="CM1264">
        <v>-64.42</v>
      </c>
      <c r="CN1264">
        <v>20.190000000000001</v>
      </c>
      <c r="CO1264">
        <v>2.54</v>
      </c>
      <c r="CP1264">
        <v>15.92</v>
      </c>
      <c r="CQ1264">
        <v>2.13</v>
      </c>
      <c r="CR1264">
        <v>0.2</v>
      </c>
      <c r="CS1264" t="s">
        <v>365</v>
      </c>
      <c r="CT1264">
        <v>4.18</v>
      </c>
      <c r="CU1264">
        <v>4.18</v>
      </c>
      <c r="CV1264">
        <v>1.96</v>
      </c>
      <c r="CW1264">
        <v>1.1499999999999999</v>
      </c>
      <c r="CX1264">
        <v>0.67</v>
      </c>
      <c r="CY1264">
        <v>55.6</v>
      </c>
      <c r="CZ1264" t="s">
        <v>6239</v>
      </c>
      <c r="DA1264">
        <v>16.11</v>
      </c>
      <c r="DB1264">
        <v>1.52</v>
      </c>
      <c r="DC1264">
        <v>1.01</v>
      </c>
      <c r="DD1264">
        <v>0.39</v>
      </c>
      <c r="DE1264">
        <v>2606</v>
      </c>
      <c r="DF1264">
        <v>2824</v>
      </c>
      <c r="DG1264" t="s">
        <v>116</v>
      </c>
      <c r="DH1264" t="s">
        <v>116</v>
      </c>
      <c r="DI1264" t="s">
        <v>116</v>
      </c>
    </row>
    <row r="1265" spans="1:113" x14ac:dyDescent="0.4">
      <c r="A1265" t="str">
        <f>"002825"</f>
        <v>002825</v>
      </c>
      <c r="B1265" t="s">
        <v>7045</v>
      </c>
      <c r="C1265">
        <v>-1.34</v>
      </c>
      <c r="D1265">
        <v>13.24</v>
      </c>
      <c r="E1265">
        <v>-0.18</v>
      </c>
      <c r="F1265">
        <v>13.24</v>
      </c>
      <c r="G1265">
        <v>13.25</v>
      </c>
      <c r="H1265">
        <v>6545</v>
      </c>
      <c r="I1265">
        <v>93</v>
      </c>
      <c r="J1265">
        <v>-7.0000000000000007E-2</v>
      </c>
      <c r="K1265">
        <v>1.06</v>
      </c>
      <c r="L1265">
        <v>13.56</v>
      </c>
      <c r="M1265">
        <v>13.56</v>
      </c>
      <c r="N1265">
        <v>13.2</v>
      </c>
      <c r="O1265">
        <v>13.42</v>
      </c>
      <c r="P1265">
        <v>35.14</v>
      </c>
      <c r="Q1265">
        <v>8739547</v>
      </c>
      <c r="R1265">
        <v>0.83</v>
      </c>
      <c r="S1265" t="s">
        <v>891</v>
      </c>
      <c r="T1265" t="s">
        <v>1653</v>
      </c>
      <c r="U1265">
        <v>2.68</v>
      </c>
      <c r="V1265">
        <v>13.35</v>
      </c>
      <c r="W1265">
        <v>4533</v>
      </c>
      <c r="X1265">
        <v>2012</v>
      </c>
      <c r="Y1265">
        <v>2.25</v>
      </c>
      <c r="Z1265">
        <v>13</v>
      </c>
      <c r="AA1265">
        <v>13</v>
      </c>
      <c r="AB1265" t="s">
        <v>116</v>
      </c>
      <c r="AC1265">
        <v>48800</v>
      </c>
      <c r="AD1265">
        <v>0.01</v>
      </c>
      <c r="AE1265" t="s">
        <v>116</v>
      </c>
      <c r="AF1265" t="s">
        <v>116</v>
      </c>
      <c r="AG1265">
        <v>0.62</v>
      </c>
      <c r="AH1265" t="s">
        <v>7046</v>
      </c>
      <c r="AI1265" t="s">
        <v>7047</v>
      </c>
      <c r="AJ1265">
        <v>-0.66</v>
      </c>
      <c r="AK1265">
        <v>628</v>
      </c>
      <c r="AL1265">
        <v>10</v>
      </c>
      <c r="AM1265">
        <v>1.6999999999999999E-3</v>
      </c>
      <c r="AN1265">
        <v>-1</v>
      </c>
      <c r="AO1265">
        <v>-1.05</v>
      </c>
      <c r="AP1265">
        <v>7.21</v>
      </c>
      <c r="AQ1265">
        <v>-14.69</v>
      </c>
      <c r="AR1265">
        <v>-3.92</v>
      </c>
      <c r="AS1265">
        <v>1.55</v>
      </c>
      <c r="AT1265" t="s">
        <v>7048</v>
      </c>
      <c r="AU1265">
        <v>36.020000000000003</v>
      </c>
      <c r="AV1265">
        <v>30.78</v>
      </c>
      <c r="AW1265">
        <v>0.81</v>
      </c>
      <c r="BA1265">
        <v>1.04</v>
      </c>
      <c r="BB1265">
        <v>1.04</v>
      </c>
      <c r="BC1265">
        <v>-1.64</v>
      </c>
      <c r="BD1265">
        <v>-0.49</v>
      </c>
      <c r="BE1265">
        <v>-2.36</v>
      </c>
      <c r="BF1265">
        <v>-2.36</v>
      </c>
      <c r="BG1265">
        <v>0.3</v>
      </c>
      <c r="BH1265">
        <v>-0.85</v>
      </c>
      <c r="BI1265">
        <v>20191128</v>
      </c>
      <c r="BJ1265">
        <v>20161129</v>
      </c>
      <c r="BK1265">
        <v>1.44</v>
      </c>
      <c r="BL1265" t="s">
        <v>116</v>
      </c>
      <c r="BM1265" t="s">
        <v>116</v>
      </c>
      <c r="BN1265">
        <v>10.82</v>
      </c>
      <c r="BO1265">
        <v>7.11</v>
      </c>
      <c r="BP1265">
        <v>0.54</v>
      </c>
      <c r="BQ1265">
        <v>29.25</v>
      </c>
      <c r="BR1265">
        <v>6.67</v>
      </c>
      <c r="BS1265">
        <v>1.86</v>
      </c>
      <c r="BT1265">
        <v>0.48</v>
      </c>
      <c r="BU1265">
        <v>3.16</v>
      </c>
      <c r="BV1265">
        <v>1.57</v>
      </c>
      <c r="BW1265">
        <v>1.2</v>
      </c>
      <c r="BX1265">
        <v>2.13</v>
      </c>
      <c r="BY1265">
        <v>6.7</v>
      </c>
      <c r="BZ1265">
        <v>5.45</v>
      </c>
      <c r="CA1265">
        <v>0.47</v>
      </c>
      <c r="CB1265">
        <v>0.03</v>
      </c>
      <c r="CC1265">
        <v>0.47</v>
      </c>
      <c r="CD1265">
        <v>0.42</v>
      </c>
      <c r="CE1265">
        <v>0.41</v>
      </c>
      <c r="CF1265">
        <v>0.32</v>
      </c>
      <c r="CG1265">
        <v>3.18</v>
      </c>
      <c r="CH1265">
        <v>0.49</v>
      </c>
      <c r="CI1265">
        <v>-0.31</v>
      </c>
      <c r="CJ1265">
        <v>14185</v>
      </c>
      <c r="CK1265">
        <v>2980</v>
      </c>
      <c r="CL1265" t="s">
        <v>895</v>
      </c>
      <c r="CM1265">
        <v>-18.11</v>
      </c>
      <c r="CN1265">
        <v>14.68</v>
      </c>
      <c r="CO1265">
        <v>2.68</v>
      </c>
      <c r="CP1265">
        <v>38.89</v>
      </c>
      <c r="CQ1265">
        <v>2.85</v>
      </c>
      <c r="CR1265">
        <v>0.73</v>
      </c>
      <c r="CS1265" t="s">
        <v>3995</v>
      </c>
      <c r="CT1265">
        <v>4.93</v>
      </c>
      <c r="CU1265">
        <v>0</v>
      </c>
      <c r="CV1265">
        <v>1.48</v>
      </c>
      <c r="CW1265">
        <v>2.2000000000000002</v>
      </c>
      <c r="CX1265">
        <v>0.34</v>
      </c>
      <c r="CY1265">
        <v>65.75</v>
      </c>
      <c r="CZ1265" t="s">
        <v>513</v>
      </c>
      <c r="DA1265">
        <v>18.63</v>
      </c>
      <c r="DB1265">
        <v>7.07</v>
      </c>
      <c r="DC1265">
        <v>6.08</v>
      </c>
      <c r="DD1265">
        <v>0.33</v>
      </c>
      <c r="DE1265">
        <v>583</v>
      </c>
      <c r="DF1265">
        <v>2825</v>
      </c>
      <c r="DG1265" t="s">
        <v>116</v>
      </c>
      <c r="DH1265" t="s">
        <v>116</v>
      </c>
      <c r="DI1265" t="s">
        <v>116</v>
      </c>
    </row>
    <row r="1266" spans="1:113" x14ac:dyDescent="0.4">
      <c r="A1266" t="str">
        <f>"002826"</f>
        <v>002826</v>
      </c>
      <c r="B1266" t="s">
        <v>7049</v>
      </c>
      <c r="C1266">
        <v>-1.01</v>
      </c>
      <c r="D1266">
        <v>9.84</v>
      </c>
      <c r="E1266">
        <v>-0.1</v>
      </c>
      <c r="F1266">
        <v>9.84</v>
      </c>
      <c r="G1266">
        <v>9.85</v>
      </c>
      <c r="H1266">
        <v>8560</v>
      </c>
      <c r="I1266">
        <v>68</v>
      </c>
      <c r="J1266">
        <v>-0.09</v>
      </c>
      <c r="K1266">
        <v>0.64</v>
      </c>
      <c r="L1266">
        <v>9.94</v>
      </c>
      <c r="M1266">
        <v>9.9700000000000006</v>
      </c>
      <c r="N1266">
        <v>9.82</v>
      </c>
      <c r="O1266">
        <v>9.94</v>
      </c>
      <c r="P1266">
        <v>91.34</v>
      </c>
      <c r="Q1266">
        <v>8480461</v>
      </c>
      <c r="R1266">
        <v>0.96</v>
      </c>
      <c r="S1266" t="s">
        <v>781</v>
      </c>
      <c r="T1266" t="s">
        <v>2028</v>
      </c>
      <c r="U1266">
        <v>1.51</v>
      </c>
      <c r="V1266">
        <v>9.91</v>
      </c>
      <c r="W1266">
        <v>5688</v>
      </c>
      <c r="X1266">
        <v>2872</v>
      </c>
      <c r="Y1266">
        <v>1.98</v>
      </c>
      <c r="Z1266">
        <v>40</v>
      </c>
      <c r="AA1266">
        <v>51</v>
      </c>
      <c r="AB1266" t="s">
        <v>116</v>
      </c>
      <c r="AC1266">
        <v>18900</v>
      </c>
      <c r="AD1266">
        <v>0</v>
      </c>
      <c r="AE1266" t="s">
        <v>116</v>
      </c>
      <c r="AF1266" t="s">
        <v>116</v>
      </c>
      <c r="AG1266">
        <v>1.34</v>
      </c>
      <c r="AH1266" t="s">
        <v>7050</v>
      </c>
      <c r="AI1266" t="s">
        <v>1249</v>
      </c>
      <c r="AJ1266">
        <v>-0.33</v>
      </c>
      <c r="AK1266">
        <v>684</v>
      </c>
      <c r="AL1266">
        <v>13</v>
      </c>
      <c r="AM1266">
        <v>8.9999999999999998E-4</v>
      </c>
      <c r="AN1266">
        <v>-1</v>
      </c>
      <c r="AO1266">
        <v>0.41</v>
      </c>
      <c r="AP1266">
        <v>1.03</v>
      </c>
      <c r="AQ1266">
        <v>-6.11</v>
      </c>
      <c r="AR1266">
        <v>-3.43</v>
      </c>
      <c r="AS1266">
        <v>0.89</v>
      </c>
      <c r="AT1266" t="s">
        <v>7051</v>
      </c>
      <c r="AU1266">
        <v>63.55</v>
      </c>
      <c r="AV1266">
        <v>75.28</v>
      </c>
      <c r="AW1266">
        <v>0.86</v>
      </c>
      <c r="BA1266">
        <v>0</v>
      </c>
      <c r="BB1266">
        <v>0.3</v>
      </c>
      <c r="BC1266">
        <v>-1.21</v>
      </c>
      <c r="BD1266">
        <v>-0.33</v>
      </c>
      <c r="BE1266">
        <v>-1.01</v>
      </c>
      <c r="BF1266">
        <v>-1.3</v>
      </c>
      <c r="BG1266">
        <v>0.2</v>
      </c>
      <c r="BH1266">
        <v>-0.68</v>
      </c>
      <c r="BI1266">
        <v>20191206</v>
      </c>
      <c r="BJ1266">
        <v>20161209</v>
      </c>
      <c r="BK1266">
        <v>1.93</v>
      </c>
      <c r="BL1266" t="s">
        <v>116</v>
      </c>
      <c r="BM1266" t="s">
        <v>116</v>
      </c>
      <c r="BN1266">
        <v>8.0399999999999991</v>
      </c>
      <c r="BO1266">
        <v>6.25</v>
      </c>
      <c r="BP1266">
        <v>0</v>
      </c>
      <c r="BQ1266">
        <v>22.28</v>
      </c>
      <c r="BR1266">
        <v>3.85</v>
      </c>
      <c r="BS1266">
        <v>2.0099999999999998</v>
      </c>
      <c r="BT1266">
        <v>0.28000000000000003</v>
      </c>
      <c r="BU1266">
        <v>1.77</v>
      </c>
      <c r="BV1266">
        <v>0.26</v>
      </c>
      <c r="BW1266">
        <v>0.62</v>
      </c>
      <c r="BX1266">
        <v>2.2400000000000002</v>
      </c>
      <c r="BY1266">
        <v>3.47</v>
      </c>
      <c r="BZ1266">
        <v>2.21</v>
      </c>
      <c r="CA1266">
        <v>0.2</v>
      </c>
      <c r="CB1266">
        <v>0.01</v>
      </c>
      <c r="CC1266">
        <v>0.19</v>
      </c>
      <c r="CD1266">
        <v>0.16</v>
      </c>
      <c r="CE1266">
        <v>0.16</v>
      </c>
      <c r="CF1266">
        <v>0.13</v>
      </c>
      <c r="CG1266">
        <v>1.93</v>
      </c>
      <c r="CH1266">
        <v>-0.05</v>
      </c>
      <c r="CI1266">
        <v>-1.39</v>
      </c>
      <c r="CJ1266">
        <v>21661</v>
      </c>
      <c r="CK1266">
        <v>4451</v>
      </c>
      <c r="CL1266" t="s">
        <v>1807</v>
      </c>
      <c r="CM1266">
        <v>42.56</v>
      </c>
      <c r="CN1266">
        <v>3.33</v>
      </c>
      <c r="CO1266">
        <v>2.99</v>
      </c>
      <c r="CP1266">
        <v>-407.36</v>
      </c>
      <c r="CQ1266">
        <v>5.48</v>
      </c>
      <c r="CR1266">
        <v>0.3</v>
      </c>
      <c r="CS1266" t="s">
        <v>2516</v>
      </c>
      <c r="CT1266">
        <v>3.29</v>
      </c>
      <c r="CU1266">
        <v>3.29</v>
      </c>
      <c r="CV1266">
        <v>1.1599999999999999</v>
      </c>
      <c r="CW1266">
        <v>1</v>
      </c>
      <c r="CX1266">
        <v>-0.02</v>
      </c>
      <c r="CY1266">
        <v>77.72</v>
      </c>
      <c r="CZ1266" t="s">
        <v>7052</v>
      </c>
      <c r="DA1266">
        <v>36.450000000000003</v>
      </c>
      <c r="DB1266">
        <v>5.65</v>
      </c>
      <c r="DC1266">
        <v>4.5</v>
      </c>
      <c r="DD1266">
        <v>0.02</v>
      </c>
      <c r="DE1266">
        <v>377</v>
      </c>
      <c r="DF1266">
        <v>2826</v>
      </c>
      <c r="DG1266" t="s">
        <v>116</v>
      </c>
      <c r="DH1266" t="s">
        <v>116</v>
      </c>
      <c r="DI1266" t="s">
        <v>116</v>
      </c>
    </row>
    <row r="1267" spans="1:113" x14ac:dyDescent="0.4">
      <c r="A1267" t="str">
        <f>"002827"</f>
        <v>002827</v>
      </c>
      <c r="B1267" t="s">
        <v>7053</v>
      </c>
      <c r="C1267">
        <v>0.31</v>
      </c>
      <c r="D1267">
        <v>9.69</v>
      </c>
      <c r="E1267">
        <v>0.03</v>
      </c>
      <c r="F1267">
        <v>9.68</v>
      </c>
      <c r="G1267">
        <v>9.69</v>
      </c>
      <c r="H1267">
        <v>12274</v>
      </c>
      <c r="I1267">
        <v>256</v>
      </c>
      <c r="J1267">
        <v>0</v>
      </c>
      <c r="K1267">
        <v>0.44</v>
      </c>
      <c r="L1267">
        <v>9.66</v>
      </c>
      <c r="M1267">
        <v>9.7799999999999994</v>
      </c>
      <c r="N1267">
        <v>9.6</v>
      </c>
      <c r="O1267">
        <v>9.66</v>
      </c>
      <c r="P1267">
        <v>87.85</v>
      </c>
      <c r="Q1267">
        <v>11861507</v>
      </c>
      <c r="R1267">
        <v>0.57999999999999996</v>
      </c>
      <c r="S1267" t="s">
        <v>891</v>
      </c>
      <c r="T1267" t="s">
        <v>2028</v>
      </c>
      <c r="U1267">
        <v>1.86</v>
      </c>
      <c r="V1267">
        <v>9.66</v>
      </c>
      <c r="W1267">
        <v>6102</v>
      </c>
      <c r="X1267">
        <v>6172</v>
      </c>
      <c r="Y1267">
        <v>0.99</v>
      </c>
      <c r="Z1267">
        <v>43</v>
      </c>
      <c r="AA1267">
        <v>67</v>
      </c>
      <c r="AB1267" t="s">
        <v>116</v>
      </c>
      <c r="AC1267">
        <v>49300</v>
      </c>
      <c r="AD1267">
        <v>0.01</v>
      </c>
      <c r="AE1267" t="s">
        <v>116</v>
      </c>
      <c r="AF1267" t="s">
        <v>116</v>
      </c>
      <c r="AG1267">
        <v>2.76</v>
      </c>
      <c r="AH1267" t="s">
        <v>7054</v>
      </c>
      <c r="AI1267" t="s">
        <v>7054</v>
      </c>
      <c r="AJ1267">
        <v>0.99</v>
      </c>
      <c r="AK1267">
        <v>625</v>
      </c>
      <c r="AL1267">
        <v>20</v>
      </c>
      <c r="AM1267">
        <v>6.9999999999999999E-4</v>
      </c>
      <c r="AN1267">
        <v>1</v>
      </c>
      <c r="AO1267">
        <v>-1.82</v>
      </c>
      <c r="AP1267">
        <v>8.51</v>
      </c>
      <c r="AQ1267">
        <v>-7.54</v>
      </c>
      <c r="AR1267">
        <v>7.59</v>
      </c>
      <c r="AS1267">
        <v>1.22</v>
      </c>
      <c r="AT1267" t="s">
        <v>7055</v>
      </c>
      <c r="AU1267">
        <v>93.68</v>
      </c>
      <c r="AV1267">
        <v>44.29</v>
      </c>
      <c r="AW1267">
        <v>0.75</v>
      </c>
      <c r="BA1267">
        <v>0</v>
      </c>
      <c r="BB1267">
        <v>1.24</v>
      </c>
      <c r="BC1267">
        <v>-0.62</v>
      </c>
      <c r="BD1267">
        <v>0.04</v>
      </c>
      <c r="BE1267">
        <v>0.31</v>
      </c>
      <c r="BF1267">
        <v>-0.92</v>
      </c>
      <c r="BG1267">
        <v>0.94</v>
      </c>
      <c r="BH1267">
        <v>0.27</v>
      </c>
      <c r="BI1267">
        <v>20191206</v>
      </c>
      <c r="BJ1267">
        <v>20161209</v>
      </c>
      <c r="BK1267">
        <v>2.76</v>
      </c>
      <c r="BL1267" t="s">
        <v>116</v>
      </c>
      <c r="BM1267" t="s">
        <v>116</v>
      </c>
      <c r="BN1267">
        <v>10.02</v>
      </c>
      <c r="BO1267">
        <v>7.55</v>
      </c>
      <c r="BP1267">
        <v>0.2</v>
      </c>
      <c r="BQ1267">
        <v>22.63</v>
      </c>
      <c r="BR1267">
        <v>4.57</v>
      </c>
      <c r="BS1267">
        <v>3.01</v>
      </c>
      <c r="BT1267">
        <v>0.52</v>
      </c>
      <c r="BU1267">
        <v>1.94</v>
      </c>
      <c r="BV1267">
        <v>0.16</v>
      </c>
      <c r="BW1267">
        <v>0.76</v>
      </c>
      <c r="BX1267">
        <v>2.79</v>
      </c>
      <c r="BY1267">
        <v>2.5</v>
      </c>
      <c r="BZ1267">
        <v>1.44</v>
      </c>
      <c r="CA1267">
        <v>0.27</v>
      </c>
      <c r="CB1267">
        <v>0.02</v>
      </c>
      <c r="CC1267">
        <v>0.27</v>
      </c>
      <c r="CD1267">
        <v>0.24</v>
      </c>
      <c r="CE1267">
        <v>0.23</v>
      </c>
      <c r="CF1267">
        <v>0.2</v>
      </c>
      <c r="CG1267">
        <v>1.34</v>
      </c>
      <c r="CH1267">
        <v>0.06</v>
      </c>
      <c r="CI1267">
        <v>-1.24</v>
      </c>
      <c r="CJ1267">
        <v>15525</v>
      </c>
      <c r="CK1267">
        <v>6499</v>
      </c>
      <c r="CL1267" t="s">
        <v>7056</v>
      </c>
      <c r="CM1267">
        <v>-58.24</v>
      </c>
      <c r="CN1267">
        <v>-0.99</v>
      </c>
      <c r="CO1267">
        <v>3.54</v>
      </c>
      <c r="CP1267">
        <v>420.07</v>
      </c>
      <c r="CQ1267">
        <v>10.7</v>
      </c>
      <c r="CR1267">
        <v>2.75</v>
      </c>
      <c r="CS1267" t="s">
        <v>6275</v>
      </c>
      <c r="CT1267">
        <v>2.74</v>
      </c>
      <c r="CU1267">
        <v>0</v>
      </c>
      <c r="CV1267">
        <v>1.01</v>
      </c>
      <c r="CW1267">
        <v>0.49</v>
      </c>
      <c r="CX1267">
        <v>0.02</v>
      </c>
      <c r="CY1267">
        <v>75.38</v>
      </c>
      <c r="CZ1267" t="s">
        <v>2558</v>
      </c>
      <c r="DA1267">
        <v>42.29</v>
      </c>
      <c r="DB1267">
        <v>10.79</v>
      </c>
      <c r="DC1267">
        <v>9.14</v>
      </c>
      <c r="DD1267">
        <v>0</v>
      </c>
      <c r="DE1267">
        <v>517</v>
      </c>
      <c r="DF1267">
        <v>2827</v>
      </c>
      <c r="DG1267" t="s">
        <v>116</v>
      </c>
      <c r="DH1267" t="s">
        <v>116</v>
      </c>
      <c r="DI1267" t="s">
        <v>116</v>
      </c>
    </row>
    <row r="1268" spans="1:113" x14ac:dyDescent="0.4">
      <c r="A1268" t="str">
        <f>"002828"</f>
        <v>002828</v>
      </c>
      <c r="B1268" t="s">
        <v>7057</v>
      </c>
      <c r="C1268">
        <v>0.46</v>
      </c>
      <c r="D1268">
        <v>10.87</v>
      </c>
      <c r="E1268">
        <v>0.05</v>
      </c>
      <c r="F1268">
        <v>10.87</v>
      </c>
      <c r="G1268">
        <v>10.88</v>
      </c>
      <c r="H1268">
        <v>43976</v>
      </c>
      <c r="I1268">
        <v>638</v>
      </c>
      <c r="J1268">
        <v>0.37</v>
      </c>
      <c r="K1268">
        <v>2.19</v>
      </c>
      <c r="L1268">
        <v>10.83</v>
      </c>
      <c r="M1268">
        <v>11.03</v>
      </c>
      <c r="N1268">
        <v>10.82</v>
      </c>
      <c r="O1268">
        <v>10.82</v>
      </c>
      <c r="P1268">
        <v>45.81</v>
      </c>
      <c r="Q1268">
        <v>47993312</v>
      </c>
      <c r="R1268">
        <v>1.25</v>
      </c>
      <c r="S1268" t="s">
        <v>4171</v>
      </c>
      <c r="T1268" t="s">
        <v>616</v>
      </c>
      <c r="U1268">
        <v>1.94</v>
      </c>
      <c r="V1268">
        <v>10.91</v>
      </c>
      <c r="W1268">
        <v>24129</v>
      </c>
      <c r="X1268">
        <v>19847</v>
      </c>
      <c r="Y1268">
        <v>1.22</v>
      </c>
      <c r="Z1268">
        <v>90</v>
      </c>
      <c r="AA1268">
        <v>115</v>
      </c>
      <c r="AB1268" t="s">
        <v>116</v>
      </c>
      <c r="AC1268">
        <v>180900</v>
      </c>
      <c r="AD1268">
        <v>0.01</v>
      </c>
      <c r="AE1268" t="s">
        <v>116</v>
      </c>
      <c r="AF1268" t="s">
        <v>116</v>
      </c>
      <c r="AG1268">
        <v>2.0099999999999998</v>
      </c>
      <c r="AH1268" t="s">
        <v>7058</v>
      </c>
      <c r="AI1268" t="s">
        <v>5183</v>
      </c>
      <c r="AJ1268">
        <v>1.1399999999999999</v>
      </c>
      <c r="AK1268">
        <v>1541</v>
      </c>
      <c r="AL1268">
        <v>29</v>
      </c>
      <c r="AM1268">
        <v>1.4E-3</v>
      </c>
      <c r="AN1268">
        <v>1</v>
      </c>
      <c r="AO1268">
        <v>-0.28000000000000003</v>
      </c>
      <c r="AP1268">
        <v>1.21</v>
      </c>
      <c r="AQ1268">
        <v>-14.34</v>
      </c>
      <c r="AR1268">
        <v>-6.62</v>
      </c>
      <c r="AS1268">
        <v>2.62</v>
      </c>
      <c r="AT1268" t="s">
        <v>2284</v>
      </c>
      <c r="AU1268">
        <v>79.69</v>
      </c>
      <c r="AV1268">
        <v>48.6</v>
      </c>
      <c r="AW1268">
        <v>1.21</v>
      </c>
      <c r="BA1268">
        <v>0.09</v>
      </c>
      <c r="BB1268">
        <v>1.94</v>
      </c>
      <c r="BC1268">
        <v>0</v>
      </c>
      <c r="BD1268">
        <v>0.86</v>
      </c>
      <c r="BE1268">
        <v>0.37</v>
      </c>
      <c r="BF1268">
        <v>-1.45</v>
      </c>
      <c r="BG1268">
        <v>0.46</v>
      </c>
      <c r="BH1268">
        <v>-0.4</v>
      </c>
      <c r="BI1268">
        <v>20191211</v>
      </c>
      <c r="BJ1268">
        <v>20161208</v>
      </c>
      <c r="BK1268">
        <v>2.0299999999999998</v>
      </c>
      <c r="BL1268" t="s">
        <v>116</v>
      </c>
      <c r="BM1268" t="s">
        <v>116</v>
      </c>
      <c r="BN1268">
        <v>30.72</v>
      </c>
      <c r="BO1268">
        <v>9.65</v>
      </c>
      <c r="BP1268">
        <v>0.47</v>
      </c>
      <c r="BQ1268">
        <v>67.05</v>
      </c>
      <c r="BR1268">
        <v>20.399999999999999</v>
      </c>
      <c r="BS1268">
        <v>6.31</v>
      </c>
      <c r="BT1268">
        <v>0.16</v>
      </c>
      <c r="BU1268">
        <v>19.11</v>
      </c>
      <c r="BV1268">
        <v>4.24</v>
      </c>
      <c r="BW1268">
        <v>9.49</v>
      </c>
      <c r="BX1268">
        <v>2.97</v>
      </c>
      <c r="BY1268">
        <v>10.92</v>
      </c>
      <c r="BZ1268">
        <v>9.5500000000000007</v>
      </c>
      <c r="CA1268">
        <v>0.38</v>
      </c>
      <c r="CB1268">
        <v>0.01</v>
      </c>
      <c r="CC1268">
        <v>0.44</v>
      </c>
      <c r="CD1268">
        <v>0.39</v>
      </c>
      <c r="CE1268">
        <v>0.36</v>
      </c>
      <c r="CF1268">
        <v>0.25</v>
      </c>
      <c r="CG1268">
        <v>3.97</v>
      </c>
      <c r="CH1268">
        <v>-0.53</v>
      </c>
      <c r="CI1268">
        <v>-0.28999999999999998</v>
      </c>
      <c r="CJ1268">
        <v>25029</v>
      </c>
      <c r="CK1268">
        <v>6714</v>
      </c>
      <c r="CL1268" t="s">
        <v>4977</v>
      </c>
      <c r="CM1268">
        <v>-32.9</v>
      </c>
      <c r="CN1268">
        <v>97.59</v>
      </c>
      <c r="CO1268">
        <v>2.29</v>
      </c>
      <c r="CP1268">
        <v>-41.43</v>
      </c>
      <c r="CQ1268">
        <v>2.02</v>
      </c>
      <c r="CR1268">
        <v>0.56000000000000005</v>
      </c>
      <c r="CS1268" t="s">
        <v>446</v>
      </c>
      <c r="CT1268">
        <v>4.75</v>
      </c>
      <c r="CU1268">
        <v>0</v>
      </c>
      <c r="CV1268">
        <v>1.46</v>
      </c>
      <c r="CW1268">
        <v>1.95</v>
      </c>
      <c r="CX1268">
        <v>-0.26</v>
      </c>
      <c r="CY1268">
        <v>31.42</v>
      </c>
      <c r="CZ1268" t="s">
        <v>1389</v>
      </c>
      <c r="DA1268">
        <v>12.57</v>
      </c>
      <c r="DB1268">
        <v>3.47</v>
      </c>
      <c r="DC1268">
        <v>3.31</v>
      </c>
      <c r="DD1268">
        <v>0.1</v>
      </c>
      <c r="DE1268">
        <v>1673</v>
      </c>
      <c r="DF1268">
        <v>2828</v>
      </c>
      <c r="DG1268" t="s">
        <v>116</v>
      </c>
      <c r="DH1268" t="s">
        <v>116</v>
      </c>
      <c r="DI1268" t="s">
        <v>116</v>
      </c>
    </row>
    <row r="1269" spans="1:113" x14ac:dyDescent="0.4">
      <c r="A1269" t="str">
        <f>"002829"</f>
        <v>002829</v>
      </c>
      <c r="B1269" t="s">
        <v>7059</v>
      </c>
      <c r="C1269">
        <v>1.65</v>
      </c>
      <c r="D1269">
        <v>22.22</v>
      </c>
      <c r="E1269">
        <v>0.36</v>
      </c>
      <c r="F1269">
        <v>22.21</v>
      </c>
      <c r="G1269">
        <v>22.22</v>
      </c>
      <c r="H1269">
        <v>17367</v>
      </c>
      <c r="I1269">
        <v>340</v>
      </c>
      <c r="J1269">
        <v>0.32</v>
      </c>
      <c r="K1269">
        <v>1.1200000000000001</v>
      </c>
      <c r="L1269">
        <v>21.93</v>
      </c>
      <c r="M1269">
        <v>22.28</v>
      </c>
      <c r="N1269">
        <v>21.82</v>
      </c>
      <c r="O1269">
        <v>21.86</v>
      </c>
      <c r="P1269">
        <v>494.59</v>
      </c>
      <c r="Q1269">
        <v>38422032</v>
      </c>
      <c r="R1269">
        <v>1.51</v>
      </c>
      <c r="S1269" t="s">
        <v>465</v>
      </c>
      <c r="T1269" t="s">
        <v>165</v>
      </c>
      <c r="U1269">
        <v>2.1</v>
      </c>
      <c r="V1269">
        <v>22.12</v>
      </c>
      <c r="W1269">
        <v>6157</v>
      </c>
      <c r="X1269">
        <v>11210</v>
      </c>
      <c r="Y1269">
        <v>0.55000000000000004</v>
      </c>
      <c r="Z1269">
        <v>12</v>
      </c>
      <c r="AA1269">
        <v>211</v>
      </c>
      <c r="AB1269" t="s">
        <v>116</v>
      </c>
      <c r="AC1269">
        <v>162300</v>
      </c>
      <c r="AD1269">
        <v>0.01</v>
      </c>
      <c r="AE1269" t="s">
        <v>116</v>
      </c>
      <c r="AF1269" t="s">
        <v>116</v>
      </c>
      <c r="AG1269">
        <v>1.54</v>
      </c>
      <c r="AH1269" t="s">
        <v>5025</v>
      </c>
      <c r="AI1269" t="s">
        <v>7060</v>
      </c>
      <c r="AJ1269">
        <v>2.33</v>
      </c>
      <c r="AK1269">
        <v>954</v>
      </c>
      <c r="AL1269">
        <v>18</v>
      </c>
      <c r="AM1269">
        <v>1.1999999999999999E-3</v>
      </c>
      <c r="AN1269">
        <v>1</v>
      </c>
      <c r="AO1269">
        <v>0.4</v>
      </c>
      <c r="AP1269">
        <v>-1.24</v>
      </c>
      <c r="AQ1269">
        <v>-0.13</v>
      </c>
      <c r="AR1269">
        <v>23.44</v>
      </c>
      <c r="AS1269">
        <v>2.5</v>
      </c>
      <c r="AT1269" t="s">
        <v>5338</v>
      </c>
      <c r="AU1269">
        <v>897.89</v>
      </c>
      <c r="AV1269">
        <v>188.59</v>
      </c>
      <c r="AW1269">
        <v>0.22</v>
      </c>
      <c r="BA1269">
        <v>0.32</v>
      </c>
      <c r="BB1269">
        <v>1.92</v>
      </c>
      <c r="BC1269">
        <v>-0.18</v>
      </c>
      <c r="BD1269">
        <v>1.21</v>
      </c>
      <c r="BE1269">
        <v>1.32</v>
      </c>
      <c r="BF1269">
        <v>-0.27</v>
      </c>
      <c r="BG1269">
        <v>1.83</v>
      </c>
      <c r="BH1269">
        <v>0.44</v>
      </c>
      <c r="BI1269">
        <v>20191212</v>
      </c>
      <c r="BJ1269">
        <v>20161213</v>
      </c>
      <c r="BK1269">
        <v>1.57</v>
      </c>
      <c r="BL1269" t="s">
        <v>116</v>
      </c>
      <c r="BM1269" t="s">
        <v>116</v>
      </c>
      <c r="BN1269">
        <v>16.260000000000002</v>
      </c>
      <c r="BO1269">
        <v>8.58</v>
      </c>
      <c r="BP1269">
        <v>1.18</v>
      </c>
      <c r="BQ1269">
        <v>40</v>
      </c>
      <c r="BR1269">
        <v>8.48</v>
      </c>
      <c r="BS1269">
        <v>2.33</v>
      </c>
      <c r="BT1269">
        <v>0.4</v>
      </c>
      <c r="BU1269">
        <v>4.4800000000000004</v>
      </c>
      <c r="BV1269">
        <v>2.85</v>
      </c>
      <c r="BW1269">
        <v>3.93</v>
      </c>
      <c r="BX1269">
        <v>3.94</v>
      </c>
      <c r="BY1269">
        <v>2.0099999999999998</v>
      </c>
      <c r="BZ1269">
        <v>1.05</v>
      </c>
      <c r="CA1269">
        <v>-0.03</v>
      </c>
      <c r="CB1269">
        <v>0.05</v>
      </c>
      <c r="CC1269">
        <v>-0.03</v>
      </c>
      <c r="CD1269">
        <v>-0.02</v>
      </c>
      <c r="CE1269">
        <v>0.05</v>
      </c>
      <c r="CF1269">
        <v>0</v>
      </c>
      <c r="CG1269">
        <v>3.29</v>
      </c>
      <c r="CH1269">
        <v>-0.45</v>
      </c>
      <c r="CI1269">
        <v>-1.1200000000000001</v>
      </c>
      <c r="CJ1269">
        <v>11000</v>
      </c>
      <c r="CK1269">
        <v>6305</v>
      </c>
      <c r="CL1269" t="s">
        <v>6710</v>
      </c>
      <c r="CM1269">
        <v>-73.42</v>
      </c>
      <c r="CN1269">
        <v>-27.3</v>
      </c>
      <c r="CO1269">
        <v>4.07</v>
      </c>
      <c r="CP1269">
        <v>-76.790000000000006</v>
      </c>
      <c r="CQ1269">
        <v>17.34</v>
      </c>
      <c r="CR1269">
        <v>0</v>
      </c>
      <c r="CS1269" t="s">
        <v>2388</v>
      </c>
      <c r="CT1269">
        <v>5.46</v>
      </c>
      <c r="CU1269">
        <v>0</v>
      </c>
      <c r="CV1269">
        <v>2.5099999999999998</v>
      </c>
      <c r="CW1269">
        <v>2.1</v>
      </c>
      <c r="CX1269">
        <v>-0.28999999999999998</v>
      </c>
      <c r="CY1269">
        <v>52.76</v>
      </c>
      <c r="CZ1269" t="s">
        <v>1818</v>
      </c>
      <c r="DA1269">
        <v>47.63</v>
      </c>
      <c r="DB1269">
        <v>-1.66</v>
      </c>
      <c r="DC1269">
        <v>2.63</v>
      </c>
      <c r="DD1269">
        <v>0.43</v>
      </c>
      <c r="DE1269">
        <v>607</v>
      </c>
      <c r="DF1269">
        <v>2829</v>
      </c>
      <c r="DG1269" t="s">
        <v>116</v>
      </c>
      <c r="DH1269" t="s">
        <v>116</v>
      </c>
      <c r="DI1269" t="s">
        <v>116</v>
      </c>
    </row>
    <row r="1270" spans="1:113" x14ac:dyDescent="0.4">
      <c r="A1270" t="str">
        <f>"002830"</f>
        <v>002830</v>
      </c>
      <c r="B1270" t="s">
        <v>7061</v>
      </c>
      <c r="C1270">
        <v>3.08</v>
      </c>
      <c r="D1270">
        <v>14.39</v>
      </c>
      <c r="E1270">
        <v>0.43</v>
      </c>
      <c r="F1270">
        <v>14.38</v>
      </c>
      <c r="G1270">
        <v>14.39</v>
      </c>
      <c r="H1270">
        <v>35301</v>
      </c>
      <c r="I1270">
        <v>1294</v>
      </c>
      <c r="J1270">
        <v>-0.13</v>
      </c>
      <c r="K1270">
        <v>2.65</v>
      </c>
      <c r="L1270">
        <v>14</v>
      </c>
      <c r="M1270">
        <v>14.55</v>
      </c>
      <c r="N1270">
        <v>14</v>
      </c>
      <c r="O1270">
        <v>13.96</v>
      </c>
      <c r="P1270">
        <v>1156.72</v>
      </c>
      <c r="Q1270">
        <v>50303212</v>
      </c>
      <c r="R1270">
        <v>3.34</v>
      </c>
      <c r="S1270" t="s">
        <v>3331</v>
      </c>
      <c r="T1270" t="s">
        <v>115</v>
      </c>
      <c r="U1270">
        <v>3.94</v>
      </c>
      <c r="V1270">
        <v>14.25</v>
      </c>
      <c r="W1270">
        <v>13811</v>
      </c>
      <c r="X1270">
        <v>21490</v>
      </c>
      <c r="Y1270">
        <v>0.64</v>
      </c>
      <c r="Z1270">
        <v>20</v>
      </c>
      <c r="AA1270">
        <v>109</v>
      </c>
      <c r="AB1270" t="s">
        <v>116</v>
      </c>
      <c r="AC1270">
        <v>53200</v>
      </c>
      <c r="AD1270">
        <v>0.01</v>
      </c>
      <c r="AE1270" t="s">
        <v>116</v>
      </c>
      <c r="AF1270" t="s">
        <v>116</v>
      </c>
      <c r="AG1270">
        <v>1.33</v>
      </c>
      <c r="AH1270" t="s">
        <v>7062</v>
      </c>
      <c r="AI1270" t="s">
        <v>7062</v>
      </c>
      <c r="AJ1270">
        <v>3.76</v>
      </c>
      <c r="AK1270">
        <v>1389</v>
      </c>
      <c r="AL1270">
        <v>25</v>
      </c>
      <c r="AM1270">
        <v>1.9E-3</v>
      </c>
      <c r="AN1270">
        <v>4</v>
      </c>
      <c r="AO1270">
        <v>3.52</v>
      </c>
      <c r="AP1270">
        <v>6.51</v>
      </c>
      <c r="AQ1270">
        <v>-9.15</v>
      </c>
      <c r="AR1270">
        <v>-4.51</v>
      </c>
      <c r="AS1270">
        <v>8.18</v>
      </c>
      <c r="AT1270" t="s">
        <v>5636</v>
      </c>
      <c r="AU1270">
        <v>60.14</v>
      </c>
      <c r="AV1270">
        <v>41.77</v>
      </c>
      <c r="AW1270">
        <v>0.75</v>
      </c>
      <c r="BA1270">
        <v>0.28999999999999998</v>
      </c>
      <c r="BB1270">
        <v>4.2300000000000004</v>
      </c>
      <c r="BC1270">
        <v>0.28999999999999998</v>
      </c>
      <c r="BD1270">
        <v>2.08</v>
      </c>
      <c r="BE1270">
        <v>2.79</v>
      </c>
      <c r="BF1270">
        <v>-1.1000000000000001</v>
      </c>
      <c r="BG1270">
        <v>2.79</v>
      </c>
      <c r="BH1270">
        <v>1</v>
      </c>
      <c r="BI1270">
        <v>20191212</v>
      </c>
      <c r="BJ1270">
        <v>20161213</v>
      </c>
      <c r="BK1270">
        <v>1.33</v>
      </c>
      <c r="BL1270" t="s">
        <v>116</v>
      </c>
      <c r="BM1270" t="s">
        <v>116</v>
      </c>
      <c r="BN1270">
        <v>12.96</v>
      </c>
      <c r="BO1270">
        <v>6.18</v>
      </c>
      <c r="BP1270">
        <v>0.14000000000000001</v>
      </c>
      <c r="BQ1270">
        <v>51.23</v>
      </c>
      <c r="BR1270">
        <v>6.46</v>
      </c>
      <c r="BS1270">
        <v>1.51</v>
      </c>
      <c r="BT1270">
        <v>0.44</v>
      </c>
      <c r="BU1270">
        <v>6.63</v>
      </c>
      <c r="BV1270">
        <v>0.44</v>
      </c>
      <c r="BW1270">
        <v>0.05</v>
      </c>
      <c r="BX1270">
        <v>1.61</v>
      </c>
      <c r="BY1270">
        <v>5.45</v>
      </c>
      <c r="BZ1270">
        <v>3.92</v>
      </c>
      <c r="CA1270">
        <v>0.04</v>
      </c>
      <c r="CB1270">
        <v>7.0000000000000007E-2</v>
      </c>
      <c r="CC1270">
        <v>7.0000000000000007E-2</v>
      </c>
      <c r="CD1270">
        <v>0.03</v>
      </c>
      <c r="CE1270">
        <v>0.01</v>
      </c>
      <c r="CF1270">
        <v>-0.01</v>
      </c>
      <c r="CG1270">
        <v>2.85</v>
      </c>
      <c r="CH1270">
        <v>1.1100000000000001</v>
      </c>
      <c r="CI1270">
        <v>-2.2999999999999998</v>
      </c>
      <c r="CJ1270">
        <v>12748</v>
      </c>
      <c r="CK1270">
        <v>3386</v>
      </c>
      <c r="CL1270" t="s">
        <v>4706</v>
      </c>
      <c r="CM1270">
        <v>-91.86</v>
      </c>
      <c r="CN1270">
        <v>10.49</v>
      </c>
      <c r="CO1270">
        <v>3.1</v>
      </c>
      <c r="CP1270">
        <v>17.32</v>
      </c>
      <c r="CQ1270">
        <v>3.52</v>
      </c>
      <c r="CR1270">
        <v>1.1100000000000001</v>
      </c>
      <c r="CS1270" t="s">
        <v>930</v>
      </c>
      <c r="CT1270">
        <v>4.6399999999999997</v>
      </c>
      <c r="CU1270">
        <v>0</v>
      </c>
      <c r="CV1270">
        <v>1.21</v>
      </c>
      <c r="CW1270">
        <v>2.14</v>
      </c>
      <c r="CX1270">
        <v>0.83</v>
      </c>
      <c r="CY1270">
        <v>47.68</v>
      </c>
      <c r="CZ1270" t="s">
        <v>5250</v>
      </c>
      <c r="DA1270">
        <v>28.18</v>
      </c>
      <c r="DB1270">
        <v>0.8</v>
      </c>
      <c r="DC1270">
        <v>0.23</v>
      </c>
      <c r="DD1270">
        <v>0.11</v>
      </c>
      <c r="DE1270">
        <v>1863</v>
      </c>
      <c r="DF1270">
        <v>2830</v>
      </c>
      <c r="DG1270" t="s">
        <v>116</v>
      </c>
      <c r="DH1270" t="s">
        <v>116</v>
      </c>
      <c r="DI1270" t="s">
        <v>116</v>
      </c>
    </row>
    <row r="1271" spans="1:113" x14ac:dyDescent="0.4">
      <c r="A1271" t="str">
        <f>"002831"</f>
        <v>002831</v>
      </c>
      <c r="B1271" t="s">
        <v>7063</v>
      </c>
      <c r="C1271">
        <v>-3.02</v>
      </c>
      <c r="D1271">
        <v>25.7</v>
      </c>
      <c r="E1271">
        <v>-0.8</v>
      </c>
      <c r="F1271">
        <v>25.69</v>
      </c>
      <c r="G1271">
        <v>25.7</v>
      </c>
      <c r="H1271">
        <v>40733</v>
      </c>
      <c r="I1271">
        <v>222</v>
      </c>
      <c r="J1271">
        <v>-0.11</v>
      </c>
      <c r="K1271">
        <v>0.95</v>
      </c>
      <c r="L1271">
        <v>26.5</v>
      </c>
      <c r="M1271">
        <v>26.64</v>
      </c>
      <c r="N1271">
        <v>25.7</v>
      </c>
      <c r="O1271">
        <v>26.5</v>
      </c>
      <c r="P1271">
        <v>27.79</v>
      </c>
      <c r="Q1271">
        <v>105953928</v>
      </c>
      <c r="R1271">
        <v>1.2</v>
      </c>
      <c r="S1271" t="s">
        <v>345</v>
      </c>
      <c r="T1271" t="s">
        <v>115</v>
      </c>
      <c r="U1271">
        <v>3.55</v>
      </c>
      <c r="V1271">
        <v>26.01</v>
      </c>
      <c r="W1271">
        <v>23800</v>
      </c>
      <c r="X1271">
        <v>16933</v>
      </c>
      <c r="Y1271">
        <v>1.41</v>
      </c>
      <c r="Z1271">
        <v>5</v>
      </c>
      <c r="AA1271">
        <v>194</v>
      </c>
      <c r="AB1271" t="s">
        <v>116</v>
      </c>
      <c r="AC1271">
        <v>108700</v>
      </c>
      <c r="AD1271">
        <v>0</v>
      </c>
      <c r="AE1271" t="s">
        <v>116</v>
      </c>
      <c r="AF1271" t="s">
        <v>116</v>
      </c>
      <c r="AG1271">
        <v>4.3</v>
      </c>
      <c r="AH1271" t="s">
        <v>7064</v>
      </c>
      <c r="AI1271" t="s">
        <v>7065</v>
      </c>
      <c r="AJ1271">
        <v>-2.34</v>
      </c>
      <c r="AK1271">
        <v>3008</v>
      </c>
      <c r="AL1271">
        <v>14</v>
      </c>
      <c r="AM1271">
        <v>2.9999999999999997E-4</v>
      </c>
      <c r="AN1271">
        <v>-2</v>
      </c>
      <c r="AO1271">
        <v>0</v>
      </c>
      <c r="AP1271">
        <v>6.99</v>
      </c>
      <c r="AQ1271">
        <v>12.92</v>
      </c>
      <c r="AR1271">
        <v>43.28</v>
      </c>
      <c r="AS1271">
        <v>1.55</v>
      </c>
      <c r="AT1271" t="s">
        <v>7066</v>
      </c>
      <c r="AU1271">
        <v>22.29</v>
      </c>
      <c r="AV1271">
        <v>23.84</v>
      </c>
      <c r="AW1271">
        <v>0.53</v>
      </c>
      <c r="BA1271">
        <v>0</v>
      </c>
      <c r="BB1271">
        <v>0.53</v>
      </c>
      <c r="BC1271">
        <v>-3.02</v>
      </c>
      <c r="BD1271">
        <v>-1.84</v>
      </c>
      <c r="BE1271">
        <v>-3.02</v>
      </c>
      <c r="BF1271">
        <v>-3.53</v>
      </c>
      <c r="BG1271">
        <v>0</v>
      </c>
      <c r="BH1271">
        <v>-1.18</v>
      </c>
      <c r="BI1271">
        <v>20191213</v>
      </c>
      <c r="BJ1271">
        <v>20161216</v>
      </c>
      <c r="BK1271">
        <v>8.77</v>
      </c>
      <c r="BL1271" t="s">
        <v>116</v>
      </c>
      <c r="BM1271" t="s">
        <v>116</v>
      </c>
      <c r="BN1271">
        <v>121.59</v>
      </c>
      <c r="BO1271">
        <v>59.96</v>
      </c>
      <c r="BP1271">
        <v>2.7</v>
      </c>
      <c r="BQ1271">
        <v>48.47</v>
      </c>
      <c r="BR1271">
        <v>71.98</v>
      </c>
      <c r="BS1271">
        <v>32.89</v>
      </c>
      <c r="BT1271">
        <v>4.21</v>
      </c>
      <c r="BU1271">
        <v>51.61</v>
      </c>
      <c r="BV1271">
        <v>10.27</v>
      </c>
      <c r="BW1271">
        <v>35.64</v>
      </c>
      <c r="BX1271">
        <v>8.94</v>
      </c>
      <c r="BY1271">
        <v>63.46</v>
      </c>
      <c r="BZ1271">
        <v>44.15</v>
      </c>
      <c r="CA1271">
        <v>7.54</v>
      </c>
      <c r="CB1271">
        <v>0.25</v>
      </c>
      <c r="CC1271">
        <v>7.67</v>
      </c>
      <c r="CD1271">
        <v>6.27</v>
      </c>
      <c r="CE1271">
        <v>6.08</v>
      </c>
      <c r="CF1271">
        <v>5.4</v>
      </c>
      <c r="CG1271">
        <v>40.96</v>
      </c>
      <c r="CH1271">
        <v>10.53</v>
      </c>
      <c r="CI1271">
        <v>5.31</v>
      </c>
      <c r="CJ1271">
        <v>14207</v>
      </c>
      <c r="CK1271">
        <v>18445</v>
      </c>
      <c r="CL1271" t="s">
        <v>7067</v>
      </c>
      <c r="CM1271">
        <v>12.13</v>
      </c>
      <c r="CN1271">
        <v>16.350000000000001</v>
      </c>
      <c r="CO1271">
        <v>3.76</v>
      </c>
      <c r="CP1271">
        <v>21.42</v>
      </c>
      <c r="CQ1271">
        <v>3.55</v>
      </c>
      <c r="CR1271">
        <v>1.06</v>
      </c>
      <c r="CS1271" t="s">
        <v>7068</v>
      </c>
      <c r="CT1271">
        <v>6.84</v>
      </c>
      <c r="CU1271">
        <v>0</v>
      </c>
      <c r="CV1271">
        <v>1.02</v>
      </c>
      <c r="CW1271">
        <v>4.67</v>
      </c>
      <c r="CX1271">
        <v>1.2</v>
      </c>
      <c r="CY1271">
        <v>49.31</v>
      </c>
      <c r="CZ1271" t="s">
        <v>6520</v>
      </c>
      <c r="DA1271">
        <v>30.42</v>
      </c>
      <c r="DB1271">
        <v>11.88</v>
      </c>
      <c r="DC1271">
        <v>9.59</v>
      </c>
      <c r="DD1271">
        <v>3.01</v>
      </c>
      <c r="DE1271">
        <v>20793</v>
      </c>
      <c r="DF1271">
        <v>2831</v>
      </c>
      <c r="DG1271" t="s">
        <v>116</v>
      </c>
      <c r="DH1271" t="s">
        <v>116</v>
      </c>
      <c r="DI1271" t="s">
        <v>116</v>
      </c>
    </row>
    <row r="1272" spans="1:113" x14ac:dyDescent="0.4">
      <c r="A1272" t="str">
        <f>"002832"</f>
        <v>002832</v>
      </c>
      <c r="B1272" t="s">
        <v>7069</v>
      </c>
      <c r="C1272">
        <v>-0.91</v>
      </c>
      <c r="D1272">
        <v>25.16</v>
      </c>
      <c r="E1272">
        <v>-0.23</v>
      </c>
      <c r="F1272">
        <v>25.1</v>
      </c>
      <c r="G1272">
        <v>25.16</v>
      </c>
      <c r="H1272">
        <v>22862</v>
      </c>
      <c r="I1272">
        <v>238</v>
      </c>
      <c r="J1272">
        <v>0.44</v>
      </c>
      <c r="K1272">
        <v>1.5</v>
      </c>
      <c r="L1272">
        <v>25.1</v>
      </c>
      <c r="M1272">
        <v>25.79</v>
      </c>
      <c r="N1272">
        <v>24.9</v>
      </c>
      <c r="O1272">
        <v>25.39</v>
      </c>
      <c r="P1272">
        <v>18.690000000000001</v>
      </c>
      <c r="Q1272">
        <v>57787220</v>
      </c>
      <c r="R1272">
        <v>1.24</v>
      </c>
      <c r="S1272" t="s">
        <v>3070</v>
      </c>
      <c r="T1272" t="s">
        <v>551</v>
      </c>
      <c r="U1272">
        <v>3.51</v>
      </c>
      <c r="V1272">
        <v>25.28</v>
      </c>
      <c r="W1272">
        <v>12094</v>
      </c>
      <c r="X1272">
        <v>10768</v>
      </c>
      <c r="Y1272">
        <v>1.1200000000000001</v>
      </c>
      <c r="Z1272">
        <v>12</v>
      </c>
      <c r="AA1272">
        <v>96</v>
      </c>
      <c r="AB1272" t="s">
        <v>116</v>
      </c>
      <c r="AC1272">
        <v>210800</v>
      </c>
      <c r="AD1272">
        <v>0.01</v>
      </c>
      <c r="AE1272" t="s">
        <v>116</v>
      </c>
      <c r="AF1272" t="s">
        <v>116</v>
      </c>
      <c r="AG1272">
        <v>1.53</v>
      </c>
      <c r="AH1272" t="s">
        <v>2643</v>
      </c>
      <c r="AI1272" t="s">
        <v>7070</v>
      </c>
      <c r="AJ1272">
        <v>-0.23</v>
      </c>
      <c r="AK1272">
        <v>2192</v>
      </c>
      <c r="AL1272">
        <v>10</v>
      </c>
      <c r="AM1272">
        <v>6.9999999999999999E-4</v>
      </c>
      <c r="AN1272">
        <v>-2</v>
      </c>
      <c r="AO1272">
        <v>0.04</v>
      </c>
      <c r="AP1272">
        <v>2.11</v>
      </c>
      <c r="AQ1272">
        <v>-3.97</v>
      </c>
      <c r="AR1272">
        <v>30.01</v>
      </c>
      <c r="AS1272">
        <v>1.7</v>
      </c>
      <c r="AT1272" t="s">
        <v>7071</v>
      </c>
      <c r="AU1272">
        <v>19.510000000000002</v>
      </c>
      <c r="AV1272">
        <v>26.54</v>
      </c>
      <c r="AW1272">
        <v>0.74</v>
      </c>
      <c r="BA1272">
        <v>-1.1399999999999999</v>
      </c>
      <c r="BB1272">
        <v>1.58</v>
      </c>
      <c r="BC1272">
        <v>-1.93</v>
      </c>
      <c r="BD1272">
        <v>-0.45</v>
      </c>
      <c r="BE1272">
        <v>0.24</v>
      </c>
      <c r="BF1272">
        <v>-2.44</v>
      </c>
      <c r="BG1272">
        <v>1.04</v>
      </c>
      <c r="BH1272">
        <v>-0.46</v>
      </c>
      <c r="BI1272">
        <v>20191220</v>
      </c>
      <c r="BJ1272">
        <v>20161223</v>
      </c>
      <c r="BK1272">
        <v>3.08</v>
      </c>
      <c r="BL1272" t="s">
        <v>116</v>
      </c>
      <c r="BM1272" t="s">
        <v>116</v>
      </c>
      <c r="BN1272">
        <v>23.21</v>
      </c>
      <c r="BO1272">
        <v>18.62</v>
      </c>
      <c r="BP1272">
        <v>0.01</v>
      </c>
      <c r="BQ1272">
        <v>19.71</v>
      </c>
      <c r="BR1272">
        <v>18.98</v>
      </c>
      <c r="BS1272">
        <v>0.1</v>
      </c>
      <c r="BT1272">
        <v>1.1000000000000001</v>
      </c>
      <c r="BU1272">
        <v>4.2699999999999996</v>
      </c>
      <c r="BV1272">
        <v>6.77</v>
      </c>
      <c r="BW1272">
        <v>0.91</v>
      </c>
      <c r="BX1272">
        <v>4.43</v>
      </c>
      <c r="BY1272">
        <v>13.23</v>
      </c>
      <c r="BZ1272">
        <v>4.2300000000000004</v>
      </c>
      <c r="CA1272">
        <v>3.62</v>
      </c>
      <c r="CB1272">
        <v>0.13</v>
      </c>
      <c r="CC1272">
        <v>3.61</v>
      </c>
      <c r="CD1272">
        <v>3.11</v>
      </c>
      <c r="CE1272">
        <v>3.11</v>
      </c>
      <c r="CF1272">
        <v>3</v>
      </c>
      <c r="CG1272">
        <v>10.27</v>
      </c>
      <c r="CH1272">
        <v>1.61</v>
      </c>
      <c r="CI1272">
        <v>0.05</v>
      </c>
      <c r="CJ1272">
        <v>10293</v>
      </c>
      <c r="CK1272">
        <v>13048</v>
      </c>
      <c r="CL1272" t="s">
        <v>7072</v>
      </c>
      <c r="CM1272">
        <v>51.09</v>
      </c>
      <c r="CN1272">
        <v>24.95</v>
      </c>
      <c r="CO1272">
        <v>4.17</v>
      </c>
      <c r="CP1272">
        <v>48.26</v>
      </c>
      <c r="CQ1272">
        <v>5.86</v>
      </c>
      <c r="CR1272">
        <v>1.17</v>
      </c>
      <c r="CS1272" t="s">
        <v>7073</v>
      </c>
      <c r="CT1272">
        <v>6.04</v>
      </c>
      <c r="CU1272">
        <v>0</v>
      </c>
      <c r="CV1272">
        <v>1.44</v>
      </c>
      <c r="CW1272">
        <v>3.33</v>
      </c>
      <c r="CX1272">
        <v>0.52</v>
      </c>
      <c r="CY1272">
        <v>80.25</v>
      </c>
      <c r="CZ1272" t="s">
        <v>7074</v>
      </c>
      <c r="DA1272">
        <v>68</v>
      </c>
      <c r="DB1272">
        <v>27.35</v>
      </c>
      <c r="DC1272">
        <v>23.52</v>
      </c>
      <c r="DD1272">
        <v>0.43</v>
      </c>
      <c r="DE1272">
        <v>2294</v>
      </c>
      <c r="DF1272">
        <v>2832</v>
      </c>
      <c r="DG1272" t="s">
        <v>116</v>
      </c>
      <c r="DH1272" t="s">
        <v>116</v>
      </c>
      <c r="DI1272" t="s">
        <v>116</v>
      </c>
    </row>
    <row r="1273" spans="1:113" x14ac:dyDescent="0.4">
      <c r="A1273" t="str">
        <f>"002833"</f>
        <v>002833</v>
      </c>
      <c r="B1273" t="s">
        <v>7075</v>
      </c>
      <c r="C1273">
        <v>3.57</v>
      </c>
      <c r="D1273">
        <v>37.99</v>
      </c>
      <c r="E1273">
        <v>1.31</v>
      </c>
      <c r="F1273">
        <v>37.85</v>
      </c>
      <c r="G1273">
        <v>37.99</v>
      </c>
      <c r="H1273">
        <v>23261</v>
      </c>
      <c r="I1273">
        <v>143</v>
      </c>
      <c r="J1273">
        <v>0.42</v>
      </c>
      <c r="K1273">
        <v>3.97</v>
      </c>
      <c r="L1273">
        <v>36.5</v>
      </c>
      <c r="M1273">
        <v>38.81</v>
      </c>
      <c r="N1273">
        <v>36.5</v>
      </c>
      <c r="O1273">
        <v>36.68</v>
      </c>
      <c r="P1273">
        <v>15.25</v>
      </c>
      <c r="Q1273">
        <v>87704888</v>
      </c>
      <c r="R1273">
        <v>2.36</v>
      </c>
      <c r="S1273" t="s">
        <v>682</v>
      </c>
      <c r="T1273" t="s">
        <v>551</v>
      </c>
      <c r="U1273">
        <v>6.3</v>
      </c>
      <c r="V1273">
        <v>37.700000000000003</v>
      </c>
      <c r="W1273">
        <v>11245</v>
      </c>
      <c r="X1273">
        <v>12016</v>
      </c>
      <c r="Y1273">
        <v>0.94</v>
      </c>
      <c r="Z1273">
        <v>7</v>
      </c>
      <c r="AA1273">
        <v>147</v>
      </c>
      <c r="AB1273" t="s">
        <v>116</v>
      </c>
      <c r="AC1273">
        <v>288400</v>
      </c>
      <c r="AD1273">
        <v>0.02</v>
      </c>
      <c r="AE1273" t="s">
        <v>116</v>
      </c>
      <c r="AF1273" t="s">
        <v>116</v>
      </c>
      <c r="AG1273">
        <v>0.59</v>
      </c>
      <c r="AH1273" t="s">
        <v>7076</v>
      </c>
      <c r="AI1273" t="s">
        <v>611</v>
      </c>
      <c r="AJ1273">
        <v>4.25</v>
      </c>
      <c r="AK1273">
        <v>2052</v>
      </c>
      <c r="AL1273">
        <v>11</v>
      </c>
      <c r="AM1273">
        <v>1.9E-3</v>
      </c>
      <c r="AN1273">
        <v>4</v>
      </c>
      <c r="AO1273">
        <v>11.24</v>
      </c>
      <c r="AP1273">
        <v>16.5</v>
      </c>
      <c r="AQ1273">
        <v>10.31</v>
      </c>
      <c r="AR1273">
        <v>12.73</v>
      </c>
      <c r="AS1273">
        <v>4.95</v>
      </c>
      <c r="AT1273" t="s">
        <v>3441</v>
      </c>
      <c r="AU1273">
        <v>18.68</v>
      </c>
      <c r="AV1273">
        <v>19.010000000000002</v>
      </c>
      <c r="AW1273">
        <v>0.76</v>
      </c>
      <c r="BA1273">
        <v>-0.49</v>
      </c>
      <c r="BB1273">
        <v>5.81</v>
      </c>
      <c r="BC1273">
        <v>-0.49</v>
      </c>
      <c r="BD1273">
        <v>2.79</v>
      </c>
      <c r="BE1273">
        <v>4.08</v>
      </c>
      <c r="BF1273">
        <v>-2.11</v>
      </c>
      <c r="BG1273">
        <v>4.08</v>
      </c>
      <c r="BH1273">
        <v>0.78</v>
      </c>
      <c r="BI1273">
        <v>20191031</v>
      </c>
      <c r="BJ1273">
        <v>20161228</v>
      </c>
      <c r="BK1273">
        <v>1.35</v>
      </c>
      <c r="BL1273" t="s">
        <v>116</v>
      </c>
      <c r="BM1273" t="s">
        <v>116</v>
      </c>
      <c r="BN1273">
        <v>17.489999999999998</v>
      </c>
      <c r="BO1273">
        <v>13.58</v>
      </c>
      <c r="BP1273">
        <v>0.26</v>
      </c>
      <c r="BQ1273">
        <v>20.88</v>
      </c>
      <c r="BR1273">
        <v>11.03</v>
      </c>
      <c r="BS1273">
        <v>3.01</v>
      </c>
      <c r="BT1273">
        <v>1.02</v>
      </c>
      <c r="BU1273">
        <v>3</v>
      </c>
      <c r="BV1273">
        <v>1.77</v>
      </c>
      <c r="BW1273">
        <v>0.46</v>
      </c>
      <c r="BX1273">
        <v>3.41</v>
      </c>
      <c r="BY1273">
        <v>9.85</v>
      </c>
      <c r="BZ1273">
        <v>6.13</v>
      </c>
      <c r="CA1273">
        <v>2.96</v>
      </c>
      <c r="CB1273">
        <v>0.3</v>
      </c>
      <c r="CC1273">
        <v>2.97</v>
      </c>
      <c r="CD1273">
        <v>2.56</v>
      </c>
      <c r="CE1273">
        <v>2.5299999999999998</v>
      </c>
      <c r="CF1273">
        <v>2.09</v>
      </c>
      <c r="CG1273">
        <v>8.15</v>
      </c>
      <c r="CH1273">
        <v>2.38</v>
      </c>
      <c r="CI1273">
        <v>1.22</v>
      </c>
      <c r="CJ1273">
        <v>7626</v>
      </c>
      <c r="CK1273">
        <v>6163</v>
      </c>
      <c r="CL1273" t="s">
        <v>7077</v>
      </c>
      <c r="CM1273">
        <v>1.91</v>
      </c>
      <c r="CN1273">
        <v>5.92</v>
      </c>
      <c r="CO1273">
        <v>3.78</v>
      </c>
      <c r="CP1273">
        <v>21.64</v>
      </c>
      <c r="CQ1273">
        <v>5.22</v>
      </c>
      <c r="CR1273">
        <v>0.78</v>
      </c>
      <c r="CS1273" t="s">
        <v>7078</v>
      </c>
      <c r="CT1273">
        <v>10.039999999999999</v>
      </c>
      <c r="CU1273">
        <v>0</v>
      </c>
      <c r="CV1273">
        <v>2.52</v>
      </c>
      <c r="CW1273">
        <v>6.02</v>
      </c>
      <c r="CX1273">
        <v>1.76</v>
      </c>
      <c r="CY1273">
        <v>77.63</v>
      </c>
      <c r="CZ1273" t="s">
        <v>3265</v>
      </c>
      <c r="DA1273">
        <v>37.75</v>
      </c>
      <c r="DB1273">
        <v>30.07</v>
      </c>
      <c r="DC1273">
        <v>25.68</v>
      </c>
      <c r="DD1273">
        <v>0.43</v>
      </c>
      <c r="DE1273">
        <v>922</v>
      </c>
      <c r="DF1273">
        <v>2833</v>
      </c>
      <c r="DG1273" t="s">
        <v>116</v>
      </c>
      <c r="DH1273" t="s">
        <v>116</v>
      </c>
      <c r="DI1273" t="s">
        <v>116</v>
      </c>
    </row>
    <row r="1274" spans="1:113" x14ac:dyDescent="0.4">
      <c r="A1274" t="str">
        <f>"002835"</f>
        <v>002835</v>
      </c>
      <c r="B1274" t="s">
        <v>7079</v>
      </c>
      <c r="C1274">
        <v>-3.55</v>
      </c>
      <c r="D1274">
        <v>11.94</v>
      </c>
      <c r="E1274">
        <v>-0.44</v>
      </c>
      <c r="F1274">
        <v>11.93</v>
      </c>
      <c r="G1274">
        <v>11.94</v>
      </c>
      <c r="H1274">
        <v>45788</v>
      </c>
      <c r="I1274">
        <v>445</v>
      </c>
      <c r="J1274">
        <v>-7.0000000000000007E-2</v>
      </c>
      <c r="K1274">
        <v>3.91</v>
      </c>
      <c r="L1274">
        <v>12.33</v>
      </c>
      <c r="M1274">
        <v>12.38</v>
      </c>
      <c r="N1274">
        <v>11.93</v>
      </c>
      <c r="O1274">
        <v>12.38</v>
      </c>
      <c r="P1274">
        <v>75.91</v>
      </c>
      <c r="Q1274">
        <v>55743880</v>
      </c>
      <c r="R1274">
        <v>1.01</v>
      </c>
      <c r="S1274" t="s">
        <v>233</v>
      </c>
      <c r="T1274" t="s">
        <v>115</v>
      </c>
      <c r="U1274">
        <v>3.63</v>
      </c>
      <c r="V1274">
        <v>12.17</v>
      </c>
      <c r="W1274">
        <v>27366</v>
      </c>
      <c r="X1274">
        <v>18422</v>
      </c>
      <c r="Y1274">
        <v>1.49</v>
      </c>
      <c r="Z1274">
        <v>133</v>
      </c>
      <c r="AA1274">
        <v>109</v>
      </c>
      <c r="AB1274" t="s">
        <v>116</v>
      </c>
      <c r="AC1274">
        <v>145500</v>
      </c>
      <c r="AD1274">
        <v>0.02</v>
      </c>
      <c r="AE1274" t="s">
        <v>116</v>
      </c>
      <c r="AF1274" t="s">
        <v>116</v>
      </c>
      <c r="AG1274">
        <v>1.17</v>
      </c>
      <c r="AH1274" t="s">
        <v>1103</v>
      </c>
      <c r="AI1274" t="s">
        <v>7080</v>
      </c>
      <c r="AJ1274">
        <v>-2.88</v>
      </c>
      <c r="AK1274">
        <v>2533</v>
      </c>
      <c r="AL1274">
        <v>18</v>
      </c>
      <c r="AM1274">
        <v>1.5E-3</v>
      </c>
      <c r="AN1274">
        <v>-2</v>
      </c>
      <c r="AO1274">
        <v>-0.49</v>
      </c>
      <c r="AP1274">
        <v>7.28</v>
      </c>
      <c r="AQ1274">
        <v>-4.4000000000000004</v>
      </c>
      <c r="AR1274">
        <v>67.3</v>
      </c>
      <c r="AS1274">
        <v>6.93</v>
      </c>
      <c r="AT1274" t="s">
        <v>7081</v>
      </c>
      <c r="AU1274">
        <v>89.03</v>
      </c>
      <c r="AV1274">
        <v>664.6</v>
      </c>
      <c r="AW1274">
        <v>1.39</v>
      </c>
      <c r="BA1274">
        <v>-0.4</v>
      </c>
      <c r="BB1274">
        <v>0</v>
      </c>
      <c r="BC1274">
        <v>-3.63</v>
      </c>
      <c r="BD1274">
        <v>-1.66</v>
      </c>
      <c r="BE1274">
        <v>-3.16</v>
      </c>
      <c r="BF1274">
        <v>-3.55</v>
      </c>
      <c r="BG1274">
        <v>0.08</v>
      </c>
      <c r="BH1274">
        <v>-1.89</v>
      </c>
      <c r="BI1274">
        <v>20191227</v>
      </c>
      <c r="BJ1274">
        <v>20161228</v>
      </c>
      <c r="BK1274">
        <v>2.21</v>
      </c>
      <c r="BL1274" t="s">
        <v>116</v>
      </c>
      <c r="BM1274" t="s">
        <v>116</v>
      </c>
      <c r="BN1274">
        <v>8.77</v>
      </c>
      <c r="BO1274">
        <v>6.81</v>
      </c>
      <c r="BP1274">
        <v>0</v>
      </c>
      <c r="BQ1274">
        <v>22.36</v>
      </c>
      <c r="BR1274">
        <v>5.85</v>
      </c>
      <c r="BS1274">
        <v>2.2599999999999998</v>
      </c>
      <c r="BT1274">
        <v>0.12</v>
      </c>
      <c r="BU1274">
        <v>1.95</v>
      </c>
      <c r="BV1274">
        <v>1.17</v>
      </c>
      <c r="BW1274">
        <v>1.51</v>
      </c>
      <c r="BX1274">
        <v>2.0099999999999998</v>
      </c>
      <c r="BY1274">
        <v>4.53</v>
      </c>
      <c r="BZ1274">
        <v>3.03</v>
      </c>
      <c r="CA1274">
        <v>0.26</v>
      </c>
      <c r="CB1274">
        <v>0.01</v>
      </c>
      <c r="CC1274">
        <v>0.26</v>
      </c>
      <c r="CD1274">
        <v>0.26</v>
      </c>
      <c r="CE1274">
        <v>0.26</v>
      </c>
      <c r="CF1274">
        <v>0.19</v>
      </c>
      <c r="CG1274">
        <v>2.4900000000000002</v>
      </c>
      <c r="CH1274">
        <v>0.53</v>
      </c>
      <c r="CI1274">
        <v>-0.46</v>
      </c>
      <c r="CJ1274">
        <v>19052</v>
      </c>
      <c r="CK1274">
        <v>3470</v>
      </c>
      <c r="CL1274" t="s">
        <v>7082</v>
      </c>
      <c r="CM1274">
        <v>6361.99</v>
      </c>
      <c r="CN1274">
        <v>8.5500000000000007</v>
      </c>
      <c r="CO1274">
        <v>3.88</v>
      </c>
      <c r="CP1274">
        <v>49.65</v>
      </c>
      <c r="CQ1274">
        <v>5.82</v>
      </c>
      <c r="CR1274">
        <v>0.03</v>
      </c>
      <c r="CS1274" t="s">
        <v>7083</v>
      </c>
      <c r="CT1274">
        <v>3.08</v>
      </c>
      <c r="CU1274">
        <v>0</v>
      </c>
      <c r="CV1274">
        <v>0.91</v>
      </c>
      <c r="CW1274">
        <v>1.1299999999999999</v>
      </c>
      <c r="CX1274">
        <v>0.24</v>
      </c>
      <c r="CY1274">
        <v>77.64</v>
      </c>
      <c r="CZ1274" t="s">
        <v>1523</v>
      </c>
      <c r="DA1274">
        <v>33.21</v>
      </c>
      <c r="DB1274">
        <v>5.82</v>
      </c>
      <c r="DC1274">
        <v>5.75</v>
      </c>
      <c r="DD1274">
        <v>0.79</v>
      </c>
      <c r="DE1274">
        <v>902</v>
      </c>
      <c r="DF1274">
        <v>2835</v>
      </c>
      <c r="DG1274" t="s">
        <v>116</v>
      </c>
      <c r="DH1274" t="s">
        <v>116</v>
      </c>
      <c r="DI1274" t="s">
        <v>116</v>
      </c>
    </row>
    <row r="1275" spans="1:113" x14ac:dyDescent="0.4">
      <c r="A1275" t="str">
        <f>"002836"</f>
        <v>002836</v>
      </c>
      <c r="B1275" t="s">
        <v>7084</v>
      </c>
      <c r="C1275">
        <v>-0.25</v>
      </c>
      <c r="D1275">
        <v>12.14</v>
      </c>
      <c r="E1275">
        <v>-0.03</v>
      </c>
      <c r="F1275">
        <v>12.14</v>
      </c>
      <c r="G1275">
        <v>12.15</v>
      </c>
      <c r="H1275">
        <v>7452</v>
      </c>
      <c r="I1275">
        <v>153</v>
      </c>
      <c r="J1275">
        <v>-7.0000000000000007E-2</v>
      </c>
      <c r="K1275">
        <v>0.47</v>
      </c>
      <c r="L1275">
        <v>12.18</v>
      </c>
      <c r="M1275">
        <v>12.26</v>
      </c>
      <c r="N1275">
        <v>12.13</v>
      </c>
      <c r="O1275">
        <v>12.17</v>
      </c>
      <c r="P1275">
        <v>54.84</v>
      </c>
      <c r="Q1275">
        <v>9090255</v>
      </c>
      <c r="R1275">
        <v>0.97</v>
      </c>
      <c r="S1275" t="s">
        <v>345</v>
      </c>
      <c r="T1275" t="s">
        <v>551</v>
      </c>
      <c r="U1275">
        <v>1.07</v>
      </c>
      <c r="V1275">
        <v>12.2</v>
      </c>
      <c r="W1275">
        <v>4367</v>
      </c>
      <c r="X1275">
        <v>3085</v>
      </c>
      <c r="Y1275">
        <v>1.42</v>
      </c>
      <c r="Z1275">
        <v>141</v>
      </c>
      <c r="AA1275">
        <v>115</v>
      </c>
      <c r="AB1275" t="s">
        <v>116</v>
      </c>
      <c r="AC1275">
        <v>9700</v>
      </c>
      <c r="AD1275">
        <v>0</v>
      </c>
      <c r="AE1275" t="s">
        <v>116</v>
      </c>
      <c r="AF1275" t="s">
        <v>116</v>
      </c>
      <c r="AG1275">
        <v>1.6</v>
      </c>
      <c r="AH1275" t="s">
        <v>7085</v>
      </c>
      <c r="AI1275" t="s">
        <v>7085</v>
      </c>
      <c r="AJ1275">
        <v>0.43</v>
      </c>
      <c r="AK1275">
        <v>605</v>
      </c>
      <c r="AL1275">
        <v>12</v>
      </c>
      <c r="AM1275">
        <v>8.0000000000000004E-4</v>
      </c>
      <c r="AN1275">
        <v>-1</v>
      </c>
      <c r="AO1275">
        <v>-0.57999999999999996</v>
      </c>
      <c r="AP1275">
        <v>1.76</v>
      </c>
      <c r="AQ1275">
        <v>-9.74</v>
      </c>
      <c r="AR1275">
        <v>11.58</v>
      </c>
      <c r="AS1275">
        <v>1.66</v>
      </c>
      <c r="AT1275" t="s">
        <v>7086</v>
      </c>
      <c r="AU1275">
        <v>38.01</v>
      </c>
      <c r="AV1275">
        <v>39.22</v>
      </c>
      <c r="AW1275">
        <v>0.48</v>
      </c>
      <c r="BA1275">
        <v>0.08</v>
      </c>
      <c r="BB1275">
        <v>0.74</v>
      </c>
      <c r="BC1275">
        <v>-0.33</v>
      </c>
      <c r="BD1275">
        <v>0.23</v>
      </c>
      <c r="BE1275">
        <v>-0.33</v>
      </c>
      <c r="BF1275">
        <v>-0.98</v>
      </c>
      <c r="BG1275">
        <v>0.08</v>
      </c>
      <c r="BH1275">
        <v>-0.48</v>
      </c>
      <c r="BI1275">
        <v>20191227</v>
      </c>
      <c r="BJ1275">
        <v>20161229</v>
      </c>
      <c r="BK1275">
        <v>1.6</v>
      </c>
      <c r="BL1275" t="s">
        <v>116</v>
      </c>
      <c r="BM1275" t="s">
        <v>116</v>
      </c>
      <c r="BN1275">
        <v>7.52</v>
      </c>
      <c r="BO1275">
        <v>3.83</v>
      </c>
      <c r="BP1275">
        <v>0.9</v>
      </c>
      <c r="BQ1275">
        <v>37.07</v>
      </c>
      <c r="BR1275">
        <v>2.72</v>
      </c>
      <c r="BS1275">
        <v>2.44</v>
      </c>
      <c r="BT1275">
        <v>0.46</v>
      </c>
      <c r="BU1275">
        <v>2.1</v>
      </c>
      <c r="BV1275">
        <v>0.56999999999999995</v>
      </c>
      <c r="BW1275">
        <v>0.64</v>
      </c>
      <c r="BX1275">
        <v>0.35</v>
      </c>
      <c r="BY1275">
        <v>2.91</v>
      </c>
      <c r="BZ1275">
        <v>1.96</v>
      </c>
      <c r="CA1275">
        <v>0.35</v>
      </c>
      <c r="CB1275">
        <v>0</v>
      </c>
      <c r="CC1275">
        <v>0.35</v>
      </c>
      <c r="CD1275">
        <v>0.3</v>
      </c>
      <c r="CE1275">
        <v>0.27</v>
      </c>
      <c r="CF1275">
        <v>0.26</v>
      </c>
      <c r="CG1275">
        <v>1.51</v>
      </c>
      <c r="CH1275">
        <v>0.61</v>
      </c>
      <c r="CI1275">
        <v>-0.5</v>
      </c>
      <c r="CJ1275">
        <v>15557</v>
      </c>
      <c r="CK1275">
        <v>2880</v>
      </c>
      <c r="CL1275" t="s">
        <v>7087</v>
      </c>
      <c r="CM1275">
        <v>6.27</v>
      </c>
      <c r="CN1275">
        <v>71.14</v>
      </c>
      <c r="CO1275">
        <v>5.07</v>
      </c>
      <c r="CP1275">
        <v>31.6</v>
      </c>
      <c r="CQ1275">
        <v>6.68</v>
      </c>
      <c r="CR1275">
        <v>4.12</v>
      </c>
      <c r="CS1275" t="s">
        <v>1297</v>
      </c>
      <c r="CT1275">
        <v>2.4</v>
      </c>
      <c r="CU1275">
        <v>0</v>
      </c>
      <c r="CV1275">
        <v>0.22</v>
      </c>
      <c r="CW1275">
        <v>0.94</v>
      </c>
      <c r="CX1275">
        <v>0.38</v>
      </c>
      <c r="CY1275">
        <v>50.95</v>
      </c>
      <c r="CZ1275" t="s">
        <v>1997</v>
      </c>
      <c r="DA1275">
        <v>32.65</v>
      </c>
      <c r="DB1275">
        <v>12.2</v>
      </c>
      <c r="DC1275">
        <v>9.14</v>
      </c>
      <c r="DD1275">
        <v>0.16</v>
      </c>
      <c r="DE1275">
        <v>364</v>
      </c>
      <c r="DF1275">
        <v>2836</v>
      </c>
      <c r="DG1275" t="s">
        <v>116</v>
      </c>
      <c r="DH1275" t="s">
        <v>116</v>
      </c>
      <c r="DI1275" t="s">
        <v>116</v>
      </c>
    </row>
    <row r="1276" spans="1:113" x14ac:dyDescent="0.4">
      <c r="A1276" t="str">
        <f>"002837"</f>
        <v>002837</v>
      </c>
      <c r="B1276" t="s">
        <v>7088</v>
      </c>
      <c r="C1276">
        <v>-2.0099999999999998</v>
      </c>
      <c r="D1276">
        <v>17.04</v>
      </c>
      <c r="E1276">
        <v>-0.35</v>
      </c>
      <c r="F1276">
        <v>17.03</v>
      </c>
      <c r="G1276">
        <v>17.04</v>
      </c>
      <c r="H1276">
        <v>20564</v>
      </c>
      <c r="I1276">
        <v>157</v>
      </c>
      <c r="J1276">
        <v>-0.22</v>
      </c>
      <c r="K1276">
        <v>1.35</v>
      </c>
      <c r="L1276">
        <v>17.41</v>
      </c>
      <c r="M1276">
        <v>17.45</v>
      </c>
      <c r="N1276">
        <v>17.010000000000002</v>
      </c>
      <c r="O1276">
        <v>17.39</v>
      </c>
      <c r="P1276">
        <v>26.98</v>
      </c>
      <c r="Q1276">
        <v>35433108</v>
      </c>
      <c r="R1276">
        <v>1.26</v>
      </c>
      <c r="S1276" t="s">
        <v>682</v>
      </c>
      <c r="T1276" t="s">
        <v>115</v>
      </c>
      <c r="U1276">
        <v>2.5299999999999998</v>
      </c>
      <c r="V1276">
        <v>17.23</v>
      </c>
      <c r="W1276">
        <v>12388</v>
      </c>
      <c r="X1276">
        <v>8176</v>
      </c>
      <c r="Y1276">
        <v>1.52</v>
      </c>
      <c r="Z1276">
        <v>36</v>
      </c>
      <c r="AA1276">
        <v>460</v>
      </c>
      <c r="AB1276" t="s">
        <v>116</v>
      </c>
      <c r="AC1276">
        <v>151500</v>
      </c>
      <c r="AD1276">
        <v>0.01</v>
      </c>
      <c r="AE1276" t="s">
        <v>116</v>
      </c>
      <c r="AF1276" t="s">
        <v>116</v>
      </c>
      <c r="AG1276">
        <v>1.53</v>
      </c>
      <c r="AH1276" t="s">
        <v>7089</v>
      </c>
      <c r="AI1276" t="s">
        <v>5767</v>
      </c>
      <c r="AJ1276">
        <v>-1.33</v>
      </c>
      <c r="AK1276">
        <v>1930</v>
      </c>
      <c r="AL1276">
        <v>11</v>
      </c>
      <c r="AM1276">
        <v>6.9999999999999999E-4</v>
      </c>
      <c r="AN1276">
        <v>-1</v>
      </c>
      <c r="AO1276">
        <v>0.24</v>
      </c>
      <c r="AP1276">
        <v>5.9</v>
      </c>
      <c r="AQ1276">
        <v>-10.27</v>
      </c>
      <c r="AR1276">
        <v>12.18</v>
      </c>
      <c r="AS1276">
        <v>2.4300000000000002</v>
      </c>
      <c r="AT1276" t="s">
        <v>7090</v>
      </c>
      <c r="AU1276">
        <v>29.43</v>
      </c>
      <c r="AV1276">
        <v>33.96</v>
      </c>
      <c r="AW1276">
        <v>1.32</v>
      </c>
      <c r="BA1276">
        <v>0.12</v>
      </c>
      <c r="BB1276">
        <v>0.35</v>
      </c>
      <c r="BC1276">
        <v>-2.19</v>
      </c>
      <c r="BD1276">
        <v>-0.92</v>
      </c>
      <c r="BE1276">
        <v>-2.13</v>
      </c>
      <c r="BF1276">
        <v>-2.35</v>
      </c>
      <c r="BG1276">
        <v>0.18</v>
      </c>
      <c r="BH1276">
        <v>-1.1000000000000001</v>
      </c>
      <c r="BI1276">
        <v>20191227</v>
      </c>
      <c r="BJ1276">
        <v>20161229</v>
      </c>
      <c r="BK1276">
        <v>2.15</v>
      </c>
      <c r="BL1276" t="s">
        <v>116</v>
      </c>
      <c r="BM1276" t="s">
        <v>116</v>
      </c>
      <c r="BN1276">
        <v>22.96</v>
      </c>
      <c r="BO1276">
        <v>11.85</v>
      </c>
      <c r="BP1276">
        <v>0.02</v>
      </c>
      <c r="BQ1276">
        <v>48.3</v>
      </c>
      <c r="BR1276">
        <v>16.350000000000001</v>
      </c>
      <c r="BS1276">
        <v>0.74</v>
      </c>
      <c r="BT1276">
        <v>0.18</v>
      </c>
      <c r="BU1276">
        <v>10.8</v>
      </c>
      <c r="BV1276">
        <v>3.82</v>
      </c>
      <c r="BW1276">
        <v>6.8</v>
      </c>
      <c r="BX1276">
        <v>5.48</v>
      </c>
      <c r="BY1276">
        <v>8.49</v>
      </c>
      <c r="BZ1276">
        <v>5.54</v>
      </c>
      <c r="CA1276">
        <v>1.1000000000000001</v>
      </c>
      <c r="CB1276">
        <v>0</v>
      </c>
      <c r="CC1276">
        <v>1.1100000000000001</v>
      </c>
      <c r="CD1276">
        <v>0.99</v>
      </c>
      <c r="CE1276">
        <v>1.02</v>
      </c>
      <c r="CF1276">
        <v>0.9</v>
      </c>
      <c r="CG1276">
        <v>4.2300000000000004</v>
      </c>
      <c r="CH1276">
        <v>0.11</v>
      </c>
      <c r="CI1276">
        <v>-0.77</v>
      </c>
      <c r="CJ1276">
        <v>16200</v>
      </c>
      <c r="CK1276">
        <v>5227</v>
      </c>
      <c r="CL1276" t="s">
        <v>213</v>
      </c>
      <c r="CM1276">
        <v>19.489999999999998</v>
      </c>
      <c r="CN1276">
        <v>22.15</v>
      </c>
      <c r="CO1276">
        <v>3.09</v>
      </c>
      <c r="CP1276">
        <v>329.44</v>
      </c>
      <c r="CQ1276">
        <v>4.3099999999999996</v>
      </c>
      <c r="CR1276">
        <v>0.88</v>
      </c>
      <c r="CS1276" t="s">
        <v>386</v>
      </c>
      <c r="CT1276">
        <v>5.52</v>
      </c>
      <c r="CU1276">
        <v>5.52</v>
      </c>
      <c r="CV1276">
        <v>2.5499999999999998</v>
      </c>
      <c r="CW1276">
        <v>1.97</v>
      </c>
      <c r="CX1276">
        <v>0.05</v>
      </c>
      <c r="CY1276">
        <v>51.61</v>
      </c>
      <c r="CZ1276" t="s">
        <v>5111</v>
      </c>
      <c r="DA1276">
        <v>34.75</v>
      </c>
      <c r="DB1276">
        <v>12.91</v>
      </c>
      <c r="DC1276">
        <v>11.99</v>
      </c>
      <c r="DD1276">
        <v>0.52</v>
      </c>
      <c r="DE1276">
        <v>1564</v>
      </c>
      <c r="DF1276">
        <v>2837</v>
      </c>
      <c r="DG1276" t="s">
        <v>116</v>
      </c>
      <c r="DH1276" t="s">
        <v>116</v>
      </c>
      <c r="DI1276" t="s">
        <v>116</v>
      </c>
    </row>
    <row r="1277" spans="1:113" x14ac:dyDescent="0.4">
      <c r="A1277" t="str">
        <f>"002838"</f>
        <v>002838</v>
      </c>
      <c r="B1277" t="s">
        <v>7091</v>
      </c>
      <c r="C1277">
        <v>-0.66</v>
      </c>
      <c r="D1277">
        <v>10.46</v>
      </c>
      <c r="E1277">
        <v>-7.0000000000000007E-2</v>
      </c>
      <c r="F1277">
        <v>10.46</v>
      </c>
      <c r="G1277">
        <v>10.47</v>
      </c>
      <c r="H1277">
        <v>38569</v>
      </c>
      <c r="I1277">
        <v>665</v>
      </c>
      <c r="J1277">
        <v>-0.37</v>
      </c>
      <c r="K1277">
        <v>3.23</v>
      </c>
      <c r="L1277">
        <v>10.47</v>
      </c>
      <c r="M1277">
        <v>10.61</v>
      </c>
      <c r="N1277">
        <v>10.44</v>
      </c>
      <c r="O1277">
        <v>10.53</v>
      </c>
      <c r="P1277">
        <v>25.16</v>
      </c>
      <c r="Q1277">
        <v>40484948</v>
      </c>
      <c r="R1277">
        <v>0.4</v>
      </c>
      <c r="S1277" t="s">
        <v>2444</v>
      </c>
      <c r="T1277" t="s">
        <v>645</v>
      </c>
      <c r="U1277">
        <v>1.61</v>
      </c>
      <c r="V1277">
        <v>10.5</v>
      </c>
      <c r="W1277">
        <v>23111</v>
      </c>
      <c r="X1277">
        <v>15458</v>
      </c>
      <c r="Y1277">
        <v>1.5</v>
      </c>
      <c r="Z1277">
        <v>594</v>
      </c>
      <c r="AA1277">
        <v>8</v>
      </c>
      <c r="AB1277" t="s">
        <v>116</v>
      </c>
      <c r="AC1277">
        <v>323500</v>
      </c>
      <c r="AD1277">
        <v>0.03</v>
      </c>
      <c r="AE1277" t="s">
        <v>116</v>
      </c>
      <c r="AF1277" t="s">
        <v>116</v>
      </c>
      <c r="AG1277">
        <v>1.2</v>
      </c>
      <c r="AH1277" t="s">
        <v>6430</v>
      </c>
      <c r="AI1277" t="s">
        <v>7092</v>
      </c>
      <c r="AJ1277">
        <v>0.01</v>
      </c>
      <c r="AK1277">
        <v>1369</v>
      </c>
      <c r="AL1277">
        <v>28</v>
      </c>
      <c r="AM1277">
        <v>2.3999999999999998E-3</v>
      </c>
      <c r="AN1277">
        <v>-3</v>
      </c>
      <c r="AO1277">
        <v>-6.43</v>
      </c>
      <c r="AP1277">
        <v>3.05</v>
      </c>
      <c r="AQ1277">
        <v>-13.2</v>
      </c>
      <c r="AR1277">
        <v>-3.98</v>
      </c>
      <c r="AS1277">
        <v>3.23</v>
      </c>
      <c r="AT1277" t="s">
        <v>6430</v>
      </c>
      <c r="AU1277">
        <v>26.34</v>
      </c>
      <c r="AV1277">
        <v>34.78</v>
      </c>
      <c r="AW1277">
        <v>0.46</v>
      </c>
      <c r="BA1277">
        <v>-0.56999999999999995</v>
      </c>
      <c r="BB1277">
        <v>0.76</v>
      </c>
      <c r="BC1277">
        <v>-0.85</v>
      </c>
      <c r="BD1277">
        <v>-0.32</v>
      </c>
      <c r="BE1277">
        <v>-0.1</v>
      </c>
      <c r="BF1277">
        <v>-1.41</v>
      </c>
      <c r="BG1277">
        <v>0.19</v>
      </c>
      <c r="BH1277">
        <v>-0.35</v>
      </c>
      <c r="BI1277">
        <v>20191224</v>
      </c>
      <c r="BJ1277">
        <v>20170106</v>
      </c>
      <c r="BK1277">
        <v>4.07</v>
      </c>
      <c r="BL1277" t="s">
        <v>116</v>
      </c>
      <c r="BM1277" t="s">
        <v>116</v>
      </c>
      <c r="BN1277">
        <v>19.010000000000002</v>
      </c>
      <c r="BO1277">
        <v>10.46</v>
      </c>
      <c r="BP1277">
        <v>0.63</v>
      </c>
      <c r="BQ1277">
        <v>41.62</v>
      </c>
      <c r="BR1277">
        <v>12.86</v>
      </c>
      <c r="BS1277">
        <v>3.9</v>
      </c>
      <c r="BT1277">
        <v>1.04</v>
      </c>
      <c r="BU1277">
        <v>7.23</v>
      </c>
      <c r="BV1277">
        <v>2.87</v>
      </c>
      <c r="BW1277">
        <v>4.54</v>
      </c>
      <c r="BX1277">
        <v>0.49</v>
      </c>
      <c r="BY1277">
        <v>19.940000000000001</v>
      </c>
      <c r="BZ1277">
        <v>16.579999999999998</v>
      </c>
      <c r="CA1277">
        <v>1.54</v>
      </c>
      <c r="CB1277">
        <v>0</v>
      </c>
      <c r="CC1277">
        <v>1.51</v>
      </c>
      <c r="CD1277">
        <v>1.35</v>
      </c>
      <c r="CE1277">
        <v>1.27</v>
      </c>
      <c r="CF1277">
        <v>1.22</v>
      </c>
      <c r="CG1277">
        <v>5.45</v>
      </c>
      <c r="CH1277">
        <v>1.79</v>
      </c>
      <c r="CI1277">
        <v>0.27</v>
      </c>
      <c r="CJ1277">
        <v>7005</v>
      </c>
      <c r="CK1277">
        <v>17061</v>
      </c>
      <c r="CL1277" t="s">
        <v>7093</v>
      </c>
      <c r="CM1277">
        <v>44.72</v>
      </c>
      <c r="CN1277">
        <v>148.44999999999999</v>
      </c>
      <c r="CO1277">
        <v>4.03</v>
      </c>
      <c r="CP1277">
        <v>23.81</v>
      </c>
      <c r="CQ1277">
        <v>2.14</v>
      </c>
      <c r="CR1277">
        <v>0.59</v>
      </c>
      <c r="CS1277" t="s">
        <v>3626</v>
      </c>
      <c r="CT1277">
        <v>2.6</v>
      </c>
      <c r="CU1277">
        <v>2.6</v>
      </c>
      <c r="CV1277">
        <v>0.12</v>
      </c>
      <c r="CW1277">
        <v>1.34</v>
      </c>
      <c r="CX1277">
        <v>0.44</v>
      </c>
      <c r="CY1277">
        <v>55.06</v>
      </c>
      <c r="CZ1277" t="s">
        <v>7094</v>
      </c>
      <c r="DA1277">
        <v>16.850000000000001</v>
      </c>
      <c r="DB1277">
        <v>7.73</v>
      </c>
      <c r="DC1277">
        <v>6.37</v>
      </c>
      <c r="DD1277">
        <v>0.67</v>
      </c>
      <c r="DE1277">
        <v>963</v>
      </c>
      <c r="DF1277">
        <v>2838</v>
      </c>
      <c r="DG1277" t="s">
        <v>116</v>
      </c>
      <c r="DH1277" t="s">
        <v>116</v>
      </c>
      <c r="DI1277" t="s">
        <v>116</v>
      </c>
    </row>
    <row r="1278" spans="1:113" x14ac:dyDescent="0.4">
      <c r="A1278" t="str">
        <f>"002839"</f>
        <v>002839</v>
      </c>
      <c r="B1278" t="s">
        <v>7095</v>
      </c>
      <c r="C1278">
        <v>-0.51</v>
      </c>
      <c r="D1278">
        <v>5.82</v>
      </c>
      <c r="E1278">
        <v>-0.03</v>
      </c>
      <c r="F1278">
        <v>5.82</v>
      </c>
      <c r="G1278">
        <v>5.83</v>
      </c>
      <c r="H1278">
        <v>310883</v>
      </c>
      <c r="I1278">
        <v>1777</v>
      </c>
      <c r="J1278">
        <v>0</v>
      </c>
      <c r="K1278">
        <v>3.59</v>
      </c>
      <c r="L1278">
        <v>5.82</v>
      </c>
      <c r="M1278">
        <v>5.98</v>
      </c>
      <c r="N1278">
        <v>5.8</v>
      </c>
      <c r="O1278">
        <v>5.85</v>
      </c>
      <c r="P1278">
        <v>10.77</v>
      </c>
      <c r="Q1278">
        <v>182898688</v>
      </c>
      <c r="R1278">
        <v>1.19</v>
      </c>
      <c r="S1278" t="s">
        <v>114</v>
      </c>
      <c r="T1278" t="s">
        <v>323</v>
      </c>
      <c r="U1278">
        <v>3.08</v>
      </c>
      <c r="V1278">
        <v>5.88</v>
      </c>
      <c r="W1278">
        <v>166603</v>
      </c>
      <c r="X1278">
        <v>144280</v>
      </c>
      <c r="Y1278">
        <v>1.1499999999999999</v>
      </c>
      <c r="Z1278">
        <v>1233</v>
      </c>
      <c r="AA1278">
        <v>2240</v>
      </c>
      <c r="AB1278" t="s">
        <v>116</v>
      </c>
      <c r="AC1278">
        <v>1211700</v>
      </c>
      <c r="AD1278">
        <v>0.02</v>
      </c>
      <c r="AE1278" t="s">
        <v>116</v>
      </c>
      <c r="AF1278" t="s">
        <v>116</v>
      </c>
      <c r="AG1278">
        <v>8.66</v>
      </c>
      <c r="AH1278" t="s">
        <v>7096</v>
      </c>
      <c r="AI1278" t="s">
        <v>4114</v>
      </c>
      <c r="AJ1278">
        <v>0.17</v>
      </c>
      <c r="AK1278">
        <v>3211</v>
      </c>
      <c r="AL1278">
        <v>97</v>
      </c>
      <c r="AM1278">
        <v>1.1000000000000001E-3</v>
      </c>
      <c r="AN1278">
        <v>-1</v>
      </c>
      <c r="AO1278">
        <v>0.52</v>
      </c>
      <c r="AP1278">
        <v>4.49</v>
      </c>
      <c r="AQ1278">
        <v>6.59</v>
      </c>
      <c r="AR1278">
        <v>11.92</v>
      </c>
      <c r="AS1278">
        <v>3.59</v>
      </c>
      <c r="AT1278" t="s">
        <v>7096</v>
      </c>
      <c r="AU1278">
        <v>11.37</v>
      </c>
      <c r="AV1278">
        <v>12.6</v>
      </c>
      <c r="AW1278">
        <v>1.02</v>
      </c>
      <c r="BA1278">
        <v>-0.51</v>
      </c>
      <c r="BB1278">
        <v>2.2200000000000002</v>
      </c>
      <c r="BC1278">
        <v>-0.85</v>
      </c>
      <c r="BD1278">
        <v>0.56999999999999995</v>
      </c>
      <c r="BE1278">
        <v>0</v>
      </c>
      <c r="BF1278">
        <v>-2.68</v>
      </c>
      <c r="BG1278">
        <v>0.34</v>
      </c>
      <c r="BH1278">
        <v>-1.08</v>
      </c>
      <c r="BI1278">
        <v>20191029</v>
      </c>
      <c r="BJ1278">
        <v>20170124</v>
      </c>
      <c r="BK1278">
        <v>18.079999999999998</v>
      </c>
      <c r="BL1278" t="s">
        <v>116</v>
      </c>
      <c r="BM1278" t="s">
        <v>116</v>
      </c>
      <c r="BN1278">
        <v>1195.0999999999999</v>
      </c>
      <c r="BO1278">
        <v>103.23</v>
      </c>
      <c r="BP1278">
        <v>0.85</v>
      </c>
      <c r="BQ1278">
        <v>91.29</v>
      </c>
      <c r="BR1278">
        <v>0</v>
      </c>
      <c r="BS1278">
        <v>6.67</v>
      </c>
      <c r="BT1278">
        <v>1.01</v>
      </c>
      <c r="BU1278">
        <v>0</v>
      </c>
      <c r="BV1278">
        <v>0</v>
      </c>
      <c r="BW1278">
        <v>0</v>
      </c>
      <c r="BX1278">
        <v>8.67</v>
      </c>
      <c r="BY1278">
        <v>28.07</v>
      </c>
      <c r="BZ1278">
        <v>0</v>
      </c>
      <c r="CA1278">
        <v>8.02</v>
      </c>
      <c r="CB1278">
        <v>3.49</v>
      </c>
      <c r="CC1278">
        <v>8.02</v>
      </c>
      <c r="CD1278">
        <v>7.32</v>
      </c>
      <c r="CE1278">
        <v>7.33</v>
      </c>
      <c r="CF1278">
        <v>7</v>
      </c>
      <c r="CG1278">
        <v>16.309999999999999</v>
      </c>
      <c r="CH1278">
        <v>-44.63</v>
      </c>
      <c r="CI1278">
        <v>2.2200000000000002</v>
      </c>
      <c r="CJ1278">
        <v>89593</v>
      </c>
      <c r="CK1278">
        <v>9662</v>
      </c>
      <c r="CL1278" t="s">
        <v>2551</v>
      </c>
      <c r="CM1278">
        <v>14</v>
      </c>
      <c r="CN1278">
        <v>30.15</v>
      </c>
      <c r="CO1278">
        <v>1.02</v>
      </c>
      <c r="CP1278">
        <v>-2.36</v>
      </c>
      <c r="CQ1278">
        <v>3.75</v>
      </c>
      <c r="CR1278">
        <v>2.58</v>
      </c>
      <c r="CS1278" t="s">
        <v>335</v>
      </c>
      <c r="CT1278">
        <v>5.71</v>
      </c>
      <c r="CU1278">
        <v>5.71</v>
      </c>
      <c r="CV1278">
        <v>0.48</v>
      </c>
      <c r="CW1278">
        <v>0.9</v>
      </c>
      <c r="CX1278">
        <v>-2.4700000000000002</v>
      </c>
      <c r="CY1278">
        <v>8.64</v>
      </c>
      <c r="CZ1278" t="s">
        <v>7097</v>
      </c>
      <c r="DA1278" t="s">
        <v>116</v>
      </c>
      <c r="DB1278">
        <v>28.56</v>
      </c>
      <c r="DC1278">
        <v>26.1</v>
      </c>
      <c r="DD1278">
        <v>0</v>
      </c>
      <c r="DE1278">
        <v>2109</v>
      </c>
      <c r="DF1278">
        <v>2839</v>
      </c>
      <c r="DG1278" t="s">
        <v>116</v>
      </c>
      <c r="DH1278" t="s">
        <v>116</v>
      </c>
      <c r="DI1278" t="s">
        <v>116</v>
      </c>
    </row>
    <row r="1279" spans="1:113" x14ac:dyDescent="0.4">
      <c r="A1279" t="str">
        <f>"002840"</f>
        <v>002840</v>
      </c>
      <c r="B1279" t="s">
        <v>7098</v>
      </c>
      <c r="C1279">
        <v>0.93</v>
      </c>
      <c r="D1279">
        <v>16.29</v>
      </c>
      <c r="E1279">
        <v>0.15</v>
      </c>
      <c r="F1279">
        <v>16.260000000000002</v>
      </c>
      <c r="G1279">
        <v>16.29</v>
      </c>
      <c r="H1279">
        <v>23291</v>
      </c>
      <c r="I1279">
        <v>103</v>
      </c>
      <c r="J1279">
        <v>0.49</v>
      </c>
      <c r="K1279">
        <v>1.59</v>
      </c>
      <c r="L1279">
        <v>16.100000000000001</v>
      </c>
      <c r="M1279">
        <v>16.52</v>
      </c>
      <c r="N1279">
        <v>16</v>
      </c>
      <c r="O1279">
        <v>16.14</v>
      </c>
      <c r="P1279">
        <v>37.799999999999997</v>
      </c>
      <c r="Q1279">
        <v>37961604</v>
      </c>
      <c r="R1279">
        <v>1.9</v>
      </c>
      <c r="S1279" t="s">
        <v>863</v>
      </c>
      <c r="T1279" t="s">
        <v>590</v>
      </c>
      <c r="U1279">
        <v>3.22</v>
      </c>
      <c r="V1279">
        <v>16.3</v>
      </c>
      <c r="W1279">
        <v>6749</v>
      </c>
      <c r="X1279">
        <v>16542</v>
      </c>
      <c r="Y1279">
        <v>0.41</v>
      </c>
      <c r="Z1279">
        <v>9</v>
      </c>
      <c r="AA1279">
        <v>14</v>
      </c>
      <c r="AB1279" t="s">
        <v>116</v>
      </c>
      <c r="AC1279">
        <v>33800</v>
      </c>
      <c r="AD1279">
        <v>0</v>
      </c>
      <c r="AE1279" t="s">
        <v>116</v>
      </c>
      <c r="AF1279" t="s">
        <v>116</v>
      </c>
      <c r="AG1279">
        <v>1.47</v>
      </c>
      <c r="AH1279" t="s">
        <v>7099</v>
      </c>
      <c r="AI1279" t="s">
        <v>7100</v>
      </c>
      <c r="AJ1279">
        <v>1.61</v>
      </c>
      <c r="AK1279">
        <v>1291</v>
      </c>
      <c r="AL1279">
        <v>18</v>
      </c>
      <c r="AM1279">
        <v>1.1999999999999999E-3</v>
      </c>
      <c r="AN1279">
        <v>1</v>
      </c>
      <c r="AO1279">
        <v>0.94</v>
      </c>
      <c r="AP1279">
        <v>-3.78</v>
      </c>
      <c r="AQ1279">
        <v>2.0699999999999998</v>
      </c>
      <c r="AR1279">
        <v>24.64</v>
      </c>
      <c r="AS1279">
        <v>1.92</v>
      </c>
      <c r="AT1279" t="s">
        <v>7101</v>
      </c>
      <c r="AU1279">
        <v>32.04</v>
      </c>
      <c r="AV1279">
        <v>30.08</v>
      </c>
      <c r="AW1279">
        <v>0.35</v>
      </c>
      <c r="BA1279">
        <v>-0.25</v>
      </c>
      <c r="BB1279">
        <v>2.35</v>
      </c>
      <c r="BC1279">
        <v>-0.87</v>
      </c>
      <c r="BD1279">
        <v>0.98</v>
      </c>
      <c r="BE1279">
        <v>1.18</v>
      </c>
      <c r="BF1279">
        <v>-1.39</v>
      </c>
      <c r="BG1279">
        <v>1.81</v>
      </c>
      <c r="BH1279">
        <v>-0.06</v>
      </c>
      <c r="BI1279">
        <v>20191024</v>
      </c>
      <c r="BJ1279">
        <v>20170110</v>
      </c>
      <c r="BK1279">
        <v>2.77</v>
      </c>
      <c r="BL1279" t="s">
        <v>116</v>
      </c>
      <c r="BM1279" t="s">
        <v>116</v>
      </c>
      <c r="BN1279">
        <v>27.46</v>
      </c>
      <c r="BO1279">
        <v>14.26</v>
      </c>
      <c r="BP1279">
        <v>1.82</v>
      </c>
      <c r="BQ1279">
        <v>41.44</v>
      </c>
      <c r="BR1279">
        <v>9.5399999999999991</v>
      </c>
      <c r="BS1279">
        <v>9.44</v>
      </c>
      <c r="BT1279">
        <v>2.06</v>
      </c>
      <c r="BU1279">
        <v>9.48</v>
      </c>
      <c r="BV1279">
        <v>3.63</v>
      </c>
      <c r="BW1279">
        <v>0.28000000000000003</v>
      </c>
      <c r="BX1279">
        <v>5.26</v>
      </c>
      <c r="BY1279">
        <v>53.94</v>
      </c>
      <c r="BZ1279">
        <v>51.1</v>
      </c>
      <c r="CA1279">
        <v>1.1200000000000001</v>
      </c>
      <c r="CB1279">
        <v>0</v>
      </c>
      <c r="CC1279">
        <v>1.1100000000000001</v>
      </c>
      <c r="CD1279">
        <v>1.1100000000000001</v>
      </c>
      <c r="CE1279">
        <v>0.9</v>
      </c>
      <c r="CF1279">
        <v>0.61</v>
      </c>
      <c r="CG1279">
        <v>6.44</v>
      </c>
      <c r="CH1279">
        <v>-0.53</v>
      </c>
      <c r="CI1279">
        <v>-0.61</v>
      </c>
      <c r="CJ1279">
        <v>13381</v>
      </c>
      <c r="CK1279">
        <v>9083</v>
      </c>
      <c r="CL1279" t="s">
        <v>7102</v>
      </c>
      <c r="CM1279">
        <v>-9.27</v>
      </c>
      <c r="CN1279">
        <v>46.94</v>
      </c>
      <c r="CO1279">
        <v>3.17</v>
      </c>
      <c r="CP1279">
        <v>-85.31</v>
      </c>
      <c r="CQ1279">
        <v>0.84</v>
      </c>
      <c r="CR1279">
        <v>0</v>
      </c>
      <c r="CS1279" t="s">
        <v>4952</v>
      </c>
      <c r="CT1279">
        <v>5.14</v>
      </c>
      <c r="CU1279">
        <v>0</v>
      </c>
      <c r="CV1279">
        <v>1.9</v>
      </c>
      <c r="CW1279">
        <v>2.3199999999999998</v>
      </c>
      <c r="CX1279">
        <v>-0.19</v>
      </c>
      <c r="CY1279">
        <v>51.94</v>
      </c>
      <c r="CZ1279" t="s">
        <v>7103</v>
      </c>
      <c r="DA1279">
        <v>5.27</v>
      </c>
      <c r="DB1279">
        <v>2.0699999999999998</v>
      </c>
      <c r="DC1279">
        <v>1.66</v>
      </c>
      <c r="DD1279">
        <v>0.23</v>
      </c>
      <c r="DE1279">
        <v>2141</v>
      </c>
      <c r="DF1279">
        <v>2840</v>
      </c>
      <c r="DG1279" t="s">
        <v>116</v>
      </c>
      <c r="DH1279" t="s">
        <v>116</v>
      </c>
      <c r="DI1279" t="s">
        <v>116</v>
      </c>
    </row>
    <row r="1280" spans="1:113" x14ac:dyDescent="0.4">
      <c r="A1280" t="str">
        <f>"002841"</f>
        <v>002841</v>
      </c>
      <c r="B1280" t="s">
        <v>7104</v>
      </c>
      <c r="C1280">
        <v>-0.71</v>
      </c>
      <c r="D1280">
        <v>85.8</v>
      </c>
      <c r="E1280">
        <v>-0.61</v>
      </c>
      <c r="F1280">
        <v>85.65</v>
      </c>
      <c r="G1280">
        <v>85.8</v>
      </c>
      <c r="H1280">
        <v>10416</v>
      </c>
      <c r="I1280">
        <v>72</v>
      </c>
      <c r="J1280">
        <v>-0.12</v>
      </c>
      <c r="K1280">
        <v>1.49</v>
      </c>
      <c r="L1280">
        <v>86.5</v>
      </c>
      <c r="M1280">
        <v>86.85</v>
      </c>
      <c r="N1280">
        <v>85.36</v>
      </c>
      <c r="O1280">
        <v>86.41</v>
      </c>
      <c r="P1280">
        <v>29.85</v>
      </c>
      <c r="Q1280">
        <v>89623096</v>
      </c>
      <c r="R1280">
        <v>0.77</v>
      </c>
      <c r="S1280" t="s">
        <v>233</v>
      </c>
      <c r="T1280" t="s">
        <v>551</v>
      </c>
      <c r="U1280">
        <v>1.72</v>
      </c>
      <c r="V1280">
        <v>86.04</v>
      </c>
      <c r="W1280">
        <v>5349</v>
      </c>
      <c r="X1280">
        <v>5067</v>
      </c>
      <c r="Y1280">
        <v>1.06</v>
      </c>
      <c r="Z1280">
        <v>3</v>
      </c>
      <c r="AA1280">
        <v>20</v>
      </c>
      <c r="AB1280" t="s">
        <v>116</v>
      </c>
      <c r="AC1280">
        <v>311400</v>
      </c>
      <c r="AD1280">
        <v>0.01</v>
      </c>
      <c r="AE1280" t="s">
        <v>116</v>
      </c>
      <c r="AF1280" t="s">
        <v>116</v>
      </c>
      <c r="AG1280">
        <v>0.7</v>
      </c>
      <c r="AH1280" t="s">
        <v>7105</v>
      </c>
      <c r="AI1280" t="s">
        <v>7106</v>
      </c>
      <c r="AJ1280">
        <v>-0.03</v>
      </c>
      <c r="AK1280">
        <v>2391</v>
      </c>
      <c r="AL1280">
        <v>4</v>
      </c>
      <c r="AM1280">
        <v>5.9999999999999995E-4</v>
      </c>
      <c r="AN1280">
        <v>-1</v>
      </c>
      <c r="AO1280">
        <v>0.15</v>
      </c>
      <c r="AP1280">
        <v>0.37</v>
      </c>
      <c r="AQ1280">
        <v>-1.89</v>
      </c>
      <c r="AR1280">
        <v>52.24</v>
      </c>
      <c r="AS1280">
        <v>1.49</v>
      </c>
      <c r="AT1280" t="s">
        <v>7105</v>
      </c>
      <c r="AU1280">
        <v>35.880000000000003</v>
      </c>
      <c r="AV1280">
        <v>56.02</v>
      </c>
      <c r="AW1280">
        <v>0.67</v>
      </c>
      <c r="BA1280">
        <v>0.1</v>
      </c>
      <c r="BB1280">
        <v>0.51</v>
      </c>
      <c r="BC1280">
        <v>-1.22</v>
      </c>
      <c r="BD1280">
        <v>-0.42</v>
      </c>
      <c r="BE1280">
        <v>-0.81</v>
      </c>
      <c r="BF1280">
        <v>-1.21</v>
      </c>
      <c r="BG1280">
        <v>0.52</v>
      </c>
      <c r="BH1280">
        <v>-0.28000000000000003</v>
      </c>
      <c r="BI1280">
        <v>20191225</v>
      </c>
      <c r="BJ1280">
        <v>20170119</v>
      </c>
      <c r="BK1280">
        <v>6.56</v>
      </c>
      <c r="BL1280" t="s">
        <v>116</v>
      </c>
      <c r="BM1280" t="s">
        <v>116</v>
      </c>
      <c r="BN1280">
        <v>108.56</v>
      </c>
      <c r="BO1280">
        <v>46.79</v>
      </c>
      <c r="BP1280">
        <v>1.0900000000000001</v>
      </c>
      <c r="BQ1280">
        <v>55.9</v>
      </c>
      <c r="BR1280">
        <v>86.37</v>
      </c>
      <c r="BS1280">
        <v>9.3699999999999992</v>
      </c>
      <c r="BT1280">
        <v>2.81</v>
      </c>
      <c r="BU1280">
        <v>51.17</v>
      </c>
      <c r="BV1280">
        <v>17.71</v>
      </c>
      <c r="BW1280">
        <v>1.07</v>
      </c>
      <c r="BX1280">
        <v>7.62</v>
      </c>
      <c r="BY1280">
        <v>130.01</v>
      </c>
      <c r="BZ1280">
        <v>93.73</v>
      </c>
      <c r="CA1280">
        <v>15.61</v>
      </c>
      <c r="CB1280">
        <v>0.06</v>
      </c>
      <c r="CC1280">
        <v>16.09</v>
      </c>
      <c r="CD1280">
        <v>14.22</v>
      </c>
      <c r="CE1280">
        <v>14.14</v>
      </c>
      <c r="CF1280">
        <v>13.43</v>
      </c>
      <c r="CG1280">
        <v>30.8</v>
      </c>
      <c r="CH1280">
        <v>28.14</v>
      </c>
      <c r="CI1280">
        <v>14.68</v>
      </c>
      <c r="CJ1280">
        <v>13079</v>
      </c>
      <c r="CK1280">
        <v>5351</v>
      </c>
      <c r="CL1280" t="s">
        <v>7107</v>
      </c>
      <c r="CM1280">
        <v>66.319999999999993</v>
      </c>
      <c r="CN1280">
        <v>8.32</v>
      </c>
      <c r="CO1280">
        <v>12.45</v>
      </c>
      <c r="CP1280">
        <v>19.989999999999998</v>
      </c>
      <c r="CQ1280">
        <v>4.33</v>
      </c>
      <c r="CR1280">
        <v>0.63</v>
      </c>
      <c r="CS1280" t="s">
        <v>7108</v>
      </c>
      <c r="CT1280">
        <v>6.89</v>
      </c>
      <c r="CU1280">
        <v>6.89</v>
      </c>
      <c r="CV1280">
        <v>1.1599999999999999</v>
      </c>
      <c r="CW1280">
        <v>4.7</v>
      </c>
      <c r="CX1280">
        <v>4.29</v>
      </c>
      <c r="CY1280">
        <v>43.1</v>
      </c>
      <c r="CZ1280" t="s">
        <v>7109</v>
      </c>
      <c r="DA1280">
        <v>27.91</v>
      </c>
      <c r="DB1280">
        <v>12.01</v>
      </c>
      <c r="DC1280">
        <v>10.87</v>
      </c>
      <c r="DD1280">
        <v>7.43</v>
      </c>
      <c r="DE1280">
        <v>3597</v>
      </c>
      <c r="DF1280">
        <v>2841</v>
      </c>
      <c r="DG1280" t="s">
        <v>116</v>
      </c>
      <c r="DH1280" t="s">
        <v>116</v>
      </c>
      <c r="DI1280" t="s">
        <v>116</v>
      </c>
    </row>
    <row r="1281" spans="1:113" x14ac:dyDescent="0.4">
      <c r="A1281" t="str">
        <f>"002842"</f>
        <v>002842</v>
      </c>
      <c r="B1281" t="s">
        <v>7110</v>
      </c>
      <c r="C1281">
        <v>2.69</v>
      </c>
      <c r="D1281">
        <v>12.97</v>
      </c>
      <c r="E1281">
        <v>0.34</v>
      </c>
      <c r="F1281">
        <v>12.97</v>
      </c>
      <c r="G1281">
        <v>12.98</v>
      </c>
      <c r="H1281">
        <v>178477</v>
      </c>
      <c r="I1281">
        <v>1828</v>
      </c>
      <c r="J1281">
        <v>-0.14000000000000001</v>
      </c>
      <c r="K1281">
        <v>15.53</v>
      </c>
      <c r="L1281">
        <v>12.62</v>
      </c>
      <c r="M1281">
        <v>13.54</v>
      </c>
      <c r="N1281">
        <v>12.46</v>
      </c>
      <c r="O1281">
        <v>12.63</v>
      </c>
      <c r="P1281">
        <v>423.77</v>
      </c>
      <c r="Q1281">
        <v>232591248</v>
      </c>
      <c r="R1281">
        <v>2.56</v>
      </c>
      <c r="S1281" t="s">
        <v>1509</v>
      </c>
      <c r="T1281" t="s">
        <v>551</v>
      </c>
      <c r="U1281">
        <v>8.5500000000000007</v>
      </c>
      <c r="V1281">
        <v>13.03</v>
      </c>
      <c r="W1281">
        <v>84411</v>
      </c>
      <c r="X1281">
        <v>94066</v>
      </c>
      <c r="Y1281">
        <v>0.9</v>
      </c>
      <c r="Z1281">
        <v>299</v>
      </c>
      <c r="AA1281">
        <v>375</v>
      </c>
      <c r="AB1281" t="s">
        <v>116</v>
      </c>
      <c r="AC1281">
        <v>1065100</v>
      </c>
      <c r="AD1281">
        <v>7.0000000000000007E-2</v>
      </c>
      <c r="AE1281" t="s">
        <v>116</v>
      </c>
      <c r="AF1281" t="s">
        <v>116</v>
      </c>
      <c r="AG1281">
        <v>1.1499999999999999</v>
      </c>
      <c r="AH1281" t="s">
        <v>7111</v>
      </c>
      <c r="AI1281" t="s">
        <v>7112</v>
      </c>
      <c r="AJ1281">
        <v>3.37</v>
      </c>
      <c r="AK1281">
        <v>3688</v>
      </c>
      <c r="AL1281">
        <v>48</v>
      </c>
      <c r="AM1281">
        <v>4.1999999999999997E-3</v>
      </c>
      <c r="AN1281">
        <v>2</v>
      </c>
      <c r="AO1281">
        <v>5.0999999999999996</v>
      </c>
      <c r="AP1281">
        <v>16.010000000000002</v>
      </c>
      <c r="AQ1281">
        <v>-20.96</v>
      </c>
      <c r="AR1281">
        <v>38.25</v>
      </c>
      <c r="AS1281">
        <v>15.53</v>
      </c>
      <c r="AT1281" t="s">
        <v>7111</v>
      </c>
      <c r="AU1281">
        <v>151.69999999999999</v>
      </c>
      <c r="AV1281">
        <v>33.44</v>
      </c>
      <c r="AW1281">
        <v>1.31</v>
      </c>
      <c r="BA1281">
        <v>-0.08</v>
      </c>
      <c r="BB1281">
        <v>7.21</v>
      </c>
      <c r="BC1281">
        <v>-1.35</v>
      </c>
      <c r="BD1281">
        <v>3.18</v>
      </c>
      <c r="BE1281">
        <v>2.77</v>
      </c>
      <c r="BF1281">
        <v>-4.21</v>
      </c>
      <c r="BG1281">
        <v>4.09</v>
      </c>
      <c r="BH1281">
        <v>-0.49</v>
      </c>
      <c r="BI1281">
        <v>20191030</v>
      </c>
      <c r="BJ1281">
        <v>20170119</v>
      </c>
      <c r="BK1281">
        <v>2.75</v>
      </c>
      <c r="BL1281" t="s">
        <v>116</v>
      </c>
      <c r="BM1281" t="s">
        <v>116</v>
      </c>
      <c r="BN1281">
        <v>23.77</v>
      </c>
      <c r="BO1281">
        <v>9.16</v>
      </c>
      <c r="BP1281">
        <v>0.17</v>
      </c>
      <c r="BQ1281">
        <v>60.75</v>
      </c>
      <c r="BR1281">
        <v>14.74</v>
      </c>
      <c r="BS1281">
        <v>3.5</v>
      </c>
      <c r="BT1281">
        <v>1.05</v>
      </c>
      <c r="BU1281">
        <v>11.02</v>
      </c>
      <c r="BV1281">
        <v>3.97</v>
      </c>
      <c r="BW1281">
        <v>2.36</v>
      </c>
      <c r="BX1281">
        <v>2.1</v>
      </c>
      <c r="BY1281">
        <v>10.19</v>
      </c>
      <c r="BZ1281">
        <v>9.1199999999999992</v>
      </c>
      <c r="CA1281">
        <v>0.09</v>
      </c>
      <c r="CB1281">
        <v>0</v>
      </c>
      <c r="CC1281">
        <v>0.09</v>
      </c>
      <c r="CD1281">
        <v>0.05</v>
      </c>
      <c r="CE1281">
        <v>0.06</v>
      </c>
      <c r="CF1281">
        <v>0.04</v>
      </c>
      <c r="CG1281">
        <v>2.85</v>
      </c>
      <c r="CH1281">
        <v>-0.6</v>
      </c>
      <c r="CI1281">
        <v>3.1</v>
      </c>
      <c r="CJ1281">
        <v>29937</v>
      </c>
      <c r="CK1281">
        <v>3839</v>
      </c>
      <c r="CL1281" t="s">
        <v>2763</v>
      </c>
      <c r="CM1281">
        <v>-92.94</v>
      </c>
      <c r="CN1281">
        <v>-17.36</v>
      </c>
      <c r="CO1281">
        <v>4.26</v>
      </c>
      <c r="CP1281">
        <v>-59.02</v>
      </c>
      <c r="CQ1281">
        <v>3.5</v>
      </c>
      <c r="CR1281">
        <v>0.48</v>
      </c>
      <c r="CS1281" t="s">
        <v>1432</v>
      </c>
      <c r="CT1281">
        <v>3.05</v>
      </c>
      <c r="CU1281">
        <v>3.05</v>
      </c>
      <c r="CV1281">
        <v>0.76</v>
      </c>
      <c r="CW1281">
        <v>1.04</v>
      </c>
      <c r="CX1281">
        <v>-0.22</v>
      </c>
      <c r="CY1281">
        <v>38.549999999999997</v>
      </c>
      <c r="CZ1281" t="s">
        <v>7113</v>
      </c>
      <c r="DA1281">
        <v>10.44</v>
      </c>
      <c r="DB1281">
        <v>0.86</v>
      </c>
      <c r="DC1281">
        <v>0.62</v>
      </c>
      <c r="DD1281">
        <v>0.27</v>
      </c>
      <c r="DE1281">
        <v>1059</v>
      </c>
      <c r="DF1281">
        <v>2842</v>
      </c>
      <c r="DG1281" t="s">
        <v>116</v>
      </c>
      <c r="DH1281" t="s">
        <v>116</v>
      </c>
      <c r="DI1281" t="s">
        <v>116</v>
      </c>
    </row>
    <row r="1282" spans="1:113" x14ac:dyDescent="0.4">
      <c r="A1282" t="str">
        <f>"002843"</f>
        <v>002843</v>
      </c>
      <c r="B1282" t="s">
        <v>7114</v>
      </c>
      <c r="C1282">
        <v>-0.61</v>
      </c>
      <c r="D1282">
        <v>8.18</v>
      </c>
      <c r="E1282">
        <v>-0.05</v>
      </c>
      <c r="F1282">
        <v>8.16</v>
      </c>
      <c r="G1282">
        <v>8.18</v>
      </c>
      <c r="H1282">
        <v>18992</v>
      </c>
      <c r="I1282">
        <v>99</v>
      </c>
      <c r="J1282">
        <v>0.25</v>
      </c>
      <c r="K1282">
        <v>1.51</v>
      </c>
      <c r="L1282">
        <v>8.25</v>
      </c>
      <c r="M1282">
        <v>8.35</v>
      </c>
      <c r="N1282">
        <v>8.14</v>
      </c>
      <c r="O1282">
        <v>8.23</v>
      </c>
      <c r="P1282">
        <v>25.04</v>
      </c>
      <c r="Q1282">
        <v>15690200</v>
      </c>
      <c r="R1282">
        <v>0.94</v>
      </c>
      <c r="S1282" t="s">
        <v>2118</v>
      </c>
      <c r="T1282" t="s">
        <v>599</v>
      </c>
      <c r="U1282">
        <v>2.5499999999999998</v>
      </c>
      <c r="V1282">
        <v>8.26</v>
      </c>
      <c r="W1282">
        <v>10216</v>
      </c>
      <c r="X1282">
        <v>8776</v>
      </c>
      <c r="Y1282">
        <v>1.1599999999999999</v>
      </c>
      <c r="Z1282">
        <v>31</v>
      </c>
      <c r="AA1282">
        <v>130</v>
      </c>
      <c r="AB1282" t="s">
        <v>116</v>
      </c>
      <c r="AC1282">
        <v>0</v>
      </c>
      <c r="AD1282">
        <v>0</v>
      </c>
      <c r="AE1282" t="s">
        <v>116</v>
      </c>
      <c r="AF1282" t="s">
        <v>116</v>
      </c>
      <c r="AG1282">
        <v>1.26</v>
      </c>
      <c r="AH1282" t="s">
        <v>7115</v>
      </c>
      <c r="AI1282" t="s">
        <v>7116</v>
      </c>
      <c r="AJ1282">
        <v>7.0000000000000007E-2</v>
      </c>
      <c r="AK1282">
        <v>796</v>
      </c>
      <c r="AL1282">
        <v>24</v>
      </c>
      <c r="AM1282">
        <v>1.9E-3</v>
      </c>
      <c r="AN1282">
        <v>-1</v>
      </c>
      <c r="AO1282">
        <v>0.87</v>
      </c>
      <c r="AP1282">
        <v>0</v>
      </c>
      <c r="AQ1282">
        <v>0.74</v>
      </c>
      <c r="AR1282">
        <v>11.04</v>
      </c>
      <c r="AS1282">
        <v>2.4300000000000002</v>
      </c>
      <c r="AT1282" t="s">
        <v>7117</v>
      </c>
      <c r="AU1282">
        <v>29.67</v>
      </c>
      <c r="AV1282">
        <v>30.83</v>
      </c>
      <c r="AW1282">
        <v>0.71</v>
      </c>
      <c r="BA1282">
        <v>0.24</v>
      </c>
      <c r="BB1282">
        <v>1.46</v>
      </c>
      <c r="BC1282">
        <v>-1.0900000000000001</v>
      </c>
      <c r="BD1282">
        <v>0.38</v>
      </c>
      <c r="BE1282">
        <v>-0.85</v>
      </c>
      <c r="BF1282">
        <v>-2.04</v>
      </c>
      <c r="BG1282">
        <v>0.49</v>
      </c>
      <c r="BH1282">
        <v>-0.99</v>
      </c>
      <c r="BI1282">
        <v>20191025</v>
      </c>
      <c r="BJ1282">
        <v>20170120</v>
      </c>
      <c r="BK1282">
        <v>2.1</v>
      </c>
      <c r="BL1282" t="s">
        <v>116</v>
      </c>
      <c r="BM1282" t="s">
        <v>116</v>
      </c>
      <c r="BN1282">
        <v>7.66</v>
      </c>
      <c r="BO1282">
        <v>5.79</v>
      </c>
      <c r="BP1282">
        <v>0</v>
      </c>
      <c r="BQ1282">
        <v>24.45</v>
      </c>
      <c r="BR1282">
        <v>3.61</v>
      </c>
      <c r="BS1282">
        <v>2.79</v>
      </c>
      <c r="BT1282">
        <v>0.1</v>
      </c>
      <c r="BU1282">
        <v>1.78</v>
      </c>
      <c r="BV1282">
        <v>0.85</v>
      </c>
      <c r="BW1282">
        <v>1.43</v>
      </c>
      <c r="BX1282">
        <v>1.28</v>
      </c>
      <c r="BY1282">
        <v>3.14</v>
      </c>
      <c r="BZ1282">
        <v>1.96</v>
      </c>
      <c r="CA1282">
        <v>0.59</v>
      </c>
      <c r="CB1282">
        <v>0.03</v>
      </c>
      <c r="CC1282">
        <v>0.57999999999999996</v>
      </c>
      <c r="CD1282">
        <v>0.51</v>
      </c>
      <c r="CE1282">
        <v>0.51</v>
      </c>
      <c r="CF1282">
        <v>0.48</v>
      </c>
      <c r="CG1282">
        <v>1.9</v>
      </c>
      <c r="CH1282">
        <v>0.06</v>
      </c>
      <c r="CI1282">
        <v>-0.3</v>
      </c>
      <c r="CJ1282">
        <v>16019</v>
      </c>
      <c r="CK1282">
        <v>4869</v>
      </c>
      <c r="CL1282" t="s">
        <v>1713</v>
      </c>
      <c r="CM1282">
        <v>4.42</v>
      </c>
      <c r="CN1282">
        <v>14.98</v>
      </c>
      <c r="CO1282">
        <v>2.97</v>
      </c>
      <c r="CP1282">
        <v>266.18</v>
      </c>
      <c r="CQ1282">
        <v>5.47</v>
      </c>
      <c r="CR1282">
        <v>8.15</v>
      </c>
      <c r="CS1282" t="s">
        <v>3774</v>
      </c>
      <c r="CT1282">
        <v>2.76</v>
      </c>
      <c r="CU1282">
        <v>0</v>
      </c>
      <c r="CV1282">
        <v>0.61</v>
      </c>
      <c r="CW1282">
        <v>0.9</v>
      </c>
      <c r="CX1282">
        <v>0.03</v>
      </c>
      <c r="CY1282">
        <v>75.55</v>
      </c>
      <c r="CZ1282" t="s">
        <v>2208</v>
      </c>
      <c r="DA1282">
        <v>37.47</v>
      </c>
      <c r="DB1282">
        <v>18.73</v>
      </c>
      <c r="DC1282">
        <v>16.37</v>
      </c>
      <c r="DD1282">
        <v>0.12</v>
      </c>
      <c r="DE1282">
        <v>375</v>
      </c>
      <c r="DF1282">
        <v>2843</v>
      </c>
      <c r="DG1282" t="s">
        <v>116</v>
      </c>
      <c r="DH1282" t="s">
        <v>116</v>
      </c>
      <c r="DI1282" t="s">
        <v>116</v>
      </c>
    </row>
    <row r="1283" spans="1:113" x14ac:dyDescent="0.4">
      <c r="A1283" t="str">
        <f>"002845"</f>
        <v>002845</v>
      </c>
      <c r="B1283" t="s">
        <v>7118</v>
      </c>
      <c r="C1283">
        <v>-3.56</v>
      </c>
      <c r="D1283">
        <v>18.7</v>
      </c>
      <c r="E1283">
        <v>-0.69</v>
      </c>
      <c r="F1283">
        <v>18.7</v>
      </c>
      <c r="G1283">
        <v>18.71</v>
      </c>
      <c r="H1283">
        <v>56387</v>
      </c>
      <c r="I1283">
        <v>505</v>
      </c>
      <c r="J1283">
        <v>-0.1</v>
      </c>
      <c r="K1283">
        <v>7.36</v>
      </c>
      <c r="L1283">
        <v>19.38</v>
      </c>
      <c r="M1283">
        <v>19.88</v>
      </c>
      <c r="N1283">
        <v>18.7</v>
      </c>
      <c r="O1283">
        <v>19.39</v>
      </c>
      <c r="P1283">
        <v>38.799999999999997</v>
      </c>
      <c r="Q1283">
        <v>108763216</v>
      </c>
      <c r="R1283">
        <v>1.46</v>
      </c>
      <c r="S1283" t="s">
        <v>233</v>
      </c>
      <c r="T1283" t="s">
        <v>115</v>
      </c>
      <c r="U1283">
        <v>6.09</v>
      </c>
      <c r="V1283">
        <v>19.29</v>
      </c>
      <c r="W1283">
        <v>31399</v>
      </c>
      <c r="X1283">
        <v>24988</v>
      </c>
      <c r="Y1283">
        <v>1.26</v>
      </c>
      <c r="Z1283">
        <v>239</v>
      </c>
      <c r="AA1283">
        <v>120</v>
      </c>
      <c r="AB1283" t="s">
        <v>116</v>
      </c>
      <c r="AC1283">
        <v>724800</v>
      </c>
      <c r="AD1283">
        <v>0.05</v>
      </c>
      <c r="AE1283" t="s">
        <v>116</v>
      </c>
      <c r="AF1283" t="s">
        <v>116</v>
      </c>
      <c r="AG1283">
        <v>0.77</v>
      </c>
      <c r="AH1283" t="s">
        <v>6285</v>
      </c>
      <c r="AI1283" t="s">
        <v>7119</v>
      </c>
      <c r="AJ1283">
        <v>-2.88</v>
      </c>
      <c r="AK1283">
        <v>2351</v>
      </c>
      <c r="AL1283">
        <v>24</v>
      </c>
      <c r="AM1283">
        <v>3.0999999999999999E-3</v>
      </c>
      <c r="AN1283">
        <v>-1</v>
      </c>
      <c r="AO1283">
        <v>-1.53</v>
      </c>
      <c r="AP1283">
        <v>8.0299999999999994</v>
      </c>
      <c r="AQ1283">
        <v>-4.45</v>
      </c>
      <c r="AR1283">
        <v>8.4700000000000006</v>
      </c>
      <c r="AS1283">
        <v>7.36</v>
      </c>
      <c r="AT1283" t="s">
        <v>6285</v>
      </c>
      <c r="AU1283">
        <v>45.01</v>
      </c>
      <c r="AV1283">
        <v>38.659999999999997</v>
      </c>
      <c r="AW1283">
        <v>1.1000000000000001</v>
      </c>
      <c r="BA1283">
        <v>-0.05</v>
      </c>
      <c r="BB1283">
        <v>2.5299999999999998</v>
      </c>
      <c r="BC1283">
        <v>-3.56</v>
      </c>
      <c r="BD1283">
        <v>-0.52</v>
      </c>
      <c r="BE1283">
        <v>-3.51</v>
      </c>
      <c r="BF1283">
        <v>-5.94</v>
      </c>
      <c r="BG1283">
        <v>0</v>
      </c>
      <c r="BH1283">
        <v>-3.04</v>
      </c>
      <c r="BI1283">
        <v>20191213</v>
      </c>
      <c r="BJ1283">
        <v>20170125</v>
      </c>
      <c r="BK1283">
        <v>2.0299999999999998</v>
      </c>
      <c r="BL1283" t="s">
        <v>116</v>
      </c>
      <c r="BM1283" t="s">
        <v>116</v>
      </c>
      <c r="BN1283">
        <v>58.19</v>
      </c>
      <c r="BO1283">
        <v>12.22</v>
      </c>
      <c r="BP1283">
        <v>0.06</v>
      </c>
      <c r="BQ1283">
        <v>78.900000000000006</v>
      </c>
      <c r="BR1283">
        <v>47.83</v>
      </c>
      <c r="BS1283">
        <v>6.6</v>
      </c>
      <c r="BT1283">
        <v>0.16</v>
      </c>
      <c r="BU1283">
        <v>44.78</v>
      </c>
      <c r="BV1283">
        <v>17.2</v>
      </c>
      <c r="BW1283">
        <v>18.600000000000001</v>
      </c>
      <c r="BX1283">
        <v>5.77</v>
      </c>
      <c r="BY1283">
        <v>39.31</v>
      </c>
      <c r="BZ1283">
        <v>35.78</v>
      </c>
      <c r="CA1283">
        <v>0.79</v>
      </c>
      <c r="CB1283">
        <v>0</v>
      </c>
      <c r="CC1283">
        <v>0.78</v>
      </c>
      <c r="CD1283">
        <v>0.72</v>
      </c>
      <c r="CE1283">
        <v>0.73</v>
      </c>
      <c r="CF1283">
        <v>0.12</v>
      </c>
      <c r="CG1283">
        <v>5.26</v>
      </c>
      <c r="CH1283">
        <v>-0.11</v>
      </c>
      <c r="CI1283">
        <v>-2.3199999999999998</v>
      </c>
      <c r="CJ1283">
        <v>22830</v>
      </c>
      <c r="CK1283">
        <v>3354</v>
      </c>
      <c r="CL1283" t="s">
        <v>6402</v>
      </c>
      <c r="CM1283">
        <v>-15.88</v>
      </c>
      <c r="CN1283">
        <v>38.29</v>
      </c>
      <c r="CO1283">
        <v>3.1</v>
      </c>
      <c r="CP1283">
        <v>-352.98</v>
      </c>
      <c r="CQ1283">
        <v>0.96</v>
      </c>
      <c r="CR1283">
        <v>0.27</v>
      </c>
      <c r="CS1283" t="s">
        <v>4791</v>
      </c>
      <c r="CT1283">
        <v>6.02</v>
      </c>
      <c r="CU1283">
        <v>0</v>
      </c>
      <c r="CV1283">
        <v>2.85</v>
      </c>
      <c r="CW1283">
        <v>2.59</v>
      </c>
      <c r="CX1283">
        <v>-0.05</v>
      </c>
      <c r="CY1283">
        <v>21</v>
      </c>
      <c r="CZ1283" t="s">
        <v>7120</v>
      </c>
      <c r="DA1283">
        <v>8.9700000000000006</v>
      </c>
      <c r="DB1283">
        <v>2.02</v>
      </c>
      <c r="DC1283">
        <v>1.86</v>
      </c>
      <c r="DD1283">
        <v>1.17</v>
      </c>
      <c r="DE1283">
        <v>5386</v>
      </c>
      <c r="DF1283">
        <v>2845</v>
      </c>
      <c r="DG1283" t="s">
        <v>116</v>
      </c>
      <c r="DH1283" t="s">
        <v>116</v>
      </c>
      <c r="DI1283" t="s">
        <v>116</v>
      </c>
    </row>
    <row r="1284" spans="1:113" x14ac:dyDescent="0.4">
      <c r="A1284" t="str">
        <f>"002846"</f>
        <v>002846</v>
      </c>
      <c r="B1284" t="s">
        <v>7121</v>
      </c>
      <c r="C1284">
        <v>0.62</v>
      </c>
      <c r="D1284">
        <v>19.48</v>
      </c>
      <c r="E1284">
        <v>0.12</v>
      </c>
      <c r="F1284">
        <v>19.48</v>
      </c>
      <c r="G1284">
        <v>19.489999999999998</v>
      </c>
      <c r="H1284">
        <v>75831</v>
      </c>
      <c r="I1284">
        <v>866</v>
      </c>
      <c r="J1284">
        <v>0.67</v>
      </c>
      <c r="K1284">
        <v>14.33</v>
      </c>
      <c r="L1284">
        <v>19.399999999999999</v>
      </c>
      <c r="M1284">
        <v>20.100000000000001</v>
      </c>
      <c r="N1284">
        <v>18.8</v>
      </c>
      <c r="O1284">
        <v>19.36</v>
      </c>
      <c r="P1284">
        <v>43.73</v>
      </c>
      <c r="Q1284">
        <v>148297056</v>
      </c>
      <c r="R1284">
        <v>1.08</v>
      </c>
      <c r="S1284" t="s">
        <v>345</v>
      </c>
      <c r="T1284" t="s">
        <v>551</v>
      </c>
      <c r="U1284">
        <v>6.71</v>
      </c>
      <c r="V1284">
        <v>19.559999999999999</v>
      </c>
      <c r="W1284">
        <v>35319</v>
      </c>
      <c r="X1284">
        <v>40512</v>
      </c>
      <c r="Y1284">
        <v>0.87</v>
      </c>
      <c r="Z1284">
        <v>355</v>
      </c>
      <c r="AA1284">
        <v>292</v>
      </c>
      <c r="AB1284" t="s">
        <v>116</v>
      </c>
      <c r="AC1284">
        <v>384100</v>
      </c>
      <c r="AD1284">
        <v>0.04</v>
      </c>
      <c r="AE1284" t="s">
        <v>116</v>
      </c>
      <c r="AF1284" t="s">
        <v>116</v>
      </c>
      <c r="AG1284">
        <v>0.53</v>
      </c>
      <c r="AH1284" t="s">
        <v>7115</v>
      </c>
      <c r="AI1284" t="s">
        <v>989</v>
      </c>
      <c r="AJ1284">
        <v>1.3</v>
      </c>
      <c r="AK1284">
        <v>2545</v>
      </c>
      <c r="AL1284">
        <v>30</v>
      </c>
      <c r="AM1284">
        <v>5.5999999999999999E-3</v>
      </c>
      <c r="AN1284">
        <v>2</v>
      </c>
      <c r="AO1284">
        <v>-1.1200000000000001</v>
      </c>
      <c r="AP1284">
        <v>39.54</v>
      </c>
      <c r="AQ1284">
        <v>57.22</v>
      </c>
      <c r="AR1284">
        <v>82.74</v>
      </c>
      <c r="AS1284">
        <v>14.33</v>
      </c>
      <c r="AT1284" t="s">
        <v>7115</v>
      </c>
      <c r="AU1284">
        <v>46.02</v>
      </c>
      <c r="AV1284">
        <v>89.96</v>
      </c>
      <c r="AW1284">
        <v>0.83</v>
      </c>
      <c r="BA1284">
        <v>0.21</v>
      </c>
      <c r="BB1284">
        <v>3.82</v>
      </c>
      <c r="BC1284">
        <v>-2.89</v>
      </c>
      <c r="BD1284">
        <v>1.01</v>
      </c>
      <c r="BE1284">
        <v>0.41</v>
      </c>
      <c r="BF1284">
        <v>-3.08</v>
      </c>
      <c r="BG1284">
        <v>3.62</v>
      </c>
      <c r="BH1284">
        <v>-0.39</v>
      </c>
      <c r="BI1284">
        <v>20191017</v>
      </c>
      <c r="BJ1284">
        <v>20170207</v>
      </c>
      <c r="BK1284">
        <v>1.95</v>
      </c>
      <c r="BL1284" t="s">
        <v>116</v>
      </c>
      <c r="BM1284" t="s">
        <v>116</v>
      </c>
      <c r="BN1284">
        <v>13.03</v>
      </c>
      <c r="BO1284">
        <v>6.36</v>
      </c>
      <c r="BP1284">
        <v>0.46</v>
      </c>
      <c r="BQ1284">
        <v>47.68</v>
      </c>
      <c r="BR1284">
        <v>5.84</v>
      </c>
      <c r="BS1284">
        <v>3.73</v>
      </c>
      <c r="BT1284">
        <v>0.87</v>
      </c>
      <c r="BU1284">
        <v>4.9800000000000004</v>
      </c>
      <c r="BV1284">
        <v>2.33</v>
      </c>
      <c r="BW1284">
        <v>2.2200000000000002</v>
      </c>
      <c r="BX1284">
        <v>2.17</v>
      </c>
      <c r="BY1284">
        <v>8.39</v>
      </c>
      <c r="BZ1284">
        <v>6.52</v>
      </c>
      <c r="CA1284">
        <v>0.81</v>
      </c>
      <c r="CB1284">
        <v>0</v>
      </c>
      <c r="CC1284">
        <v>0.81</v>
      </c>
      <c r="CD1284">
        <v>0.67</v>
      </c>
      <c r="CE1284">
        <v>0.65</v>
      </c>
      <c r="CF1284">
        <v>0.64</v>
      </c>
      <c r="CG1284">
        <v>2.2000000000000002</v>
      </c>
      <c r="CH1284">
        <v>1.1299999999999999</v>
      </c>
      <c r="CI1284">
        <v>0.02</v>
      </c>
      <c r="CJ1284">
        <v>16595</v>
      </c>
      <c r="CK1284">
        <v>3190</v>
      </c>
      <c r="CL1284" t="s">
        <v>6652</v>
      </c>
      <c r="CM1284">
        <v>162.51</v>
      </c>
      <c r="CN1284">
        <v>64.260000000000005</v>
      </c>
      <c r="CO1284">
        <v>5.96</v>
      </c>
      <c r="CP1284">
        <v>33.590000000000003</v>
      </c>
      <c r="CQ1284">
        <v>4.5199999999999996</v>
      </c>
      <c r="CR1284">
        <v>0.26</v>
      </c>
      <c r="CS1284" t="s">
        <v>7122</v>
      </c>
      <c r="CT1284">
        <v>3.27</v>
      </c>
      <c r="CU1284">
        <v>0</v>
      </c>
      <c r="CV1284">
        <v>1.1100000000000001</v>
      </c>
      <c r="CW1284">
        <v>1.1299999999999999</v>
      </c>
      <c r="CX1284">
        <v>0.57999999999999996</v>
      </c>
      <c r="CY1284">
        <v>48.79</v>
      </c>
      <c r="CZ1284" t="s">
        <v>6286</v>
      </c>
      <c r="DA1284">
        <v>22.34</v>
      </c>
      <c r="DB1284">
        <v>9.69</v>
      </c>
      <c r="DC1284">
        <v>7.74</v>
      </c>
      <c r="DD1284">
        <v>0.23</v>
      </c>
      <c r="DE1284">
        <v>1063</v>
      </c>
      <c r="DF1284">
        <v>2846</v>
      </c>
      <c r="DG1284" t="s">
        <v>116</v>
      </c>
      <c r="DH1284" t="s">
        <v>116</v>
      </c>
      <c r="DI1284" t="s">
        <v>116</v>
      </c>
    </row>
    <row r="1285" spans="1:113" x14ac:dyDescent="0.4">
      <c r="A1285" t="str">
        <f>"002847"</f>
        <v>002847</v>
      </c>
      <c r="B1285" t="s">
        <v>7123</v>
      </c>
      <c r="C1285">
        <v>-0.81</v>
      </c>
      <c r="D1285">
        <v>35.56</v>
      </c>
      <c r="E1285">
        <v>-0.28999999999999998</v>
      </c>
      <c r="F1285">
        <v>35.549999999999997</v>
      </c>
      <c r="G1285">
        <v>35.56</v>
      </c>
      <c r="H1285">
        <v>11083</v>
      </c>
      <c r="I1285">
        <v>138</v>
      </c>
      <c r="J1285">
        <v>0.4</v>
      </c>
      <c r="K1285">
        <v>3.07</v>
      </c>
      <c r="L1285">
        <v>35.880000000000003</v>
      </c>
      <c r="M1285">
        <v>36.01</v>
      </c>
      <c r="N1285">
        <v>35.31</v>
      </c>
      <c r="O1285">
        <v>35.85</v>
      </c>
      <c r="P1285">
        <v>38.15</v>
      </c>
      <c r="Q1285">
        <v>39562240</v>
      </c>
      <c r="R1285">
        <v>1.03</v>
      </c>
      <c r="S1285" t="s">
        <v>863</v>
      </c>
      <c r="T1285" t="s">
        <v>599</v>
      </c>
      <c r="U1285">
        <v>1.95</v>
      </c>
      <c r="V1285">
        <v>35.700000000000003</v>
      </c>
      <c r="W1285">
        <v>6809</v>
      </c>
      <c r="X1285">
        <v>4274</v>
      </c>
      <c r="Y1285">
        <v>1.59</v>
      </c>
      <c r="Z1285">
        <v>48</v>
      </c>
      <c r="AA1285">
        <v>36</v>
      </c>
      <c r="AB1285" t="s">
        <v>116</v>
      </c>
      <c r="AC1285">
        <v>111200</v>
      </c>
      <c r="AD1285">
        <v>0.01</v>
      </c>
      <c r="AE1285" t="s">
        <v>116</v>
      </c>
      <c r="AF1285" t="s">
        <v>116</v>
      </c>
      <c r="AG1285">
        <v>0.36</v>
      </c>
      <c r="AH1285" t="s">
        <v>6504</v>
      </c>
      <c r="AI1285" t="s">
        <v>7124</v>
      </c>
      <c r="AJ1285">
        <v>-0.13</v>
      </c>
      <c r="AK1285">
        <v>1424</v>
      </c>
      <c r="AL1285">
        <v>8</v>
      </c>
      <c r="AM1285">
        <v>2.2000000000000001E-3</v>
      </c>
      <c r="AN1285">
        <v>-1</v>
      </c>
      <c r="AO1285">
        <v>-1.23</v>
      </c>
      <c r="AP1285">
        <v>-5.0999999999999996</v>
      </c>
      <c r="AQ1285">
        <v>-0.95</v>
      </c>
      <c r="AR1285">
        <v>66.95</v>
      </c>
      <c r="AS1285">
        <v>3.07</v>
      </c>
      <c r="AT1285" t="s">
        <v>6504</v>
      </c>
      <c r="AU1285">
        <v>43.41</v>
      </c>
      <c r="AV1285">
        <v>64.75</v>
      </c>
      <c r="AW1285">
        <v>0.91</v>
      </c>
      <c r="BA1285">
        <v>0.08</v>
      </c>
      <c r="BB1285">
        <v>0.45</v>
      </c>
      <c r="BC1285">
        <v>-1.51</v>
      </c>
      <c r="BD1285">
        <v>-0.43</v>
      </c>
      <c r="BE1285">
        <v>-0.89</v>
      </c>
      <c r="BF1285">
        <v>-1.25</v>
      </c>
      <c r="BG1285">
        <v>0.71</v>
      </c>
      <c r="BH1285">
        <v>-0.38</v>
      </c>
      <c r="BI1285">
        <v>20191029</v>
      </c>
      <c r="BJ1285">
        <v>20170208</v>
      </c>
      <c r="BK1285">
        <v>1.28</v>
      </c>
      <c r="BL1285" t="s">
        <v>116</v>
      </c>
      <c r="BM1285" t="s">
        <v>116</v>
      </c>
      <c r="BN1285">
        <v>14.39</v>
      </c>
      <c r="BO1285">
        <v>7.84</v>
      </c>
      <c r="BP1285">
        <v>0.02</v>
      </c>
      <c r="BQ1285">
        <v>45.36</v>
      </c>
      <c r="BR1285">
        <v>5.2</v>
      </c>
      <c r="BS1285">
        <v>6.86</v>
      </c>
      <c r="BT1285">
        <v>1.52</v>
      </c>
      <c r="BU1285">
        <v>6.36</v>
      </c>
      <c r="BV1285">
        <v>1.54</v>
      </c>
      <c r="BW1285">
        <v>1.1299999999999999</v>
      </c>
      <c r="BX1285">
        <v>3.63</v>
      </c>
      <c r="BY1285">
        <v>9.81</v>
      </c>
      <c r="BZ1285">
        <v>5.61</v>
      </c>
      <c r="CA1285">
        <v>1.1100000000000001</v>
      </c>
      <c r="CB1285">
        <v>0</v>
      </c>
      <c r="CC1285">
        <v>1.0900000000000001</v>
      </c>
      <c r="CD1285">
        <v>0.9</v>
      </c>
      <c r="CE1285">
        <v>0.9</v>
      </c>
      <c r="CF1285">
        <v>0.64</v>
      </c>
      <c r="CG1285">
        <v>2.68</v>
      </c>
      <c r="CH1285">
        <v>0.99</v>
      </c>
      <c r="CI1285">
        <v>-0.35</v>
      </c>
      <c r="CJ1285">
        <v>11594</v>
      </c>
      <c r="CK1285">
        <v>3111</v>
      </c>
      <c r="CL1285" t="s">
        <v>7125</v>
      </c>
      <c r="CM1285">
        <v>62.92</v>
      </c>
      <c r="CN1285">
        <v>30.12</v>
      </c>
      <c r="CO1285">
        <v>5.83</v>
      </c>
      <c r="CP1285">
        <v>46.33</v>
      </c>
      <c r="CQ1285">
        <v>4.6500000000000004</v>
      </c>
      <c r="CR1285">
        <v>0.54</v>
      </c>
      <c r="CS1285" t="s">
        <v>3684</v>
      </c>
      <c r="CT1285">
        <v>6.1</v>
      </c>
      <c r="CU1285">
        <v>0</v>
      </c>
      <c r="CV1285">
        <v>2.83</v>
      </c>
      <c r="CW1285">
        <v>2.08</v>
      </c>
      <c r="CX1285">
        <v>0.77</v>
      </c>
      <c r="CY1285">
        <v>54.47</v>
      </c>
      <c r="CZ1285" t="s">
        <v>7126</v>
      </c>
      <c r="DA1285">
        <v>42.87</v>
      </c>
      <c r="DB1285">
        <v>11.27</v>
      </c>
      <c r="DC1285">
        <v>9.15</v>
      </c>
      <c r="DD1285">
        <v>0.17</v>
      </c>
      <c r="DE1285">
        <v>2258</v>
      </c>
      <c r="DF1285">
        <v>2847</v>
      </c>
      <c r="DG1285" t="s">
        <v>116</v>
      </c>
      <c r="DH1285" t="s">
        <v>116</v>
      </c>
      <c r="DI1285" t="s">
        <v>116</v>
      </c>
    </row>
    <row r="1286" spans="1:113" x14ac:dyDescent="0.4">
      <c r="A1286" t="str">
        <f>"002848"</f>
        <v>002848</v>
      </c>
      <c r="B1286" t="s">
        <v>7127</v>
      </c>
      <c r="C1286">
        <v>-0.86</v>
      </c>
      <c r="D1286">
        <v>12.75</v>
      </c>
      <c r="E1286">
        <v>-0.11</v>
      </c>
      <c r="F1286">
        <v>12.75</v>
      </c>
      <c r="G1286">
        <v>12.76</v>
      </c>
      <c r="H1286">
        <v>39449</v>
      </c>
      <c r="I1286">
        <v>395</v>
      </c>
      <c r="J1286">
        <v>-0.15</v>
      </c>
      <c r="K1286">
        <v>4.46</v>
      </c>
      <c r="L1286">
        <v>12.93</v>
      </c>
      <c r="M1286">
        <v>13.05</v>
      </c>
      <c r="N1286">
        <v>12.67</v>
      </c>
      <c r="O1286">
        <v>12.86</v>
      </c>
      <c r="P1286" t="s">
        <v>116</v>
      </c>
      <c r="Q1286">
        <v>50672064</v>
      </c>
      <c r="R1286">
        <v>0.66</v>
      </c>
      <c r="S1286" t="s">
        <v>465</v>
      </c>
      <c r="T1286" t="s">
        <v>599</v>
      </c>
      <c r="U1286">
        <v>2.95</v>
      </c>
      <c r="V1286">
        <v>12.84</v>
      </c>
      <c r="W1286">
        <v>21738</v>
      </c>
      <c r="X1286">
        <v>17711</v>
      </c>
      <c r="Y1286">
        <v>1.23</v>
      </c>
      <c r="Z1286">
        <v>114</v>
      </c>
      <c r="AA1286">
        <v>113</v>
      </c>
      <c r="AB1286" t="s">
        <v>116</v>
      </c>
      <c r="AC1286">
        <v>29700</v>
      </c>
      <c r="AD1286">
        <v>0</v>
      </c>
      <c r="AE1286" t="s">
        <v>116</v>
      </c>
      <c r="AF1286" t="s">
        <v>116</v>
      </c>
      <c r="AG1286">
        <v>0.88</v>
      </c>
      <c r="AH1286" t="s">
        <v>2383</v>
      </c>
      <c r="AI1286" t="s">
        <v>1699</v>
      </c>
      <c r="AJ1286">
        <v>-0.18</v>
      </c>
      <c r="AK1286">
        <v>1837</v>
      </c>
      <c r="AL1286">
        <v>21</v>
      </c>
      <c r="AM1286">
        <v>2.3999999999999998E-3</v>
      </c>
      <c r="AN1286">
        <v>-1</v>
      </c>
      <c r="AO1286">
        <v>7.0000000000000007E-2</v>
      </c>
      <c r="AP1286">
        <v>16.12</v>
      </c>
      <c r="AQ1286">
        <v>-9.83</v>
      </c>
      <c r="AR1286">
        <v>9.07</v>
      </c>
      <c r="AS1286">
        <v>4.53</v>
      </c>
      <c r="AT1286" t="s">
        <v>7128</v>
      </c>
      <c r="AU1286" t="s">
        <v>116</v>
      </c>
      <c r="AV1286" t="s">
        <v>116</v>
      </c>
      <c r="AW1286">
        <v>1.66</v>
      </c>
      <c r="BA1286">
        <v>0.54</v>
      </c>
      <c r="BB1286">
        <v>1.48</v>
      </c>
      <c r="BC1286">
        <v>-1.48</v>
      </c>
      <c r="BD1286">
        <v>-0.12</v>
      </c>
      <c r="BE1286">
        <v>-1.39</v>
      </c>
      <c r="BF1286">
        <v>-2.2999999999999998</v>
      </c>
      <c r="BG1286">
        <v>0.63</v>
      </c>
      <c r="BH1286">
        <v>-0.74</v>
      </c>
      <c r="BI1286">
        <v>20191025</v>
      </c>
      <c r="BJ1286">
        <v>20170213</v>
      </c>
      <c r="BK1286">
        <v>1.67</v>
      </c>
      <c r="BL1286" t="s">
        <v>116</v>
      </c>
      <c r="BM1286" t="s">
        <v>116</v>
      </c>
      <c r="BN1286">
        <v>10.62</v>
      </c>
      <c r="BO1286">
        <v>6.39</v>
      </c>
      <c r="BP1286">
        <v>0</v>
      </c>
      <c r="BQ1286">
        <v>39.869999999999997</v>
      </c>
      <c r="BR1286">
        <v>7.05</v>
      </c>
      <c r="BS1286">
        <v>1.44</v>
      </c>
      <c r="BT1286">
        <v>0.16</v>
      </c>
      <c r="BU1286">
        <v>4.05</v>
      </c>
      <c r="BV1286">
        <v>1.65</v>
      </c>
      <c r="BW1286">
        <v>4.78</v>
      </c>
      <c r="BX1286">
        <v>1.98</v>
      </c>
      <c r="BY1286">
        <v>4.13</v>
      </c>
      <c r="BZ1286">
        <v>3.62</v>
      </c>
      <c r="CA1286">
        <v>-0.35</v>
      </c>
      <c r="CB1286">
        <v>0</v>
      </c>
      <c r="CC1286">
        <v>-0.35</v>
      </c>
      <c r="CD1286">
        <v>-0.28000000000000003</v>
      </c>
      <c r="CE1286">
        <v>-0.28000000000000003</v>
      </c>
      <c r="CF1286">
        <v>-0.35</v>
      </c>
      <c r="CG1286">
        <v>2.42</v>
      </c>
      <c r="CH1286">
        <v>0.14000000000000001</v>
      </c>
      <c r="CI1286">
        <v>-0.32</v>
      </c>
      <c r="CJ1286">
        <v>29761</v>
      </c>
      <c r="CK1286">
        <v>2925</v>
      </c>
      <c r="CL1286" t="s">
        <v>3654</v>
      </c>
      <c r="CM1286">
        <v>3.88</v>
      </c>
      <c r="CN1286">
        <v>-33.9</v>
      </c>
      <c r="CO1286">
        <v>3.34</v>
      </c>
      <c r="CP1286">
        <v>151.68</v>
      </c>
      <c r="CQ1286">
        <v>5.16</v>
      </c>
      <c r="CR1286">
        <v>0</v>
      </c>
      <c r="CS1286" t="s">
        <v>7129</v>
      </c>
      <c r="CT1286">
        <v>3.82</v>
      </c>
      <c r="CU1286">
        <v>0</v>
      </c>
      <c r="CV1286">
        <v>1.19</v>
      </c>
      <c r="CW1286">
        <v>1.45</v>
      </c>
      <c r="CX1286">
        <v>0.08</v>
      </c>
      <c r="CY1286">
        <v>60.13</v>
      </c>
      <c r="CZ1286" t="s">
        <v>7130</v>
      </c>
      <c r="DA1286">
        <v>12.29</v>
      </c>
      <c r="DB1286">
        <v>-8.3699999999999992</v>
      </c>
      <c r="DC1286">
        <v>-6.84</v>
      </c>
      <c r="DD1286">
        <v>0.3</v>
      </c>
      <c r="DE1286">
        <v>1707</v>
      </c>
      <c r="DF1286">
        <v>2848</v>
      </c>
      <c r="DG1286" t="s">
        <v>116</v>
      </c>
      <c r="DH1286" t="s">
        <v>116</v>
      </c>
      <c r="DI1286" t="s">
        <v>116</v>
      </c>
    </row>
    <row r="1287" spans="1:113" x14ac:dyDescent="0.4">
      <c r="A1287" t="str">
        <f>"002849"</f>
        <v>002849</v>
      </c>
      <c r="B1287" t="s">
        <v>7131</v>
      </c>
      <c r="C1287">
        <v>-1.05</v>
      </c>
      <c r="D1287">
        <v>14.1</v>
      </c>
      <c r="E1287">
        <v>-0.15</v>
      </c>
      <c r="F1287">
        <v>14.1</v>
      </c>
      <c r="G1287">
        <v>14.11</v>
      </c>
      <c r="H1287">
        <v>10654</v>
      </c>
      <c r="I1287">
        <v>161</v>
      </c>
      <c r="J1287">
        <v>-0.13</v>
      </c>
      <c r="K1287">
        <v>1.6</v>
      </c>
      <c r="L1287">
        <v>14.25</v>
      </c>
      <c r="M1287">
        <v>14.3</v>
      </c>
      <c r="N1287">
        <v>14.08</v>
      </c>
      <c r="O1287">
        <v>14.25</v>
      </c>
      <c r="P1287">
        <v>25.37</v>
      </c>
      <c r="Q1287">
        <v>15134051</v>
      </c>
      <c r="R1287">
        <v>0.67</v>
      </c>
      <c r="S1287" t="s">
        <v>2977</v>
      </c>
      <c r="T1287" t="s">
        <v>590</v>
      </c>
      <c r="U1287">
        <v>1.54</v>
      </c>
      <c r="V1287">
        <v>14.21</v>
      </c>
      <c r="W1287">
        <v>6672</v>
      </c>
      <c r="X1287">
        <v>3982</v>
      </c>
      <c r="Y1287">
        <v>1.68</v>
      </c>
      <c r="Z1287">
        <v>92</v>
      </c>
      <c r="AA1287">
        <v>7</v>
      </c>
      <c r="AB1287" t="s">
        <v>116</v>
      </c>
      <c r="AC1287">
        <v>41300</v>
      </c>
      <c r="AD1287">
        <v>0</v>
      </c>
      <c r="AE1287" t="s">
        <v>116</v>
      </c>
      <c r="AF1287" t="s">
        <v>116</v>
      </c>
      <c r="AG1287">
        <v>0.66</v>
      </c>
      <c r="AH1287" t="s">
        <v>7132</v>
      </c>
      <c r="AI1287" t="s">
        <v>1526</v>
      </c>
      <c r="AJ1287">
        <v>-0.37</v>
      </c>
      <c r="AK1287">
        <v>619</v>
      </c>
      <c r="AL1287">
        <v>17</v>
      </c>
      <c r="AM1287">
        <v>2.5999999999999999E-3</v>
      </c>
      <c r="AN1287">
        <v>-1</v>
      </c>
      <c r="AO1287">
        <v>-2.29</v>
      </c>
      <c r="AP1287">
        <v>4.0599999999999996</v>
      </c>
      <c r="AQ1287">
        <v>-4.34</v>
      </c>
      <c r="AR1287">
        <v>0.21</v>
      </c>
      <c r="AS1287">
        <v>1.6</v>
      </c>
      <c r="AT1287" t="s">
        <v>7132</v>
      </c>
      <c r="AU1287">
        <v>26.64</v>
      </c>
      <c r="AV1287">
        <v>29.65</v>
      </c>
      <c r="AW1287">
        <v>0.51</v>
      </c>
      <c r="BA1287">
        <v>0</v>
      </c>
      <c r="BB1287">
        <v>0.35</v>
      </c>
      <c r="BC1287">
        <v>-1.19</v>
      </c>
      <c r="BD1287">
        <v>-0.31</v>
      </c>
      <c r="BE1287">
        <v>-1.05</v>
      </c>
      <c r="BF1287">
        <v>-1.4</v>
      </c>
      <c r="BG1287">
        <v>0.14000000000000001</v>
      </c>
      <c r="BH1287">
        <v>-0.74</v>
      </c>
      <c r="BI1287">
        <v>20191226</v>
      </c>
      <c r="BJ1287">
        <v>20170217</v>
      </c>
      <c r="BK1287">
        <v>1.33</v>
      </c>
      <c r="BL1287" t="s">
        <v>116</v>
      </c>
      <c r="BM1287" t="s">
        <v>116</v>
      </c>
      <c r="BN1287">
        <v>14.62</v>
      </c>
      <c r="BO1287">
        <v>6.62</v>
      </c>
      <c r="BP1287">
        <v>0.47</v>
      </c>
      <c r="BQ1287">
        <v>51.53</v>
      </c>
      <c r="BR1287">
        <v>12.45</v>
      </c>
      <c r="BS1287">
        <v>1.23</v>
      </c>
      <c r="BT1287">
        <v>0.3</v>
      </c>
      <c r="BU1287">
        <v>7.19</v>
      </c>
      <c r="BV1287">
        <v>2.76</v>
      </c>
      <c r="BW1287">
        <v>6.91</v>
      </c>
      <c r="BX1287">
        <v>2.4900000000000002</v>
      </c>
      <c r="BY1287">
        <v>8.17</v>
      </c>
      <c r="BZ1287">
        <v>5.68</v>
      </c>
      <c r="CA1287">
        <v>0.91</v>
      </c>
      <c r="CB1287">
        <v>0.02</v>
      </c>
      <c r="CC1287">
        <v>0.91</v>
      </c>
      <c r="CD1287">
        <v>0.74</v>
      </c>
      <c r="CE1287">
        <v>0.55000000000000004</v>
      </c>
      <c r="CF1287">
        <v>0.52</v>
      </c>
      <c r="CG1287">
        <v>2.7</v>
      </c>
      <c r="CH1287">
        <v>-1.54</v>
      </c>
      <c r="CI1287">
        <v>-2.23</v>
      </c>
      <c r="CJ1287">
        <v>11951</v>
      </c>
      <c r="CK1287">
        <v>5554</v>
      </c>
      <c r="CL1287" t="s">
        <v>7133</v>
      </c>
      <c r="CM1287">
        <v>14.8</v>
      </c>
      <c r="CN1287">
        <v>42.08</v>
      </c>
      <c r="CO1287">
        <v>2.82</v>
      </c>
      <c r="CP1287">
        <v>-12.1</v>
      </c>
      <c r="CQ1287">
        <v>2.29</v>
      </c>
      <c r="CR1287">
        <v>0.35</v>
      </c>
      <c r="CS1287" t="s">
        <v>2820</v>
      </c>
      <c r="CT1287">
        <v>5</v>
      </c>
      <c r="CU1287">
        <v>5</v>
      </c>
      <c r="CV1287">
        <v>1.88</v>
      </c>
      <c r="CW1287">
        <v>2.04</v>
      </c>
      <c r="CX1287">
        <v>-1.17</v>
      </c>
      <c r="CY1287">
        <v>45.28</v>
      </c>
      <c r="CZ1287" t="s">
        <v>3223</v>
      </c>
      <c r="DA1287">
        <v>30.5</v>
      </c>
      <c r="DB1287">
        <v>11.09</v>
      </c>
      <c r="DC1287">
        <v>6.76</v>
      </c>
      <c r="DD1287">
        <v>0.33</v>
      </c>
      <c r="DE1287">
        <v>655</v>
      </c>
      <c r="DF1287">
        <v>2849</v>
      </c>
      <c r="DG1287" t="s">
        <v>116</v>
      </c>
      <c r="DH1287" t="s">
        <v>116</v>
      </c>
      <c r="DI1287" t="s">
        <v>116</v>
      </c>
    </row>
    <row r="1288" spans="1:113" x14ac:dyDescent="0.4">
      <c r="A1288" t="str">
        <f>"002850"</f>
        <v>002850</v>
      </c>
      <c r="B1288" t="s">
        <v>7134</v>
      </c>
      <c r="C1288">
        <v>-1.33</v>
      </c>
      <c r="D1288">
        <v>44.66</v>
      </c>
      <c r="E1288">
        <v>-0.6</v>
      </c>
      <c r="F1288">
        <v>44.65</v>
      </c>
      <c r="G1288">
        <v>44.66</v>
      </c>
      <c r="H1288">
        <v>52320</v>
      </c>
      <c r="I1288">
        <v>381</v>
      </c>
      <c r="J1288">
        <v>0</v>
      </c>
      <c r="K1288">
        <v>5.63</v>
      </c>
      <c r="L1288">
        <v>45.06</v>
      </c>
      <c r="M1288">
        <v>47.19</v>
      </c>
      <c r="N1288">
        <v>44.51</v>
      </c>
      <c r="O1288">
        <v>45.26</v>
      </c>
      <c r="P1288">
        <v>47.99</v>
      </c>
      <c r="Q1288">
        <v>239306880</v>
      </c>
      <c r="R1288">
        <v>1.1599999999999999</v>
      </c>
      <c r="S1288" t="s">
        <v>996</v>
      </c>
      <c r="T1288" t="s">
        <v>115</v>
      </c>
      <c r="U1288">
        <v>5.92</v>
      </c>
      <c r="V1288">
        <v>45.74</v>
      </c>
      <c r="W1288">
        <v>24196</v>
      </c>
      <c r="X1288">
        <v>28124</v>
      </c>
      <c r="Y1288">
        <v>0.86</v>
      </c>
      <c r="Z1288">
        <v>2</v>
      </c>
      <c r="AA1288">
        <v>77</v>
      </c>
      <c r="AB1288" t="s">
        <v>116</v>
      </c>
      <c r="AC1288">
        <v>1838400</v>
      </c>
      <c r="AD1288">
        <v>0.05</v>
      </c>
      <c r="AE1288" t="s">
        <v>116</v>
      </c>
      <c r="AF1288" t="s">
        <v>116</v>
      </c>
      <c r="AG1288">
        <v>0.93</v>
      </c>
      <c r="AH1288" t="s">
        <v>7135</v>
      </c>
      <c r="AI1288" t="s">
        <v>7136</v>
      </c>
      <c r="AJ1288">
        <v>-0.65</v>
      </c>
      <c r="AK1288">
        <v>3245</v>
      </c>
      <c r="AL1288">
        <v>16</v>
      </c>
      <c r="AM1288">
        <v>1.6999999999999999E-3</v>
      </c>
      <c r="AN1288">
        <v>-2</v>
      </c>
      <c r="AO1288">
        <v>-2.2599999999999998</v>
      </c>
      <c r="AP1288">
        <v>23.57</v>
      </c>
      <c r="AQ1288">
        <v>30.43</v>
      </c>
      <c r="AR1288">
        <v>144.71</v>
      </c>
      <c r="AS1288">
        <v>6.52</v>
      </c>
      <c r="AT1288" t="s">
        <v>7137</v>
      </c>
      <c r="AU1288">
        <v>50.68</v>
      </c>
      <c r="AV1288">
        <v>113.97</v>
      </c>
      <c r="AW1288">
        <v>1.1200000000000001</v>
      </c>
      <c r="BA1288">
        <v>-0.44</v>
      </c>
      <c r="BB1288">
        <v>4.26</v>
      </c>
      <c r="BC1288">
        <v>-1.66</v>
      </c>
      <c r="BD1288">
        <v>1.06</v>
      </c>
      <c r="BE1288">
        <v>-0.89</v>
      </c>
      <c r="BF1288">
        <v>-5.36</v>
      </c>
      <c r="BG1288">
        <v>0.34</v>
      </c>
      <c r="BH1288">
        <v>-2.38</v>
      </c>
      <c r="BI1288">
        <v>20191030</v>
      </c>
      <c r="BJ1288">
        <v>20170302</v>
      </c>
      <c r="BK1288">
        <v>2.1</v>
      </c>
      <c r="BL1288" t="s">
        <v>116</v>
      </c>
      <c r="BM1288" t="s">
        <v>116</v>
      </c>
      <c r="BN1288">
        <v>36.29</v>
      </c>
      <c r="BO1288">
        <v>24</v>
      </c>
      <c r="BP1288">
        <v>0.81</v>
      </c>
      <c r="BQ1288">
        <v>31.65</v>
      </c>
      <c r="BR1288">
        <v>15.34</v>
      </c>
      <c r="BS1288">
        <v>15.12</v>
      </c>
      <c r="BT1288">
        <v>1.68</v>
      </c>
      <c r="BU1288">
        <v>11.13</v>
      </c>
      <c r="BV1288">
        <v>2.92</v>
      </c>
      <c r="BW1288">
        <v>5.91</v>
      </c>
      <c r="BX1288">
        <v>13.52</v>
      </c>
      <c r="BY1288">
        <v>17</v>
      </c>
      <c r="BZ1288">
        <v>12.63</v>
      </c>
      <c r="CA1288">
        <v>1.89</v>
      </c>
      <c r="CB1288">
        <v>0.01</v>
      </c>
      <c r="CC1288">
        <v>1.89</v>
      </c>
      <c r="CD1288">
        <v>1.44</v>
      </c>
      <c r="CE1288">
        <v>1.47</v>
      </c>
      <c r="CF1288">
        <v>1.37</v>
      </c>
      <c r="CG1288">
        <v>7.8</v>
      </c>
      <c r="CH1288">
        <v>2.11</v>
      </c>
      <c r="CI1288">
        <v>-0.28000000000000003</v>
      </c>
      <c r="CJ1288">
        <v>18620</v>
      </c>
      <c r="CK1288">
        <v>4312</v>
      </c>
      <c r="CL1288" t="s">
        <v>7138</v>
      </c>
      <c r="CM1288">
        <v>234.74</v>
      </c>
      <c r="CN1288">
        <v>26.34</v>
      </c>
      <c r="CO1288">
        <v>3.91</v>
      </c>
      <c r="CP1288">
        <v>44.35</v>
      </c>
      <c r="CQ1288">
        <v>5.52</v>
      </c>
      <c r="CR1288">
        <v>0.45</v>
      </c>
      <c r="CS1288" t="s">
        <v>7139</v>
      </c>
      <c r="CT1288">
        <v>11.43</v>
      </c>
      <c r="CU1288">
        <v>0</v>
      </c>
      <c r="CV1288">
        <v>6.44</v>
      </c>
      <c r="CW1288">
        <v>3.71</v>
      </c>
      <c r="CX1288">
        <v>1.01</v>
      </c>
      <c r="CY1288">
        <v>66.12</v>
      </c>
      <c r="CZ1288" t="s">
        <v>4343</v>
      </c>
      <c r="DA1288">
        <v>25.68</v>
      </c>
      <c r="DB1288">
        <v>11.11</v>
      </c>
      <c r="DC1288">
        <v>8.6199999999999992</v>
      </c>
      <c r="DD1288">
        <v>0.79</v>
      </c>
      <c r="DE1288">
        <v>3616</v>
      </c>
      <c r="DF1288">
        <v>2850</v>
      </c>
      <c r="DG1288" t="s">
        <v>116</v>
      </c>
      <c r="DH1288" t="s">
        <v>116</v>
      </c>
      <c r="DI1288" t="s">
        <v>116</v>
      </c>
    </row>
    <row r="1289" spans="1:113" x14ac:dyDescent="0.4">
      <c r="A1289" t="str">
        <f>"002851"</f>
        <v>002851</v>
      </c>
      <c r="B1289" t="s">
        <v>7140</v>
      </c>
      <c r="C1289">
        <v>-0.53</v>
      </c>
      <c r="D1289">
        <v>20.7</v>
      </c>
      <c r="E1289">
        <v>-0.11</v>
      </c>
      <c r="F1289">
        <v>20.7</v>
      </c>
      <c r="G1289">
        <v>20.71</v>
      </c>
      <c r="H1289">
        <v>71133</v>
      </c>
      <c r="I1289">
        <v>773</v>
      </c>
      <c r="J1289">
        <v>-0.28000000000000003</v>
      </c>
      <c r="K1289">
        <v>2.75</v>
      </c>
      <c r="L1289">
        <v>20.8</v>
      </c>
      <c r="M1289">
        <v>21.35</v>
      </c>
      <c r="N1289">
        <v>20.62</v>
      </c>
      <c r="O1289">
        <v>20.81</v>
      </c>
      <c r="P1289">
        <v>26.42</v>
      </c>
      <c r="Q1289">
        <v>148985792</v>
      </c>
      <c r="R1289">
        <v>1.29</v>
      </c>
      <c r="S1289" t="s">
        <v>397</v>
      </c>
      <c r="T1289" t="s">
        <v>115</v>
      </c>
      <c r="U1289">
        <v>3.51</v>
      </c>
      <c r="V1289">
        <v>20.94</v>
      </c>
      <c r="W1289">
        <v>33317</v>
      </c>
      <c r="X1289">
        <v>37816</v>
      </c>
      <c r="Y1289">
        <v>0.88</v>
      </c>
      <c r="Z1289">
        <v>49</v>
      </c>
      <c r="AA1289">
        <v>102</v>
      </c>
      <c r="AB1289" t="s">
        <v>116</v>
      </c>
      <c r="AC1289">
        <v>183000</v>
      </c>
      <c r="AD1289">
        <v>0</v>
      </c>
      <c r="AE1289" t="s">
        <v>116</v>
      </c>
      <c r="AF1289" t="s">
        <v>116</v>
      </c>
      <c r="AG1289">
        <v>2.58</v>
      </c>
      <c r="AH1289" t="s">
        <v>7141</v>
      </c>
      <c r="AI1289" t="s">
        <v>7142</v>
      </c>
      <c r="AJ1289">
        <v>0.15</v>
      </c>
      <c r="AK1289">
        <v>3079</v>
      </c>
      <c r="AL1289">
        <v>23</v>
      </c>
      <c r="AM1289">
        <v>8.9999999999999998E-4</v>
      </c>
      <c r="AN1289">
        <v>-2</v>
      </c>
      <c r="AO1289">
        <v>3.19</v>
      </c>
      <c r="AP1289">
        <v>6.92</v>
      </c>
      <c r="AQ1289">
        <v>3.92</v>
      </c>
      <c r="AR1289">
        <v>47.37</v>
      </c>
      <c r="AS1289">
        <v>2.75</v>
      </c>
      <c r="AT1289" t="s">
        <v>7141</v>
      </c>
      <c r="AU1289">
        <v>27.34</v>
      </c>
      <c r="AV1289">
        <v>48.08</v>
      </c>
      <c r="AW1289">
        <v>0.96</v>
      </c>
      <c r="BA1289">
        <v>-0.05</v>
      </c>
      <c r="BB1289">
        <v>2.59</v>
      </c>
      <c r="BC1289">
        <v>-0.91</v>
      </c>
      <c r="BD1289">
        <v>0.65</v>
      </c>
      <c r="BE1289">
        <v>-0.48</v>
      </c>
      <c r="BF1289">
        <v>-3.04</v>
      </c>
      <c r="BG1289">
        <v>0.39</v>
      </c>
      <c r="BH1289">
        <v>-1.18</v>
      </c>
      <c r="BI1289">
        <v>20191227</v>
      </c>
      <c r="BJ1289">
        <v>20170306</v>
      </c>
      <c r="BK1289">
        <v>4.6900000000000004</v>
      </c>
      <c r="BL1289" t="s">
        <v>116</v>
      </c>
      <c r="BM1289" t="s">
        <v>116</v>
      </c>
      <c r="BN1289">
        <v>38.340000000000003</v>
      </c>
      <c r="BO1289">
        <v>18.88</v>
      </c>
      <c r="BP1289">
        <v>0.48</v>
      </c>
      <c r="BQ1289">
        <v>49.51</v>
      </c>
      <c r="BR1289">
        <v>30.15</v>
      </c>
      <c r="BS1289">
        <v>3.11</v>
      </c>
      <c r="BT1289">
        <v>1.45</v>
      </c>
      <c r="BU1289">
        <v>18.7</v>
      </c>
      <c r="BV1289">
        <v>8.8800000000000008</v>
      </c>
      <c r="BW1289">
        <v>7.85</v>
      </c>
      <c r="BX1289">
        <v>5.25</v>
      </c>
      <c r="BY1289">
        <v>26.52</v>
      </c>
      <c r="BZ1289">
        <v>19.89</v>
      </c>
      <c r="CA1289">
        <v>2.89</v>
      </c>
      <c r="CB1289">
        <v>0.09</v>
      </c>
      <c r="CC1289">
        <v>2.91</v>
      </c>
      <c r="CD1289">
        <v>2.76</v>
      </c>
      <c r="CE1289">
        <v>2.76</v>
      </c>
      <c r="CF1289">
        <v>2.52</v>
      </c>
      <c r="CG1289">
        <v>8.94</v>
      </c>
      <c r="CH1289">
        <v>3.49</v>
      </c>
      <c r="CI1289">
        <v>1.1299999999999999</v>
      </c>
      <c r="CJ1289">
        <v>21000</v>
      </c>
      <c r="CK1289">
        <v>12308</v>
      </c>
      <c r="CL1289" t="s">
        <v>7143</v>
      </c>
      <c r="CM1289">
        <v>125.1</v>
      </c>
      <c r="CN1289">
        <v>64.67</v>
      </c>
      <c r="CO1289">
        <v>5.15</v>
      </c>
      <c r="CP1289">
        <v>27.83</v>
      </c>
      <c r="CQ1289">
        <v>3.66</v>
      </c>
      <c r="CR1289">
        <v>0.42</v>
      </c>
      <c r="CS1289" t="s">
        <v>3264</v>
      </c>
      <c r="CT1289">
        <v>4.0199999999999996</v>
      </c>
      <c r="CU1289">
        <v>0</v>
      </c>
      <c r="CV1289">
        <v>1.1200000000000001</v>
      </c>
      <c r="CW1289">
        <v>1.9</v>
      </c>
      <c r="CX1289">
        <v>0.74</v>
      </c>
      <c r="CY1289">
        <v>49.24</v>
      </c>
      <c r="CZ1289" t="s">
        <v>7144</v>
      </c>
      <c r="DA1289">
        <v>25</v>
      </c>
      <c r="DB1289">
        <v>10.91</v>
      </c>
      <c r="DC1289">
        <v>10.4</v>
      </c>
      <c r="DD1289">
        <v>2.2599999999999998</v>
      </c>
      <c r="DE1289">
        <v>2682</v>
      </c>
      <c r="DF1289">
        <v>2851</v>
      </c>
      <c r="DG1289" t="s">
        <v>116</v>
      </c>
      <c r="DH1289" t="s">
        <v>116</v>
      </c>
      <c r="DI1289" t="s">
        <v>116</v>
      </c>
    </row>
    <row r="1290" spans="1:113" x14ac:dyDescent="0.4">
      <c r="A1290" t="str">
        <f>"002852"</f>
        <v>002852</v>
      </c>
      <c r="B1290" t="s">
        <v>7145</v>
      </c>
      <c r="C1290">
        <v>-0.38</v>
      </c>
      <c r="D1290">
        <v>13.28</v>
      </c>
      <c r="E1290">
        <v>-0.05</v>
      </c>
      <c r="F1290">
        <v>13.27</v>
      </c>
      <c r="G1290">
        <v>13.28</v>
      </c>
      <c r="H1290">
        <v>9762</v>
      </c>
      <c r="I1290">
        <v>53</v>
      </c>
      <c r="J1290">
        <v>0.08</v>
      </c>
      <c r="K1290">
        <v>0.78</v>
      </c>
      <c r="L1290">
        <v>13.34</v>
      </c>
      <c r="M1290">
        <v>13.41</v>
      </c>
      <c r="N1290">
        <v>13.27</v>
      </c>
      <c r="O1290">
        <v>13.33</v>
      </c>
      <c r="P1290">
        <v>22.65</v>
      </c>
      <c r="Q1290">
        <v>13016575</v>
      </c>
      <c r="R1290">
        <v>1.23</v>
      </c>
      <c r="S1290" t="s">
        <v>863</v>
      </c>
      <c r="T1290" t="s">
        <v>599</v>
      </c>
      <c r="U1290">
        <v>1.05</v>
      </c>
      <c r="V1290">
        <v>13.33</v>
      </c>
      <c r="W1290">
        <v>5440</v>
      </c>
      <c r="X1290">
        <v>4322</v>
      </c>
      <c r="Y1290">
        <v>1.26</v>
      </c>
      <c r="Z1290">
        <v>100</v>
      </c>
      <c r="AA1290">
        <v>21</v>
      </c>
      <c r="AB1290" t="s">
        <v>116</v>
      </c>
      <c r="AC1290">
        <v>14700</v>
      </c>
      <c r="AD1290">
        <v>0</v>
      </c>
      <c r="AE1290" t="s">
        <v>116</v>
      </c>
      <c r="AF1290" t="s">
        <v>116</v>
      </c>
      <c r="AG1290">
        <v>1.25</v>
      </c>
      <c r="AH1290" t="s">
        <v>6848</v>
      </c>
      <c r="AI1290" t="s">
        <v>2162</v>
      </c>
      <c r="AJ1290">
        <v>0.3</v>
      </c>
      <c r="AK1290">
        <v>466</v>
      </c>
      <c r="AL1290">
        <v>21</v>
      </c>
      <c r="AM1290">
        <v>1.6999999999999999E-3</v>
      </c>
      <c r="AN1290">
        <v>-2</v>
      </c>
      <c r="AO1290">
        <v>-0.53</v>
      </c>
      <c r="AP1290">
        <v>3.27</v>
      </c>
      <c r="AQ1290">
        <v>0.61</v>
      </c>
      <c r="AR1290">
        <v>12.53</v>
      </c>
      <c r="AS1290">
        <v>0.94</v>
      </c>
      <c r="AT1290" t="s">
        <v>7146</v>
      </c>
      <c r="AU1290">
        <v>28.67</v>
      </c>
      <c r="AV1290">
        <v>17.48</v>
      </c>
      <c r="AW1290">
        <v>0.55000000000000004</v>
      </c>
      <c r="BA1290">
        <v>0.08</v>
      </c>
      <c r="BB1290">
        <v>0.6</v>
      </c>
      <c r="BC1290">
        <v>-0.45</v>
      </c>
      <c r="BD1290">
        <v>0.03</v>
      </c>
      <c r="BE1290">
        <v>-0.45</v>
      </c>
      <c r="BF1290">
        <v>-0.97</v>
      </c>
      <c r="BG1290">
        <v>0.08</v>
      </c>
      <c r="BH1290">
        <v>-0.4</v>
      </c>
      <c r="BI1290">
        <v>20191023</v>
      </c>
      <c r="BJ1290">
        <v>20170310</v>
      </c>
      <c r="BK1290">
        <v>2.89</v>
      </c>
      <c r="BL1290" t="s">
        <v>116</v>
      </c>
      <c r="BM1290" t="s">
        <v>116</v>
      </c>
      <c r="BN1290">
        <v>24.86</v>
      </c>
      <c r="BO1290">
        <v>20.239999999999998</v>
      </c>
      <c r="BP1290">
        <v>0.64</v>
      </c>
      <c r="BQ1290">
        <v>16.02</v>
      </c>
      <c r="BR1290">
        <v>15.51</v>
      </c>
      <c r="BS1290">
        <v>7.9</v>
      </c>
      <c r="BT1290">
        <v>1.02</v>
      </c>
      <c r="BU1290">
        <v>3.19</v>
      </c>
      <c r="BV1290">
        <v>6</v>
      </c>
      <c r="BW1290">
        <v>0.4</v>
      </c>
      <c r="BX1290">
        <v>10.27</v>
      </c>
      <c r="BY1290">
        <v>27.9</v>
      </c>
      <c r="BZ1290">
        <v>25.18</v>
      </c>
      <c r="CA1290">
        <v>1.73</v>
      </c>
      <c r="CB1290">
        <v>1.08</v>
      </c>
      <c r="CC1290">
        <v>1.74</v>
      </c>
      <c r="CD1290">
        <v>1.26</v>
      </c>
      <c r="CE1290">
        <v>1.27</v>
      </c>
      <c r="CF1290">
        <v>0.08</v>
      </c>
      <c r="CG1290">
        <v>7.59</v>
      </c>
      <c r="CH1290">
        <v>-3.51</v>
      </c>
      <c r="CI1290">
        <v>-0.18</v>
      </c>
      <c r="CJ1290">
        <v>20116</v>
      </c>
      <c r="CK1290">
        <v>5177</v>
      </c>
      <c r="CL1290" t="s">
        <v>7147</v>
      </c>
      <c r="CM1290">
        <v>-40.270000000000003</v>
      </c>
      <c r="CN1290">
        <v>11.28</v>
      </c>
      <c r="CO1290">
        <v>1.9</v>
      </c>
      <c r="CP1290">
        <v>-10.94</v>
      </c>
      <c r="CQ1290">
        <v>1.38</v>
      </c>
      <c r="CR1290">
        <v>3.01</v>
      </c>
      <c r="CS1290" t="s">
        <v>604</v>
      </c>
      <c r="CT1290">
        <v>7</v>
      </c>
      <c r="CU1290">
        <v>0</v>
      </c>
      <c r="CV1290">
        <v>3.55</v>
      </c>
      <c r="CW1290">
        <v>2.63</v>
      </c>
      <c r="CX1290">
        <v>-1.21</v>
      </c>
      <c r="CY1290">
        <v>81.42</v>
      </c>
      <c r="CZ1290" t="s">
        <v>3417</v>
      </c>
      <c r="DA1290">
        <v>9.76</v>
      </c>
      <c r="DB1290">
        <v>6.22</v>
      </c>
      <c r="DC1290">
        <v>4.55</v>
      </c>
      <c r="DD1290">
        <v>0.03</v>
      </c>
      <c r="DE1290">
        <v>700</v>
      </c>
      <c r="DF1290">
        <v>2852</v>
      </c>
      <c r="DG1290" t="s">
        <v>116</v>
      </c>
      <c r="DH1290" t="s">
        <v>116</v>
      </c>
      <c r="DI1290" t="s">
        <v>116</v>
      </c>
    </row>
    <row r="1291" spans="1:113" x14ac:dyDescent="0.4">
      <c r="A1291" t="str">
        <f>"002853"</f>
        <v>002853</v>
      </c>
      <c r="B1291" t="s">
        <v>7148</v>
      </c>
      <c r="C1291">
        <v>1.01</v>
      </c>
      <c r="D1291">
        <v>17.989999999999998</v>
      </c>
      <c r="E1291">
        <v>0.18</v>
      </c>
      <c r="F1291">
        <v>17.989999999999998</v>
      </c>
      <c r="G1291">
        <v>18</v>
      </c>
      <c r="H1291">
        <v>18299</v>
      </c>
      <c r="I1291">
        <v>220</v>
      </c>
      <c r="J1291">
        <v>0.11</v>
      </c>
      <c r="K1291">
        <v>3.67</v>
      </c>
      <c r="L1291">
        <v>17.8</v>
      </c>
      <c r="M1291">
        <v>18.260000000000002</v>
      </c>
      <c r="N1291">
        <v>17.649999999999999</v>
      </c>
      <c r="O1291">
        <v>17.809999999999999</v>
      </c>
      <c r="P1291">
        <v>16.96</v>
      </c>
      <c r="Q1291">
        <v>33046412</v>
      </c>
      <c r="R1291">
        <v>1.82</v>
      </c>
      <c r="S1291" t="s">
        <v>2640</v>
      </c>
      <c r="T1291" t="s">
        <v>551</v>
      </c>
      <c r="U1291">
        <v>3.43</v>
      </c>
      <c r="V1291">
        <v>18.059999999999999</v>
      </c>
      <c r="W1291">
        <v>7612</v>
      </c>
      <c r="X1291">
        <v>10687</v>
      </c>
      <c r="Y1291">
        <v>0.71</v>
      </c>
      <c r="Z1291">
        <v>17</v>
      </c>
      <c r="AA1291">
        <v>44</v>
      </c>
      <c r="AB1291" t="s">
        <v>116</v>
      </c>
      <c r="AC1291">
        <v>12500</v>
      </c>
      <c r="AD1291">
        <v>0</v>
      </c>
      <c r="AE1291" t="s">
        <v>116</v>
      </c>
      <c r="AF1291" t="s">
        <v>116</v>
      </c>
      <c r="AG1291">
        <v>0.5</v>
      </c>
      <c r="AH1291" t="s">
        <v>7149</v>
      </c>
      <c r="AI1291" t="s">
        <v>7150</v>
      </c>
      <c r="AJ1291">
        <v>1.69</v>
      </c>
      <c r="AK1291">
        <v>1501</v>
      </c>
      <c r="AL1291">
        <v>12</v>
      </c>
      <c r="AM1291">
        <v>2.3999999999999998E-3</v>
      </c>
      <c r="AN1291">
        <v>2</v>
      </c>
      <c r="AO1291">
        <v>1.64</v>
      </c>
      <c r="AP1291">
        <v>6.45</v>
      </c>
      <c r="AQ1291">
        <v>-15.06</v>
      </c>
      <c r="AR1291">
        <v>-0.99</v>
      </c>
      <c r="AS1291">
        <v>3.67</v>
      </c>
      <c r="AT1291" t="s">
        <v>7149</v>
      </c>
      <c r="AU1291">
        <v>17.07</v>
      </c>
      <c r="AV1291">
        <v>19.670000000000002</v>
      </c>
      <c r="AW1291">
        <v>1.23</v>
      </c>
      <c r="BA1291">
        <v>-0.06</v>
      </c>
      <c r="BB1291">
        <v>2.5299999999999998</v>
      </c>
      <c r="BC1291">
        <v>-0.9</v>
      </c>
      <c r="BD1291">
        <v>1.4</v>
      </c>
      <c r="BE1291">
        <v>1.07</v>
      </c>
      <c r="BF1291">
        <v>-1.48</v>
      </c>
      <c r="BG1291">
        <v>1.93</v>
      </c>
      <c r="BH1291">
        <v>-0.39</v>
      </c>
      <c r="BI1291">
        <v>20191216</v>
      </c>
      <c r="BJ1291">
        <v>20170310</v>
      </c>
      <c r="BK1291">
        <v>1.55</v>
      </c>
      <c r="BL1291" t="s">
        <v>116</v>
      </c>
      <c r="BM1291" t="s">
        <v>116</v>
      </c>
      <c r="BN1291">
        <v>19.7</v>
      </c>
      <c r="BO1291">
        <v>11.22</v>
      </c>
      <c r="BP1291">
        <v>0.66</v>
      </c>
      <c r="BQ1291">
        <v>39.700000000000003</v>
      </c>
      <c r="BR1291">
        <v>15</v>
      </c>
      <c r="BS1291">
        <v>2.74</v>
      </c>
      <c r="BT1291">
        <v>1.02</v>
      </c>
      <c r="BU1291">
        <v>7.14</v>
      </c>
      <c r="BV1291">
        <v>2.08</v>
      </c>
      <c r="BW1291">
        <v>2.1</v>
      </c>
      <c r="BX1291">
        <v>4.9000000000000004</v>
      </c>
      <c r="BY1291">
        <v>10.08</v>
      </c>
      <c r="BZ1291">
        <v>6.53</v>
      </c>
      <c r="CA1291">
        <v>1.42</v>
      </c>
      <c r="CB1291">
        <v>0.08</v>
      </c>
      <c r="CC1291">
        <v>1.42</v>
      </c>
      <c r="CD1291">
        <v>1.19</v>
      </c>
      <c r="CE1291">
        <v>1.24</v>
      </c>
      <c r="CF1291">
        <v>1.1499999999999999</v>
      </c>
      <c r="CG1291">
        <v>4.25</v>
      </c>
      <c r="CH1291">
        <v>-1.23</v>
      </c>
      <c r="CI1291">
        <v>-2.38</v>
      </c>
      <c r="CJ1291">
        <v>16283</v>
      </c>
      <c r="CK1291">
        <v>3063</v>
      </c>
      <c r="CL1291" t="s">
        <v>2733</v>
      </c>
      <c r="CM1291">
        <v>21.24</v>
      </c>
      <c r="CN1291">
        <v>29.68</v>
      </c>
      <c r="CO1291">
        <v>2.4900000000000002</v>
      </c>
      <c r="CP1291">
        <v>-22.79</v>
      </c>
      <c r="CQ1291">
        <v>2.77</v>
      </c>
      <c r="CR1291">
        <v>1.1100000000000001</v>
      </c>
      <c r="CS1291" t="s">
        <v>7151</v>
      </c>
      <c r="CT1291">
        <v>7.23</v>
      </c>
      <c r="CU1291">
        <v>0</v>
      </c>
      <c r="CV1291">
        <v>3.15</v>
      </c>
      <c r="CW1291">
        <v>2.74</v>
      </c>
      <c r="CX1291">
        <v>-0.79</v>
      </c>
      <c r="CY1291">
        <v>56.97</v>
      </c>
      <c r="CZ1291" t="s">
        <v>7152</v>
      </c>
      <c r="DA1291">
        <v>35.21</v>
      </c>
      <c r="DB1291">
        <v>14.13</v>
      </c>
      <c r="DC1291">
        <v>12.26</v>
      </c>
      <c r="DD1291">
        <v>0.26</v>
      </c>
      <c r="DE1291">
        <v>2251</v>
      </c>
      <c r="DF1291">
        <v>2853</v>
      </c>
      <c r="DG1291" t="s">
        <v>116</v>
      </c>
      <c r="DH1291" t="s">
        <v>116</v>
      </c>
      <c r="DI1291" t="s">
        <v>116</v>
      </c>
    </row>
    <row r="1292" spans="1:113" x14ac:dyDescent="0.4">
      <c r="A1292" t="str">
        <f>"002855"</f>
        <v>002855</v>
      </c>
      <c r="B1292" t="s">
        <v>7153</v>
      </c>
      <c r="C1292">
        <v>-2.2200000000000002</v>
      </c>
      <c r="D1292">
        <v>13.67</v>
      </c>
      <c r="E1292">
        <v>-0.31</v>
      </c>
      <c r="F1292">
        <v>13.67</v>
      </c>
      <c r="G1292">
        <v>13.68</v>
      </c>
      <c r="H1292">
        <v>82549</v>
      </c>
      <c r="I1292">
        <v>1121</v>
      </c>
      <c r="J1292">
        <v>-0.21</v>
      </c>
      <c r="K1292">
        <v>9.9</v>
      </c>
      <c r="L1292">
        <v>14.04</v>
      </c>
      <c r="M1292">
        <v>14.28</v>
      </c>
      <c r="N1292">
        <v>13.67</v>
      </c>
      <c r="O1292">
        <v>13.98</v>
      </c>
      <c r="P1292">
        <v>70.19</v>
      </c>
      <c r="Q1292">
        <v>115786208</v>
      </c>
      <c r="R1292">
        <v>0.83</v>
      </c>
      <c r="S1292" t="s">
        <v>2444</v>
      </c>
      <c r="T1292" t="s">
        <v>551</v>
      </c>
      <c r="U1292">
        <v>4.3600000000000003</v>
      </c>
      <c r="V1292">
        <v>14.03</v>
      </c>
      <c r="W1292">
        <v>44040</v>
      </c>
      <c r="X1292">
        <v>38509</v>
      </c>
      <c r="Y1292">
        <v>1.1399999999999999</v>
      </c>
      <c r="Z1292">
        <v>36</v>
      </c>
      <c r="AA1292">
        <v>968</v>
      </c>
      <c r="AB1292" t="s">
        <v>116</v>
      </c>
      <c r="AC1292">
        <v>485800</v>
      </c>
      <c r="AD1292">
        <v>0.05</v>
      </c>
      <c r="AE1292" t="s">
        <v>116</v>
      </c>
      <c r="AF1292" t="s">
        <v>116</v>
      </c>
      <c r="AG1292">
        <v>0.83</v>
      </c>
      <c r="AH1292" t="s">
        <v>7154</v>
      </c>
      <c r="AI1292" t="s">
        <v>7155</v>
      </c>
      <c r="AJ1292">
        <v>-1.54</v>
      </c>
      <c r="AK1292">
        <v>2607</v>
      </c>
      <c r="AL1292">
        <v>32</v>
      </c>
      <c r="AM1292">
        <v>3.8E-3</v>
      </c>
      <c r="AN1292">
        <v>-2</v>
      </c>
      <c r="AO1292">
        <v>-2.91</v>
      </c>
      <c r="AP1292">
        <v>25.76</v>
      </c>
      <c r="AQ1292">
        <v>10.42</v>
      </c>
      <c r="AR1292">
        <v>60.16</v>
      </c>
      <c r="AS1292">
        <v>11.66</v>
      </c>
      <c r="AT1292" t="s">
        <v>1628</v>
      </c>
      <c r="AU1292">
        <v>99.06</v>
      </c>
      <c r="AV1292">
        <v>117.22</v>
      </c>
      <c r="AW1292">
        <v>1.37</v>
      </c>
      <c r="BA1292">
        <v>0.43</v>
      </c>
      <c r="BB1292">
        <v>2.15</v>
      </c>
      <c r="BC1292">
        <v>-2.2200000000000002</v>
      </c>
      <c r="BD1292">
        <v>0.33</v>
      </c>
      <c r="BE1292">
        <v>-2.64</v>
      </c>
      <c r="BF1292">
        <v>-4.2699999999999996</v>
      </c>
      <c r="BG1292">
        <v>0</v>
      </c>
      <c r="BH1292">
        <v>-2.5499999999999998</v>
      </c>
      <c r="BI1292">
        <v>20191031</v>
      </c>
      <c r="BJ1292">
        <v>20170321</v>
      </c>
      <c r="BK1292">
        <v>2.5099999999999998</v>
      </c>
      <c r="BL1292" t="s">
        <v>116</v>
      </c>
      <c r="BM1292" t="s">
        <v>116</v>
      </c>
      <c r="BN1292">
        <v>27.82</v>
      </c>
      <c r="BO1292">
        <v>12.71</v>
      </c>
      <c r="BP1292">
        <v>-0.1</v>
      </c>
      <c r="BQ1292">
        <v>54.68</v>
      </c>
      <c r="BR1292">
        <v>18.11</v>
      </c>
      <c r="BS1292">
        <v>3.81</v>
      </c>
      <c r="BT1292">
        <v>1.45</v>
      </c>
      <c r="BU1292">
        <v>14.38</v>
      </c>
      <c r="BV1292">
        <v>6.48</v>
      </c>
      <c r="BW1292">
        <v>4.54</v>
      </c>
      <c r="BX1292">
        <v>5.63</v>
      </c>
      <c r="BY1292">
        <v>20.65</v>
      </c>
      <c r="BZ1292">
        <v>17.77</v>
      </c>
      <c r="CA1292">
        <v>0.28000000000000003</v>
      </c>
      <c r="CB1292">
        <v>-0.01</v>
      </c>
      <c r="CC1292">
        <v>0.28000000000000003</v>
      </c>
      <c r="CD1292">
        <v>0.24</v>
      </c>
      <c r="CE1292">
        <v>0.37</v>
      </c>
      <c r="CF1292">
        <v>0.37</v>
      </c>
      <c r="CG1292">
        <v>4.67</v>
      </c>
      <c r="CH1292">
        <v>1.32</v>
      </c>
      <c r="CI1292">
        <v>0.37</v>
      </c>
      <c r="CJ1292">
        <v>23090</v>
      </c>
      <c r="CK1292">
        <v>3067</v>
      </c>
      <c r="CL1292" t="s">
        <v>6928</v>
      </c>
      <c r="CM1292">
        <v>17.149999999999999</v>
      </c>
      <c r="CN1292">
        <v>27.05</v>
      </c>
      <c r="CO1292">
        <v>2.7</v>
      </c>
      <c r="CP1292">
        <v>25.95</v>
      </c>
      <c r="CQ1292">
        <v>1.66</v>
      </c>
      <c r="CR1292">
        <v>0.18</v>
      </c>
      <c r="CS1292" t="s">
        <v>4222</v>
      </c>
      <c r="CT1292">
        <v>5.05</v>
      </c>
      <c r="CU1292">
        <v>0</v>
      </c>
      <c r="CV1292">
        <v>2.2400000000000002</v>
      </c>
      <c r="CW1292">
        <v>1.86</v>
      </c>
      <c r="CX1292">
        <v>0.53</v>
      </c>
      <c r="CY1292">
        <v>45.69</v>
      </c>
      <c r="CZ1292" t="s">
        <v>5949</v>
      </c>
      <c r="DA1292">
        <v>13.99</v>
      </c>
      <c r="DB1292">
        <v>1.36</v>
      </c>
      <c r="DC1292">
        <v>1.78</v>
      </c>
      <c r="DD1292">
        <v>0.47</v>
      </c>
      <c r="DE1292">
        <v>5188</v>
      </c>
      <c r="DF1292">
        <v>2855</v>
      </c>
      <c r="DG1292" t="s">
        <v>116</v>
      </c>
      <c r="DH1292" t="s">
        <v>116</v>
      </c>
      <c r="DI1292" t="s">
        <v>116</v>
      </c>
    </row>
    <row r="1293" spans="1:113" x14ac:dyDescent="0.4">
      <c r="A1293" t="str">
        <f>"002856"</f>
        <v>002856</v>
      </c>
      <c r="B1293" t="s">
        <v>7156</v>
      </c>
      <c r="C1293">
        <v>0.22</v>
      </c>
      <c r="D1293">
        <v>18.5</v>
      </c>
      <c r="E1293">
        <v>0.04</v>
      </c>
      <c r="F1293">
        <v>18.5</v>
      </c>
      <c r="G1293">
        <v>18.52</v>
      </c>
      <c r="H1293">
        <v>12604</v>
      </c>
      <c r="I1293">
        <v>308</v>
      </c>
      <c r="J1293">
        <v>0.22</v>
      </c>
      <c r="K1293">
        <v>4.1500000000000004</v>
      </c>
      <c r="L1293">
        <v>18.48</v>
      </c>
      <c r="M1293">
        <v>18.850000000000001</v>
      </c>
      <c r="N1293">
        <v>18.45</v>
      </c>
      <c r="O1293">
        <v>18.46</v>
      </c>
      <c r="P1293">
        <v>83.38</v>
      </c>
      <c r="Q1293">
        <v>23448514</v>
      </c>
      <c r="R1293">
        <v>0.88</v>
      </c>
      <c r="S1293" t="s">
        <v>3331</v>
      </c>
      <c r="T1293" t="s">
        <v>115</v>
      </c>
      <c r="U1293">
        <v>2.17</v>
      </c>
      <c r="V1293">
        <v>18.600000000000001</v>
      </c>
      <c r="W1293">
        <v>6316</v>
      </c>
      <c r="X1293">
        <v>6288</v>
      </c>
      <c r="Y1293">
        <v>1</v>
      </c>
      <c r="Z1293">
        <v>98</v>
      </c>
      <c r="AA1293">
        <v>60</v>
      </c>
      <c r="AB1293" t="s">
        <v>116</v>
      </c>
      <c r="AC1293">
        <v>0</v>
      </c>
      <c r="AD1293">
        <v>0</v>
      </c>
      <c r="AE1293" t="s">
        <v>116</v>
      </c>
      <c r="AF1293" t="s">
        <v>116</v>
      </c>
      <c r="AG1293">
        <v>0.3</v>
      </c>
      <c r="AH1293" t="s">
        <v>7157</v>
      </c>
      <c r="AI1293" t="s">
        <v>4739</v>
      </c>
      <c r="AJ1293">
        <v>0.9</v>
      </c>
      <c r="AK1293">
        <v>713</v>
      </c>
      <c r="AL1293">
        <v>18</v>
      </c>
      <c r="AM1293">
        <v>5.7999999999999996E-3</v>
      </c>
      <c r="AN1293">
        <v>1</v>
      </c>
      <c r="AO1293">
        <v>-0.69</v>
      </c>
      <c r="AP1293">
        <v>2.5499999999999998</v>
      </c>
      <c r="AQ1293">
        <v>-7.08</v>
      </c>
      <c r="AR1293">
        <v>-13.75</v>
      </c>
      <c r="AS1293">
        <v>4.1500000000000004</v>
      </c>
      <c r="AT1293" t="s">
        <v>7157</v>
      </c>
      <c r="AU1293">
        <v>126.12</v>
      </c>
      <c r="AV1293">
        <v>84.82</v>
      </c>
      <c r="AW1293">
        <v>0.6</v>
      </c>
      <c r="BA1293">
        <v>0.11</v>
      </c>
      <c r="BB1293">
        <v>2.11</v>
      </c>
      <c r="BC1293">
        <v>-0.05</v>
      </c>
      <c r="BD1293">
        <v>0.78</v>
      </c>
      <c r="BE1293">
        <v>0.11</v>
      </c>
      <c r="BF1293">
        <v>-1.86</v>
      </c>
      <c r="BG1293">
        <v>0.27</v>
      </c>
      <c r="BH1293">
        <v>-0.56000000000000005</v>
      </c>
      <c r="BI1293">
        <v>20191030</v>
      </c>
      <c r="BJ1293">
        <v>20170320</v>
      </c>
      <c r="BK1293">
        <v>1.22</v>
      </c>
      <c r="BL1293" t="s">
        <v>116</v>
      </c>
      <c r="BM1293" t="s">
        <v>116</v>
      </c>
      <c r="BN1293">
        <v>14.66</v>
      </c>
      <c r="BO1293">
        <v>6.82</v>
      </c>
      <c r="BP1293">
        <v>0</v>
      </c>
      <c r="BQ1293">
        <v>53.48</v>
      </c>
      <c r="BR1293">
        <v>13.89</v>
      </c>
      <c r="BS1293">
        <v>0.16</v>
      </c>
      <c r="BT1293">
        <v>0.01</v>
      </c>
      <c r="BU1293">
        <v>7.84</v>
      </c>
      <c r="BV1293">
        <v>3.39</v>
      </c>
      <c r="BW1293">
        <v>7.91</v>
      </c>
      <c r="BX1293">
        <v>2.88</v>
      </c>
      <c r="BY1293">
        <v>6.08</v>
      </c>
      <c r="BZ1293">
        <v>5.25</v>
      </c>
      <c r="CA1293">
        <v>0.27</v>
      </c>
      <c r="CB1293">
        <v>0</v>
      </c>
      <c r="CC1293">
        <v>0.27</v>
      </c>
      <c r="CD1293">
        <v>0.2</v>
      </c>
      <c r="CE1293">
        <v>0.2</v>
      </c>
      <c r="CF1293">
        <v>0.2</v>
      </c>
      <c r="CG1293">
        <v>2.44</v>
      </c>
      <c r="CH1293">
        <v>-0.97</v>
      </c>
      <c r="CI1293">
        <v>-0.7</v>
      </c>
      <c r="CJ1293">
        <v>13770</v>
      </c>
      <c r="CK1293">
        <v>2208</v>
      </c>
      <c r="CL1293" t="s">
        <v>6968</v>
      </c>
      <c r="CM1293">
        <v>-30.03</v>
      </c>
      <c r="CN1293">
        <v>-7.12</v>
      </c>
      <c r="CO1293">
        <v>3.3</v>
      </c>
      <c r="CP1293">
        <v>-23.11</v>
      </c>
      <c r="CQ1293">
        <v>3.7</v>
      </c>
      <c r="CR1293">
        <v>0</v>
      </c>
      <c r="CS1293" t="s">
        <v>1297</v>
      </c>
      <c r="CT1293">
        <v>5.61</v>
      </c>
      <c r="CU1293">
        <v>0</v>
      </c>
      <c r="CV1293">
        <v>2.37</v>
      </c>
      <c r="CW1293">
        <v>2.0099999999999998</v>
      </c>
      <c r="CX1293">
        <v>-0.8</v>
      </c>
      <c r="CY1293">
        <v>46.52</v>
      </c>
      <c r="CZ1293" t="s">
        <v>7158</v>
      </c>
      <c r="DA1293">
        <v>13.58</v>
      </c>
      <c r="DB1293">
        <v>4.42</v>
      </c>
      <c r="DC1293">
        <v>3.33</v>
      </c>
      <c r="DD1293">
        <v>0.03</v>
      </c>
      <c r="DE1293">
        <v>665</v>
      </c>
      <c r="DF1293">
        <v>2856</v>
      </c>
      <c r="DG1293" t="s">
        <v>116</v>
      </c>
      <c r="DH1293" t="s">
        <v>116</v>
      </c>
      <c r="DI1293" t="s">
        <v>116</v>
      </c>
    </row>
    <row r="1294" spans="1:113" x14ac:dyDescent="0.4">
      <c r="A1294" t="str">
        <f>"002857"</f>
        <v>002857</v>
      </c>
      <c r="B1294" t="s">
        <v>7159</v>
      </c>
      <c r="C1294">
        <v>-3.43</v>
      </c>
      <c r="D1294">
        <v>12.1</v>
      </c>
      <c r="E1294">
        <v>-0.43</v>
      </c>
      <c r="F1294">
        <v>12.1</v>
      </c>
      <c r="G1294">
        <v>12.11</v>
      </c>
      <c r="H1294">
        <v>16010</v>
      </c>
      <c r="I1294">
        <v>427</v>
      </c>
      <c r="J1294">
        <v>-0.4</v>
      </c>
      <c r="K1294">
        <v>3.24</v>
      </c>
      <c r="L1294">
        <v>12.52</v>
      </c>
      <c r="M1294">
        <v>12.58</v>
      </c>
      <c r="N1294">
        <v>12.1</v>
      </c>
      <c r="O1294">
        <v>12.53</v>
      </c>
      <c r="P1294">
        <v>91.91</v>
      </c>
      <c r="Q1294">
        <v>19758248</v>
      </c>
      <c r="R1294">
        <v>1.28</v>
      </c>
      <c r="S1294" t="s">
        <v>2977</v>
      </c>
      <c r="T1294" t="s">
        <v>652</v>
      </c>
      <c r="U1294">
        <v>3.83</v>
      </c>
      <c r="V1294">
        <v>12.34</v>
      </c>
      <c r="W1294">
        <v>11054</v>
      </c>
      <c r="X1294">
        <v>4956</v>
      </c>
      <c r="Y1294">
        <v>2.23</v>
      </c>
      <c r="Z1294">
        <v>14</v>
      </c>
      <c r="AA1294">
        <v>22</v>
      </c>
      <c r="AB1294" t="s">
        <v>116</v>
      </c>
      <c r="AC1294">
        <v>2500</v>
      </c>
      <c r="AD1294">
        <v>0</v>
      </c>
      <c r="AE1294" t="s">
        <v>116</v>
      </c>
      <c r="AF1294" t="s">
        <v>116</v>
      </c>
      <c r="AG1294">
        <v>0.49</v>
      </c>
      <c r="AH1294" t="s">
        <v>7160</v>
      </c>
      <c r="AI1294" t="s">
        <v>7161</v>
      </c>
      <c r="AJ1294">
        <v>-2.75</v>
      </c>
      <c r="AK1294">
        <v>783</v>
      </c>
      <c r="AL1294">
        <v>20</v>
      </c>
      <c r="AM1294">
        <v>4.1000000000000003E-3</v>
      </c>
      <c r="AN1294">
        <v>-1</v>
      </c>
      <c r="AO1294">
        <v>-5.47</v>
      </c>
      <c r="AP1294">
        <v>3.68</v>
      </c>
      <c r="AQ1294">
        <v>-14</v>
      </c>
      <c r="AR1294">
        <v>3.24</v>
      </c>
      <c r="AS1294">
        <v>3.97</v>
      </c>
      <c r="AT1294" t="s">
        <v>7162</v>
      </c>
      <c r="AU1294">
        <v>46.04</v>
      </c>
      <c r="AV1294">
        <v>42.12</v>
      </c>
      <c r="AW1294">
        <v>0.91</v>
      </c>
      <c r="BA1294">
        <v>-0.08</v>
      </c>
      <c r="BB1294">
        <v>0.4</v>
      </c>
      <c r="BC1294">
        <v>-3.43</v>
      </c>
      <c r="BD1294">
        <v>-1.51</v>
      </c>
      <c r="BE1294">
        <v>-3.35</v>
      </c>
      <c r="BF1294">
        <v>-3.82</v>
      </c>
      <c r="BG1294">
        <v>0</v>
      </c>
      <c r="BH1294">
        <v>-1.93</v>
      </c>
      <c r="BI1294">
        <v>20191224</v>
      </c>
      <c r="BJ1294">
        <v>20170323</v>
      </c>
      <c r="BK1294">
        <v>1.28</v>
      </c>
      <c r="BL1294" t="s">
        <v>116</v>
      </c>
      <c r="BM1294" t="s">
        <v>116</v>
      </c>
      <c r="BN1294">
        <v>5.94</v>
      </c>
      <c r="BO1294">
        <v>4.6500000000000004</v>
      </c>
      <c r="BP1294">
        <v>0</v>
      </c>
      <c r="BQ1294">
        <v>21.66</v>
      </c>
      <c r="BR1294">
        <v>5.09</v>
      </c>
      <c r="BS1294">
        <v>0.11</v>
      </c>
      <c r="BT1294">
        <v>0.19</v>
      </c>
      <c r="BU1294">
        <v>1.29</v>
      </c>
      <c r="BV1294">
        <v>0.8</v>
      </c>
      <c r="BW1294">
        <v>2.41</v>
      </c>
      <c r="BX1294">
        <v>1.1599999999999999</v>
      </c>
      <c r="BY1294">
        <v>1.49</v>
      </c>
      <c r="BZ1294">
        <v>1.02</v>
      </c>
      <c r="CA1294">
        <v>0.14000000000000001</v>
      </c>
      <c r="CB1294">
        <v>0.02</v>
      </c>
      <c r="CC1294">
        <v>0.13</v>
      </c>
      <c r="CD1294">
        <v>0.13</v>
      </c>
      <c r="CE1294">
        <v>0.13</v>
      </c>
      <c r="CF1294">
        <v>0.08</v>
      </c>
      <c r="CG1294">
        <v>1.95</v>
      </c>
      <c r="CH1294">
        <v>-0.46</v>
      </c>
      <c r="CI1294">
        <v>-0.26</v>
      </c>
      <c r="CJ1294">
        <v>6937</v>
      </c>
      <c r="CK1294">
        <v>5816</v>
      </c>
      <c r="CL1294" t="s">
        <v>1604</v>
      </c>
      <c r="CM1294">
        <v>-19.86</v>
      </c>
      <c r="CN1294">
        <v>18.079999999999998</v>
      </c>
      <c r="CO1294">
        <v>3.33</v>
      </c>
      <c r="CP1294">
        <v>-33.51</v>
      </c>
      <c r="CQ1294">
        <v>10.43</v>
      </c>
      <c r="CR1294">
        <v>0.33</v>
      </c>
      <c r="CS1294" t="s">
        <v>4902</v>
      </c>
      <c r="CT1294">
        <v>3.63</v>
      </c>
      <c r="CU1294">
        <v>0</v>
      </c>
      <c r="CV1294">
        <v>0.91</v>
      </c>
      <c r="CW1294">
        <v>1.52</v>
      </c>
      <c r="CX1294">
        <v>-0.36</v>
      </c>
      <c r="CY1294">
        <v>78.34</v>
      </c>
      <c r="CZ1294" t="s">
        <v>766</v>
      </c>
      <c r="DA1294">
        <v>31.38</v>
      </c>
      <c r="DB1294">
        <v>9.2799999999999994</v>
      </c>
      <c r="DC1294">
        <v>8.51</v>
      </c>
      <c r="DD1294">
        <v>0.11</v>
      </c>
      <c r="DE1294">
        <v>527</v>
      </c>
      <c r="DF1294">
        <v>2857</v>
      </c>
      <c r="DG1294" t="s">
        <v>116</v>
      </c>
      <c r="DH1294" t="s">
        <v>116</v>
      </c>
      <c r="DI1294" t="s">
        <v>116</v>
      </c>
    </row>
    <row r="1295" spans="1:113" x14ac:dyDescent="0.4">
      <c r="A1295" t="str">
        <f>"002858"</f>
        <v>002858</v>
      </c>
      <c r="B1295" t="s">
        <v>7163</v>
      </c>
      <c r="C1295">
        <v>-2.29</v>
      </c>
      <c r="D1295">
        <v>14.92</v>
      </c>
      <c r="E1295">
        <v>-0.35</v>
      </c>
      <c r="F1295">
        <v>14.91</v>
      </c>
      <c r="G1295">
        <v>14.92</v>
      </c>
      <c r="H1295">
        <v>12174</v>
      </c>
      <c r="I1295">
        <v>209</v>
      </c>
      <c r="J1295">
        <v>-0.52</v>
      </c>
      <c r="K1295">
        <v>1.99</v>
      </c>
      <c r="L1295">
        <v>15.55</v>
      </c>
      <c r="M1295">
        <v>15.55</v>
      </c>
      <c r="N1295">
        <v>14.92</v>
      </c>
      <c r="O1295">
        <v>15.27</v>
      </c>
      <c r="P1295">
        <v>90</v>
      </c>
      <c r="Q1295">
        <v>18426736</v>
      </c>
      <c r="R1295">
        <v>0.82</v>
      </c>
      <c r="S1295" t="s">
        <v>217</v>
      </c>
      <c r="T1295" t="s">
        <v>1653</v>
      </c>
      <c r="U1295">
        <v>4.13</v>
      </c>
      <c r="V1295">
        <v>15.14</v>
      </c>
      <c r="W1295">
        <v>7544</v>
      </c>
      <c r="X1295">
        <v>4630</v>
      </c>
      <c r="Y1295">
        <v>1.63</v>
      </c>
      <c r="Z1295">
        <v>76</v>
      </c>
      <c r="AA1295">
        <v>79</v>
      </c>
      <c r="AB1295" t="s">
        <v>116</v>
      </c>
      <c r="AC1295">
        <v>73100</v>
      </c>
      <c r="AD1295">
        <v>0.01</v>
      </c>
      <c r="AE1295" t="s">
        <v>116</v>
      </c>
      <c r="AF1295" t="s">
        <v>116</v>
      </c>
      <c r="AG1295">
        <v>0.61</v>
      </c>
      <c r="AH1295" t="s">
        <v>6338</v>
      </c>
      <c r="AI1295" t="s">
        <v>7164</v>
      </c>
      <c r="AJ1295">
        <v>-1.61</v>
      </c>
      <c r="AK1295">
        <v>1044</v>
      </c>
      <c r="AL1295">
        <v>12</v>
      </c>
      <c r="AM1295">
        <v>1.9E-3</v>
      </c>
      <c r="AN1295">
        <v>-1</v>
      </c>
      <c r="AO1295">
        <v>-0.53</v>
      </c>
      <c r="AP1295">
        <v>5.37</v>
      </c>
      <c r="AQ1295">
        <v>-8.01</v>
      </c>
      <c r="AR1295">
        <v>8.75</v>
      </c>
      <c r="AS1295">
        <v>2.35</v>
      </c>
      <c r="AT1295" t="s">
        <v>7165</v>
      </c>
      <c r="AU1295">
        <v>43.34</v>
      </c>
      <c r="AV1295">
        <v>49.18</v>
      </c>
      <c r="AW1295">
        <v>1.03</v>
      </c>
      <c r="BA1295">
        <v>1.83</v>
      </c>
      <c r="BB1295">
        <v>1.83</v>
      </c>
      <c r="BC1295">
        <v>-2.29</v>
      </c>
      <c r="BD1295">
        <v>-0.88</v>
      </c>
      <c r="BE1295">
        <v>-4.05</v>
      </c>
      <c r="BF1295">
        <v>-4.05</v>
      </c>
      <c r="BG1295">
        <v>0</v>
      </c>
      <c r="BH1295">
        <v>-1.42</v>
      </c>
      <c r="BI1295">
        <v>20191204</v>
      </c>
      <c r="BJ1295">
        <v>20170324</v>
      </c>
      <c r="BK1295">
        <v>1.26</v>
      </c>
      <c r="BL1295" t="s">
        <v>116</v>
      </c>
      <c r="BM1295" t="s">
        <v>116</v>
      </c>
      <c r="BN1295">
        <v>7.49</v>
      </c>
      <c r="BO1295">
        <v>4.3499999999999996</v>
      </c>
      <c r="BP1295">
        <v>0.67</v>
      </c>
      <c r="BQ1295">
        <v>32.99</v>
      </c>
      <c r="BR1295">
        <v>4.45</v>
      </c>
      <c r="BS1295">
        <v>0.6</v>
      </c>
      <c r="BT1295">
        <v>0.19</v>
      </c>
      <c r="BU1295">
        <v>1.95</v>
      </c>
      <c r="BV1295">
        <v>0.61</v>
      </c>
      <c r="BW1295">
        <v>2.2000000000000002</v>
      </c>
      <c r="BX1295">
        <v>1.1299999999999999</v>
      </c>
      <c r="BY1295">
        <v>2.77</v>
      </c>
      <c r="BZ1295">
        <v>1.98</v>
      </c>
      <c r="CA1295">
        <v>0.28999999999999998</v>
      </c>
      <c r="CB1295">
        <v>0.01</v>
      </c>
      <c r="CC1295">
        <v>0.28999999999999998</v>
      </c>
      <c r="CD1295">
        <v>0.26</v>
      </c>
      <c r="CE1295">
        <v>0.16</v>
      </c>
      <c r="CF1295">
        <v>0.14000000000000001</v>
      </c>
      <c r="CG1295">
        <v>1.84</v>
      </c>
      <c r="CH1295">
        <v>-0.54</v>
      </c>
      <c r="CI1295">
        <v>-1.76</v>
      </c>
      <c r="CJ1295">
        <v>9487</v>
      </c>
      <c r="CK1295">
        <v>5461</v>
      </c>
      <c r="CL1295" t="s">
        <v>5394</v>
      </c>
      <c r="CM1295">
        <v>48.99</v>
      </c>
      <c r="CN1295">
        <v>19.93</v>
      </c>
      <c r="CO1295">
        <v>4.33</v>
      </c>
      <c r="CP1295">
        <v>-34.799999999999997</v>
      </c>
      <c r="CQ1295">
        <v>6.8</v>
      </c>
      <c r="CR1295">
        <v>0.2</v>
      </c>
      <c r="CS1295" t="s">
        <v>868</v>
      </c>
      <c r="CT1295">
        <v>3.44</v>
      </c>
      <c r="CU1295">
        <v>0</v>
      </c>
      <c r="CV1295">
        <v>0.89</v>
      </c>
      <c r="CW1295">
        <v>1.45</v>
      </c>
      <c r="CX1295">
        <v>-0.43</v>
      </c>
      <c r="CY1295">
        <v>58.1</v>
      </c>
      <c r="CZ1295" t="s">
        <v>7166</v>
      </c>
      <c r="DA1295">
        <v>28.4</v>
      </c>
      <c r="DB1295">
        <v>10.58</v>
      </c>
      <c r="DC1295">
        <v>5.67</v>
      </c>
      <c r="DD1295">
        <v>0.12</v>
      </c>
      <c r="DE1295">
        <v>348</v>
      </c>
      <c r="DF1295">
        <v>2858</v>
      </c>
      <c r="DG1295" t="s">
        <v>116</v>
      </c>
      <c r="DH1295" t="s">
        <v>116</v>
      </c>
      <c r="DI1295" t="s">
        <v>116</v>
      </c>
    </row>
    <row r="1296" spans="1:113" x14ac:dyDescent="0.4">
      <c r="A1296" t="str">
        <f>"002859"</f>
        <v>002859</v>
      </c>
      <c r="B1296" t="s">
        <v>7167</v>
      </c>
      <c r="C1296">
        <v>-0.61</v>
      </c>
      <c r="D1296">
        <v>34.369999999999997</v>
      </c>
      <c r="E1296">
        <v>-0.21</v>
      </c>
      <c r="F1296">
        <v>34.31</v>
      </c>
      <c r="G1296">
        <v>34.369999999999997</v>
      </c>
      <c r="H1296">
        <v>20638</v>
      </c>
      <c r="I1296">
        <v>118</v>
      </c>
      <c r="J1296">
        <v>0.53</v>
      </c>
      <c r="K1296">
        <v>1.9</v>
      </c>
      <c r="L1296">
        <v>34.69</v>
      </c>
      <c r="M1296">
        <v>34.729999999999997</v>
      </c>
      <c r="N1296">
        <v>33.85</v>
      </c>
      <c r="O1296">
        <v>34.58</v>
      </c>
      <c r="P1296">
        <v>69.59</v>
      </c>
      <c r="Q1296">
        <v>70552280</v>
      </c>
      <c r="R1296">
        <v>0.88</v>
      </c>
      <c r="S1296" t="s">
        <v>233</v>
      </c>
      <c r="T1296" t="s">
        <v>590</v>
      </c>
      <c r="U1296">
        <v>2.54</v>
      </c>
      <c r="V1296">
        <v>34.19</v>
      </c>
      <c r="W1296">
        <v>11952</v>
      </c>
      <c r="X1296">
        <v>8686</v>
      </c>
      <c r="Y1296">
        <v>1.38</v>
      </c>
      <c r="Z1296">
        <v>2</v>
      </c>
      <c r="AA1296">
        <v>121</v>
      </c>
      <c r="AB1296" t="s">
        <v>116</v>
      </c>
      <c r="AC1296">
        <v>121400</v>
      </c>
      <c r="AD1296">
        <v>0</v>
      </c>
      <c r="AE1296" t="s">
        <v>116</v>
      </c>
      <c r="AF1296" t="s">
        <v>116</v>
      </c>
      <c r="AG1296">
        <v>1.08</v>
      </c>
      <c r="AH1296" t="s">
        <v>7168</v>
      </c>
      <c r="AI1296" t="s">
        <v>7169</v>
      </c>
      <c r="AJ1296">
        <v>7.0000000000000007E-2</v>
      </c>
      <c r="AK1296">
        <v>1445</v>
      </c>
      <c r="AL1296">
        <v>14</v>
      </c>
      <c r="AM1296">
        <v>1.2999999999999999E-3</v>
      </c>
      <c r="AN1296">
        <v>-1</v>
      </c>
      <c r="AO1296">
        <v>2.72</v>
      </c>
      <c r="AP1296">
        <v>15.3</v>
      </c>
      <c r="AQ1296">
        <v>1.45</v>
      </c>
      <c r="AR1296">
        <v>13.02</v>
      </c>
      <c r="AS1296">
        <v>1.9</v>
      </c>
      <c r="AT1296" t="s">
        <v>7168</v>
      </c>
      <c r="AU1296">
        <v>53.25</v>
      </c>
      <c r="AV1296">
        <v>32.270000000000003</v>
      </c>
      <c r="AW1296">
        <v>0.83</v>
      </c>
      <c r="BA1296">
        <v>0.32</v>
      </c>
      <c r="BB1296">
        <v>0.43</v>
      </c>
      <c r="BC1296">
        <v>-2.11</v>
      </c>
      <c r="BD1296">
        <v>-1.1399999999999999</v>
      </c>
      <c r="BE1296">
        <v>-0.92</v>
      </c>
      <c r="BF1296">
        <v>-1.04</v>
      </c>
      <c r="BG1296">
        <v>1.54</v>
      </c>
      <c r="BH1296">
        <v>0.53</v>
      </c>
      <c r="BI1296">
        <v>20191023</v>
      </c>
      <c r="BJ1296">
        <v>20170407</v>
      </c>
      <c r="BK1296">
        <v>2.58</v>
      </c>
      <c r="BL1296" t="s">
        <v>116</v>
      </c>
      <c r="BM1296" t="s">
        <v>116</v>
      </c>
      <c r="BN1296">
        <v>20.399999999999999</v>
      </c>
      <c r="BO1296">
        <v>15.83</v>
      </c>
      <c r="BP1296">
        <v>0</v>
      </c>
      <c r="BQ1296">
        <v>22.43</v>
      </c>
      <c r="BR1296">
        <v>9.9700000000000006</v>
      </c>
      <c r="BS1296">
        <v>7.34</v>
      </c>
      <c r="BT1296">
        <v>1.1100000000000001</v>
      </c>
      <c r="BU1296">
        <v>1.97</v>
      </c>
      <c r="BV1296">
        <v>2.5099999999999998</v>
      </c>
      <c r="BW1296">
        <v>3</v>
      </c>
      <c r="BX1296">
        <v>7.08</v>
      </c>
      <c r="BY1296">
        <v>6.56</v>
      </c>
      <c r="BZ1296">
        <v>4.32</v>
      </c>
      <c r="CA1296">
        <v>1.04</v>
      </c>
      <c r="CB1296">
        <v>0.01</v>
      </c>
      <c r="CC1296">
        <v>1.04</v>
      </c>
      <c r="CD1296">
        <v>0.96</v>
      </c>
      <c r="CE1296">
        <v>0.96</v>
      </c>
      <c r="CF1296">
        <v>0.93</v>
      </c>
      <c r="CG1296">
        <v>5.92</v>
      </c>
      <c r="CH1296">
        <v>3.05</v>
      </c>
      <c r="CI1296">
        <v>0.41</v>
      </c>
      <c r="CJ1296">
        <v>11608</v>
      </c>
      <c r="CK1296">
        <v>9344</v>
      </c>
      <c r="CL1296" t="s">
        <v>7170</v>
      </c>
      <c r="CM1296">
        <v>-53.11</v>
      </c>
      <c r="CN1296">
        <v>-34.549999999999997</v>
      </c>
      <c r="CO1296">
        <v>5.61</v>
      </c>
      <c r="CP1296">
        <v>29.11</v>
      </c>
      <c r="CQ1296">
        <v>13.55</v>
      </c>
      <c r="CR1296">
        <v>0.99</v>
      </c>
      <c r="CS1296" t="s">
        <v>1074</v>
      </c>
      <c r="CT1296">
        <v>6.12</v>
      </c>
      <c r="CU1296">
        <v>0</v>
      </c>
      <c r="CV1296">
        <v>2.74</v>
      </c>
      <c r="CW1296">
        <v>2.29</v>
      </c>
      <c r="CX1296">
        <v>1.18</v>
      </c>
      <c r="CY1296">
        <v>77.569999999999993</v>
      </c>
      <c r="CZ1296" t="s">
        <v>6672</v>
      </c>
      <c r="DA1296">
        <v>34.08</v>
      </c>
      <c r="DB1296">
        <v>15.93</v>
      </c>
      <c r="DC1296">
        <v>14.6</v>
      </c>
      <c r="DD1296">
        <v>0.51</v>
      </c>
      <c r="DE1296">
        <v>2204</v>
      </c>
      <c r="DF1296">
        <v>2859</v>
      </c>
      <c r="DG1296" t="s">
        <v>116</v>
      </c>
      <c r="DH1296" t="s">
        <v>116</v>
      </c>
      <c r="DI1296" t="s">
        <v>116</v>
      </c>
    </row>
    <row r="1297" spans="1:113" x14ac:dyDescent="0.4">
      <c r="A1297" t="str">
        <f>"002860"</f>
        <v>002860</v>
      </c>
      <c r="B1297" t="s">
        <v>7171</v>
      </c>
      <c r="C1297">
        <v>-1.92</v>
      </c>
      <c r="D1297">
        <v>22.52</v>
      </c>
      <c r="E1297">
        <v>-0.44</v>
      </c>
      <c r="F1297">
        <v>22.51</v>
      </c>
      <c r="G1297">
        <v>22.52</v>
      </c>
      <c r="H1297">
        <v>38626</v>
      </c>
      <c r="I1297">
        <v>462</v>
      </c>
      <c r="J1297">
        <v>0.04</v>
      </c>
      <c r="K1297">
        <v>8.01</v>
      </c>
      <c r="L1297">
        <v>22.99</v>
      </c>
      <c r="M1297">
        <v>23.14</v>
      </c>
      <c r="N1297">
        <v>22.42</v>
      </c>
      <c r="O1297">
        <v>22.96</v>
      </c>
      <c r="P1297">
        <v>17.41</v>
      </c>
      <c r="Q1297">
        <v>87577856</v>
      </c>
      <c r="R1297">
        <v>0.78</v>
      </c>
      <c r="S1297" t="s">
        <v>397</v>
      </c>
      <c r="T1297" t="s">
        <v>590</v>
      </c>
      <c r="U1297">
        <v>3.14</v>
      </c>
      <c r="V1297">
        <v>22.67</v>
      </c>
      <c r="W1297">
        <v>23787</v>
      </c>
      <c r="X1297">
        <v>14839</v>
      </c>
      <c r="Y1297">
        <v>1.6</v>
      </c>
      <c r="Z1297">
        <v>123</v>
      </c>
      <c r="AA1297">
        <v>49</v>
      </c>
      <c r="AB1297" t="s">
        <v>116</v>
      </c>
      <c r="AC1297">
        <v>119500</v>
      </c>
      <c r="AD1297">
        <v>0.01</v>
      </c>
      <c r="AE1297" t="s">
        <v>116</v>
      </c>
      <c r="AF1297" t="s">
        <v>116</v>
      </c>
      <c r="AG1297">
        <v>0.48</v>
      </c>
      <c r="AH1297" t="s">
        <v>3292</v>
      </c>
      <c r="AI1297" t="s">
        <v>5834</v>
      </c>
      <c r="AJ1297">
        <v>-1.24</v>
      </c>
      <c r="AK1297">
        <v>2498</v>
      </c>
      <c r="AL1297">
        <v>15</v>
      </c>
      <c r="AM1297">
        <v>3.2000000000000002E-3</v>
      </c>
      <c r="AN1297">
        <v>-1</v>
      </c>
      <c r="AO1297">
        <v>-2.56</v>
      </c>
      <c r="AP1297">
        <v>10.55</v>
      </c>
      <c r="AQ1297">
        <v>12.6</v>
      </c>
      <c r="AR1297">
        <v>21.34</v>
      </c>
      <c r="AS1297">
        <v>8.14</v>
      </c>
      <c r="AT1297" t="s">
        <v>1785</v>
      </c>
      <c r="AU1297">
        <v>19.850000000000001</v>
      </c>
      <c r="AV1297">
        <v>27.65</v>
      </c>
      <c r="AW1297">
        <v>0.81</v>
      </c>
      <c r="BA1297">
        <v>0.13</v>
      </c>
      <c r="BB1297">
        <v>0.78</v>
      </c>
      <c r="BC1297">
        <v>-2.35</v>
      </c>
      <c r="BD1297">
        <v>-1.25</v>
      </c>
      <c r="BE1297">
        <v>-2.04</v>
      </c>
      <c r="BF1297">
        <v>-2.68</v>
      </c>
      <c r="BG1297">
        <v>0.45</v>
      </c>
      <c r="BH1297">
        <v>-0.67</v>
      </c>
      <c r="BI1297">
        <v>20191224</v>
      </c>
      <c r="BJ1297">
        <v>20170412</v>
      </c>
      <c r="BK1297">
        <v>1.17</v>
      </c>
      <c r="BL1297" t="s">
        <v>116</v>
      </c>
      <c r="BM1297" t="s">
        <v>116</v>
      </c>
      <c r="BN1297">
        <v>13.4</v>
      </c>
      <c r="BO1297">
        <v>8.19</v>
      </c>
      <c r="BP1297">
        <v>2.6</v>
      </c>
      <c r="BQ1297">
        <v>19.510000000000002</v>
      </c>
      <c r="BR1297">
        <v>9.33</v>
      </c>
      <c r="BS1297">
        <v>2.68</v>
      </c>
      <c r="BT1297">
        <v>0.75</v>
      </c>
      <c r="BU1297">
        <v>2.41</v>
      </c>
      <c r="BV1297">
        <v>1.41</v>
      </c>
      <c r="BW1297">
        <v>1.83</v>
      </c>
      <c r="BX1297">
        <v>2.77</v>
      </c>
      <c r="BY1297">
        <v>5.15</v>
      </c>
      <c r="BZ1297">
        <v>3.45</v>
      </c>
      <c r="CA1297">
        <v>1.92</v>
      </c>
      <c r="CB1297">
        <v>0</v>
      </c>
      <c r="CC1297">
        <v>1.96</v>
      </c>
      <c r="CD1297">
        <v>1.66</v>
      </c>
      <c r="CE1297">
        <v>1.1399999999999999</v>
      </c>
      <c r="CF1297">
        <v>0.76</v>
      </c>
      <c r="CG1297">
        <v>4.08</v>
      </c>
      <c r="CH1297">
        <v>1.32</v>
      </c>
      <c r="CI1297">
        <v>0.18</v>
      </c>
      <c r="CJ1297">
        <v>12000</v>
      </c>
      <c r="CK1297">
        <v>3956</v>
      </c>
      <c r="CL1297" t="s">
        <v>213</v>
      </c>
      <c r="CM1297">
        <v>49.31</v>
      </c>
      <c r="CN1297">
        <v>68.459999999999994</v>
      </c>
      <c r="CO1297">
        <v>3.22</v>
      </c>
      <c r="CP1297">
        <v>19.93</v>
      </c>
      <c r="CQ1297">
        <v>5.12</v>
      </c>
      <c r="CR1297">
        <v>0.66</v>
      </c>
      <c r="CS1297" t="s">
        <v>6691</v>
      </c>
      <c r="CT1297">
        <v>6.99</v>
      </c>
      <c r="CU1297">
        <v>0</v>
      </c>
      <c r="CV1297">
        <v>2.36</v>
      </c>
      <c r="CW1297">
        <v>3.48</v>
      </c>
      <c r="CX1297">
        <v>1.1299999999999999</v>
      </c>
      <c r="CY1297">
        <v>61.12</v>
      </c>
      <c r="CZ1297" t="s">
        <v>7172</v>
      </c>
      <c r="DA1297">
        <v>32.979999999999997</v>
      </c>
      <c r="DB1297">
        <v>37.299999999999997</v>
      </c>
      <c r="DC1297">
        <v>22.06</v>
      </c>
      <c r="DD1297">
        <v>0.22</v>
      </c>
      <c r="DE1297">
        <v>774</v>
      </c>
      <c r="DF1297">
        <v>2860</v>
      </c>
      <c r="DG1297" t="s">
        <v>116</v>
      </c>
      <c r="DH1297" t="s">
        <v>116</v>
      </c>
      <c r="DI1297" t="s">
        <v>116</v>
      </c>
    </row>
    <row r="1298" spans="1:113" x14ac:dyDescent="0.4">
      <c r="A1298" t="str">
        <f>"002861"</f>
        <v>002861</v>
      </c>
      <c r="B1298" t="s">
        <v>7173</v>
      </c>
      <c r="C1298">
        <v>-3.38</v>
      </c>
      <c r="D1298">
        <v>32.049999999999997</v>
      </c>
      <c r="E1298">
        <v>-1.1200000000000001</v>
      </c>
      <c r="F1298">
        <v>32.049999999999997</v>
      </c>
      <c r="G1298">
        <v>32.07</v>
      </c>
      <c r="H1298">
        <v>24881</v>
      </c>
      <c r="I1298">
        <v>626</v>
      </c>
      <c r="J1298">
        <v>-0.11</v>
      </c>
      <c r="K1298">
        <v>4.95</v>
      </c>
      <c r="L1298">
        <v>33.32</v>
      </c>
      <c r="M1298">
        <v>33.51</v>
      </c>
      <c r="N1298">
        <v>32</v>
      </c>
      <c r="O1298">
        <v>33.17</v>
      </c>
      <c r="P1298">
        <v>62.12</v>
      </c>
      <c r="Q1298">
        <v>81391936</v>
      </c>
      <c r="R1298">
        <v>1.19</v>
      </c>
      <c r="S1298" t="s">
        <v>465</v>
      </c>
      <c r="T1298" t="s">
        <v>774</v>
      </c>
      <c r="U1298">
        <v>4.55</v>
      </c>
      <c r="V1298">
        <v>32.71</v>
      </c>
      <c r="W1298">
        <v>13681</v>
      </c>
      <c r="X1298">
        <v>11200</v>
      </c>
      <c r="Y1298">
        <v>1.22</v>
      </c>
      <c r="Z1298">
        <v>107</v>
      </c>
      <c r="AA1298">
        <v>10</v>
      </c>
      <c r="AB1298" t="s">
        <v>116</v>
      </c>
      <c r="AC1298">
        <v>259900</v>
      </c>
      <c r="AD1298">
        <v>0.02</v>
      </c>
      <c r="AE1298" t="s">
        <v>116</v>
      </c>
      <c r="AF1298" t="s">
        <v>116</v>
      </c>
      <c r="AG1298">
        <v>0.5</v>
      </c>
      <c r="AH1298" t="s">
        <v>6763</v>
      </c>
      <c r="AI1298" t="s">
        <v>4644</v>
      </c>
      <c r="AJ1298">
        <v>-2.7</v>
      </c>
      <c r="AK1298">
        <v>1962</v>
      </c>
      <c r="AL1298">
        <v>13</v>
      </c>
      <c r="AM1298">
        <v>2.5000000000000001E-3</v>
      </c>
      <c r="AN1298">
        <v>-2</v>
      </c>
      <c r="AO1298">
        <v>-3.26</v>
      </c>
      <c r="AP1298">
        <v>-15.88</v>
      </c>
      <c r="AQ1298">
        <v>26.23</v>
      </c>
      <c r="AR1298">
        <v>74.66</v>
      </c>
      <c r="AS1298">
        <v>5.43</v>
      </c>
      <c r="AT1298" t="s">
        <v>3838</v>
      </c>
      <c r="AU1298">
        <v>63.99</v>
      </c>
      <c r="AV1298">
        <v>60.98</v>
      </c>
      <c r="AW1298">
        <v>1.61</v>
      </c>
      <c r="BA1298">
        <v>0.45</v>
      </c>
      <c r="BB1298">
        <v>1.03</v>
      </c>
      <c r="BC1298">
        <v>-3.53</v>
      </c>
      <c r="BD1298">
        <v>-1.38</v>
      </c>
      <c r="BE1298">
        <v>-3.81</v>
      </c>
      <c r="BF1298">
        <v>-4.3600000000000003</v>
      </c>
      <c r="BG1298">
        <v>0.16</v>
      </c>
      <c r="BH1298">
        <v>-2</v>
      </c>
      <c r="BI1298">
        <v>20191023</v>
      </c>
      <c r="BJ1298">
        <v>20170413</v>
      </c>
      <c r="BK1298">
        <v>1.23</v>
      </c>
      <c r="BL1298" t="s">
        <v>116</v>
      </c>
      <c r="BM1298" t="s">
        <v>116</v>
      </c>
      <c r="BN1298">
        <v>13.57</v>
      </c>
      <c r="BO1298">
        <v>10.33</v>
      </c>
      <c r="BP1298">
        <v>0</v>
      </c>
      <c r="BQ1298">
        <v>23.91</v>
      </c>
      <c r="BR1298">
        <v>7.97</v>
      </c>
      <c r="BS1298">
        <v>2.88</v>
      </c>
      <c r="BT1298">
        <v>0.86</v>
      </c>
      <c r="BU1298">
        <v>2.58</v>
      </c>
      <c r="BV1298">
        <v>1.82</v>
      </c>
      <c r="BW1298">
        <v>2.76</v>
      </c>
      <c r="BX1298">
        <v>4.38</v>
      </c>
      <c r="BY1298">
        <v>8.2200000000000006</v>
      </c>
      <c r="BZ1298">
        <v>6.42</v>
      </c>
      <c r="CA1298">
        <v>0.56999999999999995</v>
      </c>
      <c r="CB1298">
        <v>0</v>
      </c>
      <c r="CC1298">
        <v>0.56999999999999995</v>
      </c>
      <c r="CD1298">
        <v>0.47</v>
      </c>
      <c r="CE1298">
        <v>0.47</v>
      </c>
      <c r="CF1298">
        <v>0.42</v>
      </c>
      <c r="CG1298">
        <v>4.71</v>
      </c>
      <c r="CH1298">
        <v>0.86</v>
      </c>
      <c r="CI1298">
        <v>-0.75</v>
      </c>
      <c r="CJ1298">
        <v>10356</v>
      </c>
      <c r="CK1298">
        <v>4427</v>
      </c>
      <c r="CL1298" t="s">
        <v>7174</v>
      </c>
      <c r="CM1298">
        <v>-6.02</v>
      </c>
      <c r="CN1298">
        <v>23.52</v>
      </c>
      <c r="CO1298">
        <v>3.81</v>
      </c>
      <c r="CP1298">
        <v>45.81</v>
      </c>
      <c r="CQ1298">
        <v>4.79</v>
      </c>
      <c r="CR1298">
        <v>0.62</v>
      </c>
      <c r="CS1298" t="s">
        <v>7175</v>
      </c>
      <c r="CT1298">
        <v>8.42</v>
      </c>
      <c r="CU1298">
        <v>0</v>
      </c>
      <c r="CV1298">
        <v>3.57</v>
      </c>
      <c r="CW1298">
        <v>3.84</v>
      </c>
      <c r="CX1298">
        <v>0.7</v>
      </c>
      <c r="CY1298">
        <v>76.09</v>
      </c>
      <c r="CZ1298" t="s">
        <v>4137</v>
      </c>
      <c r="DA1298">
        <v>21.93</v>
      </c>
      <c r="DB1298">
        <v>6.92</v>
      </c>
      <c r="DC1298">
        <v>5.78</v>
      </c>
      <c r="DD1298">
        <v>0.35</v>
      </c>
      <c r="DE1298">
        <v>4503</v>
      </c>
      <c r="DF1298">
        <v>2861</v>
      </c>
      <c r="DG1298" t="s">
        <v>116</v>
      </c>
      <c r="DH1298" t="s">
        <v>116</v>
      </c>
      <c r="DI1298" t="s">
        <v>116</v>
      </c>
    </row>
    <row r="1299" spans="1:113" x14ac:dyDescent="0.4">
      <c r="A1299" t="str">
        <f>"002862"</f>
        <v>002862</v>
      </c>
      <c r="B1299" t="s">
        <v>7176</v>
      </c>
      <c r="C1299">
        <v>-2.16</v>
      </c>
      <c r="D1299">
        <v>22.23</v>
      </c>
      <c r="E1299">
        <v>-0.49</v>
      </c>
      <c r="F1299">
        <v>22.23</v>
      </c>
      <c r="G1299">
        <v>22.25</v>
      </c>
      <c r="H1299">
        <v>12023</v>
      </c>
      <c r="I1299">
        <v>268</v>
      </c>
      <c r="J1299">
        <v>-0.08</v>
      </c>
      <c r="K1299">
        <v>3.86</v>
      </c>
      <c r="L1299">
        <v>22.75</v>
      </c>
      <c r="M1299">
        <v>22.92</v>
      </c>
      <c r="N1299">
        <v>22.21</v>
      </c>
      <c r="O1299">
        <v>22.72</v>
      </c>
      <c r="P1299">
        <v>66.28</v>
      </c>
      <c r="Q1299">
        <v>27030800</v>
      </c>
      <c r="R1299">
        <v>0.8</v>
      </c>
      <c r="S1299" t="s">
        <v>217</v>
      </c>
      <c r="T1299" t="s">
        <v>551</v>
      </c>
      <c r="U1299">
        <v>3.13</v>
      </c>
      <c r="V1299">
        <v>22.48</v>
      </c>
      <c r="W1299">
        <v>8193</v>
      </c>
      <c r="X1299">
        <v>3830</v>
      </c>
      <c r="Y1299">
        <v>2.14</v>
      </c>
      <c r="Z1299">
        <v>51</v>
      </c>
      <c r="AA1299">
        <v>19</v>
      </c>
      <c r="AB1299" t="s">
        <v>116</v>
      </c>
      <c r="AC1299">
        <v>97800</v>
      </c>
      <c r="AD1299">
        <v>0.01</v>
      </c>
      <c r="AE1299" t="s">
        <v>116</v>
      </c>
      <c r="AF1299" t="s">
        <v>116</v>
      </c>
      <c r="AG1299">
        <v>0.31</v>
      </c>
      <c r="AH1299" t="s">
        <v>7177</v>
      </c>
      <c r="AI1299" t="s">
        <v>7178</v>
      </c>
      <c r="AJ1299">
        <v>-1.48</v>
      </c>
      <c r="AK1299">
        <v>1133</v>
      </c>
      <c r="AL1299">
        <v>11</v>
      </c>
      <c r="AM1299">
        <v>3.3999999999999998E-3</v>
      </c>
      <c r="AN1299">
        <v>-1</v>
      </c>
      <c r="AO1299">
        <v>-1.07</v>
      </c>
      <c r="AP1299">
        <v>-4.0199999999999996</v>
      </c>
      <c r="AQ1299">
        <v>15</v>
      </c>
      <c r="AR1299">
        <v>4.8099999999999996</v>
      </c>
      <c r="AS1299">
        <v>3.86</v>
      </c>
      <c r="AT1299" t="s">
        <v>7177</v>
      </c>
      <c r="AU1299">
        <v>68.39</v>
      </c>
      <c r="AV1299">
        <v>55.63</v>
      </c>
      <c r="AW1299">
        <v>0.35</v>
      </c>
      <c r="BA1299">
        <v>0.13</v>
      </c>
      <c r="BB1299">
        <v>0.88</v>
      </c>
      <c r="BC1299">
        <v>-2.2400000000000002</v>
      </c>
      <c r="BD1299">
        <v>-1.05</v>
      </c>
      <c r="BE1299">
        <v>-2.29</v>
      </c>
      <c r="BF1299">
        <v>-3.01</v>
      </c>
      <c r="BG1299">
        <v>0.09</v>
      </c>
      <c r="BH1299">
        <v>-1.1100000000000001</v>
      </c>
      <c r="BI1299">
        <v>20191223</v>
      </c>
      <c r="BJ1299">
        <v>20170411</v>
      </c>
      <c r="BK1299">
        <v>0.8</v>
      </c>
      <c r="BL1299" t="s">
        <v>116</v>
      </c>
      <c r="BM1299" t="s">
        <v>116</v>
      </c>
      <c r="BN1299">
        <v>7.06</v>
      </c>
      <c r="BO1299">
        <v>5.82</v>
      </c>
      <c r="BP1299">
        <v>0</v>
      </c>
      <c r="BQ1299">
        <v>17.63</v>
      </c>
      <c r="BR1299">
        <v>4.42</v>
      </c>
      <c r="BS1299">
        <v>1.81</v>
      </c>
      <c r="BT1299">
        <v>0.47</v>
      </c>
      <c r="BU1299">
        <v>1.22</v>
      </c>
      <c r="BV1299">
        <v>0.45</v>
      </c>
      <c r="BW1299">
        <v>1.43</v>
      </c>
      <c r="BX1299">
        <v>3.08</v>
      </c>
      <c r="BY1299">
        <v>3.11</v>
      </c>
      <c r="BZ1299">
        <v>2.4500000000000002</v>
      </c>
      <c r="CA1299">
        <v>0.24</v>
      </c>
      <c r="CB1299">
        <v>0.02</v>
      </c>
      <c r="CC1299">
        <v>0.24</v>
      </c>
      <c r="CD1299">
        <v>0.2</v>
      </c>
      <c r="CE1299">
        <v>0.2</v>
      </c>
      <c r="CF1299">
        <v>0.19</v>
      </c>
      <c r="CG1299">
        <v>1.73</v>
      </c>
      <c r="CH1299">
        <v>-0.1</v>
      </c>
      <c r="CI1299">
        <v>0.24</v>
      </c>
      <c r="CJ1299">
        <v>9543</v>
      </c>
      <c r="CK1299">
        <v>3265</v>
      </c>
      <c r="CL1299" t="s">
        <v>7179</v>
      </c>
      <c r="CM1299">
        <v>-22.87</v>
      </c>
      <c r="CN1299">
        <v>1.18</v>
      </c>
      <c r="CO1299">
        <v>3.06</v>
      </c>
      <c r="CP1299">
        <v>-173.01</v>
      </c>
      <c r="CQ1299">
        <v>5.72</v>
      </c>
      <c r="CR1299">
        <v>0.45</v>
      </c>
      <c r="CS1299" t="s">
        <v>2467</v>
      </c>
      <c r="CT1299">
        <v>7.27</v>
      </c>
      <c r="CU1299">
        <v>0</v>
      </c>
      <c r="CV1299">
        <v>3.85</v>
      </c>
      <c r="CW1299">
        <v>2.16</v>
      </c>
      <c r="CX1299">
        <v>-0.13</v>
      </c>
      <c r="CY1299">
        <v>82.37</v>
      </c>
      <c r="CZ1299" t="s">
        <v>7180</v>
      </c>
      <c r="DA1299">
        <v>21.19</v>
      </c>
      <c r="DB1299">
        <v>7.77</v>
      </c>
      <c r="DC1299">
        <v>6.47</v>
      </c>
      <c r="DD1299">
        <v>0.09</v>
      </c>
      <c r="DE1299">
        <v>650</v>
      </c>
      <c r="DF1299">
        <v>2862</v>
      </c>
      <c r="DG1299" t="s">
        <v>116</v>
      </c>
      <c r="DH1299" t="s">
        <v>116</v>
      </c>
      <c r="DI1299" t="s">
        <v>116</v>
      </c>
    </row>
    <row r="1300" spans="1:113" x14ac:dyDescent="0.4">
      <c r="A1300" t="str">
        <f>"002863"</f>
        <v>002863</v>
      </c>
      <c r="B1300" t="s">
        <v>7181</v>
      </c>
      <c r="C1300">
        <v>-0.72</v>
      </c>
      <c r="D1300">
        <v>5.54</v>
      </c>
      <c r="E1300">
        <v>-0.04</v>
      </c>
      <c r="F1300">
        <v>5.54</v>
      </c>
      <c r="G1300">
        <v>5.55</v>
      </c>
      <c r="H1300">
        <v>21666</v>
      </c>
      <c r="I1300">
        <v>343</v>
      </c>
      <c r="J1300">
        <v>-0.17</v>
      </c>
      <c r="K1300">
        <v>1.17</v>
      </c>
      <c r="L1300">
        <v>5.6</v>
      </c>
      <c r="M1300">
        <v>5.62</v>
      </c>
      <c r="N1300">
        <v>5.53</v>
      </c>
      <c r="O1300">
        <v>5.58</v>
      </c>
      <c r="P1300">
        <v>33.43</v>
      </c>
      <c r="Q1300">
        <v>12095187</v>
      </c>
      <c r="R1300">
        <v>1.01</v>
      </c>
      <c r="S1300" t="s">
        <v>293</v>
      </c>
      <c r="T1300" t="s">
        <v>590</v>
      </c>
      <c r="U1300">
        <v>1.61</v>
      </c>
      <c r="V1300">
        <v>5.58</v>
      </c>
      <c r="W1300">
        <v>12042</v>
      </c>
      <c r="X1300">
        <v>9624</v>
      </c>
      <c r="Y1300">
        <v>1.25</v>
      </c>
      <c r="Z1300">
        <v>149</v>
      </c>
      <c r="AA1300">
        <v>169</v>
      </c>
      <c r="AB1300" t="s">
        <v>116</v>
      </c>
      <c r="AC1300">
        <v>0</v>
      </c>
      <c r="AD1300">
        <v>0</v>
      </c>
      <c r="AE1300" t="s">
        <v>116</v>
      </c>
      <c r="AF1300" t="s">
        <v>116</v>
      </c>
      <c r="AG1300">
        <v>1.86</v>
      </c>
      <c r="AH1300" t="s">
        <v>7182</v>
      </c>
      <c r="AI1300" t="s">
        <v>2053</v>
      </c>
      <c r="AJ1300">
        <v>-0.04</v>
      </c>
      <c r="AK1300">
        <v>712</v>
      </c>
      <c r="AL1300">
        <v>30</v>
      </c>
      <c r="AM1300">
        <v>1.6000000000000001E-3</v>
      </c>
      <c r="AN1300">
        <v>-1</v>
      </c>
      <c r="AO1300">
        <v>-0.18</v>
      </c>
      <c r="AP1300">
        <v>6.33</v>
      </c>
      <c r="AQ1300">
        <v>-1.95</v>
      </c>
      <c r="AR1300">
        <v>-12.78</v>
      </c>
      <c r="AS1300">
        <v>1.76</v>
      </c>
      <c r="AT1300" t="s">
        <v>7183</v>
      </c>
      <c r="AU1300">
        <v>37.51</v>
      </c>
      <c r="AV1300">
        <v>32.25</v>
      </c>
      <c r="AW1300">
        <v>1.07</v>
      </c>
      <c r="BA1300">
        <v>0.36</v>
      </c>
      <c r="BB1300">
        <v>0.72</v>
      </c>
      <c r="BC1300">
        <v>-0.9</v>
      </c>
      <c r="BD1300">
        <v>0.04</v>
      </c>
      <c r="BE1300">
        <v>-1.07</v>
      </c>
      <c r="BF1300">
        <v>-1.42</v>
      </c>
      <c r="BG1300">
        <v>0.18</v>
      </c>
      <c r="BH1300">
        <v>-0.76</v>
      </c>
      <c r="BI1300">
        <v>20191030</v>
      </c>
      <c r="BJ1300">
        <v>20170418</v>
      </c>
      <c r="BK1300">
        <v>3.77</v>
      </c>
      <c r="BL1300" t="s">
        <v>116</v>
      </c>
      <c r="BM1300" t="s">
        <v>116</v>
      </c>
      <c r="BN1300">
        <v>45.34</v>
      </c>
      <c r="BO1300">
        <v>10.93</v>
      </c>
      <c r="BP1300">
        <v>0.13</v>
      </c>
      <c r="BQ1300">
        <v>75.599999999999994</v>
      </c>
      <c r="BR1300">
        <v>22.25</v>
      </c>
      <c r="BS1300">
        <v>12.32</v>
      </c>
      <c r="BT1300">
        <v>2.3199999999999998</v>
      </c>
      <c r="BU1300">
        <v>27.7</v>
      </c>
      <c r="BV1300">
        <v>11.85</v>
      </c>
      <c r="BW1300">
        <v>3.84</v>
      </c>
      <c r="BX1300">
        <v>1.4</v>
      </c>
      <c r="BY1300">
        <v>20.78</v>
      </c>
      <c r="BZ1300">
        <v>17.329999999999998</v>
      </c>
      <c r="CA1300">
        <v>0.56999999999999995</v>
      </c>
      <c r="CB1300">
        <v>0.01</v>
      </c>
      <c r="CC1300">
        <v>0.56999999999999995</v>
      </c>
      <c r="CD1300">
        <v>0.48</v>
      </c>
      <c r="CE1300">
        <v>0.47</v>
      </c>
      <c r="CF1300">
        <v>0.19</v>
      </c>
      <c r="CG1300">
        <v>4.32</v>
      </c>
      <c r="CH1300">
        <v>0.25</v>
      </c>
      <c r="CI1300">
        <v>0.04</v>
      </c>
      <c r="CJ1300">
        <v>24210</v>
      </c>
      <c r="CK1300">
        <v>5071</v>
      </c>
      <c r="CL1300" t="s">
        <v>2649</v>
      </c>
      <c r="CM1300">
        <v>-16.21</v>
      </c>
      <c r="CN1300">
        <v>2.54</v>
      </c>
      <c r="CO1300">
        <v>2.1</v>
      </c>
      <c r="CP1300">
        <v>83.12</v>
      </c>
      <c r="CQ1300">
        <v>1</v>
      </c>
      <c r="CR1300">
        <v>0.32</v>
      </c>
      <c r="CS1300" t="s">
        <v>868</v>
      </c>
      <c r="CT1300">
        <v>2.64</v>
      </c>
      <c r="CU1300">
        <v>2.64</v>
      </c>
      <c r="CV1300">
        <v>0.37</v>
      </c>
      <c r="CW1300">
        <v>1.1499999999999999</v>
      </c>
      <c r="CX1300">
        <v>7.0000000000000007E-2</v>
      </c>
      <c r="CY1300">
        <v>24.11</v>
      </c>
      <c r="CZ1300" t="s">
        <v>7184</v>
      </c>
      <c r="DA1300">
        <v>16.62</v>
      </c>
      <c r="DB1300">
        <v>2.73</v>
      </c>
      <c r="DC1300">
        <v>2.25</v>
      </c>
      <c r="DD1300">
        <v>0.67</v>
      </c>
      <c r="DE1300">
        <v>4396</v>
      </c>
      <c r="DF1300">
        <v>2863</v>
      </c>
      <c r="DG1300" t="s">
        <v>116</v>
      </c>
      <c r="DH1300" t="s">
        <v>116</v>
      </c>
      <c r="DI1300" t="s">
        <v>116</v>
      </c>
    </row>
    <row r="1301" spans="1:113" x14ac:dyDescent="0.4">
      <c r="A1301" t="str">
        <f>"002864"</f>
        <v>002864</v>
      </c>
      <c r="B1301" t="s">
        <v>7185</v>
      </c>
      <c r="C1301">
        <v>-0.9</v>
      </c>
      <c r="D1301">
        <v>26.56</v>
      </c>
      <c r="E1301">
        <v>-0.24</v>
      </c>
      <c r="F1301">
        <v>26.56</v>
      </c>
      <c r="G1301">
        <v>26.57</v>
      </c>
      <c r="H1301">
        <v>11462</v>
      </c>
      <c r="I1301">
        <v>102</v>
      </c>
      <c r="J1301">
        <v>0</v>
      </c>
      <c r="K1301">
        <v>2.5499999999999998</v>
      </c>
      <c r="L1301">
        <v>26.97</v>
      </c>
      <c r="M1301">
        <v>27.15</v>
      </c>
      <c r="N1301">
        <v>26.52</v>
      </c>
      <c r="O1301">
        <v>26.8</v>
      </c>
      <c r="P1301">
        <v>29.74</v>
      </c>
      <c r="Q1301">
        <v>30803564</v>
      </c>
      <c r="R1301">
        <v>1.49</v>
      </c>
      <c r="S1301" t="s">
        <v>781</v>
      </c>
      <c r="T1301" t="s">
        <v>913</v>
      </c>
      <c r="U1301">
        <v>2.35</v>
      </c>
      <c r="V1301">
        <v>26.87</v>
      </c>
      <c r="W1301">
        <v>6100</v>
      </c>
      <c r="X1301">
        <v>5362</v>
      </c>
      <c r="Y1301">
        <v>1.1399999999999999</v>
      </c>
      <c r="Z1301">
        <v>37</v>
      </c>
      <c r="AA1301">
        <v>6</v>
      </c>
      <c r="AB1301" t="s">
        <v>116</v>
      </c>
      <c r="AC1301">
        <v>2700</v>
      </c>
      <c r="AD1301">
        <v>0</v>
      </c>
      <c r="AE1301" t="s">
        <v>116</v>
      </c>
      <c r="AF1301" t="s">
        <v>116</v>
      </c>
      <c r="AG1301">
        <v>0.45</v>
      </c>
      <c r="AH1301" t="s">
        <v>7186</v>
      </c>
      <c r="AI1301" t="s">
        <v>4823</v>
      </c>
      <c r="AJ1301">
        <v>-0.22</v>
      </c>
      <c r="AK1301">
        <v>1124</v>
      </c>
      <c r="AL1301">
        <v>10</v>
      </c>
      <c r="AM1301">
        <v>2.3E-3</v>
      </c>
      <c r="AN1301">
        <v>-1</v>
      </c>
      <c r="AO1301">
        <v>0.68</v>
      </c>
      <c r="AP1301">
        <v>5.94</v>
      </c>
      <c r="AQ1301">
        <v>-3.31</v>
      </c>
      <c r="AR1301">
        <v>-16.5</v>
      </c>
      <c r="AS1301">
        <v>4.22</v>
      </c>
      <c r="AT1301" t="s">
        <v>7187</v>
      </c>
      <c r="AU1301">
        <v>30.1</v>
      </c>
      <c r="AV1301">
        <v>35.590000000000003</v>
      </c>
      <c r="AW1301">
        <v>1.1000000000000001</v>
      </c>
      <c r="BA1301">
        <v>0.63</v>
      </c>
      <c r="BB1301">
        <v>1.31</v>
      </c>
      <c r="BC1301">
        <v>-1.04</v>
      </c>
      <c r="BD1301">
        <v>0.28000000000000003</v>
      </c>
      <c r="BE1301">
        <v>-1.52</v>
      </c>
      <c r="BF1301">
        <v>-2.17</v>
      </c>
      <c r="BG1301">
        <v>0.15</v>
      </c>
      <c r="BH1301">
        <v>-1.18</v>
      </c>
      <c r="BI1301">
        <v>20191029</v>
      </c>
      <c r="BJ1301">
        <v>20171116</v>
      </c>
      <c r="BK1301">
        <v>0.87</v>
      </c>
      <c r="BL1301" t="s">
        <v>116</v>
      </c>
      <c r="BM1301" t="s">
        <v>116</v>
      </c>
      <c r="BN1301">
        <v>8.7899999999999991</v>
      </c>
      <c r="BO1301">
        <v>6.61</v>
      </c>
      <c r="BP1301">
        <v>0</v>
      </c>
      <c r="BQ1301">
        <v>24.84</v>
      </c>
      <c r="BR1301">
        <v>6.61</v>
      </c>
      <c r="BS1301">
        <v>1.22</v>
      </c>
      <c r="BT1301">
        <v>0.6</v>
      </c>
      <c r="BU1301">
        <v>1.99</v>
      </c>
      <c r="BV1301">
        <v>0.54</v>
      </c>
      <c r="BW1301">
        <v>1.97</v>
      </c>
      <c r="BX1301">
        <v>2.71</v>
      </c>
      <c r="BY1301">
        <v>4.3600000000000003</v>
      </c>
      <c r="BZ1301">
        <v>1.3</v>
      </c>
      <c r="CA1301">
        <v>0.7</v>
      </c>
      <c r="CB1301">
        <v>7.0000000000000007E-2</v>
      </c>
      <c r="CC1301">
        <v>0.67</v>
      </c>
      <c r="CD1301">
        <v>0.57999999999999996</v>
      </c>
      <c r="CE1301">
        <v>0.57999999999999996</v>
      </c>
      <c r="CF1301">
        <v>0.54</v>
      </c>
      <c r="CG1301">
        <v>2.77</v>
      </c>
      <c r="CH1301">
        <v>0.34</v>
      </c>
      <c r="CI1301">
        <v>0.22</v>
      </c>
      <c r="CJ1301">
        <v>15932</v>
      </c>
      <c r="CK1301">
        <v>1705</v>
      </c>
      <c r="CL1301" t="s">
        <v>5637</v>
      </c>
      <c r="CM1301">
        <v>25.49</v>
      </c>
      <c r="CN1301">
        <v>28.73</v>
      </c>
      <c r="CO1301">
        <v>3.48</v>
      </c>
      <c r="CP1301">
        <v>68.510000000000005</v>
      </c>
      <c r="CQ1301">
        <v>5.28</v>
      </c>
      <c r="CR1301">
        <v>0.38</v>
      </c>
      <c r="CS1301" t="s">
        <v>6983</v>
      </c>
      <c r="CT1301">
        <v>7.63</v>
      </c>
      <c r="CU1301">
        <v>0</v>
      </c>
      <c r="CV1301">
        <v>3.13</v>
      </c>
      <c r="CW1301">
        <v>3.2</v>
      </c>
      <c r="CX1301">
        <v>0.39</v>
      </c>
      <c r="CY1301">
        <v>75.16</v>
      </c>
      <c r="CZ1301" t="s">
        <v>4937</v>
      </c>
      <c r="DA1301">
        <v>70.23</v>
      </c>
      <c r="DB1301">
        <v>16.14</v>
      </c>
      <c r="DC1301">
        <v>13.32</v>
      </c>
      <c r="DD1301">
        <v>0.05</v>
      </c>
      <c r="DE1301">
        <v>641</v>
      </c>
      <c r="DF1301">
        <v>2864</v>
      </c>
      <c r="DG1301" t="s">
        <v>116</v>
      </c>
      <c r="DH1301" t="s">
        <v>116</v>
      </c>
      <c r="DI1301" t="s">
        <v>116</v>
      </c>
    </row>
    <row r="1302" spans="1:113" x14ac:dyDescent="0.4">
      <c r="A1302" t="str">
        <f>"002865"</f>
        <v>002865</v>
      </c>
      <c r="B1302" t="s">
        <v>7188</v>
      </c>
      <c r="C1302">
        <v>-0.62</v>
      </c>
      <c r="D1302">
        <v>16</v>
      </c>
      <c r="E1302">
        <v>-0.1</v>
      </c>
      <c r="F1302">
        <v>16</v>
      </c>
      <c r="G1302">
        <v>16.010000000000002</v>
      </c>
      <c r="H1302">
        <v>40868</v>
      </c>
      <c r="I1302">
        <v>534</v>
      </c>
      <c r="J1302">
        <v>-0.36</v>
      </c>
      <c r="K1302">
        <v>10.73</v>
      </c>
      <c r="L1302">
        <v>16.05</v>
      </c>
      <c r="M1302">
        <v>16.309999999999999</v>
      </c>
      <c r="N1302">
        <v>15.91</v>
      </c>
      <c r="O1302">
        <v>16.100000000000001</v>
      </c>
      <c r="P1302" t="s">
        <v>116</v>
      </c>
      <c r="Q1302">
        <v>65878000</v>
      </c>
      <c r="R1302">
        <v>0.59</v>
      </c>
      <c r="S1302" t="s">
        <v>293</v>
      </c>
      <c r="T1302" t="s">
        <v>851</v>
      </c>
      <c r="U1302">
        <v>2.48</v>
      </c>
      <c r="V1302">
        <v>16.12</v>
      </c>
      <c r="W1302">
        <v>21702</v>
      </c>
      <c r="X1302">
        <v>19166</v>
      </c>
      <c r="Y1302">
        <v>1.1299999999999999</v>
      </c>
      <c r="Z1302">
        <v>378</v>
      </c>
      <c r="AA1302">
        <v>89</v>
      </c>
      <c r="AB1302" t="s">
        <v>116</v>
      </c>
      <c r="AC1302">
        <v>292100</v>
      </c>
      <c r="AD1302">
        <v>0.05</v>
      </c>
      <c r="AE1302" t="s">
        <v>116</v>
      </c>
      <c r="AF1302" t="s">
        <v>116</v>
      </c>
      <c r="AG1302">
        <v>0.38</v>
      </c>
      <c r="AH1302" t="s">
        <v>7189</v>
      </c>
      <c r="AI1302" t="s">
        <v>7190</v>
      </c>
      <c r="AJ1302">
        <v>0.06</v>
      </c>
      <c r="AK1302">
        <v>2033</v>
      </c>
      <c r="AL1302">
        <v>20</v>
      </c>
      <c r="AM1302">
        <v>5.3E-3</v>
      </c>
      <c r="AN1302">
        <v>-2</v>
      </c>
      <c r="AO1302">
        <v>0.7</v>
      </c>
      <c r="AP1302">
        <v>10.5</v>
      </c>
      <c r="AQ1302">
        <v>-0.5</v>
      </c>
      <c r="AR1302">
        <v>-15.66</v>
      </c>
      <c r="AS1302">
        <v>10.73</v>
      </c>
      <c r="AT1302" t="s">
        <v>7189</v>
      </c>
      <c r="AU1302" t="s">
        <v>116</v>
      </c>
      <c r="AV1302">
        <v>46.24</v>
      </c>
      <c r="AW1302">
        <v>0.72</v>
      </c>
      <c r="BA1302">
        <v>-0.31</v>
      </c>
      <c r="BB1302">
        <v>1.3</v>
      </c>
      <c r="BC1302">
        <v>-1.18</v>
      </c>
      <c r="BD1302">
        <v>0.12</v>
      </c>
      <c r="BE1302">
        <v>-0.31</v>
      </c>
      <c r="BF1302">
        <v>-1.9</v>
      </c>
      <c r="BG1302">
        <v>0.56999999999999995</v>
      </c>
      <c r="BH1302">
        <v>-0.74</v>
      </c>
      <c r="BI1302">
        <v>20191030</v>
      </c>
      <c r="BJ1302">
        <v>20170425</v>
      </c>
      <c r="BK1302">
        <v>1.21</v>
      </c>
      <c r="BL1302" t="s">
        <v>116</v>
      </c>
      <c r="BM1302" t="s">
        <v>116</v>
      </c>
      <c r="BN1302">
        <v>17.97</v>
      </c>
      <c r="BO1302">
        <v>8.74</v>
      </c>
      <c r="BP1302">
        <v>0</v>
      </c>
      <c r="BQ1302">
        <v>51.35</v>
      </c>
      <c r="BR1302">
        <v>8.52</v>
      </c>
      <c r="BS1302">
        <v>3.86</v>
      </c>
      <c r="BT1302">
        <v>0.99</v>
      </c>
      <c r="BU1302">
        <v>6.02</v>
      </c>
      <c r="BV1302">
        <v>2.74</v>
      </c>
      <c r="BW1302">
        <v>2.25</v>
      </c>
      <c r="BX1302">
        <v>3.78</v>
      </c>
      <c r="BY1302">
        <v>5.0999999999999996</v>
      </c>
      <c r="BZ1302">
        <v>4.0599999999999996</v>
      </c>
      <c r="CA1302">
        <v>-0.25</v>
      </c>
      <c r="CB1302">
        <v>0.09</v>
      </c>
      <c r="CC1302">
        <v>-0.25</v>
      </c>
      <c r="CD1302">
        <v>-0.28000000000000003</v>
      </c>
      <c r="CE1302">
        <v>-0.28000000000000003</v>
      </c>
      <c r="CF1302">
        <v>-0.34</v>
      </c>
      <c r="CG1302">
        <v>3.02</v>
      </c>
      <c r="CH1302">
        <v>-0.53</v>
      </c>
      <c r="CI1302">
        <v>-2.5099999999999998</v>
      </c>
      <c r="CJ1302">
        <v>14791</v>
      </c>
      <c r="CK1302">
        <v>2576</v>
      </c>
      <c r="CL1302" t="s">
        <v>3250</v>
      </c>
      <c r="CM1302">
        <v>-172.82</v>
      </c>
      <c r="CN1302">
        <v>-29.64</v>
      </c>
      <c r="CO1302">
        <v>2.36</v>
      </c>
      <c r="CP1302">
        <v>-36.159999999999997</v>
      </c>
      <c r="CQ1302">
        <v>3.8</v>
      </c>
      <c r="CR1302">
        <v>0.94</v>
      </c>
      <c r="CS1302" t="s">
        <v>7191</v>
      </c>
      <c r="CT1302">
        <v>6.78</v>
      </c>
      <c r="CU1302">
        <v>6.78</v>
      </c>
      <c r="CV1302">
        <v>3.12</v>
      </c>
      <c r="CW1302">
        <v>2.5</v>
      </c>
      <c r="CX1302">
        <v>-0.44</v>
      </c>
      <c r="CY1302">
        <v>48.65</v>
      </c>
      <c r="CZ1302" t="s">
        <v>7192</v>
      </c>
      <c r="DA1302">
        <v>20.28</v>
      </c>
      <c r="DB1302">
        <v>-4.82</v>
      </c>
      <c r="DC1302">
        <v>-5.57</v>
      </c>
      <c r="DD1302">
        <v>0.3</v>
      </c>
      <c r="DE1302">
        <v>2091</v>
      </c>
      <c r="DF1302">
        <v>2865</v>
      </c>
      <c r="DG1302" t="s">
        <v>116</v>
      </c>
      <c r="DH1302" t="s">
        <v>116</v>
      </c>
      <c r="DI1302" t="s">
        <v>116</v>
      </c>
    </row>
    <row r="1303" spans="1:113" x14ac:dyDescent="0.4">
      <c r="A1303" t="str">
        <f>"002866"</f>
        <v>002866</v>
      </c>
      <c r="B1303" t="s">
        <v>7193</v>
      </c>
      <c r="C1303">
        <v>-5.52</v>
      </c>
      <c r="D1303">
        <v>13</v>
      </c>
      <c r="E1303">
        <v>-0.76</v>
      </c>
      <c r="F1303">
        <v>12.99</v>
      </c>
      <c r="G1303">
        <v>13</v>
      </c>
      <c r="H1303">
        <v>97453</v>
      </c>
      <c r="I1303">
        <v>1492</v>
      </c>
      <c r="J1303">
        <v>-0.14000000000000001</v>
      </c>
      <c r="K1303">
        <v>12.09</v>
      </c>
      <c r="L1303">
        <v>13.87</v>
      </c>
      <c r="M1303">
        <v>13.87</v>
      </c>
      <c r="N1303">
        <v>12.96</v>
      </c>
      <c r="O1303">
        <v>13.76</v>
      </c>
      <c r="P1303">
        <v>33.4</v>
      </c>
      <c r="Q1303">
        <v>130052656</v>
      </c>
      <c r="R1303">
        <v>1.03</v>
      </c>
      <c r="S1303" t="s">
        <v>241</v>
      </c>
      <c r="T1303" t="s">
        <v>323</v>
      </c>
      <c r="U1303">
        <v>6.61</v>
      </c>
      <c r="V1303">
        <v>13.35</v>
      </c>
      <c r="W1303">
        <v>63331</v>
      </c>
      <c r="X1303">
        <v>34122</v>
      </c>
      <c r="Y1303">
        <v>1.86</v>
      </c>
      <c r="Z1303">
        <v>361</v>
      </c>
      <c r="AA1303">
        <v>723</v>
      </c>
      <c r="AB1303" t="s">
        <v>116</v>
      </c>
      <c r="AC1303">
        <v>631100</v>
      </c>
      <c r="AD1303">
        <v>0.06</v>
      </c>
      <c r="AE1303" t="s">
        <v>116</v>
      </c>
      <c r="AF1303" t="s">
        <v>116</v>
      </c>
      <c r="AG1303">
        <v>0.81</v>
      </c>
      <c r="AH1303" t="s">
        <v>7194</v>
      </c>
      <c r="AI1303" t="s">
        <v>5921</v>
      </c>
      <c r="AJ1303">
        <v>-4.84</v>
      </c>
      <c r="AK1303">
        <v>2357</v>
      </c>
      <c r="AL1303">
        <v>41</v>
      </c>
      <c r="AM1303">
        <v>5.1000000000000004E-3</v>
      </c>
      <c r="AN1303">
        <v>-1</v>
      </c>
      <c r="AO1303">
        <v>-3.41</v>
      </c>
      <c r="AP1303">
        <v>12.26</v>
      </c>
      <c r="AQ1303">
        <v>4.75</v>
      </c>
      <c r="AR1303">
        <v>25.35</v>
      </c>
      <c r="AS1303">
        <v>12.09</v>
      </c>
      <c r="AT1303" t="s">
        <v>7194</v>
      </c>
      <c r="AU1303">
        <v>41.62</v>
      </c>
      <c r="AV1303">
        <v>33.450000000000003</v>
      </c>
      <c r="AW1303">
        <v>1.78</v>
      </c>
      <c r="BA1303">
        <v>0.8</v>
      </c>
      <c r="BB1303">
        <v>0.8</v>
      </c>
      <c r="BC1303">
        <v>-5.81</v>
      </c>
      <c r="BD1303">
        <v>-3.01</v>
      </c>
      <c r="BE1303">
        <v>-6.27</v>
      </c>
      <c r="BF1303">
        <v>-6.27</v>
      </c>
      <c r="BG1303">
        <v>0.31</v>
      </c>
      <c r="BH1303">
        <v>-2.5099999999999998</v>
      </c>
      <c r="BI1303">
        <v>20191031</v>
      </c>
      <c r="BJ1303">
        <v>20170426</v>
      </c>
      <c r="BK1303">
        <v>2.48</v>
      </c>
      <c r="BL1303" t="s">
        <v>116</v>
      </c>
      <c r="BM1303" t="s">
        <v>116</v>
      </c>
      <c r="BN1303">
        <v>16.77</v>
      </c>
      <c r="BO1303">
        <v>10.32</v>
      </c>
      <c r="BP1303">
        <v>0</v>
      </c>
      <c r="BQ1303">
        <v>38.49</v>
      </c>
      <c r="BR1303">
        <v>10.74</v>
      </c>
      <c r="BS1303">
        <v>3.4</v>
      </c>
      <c r="BT1303">
        <v>0.24</v>
      </c>
      <c r="BU1303">
        <v>6.22</v>
      </c>
      <c r="BV1303">
        <v>2.4300000000000002</v>
      </c>
      <c r="BW1303">
        <v>5.04</v>
      </c>
      <c r="BX1303">
        <v>4.18</v>
      </c>
      <c r="BY1303">
        <v>11.02</v>
      </c>
      <c r="BZ1303">
        <v>8.6199999999999992</v>
      </c>
      <c r="CA1303">
        <v>0.8</v>
      </c>
      <c r="CB1303">
        <v>0.01</v>
      </c>
      <c r="CC1303">
        <v>0.79</v>
      </c>
      <c r="CD1303">
        <v>0.72</v>
      </c>
      <c r="CE1303">
        <v>0.72</v>
      </c>
      <c r="CF1303">
        <v>0.7</v>
      </c>
      <c r="CG1303">
        <v>3.6</v>
      </c>
      <c r="CH1303">
        <v>0.96</v>
      </c>
      <c r="CI1303">
        <v>-0.4</v>
      </c>
      <c r="CJ1303">
        <v>19107</v>
      </c>
      <c r="CK1303">
        <v>4220</v>
      </c>
      <c r="CL1303" t="s">
        <v>3469</v>
      </c>
      <c r="CM1303">
        <v>-20.72</v>
      </c>
      <c r="CN1303">
        <v>53.55</v>
      </c>
      <c r="CO1303">
        <v>3.12</v>
      </c>
      <c r="CP1303">
        <v>33.57</v>
      </c>
      <c r="CQ1303">
        <v>2.92</v>
      </c>
      <c r="CR1303">
        <v>0.68</v>
      </c>
      <c r="CS1303" t="s">
        <v>1591</v>
      </c>
      <c r="CT1303">
        <v>4.16</v>
      </c>
      <c r="CU1303">
        <v>0</v>
      </c>
      <c r="CV1303">
        <v>1.69</v>
      </c>
      <c r="CW1303">
        <v>1.45</v>
      </c>
      <c r="CX1303">
        <v>0.39</v>
      </c>
      <c r="CY1303">
        <v>61.52</v>
      </c>
      <c r="CZ1303" t="s">
        <v>7195</v>
      </c>
      <c r="DA1303">
        <v>21.71</v>
      </c>
      <c r="DB1303">
        <v>7.3</v>
      </c>
      <c r="DC1303">
        <v>6.57</v>
      </c>
      <c r="DD1303">
        <v>0.43</v>
      </c>
      <c r="DE1303">
        <v>4508</v>
      </c>
      <c r="DF1303">
        <v>2866</v>
      </c>
      <c r="DG1303" t="s">
        <v>116</v>
      </c>
      <c r="DH1303" t="s">
        <v>116</v>
      </c>
      <c r="DI1303" t="s">
        <v>116</v>
      </c>
    </row>
    <row r="1304" spans="1:113" x14ac:dyDescent="0.4">
      <c r="A1304" t="str">
        <f>"002867"</f>
        <v>002867</v>
      </c>
      <c r="B1304" t="s">
        <v>7196</v>
      </c>
      <c r="C1304">
        <v>-0.21</v>
      </c>
      <c r="D1304">
        <v>18.98</v>
      </c>
      <c r="E1304">
        <v>-0.04</v>
      </c>
      <c r="F1304">
        <v>18.98</v>
      </c>
      <c r="G1304">
        <v>18.989999999999998</v>
      </c>
      <c r="H1304">
        <v>31058</v>
      </c>
      <c r="I1304">
        <v>148</v>
      </c>
      <c r="J1304">
        <v>-0.04</v>
      </c>
      <c r="K1304">
        <v>1.26</v>
      </c>
      <c r="L1304">
        <v>19.190000000000001</v>
      </c>
      <c r="M1304">
        <v>19.29</v>
      </c>
      <c r="N1304">
        <v>18.95</v>
      </c>
      <c r="O1304">
        <v>19.02</v>
      </c>
      <c r="P1304">
        <v>14.3</v>
      </c>
      <c r="Q1304">
        <v>59418396</v>
      </c>
      <c r="R1304">
        <v>1</v>
      </c>
      <c r="S1304" t="s">
        <v>3070</v>
      </c>
      <c r="T1304" t="s">
        <v>115</v>
      </c>
      <c r="U1304">
        <v>1.79</v>
      </c>
      <c r="V1304">
        <v>19.13</v>
      </c>
      <c r="W1304">
        <v>18000</v>
      </c>
      <c r="X1304">
        <v>13058</v>
      </c>
      <c r="Y1304">
        <v>1.38</v>
      </c>
      <c r="Z1304">
        <v>77</v>
      </c>
      <c r="AA1304">
        <v>143</v>
      </c>
      <c r="AB1304" t="s">
        <v>116</v>
      </c>
      <c r="AC1304">
        <v>1203200</v>
      </c>
      <c r="AD1304">
        <v>0.04</v>
      </c>
      <c r="AE1304" t="s">
        <v>116</v>
      </c>
      <c r="AF1304" t="s">
        <v>116</v>
      </c>
      <c r="AG1304">
        <v>2.4700000000000002</v>
      </c>
      <c r="AH1304" t="s">
        <v>7197</v>
      </c>
      <c r="AI1304" t="s">
        <v>7198</v>
      </c>
      <c r="AJ1304">
        <v>0.47</v>
      </c>
      <c r="AK1304">
        <v>1902</v>
      </c>
      <c r="AL1304">
        <v>16</v>
      </c>
      <c r="AM1304">
        <v>6.9999999999999999E-4</v>
      </c>
      <c r="AN1304">
        <v>-2</v>
      </c>
      <c r="AO1304">
        <v>-0.57999999999999996</v>
      </c>
      <c r="AP1304">
        <v>9.65</v>
      </c>
      <c r="AQ1304">
        <v>-7.37</v>
      </c>
      <c r="AR1304">
        <v>5.52</v>
      </c>
      <c r="AS1304">
        <v>1.74</v>
      </c>
      <c r="AT1304" t="s">
        <v>7199</v>
      </c>
      <c r="AU1304">
        <v>14.78</v>
      </c>
      <c r="AV1304">
        <v>17.21</v>
      </c>
      <c r="AW1304">
        <v>0.76</v>
      </c>
      <c r="BA1304">
        <v>0.89</v>
      </c>
      <c r="BB1304">
        <v>1.42</v>
      </c>
      <c r="BC1304">
        <v>-0.37</v>
      </c>
      <c r="BD1304">
        <v>0.59</v>
      </c>
      <c r="BE1304">
        <v>-1.0900000000000001</v>
      </c>
      <c r="BF1304">
        <v>-1.61</v>
      </c>
      <c r="BG1304">
        <v>0.16</v>
      </c>
      <c r="BH1304">
        <v>-0.8</v>
      </c>
      <c r="BI1304">
        <v>20191030</v>
      </c>
      <c r="BJ1304">
        <v>20170427</v>
      </c>
      <c r="BK1304">
        <v>7.31</v>
      </c>
      <c r="BL1304" t="s">
        <v>116</v>
      </c>
      <c r="BM1304" t="s">
        <v>116</v>
      </c>
      <c r="BN1304">
        <v>57.87</v>
      </c>
      <c r="BO1304">
        <v>44.32</v>
      </c>
      <c r="BP1304">
        <v>0.28000000000000003</v>
      </c>
      <c r="BQ1304">
        <v>22.93</v>
      </c>
      <c r="BR1304">
        <v>41.56</v>
      </c>
      <c r="BS1304">
        <v>0.3</v>
      </c>
      <c r="BT1304">
        <v>4.3899999999999997</v>
      </c>
      <c r="BU1304">
        <v>13.06</v>
      </c>
      <c r="BV1304">
        <v>27.35</v>
      </c>
      <c r="BW1304">
        <v>0.71</v>
      </c>
      <c r="BX1304">
        <v>16.350000000000001</v>
      </c>
      <c r="BY1304">
        <v>38.1</v>
      </c>
      <c r="BZ1304">
        <v>24.09</v>
      </c>
      <c r="CA1304">
        <v>9.19</v>
      </c>
      <c r="CB1304">
        <v>-0.01</v>
      </c>
      <c r="CC1304">
        <v>9.4700000000000006</v>
      </c>
      <c r="CD1304">
        <v>7.27</v>
      </c>
      <c r="CE1304">
        <v>7.27</v>
      </c>
      <c r="CF1304">
        <v>6.89</v>
      </c>
      <c r="CG1304">
        <v>18.64</v>
      </c>
      <c r="CH1304">
        <v>5.29</v>
      </c>
      <c r="CI1304">
        <v>-0.76</v>
      </c>
      <c r="CJ1304">
        <v>24235</v>
      </c>
      <c r="CK1304">
        <v>7368</v>
      </c>
      <c r="CL1304" t="s">
        <v>7200</v>
      </c>
      <c r="CM1304">
        <v>22.31</v>
      </c>
      <c r="CN1304">
        <v>7.59</v>
      </c>
      <c r="CO1304">
        <v>3.13</v>
      </c>
      <c r="CP1304">
        <v>26.2</v>
      </c>
      <c r="CQ1304">
        <v>3.64</v>
      </c>
      <c r="CR1304">
        <v>2.2799999999999998</v>
      </c>
      <c r="CS1304" t="s">
        <v>7073</v>
      </c>
      <c r="CT1304">
        <v>6.06</v>
      </c>
      <c r="CU1304">
        <v>0</v>
      </c>
      <c r="CV1304">
        <v>2.2400000000000002</v>
      </c>
      <c r="CW1304">
        <v>2.5499999999999998</v>
      </c>
      <c r="CX1304">
        <v>0.72</v>
      </c>
      <c r="CY1304">
        <v>76.58</v>
      </c>
      <c r="CZ1304" t="s">
        <v>7201</v>
      </c>
      <c r="DA1304">
        <v>36.76</v>
      </c>
      <c r="DB1304">
        <v>24.13</v>
      </c>
      <c r="DC1304">
        <v>19.09</v>
      </c>
      <c r="DD1304">
        <v>0.08</v>
      </c>
      <c r="DE1304">
        <v>3003</v>
      </c>
      <c r="DF1304">
        <v>2867</v>
      </c>
      <c r="DG1304" t="s">
        <v>116</v>
      </c>
      <c r="DH1304" t="s">
        <v>116</v>
      </c>
      <c r="DI1304" t="s">
        <v>116</v>
      </c>
    </row>
    <row r="1305" spans="1:113" x14ac:dyDescent="0.4">
      <c r="A1305" t="str">
        <f>"002868"</f>
        <v>002868</v>
      </c>
      <c r="B1305" t="s">
        <v>7202</v>
      </c>
      <c r="C1305">
        <v>-0.83</v>
      </c>
      <c r="D1305">
        <v>17.82</v>
      </c>
      <c r="E1305">
        <v>-0.15</v>
      </c>
      <c r="F1305">
        <v>17.82</v>
      </c>
      <c r="G1305">
        <v>17.829999999999998</v>
      </c>
      <c r="H1305">
        <v>7988</v>
      </c>
      <c r="I1305">
        <v>164</v>
      </c>
      <c r="J1305">
        <v>0</v>
      </c>
      <c r="K1305">
        <v>2.08</v>
      </c>
      <c r="L1305">
        <v>18</v>
      </c>
      <c r="M1305">
        <v>18.010000000000002</v>
      </c>
      <c r="N1305">
        <v>17.79</v>
      </c>
      <c r="O1305">
        <v>17.97</v>
      </c>
      <c r="P1305">
        <v>45.46</v>
      </c>
      <c r="Q1305">
        <v>14317784</v>
      </c>
      <c r="R1305">
        <v>0.39</v>
      </c>
      <c r="S1305" t="s">
        <v>449</v>
      </c>
      <c r="T1305" t="s">
        <v>975</v>
      </c>
      <c r="U1305">
        <v>1.22</v>
      </c>
      <c r="V1305">
        <v>17.920000000000002</v>
      </c>
      <c r="W1305">
        <v>5092</v>
      </c>
      <c r="X1305">
        <v>2896</v>
      </c>
      <c r="Y1305">
        <v>1.76</v>
      </c>
      <c r="Z1305">
        <v>306</v>
      </c>
      <c r="AA1305">
        <v>38</v>
      </c>
      <c r="AB1305" t="s">
        <v>116</v>
      </c>
      <c r="AC1305">
        <v>77400</v>
      </c>
      <c r="AD1305">
        <v>0.01</v>
      </c>
      <c r="AE1305" t="s">
        <v>116</v>
      </c>
      <c r="AF1305" t="s">
        <v>116</v>
      </c>
      <c r="AG1305">
        <v>0.38</v>
      </c>
      <c r="AH1305" t="s">
        <v>7203</v>
      </c>
      <c r="AI1305" t="s">
        <v>7204</v>
      </c>
      <c r="AJ1305">
        <v>-0.16</v>
      </c>
      <c r="AK1305">
        <v>593</v>
      </c>
      <c r="AL1305">
        <v>13</v>
      </c>
      <c r="AM1305">
        <v>3.5000000000000001E-3</v>
      </c>
      <c r="AN1305">
        <v>-2</v>
      </c>
      <c r="AO1305">
        <v>-1.27</v>
      </c>
      <c r="AP1305">
        <v>6.39</v>
      </c>
      <c r="AQ1305">
        <v>-2.68</v>
      </c>
      <c r="AR1305">
        <v>21.47</v>
      </c>
      <c r="AS1305">
        <v>2.66</v>
      </c>
      <c r="AT1305" t="s">
        <v>7205</v>
      </c>
      <c r="AU1305">
        <v>42.52</v>
      </c>
      <c r="AV1305">
        <v>28.63</v>
      </c>
      <c r="AW1305">
        <v>0.28000000000000003</v>
      </c>
      <c r="BA1305">
        <v>0.17</v>
      </c>
      <c r="BB1305">
        <v>0.22</v>
      </c>
      <c r="BC1305">
        <v>-1</v>
      </c>
      <c r="BD1305">
        <v>-0.26</v>
      </c>
      <c r="BE1305">
        <v>-1</v>
      </c>
      <c r="BF1305">
        <v>-1.05</v>
      </c>
      <c r="BG1305">
        <v>0.17</v>
      </c>
      <c r="BH1305">
        <v>-0.56999999999999995</v>
      </c>
      <c r="BI1305">
        <v>20191031</v>
      </c>
      <c r="BJ1305">
        <v>20170503</v>
      </c>
      <c r="BK1305">
        <v>1.2</v>
      </c>
      <c r="BL1305" t="s">
        <v>116</v>
      </c>
      <c r="BM1305" t="s">
        <v>116</v>
      </c>
      <c r="BN1305">
        <v>8.9499999999999993</v>
      </c>
      <c r="BO1305">
        <v>7.46</v>
      </c>
      <c r="BP1305">
        <v>0.01</v>
      </c>
      <c r="BQ1305">
        <v>16.52</v>
      </c>
      <c r="BR1305">
        <v>5.1100000000000003</v>
      </c>
      <c r="BS1305">
        <v>1.98</v>
      </c>
      <c r="BT1305">
        <v>0.33</v>
      </c>
      <c r="BU1305">
        <v>0.82</v>
      </c>
      <c r="BV1305">
        <v>0.3</v>
      </c>
      <c r="BW1305">
        <v>0.43</v>
      </c>
      <c r="BX1305">
        <v>3.76</v>
      </c>
      <c r="BY1305">
        <v>2.2000000000000002</v>
      </c>
      <c r="BZ1305">
        <v>1.52</v>
      </c>
      <c r="CA1305">
        <v>0.4</v>
      </c>
      <c r="CB1305">
        <v>0.1</v>
      </c>
      <c r="CC1305">
        <v>0.4</v>
      </c>
      <c r="CD1305">
        <v>0.36</v>
      </c>
      <c r="CE1305">
        <v>0.35</v>
      </c>
      <c r="CF1305">
        <v>0.24</v>
      </c>
      <c r="CG1305">
        <v>2.06</v>
      </c>
      <c r="CH1305">
        <v>0.65</v>
      </c>
      <c r="CI1305">
        <v>0.54</v>
      </c>
      <c r="CJ1305">
        <v>13072</v>
      </c>
      <c r="CK1305">
        <v>2295</v>
      </c>
      <c r="CL1305" t="s">
        <v>6968</v>
      </c>
      <c r="CM1305">
        <v>-40.880000000000003</v>
      </c>
      <c r="CN1305">
        <v>-13.07</v>
      </c>
      <c r="CO1305">
        <v>2.87</v>
      </c>
      <c r="CP1305">
        <v>32.94</v>
      </c>
      <c r="CQ1305">
        <v>9.6999999999999993</v>
      </c>
      <c r="CR1305">
        <v>1.4</v>
      </c>
      <c r="CS1305" t="s">
        <v>7206</v>
      </c>
      <c r="CT1305">
        <v>6.21</v>
      </c>
      <c r="CU1305">
        <v>0</v>
      </c>
      <c r="CV1305">
        <v>3.13</v>
      </c>
      <c r="CW1305">
        <v>1.72</v>
      </c>
      <c r="CX1305">
        <v>0.54</v>
      </c>
      <c r="CY1305">
        <v>83.35</v>
      </c>
      <c r="CZ1305" t="s">
        <v>6711</v>
      </c>
      <c r="DA1305">
        <v>30.87</v>
      </c>
      <c r="DB1305">
        <v>18.12</v>
      </c>
      <c r="DC1305">
        <v>16</v>
      </c>
      <c r="DD1305">
        <v>0.15</v>
      </c>
      <c r="DE1305">
        <v>526</v>
      </c>
      <c r="DF1305">
        <v>2868</v>
      </c>
      <c r="DG1305" t="s">
        <v>116</v>
      </c>
      <c r="DH1305" t="s">
        <v>116</v>
      </c>
      <c r="DI1305" t="s">
        <v>116</v>
      </c>
    </row>
    <row r="1306" spans="1:113" x14ac:dyDescent="0.4">
      <c r="A1306" t="str">
        <f>"002869"</f>
        <v>002869</v>
      </c>
      <c r="B1306" t="s">
        <v>7207</v>
      </c>
      <c r="C1306">
        <v>-1.1299999999999999</v>
      </c>
      <c r="D1306">
        <v>64.53</v>
      </c>
      <c r="E1306">
        <v>-0.74</v>
      </c>
      <c r="F1306">
        <v>64.52</v>
      </c>
      <c r="G1306">
        <v>64.53</v>
      </c>
      <c r="H1306">
        <v>21952</v>
      </c>
      <c r="I1306">
        <v>87</v>
      </c>
      <c r="J1306">
        <v>-0.08</v>
      </c>
      <c r="K1306">
        <v>4.84</v>
      </c>
      <c r="L1306">
        <v>65.55</v>
      </c>
      <c r="M1306">
        <v>66.58</v>
      </c>
      <c r="N1306">
        <v>64.349999999999994</v>
      </c>
      <c r="O1306">
        <v>65.27</v>
      </c>
      <c r="P1306">
        <v>15.04</v>
      </c>
      <c r="Q1306">
        <v>143595456</v>
      </c>
      <c r="R1306">
        <v>0.61</v>
      </c>
      <c r="S1306" t="s">
        <v>465</v>
      </c>
      <c r="T1306" t="s">
        <v>115</v>
      </c>
      <c r="U1306">
        <v>3.42</v>
      </c>
      <c r="V1306">
        <v>65.41</v>
      </c>
      <c r="W1306">
        <v>10865</v>
      </c>
      <c r="X1306">
        <v>11087</v>
      </c>
      <c r="Y1306">
        <v>0.98</v>
      </c>
      <c r="Z1306">
        <v>59</v>
      </c>
      <c r="AA1306">
        <v>75</v>
      </c>
      <c r="AB1306" t="s">
        <v>116</v>
      </c>
      <c r="AC1306">
        <v>347400</v>
      </c>
      <c r="AD1306">
        <v>0.01</v>
      </c>
      <c r="AE1306" t="s">
        <v>116</v>
      </c>
      <c r="AF1306" t="s">
        <v>116</v>
      </c>
      <c r="AG1306">
        <v>0.45</v>
      </c>
      <c r="AH1306" t="s">
        <v>6883</v>
      </c>
      <c r="AI1306" t="s">
        <v>7208</v>
      </c>
      <c r="AJ1306">
        <v>-0.45</v>
      </c>
      <c r="AK1306">
        <v>2852</v>
      </c>
      <c r="AL1306">
        <v>8</v>
      </c>
      <c r="AM1306">
        <v>1.6999999999999999E-3</v>
      </c>
      <c r="AN1306">
        <v>-2</v>
      </c>
      <c r="AO1306">
        <v>-1.68</v>
      </c>
      <c r="AP1306">
        <v>9.6</v>
      </c>
      <c r="AQ1306">
        <v>10.42</v>
      </c>
      <c r="AR1306">
        <v>309.70999999999998</v>
      </c>
      <c r="AS1306">
        <v>4.84</v>
      </c>
      <c r="AT1306" t="s">
        <v>6883</v>
      </c>
      <c r="AU1306">
        <v>18.88</v>
      </c>
      <c r="AV1306">
        <v>359.23</v>
      </c>
      <c r="AW1306">
        <v>1.67</v>
      </c>
      <c r="BA1306">
        <v>0.43</v>
      </c>
      <c r="BB1306">
        <v>2.0099999999999998</v>
      </c>
      <c r="BC1306">
        <v>-1.41</v>
      </c>
      <c r="BD1306">
        <v>0.22</v>
      </c>
      <c r="BE1306">
        <v>-1.56</v>
      </c>
      <c r="BF1306">
        <v>-3.08</v>
      </c>
      <c r="BG1306">
        <v>0.28000000000000003</v>
      </c>
      <c r="BH1306">
        <v>-1.35</v>
      </c>
      <c r="BI1306">
        <v>20191031</v>
      </c>
      <c r="BJ1306">
        <v>20170515</v>
      </c>
      <c r="BK1306">
        <v>1.21</v>
      </c>
      <c r="BL1306" t="s">
        <v>116</v>
      </c>
      <c r="BM1306" t="s">
        <v>116</v>
      </c>
      <c r="BN1306">
        <v>36.61</v>
      </c>
      <c r="BO1306">
        <v>13.93</v>
      </c>
      <c r="BP1306">
        <v>-0.12</v>
      </c>
      <c r="BQ1306">
        <v>62.27</v>
      </c>
      <c r="BR1306">
        <v>32.54</v>
      </c>
      <c r="BS1306">
        <v>1.99</v>
      </c>
      <c r="BT1306">
        <v>0.34</v>
      </c>
      <c r="BU1306">
        <v>22.69</v>
      </c>
      <c r="BV1306">
        <v>8.98</v>
      </c>
      <c r="BW1306">
        <v>5.3</v>
      </c>
      <c r="BX1306">
        <v>6.9</v>
      </c>
      <c r="BY1306">
        <v>12.51</v>
      </c>
      <c r="BZ1306">
        <v>6.33</v>
      </c>
      <c r="CA1306">
        <v>4.4800000000000004</v>
      </c>
      <c r="CB1306">
        <v>0.08</v>
      </c>
      <c r="CC1306">
        <v>4.49</v>
      </c>
      <c r="CD1306">
        <v>3.85</v>
      </c>
      <c r="CE1306">
        <v>3.88</v>
      </c>
      <c r="CF1306">
        <v>3.73</v>
      </c>
      <c r="CG1306">
        <v>5.97</v>
      </c>
      <c r="CH1306">
        <v>11.92</v>
      </c>
      <c r="CI1306">
        <v>12.06</v>
      </c>
      <c r="CJ1306">
        <v>19353</v>
      </c>
      <c r="CK1306">
        <v>2343</v>
      </c>
      <c r="CL1306" t="s">
        <v>5495</v>
      </c>
      <c r="CM1306">
        <v>15850.83</v>
      </c>
      <c r="CN1306">
        <v>270.60000000000002</v>
      </c>
      <c r="CO1306">
        <v>5.58</v>
      </c>
      <c r="CP1306">
        <v>6.52</v>
      </c>
      <c r="CQ1306">
        <v>6.21</v>
      </c>
      <c r="CR1306">
        <v>0.09</v>
      </c>
      <c r="CS1306" t="s">
        <v>7209</v>
      </c>
      <c r="CT1306">
        <v>11.56</v>
      </c>
      <c r="CU1306">
        <v>0</v>
      </c>
      <c r="CV1306">
        <v>5.72</v>
      </c>
      <c r="CW1306">
        <v>4.95</v>
      </c>
      <c r="CX1306">
        <v>9.89</v>
      </c>
      <c r="CY1306">
        <v>38.049999999999997</v>
      </c>
      <c r="CZ1306" t="s">
        <v>7210</v>
      </c>
      <c r="DA1306">
        <v>49.41</v>
      </c>
      <c r="DB1306">
        <v>35.78</v>
      </c>
      <c r="DC1306">
        <v>31</v>
      </c>
      <c r="DD1306">
        <v>0.44</v>
      </c>
      <c r="DE1306">
        <v>728</v>
      </c>
      <c r="DF1306">
        <v>2869</v>
      </c>
      <c r="DG1306" t="s">
        <v>116</v>
      </c>
      <c r="DH1306" t="s">
        <v>116</v>
      </c>
      <c r="DI1306" t="s">
        <v>116</v>
      </c>
    </row>
    <row r="1307" spans="1:113" x14ac:dyDescent="0.4">
      <c r="A1307" t="str">
        <f>"002870"</f>
        <v>002870</v>
      </c>
      <c r="B1307" t="s">
        <v>7211</v>
      </c>
      <c r="C1307">
        <v>0.6</v>
      </c>
      <c r="D1307">
        <v>23.41</v>
      </c>
      <c r="E1307">
        <v>0.14000000000000001</v>
      </c>
      <c r="F1307">
        <v>23.41</v>
      </c>
      <c r="G1307">
        <v>23.42</v>
      </c>
      <c r="H1307">
        <v>41029</v>
      </c>
      <c r="I1307">
        <v>666</v>
      </c>
      <c r="J1307">
        <v>0.26</v>
      </c>
      <c r="K1307">
        <v>10.23</v>
      </c>
      <c r="L1307">
        <v>23.35</v>
      </c>
      <c r="M1307">
        <v>24.05</v>
      </c>
      <c r="N1307">
        <v>23.01</v>
      </c>
      <c r="O1307">
        <v>23.27</v>
      </c>
      <c r="P1307">
        <v>58.04</v>
      </c>
      <c r="Q1307">
        <v>96546584</v>
      </c>
      <c r="R1307">
        <v>0.79</v>
      </c>
      <c r="S1307" t="s">
        <v>2977</v>
      </c>
      <c r="T1307" t="s">
        <v>551</v>
      </c>
      <c r="U1307">
        <v>4.47</v>
      </c>
      <c r="V1307">
        <v>23.53</v>
      </c>
      <c r="W1307">
        <v>21004</v>
      </c>
      <c r="X1307">
        <v>20025</v>
      </c>
      <c r="Y1307">
        <v>1.05</v>
      </c>
      <c r="Z1307">
        <v>79</v>
      </c>
      <c r="AA1307">
        <v>102</v>
      </c>
      <c r="AB1307" t="s">
        <v>116</v>
      </c>
      <c r="AC1307">
        <v>404000</v>
      </c>
      <c r="AD1307">
        <v>0.06</v>
      </c>
      <c r="AE1307" t="s">
        <v>116</v>
      </c>
      <c r="AF1307" t="s">
        <v>116</v>
      </c>
      <c r="AG1307">
        <v>0.4</v>
      </c>
      <c r="AH1307" t="s">
        <v>7212</v>
      </c>
      <c r="AI1307" t="s">
        <v>7213</v>
      </c>
      <c r="AJ1307">
        <v>1.28</v>
      </c>
      <c r="AK1307">
        <v>2467</v>
      </c>
      <c r="AL1307">
        <v>17</v>
      </c>
      <c r="AM1307">
        <v>4.1000000000000003E-3</v>
      </c>
      <c r="AN1307">
        <v>1</v>
      </c>
      <c r="AO1307">
        <v>1.21</v>
      </c>
      <c r="AP1307">
        <v>5.5</v>
      </c>
      <c r="AQ1307">
        <v>10.79</v>
      </c>
      <c r="AR1307">
        <v>61.45</v>
      </c>
      <c r="AS1307">
        <v>14.83</v>
      </c>
      <c r="AT1307" t="s">
        <v>7214</v>
      </c>
      <c r="AU1307">
        <v>53.84</v>
      </c>
      <c r="AV1307">
        <v>67.3</v>
      </c>
      <c r="AW1307">
        <v>0.61</v>
      </c>
      <c r="BA1307">
        <v>0.34</v>
      </c>
      <c r="BB1307">
        <v>3.35</v>
      </c>
      <c r="BC1307">
        <v>-1.1200000000000001</v>
      </c>
      <c r="BD1307">
        <v>1.1200000000000001</v>
      </c>
      <c r="BE1307">
        <v>0.26</v>
      </c>
      <c r="BF1307">
        <v>-2.66</v>
      </c>
      <c r="BG1307">
        <v>1.74</v>
      </c>
      <c r="BH1307">
        <v>-0.52</v>
      </c>
      <c r="BI1307">
        <v>20191024</v>
      </c>
      <c r="BJ1307">
        <v>20170515</v>
      </c>
      <c r="BK1307">
        <v>1.1100000000000001</v>
      </c>
      <c r="BL1307" t="s">
        <v>116</v>
      </c>
      <c r="BM1307" t="s">
        <v>116</v>
      </c>
      <c r="BN1307">
        <v>10.32</v>
      </c>
      <c r="BO1307">
        <v>8.52</v>
      </c>
      <c r="BP1307">
        <v>0</v>
      </c>
      <c r="BQ1307">
        <v>17.420000000000002</v>
      </c>
      <c r="BR1307">
        <v>6.76</v>
      </c>
      <c r="BS1307">
        <v>1.54</v>
      </c>
      <c r="BT1307">
        <v>0.48</v>
      </c>
      <c r="BU1307">
        <v>1.79</v>
      </c>
      <c r="BV1307">
        <v>1.01</v>
      </c>
      <c r="BW1307">
        <v>1.04</v>
      </c>
      <c r="BX1307">
        <v>4.7300000000000004</v>
      </c>
      <c r="BY1307">
        <v>6.11</v>
      </c>
      <c r="BZ1307">
        <v>4.34</v>
      </c>
      <c r="CA1307">
        <v>0.42</v>
      </c>
      <c r="CB1307">
        <v>0.06</v>
      </c>
      <c r="CC1307">
        <v>0.41</v>
      </c>
      <c r="CD1307">
        <v>0.33</v>
      </c>
      <c r="CE1307">
        <v>0.33</v>
      </c>
      <c r="CF1307">
        <v>0.26</v>
      </c>
      <c r="CG1307">
        <v>2.15</v>
      </c>
      <c r="CH1307">
        <v>0.27</v>
      </c>
      <c r="CI1307">
        <v>-0.33</v>
      </c>
      <c r="CJ1307">
        <v>14283</v>
      </c>
      <c r="CK1307">
        <v>1937</v>
      </c>
      <c r="CL1307" t="s">
        <v>2266</v>
      </c>
      <c r="CM1307">
        <v>40.33</v>
      </c>
      <c r="CN1307">
        <v>-10.64</v>
      </c>
      <c r="CO1307">
        <v>3.04</v>
      </c>
      <c r="CP1307">
        <v>95.99</v>
      </c>
      <c r="CQ1307">
        <v>4.24</v>
      </c>
      <c r="CR1307">
        <v>0.77</v>
      </c>
      <c r="CS1307" t="s">
        <v>3386</v>
      </c>
      <c r="CT1307">
        <v>7.7</v>
      </c>
      <c r="CU1307">
        <v>0</v>
      </c>
      <c r="CV1307">
        <v>4.2699999999999996</v>
      </c>
      <c r="CW1307">
        <v>1.95</v>
      </c>
      <c r="CX1307">
        <v>0.24</v>
      </c>
      <c r="CY1307">
        <v>82.58</v>
      </c>
      <c r="CZ1307" t="s">
        <v>329</v>
      </c>
      <c r="DA1307">
        <v>28.9</v>
      </c>
      <c r="DB1307">
        <v>6.9</v>
      </c>
      <c r="DC1307">
        <v>5.48</v>
      </c>
      <c r="DD1307">
        <v>0.28000000000000003</v>
      </c>
      <c r="DE1307">
        <v>2545</v>
      </c>
      <c r="DF1307">
        <v>2870</v>
      </c>
      <c r="DG1307" t="s">
        <v>116</v>
      </c>
      <c r="DH1307" t="s">
        <v>116</v>
      </c>
      <c r="DI1307" t="s">
        <v>116</v>
      </c>
    </row>
    <row r="1308" spans="1:113" x14ac:dyDescent="0.4">
      <c r="A1308" t="str">
        <f>"002871"</f>
        <v>002871</v>
      </c>
      <c r="B1308" t="s">
        <v>7215</v>
      </c>
      <c r="C1308">
        <v>-0.67</v>
      </c>
      <c r="D1308">
        <v>19.2</v>
      </c>
      <c r="E1308">
        <v>-0.13</v>
      </c>
      <c r="F1308">
        <v>19.190000000000001</v>
      </c>
      <c r="G1308">
        <v>19.2</v>
      </c>
      <c r="H1308">
        <v>8031</v>
      </c>
      <c r="I1308">
        <v>207</v>
      </c>
      <c r="J1308">
        <v>-0.3</v>
      </c>
      <c r="K1308">
        <v>2.75</v>
      </c>
      <c r="L1308">
        <v>19.350000000000001</v>
      </c>
      <c r="M1308">
        <v>19.55</v>
      </c>
      <c r="N1308">
        <v>19.2</v>
      </c>
      <c r="O1308">
        <v>19.329999999999998</v>
      </c>
      <c r="P1308">
        <v>39.36</v>
      </c>
      <c r="Q1308">
        <v>15564960</v>
      </c>
      <c r="R1308">
        <v>1.29</v>
      </c>
      <c r="S1308" t="s">
        <v>996</v>
      </c>
      <c r="T1308" t="s">
        <v>645</v>
      </c>
      <c r="U1308">
        <v>1.81</v>
      </c>
      <c r="V1308">
        <v>19.38</v>
      </c>
      <c r="W1308">
        <v>3634</v>
      </c>
      <c r="X1308">
        <v>4397</v>
      </c>
      <c r="Y1308">
        <v>0.83</v>
      </c>
      <c r="Z1308">
        <v>7</v>
      </c>
      <c r="AA1308">
        <v>22</v>
      </c>
      <c r="AB1308" t="s">
        <v>116</v>
      </c>
      <c r="AC1308">
        <v>29000</v>
      </c>
      <c r="AD1308">
        <v>0.01</v>
      </c>
      <c r="AE1308" t="s">
        <v>116</v>
      </c>
      <c r="AF1308" t="s">
        <v>116</v>
      </c>
      <c r="AG1308">
        <v>0.28999999999999998</v>
      </c>
      <c r="AH1308" t="s">
        <v>7216</v>
      </c>
      <c r="AI1308" t="s">
        <v>7217</v>
      </c>
      <c r="AJ1308">
        <v>0.01</v>
      </c>
      <c r="AK1308">
        <v>683</v>
      </c>
      <c r="AL1308">
        <v>12</v>
      </c>
      <c r="AM1308">
        <v>4.0000000000000001E-3</v>
      </c>
      <c r="AN1308">
        <v>-1</v>
      </c>
      <c r="AO1308">
        <v>-0.62</v>
      </c>
      <c r="AP1308">
        <v>2.84</v>
      </c>
      <c r="AQ1308">
        <v>-10.45</v>
      </c>
      <c r="AR1308">
        <v>-0.26</v>
      </c>
      <c r="AS1308">
        <v>2.75</v>
      </c>
      <c r="AT1308" t="s">
        <v>7216</v>
      </c>
      <c r="AU1308">
        <v>32.79</v>
      </c>
      <c r="AV1308">
        <v>28.85</v>
      </c>
      <c r="AW1308">
        <v>0.79</v>
      </c>
      <c r="BA1308">
        <v>0.1</v>
      </c>
      <c r="BB1308">
        <v>1.1399999999999999</v>
      </c>
      <c r="BC1308">
        <v>-0.67</v>
      </c>
      <c r="BD1308">
        <v>0.27</v>
      </c>
      <c r="BE1308">
        <v>-0.78</v>
      </c>
      <c r="BF1308">
        <v>-1.79</v>
      </c>
      <c r="BG1308">
        <v>0</v>
      </c>
      <c r="BH1308">
        <v>-0.94</v>
      </c>
      <c r="BI1308">
        <v>20191227</v>
      </c>
      <c r="BJ1308">
        <v>20170511</v>
      </c>
      <c r="BK1308">
        <v>1.17</v>
      </c>
      <c r="BL1308" t="s">
        <v>116</v>
      </c>
      <c r="BM1308" t="s">
        <v>116</v>
      </c>
      <c r="BN1308">
        <v>7.78</v>
      </c>
      <c r="BO1308">
        <v>6.37</v>
      </c>
      <c r="BP1308">
        <v>0</v>
      </c>
      <c r="BQ1308">
        <v>18.14</v>
      </c>
      <c r="BR1308">
        <v>4.63</v>
      </c>
      <c r="BS1308">
        <v>2.4500000000000002</v>
      </c>
      <c r="BT1308">
        <v>0.37</v>
      </c>
      <c r="BU1308">
        <v>1.3</v>
      </c>
      <c r="BV1308">
        <v>0.79</v>
      </c>
      <c r="BW1308">
        <v>0.67</v>
      </c>
      <c r="BX1308">
        <v>2.41</v>
      </c>
      <c r="BY1308">
        <v>2.6</v>
      </c>
      <c r="BZ1308">
        <v>1.68</v>
      </c>
      <c r="CA1308">
        <v>0.5</v>
      </c>
      <c r="CB1308">
        <v>0.08</v>
      </c>
      <c r="CC1308">
        <v>0.5</v>
      </c>
      <c r="CD1308">
        <v>0.43</v>
      </c>
      <c r="CE1308">
        <v>0.43</v>
      </c>
      <c r="CF1308">
        <v>0.35</v>
      </c>
      <c r="CG1308">
        <v>2.5</v>
      </c>
      <c r="CH1308">
        <v>0.54</v>
      </c>
      <c r="CI1308">
        <v>-0.7</v>
      </c>
      <c r="CJ1308">
        <v>10084</v>
      </c>
      <c r="CK1308">
        <v>2898</v>
      </c>
      <c r="CL1308" t="s">
        <v>742</v>
      </c>
      <c r="CM1308">
        <v>-17.940000000000001</v>
      </c>
      <c r="CN1308">
        <v>11.88</v>
      </c>
      <c r="CO1308">
        <v>3.52</v>
      </c>
      <c r="CP1308">
        <v>41.75</v>
      </c>
      <c r="CQ1308">
        <v>8.6199999999999992</v>
      </c>
      <c r="CR1308">
        <v>1.04</v>
      </c>
      <c r="CS1308" t="s">
        <v>2012</v>
      </c>
      <c r="CT1308">
        <v>5.46</v>
      </c>
      <c r="CU1308">
        <v>0</v>
      </c>
      <c r="CV1308">
        <v>2.0699999999999998</v>
      </c>
      <c r="CW1308">
        <v>2.14</v>
      </c>
      <c r="CX1308">
        <v>0.46</v>
      </c>
      <c r="CY1308">
        <v>81.86</v>
      </c>
      <c r="CZ1308" t="s">
        <v>7218</v>
      </c>
      <c r="DA1308">
        <v>35.24</v>
      </c>
      <c r="DB1308">
        <v>19.05</v>
      </c>
      <c r="DC1308">
        <v>16.420000000000002</v>
      </c>
      <c r="DD1308">
        <v>0.12</v>
      </c>
      <c r="DE1308">
        <v>761</v>
      </c>
      <c r="DF1308">
        <v>2871</v>
      </c>
      <c r="DG1308" t="s">
        <v>116</v>
      </c>
      <c r="DH1308" t="s">
        <v>116</v>
      </c>
      <c r="DI1308" t="s">
        <v>116</v>
      </c>
    </row>
    <row r="1309" spans="1:113" x14ac:dyDescent="0.4">
      <c r="A1309" t="str">
        <f>"002872"</f>
        <v>002872</v>
      </c>
      <c r="B1309" t="s">
        <v>7219</v>
      </c>
      <c r="C1309">
        <v>-1.47</v>
      </c>
      <c r="D1309">
        <v>5.35</v>
      </c>
      <c r="E1309">
        <v>-0.08</v>
      </c>
      <c r="F1309">
        <v>5.34</v>
      </c>
      <c r="G1309">
        <v>5.35</v>
      </c>
      <c r="H1309">
        <v>43640</v>
      </c>
      <c r="I1309">
        <v>629</v>
      </c>
      <c r="J1309">
        <v>0.38</v>
      </c>
      <c r="K1309">
        <v>2.0299999999999998</v>
      </c>
      <c r="L1309">
        <v>5.41</v>
      </c>
      <c r="M1309">
        <v>5.51</v>
      </c>
      <c r="N1309">
        <v>5.33</v>
      </c>
      <c r="O1309">
        <v>5.43</v>
      </c>
      <c r="P1309" t="s">
        <v>116</v>
      </c>
      <c r="Q1309">
        <v>23661944</v>
      </c>
      <c r="R1309">
        <v>1.03</v>
      </c>
      <c r="S1309" t="s">
        <v>574</v>
      </c>
      <c r="T1309" t="s">
        <v>906</v>
      </c>
      <c r="U1309">
        <v>3.31</v>
      </c>
      <c r="V1309">
        <v>5.42</v>
      </c>
      <c r="W1309">
        <v>23597</v>
      </c>
      <c r="X1309">
        <v>20043</v>
      </c>
      <c r="Y1309">
        <v>1.18</v>
      </c>
      <c r="Z1309">
        <v>292</v>
      </c>
      <c r="AA1309">
        <v>702</v>
      </c>
      <c r="AB1309" t="s">
        <v>116</v>
      </c>
      <c r="AC1309">
        <v>182300</v>
      </c>
      <c r="AD1309">
        <v>0.02</v>
      </c>
      <c r="AE1309" t="s">
        <v>116</v>
      </c>
      <c r="AF1309" t="s">
        <v>116</v>
      </c>
      <c r="AG1309">
        <v>2.15</v>
      </c>
      <c r="AH1309" t="s">
        <v>7220</v>
      </c>
      <c r="AI1309" t="s">
        <v>7221</v>
      </c>
      <c r="AJ1309">
        <v>-0.79</v>
      </c>
      <c r="AK1309">
        <v>636</v>
      </c>
      <c r="AL1309">
        <v>69</v>
      </c>
      <c r="AM1309">
        <v>3.2000000000000002E-3</v>
      </c>
      <c r="AN1309">
        <v>-1</v>
      </c>
      <c r="AO1309">
        <v>-3.08</v>
      </c>
      <c r="AP1309">
        <v>11</v>
      </c>
      <c r="AQ1309">
        <v>0.19</v>
      </c>
      <c r="AR1309">
        <v>-37.5</v>
      </c>
      <c r="AS1309">
        <v>2.0299999999999998</v>
      </c>
      <c r="AT1309" t="s">
        <v>7220</v>
      </c>
      <c r="AU1309" t="s">
        <v>116</v>
      </c>
      <c r="AV1309">
        <v>15.36</v>
      </c>
      <c r="AW1309">
        <v>0.82</v>
      </c>
      <c r="BA1309">
        <v>-0.37</v>
      </c>
      <c r="BB1309">
        <v>1.47</v>
      </c>
      <c r="BC1309">
        <v>-1.84</v>
      </c>
      <c r="BD1309">
        <v>-0.15</v>
      </c>
      <c r="BE1309">
        <v>-1.1100000000000001</v>
      </c>
      <c r="BF1309">
        <v>-2.9</v>
      </c>
      <c r="BG1309">
        <v>0.38</v>
      </c>
      <c r="BH1309">
        <v>-1.33</v>
      </c>
      <c r="BI1309">
        <v>20191029</v>
      </c>
      <c r="BJ1309">
        <v>20170519</v>
      </c>
      <c r="BK1309">
        <v>3.18</v>
      </c>
      <c r="BL1309" t="s">
        <v>116</v>
      </c>
      <c r="BM1309" t="s">
        <v>116</v>
      </c>
      <c r="BN1309">
        <v>45.39</v>
      </c>
      <c r="BO1309">
        <v>31.26</v>
      </c>
      <c r="BP1309">
        <v>0.7</v>
      </c>
      <c r="BQ1309">
        <v>29.57</v>
      </c>
      <c r="BR1309">
        <v>15.61</v>
      </c>
      <c r="BS1309">
        <v>12.6</v>
      </c>
      <c r="BT1309">
        <v>4.29</v>
      </c>
      <c r="BU1309">
        <v>11.04</v>
      </c>
      <c r="BV1309">
        <v>3.75</v>
      </c>
      <c r="BW1309">
        <v>7.89</v>
      </c>
      <c r="BX1309">
        <v>14.35</v>
      </c>
      <c r="BY1309">
        <v>12.66</v>
      </c>
      <c r="BZ1309">
        <v>9.2899999999999991</v>
      </c>
      <c r="CA1309">
        <v>-0.6</v>
      </c>
      <c r="CB1309">
        <v>0</v>
      </c>
      <c r="CC1309">
        <v>-0.61</v>
      </c>
      <c r="CD1309">
        <v>-0.61</v>
      </c>
      <c r="CE1309">
        <v>-0.64</v>
      </c>
      <c r="CF1309">
        <v>-0.79</v>
      </c>
      <c r="CG1309">
        <v>12.63</v>
      </c>
      <c r="CH1309">
        <v>1.29</v>
      </c>
      <c r="CI1309">
        <v>-0.93</v>
      </c>
      <c r="CJ1309">
        <v>28351</v>
      </c>
      <c r="CK1309">
        <v>7585</v>
      </c>
      <c r="CL1309" t="s">
        <v>7222</v>
      </c>
      <c r="CM1309">
        <v>-144.04</v>
      </c>
      <c r="CN1309">
        <v>-24.55</v>
      </c>
      <c r="CO1309">
        <v>0.54</v>
      </c>
      <c r="CP1309">
        <v>13.15</v>
      </c>
      <c r="CQ1309">
        <v>1.34</v>
      </c>
      <c r="CR1309">
        <v>0</v>
      </c>
      <c r="CS1309" t="s">
        <v>7223</v>
      </c>
      <c r="CT1309">
        <v>9.83</v>
      </c>
      <c r="CU1309">
        <v>0</v>
      </c>
      <c r="CV1309">
        <v>4.51</v>
      </c>
      <c r="CW1309">
        <v>3.97</v>
      </c>
      <c r="CX1309">
        <v>0.41</v>
      </c>
      <c r="CY1309">
        <v>68.88</v>
      </c>
      <c r="CZ1309" t="s">
        <v>7224</v>
      </c>
      <c r="DA1309">
        <v>26.65</v>
      </c>
      <c r="DB1309">
        <v>-4.71</v>
      </c>
      <c r="DC1309">
        <v>-5.04</v>
      </c>
      <c r="DD1309">
        <v>0.21</v>
      </c>
      <c r="DE1309">
        <v>2485</v>
      </c>
      <c r="DF1309">
        <v>2872</v>
      </c>
      <c r="DG1309" t="s">
        <v>116</v>
      </c>
      <c r="DH1309" t="s">
        <v>116</v>
      </c>
      <c r="DI1309" t="s">
        <v>116</v>
      </c>
    </row>
    <row r="1310" spans="1:113" x14ac:dyDescent="0.4">
      <c r="A1310" t="str">
        <f>"002873"</f>
        <v>002873</v>
      </c>
      <c r="B1310" t="s">
        <v>7225</v>
      </c>
      <c r="C1310">
        <v>1.1399999999999999</v>
      </c>
      <c r="D1310">
        <v>16.809999999999999</v>
      </c>
      <c r="E1310">
        <v>0.19</v>
      </c>
      <c r="F1310">
        <v>16.809999999999999</v>
      </c>
      <c r="G1310">
        <v>16.829999999999998</v>
      </c>
      <c r="H1310">
        <v>26198</v>
      </c>
      <c r="I1310">
        <v>996</v>
      </c>
      <c r="J1310">
        <v>0.66</v>
      </c>
      <c r="K1310">
        <v>4.26</v>
      </c>
      <c r="L1310">
        <v>16.690000000000001</v>
      </c>
      <c r="M1310">
        <v>16.809999999999999</v>
      </c>
      <c r="N1310">
        <v>16.57</v>
      </c>
      <c r="O1310">
        <v>16.62</v>
      </c>
      <c r="P1310">
        <v>21.22</v>
      </c>
      <c r="Q1310">
        <v>43715428</v>
      </c>
      <c r="R1310">
        <v>1.28</v>
      </c>
      <c r="S1310" t="s">
        <v>781</v>
      </c>
      <c r="T1310" t="s">
        <v>1056</v>
      </c>
      <c r="U1310">
        <v>1.44</v>
      </c>
      <c r="V1310">
        <v>16.690000000000001</v>
      </c>
      <c r="W1310">
        <v>13459</v>
      </c>
      <c r="X1310">
        <v>12739</v>
      </c>
      <c r="Y1310">
        <v>1.06</v>
      </c>
      <c r="Z1310">
        <v>121</v>
      </c>
      <c r="AA1310">
        <v>7</v>
      </c>
      <c r="AB1310" t="s">
        <v>116</v>
      </c>
      <c r="AC1310">
        <v>90100</v>
      </c>
      <c r="AD1310">
        <v>0.01</v>
      </c>
      <c r="AE1310" t="s">
        <v>116</v>
      </c>
      <c r="AF1310" t="s">
        <v>116</v>
      </c>
      <c r="AG1310">
        <v>0.62</v>
      </c>
      <c r="AH1310" t="s">
        <v>7226</v>
      </c>
      <c r="AI1310" t="s">
        <v>7227</v>
      </c>
      <c r="AJ1310">
        <v>1.82</v>
      </c>
      <c r="AK1310">
        <v>1434</v>
      </c>
      <c r="AL1310">
        <v>18</v>
      </c>
      <c r="AM1310">
        <v>3.0000000000000001E-3</v>
      </c>
      <c r="AN1310">
        <v>2</v>
      </c>
      <c r="AO1310">
        <v>2.37</v>
      </c>
      <c r="AP1310">
        <v>14.04</v>
      </c>
      <c r="AQ1310">
        <v>3.38</v>
      </c>
      <c r="AR1310">
        <v>3.83</v>
      </c>
      <c r="AS1310">
        <v>6.01</v>
      </c>
      <c r="AT1310" t="s">
        <v>7228</v>
      </c>
      <c r="AU1310">
        <v>26.05</v>
      </c>
      <c r="AV1310">
        <v>27.73</v>
      </c>
      <c r="AW1310">
        <v>1.22</v>
      </c>
      <c r="BA1310">
        <v>0.42</v>
      </c>
      <c r="BB1310">
        <v>1.1399999999999999</v>
      </c>
      <c r="BC1310">
        <v>-0.3</v>
      </c>
      <c r="BD1310">
        <v>0.4</v>
      </c>
      <c r="BE1310">
        <v>0.72</v>
      </c>
      <c r="BF1310">
        <v>0</v>
      </c>
      <c r="BG1310">
        <v>1.45</v>
      </c>
      <c r="BH1310">
        <v>0.74</v>
      </c>
      <c r="BI1310">
        <v>20191223</v>
      </c>
      <c r="BJ1310">
        <v>20170519</v>
      </c>
      <c r="BK1310">
        <v>1.17</v>
      </c>
      <c r="BL1310" t="s">
        <v>116</v>
      </c>
      <c r="BM1310" t="s">
        <v>116</v>
      </c>
      <c r="BN1310">
        <v>11.26</v>
      </c>
      <c r="BO1310">
        <v>7.13</v>
      </c>
      <c r="BP1310">
        <v>0.01</v>
      </c>
      <c r="BQ1310">
        <v>36.58</v>
      </c>
      <c r="BR1310">
        <v>7.05</v>
      </c>
      <c r="BS1310">
        <v>2.48</v>
      </c>
      <c r="BT1310">
        <v>0.49</v>
      </c>
      <c r="BU1310">
        <v>3.66</v>
      </c>
      <c r="BV1310">
        <v>0.93</v>
      </c>
      <c r="BW1310">
        <v>2.14</v>
      </c>
      <c r="BX1310">
        <v>2.82</v>
      </c>
      <c r="BY1310">
        <v>5.89</v>
      </c>
      <c r="BZ1310">
        <v>1.24</v>
      </c>
      <c r="CA1310">
        <v>0.88</v>
      </c>
      <c r="CB1310">
        <v>0.02</v>
      </c>
      <c r="CC1310">
        <v>0.87</v>
      </c>
      <c r="CD1310">
        <v>0.69</v>
      </c>
      <c r="CE1310">
        <v>0.7</v>
      </c>
      <c r="CF1310">
        <v>0.68</v>
      </c>
      <c r="CG1310">
        <v>2.9</v>
      </c>
      <c r="CH1310">
        <v>0.38</v>
      </c>
      <c r="CI1310">
        <v>1.1599999999999999</v>
      </c>
      <c r="CJ1310">
        <v>11283</v>
      </c>
      <c r="CK1310">
        <v>3866</v>
      </c>
      <c r="CL1310" t="s">
        <v>7229</v>
      </c>
      <c r="CM1310">
        <v>7.04</v>
      </c>
      <c r="CN1310">
        <v>12.88</v>
      </c>
      <c r="CO1310">
        <v>2.76</v>
      </c>
      <c r="CP1310">
        <v>51.64</v>
      </c>
      <c r="CQ1310">
        <v>3.34</v>
      </c>
      <c r="CR1310">
        <v>0.28999999999999998</v>
      </c>
      <c r="CS1310" t="s">
        <v>986</v>
      </c>
      <c r="CT1310">
        <v>6.09</v>
      </c>
      <c r="CU1310">
        <v>0</v>
      </c>
      <c r="CV1310">
        <v>2.4</v>
      </c>
      <c r="CW1310">
        <v>2.48</v>
      </c>
      <c r="CX1310">
        <v>0.33</v>
      </c>
      <c r="CY1310">
        <v>63.3</v>
      </c>
      <c r="CZ1310" t="s">
        <v>7230</v>
      </c>
      <c r="DA1310">
        <v>79</v>
      </c>
      <c r="DB1310">
        <v>14.88</v>
      </c>
      <c r="DC1310">
        <v>11.81</v>
      </c>
      <c r="DD1310">
        <v>0.2</v>
      </c>
      <c r="DE1310">
        <v>1521</v>
      </c>
      <c r="DF1310">
        <v>2873</v>
      </c>
      <c r="DG1310" t="s">
        <v>116</v>
      </c>
      <c r="DH1310" t="s">
        <v>116</v>
      </c>
      <c r="DI1310" t="s">
        <v>116</v>
      </c>
    </row>
    <row r="1311" spans="1:113" x14ac:dyDescent="0.4">
      <c r="A1311" t="str">
        <f>"002875"</f>
        <v>002875</v>
      </c>
      <c r="B1311" t="s">
        <v>7231</v>
      </c>
      <c r="C1311">
        <v>-1.23</v>
      </c>
      <c r="D1311">
        <v>15.2</v>
      </c>
      <c r="E1311">
        <v>-0.19</v>
      </c>
      <c r="F1311">
        <v>15.2</v>
      </c>
      <c r="G1311">
        <v>15.21</v>
      </c>
      <c r="H1311">
        <v>14849</v>
      </c>
      <c r="I1311">
        <v>233</v>
      </c>
      <c r="J1311">
        <v>-0.32</v>
      </c>
      <c r="K1311">
        <v>4.1500000000000004</v>
      </c>
      <c r="L1311">
        <v>15.48</v>
      </c>
      <c r="M1311">
        <v>15.5</v>
      </c>
      <c r="N1311">
        <v>15.15</v>
      </c>
      <c r="O1311">
        <v>15.39</v>
      </c>
      <c r="P1311">
        <v>45.36</v>
      </c>
      <c r="Q1311">
        <v>22776404</v>
      </c>
      <c r="R1311">
        <v>0.94</v>
      </c>
      <c r="S1311" t="s">
        <v>3070</v>
      </c>
      <c r="T1311" t="s">
        <v>115</v>
      </c>
      <c r="U1311">
        <v>2.27</v>
      </c>
      <c r="V1311">
        <v>15.34</v>
      </c>
      <c r="W1311">
        <v>8812</v>
      </c>
      <c r="X1311">
        <v>6037</v>
      </c>
      <c r="Y1311">
        <v>1.46</v>
      </c>
      <c r="Z1311">
        <v>256</v>
      </c>
      <c r="AA1311">
        <v>34</v>
      </c>
      <c r="AB1311" t="s">
        <v>116</v>
      </c>
      <c r="AC1311">
        <v>85700</v>
      </c>
      <c r="AD1311">
        <v>0.02</v>
      </c>
      <c r="AE1311" t="s">
        <v>116</v>
      </c>
      <c r="AF1311" t="s">
        <v>116</v>
      </c>
      <c r="AG1311">
        <v>0.36</v>
      </c>
      <c r="AH1311" t="s">
        <v>7086</v>
      </c>
      <c r="AI1311" t="s">
        <v>7232</v>
      </c>
      <c r="AJ1311">
        <v>-0.56000000000000005</v>
      </c>
      <c r="AK1311">
        <v>1144</v>
      </c>
      <c r="AL1311">
        <v>13</v>
      </c>
      <c r="AM1311">
        <v>3.5999999999999999E-3</v>
      </c>
      <c r="AN1311">
        <v>-1</v>
      </c>
      <c r="AO1311">
        <v>-1.3</v>
      </c>
      <c r="AP1311">
        <v>3.83</v>
      </c>
      <c r="AQ1311">
        <v>-17.350000000000001</v>
      </c>
      <c r="AR1311">
        <v>7.27</v>
      </c>
      <c r="AS1311">
        <v>4.1500000000000004</v>
      </c>
      <c r="AT1311" t="s">
        <v>7086</v>
      </c>
      <c r="AU1311">
        <v>33.86</v>
      </c>
      <c r="AV1311">
        <v>24.01</v>
      </c>
      <c r="AW1311">
        <v>1.1599999999999999</v>
      </c>
      <c r="BA1311">
        <v>0.57999999999999996</v>
      </c>
      <c r="BB1311">
        <v>0.71</v>
      </c>
      <c r="BC1311">
        <v>-1.56</v>
      </c>
      <c r="BD1311">
        <v>-0.34</v>
      </c>
      <c r="BE1311">
        <v>-1.81</v>
      </c>
      <c r="BF1311">
        <v>-1.94</v>
      </c>
      <c r="BG1311">
        <v>0.33</v>
      </c>
      <c r="BH1311">
        <v>-0.9</v>
      </c>
      <c r="BI1311">
        <v>20191220</v>
      </c>
      <c r="BJ1311">
        <v>20170601</v>
      </c>
      <c r="BK1311">
        <v>1.32</v>
      </c>
      <c r="BL1311" t="s">
        <v>116</v>
      </c>
      <c r="BM1311" t="s">
        <v>116</v>
      </c>
      <c r="BN1311">
        <v>11.85</v>
      </c>
      <c r="BO1311">
        <v>8.8000000000000007</v>
      </c>
      <c r="BP1311">
        <v>0</v>
      </c>
      <c r="BQ1311">
        <v>25.71</v>
      </c>
      <c r="BR1311">
        <v>9.7200000000000006</v>
      </c>
      <c r="BS1311">
        <v>1.43</v>
      </c>
      <c r="BT1311">
        <v>0.14000000000000001</v>
      </c>
      <c r="BU1311">
        <v>3.04</v>
      </c>
      <c r="BV1311">
        <v>5.09</v>
      </c>
      <c r="BW1311">
        <v>0.74</v>
      </c>
      <c r="BX1311">
        <v>4.17</v>
      </c>
      <c r="BY1311">
        <v>9.02</v>
      </c>
      <c r="BZ1311">
        <v>4.09</v>
      </c>
      <c r="CA1311">
        <v>0.43</v>
      </c>
      <c r="CB1311">
        <v>-0.01</v>
      </c>
      <c r="CC1311">
        <v>0.45</v>
      </c>
      <c r="CD1311">
        <v>0.33</v>
      </c>
      <c r="CE1311">
        <v>0.33</v>
      </c>
      <c r="CF1311">
        <v>0.25</v>
      </c>
      <c r="CG1311">
        <v>3.09</v>
      </c>
      <c r="CH1311">
        <v>-1.27</v>
      </c>
      <c r="CI1311">
        <v>-2.02</v>
      </c>
      <c r="CJ1311">
        <v>13391</v>
      </c>
      <c r="CK1311">
        <v>2674</v>
      </c>
      <c r="CL1311" t="s">
        <v>7222</v>
      </c>
      <c r="CM1311">
        <v>-42.29</v>
      </c>
      <c r="CN1311">
        <v>13.36</v>
      </c>
      <c r="CO1311">
        <v>2.27</v>
      </c>
      <c r="CP1311">
        <v>-15.72</v>
      </c>
      <c r="CQ1311">
        <v>2.2200000000000002</v>
      </c>
      <c r="CR1311">
        <v>1.05</v>
      </c>
      <c r="CS1311" t="s">
        <v>5231</v>
      </c>
      <c r="CT1311">
        <v>6.68</v>
      </c>
      <c r="CU1311">
        <v>0</v>
      </c>
      <c r="CV1311">
        <v>3.16</v>
      </c>
      <c r="CW1311">
        <v>2.35</v>
      </c>
      <c r="CX1311">
        <v>-0.97</v>
      </c>
      <c r="CY1311">
        <v>74.290000000000006</v>
      </c>
      <c r="CZ1311" t="s">
        <v>1972</v>
      </c>
      <c r="DA1311">
        <v>54.64</v>
      </c>
      <c r="DB1311">
        <v>4.76</v>
      </c>
      <c r="DC1311">
        <v>3.67</v>
      </c>
      <c r="DD1311">
        <v>0.26</v>
      </c>
      <c r="DE1311">
        <v>3203</v>
      </c>
      <c r="DF1311">
        <v>2875</v>
      </c>
      <c r="DG1311" t="s">
        <v>116</v>
      </c>
      <c r="DH1311" t="s">
        <v>116</v>
      </c>
      <c r="DI1311" t="s">
        <v>116</v>
      </c>
    </row>
    <row r="1312" spans="1:113" x14ac:dyDescent="0.4">
      <c r="A1312" t="str">
        <f>"002876"</f>
        <v>002876</v>
      </c>
      <c r="B1312" t="s">
        <v>7233</v>
      </c>
      <c r="C1312">
        <v>-7.14</v>
      </c>
      <c r="D1312">
        <v>50.7</v>
      </c>
      <c r="E1312">
        <v>-3.9</v>
      </c>
      <c r="F1312">
        <v>50.69</v>
      </c>
      <c r="G1312">
        <v>50.7</v>
      </c>
      <c r="H1312">
        <v>54291</v>
      </c>
      <c r="I1312">
        <v>760</v>
      </c>
      <c r="J1312">
        <v>-0.25</v>
      </c>
      <c r="K1312">
        <v>7.7</v>
      </c>
      <c r="L1312">
        <v>54.22</v>
      </c>
      <c r="M1312">
        <v>54.83</v>
      </c>
      <c r="N1312">
        <v>50.7</v>
      </c>
      <c r="O1312">
        <v>54.6</v>
      </c>
      <c r="P1312">
        <v>167.43</v>
      </c>
      <c r="Q1312">
        <v>284618496</v>
      </c>
      <c r="R1312">
        <v>1.26</v>
      </c>
      <c r="S1312" t="s">
        <v>233</v>
      </c>
      <c r="T1312" t="s">
        <v>115</v>
      </c>
      <c r="U1312">
        <v>7.56</v>
      </c>
      <c r="V1312">
        <v>52.42</v>
      </c>
      <c r="W1312">
        <v>34230</v>
      </c>
      <c r="X1312">
        <v>20061</v>
      </c>
      <c r="Y1312">
        <v>1.71</v>
      </c>
      <c r="Z1312">
        <v>3</v>
      </c>
      <c r="AA1312">
        <v>47</v>
      </c>
      <c r="AB1312" t="s">
        <v>116</v>
      </c>
      <c r="AC1312">
        <v>1980100</v>
      </c>
      <c r="AD1312">
        <v>0.06</v>
      </c>
      <c r="AE1312" t="s">
        <v>116</v>
      </c>
      <c r="AF1312" t="s">
        <v>116</v>
      </c>
      <c r="AG1312">
        <v>0.71</v>
      </c>
      <c r="AH1312" t="s">
        <v>7234</v>
      </c>
      <c r="AI1312" t="s">
        <v>5718</v>
      </c>
      <c r="AJ1312">
        <v>-6.46</v>
      </c>
      <c r="AK1312">
        <v>3336</v>
      </c>
      <c r="AL1312">
        <v>16</v>
      </c>
      <c r="AM1312">
        <v>2.3E-3</v>
      </c>
      <c r="AN1312">
        <v>-1</v>
      </c>
      <c r="AO1312">
        <v>1.5</v>
      </c>
      <c r="AP1312">
        <v>22.67</v>
      </c>
      <c r="AQ1312">
        <v>11.55</v>
      </c>
      <c r="AR1312">
        <v>106.48</v>
      </c>
      <c r="AS1312">
        <v>9.48</v>
      </c>
      <c r="AT1312" t="s">
        <v>7235</v>
      </c>
      <c r="AU1312">
        <v>184.31</v>
      </c>
      <c r="AV1312">
        <v>190.36</v>
      </c>
      <c r="AW1312">
        <v>1.35</v>
      </c>
      <c r="BA1312">
        <v>-0.7</v>
      </c>
      <c r="BB1312">
        <v>0.42</v>
      </c>
      <c r="BC1312">
        <v>-7.14</v>
      </c>
      <c r="BD1312">
        <v>-3.98</v>
      </c>
      <c r="BE1312">
        <v>-6.49</v>
      </c>
      <c r="BF1312">
        <v>-7.53</v>
      </c>
      <c r="BG1312">
        <v>0</v>
      </c>
      <c r="BH1312">
        <v>-3.16</v>
      </c>
      <c r="BI1312">
        <v>20191018</v>
      </c>
      <c r="BJ1312">
        <v>20170525</v>
      </c>
      <c r="BK1312">
        <v>1.04</v>
      </c>
      <c r="BL1312" t="s">
        <v>116</v>
      </c>
      <c r="BM1312" t="s">
        <v>116</v>
      </c>
      <c r="BN1312">
        <v>23.73</v>
      </c>
      <c r="BO1312">
        <v>9.02</v>
      </c>
      <c r="BP1312">
        <v>0.03</v>
      </c>
      <c r="BQ1312">
        <v>61.86</v>
      </c>
      <c r="BR1312">
        <v>15.77</v>
      </c>
      <c r="BS1312">
        <v>3.92</v>
      </c>
      <c r="BT1312">
        <v>0.66</v>
      </c>
      <c r="BU1312">
        <v>11.92</v>
      </c>
      <c r="BV1312">
        <v>5.17</v>
      </c>
      <c r="BW1312">
        <v>5.89</v>
      </c>
      <c r="BX1312">
        <v>3.42</v>
      </c>
      <c r="BY1312">
        <v>10.42</v>
      </c>
      <c r="BZ1312">
        <v>8.76</v>
      </c>
      <c r="CA1312">
        <v>0.35</v>
      </c>
      <c r="CB1312">
        <v>0</v>
      </c>
      <c r="CC1312">
        <v>0.37</v>
      </c>
      <c r="CD1312">
        <v>0.23</v>
      </c>
      <c r="CE1312">
        <v>0.24</v>
      </c>
      <c r="CF1312">
        <v>0.15</v>
      </c>
      <c r="CG1312">
        <v>4.05</v>
      </c>
      <c r="CH1312">
        <v>-1.0900000000000001</v>
      </c>
      <c r="CI1312">
        <v>-1.59</v>
      </c>
      <c r="CJ1312">
        <v>6276</v>
      </c>
      <c r="CK1312">
        <v>9124</v>
      </c>
      <c r="CL1312" t="s">
        <v>7236</v>
      </c>
      <c r="CM1312">
        <v>4.01</v>
      </c>
      <c r="CN1312">
        <v>61.34</v>
      </c>
      <c r="CO1312">
        <v>5.85</v>
      </c>
      <c r="CP1312">
        <v>-48.17</v>
      </c>
      <c r="CQ1312">
        <v>5.0599999999999996</v>
      </c>
      <c r="CR1312">
        <v>0.06</v>
      </c>
      <c r="CS1312" t="s">
        <v>1967</v>
      </c>
      <c r="CT1312">
        <v>8.67</v>
      </c>
      <c r="CU1312">
        <v>0</v>
      </c>
      <c r="CV1312">
        <v>3.29</v>
      </c>
      <c r="CW1312">
        <v>3.89</v>
      </c>
      <c r="CX1312">
        <v>-1.05</v>
      </c>
      <c r="CY1312">
        <v>38.01</v>
      </c>
      <c r="CZ1312" t="s">
        <v>7237</v>
      </c>
      <c r="DA1312">
        <v>15.91</v>
      </c>
      <c r="DB1312">
        <v>3.37</v>
      </c>
      <c r="DC1312">
        <v>2.27</v>
      </c>
      <c r="DD1312">
        <v>0.33</v>
      </c>
      <c r="DE1312">
        <v>1739</v>
      </c>
      <c r="DF1312">
        <v>2876</v>
      </c>
      <c r="DG1312" t="s">
        <v>116</v>
      </c>
      <c r="DH1312" t="s">
        <v>116</v>
      </c>
      <c r="DI1312" t="s">
        <v>116</v>
      </c>
    </row>
    <row r="1313" spans="1:113" x14ac:dyDescent="0.4">
      <c r="A1313" t="str">
        <f>"002877"</f>
        <v>002877</v>
      </c>
      <c r="B1313" t="s">
        <v>7238</v>
      </c>
      <c r="C1313">
        <v>2.04</v>
      </c>
      <c r="D1313">
        <v>9</v>
      </c>
      <c r="E1313">
        <v>0.18</v>
      </c>
      <c r="F1313">
        <v>9</v>
      </c>
      <c r="G1313">
        <v>9.01</v>
      </c>
      <c r="H1313">
        <v>117654</v>
      </c>
      <c r="I1313">
        <v>3299</v>
      </c>
      <c r="J1313">
        <v>0.33</v>
      </c>
      <c r="K1313">
        <v>7.06</v>
      </c>
      <c r="L1313">
        <v>8.82</v>
      </c>
      <c r="M1313">
        <v>9.1999999999999993</v>
      </c>
      <c r="N1313">
        <v>8.73</v>
      </c>
      <c r="O1313">
        <v>8.82</v>
      </c>
      <c r="P1313">
        <v>39.369999999999997</v>
      </c>
      <c r="Q1313">
        <v>105730968</v>
      </c>
      <c r="R1313">
        <v>0.86</v>
      </c>
      <c r="S1313" t="s">
        <v>2977</v>
      </c>
      <c r="T1313" t="s">
        <v>323</v>
      </c>
      <c r="U1313">
        <v>5.33</v>
      </c>
      <c r="V1313">
        <v>8.99</v>
      </c>
      <c r="W1313">
        <v>57478</v>
      </c>
      <c r="X1313">
        <v>60176</v>
      </c>
      <c r="Y1313">
        <v>0.96</v>
      </c>
      <c r="Z1313">
        <v>1589</v>
      </c>
      <c r="AA1313">
        <v>227</v>
      </c>
      <c r="AB1313" t="s">
        <v>116</v>
      </c>
      <c r="AC1313">
        <v>337800</v>
      </c>
      <c r="AD1313">
        <v>0.04</v>
      </c>
      <c r="AE1313" t="s">
        <v>116</v>
      </c>
      <c r="AF1313" t="s">
        <v>116</v>
      </c>
      <c r="AG1313">
        <v>1.67</v>
      </c>
      <c r="AH1313" t="s">
        <v>7239</v>
      </c>
      <c r="AI1313" t="s">
        <v>7240</v>
      </c>
      <c r="AJ1313">
        <v>2.72</v>
      </c>
      <c r="AK1313">
        <v>2470</v>
      </c>
      <c r="AL1313">
        <v>48</v>
      </c>
      <c r="AM1313">
        <v>2.8999999999999998E-3</v>
      </c>
      <c r="AN1313">
        <v>1</v>
      </c>
      <c r="AO1313">
        <v>-2.17</v>
      </c>
      <c r="AP1313">
        <v>18.420000000000002</v>
      </c>
      <c r="AQ1313">
        <v>-12.79</v>
      </c>
      <c r="AR1313">
        <v>-0.62</v>
      </c>
      <c r="AS1313">
        <v>12.86</v>
      </c>
      <c r="AT1313" t="s">
        <v>7241</v>
      </c>
      <c r="AU1313">
        <v>36.32</v>
      </c>
      <c r="AV1313">
        <v>47.47</v>
      </c>
      <c r="AW1313">
        <v>0.73</v>
      </c>
      <c r="BA1313">
        <v>0</v>
      </c>
      <c r="BB1313">
        <v>4.3099999999999996</v>
      </c>
      <c r="BC1313">
        <v>-1.02</v>
      </c>
      <c r="BD1313">
        <v>1.89</v>
      </c>
      <c r="BE1313">
        <v>2.04</v>
      </c>
      <c r="BF1313">
        <v>-2.17</v>
      </c>
      <c r="BG1313">
        <v>3.09</v>
      </c>
      <c r="BH1313">
        <v>0.15</v>
      </c>
      <c r="BI1313">
        <v>20191029</v>
      </c>
      <c r="BJ1313">
        <v>20170605</v>
      </c>
      <c r="BK1313">
        <v>3.32</v>
      </c>
      <c r="BL1313" t="s">
        <v>116</v>
      </c>
      <c r="BM1313" t="s">
        <v>116</v>
      </c>
      <c r="BN1313">
        <v>12.52</v>
      </c>
      <c r="BO1313">
        <v>7.31</v>
      </c>
      <c r="BP1313">
        <v>0</v>
      </c>
      <c r="BQ1313">
        <v>41.62</v>
      </c>
      <c r="BR1313">
        <v>7.79</v>
      </c>
      <c r="BS1313">
        <v>2.04</v>
      </c>
      <c r="BT1313">
        <v>0.49</v>
      </c>
      <c r="BU1313">
        <v>3.43</v>
      </c>
      <c r="BV1313">
        <v>2.02</v>
      </c>
      <c r="BW1313">
        <v>2.37</v>
      </c>
      <c r="BX1313">
        <v>0.17</v>
      </c>
      <c r="BY1313">
        <v>3.65</v>
      </c>
      <c r="BZ1313">
        <v>2.2999999999999998</v>
      </c>
      <c r="CA1313">
        <v>0.67</v>
      </c>
      <c r="CB1313">
        <v>0</v>
      </c>
      <c r="CC1313">
        <v>0.67</v>
      </c>
      <c r="CD1313">
        <v>0.56999999999999995</v>
      </c>
      <c r="CE1313">
        <v>0.56999999999999995</v>
      </c>
      <c r="CF1313">
        <v>0.41</v>
      </c>
      <c r="CG1313">
        <v>2.94</v>
      </c>
      <c r="CH1313">
        <v>0.06</v>
      </c>
      <c r="CI1313">
        <v>-0.04</v>
      </c>
      <c r="CJ1313">
        <v>24977</v>
      </c>
      <c r="CK1313">
        <v>3661</v>
      </c>
      <c r="CL1313" t="s">
        <v>5399</v>
      </c>
      <c r="CM1313">
        <v>51.35</v>
      </c>
      <c r="CN1313">
        <v>29.75</v>
      </c>
      <c r="CO1313">
        <v>4.37</v>
      </c>
      <c r="CP1313">
        <v>520.79</v>
      </c>
      <c r="CQ1313">
        <v>8.19</v>
      </c>
      <c r="CR1313">
        <v>0.42</v>
      </c>
      <c r="CS1313" t="s">
        <v>4074</v>
      </c>
      <c r="CT1313">
        <v>2.06</v>
      </c>
      <c r="CU1313">
        <v>2.06</v>
      </c>
      <c r="CV1313">
        <v>0.05</v>
      </c>
      <c r="CW1313">
        <v>0.88</v>
      </c>
      <c r="CX1313">
        <v>0.02</v>
      </c>
      <c r="CY1313">
        <v>58.38</v>
      </c>
      <c r="CZ1313" t="s">
        <v>6295</v>
      </c>
      <c r="DA1313">
        <v>37.159999999999997</v>
      </c>
      <c r="DB1313">
        <v>18.32</v>
      </c>
      <c r="DC1313">
        <v>15.6</v>
      </c>
      <c r="DD1313">
        <v>0.12</v>
      </c>
      <c r="DE1313">
        <v>525</v>
      </c>
      <c r="DF1313">
        <v>2877</v>
      </c>
      <c r="DG1313" t="s">
        <v>116</v>
      </c>
      <c r="DH1313" t="s">
        <v>116</v>
      </c>
      <c r="DI1313" t="s">
        <v>116</v>
      </c>
    </row>
    <row r="1314" spans="1:113" x14ac:dyDescent="0.4">
      <c r="A1314" t="str">
        <f>"002878"</f>
        <v>002878</v>
      </c>
      <c r="B1314" t="s">
        <v>7242</v>
      </c>
      <c r="C1314">
        <v>10.02</v>
      </c>
      <c r="D1314">
        <v>29.65</v>
      </c>
      <c r="E1314">
        <v>2.7</v>
      </c>
      <c r="F1314">
        <v>29.65</v>
      </c>
      <c r="G1314" t="s">
        <v>116</v>
      </c>
      <c r="H1314">
        <v>91743</v>
      </c>
      <c r="I1314">
        <v>188</v>
      </c>
      <c r="J1314">
        <v>0</v>
      </c>
      <c r="K1314">
        <v>22.87</v>
      </c>
      <c r="L1314">
        <v>27.8</v>
      </c>
      <c r="M1314">
        <v>29.65</v>
      </c>
      <c r="N1314">
        <v>27.76</v>
      </c>
      <c r="O1314">
        <v>26.95</v>
      </c>
      <c r="P1314">
        <v>35.35</v>
      </c>
      <c r="Q1314">
        <v>270635936</v>
      </c>
      <c r="R1314">
        <v>3.35</v>
      </c>
      <c r="S1314" t="s">
        <v>217</v>
      </c>
      <c r="T1314" t="s">
        <v>165</v>
      </c>
      <c r="U1314">
        <v>7.01</v>
      </c>
      <c r="V1314">
        <v>29.5</v>
      </c>
      <c r="W1314">
        <v>67866</v>
      </c>
      <c r="X1314">
        <v>23877</v>
      </c>
      <c r="Y1314">
        <v>2.84</v>
      </c>
      <c r="Z1314">
        <v>1900</v>
      </c>
      <c r="AA1314">
        <v>0</v>
      </c>
      <c r="AB1314" t="s">
        <v>116</v>
      </c>
      <c r="AC1314">
        <v>1910100</v>
      </c>
      <c r="AD1314">
        <v>0.17</v>
      </c>
      <c r="AE1314">
        <v>0.02</v>
      </c>
      <c r="AF1314">
        <v>5633500</v>
      </c>
      <c r="AG1314">
        <v>0.4</v>
      </c>
      <c r="AH1314" t="s">
        <v>2043</v>
      </c>
      <c r="AI1314" t="s">
        <v>7243</v>
      </c>
      <c r="AJ1314">
        <v>10.7</v>
      </c>
      <c r="AK1314">
        <v>1544</v>
      </c>
      <c r="AL1314">
        <v>59</v>
      </c>
      <c r="AM1314">
        <v>1.4800000000000001E-2</v>
      </c>
      <c r="AN1314">
        <v>2</v>
      </c>
      <c r="AO1314">
        <v>15.15</v>
      </c>
      <c r="AP1314">
        <v>29.31</v>
      </c>
      <c r="AQ1314">
        <v>21.32</v>
      </c>
      <c r="AR1314">
        <v>18.22</v>
      </c>
      <c r="AS1314">
        <v>22.87</v>
      </c>
      <c r="AT1314" t="s">
        <v>2043</v>
      </c>
      <c r="AU1314">
        <v>35.78</v>
      </c>
      <c r="AV1314">
        <v>41.33</v>
      </c>
      <c r="AW1314">
        <v>0.62</v>
      </c>
      <c r="BA1314">
        <v>3.15</v>
      </c>
      <c r="BB1314">
        <v>10.02</v>
      </c>
      <c r="BC1314">
        <v>3.01</v>
      </c>
      <c r="BD1314">
        <v>9.4600000000000009</v>
      </c>
      <c r="BE1314">
        <v>6.65</v>
      </c>
      <c r="BF1314">
        <v>0</v>
      </c>
      <c r="BG1314">
        <v>6.81</v>
      </c>
      <c r="BH1314">
        <v>0.56000000000000005</v>
      </c>
      <c r="BI1314">
        <v>20191225</v>
      </c>
      <c r="BJ1314">
        <v>20170606</v>
      </c>
      <c r="BK1314">
        <v>1.3</v>
      </c>
      <c r="BL1314" t="s">
        <v>116</v>
      </c>
      <c r="BM1314" t="s">
        <v>116</v>
      </c>
      <c r="BN1314">
        <v>11.36</v>
      </c>
      <c r="BO1314">
        <v>6.54</v>
      </c>
      <c r="BP1314">
        <v>0.34</v>
      </c>
      <c r="BQ1314">
        <v>39.35</v>
      </c>
      <c r="BR1314">
        <v>9.0299999999999994</v>
      </c>
      <c r="BS1314">
        <v>0.09</v>
      </c>
      <c r="BT1314">
        <v>0.16</v>
      </c>
      <c r="BU1314">
        <v>4.45</v>
      </c>
      <c r="BV1314">
        <v>1.33</v>
      </c>
      <c r="BW1314">
        <v>4.6100000000000003</v>
      </c>
      <c r="BX1314">
        <v>2.74</v>
      </c>
      <c r="BY1314">
        <v>10.28</v>
      </c>
      <c r="BZ1314">
        <v>7.92</v>
      </c>
      <c r="CA1314">
        <v>1.0900000000000001</v>
      </c>
      <c r="CB1314">
        <v>0.01</v>
      </c>
      <c r="CC1314">
        <v>1.0900000000000001</v>
      </c>
      <c r="CD1314">
        <v>0.94</v>
      </c>
      <c r="CE1314">
        <v>0.82</v>
      </c>
      <c r="CF1314">
        <v>0.78</v>
      </c>
      <c r="CG1314">
        <v>2.36</v>
      </c>
      <c r="CH1314">
        <v>-0.1</v>
      </c>
      <c r="CI1314">
        <v>-0.1</v>
      </c>
      <c r="CJ1314">
        <v>9041</v>
      </c>
      <c r="CK1314">
        <v>4438</v>
      </c>
      <c r="CL1314" t="s">
        <v>2931</v>
      </c>
      <c r="CM1314">
        <v>21.49</v>
      </c>
      <c r="CN1314">
        <v>51.47</v>
      </c>
      <c r="CO1314">
        <v>5.91</v>
      </c>
      <c r="CP1314">
        <v>-399.12</v>
      </c>
      <c r="CQ1314">
        <v>3.76</v>
      </c>
      <c r="CR1314">
        <v>1.01</v>
      </c>
      <c r="CS1314" t="s">
        <v>7244</v>
      </c>
      <c r="CT1314">
        <v>5.0199999999999996</v>
      </c>
      <c r="CU1314">
        <v>0</v>
      </c>
      <c r="CV1314">
        <v>2.1</v>
      </c>
      <c r="CW1314">
        <v>1.81</v>
      </c>
      <c r="CX1314">
        <v>-7.0000000000000007E-2</v>
      </c>
      <c r="CY1314">
        <v>57.61</v>
      </c>
      <c r="CZ1314" t="s">
        <v>7245</v>
      </c>
      <c r="DA1314">
        <v>22.96</v>
      </c>
      <c r="DB1314">
        <v>10.64</v>
      </c>
      <c r="DC1314">
        <v>7.98</v>
      </c>
      <c r="DD1314">
        <v>0.36</v>
      </c>
      <c r="DE1314">
        <v>497</v>
      </c>
      <c r="DF1314">
        <v>2878</v>
      </c>
      <c r="DG1314" t="s">
        <v>116</v>
      </c>
      <c r="DH1314" t="s">
        <v>116</v>
      </c>
      <c r="DI1314" t="s">
        <v>116</v>
      </c>
    </row>
    <row r="1315" spans="1:113" x14ac:dyDescent="0.4">
      <c r="A1315" t="str">
        <f>"002879"</f>
        <v>002879</v>
      </c>
      <c r="B1315" t="s">
        <v>7246</v>
      </c>
      <c r="C1315">
        <v>0.89</v>
      </c>
      <c r="D1315">
        <v>15.87</v>
      </c>
      <c r="E1315">
        <v>0.14000000000000001</v>
      </c>
      <c r="F1315">
        <v>15.86</v>
      </c>
      <c r="G1315">
        <v>15.87</v>
      </c>
      <c r="H1315">
        <v>16833</v>
      </c>
      <c r="I1315">
        <v>151</v>
      </c>
      <c r="J1315">
        <v>0.56999999999999995</v>
      </c>
      <c r="K1315">
        <v>1.51</v>
      </c>
      <c r="L1315">
        <v>15.74</v>
      </c>
      <c r="M1315">
        <v>16.12</v>
      </c>
      <c r="N1315">
        <v>15.66</v>
      </c>
      <c r="O1315">
        <v>15.73</v>
      </c>
      <c r="P1315">
        <v>22.25</v>
      </c>
      <c r="Q1315">
        <v>26813324</v>
      </c>
      <c r="R1315">
        <v>0.91</v>
      </c>
      <c r="S1315" t="s">
        <v>397</v>
      </c>
      <c r="T1315" t="s">
        <v>599</v>
      </c>
      <c r="U1315">
        <v>2.92</v>
      </c>
      <c r="V1315">
        <v>15.93</v>
      </c>
      <c r="W1315">
        <v>7069</v>
      </c>
      <c r="X1315">
        <v>9764</v>
      </c>
      <c r="Y1315">
        <v>0.72</v>
      </c>
      <c r="Z1315">
        <v>2</v>
      </c>
      <c r="AA1315">
        <v>595</v>
      </c>
      <c r="AB1315" t="s">
        <v>116</v>
      </c>
      <c r="AC1315">
        <v>3100</v>
      </c>
      <c r="AD1315">
        <v>0</v>
      </c>
      <c r="AE1315" t="s">
        <v>116</v>
      </c>
      <c r="AF1315" t="s">
        <v>116</v>
      </c>
      <c r="AG1315">
        <v>1.1200000000000001</v>
      </c>
      <c r="AH1315" t="s">
        <v>7247</v>
      </c>
      <c r="AI1315" t="s">
        <v>7248</v>
      </c>
      <c r="AJ1315">
        <v>1.57</v>
      </c>
      <c r="AK1315">
        <v>1183</v>
      </c>
      <c r="AL1315">
        <v>14</v>
      </c>
      <c r="AM1315">
        <v>1.2999999999999999E-3</v>
      </c>
      <c r="AN1315">
        <v>1</v>
      </c>
      <c r="AO1315">
        <v>2.13</v>
      </c>
      <c r="AP1315">
        <v>4.55</v>
      </c>
      <c r="AQ1315">
        <v>12.31</v>
      </c>
      <c r="AR1315">
        <v>19.59</v>
      </c>
      <c r="AS1315">
        <v>1.51</v>
      </c>
      <c r="AT1315" t="s">
        <v>7247</v>
      </c>
      <c r="AU1315">
        <v>22.4</v>
      </c>
      <c r="AV1315">
        <v>23.88</v>
      </c>
      <c r="AW1315">
        <v>0.65</v>
      </c>
      <c r="BA1315">
        <v>0.06</v>
      </c>
      <c r="BB1315">
        <v>2.48</v>
      </c>
      <c r="BC1315">
        <v>-0.45</v>
      </c>
      <c r="BD1315">
        <v>1.26</v>
      </c>
      <c r="BE1315">
        <v>0.83</v>
      </c>
      <c r="BF1315">
        <v>-1.55</v>
      </c>
      <c r="BG1315">
        <v>1.34</v>
      </c>
      <c r="BH1315">
        <v>-0.37</v>
      </c>
      <c r="BI1315">
        <v>20191023</v>
      </c>
      <c r="BJ1315">
        <v>20170707</v>
      </c>
      <c r="BK1315">
        <v>1.93</v>
      </c>
      <c r="BL1315" t="s">
        <v>116</v>
      </c>
      <c r="BM1315" t="s">
        <v>116</v>
      </c>
      <c r="BN1315">
        <v>17.399999999999999</v>
      </c>
      <c r="BO1315">
        <v>14.64</v>
      </c>
      <c r="BP1315">
        <v>0</v>
      </c>
      <c r="BQ1315">
        <v>15.88</v>
      </c>
      <c r="BR1315">
        <v>14.39</v>
      </c>
      <c r="BS1315">
        <v>1.94</v>
      </c>
      <c r="BT1315">
        <v>0.36</v>
      </c>
      <c r="BU1315">
        <v>2.33</v>
      </c>
      <c r="BV1315">
        <v>1.47</v>
      </c>
      <c r="BW1315">
        <v>4.66</v>
      </c>
      <c r="BX1315">
        <v>7.09</v>
      </c>
      <c r="BY1315">
        <v>5.69</v>
      </c>
      <c r="BZ1315">
        <v>2.73</v>
      </c>
      <c r="CA1315">
        <v>1.1399999999999999</v>
      </c>
      <c r="CB1315">
        <v>7.0000000000000007E-2</v>
      </c>
      <c r="CC1315">
        <v>1.1599999999999999</v>
      </c>
      <c r="CD1315">
        <v>1.03</v>
      </c>
      <c r="CE1315">
        <v>1.03</v>
      </c>
      <c r="CF1315">
        <v>0.91</v>
      </c>
      <c r="CG1315">
        <v>5.9</v>
      </c>
      <c r="CH1315">
        <v>0.14000000000000001</v>
      </c>
      <c r="CI1315">
        <v>-6.57</v>
      </c>
      <c r="CJ1315">
        <v>16360</v>
      </c>
      <c r="CK1315">
        <v>6829</v>
      </c>
      <c r="CL1315" t="s">
        <v>7249</v>
      </c>
      <c r="CM1315">
        <v>8.9700000000000006</v>
      </c>
      <c r="CN1315">
        <v>20.69</v>
      </c>
      <c r="CO1315">
        <v>2.09</v>
      </c>
      <c r="CP1315">
        <v>222.12</v>
      </c>
      <c r="CQ1315">
        <v>5.39</v>
      </c>
      <c r="CR1315">
        <v>1.26</v>
      </c>
      <c r="CS1315" t="s">
        <v>2154</v>
      </c>
      <c r="CT1315">
        <v>7.58</v>
      </c>
      <c r="CU1315">
        <v>0</v>
      </c>
      <c r="CV1315">
        <v>3.67</v>
      </c>
      <c r="CW1315">
        <v>3.05</v>
      </c>
      <c r="CX1315">
        <v>7.0000000000000007E-2</v>
      </c>
      <c r="CY1315">
        <v>84.12</v>
      </c>
      <c r="CZ1315" t="s">
        <v>7250</v>
      </c>
      <c r="DA1315">
        <v>52.05</v>
      </c>
      <c r="DB1315">
        <v>20.100000000000001</v>
      </c>
      <c r="DC1315">
        <v>18.16</v>
      </c>
      <c r="DD1315">
        <v>0.34</v>
      </c>
      <c r="DE1315">
        <v>1010</v>
      </c>
      <c r="DF1315">
        <v>2879</v>
      </c>
      <c r="DG1315" t="s">
        <v>116</v>
      </c>
      <c r="DH1315" t="s">
        <v>116</v>
      </c>
      <c r="DI1315" t="s">
        <v>116</v>
      </c>
    </row>
    <row r="1316" spans="1:113" x14ac:dyDescent="0.4">
      <c r="A1316" t="str">
        <f>"002880"</f>
        <v>002880</v>
      </c>
      <c r="B1316" t="s">
        <v>7251</v>
      </c>
      <c r="C1316">
        <v>0</v>
      </c>
      <c r="D1316">
        <v>50.59</v>
      </c>
      <c r="E1316">
        <v>0</v>
      </c>
      <c r="F1316">
        <v>50.51</v>
      </c>
      <c r="G1316">
        <v>50.59</v>
      </c>
      <c r="H1316">
        <v>3573</v>
      </c>
      <c r="I1316">
        <v>38</v>
      </c>
      <c r="J1316">
        <v>0</v>
      </c>
      <c r="K1316">
        <v>1.03</v>
      </c>
      <c r="L1316">
        <v>50.8</v>
      </c>
      <c r="M1316">
        <v>51.06</v>
      </c>
      <c r="N1316">
        <v>50.5</v>
      </c>
      <c r="O1316">
        <v>50.59</v>
      </c>
      <c r="P1316">
        <v>37.46</v>
      </c>
      <c r="Q1316">
        <v>18168532</v>
      </c>
      <c r="R1316">
        <v>1.24</v>
      </c>
      <c r="S1316" t="s">
        <v>132</v>
      </c>
      <c r="T1316" t="s">
        <v>115</v>
      </c>
      <c r="U1316">
        <v>1.1100000000000001</v>
      </c>
      <c r="V1316">
        <v>50.85</v>
      </c>
      <c r="W1316">
        <v>1716</v>
      </c>
      <c r="X1316">
        <v>1857</v>
      </c>
      <c r="Y1316">
        <v>0.92</v>
      </c>
      <c r="Z1316">
        <v>2</v>
      </c>
      <c r="AA1316">
        <v>2</v>
      </c>
      <c r="AB1316" t="s">
        <v>116</v>
      </c>
      <c r="AC1316">
        <v>61000</v>
      </c>
      <c r="AD1316">
        <v>0</v>
      </c>
      <c r="AE1316" t="s">
        <v>116</v>
      </c>
      <c r="AF1316" t="s">
        <v>116</v>
      </c>
      <c r="AG1316">
        <v>0.35</v>
      </c>
      <c r="AH1316" t="s">
        <v>686</v>
      </c>
      <c r="AI1316" t="s">
        <v>4873</v>
      </c>
      <c r="AJ1316">
        <v>0.68</v>
      </c>
      <c r="AK1316">
        <v>571</v>
      </c>
      <c r="AL1316">
        <v>6</v>
      </c>
      <c r="AM1316">
        <v>1.8E-3</v>
      </c>
      <c r="AN1316">
        <v>0</v>
      </c>
      <c r="AO1316">
        <v>0.38</v>
      </c>
      <c r="AP1316">
        <v>5.55</v>
      </c>
      <c r="AQ1316">
        <v>-2.73</v>
      </c>
      <c r="AR1316">
        <v>26.82</v>
      </c>
      <c r="AS1316">
        <v>1.32</v>
      </c>
      <c r="AT1316" t="s">
        <v>756</v>
      </c>
      <c r="AU1316">
        <v>34.590000000000003</v>
      </c>
      <c r="AV1316">
        <v>34.880000000000003</v>
      </c>
      <c r="AW1316">
        <v>0.72</v>
      </c>
      <c r="BA1316">
        <v>0.42</v>
      </c>
      <c r="BB1316">
        <v>0.93</v>
      </c>
      <c r="BC1316">
        <v>-0.18</v>
      </c>
      <c r="BD1316">
        <v>0.51</v>
      </c>
      <c r="BE1316">
        <v>-0.41</v>
      </c>
      <c r="BF1316">
        <v>-0.92</v>
      </c>
      <c r="BG1316">
        <v>0.18</v>
      </c>
      <c r="BH1316">
        <v>-0.51</v>
      </c>
      <c r="BI1316">
        <v>20191024</v>
      </c>
      <c r="BJ1316">
        <v>20170616</v>
      </c>
      <c r="BK1316">
        <v>1.08</v>
      </c>
      <c r="BL1316" t="s">
        <v>116</v>
      </c>
      <c r="BM1316" t="s">
        <v>116</v>
      </c>
      <c r="BN1316">
        <v>14.97</v>
      </c>
      <c r="BO1316">
        <v>13.83</v>
      </c>
      <c r="BP1316">
        <v>0.01</v>
      </c>
      <c r="BQ1316">
        <v>7.58</v>
      </c>
      <c r="BR1316">
        <v>9.48</v>
      </c>
      <c r="BS1316">
        <v>2.04</v>
      </c>
      <c r="BT1316">
        <v>0.72</v>
      </c>
      <c r="BU1316">
        <v>0.8</v>
      </c>
      <c r="BV1316">
        <v>5.17</v>
      </c>
      <c r="BW1316">
        <v>0.66</v>
      </c>
      <c r="BX1316">
        <v>6.39</v>
      </c>
      <c r="BY1316">
        <v>5.34</v>
      </c>
      <c r="BZ1316">
        <v>3.37</v>
      </c>
      <c r="CA1316">
        <v>1.3</v>
      </c>
      <c r="CB1316">
        <v>0</v>
      </c>
      <c r="CC1316">
        <v>1.3</v>
      </c>
      <c r="CD1316">
        <v>1.0900000000000001</v>
      </c>
      <c r="CE1316">
        <v>1.0900000000000001</v>
      </c>
      <c r="CF1316">
        <v>1.03</v>
      </c>
      <c r="CG1316">
        <v>5.57</v>
      </c>
      <c r="CH1316">
        <v>1.38</v>
      </c>
      <c r="CI1316">
        <v>0.28000000000000003</v>
      </c>
      <c r="CJ1316">
        <v>10998</v>
      </c>
      <c r="CK1316">
        <v>2455</v>
      </c>
      <c r="CL1316" t="s">
        <v>7252</v>
      </c>
      <c r="CM1316">
        <v>1.23</v>
      </c>
      <c r="CN1316">
        <v>13.98</v>
      </c>
      <c r="CO1316">
        <v>3.95</v>
      </c>
      <c r="CP1316">
        <v>39.54</v>
      </c>
      <c r="CQ1316">
        <v>10.23</v>
      </c>
      <c r="CR1316">
        <v>0.59</v>
      </c>
      <c r="CS1316" t="s">
        <v>7253</v>
      </c>
      <c r="CT1316">
        <v>12.8</v>
      </c>
      <c r="CU1316">
        <v>0</v>
      </c>
      <c r="CV1316">
        <v>5.92</v>
      </c>
      <c r="CW1316">
        <v>5.16</v>
      </c>
      <c r="CX1316">
        <v>1.28</v>
      </c>
      <c r="CY1316">
        <v>92.35</v>
      </c>
      <c r="CZ1316" t="s">
        <v>3627</v>
      </c>
      <c r="DA1316">
        <v>36.979999999999997</v>
      </c>
      <c r="DB1316">
        <v>24.4</v>
      </c>
      <c r="DC1316">
        <v>20.49</v>
      </c>
      <c r="DD1316">
        <v>0.23</v>
      </c>
      <c r="DE1316">
        <v>713</v>
      </c>
      <c r="DF1316">
        <v>2880</v>
      </c>
      <c r="DG1316" t="s">
        <v>116</v>
      </c>
      <c r="DH1316" t="s">
        <v>116</v>
      </c>
      <c r="DI1316" t="s">
        <v>116</v>
      </c>
    </row>
    <row r="1317" spans="1:113" x14ac:dyDescent="0.4">
      <c r="A1317" t="str">
        <f>"002881"</f>
        <v>002881</v>
      </c>
      <c r="B1317" t="s">
        <v>7254</v>
      </c>
      <c r="C1317">
        <v>5.03</v>
      </c>
      <c r="D1317">
        <v>28.38</v>
      </c>
      <c r="E1317">
        <v>1.36</v>
      </c>
      <c r="F1317">
        <v>28.38</v>
      </c>
      <c r="G1317">
        <v>28.39</v>
      </c>
      <c r="H1317">
        <v>106487</v>
      </c>
      <c r="I1317">
        <v>1023</v>
      </c>
      <c r="J1317">
        <v>0.32</v>
      </c>
      <c r="K1317">
        <v>23.49</v>
      </c>
      <c r="L1317">
        <v>27.02</v>
      </c>
      <c r="M1317">
        <v>29.72</v>
      </c>
      <c r="N1317">
        <v>27.02</v>
      </c>
      <c r="O1317">
        <v>27.02</v>
      </c>
      <c r="P1317">
        <v>250.54</v>
      </c>
      <c r="Q1317">
        <v>306540064</v>
      </c>
      <c r="R1317">
        <v>3.67</v>
      </c>
      <c r="S1317" t="s">
        <v>465</v>
      </c>
      <c r="T1317" t="s">
        <v>115</v>
      </c>
      <c r="U1317">
        <v>9.99</v>
      </c>
      <c r="V1317">
        <v>28.79</v>
      </c>
      <c r="W1317">
        <v>55013</v>
      </c>
      <c r="X1317">
        <v>51474</v>
      </c>
      <c r="Y1317">
        <v>1.07</v>
      </c>
      <c r="Z1317">
        <v>306</v>
      </c>
      <c r="AA1317">
        <v>5</v>
      </c>
      <c r="AB1317" t="s">
        <v>116</v>
      </c>
      <c r="AC1317">
        <v>237800</v>
      </c>
      <c r="AD1317">
        <v>0.02</v>
      </c>
      <c r="AE1317" t="s">
        <v>116</v>
      </c>
      <c r="AF1317" t="s">
        <v>116</v>
      </c>
      <c r="AG1317">
        <v>0.45</v>
      </c>
      <c r="AH1317" t="s">
        <v>1553</v>
      </c>
      <c r="AI1317" t="s">
        <v>7255</v>
      </c>
      <c r="AJ1317">
        <v>5.71</v>
      </c>
      <c r="AK1317">
        <v>3424</v>
      </c>
      <c r="AL1317">
        <v>31</v>
      </c>
      <c r="AM1317">
        <v>6.8999999999999999E-3</v>
      </c>
      <c r="AN1317">
        <v>4</v>
      </c>
      <c r="AO1317">
        <v>6.61</v>
      </c>
      <c r="AP1317">
        <v>11.16</v>
      </c>
      <c r="AQ1317">
        <v>-9.99</v>
      </c>
      <c r="AR1317">
        <v>59.59</v>
      </c>
      <c r="AS1317">
        <v>23.49</v>
      </c>
      <c r="AT1317" t="s">
        <v>1553</v>
      </c>
      <c r="AU1317">
        <v>153.63999999999999</v>
      </c>
      <c r="AV1317">
        <v>110.31</v>
      </c>
      <c r="AW1317">
        <v>1.39</v>
      </c>
      <c r="BA1317">
        <v>0</v>
      </c>
      <c r="BB1317">
        <v>9.99</v>
      </c>
      <c r="BC1317">
        <v>0</v>
      </c>
      <c r="BD1317">
        <v>6.54</v>
      </c>
      <c r="BE1317">
        <v>5.03</v>
      </c>
      <c r="BF1317">
        <v>-4.51</v>
      </c>
      <c r="BG1317">
        <v>5.03</v>
      </c>
      <c r="BH1317">
        <v>-1.51</v>
      </c>
      <c r="BI1317">
        <v>20191025</v>
      </c>
      <c r="BJ1317">
        <v>20170622</v>
      </c>
      <c r="BK1317">
        <v>1.81</v>
      </c>
      <c r="BL1317" t="s">
        <v>116</v>
      </c>
      <c r="BM1317" t="s">
        <v>116</v>
      </c>
      <c r="BN1317">
        <v>8.42</v>
      </c>
      <c r="BO1317">
        <v>5.4</v>
      </c>
      <c r="BP1317">
        <v>0</v>
      </c>
      <c r="BQ1317">
        <v>35.9</v>
      </c>
      <c r="BR1317">
        <v>7.85</v>
      </c>
      <c r="BS1317">
        <v>0.16</v>
      </c>
      <c r="BT1317">
        <v>0.14000000000000001</v>
      </c>
      <c r="BU1317">
        <v>3</v>
      </c>
      <c r="BV1317">
        <v>1.9</v>
      </c>
      <c r="BW1317">
        <v>2.2799999999999998</v>
      </c>
      <c r="BX1317">
        <v>1.71</v>
      </c>
      <c r="BY1317">
        <v>6.23</v>
      </c>
      <c r="BZ1317">
        <v>4.96</v>
      </c>
      <c r="CA1317">
        <v>0.18</v>
      </c>
      <c r="CB1317">
        <v>0.02</v>
      </c>
      <c r="CC1317">
        <v>0.18</v>
      </c>
      <c r="CD1317">
        <v>0.15</v>
      </c>
      <c r="CE1317">
        <v>0.15</v>
      </c>
      <c r="CF1317">
        <v>0.12</v>
      </c>
      <c r="CG1317">
        <v>1.69</v>
      </c>
      <c r="CH1317">
        <v>0.03</v>
      </c>
      <c r="CI1317">
        <v>0.33</v>
      </c>
      <c r="CJ1317">
        <v>23383</v>
      </c>
      <c r="CK1317">
        <v>1939</v>
      </c>
      <c r="CL1317" t="s">
        <v>1424</v>
      </c>
      <c r="CM1317">
        <v>-46.07</v>
      </c>
      <c r="CN1317">
        <v>2.92</v>
      </c>
      <c r="CO1317">
        <v>9.5299999999999994</v>
      </c>
      <c r="CP1317">
        <v>1503.04</v>
      </c>
      <c r="CQ1317">
        <v>8.26</v>
      </c>
      <c r="CR1317">
        <v>0.1</v>
      </c>
      <c r="CS1317" t="s">
        <v>7256</v>
      </c>
      <c r="CT1317">
        <v>2.98</v>
      </c>
      <c r="CU1317">
        <v>0</v>
      </c>
      <c r="CV1317">
        <v>0.95</v>
      </c>
      <c r="CW1317">
        <v>0.93</v>
      </c>
      <c r="CX1317">
        <v>0.02</v>
      </c>
      <c r="CY1317">
        <v>64.099999999999994</v>
      </c>
      <c r="CZ1317" t="s">
        <v>534</v>
      </c>
      <c r="DA1317">
        <v>20.329999999999998</v>
      </c>
      <c r="DB1317">
        <v>2.83</v>
      </c>
      <c r="DC1317">
        <v>2.4700000000000002</v>
      </c>
      <c r="DD1317">
        <v>0.69</v>
      </c>
      <c r="DE1317">
        <v>1230</v>
      </c>
      <c r="DF1317">
        <v>2881</v>
      </c>
      <c r="DG1317" t="s">
        <v>116</v>
      </c>
      <c r="DH1317" t="s">
        <v>116</v>
      </c>
      <c r="DI1317" t="s">
        <v>116</v>
      </c>
    </row>
    <row r="1318" spans="1:113" x14ac:dyDescent="0.4">
      <c r="A1318" t="str">
        <f>"002882"</f>
        <v>002882</v>
      </c>
      <c r="B1318" t="s">
        <v>7257</v>
      </c>
      <c r="C1318">
        <v>-2.04</v>
      </c>
      <c r="D1318">
        <v>10.57</v>
      </c>
      <c r="E1318">
        <v>-0.22</v>
      </c>
      <c r="F1318">
        <v>10.56</v>
      </c>
      <c r="G1318">
        <v>10.57</v>
      </c>
      <c r="H1318">
        <v>12011</v>
      </c>
      <c r="I1318">
        <v>322</v>
      </c>
      <c r="J1318">
        <v>-0.27</v>
      </c>
      <c r="K1318">
        <v>1.39</v>
      </c>
      <c r="L1318">
        <v>10.78</v>
      </c>
      <c r="M1318">
        <v>10.83</v>
      </c>
      <c r="N1318">
        <v>10.56</v>
      </c>
      <c r="O1318">
        <v>10.79</v>
      </c>
      <c r="P1318">
        <v>15.14</v>
      </c>
      <c r="Q1318">
        <v>12834862</v>
      </c>
      <c r="R1318">
        <v>1.19</v>
      </c>
      <c r="S1318" t="s">
        <v>397</v>
      </c>
      <c r="T1318" t="s">
        <v>115</v>
      </c>
      <c r="U1318">
        <v>2.5</v>
      </c>
      <c r="V1318">
        <v>10.69</v>
      </c>
      <c r="W1318">
        <v>7909</v>
      </c>
      <c r="X1318">
        <v>4102</v>
      </c>
      <c r="Y1318">
        <v>1.93</v>
      </c>
      <c r="Z1318">
        <v>21</v>
      </c>
      <c r="AA1318">
        <v>233</v>
      </c>
      <c r="AB1318" t="s">
        <v>116</v>
      </c>
      <c r="AC1318">
        <v>10800</v>
      </c>
      <c r="AD1318">
        <v>0</v>
      </c>
      <c r="AE1318" t="s">
        <v>116</v>
      </c>
      <c r="AF1318" t="s">
        <v>116</v>
      </c>
      <c r="AG1318">
        <v>0.86</v>
      </c>
      <c r="AH1318" t="s">
        <v>5887</v>
      </c>
      <c r="AI1318" t="s">
        <v>5082</v>
      </c>
      <c r="AJ1318">
        <v>-1.36</v>
      </c>
      <c r="AK1318">
        <v>634</v>
      </c>
      <c r="AL1318">
        <v>19</v>
      </c>
      <c r="AM1318">
        <v>2.2000000000000001E-3</v>
      </c>
      <c r="AN1318">
        <v>-1</v>
      </c>
      <c r="AO1318">
        <v>-0.1</v>
      </c>
      <c r="AP1318">
        <v>6.66</v>
      </c>
      <c r="AQ1318">
        <v>-1.03</v>
      </c>
      <c r="AR1318">
        <v>10.1</v>
      </c>
      <c r="AS1318">
        <v>1.39</v>
      </c>
      <c r="AT1318" t="s">
        <v>5887</v>
      </c>
      <c r="AU1318">
        <v>16.350000000000001</v>
      </c>
      <c r="AV1318">
        <v>18.84</v>
      </c>
      <c r="AW1318">
        <v>0.99</v>
      </c>
      <c r="BA1318">
        <v>-0.09</v>
      </c>
      <c r="BB1318">
        <v>0.37</v>
      </c>
      <c r="BC1318">
        <v>-2.13</v>
      </c>
      <c r="BD1318">
        <v>-0.96</v>
      </c>
      <c r="BE1318">
        <v>-1.95</v>
      </c>
      <c r="BF1318">
        <v>-2.4</v>
      </c>
      <c r="BG1318">
        <v>0.09</v>
      </c>
      <c r="BH1318">
        <v>-1.07</v>
      </c>
      <c r="BI1318">
        <v>20191026</v>
      </c>
      <c r="BJ1318">
        <v>20170717</v>
      </c>
      <c r="BK1318">
        <v>4.33</v>
      </c>
      <c r="BL1318" t="s">
        <v>116</v>
      </c>
      <c r="BM1318" t="s">
        <v>116</v>
      </c>
      <c r="BN1318">
        <v>26.08</v>
      </c>
      <c r="BO1318">
        <v>17.95</v>
      </c>
      <c r="BP1318">
        <v>0</v>
      </c>
      <c r="BQ1318">
        <v>31.16</v>
      </c>
      <c r="BR1318">
        <v>22.07</v>
      </c>
      <c r="BS1318">
        <v>2.0499999999999998</v>
      </c>
      <c r="BT1318">
        <v>0.52</v>
      </c>
      <c r="BU1318">
        <v>8.0500000000000007</v>
      </c>
      <c r="BV1318">
        <v>6.99</v>
      </c>
      <c r="BW1318">
        <v>10.85</v>
      </c>
      <c r="BX1318">
        <v>6.14</v>
      </c>
      <c r="BY1318">
        <v>28.81</v>
      </c>
      <c r="BZ1318">
        <v>24.06</v>
      </c>
      <c r="CA1318">
        <v>2.95</v>
      </c>
      <c r="CB1318">
        <v>0</v>
      </c>
      <c r="CC1318">
        <v>2.95</v>
      </c>
      <c r="CD1318">
        <v>2.27</v>
      </c>
      <c r="CE1318">
        <v>2.27</v>
      </c>
      <c r="CF1318">
        <v>2.2400000000000002</v>
      </c>
      <c r="CG1318">
        <v>6.98</v>
      </c>
      <c r="CH1318">
        <v>-2.98</v>
      </c>
      <c r="CI1318">
        <v>-2.65</v>
      </c>
      <c r="CJ1318">
        <v>22857</v>
      </c>
      <c r="CK1318">
        <v>3773</v>
      </c>
      <c r="CL1318" t="s">
        <v>2417</v>
      </c>
      <c r="CM1318">
        <v>19.489999999999998</v>
      </c>
      <c r="CN1318">
        <v>19.18</v>
      </c>
      <c r="CO1318">
        <v>2.5499999999999998</v>
      </c>
      <c r="CP1318">
        <v>-15.34</v>
      </c>
      <c r="CQ1318">
        <v>1.59</v>
      </c>
      <c r="CR1318">
        <v>1.42</v>
      </c>
      <c r="CS1318" t="s">
        <v>7258</v>
      </c>
      <c r="CT1318">
        <v>4.1500000000000004</v>
      </c>
      <c r="CU1318">
        <v>0</v>
      </c>
      <c r="CV1318">
        <v>1.42</v>
      </c>
      <c r="CW1318">
        <v>1.61</v>
      </c>
      <c r="CX1318">
        <v>-0.69</v>
      </c>
      <c r="CY1318">
        <v>68.84</v>
      </c>
      <c r="CZ1318" t="s">
        <v>7259</v>
      </c>
      <c r="DA1318">
        <v>16.489999999999998</v>
      </c>
      <c r="DB1318">
        <v>10.23</v>
      </c>
      <c r="DC1318">
        <v>7.87</v>
      </c>
      <c r="DD1318">
        <v>0.05</v>
      </c>
      <c r="DE1318">
        <v>1063</v>
      </c>
      <c r="DF1318">
        <v>2882</v>
      </c>
      <c r="DG1318" t="s">
        <v>116</v>
      </c>
      <c r="DH1318" t="s">
        <v>116</v>
      </c>
      <c r="DI1318" t="s">
        <v>116</v>
      </c>
    </row>
    <row r="1319" spans="1:113" x14ac:dyDescent="0.4">
      <c r="A1319" t="str">
        <f>"002883"</f>
        <v>002883</v>
      </c>
      <c r="B1319" t="s">
        <v>7260</v>
      </c>
      <c r="C1319">
        <v>-1.05</v>
      </c>
      <c r="D1319">
        <v>19.71</v>
      </c>
      <c r="E1319">
        <v>-0.21</v>
      </c>
      <c r="F1319">
        <v>19.71</v>
      </c>
      <c r="G1319">
        <v>19.72</v>
      </c>
      <c r="H1319">
        <v>8517</v>
      </c>
      <c r="I1319">
        <v>141</v>
      </c>
      <c r="J1319">
        <v>-0.14000000000000001</v>
      </c>
      <c r="K1319">
        <v>1.88</v>
      </c>
      <c r="L1319">
        <v>19.91</v>
      </c>
      <c r="M1319">
        <v>20.07</v>
      </c>
      <c r="N1319">
        <v>19.66</v>
      </c>
      <c r="O1319">
        <v>19.920000000000002</v>
      </c>
      <c r="P1319">
        <v>28.09</v>
      </c>
      <c r="Q1319">
        <v>16952290</v>
      </c>
      <c r="R1319">
        <v>0.7</v>
      </c>
      <c r="S1319" t="s">
        <v>181</v>
      </c>
      <c r="T1319" t="s">
        <v>323</v>
      </c>
      <c r="U1319">
        <v>2.06</v>
      </c>
      <c r="V1319">
        <v>19.899999999999999</v>
      </c>
      <c r="W1319">
        <v>5574</v>
      </c>
      <c r="X1319">
        <v>2943</v>
      </c>
      <c r="Y1319">
        <v>1.89</v>
      </c>
      <c r="Z1319">
        <v>13</v>
      </c>
      <c r="AA1319">
        <v>10</v>
      </c>
      <c r="AB1319" t="s">
        <v>116</v>
      </c>
      <c r="AC1319">
        <v>21900</v>
      </c>
      <c r="AD1319">
        <v>0</v>
      </c>
      <c r="AE1319" t="s">
        <v>116</v>
      </c>
      <c r="AF1319" t="s">
        <v>116</v>
      </c>
      <c r="AG1319">
        <v>0.45</v>
      </c>
      <c r="AH1319" t="s">
        <v>7261</v>
      </c>
      <c r="AI1319" t="s">
        <v>5056</v>
      </c>
      <c r="AJ1319">
        <v>-0.38</v>
      </c>
      <c r="AK1319">
        <v>798</v>
      </c>
      <c r="AL1319">
        <v>11</v>
      </c>
      <c r="AM1319">
        <v>2.3999999999999998E-3</v>
      </c>
      <c r="AN1319">
        <v>-1</v>
      </c>
      <c r="AO1319">
        <v>-0.85</v>
      </c>
      <c r="AP1319">
        <v>0</v>
      </c>
      <c r="AQ1319">
        <v>0.72</v>
      </c>
      <c r="AR1319">
        <v>1.49</v>
      </c>
      <c r="AS1319">
        <v>2.25</v>
      </c>
      <c r="AT1319" t="s">
        <v>2824</v>
      </c>
      <c r="AU1319">
        <v>27.25</v>
      </c>
      <c r="AV1319">
        <v>30.14</v>
      </c>
      <c r="AW1319">
        <v>0.94</v>
      </c>
      <c r="BA1319">
        <v>-0.05</v>
      </c>
      <c r="BB1319">
        <v>0.75</v>
      </c>
      <c r="BC1319">
        <v>-1.31</v>
      </c>
      <c r="BD1319">
        <v>-0.08</v>
      </c>
      <c r="BE1319">
        <v>-1</v>
      </c>
      <c r="BF1319">
        <v>-1.79</v>
      </c>
      <c r="BG1319">
        <v>0.25</v>
      </c>
      <c r="BH1319">
        <v>-0.98</v>
      </c>
      <c r="BI1319">
        <v>20191224</v>
      </c>
      <c r="BJ1319">
        <v>20170620</v>
      </c>
      <c r="BK1319">
        <v>0.87</v>
      </c>
      <c r="BL1319" t="s">
        <v>116</v>
      </c>
      <c r="BM1319" t="s">
        <v>116</v>
      </c>
      <c r="BN1319">
        <v>5.57</v>
      </c>
      <c r="BO1319">
        <v>4.66</v>
      </c>
      <c r="BP1319">
        <v>0.06</v>
      </c>
      <c r="BQ1319">
        <v>15.3</v>
      </c>
      <c r="BR1319">
        <v>4.55</v>
      </c>
      <c r="BS1319">
        <v>0.2</v>
      </c>
      <c r="BT1319">
        <v>0.1</v>
      </c>
      <c r="BU1319">
        <v>0.85</v>
      </c>
      <c r="BV1319">
        <v>0</v>
      </c>
      <c r="BW1319">
        <v>3.48</v>
      </c>
      <c r="BX1319">
        <v>1.96</v>
      </c>
      <c r="BY1319">
        <v>2.21</v>
      </c>
      <c r="BZ1319">
        <v>1.1399999999999999</v>
      </c>
      <c r="CA1319">
        <v>0.53</v>
      </c>
      <c r="CB1319">
        <v>0.03</v>
      </c>
      <c r="CC1319">
        <v>0.53</v>
      </c>
      <c r="CD1319">
        <v>0.45</v>
      </c>
      <c r="CE1319">
        <v>0.46</v>
      </c>
      <c r="CF1319">
        <v>0.45</v>
      </c>
      <c r="CG1319">
        <v>1.83</v>
      </c>
      <c r="CH1319">
        <v>0</v>
      </c>
      <c r="CI1319">
        <v>-0.41</v>
      </c>
      <c r="CJ1319">
        <v>10455</v>
      </c>
      <c r="CK1319">
        <v>3621</v>
      </c>
      <c r="CL1319" t="s">
        <v>7262</v>
      </c>
      <c r="CM1319">
        <v>15.17</v>
      </c>
      <c r="CN1319">
        <v>12.04</v>
      </c>
      <c r="CO1319">
        <v>3.68</v>
      </c>
      <c r="CP1319">
        <v>-8577.44</v>
      </c>
      <c r="CQ1319">
        <v>7.75</v>
      </c>
      <c r="CR1319">
        <v>0.81</v>
      </c>
      <c r="CS1319" t="s">
        <v>7263</v>
      </c>
      <c r="CT1319">
        <v>5.36</v>
      </c>
      <c r="CU1319">
        <v>0</v>
      </c>
      <c r="CV1319">
        <v>2.25</v>
      </c>
      <c r="CW1319">
        <v>2.11</v>
      </c>
      <c r="CX1319">
        <v>0</v>
      </c>
      <c r="CY1319">
        <v>83.57</v>
      </c>
      <c r="CZ1319" t="s">
        <v>5152</v>
      </c>
      <c r="DA1319">
        <v>48.49</v>
      </c>
      <c r="DB1319">
        <v>24.02</v>
      </c>
      <c r="DC1319">
        <v>20.69</v>
      </c>
      <c r="DD1319">
        <v>0.14000000000000001</v>
      </c>
      <c r="DE1319">
        <v>676</v>
      </c>
      <c r="DF1319">
        <v>2883</v>
      </c>
      <c r="DG1319" t="s">
        <v>116</v>
      </c>
      <c r="DH1319" t="s">
        <v>116</v>
      </c>
      <c r="DI1319" t="s">
        <v>116</v>
      </c>
    </row>
    <row r="1320" spans="1:113" x14ac:dyDescent="0.4">
      <c r="A1320" t="str">
        <f>"002884"</f>
        <v>002884</v>
      </c>
      <c r="B1320" t="s">
        <v>7264</v>
      </c>
      <c r="C1320">
        <v>0.95</v>
      </c>
      <c r="D1320">
        <v>14.92</v>
      </c>
      <c r="E1320">
        <v>0.14000000000000001</v>
      </c>
      <c r="F1320">
        <v>14.92</v>
      </c>
      <c r="G1320">
        <v>14.93</v>
      </c>
      <c r="H1320">
        <v>27453</v>
      </c>
      <c r="I1320">
        <v>194</v>
      </c>
      <c r="J1320">
        <v>0</v>
      </c>
      <c r="K1320">
        <v>2.62</v>
      </c>
      <c r="L1320">
        <v>14.78</v>
      </c>
      <c r="M1320">
        <v>15.14</v>
      </c>
      <c r="N1320">
        <v>14.73</v>
      </c>
      <c r="O1320">
        <v>14.78</v>
      </c>
      <c r="P1320">
        <v>10.85</v>
      </c>
      <c r="Q1320">
        <v>41264408</v>
      </c>
      <c r="R1320">
        <v>2.16</v>
      </c>
      <c r="S1320" t="s">
        <v>682</v>
      </c>
      <c r="T1320" t="s">
        <v>551</v>
      </c>
      <c r="U1320">
        <v>2.77</v>
      </c>
      <c r="V1320">
        <v>15.03</v>
      </c>
      <c r="W1320">
        <v>10610</v>
      </c>
      <c r="X1320">
        <v>16843</v>
      </c>
      <c r="Y1320">
        <v>0.63</v>
      </c>
      <c r="Z1320">
        <v>28</v>
      </c>
      <c r="AA1320">
        <v>10</v>
      </c>
      <c r="AB1320" t="s">
        <v>116</v>
      </c>
      <c r="AC1320">
        <v>84200</v>
      </c>
      <c r="AD1320">
        <v>0.01</v>
      </c>
      <c r="AE1320" t="s">
        <v>116</v>
      </c>
      <c r="AF1320" t="s">
        <v>116</v>
      </c>
      <c r="AG1320">
        <v>1.05</v>
      </c>
      <c r="AH1320" t="s">
        <v>4948</v>
      </c>
      <c r="AI1320" t="s">
        <v>7265</v>
      </c>
      <c r="AJ1320">
        <v>1.63</v>
      </c>
      <c r="AK1320">
        <v>1471</v>
      </c>
      <c r="AL1320">
        <v>19</v>
      </c>
      <c r="AM1320">
        <v>1.8E-3</v>
      </c>
      <c r="AN1320">
        <v>2</v>
      </c>
      <c r="AO1320">
        <v>0.41</v>
      </c>
      <c r="AP1320">
        <v>8.98</v>
      </c>
      <c r="AQ1320">
        <v>3.25</v>
      </c>
      <c r="AR1320">
        <v>24.14</v>
      </c>
      <c r="AS1320">
        <v>2.72</v>
      </c>
      <c r="AT1320" t="s">
        <v>7266</v>
      </c>
      <c r="AU1320">
        <v>10.95</v>
      </c>
      <c r="AV1320">
        <v>12.88</v>
      </c>
      <c r="AW1320">
        <v>0.74</v>
      </c>
      <c r="BA1320">
        <v>0</v>
      </c>
      <c r="BB1320">
        <v>2.44</v>
      </c>
      <c r="BC1320">
        <v>-0.34</v>
      </c>
      <c r="BD1320">
        <v>1.7</v>
      </c>
      <c r="BE1320">
        <v>0.95</v>
      </c>
      <c r="BF1320">
        <v>-1.45</v>
      </c>
      <c r="BG1320">
        <v>1.29</v>
      </c>
      <c r="BH1320">
        <v>-0.75</v>
      </c>
      <c r="BI1320">
        <v>20191031</v>
      </c>
      <c r="BJ1320">
        <v>20170711</v>
      </c>
      <c r="BK1320">
        <v>1.93</v>
      </c>
      <c r="BL1320" t="s">
        <v>116</v>
      </c>
      <c r="BM1320" t="s">
        <v>116</v>
      </c>
      <c r="BN1320">
        <v>14.17</v>
      </c>
      <c r="BO1320">
        <v>13.13</v>
      </c>
      <c r="BP1320">
        <v>0</v>
      </c>
      <c r="BQ1320">
        <v>7.36</v>
      </c>
      <c r="BR1320">
        <v>12.58</v>
      </c>
      <c r="BS1320">
        <v>1.25</v>
      </c>
      <c r="BT1320">
        <v>7.0000000000000007E-2</v>
      </c>
      <c r="BU1320">
        <v>0.87</v>
      </c>
      <c r="BV1320">
        <v>2.4500000000000002</v>
      </c>
      <c r="BW1320">
        <v>0.85</v>
      </c>
      <c r="BX1320">
        <v>3.57</v>
      </c>
      <c r="BY1320">
        <v>8.1999999999999993</v>
      </c>
      <c r="BZ1320">
        <v>5.5</v>
      </c>
      <c r="CA1320">
        <v>2.2999999999999998</v>
      </c>
      <c r="CB1320">
        <v>0.22</v>
      </c>
      <c r="CC1320">
        <v>2.2999999999999998</v>
      </c>
      <c r="CD1320">
        <v>1.99</v>
      </c>
      <c r="CE1320">
        <v>1.99</v>
      </c>
      <c r="CF1320">
        <v>1.73</v>
      </c>
      <c r="CG1320">
        <v>6.17</v>
      </c>
      <c r="CH1320">
        <v>1.81</v>
      </c>
      <c r="CI1320">
        <v>-0.09</v>
      </c>
      <c r="CJ1320">
        <v>13237</v>
      </c>
      <c r="CK1320">
        <v>7614</v>
      </c>
      <c r="CL1320" t="s">
        <v>7267</v>
      </c>
      <c r="CM1320">
        <v>24.8</v>
      </c>
      <c r="CN1320">
        <v>2.62</v>
      </c>
      <c r="CO1320">
        <v>2.19</v>
      </c>
      <c r="CP1320">
        <v>15.88</v>
      </c>
      <c r="CQ1320">
        <v>3.51</v>
      </c>
      <c r="CR1320">
        <v>6.28</v>
      </c>
      <c r="CS1320" t="s">
        <v>7268</v>
      </c>
      <c r="CT1320">
        <v>6.81</v>
      </c>
      <c r="CU1320">
        <v>0</v>
      </c>
      <c r="CV1320">
        <v>1.85</v>
      </c>
      <c r="CW1320">
        <v>3.2</v>
      </c>
      <c r="CX1320">
        <v>0.94</v>
      </c>
      <c r="CY1320">
        <v>92.64</v>
      </c>
      <c r="CZ1320" t="s">
        <v>7269</v>
      </c>
      <c r="DA1320">
        <v>32.909999999999997</v>
      </c>
      <c r="DB1320">
        <v>28.04</v>
      </c>
      <c r="DC1320">
        <v>24.23</v>
      </c>
      <c r="DD1320">
        <v>0.25</v>
      </c>
      <c r="DE1320">
        <v>1038</v>
      </c>
      <c r="DF1320">
        <v>2884</v>
      </c>
      <c r="DG1320" t="s">
        <v>116</v>
      </c>
      <c r="DH1320" t="s">
        <v>116</v>
      </c>
      <c r="DI1320" t="s">
        <v>116</v>
      </c>
    </row>
    <row r="1321" spans="1:113" x14ac:dyDescent="0.4">
      <c r="A1321" t="str">
        <f>"002885"</f>
        <v>002885</v>
      </c>
      <c r="B1321" t="s">
        <v>7270</v>
      </c>
      <c r="C1321">
        <v>-2.04</v>
      </c>
      <c r="D1321">
        <v>16.78</v>
      </c>
      <c r="E1321">
        <v>-0.35</v>
      </c>
      <c r="F1321">
        <v>16.78</v>
      </c>
      <c r="G1321">
        <v>16.79</v>
      </c>
      <c r="H1321">
        <v>33397</v>
      </c>
      <c r="I1321">
        <v>335</v>
      </c>
      <c r="J1321">
        <v>0.18</v>
      </c>
      <c r="K1321">
        <v>4.93</v>
      </c>
      <c r="L1321">
        <v>17.13</v>
      </c>
      <c r="M1321">
        <v>17.28</v>
      </c>
      <c r="N1321">
        <v>16.73</v>
      </c>
      <c r="O1321">
        <v>17.13</v>
      </c>
      <c r="P1321">
        <v>46.7</v>
      </c>
      <c r="Q1321">
        <v>57002572</v>
      </c>
      <c r="R1321">
        <v>1.06</v>
      </c>
      <c r="S1321" t="s">
        <v>233</v>
      </c>
      <c r="T1321" t="s">
        <v>115</v>
      </c>
      <c r="U1321">
        <v>3.21</v>
      </c>
      <c r="V1321">
        <v>17.07</v>
      </c>
      <c r="W1321">
        <v>20078</v>
      </c>
      <c r="X1321">
        <v>13319</v>
      </c>
      <c r="Y1321">
        <v>1.51</v>
      </c>
      <c r="Z1321">
        <v>10</v>
      </c>
      <c r="AA1321">
        <v>21</v>
      </c>
      <c r="AB1321" t="s">
        <v>116</v>
      </c>
      <c r="AC1321">
        <v>274100</v>
      </c>
      <c r="AD1321">
        <v>0.02</v>
      </c>
      <c r="AE1321" t="s">
        <v>116</v>
      </c>
      <c r="AF1321" t="s">
        <v>116</v>
      </c>
      <c r="AG1321">
        <v>0.68</v>
      </c>
      <c r="AH1321" t="s">
        <v>6400</v>
      </c>
      <c r="AI1321" t="s">
        <v>6959</v>
      </c>
      <c r="AJ1321">
        <v>-1.36</v>
      </c>
      <c r="AK1321">
        <v>2022</v>
      </c>
      <c r="AL1321">
        <v>17</v>
      </c>
      <c r="AM1321">
        <v>2.3999999999999998E-3</v>
      </c>
      <c r="AN1321">
        <v>-1</v>
      </c>
      <c r="AO1321">
        <v>-0.41</v>
      </c>
      <c r="AP1321">
        <v>7.36</v>
      </c>
      <c r="AQ1321">
        <v>-10.27</v>
      </c>
      <c r="AR1321">
        <v>19.43</v>
      </c>
      <c r="AS1321">
        <v>4.93</v>
      </c>
      <c r="AT1321" t="s">
        <v>6400</v>
      </c>
      <c r="AU1321">
        <v>47.26</v>
      </c>
      <c r="AV1321">
        <v>37.880000000000003</v>
      </c>
      <c r="AW1321">
        <v>1.27</v>
      </c>
      <c r="BA1321">
        <v>0</v>
      </c>
      <c r="BB1321">
        <v>0.88</v>
      </c>
      <c r="BC1321">
        <v>-2.34</v>
      </c>
      <c r="BD1321">
        <v>-0.36</v>
      </c>
      <c r="BE1321">
        <v>-2.04</v>
      </c>
      <c r="BF1321">
        <v>-2.89</v>
      </c>
      <c r="BG1321">
        <v>0.3</v>
      </c>
      <c r="BH1321">
        <v>-1.68</v>
      </c>
      <c r="BI1321">
        <v>20191025</v>
      </c>
      <c r="BJ1321">
        <v>20170627</v>
      </c>
      <c r="BK1321">
        <v>1.8</v>
      </c>
      <c r="BL1321" t="s">
        <v>116</v>
      </c>
      <c r="BM1321" t="s">
        <v>116</v>
      </c>
      <c r="BN1321">
        <v>15.21</v>
      </c>
      <c r="BO1321">
        <v>7.77</v>
      </c>
      <c r="BP1321">
        <v>0</v>
      </c>
      <c r="BQ1321">
        <v>48.89</v>
      </c>
      <c r="BR1321">
        <v>10.199999999999999</v>
      </c>
      <c r="BS1321">
        <v>3.68</v>
      </c>
      <c r="BT1321">
        <v>0.22</v>
      </c>
      <c r="BU1321">
        <v>6.07</v>
      </c>
      <c r="BV1321">
        <v>2.56</v>
      </c>
      <c r="BW1321">
        <v>3.44</v>
      </c>
      <c r="BX1321">
        <v>2.41</v>
      </c>
      <c r="BY1321">
        <v>9.83</v>
      </c>
      <c r="BZ1321">
        <v>8.32</v>
      </c>
      <c r="CA1321">
        <v>0.51</v>
      </c>
      <c r="CB1321">
        <v>0.01</v>
      </c>
      <c r="CC1321">
        <v>0.51</v>
      </c>
      <c r="CD1321">
        <v>0.47</v>
      </c>
      <c r="CE1321">
        <v>0.49</v>
      </c>
      <c r="CF1321">
        <v>0.41</v>
      </c>
      <c r="CG1321">
        <v>3.25</v>
      </c>
      <c r="CH1321">
        <v>0.47</v>
      </c>
      <c r="CI1321">
        <v>0.11</v>
      </c>
      <c r="CJ1321">
        <v>24110</v>
      </c>
      <c r="CK1321">
        <v>2808</v>
      </c>
      <c r="CL1321" t="s">
        <v>7271</v>
      </c>
      <c r="CM1321">
        <v>-24.6</v>
      </c>
      <c r="CN1321">
        <v>11.1</v>
      </c>
      <c r="CO1321">
        <v>3.89</v>
      </c>
      <c r="CP1321">
        <v>64.12</v>
      </c>
      <c r="CQ1321">
        <v>3.07</v>
      </c>
      <c r="CR1321">
        <v>0.3</v>
      </c>
      <c r="CS1321" t="s">
        <v>4952</v>
      </c>
      <c r="CT1321">
        <v>4.32</v>
      </c>
      <c r="CU1321">
        <v>0</v>
      </c>
      <c r="CV1321">
        <v>1.34</v>
      </c>
      <c r="CW1321">
        <v>1.81</v>
      </c>
      <c r="CX1321">
        <v>0.26</v>
      </c>
      <c r="CY1321">
        <v>51.1</v>
      </c>
      <c r="CZ1321" t="s">
        <v>3806</v>
      </c>
      <c r="DA1321">
        <v>15.31</v>
      </c>
      <c r="DB1321">
        <v>5.14</v>
      </c>
      <c r="DC1321">
        <v>4.93</v>
      </c>
      <c r="DD1321">
        <v>0.39</v>
      </c>
      <c r="DE1321">
        <v>3154</v>
      </c>
      <c r="DF1321">
        <v>2885</v>
      </c>
      <c r="DG1321" t="s">
        <v>116</v>
      </c>
      <c r="DH1321" t="s">
        <v>116</v>
      </c>
      <c r="DI1321" t="s">
        <v>116</v>
      </c>
    </row>
    <row r="1322" spans="1:113" x14ac:dyDescent="0.4">
      <c r="A1322" t="str">
        <f>"002886"</f>
        <v>002886</v>
      </c>
      <c r="B1322" t="s">
        <v>7272</v>
      </c>
      <c r="C1322">
        <v>-4.33</v>
      </c>
      <c r="D1322">
        <v>25.16</v>
      </c>
      <c r="E1322">
        <v>-1.1399999999999999</v>
      </c>
      <c r="F1322">
        <v>25.16</v>
      </c>
      <c r="G1322">
        <v>25.17</v>
      </c>
      <c r="H1322">
        <v>61163</v>
      </c>
      <c r="I1322">
        <v>727</v>
      </c>
      <c r="J1322">
        <v>0.04</v>
      </c>
      <c r="K1322">
        <v>12.33</v>
      </c>
      <c r="L1322">
        <v>26.2</v>
      </c>
      <c r="M1322">
        <v>26.2</v>
      </c>
      <c r="N1322">
        <v>25.1</v>
      </c>
      <c r="O1322">
        <v>26.3</v>
      </c>
      <c r="P1322">
        <v>99.65</v>
      </c>
      <c r="Q1322">
        <v>157216336</v>
      </c>
      <c r="R1322">
        <v>1.44</v>
      </c>
      <c r="S1322" t="s">
        <v>2444</v>
      </c>
      <c r="T1322" t="s">
        <v>115</v>
      </c>
      <c r="U1322">
        <v>4.18</v>
      </c>
      <c r="V1322">
        <v>25.7</v>
      </c>
      <c r="W1322">
        <v>37339</v>
      </c>
      <c r="X1322">
        <v>23824</v>
      </c>
      <c r="Y1322">
        <v>1.57</v>
      </c>
      <c r="Z1322">
        <v>88</v>
      </c>
      <c r="AA1322">
        <v>54</v>
      </c>
      <c r="AB1322" t="s">
        <v>116</v>
      </c>
      <c r="AC1322">
        <v>1257600</v>
      </c>
      <c r="AD1322">
        <v>0.1</v>
      </c>
      <c r="AE1322" t="s">
        <v>116</v>
      </c>
      <c r="AF1322" t="s">
        <v>116</v>
      </c>
      <c r="AG1322">
        <v>0.5</v>
      </c>
      <c r="AH1322" t="s">
        <v>7012</v>
      </c>
      <c r="AI1322" t="s">
        <v>7273</v>
      </c>
      <c r="AJ1322">
        <v>-3.66</v>
      </c>
      <c r="AK1322">
        <v>2720</v>
      </c>
      <c r="AL1322">
        <v>22</v>
      </c>
      <c r="AM1322">
        <v>4.4999999999999997E-3</v>
      </c>
      <c r="AN1322">
        <v>-1</v>
      </c>
      <c r="AO1322">
        <v>0.25</v>
      </c>
      <c r="AP1322">
        <v>8.68</v>
      </c>
      <c r="AQ1322">
        <v>6.34</v>
      </c>
      <c r="AR1322">
        <v>44.85</v>
      </c>
      <c r="AS1322">
        <v>12.33</v>
      </c>
      <c r="AT1322" t="s">
        <v>7012</v>
      </c>
      <c r="AU1322">
        <v>87.32</v>
      </c>
      <c r="AV1322">
        <v>85.31</v>
      </c>
      <c r="AW1322">
        <v>0.87</v>
      </c>
      <c r="BA1322">
        <v>-0.38</v>
      </c>
      <c r="BB1322">
        <v>-0.38</v>
      </c>
      <c r="BC1322">
        <v>-4.5599999999999996</v>
      </c>
      <c r="BD1322">
        <v>-2.2599999999999998</v>
      </c>
      <c r="BE1322">
        <v>-3.97</v>
      </c>
      <c r="BF1322">
        <v>-3.97</v>
      </c>
      <c r="BG1322">
        <v>0.24</v>
      </c>
      <c r="BH1322">
        <v>-2.0699999999999998</v>
      </c>
      <c r="BI1322">
        <v>20191213</v>
      </c>
      <c r="BJ1322">
        <v>20170627</v>
      </c>
      <c r="BK1322">
        <v>1.19</v>
      </c>
      <c r="BL1322" t="s">
        <v>116</v>
      </c>
      <c r="BM1322" t="s">
        <v>116</v>
      </c>
      <c r="BN1322">
        <v>12.24</v>
      </c>
      <c r="BO1322">
        <v>6.72</v>
      </c>
      <c r="BP1322">
        <v>0.33</v>
      </c>
      <c r="BQ1322">
        <v>42.43</v>
      </c>
      <c r="BR1322">
        <v>8.42</v>
      </c>
      <c r="BS1322">
        <v>2.15</v>
      </c>
      <c r="BT1322">
        <v>0.55000000000000004</v>
      </c>
      <c r="BU1322">
        <v>5.1100000000000003</v>
      </c>
      <c r="BV1322">
        <v>3.32</v>
      </c>
      <c r="BW1322">
        <v>2.67</v>
      </c>
      <c r="BX1322">
        <v>2.87</v>
      </c>
      <c r="BY1322">
        <v>6.32</v>
      </c>
      <c r="BZ1322">
        <v>5.23</v>
      </c>
      <c r="CA1322">
        <v>0.26</v>
      </c>
      <c r="CB1322">
        <v>0.04</v>
      </c>
      <c r="CC1322">
        <v>0.26</v>
      </c>
      <c r="CD1322">
        <v>0.25</v>
      </c>
      <c r="CE1322">
        <v>0.23</v>
      </c>
      <c r="CF1322">
        <v>0.16</v>
      </c>
      <c r="CG1322">
        <v>2.5</v>
      </c>
      <c r="CH1322">
        <v>0.44</v>
      </c>
      <c r="CI1322">
        <v>-0.48</v>
      </c>
      <c r="CJ1322">
        <v>13729</v>
      </c>
      <c r="CK1322">
        <v>3613</v>
      </c>
      <c r="CL1322" t="s">
        <v>7274</v>
      </c>
      <c r="CM1322">
        <v>-3.46</v>
      </c>
      <c r="CN1322">
        <v>14.5</v>
      </c>
      <c r="CO1322">
        <v>4.45</v>
      </c>
      <c r="CP1322">
        <v>68.459999999999994</v>
      </c>
      <c r="CQ1322">
        <v>4.7300000000000004</v>
      </c>
      <c r="CR1322">
        <v>0.24</v>
      </c>
      <c r="CS1322" t="s">
        <v>3584</v>
      </c>
      <c r="CT1322">
        <v>5.65</v>
      </c>
      <c r="CU1322">
        <v>0</v>
      </c>
      <c r="CV1322">
        <v>2.42</v>
      </c>
      <c r="CW1322">
        <v>2.1</v>
      </c>
      <c r="CX1322">
        <v>0.37</v>
      </c>
      <c r="CY1322">
        <v>54.9</v>
      </c>
      <c r="CZ1322" t="s">
        <v>744</v>
      </c>
      <c r="DA1322">
        <v>17.36</v>
      </c>
      <c r="DB1322">
        <v>4.1500000000000004</v>
      </c>
      <c r="DC1322">
        <v>3.56</v>
      </c>
      <c r="DD1322">
        <v>0.28999999999999998</v>
      </c>
      <c r="DE1322">
        <v>417</v>
      </c>
      <c r="DF1322">
        <v>2886</v>
      </c>
      <c r="DG1322" t="s">
        <v>116</v>
      </c>
      <c r="DH1322" t="s">
        <v>116</v>
      </c>
      <c r="DI1322" t="s">
        <v>116</v>
      </c>
    </row>
    <row r="1323" spans="1:113" x14ac:dyDescent="0.4">
      <c r="A1323" t="str">
        <f>"002887"</f>
        <v>002887</v>
      </c>
      <c r="B1323" t="s">
        <v>7275</v>
      </c>
      <c r="C1323">
        <v>-0.59</v>
      </c>
      <c r="D1323">
        <v>15.25</v>
      </c>
      <c r="E1323">
        <v>-0.09</v>
      </c>
      <c r="F1323">
        <v>15.24</v>
      </c>
      <c r="G1323">
        <v>15.25</v>
      </c>
      <c r="H1323">
        <v>6843</v>
      </c>
      <c r="I1323">
        <v>78</v>
      </c>
      <c r="J1323">
        <v>0</v>
      </c>
      <c r="K1323">
        <v>1.03</v>
      </c>
      <c r="L1323">
        <v>15.33</v>
      </c>
      <c r="M1323">
        <v>15.45</v>
      </c>
      <c r="N1323">
        <v>15.23</v>
      </c>
      <c r="O1323">
        <v>15.34</v>
      </c>
      <c r="P1323">
        <v>16.29</v>
      </c>
      <c r="Q1323">
        <v>10513454</v>
      </c>
      <c r="R1323">
        <v>0.84</v>
      </c>
      <c r="S1323" t="s">
        <v>140</v>
      </c>
      <c r="T1323" t="s">
        <v>1035</v>
      </c>
      <c r="U1323">
        <v>1.43</v>
      </c>
      <c r="V1323">
        <v>15.36</v>
      </c>
      <c r="W1323">
        <v>3614</v>
      </c>
      <c r="X1323">
        <v>3229</v>
      </c>
      <c r="Y1323">
        <v>1.1200000000000001</v>
      </c>
      <c r="Z1323">
        <v>183</v>
      </c>
      <c r="AA1323">
        <v>32</v>
      </c>
      <c r="AB1323" t="s">
        <v>116</v>
      </c>
      <c r="AC1323">
        <v>6100</v>
      </c>
      <c r="AD1323">
        <v>0</v>
      </c>
      <c r="AE1323" t="s">
        <v>116</v>
      </c>
      <c r="AF1323" t="s">
        <v>116</v>
      </c>
      <c r="AG1323">
        <v>0.67</v>
      </c>
      <c r="AH1323" t="s">
        <v>7276</v>
      </c>
      <c r="AI1323" t="s">
        <v>6891</v>
      </c>
      <c r="AJ1323">
        <v>0.09</v>
      </c>
      <c r="AK1323">
        <v>606</v>
      </c>
      <c r="AL1323">
        <v>11</v>
      </c>
      <c r="AM1323">
        <v>1.6999999999999999E-3</v>
      </c>
      <c r="AN1323">
        <v>-1</v>
      </c>
      <c r="AO1323">
        <v>-0.59</v>
      </c>
      <c r="AP1323">
        <v>2.0699999999999998</v>
      </c>
      <c r="AQ1323">
        <v>-1.87</v>
      </c>
      <c r="AR1323">
        <v>26.68</v>
      </c>
      <c r="AS1323">
        <v>1.23</v>
      </c>
      <c r="AT1323" t="s">
        <v>7277</v>
      </c>
      <c r="AU1323">
        <v>17.11</v>
      </c>
      <c r="AV1323">
        <v>20.78</v>
      </c>
      <c r="AW1323">
        <v>0.82</v>
      </c>
      <c r="BA1323">
        <v>-7.0000000000000007E-2</v>
      </c>
      <c r="BB1323">
        <v>0.72</v>
      </c>
      <c r="BC1323">
        <v>-0.72</v>
      </c>
      <c r="BD1323">
        <v>0.16</v>
      </c>
      <c r="BE1323">
        <v>-0.52</v>
      </c>
      <c r="BF1323">
        <v>-1.29</v>
      </c>
      <c r="BG1323">
        <v>0.13</v>
      </c>
      <c r="BH1323">
        <v>-0.74</v>
      </c>
      <c r="BI1323">
        <v>20191030</v>
      </c>
      <c r="BJ1323">
        <v>20170801</v>
      </c>
      <c r="BK1323">
        <v>2.08</v>
      </c>
      <c r="BL1323" t="s">
        <v>116</v>
      </c>
      <c r="BM1323" t="s">
        <v>116</v>
      </c>
      <c r="BN1323">
        <v>23.37</v>
      </c>
      <c r="BO1323">
        <v>18.53</v>
      </c>
      <c r="BP1323">
        <v>0.44</v>
      </c>
      <c r="BQ1323">
        <v>18.82</v>
      </c>
      <c r="BR1323">
        <v>21.44</v>
      </c>
      <c r="BS1323">
        <v>0.42</v>
      </c>
      <c r="BT1323">
        <v>0</v>
      </c>
      <c r="BU1323">
        <v>4.3899999999999997</v>
      </c>
      <c r="BV1323">
        <v>6.3</v>
      </c>
      <c r="BW1323">
        <v>6.32</v>
      </c>
      <c r="BX1323">
        <v>9.4</v>
      </c>
      <c r="BY1323">
        <v>5.16</v>
      </c>
      <c r="BZ1323">
        <v>3.06</v>
      </c>
      <c r="CA1323">
        <v>1.69</v>
      </c>
      <c r="CB1323">
        <v>0.04</v>
      </c>
      <c r="CC1323">
        <v>1.69</v>
      </c>
      <c r="CD1323">
        <v>1.46</v>
      </c>
      <c r="CE1323">
        <v>1.46</v>
      </c>
      <c r="CF1323">
        <v>1.42</v>
      </c>
      <c r="CG1323">
        <v>6.39</v>
      </c>
      <c r="CH1323">
        <v>-1.63</v>
      </c>
      <c r="CI1323">
        <v>-1.07</v>
      </c>
      <c r="CJ1323">
        <v>15009</v>
      </c>
      <c r="CK1323">
        <v>3702</v>
      </c>
      <c r="CL1323" t="s">
        <v>1970</v>
      </c>
      <c r="CM1323">
        <v>28.88</v>
      </c>
      <c r="CN1323">
        <v>25.37</v>
      </c>
      <c r="CO1323">
        <v>1.71</v>
      </c>
      <c r="CP1323">
        <v>-19.48</v>
      </c>
      <c r="CQ1323">
        <v>6.15</v>
      </c>
      <c r="CR1323">
        <v>1.01</v>
      </c>
      <c r="CS1323" t="s">
        <v>7278</v>
      </c>
      <c r="CT1323">
        <v>8.91</v>
      </c>
      <c r="CU1323">
        <v>0</v>
      </c>
      <c r="CV1323">
        <v>4.5199999999999996</v>
      </c>
      <c r="CW1323">
        <v>3.07</v>
      </c>
      <c r="CX1323">
        <v>-0.78</v>
      </c>
      <c r="CY1323">
        <v>79.290000000000006</v>
      </c>
      <c r="CZ1323" t="s">
        <v>5162</v>
      </c>
      <c r="DA1323">
        <v>40.78</v>
      </c>
      <c r="DB1323">
        <v>32.82</v>
      </c>
      <c r="DC1323">
        <v>28.29</v>
      </c>
      <c r="DD1323">
        <v>0.18</v>
      </c>
      <c r="DE1323">
        <v>255</v>
      </c>
      <c r="DF1323">
        <v>2887</v>
      </c>
      <c r="DG1323" t="s">
        <v>116</v>
      </c>
      <c r="DH1323" t="s">
        <v>116</v>
      </c>
      <c r="DI1323" t="s">
        <v>116</v>
      </c>
    </row>
    <row r="1324" spans="1:113" x14ac:dyDescent="0.4">
      <c r="A1324" t="str">
        <f>"002888"</f>
        <v>002888</v>
      </c>
      <c r="B1324" t="s">
        <v>7279</v>
      </c>
      <c r="C1324">
        <v>-0.62</v>
      </c>
      <c r="D1324">
        <v>22.59</v>
      </c>
      <c r="E1324">
        <v>-0.14000000000000001</v>
      </c>
      <c r="F1324">
        <v>22.58</v>
      </c>
      <c r="G1324">
        <v>22.59</v>
      </c>
      <c r="H1324">
        <v>43954</v>
      </c>
      <c r="I1324">
        <v>605</v>
      </c>
      <c r="J1324">
        <v>-0.3</v>
      </c>
      <c r="K1324">
        <v>12.35</v>
      </c>
      <c r="L1324">
        <v>22.75</v>
      </c>
      <c r="M1324">
        <v>23.25</v>
      </c>
      <c r="N1324">
        <v>22.59</v>
      </c>
      <c r="O1324">
        <v>22.73</v>
      </c>
      <c r="P1324">
        <v>129.63</v>
      </c>
      <c r="Q1324">
        <v>100714608</v>
      </c>
      <c r="R1324">
        <v>1</v>
      </c>
      <c r="S1324" t="s">
        <v>233</v>
      </c>
      <c r="T1324" t="s">
        <v>551</v>
      </c>
      <c r="U1324">
        <v>2.9</v>
      </c>
      <c r="V1324">
        <v>22.91</v>
      </c>
      <c r="W1324">
        <v>23621</v>
      </c>
      <c r="X1324">
        <v>20333</v>
      </c>
      <c r="Y1324">
        <v>1.1599999999999999</v>
      </c>
      <c r="Z1324">
        <v>34</v>
      </c>
      <c r="AA1324">
        <v>223</v>
      </c>
      <c r="AB1324" t="s">
        <v>116</v>
      </c>
      <c r="AC1324">
        <v>254800</v>
      </c>
      <c r="AD1324">
        <v>0.03</v>
      </c>
      <c r="AE1324" t="s">
        <v>116</v>
      </c>
      <c r="AF1324" t="s">
        <v>116</v>
      </c>
      <c r="AG1324">
        <v>0.36</v>
      </c>
      <c r="AH1324" t="s">
        <v>7280</v>
      </c>
      <c r="AI1324" t="s">
        <v>4486</v>
      </c>
      <c r="AJ1324">
        <v>0.06</v>
      </c>
      <c r="AK1324">
        <v>2361</v>
      </c>
      <c r="AL1324">
        <v>19</v>
      </c>
      <c r="AM1324">
        <v>5.1999999999999998E-3</v>
      </c>
      <c r="AN1324">
        <v>-2</v>
      </c>
      <c r="AO1324">
        <v>-0.05</v>
      </c>
      <c r="AP1324">
        <v>4.49</v>
      </c>
      <c r="AQ1324">
        <v>22.84</v>
      </c>
      <c r="AR1324">
        <v>24.26</v>
      </c>
      <c r="AS1324">
        <v>12.35</v>
      </c>
      <c r="AT1324" t="s">
        <v>7280</v>
      </c>
      <c r="AU1324">
        <v>117.43</v>
      </c>
      <c r="AV1324">
        <v>99.78</v>
      </c>
      <c r="AW1324">
        <v>0.52</v>
      </c>
      <c r="BA1324">
        <v>0.09</v>
      </c>
      <c r="BB1324">
        <v>2.29</v>
      </c>
      <c r="BC1324">
        <v>-0.62</v>
      </c>
      <c r="BD1324">
        <v>0.81</v>
      </c>
      <c r="BE1324">
        <v>-0.7</v>
      </c>
      <c r="BF1324">
        <v>-2.84</v>
      </c>
      <c r="BG1324">
        <v>0</v>
      </c>
      <c r="BH1324">
        <v>-1.42</v>
      </c>
      <c r="BI1324">
        <v>20191029</v>
      </c>
      <c r="BJ1324">
        <v>20170721</v>
      </c>
      <c r="BK1324">
        <v>1.25</v>
      </c>
      <c r="BL1324" t="s">
        <v>116</v>
      </c>
      <c r="BM1324" t="s">
        <v>116</v>
      </c>
      <c r="BN1324">
        <v>4.57</v>
      </c>
      <c r="BO1324">
        <v>4.12</v>
      </c>
      <c r="BP1324">
        <v>0</v>
      </c>
      <c r="BQ1324">
        <v>9.9</v>
      </c>
      <c r="BR1324">
        <v>3.29</v>
      </c>
      <c r="BS1324">
        <v>1.1100000000000001</v>
      </c>
      <c r="BT1324">
        <v>0.06</v>
      </c>
      <c r="BU1324">
        <v>0.4</v>
      </c>
      <c r="BV1324">
        <v>1.1100000000000001</v>
      </c>
      <c r="BW1324">
        <v>0.06</v>
      </c>
      <c r="BX1324">
        <v>1.39</v>
      </c>
      <c r="BY1324">
        <v>1.84</v>
      </c>
      <c r="BZ1324">
        <v>1.17</v>
      </c>
      <c r="CA1324">
        <v>0.15</v>
      </c>
      <c r="CB1324">
        <v>0.04</v>
      </c>
      <c r="CC1324">
        <v>0.18</v>
      </c>
      <c r="CD1324">
        <v>0.16</v>
      </c>
      <c r="CE1324">
        <v>0.16</v>
      </c>
      <c r="CF1324">
        <v>0.09</v>
      </c>
      <c r="CG1324">
        <v>1.32</v>
      </c>
      <c r="CH1324">
        <v>0.33</v>
      </c>
      <c r="CI1324">
        <v>0.09</v>
      </c>
      <c r="CJ1324">
        <v>14135</v>
      </c>
      <c r="CK1324">
        <v>2517</v>
      </c>
      <c r="CL1324" t="s">
        <v>1931</v>
      </c>
      <c r="CM1324">
        <v>-20.65</v>
      </c>
      <c r="CN1324">
        <v>1.8</v>
      </c>
      <c r="CO1324">
        <v>6.84</v>
      </c>
      <c r="CP1324">
        <v>86.47</v>
      </c>
      <c r="CQ1324">
        <v>15.32</v>
      </c>
      <c r="CR1324">
        <v>1.77</v>
      </c>
      <c r="CS1324" t="s">
        <v>5815</v>
      </c>
      <c r="CT1324">
        <v>3.3</v>
      </c>
      <c r="CU1324">
        <v>0</v>
      </c>
      <c r="CV1324">
        <v>1.1200000000000001</v>
      </c>
      <c r="CW1324">
        <v>1.06</v>
      </c>
      <c r="CX1324">
        <v>0.26</v>
      </c>
      <c r="CY1324">
        <v>90.1</v>
      </c>
      <c r="CZ1324" t="s">
        <v>7281</v>
      </c>
      <c r="DA1324">
        <v>36.33</v>
      </c>
      <c r="DB1324">
        <v>8.17</v>
      </c>
      <c r="DC1324">
        <v>8.86</v>
      </c>
      <c r="DD1324">
        <v>0.16</v>
      </c>
      <c r="DE1324">
        <v>876</v>
      </c>
      <c r="DF1324">
        <v>2888</v>
      </c>
      <c r="DG1324" t="s">
        <v>116</v>
      </c>
      <c r="DH1324" t="s">
        <v>116</v>
      </c>
      <c r="DI1324" t="s">
        <v>116</v>
      </c>
    </row>
    <row r="1325" spans="1:113" x14ac:dyDescent="0.4">
      <c r="A1325" t="str">
        <f>"002889"</f>
        <v>002889</v>
      </c>
      <c r="B1325" t="s">
        <v>7282</v>
      </c>
      <c r="C1325">
        <v>-0.27</v>
      </c>
      <c r="D1325">
        <v>26.11</v>
      </c>
      <c r="E1325">
        <v>-7.0000000000000007E-2</v>
      </c>
      <c r="F1325">
        <v>26.11</v>
      </c>
      <c r="G1325">
        <v>26.12</v>
      </c>
      <c r="H1325">
        <v>14869</v>
      </c>
      <c r="I1325">
        <v>87</v>
      </c>
      <c r="J1325">
        <v>0.08</v>
      </c>
      <c r="K1325">
        <v>4</v>
      </c>
      <c r="L1325">
        <v>26.16</v>
      </c>
      <c r="M1325">
        <v>26.5</v>
      </c>
      <c r="N1325">
        <v>26.05</v>
      </c>
      <c r="O1325">
        <v>26.18</v>
      </c>
      <c r="P1325">
        <v>23.5</v>
      </c>
      <c r="Q1325">
        <v>39137784</v>
      </c>
      <c r="R1325">
        <v>1.26</v>
      </c>
      <c r="S1325" t="s">
        <v>3113</v>
      </c>
      <c r="T1325" t="s">
        <v>115</v>
      </c>
      <c r="U1325">
        <v>1.72</v>
      </c>
      <c r="V1325">
        <v>26.32</v>
      </c>
      <c r="W1325">
        <v>7953</v>
      </c>
      <c r="X1325">
        <v>6916</v>
      </c>
      <c r="Y1325">
        <v>1.1499999999999999</v>
      </c>
      <c r="Z1325">
        <v>4</v>
      </c>
      <c r="AA1325">
        <v>102</v>
      </c>
      <c r="AB1325" t="s">
        <v>116</v>
      </c>
      <c r="AC1325">
        <v>70600</v>
      </c>
      <c r="AD1325">
        <v>0.01</v>
      </c>
      <c r="AE1325" t="s">
        <v>116</v>
      </c>
      <c r="AF1325" t="s">
        <v>116</v>
      </c>
      <c r="AG1325">
        <v>0.37</v>
      </c>
      <c r="AH1325" t="s">
        <v>7283</v>
      </c>
      <c r="AI1325" t="s">
        <v>7284</v>
      </c>
      <c r="AJ1325">
        <v>0.41</v>
      </c>
      <c r="AK1325">
        <v>1288</v>
      </c>
      <c r="AL1325">
        <v>12</v>
      </c>
      <c r="AM1325">
        <v>3.0999999999999999E-3</v>
      </c>
      <c r="AN1325">
        <v>-1</v>
      </c>
      <c r="AO1325">
        <v>0.43</v>
      </c>
      <c r="AP1325">
        <v>7.45</v>
      </c>
      <c r="AQ1325">
        <v>1.04</v>
      </c>
      <c r="AR1325">
        <v>7.18</v>
      </c>
      <c r="AS1325">
        <v>4</v>
      </c>
      <c r="AT1325" t="s">
        <v>7283</v>
      </c>
      <c r="AU1325">
        <v>24.47</v>
      </c>
      <c r="AV1325">
        <v>26.76</v>
      </c>
      <c r="AW1325">
        <v>1.39</v>
      </c>
      <c r="BA1325">
        <v>-0.08</v>
      </c>
      <c r="BB1325">
        <v>1.22</v>
      </c>
      <c r="BC1325">
        <v>-0.5</v>
      </c>
      <c r="BD1325">
        <v>0.54</v>
      </c>
      <c r="BE1325">
        <v>-0.19</v>
      </c>
      <c r="BF1325">
        <v>-1.47</v>
      </c>
      <c r="BG1325">
        <v>0.23</v>
      </c>
      <c r="BH1325">
        <v>-0.81</v>
      </c>
      <c r="BI1325">
        <v>20191030</v>
      </c>
      <c r="BJ1325">
        <v>20170731</v>
      </c>
      <c r="BK1325">
        <v>1.38</v>
      </c>
      <c r="BL1325" t="s">
        <v>116</v>
      </c>
      <c r="BM1325" t="s">
        <v>116</v>
      </c>
      <c r="BN1325">
        <v>109.75</v>
      </c>
      <c r="BO1325">
        <v>15.42</v>
      </c>
      <c r="BP1325">
        <v>0.28000000000000003</v>
      </c>
      <c r="BQ1325">
        <v>85.7</v>
      </c>
      <c r="BR1325">
        <v>106.3</v>
      </c>
      <c r="BS1325">
        <v>2.16</v>
      </c>
      <c r="BT1325">
        <v>0.62</v>
      </c>
      <c r="BU1325">
        <v>93.77</v>
      </c>
      <c r="BV1325">
        <v>0.21</v>
      </c>
      <c r="BW1325">
        <v>43.83</v>
      </c>
      <c r="BX1325">
        <v>4.84</v>
      </c>
      <c r="BY1325">
        <v>105.32</v>
      </c>
      <c r="BZ1325">
        <v>103.81</v>
      </c>
      <c r="CA1325">
        <v>1.42</v>
      </c>
      <c r="CB1325">
        <v>0.16</v>
      </c>
      <c r="CC1325">
        <v>1.42</v>
      </c>
      <c r="CD1325">
        <v>1.18</v>
      </c>
      <c r="CE1325">
        <v>1.1499999999999999</v>
      </c>
      <c r="CF1325">
        <v>0.91</v>
      </c>
      <c r="CG1325">
        <v>8.51</v>
      </c>
      <c r="CH1325">
        <v>0.52</v>
      </c>
      <c r="CI1325">
        <v>-0.05</v>
      </c>
      <c r="CJ1325">
        <v>16263</v>
      </c>
      <c r="CK1325">
        <v>2288</v>
      </c>
      <c r="CL1325" t="s">
        <v>1348</v>
      </c>
      <c r="CM1325">
        <v>12.32</v>
      </c>
      <c r="CN1325">
        <v>20.85</v>
      </c>
      <c r="CO1325">
        <v>2.34</v>
      </c>
      <c r="CP1325">
        <v>69.98</v>
      </c>
      <c r="CQ1325">
        <v>0.34</v>
      </c>
      <c r="CR1325">
        <v>0</v>
      </c>
      <c r="CS1325" t="s">
        <v>7285</v>
      </c>
      <c r="CT1325">
        <v>11.17</v>
      </c>
      <c r="CU1325">
        <v>0</v>
      </c>
      <c r="CV1325">
        <v>3.51</v>
      </c>
      <c r="CW1325">
        <v>6.16</v>
      </c>
      <c r="CX1325">
        <v>0.37</v>
      </c>
      <c r="CY1325">
        <v>14.05</v>
      </c>
      <c r="CZ1325" t="s">
        <v>6326</v>
      </c>
      <c r="DA1325">
        <v>1.43</v>
      </c>
      <c r="DB1325">
        <v>1.35</v>
      </c>
      <c r="DC1325">
        <v>1.0900000000000001</v>
      </c>
      <c r="DD1325">
        <v>0.01</v>
      </c>
      <c r="DE1325">
        <v>390</v>
      </c>
      <c r="DF1325">
        <v>2889</v>
      </c>
      <c r="DG1325" t="s">
        <v>116</v>
      </c>
      <c r="DH1325" t="s">
        <v>116</v>
      </c>
      <c r="DI1325" t="s">
        <v>116</v>
      </c>
    </row>
    <row r="1326" spans="1:113" x14ac:dyDescent="0.4">
      <c r="A1326" t="str">
        <f>"002890"</f>
        <v>002890</v>
      </c>
      <c r="B1326" t="s">
        <v>7286</v>
      </c>
      <c r="C1326">
        <v>5.3</v>
      </c>
      <c r="D1326">
        <v>25.64</v>
      </c>
      <c r="E1326">
        <v>1.29</v>
      </c>
      <c r="F1326">
        <v>25.62</v>
      </c>
      <c r="G1326">
        <v>25.64</v>
      </c>
      <c r="H1326">
        <v>18309</v>
      </c>
      <c r="I1326">
        <v>199</v>
      </c>
      <c r="J1326">
        <v>-0.18</v>
      </c>
      <c r="K1326">
        <v>4.6900000000000004</v>
      </c>
      <c r="L1326">
        <v>24.35</v>
      </c>
      <c r="M1326">
        <v>26.06</v>
      </c>
      <c r="N1326">
        <v>24.1</v>
      </c>
      <c r="O1326">
        <v>24.35</v>
      </c>
      <c r="P1326">
        <v>276.97000000000003</v>
      </c>
      <c r="Q1326">
        <v>46594220</v>
      </c>
      <c r="R1326">
        <v>1.5</v>
      </c>
      <c r="S1326" t="s">
        <v>2298</v>
      </c>
      <c r="T1326" t="s">
        <v>645</v>
      </c>
      <c r="U1326">
        <v>8.0500000000000007</v>
      </c>
      <c r="V1326">
        <v>25.45</v>
      </c>
      <c r="W1326">
        <v>9139</v>
      </c>
      <c r="X1326">
        <v>9170</v>
      </c>
      <c r="Y1326">
        <v>1</v>
      </c>
      <c r="Z1326">
        <v>7</v>
      </c>
      <c r="AA1326">
        <v>34</v>
      </c>
      <c r="AB1326" t="s">
        <v>116</v>
      </c>
      <c r="AC1326">
        <v>214300</v>
      </c>
      <c r="AD1326">
        <v>0.04</v>
      </c>
      <c r="AE1326" t="s">
        <v>116</v>
      </c>
      <c r="AF1326" t="s">
        <v>116</v>
      </c>
      <c r="AG1326">
        <v>0.39</v>
      </c>
      <c r="AH1326" t="s">
        <v>7287</v>
      </c>
      <c r="AI1326" t="s">
        <v>7288</v>
      </c>
      <c r="AJ1326">
        <v>5.98</v>
      </c>
      <c r="AK1326">
        <v>1542</v>
      </c>
      <c r="AL1326">
        <v>12</v>
      </c>
      <c r="AM1326">
        <v>3.0000000000000001E-3</v>
      </c>
      <c r="AN1326">
        <v>11</v>
      </c>
      <c r="AO1326">
        <v>11.73</v>
      </c>
      <c r="AP1326">
        <v>13.85</v>
      </c>
      <c r="AQ1326">
        <v>29.36</v>
      </c>
      <c r="AR1326">
        <v>38.97</v>
      </c>
      <c r="AS1326">
        <v>7.34</v>
      </c>
      <c r="AT1326" t="s">
        <v>6744</v>
      </c>
      <c r="AU1326">
        <v>301.81</v>
      </c>
      <c r="AV1326">
        <v>60.78</v>
      </c>
      <c r="AW1326">
        <v>0.85</v>
      </c>
      <c r="BA1326">
        <v>0</v>
      </c>
      <c r="BB1326">
        <v>7.02</v>
      </c>
      <c r="BC1326">
        <v>-1.03</v>
      </c>
      <c r="BD1326">
        <v>4.51</v>
      </c>
      <c r="BE1326">
        <v>5.3</v>
      </c>
      <c r="BF1326">
        <v>-1.61</v>
      </c>
      <c r="BG1326">
        <v>6.39</v>
      </c>
      <c r="BH1326">
        <v>0.79</v>
      </c>
      <c r="BI1326">
        <v>20191223</v>
      </c>
      <c r="BJ1326">
        <v>20170802</v>
      </c>
      <c r="BK1326">
        <v>0.67</v>
      </c>
      <c r="BL1326" t="s">
        <v>116</v>
      </c>
      <c r="BM1326" t="s">
        <v>116</v>
      </c>
      <c r="BN1326">
        <v>6.42</v>
      </c>
      <c r="BO1326">
        <v>5.36</v>
      </c>
      <c r="BP1326">
        <v>0</v>
      </c>
      <c r="BQ1326">
        <v>16.43</v>
      </c>
      <c r="BR1326">
        <v>4.6399999999999997</v>
      </c>
      <c r="BS1326">
        <v>1.35</v>
      </c>
      <c r="BT1326">
        <v>0.28000000000000003</v>
      </c>
      <c r="BU1326">
        <v>0.99</v>
      </c>
      <c r="BV1326">
        <v>1.08</v>
      </c>
      <c r="BW1326">
        <v>0.88</v>
      </c>
      <c r="BX1326">
        <v>2.0499999999999998</v>
      </c>
      <c r="BY1326">
        <v>2.09</v>
      </c>
      <c r="BZ1326">
        <v>1.84</v>
      </c>
      <c r="CA1326">
        <v>0.04</v>
      </c>
      <c r="CB1326">
        <v>0.04</v>
      </c>
      <c r="CC1326">
        <v>0.05</v>
      </c>
      <c r="CD1326">
        <v>0.05</v>
      </c>
      <c r="CE1326">
        <v>0.05</v>
      </c>
      <c r="CF1326">
        <v>0</v>
      </c>
      <c r="CG1326">
        <v>2.2999999999999998</v>
      </c>
      <c r="CH1326">
        <v>0.08</v>
      </c>
      <c r="CI1326">
        <v>0.06</v>
      </c>
      <c r="CJ1326">
        <v>6681</v>
      </c>
      <c r="CK1326">
        <v>3732</v>
      </c>
      <c r="CL1326" t="s">
        <v>7289</v>
      </c>
      <c r="CM1326">
        <v>-82.91</v>
      </c>
      <c r="CN1326">
        <v>17</v>
      </c>
      <c r="CO1326">
        <v>3.19</v>
      </c>
      <c r="CP1326">
        <v>205.89</v>
      </c>
      <c r="CQ1326">
        <v>8.19</v>
      </c>
      <c r="CR1326">
        <v>0</v>
      </c>
      <c r="CS1326" t="s">
        <v>1395</v>
      </c>
      <c r="CT1326">
        <v>8.0399999999999991</v>
      </c>
      <c r="CU1326">
        <v>0</v>
      </c>
      <c r="CV1326">
        <v>3.08</v>
      </c>
      <c r="CW1326">
        <v>3.45</v>
      </c>
      <c r="CX1326">
        <v>0.12</v>
      </c>
      <c r="CY1326">
        <v>83.57</v>
      </c>
      <c r="CZ1326" t="s">
        <v>7290</v>
      </c>
      <c r="DA1326">
        <v>11.72</v>
      </c>
      <c r="DB1326">
        <v>1.72</v>
      </c>
      <c r="DC1326">
        <v>2.2200000000000002</v>
      </c>
      <c r="DD1326">
        <v>7.0000000000000007E-2</v>
      </c>
      <c r="DE1326">
        <v>628</v>
      </c>
      <c r="DF1326">
        <v>2890</v>
      </c>
      <c r="DG1326" t="s">
        <v>116</v>
      </c>
      <c r="DH1326" t="s">
        <v>116</v>
      </c>
      <c r="DI1326" t="s">
        <v>116</v>
      </c>
    </row>
    <row r="1327" spans="1:113" x14ac:dyDescent="0.4">
      <c r="A1327" t="str">
        <f>"002891"</f>
        <v>002891</v>
      </c>
      <c r="B1327" t="s">
        <v>7291</v>
      </c>
      <c r="C1327">
        <v>-2.87</v>
      </c>
      <c r="D1327">
        <v>27.08</v>
      </c>
      <c r="E1327">
        <v>-0.8</v>
      </c>
      <c r="F1327">
        <v>27.08</v>
      </c>
      <c r="G1327">
        <v>27.09</v>
      </c>
      <c r="H1327">
        <v>34922</v>
      </c>
      <c r="I1327">
        <v>400</v>
      </c>
      <c r="J1327">
        <v>-0.14000000000000001</v>
      </c>
      <c r="K1327">
        <v>3.81</v>
      </c>
      <c r="L1327">
        <v>27.68</v>
      </c>
      <c r="M1327">
        <v>27.8</v>
      </c>
      <c r="N1327">
        <v>26.86</v>
      </c>
      <c r="O1327">
        <v>27.88</v>
      </c>
      <c r="P1327">
        <v>74.72</v>
      </c>
      <c r="Q1327">
        <v>94921080</v>
      </c>
      <c r="R1327">
        <v>0.88</v>
      </c>
      <c r="S1327" t="s">
        <v>389</v>
      </c>
      <c r="T1327" t="s">
        <v>645</v>
      </c>
      <c r="U1327">
        <v>3.37</v>
      </c>
      <c r="V1327">
        <v>27.18</v>
      </c>
      <c r="W1327">
        <v>20545</v>
      </c>
      <c r="X1327">
        <v>14377</v>
      </c>
      <c r="Y1327">
        <v>1.43</v>
      </c>
      <c r="Z1327">
        <v>41</v>
      </c>
      <c r="AA1327">
        <v>51</v>
      </c>
      <c r="AB1327" t="s">
        <v>116</v>
      </c>
      <c r="AC1327">
        <v>260200</v>
      </c>
      <c r="AD1327">
        <v>0.02</v>
      </c>
      <c r="AE1327" t="s">
        <v>116</v>
      </c>
      <c r="AF1327" t="s">
        <v>116</v>
      </c>
      <c r="AG1327">
        <v>0.92</v>
      </c>
      <c r="AH1327" t="s">
        <v>7292</v>
      </c>
      <c r="AI1327" t="s">
        <v>7293</v>
      </c>
      <c r="AJ1327">
        <v>-2.19</v>
      </c>
      <c r="AK1327">
        <v>2396</v>
      </c>
      <c r="AL1327">
        <v>15</v>
      </c>
      <c r="AM1327">
        <v>1.6000000000000001E-3</v>
      </c>
      <c r="AN1327">
        <v>-1</v>
      </c>
      <c r="AO1327">
        <v>-4.5199999999999996</v>
      </c>
      <c r="AP1327">
        <v>15.14</v>
      </c>
      <c r="AQ1327">
        <v>28.34</v>
      </c>
      <c r="AR1327">
        <v>39.549999999999997</v>
      </c>
      <c r="AS1327">
        <v>5.98</v>
      </c>
      <c r="AT1327" t="s">
        <v>1776</v>
      </c>
      <c r="AU1327">
        <v>75.89</v>
      </c>
      <c r="AV1327">
        <v>81.56</v>
      </c>
      <c r="AW1327">
        <v>0.69</v>
      </c>
      <c r="BA1327">
        <v>-0.72</v>
      </c>
      <c r="BB1327">
        <v>-0.28999999999999998</v>
      </c>
      <c r="BC1327">
        <v>-3.66</v>
      </c>
      <c r="BD1327">
        <v>-2.5099999999999998</v>
      </c>
      <c r="BE1327">
        <v>-2.17</v>
      </c>
      <c r="BF1327">
        <v>-2.59</v>
      </c>
      <c r="BG1327">
        <v>0.82</v>
      </c>
      <c r="BH1327">
        <v>-0.36</v>
      </c>
      <c r="BI1327">
        <v>20191217</v>
      </c>
      <c r="BJ1327">
        <v>20170821</v>
      </c>
      <c r="BK1327">
        <v>1.7</v>
      </c>
      <c r="BL1327" t="s">
        <v>116</v>
      </c>
      <c r="BM1327" t="s">
        <v>116</v>
      </c>
      <c r="BN1327">
        <v>16.670000000000002</v>
      </c>
      <c r="BO1327">
        <v>8.33</v>
      </c>
      <c r="BP1327">
        <v>1.04</v>
      </c>
      <c r="BQ1327">
        <v>43.8</v>
      </c>
      <c r="BR1327">
        <v>7.98</v>
      </c>
      <c r="BS1327">
        <v>4.33</v>
      </c>
      <c r="BT1327">
        <v>0.46</v>
      </c>
      <c r="BU1327">
        <v>5.53</v>
      </c>
      <c r="BV1327">
        <v>2.87</v>
      </c>
      <c r="BW1327">
        <v>2.87</v>
      </c>
      <c r="BX1327">
        <v>3.81</v>
      </c>
      <c r="BY1327">
        <v>12.15</v>
      </c>
      <c r="BZ1327">
        <v>9.3000000000000007</v>
      </c>
      <c r="CA1327">
        <v>0.86</v>
      </c>
      <c r="CB1327">
        <v>-0.03</v>
      </c>
      <c r="CC1327">
        <v>0.86</v>
      </c>
      <c r="CD1327">
        <v>0.56000000000000005</v>
      </c>
      <c r="CE1327">
        <v>0.46</v>
      </c>
      <c r="CF1327">
        <v>0.42</v>
      </c>
      <c r="CG1327">
        <v>2.4900000000000002</v>
      </c>
      <c r="CH1327">
        <v>0.28000000000000003</v>
      </c>
      <c r="CI1327">
        <v>0.38</v>
      </c>
      <c r="CJ1327">
        <v>10828</v>
      </c>
      <c r="CK1327">
        <v>5396</v>
      </c>
      <c r="CL1327" t="s">
        <v>3481</v>
      </c>
      <c r="CM1327">
        <v>10.039999999999999</v>
      </c>
      <c r="CN1327">
        <v>20.28</v>
      </c>
      <c r="CO1327">
        <v>5.53</v>
      </c>
      <c r="CP1327">
        <v>162.41999999999999</v>
      </c>
      <c r="CQ1327">
        <v>3.79</v>
      </c>
      <c r="CR1327">
        <v>0.22</v>
      </c>
      <c r="CS1327" t="s">
        <v>1170</v>
      </c>
      <c r="CT1327">
        <v>4.9000000000000004</v>
      </c>
      <c r="CU1327">
        <v>0</v>
      </c>
      <c r="CV1327">
        <v>2.2400000000000002</v>
      </c>
      <c r="CW1327">
        <v>1.47</v>
      </c>
      <c r="CX1327">
        <v>0.17</v>
      </c>
      <c r="CY1327">
        <v>49.96</v>
      </c>
      <c r="CZ1327" t="s">
        <v>1986</v>
      </c>
      <c r="DA1327">
        <v>23.44</v>
      </c>
      <c r="DB1327">
        <v>7.05</v>
      </c>
      <c r="DC1327">
        <v>3.8</v>
      </c>
      <c r="DD1327">
        <v>0.16</v>
      </c>
      <c r="DE1327">
        <v>2525</v>
      </c>
      <c r="DF1327">
        <v>2891</v>
      </c>
      <c r="DG1327" t="s">
        <v>116</v>
      </c>
      <c r="DH1327" t="s">
        <v>116</v>
      </c>
      <c r="DI1327" t="s">
        <v>116</v>
      </c>
    </row>
    <row r="1328" spans="1:113" x14ac:dyDescent="0.4">
      <c r="A1328" t="str">
        <f>"002892"</f>
        <v>002892</v>
      </c>
      <c r="B1328" t="s">
        <v>7294</v>
      </c>
      <c r="C1328">
        <v>-3.14</v>
      </c>
      <c r="D1328">
        <v>29.63</v>
      </c>
      <c r="E1328">
        <v>-0.96</v>
      </c>
      <c r="F1328">
        <v>29.62</v>
      </c>
      <c r="G1328">
        <v>29.63</v>
      </c>
      <c r="H1328">
        <v>65742</v>
      </c>
      <c r="I1328">
        <v>1547</v>
      </c>
      <c r="J1328">
        <v>-0.16</v>
      </c>
      <c r="K1328">
        <v>14.68</v>
      </c>
      <c r="L1328">
        <v>30.6</v>
      </c>
      <c r="M1328">
        <v>30.6</v>
      </c>
      <c r="N1328">
        <v>29.55</v>
      </c>
      <c r="O1328">
        <v>30.59</v>
      </c>
      <c r="P1328">
        <v>46.14</v>
      </c>
      <c r="Q1328">
        <v>197728176</v>
      </c>
      <c r="R1328">
        <v>0.67</v>
      </c>
      <c r="S1328" t="s">
        <v>397</v>
      </c>
      <c r="T1328" t="s">
        <v>599</v>
      </c>
      <c r="U1328">
        <v>3.43</v>
      </c>
      <c r="V1328">
        <v>30.08</v>
      </c>
      <c r="W1328">
        <v>38573</v>
      </c>
      <c r="X1328">
        <v>27169</v>
      </c>
      <c r="Y1328">
        <v>1.42</v>
      </c>
      <c r="Z1328">
        <v>84</v>
      </c>
      <c r="AA1328">
        <v>481</v>
      </c>
      <c r="AB1328" t="s">
        <v>116</v>
      </c>
      <c r="AC1328">
        <v>881300</v>
      </c>
      <c r="AD1328">
        <v>0.06</v>
      </c>
      <c r="AE1328" t="s">
        <v>116</v>
      </c>
      <c r="AF1328" t="s">
        <v>116</v>
      </c>
      <c r="AG1328">
        <v>0.45</v>
      </c>
      <c r="AH1328" t="s">
        <v>5814</v>
      </c>
      <c r="AI1328" t="s">
        <v>4859</v>
      </c>
      <c r="AJ1328">
        <v>-2.46</v>
      </c>
      <c r="AK1328">
        <v>3172</v>
      </c>
      <c r="AL1328">
        <v>21</v>
      </c>
      <c r="AM1328">
        <v>4.5999999999999999E-3</v>
      </c>
      <c r="AN1328">
        <v>-3</v>
      </c>
      <c r="AO1328">
        <v>-7.93</v>
      </c>
      <c r="AP1328">
        <v>14.01</v>
      </c>
      <c r="AQ1328">
        <v>-40.729999999999997</v>
      </c>
      <c r="AR1328">
        <v>90.87</v>
      </c>
      <c r="AS1328">
        <v>14.68</v>
      </c>
      <c r="AT1328" t="s">
        <v>5814</v>
      </c>
      <c r="AU1328">
        <v>47.08</v>
      </c>
      <c r="AV1328">
        <v>60.54</v>
      </c>
      <c r="AW1328">
        <v>1.33</v>
      </c>
      <c r="BA1328">
        <v>0.03</v>
      </c>
      <c r="BB1328">
        <v>0.03</v>
      </c>
      <c r="BC1328">
        <v>-3.4</v>
      </c>
      <c r="BD1328">
        <v>-1.68</v>
      </c>
      <c r="BE1328">
        <v>-3.17</v>
      </c>
      <c r="BF1328">
        <v>-3.17</v>
      </c>
      <c r="BG1328">
        <v>0.27</v>
      </c>
      <c r="BH1328">
        <v>-1.46</v>
      </c>
      <c r="BI1328">
        <v>20191025</v>
      </c>
      <c r="BJ1328">
        <v>20170817</v>
      </c>
      <c r="BK1328">
        <v>1.42</v>
      </c>
      <c r="BL1328" t="s">
        <v>116</v>
      </c>
      <c r="BM1328" t="s">
        <v>116</v>
      </c>
      <c r="BN1328">
        <v>8.18</v>
      </c>
      <c r="BO1328">
        <v>6.65</v>
      </c>
      <c r="BP1328">
        <v>0</v>
      </c>
      <c r="BQ1328">
        <v>18.670000000000002</v>
      </c>
      <c r="BR1328">
        <v>6.08</v>
      </c>
      <c r="BS1328">
        <v>1.94</v>
      </c>
      <c r="BT1328">
        <v>7.0000000000000007E-2</v>
      </c>
      <c r="BU1328">
        <v>1.47</v>
      </c>
      <c r="BV1328">
        <v>1.34</v>
      </c>
      <c r="BW1328">
        <v>1.66</v>
      </c>
      <c r="BX1328">
        <v>2.98</v>
      </c>
      <c r="BY1328">
        <v>6.34</v>
      </c>
      <c r="BZ1328">
        <v>4.8600000000000003</v>
      </c>
      <c r="CA1328">
        <v>0.79</v>
      </c>
      <c r="CB1328">
        <v>0.06</v>
      </c>
      <c r="CC1328">
        <v>0.79</v>
      </c>
      <c r="CD1328">
        <v>0.68</v>
      </c>
      <c r="CE1328">
        <v>0.68</v>
      </c>
      <c r="CF1328">
        <v>0.63</v>
      </c>
      <c r="CG1328">
        <v>2.0299999999999998</v>
      </c>
      <c r="CH1328">
        <v>0.38</v>
      </c>
      <c r="CI1328">
        <v>0.08</v>
      </c>
      <c r="CJ1328">
        <v>7190</v>
      </c>
      <c r="CK1328">
        <v>6227</v>
      </c>
      <c r="CL1328" t="s">
        <v>7295</v>
      </c>
      <c r="CM1328">
        <v>40.97</v>
      </c>
      <c r="CN1328">
        <v>21.03</v>
      </c>
      <c r="CO1328">
        <v>6.33</v>
      </c>
      <c r="CP1328">
        <v>109.56</v>
      </c>
      <c r="CQ1328">
        <v>6.65</v>
      </c>
      <c r="CR1328">
        <v>0.69</v>
      </c>
      <c r="CS1328" t="s">
        <v>7296</v>
      </c>
      <c r="CT1328">
        <v>4.68</v>
      </c>
      <c r="CU1328">
        <v>0</v>
      </c>
      <c r="CV1328">
        <v>2.1</v>
      </c>
      <c r="CW1328">
        <v>1.43</v>
      </c>
      <c r="CX1328">
        <v>0.27</v>
      </c>
      <c r="CY1328">
        <v>81.33</v>
      </c>
      <c r="CZ1328" t="s">
        <v>4820</v>
      </c>
      <c r="DA1328">
        <v>23.32</v>
      </c>
      <c r="DB1328">
        <v>12.41</v>
      </c>
      <c r="DC1328">
        <v>10.8</v>
      </c>
      <c r="DD1328">
        <v>0.24</v>
      </c>
      <c r="DE1328">
        <v>2372</v>
      </c>
      <c r="DF1328">
        <v>2892</v>
      </c>
      <c r="DG1328" t="s">
        <v>116</v>
      </c>
      <c r="DH1328" t="s">
        <v>116</v>
      </c>
      <c r="DI1328" t="s">
        <v>116</v>
      </c>
    </row>
    <row r="1329" spans="1:113" x14ac:dyDescent="0.4">
      <c r="A1329" t="str">
        <f>"002893"</f>
        <v>002893</v>
      </c>
      <c r="B1329" t="s">
        <v>7297</v>
      </c>
      <c r="C1329">
        <v>-0.97</v>
      </c>
      <c r="D1329">
        <v>12.3</v>
      </c>
      <c r="E1329">
        <v>-0.12</v>
      </c>
      <c r="F1329">
        <v>12.29</v>
      </c>
      <c r="G1329">
        <v>12.3</v>
      </c>
      <c r="H1329">
        <v>25027</v>
      </c>
      <c r="I1329">
        <v>380</v>
      </c>
      <c r="J1329">
        <v>0.08</v>
      </c>
      <c r="K1329">
        <v>2.99</v>
      </c>
      <c r="L1329">
        <v>12.47</v>
      </c>
      <c r="M1329">
        <v>12.49</v>
      </c>
      <c r="N1329">
        <v>12.27</v>
      </c>
      <c r="O1329">
        <v>12.42</v>
      </c>
      <c r="P1329">
        <v>46.86</v>
      </c>
      <c r="Q1329">
        <v>30944692</v>
      </c>
      <c r="R1329">
        <v>0.92</v>
      </c>
      <c r="S1329" t="s">
        <v>690</v>
      </c>
      <c r="T1329" t="s">
        <v>165</v>
      </c>
      <c r="U1329">
        <v>1.77</v>
      </c>
      <c r="V1329">
        <v>12.36</v>
      </c>
      <c r="W1329">
        <v>16162</v>
      </c>
      <c r="X1329">
        <v>8865</v>
      </c>
      <c r="Y1329">
        <v>1.82</v>
      </c>
      <c r="Z1329">
        <v>10</v>
      </c>
      <c r="AA1329">
        <v>15</v>
      </c>
      <c r="AB1329" t="s">
        <v>116</v>
      </c>
      <c r="AC1329">
        <v>1200</v>
      </c>
      <c r="AD1329">
        <v>0</v>
      </c>
      <c r="AE1329" t="s">
        <v>116</v>
      </c>
      <c r="AF1329" t="s">
        <v>116</v>
      </c>
      <c r="AG1329">
        <v>0.84</v>
      </c>
      <c r="AH1329" t="s">
        <v>7182</v>
      </c>
      <c r="AI1329" t="s">
        <v>2683</v>
      </c>
      <c r="AJ1329">
        <v>-0.28999999999999998</v>
      </c>
      <c r="AK1329">
        <v>1031</v>
      </c>
      <c r="AL1329">
        <v>24</v>
      </c>
      <c r="AM1329">
        <v>2.8999999999999998E-3</v>
      </c>
      <c r="AN1329">
        <v>-3</v>
      </c>
      <c r="AO1329">
        <v>-1.21</v>
      </c>
      <c r="AP1329">
        <v>0.99</v>
      </c>
      <c r="AQ1329">
        <v>-12.77</v>
      </c>
      <c r="AR1329">
        <v>0.69</v>
      </c>
      <c r="AS1329">
        <v>3.27</v>
      </c>
      <c r="AT1329" t="s">
        <v>7298</v>
      </c>
      <c r="AU1329">
        <v>35.119999999999997</v>
      </c>
      <c r="AV1329">
        <v>45.98</v>
      </c>
      <c r="AW1329">
        <v>1.17</v>
      </c>
      <c r="BA1329">
        <v>0.4</v>
      </c>
      <c r="BB1329">
        <v>0.56000000000000005</v>
      </c>
      <c r="BC1329">
        <v>-1.21</v>
      </c>
      <c r="BD1329">
        <v>-0.45</v>
      </c>
      <c r="BE1329">
        <v>-1.36</v>
      </c>
      <c r="BF1329">
        <v>-1.52</v>
      </c>
      <c r="BG1329">
        <v>0.24</v>
      </c>
      <c r="BH1329">
        <v>-0.52</v>
      </c>
      <c r="BI1329">
        <v>20191205</v>
      </c>
      <c r="BJ1329">
        <v>20170915</v>
      </c>
      <c r="BK1329">
        <v>1.6</v>
      </c>
      <c r="BL1329" t="s">
        <v>116</v>
      </c>
      <c r="BM1329" t="s">
        <v>116</v>
      </c>
      <c r="BN1329">
        <v>16.809999999999999</v>
      </c>
      <c r="BO1329">
        <v>6.21</v>
      </c>
      <c r="BP1329">
        <v>0</v>
      </c>
      <c r="BQ1329">
        <v>63.06</v>
      </c>
      <c r="BR1329">
        <v>7.12</v>
      </c>
      <c r="BS1329">
        <v>3.82</v>
      </c>
      <c r="BT1329">
        <v>0.03</v>
      </c>
      <c r="BU1329">
        <v>7.69</v>
      </c>
      <c r="BV1329">
        <v>0.43</v>
      </c>
      <c r="BW1329">
        <v>2.34</v>
      </c>
      <c r="BX1329">
        <v>2.5099999999999998</v>
      </c>
      <c r="BY1329">
        <v>5.77</v>
      </c>
      <c r="BZ1329">
        <v>4.88</v>
      </c>
      <c r="CA1329">
        <v>0.38</v>
      </c>
      <c r="CB1329">
        <v>0.05</v>
      </c>
      <c r="CC1329">
        <v>0.41</v>
      </c>
      <c r="CD1329">
        <v>0.3</v>
      </c>
      <c r="CE1329">
        <v>0.31</v>
      </c>
      <c r="CF1329">
        <v>0.26</v>
      </c>
      <c r="CG1329">
        <v>2.19</v>
      </c>
      <c r="CH1329">
        <v>-0.44</v>
      </c>
      <c r="CI1329">
        <v>-1.85</v>
      </c>
      <c r="CJ1329">
        <v>20888</v>
      </c>
      <c r="CK1329">
        <v>3665</v>
      </c>
      <c r="CL1329" t="s">
        <v>1283</v>
      </c>
      <c r="CM1329">
        <v>72.53</v>
      </c>
      <c r="CN1329">
        <v>-2.27</v>
      </c>
      <c r="CO1329">
        <v>3.15</v>
      </c>
      <c r="CP1329">
        <v>-44.61</v>
      </c>
      <c r="CQ1329">
        <v>3.41</v>
      </c>
      <c r="CR1329">
        <v>1.25</v>
      </c>
      <c r="CS1329" t="s">
        <v>541</v>
      </c>
      <c r="CT1329">
        <v>3.9</v>
      </c>
      <c r="CU1329">
        <v>3.9</v>
      </c>
      <c r="CV1329">
        <v>1.57</v>
      </c>
      <c r="CW1329">
        <v>1.37</v>
      </c>
      <c r="CX1329">
        <v>-0.28000000000000003</v>
      </c>
      <c r="CY1329">
        <v>36.94</v>
      </c>
      <c r="CZ1329" t="s">
        <v>7299</v>
      </c>
      <c r="DA1329">
        <v>15.38</v>
      </c>
      <c r="DB1329">
        <v>6.63</v>
      </c>
      <c r="DC1329">
        <v>5.45</v>
      </c>
      <c r="DD1329">
        <v>0.04</v>
      </c>
      <c r="DE1329">
        <v>1666</v>
      </c>
      <c r="DF1329">
        <v>2893</v>
      </c>
      <c r="DG1329" t="s">
        <v>116</v>
      </c>
      <c r="DH1329" t="s">
        <v>116</v>
      </c>
      <c r="DI1329" t="s">
        <v>116</v>
      </c>
    </row>
    <row r="1330" spans="1:113" x14ac:dyDescent="0.4">
      <c r="A1330" t="str">
        <f>"002895"</f>
        <v>002895</v>
      </c>
      <c r="B1330" t="s">
        <v>7300</v>
      </c>
      <c r="C1330">
        <v>-1.54</v>
      </c>
      <c r="D1330">
        <v>12.13</v>
      </c>
      <c r="E1330">
        <v>-0.19</v>
      </c>
      <c r="F1330">
        <v>12.13</v>
      </c>
      <c r="G1330">
        <v>12.14</v>
      </c>
      <c r="H1330">
        <v>41946</v>
      </c>
      <c r="I1330">
        <v>740</v>
      </c>
      <c r="J1330">
        <v>-0.24</v>
      </c>
      <c r="K1330">
        <v>4.71</v>
      </c>
      <c r="L1330">
        <v>12.29</v>
      </c>
      <c r="M1330">
        <v>12.41</v>
      </c>
      <c r="N1330">
        <v>12.13</v>
      </c>
      <c r="O1330">
        <v>12.32</v>
      </c>
      <c r="P1330">
        <v>26.02</v>
      </c>
      <c r="Q1330">
        <v>51438464</v>
      </c>
      <c r="R1330">
        <v>0.94</v>
      </c>
      <c r="S1330" t="s">
        <v>891</v>
      </c>
      <c r="T1330" t="s">
        <v>1056</v>
      </c>
      <c r="U1330">
        <v>2.27</v>
      </c>
      <c r="V1330">
        <v>12.26</v>
      </c>
      <c r="W1330">
        <v>23259</v>
      </c>
      <c r="X1330">
        <v>18687</v>
      </c>
      <c r="Y1330">
        <v>1.24</v>
      </c>
      <c r="Z1330">
        <v>332</v>
      </c>
      <c r="AA1330">
        <v>26</v>
      </c>
      <c r="AB1330" t="s">
        <v>116</v>
      </c>
      <c r="AC1330">
        <v>180700</v>
      </c>
      <c r="AD1330">
        <v>0.02</v>
      </c>
      <c r="AE1330" t="s">
        <v>116</v>
      </c>
      <c r="AF1330" t="s">
        <v>116</v>
      </c>
      <c r="AG1330">
        <v>0.89</v>
      </c>
      <c r="AH1330" t="s">
        <v>4179</v>
      </c>
      <c r="AI1330" t="s">
        <v>3610</v>
      </c>
      <c r="AJ1330">
        <v>-0.86</v>
      </c>
      <c r="AK1330">
        <v>2510</v>
      </c>
      <c r="AL1330">
        <v>17</v>
      </c>
      <c r="AM1330">
        <v>1.9E-3</v>
      </c>
      <c r="AN1330">
        <v>-1</v>
      </c>
      <c r="AO1330">
        <v>-0.41</v>
      </c>
      <c r="AP1330">
        <v>3.41</v>
      </c>
      <c r="AQ1330">
        <v>1.76</v>
      </c>
      <c r="AR1330">
        <v>4.03</v>
      </c>
      <c r="AS1330">
        <v>4.71</v>
      </c>
      <c r="AT1330" t="s">
        <v>4179</v>
      </c>
      <c r="AU1330">
        <v>32.25</v>
      </c>
      <c r="AV1330">
        <v>64.040000000000006</v>
      </c>
      <c r="AW1330">
        <v>1.07</v>
      </c>
      <c r="BA1330">
        <v>-0.24</v>
      </c>
      <c r="BB1330">
        <v>0.73</v>
      </c>
      <c r="BC1330">
        <v>-1.54</v>
      </c>
      <c r="BD1330">
        <v>-0.46</v>
      </c>
      <c r="BE1330">
        <v>-1.3</v>
      </c>
      <c r="BF1330">
        <v>-2.2599999999999998</v>
      </c>
      <c r="BG1330">
        <v>0</v>
      </c>
      <c r="BH1330">
        <v>-1.08</v>
      </c>
      <c r="BI1330">
        <v>20191223</v>
      </c>
      <c r="BJ1330">
        <v>20170825</v>
      </c>
      <c r="BK1330">
        <v>4.08</v>
      </c>
      <c r="BL1330" t="s">
        <v>116</v>
      </c>
      <c r="BM1330" t="s">
        <v>116</v>
      </c>
      <c r="BN1330">
        <v>28.38</v>
      </c>
      <c r="BO1330">
        <v>19.5</v>
      </c>
      <c r="BP1330">
        <v>0.1</v>
      </c>
      <c r="BQ1330">
        <v>30.92</v>
      </c>
      <c r="BR1330">
        <v>9.1999999999999993</v>
      </c>
      <c r="BS1330">
        <v>4.1100000000000003</v>
      </c>
      <c r="BT1330">
        <v>1.1200000000000001</v>
      </c>
      <c r="BU1330">
        <v>7.32</v>
      </c>
      <c r="BV1330">
        <v>2.59</v>
      </c>
      <c r="BW1330">
        <v>1.07</v>
      </c>
      <c r="BX1330">
        <v>7</v>
      </c>
      <c r="BY1330">
        <v>13.16</v>
      </c>
      <c r="BZ1330">
        <v>9.5399999999999991</v>
      </c>
      <c r="CA1330">
        <v>1.8</v>
      </c>
      <c r="CB1330">
        <v>7.0000000000000007E-2</v>
      </c>
      <c r="CC1330">
        <v>1.77</v>
      </c>
      <c r="CD1330">
        <v>1.42</v>
      </c>
      <c r="CE1330">
        <v>1.43</v>
      </c>
      <c r="CF1330">
        <v>1.5</v>
      </c>
      <c r="CG1330">
        <v>8</v>
      </c>
      <c r="CH1330">
        <v>2.23</v>
      </c>
      <c r="CI1330">
        <v>1.75</v>
      </c>
      <c r="CJ1330">
        <v>21978</v>
      </c>
      <c r="CK1330">
        <v>4051</v>
      </c>
      <c r="CL1330" t="s">
        <v>185</v>
      </c>
      <c r="CM1330">
        <v>114.62</v>
      </c>
      <c r="CN1330">
        <v>35.14</v>
      </c>
      <c r="CO1330">
        <v>2.4900000000000002</v>
      </c>
      <c r="CP1330">
        <v>22.15</v>
      </c>
      <c r="CQ1330">
        <v>3.76</v>
      </c>
      <c r="CR1330">
        <v>2.4700000000000002</v>
      </c>
      <c r="CS1330" t="s">
        <v>793</v>
      </c>
      <c r="CT1330">
        <v>4.88</v>
      </c>
      <c r="CU1330">
        <v>4.88</v>
      </c>
      <c r="CV1330">
        <v>1.72</v>
      </c>
      <c r="CW1330">
        <v>1.96</v>
      </c>
      <c r="CX1330">
        <v>0.55000000000000004</v>
      </c>
      <c r="CY1330">
        <v>68.72</v>
      </c>
      <c r="CZ1330" t="s">
        <v>2056</v>
      </c>
      <c r="DA1330">
        <v>27.52</v>
      </c>
      <c r="DB1330">
        <v>13.7</v>
      </c>
      <c r="DC1330">
        <v>10.83</v>
      </c>
      <c r="DD1330">
        <v>0.19</v>
      </c>
      <c r="DE1330">
        <v>1148</v>
      </c>
      <c r="DF1330">
        <v>2895</v>
      </c>
      <c r="DG1330" t="s">
        <v>116</v>
      </c>
      <c r="DH1330" t="s">
        <v>116</v>
      </c>
      <c r="DI1330" t="s">
        <v>116</v>
      </c>
    </row>
    <row r="1331" spans="1:113" x14ac:dyDescent="0.4">
      <c r="A1331" t="str">
        <f>"002896"</f>
        <v>002896</v>
      </c>
      <c r="B1331" t="s">
        <v>7301</v>
      </c>
      <c r="C1331">
        <v>4.66</v>
      </c>
      <c r="D1331">
        <v>22.89</v>
      </c>
      <c r="E1331">
        <v>1.02</v>
      </c>
      <c r="F1331">
        <v>22.89</v>
      </c>
      <c r="G1331">
        <v>22.9</v>
      </c>
      <c r="H1331">
        <v>24562</v>
      </c>
      <c r="I1331">
        <v>691</v>
      </c>
      <c r="J1331">
        <v>-0.03</v>
      </c>
      <c r="K1331">
        <v>7.17</v>
      </c>
      <c r="L1331">
        <v>21.77</v>
      </c>
      <c r="M1331">
        <v>23.6</v>
      </c>
      <c r="N1331">
        <v>21.65</v>
      </c>
      <c r="O1331">
        <v>21.87</v>
      </c>
      <c r="P1331">
        <v>39.79</v>
      </c>
      <c r="Q1331">
        <v>55079592</v>
      </c>
      <c r="R1331">
        <v>2.44</v>
      </c>
      <c r="S1331" t="s">
        <v>996</v>
      </c>
      <c r="T1331" t="s">
        <v>590</v>
      </c>
      <c r="U1331">
        <v>8.92</v>
      </c>
      <c r="V1331">
        <v>22.42</v>
      </c>
      <c r="W1331">
        <v>10912</v>
      </c>
      <c r="X1331">
        <v>13650</v>
      </c>
      <c r="Y1331">
        <v>0.8</v>
      </c>
      <c r="Z1331">
        <v>789</v>
      </c>
      <c r="AA1331">
        <v>72</v>
      </c>
      <c r="AB1331" t="s">
        <v>116</v>
      </c>
      <c r="AC1331">
        <v>154600</v>
      </c>
      <c r="AD1331">
        <v>0.03</v>
      </c>
      <c r="AE1331" t="s">
        <v>116</v>
      </c>
      <c r="AF1331" t="s">
        <v>116</v>
      </c>
      <c r="AG1331">
        <v>0.34</v>
      </c>
      <c r="AH1331" t="s">
        <v>7302</v>
      </c>
      <c r="AI1331" t="s">
        <v>7303</v>
      </c>
      <c r="AJ1331">
        <v>5.34</v>
      </c>
      <c r="AK1331">
        <v>1274</v>
      </c>
      <c r="AL1331">
        <v>19</v>
      </c>
      <c r="AM1331">
        <v>5.5999999999999999E-3</v>
      </c>
      <c r="AN1331">
        <v>4</v>
      </c>
      <c r="AO1331">
        <v>7.82</v>
      </c>
      <c r="AP1331">
        <v>15.61</v>
      </c>
      <c r="AQ1331">
        <v>-2.1</v>
      </c>
      <c r="AR1331">
        <v>-26.14</v>
      </c>
      <c r="AS1331">
        <v>8.69</v>
      </c>
      <c r="AT1331" t="s">
        <v>7304</v>
      </c>
      <c r="AU1331">
        <v>38.24</v>
      </c>
      <c r="AV1331">
        <v>25.13</v>
      </c>
      <c r="AW1331">
        <v>1.19</v>
      </c>
      <c r="BA1331">
        <v>-0.46</v>
      </c>
      <c r="BB1331">
        <v>7.91</v>
      </c>
      <c r="BC1331">
        <v>-1.01</v>
      </c>
      <c r="BD1331">
        <v>2.5299999999999998</v>
      </c>
      <c r="BE1331">
        <v>5.14</v>
      </c>
      <c r="BF1331">
        <v>-3.01</v>
      </c>
      <c r="BG1331">
        <v>5.73</v>
      </c>
      <c r="BH1331">
        <v>2.13</v>
      </c>
      <c r="BI1331">
        <v>20191114</v>
      </c>
      <c r="BJ1331">
        <v>20170829</v>
      </c>
      <c r="BK1331">
        <v>0.8</v>
      </c>
      <c r="BL1331" t="s">
        <v>116</v>
      </c>
      <c r="BM1331" t="s">
        <v>116</v>
      </c>
      <c r="BN1331">
        <v>9.66</v>
      </c>
      <c r="BO1331">
        <v>6.13</v>
      </c>
      <c r="BP1331">
        <v>0</v>
      </c>
      <c r="BQ1331">
        <v>36.590000000000003</v>
      </c>
      <c r="BR1331">
        <v>4.2</v>
      </c>
      <c r="BS1331">
        <v>4.96</v>
      </c>
      <c r="BT1331">
        <v>0.32</v>
      </c>
      <c r="BU1331">
        <v>3.19</v>
      </c>
      <c r="BV1331">
        <v>2.02</v>
      </c>
      <c r="BW1331">
        <v>1.41</v>
      </c>
      <c r="BX1331">
        <v>3.23</v>
      </c>
      <c r="BY1331">
        <v>4.88</v>
      </c>
      <c r="BZ1331">
        <v>3.55</v>
      </c>
      <c r="CA1331">
        <v>0.38</v>
      </c>
      <c r="CB1331">
        <v>0</v>
      </c>
      <c r="CC1331">
        <v>0.38</v>
      </c>
      <c r="CD1331">
        <v>0.35</v>
      </c>
      <c r="CE1331">
        <v>0.35</v>
      </c>
      <c r="CF1331">
        <v>0.33</v>
      </c>
      <c r="CG1331">
        <v>1.9</v>
      </c>
      <c r="CH1331">
        <v>0.48</v>
      </c>
      <c r="CI1331">
        <v>-0.79</v>
      </c>
      <c r="CJ1331">
        <v>9452</v>
      </c>
      <c r="CK1331">
        <v>2990</v>
      </c>
      <c r="CL1331" t="s">
        <v>2068</v>
      </c>
      <c r="CM1331">
        <v>-41.99</v>
      </c>
      <c r="CN1331">
        <v>10.64</v>
      </c>
      <c r="CO1331">
        <v>2.99</v>
      </c>
      <c r="CP1331">
        <v>38.35</v>
      </c>
      <c r="CQ1331">
        <v>3.76</v>
      </c>
      <c r="CR1331">
        <v>0.66</v>
      </c>
      <c r="CS1331" t="s">
        <v>4617</v>
      </c>
      <c r="CT1331">
        <v>7.66</v>
      </c>
      <c r="CU1331">
        <v>0</v>
      </c>
      <c r="CV1331">
        <v>4.04</v>
      </c>
      <c r="CW1331">
        <v>2.37</v>
      </c>
      <c r="CX1331">
        <v>0.6</v>
      </c>
      <c r="CY1331">
        <v>63.42</v>
      </c>
      <c r="CZ1331" t="s">
        <v>7305</v>
      </c>
      <c r="DA1331">
        <v>27.25</v>
      </c>
      <c r="DB1331">
        <v>7.78</v>
      </c>
      <c r="DC1331">
        <v>7.08</v>
      </c>
      <c r="DD1331">
        <v>0.26</v>
      </c>
      <c r="DE1331">
        <v>1481</v>
      </c>
      <c r="DF1331">
        <v>2896</v>
      </c>
      <c r="DG1331" t="s">
        <v>116</v>
      </c>
      <c r="DH1331" t="s">
        <v>116</v>
      </c>
      <c r="DI1331" t="s">
        <v>116</v>
      </c>
    </row>
    <row r="1332" spans="1:113" x14ac:dyDescent="0.4">
      <c r="A1332" t="str">
        <f>"002897"</f>
        <v>002897</v>
      </c>
      <c r="B1332" t="s">
        <v>7306</v>
      </c>
      <c r="C1332">
        <v>-2.42</v>
      </c>
      <c r="D1332">
        <v>27.03</v>
      </c>
      <c r="E1332">
        <v>-0.67</v>
      </c>
      <c r="F1332">
        <v>27.02</v>
      </c>
      <c r="G1332">
        <v>27.03</v>
      </c>
      <c r="H1332">
        <v>52866</v>
      </c>
      <c r="I1332">
        <v>1021</v>
      </c>
      <c r="J1332">
        <v>-0.65</v>
      </c>
      <c r="K1332">
        <v>7.81</v>
      </c>
      <c r="L1332">
        <v>27.7</v>
      </c>
      <c r="M1332">
        <v>28.1</v>
      </c>
      <c r="N1332">
        <v>26.88</v>
      </c>
      <c r="O1332">
        <v>27.7</v>
      </c>
      <c r="P1332">
        <v>71.39</v>
      </c>
      <c r="Q1332">
        <v>145650752</v>
      </c>
      <c r="R1332">
        <v>0.76</v>
      </c>
      <c r="S1332" t="s">
        <v>233</v>
      </c>
      <c r="T1332" t="s">
        <v>590</v>
      </c>
      <c r="U1332">
        <v>4.4000000000000004</v>
      </c>
      <c r="V1332">
        <v>27.55</v>
      </c>
      <c r="W1332">
        <v>29150</v>
      </c>
      <c r="X1332">
        <v>23716</v>
      </c>
      <c r="Y1332">
        <v>1.23</v>
      </c>
      <c r="Z1332">
        <v>29</v>
      </c>
      <c r="AA1332">
        <v>133</v>
      </c>
      <c r="AB1332" t="s">
        <v>116</v>
      </c>
      <c r="AC1332">
        <v>487500</v>
      </c>
      <c r="AD1332">
        <v>0.03</v>
      </c>
      <c r="AE1332" t="s">
        <v>116</v>
      </c>
      <c r="AF1332" t="s">
        <v>116</v>
      </c>
      <c r="AG1332">
        <v>0.68</v>
      </c>
      <c r="AH1332" t="s">
        <v>7307</v>
      </c>
      <c r="AI1332" t="s">
        <v>7308</v>
      </c>
      <c r="AJ1332">
        <v>-1.74</v>
      </c>
      <c r="AK1332">
        <v>2789</v>
      </c>
      <c r="AL1332">
        <v>19</v>
      </c>
      <c r="AM1332">
        <v>2.8E-3</v>
      </c>
      <c r="AN1332">
        <v>-2</v>
      </c>
      <c r="AO1332">
        <v>-2.17</v>
      </c>
      <c r="AP1332">
        <v>23.99</v>
      </c>
      <c r="AQ1332">
        <v>7.48</v>
      </c>
      <c r="AR1332">
        <v>32.83</v>
      </c>
      <c r="AS1332">
        <v>7.81</v>
      </c>
      <c r="AT1332" t="s">
        <v>7307</v>
      </c>
      <c r="AU1332">
        <v>73</v>
      </c>
      <c r="AV1332">
        <v>59.34</v>
      </c>
      <c r="AW1332">
        <v>1.75</v>
      </c>
      <c r="BA1332">
        <v>0</v>
      </c>
      <c r="BB1332">
        <v>1.44</v>
      </c>
      <c r="BC1332">
        <v>-2.96</v>
      </c>
      <c r="BD1332">
        <v>-0.54</v>
      </c>
      <c r="BE1332">
        <v>-2.42</v>
      </c>
      <c r="BF1332">
        <v>-3.81</v>
      </c>
      <c r="BG1332">
        <v>0.56000000000000005</v>
      </c>
      <c r="BH1332">
        <v>-1.88</v>
      </c>
      <c r="BI1332">
        <v>20191223</v>
      </c>
      <c r="BJ1332">
        <v>20170907</v>
      </c>
      <c r="BK1332">
        <v>1.71</v>
      </c>
      <c r="BL1332" t="s">
        <v>116</v>
      </c>
      <c r="BM1332" t="s">
        <v>116</v>
      </c>
      <c r="BN1332">
        <v>18.350000000000001</v>
      </c>
      <c r="BO1332">
        <v>11.55</v>
      </c>
      <c r="BP1332">
        <v>0.3</v>
      </c>
      <c r="BQ1332">
        <v>35.450000000000003</v>
      </c>
      <c r="BR1332">
        <v>10.75</v>
      </c>
      <c r="BS1332">
        <v>5.85</v>
      </c>
      <c r="BT1332">
        <v>0.77</v>
      </c>
      <c r="BU1332">
        <v>6.17</v>
      </c>
      <c r="BV1332">
        <v>3.18</v>
      </c>
      <c r="BW1332">
        <v>3.43</v>
      </c>
      <c r="BX1332">
        <v>5.14</v>
      </c>
      <c r="BY1332">
        <v>10.32</v>
      </c>
      <c r="BZ1332">
        <v>7.66</v>
      </c>
      <c r="CA1332">
        <v>0.55000000000000004</v>
      </c>
      <c r="CB1332">
        <v>0.05</v>
      </c>
      <c r="CC1332">
        <v>0.56000000000000005</v>
      </c>
      <c r="CD1332">
        <v>0.36</v>
      </c>
      <c r="CE1332">
        <v>0.48</v>
      </c>
      <c r="CF1332">
        <v>0.4</v>
      </c>
      <c r="CG1332">
        <v>4.38</v>
      </c>
      <c r="CH1332">
        <v>0.27</v>
      </c>
      <c r="CI1332">
        <v>0.28999999999999998</v>
      </c>
      <c r="CJ1332">
        <v>16823</v>
      </c>
      <c r="CK1332">
        <v>4021</v>
      </c>
      <c r="CL1332" t="s">
        <v>7309</v>
      </c>
      <c r="CM1332">
        <v>-23.08</v>
      </c>
      <c r="CN1332">
        <v>3.67</v>
      </c>
      <c r="CO1332">
        <v>4</v>
      </c>
      <c r="CP1332">
        <v>169.48</v>
      </c>
      <c r="CQ1332">
        <v>4.47</v>
      </c>
      <c r="CR1332">
        <v>0.37</v>
      </c>
      <c r="CS1332" t="s">
        <v>1881</v>
      </c>
      <c r="CT1332">
        <v>6.77</v>
      </c>
      <c r="CU1332">
        <v>0</v>
      </c>
      <c r="CV1332">
        <v>3.01</v>
      </c>
      <c r="CW1332">
        <v>2.56</v>
      </c>
      <c r="CX1332">
        <v>0.16</v>
      </c>
      <c r="CY1332">
        <v>62.91</v>
      </c>
      <c r="CZ1332" t="s">
        <v>7310</v>
      </c>
      <c r="DA1332">
        <v>25.8</v>
      </c>
      <c r="DB1332">
        <v>5.37</v>
      </c>
      <c r="DC1332">
        <v>4.7</v>
      </c>
      <c r="DD1332">
        <v>0.95</v>
      </c>
      <c r="DE1332">
        <v>4296</v>
      </c>
      <c r="DF1332">
        <v>2897</v>
      </c>
      <c r="DG1332" t="s">
        <v>116</v>
      </c>
      <c r="DH1332" t="s">
        <v>116</v>
      </c>
      <c r="DI1332" t="s">
        <v>116</v>
      </c>
    </row>
    <row r="1333" spans="1:113" x14ac:dyDescent="0.4">
      <c r="A1333" t="str">
        <f>"002898"</f>
        <v>002898</v>
      </c>
      <c r="B1333" t="s">
        <v>7311</v>
      </c>
      <c r="C1333">
        <v>-7.0000000000000007E-2</v>
      </c>
      <c r="D1333">
        <v>13.55</v>
      </c>
      <c r="E1333">
        <v>-0.01</v>
      </c>
      <c r="F1333">
        <v>13.54</v>
      </c>
      <c r="G1333">
        <v>13.55</v>
      </c>
      <c r="H1333">
        <v>10417</v>
      </c>
      <c r="I1333">
        <v>39</v>
      </c>
      <c r="J1333">
        <v>0.22</v>
      </c>
      <c r="K1333">
        <v>1.74</v>
      </c>
      <c r="L1333">
        <v>13.5</v>
      </c>
      <c r="M1333">
        <v>13.77</v>
      </c>
      <c r="N1333">
        <v>13.5</v>
      </c>
      <c r="O1333">
        <v>13.56</v>
      </c>
      <c r="P1333">
        <v>86.05</v>
      </c>
      <c r="Q1333">
        <v>14205814</v>
      </c>
      <c r="R1333">
        <v>1.24</v>
      </c>
      <c r="S1333" t="s">
        <v>574</v>
      </c>
      <c r="T1333" t="s">
        <v>551</v>
      </c>
      <c r="U1333">
        <v>1.99</v>
      </c>
      <c r="V1333">
        <v>13.64</v>
      </c>
      <c r="W1333">
        <v>5876</v>
      </c>
      <c r="X1333">
        <v>4541</v>
      </c>
      <c r="Y1333">
        <v>1.29</v>
      </c>
      <c r="Z1333">
        <v>9</v>
      </c>
      <c r="AA1333">
        <v>4</v>
      </c>
      <c r="AB1333" t="s">
        <v>116</v>
      </c>
      <c r="AC1333">
        <v>9500</v>
      </c>
      <c r="AD1333">
        <v>0</v>
      </c>
      <c r="AE1333" t="s">
        <v>116</v>
      </c>
      <c r="AF1333" t="s">
        <v>116</v>
      </c>
      <c r="AG1333">
        <v>0.6</v>
      </c>
      <c r="AH1333" t="s">
        <v>7312</v>
      </c>
      <c r="AI1333" t="s">
        <v>7313</v>
      </c>
      <c r="AJ1333">
        <v>0.61</v>
      </c>
      <c r="AK1333">
        <v>644</v>
      </c>
      <c r="AL1333">
        <v>16</v>
      </c>
      <c r="AM1333">
        <v>2.7000000000000001E-3</v>
      </c>
      <c r="AN1333">
        <v>-1</v>
      </c>
      <c r="AO1333">
        <v>0.52</v>
      </c>
      <c r="AP1333">
        <v>5.04</v>
      </c>
      <c r="AQ1333">
        <v>-0.81</v>
      </c>
      <c r="AR1333">
        <v>-8.6300000000000008</v>
      </c>
      <c r="AS1333">
        <v>2.0299999999999998</v>
      </c>
      <c r="AT1333" t="s">
        <v>4082</v>
      </c>
      <c r="AU1333">
        <v>66.790000000000006</v>
      </c>
      <c r="AV1333">
        <v>35.6</v>
      </c>
      <c r="AW1333">
        <v>0.85</v>
      </c>
      <c r="BA1333">
        <v>-0.44</v>
      </c>
      <c r="BB1333">
        <v>1.55</v>
      </c>
      <c r="BC1333">
        <v>-0.44</v>
      </c>
      <c r="BD1333">
        <v>0.56999999999999995</v>
      </c>
      <c r="BE1333">
        <v>0.37</v>
      </c>
      <c r="BF1333">
        <v>-1.6</v>
      </c>
      <c r="BG1333">
        <v>0.37</v>
      </c>
      <c r="BH1333">
        <v>-0.64</v>
      </c>
      <c r="BI1333">
        <v>20191119</v>
      </c>
      <c r="BJ1333">
        <v>20170912</v>
      </c>
      <c r="BK1333">
        <v>1.6</v>
      </c>
      <c r="BL1333" t="s">
        <v>116</v>
      </c>
      <c r="BM1333" t="s">
        <v>116</v>
      </c>
      <c r="BN1333">
        <v>8.02</v>
      </c>
      <c r="BO1333">
        <v>6.5</v>
      </c>
      <c r="BP1333">
        <v>0</v>
      </c>
      <c r="BQ1333">
        <v>18.86</v>
      </c>
      <c r="BR1333">
        <v>3.35</v>
      </c>
      <c r="BS1333">
        <v>1.76</v>
      </c>
      <c r="BT1333">
        <v>0.67</v>
      </c>
      <c r="BU1333">
        <v>1.49</v>
      </c>
      <c r="BV1333">
        <v>0.47</v>
      </c>
      <c r="BW1333">
        <v>1.08</v>
      </c>
      <c r="BX1333">
        <v>3.04</v>
      </c>
      <c r="BY1333">
        <v>2.15</v>
      </c>
      <c r="BZ1333">
        <v>0.51</v>
      </c>
      <c r="CA1333">
        <v>0.22</v>
      </c>
      <c r="CB1333">
        <v>0.01</v>
      </c>
      <c r="CC1333">
        <v>0.21</v>
      </c>
      <c r="CD1333">
        <v>0.19</v>
      </c>
      <c r="CE1333">
        <v>0.19</v>
      </c>
      <c r="CF1333">
        <v>0.19</v>
      </c>
      <c r="CG1333">
        <v>1.69</v>
      </c>
      <c r="CH1333">
        <v>-0.61</v>
      </c>
      <c r="CI1333">
        <v>-1.46</v>
      </c>
      <c r="CJ1333">
        <v>17399</v>
      </c>
      <c r="CK1333">
        <v>2952</v>
      </c>
      <c r="CL1333" t="s">
        <v>3805</v>
      </c>
      <c r="CM1333">
        <v>-60.09</v>
      </c>
      <c r="CN1333">
        <v>-33.94</v>
      </c>
      <c r="CO1333">
        <v>3.33</v>
      </c>
      <c r="CP1333">
        <v>-35.79</v>
      </c>
      <c r="CQ1333">
        <v>10.08</v>
      </c>
      <c r="CR1333">
        <v>1.48</v>
      </c>
      <c r="CS1333" t="s">
        <v>7083</v>
      </c>
      <c r="CT1333">
        <v>4.07</v>
      </c>
      <c r="CU1333">
        <v>0</v>
      </c>
      <c r="CV1333">
        <v>1.9</v>
      </c>
      <c r="CW1333">
        <v>1.06</v>
      </c>
      <c r="CX1333">
        <v>-0.38</v>
      </c>
      <c r="CY1333">
        <v>81.14</v>
      </c>
      <c r="CZ1333" t="s">
        <v>4968</v>
      </c>
      <c r="DA1333">
        <v>76.239999999999995</v>
      </c>
      <c r="DB1333">
        <v>10.039999999999999</v>
      </c>
      <c r="DC1333">
        <v>8.7899999999999991</v>
      </c>
      <c r="DD1333">
        <v>0.08</v>
      </c>
      <c r="DE1333">
        <v>451</v>
      </c>
      <c r="DF1333">
        <v>2898</v>
      </c>
      <c r="DG1333" t="s">
        <v>116</v>
      </c>
      <c r="DH1333" t="s">
        <v>116</v>
      </c>
      <c r="DI1333" t="s">
        <v>116</v>
      </c>
    </row>
    <row r="1334" spans="1:113" x14ac:dyDescent="0.4">
      <c r="A1334" t="str">
        <f>"002899"</f>
        <v>002899</v>
      </c>
      <c r="B1334" t="s">
        <v>7314</v>
      </c>
      <c r="C1334">
        <v>7.0000000000000007E-2</v>
      </c>
      <c r="D1334">
        <v>13.92</v>
      </c>
      <c r="E1334">
        <v>0.01</v>
      </c>
      <c r="F1334">
        <v>13.91</v>
      </c>
      <c r="G1334">
        <v>13.92</v>
      </c>
      <c r="H1334">
        <v>14928</v>
      </c>
      <c r="I1334">
        <v>363</v>
      </c>
      <c r="J1334">
        <v>7.0000000000000007E-2</v>
      </c>
      <c r="K1334">
        <v>1.88</v>
      </c>
      <c r="L1334">
        <v>13.99</v>
      </c>
      <c r="M1334">
        <v>14.1</v>
      </c>
      <c r="N1334">
        <v>13.79</v>
      </c>
      <c r="O1334">
        <v>13.91</v>
      </c>
      <c r="P1334">
        <v>30.28</v>
      </c>
      <c r="Q1334">
        <v>20870324</v>
      </c>
      <c r="R1334">
        <v>1.38</v>
      </c>
      <c r="S1334" t="s">
        <v>217</v>
      </c>
      <c r="T1334" t="s">
        <v>645</v>
      </c>
      <c r="U1334">
        <v>2.23</v>
      </c>
      <c r="V1334">
        <v>13.98</v>
      </c>
      <c r="W1334">
        <v>8623</v>
      </c>
      <c r="X1334">
        <v>6305</v>
      </c>
      <c r="Y1334">
        <v>1.37</v>
      </c>
      <c r="Z1334">
        <v>1</v>
      </c>
      <c r="AA1334">
        <v>189</v>
      </c>
      <c r="AB1334" t="s">
        <v>116</v>
      </c>
      <c r="AC1334">
        <v>63000</v>
      </c>
      <c r="AD1334">
        <v>0.01</v>
      </c>
      <c r="AE1334" t="s">
        <v>116</v>
      </c>
      <c r="AF1334" t="s">
        <v>116</v>
      </c>
      <c r="AG1334">
        <v>0.79</v>
      </c>
      <c r="AH1334" t="s">
        <v>7315</v>
      </c>
      <c r="AI1334" t="s">
        <v>7316</v>
      </c>
      <c r="AJ1334">
        <v>0.75</v>
      </c>
      <c r="AK1334">
        <v>847</v>
      </c>
      <c r="AL1334">
        <v>18</v>
      </c>
      <c r="AM1334">
        <v>2.2000000000000001E-3</v>
      </c>
      <c r="AN1334">
        <v>4</v>
      </c>
      <c r="AO1334">
        <v>1.53</v>
      </c>
      <c r="AP1334">
        <v>9.52</v>
      </c>
      <c r="AQ1334">
        <v>-0.14000000000000001</v>
      </c>
      <c r="AR1334">
        <v>-3.04</v>
      </c>
      <c r="AS1334">
        <v>2.82</v>
      </c>
      <c r="AT1334" t="s">
        <v>7317</v>
      </c>
      <c r="AU1334">
        <v>28.66</v>
      </c>
      <c r="AV1334">
        <v>26.65</v>
      </c>
      <c r="AW1334">
        <v>0.98</v>
      </c>
      <c r="BA1334">
        <v>0.57999999999999996</v>
      </c>
      <c r="BB1334">
        <v>1.37</v>
      </c>
      <c r="BC1334">
        <v>-0.86</v>
      </c>
      <c r="BD1334">
        <v>0.51</v>
      </c>
      <c r="BE1334">
        <v>-0.5</v>
      </c>
      <c r="BF1334">
        <v>-1.28</v>
      </c>
      <c r="BG1334">
        <v>0.94</v>
      </c>
      <c r="BH1334">
        <v>-0.44</v>
      </c>
      <c r="BI1334">
        <v>20191108</v>
      </c>
      <c r="BJ1334">
        <v>20170915</v>
      </c>
      <c r="BK1334">
        <v>1.2</v>
      </c>
      <c r="BL1334" t="s">
        <v>116</v>
      </c>
      <c r="BM1334" t="s">
        <v>116</v>
      </c>
      <c r="BN1334">
        <v>13.03</v>
      </c>
      <c r="BO1334">
        <v>10.36</v>
      </c>
      <c r="BP1334">
        <v>0</v>
      </c>
      <c r="BQ1334">
        <v>20.53</v>
      </c>
      <c r="BR1334">
        <v>9.8699999999999992</v>
      </c>
      <c r="BS1334">
        <v>1.81</v>
      </c>
      <c r="BT1334">
        <v>0.93</v>
      </c>
      <c r="BU1334">
        <v>2.64</v>
      </c>
      <c r="BV1334">
        <v>1.8</v>
      </c>
      <c r="BW1334">
        <v>2.7</v>
      </c>
      <c r="BX1334">
        <v>6.25</v>
      </c>
      <c r="BY1334">
        <v>6.26</v>
      </c>
      <c r="BZ1334">
        <v>4.2699999999999996</v>
      </c>
      <c r="CA1334">
        <v>0.52</v>
      </c>
      <c r="CB1334">
        <v>0.1</v>
      </c>
      <c r="CC1334">
        <v>0.52</v>
      </c>
      <c r="CD1334">
        <v>0.41</v>
      </c>
      <c r="CE1334">
        <v>0.41</v>
      </c>
      <c r="CF1334">
        <v>0.31</v>
      </c>
      <c r="CG1334">
        <v>2.58</v>
      </c>
      <c r="CH1334">
        <v>-0.56000000000000005</v>
      </c>
      <c r="CI1334">
        <v>0.32</v>
      </c>
      <c r="CJ1334">
        <v>16041</v>
      </c>
      <c r="CK1334">
        <v>3305</v>
      </c>
      <c r="CL1334" t="s">
        <v>4939</v>
      </c>
      <c r="CM1334">
        <v>-9.64</v>
      </c>
      <c r="CN1334">
        <v>5.26</v>
      </c>
      <c r="CO1334">
        <v>1.61</v>
      </c>
      <c r="CP1334">
        <v>-30.04</v>
      </c>
      <c r="CQ1334">
        <v>2.67</v>
      </c>
      <c r="CR1334">
        <v>0.68</v>
      </c>
      <c r="CS1334" t="s">
        <v>5045</v>
      </c>
      <c r="CT1334">
        <v>8.6300000000000008</v>
      </c>
      <c r="CU1334">
        <v>0</v>
      </c>
      <c r="CV1334">
        <v>5.21</v>
      </c>
      <c r="CW1334">
        <v>2.15</v>
      </c>
      <c r="CX1334">
        <v>-0.46</v>
      </c>
      <c r="CY1334">
        <v>79.47</v>
      </c>
      <c r="CZ1334" t="s">
        <v>752</v>
      </c>
      <c r="DA1334">
        <v>31.81</v>
      </c>
      <c r="DB1334">
        <v>8.2799999999999994</v>
      </c>
      <c r="DC1334">
        <v>6.61</v>
      </c>
      <c r="DD1334">
        <v>0.41</v>
      </c>
      <c r="DE1334">
        <v>1665</v>
      </c>
      <c r="DF1334">
        <v>2899</v>
      </c>
      <c r="DG1334" t="s">
        <v>116</v>
      </c>
      <c r="DH1334" t="s">
        <v>116</v>
      </c>
      <c r="DI1334" t="s">
        <v>116</v>
      </c>
    </row>
    <row r="1335" spans="1:113" x14ac:dyDescent="0.4">
      <c r="A1335" t="str">
        <f>"002900"</f>
        <v>002900</v>
      </c>
      <c r="B1335" t="s">
        <v>7318</v>
      </c>
      <c r="C1335">
        <v>0.18</v>
      </c>
      <c r="D1335">
        <v>11.36</v>
      </c>
      <c r="E1335">
        <v>0.02</v>
      </c>
      <c r="F1335">
        <v>11.36</v>
      </c>
      <c r="G1335">
        <v>11.37</v>
      </c>
      <c r="H1335">
        <v>15493</v>
      </c>
      <c r="I1335">
        <v>184</v>
      </c>
      <c r="J1335">
        <v>0</v>
      </c>
      <c r="K1335">
        <v>1.3</v>
      </c>
      <c r="L1335">
        <v>11.34</v>
      </c>
      <c r="M1335">
        <v>11.47</v>
      </c>
      <c r="N1335">
        <v>11.33</v>
      </c>
      <c r="O1335">
        <v>11.34</v>
      </c>
      <c r="P1335">
        <v>17.89</v>
      </c>
      <c r="Q1335">
        <v>17666002</v>
      </c>
      <c r="R1335">
        <v>1.22</v>
      </c>
      <c r="S1335" t="s">
        <v>574</v>
      </c>
      <c r="T1335" t="s">
        <v>1287</v>
      </c>
      <c r="U1335">
        <v>1.23</v>
      </c>
      <c r="V1335">
        <v>11.4</v>
      </c>
      <c r="W1335">
        <v>8619</v>
      </c>
      <c r="X1335">
        <v>6874</v>
      </c>
      <c r="Y1335">
        <v>1.25</v>
      </c>
      <c r="Z1335">
        <v>18</v>
      </c>
      <c r="AA1335">
        <v>131</v>
      </c>
      <c r="AB1335" t="s">
        <v>116</v>
      </c>
      <c r="AC1335">
        <v>11300</v>
      </c>
      <c r="AD1335">
        <v>0</v>
      </c>
      <c r="AE1335" t="s">
        <v>116</v>
      </c>
      <c r="AF1335" t="s">
        <v>116</v>
      </c>
      <c r="AG1335">
        <v>1.19</v>
      </c>
      <c r="AH1335" t="s">
        <v>7319</v>
      </c>
      <c r="AI1335" t="s">
        <v>5762</v>
      </c>
      <c r="AJ1335">
        <v>0.86</v>
      </c>
      <c r="AK1335">
        <v>723</v>
      </c>
      <c r="AL1335">
        <v>21</v>
      </c>
      <c r="AM1335">
        <v>1.8E-3</v>
      </c>
      <c r="AN1335">
        <v>4</v>
      </c>
      <c r="AO1335">
        <v>0.71</v>
      </c>
      <c r="AP1335">
        <v>3.18</v>
      </c>
      <c r="AQ1335">
        <v>-3.48</v>
      </c>
      <c r="AR1335">
        <v>-0.61</v>
      </c>
      <c r="AS1335">
        <v>1.37</v>
      </c>
      <c r="AT1335" t="s">
        <v>7320</v>
      </c>
      <c r="AU1335">
        <v>20.57</v>
      </c>
      <c r="AV1335">
        <v>17.47</v>
      </c>
      <c r="AW1335">
        <v>0.64</v>
      </c>
      <c r="BA1335">
        <v>0</v>
      </c>
      <c r="BB1335">
        <v>1.1499999999999999</v>
      </c>
      <c r="BC1335">
        <v>-0.09</v>
      </c>
      <c r="BD1335">
        <v>0.55000000000000004</v>
      </c>
      <c r="BE1335">
        <v>0.18</v>
      </c>
      <c r="BF1335">
        <v>-0.96</v>
      </c>
      <c r="BG1335">
        <v>0.26</v>
      </c>
      <c r="BH1335">
        <v>-0.38</v>
      </c>
      <c r="BI1335">
        <v>20191126</v>
      </c>
      <c r="BJ1335">
        <v>20170922</v>
      </c>
      <c r="BK1335">
        <v>3.17</v>
      </c>
      <c r="BL1335" t="s">
        <v>116</v>
      </c>
      <c r="BM1335" t="s">
        <v>116</v>
      </c>
      <c r="BN1335">
        <v>26.93</v>
      </c>
      <c r="BO1335">
        <v>18.13</v>
      </c>
      <c r="BP1335">
        <v>0.2</v>
      </c>
      <c r="BQ1335">
        <v>31.95</v>
      </c>
      <c r="BR1335">
        <v>17.440000000000001</v>
      </c>
      <c r="BS1335">
        <v>6.91</v>
      </c>
      <c r="BT1335">
        <v>0.71</v>
      </c>
      <c r="BU1335">
        <v>7.66</v>
      </c>
      <c r="BV1335">
        <v>2.12</v>
      </c>
      <c r="BW1335">
        <v>2.2400000000000002</v>
      </c>
      <c r="BX1335">
        <v>10.73</v>
      </c>
      <c r="BY1335">
        <v>16.309999999999999</v>
      </c>
      <c r="BZ1335">
        <v>3.51</v>
      </c>
      <c r="CA1335">
        <v>2</v>
      </c>
      <c r="CB1335">
        <v>0.17</v>
      </c>
      <c r="CC1335">
        <v>1.97</v>
      </c>
      <c r="CD1335">
        <v>1.48</v>
      </c>
      <c r="CE1335">
        <v>1.51</v>
      </c>
      <c r="CF1335">
        <v>1.03</v>
      </c>
      <c r="CG1335">
        <v>3.9</v>
      </c>
      <c r="CH1335">
        <v>2.79</v>
      </c>
      <c r="CI1335">
        <v>0.43</v>
      </c>
      <c r="CJ1335">
        <v>26677</v>
      </c>
      <c r="CK1335">
        <v>4224</v>
      </c>
      <c r="CL1335" t="s">
        <v>191</v>
      </c>
      <c r="CM1335">
        <v>-17.05</v>
      </c>
      <c r="CN1335">
        <v>3.52</v>
      </c>
      <c r="CO1335">
        <v>1.98</v>
      </c>
      <c r="CP1335">
        <v>12.88</v>
      </c>
      <c r="CQ1335">
        <v>2.2000000000000002</v>
      </c>
      <c r="CR1335">
        <v>5.63</v>
      </c>
      <c r="CS1335" t="s">
        <v>7321</v>
      </c>
      <c r="CT1335">
        <v>5.73</v>
      </c>
      <c r="CU1335">
        <v>0</v>
      </c>
      <c r="CV1335">
        <v>3.39</v>
      </c>
      <c r="CW1335">
        <v>1.23</v>
      </c>
      <c r="CX1335">
        <v>0.88</v>
      </c>
      <c r="CY1335">
        <v>67.31</v>
      </c>
      <c r="CZ1335" t="s">
        <v>7322</v>
      </c>
      <c r="DA1335">
        <v>78.459999999999994</v>
      </c>
      <c r="DB1335">
        <v>12.28</v>
      </c>
      <c r="DC1335">
        <v>9.24</v>
      </c>
      <c r="DD1335">
        <v>0.63</v>
      </c>
      <c r="DE1335">
        <v>1696</v>
      </c>
      <c r="DF1335">
        <v>2900</v>
      </c>
      <c r="DG1335" t="s">
        <v>116</v>
      </c>
      <c r="DH1335" t="s">
        <v>116</v>
      </c>
      <c r="DI1335" t="s">
        <v>116</v>
      </c>
    </row>
    <row r="1336" spans="1:113" x14ac:dyDescent="0.4">
      <c r="A1336" t="str">
        <f>"002901"</f>
        <v>002901</v>
      </c>
      <c r="B1336" t="s">
        <v>7323</v>
      </c>
      <c r="C1336">
        <v>-2.04</v>
      </c>
      <c r="D1336">
        <v>56.8</v>
      </c>
      <c r="E1336">
        <v>-1.18</v>
      </c>
      <c r="F1336">
        <v>56.78</v>
      </c>
      <c r="G1336">
        <v>56.8</v>
      </c>
      <c r="H1336">
        <v>16159</v>
      </c>
      <c r="I1336">
        <v>157</v>
      </c>
      <c r="J1336">
        <v>-0.15</v>
      </c>
      <c r="K1336">
        <v>4.03</v>
      </c>
      <c r="L1336">
        <v>57.9</v>
      </c>
      <c r="M1336">
        <v>58.33</v>
      </c>
      <c r="N1336">
        <v>56.5</v>
      </c>
      <c r="O1336">
        <v>57.98</v>
      </c>
      <c r="P1336">
        <v>50.02</v>
      </c>
      <c r="Q1336">
        <v>92738536</v>
      </c>
      <c r="R1336">
        <v>1.32</v>
      </c>
      <c r="S1336" t="s">
        <v>559</v>
      </c>
      <c r="T1336" t="s">
        <v>975</v>
      </c>
      <c r="U1336">
        <v>3.16</v>
      </c>
      <c r="V1336">
        <v>57.39</v>
      </c>
      <c r="W1336">
        <v>9111</v>
      </c>
      <c r="X1336">
        <v>7048</v>
      </c>
      <c r="Y1336">
        <v>1.29</v>
      </c>
      <c r="Z1336">
        <v>3</v>
      </c>
      <c r="AA1336">
        <v>13</v>
      </c>
      <c r="AB1336" t="s">
        <v>116</v>
      </c>
      <c r="AC1336">
        <v>40500</v>
      </c>
      <c r="AD1336">
        <v>0</v>
      </c>
      <c r="AE1336" t="s">
        <v>116</v>
      </c>
      <c r="AF1336" t="s">
        <v>116</v>
      </c>
      <c r="AG1336">
        <v>0.4</v>
      </c>
      <c r="AH1336" t="s">
        <v>7324</v>
      </c>
      <c r="AI1336" t="s">
        <v>7325</v>
      </c>
      <c r="AJ1336">
        <v>-1.36</v>
      </c>
      <c r="AK1336">
        <v>1607</v>
      </c>
      <c r="AL1336">
        <v>10</v>
      </c>
      <c r="AM1336">
        <v>2.5000000000000001E-3</v>
      </c>
      <c r="AN1336">
        <v>-1</v>
      </c>
      <c r="AO1336">
        <v>-0.56000000000000005</v>
      </c>
      <c r="AP1336">
        <v>-5.18</v>
      </c>
      <c r="AQ1336">
        <v>18.23</v>
      </c>
      <c r="AR1336">
        <v>95.26</v>
      </c>
      <c r="AS1336">
        <v>4.03</v>
      </c>
      <c r="AT1336" t="s">
        <v>7324</v>
      </c>
      <c r="AU1336">
        <v>53.05</v>
      </c>
      <c r="AV1336">
        <v>61.51</v>
      </c>
      <c r="AW1336">
        <v>0.79</v>
      </c>
      <c r="BA1336">
        <v>-0.14000000000000001</v>
      </c>
      <c r="BB1336">
        <v>0.6</v>
      </c>
      <c r="BC1336">
        <v>-2.5499999999999998</v>
      </c>
      <c r="BD1336">
        <v>-1.02</v>
      </c>
      <c r="BE1336">
        <v>-1.9</v>
      </c>
      <c r="BF1336">
        <v>-2.62</v>
      </c>
      <c r="BG1336">
        <v>0.53</v>
      </c>
      <c r="BH1336">
        <v>-1.02</v>
      </c>
      <c r="BI1336">
        <v>20191127</v>
      </c>
      <c r="BJ1336">
        <v>20170922</v>
      </c>
      <c r="BK1336">
        <v>4.0199999999999996</v>
      </c>
      <c r="BL1336" t="s">
        <v>116</v>
      </c>
      <c r="BM1336" t="s">
        <v>116</v>
      </c>
      <c r="BN1336">
        <v>19.989999999999998</v>
      </c>
      <c r="BO1336">
        <v>15.92</v>
      </c>
      <c r="BP1336">
        <v>0.23</v>
      </c>
      <c r="BQ1336">
        <v>19.170000000000002</v>
      </c>
      <c r="BR1336">
        <v>15.45</v>
      </c>
      <c r="BS1336">
        <v>3.63</v>
      </c>
      <c r="BT1336">
        <v>0.3</v>
      </c>
      <c r="BU1336">
        <v>3.25</v>
      </c>
      <c r="BV1336">
        <v>4.1500000000000004</v>
      </c>
      <c r="BW1336">
        <v>2.5099999999999998</v>
      </c>
      <c r="BX1336">
        <v>4.51</v>
      </c>
      <c r="BY1336">
        <v>8.6999999999999993</v>
      </c>
      <c r="BZ1336">
        <v>1.25</v>
      </c>
      <c r="CA1336">
        <v>4.22</v>
      </c>
      <c r="CB1336">
        <v>0.17</v>
      </c>
      <c r="CC1336">
        <v>4.21</v>
      </c>
      <c r="CD1336">
        <v>3.54</v>
      </c>
      <c r="CE1336">
        <v>3.43</v>
      </c>
      <c r="CF1336">
        <v>3.15</v>
      </c>
      <c r="CG1336">
        <v>6.7</v>
      </c>
      <c r="CH1336">
        <v>2.0499999999999998</v>
      </c>
      <c r="CI1336">
        <v>-0.48</v>
      </c>
      <c r="CJ1336">
        <v>12013</v>
      </c>
      <c r="CK1336">
        <v>3338</v>
      </c>
      <c r="CL1336" t="s">
        <v>319</v>
      </c>
      <c r="CM1336">
        <v>20.92</v>
      </c>
      <c r="CN1336">
        <v>59.56</v>
      </c>
      <c r="CO1336">
        <v>14.34</v>
      </c>
      <c r="CP1336">
        <v>111.48</v>
      </c>
      <c r="CQ1336">
        <v>26.26</v>
      </c>
      <c r="CR1336">
        <v>0.88</v>
      </c>
      <c r="CS1336" t="s">
        <v>6916</v>
      </c>
      <c r="CT1336">
        <v>3.96</v>
      </c>
      <c r="CU1336">
        <v>3.96</v>
      </c>
      <c r="CV1336">
        <v>1.1200000000000001</v>
      </c>
      <c r="CW1336">
        <v>1.66</v>
      </c>
      <c r="CX1336">
        <v>0.51</v>
      </c>
      <c r="CY1336">
        <v>79.66</v>
      </c>
      <c r="CZ1336" t="s">
        <v>7326</v>
      </c>
      <c r="DA1336">
        <v>85.68</v>
      </c>
      <c r="DB1336">
        <v>48.46</v>
      </c>
      <c r="DC1336">
        <v>39.369999999999997</v>
      </c>
      <c r="DD1336">
        <v>0.68</v>
      </c>
      <c r="DE1336">
        <v>1890</v>
      </c>
      <c r="DF1336">
        <v>2901</v>
      </c>
      <c r="DG1336" t="s">
        <v>116</v>
      </c>
      <c r="DH1336" t="s">
        <v>116</v>
      </c>
      <c r="DI1336" t="s">
        <v>116</v>
      </c>
    </row>
    <row r="1337" spans="1:113" x14ac:dyDescent="0.4">
      <c r="A1337" t="str">
        <f>"002902"</f>
        <v>002902</v>
      </c>
      <c r="B1337" t="s">
        <v>7327</v>
      </c>
      <c r="C1337">
        <v>-1.55</v>
      </c>
      <c r="D1337">
        <v>23.52</v>
      </c>
      <c r="E1337">
        <v>-0.37</v>
      </c>
      <c r="F1337">
        <v>23.52</v>
      </c>
      <c r="G1337">
        <v>23.53</v>
      </c>
      <c r="H1337">
        <v>58158</v>
      </c>
      <c r="I1337">
        <v>900</v>
      </c>
      <c r="J1337">
        <v>0</v>
      </c>
      <c r="K1337">
        <v>5.36</v>
      </c>
      <c r="L1337">
        <v>24.17</v>
      </c>
      <c r="M1337">
        <v>24.25</v>
      </c>
      <c r="N1337">
        <v>23.45</v>
      </c>
      <c r="O1337">
        <v>23.89</v>
      </c>
      <c r="P1337">
        <v>358.76</v>
      </c>
      <c r="Q1337">
        <v>138819296</v>
      </c>
      <c r="R1337">
        <v>0.86</v>
      </c>
      <c r="S1337" t="s">
        <v>233</v>
      </c>
      <c r="T1337" t="s">
        <v>551</v>
      </c>
      <c r="U1337">
        <v>3.35</v>
      </c>
      <c r="V1337">
        <v>23.87</v>
      </c>
      <c r="W1337">
        <v>32154</v>
      </c>
      <c r="X1337">
        <v>26004</v>
      </c>
      <c r="Y1337">
        <v>1.24</v>
      </c>
      <c r="Z1337">
        <v>258</v>
      </c>
      <c r="AA1337">
        <v>16</v>
      </c>
      <c r="AB1337" t="s">
        <v>116</v>
      </c>
      <c r="AC1337">
        <v>652600</v>
      </c>
      <c r="AD1337">
        <v>0.03</v>
      </c>
      <c r="AE1337" t="s">
        <v>116</v>
      </c>
      <c r="AF1337" t="s">
        <v>116</v>
      </c>
      <c r="AG1337">
        <v>1.08</v>
      </c>
      <c r="AH1337" t="s">
        <v>7328</v>
      </c>
      <c r="AI1337" t="s">
        <v>1729</v>
      </c>
      <c r="AJ1337">
        <v>-0.87</v>
      </c>
      <c r="AK1337">
        <v>3011</v>
      </c>
      <c r="AL1337">
        <v>19</v>
      </c>
      <c r="AM1337">
        <v>1.8E-3</v>
      </c>
      <c r="AN1337">
        <v>-1</v>
      </c>
      <c r="AO1337">
        <v>-0.31</v>
      </c>
      <c r="AP1337">
        <v>10.68</v>
      </c>
      <c r="AQ1337">
        <v>-26.64</v>
      </c>
      <c r="AR1337">
        <v>49.43</v>
      </c>
      <c r="AS1337">
        <v>6.01</v>
      </c>
      <c r="AT1337" t="s">
        <v>7329</v>
      </c>
      <c r="AU1337">
        <v>234.4</v>
      </c>
      <c r="AV1337">
        <v>191.77</v>
      </c>
      <c r="AW1337">
        <v>1.45</v>
      </c>
      <c r="BA1337">
        <v>1.17</v>
      </c>
      <c r="BB1337">
        <v>1.51</v>
      </c>
      <c r="BC1337">
        <v>-1.84</v>
      </c>
      <c r="BD1337">
        <v>-0.09</v>
      </c>
      <c r="BE1337">
        <v>-2.69</v>
      </c>
      <c r="BF1337">
        <v>-3.01</v>
      </c>
      <c r="BG1337">
        <v>0.3</v>
      </c>
      <c r="BH1337">
        <v>-1.46</v>
      </c>
      <c r="BI1337">
        <v>20191031</v>
      </c>
      <c r="BJ1337">
        <v>20170929</v>
      </c>
      <c r="BK1337">
        <v>2.1</v>
      </c>
      <c r="BL1337" t="s">
        <v>116</v>
      </c>
      <c r="BM1337" t="s">
        <v>116</v>
      </c>
      <c r="BN1337">
        <v>18.02</v>
      </c>
      <c r="BO1337">
        <v>10.64</v>
      </c>
      <c r="BP1337">
        <v>0.08</v>
      </c>
      <c r="BQ1337">
        <v>40.520000000000003</v>
      </c>
      <c r="BR1337">
        <v>13.5</v>
      </c>
      <c r="BS1337">
        <v>3.19</v>
      </c>
      <c r="BT1337">
        <v>0.38</v>
      </c>
      <c r="BU1337">
        <v>7.29</v>
      </c>
      <c r="BV1337">
        <v>3.27</v>
      </c>
      <c r="BW1337">
        <v>4.4800000000000004</v>
      </c>
      <c r="BX1337">
        <v>4.6500000000000004</v>
      </c>
      <c r="BY1337">
        <v>9.9700000000000006</v>
      </c>
      <c r="BZ1337">
        <v>8.48</v>
      </c>
      <c r="CA1337">
        <v>0.09</v>
      </c>
      <c r="CB1337">
        <v>0.01</v>
      </c>
      <c r="CC1337">
        <v>0.13</v>
      </c>
      <c r="CD1337">
        <v>0.1</v>
      </c>
      <c r="CE1337">
        <v>0.1</v>
      </c>
      <c r="CF1337">
        <v>0.05</v>
      </c>
      <c r="CG1337">
        <v>3.46</v>
      </c>
      <c r="CH1337">
        <v>1.77</v>
      </c>
      <c r="CI1337">
        <v>0.88</v>
      </c>
      <c r="CJ1337">
        <v>43311</v>
      </c>
      <c r="CK1337">
        <v>2234</v>
      </c>
      <c r="CL1337" t="s">
        <v>1067</v>
      </c>
      <c r="CM1337">
        <v>-31.21</v>
      </c>
      <c r="CN1337">
        <v>-13.95</v>
      </c>
      <c r="CO1337">
        <v>4.6399999999999997</v>
      </c>
      <c r="CP1337">
        <v>27.83</v>
      </c>
      <c r="CQ1337">
        <v>4.95</v>
      </c>
      <c r="CR1337">
        <v>0.14000000000000001</v>
      </c>
      <c r="CS1337" t="s">
        <v>5719</v>
      </c>
      <c r="CT1337">
        <v>5.07</v>
      </c>
      <c r="CU1337">
        <v>0</v>
      </c>
      <c r="CV1337">
        <v>2.21</v>
      </c>
      <c r="CW1337">
        <v>1.65</v>
      </c>
      <c r="CX1337">
        <v>0.85</v>
      </c>
      <c r="CY1337">
        <v>59.06</v>
      </c>
      <c r="CZ1337" t="s">
        <v>7330</v>
      </c>
      <c r="DA1337">
        <v>14.98</v>
      </c>
      <c r="DB1337">
        <v>0.92</v>
      </c>
      <c r="DC1337">
        <v>1.04</v>
      </c>
      <c r="DD1337">
        <v>0.56000000000000005</v>
      </c>
      <c r="DE1337">
        <v>2182</v>
      </c>
      <c r="DF1337">
        <v>2902</v>
      </c>
      <c r="DG1337" t="s">
        <v>116</v>
      </c>
      <c r="DH1337" t="s">
        <v>116</v>
      </c>
      <c r="DI1337" t="s">
        <v>116</v>
      </c>
    </row>
    <row r="1338" spans="1:113" x14ac:dyDescent="0.4">
      <c r="A1338" t="str">
        <f>"002903"</f>
        <v>002903</v>
      </c>
      <c r="B1338" t="s">
        <v>7331</v>
      </c>
      <c r="C1338">
        <v>0.99</v>
      </c>
      <c r="D1338">
        <v>15.3</v>
      </c>
      <c r="E1338">
        <v>0.15</v>
      </c>
      <c r="F1338">
        <v>15.29</v>
      </c>
      <c r="G1338">
        <v>15.3</v>
      </c>
      <c r="H1338">
        <v>66222</v>
      </c>
      <c r="I1338">
        <v>1124</v>
      </c>
      <c r="J1338">
        <v>0.33</v>
      </c>
      <c r="K1338">
        <v>10.029999999999999</v>
      </c>
      <c r="L1338">
        <v>15.25</v>
      </c>
      <c r="M1338">
        <v>15.87</v>
      </c>
      <c r="N1338">
        <v>15.15</v>
      </c>
      <c r="O1338">
        <v>15.15</v>
      </c>
      <c r="P1338" t="s">
        <v>116</v>
      </c>
      <c r="Q1338">
        <v>102257832</v>
      </c>
      <c r="R1338">
        <v>1.28</v>
      </c>
      <c r="S1338" t="s">
        <v>712</v>
      </c>
      <c r="T1338" t="s">
        <v>599</v>
      </c>
      <c r="U1338">
        <v>4.75</v>
      </c>
      <c r="V1338">
        <v>15.44</v>
      </c>
      <c r="W1338">
        <v>32177</v>
      </c>
      <c r="X1338">
        <v>34045</v>
      </c>
      <c r="Y1338">
        <v>0.95</v>
      </c>
      <c r="Z1338">
        <v>243</v>
      </c>
      <c r="AA1338">
        <v>281</v>
      </c>
      <c r="AB1338" t="s">
        <v>116</v>
      </c>
      <c r="AC1338">
        <v>277600</v>
      </c>
      <c r="AD1338">
        <v>0.03</v>
      </c>
      <c r="AE1338" t="s">
        <v>116</v>
      </c>
      <c r="AF1338" t="s">
        <v>116</v>
      </c>
      <c r="AG1338">
        <v>0.66</v>
      </c>
      <c r="AH1338" t="s">
        <v>7332</v>
      </c>
      <c r="AI1338" t="s">
        <v>7333</v>
      </c>
      <c r="AJ1338">
        <v>1.67</v>
      </c>
      <c r="AK1338">
        <v>2463</v>
      </c>
      <c r="AL1338">
        <v>27</v>
      </c>
      <c r="AM1338">
        <v>4.1000000000000003E-3</v>
      </c>
      <c r="AN1338">
        <v>2</v>
      </c>
      <c r="AO1338">
        <v>0.39</v>
      </c>
      <c r="AP1338">
        <v>16.62</v>
      </c>
      <c r="AQ1338">
        <v>-16.98</v>
      </c>
      <c r="AR1338">
        <v>-10.94</v>
      </c>
      <c r="AS1338">
        <v>10.029999999999999</v>
      </c>
      <c r="AT1338" t="s">
        <v>7332</v>
      </c>
      <c r="AU1338" t="s">
        <v>116</v>
      </c>
      <c r="AV1338">
        <v>66.819999999999993</v>
      </c>
      <c r="AW1338">
        <v>1.93</v>
      </c>
      <c r="BA1338">
        <v>0.66</v>
      </c>
      <c r="BB1338">
        <v>4.75</v>
      </c>
      <c r="BC1338">
        <v>0</v>
      </c>
      <c r="BD1338">
        <v>1.93</v>
      </c>
      <c r="BE1338">
        <v>0.33</v>
      </c>
      <c r="BF1338">
        <v>-3.59</v>
      </c>
      <c r="BG1338">
        <v>0.99</v>
      </c>
      <c r="BH1338">
        <v>-0.94</v>
      </c>
      <c r="BI1338">
        <v>20191024</v>
      </c>
      <c r="BJ1338">
        <v>20171013</v>
      </c>
      <c r="BK1338">
        <v>1.5</v>
      </c>
      <c r="BL1338" t="s">
        <v>116</v>
      </c>
      <c r="BM1338" t="s">
        <v>116</v>
      </c>
      <c r="BN1338">
        <v>6.57</v>
      </c>
      <c r="BO1338">
        <v>5.93</v>
      </c>
      <c r="BP1338">
        <v>0</v>
      </c>
      <c r="BQ1338">
        <v>9.7200000000000006</v>
      </c>
      <c r="BR1338">
        <v>4.97</v>
      </c>
      <c r="BS1338">
        <v>0.68</v>
      </c>
      <c r="BT1338">
        <v>0.54</v>
      </c>
      <c r="BU1338">
        <v>0.47</v>
      </c>
      <c r="BV1338">
        <v>1.02</v>
      </c>
      <c r="BW1338">
        <v>0.67</v>
      </c>
      <c r="BX1338">
        <v>2.42</v>
      </c>
      <c r="BY1338">
        <v>0.4</v>
      </c>
      <c r="BZ1338">
        <v>0.24</v>
      </c>
      <c r="CA1338">
        <v>-0.1</v>
      </c>
      <c r="CB1338">
        <v>0.08</v>
      </c>
      <c r="CC1338">
        <v>-0.08</v>
      </c>
      <c r="CD1338">
        <v>-0.09</v>
      </c>
      <c r="CE1338">
        <v>-0.09</v>
      </c>
      <c r="CF1338">
        <v>-0.21</v>
      </c>
      <c r="CG1338">
        <v>1.56</v>
      </c>
      <c r="CH1338">
        <v>0.44</v>
      </c>
      <c r="CI1338">
        <v>-0.04</v>
      </c>
      <c r="CJ1338">
        <v>29734</v>
      </c>
      <c r="CK1338">
        <v>2220</v>
      </c>
      <c r="CL1338" t="s">
        <v>1321</v>
      </c>
      <c r="CM1338">
        <v>-120.85</v>
      </c>
      <c r="CN1338">
        <v>-75.67</v>
      </c>
      <c r="CO1338">
        <v>3.87</v>
      </c>
      <c r="CP1338">
        <v>52.24</v>
      </c>
      <c r="CQ1338">
        <v>56.89</v>
      </c>
      <c r="CR1338">
        <v>0.65</v>
      </c>
      <c r="CS1338" t="s">
        <v>1402</v>
      </c>
      <c r="CT1338">
        <v>3.95</v>
      </c>
      <c r="CU1338">
        <v>0</v>
      </c>
      <c r="CV1338">
        <v>1.61</v>
      </c>
      <c r="CW1338">
        <v>1.04</v>
      </c>
      <c r="CX1338">
        <v>0.28999999999999998</v>
      </c>
      <c r="CY1338">
        <v>90.28</v>
      </c>
      <c r="CZ1338" t="s">
        <v>7334</v>
      </c>
      <c r="DA1338">
        <v>40.950000000000003</v>
      </c>
      <c r="DB1338">
        <v>-23.82</v>
      </c>
      <c r="DC1338">
        <v>-22.01</v>
      </c>
      <c r="DD1338">
        <v>0.12</v>
      </c>
      <c r="DE1338">
        <v>341</v>
      </c>
      <c r="DF1338">
        <v>2903</v>
      </c>
      <c r="DG1338" t="s">
        <v>116</v>
      </c>
      <c r="DH1338" t="s">
        <v>116</v>
      </c>
      <c r="DI1338" t="s">
        <v>116</v>
      </c>
    </row>
    <row r="1339" spans="1:113" x14ac:dyDescent="0.4">
      <c r="A1339" t="str">
        <f>"002905"</f>
        <v>002905</v>
      </c>
      <c r="B1339" t="s">
        <v>7335</v>
      </c>
      <c r="C1339">
        <v>0.3</v>
      </c>
      <c r="D1339">
        <v>16.45</v>
      </c>
      <c r="E1339">
        <v>0.05</v>
      </c>
      <c r="F1339">
        <v>16.440000000000001</v>
      </c>
      <c r="G1339">
        <v>16.45</v>
      </c>
      <c r="H1339">
        <v>69071</v>
      </c>
      <c r="I1339">
        <v>758</v>
      </c>
      <c r="J1339">
        <v>-0.05</v>
      </c>
      <c r="K1339">
        <v>10.28</v>
      </c>
      <c r="L1339">
        <v>16.350000000000001</v>
      </c>
      <c r="M1339">
        <v>16.96</v>
      </c>
      <c r="N1339">
        <v>16.309999999999999</v>
      </c>
      <c r="O1339">
        <v>16.399999999999999</v>
      </c>
      <c r="P1339">
        <v>31.62</v>
      </c>
      <c r="Q1339">
        <v>115168040</v>
      </c>
      <c r="R1339">
        <v>0.94</v>
      </c>
      <c r="S1339" t="s">
        <v>589</v>
      </c>
      <c r="T1339" t="s">
        <v>551</v>
      </c>
      <c r="U1339">
        <v>3.96</v>
      </c>
      <c r="V1339">
        <v>16.670000000000002</v>
      </c>
      <c r="W1339">
        <v>35265</v>
      </c>
      <c r="X1339">
        <v>33806</v>
      </c>
      <c r="Y1339">
        <v>1.04</v>
      </c>
      <c r="Z1339">
        <v>51</v>
      </c>
      <c r="AA1339">
        <v>36</v>
      </c>
      <c r="AB1339" t="s">
        <v>116</v>
      </c>
      <c r="AC1339">
        <v>295900</v>
      </c>
      <c r="AD1339">
        <v>0.03</v>
      </c>
      <c r="AE1339" t="s">
        <v>116</v>
      </c>
      <c r="AF1339" t="s">
        <v>116</v>
      </c>
      <c r="AG1339">
        <v>0.67</v>
      </c>
      <c r="AH1339" t="s">
        <v>7336</v>
      </c>
      <c r="AI1339" t="s">
        <v>7337</v>
      </c>
      <c r="AJ1339">
        <v>0.98</v>
      </c>
      <c r="AK1339">
        <v>2812</v>
      </c>
      <c r="AL1339">
        <v>25</v>
      </c>
      <c r="AM1339">
        <v>3.7000000000000002E-3</v>
      </c>
      <c r="AN1339">
        <v>1</v>
      </c>
      <c r="AO1339">
        <v>0.73</v>
      </c>
      <c r="AP1339">
        <v>15.44</v>
      </c>
      <c r="AQ1339">
        <v>-1.97</v>
      </c>
      <c r="AR1339">
        <v>29.02</v>
      </c>
      <c r="AS1339">
        <v>10.28</v>
      </c>
      <c r="AT1339" t="s">
        <v>7336</v>
      </c>
      <c r="AU1339">
        <v>35.49</v>
      </c>
      <c r="AV1339">
        <v>27.98</v>
      </c>
      <c r="AW1339">
        <v>1.06</v>
      </c>
      <c r="BA1339">
        <v>-0.3</v>
      </c>
      <c r="BB1339">
        <v>3.41</v>
      </c>
      <c r="BC1339">
        <v>-0.55000000000000004</v>
      </c>
      <c r="BD1339">
        <v>1.67</v>
      </c>
      <c r="BE1339">
        <v>0.61</v>
      </c>
      <c r="BF1339">
        <v>-3.01</v>
      </c>
      <c r="BG1339">
        <v>0.86</v>
      </c>
      <c r="BH1339">
        <v>-1.36</v>
      </c>
      <c r="BI1339">
        <v>20191118</v>
      </c>
      <c r="BJ1339">
        <v>20171016</v>
      </c>
      <c r="BK1339">
        <v>2.69</v>
      </c>
      <c r="BL1339" t="s">
        <v>116</v>
      </c>
      <c r="BM1339" t="s">
        <v>116</v>
      </c>
      <c r="BN1339">
        <v>31.05</v>
      </c>
      <c r="BO1339">
        <v>19.72</v>
      </c>
      <c r="BP1339">
        <v>0.08</v>
      </c>
      <c r="BQ1339">
        <v>36.24</v>
      </c>
      <c r="BR1339">
        <v>14.34</v>
      </c>
      <c r="BS1339">
        <v>7.76</v>
      </c>
      <c r="BT1339">
        <v>0.26</v>
      </c>
      <c r="BU1339">
        <v>9.35</v>
      </c>
      <c r="BV1339">
        <v>0.16</v>
      </c>
      <c r="BW1339">
        <v>1.1399999999999999</v>
      </c>
      <c r="BX1339">
        <v>6.85</v>
      </c>
      <c r="BY1339">
        <v>15.62</v>
      </c>
      <c r="BZ1339">
        <v>11.99</v>
      </c>
      <c r="CA1339">
        <v>1.45</v>
      </c>
      <c r="CB1339">
        <v>0.04</v>
      </c>
      <c r="CC1339">
        <v>1.41</v>
      </c>
      <c r="CD1339">
        <v>1.05</v>
      </c>
      <c r="CE1339">
        <v>1.05</v>
      </c>
      <c r="CF1339">
        <v>0.67</v>
      </c>
      <c r="CG1339">
        <v>9.11</v>
      </c>
      <c r="CH1339">
        <v>2.4700000000000002</v>
      </c>
      <c r="CI1339">
        <v>-1.7</v>
      </c>
      <c r="CJ1339">
        <v>26856</v>
      </c>
      <c r="CK1339">
        <v>2502</v>
      </c>
      <c r="CL1339" t="s">
        <v>3250</v>
      </c>
      <c r="CM1339">
        <v>-24.17</v>
      </c>
      <c r="CN1339">
        <v>0.36</v>
      </c>
      <c r="CO1339">
        <v>2.2400000000000002</v>
      </c>
      <c r="CP1339">
        <v>17.93</v>
      </c>
      <c r="CQ1339">
        <v>2.83</v>
      </c>
      <c r="CR1339">
        <v>1.7</v>
      </c>
      <c r="CS1339" t="s">
        <v>6158</v>
      </c>
      <c r="CT1339">
        <v>7.34</v>
      </c>
      <c r="CU1339">
        <v>0</v>
      </c>
      <c r="CV1339">
        <v>2.5499999999999998</v>
      </c>
      <c r="CW1339">
        <v>3.39</v>
      </c>
      <c r="CX1339">
        <v>0.92</v>
      </c>
      <c r="CY1339">
        <v>63.52</v>
      </c>
      <c r="CZ1339" t="s">
        <v>7338</v>
      </c>
      <c r="DA1339">
        <v>23.22</v>
      </c>
      <c r="DB1339">
        <v>9.26</v>
      </c>
      <c r="DC1339">
        <v>6.72</v>
      </c>
      <c r="DD1339">
        <v>0.09</v>
      </c>
      <c r="DE1339">
        <v>4982</v>
      </c>
      <c r="DF1339">
        <v>2905</v>
      </c>
      <c r="DG1339" t="s">
        <v>116</v>
      </c>
      <c r="DH1339" t="s">
        <v>116</v>
      </c>
      <c r="DI1339" t="s">
        <v>116</v>
      </c>
    </row>
    <row r="1340" spans="1:113" x14ac:dyDescent="0.4">
      <c r="A1340" t="str">
        <f>"002906"</f>
        <v>002906</v>
      </c>
      <c r="B1340" t="s">
        <v>7339</v>
      </c>
      <c r="C1340">
        <v>-1.8</v>
      </c>
      <c r="D1340">
        <v>12.01</v>
      </c>
      <c r="E1340">
        <v>-0.22</v>
      </c>
      <c r="F1340">
        <v>12</v>
      </c>
      <c r="G1340">
        <v>12.01</v>
      </c>
      <c r="H1340">
        <v>64721</v>
      </c>
      <c r="I1340">
        <v>798</v>
      </c>
      <c r="J1340">
        <v>0.17</v>
      </c>
      <c r="K1340">
        <v>3.2</v>
      </c>
      <c r="L1340">
        <v>12.23</v>
      </c>
      <c r="M1340">
        <v>12.35</v>
      </c>
      <c r="N1340">
        <v>11.93</v>
      </c>
      <c r="O1340">
        <v>12.23</v>
      </c>
      <c r="P1340">
        <v>63.38</v>
      </c>
      <c r="Q1340">
        <v>78672152</v>
      </c>
      <c r="R1340">
        <v>0.66</v>
      </c>
      <c r="S1340" t="s">
        <v>293</v>
      </c>
      <c r="T1340" t="s">
        <v>551</v>
      </c>
      <c r="U1340">
        <v>3.43</v>
      </c>
      <c r="V1340">
        <v>12.16</v>
      </c>
      <c r="W1340">
        <v>38239</v>
      </c>
      <c r="X1340">
        <v>26482</v>
      </c>
      <c r="Y1340">
        <v>1.44</v>
      </c>
      <c r="Z1340">
        <v>86</v>
      </c>
      <c r="AA1340">
        <v>371</v>
      </c>
      <c r="AB1340" t="s">
        <v>116</v>
      </c>
      <c r="AC1340">
        <v>371800</v>
      </c>
      <c r="AD1340">
        <v>0.04</v>
      </c>
      <c r="AE1340" t="s">
        <v>116</v>
      </c>
      <c r="AF1340" t="s">
        <v>116</v>
      </c>
      <c r="AG1340">
        <v>2.02</v>
      </c>
      <c r="AH1340" t="s">
        <v>4278</v>
      </c>
      <c r="AI1340" t="s">
        <v>7340</v>
      </c>
      <c r="AJ1340">
        <v>-1.1200000000000001</v>
      </c>
      <c r="AK1340">
        <v>2109</v>
      </c>
      <c r="AL1340">
        <v>31</v>
      </c>
      <c r="AM1340">
        <v>1.5E-3</v>
      </c>
      <c r="AN1340">
        <v>-2</v>
      </c>
      <c r="AO1340">
        <v>-2.44</v>
      </c>
      <c r="AP1340">
        <v>12.56</v>
      </c>
      <c r="AQ1340">
        <v>1.95</v>
      </c>
      <c r="AR1340">
        <v>23.05</v>
      </c>
      <c r="AS1340">
        <v>8.77</v>
      </c>
      <c r="AT1340" t="s">
        <v>7341</v>
      </c>
      <c r="AU1340">
        <v>123.23</v>
      </c>
      <c r="AV1340">
        <v>341.56</v>
      </c>
      <c r="AW1340">
        <v>1.36</v>
      </c>
      <c r="BA1340">
        <v>0</v>
      </c>
      <c r="BB1340">
        <v>0.98</v>
      </c>
      <c r="BC1340">
        <v>-2.4500000000000002</v>
      </c>
      <c r="BD1340">
        <v>-0.61</v>
      </c>
      <c r="BE1340">
        <v>-1.8</v>
      </c>
      <c r="BF1340">
        <v>-2.75</v>
      </c>
      <c r="BG1340">
        <v>0.67</v>
      </c>
      <c r="BH1340">
        <v>-1.19</v>
      </c>
      <c r="BI1340">
        <v>20191223</v>
      </c>
      <c r="BJ1340">
        <v>20171013</v>
      </c>
      <c r="BK1340">
        <v>4.7300000000000004</v>
      </c>
      <c r="BL1340" t="s">
        <v>116</v>
      </c>
      <c r="BM1340" t="s">
        <v>116</v>
      </c>
      <c r="BN1340">
        <v>45.71</v>
      </c>
      <c r="BO1340">
        <v>34.380000000000003</v>
      </c>
      <c r="BP1340">
        <v>0.03</v>
      </c>
      <c r="BQ1340">
        <v>24.73</v>
      </c>
      <c r="BR1340">
        <v>32.200000000000003</v>
      </c>
      <c r="BS1340">
        <v>9.39</v>
      </c>
      <c r="BT1340">
        <v>0.85</v>
      </c>
      <c r="BU1340">
        <v>10.64</v>
      </c>
      <c r="BV1340">
        <v>5.35</v>
      </c>
      <c r="BW1340">
        <v>10.18</v>
      </c>
      <c r="BX1340">
        <v>8.76</v>
      </c>
      <c r="BY1340">
        <v>24.37</v>
      </c>
      <c r="BZ1340">
        <v>19.059999999999999</v>
      </c>
      <c r="CA1340">
        <v>0.51</v>
      </c>
      <c r="CB1340">
        <v>0.16</v>
      </c>
      <c r="CC1340">
        <v>0.48</v>
      </c>
      <c r="CD1340">
        <v>0.68</v>
      </c>
      <c r="CE1340">
        <v>0.67</v>
      </c>
      <c r="CF1340">
        <v>0.32</v>
      </c>
      <c r="CG1340">
        <v>19.98</v>
      </c>
      <c r="CH1340">
        <v>0.67</v>
      </c>
      <c r="CI1340">
        <v>0.25</v>
      </c>
      <c r="CJ1340">
        <v>32551</v>
      </c>
      <c r="CK1340">
        <v>2268</v>
      </c>
      <c r="CL1340" t="s">
        <v>7342</v>
      </c>
      <c r="CM1340">
        <v>78.05</v>
      </c>
      <c r="CN1340">
        <v>-1.85</v>
      </c>
      <c r="CO1340">
        <v>1.65</v>
      </c>
      <c r="CP1340">
        <v>85.06</v>
      </c>
      <c r="CQ1340">
        <v>2.33</v>
      </c>
      <c r="CR1340">
        <v>0</v>
      </c>
      <c r="CS1340" t="s">
        <v>1388</v>
      </c>
      <c r="CT1340">
        <v>7.27</v>
      </c>
      <c r="CU1340">
        <v>0</v>
      </c>
      <c r="CV1340">
        <v>1.85</v>
      </c>
      <c r="CW1340">
        <v>4.22</v>
      </c>
      <c r="CX1340">
        <v>0.14000000000000001</v>
      </c>
      <c r="CY1340">
        <v>75.209999999999994</v>
      </c>
      <c r="CZ1340" t="s">
        <v>2539</v>
      </c>
      <c r="DA1340">
        <v>21.78</v>
      </c>
      <c r="DB1340">
        <v>2.09</v>
      </c>
      <c r="DC1340">
        <v>2.76</v>
      </c>
      <c r="DD1340">
        <v>2.25</v>
      </c>
      <c r="DE1340">
        <v>6188</v>
      </c>
      <c r="DF1340">
        <v>2906</v>
      </c>
      <c r="DG1340" t="s">
        <v>116</v>
      </c>
      <c r="DH1340" t="s">
        <v>116</v>
      </c>
      <c r="DI1340" t="s">
        <v>116</v>
      </c>
    </row>
    <row r="1341" spans="1:113" x14ac:dyDescent="0.4">
      <c r="A1341" t="str">
        <f>"002907"</f>
        <v>002907</v>
      </c>
      <c r="B1341" t="s">
        <v>7343</v>
      </c>
      <c r="C1341">
        <v>-1.89</v>
      </c>
      <c r="D1341">
        <v>16.07</v>
      </c>
      <c r="E1341">
        <v>-0.31</v>
      </c>
      <c r="F1341">
        <v>16.07</v>
      </c>
      <c r="G1341">
        <v>16.079999999999998</v>
      </c>
      <c r="H1341">
        <v>61248</v>
      </c>
      <c r="I1341">
        <v>865</v>
      </c>
      <c r="J1341">
        <v>0.37</v>
      </c>
      <c r="K1341">
        <v>9.89</v>
      </c>
      <c r="L1341">
        <v>16.41</v>
      </c>
      <c r="M1341">
        <v>16.440000000000001</v>
      </c>
      <c r="N1341">
        <v>16</v>
      </c>
      <c r="O1341">
        <v>16.38</v>
      </c>
      <c r="P1341">
        <v>35.130000000000003</v>
      </c>
      <c r="Q1341">
        <v>99318032</v>
      </c>
      <c r="R1341">
        <v>0.62</v>
      </c>
      <c r="S1341" t="s">
        <v>574</v>
      </c>
      <c r="T1341" t="s">
        <v>906</v>
      </c>
      <c r="U1341">
        <v>2.69</v>
      </c>
      <c r="V1341">
        <v>16.22</v>
      </c>
      <c r="W1341">
        <v>37674</v>
      </c>
      <c r="X1341">
        <v>23574</v>
      </c>
      <c r="Y1341">
        <v>1.6</v>
      </c>
      <c r="Z1341">
        <v>193</v>
      </c>
      <c r="AA1341">
        <v>136</v>
      </c>
      <c r="AB1341" t="s">
        <v>116</v>
      </c>
      <c r="AC1341">
        <v>221500</v>
      </c>
      <c r="AD1341">
        <v>0.03</v>
      </c>
      <c r="AE1341" t="s">
        <v>116</v>
      </c>
      <c r="AF1341" t="s">
        <v>116</v>
      </c>
      <c r="AG1341">
        <v>0.62</v>
      </c>
      <c r="AH1341" t="s">
        <v>7344</v>
      </c>
      <c r="AI1341" t="s">
        <v>7345</v>
      </c>
      <c r="AJ1341">
        <v>-1.21</v>
      </c>
      <c r="AK1341">
        <v>2468</v>
      </c>
      <c r="AL1341">
        <v>25</v>
      </c>
      <c r="AM1341">
        <v>4.0000000000000001E-3</v>
      </c>
      <c r="AN1341">
        <v>-5</v>
      </c>
      <c r="AO1341">
        <v>-2.66</v>
      </c>
      <c r="AP1341">
        <v>2.68</v>
      </c>
      <c r="AQ1341">
        <v>0.44</v>
      </c>
      <c r="AR1341">
        <v>-14.54</v>
      </c>
      <c r="AS1341">
        <v>11.94</v>
      </c>
      <c r="AT1341" t="s">
        <v>7346</v>
      </c>
      <c r="AU1341">
        <v>39.56</v>
      </c>
      <c r="AV1341">
        <v>46.97</v>
      </c>
      <c r="AW1341">
        <v>0.64</v>
      </c>
      <c r="BA1341">
        <v>0.18</v>
      </c>
      <c r="BB1341">
        <v>0.37</v>
      </c>
      <c r="BC1341">
        <v>-2.3199999999999998</v>
      </c>
      <c r="BD1341">
        <v>-1</v>
      </c>
      <c r="BE1341">
        <v>-2.0699999999999998</v>
      </c>
      <c r="BF1341">
        <v>-2.25</v>
      </c>
      <c r="BG1341">
        <v>0.44</v>
      </c>
      <c r="BH1341">
        <v>-0.89</v>
      </c>
      <c r="BI1341">
        <v>20191106</v>
      </c>
      <c r="BJ1341">
        <v>20171020</v>
      </c>
      <c r="BK1341">
        <v>4.0199999999999996</v>
      </c>
      <c r="BL1341" t="s">
        <v>116</v>
      </c>
      <c r="BM1341" t="s">
        <v>116</v>
      </c>
      <c r="BN1341">
        <v>15.71</v>
      </c>
      <c r="BO1341">
        <v>10.36</v>
      </c>
      <c r="BP1341">
        <v>0</v>
      </c>
      <c r="BQ1341">
        <v>34.04</v>
      </c>
      <c r="BR1341">
        <v>8.82</v>
      </c>
      <c r="BS1341">
        <v>1.1599999999999999</v>
      </c>
      <c r="BT1341">
        <v>0.63</v>
      </c>
      <c r="BU1341">
        <v>2.75</v>
      </c>
      <c r="BV1341">
        <v>0.77</v>
      </c>
      <c r="BW1341">
        <v>2.44</v>
      </c>
      <c r="BX1341">
        <v>1.21</v>
      </c>
      <c r="BY1341">
        <v>6.27</v>
      </c>
      <c r="BZ1341">
        <v>2.2400000000000002</v>
      </c>
      <c r="CA1341">
        <v>1.63</v>
      </c>
      <c r="CB1341">
        <v>0.01</v>
      </c>
      <c r="CC1341">
        <v>1.62</v>
      </c>
      <c r="CD1341">
        <v>1.38</v>
      </c>
      <c r="CE1341">
        <v>1.38</v>
      </c>
      <c r="CF1341">
        <v>1.1100000000000001</v>
      </c>
      <c r="CG1341">
        <v>4.04</v>
      </c>
      <c r="CH1341">
        <v>0.22</v>
      </c>
      <c r="CI1341">
        <v>0.35</v>
      </c>
      <c r="CJ1341">
        <v>22544</v>
      </c>
      <c r="CK1341">
        <v>2276</v>
      </c>
      <c r="CL1341" t="s">
        <v>3124</v>
      </c>
      <c r="CM1341">
        <v>22.99</v>
      </c>
      <c r="CN1341">
        <v>17.28</v>
      </c>
      <c r="CO1341">
        <v>6.77</v>
      </c>
      <c r="CP1341">
        <v>294.56</v>
      </c>
      <c r="CQ1341">
        <v>10.3</v>
      </c>
      <c r="CR1341">
        <v>0.22</v>
      </c>
      <c r="CS1341" t="s">
        <v>5184</v>
      </c>
      <c r="CT1341">
        <v>2.38</v>
      </c>
      <c r="CU1341">
        <v>2.38</v>
      </c>
      <c r="CV1341">
        <v>0.3</v>
      </c>
      <c r="CW1341">
        <v>1.01</v>
      </c>
      <c r="CX1341">
        <v>0.05</v>
      </c>
      <c r="CY1341">
        <v>65.959999999999994</v>
      </c>
      <c r="CZ1341" t="s">
        <v>7347</v>
      </c>
      <c r="DA1341">
        <v>64.33</v>
      </c>
      <c r="DB1341">
        <v>25.96</v>
      </c>
      <c r="DC1341">
        <v>21.99</v>
      </c>
      <c r="DD1341">
        <v>0.16</v>
      </c>
      <c r="DE1341">
        <v>1140</v>
      </c>
      <c r="DF1341">
        <v>2907</v>
      </c>
      <c r="DG1341" t="s">
        <v>116</v>
      </c>
      <c r="DH1341" t="s">
        <v>116</v>
      </c>
      <c r="DI1341" t="s">
        <v>116</v>
      </c>
    </row>
    <row r="1342" spans="1:113" x14ac:dyDescent="0.4">
      <c r="A1342" t="str">
        <f>"002908"</f>
        <v>002908</v>
      </c>
      <c r="B1342" t="s">
        <v>7348</v>
      </c>
      <c r="C1342">
        <v>-1.82</v>
      </c>
      <c r="D1342">
        <v>12.96</v>
      </c>
      <c r="E1342">
        <v>-0.24</v>
      </c>
      <c r="F1342">
        <v>12.96</v>
      </c>
      <c r="G1342">
        <v>12.97</v>
      </c>
      <c r="H1342">
        <v>56983</v>
      </c>
      <c r="I1342">
        <v>554</v>
      </c>
      <c r="J1342">
        <v>0.31</v>
      </c>
      <c r="K1342">
        <v>4.84</v>
      </c>
      <c r="L1342">
        <v>13.1</v>
      </c>
      <c r="M1342">
        <v>13.26</v>
      </c>
      <c r="N1342">
        <v>12.92</v>
      </c>
      <c r="O1342">
        <v>13.2</v>
      </c>
      <c r="P1342">
        <v>50.15</v>
      </c>
      <c r="Q1342">
        <v>74278624</v>
      </c>
      <c r="R1342">
        <v>1.2</v>
      </c>
      <c r="S1342" t="s">
        <v>233</v>
      </c>
      <c r="T1342" t="s">
        <v>551</v>
      </c>
      <c r="U1342">
        <v>2.58</v>
      </c>
      <c r="V1342">
        <v>13.04</v>
      </c>
      <c r="W1342">
        <v>34233</v>
      </c>
      <c r="X1342">
        <v>22750</v>
      </c>
      <c r="Y1342">
        <v>1.5</v>
      </c>
      <c r="Z1342">
        <v>445</v>
      </c>
      <c r="AA1342">
        <v>251</v>
      </c>
      <c r="AB1342" t="s">
        <v>116</v>
      </c>
      <c r="AC1342">
        <v>1066300</v>
      </c>
      <c r="AD1342">
        <v>0.08</v>
      </c>
      <c r="AE1342" t="s">
        <v>116</v>
      </c>
      <c r="AF1342" t="s">
        <v>116</v>
      </c>
      <c r="AG1342">
        <v>1.18</v>
      </c>
      <c r="AH1342" t="s">
        <v>7349</v>
      </c>
      <c r="AI1342" t="s">
        <v>7350</v>
      </c>
      <c r="AJ1342">
        <v>-1.1399999999999999</v>
      </c>
      <c r="AK1342">
        <v>1990</v>
      </c>
      <c r="AL1342">
        <v>29</v>
      </c>
      <c r="AM1342">
        <v>2.3999999999999998E-3</v>
      </c>
      <c r="AN1342">
        <v>-1</v>
      </c>
      <c r="AO1342">
        <v>0.7</v>
      </c>
      <c r="AP1342">
        <v>5.19</v>
      </c>
      <c r="AQ1342">
        <v>-6.29</v>
      </c>
      <c r="AR1342">
        <v>9.64</v>
      </c>
      <c r="AS1342">
        <v>5.75</v>
      </c>
      <c r="AT1342" t="s">
        <v>7351</v>
      </c>
      <c r="AU1342">
        <v>33.380000000000003</v>
      </c>
      <c r="AV1342">
        <v>36.07</v>
      </c>
      <c r="AW1342">
        <v>1.1499999999999999</v>
      </c>
      <c r="BA1342">
        <v>-0.76</v>
      </c>
      <c r="BB1342">
        <v>0.45</v>
      </c>
      <c r="BC1342">
        <v>-2.12</v>
      </c>
      <c r="BD1342">
        <v>-1.25</v>
      </c>
      <c r="BE1342">
        <v>-1.07</v>
      </c>
      <c r="BF1342">
        <v>-2.2599999999999998</v>
      </c>
      <c r="BG1342">
        <v>0.31</v>
      </c>
      <c r="BH1342">
        <v>-0.56999999999999995</v>
      </c>
      <c r="BI1342">
        <v>20191113</v>
      </c>
      <c r="BJ1342">
        <v>20171020</v>
      </c>
      <c r="BK1342">
        <v>2.0099999999999998</v>
      </c>
      <c r="BL1342" t="s">
        <v>116</v>
      </c>
      <c r="BM1342" t="s">
        <v>116</v>
      </c>
      <c r="BN1342">
        <v>8.18</v>
      </c>
      <c r="BO1342">
        <v>6.84</v>
      </c>
      <c r="BP1342">
        <v>0</v>
      </c>
      <c r="BQ1342">
        <v>16.28</v>
      </c>
      <c r="BR1342">
        <v>7.86</v>
      </c>
      <c r="BS1342">
        <v>0.21</v>
      </c>
      <c r="BT1342">
        <v>0.02</v>
      </c>
      <c r="BU1342">
        <v>1.32</v>
      </c>
      <c r="BV1342">
        <v>0.94</v>
      </c>
      <c r="BW1342">
        <v>3.36</v>
      </c>
      <c r="BX1342">
        <v>3.09</v>
      </c>
      <c r="BY1342">
        <v>2.92</v>
      </c>
      <c r="BZ1342">
        <v>1.55</v>
      </c>
      <c r="CA1342">
        <v>0.48</v>
      </c>
      <c r="CB1342">
        <v>0.02</v>
      </c>
      <c r="CC1342">
        <v>0.48</v>
      </c>
      <c r="CD1342">
        <v>0.39</v>
      </c>
      <c r="CE1342">
        <v>0.39</v>
      </c>
      <c r="CF1342">
        <v>0.34</v>
      </c>
      <c r="CG1342">
        <v>1.53</v>
      </c>
      <c r="CH1342">
        <v>-0.85</v>
      </c>
      <c r="CI1342">
        <v>-1.84</v>
      </c>
      <c r="CJ1342">
        <v>26980</v>
      </c>
      <c r="CK1342">
        <v>3675</v>
      </c>
      <c r="CL1342" t="s">
        <v>2315</v>
      </c>
      <c r="CM1342">
        <v>17.55</v>
      </c>
      <c r="CN1342">
        <v>10.37</v>
      </c>
      <c r="CO1342">
        <v>3.8</v>
      </c>
      <c r="CP1342">
        <v>-30.64</v>
      </c>
      <c r="CQ1342">
        <v>8.91</v>
      </c>
      <c r="CR1342">
        <v>1.03</v>
      </c>
      <c r="CS1342" t="s">
        <v>7352</v>
      </c>
      <c r="CT1342">
        <v>3.41</v>
      </c>
      <c r="CU1342">
        <v>0</v>
      </c>
      <c r="CV1342">
        <v>1.54</v>
      </c>
      <c r="CW1342">
        <v>0.76</v>
      </c>
      <c r="CX1342">
        <v>-0.42</v>
      </c>
      <c r="CY1342">
        <v>83.71</v>
      </c>
      <c r="CZ1342" t="s">
        <v>5334</v>
      </c>
      <c r="DA1342">
        <v>47.05</v>
      </c>
      <c r="DB1342">
        <v>16.350000000000001</v>
      </c>
      <c r="DC1342">
        <v>13.33</v>
      </c>
      <c r="DD1342">
        <v>0.4</v>
      </c>
      <c r="DE1342">
        <v>876</v>
      </c>
      <c r="DF1342">
        <v>2908</v>
      </c>
      <c r="DG1342" t="s">
        <v>116</v>
      </c>
      <c r="DH1342" t="s">
        <v>116</v>
      </c>
      <c r="DI1342" t="s">
        <v>116</v>
      </c>
    </row>
    <row r="1343" spans="1:113" x14ac:dyDescent="0.4">
      <c r="A1343" t="str">
        <f>"002909"</f>
        <v>002909</v>
      </c>
      <c r="B1343" t="s">
        <v>7353</v>
      </c>
      <c r="C1343">
        <v>-1.76</v>
      </c>
      <c r="D1343">
        <v>11.18</v>
      </c>
      <c r="E1343">
        <v>-0.2</v>
      </c>
      <c r="F1343">
        <v>11.18</v>
      </c>
      <c r="G1343">
        <v>11.19</v>
      </c>
      <c r="H1343">
        <v>22328</v>
      </c>
      <c r="I1343">
        <v>199</v>
      </c>
      <c r="J1343">
        <v>0.18</v>
      </c>
      <c r="K1343">
        <v>2.94</v>
      </c>
      <c r="L1343">
        <v>11.36</v>
      </c>
      <c r="M1343">
        <v>11.53</v>
      </c>
      <c r="N1343">
        <v>11.15</v>
      </c>
      <c r="O1343">
        <v>11.38</v>
      </c>
      <c r="P1343">
        <v>24.99</v>
      </c>
      <c r="Q1343">
        <v>25275124</v>
      </c>
      <c r="R1343">
        <v>1.07</v>
      </c>
      <c r="S1343" t="s">
        <v>891</v>
      </c>
      <c r="T1343" t="s">
        <v>551</v>
      </c>
      <c r="U1343">
        <v>3.34</v>
      </c>
      <c r="V1343">
        <v>11.32</v>
      </c>
      <c r="W1343">
        <v>13528</v>
      </c>
      <c r="X1343">
        <v>8800</v>
      </c>
      <c r="Y1343">
        <v>1.54</v>
      </c>
      <c r="Z1343">
        <v>68</v>
      </c>
      <c r="AA1343">
        <v>41</v>
      </c>
      <c r="AB1343" t="s">
        <v>116</v>
      </c>
      <c r="AC1343">
        <v>44300</v>
      </c>
      <c r="AD1343">
        <v>0.01</v>
      </c>
      <c r="AE1343" t="s">
        <v>116</v>
      </c>
      <c r="AF1343" t="s">
        <v>116</v>
      </c>
      <c r="AG1343">
        <v>0.76</v>
      </c>
      <c r="AH1343" t="s">
        <v>7354</v>
      </c>
      <c r="AI1343" t="s">
        <v>7355</v>
      </c>
      <c r="AJ1343">
        <v>-1.08</v>
      </c>
      <c r="AK1343">
        <v>1387</v>
      </c>
      <c r="AL1343">
        <v>16</v>
      </c>
      <c r="AM1343">
        <v>2.0999999999999999E-3</v>
      </c>
      <c r="AN1343">
        <v>-1</v>
      </c>
      <c r="AO1343">
        <v>0.81</v>
      </c>
      <c r="AP1343">
        <v>9.07</v>
      </c>
      <c r="AQ1343">
        <v>4.58</v>
      </c>
      <c r="AR1343">
        <v>4.3899999999999997</v>
      </c>
      <c r="AS1343">
        <v>4.1100000000000003</v>
      </c>
      <c r="AT1343" t="s">
        <v>2247</v>
      </c>
      <c r="AU1343">
        <v>29.18</v>
      </c>
      <c r="AV1343">
        <v>100.22</v>
      </c>
      <c r="AW1343">
        <v>1.1299999999999999</v>
      </c>
      <c r="BA1343">
        <v>-0.18</v>
      </c>
      <c r="BB1343">
        <v>1.32</v>
      </c>
      <c r="BC1343">
        <v>-2.02</v>
      </c>
      <c r="BD1343">
        <v>-0.53</v>
      </c>
      <c r="BE1343">
        <v>-1.58</v>
      </c>
      <c r="BF1343">
        <v>-3.04</v>
      </c>
      <c r="BG1343">
        <v>0.27</v>
      </c>
      <c r="BH1343">
        <v>-1.23</v>
      </c>
      <c r="BI1343">
        <v>20191031</v>
      </c>
      <c r="BJ1343">
        <v>20171026</v>
      </c>
      <c r="BK1343">
        <v>1.68</v>
      </c>
      <c r="BL1343" t="s">
        <v>116</v>
      </c>
      <c r="BM1343" t="s">
        <v>116</v>
      </c>
      <c r="BN1343">
        <v>9.42</v>
      </c>
      <c r="BO1343">
        <v>4.8600000000000003</v>
      </c>
      <c r="BP1343">
        <v>0</v>
      </c>
      <c r="BQ1343">
        <v>48.4</v>
      </c>
      <c r="BR1343">
        <v>6.33</v>
      </c>
      <c r="BS1343">
        <v>2.2799999999999998</v>
      </c>
      <c r="BT1343">
        <v>0.35</v>
      </c>
      <c r="BU1343">
        <v>4.0599999999999996</v>
      </c>
      <c r="BV1343">
        <v>0.88</v>
      </c>
      <c r="BW1343">
        <v>3.1</v>
      </c>
      <c r="BX1343">
        <v>1.9</v>
      </c>
      <c r="BY1343">
        <v>7.23</v>
      </c>
      <c r="BZ1343">
        <v>4.76</v>
      </c>
      <c r="CA1343">
        <v>0.69</v>
      </c>
      <c r="CB1343">
        <v>0</v>
      </c>
      <c r="CC1343">
        <v>0.68</v>
      </c>
      <c r="CD1343">
        <v>0.56000000000000005</v>
      </c>
      <c r="CE1343">
        <v>0.56000000000000005</v>
      </c>
      <c r="CF1343">
        <v>0.56000000000000005</v>
      </c>
      <c r="CG1343">
        <v>1.19</v>
      </c>
      <c r="CH1343">
        <v>-0.56000000000000005</v>
      </c>
      <c r="CI1343">
        <v>-1.01</v>
      </c>
      <c r="CJ1343">
        <v>14937</v>
      </c>
      <c r="CK1343">
        <v>3638</v>
      </c>
      <c r="CL1343" t="s">
        <v>5689</v>
      </c>
      <c r="CM1343">
        <v>424.01</v>
      </c>
      <c r="CN1343">
        <v>3.83</v>
      </c>
      <c r="CO1343">
        <v>3.86</v>
      </c>
      <c r="CP1343">
        <v>-33.369999999999997</v>
      </c>
      <c r="CQ1343">
        <v>2.6</v>
      </c>
      <c r="CR1343">
        <v>1.33</v>
      </c>
      <c r="CS1343" t="s">
        <v>736</v>
      </c>
      <c r="CT1343">
        <v>2.89</v>
      </c>
      <c r="CU1343">
        <v>0</v>
      </c>
      <c r="CV1343">
        <v>1.1299999999999999</v>
      </c>
      <c r="CW1343">
        <v>0.71</v>
      </c>
      <c r="CX1343">
        <v>-0.34</v>
      </c>
      <c r="CY1343">
        <v>51.6</v>
      </c>
      <c r="CZ1343" t="s">
        <v>3559</v>
      </c>
      <c r="DA1343">
        <v>34.24</v>
      </c>
      <c r="DB1343">
        <v>9.59</v>
      </c>
      <c r="DC1343">
        <v>7.8</v>
      </c>
      <c r="DD1343">
        <v>0.27</v>
      </c>
      <c r="DE1343">
        <v>711</v>
      </c>
      <c r="DF1343">
        <v>2909</v>
      </c>
      <c r="DG1343" t="s">
        <v>116</v>
      </c>
      <c r="DH1343" t="s">
        <v>116</v>
      </c>
      <c r="DI1343" t="s">
        <v>116</v>
      </c>
    </row>
    <row r="1344" spans="1:113" x14ac:dyDescent="0.4">
      <c r="A1344" t="str">
        <f>"002910"</f>
        <v>002910</v>
      </c>
      <c r="B1344" t="s">
        <v>7356</v>
      </c>
      <c r="C1344">
        <v>0.54</v>
      </c>
      <c r="D1344">
        <v>11.27</v>
      </c>
      <c r="E1344">
        <v>0.06</v>
      </c>
      <c r="F1344">
        <v>11.26</v>
      </c>
      <c r="G1344">
        <v>11.27</v>
      </c>
      <c r="H1344">
        <v>23369</v>
      </c>
      <c r="I1344">
        <v>246</v>
      </c>
      <c r="J1344">
        <v>0.09</v>
      </c>
      <c r="K1344">
        <v>3.15</v>
      </c>
      <c r="L1344">
        <v>11.21</v>
      </c>
      <c r="M1344">
        <v>11.37</v>
      </c>
      <c r="N1344">
        <v>11.2</v>
      </c>
      <c r="O1344">
        <v>11.21</v>
      </c>
      <c r="P1344">
        <v>42.25</v>
      </c>
      <c r="Q1344">
        <v>26382616</v>
      </c>
      <c r="R1344">
        <v>1.87</v>
      </c>
      <c r="S1344" t="s">
        <v>4803</v>
      </c>
      <c r="T1344" t="s">
        <v>1122</v>
      </c>
      <c r="U1344">
        <v>1.52</v>
      </c>
      <c r="V1344">
        <v>11.29</v>
      </c>
      <c r="W1344">
        <v>12766</v>
      </c>
      <c r="X1344">
        <v>10603</v>
      </c>
      <c r="Y1344">
        <v>1.2</v>
      </c>
      <c r="Z1344">
        <v>108</v>
      </c>
      <c r="AA1344">
        <v>14</v>
      </c>
      <c r="AB1344" t="s">
        <v>116</v>
      </c>
      <c r="AC1344">
        <v>2200</v>
      </c>
      <c r="AD1344">
        <v>0</v>
      </c>
      <c r="AE1344" t="s">
        <v>116</v>
      </c>
      <c r="AF1344" t="s">
        <v>116</v>
      </c>
      <c r="AG1344">
        <v>0.74</v>
      </c>
      <c r="AH1344" t="s">
        <v>7357</v>
      </c>
      <c r="AI1344" t="s">
        <v>7358</v>
      </c>
      <c r="AJ1344">
        <v>1.21</v>
      </c>
      <c r="AK1344">
        <v>1263</v>
      </c>
      <c r="AL1344">
        <v>19</v>
      </c>
      <c r="AM1344">
        <v>2.5000000000000001E-3</v>
      </c>
      <c r="AN1344">
        <v>4</v>
      </c>
      <c r="AO1344">
        <v>1.08</v>
      </c>
      <c r="AP1344">
        <v>2.83</v>
      </c>
      <c r="AQ1344">
        <v>-5.45</v>
      </c>
      <c r="AR1344">
        <v>-4.2699999999999996</v>
      </c>
      <c r="AS1344">
        <v>3.15</v>
      </c>
      <c r="AT1344" t="s">
        <v>7357</v>
      </c>
      <c r="AU1344">
        <v>33.21</v>
      </c>
      <c r="AV1344">
        <v>33.82</v>
      </c>
      <c r="AW1344">
        <v>0.84</v>
      </c>
      <c r="BA1344">
        <v>0</v>
      </c>
      <c r="BB1344">
        <v>1.43</v>
      </c>
      <c r="BC1344">
        <v>-0.09</v>
      </c>
      <c r="BD1344">
        <v>0.71</v>
      </c>
      <c r="BE1344">
        <v>0.54</v>
      </c>
      <c r="BF1344">
        <v>-0.88</v>
      </c>
      <c r="BG1344">
        <v>0.62</v>
      </c>
      <c r="BH1344">
        <v>-0.17</v>
      </c>
      <c r="BI1344">
        <v>20191025</v>
      </c>
      <c r="BJ1344">
        <v>20171031</v>
      </c>
      <c r="BK1344">
        <v>1.91</v>
      </c>
      <c r="BL1344" t="s">
        <v>116</v>
      </c>
      <c r="BM1344">
        <v>0.35</v>
      </c>
      <c r="BN1344">
        <v>24.51</v>
      </c>
      <c r="BO1344">
        <v>12.12</v>
      </c>
      <c r="BP1344">
        <v>0</v>
      </c>
      <c r="BQ1344">
        <v>50.54</v>
      </c>
      <c r="BR1344">
        <v>7.58</v>
      </c>
      <c r="BS1344">
        <v>9.27</v>
      </c>
      <c r="BT1344">
        <v>0.74</v>
      </c>
      <c r="BU1344">
        <v>8.9499999999999993</v>
      </c>
      <c r="BV1344">
        <v>0.82</v>
      </c>
      <c r="BW1344">
        <v>0.35</v>
      </c>
      <c r="BX1344">
        <v>5.31</v>
      </c>
      <c r="BY1344">
        <v>6.06</v>
      </c>
      <c r="BZ1344">
        <v>4.0999999999999996</v>
      </c>
      <c r="CA1344">
        <v>0.46</v>
      </c>
      <c r="CB1344">
        <v>0</v>
      </c>
      <c r="CC1344">
        <v>0.45</v>
      </c>
      <c r="CD1344">
        <v>0.38</v>
      </c>
      <c r="CE1344">
        <v>0.38</v>
      </c>
      <c r="CF1344">
        <v>0.36</v>
      </c>
      <c r="CG1344">
        <v>4.75</v>
      </c>
      <c r="CH1344">
        <v>1.36</v>
      </c>
      <c r="CI1344">
        <v>0.53</v>
      </c>
      <c r="CJ1344">
        <v>24876</v>
      </c>
      <c r="CK1344">
        <v>2979</v>
      </c>
      <c r="CL1344" t="s">
        <v>2619</v>
      </c>
      <c r="CM1344">
        <v>3.16</v>
      </c>
      <c r="CN1344">
        <v>30.28</v>
      </c>
      <c r="CO1344">
        <v>1.77</v>
      </c>
      <c r="CP1344">
        <v>15.76</v>
      </c>
      <c r="CQ1344">
        <v>3.55</v>
      </c>
      <c r="CR1344">
        <v>0.59</v>
      </c>
      <c r="CS1344" t="s">
        <v>541</v>
      </c>
      <c r="CT1344">
        <v>6.36</v>
      </c>
      <c r="CU1344">
        <v>0</v>
      </c>
      <c r="CV1344">
        <v>2.78</v>
      </c>
      <c r="CW1344">
        <v>2.4900000000000002</v>
      </c>
      <c r="CX1344">
        <v>0.72</v>
      </c>
      <c r="CY1344">
        <v>49.46</v>
      </c>
      <c r="CZ1344" t="s">
        <v>4801</v>
      </c>
      <c r="DA1344">
        <v>32.32</v>
      </c>
      <c r="DB1344">
        <v>7.54</v>
      </c>
      <c r="DC1344">
        <v>6.3</v>
      </c>
      <c r="DD1344">
        <v>0.09</v>
      </c>
      <c r="DE1344">
        <v>907</v>
      </c>
      <c r="DF1344">
        <v>2910</v>
      </c>
      <c r="DG1344" t="s">
        <v>116</v>
      </c>
      <c r="DH1344" t="s">
        <v>116</v>
      </c>
      <c r="DI1344" t="s">
        <v>116</v>
      </c>
    </row>
    <row r="1345" spans="1:113" x14ac:dyDescent="0.4">
      <c r="A1345" t="str">
        <f>"002911"</f>
        <v>002911</v>
      </c>
      <c r="B1345" t="s">
        <v>7359</v>
      </c>
      <c r="C1345">
        <v>-1.61</v>
      </c>
      <c r="D1345">
        <v>15.24</v>
      </c>
      <c r="E1345">
        <v>-0.25</v>
      </c>
      <c r="F1345">
        <v>15.24</v>
      </c>
      <c r="G1345">
        <v>15.25</v>
      </c>
      <c r="H1345">
        <v>15973</v>
      </c>
      <c r="I1345">
        <v>603</v>
      </c>
      <c r="J1345">
        <v>-0.19</v>
      </c>
      <c r="K1345">
        <v>0.59</v>
      </c>
      <c r="L1345">
        <v>15.49</v>
      </c>
      <c r="M1345">
        <v>15.55</v>
      </c>
      <c r="N1345">
        <v>15.23</v>
      </c>
      <c r="O1345">
        <v>15.49</v>
      </c>
      <c r="P1345">
        <v>17.829999999999998</v>
      </c>
      <c r="Q1345">
        <v>24667520</v>
      </c>
      <c r="R1345">
        <v>1.26</v>
      </c>
      <c r="S1345" t="s">
        <v>690</v>
      </c>
      <c r="T1345" t="s">
        <v>551</v>
      </c>
      <c r="U1345">
        <v>2.0699999999999998</v>
      </c>
      <c r="V1345">
        <v>15.44</v>
      </c>
      <c r="W1345">
        <v>8833</v>
      </c>
      <c r="X1345">
        <v>7140</v>
      </c>
      <c r="Y1345">
        <v>1.24</v>
      </c>
      <c r="Z1345">
        <v>76</v>
      </c>
      <c r="AA1345">
        <v>88</v>
      </c>
      <c r="AB1345" t="s">
        <v>116</v>
      </c>
      <c r="AC1345">
        <v>10800</v>
      </c>
      <c r="AD1345">
        <v>0</v>
      </c>
      <c r="AE1345" t="s">
        <v>116</v>
      </c>
      <c r="AF1345" t="s">
        <v>116</v>
      </c>
      <c r="AG1345">
        <v>2.71</v>
      </c>
      <c r="AH1345" t="s">
        <v>6441</v>
      </c>
      <c r="AI1345" t="s">
        <v>7360</v>
      </c>
      <c r="AJ1345">
        <v>-0.94</v>
      </c>
      <c r="AK1345">
        <v>962</v>
      </c>
      <c r="AL1345">
        <v>17</v>
      </c>
      <c r="AM1345">
        <v>5.9999999999999995E-4</v>
      </c>
      <c r="AN1345">
        <v>-2</v>
      </c>
      <c r="AO1345">
        <v>-1.67</v>
      </c>
      <c r="AP1345">
        <v>7.0000000000000007E-2</v>
      </c>
      <c r="AQ1345">
        <v>-11.7</v>
      </c>
      <c r="AR1345">
        <v>-7.24</v>
      </c>
      <c r="AS1345">
        <v>2.86</v>
      </c>
      <c r="AT1345" t="s">
        <v>7361</v>
      </c>
      <c r="AU1345">
        <v>22.06</v>
      </c>
      <c r="AV1345">
        <v>23.4</v>
      </c>
      <c r="AW1345">
        <v>0.92</v>
      </c>
      <c r="BA1345">
        <v>0</v>
      </c>
      <c r="BB1345">
        <v>0.39</v>
      </c>
      <c r="BC1345">
        <v>-1.68</v>
      </c>
      <c r="BD1345">
        <v>-0.3</v>
      </c>
      <c r="BE1345">
        <v>-1.61</v>
      </c>
      <c r="BF1345">
        <v>-1.99</v>
      </c>
      <c r="BG1345">
        <v>7.0000000000000007E-2</v>
      </c>
      <c r="BH1345">
        <v>-1.31</v>
      </c>
      <c r="BI1345">
        <v>20191105</v>
      </c>
      <c r="BJ1345">
        <v>20171122</v>
      </c>
      <c r="BK1345">
        <v>5.56</v>
      </c>
      <c r="BL1345" t="s">
        <v>116</v>
      </c>
      <c r="BM1345" t="s">
        <v>116</v>
      </c>
      <c r="BN1345">
        <v>64.45</v>
      </c>
      <c r="BO1345">
        <v>27.05</v>
      </c>
      <c r="BP1345">
        <v>5.4</v>
      </c>
      <c r="BQ1345">
        <v>49.65</v>
      </c>
      <c r="BR1345">
        <v>23.02</v>
      </c>
      <c r="BS1345">
        <v>28.02</v>
      </c>
      <c r="BT1345">
        <v>3.75</v>
      </c>
      <c r="BU1345">
        <v>23.65</v>
      </c>
      <c r="BV1345">
        <v>1.75</v>
      </c>
      <c r="BW1345">
        <v>2.63</v>
      </c>
      <c r="BX1345">
        <v>6.59</v>
      </c>
      <c r="BY1345">
        <v>45.93</v>
      </c>
      <c r="BZ1345">
        <v>38.07</v>
      </c>
      <c r="CA1345">
        <v>5.76</v>
      </c>
      <c r="CB1345">
        <v>0.49</v>
      </c>
      <c r="CC1345">
        <v>5.76</v>
      </c>
      <c r="CD1345">
        <v>4.3899999999999997</v>
      </c>
      <c r="CE1345">
        <v>3.56</v>
      </c>
      <c r="CF1345">
        <v>3.42</v>
      </c>
      <c r="CG1345">
        <v>12.88</v>
      </c>
      <c r="CH1345">
        <v>7.62</v>
      </c>
      <c r="CI1345">
        <v>3.45</v>
      </c>
      <c r="CJ1345">
        <v>24975</v>
      </c>
      <c r="CK1345">
        <v>2234</v>
      </c>
      <c r="CL1345" t="s">
        <v>1321</v>
      </c>
      <c r="CM1345">
        <v>6.61</v>
      </c>
      <c r="CN1345">
        <v>26.77</v>
      </c>
      <c r="CO1345">
        <v>3.13</v>
      </c>
      <c r="CP1345">
        <v>11.12</v>
      </c>
      <c r="CQ1345">
        <v>1.84</v>
      </c>
      <c r="CR1345">
        <v>2.82</v>
      </c>
      <c r="CS1345" t="s">
        <v>7362</v>
      </c>
      <c r="CT1345">
        <v>4.87</v>
      </c>
      <c r="CU1345">
        <v>0</v>
      </c>
      <c r="CV1345">
        <v>1.19</v>
      </c>
      <c r="CW1345">
        <v>2.3199999999999998</v>
      </c>
      <c r="CX1345">
        <v>1.37</v>
      </c>
      <c r="CY1345">
        <v>41.97</v>
      </c>
      <c r="CZ1345" t="s">
        <v>7363</v>
      </c>
      <c r="DA1345">
        <v>17.13</v>
      </c>
      <c r="DB1345">
        <v>12.55</v>
      </c>
      <c r="DC1345">
        <v>7.76</v>
      </c>
      <c r="DD1345">
        <v>0.24</v>
      </c>
      <c r="DE1345">
        <v>1940</v>
      </c>
      <c r="DF1345">
        <v>2911</v>
      </c>
      <c r="DG1345" t="s">
        <v>116</v>
      </c>
      <c r="DH1345" t="s">
        <v>116</v>
      </c>
      <c r="DI1345" t="s">
        <v>116</v>
      </c>
    </row>
    <row r="1346" spans="1:113" x14ac:dyDescent="0.4">
      <c r="A1346" t="str">
        <f>"002912"</f>
        <v>002912</v>
      </c>
      <c r="B1346" t="s">
        <v>7364</v>
      </c>
      <c r="C1346">
        <v>-1.43</v>
      </c>
      <c r="D1346">
        <v>125.78</v>
      </c>
      <c r="E1346">
        <v>-1.82</v>
      </c>
      <c r="F1346">
        <v>125.77</v>
      </c>
      <c r="G1346">
        <v>125.78</v>
      </c>
      <c r="H1346">
        <v>19458</v>
      </c>
      <c r="I1346">
        <v>277</v>
      </c>
      <c r="J1346">
        <v>-0.37</v>
      </c>
      <c r="K1346">
        <v>3.75</v>
      </c>
      <c r="L1346">
        <v>128.4</v>
      </c>
      <c r="M1346">
        <v>130.99</v>
      </c>
      <c r="N1346">
        <v>125.04</v>
      </c>
      <c r="O1346">
        <v>127.6</v>
      </c>
      <c r="P1346">
        <v>57.14</v>
      </c>
      <c r="Q1346">
        <v>248132576</v>
      </c>
      <c r="R1346">
        <v>0.99</v>
      </c>
      <c r="S1346" t="s">
        <v>607</v>
      </c>
      <c r="T1346" t="s">
        <v>115</v>
      </c>
      <c r="U1346">
        <v>4.66</v>
      </c>
      <c r="V1346">
        <v>127.53</v>
      </c>
      <c r="W1346">
        <v>9861</v>
      </c>
      <c r="X1346">
        <v>9597</v>
      </c>
      <c r="Y1346">
        <v>1.03</v>
      </c>
      <c r="Z1346">
        <v>15</v>
      </c>
      <c r="AA1346">
        <v>38</v>
      </c>
      <c r="AB1346" t="s">
        <v>116</v>
      </c>
      <c r="AC1346">
        <v>680500</v>
      </c>
      <c r="AD1346">
        <v>0.01</v>
      </c>
      <c r="AE1346" t="s">
        <v>116</v>
      </c>
      <c r="AF1346" t="s">
        <v>116</v>
      </c>
      <c r="AG1346">
        <v>0.52</v>
      </c>
      <c r="AH1346" t="s">
        <v>7365</v>
      </c>
      <c r="AI1346" t="s">
        <v>7366</v>
      </c>
      <c r="AJ1346">
        <v>-0.75</v>
      </c>
      <c r="AK1346">
        <v>3460</v>
      </c>
      <c r="AL1346">
        <v>6</v>
      </c>
      <c r="AM1346">
        <v>1.1000000000000001E-3</v>
      </c>
      <c r="AN1346">
        <v>-3</v>
      </c>
      <c r="AO1346">
        <v>-1.98</v>
      </c>
      <c r="AP1346">
        <v>25.88</v>
      </c>
      <c r="AQ1346">
        <v>30.06</v>
      </c>
      <c r="AR1346">
        <v>56.42</v>
      </c>
      <c r="AS1346">
        <v>4.2300000000000004</v>
      </c>
      <c r="AT1346" t="s">
        <v>7367</v>
      </c>
      <c r="AU1346">
        <v>59.77</v>
      </c>
      <c r="AV1346">
        <v>65.56</v>
      </c>
      <c r="AW1346">
        <v>1.78</v>
      </c>
      <c r="BA1346">
        <v>0.63</v>
      </c>
      <c r="BB1346">
        <v>2.66</v>
      </c>
      <c r="BC1346">
        <v>-2.0099999999999998</v>
      </c>
      <c r="BD1346">
        <v>-0.06</v>
      </c>
      <c r="BE1346">
        <v>-2.04</v>
      </c>
      <c r="BF1346">
        <v>-3.98</v>
      </c>
      <c r="BG1346">
        <v>0.59</v>
      </c>
      <c r="BH1346">
        <v>-1.37</v>
      </c>
      <c r="BI1346">
        <v>20191223</v>
      </c>
      <c r="BJ1346">
        <v>20171121</v>
      </c>
      <c r="BK1346">
        <v>1.07</v>
      </c>
      <c r="BL1346" t="s">
        <v>116</v>
      </c>
      <c r="BM1346" t="s">
        <v>116</v>
      </c>
      <c r="BN1346">
        <v>19.77</v>
      </c>
      <c r="BO1346">
        <v>14.01</v>
      </c>
      <c r="BP1346">
        <v>0</v>
      </c>
      <c r="BQ1346">
        <v>29.14</v>
      </c>
      <c r="BR1346">
        <v>16.940000000000001</v>
      </c>
      <c r="BS1346">
        <v>0.81</v>
      </c>
      <c r="BT1346">
        <v>0.28000000000000003</v>
      </c>
      <c r="BU1346">
        <v>5.58</v>
      </c>
      <c r="BV1346">
        <v>2.59</v>
      </c>
      <c r="BW1346">
        <v>3.06</v>
      </c>
      <c r="BX1346">
        <v>5.39</v>
      </c>
      <c r="BY1346">
        <v>6.1</v>
      </c>
      <c r="BZ1346">
        <v>1.07</v>
      </c>
      <c r="CA1346">
        <v>2.1</v>
      </c>
      <c r="CB1346">
        <v>0.01</v>
      </c>
      <c r="CC1346">
        <v>2.11</v>
      </c>
      <c r="CD1346">
        <v>1.76</v>
      </c>
      <c r="CE1346">
        <v>1.76</v>
      </c>
      <c r="CF1346">
        <v>1.73</v>
      </c>
      <c r="CG1346">
        <v>7.17</v>
      </c>
      <c r="CH1346">
        <v>1.07</v>
      </c>
      <c r="CI1346">
        <v>0.2</v>
      </c>
      <c r="CJ1346">
        <v>9740</v>
      </c>
      <c r="CK1346">
        <v>4727</v>
      </c>
      <c r="CL1346" t="s">
        <v>7368</v>
      </c>
      <c r="CM1346">
        <v>12.67</v>
      </c>
      <c r="CN1346">
        <v>28.51</v>
      </c>
      <c r="CO1346">
        <v>9.58</v>
      </c>
      <c r="CP1346">
        <v>125.46</v>
      </c>
      <c r="CQ1346">
        <v>21.99</v>
      </c>
      <c r="CR1346">
        <v>0.52</v>
      </c>
      <c r="CS1346" t="s">
        <v>7369</v>
      </c>
      <c r="CT1346">
        <v>13.13</v>
      </c>
      <c r="CU1346">
        <v>0</v>
      </c>
      <c r="CV1346">
        <v>5.05</v>
      </c>
      <c r="CW1346">
        <v>6.72</v>
      </c>
      <c r="CX1346">
        <v>1</v>
      </c>
      <c r="CY1346">
        <v>70.86</v>
      </c>
      <c r="CZ1346" t="s">
        <v>7370</v>
      </c>
      <c r="DA1346">
        <v>82.53</v>
      </c>
      <c r="DB1346">
        <v>34.46</v>
      </c>
      <c r="DC1346">
        <v>28.86</v>
      </c>
      <c r="DD1346">
        <v>1.53</v>
      </c>
      <c r="DE1346">
        <v>1082</v>
      </c>
      <c r="DF1346">
        <v>2912</v>
      </c>
      <c r="DG1346" t="s">
        <v>116</v>
      </c>
      <c r="DH1346" t="s">
        <v>116</v>
      </c>
      <c r="DI1346" t="s">
        <v>116</v>
      </c>
    </row>
    <row r="1347" spans="1:113" x14ac:dyDescent="0.4">
      <c r="A1347" t="str">
        <f>"002913"</f>
        <v>002913</v>
      </c>
      <c r="B1347" t="s">
        <v>7371</v>
      </c>
      <c r="C1347">
        <v>-1.48</v>
      </c>
      <c r="D1347">
        <v>56.44</v>
      </c>
      <c r="E1347">
        <v>-0.85</v>
      </c>
      <c r="F1347">
        <v>56.43</v>
      </c>
      <c r="G1347">
        <v>56.44</v>
      </c>
      <c r="H1347">
        <v>19110</v>
      </c>
      <c r="I1347">
        <v>160</v>
      </c>
      <c r="J1347">
        <v>0.05</v>
      </c>
      <c r="K1347">
        <v>5.19</v>
      </c>
      <c r="L1347">
        <v>57.47</v>
      </c>
      <c r="M1347">
        <v>58.42</v>
      </c>
      <c r="N1347">
        <v>56.18</v>
      </c>
      <c r="O1347">
        <v>57.29</v>
      </c>
      <c r="P1347">
        <v>30.38</v>
      </c>
      <c r="Q1347">
        <v>109776856</v>
      </c>
      <c r="R1347">
        <v>1.05</v>
      </c>
      <c r="S1347" t="s">
        <v>233</v>
      </c>
      <c r="T1347" t="s">
        <v>599</v>
      </c>
      <c r="U1347">
        <v>3.91</v>
      </c>
      <c r="V1347">
        <v>57.44</v>
      </c>
      <c r="W1347">
        <v>10743</v>
      </c>
      <c r="X1347">
        <v>8367</v>
      </c>
      <c r="Y1347">
        <v>1.28</v>
      </c>
      <c r="Z1347">
        <v>65</v>
      </c>
      <c r="AA1347">
        <v>2</v>
      </c>
      <c r="AB1347" t="s">
        <v>116</v>
      </c>
      <c r="AC1347">
        <v>172400</v>
      </c>
      <c r="AD1347">
        <v>0.01</v>
      </c>
      <c r="AE1347" t="s">
        <v>116</v>
      </c>
      <c r="AF1347" t="s">
        <v>116</v>
      </c>
      <c r="AG1347">
        <v>0.37</v>
      </c>
      <c r="AH1347" t="s">
        <v>6143</v>
      </c>
      <c r="AI1347" t="s">
        <v>7372</v>
      </c>
      <c r="AJ1347">
        <v>-0.8</v>
      </c>
      <c r="AK1347">
        <v>2586</v>
      </c>
      <c r="AL1347">
        <v>7</v>
      </c>
      <c r="AM1347">
        <v>2E-3</v>
      </c>
      <c r="AN1347">
        <v>-2</v>
      </c>
      <c r="AO1347">
        <v>-0.51</v>
      </c>
      <c r="AP1347">
        <v>6.09</v>
      </c>
      <c r="AQ1347">
        <v>7.32</v>
      </c>
      <c r="AR1347">
        <v>42.99</v>
      </c>
      <c r="AS1347">
        <v>5.23</v>
      </c>
      <c r="AT1347" t="s">
        <v>4949</v>
      </c>
      <c r="AU1347">
        <v>32.119999999999997</v>
      </c>
      <c r="AV1347">
        <v>34.96</v>
      </c>
      <c r="AW1347">
        <v>1.68</v>
      </c>
      <c r="BA1347">
        <v>0.31</v>
      </c>
      <c r="BB1347">
        <v>1.97</v>
      </c>
      <c r="BC1347">
        <v>-1.94</v>
      </c>
      <c r="BD1347">
        <v>0.27</v>
      </c>
      <c r="BE1347">
        <v>-1.79</v>
      </c>
      <c r="BF1347">
        <v>-3.39</v>
      </c>
      <c r="BG1347">
        <v>0.46</v>
      </c>
      <c r="BH1347">
        <v>-1.75</v>
      </c>
      <c r="BI1347">
        <v>20191226</v>
      </c>
      <c r="BJ1347">
        <v>20171201</v>
      </c>
      <c r="BK1347">
        <v>1.48</v>
      </c>
      <c r="BL1347" t="s">
        <v>116</v>
      </c>
      <c r="BM1347" t="s">
        <v>116</v>
      </c>
      <c r="BN1347">
        <v>32.33</v>
      </c>
      <c r="BO1347">
        <v>23.48</v>
      </c>
      <c r="BP1347">
        <v>0</v>
      </c>
      <c r="BQ1347">
        <v>27.36</v>
      </c>
      <c r="BR1347">
        <v>21.23</v>
      </c>
      <c r="BS1347">
        <v>9.44</v>
      </c>
      <c r="BT1347">
        <v>0.23</v>
      </c>
      <c r="BU1347">
        <v>8.4700000000000006</v>
      </c>
      <c r="BV1347">
        <v>2.79</v>
      </c>
      <c r="BW1347">
        <v>6.53</v>
      </c>
      <c r="BX1347">
        <v>14.92</v>
      </c>
      <c r="BY1347">
        <v>16.38</v>
      </c>
      <c r="BZ1347">
        <v>11.88</v>
      </c>
      <c r="CA1347">
        <v>2.4300000000000002</v>
      </c>
      <c r="CB1347">
        <v>0.17</v>
      </c>
      <c r="CC1347">
        <v>2.4300000000000002</v>
      </c>
      <c r="CD1347">
        <v>2.06</v>
      </c>
      <c r="CE1347">
        <v>2.06</v>
      </c>
      <c r="CF1347">
        <v>1.85</v>
      </c>
      <c r="CG1347">
        <v>7.24</v>
      </c>
      <c r="CH1347">
        <v>4</v>
      </c>
      <c r="CI1347">
        <v>-0.14000000000000001</v>
      </c>
      <c r="CJ1347">
        <v>14683</v>
      </c>
      <c r="CK1347">
        <v>2489</v>
      </c>
      <c r="CL1347" t="s">
        <v>594</v>
      </c>
      <c r="CM1347">
        <v>11.41</v>
      </c>
      <c r="CN1347">
        <v>-0.73</v>
      </c>
      <c r="CO1347">
        <v>3.56</v>
      </c>
      <c r="CP1347">
        <v>20.9</v>
      </c>
      <c r="CQ1347">
        <v>5.0999999999999996</v>
      </c>
      <c r="CR1347">
        <v>0.8</v>
      </c>
      <c r="CS1347" t="s">
        <v>7373</v>
      </c>
      <c r="CT1347">
        <v>15.87</v>
      </c>
      <c r="CU1347">
        <v>0</v>
      </c>
      <c r="CV1347">
        <v>10.08</v>
      </c>
      <c r="CW1347">
        <v>4.8899999999999997</v>
      </c>
      <c r="CX1347">
        <v>2.7</v>
      </c>
      <c r="CY1347">
        <v>72.64</v>
      </c>
      <c r="CZ1347" t="s">
        <v>4937</v>
      </c>
      <c r="DA1347">
        <v>27.49</v>
      </c>
      <c r="DB1347">
        <v>14.83</v>
      </c>
      <c r="DC1347">
        <v>12.59</v>
      </c>
      <c r="DD1347">
        <v>0.67</v>
      </c>
      <c r="DE1347">
        <v>3660</v>
      </c>
      <c r="DF1347">
        <v>2913</v>
      </c>
      <c r="DG1347" t="s">
        <v>116</v>
      </c>
      <c r="DH1347" t="s">
        <v>116</v>
      </c>
      <c r="DI1347" t="s">
        <v>116</v>
      </c>
    </row>
    <row r="1348" spans="1:113" x14ac:dyDescent="0.4">
      <c r="A1348" t="str">
        <f>"002915"</f>
        <v>002915</v>
      </c>
      <c r="B1348" t="s">
        <v>7374</v>
      </c>
      <c r="C1348">
        <v>-3.33</v>
      </c>
      <c r="D1348">
        <v>27.57</v>
      </c>
      <c r="E1348">
        <v>-0.95</v>
      </c>
      <c r="F1348">
        <v>27.57</v>
      </c>
      <c r="G1348">
        <v>27.58</v>
      </c>
      <c r="H1348">
        <v>53399</v>
      </c>
      <c r="I1348">
        <v>560</v>
      </c>
      <c r="J1348">
        <v>7.0000000000000007E-2</v>
      </c>
      <c r="K1348">
        <v>15.54</v>
      </c>
      <c r="L1348">
        <v>28.46</v>
      </c>
      <c r="M1348">
        <v>28.46</v>
      </c>
      <c r="N1348">
        <v>27.44</v>
      </c>
      <c r="O1348">
        <v>28.52</v>
      </c>
      <c r="P1348">
        <v>74.25</v>
      </c>
      <c r="Q1348">
        <v>149110704</v>
      </c>
      <c r="R1348">
        <v>1.4</v>
      </c>
      <c r="S1348" t="s">
        <v>891</v>
      </c>
      <c r="T1348" t="s">
        <v>590</v>
      </c>
      <c r="U1348">
        <v>3.58</v>
      </c>
      <c r="V1348">
        <v>27.92</v>
      </c>
      <c r="W1348">
        <v>33433</v>
      </c>
      <c r="X1348">
        <v>19966</v>
      </c>
      <c r="Y1348">
        <v>1.67</v>
      </c>
      <c r="Z1348">
        <v>182</v>
      </c>
      <c r="AA1348">
        <v>43</v>
      </c>
      <c r="AB1348" t="s">
        <v>116</v>
      </c>
      <c r="AC1348">
        <v>1573800</v>
      </c>
      <c r="AD1348">
        <v>0.16</v>
      </c>
      <c r="AE1348" t="s">
        <v>116</v>
      </c>
      <c r="AF1348" t="s">
        <v>116</v>
      </c>
      <c r="AG1348">
        <v>0.34</v>
      </c>
      <c r="AH1348" t="s">
        <v>7375</v>
      </c>
      <c r="AI1348" t="s">
        <v>3800</v>
      </c>
      <c r="AJ1348">
        <v>-2.65</v>
      </c>
      <c r="AK1348">
        <v>3009</v>
      </c>
      <c r="AL1348">
        <v>18</v>
      </c>
      <c r="AM1348">
        <v>5.1999999999999998E-3</v>
      </c>
      <c r="AN1348">
        <v>-1</v>
      </c>
      <c r="AO1348">
        <v>2.57</v>
      </c>
      <c r="AP1348">
        <v>10.77</v>
      </c>
      <c r="AQ1348">
        <v>-2.2999999999999998</v>
      </c>
      <c r="AR1348">
        <v>26.29</v>
      </c>
      <c r="AS1348">
        <v>15.54</v>
      </c>
      <c r="AT1348" t="s">
        <v>7375</v>
      </c>
      <c r="AU1348">
        <v>78.349999999999994</v>
      </c>
      <c r="AV1348">
        <v>108.4</v>
      </c>
      <c r="AW1348">
        <v>1.52</v>
      </c>
      <c r="BA1348">
        <v>-0.21</v>
      </c>
      <c r="BB1348">
        <v>-0.21</v>
      </c>
      <c r="BC1348">
        <v>-3.79</v>
      </c>
      <c r="BD1348">
        <v>-2.09</v>
      </c>
      <c r="BE1348">
        <v>-3.13</v>
      </c>
      <c r="BF1348">
        <v>-3.13</v>
      </c>
      <c r="BG1348">
        <v>0.47</v>
      </c>
      <c r="BH1348">
        <v>-1.24</v>
      </c>
      <c r="BI1348">
        <v>20191219</v>
      </c>
      <c r="BJ1348">
        <v>20171205</v>
      </c>
      <c r="BK1348">
        <v>1.42</v>
      </c>
      <c r="BL1348" t="s">
        <v>116</v>
      </c>
      <c r="BM1348" t="s">
        <v>116</v>
      </c>
      <c r="BN1348">
        <v>15.86</v>
      </c>
      <c r="BO1348">
        <v>8.99</v>
      </c>
      <c r="BP1348">
        <v>0</v>
      </c>
      <c r="BQ1348">
        <v>43.33</v>
      </c>
      <c r="BR1348">
        <v>5.91</v>
      </c>
      <c r="BS1348">
        <v>3.59</v>
      </c>
      <c r="BT1348">
        <v>0.43</v>
      </c>
      <c r="BU1348">
        <v>6.69</v>
      </c>
      <c r="BV1348">
        <v>1.35</v>
      </c>
      <c r="BW1348">
        <v>1.59</v>
      </c>
      <c r="BX1348">
        <v>5.39</v>
      </c>
      <c r="BY1348">
        <v>4.4400000000000004</v>
      </c>
      <c r="BZ1348">
        <v>3.35</v>
      </c>
      <c r="CA1348">
        <v>0.45</v>
      </c>
      <c r="CB1348">
        <v>0.01</v>
      </c>
      <c r="CC1348">
        <v>0.45</v>
      </c>
      <c r="CD1348">
        <v>0.4</v>
      </c>
      <c r="CE1348">
        <v>0.4</v>
      </c>
      <c r="CF1348">
        <v>0.38</v>
      </c>
      <c r="CG1348">
        <v>1.96</v>
      </c>
      <c r="CH1348">
        <v>-0.21</v>
      </c>
      <c r="CI1348">
        <v>-0.15</v>
      </c>
      <c r="CJ1348">
        <v>16059</v>
      </c>
      <c r="CK1348">
        <v>2140</v>
      </c>
      <c r="CL1348" t="s">
        <v>4126</v>
      </c>
      <c r="CM1348">
        <v>53.91</v>
      </c>
      <c r="CN1348">
        <v>38.229999999999997</v>
      </c>
      <c r="CO1348">
        <v>4.01</v>
      </c>
      <c r="CP1348">
        <v>-188.3</v>
      </c>
      <c r="CQ1348">
        <v>8.83</v>
      </c>
      <c r="CR1348">
        <v>0.28999999999999998</v>
      </c>
      <c r="CS1348" t="s">
        <v>7376</v>
      </c>
      <c r="CT1348">
        <v>6.88</v>
      </c>
      <c r="CU1348">
        <v>6.88</v>
      </c>
      <c r="CV1348">
        <v>3.79</v>
      </c>
      <c r="CW1348">
        <v>1.38</v>
      </c>
      <c r="CX1348">
        <v>-0.15</v>
      </c>
      <c r="CY1348">
        <v>56.67</v>
      </c>
      <c r="CZ1348" t="s">
        <v>2510</v>
      </c>
      <c r="DA1348">
        <v>24.48</v>
      </c>
      <c r="DB1348">
        <v>10.06</v>
      </c>
      <c r="DC1348">
        <v>8.92</v>
      </c>
      <c r="DD1348">
        <v>0.17</v>
      </c>
      <c r="DE1348">
        <v>446</v>
      </c>
      <c r="DF1348">
        <v>2915</v>
      </c>
      <c r="DG1348" t="s">
        <v>116</v>
      </c>
      <c r="DH1348" t="s">
        <v>116</v>
      </c>
      <c r="DI1348" t="s">
        <v>116</v>
      </c>
    </row>
    <row r="1349" spans="1:113" x14ac:dyDescent="0.4">
      <c r="A1349" t="str">
        <f>"002916"</f>
        <v>002916</v>
      </c>
      <c r="B1349" t="s">
        <v>7377</v>
      </c>
      <c r="C1349">
        <v>-2.1</v>
      </c>
      <c r="D1349">
        <v>140.13</v>
      </c>
      <c r="E1349">
        <v>-3</v>
      </c>
      <c r="F1349">
        <v>140.11000000000001</v>
      </c>
      <c r="G1349">
        <v>140.13</v>
      </c>
      <c r="H1349">
        <v>35365</v>
      </c>
      <c r="I1349">
        <v>283</v>
      </c>
      <c r="J1349">
        <v>-0.11</v>
      </c>
      <c r="K1349">
        <v>3.58</v>
      </c>
      <c r="L1349">
        <v>143.52000000000001</v>
      </c>
      <c r="M1349">
        <v>144.12</v>
      </c>
      <c r="N1349">
        <v>139.66999999999999</v>
      </c>
      <c r="O1349">
        <v>143.13</v>
      </c>
      <c r="P1349">
        <v>41.12</v>
      </c>
      <c r="Q1349">
        <v>499448384</v>
      </c>
      <c r="R1349">
        <v>1.22</v>
      </c>
      <c r="S1349" t="s">
        <v>233</v>
      </c>
      <c r="T1349" t="s">
        <v>115</v>
      </c>
      <c r="U1349">
        <v>3.11</v>
      </c>
      <c r="V1349">
        <v>141.22999999999999</v>
      </c>
      <c r="W1349">
        <v>20987</v>
      </c>
      <c r="X1349">
        <v>14378</v>
      </c>
      <c r="Y1349">
        <v>1.46</v>
      </c>
      <c r="Z1349">
        <v>26</v>
      </c>
      <c r="AA1349">
        <v>126</v>
      </c>
      <c r="AB1349" t="s">
        <v>116</v>
      </c>
      <c r="AC1349">
        <v>1865800</v>
      </c>
      <c r="AD1349">
        <v>0.01</v>
      </c>
      <c r="AE1349" t="s">
        <v>116</v>
      </c>
      <c r="AF1349" t="s">
        <v>116</v>
      </c>
      <c r="AG1349">
        <v>0.99</v>
      </c>
      <c r="AH1349" t="s">
        <v>7378</v>
      </c>
      <c r="AI1349" t="s">
        <v>7379</v>
      </c>
      <c r="AJ1349">
        <v>-1.42</v>
      </c>
      <c r="AK1349">
        <v>3677</v>
      </c>
      <c r="AL1349">
        <v>10</v>
      </c>
      <c r="AM1349">
        <v>1E-3</v>
      </c>
      <c r="AN1349">
        <v>-1</v>
      </c>
      <c r="AO1349">
        <v>-1.0900000000000001</v>
      </c>
      <c r="AP1349">
        <v>-4.08</v>
      </c>
      <c r="AQ1349">
        <v>-10.23</v>
      </c>
      <c r="AR1349">
        <v>111.73</v>
      </c>
      <c r="AS1349">
        <v>3.58</v>
      </c>
      <c r="AT1349" t="s">
        <v>7378</v>
      </c>
      <c r="AU1349">
        <v>43.56</v>
      </c>
      <c r="AV1349">
        <v>68.2</v>
      </c>
      <c r="AW1349">
        <v>1.36</v>
      </c>
      <c r="BA1349">
        <v>0.27</v>
      </c>
      <c r="BB1349">
        <v>0.69</v>
      </c>
      <c r="BC1349">
        <v>-2.42</v>
      </c>
      <c r="BD1349">
        <v>-1.33</v>
      </c>
      <c r="BE1349">
        <v>-2.36</v>
      </c>
      <c r="BF1349">
        <v>-2.77</v>
      </c>
      <c r="BG1349">
        <v>0.33</v>
      </c>
      <c r="BH1349">
        <v>-0.77</v>
      </c>
      <c r="BI1349">
        <v>20191030</v>
      </c>
      <c r="BJ1349">
        <v>20171213</v>
      </c>
      <c r="BK1349">
        <v>3.39</v>
      </c>
      <c r="BL1349" t="s">
        <v>116</v>
      </c>
      <c r="BM1349" t="s">
        <v>116</v>
      </c>
      <c r="BN1349">
        <v>101.92</v>
      </c>
      <c r="BO1349">
        <v>44.12</v>
      </c>
      <c r="BP1349">
        <v>0.02</v>
      </c>
      <c r="BQ1349">
        <v>56.7</v>
      </c>
      <c r="BR1349">
        <v>44.83</v>
      </c>
      <c r="BS1349">
        <v>39.909999999999997</v>
      </c>
      <c r="BT1349">
        <v>2.96</v>
      </c>
      <c r="BU1349">
        <v>45.72</v>
      </c>
      <c r="BV1349">
        <v>13.31</v>
      </c>
      <c r="BW1349">
        <v>21.4</v>
      </c>
      <c r="BX1349">
        <v>22.22</v>
      </c>
      <c r="BY1349">
        <v>76.58</v>
      </c>
      <c r="BZ1349">
        <v>56.93</v>
      </c>
      <c r="CA1349">
        <v>10.14</v>
      </c>
      <c r="CB1349">
        <v>0</v>
      </c>
      <c r="CC1349">
        <v>10.039999999999999</v>
      </c>
      <c r="CD1349">
        <v>8.68</v>
      </c>
      <c r="CE1349">
        <v>8.67</v>
      </c>
      <c r="CF1349">
        <v>8.25</v>
      </c>
      <c r="CG1349">
        <v>18.21</v>
      </c>
      <c r="CH1349">
        <v>8.44</v>
      </c>
      <c r="CI1349">
        <v>-3.35</v>
      </c>
      <c r="CJ1349">
        <v>33899</v>
      </c>
      <c r="CK1349">
        <v>2912</v>
      </c>
      <c r="CL1349" t="s">
        <v>7380</v>
      </c>
      <c r="CM1349">
        <v>83.4</v>
      </c>
      <c r="CN1349">
        <v>43.5</v>
      </c>
      <c r="CO1349">
        <v>10.78</v>
      </c>
      <c r="CP1349">
        <v>56.31</v>
      </c>
      <c r="CQ1349">
        <v>6.21</v>
      </c>
      <c r="CR1349">
        <v>0.45</v>
      </c>
      <c r="CS1349" t="s">
        <v>7381</v>
      </c>
      <c r="CT1349">
        <v>13</v>
      </c>
      <c r="CU1349">
        <v>0</v>
      </c>
      <c r="CV1349">
        <v>6.55</v>
      </c>
      <c r="CW1349">
        <v>5.37</v>
      </c>
      <c r="CX1349">
        <v>2.4900000000000002</v>
      </c>
      <c r="CY1349">
        <v>43.28</v>
      </c>
      <c r="CZ1349" t="s">
        <v>7382</v>
      </c>
      <c r="DA1349">
        <v>25.66</v>
      </c>
      <c r="DB1349">
        <v>13.24</v>
      </c>
      <c r="DC1349">
        <v>11.33</v>
      </c>
      <c r="DD1349">
        <v>3.77</v>
      </c>
      <c r="DE1349">
        <v>9959</v>
      </c>
      <c r="DF1349">
        <v>2916</v>
      </c>
      <c r="DG1349" t="s">
        <v>116</v>
      </c>
      <c r="DH1349" t="s">
        <v>116</v>
      </c>
      <c r="DI1349" t="s">
        <v>116</v>
      </c>
    </row>
    <row r="1350" spans="1:113" x14ac:dyDescent="0.4">
      <c r="A1350" t="str">
        <f>"002917"</f>
        <v>002917</v>
      </c>
      <c r="B1350" t="s">
        <v>7383</v>
      </c>
      <c r="C1350">
        <v>-1.99</v>
      </c>
      <c r="D1350">
        <v>16.22</v>
      </c>
      <c r="E1350">
        <v>-0.33</v>
      </c>
      <c r="F1350">
        <v>16.22</v>
      </c>
      <c r="G1350">
        <v>16.23</v>
      </c>
      <c r="H1350">
        <v>30120</v>
      </c>
      <c r="I1350">
        <v>544</v>
      </c>
      <c r="J1350">
        <v>0.12</v>
      </c>
      <c r="K1350">
        <v>5.56</v>
      </c>
      <c r="L1350">
        <v>16.5</v>
      </c>
      <c r="M1350">
        <v>16.64</v>
      </c>
      <c r="N1350">
        <v>16.170000000000002</v>
      </c>
      <c r="O1350">
        <v>16.55</v>
      </c>
      <c r="P1350">
        <v>43.09</v>
      </c>
      <c r="Q1350">
        <v>49510092</v>
      </c>
      <c r="R1350">
        <v>0.92</v>
      </c>
      <c r="S1350" t="s">
        <v>891</v>
      </c>
      <c r="T1350" t="s">
        <v>115</v>
      </c>
      <c r="U1350">
        <v>2.84</v>
      </c>
      <c r="V1350">
        <v>16.440000000000001</v>
      </c>
      <c r="W1350">
        <v>19393</v>
      </c>
      <c r="X1350">
        <v>10727</v>
      </c>
      <c r="Y1350">
        <v>1.81</v>
      </c>
      <c r="Z1350">
        <v>75</v>
      </c>
      <c r="AA1350">
        <v>49</v>
      </c>
      <c r="AB1350" t="s">
        <v>116</v>
      </c>
      <c r="AC1350">
        <v>51200</v>
      </c>
      <c r="AD1350">
        <v>0.01</v>
      </c>
      <c r="AE1350" t="s">
        <v>116</v>
      </c>
      <c r="AF1350" t="s">
        <v>116</v>
      </c>
      <c r="AG1350">
        <v>0.54</v>
      </c>
      <c r="AH1350" t="s">
        <v>7384</v>
      </c>
      <c r="AI1350" t="s">
        <v>7385</v>
      </c>
      <c r="AJ1350">
        <v>-1.32</v>
      </c>
      <c r="AK1350">
        <v>1638</v>
      </c>
      <c r="AL1350">
        <v>18</v>
      </c>
      <c r="AM1350">
        <v>3.3999999999999998E-3</v>
      </c>
      <c r="AN1350">
        <v>-1</v>
      </c>
      <c r="AO1350">
        <v>-0.79</v>
      </c>
      <c r="AP1350">
        <v>0</v>
      </c>
      <c r="AQ1350">
        <v>-15.56</v>
      </c>
      <c r="AR1350">
        <v>16.27</v>
      </c>
      <c r="AS1350">
        <v>5.56</v>
      </c>
      <c r="AT1350" t="s">
        <v>7384</v>
      </c>
      <c r="AU1350">
        <v>44.36</v>
      </c>
      <c r="AV1350">
        <v>45.06</v>
      </c>
      <c r="AW1350">
        <v>1.81</v>
      </c>
      <c r="BA1350">
        <v>-0.3</v>
      </c>
      <c r="BB1350">
        <v>0.54</v>
      </c>
      <c r="BC1350">
        <v>-2.2999999999999998</v>
      </c>
      <c r="BD1350">
        <v>-0.68</v>
      </c>
      <c r="BE1350">
        <v>-1.7</v>
      </c>
      <c r="BF1350">
        <v>-2.52</v>
      </c>
      <c r="BG1350">
        <v>0.31</v>
      </c>
      <c r="BH1350">
        <v>-1.32</v>
      </c>
      <c r="BI1350">
        <v>20191030</v>
      </c>
      <c r="BJ1350">
        <v>20171208</v>
      </c>
      <c r="BK1350">
        <v>1.81</v>
      </c>
      <c r="BL1350" t="s">
        <v>116</v>
      </c>
      <c r="BM1350" t="s">
        <v>116</v>
      </c>
      <c r="BN1350">
        <v>8.51</v>
      </c>
      <c r="BO1350">
        <v>6.93</v>
      </c>
      <c r="BP1350">
        <v>0.63</v>
      </c>
      <c r="BQ1350">
        <v>11.13</v>
      </c>
      <c r="BR1350">
        <v>6.93</v>
      </c>
      <c r="BS1350">
        <v>1</v>
      </c>
      <c r="BT1350">
        <v>0.34</v>
      </c>
      <c r="BU1350">
        <v>0.65</v>
      </c>
      <c r="BV1350">
        <v>0.74</v>
      </c>
      <c r="BW1350">
        <v>1.8</v>
      </c>
      <c r="BX1350">
        <v>2.76</v>
      </c>
      <c r="BY1350">
        <v>3.15</v>
      </c>
      <c r="BZ1350">
        <v>1.95</v>
      </c>
      <c r="CA1350">
        <v>0.68</v>
      </c>
      <c r="CB1350">
        <v>0.03</v>
      </c>
      <c r="CC1350">
        <v>0.68</v>
      </c>
      <c r="CD1350">
        <v>0.59</v>
      </c>
      <c r="CE1350">
        <v>0.51</v>
      </c>
      <c r="CF1350">
        <v>0.43</v>
      </c>
      <c r="CG1350">
        <v>2.12</v>
      </c>
      <c r="CH1350">
        <v>-0.31</v>
      </c>
      <c r="CI1350">
        <v>-1.1299999999999999</v>
      </c>
      <c r="CJ1350">
        <v>22178</v>
      </c>
      <c r="CK1350">
        <v>2443</v>
      </c>
      <c r="CL1350" t="s">
        <v>4451</v>
      </c>
      <c r="CM1350">
        <v>2.06</v>
      </c>
      <c r="CN1350">
        <v>10.19</v>
      </c>
      <c r="CO1350">
        <v>4.2300000000000004</v>
      </c>
      <c r="CP1350">
        <v>-94.8</v>
      </c>
      <c r="CQ1350">
        <v>9.3000000000000007</v>
      </c>
      <c r="CR1350">
        <v>0.39</v>
      </c>
      <c r="CS1350" t="s">
        <v>7386</v>
      </c>
      <c r="CT1350">
        <v>3.83</v>
      </c>
      <c r="CU1350">
        <v>0</v>
      </c>
      <c r="CV1350">
        <v>1.53</v>
      </c>
      <c r="CW1350">
        <v>1.17</v>
      </c>
      <c r="CX1350">
        <v>-0.17</v>
      </c>
      <c r="CY1350">
        <v>81.44</v>
      </c>
      <c r="CZ1350" t="s">
        <v>5633</v>
      </c>
      <c r="DA1350">
        <v>38.06</v>
      </c>
      <c r="DB1350">
        <v>21.47</v>
      </c>
      <c r="DC1350">
        <v>16.190000000000001</v>
      </c>
      <c r="DD1350">
        <v>0.2</v>
      </c>
      <c r="DE1350">
        <v>724</v>
      </c>
      <c r="DF1350">
        <v>2917</v>
      </c>
      <c r="DG1350" t="s">
        <v>116</v>
      </c>
      <c r="DH1350" t="s">
        <v>116</v>
      </c>
      <c r="DI1350" t="s">
        <v>116</v>
      </c>
    </row>
    <row r="1351" spans="1:113" x14ac:dyDescent="0.4">
      <c r="A1351" t="str">
        <f>"002918"</f>
        <v>002918</v>
      </c>
      <c r="B1351" t="s">
        <v>7387</v>
      </c>
      <c r="C1351">
        <v>-0.78</v>
      </c>
      <c r="D1351">
        <v>19.149999999999999</v>
      </c>
      <c r="E1351">
        <v>-0.15</v>
      </c>
      <c r="F1351">
        <v>19.149999999999999</v>
      </c>
      <c r="G1351">
        <v>19.16</v>
      </c>
      <c r="H1351">
        <v>40023</v>
      </c>
      <c r="I1351">
        <v>465</v>
      </c>
      <c r="J1351">
        <v>-0.09</v>
      </c>
      <c r="K1351">
        <v>2.96</v>
      </c>
      <c r="L1351">
        <v>19.149999999999999</v>
      </c>
      <c r="M1351">
        <v>19.559999999999999</v>
      </c>
      <c r="N1351">
        <v>19.079999999999998</v>
      </c>
      <c r="O1351">
        <v>19.3</v>
      </c>
      <c r="P1351">
        <v>19.03</v>
      </c>
      <c r="Q1351">
        <v>77152568</v>
      </c>
      <c r="R1351">
        <v>0.6</v>
      </c>
      <c r="S1351" t="s">
        <v>249</v>
      </c>
      <c r="T1351" t="s">
        <v>551</v>
      </c>
      <c r="U1351">
        <v>2.4900000000000002</v>
      </c>
      <c r="V1351">
        <v>19.28</v>
      </c>
      <c r="W1351">
        <v>24638</v>
      </c>
      <c r="X1351">
        <v>15385</v>
      </c>
      <c r="Y1351">
        <v>1.6</v>
      </c>
      <c r="Z1351">
        <v>93</v>
      </c>
      <c r="AA1351">
        <v>6</v>
      </c>
      <c r="AB1351" t="s">
        <v>116</v>
      </c>
      <c r="AC1351">
        <v>195300</v>
      </c>
      <c r="AD1351">
        <v>0.01</v>
      </c>
      <c r="AE1351" t="s">
        <v>116</v>
      </c>
      <c r="AF1351" t="s">
        <v>116</v>
      </c>
      <c r="AG1351">
        <v>1.35</v>
      </c>
      <c r="AH1351" t="s">
        <v>7213</v>
      </c>
      <c r="AI1351" t="s">
        <v>7388</v>
      </c>
      <c r="AJ1351">
        <v>-0.1</v>
      </c>
      <c r="AK1351">
        <v>2220</v>
      </c>
      <c r="AL1351">
        <v>18</v>
      </c>
      <c r="AM1351">
        <v>1.2999999999999999E-3</v>
      </c>
      <c r="AN1351">
        <v>-1</v>
      </c>
      <c r="AO1351">
        <v>-0.05</v>
      </c>
      <c r="AP1351">
        <v>6.98</v>
      </c>
      <c r="AQ1351">
        <v>34.29</v>
      </c>
      <c r="AR1351">
        <v>100.34</v>
      </c>
      <c r="AS1351">
        <v>3.24</v>
      </c>
      <c r="AT1351" t="s">
        <v>5137</v>
      </c>
      <c r="AU1351">
        <v>19.329999999999998</v>
      </c>
      <c r="AV1351">
        <v>21.25</v>
      </c>
      <c r="AW1351">
        <v>1.38</v>
      </c>
      <c r="BA1351">
        <v>-0.78</v>
      </c>
      <c r="BB1351">
        <v>1.35</v>
      </c>
      <c r="BC1351">
        <v>-1.1399999999999999</v>
      </c>
      <c r="BD1351">
        <v>-0.12</v>
      </c>
      <c r="BE1351">
        <v>0</v>
      </c>
      <c r="BF1351">
        <v>-2.1</v>
      </c>
      <c r="BG1351">
        <v>0.37</v>
      </c>
      <c r="BH1351">
        <v>-0.66</v>
      </c>
      <c r="BI1351">
        <v>20191026</v>
      </c>
      <c r="BJ1351">
        <v>20171219</v>
      </c>
      <c r="BK1351">
        <v>4.0199999999999996</v>
      </c>
      <c r="BL1351" t="s">
        <v>116</v>
      </c>
      <c r="BM1351" t="s">
        <v>116</v>
      </c>
      <c r="BN1351">
        <v>50.47</v>
      </c>
      <c r="BO1351">
        <v>27.75</v>
      </c>
      <c r="BP1351">
        <v>0</v>
      </c>
      <c r="BQ1351">
        <v>45.01</v>
      </c>
      <c r="BR1351">
        <v>39.35</v>
      </c>
      <c r="BS1351">
        <v>4.75</v>
      </c>
      <c r="BT1351">
        <v>1.95</v>
      </c>
      <c r="BU1351">
        <v>21.66</v>
      </c>
      <c r="BV1351">
        <v>9.86</v>
      </c>
      <c r="BW1351">
        <v>6.07</v>
      </c>
      <c r="BX1351">
        <v>11.79</v>
      </c>
      <c r="BY1351">
        <v>26.76</v>
      </c>
      <c r="BZ1351">
        <v>16.93</v>
      </c>
      <c r="CA1351">
        <v>3.67</v>
      </c>
      <c r="CB1351">
        <v>0.05</v>
      </c>
      <c r="CC1351">
        <v>3.67</v>
      </c>
      <c r="CD1351">
        <v>3.04</v>
      </c>
      <c r="CE1351">
        <v>3.04</v>
      </c>
      <c r="CF1351">
        <v>2.72</v>
      </c>
      <c r="CG1351">
        <v>10.97</v>
      </c>
      <c r="CH1351">
        <v>8.58</v>
      </c>
      <c r="CI1351">
        <v>5.31</v>
      </c>
      <c r="CJ1351">
        <v>17623</v>
      </c>
      <c r="CK1351">
        <v>7008</v>
      </c>
      <c r="CL1351" t="s">
        <v>7389</v>
      </c>
      <c r="CM1351">
        <v>13.45</v>
      </c>
      <c r="CN1351">
        <v>17.440000000000001</v>
      </c>
      <c r="CO1351">
        <v>2.78</v>
      </c>
      <c r="CP1351">
        <v>8.98</v>
      </c>
      <c r="CQ1351">
        <v>2.88</v>
      </c>
      <c r="CR1351">
        <v>1.08</v>
      </c>
      <c r="CS1351" t="s">
        <v>7390</v>
      </c>
      <c r="CT1351">
        <v>6.9</v>
      </c>
      <c r="CU1351">
        <v>0</v>
      </c>
      <c r="CV1351">
        <v>2.93</v>
      </c>
      <c r="CW1351">
        <v>2.73</v>
      </c>
      <c r="CX1351">
        <v>2.13</v>
      </c>
      <c r="CY1351">
        <v>54.99</v>
      </c>
      <c r="CZ1351" t="s">
        <v>7391</v>
      </c>
      <c r="DA1351">
        <v>36.72</v>
      </c>
      <c r="DB1351">
        <v>13.7</v>
      </c>
      <c r="DC1351">
        <v>11.35</v>
      </c>
      <c r="DD1351">
        <v>1.04</v>
      </c>
      <c r="DE1351">
        <v>3442</v>
      </c>
      <c r="DF1351">
        <v>2918</v>
      </c>
      <c r="DG1351" t="s">
        <v>116</v>
      </c>
      <c r="DH1351" t="s">
        <v>116</v>
      </c>
      <c r="DI1351" t="s">
        <v>116</v>
      </c>
    </row>
    <row r="1352" spans="1:113" x14ac:dyDescent="0.4">
      <c r="A1352" t="str">
        <f>"002919"</f>
        <v>002919</v>
      </c>
      <c r="B1352" t="s">
        <v>7392</v>
      </c>
      <c r="C1352">
        <v>-2.35</v>
      </c>
      <c r="D1352">
        <v>14.98</v>
      </c>
      <c r="E1352">
        <v>-0.36</v>
      </c>
      <c r="F1352">
        <v>14.98</v>
      </c>
      <c r="G1352">
        <v>14.99</v>
      </c>
      <c r="H1352">
        <v>36254</v>
      </c>
      <c r="I1352">
        <v>768</v>
      </c>
      <c r="J1352">
        <v>-0.12</v>
      </c>
      <c r="K1352">
        <v>8.57</v>
      </c>
      <c r="L1352">
        <v>15.36</v>
      </c>
      <c r="M1352">
        <v>15.49</v>
      </c>
      <c r="N1352">
        <v>14.95</v>
      </c>
      <c r="O1352">
        <v>15.34</v>
      </c>
      <c r="P1352">
        <v>66.12</v>
      </c>
      <c r="Q1352">
        <v>55053472</v>
      </c>
      <c r="R1352">
        <v>1.25</v>
      </c>
      <c r="S1352" t="s">
        <v>953</v>
      </c>
      <c r="T1352" t="s">
        <v>551</v>
      </c>
      <c r="U1352">
        <v>3.52</v>
      </c>
      <c r="V1352">
        <v>15.19</v>
      </c>
      <c r="W1352">
        <v>22133</v>
      </c>
      <c r="X1352">
        <v>14121</v>
      </c>
      <c r="Y1352">
        <v>1.57</v>
      </c>
      <c r="Z1352">
        <v>258</v>
      </c>
      <c r="AA1352">
        <v>70</v>
      </c>
      <c r="AB1352" t="s">
        <v>116</v>
      </c>
      <c r="AC1352">
        <v>301100</v>
      </c>
      <c r="AD1352">
        <v>0.05</v>
      </c>
      <c r="AE1352" t="s">
        <v>116</v>
      </c>
      <c r="AF1352" t="s">
        <v>116</v>
      </c>
      <c r="AG1352">
        <v>0.42</v>
      </c>
      <c r="AH1352" t="s">
        <v>7393</v>
      </c>
      <c r="AI1352" t="s">
        <v>7394</v>
      </c>
      <c r="AJ1352">
        <v>-1.67</v>
      </c>
      <c r="AK1352">
        <v>2048</v>
      </c>
      <c r="AL1352">
        <v>18</v>
      </c>
      <c r="AM1352">
        <v>4.1999999999999997E-3</v>
      </c>
      <c r="AN1352">
        <v>-1</v>
      </c>
      <c r="AO1352">
        <v>-0.53</v>
      </c>
      <c r="AP1352">
        <v>4.3899999999999997</v>
      </c>
      <c r="AQ1352">
        <v>1.63</v>
      </c>
      <c r="AR1352">
        <v>13.09</v>
      </c>
      <c r="AS1352">
        <v>8.57</v>
      </c>
      <c r="AT1352" t="s">
        <v>7393</v>
      </c>
      <c r="AU1352">
        <v>73.400000000000006</v>
      </c>
      <c r="AV1352">
        <v>61.68</v>
      </c>
      <c r="AW1352">
        <v>0.2</v>
      </c>
      <c r="BA1352">
        <v>0.13</v>
      </c>
      <c r="BB1352">
        <v>0.98</v>
      </c>
      <c r="BC1352">
        <v>-2.54</v>
      </c>
      <c r="BD1352">
        <v>-1.01</v>
      </c>
      <c r="BE1352">
        <v>-2.4700000000000002</v>
      </c>
      <c r="BF1352">
        <v>-3.29</v>
      </c>
      <c r="BG1352">
        <v>0.2</v>
      </c>
      <c r="BH1352">
        <v>-1.34</v>
      </c>
      <c r="BI1352">
        <v>20191101</v>
      </c>
      <c r="BJ1352">
        <v>20171218</v>
      </c>
      <c r="BK1352">
        <v>1.22</v>
      </c>
      <c r="BL1352" t="s">
        <v>116</v>
      </c>
      <c r="BM1352" t="s">
        <v>116</v>
      </c>
      <c r="BN1352">
        <v>6.95</v>
      </c>
      <c r="BO1352">
        <v>5.64</v>
      </c>
      <c r="BP1352">
        <v>0</v>
      </c>
      <c r="BQ1352">
        <v>18.96</v>
      </c>
      <c r="BR1352">
        <v>6.1</v>
      </c>
      <c r="BS1352">
        <v>0.51</v>
      </c>
      <c r="BT1352">
        <v>0.05</v>
      </c>
      <c r="BU1352">
        <v>1.32</v>
      </c>
      <c r="BV1352">
        <v>1.86</v>
      </c>
      <c r="BW1352">
        <v>0.35</v>
      </c>
      <c r="BX1352">
        <v>3.23</v>
      </c>
      <c r="BY1352">
        <v>3.58</v>
      </c>
      <c r="BZ1352">
        <v>2.2200000000000002</v>
      </c>
      <c r="CA1352">
        <v>0.23</v>
      </c>
      <c r="CB1352">
        <v>0.06</v>
      </c>
      <c r="CC1352">
        <v>0.23</v>
      </c>
      <c r="CD1352">
        <v>0.21</v>
      </c>
      <c r="CE1352">
        <v>0.21</v>
      </c>
      <c r="CF1352">
        <v>0.15</v>
      </c>
      <c r="CG1352">
        <v>1.04</v>
      </c>
      <c r="CH1352">
        <v>-0.15</v>
      </c>
      <c r="CI1352">
        <v>0.22</v>
      </c>
      <c r="CJ1352">
        <v>18306</v>
      </c>
      <c r="CK1352">
        <v>2310</v>
      </c>
      <c r="CL1352" t="s">
        <v>5349</v>
      </c>
      <c r="CM1352">
        <v>-18.579999999999998</v>
      </c>
      <c r="CN1352">
        <v>-4.34</v>
      </c>
      <c r="CO1352">
        <v>3.25</v>
      </c>
      <c r="CP1352">
        <v>-119.12</v>
      </c>
      <c r="CQ1352">
        <v>5.1100000000000003</v>
      </c>
      <c r="CR1352">
        <v>0.45</v>
      </c>
      <c r="CS1352" t="s">
        <v>328</v>
      </c>
      <c r="CT1352">
        <v>4.6100000000000003</v>
      </c>
      <c r="CU1352">
        <v>0</v>
      </c>
      <c r="CV1352">
        <v>2.65</v>
      </c>
      <c r="CW1352">
        <v>0.85</v>
      </c>
      <c r="CX1352">
        <v>-0.13</v>
      </c>
      <c r="CY1352">
        <v>81.040000000000006</v>
      </c>
      <c r="CZ1352" t="s">
        <v>4028</v>
      </c>
      <c r="DA1352">
        <v>38.020000000000003</v>
      </c>
      <c r="DB1352">
        <v>6.46</v>
      </c>
      <c r="DC1352">
        <v>5.79</v>
      </c>
      <c r="DD1352">
        <v>0.11</v>
      </c>
      <c r="DE1352">
        <v>1154</v>
      </c>
      <c r="DF1352">
        <v>2919</v>
      </c>
      <c r="DG1352" t="s">
        <v>116</v>
      </c>
      <c r="DH1352" t="s">
        <v>116</v>
      </c>
      <c r="DI1352" t="s">
        <v>116</v>
      </c>
    </row>
    <row r="1353" spans="1:113" x14ac:dyDescent="0.4">
      <c r="A1353" t="str">
        <f>"002920"</f>
        <v>002920</v>
      </c>
      <c r="B1353" t="s">
        <v>7395</v>
      </c>
      <c r="C1353">
        <v>-0.81</v>
      </c>
      <c r="D1353">
        <v>30.5</v>
      </c>
      <c r="E1353">
        <v>-0.25</v>
      </c>
      <c r="F1353">
        <v>30.49</v>
      </c>
      <c r="G1353">
        <v>30.5</v>
      </c>
      <c r="H1353">
        <v>26783</v>
      </c>
      <c r="I1353">
        <v>145</v>
      </c>
      <c r="J1353">
        <v>-0.02</v>
      </c>
      <c r="K1353">
        <v>2.19</v>
      </c>
      <c r="L1353">
        <v>30.68</v>
      </c>
      <c r="M1353">
        <v>31.1</v>
      </c>
      <c r="N1353">
        <v>30.18</v>
      </c>
      <c r="O1353">
        <v>30.75</v>
      </c>
      <c r="P1353">
        <v>88.14</v>
      </c>
      <c r="Q1353">
        <v>82208288</v>
      </c>
      <c r="R1353">
        <v>1.07</v>
      </c>
      <c r="S1353" t="s">
        <v>293</v>
      </c>
      <c r="T1353" t="s">
        <v>551</v>
      </c>
      <c r="U1353">
        <v>2.99</v>
      </c>
      <c r="V1353">
        <v>30.69</v>
      </c>
      <c r="W1353">
        <v>11432</v>
      </c>
      <c r="X1353">
        <v>15351</v>
      </c>
      <c r="Y1353">
        <v>0.74</v>
      </c>
      <c r="Z1353">
        <v>11</v>
      </c>
      <c r="AA1353">
        <v>2</v>
      </c>
      <c r="AB1353" t="s">
        <v>116</v>
      </c>
      <c r="AC1353">
        <v>159500</v>
      </c>
      <c r="AD1353">
        <v>0</v>
      </c>
      <c r="AE1353" t="s">
        <v>116</v>
      </c>
      <c r="AF1353" t="s">
        <v>116</v>
      </c>
      <c r="AG1353">
        <v>1.22</v>
      </c>
      <c r="AH1353" t="s">
        <v>7396</v>
      </c>
      <c r="AI1353" t="s">
        <v>7397</v>
      </c>
      <c r="AJ1353">
        <v>-0.13</v>
      </c>
      <c r="AK1353">
        <v>3098</v>
      </c>
      <c r="AL1353">
        <v>9</v>
      </c>
      <c r="AM1353">
        <v>6.9999999999999999E-4</v>
      </c>
      <c r="AN1353">
        <v>-2</v>
      </c>
      <c r="AO1353">
        <v>-1.07</v>
      </c>
      <c r="AP1353">
        <v>20.32</v>
      </c>
      <c r="AQ1353">
        <v>27.35</v>
      </c>
      <c r="AR1353">
        <v>77.84</v>
      </c>
      <c r="AS1353">
        <v>2.19</v>
      </c>
      <c r="AT1353" t="s">
        <v>7396</v>
      </c>
      <c r="AU1353">
        <v>76.02</v>
      </c>
      <c r="AV1353">
        <v>40.31</v>
      </c>
      <c r="AW1353">
        <v>0.72</v>
      </c>
      <c r="BA1353">
        <v>-0.23</v>
      </c>
      <c r="BB1353">
        <v>1.1399999999999999</v>
      </c>
      <c r="BC1353">
        <v>-1.85</v>
      </c>
      <c r="BD1353">
        <v>-0.18</v>
      </c>
      <c r="BE1353">
        <v>-0.59</v>
      </c>
      <c r="BF1353">
        <v>-1.93</v>
      </c>
      <c r="BG1353">
        <v>1.06</v>
      </c>
      <c r="BH1353">
        <v>-0.63</v>
      </c>
      <c r="BI1353">
        <v>20191223</v>
      </c>
      <c r="BJ1353">
        <v>20171226</v>
      </c>
      <c r="BK1353">
        <v>5.5</v>
      </c>
      <c r="BL1353" t="s">
        <v>116</v>
      </c>
      <c r="BM1353" t="s">
        <v>116</v>
      </c>
      <c r="BN1353">
        <v>55.98</v>
      </c>
      <c r="BO1353">
        <v>40.08</v>
      </c>
      <c r="BP1353">
        <v>0.03</v>
      </c>
      <c r="BQ1353">
        <v>28.35</v>
      </c>
      <c r="BR1353">
        <v>42.06</v>
      </c>
      <c r="BS1353">
        <v>5.44</v>
      </c>
      <c r="BT1353">
        <v>2.21</v>
      </c>
      <c r="BU1353">
        <v>12.23</v>
      </c>
      <c r="BV1353">
        <v>8.5299999999999994</v>
      </c>
      <c r="BW1353">
        <v>10.89</v>
      </c>
      <c r="BX1353">
        <v>20.7</v>
      </c>
      <c r="BY1353">
        <v>35.46</v>
      </c>
      <c r="BZ1353">
        <v>27.37</v>
      </c>
      <c r="CA1353">
        <v>1.6</v>
      </c>
      <c r="CB1353">
        <v>0.64</v>
      </c>
      <c r="CC1353">
        <v>1.61</v>
      </c>
      <c r="CD1353">
        <v>1.43</v>
      </c>
      <c r="CE1353">
        <v>1.43</v>
      </c>
      <c r="CF1353">
        <v>0.57999999999999996</v>
      </c>
      <c r="CG1353">
        <v>11.89</v>
      </c>
      <c r="CH1353">
        <v>1.73</v>
      </c>
      <c r="CI1353">
        <v>-0.37</v>
      </c>
      <c r="CJ1353">
        <v>24000</v>
      </c>
      <c r="CK1353">
        <v>5098</v>
      </c>
      <c r="CL1353" t="s">
        <v>7398</v>
      </c>
      <c r="CM1353">
        <v>-57.79</v>
      </c>
      <c r="CN1353">
        <v>-12.7</v>
      </c>
      <c r="CO1353">
        <v>4.1900000000000004</v>
      </c>
      <c r="CP1353">
        <v>96.82</v>
      </c>
      <c r="CQ1353">
        <v>4.7300000000000004</v>
      </c>
      <c r="CR1353">
        <v>0.66</v>
      </c>
      <c r="CS1353" t="s">
        <v>4342</v>
      </c>
      <c r="CT1353">
        <v>7.29</v>
      </c>
      <c r="CU1353">
        <v>0</v>
      </c>
      <c r="CV1353">
        <v>3.76</v>
      </c>
      <c r="CW1353">
        <v>2.16</v>
      </c>
      <c r="CX1353">
        <v>0.32</v>
      </c>
      <c r="CY1353">
        <v>71.599999999999994</v>
      </c>
      <c r="CZ1353" t="s">
        <v>6144</v>
      </c>
      <c r="DA1353">
        <v>22.82</v>
      </c>
      <c r="DB1353">
        <v>4.5199999999999996</v>
      </c>
      <c r="DC1353">
        <v>4.03</v>
      </c>
      <c r="DD1353">
        <v>4.6399999999999997</v>
      </c>
      <c r="DE1353">
        <v>4405</v>
      </c>
      <c r="DF1353">
        <v>2920</v>
      </c>
      <c r="DG1353" t="s">
        <v>116</v>
      </c>
      <c r="DH1353" t="s">
        <v>116</v>
      </c>
      <c r="DI1353" t="s">
        <v>116</v>
      </c>
    </row>
    <row r="1354" spans="1:113" x14ac:dyDescent="0.4">
      <c r="A1354" t="str">
        <f>"002921"</f>
        <v>002921</v>
      </c>
      <c r="B1354" t="s">
        <v>7399</v>
      </c>
      <c r="C1354">
        <v>-0.93</v>
      </c>
      <c r="D1354">
        <v>18.190000000000001</v>
      </c>
      <c r="E1354">
        <v>-0.17</v>
      </c>
      <c r="F1354">
        <v>18.190000000000001</v>
      </c>
      <c r="G1354">
        <v>18.2</v>
      </c>
      <c r="H1354">
        <v>7960</v>
      </c>
      <c r="I1354">
        <v>92</v>
      </c>
      <c r="J1354">
        <v>-0.04</v>
      </c>
      <c r="K1354">
        <v>1.65</v>
      </c>
      <c r="L1354">
        <v>18.41</v>
      </c>
      <c r="M1354">
        <v>18.440000000000001</v>
      </c>
      <c r="N1354">
        <v>18.11</v>
      </c>
      <c r="O1354">
        <v>18.36</v>
      </c>
      <c r="P1354">
        <v>32.32</v>
      </c>
      <c r="Q1354">
        <v>14557510</v>
      </c>
      <c r="R1354">
        <v>1.04</v>
      </c>
      <c r="S1354" t="s">
        <v>293</v>
      </c>
      <c r="T1354" t="s">
        <v>645</v>
      </c>
      <c r="U1354">
        <v>1.8</v>
      </c>
      <c r="V1354">
        <v>18.29</v>
      </c>
      <c r="W1354">
        <v>4468</v>
      </c>
      <c r="X1354">
        <v>3492</v>
      </c>
      <c r="Y1354">
        <v>1.28</v>
      </c>
      <c r="Z1354">
        <v>82</v>
      </c>
      <c r="AA1354">
        <v>92</v>
      </c>
      <c r="AB1354" t="s">
        <v>116</v>
      </c>
      <c r="AC1354">
        <v>3700</v>
      </c>
      <c r="AD1354">
        <v>0</v>
      </c>
      <c r="AE1354" t="s">
        <v>116</v>
      </c>
      <c r="AF1354" t="s">
        <v>116</v>
      </c>
      <c r="AG1354">
        <v>0.48</v>
      </c>
      <c r="AH1354" t="s">
        <v>7400</v>
      </c>
      <c r="AI1354" t="s">
        <v>7401</v>
      </c>
      <c r="AJ1354">
        <v>-0.25</v>
      </c>
      <c r="AK1354">
        <v>728</v>
      </c>
      <c r="AL1354">
        <v>11</v>
      </c>
      <c r="AM1354">
        <v>2.3E-3</v>
      </c>
      <c r="AN1354">
        <v>-1</v>
      </c>
      <c r="AO1354">
        <v>0.38</v>
      </c>
      <c r="AP1354">
        <v>7</v>
      </c>
      <c r="AQ1354">
        <v>-1.52</v>
      </c>
      <c r="AR1354">
        <v>-29.19</v>
      </c>
      <c r="AS1354">
        <v>2.29</v>
      </c>
      <c r="AT1354" t="s">
        <v>7393</v>
      </c>
      <c r="AU1354">
        <v>37.049999999999997</v>
      </c>
      <c r="AV1354">
        <v>32.369999999999997</v>
      </c>
      <c r="AW1354">
        <v>1.03</v>
      </c>
      <c r="BA1354">
        <v>0.27</v>
      </c>
      <c r="BB1354">
        <v>0.44</v>
      </c>
      <c r="BC1354">
        <v>-1.36</v>
      </c>
      <c r="BD1354">
        <v>-0.39</v>
      </c>
      <c r="BE1354">
        <v>-1.19</v>
      </c>
      <c r="BF1354">
        <v>-1.36</v>
      </c>
      <c r="BG1354">
        <v>0.44</v>
      </c>
      <c r="BH1354">
        <v>-0.54</v>
      </c>
      <c r="BI1354">
        <v>20191026</v>
      </c>
      <c r="BJ1354">
        <v>20171227</v>
      </c>
      <c r="BK1354">
        <v>0.8</v>
      </c>
      <c r="BL1354" t="s">
        <v>116</v>
      </c>
      <c r="BM1354" t="s">
        <v>116</v>
      </c>
      <c r="BN1354">
        <v>11.65</v>
      </c>
      <c r="BO1354">
        <v>6.77</v>
      </c>
      <c r="BP1354">
        <v>0.01</v>
      </c>
      <c r="BQ1354">
        <v>41.82</v>
      </c>
      <c r="BR1354">
        <v>5.44</v>
      </c>
      <c r="BS1354">
        <v>4.4000000000000004</v>
      </c>
      <c r="BT1354">
        <v>0.7</v>
      </c>
      <c r="BU1354">
        <v>3.8</v>
      </c>
      <c r="BV1354">
        <v>2.41</v>
      </c>
      <c r="BW1354">
        <v>1.5</v>
      </c>
      <c r="BX1354">
        <v>4.2</v>
      </c>
      <c r="BY1354">
        <v>5.35</v>
      </c>
      <c r="BZ1354">
        <v>4.05</v>
      </c>
      <c r="CA1354">
        <v>0.38</v>
      </c>
      <c r="CB1354">
        <v>0</v>
      </c>
      <c r="CC1354">
        <v>0.38</v>
      </c>
      <c r="CD1354">
        <v>0.33</v>
      </c>
      <c r="CE1354">
        <v>0.34</v>
      </c>
      <c r="CF1354">
        <v>0.26</v>
      </c>
      <c r="CG1354">
        <v>1.81</v>
      </c>
      <c r="CH1354">
        <v>0.15</v>
      </c>
      <c r="CI1354">
        <v>0.01</v>
      </c>
      <c r="CJ1354">
        <v>11518</v>
      </c>
      <c r="CK1354">
        <v>3023</v>
      </c>
      <c r="CL1354" t="s">
        <v>1424</v>
      </c>
      <c r="CM1354">
        <v>-14.41</v>
      </c>
      <c r="CN1354">
        <v>9.1999999999999993</v>
      </c>
      <c r="CO1354">
        <v>2.15</v>
      </c>
      <c r="CP1354">
        <v>97.89</v>
      </c>
      <c r="CQ1354">
        <v>2.72</v>
      </c>
      <c r="CR1354">
        <v>0.82</v>
      </c>
      <c r="CS1354" t="s">
        <v>2722</v>
      </c>
      <c r="CT1354">
        <v>8.4600000000000009</v>
      </c>
      <c r="CU1354">
        <v>0</v>
      </c>
      <c r="CV1354">
        <v>5.25</v>
      </c>
      <c r="CW1354">
        <v>2.2599999999999998</v>
      </c>
      <c r="CX1354">
        <v>0.19</v>
      </c>
      <c r="CY1354">
        <v>58.13</v>
      </c>
      <c r="CZ1354" t="s">
        <v>5287</v>
      </c>
      <c r="DA1354">
        <v>24.29</v>
      </c>
      <c r="DB1354">
        <v>7.09</v>
      </c>
      <c r="DC1354">
        <v>6.31</v>
      </c>
      <c r="DD1354">
        <v>0.15</v>
      </c>
      <c r="DE1354">
        <v>1799</v>
      </c>
      <c r="DF1354">
        <v>2921</v>
      </c>
      <c r="DG1354" t="s">
        <v>116</v>
      </c>
      <c r="DH1354" t="s">
        <v>116</v>
      </c>
      <c r="DI1354" t="s">
        <v>116</v>
      </c>
    </row>
    <row r="1355" spans="1:113" x14ac:dyDescent="0.4">
      <c r="A1355" t="str">
        <f>"002922"</f>
        <v>002922</v>
      </c>
      <c r="B1355" t="s">
        <v>7402</v>
      </c>
      <c r="C1355">
        <v>-1.1200000000000001</v>
      </c>
      <c r="D1355">
        <v>15.01</v>
      </c>
      <c r="E1355">
        <v>-0.17</v>
      </c>
      <c r="F1355">
        <v>15.01</v>
      </c>
      <c r="G1355">
        <v>15.03</v>
      </c>
      <c r="H1355">
        <v>17447</v>
      </c>
      <c r="I1355">
        <v>128</v>
      </c>
      <c r="J1355">
        <v>-0.12</v>
      </c>
      <c r="K1355">
        <v>3.01</v>
      </c>
      <c r="L1355">
        <v>15.22</v>
      </c>
      <c r="M1355">
        <v>15.26</v>
      </c>
      <c r="N1355">
        <v>15</v>
      </c>
      <c r="O1355">
        <v>15.18</v>
      </c>
      <c r="P1355">
        <v>43.83</v>
      </c>
      <c r="Q1355">
        <v>26399222</v>
      </c>
      <c r="R1355">
        <v>1.1000000000000001</v>
      </c>
      <c r="S1355" t="s">
        <v>397</v>
      </c>
      <c r="T1355" t="s">
        <v>551</v>
      </c>
      <c r="U1355">
        <v>1.71</v>
      </c>
      <c r="V1355">
        <v>15.13</v>
      </c>
      <c r="W1355">
        <v>9152</v>
      </c>
      <c r="X1355">
        <v>8295</v>
      </c>
      <c r="Y1355">
        <v>1.1000000000000001</v>
      </c>
      <c r="Z1355">
        <v>6</v>
      </c>
      <c r="AA1355">
        <v>108</v>
      </c>
      <c r="AB1355" t="s">
        <v>116</v>
      </c>
      <c r="AC1355">
        <v>74800</v>
      </c>
      <c r="AD1355">
        <v>0.01</v>
      </c>
      <c r="AE1355" t="s">
        <v>116</v>
      </c>
      <c r="AF1355" t="s">
        <v>116</v>
      </c>
      <c r="AG1355">
        <v>0.57999999999999996</v>
      </c>
      <c r="AH1355" t="s">
        <v>7403</v>
      </c>
      <c r="AI1355" t="s">
        <v>7404</v>
      </c>
      <c r="AJ1355">
        <v>-0.44</v>
      </c>
      <c r="AK1355">
        <v>1764</v>
      </c>
      <c r="AL1355">
        <v>10</v>
      </c>
      <c r="AM1355">
        <v>1.6999999999999999E-3</v>
      </c>
      <c r="AN1355">
        <v>-1</v>
      </c>
      <c r="AO1355">
        <v>0.88</v>
      </c>
      <c r="AP1355">
        <v>5.7</v>
      </c>
      <c r="AQ1355">
        <v>-5.0599999999999996</v>
      </c>
      <c r="AR1355">
        <v>-12.68</v>
      </c>
      <c r="AS1355">
        <v>5.1100000000000003</v>
      </c>
      <c r="AT1355" t="s">
        <v>7405</v>
      </c>
      <c r="AU1355">
        <v>47.78</v>
      </c>
      <c r="AV1355">
        <v>48.78</v>
      </c>
      <c r="AW1355">
        <v>1.77</v>
      </c>
      <c r="BA1355">
        <v>0.26</v>
      </c>
      <c r="BB1355">
        <v>0.53</v>
      </c>
      <c r="BC1355">
        <v>-1.19</v>
      </c>
      <c r="BD1355">
        <v>-0.32</v>
      </c>
      <c r="BE1355">
        <v>-1.38</v>
      </c>
      <c r="BF1355">
        <v>-1.64</v>
      </c>
      <c r="BG1355">
        <v>7.0000000000000007E-2</v>
      </c>
      <c r="BH1355">
        <v>-0.8</v>
      </c>
      <c r="BI1355">
        <v>20191219</v>
      </c>
      <c r="BJ1355">
        <v>20171229</v>
      </c>
      <c r="BK1355">
        <v>1.35</v>
      </c>
      <c r="BL1355" t="s">
        <v>116</v>
      </c>
      <c r="BM1355" t="s">
        <v>116</v>
      </c>
      <c r="BN1355">
        <v>13.79</v>
      </c>
      <c r="BO1355">
        <v>9.1300000000000008</v>
      </c>
      <c r="BP1355">
        <v>0.02</v>
      </c>
      <c r="BQ1355">
        <v>33.64</v>
      </c>
      <c r="BR1355">
        <v>7.92</v>
      </c>
      <c r="BS1355">
        <v>4.3</v>
      </c>
      <c r="BT1355">
        <v>0.59</v>
      </c>
      <c r="BU1355">
        <v>4.51</v>
      </c>
      <c r="BV1355">
        <v>1.81</v>
      </c>
      <c r="BW1355">
        <v>2.3199999999999998</v>
      </c>
      <c r="BX1355">
        <v>5.08</v>
      </c>
      <c r="BY1355">
        <v>9.0399999999999991</v>
      </c>
      <c r="BZ1355">
        <v>6.97</v>
      </c>
      <c r="CA1355">
        <v>0.43</v>
      </c>
      <c r="CB1355">
        <v>0.06</v>
      </c>
      <c r="CC1355">
        <v>0.42</v>
      </c>
      <c r="CD1355">
        <v>0.34</v>
      </c>
      <c r="CE1355">
        <v>0.35</v>
      </c>
      <c r="CF1355">
        <v>0.25</v>
      </c>
      <c r="CG1355">
        <v>2.0699999999999998</v>
      </c>
      <c r="CH1355">
        <v>0.55000000000000004</v>
      </c>
      <c r="CI1355">
        <v>-0.51</v>
      </c>
      <c r="CJ1355">
        <v>16435</v>
      </c>
      <c r="CK1355">
        <v>2076</v>
      </c>
      <c r="CL1355" t="s">
        <v>7406</v>
      </c>
      <c r="CM1355">
        <v>2.58</v>
      </c>
      <c r="CN1355">
        <v>13.86</v>
      </c>
      <c r="CO1355">
        <v>2.21</v>
      </c>
      <c r="CP1355">
        <v>36.82</v>
      </c>
      <c r="CQ1355">
        <v>2.2400000000000002</v>
      </c>
      <c r="CR1355">
        <v>0.98</v>
      </c>
      <c r="CS1355" t="s">
        <v>4342</v>
      </c>
      <c r="CT1355">
        <v>6.79</v>
      </c>
      <c r="CU1355">
        <v>6.79</v>
      </c>
      <c r="CV1355">
        <v>3.76</v>
      </c>
      <c r="CW1355">
        <v>1.53</v>
      </c>
      <c r="CX1355">
        <v>0.41</v>
      </c>
      <c r="CY1355">
        <v>66.23</v>
      </c>
      <c r="CZ1355" t="s">
        <v>4405</v>
      </c>
      <c r="DA1355">
        <v>22.95</v>
      </c>
      <c r="DB1355">
        <v>4.8099999999999996</v>
      </c>
      <c r="DC1355">
        <v>3.84</v>
      </c>
      <c r="DD1355">
        <v>0.48</v>
      </c>
      <c r="DE1355">
        <v>2461</v>
      </c>
      <c r="DF1355">
        <v>2922</v>
      </c>
      <c r="DG1355" t="s">
        <v>116</v>
      </c>
      <c r="DH1355" t="s">
        <v>116</v>
      </c>
      <c r="DI1355" t="s">
        <v>116</v>
      </c>
    </row>
    <row r="1356" spans="1:113" x14ac:dyDescent="0.4">
      <c r="A1356" t="str">
        <f>"002923"</f>
        <v>002923</v>
      </c>
      <c r="B1356" t="s">
        <v>7407</v>
      </c>
      <c r="C1356">
        <v>-0.3</v>
      </c>
      <c r="D1356">
        <v>16.87</v>
      </c>
      <c r="E1356">
        <v>-0.05</v>
      </c>
      <c r="F1356">
        <v>16.87</v>
      </c>
      <c r="G1356">
        <v>16.88</v>
      </c>
      <c r="H1356">
        <v>11451</v>
      </c>
      <c r="I1356">
        <v>195</v>
      </c>
      <c r="J1356">
        <v>0.06</v>
      </c>
      <c r="K1356">
        <v>1.91</v>
      </c>
      <c r="L1356">
        <v>16.920000000000002</v>
      </c>
      <c r="M1356">
        <v>17.09</v>
      </c>
      <c r="N1356">
        <v>16.809999999999999</v>
      </c>
      <c r="O1356">
        <v>16.920000000000002</v>
      </c>
      <c r="P1356">
        <v>23.8</v>
      </c>
      <c r="Q1356">
        <v>19402912</v>
      </c>
      <c r="R1356">
        <v>0.92</v>
      </c>
      <c r="S1356" t="s">
        <v>574</v>
      </c>
      <c r="T1356" t="s">
        <v>551</v>
      </c>
      <c r="U1356">
        <v>1.65</v>
      </c>
      <c r="V1356">
        <v>16.940000000000001</v>
      </c>
      <c r="W1356">
        <v>6836</v>
      </c>
      <c r="X1356">
        <v>4615</v>
      </c>
      <c r="Y1356">
        <v>1.48</v>
      </c>
      <c r="Z1356">
        <v>4</v>
      </c>
      <c r="AA1356">
        <v>46</v>
      </c>
      <c r="AB1356" t="s">
        <v>116</v>
      </c>
      <c r="AC1356">
        <v>35500</v>
      </c>
      <c r="AD1356">
        <v>0</v>
      </c>
      <c r="AE1356" t="s">
        <v>116</v>
      </c>
      <c r="AF1356" t="s">
        <v>116</v>
      </c>
      <c r="AG1356">
        <v>0.6</v>
      </c>
      <c r="AH1356" t="s">
        <v>7408</v>
      </c>
      <c r="AI1356" t="s">
        <v>7409</v>
      </c>
      <c r="AJ1356">
        <v>0.38</v>
      </c>
      <c r="AK1356">
        <v>993</v>
      </c>
      <c r="AL1356">
        <v>12</v>
      </c>
      <c r="AM1356">
        <v>1.9E-3</v>
      </c>
      <c r="AN1356">
        <v>-1</v>
      </c>
      <c r="AO1356">
        <v>0.71</v>
      </c>
      <c r="AP1356">
        <v>3.5</v>
      </c>
      <c r="AQ1356">
        <v>-5.91</v>
      </c>
      <c r="AR1356">
        <v>10.41</v>
      </c>
      <c r="AS1356">
        <v>1.91</v>
      </c>
      <c r="AT1356" t="s">
        <v>7408</v>
      </c>
      <c r="AU1356">
        <v>25.11</v>
      </c>
      <c r="AV1356">
        <v>29.28</v>
      </c>
      <c r="AW1356">
        <v>1.1200000000000001</v>
      </c>
      <c r="BA1356">
        <v>0</v>
      </c>
      <c r="BB1356">
        <v>1</v>
      </c>
      <c r="BC1356">
        <v>-0.65</v>
      </c>
      <c r="BD1356">
        <v>0.15</v>
      </c>
      <c r="BE1356">
        <v>-0.3</v>
      </c>
      <c r="BF1356">
        <v>-1.29</v>
      </c>
      <c r="BG1356">
        <v>0.36</v>
      </c>
      <c r="BH1356">
        <v>-0.44</v>
      </c>
      <c r="BI1356">
        <v>20191023</v>
      </c>
      <c r="BJ1356">
        <v>20180105</v>
      </c>
      <c r="BK1356">
        <v>1.85</v>
      </c>
      <c r="BL1356" t="s">
        <v>116</v>
      </c>
      <c r="BM1356" t="s">
        <v>116</v>
      </c>
      <c r="BN1356">
        <v>13.15</v>
      </c>
      <c r="BO1356">
        <v>9.1199999999999992</v>
      </c>
      <c r="BP1356">
        <v>0</v>
      </c>
      <c r="BQ1356">
        <v>30.65</v>
      </c>
      <c r="BR1356">
        <v>7.95</v>
      </c>
      <c r="BS1356">
        <v>3.03</v>
      </c>
      <c r="BT1356">
        <v>0.5</v>
      </c>
      <c r="BU1356">
        <v>3.07</v>
      </c>
      <c r="BV1356">
        <v>2.25</v>
      </c>
      <c r="BW1356">
        <v>1.28</v>
      </c>
      <c r="BX1356">
        <v>3.23</v>
      </c>
      <c r="BY1356">
        <v>10.19</v>
      </c>
      <c r="BZ1356">
        <v>2.79</v>
      </c>
      <c r="CA1356">
        <v>1.1399999999999999</v>
      </c>
      <c r="CB1356">
        <v>7.0000000000000007E-2</v>
      </c>
      <c r="CC1356">
        <v>1.1399999999999999</v>
      </c>
      <c r="CD1356">
        <v>0.99</v>
      </c>
      <c r="CE1356">
        <v>0.99</v>
      </c>
      <c r="CF1356">
        <v>0.81</v>
      </c>
      <c r="CG1356">
        <v>3.97</v>
      </c>
      <c r="CH1356">
        <v>1.57</v>
      </c>
      <c r="CI1356">
        <v>0.65</v>
      </c>
      <c r="CJ1356">
        <v>19327</v>
      </c>
      <c r="CK1356">
        <v>3105</v>
      </c>
      <c r="CL1356" t="s">
        <v>1629</v>
      </c>
      <c r="CM1356">
        <v>21.92</v>
      </c>
      <c r="CN1356">
        <v>35.78</v>
      </c>
      <c r="CO1356">
        <v>3.43</v>
      </c>
      <c r="CP1356">
        <v>19.88</v>
      </c>
      <c r="CQ1356">
        <v>3.07</v>
      </c>
      <c r="CR1356">
        <v>2.37</v>
      </c>
      <c r="CS1356" t="s">
        <v>7410</v>
      </c>
      <c r="CT1356">
        <v>4.92</v>
      </c>
      <c r="CU1356">
        <v>0</v>
      </c>
      <c r="CV1356">
        <v>1.74</v>
      </c>
      <c r="CW1356">
        <v>2.14</v>
      </c>
      <c r="CX1356">
        <v>0.85</v>
      </c>
      <c r="CY1356">
        <v>69.349999999999994</v>
      </c>
      <c r="CZ1356" t="s">
        <v>7411</v>
      </c>
      <c r="DA1356">
        <v>72.58</v>
      </c>
      <c r="DB1356">
        <v>11.23</v>
      </c>
      <c r="DC1356">
        <v>9.67</v>
      </c>
      <c r="DD1356">
        <v>0.81</v>
      </c>
      <c r="DE1356">
        <v>1152</v>
      </c>
      <c r="DF1356">
        <v>2923</v>
      </c>
      <c r="DG1356" t="s">
        <v>116</v>
      </c>
      <c r="DH1356" t="s">
        <v>116</v>
      </c>
      <c r="DI1356" t="s">
        <v>116</v>
      </c>
    </row>
    <row r="1357" spans="1:113" x14ac:dyDescent="0.4">
      <c r="A1357" t="str">
        <f>"002925"</f>
        <v>002925</v>
      </c>
      <c r="B1357" t="s">
        <v>7412</v>
      </c>
      <c r="C1357">
        <v>-3.54</v>
      </c>
      <c r="D1357">
        <v>42.49</v>
      </c>
      <c r="E1357">
        <v>-1.56</v>
      </c>
      <c r="F1357">
        <v>42.48</v>
      </c>
      <c r="G1357">
        <v>42.49</v>
      </c>
      <c r="H1357">
        <v>35285</v>
      </c>
      <c r="I1357">
        <v>244</v>
      </c>
      <c r="J1357">
        <v>0</v>
      </c>
      <c r="K1357">
        <v>2.13</v>
      </c>
      <c r="L1357">
        <v>44.2</v>
      </c>
      <c r="M1357">
        <v>44.28</v>
      </c>
      <c r="N1357">
        <v>42.38</v>
      </c>
      <c r="O1357">
        <v>44.05</v>
      </c>
      <c r="P1357">
        <v>22.46</v>
      </c>
      <c r="Q1357">
        <v>152598416</v>
      </c>
      <c r="R1357">
        <v>1.4</v>
      </c>
      <c r="S1357" t="s">
        <v>233</v>
      </c>
      <c r="T1357" t="s">
        <v>975</v>
      </c>
      <c r="U1357">
        <v>4.3099999999999996</v>
      </c>
      <c r="V1357">
        <v>43.25</v>
      </c>
      <c r="W1357">
        <v>22779</v>
      </c>
      <c r="X1357">
        <v>12506</v>
      </c>
      <c r="Y1357">
        <v>1.82</v>
      </c>
      <c r="Z1357">
        <v>516</v>
      </c>
      <c r="AA1357">
        <v>123</v>
      </c>
      <c r="AB1357" t="s">
        <v>116</v>
      </c>
      <c r="AC1357">
        <v>411100</v>
      </c>
      <c r="AD1357">
        <v>0.01</v>
      </c>
      <c r="AE1357" t="s">
        <v>116</v>
      </c>
      <c r="AF1357" t="s">
        <v>116</v>
      </c>
      <c r="AG1357">
        <v>1.66</v>
      </c>
      <c r="AH1357" t="s">
        <v>7413</v>
      </c>
      <c r="AI1357" t="s">
        <v>7414</v>
      </c>
      <c r="AJ1357">
        <v>-2.86</v>
      </c>
      <c r="AK1357">
        <v>2673</v>
      </c>
      <c r="AL1357">
        <v>13</v>
      </c>
      <c r="AM1357">
        <v>8.0000000000000004E-4</v>
      </c>
      <c r="AN1357">
        <v>-2</v>
      </c>
      <c r="AO1357">
        <v>-4.0599999999999996</v>
      </c>
      <c r="AP1357">
        <v>-0.91</v>
      </c>
      <c r="AQ1357">
        <v>7.54</v>
      </c>
      <c r="AR1357">
        <v>-0.91</v>
      </c>
      <c r="AS1357">
        <v>2.94</v>
      </c>
      <c r="AT1357" t="s">
        <v>7415</v>
      </c>
      <c r="AU1357">
        <v>22.69</v>
      </c>
      <c r="AV1357">
        <v>23.92</v>
      </c>
      <c r="AW1357">
        <v>0.88</v>
      </c>
      <c r="BA1357">
        <v>0.34</v>
      </c>
      <c r="BB1357">
        <v>0.52</v>
      </c>
      <c r="BC1357">
        <v>-3.79</v>
      </c>
      <c r="BD1357">
        <v>-1.82</v>
      </c>
      <c r="BE1357">
        <v>-3.87</v>
      </c>
      <c r="BF1357">
        <v>-4.04</v>
      </c>
      <c r="BG1357">
        <v>0.26</v>
      </c>
      <c r="BH1357">
        <v>-1.72</v>
      </c>
      <c r="BI1357">
        <v>20191226</v>
      </c>
      <c r="BJ1357">
        <v>20180115</v>
      </c>
      <c r="BK1357">
        <v>4.58</v>
      </c>
      <c r="BL1357" t="s">
        <v>116</v>
      </c>
      <c r="BM1357" t="s">
        <v>116</v>
      </c>
      <c r="BN1357">
        <v>50.11</v>
      </c>
      <c r="BO1357">
        <v>38.270000000000003</v>
      </c>
      <c r="BP1357">
        <v>0.38</v>
      </c>
      <c r="BQ1357">
        <v>22.87</v>
      </c>
      <c r="BR1357">
        <v>37.89</v>
      </c>
      <c r="BS1357">
        <v>3.6</v>
      </c>
      <c r="BT1357">
        <v>0.66</v>
      </c>
      <c r="BU1357">
        <v>10.49</v>
      </c>
      <c r="BV1357">
        <v>5.64</v>
      </c>
      <c r="BW1357">
        <v>12.01</v>
      </c>
      <c r="BX1357">
        <v>17.100000000000001</v>
      </c>
      <c r="BY1357">
        <v>26.02</v>
      </c>
      <c r="BZ1357">
        <v>15.94</v>
      </c>
      <c r="CA1357">
        <v>7.6</v>
      </c>
      <c r="CB1357">
        <v>0.31</v>
      </c>
      <c r="CC1357">
        <v>7.61</v>
      </c>
      <c r="CD1357">
        <v>6.53</v>
      </c>
      <c r="CE1357">
        <v>6.5</v>
      </c>
      <c r="CF1357">
        <v>6.11</v>
      </c>
      <c r="CG1357">
        <v>15.73</v>
      </c>
      <c r="CH1357">
        <v>1.53</v>
      </c>
      <c r="CI1357">
        <v>-3.06</v>
      </c>
      <c r="CJ1357">
        <v>27624</v>
      </c>
      <c r="CK1357">
        <v>4340</v>
      </c>
      <c r="CL1357" t="s">
        <v>7416</v>
      </c>
      <c r="CM1357">
        <v>7.31</v>
      </c>
      <c r="CN1357">
        <v>29.02</v>
      </c>
      <c r="CO1357">
        <v>5.09</v>
      </c>
      <c r="CP1357">
        <v>126.97</v>
      </c>
      <c r="CQ1357">
        <v>7.48</v>
      </c>
      <c r="CR1357">
        <v>2.36</v>
      </c>
      <c r="CS1357" t="s">
        <v>7417</v>
      </c>
      <c r="CT1357">
        <v>8.35</v>
      </c>
      <c r="CU1357">
        <v>0</v>
      </c>
      <c r="CV1357">
        <v>3.73</v>
      </c>
      <c r="CW1357">
        <v>3.43</v>
      </c>
      <c r="CX1357">
        <v>0.33</v>
      </c>
      <c r="CY1357">
        <v>76.36</v>
      </c>
      <c r="CZ1357" t="s">
        <v>7418</v>
      </c>
      <c r="DA1357">
        <v>38.71</v>
      </c>
      <c r="DB1357">
        <v>29.23</v>
      </c>
      <c r="DC1357">
        <v>24.98</v>
      </c>
      <c r="DD1357">
        <v>1.68</v>
      </c>
      <c r="DE1357">
        <v>3602</v>
      </c>
      <c r="DF1357">
        <v>2925</v>
      </c>
      <c r="DG1357" t="s">
        <v>116</v>
      </c>
      <c r="DH1357" t="s">
        <v>116</v>
      </c>
      <c r="DI1357" t="s">
        <v>116</v>
      </c>
    </row>
    <row r="1358" spans="1:113" x14ac:dyDescent="0.4">
      <c r="A1358" t="str">
        <f>"002926"</f>
        <v>002926</v>
      </c>
      <c r="B1358" t="s">
        <v>7419</v>
      </c>
      <c r="C1358">
        <v>-3.69</v>
      </c>
      <c r="D1358">
        <v>10.43</v>
      </c>
      <c r="E1358">
        <v>-0.4</v>
      </c>
      <c r="F1358">
        <v>10.42</v>
      </c>
      <c r="G1358">
        <v>10.43</v>
      </c>
      <c r="H1358">
        <v>721528</v>
      </c>
      <c r="I1358">
        <v>10138</v>
      </c>
      <c r="J1358">
        <v>-0.28000000000000003</v>
      </c>
      <c r="K1358">
        <v>4.0599999999999996</v>
      </c>
      <c r="L1358">
        <v>10.79</v>
      </c>
      <c r="M1358">
        <v>10.95</v>
      </c>
      <c r="N1358">
        <v>10.43</v>
      </c>
      <c r="O1358">
        <v>10.83</v>
      </c>
      <c r="P1358">
        <v>18.34</v>
      </c>
      <c r="Q1358">
        <v>774950784</v>
      </c>
      <c r="R1358">
        <v>1.44</v>
      </c>
      <c r="S1358" t="s">
        <v>623</v>
      </c>
      <c r="T1358" t="s">
        <v>582</v>
      </c>
      <c r="U1358">
        <v>4.8</v>
      </c>
      <c r="V1358">
        <v>10.74</v>
      </c>
      <c r="W1358">
        <v>405152</v>
      </c>
      <c r="X1358">
        <v>316376</v>
      </c>
      <c r="Y1358">
        <v>1.28</v>
      </c>
      <c r="Z1358">
        <v>2718</v>
      </c>
      <c r="AA1358">
        <v>5734</v>
      </c>
      <c r="AB1358" t="s">
        <v>116</v>
      </c>
      <c r="AC1358">
        <v>5785600</v>
      </c>
      <c r="AD1358">
        <v>0.04</v>
      </c>
      <c r="AE1358" t="s">
        <v>116</v>
      </c>
      <c r="AF1358" t="s">
        <v>116</v>
      </c>
      <c r="AG1358">
        <v>17.78</v>
      </c>
      <c r="AH1358" t="s">
        <v>7420</v>
      </c>
      <c r="AI1358" t="s">
        <v>7421</v>
      </c>
      <c r="AJ1358">
        <v>-3.01</v>
      </c>
      <c r="AK1358">
        <v>4243</v>
      </c>
      <c r="AL1358">
        <v>170</v>
      </c>
      <c r="AM1358">
        <v>1E-3</v>
      </c>
      <c r="AN1358">
        <v>-1</v>
      </c>
      <c r="AO1358">
        <v>-0.47</v>
      </c>
      <c r="AP1358">
        <v>10.37</v>
      </c>
      <c r="AQ1358">
        <v>4.2</v>
      </c>
      <c r="AR1358">
        <v>25.75</v>
      </c>
      <c r="AS1358">
        <v>5.54</v>
      </c>
      <c r="AT1358" t="s">
        <v>7422</v>
      </c>
      <c r="AU1358">
        <v>23.55</v>
      </c>
      <c r="AV1358">
        <v>32.4</v>
      </c>
      <c r="AW1358">
        <v>1.41</v>
      </c>
      <c r="BA1358">
        <v>-0.37</v>
      </c>
      <c r="BB1358">
        <v>1.1100000000000001</v>
      </c>
      <c r="BC1358">
        <v>-3.69</v>
      </c>
      <c r="BD1358">
        <v>-0.83</v>
      </c>
      <c r="BE1358">
        <v>-3.34</v>
      </c>
      <c r="BF1358">
        <v>-4.75</v>
      </c>
      <c r="BG1358">
        <v>0</v>
      </c>
      <c r="BH1358">
        <v>-2.87</v>
      </c>
      <c r="BI1358">
        <v>20191024</v>
      </c>
      <c r="BJ1358">
        <v>20180205</v>
      </c>
      <c r="BK1358">
        <v>26.25</v>
      </c>
      <c r="BL1358" t="s">
        <v>116</v>
      </c>
      <c r="BM1358" t="s">
        <v>116</v>
      </c>
      <c r="BN1358">
        <v>639.96</v>
      </c>
      <c r="BO1358">
        <v>193.66</v>
      </c>
      <c r="BP1358">
        <v>0.47</v>
      </c>
      <c r="BQ1358">
        <v>69.67</v>
      </c>
      <c r="BR1358">
        <v>0</v>
      </c>
      <c r="BS1358">
        <v>6.03</v>
      </c>
      <c r="BT1358">
        <v>0.47</v>
      </c>
      <c r="BU1358">
        <v>0</v>
      </c>
      <c r="BV1358">
        <v>0</v>
      </c>
      <c r="BW1358">
        <v>0</v>
      </c>
      <c r="BX1358">
        <v>81.14</v>
      </c>
      <c r="BY1358">
        <v>27.99</v>
      </c>
      <c r="BZ1358">
        <v>0</v>
      </c>
      <c r="CA1358">
        <v>14.51</v>
      </c>
      <c r="CB1358">
        <v>6.05</v>
      </c>
      <c r="CC1358">
        <v>14.55</v>
      </c>
      <c r="CD1358">
        <v>11.22</v>
      </c>
      <c r="CE1358">
        <v>11.19</v>
      </c>
      <c r="CF1358">
        <v>11.14</v>
      </c>
      <c r="CG1358">
        <v>54.72</v>
      </c>
      <c r="CH1358">
        <v>13.96</v>
      </c>
      <c r="CI1358">
        <v>34.39</v>
      </c>
      <c r="CJ1358">
        <v>152984</v>
      </c>
      <c r="CK1358">
        <v>8511</v>
      </c>
      <c r="CL1358" t="s">
        <v>3979</v>
      </c>
      <c r="CM1358">
        <v>39.57</v>
      </c>
      <c r="CN1358">
        <v>38.74</v>
      </c>
      <c r="CO1358">
        <v>1.41</v>
      </c>
      <c r="CP1358">
        <v>19.62</v>
      </c>
      <c r="CQ1358">
        <v>9.7799999999999994</v>
      </c>
      <c r="CR1358">
        <v>0.73</v>
      </c>
      <c r="CS1358" t="s">
        <v>7423</v>
      </c>
      <c r="CT1358">
        <v>7.38</v>
      </c>
      <c r="CU1358">
        <v>0</v>
      </c>
      <c r="CV1358">
        <v>3.09</v>
      </c>
      <c r="CW1358">
        <v>2.08</v>
      </c>
      <c r="CX1358">
        <v>0.53</v>
      </c>
      <c r="CY1358">
        <v>30.26</v>
      </c>
      <c r="CZ1358" t="s">
        <v>7424</v>
      </c>
      <c r="DA1358" t="s">
        <v>116</v>
      </c>
      <c r="DB1358">
        <v>51.85</v>
      </c>
      <c r="DC1358">
        <v>40</v>
      </c>
      <c r="DD1358">
        <v>0</v>
      </c>
      <c r="DE1358">
        <v>3164</v>
      </c>
      <c r="DF1358">
        <v>2926</v>
      </c>
      <c r="DG1358" t="s">
        <v>116</v>
      </c>
      <c r="DH1358" t="s">
        <v>116</v>
      </c>
      <c r="DI1358" t="s">
        <v>116</v>
      </c>
    </row>
    <row r="1359" spans="1:113" x14ac:dyDescent="0.4">
      <c r="A1359" t="str">
        <f>"002927"</f>
        <v>002927</v>
      </c>
      <c r="B1359" t="s">
        <v>7425</v>
      </c>
      <c r="C1359">
        <v>-3.12</v>
      </c>
      <c r="D1359">
        <v>19.899999999999999</v>
      </c>
      <c r="E1359">
        <v>-0.64</v>
      </c>
      <c r="F1359">
        <v>19.899999999999999</v>
      </c>
      <c r="G1359">
        <v>19.91</v>
      </c>
      <c r="H1359">
        <v>36084</v>
      </c>
      <c r="I1359">
        <v>552</v>
      </c>
      <c r="J1359">
        <v>-0.14000000000000001</v>
      </c>
      <c r="K1359">
        <v>5.0199999999999996</v>
      </c>
      <c r="L1359">
        <v>20.56</v>
      </c>
      <c r="M1359">
        <v>20.63</v>
      </c>
      <c r="N1359">
        <v>19.809999999999999</v>
      </c>
      <c r="O1359">
        <v>20.54</v>
      </c>
      <c r="P1359">
        <v>49.46</v>
      </c>
      <c r="Q1359">
        <v>72890592</v>
      </c>
      <c r="R1359">
        <v>1.08</v>
      </c>
      <c r="S1359" t="s">
        <v>397</v>
      </c>
      <c r="T1359" t="s">
        <v>1056</v>
      </c>
      <c r="U1359">
        <v>3.99</v>
      </c>
      <c r="V1359">
        <v>20.2</v>
      </c>
      <c r="W1359">
        <v>21441</v>
      </c>
      <c r="X1359">
        <v>14643</v>
      </c>
      <c r="Y1359">
        <v>1.46</v>
      </c>
      <c r="Z1359">
        <v>144</v>
      </c>
      <c r="AA1359">
        <v>232</v>
      </c>
      <c r="AB1359" t="s">
        <v>116</v>
      </c>
      <c r="AC1359">
        <v>300200</v>
      </c>
      <c r="AD1359">
        <v>0.03</v>
      </c>
      <c r="AE1359" t="s">
        <v>116</v>
      </c>
      <c r="AF1359" t="s">
        <v>116</v>
      </c>
      <c r="AG1359">
        <v>0.72</v>
      </c>
      <c r="AH1359" t="s">
        <v>7426</v>
      </c>
      <c r="AI1359" t="s">
        <v>926</v>
      </c>
      <c r="AJ1359">
        <v>-2.44</v>
      </c>
      <c r="AK1359">
        <v>2026</v>
      </c>
      <c r="AL1359">
        <v>18</v>
      </c>
      <c r="AM1359">
        <v>2.5000000000000001E-3</v>
      </c>
      <c r="AN1359">
        <v>-1</v>
      </c>
      <c r="AO1359">
        <v>-2.31</v>
      </c>
      <c r="AP1359">
        <v>3.38</v>
      </c>
      <c r="AQ1359">
        <v>2.9</v>
      </c>
      <c r="AR1359">
        <v>-35.57</v>
      </c>
      <c r="AS1359">
        <v>6.82</v>
      </c>
      <c r="AT1359" t="s">
        <v>4628</v>
      </c>
      <c r="AU1359">
        <v>43.63</v>
      </c>
      <c r="AV1359">
        <v>46.45</v>
      </c>
      <c r="AW1359">
        <v>1.49</v>
      </c>
      <c r="BA1359">
        <v>0.1</v>
      </c>
      <c r="BB1359">
        <v>0.44</v>
      </c>
      <c r="BC1359">
        <v>-3.55</v>
      </c>
      <c r="BD1359">
        <v>-1.65</v>
      </c>
      <c r="BE1359">
        <v>-3.21</v>
      </c>
      <c r="BF1359">
        <v>-3.54</v>
      </c>
      <c r="BG1359">
        <v>0.45</v>
      </c>
      <c r="BH1359">
        <v>-1.46</v>
      </c>
      <c r="BI1359">
        <v>20191030</v>
      </c>
      <c r="BJ1359">
        <v>20180223</v>
      </c>
      <c r="BK1359">
        <v>1.71</v>
      </c>
      <c r="BL1359" t="s">
        <v>116</v>
      </c>
      <c r="BM1359" t="s">
        <v>116</v>
      </c>
      <c r="BN1359">
        <v>10.6</v>
      </c>
      <c r="BO1359">
        <v>7.72</v>
      </c>
      <c r="BP1359">
        <v>0.44</v>
      </c>
      <c r="BQ1359">
        <v>23.03</v>
      </c>
      <c r="BR1359">
        <v>8.4700000000000006</v>
      </c>
      <c r="BS1359">
        <v>1.1100000000000001</v>
      </c>
      <c r="BT1359">
        <v>0.3</v>
      </c>
      <c r="BU1359">
        <v>2.2400000000000002</v>
      </c>
      <c r="BV1359">
        <v>1.63</v>
      </c>
      <c r="BW1359">
        <v>3.36</v>
      </c>
      <c r="BX1359">
        <v>3.87</v>
      </c>
      <c r="BY1359">
        <v>4.0599999999999996</v>
      </c>
      <c r="BZ1359">
        <v>2.4500000000000002</v>
      </c>
      <c r="CA1359">
        <v>0.63</v>
      </c>
      <c r="CB1359">
        <v>0.03</v>
      </c>
      <c r="CC1359">
        <v>0.66</v>
      </c>
      <c r="CD1359">
        <v>0.56000000000000005</v>
      </c>
      <c r="CE1359">
        <v>0.52</v>
      </c>
      <c r="CF1359">
        <v>0.45</v>
      </c>
      <c r="CG1359">
        <v>1.96</v>
      </c>
      <c r="CH1359">
        <v>0.28999999999999998</v>
      </c>
      <c r="CI1359">
        <v>-0.88</v>
      </c>
      <c r="CJ1359">
        <v>20447</v>
      </c>
      <c r="CK1359">
        <v>2587</v>
      </c>
      <c r="CL1359" t="s">
        <v>3704</v>
      </c>
      <c r="CM1359">
        <v>10.1</v>
      </c>
      <c r="CN1359">
        <v>66.5</v>
      </c>
      <c r="CO1359">
        <v>4.4000000000000004</v>
      </c>
      <c r="CP1359">
        <v>116.5</v>
      </c>
      <c r="CQ1359">
        <v>8.36</v>
      </c>
      <c r="CR1359">
        <v>0.43</v>
      </c>
      <c r="CS1359" t="s">
        <v>1924</v>
      </c>
      <c r="CT1359">
        <v>4.5199999999999996</v>
      </c>
      <c r="CU1359">
        <v>0</v>
      </c>
      <c r="CV1359">
        <v>2.2599999999999998</v>
      </c>
      <c r="CW1359">
        <v>1.1499999999999999</v>
      </c>
      <c r="CX1359">
        <v>0.17</v>
      </c>
      <c r="CY1359">
        <v>72.8</v>
      </c>
      <c r="CZ1359" t="s">
        <v>7427</v>
      </c>
      <c r="DA1359">
        <v>39.700000000000003</v>
      </c>
      <c r="DB1359">
        <v>15.5</v>
      </c>
      <c r="DC1359">
        <v>12.68</v>
      </c>
      <c r="DD1359">
        <v>0.2</v>
      </c>
      <c r="DE1359">
        <v>922</v>
      </c>
      <c r="DF1359">
        <v>2927</v>
      </c>
      <c r="DG1359" t="s">
        <v>116</v>
      </c>
      <c r="DH1359" t="s">
        <v>116</v>
      </c>
      <c r="DI1359" t="s">
        <v>116</v>
      </c>
    </row>
    <row r="1360" spans="1:113" x14ac:dyDescent="0.4">
      <c r="A1360" t="str">
        <f>"002928"</f>
        <v>002928</v>
      </c>
      <c r="B1360" t="s">
        <v>7428</v>
      </c>
      <c r="C1360">
        <v>-1.33</v>
      </c>
      <c r="D1360">
        <v>11.84</v>
      </c>
      <c r="E1360">
        <v>-0.16</v>
      </c>
      <c r="F1360">
        <v>11.83</v>
      </c>
      <c r="G1360">
        <v>11.84</v>
      </c>
      <c r="H1360">
        <v>102034</v>
      </c>
      <c r="I1360">
        <v>1315</v>
      </c>
      <c r="J1360">
        <v>-7.0000000000000007E-2</v>
      </c>
      <c r="K1360">
        <v>5</v>
      </c>
      <c r="L1360">
        <v>11.98</v>
      </c>
      <c r="M1360">
        <v>12.09</v>
      </c>
      <c r="N1360">
        <v>11.82</v>
      </c>
      <c r="O1360">
        <v>12</v>
      </c>
      <c r="P1360">
        <v>14.57</v>
      </c>
      <c r="Q1360">
        <v>121950040</v>
      </c>
      <c r="R1360">
        <v>1.21</v>
      </c>
      <c r="S1360" t="s">
        <v>544</v>
      </c>
      <c r="T1360" t="s">
        <v>1056</v>
      </c>
      <c r="U1360">
        <v>2.25</v>
      </c>
      <c r="V1360">
        <v>11.95</v>
      </c>
      <c r="W1360">
        <v>51587</v>
      </c>
      <c r="X1360">
        <v>50447</v>
      </c>
      <c r="Y1360">
        <v>1.02</v>
      </c>
      <c r="Z1360">
        <v>170</v>
      </c>
      <c r="AA1360">
        <v>1153</v>
      </c>
      <c r="AB1360" t="s">
        <v>116</v>
      </c>
      <c r="AC1360">
        <v>404900</v>
      </c>
      <c r="AD1360">
        <v>0.02</v>
      </c>
      <c r="AE1360" t="s">
        <v>116</v>
      </c>
      <c r="AF1360" t="s">
        <v>116</v>
      </c>
      <c r="AG1360">
        <v>2.04</v>
      </c>
      <c r="AH1360" t="s">
        <v>7429</v>
      </c>
      <c r="AI1360" t="s">
        <v>7430</v>
      </c>
      <c r="AJ1360">
        <v>-0.65</v>
      </c>
      <c r="AK1360">
        <v>2980</v>
      </c>
      <c r="AL1360">
        <v>34</v>
      </c>
      <c r="AM1360">
        <v>1.6999999999999999E-3</v>
      </c>
      <c r="AN1360">
        <v>-1</v>
      </c>
      <c r="AO1360">
        <v>4.2300000000000004</v>
      </c>
      <c r="AP1360">
        <v>14.4</v>
      </c>
      <c r="AQ1360">
        <v>17.690000000000001</v>
      </c>
      <c r="AR1360">
        <v>-4.41</v>
      </c>
      <c r="AS1360">
        <v>5</v>
      </c>
      <c r="AT1360" t="s">
        <v>7429</v>
      </c>
      <c r="AU1360">
        <v>17.11</v>
      </c>
      <c r="AV1360">
        <v>28.74</v>
      </c>
      <c r="AW1360">
        <v>1.42</v>
      </c>
      <c r="BA1360">
        <v>-0.17</v>
      </c>
      <c r="BB1360">
        <v>0.75</v>
      </c>
      <c r="BC1360">
        <v>-1.5</v>
      </c>
      <c r="BD1360">
        <v>-0.4</v>
      </c>
      <c r="BE1360">
        <v>-1.17</v>
      </c>
      <c r="BF1360">
        <v>-2.0699999999999998</v>
      </c>
      <c r="BG1360">
        <v>0.17</v>
      </c>
      <c r="BH1360">
        <v>-0.93</v>
      </c>
      <c r="BI1360">
        <v>20191028</v>
      </c>
      <c r="BJ1360">
        <v>20180302</v>
      </c>
      <c r="BK1360">
        <v>6.01</v>
      </c>
      <c r="BL1360" t="s">
        <v>116</v>
      </c>
      <c r="BM1360" t="s">
        <v>116</v>
      </c>
      <c r="BN1360">
        <v>88.63</v>
      </c>
      <c r="BO1360">
        <v>24.38</v>
      </c>
      <c r="BP1360">
        <v>0</v>
      </c>
      <c r="BQ1360">
        <v>72.489999999999995</v>
      </c>
      <c r="BR1360">
        <v>29.42</v>
      </c>
      <c r="BS1360">
        <v>39.14</v>
      </c>
      <c r="BT1360">
        <v>1.21</v>
      </c>
      <c r="BU1360">
        <v>26.73</v>
      </c>
      <c r="BV1360">
        <v>0.83</v>
      </c>
      <c r="BW1360">
        <v>10.54</v>
      </c>
      <c r="BX1360">
        <v>7.63</v>
      </c>
      <c r="BY1360">
        <v>40.340000000000003</v>
      </c>
      <c r="BZ1360">
        <v>33.880000000000003</v>
      </c>
      <c r="CA1360">
        <v>4.3099999999999996</v>
      </c>
      <c r="CB1360">
        <v>0.03</v>
      </c>
      <c r="CC1360">
        <v>4.2300000000000004</v>
      </c>
      <c r="CD1360">
        <v>3.66</v>
      </c>
      <c r="CE1360">
        <v>3.66</v>
      </c>
      <c r="CF1360">
        <v>3.74</v>
      </c>
      <c r="CG1360">
        <v>9.86</v>
      </c>
      <c r="CH1360">
        <v>6.43</v>
      </c>
      <c r="CI1360">
        <v>0.37</v>
      </c>
      <c r="CJ1360">
        <v>26688</v>
      </c>
      <c r="CK1360">
        <v>7651</v>
      </c>
      <c r="CL1360" t="s">
        <v>7431</v>
      </c>
      <c r="CM1360">
        <v>85.05</v>
      </c>
      <c r="CN1360">
        <v>28.64</v>
      </c>
      <c r="CO1360">
        <v>2.92</v>
      </c>
      <c r="CP1360">
        <v>11.07</v>
      </c>
      <c r="CQ1360">
        <v>1.76</v>
      </c>
      <c r="CR1360">
        <v>0.73</v>
      </c>
      <c r="CS1360" t="s">
        <v>7432</v>
      </c>
      <c r="CT1360">
        <v>4.0599999999999996</v>
      </c>
      <c r="CU1360">
        <v>0</v>
      </c>
      <c r="CV1360">
        <v>1.27</v>
      </c>
      <c r="CW1360">
        <v>1.64</v>
      </c>
      <c r="CX1360">
        <v>1.07</v>
      </c>
      <c r="CY1360">
        <v>27.51</v>
      </c>
      <c r="CZ1360" t="s">
        <v>7433</v>
      </c>
      <c r="DA1360">
        <v>16</v>
      </c>
      <c r="DB1360">
        <v>10.7</v>
      </c>
      <c r="DC1360">
        <v>9.08</v>
      </c>
      <c r="DD1360">
        <v>0.04</v>
      </c>
      <c r="DE1360">
        <v>3907</v>
      </c>
      <c r="DF1360">
        <v>2928</v>
      </c>
      <c r="DG1360" t="s">
        <v>116</v>
      </c>
      <c r="DH1360" t="s">
        <v>116</v>
      </c>
      <c r="DI1360" t="s">
        <v>116</v>
      </c>
    </row>
    <row r="1361" spans="1:113" x14ac:dyDescent="0.4">
      <c r="A1361" t="str">
        <f>"002929"</f>
        <v>002929</v>
      </c>
      <c r="B1361" t="s">
        <v>7434</v>
      </c>
      <c r="C1361">
        <v>-1.1299999999999999</v>
      </c>
      <c r="D1361">
        <v>27.21</v>
      </c>
      <c r="E1361">
        <v>-0.31</v>
      </c>
      <c r="F1361">
        <v>27.21</v>
      </c>
      <c r="G1361">
        <v>27.22</v>
      </c>
      <c r="H1361">
        <v>27623</v>
      </c>
      <c r="I1361">
        <v>184</v>
      </c>
      <c r="J1361">
        <v>-0.17</v>
      </c>
      <c r="K1361">
        <v>3.61</v>
      </c>
      <c r="L1361">
        <v>27.85</v>
      </c>
      <c r="M1361">
        <v>27.9</v>
      </c>
      <c r="N1361">
        <v>27.15</v>
      </c>
      <c r="O1361">
        <v>27.52</v>
      </c>
      <c r="P1361">
        <v>30.93</v>
      </c>
      <c r="Q1361">
        <v>76154136</v>
      </c>
      <c r="R1361">
        <v>1.32</v>
      </c>
      <c r="S1361" t="s">
        <v>465</v>
      </c>
      <c r="T1361" t="s">
        <v>982</v>
      </c>
      <c r="U1361">
        <v>2.73</v>
      </c>
      <c r="V1361">
        <v>27.57</v>
      </c>
      <c r="W1361">
        <v>16660</v>
      </c>
      <c r="X1361">
        <v>10963</v>
      </c>
      <c r="Y1361">
        <v>1.52</v>
      </c>
      <c r="Z1361">
        <v>126</v>
      </c>
      <c r="AA1361">
        <v>8</v>
      </c>
      <c r="AB1361" t="s">
        <v>116</v>
      </c>
      <c r="AC1361">
        <v>1807500</v>
      </c>
      <c r="AD1361">
        <v>0.08</v>
      </c>
      <c r="AE1361" t="s">
        <v>116</v>
      </c>
      <c r="AF1361" t="s">
        <v>116</v>
      </c>
      <c r="AG1361">
        <v>0.77</v>
      </c>
      <c r="AH1361" t="s">
        <v>1472</v>
      </c>
      <c r="AI1361" t="s">
        <v>7435</v>
      </c>
      <c r="AJ1361">
        <v>-0.45</v>
      </c>
      <c r="AK1361">
        <v>1893</v>
      </c>
      <c r="AL1361">
        <v>15</v>
      </c>
      <c r="AM1361">
        <v>1.9E-3</v>
      </c>
      <c r="AN1361">
        <v>-1</v>
      </c>
      <c r="AO1361">
        <v>0.85</v>
      </c>
      <c r="AP1361">
        <v>0.7</v>
      </c>
      <c r="AQ1361">
        <v>-2.89</v>
      </c>
      <c r="AR1361">
        <v>-16.38</v>
      </c>
      <c r="AS1361">
        <v>3.61</v>
      </c>
      <c r="AT1361" t="s">
        <v>1472</v>
      </c>
      <c r="AU1361">
        <v>28.37</v>
      </c>
      <c r="AV1361">
        <v>29.18</v>
      </c>
      <c r="AW1361">
        <v>0.92</v>
      </c>
      <c r="BA1361">
        <v>1.2</v>
      </c>
      <c r="BB1361">
        <v>1.38</v>
      </c>
      <c r="BC1361">
        <v>-1.34</v>
      </c>
      <c r="BD1361">
        <v>0.18</v>
      </c>
      <c r="BE1361">
        <v>-2.2999999999999998</v>
      </c>
      <c r="BF1361">
        <v>-2.4700000000000002</v>
      </c>
      <c r="BG1361">
        <v>0.22</v>
      </c>
      <c r="BH1361">
        <v>-1.3</v>
      </c>
      <c r="BI1361">
        <v>20191223</v>
      </c>
      <c r="BJ1361">
        <v>20180301</v>
      </c>
      <c r="BK1361">
        <v>2.21</v>
      </c>
      <c r="BL1361" t="s">
        <v>116</v>
      </c>
      <c r="BM1361" t="s">
        <v>116</v>
      </c>
      <c r="BN1361">
        <v>43.61</v>
      </c>
      <c r="BO1361">
        <v>27.57</v>
      </c>
      <c r="BP1361">
        <v>0.06</v>
      </c>
      <c r="BQ1361">
        <v>36.659999999999997</v>
      </c>
      <c r="BR1361">
        <v>40.229999999999997</v>
      </c>
      <c r="BS1361">
        <v>2.0299999999999998</v>
      </c>
      <c r="BT1361">
        <v>0.05</v>
      </c>
      <c r="BU1361">
        <v>15.99</v>
      </c>
      <c r="BV1361">
        <v>6.43</v>
      </c>
      <c r="BW1361">
        <v>19.649999999999999</v>
      </c>
      <c r="BX1361">
        <v>14.06</v>
      </c>
      <c r="BY1361">
        <v>25.13</v>
      </c>
      <c r="BZ1361">
        <v>20.86</v>
      </c>
      <c r="CA1361">
        <v>1.76</v>
      </c>
      <c r="CB1361">
        <v>0.11</v>
      </c>
      <c r="CC1361">
        <v>1.75</v>
      </c>
      <c r="CD1361">
        <v>1.47</v>
      </c>
      <c r="CE1361">
        <v>1.46</v>
      </c>
      <c r="CF1361">
        <v>1.28</v>
      </c>
      <c r="CG1361">
        <v>9.7899999999999991</v>
      </c>
      <c r="CH1361">
        <v>-2.4</v>
      </c>
      <c r="CI1361">
        <v>-6.96</v>
      </c>
      <c r="CJ1361">
        <v>29307</v>
      </c>
      <c r="CK1361">
        <v>2614</v>
      </c>
      <c r="CL1361" t="s">
        <v>1250</v>
      </c>
      <c r="CM1361">
        <v>4.21</v>
      </c>
      <c r="CN1361">
        <v>12.31</v>
      </c>
      <c r="CO1361">
        <v>2.1800000000000002</v>
      </c>
      <c r="CP1361">
        <v>-24.98</v>
      </c>
      <c r="CQ1361">
        <v>2.39</v>
      </c>
      <c r="CR1361">
        <v>0.44</v>
      </c>
      <c r="CS1361" t="s">
        <v>2661</v>
      </c>
      <c r="CT1361">
        <v>12.49</v>
      </c>
      <c r="CU1361">
        <v>0</v>
      </c>
      <c r="CV1361">
        <v>6.37</v>
      </c>
      <c r="CW1361">
        <v>4.43</v>
      </c>
      <c r="CX1361">
        <v>-1.0900000000000001</v>
      </c>
      <c r="CY1361">
        <v>63.21</v>
      </c>
      <c r="CZ1361" t="s">
        <v>1068</v>
      </c>
      <c r="DA1361">
        <v>16.97</v>
      </c>
      <c r="DB1361">
        <v>7</v>
      </c>
      <c r="DC1361">
        <v>5.8</v>
      </c>
      <c r="DD1361">
        <v>0.82</v>
      </c>
      <c r="DE1361">
        <v>9260</v>
      </c>
      <c r="DF1361">
        <v>2929</v>
      </c>
      <c r="DG1361" t="s">
        <v>116</v>
      </c>
      <c r="DH1361" t="s">
        <v>116</v>
      </c>
      <c r="DI1361" t="s">
        <v>116</v>
      </c>
    </row>
    <row r="1362" spans="1:113" x14ac:dyDescent="0.4">
      <c r="A1362" t="str">
        <f>"002930"</f>
        <v>002930</v>
      </c>
      <c r="B1362" t="s">
        <v>7436</v>
      </c>
      <c r="C1362">
        <v>-2.06</v>
      </c>
      <c r="D1362">
        <v>15.2</v>
      </c>
      <c r="E1362">
        <v>-0.32</v>
      </c>
      <c r="F1362">
        <v>15.19</v>
      </c>
      <c r="G1362">
        <v>15.2</v>
      </c>
      <c r="H1362">
        <v>62762</v>
      </c>
      <c r="I1362">
        <v>1978</v>
      </c>
      <c r="J1362">
        <v>-0.12</v>
      </c>
      <c r="K1362">
        <v>4.5599999999999996</v>
      </c>
      <c r="L1362">
        <v>15.53</v>
      </c>
      <c r="M1362">
        <v>15.61</v>
      </c>
      <c r="N1362">
        <v>15.2</v>
      </c>
      <c r="O1362">
        <v>15.52</v>
      </c>
      <c r="P1362">
        <v>33.049999999999997</v>
      </c>
      <c r="Q1362">
        <v>96818352</v>
      </c>
      <c r="R1362">
        <v>0.69</v>
      </c>
      <c r="S1362" t="s">
        <v>3113</v>
      </c>
      <c r="T1362" t="s">
        <v>551</v>
      </c>
      <c r="U1362">
        <v>2.64</v>
      </c>
      <c r="V1362">
        <v>15.43</v>
      </c>
      <c r="W1362">
        <v>35536</v>
      </c>
      <c r="X1362">
        <v>27226</v>
      </c>
      <c r="Y1362">
        <v>1.31</v>
      </c>
      <c r="Z1362">
        <v>56</v>
      </c>
      <c r="AA1362">
        <v>348</v>
      </c>
      <c r="AB1362" t="s">
        <v>116</v>
      </c>
      <c r="AC1362">
        <v>194100</v>
      </c>
      <c r="AD1362">
        <v>0.01</v>
      </c>
      <c r="AE1362" t="s">
        <v>116</v>
      </c>
      <c r="AF1362" t="s">
        <v>116</v>
      </c>
      <c r="AG1362">
        <v>1.38</v>
      </c>
      <c r="AH1362" t="s">
        <v>818</v>
      </c>
      <c r="AI1362" t="s">
        <v>7437</v>
      </c>
      <c r="AJ1362">
        <v>-1.38</v>
      </c>
      <c r="AK1362">
        <v>2185</v>
      </c>
      <c r="AL1362">
        <v>29</v>
      </c>
      <c r="AM1362">
        <v>2.0999999999999999E-3</v>
      </c>
      <c r="AN1362">
        <v>-3</v>
      </c>
      <c r="AO1362">
        <v>-3.3</v>
      </c>
      <c r="AP1362">
        <v>6.59</v>
      </c>
      <c r="AQ1362">
        <v>8.73</v>
      </c>
      <c r="AR1362">
        <v>-16.71</v>
      </c>
      <c r="AS1362">
        <v>4.5599999999999996</v>
      </c>
      <c r="AT1362" t="s">
        <v>818</v>
      </c>
      <c r="AU1362">
        <v>36.229999999999997</v>
      </c>
      <c r="AV1362">
        <v>50.51</v>
      </c>
      <c r="AW1362">
        <v>0.83</v>
      </c>
      <c r="BA1362">
        <v>0.06</v>
      </c>
      <c r="BB1362">
        <v>0.57999999999999996</v>
      </c>
      <c r="BC1362">
        <v>-2.06</v>
      </c>
      <c r="BD1362">
        <v>-0.6</v>
      </c>
      <c r="BE1362">
        <v>-2.12</v>
      </c>
      <c r="BF1362">
        <v>-2.63</v>
      </c>
      <c r="BG1362">
        <v>0</v>
      </c>
      <c r="BH1362">
        <v>-1.46</v>
      </c>
      <c r="BI1362">
        <v>20191030</v>
      </c>
      <c r="BJ1362">
        <v>20180328</v>
      </c>
      <c r="BK1362">
        <v>3.41</v>
      </c>
      <c r="BL1362" t="s">
        <v>116</v>
      </c>
      <c r="BM1362" t="s">
        <v>116</v>
      </c>
      <c r="BN1362">
        <v>29.08</v>
      </c>
      <c r="BO1362">
        <v>18.21</v>
      </c>
      <c r="BP1362">
        <v>0.54</v>
      </c>
      <c r="BQ1362">
        <v>35.56</v>
      </c>
      <c r="BR1362">
        <v>2.5</v>
      </c>
      <c r="BS1362">
        <v>11.06</v>
      </c>
      <c r="BT1362">
        <v>5.68</v>
      </c>
      <c r="BU1362">
        <v>3.03</v>
      </c>
      <c r="BV1362">
        <v>0.01</v>
      </c>
      <c r="BW1362">
        <v>0.54</v>
      </c>
      <c r="BX1362">
        <v>9.35</v>
      </c>
      <c r="BY1362">
        <v>3.61</v>
      </c>
      <c r="BZ1362">
        <v>1.35</v>
      </c>
      <c r="CA1362">
        <v>1.58</v>
      </c>
      <c r="CB1362">
        <v>0.01</v>
      </c>
      <c r="CC1362">
        <v>1.58</v>
      </c>
      <c r="CD1362">
        <v>1.1599999999999999</v>
      </c>
      <c r="CE1362">
        <v>1.18</v>
      </c>
      <c r="CF1362">
        <v>1.1499999999999999</v>
      </c>
      <c r="CG1362">
        <v>5.15</v>
      </c>
      <c r="CH1362">
        <v>2.3199999999999998</v>
      </c>
      <c r="CI1362">
        <v>-2.08</v>
      </c>
      <c r="CJ1362">
        <v>32209</v>
      </c>
      <c r="CK1362">
        <v>4276</v>
      </c>
      <c r="CL1362" t="s">
        <v>7229</v>
      </c>
      <c r="CM1362">
        <v>52.44</v>
      </c>
      <c r="CN1362">
        <v>23.43</v>
      </c>
      <c r="CO1362">
        <v>2.85</v>
      </c>
      <c r="CP1362">
        <v>22.33</v>
      </c>
      <c r="CQ1362">
        <v>14.37</v>
      </c>
      <c r="CR1362">
        <v>1.41</v>
      </c>
      <c r="CS1362" t="s">
        <v>7376</v>
      </c>
      <c r="CT1362">
        <v>5.33</v>
      </c>
      <c r="CU1362">
        <v>0</v>
      </c>
      <c r="CV1362">
        <v>2.74</v>
      </c>
      <c r="CW1362">
        <v>1.51</v>
      </c>
      <c r="CX1362">
        <v>0.68</v>
      </c>
      <c r="CY1362">
        <v>62.6</v>
      </c>
      <c r="CZ1362" t="s">
        <v>6194</v>
      </c>
      <c r="DA1362">
        <v>62.57</v>
      </c>
      <c r="DB1362">
        <v>43.83</v>
      </c>
      <c r="DC1362">
        <v>32.619999999999997</v>
      </c>
      <c r="DD1362">
        <v>0.03</v>
      </c>
      <c r="DE1362">
        <v>614</v>
      </c>
      <c r="DF1362">
        <v>2930</v>
      </c>
      <c r="DG1362" t="s">
        <v>116</v>
      </c>
      <c r="DH1362" t="s">
        <v>116</v>
      </c>
      <c r="DI1362" t="s">
        <v>116</v>
      </c>
    </row>
    <row r="1363" spans="1:113" x14ac:dyDescent="0.4">
      <c r="A1363" t="str">
        <f>"002931"</f>
        <v>002931</v>
      </c>
      <c r="B1363" t="s">
        <v>7438</v>
      </c>
      <c r="C1363">
        <v>2.84</v>
      </c>
      <c r="D1363">
        <v>32.6</v>
      </c>
      <c r="E1363">
        <v>0.9</v>
      </c>
      <c r="F1363">
        <v>32.58</v>
      </c>
      <c r="G1363">
        <v>32.6</v>
      </c>
      <c r="H1363">
        <v>53803</v>
      </c>
      <c r="I1363">
        <v>907</v>
      </c>
      <c r="J1363">
        <v>-0.11</v>
      </c>
      <c r="K1363">
        <v>20.34</v>
      </c>
      <c r="L1363">
        <v>30.77</v>
      </c>
      <c r="M1363">
        <v>33.01</v>
      </c>
      <c r="N1363">
        <v>30.58</v>
      </c>
      <c r="O1363">
        <v>31.7</v>
      </c>
      <c r="P1363">
        <v>47.75</v>
      </c>
      <c r="Q1363">
        <v>170299472</v>
      </c>
      <c r="R1363">
        <v>1.36</v>
      </c>
      <c r="S1363" t="s">
        <v>293</v>
      </c>
      <c r="T1363" t="s">
        <v>590</v>
      </c>
      <c r="U1363">
        <v>7.67</v>
      </c>
      <c r="V1363">
        <v>31.65</v>
      </c>
      <c r="W1363">
        <v>24259</v>
      </c>
      <c r="X1363">
        <v>29544</v>
      </c>
      <c r="Y1363">
        <v>0.82</v>
      </c>
      <c r="Z1363">
        <v>29</v>
      </c>
      <c r="AA1363">
        <v>360</v>
      </c>
      <c r="AB1363" t="s">
        <v>116</v>
      </c>
      <c r="AC1363">
        <v>3520100</v>
      </c>
      <c r="AD1363">
        <v>0.43</v>
      </c>
      <c r="AE1363" t="s">
        <v>116</v>
      </c>
      <c r="AF1363" t="s">
        <v>116</v>
      </c>
      <c r="AG1363">
        <v>0.26</v>
      </c>
      <c r="AH1363" t="s">
        <v>7439</v>
      </c>
      <c r="AI1363" t="s">
        <v>7440</v>
      </c>
      <c r="AJ1363">
        <v>3.52</v>
      </c>
      <c r="AK1363">
        <v>2266</v>
      </c>
      <c r="AL1363">
        <v>24</v>
      </c>
      <c r="AM1363">
        <v>8.9999999999999993E-3</v>
      </c>
      <c r="AN1363">
        <v>4</v>
      </c>
      <c r="AO1363">
        <v>13.51</v>
      </c>
      <c r="AP1363">
        <v>27.79</v>
      </c>
      <c r="AQ1363">
        <v>19.55</v>
      </c>
      <c r="AR1363">
        <v>0.4</v>
      </c>
      <c r="AS1363">
        <v>20.34</v>
      </c>
      <c r="AT1363" t="s">
        <v>7439</v>
      </c>
      <c r="AU1363">
        <v>49.96</v>
      </c>
      <c r="AV1363">
        <v>63.32</v>
      </c>
      <c r="AW1363">
        <v>0.97</v>
      </c>
      <c r="BA1363">
        <v>-2.93</v>
      </c>
      <c r="BB1363">
        <v>4.13</v>
      </c>
      <c r="BC1363">
        <v>-3.53</v>
      </c>
      <c r="BD1363">
        <v>-0.15</v>
      </c>
      <c r="BE1363">
        <v>5.95</v>
      </c>
      <c r="BF1363">
        <v>-1.24</v>
      </c>
      <c r="BG1363">
        <v>6.61</v>
      </c>
      <c r="BH1363">
        <v>2.99</v>
      </c>
      <c r="BI1363">
        <v>20191226</v>
      </c>
      <c r="BJ1363">
        <v>20180403</v>
      </c>
      <c r="BK1363">
        <v>0.89</v>
      </c>
      <c r="BL1363" t="s">
        <v>116</v>
      </c>
      <c r="BM1363" t="s">
        <v>116</v>
      </c>
      <c r="BN1363">
        <v>7.85</v>
      </c>
      <c r="BO1363">
        <v>5.24</v>
      </c>
      <c r="BP1363">
        <v>0.66</v>
      </c>
      <c r="BQ1363">
        <v>24.84</v>
      </c>
      <c r="BR1363">
        <v>4.96</v>
      </c>
      <c r="BS1363">
        <v>1.81</v>
      </c>
      <c r="BT1363">
        <v>0.78</v>
      </c>
      <c r="BU1363">
        <v>1.85</v>
      </c>
      <c r="BV1363">
        <v>1.03</v>
      </c>
      <c r="BW1363">
        <v>1.05</v>
      </c>
      <c r="BX1363">
        <v>2.61</v>
      </c>
      <c r="BY1363">
        <v>2.94</v>
      </c>
      <c r="BZ1363">
        <v>1.98</v>
      </c>
      <c r="CA1363">
        <v>0.55000000000000004</v>
      </c>
      <c r="CB1363">
        <v>0.03</v>
      </c>
      <c r="CC1363">
        <v>0.55000000000000004</v>
      </c>
      <c r="CD1363">
        <v>0.47</v>
      </c>
      <c r="CE1363">
        <v>0.46</v>
      </c>
      <c r="CF1363">
        <v>0.41</v>
      </c>
      <c r="CG1363">
        <v>1.63</v>
      </c>
      <c r="CH1363">
        <v>0.44</v>
      </c>
      <c r="CI1363">
        <v>-0.28000000000000003</v>
      </c>
      <c r="CJ1363">
        <v>12137</v>
      </c>
      <c r="CK1363">
        <v>2179</v>
      </c>
      <c r="CL1363" t="s">
        <v>1250</v>
      </c>
      <c r="CM1363">
        <v>36.79</v>
      </c>
      <c r="CN1363">
        <v>22.76</v>
      </c>
      <c r="CO1363">
        <v>5.53</v>
      </c>
      <c r="CP1363">
        <v>66.33</v>
      </c>
      <c r="CQ1363">
        <v>9.8699999999999992</v>
      </c>
      <c r="CR1363">
        <v>0.61</v>
      </c>
      <c r="CS1363" t="s">
        <v>7441</v>
      </c>
      <c r="CT1363">
        <v>5.9</v>
      </c>
      <c r="CU1363">
        <v>0</v>
      </c>
      <c r="CV1363">
        <v>2.94</v>
      </c>
      <c r="CW1363">
        <v>1.83</v>
      </c>
      <c r="CX1363">
        <v>0.49</v>
      </c>
      <c r="CY1363">
        <v>66.77</v>
      </c>
      <c r="CZ1363" t="s">
        <v>7442</v>
      </c>
      <c r="DA1363">
        <v>32.53</v>
      </c>
      <c r="DB1363">
        <v>18.760000000000002</v>
      </c>
      <c r="DC1363">
        <v>15.49</v>
      </c>
      <c r="DD1363">
        <v>0.14000000000000001</v>
      </c>
      <c r="DE1363">
        <v>708</v>
      </c>
      <c r="DF1363">
        <v>2931</v>
      </c>
      <c r="DG1363" t="s">
        <v>116</v>
      </c>
      <c r="DH1363" t="s">
        <v>116</v>
      </c>
      <c r="DI1363" t="s">
        <v>116</v>
      </c>
    </row>
    <row r="1364" spans="1:113" x14ac:dyDescent="0.4">
      <c r="A1364" t="str">
        <f>"002932"</f>
        <v>002932</v>
      </c>
      <c r="B1364" t="s">
        <v>7443</v>
      </c>
      <c r="C1364">
        <v>-0.68</v>
      </c>
      <c r="D1364">
        <v>35.130000000000003</v>
      </c>
      <c r="E1364">
        <v>-0.24</v>
      </c>
      <c r="F1364">
        <v>35.130000000000003</v>
      </c>
      <c r="G1364">
        <v>35.229999999999997</v>
      </c>
      <c r="H1364">
        <v>4395</v>
      </c>
      <c r="I1364">
        <v>35</v>
      </c>
      <c r="J1364">
        <v>0</v>
      </c>
      <c r="K1364">
        <v>1.46</v>
      </c>
      <c r="L1364">
        <v>35.49</v>
      </c>
      <c r="M1364">
        <v>35.49</v>
      </c>
      <c r="N1364">
        <v>35.1</v>
      </c>
      <c r="O1364">
        <v>35.369999999999997</v>
      </c>
      <c r="P1364">
        <v>39.18</v>
      </c>
      <c r="Q1364">
        <v>15531585</v>
      </c>
      <c r="R1364">
        <v>0.96</v>
      </c>
      <c r="S1364" t="s">
        <v>559</v>
      </c>
      <c r="T1364" t="s">
        <v>774</v>
      </c>
      <c r="U1364">
        <v>1.1000000000000001</v>
      </c>
      <c r="V1364">
        <v>35.340000000000003</v>
      </c>
      <c r="W1364">
        <v>2274</v>
      </c>
      <c r="X1364">
        <v>2121</v>
      </c>
      <c r="Y1364">
        <v>1.07</v>
      </c>
      <c r="Z1364">
        <v>42</v>
      </c>
      <c r="AA1364">
        <v>71</v>
      </c>
      <c r="AB1364" t="s">
        <v>116</v>
      </c>
      <c r="AC1364">
        <v>49700</v>
      </c>
      <c r="AD1364">
        <v>0.01</v>
      </c>
      <c r="AE1364" t="s">
        <v>116</v>
      </c>
      <c r="AF1364" t="s">
        <v>116</v>
      </c>
      <c r="AG1364">
        <v>0.3</v>
      </c>
      <c r="AH1364" t="s">
        <v>7444</v>
      </c>
      <c r="AI1364" t="s">
        <v>7445</v>
      </c>
      <c r="AJ1364">
        <v>0</v>
      </c>
      <c r="AK1364">
        <v>695</v>
      </c>
      <c r="AL1364">
        <v>6</v>
      </c>
      <c r="AM1364">
        <v>2.0999999999999999E-3</v>
      </c>
      <c r="AN1364">
        <v>-1</v>
      </c>
      <c r="AO1364">
        <v>0.98</v>
      </c>
      <c r="AP1364">
        <v>4.5199999999999996</v>
      </c>
      <c r="AQ1364">
        <v>-8.7100000000000009</v>
      </c>
      <c r="AR1364">
        <v>-19.829999999999998</v>
      </c>
      <c r="AS1364">
        <v>1.77</v>
      </c>
      <c r="AT1364" t="s">
        <v>7446</v>
      </c>
      <c r="AU1364">
        <v>40.200000000000003</v>
      </c>
      <c r="AV1364">
        <v>38.08</v>
      </c>
      <c r="AW1364">
        <v>0.72</v>
      </c>
      <c r="BA1364">
        <v>0.34</v>
      </c>
      <c r="BB1364">
        <v>0.34</v>
      </c>
      <c r="BC1364">
        <v>-0.76</v>
      </c>
      <c r="BD1364">
        <v>-0.09</v>
      </c>
      <c r="BE1364">
        <v>-1.01</v>
      </c>
      <c r="BF1364">
        <v>-1.01</v>
      </c>
      <c r="BG1364">
        <v>0.09</v>
      </c>
      <c r="BH1364">
        <v>-0.59</v>
      </c>
      <c r="BI1364">
        <v>20191104</v>
      </c>
      <c r="BJ1364">
        <v>20180710</v>
      </c>
      <c r="BK1364">
        <v>0.67</v>
      </c>
      <c r="BL1364" t="s">
        <v>116</v>
      </c>
      <c r="BM1364" t="s">
        <v>116</v>
      </c>
      <c r="BN1364">
        <v>6.41</v>
      </c>
      <c r="BO1364">
        <v>6.13</v>
      </c>
      <c r="BP1364">
        <v>0.06</v>
      </c>
      <c r="BQ1364">
        <v>3.43</v>
      </c>
      <c r="BR1364">
        <v>5.25</v>
      </c>
      <c r="BS1364">
        <v>0.89</v>
      </c>
      <c r="BT1364">
        <v>0.18</v>
      </c>
      <c r="BU1364">
        <v>0.19</v>
      </c>
      <c r="BV1364">
        <v>0.37</v>
      </c>
      <c r="BW1364">
        <v>0.41</v>
      </c>
      <c r="BX1364">
        <v>3.23</v>
      </c>
      <c r="BY1364">
        <v>1.4</v>
      </c>
      <c r="BZ1364">
        <v>0.32</v>
      </c>
      <c r="CA1364">
        <v>0.47</v>
      </c>
      <c r="CB1364">
        <v>0.05</v>
      </c>
      <c r="CC1364">
        <v>0.52</v>
      </c>
      <c r="CD1364">
        <v>0.46</v>
      </c>
      <c r="CE1364">
        <v>0.45</v>
      </c>
      <c r="CF1364">
        <v>0.35</v>
      </c>
      <c r="CG1364">
        <v>1.98</v>
      </c>
      <c r="CH1364">
        <v>0.21</v>
      </c>
      <c r="CI1364">
        <v>0.21</v>
      </c>
      <c r="CJ1364">
        <v>12467</v>
      </c>
      <c r="CK1364">
        <v>1993</v>
      </c>
      <c r="CL1364" t="s">
        <v>2986</v>
      </c>
      <c r="CM1364">
        <v>-6.72</v>
      </c>
      <c r="CN1364">
        <v>5.51</v>
      </c>
      <c r="CO1364">
        <v>3.82</v>
      </c>
      <c r="CP1364">
        <v>110.49</v>
      </c>
      <c r="CQ1364">
        <v>16.739999999999998</v>
      </c>
      <c r="CR1364">
        <v>0.85</v>
      </c>
      <c r="CS1364" t="s">
        <v>7447</v>
      </c>
      <c r="CT1364">
        <v>9.2100000000000009</v>
      </c>
      <c r="CU1364">
        <v>0</v>
      </c>
      <c r="CV1364">
        <v>4.8600000000000003</v>
      </c>
      <c r="CW1364">
        <v>2.97</v>
      </c>
      <c r="CX1364">
        <v>0.32</v>
      </c>
      <c r="CY1364">
        <v>95.69</v>
      </c>
      <c r="CZ1364" t="s">
        <v>2056</v>
      </c>
      <c r="DA1364">
        <v>76.900000000000006</v>
      </c>
      <c r="DB1364">
        <v>33.4</v>
      </c>
      <c r="DC1364">
        <v>32.04</v>
      </c>
      <c r="DD1364">
        <v>0.25</v>
      </c>
      <c r="DE1364">
        <v>433</v>
      </c>
      <c r="DF1364">
        <v>2932</v>
      </c>
      <c r="DG1364" t="s">
        <v>116</v>
      </c>
      <c r="DH1364" t="s">
        <v>116</v>
      </c>
      <c r="DI1364" t="s">
        <v>116</v>
      </c>
    </row>
    <row r="1365" spans="1:113" x14ac:dyDescent="0.4">
      <c r="A1365" t="str">
        <f>"002933"</f>
        <v>002933</v>
      </c>
      <c r="B1365" t="s">
        <v>7448</v>
      </c>
      <c r="C1365">
        <v>0.05</v>
      </c>
      <c r="D1365">
        <v>39.22</v>
      </c>
      <c r="E1365">
        <v>0.02</v>
      </c>
      <c r="F1365">
        <v>39.22</v>
      </c>
      <c r="G1365">
        <v>39.229999999999997</v>
      </c>
      <c r="H1365">
        <v>9697</v>
      </c>
      <c r="I1365">
        <v>244</v>
      </c>
      <c r="J1365">
        <v>0.05</v>
      </c>
      <c r="K1365">
        <v>2.0299999999999998</v>
      </c>
      <c r="L1365">
        <v>39.69</v>
      </c>
      <c r="M1365">
        <v>39.950000000000003</v>
      </c>
      <c r="N1365">
        <v>39.11</v>
      </c>
      <c r="O1365">
        <v>39.200000000000003</v>
      </c>
      <c r="P1365">
        <v>38.47</v>
      </c>
      <c r="Q1365">
        <v>38355804</v>
      </c>
      <c r="R1365">
        <v>1.19</v>
      </c>
      <c r="S1365" t="s">
        <v>1789</v>
      </c>
      <c r="T1365" t="s">
        <v>165</v>
      </c>
      <c r="U1365">
        <v>2.14</v>
      </c>
      <c r="V1365">
        <v>39.549999999999997</v>
      </c>
      <c r="W1365">
        <v>5432</v>
      </c>
      <c r="X1365">
        <v>4265</v>
      </c>
      <c r="Y1365">
        <v>1.27</v>
      </c>
      <c r="Z1365">
        <v>82</v>
      </c>
      <c r="AA1365">
        <v>5</v>
      </c>
      <c r="AB1365" t="s">
        <v>116</v>
      </c>
      <c r="AC1365">
        <v>202400</v>
      </c>
      <c r="AD1365">
        <v>0.01</v>
      </c>
      <c r="AE1365" t="s">
        <v>116</v>
      </c>
      <c r="AF1365" t="s">
        <v>116</v>
      </c>
      <c r="AG1365">
        <v>0.48</v>
      </c>
      <c r="AH1365" t="s">
        <v>7449</v>
      </c>
      <c r="AI1365" t="s">
        <v>7450</v>
      </c>
      <c r="AJ1365">
        <v>0.73</v>
      </c>
      <c r="AK1365">
        <v>1316</v>
      </c>
      <c r="AL1365">
        <v>7</v>
      </c>
      <c r="AM1365">
        <v>1.5E-3</v>
      </c>
      <c r="AN1365">
        <v>1</v>
      </c>
      <c r="AO1365">
        <v>0.56000000000000005</v>
      </c>
      <c r="AP1365">
        <v>6.52</v>
      </c>
      <c r="AQ1365">
        <v>-10.35</v>
      </c>
      <c r="AR1365">
        <v>-1.31</v>
      </c>
      <c r="AS1365">
        <v>2.61</v>
      </c>
      <c r="AT1365" t="s">
        <v>7451</v>
      </c>
      <c r="AU1365">
        <v>32.5</v>
      </c>
      <c r="AV1365">
        <v>32.57</v>
      </c>
      <c r="AW1365">
        <v>1.02</v>
      </c>
      <c r="BA1365">
        <v>1.25</v>
      </c>
      <c r="BB1365">
        <v>1.91</v>
      </c>
      <c r="BC1365">
        <v>-0.23</v>
      </c>
      <c r="BD1365">
        <v>0.9</v>
      </c>
      <c r="BE1365">
        <v>-1.18</v>
      </c>
      <c r="BF1365">
        <v>-1.83</v>
      </c>
      <c r="BG1365">
        <v>0.28000000000000003</v>
      </c>
      <c r="BH1365">
        <v>-0.85</v>
      </c>
      <c r="BI1365">
        <v>20191022</v>
      </c>
      <c r="BJ1365">
        <v>20180828</v>
      </c>
      <c r="BK1365">
        <v>1.17</v>
      </c>
      <c r="BL1365" t="s">
        <v>116</v>
      </c>
      <c r="BM1365" t="s">
        <v>116</v>
      </c>
      <c r="BN1365">
        <v>15.84</v>
      </c>
      <c r="BO1365">
        <v>14.81</v>
      </c>
      <c r="BP1365">
        <v>-0.01</v>
      </c>
      <c r="BQ1365">
        <v>6.55</v>
      </c>
      <c r="BR1365">
        <v>14.93</v>
      </c>
      <c r="BS1365">
        <v>0.24</v>
      </c>
      <c r="BT1365">
        <v>0.42</v>
      </c>
      <c r="BU1365">
        <v>1.04</v>
      </c>
      <c r="BV1365">
        <v>1.55</v>
      </c>
      <c r="BW1365">
        <v>3.97</v>
      </c>
      <c r="BX1365">
        <v>6.5</v>
      </c>
      <c r="BY1365">
        <v>2.74</v>
      </c>
      <c r="BZ1365">
        <v>0.65</v>
      </c>
      <c r="CA1365">
        <v>1.06</v>
      </c>
      <c r="CB1365">
        <v>0.13</v>
      </c>
      <c r="CC1365">
        <v>1.08</v>
      </c>
      <c r="CD1365">
        <v>0.89</v>
      </c>
      <c r="CE1365">
        <v>0.9</v>
      </c>
      <c r="CF1365">
        <v>0.77</v>
      </c>
      <c r="CG1365">
        <v>6.32</v>
      </c>
      <c r="CH1365">
        <v>0.14000000000000001</v>
      </c>
      <c r="CI1365">
        <v>-6.8</v>
      </c>
      <c r="CJ1365">
        <v>20110</v>
      </c>
      <c r="CK1365">
        <v>1851</v>
      </c>
      <c r="CL1365" t="s">
        <v>7179</v>
      </c>
      <c r="CM1365">
        <v>0.32</v>
      </c>
      <c r="CN1365">
        <v>10.54</v>
      </c>
      <c r="CO1365">
        <v>3.11</v>
      </c>
      <c r="CP1365">
        <v>318.31</v>
      </c>
      <c r="CQ1365">
        <v>16.809999999999999</v>
      </c>
      <c r="CR1365">
        <v>1.22</v>
      </c>
      <c r="CS1365" t="s">
        <v>7452</v>
      </c>
      <c r="CT1365">
        <v>12.62</v>
      </c>
      <c r="CU1365">
        <v>0</v>
      </c>
      <c r="CV1365">
        <v>5.53</v>
      </c>
      <c r="CW1365">
        <v>5.39</v>
      </c>
      <c r="CX1365">
        <v>0.12</v>
      </c>
      <c r="CY1365">
        <v>93.5</v>
      </c>
      <c r="CZ1365" t="s">
        <v>7453</v>
      </c>
      <c r="DA1365">
        <v>76.22</v>
      </c>
      <c r="DB1365">
        <v>38.76</v>
      </c>
      <c r="DC1365">
        <v>32.79</v>
      </c>
      <c r="DD1365">
        <v>0.17</v>
      </c>
      <c r="DE1365">
        <v>258</v>
      </c>
      <c r="DF1365">
        <v>2933</v>
      </c>
      <c r="DG1365" t="s">
        <v>116</v>
      </c>
      <c r="DH1365" t="s">
        <v>116</v>
      </c>
      <c r="DI1365" t="s">
        <v>116</v>
      </c>
    </row>
    <row r="1366" spans="1:113" x14ac:dyDescent="0.4">
      <c r="A1366" t="str">
        <f>"002935"</f>
        <v>002935</v>
      </c>
      <c r="B1366" t="s">
        <v>7454</v>
      </c>
      <c r="C1366">
        <v>-0.52</v>
      </c>
      <c r="D1366">
        <v>28.69</v>
      </c>
      <c r="E1366">
        <v>-0.15</v>
      </c>
      <c r="F1366">
        <v>28.68</v>
      </c>
      <c r="G1366">
        <v>28.69</v>
      </c>
      <c r="H1366">
        <v>32158</v>
      </c>
      <c r="I1366">
        <v>174</v>
      </c>
      <c r="J1366">
        <v>0.1</v>
      </c>
      <c r="K1366">
        <v>3.96</v>
      </c>
      <c r="L1366">
        <v>28.74</v>
      </c>
      <c r="M1366">
        <v>29.69</v>
      </c>
      <c r="N1366">
        <v>28.64</v>
      </c>
      <c r="O1366">
        <v>28.84</v>
      </c>
      <c r="P1366">
        <v>99.87</v>
      </c>
      <c r="Q1366">
        <v>93709920</v>
      </c>
      <c r="R1366">
        <v>1.81</v>
      </c>
      <c r="S1366" t="s">
        <v>233</v>
      </c>
      <c r="T1366" t="s">
        <v>582</v>
      </c>
      <c r="U1366">
        <v>3.64</v>
      </c>
      <c r="V1366">
        <v>29.14</v>
      </c>
      <c r="W1366">
        <v>16108</v>
      </c>
      <c r="X1366">
        <v>16050</v>
      </c>
      <c r="Y1366">
        <v>1</v>
      </c>
      <c r="Z1366">
        <v>15</v>
      </c>
      <c r="AA1366">
        <v>135</v>
      </c>
      <c r="AB1366" t="s">
        <v>116</v>
      </c>
      <c r="AC1366">
        <v>2900</v>
      </c>
      <c r="AD1366">
        <v>0</v>
      </c>
      <c r="AE1366" t="s">
        <v>116</v>
      </c>
      <c r="AF1366" t="s">
        <v>116</v>
      </c>
      <c r="AG1366">
        <v>0.81</v>
      </c>
      <c r="AH1366" t="s">
        <v>4347</v>
      </c>
      <c r="AI1366" t="s">
        <v>7455</v>
      </c>
      <c r="AJ1366">
        <v>0.16</v>
      </c>
      <c r="AK1366">
        <v>2000</v>
      </c>
      <c r="AL1366">
        <v>16</v>
      </c>
      <c r="AM1366">
        <v>2E-3</v>
      </c>
      <c r="AN1366">
        <v>-1</v>
      </c>
      <c r="AO1366">
        <v>1.88</v>
      </c>
      <c r="AP1366">
        <v>9.1300000000000008</v>
      </c>
      <c r="AQ1366">
        <v>-7.99</v>
      </c>
      <c r="AR1366">
        <v>1.43</v>
      </c>
      <c r="AS1366">
        <v>3.96</v>
      </c>
      <c r="AT1366" t="s">
        <v>4347</v>
      </c>
      <c r="AU1366">
        <v>46.19</v>
      </c>
      <c r="AV1366">
        <v>47.29</v>
      </c>
      <c r="AW1366">
        <v>1.1299999999999999</v>
      </c>
      <c r="BA1366">
        <v>-0.35</v>
      </c>
      <c r="BB1366">
        <v>2.95</v>
      </c>
      <c r="BC1366">
        <v>-0.69</v>
      </c>
      <c r="BD1366">
        <v>1.04</v>
      </c>
      <c r="BE1366">
        <v>-0.17</v>
      </c>
      <c r="BF1366">
        <v>-3.37</v>
      </c>
      <c r="BG1366">
        <v>0.17</v>
      </c>
      <c r="BH1366">
        <v>-1.56</v>
      </c>
      <c r="BI1366">
        <v>20191025</v>
      </c>
      <c r="BJ1366">
        <v>20180903</v>
      </c>
      <c r="BK1366">
        <v>1.6</v>
      </c>
      <c r="BL1366" t="s">
        <v>116</v>
      </c>
      <c r="BM1366" t="s">
        <v>116</v>
      </c>
      <c r="BN1366">
        <v>15.35</v>
      </c>
      <c r="BO1366">
        <v>11.91</v>
      </c>
      <c r="BP1366">
        <v>0</v>
      </c>
      <c r="BQ1366">
        <v>22.44</v>
      </c>
      <c r="BR1366">
        <v>14.44</v>
      </c>
      <c r="BS1366">
        <v>0.27</v>
      </c>
      <c r="BT1366">
        <v>0.08</v>
      </c>
      <c r="BU1366">
        <v>3.27</v>
      </c>
      <c r="BV1366">
        <v>4.9400000000000004</v>
      </c>
      <c r="BW1366">
        <v>3.6</v>
      </c>
      <c r="BX1366">
        <v>4.8</v>
      </c>
      <c r="BY1366">
        <v>4.3499999999999996</v>
      </c>
      <c r="BZ1366">
        <v>3.01</v>
      </c>
      <c r="CA1366">
        <v>0.37</v>
      </c>
      <c r="CB1366">
        <v>0.08</v>
      </c>
      <c r="CC1366">
        <v>0.37</v>
      </c>
      <c r="CD1366">
        <v>0.34</v>
      </c>
      <c r="CE1366">
        <v>0.34</v>
      </c>
      <c r="CF1366">
        <v>0.25</v>
      </c>
      <c r="CG1366">
        <v>4.87</v>
      </c>
      <c r="CH1366">
        <v>-1.49</v>
      </c>
      <c r="CI1366">
        <v>-3.96</v>
      </c>
      <c r="CJ1366">
        <v>16516</v>
      </c>
      <c r="CK1366">
        <v>4911</v>
      </c>
      <c r="CL1366" t="s">
        <v>7456</v>
      </c>
      <c r="CM1366">
        <v>7.18</v>
      </c>
      <c r="CN1366">
        <v>2.58</v>
      </c>
      <c r="CO1366">
        <v>3.86</v>
      </c>
      <c r="CP1366">
        <v>-30.8</v>
      </c>
      <c r="CQ1366">
        <v>10.55</v>
      </c>
      <c r="CR1366">
        <v>0.57999999999999996</v>
      </c>
      <c r="CS1366" t="s">
        <v>4228</v>
      </c>
      <c r="CT1366">
        <v>7.44</v>
      </c>
      <c r="CU1366">
        <v>0</v>
      </c>
      <c r="CV1366">
        <v>3</v>
      </c>
      <c r="CW1366">
        <v>3.04</v>
      </c>
      <c r="CX1366">
        <v>-0.93</v>
      </c>
      <c r="CY1366">
        <v>77.56</v>
      </c>
      <c r="CZ1366" t="s">
        <v>146</v>
      </c>
      <c r="DA1366">
        <v>30.8</v>
      </c>
      <c r="DB1366">
        <v>8.57</v>
      </c>
      <c r="DC1366">
        <v>7.92</v>
      </c>
      <c r="DD1366">
        <v>0.43</v>
      </c>
      <c r="DE1366">
        <v>542</v>
      </c>
      <c r="DF1366">
        <v>2935</v>
      </c>
      <c r="DG1366" t="s">
        <v>116</v>
      </c>
      <c r="DH1366" t="s">
        <v>116</v>
      </c>
      <c r="DI1366" t="s">
        <v>116</v>
      </c>
    </row>
    <row r="1367" spans="1:113" x14ac:dyDescent="0.4">
      <c r="A1367" t="str">
        <f>"002936"</f>
        <v>002936</v>
      </c>
      <c r="B1367" t="s">
        <v>7457</v>
      </c>
      <c r="C1367">
        <v>0</v>
      </c>
      <c r="D1367">
        <v>4.59</v>
      </c>
      <c r="E1367">
        <v>0</v>
      </c>
      <c r="F1367">
        <v>4.59</v>
      </c>
      <c r="G1367">
        <v>4.5999999999999996</v>
      </c>
      <c r="H1367">
        <v>214192</v>
      </c>
      <c r="I1367">
        <v>1193</v>
      </c>
      <c r="J1367">
        <v>0</v>
      </c>
      <c r="K1367">
        <v>1.43</v>
      </c>
      <c r="L1367">
        <v>4.58</v>
      </c>
      <c r="M1367">
        <v>4.6500000000000004</v>
      </c>
      <c r="N1367">
        <v>4.57</v>
      </c>
      <c r="O1367">
        <v>4.59</v>
      </c>
      <c r="P1367">
        <v>5.68</v>
      </c>
      <c r="Q1367">
        <v>98688488</v>
      </c>
      <c r="R1367">
        <v>1.02</v>
      </c>
      <c r="S1367" t="s">
        <v>114</v>
      </c>
      <c r="T1367" t="s">
        <v>652</v>
      </c>
      <c r="U1367">
        <v>1.74</v>
      </c>
      <c r="V1367">
        <v>4.6100000000000003</v>
      </c>
      <c r="W1367">
        <v>102152</v>
      </c>
      <c r="X1367">
        <v>112040</v>
      </c>
      <c r="Y1367">
        <v>0.91</v>
      </c>
      <c r="Z1367">
        <v>8738</v>
      </c>
      <c r="AA1367">
        <v>618</v>
      </c>
      <c r="AB1367" t="s">
        <v>116</v>
      </c>
      <c r="AC1367">
        <v>231300</v>
      </c>
      <c r="AD1367">
        <v>0</v>
      </c>
      <c r="AE1367" t="s">
        <v>116</v>
      </c>
      <c r="AF1367" t="s">
        <v>116</v>
      </c>
      <c r="AG1367">
        <v>14.99</v>
      </c>
      <c r="AH1367" t="s">
        <v>7458</v>
      </c>
      <c r="AI1367" t="s">
        <v>7459</v>
      </c>
      <c r="AJ1367">
        <v>0.68</v>
      </c>
      <c r="AK1367">
        <v>2242</v>
      </c>
      <c r="AL1367">
        <v>96</v>
      </c>
      <c r="AM1367">
        <v>5.9999999999999995E-4</v>
      </c>
      <c r="AN1367">
        <v>0</v>
      </c>
      <c r="AO1367">
        <v>0.01</v>
      </c>
      <c r="AP1367">
        <v>2.68</v>
      </c>
      <c r="AQ1367">
        <v>-2.96</v>
      </c>
      <c r="AR1367">
        <v>-6.71</v>
      </c>
      <c r="AS1367">
        <v>1.43</v>
      </c>
      <c r="AT1367" t="s">
        <v>7458</v>
      </c>
      <c r="AU1367">
        <v>8.4600000000000009</v>
      </c>
      <c r="AV1367">
        <v>8.89</v>
      </c>
      <c r="AW1367">
        <v>0.67</v>
      </c>
      <c r="BA1367">
        <v>-0.22</v>
      </c>
      <c r="BB1367">
        <v>1.31</v>
      </c>
      <c r="BC1367">
        <v>-0.44</v>
      </c>
      <c r="BD1367">
        <v>0.38</v>
      </c>
      <c r="BE1367">
        <v>0.22</v>
      </c>
      <c r="BF1367">
        <v>-1.29</v>
      </c>
      <c r="BG1367">
        <v>0.44</v>
      </c>
      <c r="BH1367">
        <v>-0.38</v>
      </c>
      <c r="BI1367">
        <v>20191203</v>
      </c>
      <c r="BJ1367">
        <v>20180919</v>
      </c>
      <c r="BK1367">
        <v>59.22</v>
      </c>
      <c r="BL1367" t="s">
        <v>116</v>
      </c>
      <c r="BM1367">
        <v>15.18</v>
      </c>
      <c r="BN1367">
        <v>4927.9399999999996</v>
      </c>
      <c r="BO1367">
        <v>393.87</v>
      </c>
      <c r="BP1367">
        <v>12.82</v>
      </c>
      <c r="BQ1367">
        <v>91.75</v>
      </c>
      <c r="BR1367">
        <v>0</v>
      </c>
      <c r="BS1367">
        <v>22.93</v>
      </c>
      <c r="BT1367">
        <v>7.93</v>
      </c>
      <c r="BU1367">
        <v>0</v>
      </c>
      <c r="BV1367">
        <v>0</v>
      </c>
      <c r="BW1367">
        <v>0</v>
      </c>
      <c r="BX1367">
        <v>51.64</v>
      </c>
      <c r="BY1367">
        <v>96.22</v>
      </c>
      <c r="BZ1367">
        <v>0</v>
      </c>
      <c r="CA1367">
        <v>44.78</v>
      </c>
      <c r="CB1367">
        <v>13.26</v>
      </c>
      <c r="CC1367">
        <v>44.78</v>
      </c>
      <c r="CD1367">
        <v>36.549999999999997</v>
      </c>
      <c r="CE1367">
        <v>35.9</v>
      </c>
      <c r="CF1367">
        <v>35.869999999999997</v>
      </c>
      <c r="CG1367">
        <v>122.2</v>
      </c>
      <c r="CH1367">
        <v>-81.72</v>
      </c>
      <c r="CI1367">
        <v>-119.19</v>
      </c>
      <c r="CJ1367">
        <v>134583</v>
      </c>
      <c r="CK1367">
        <v>11139</v>
      </c>
      <c r="CL1367" t="s">
        <v>3637</v>
      </c>
      <c r="CM1367">
        <v>4.49</v>
      </c>
      <c r="CN1367">
        <v>19.7</v>
      </c>
      <c r="CO1367">
        <v>0.86</v>
      </c>
      <c r="CP1367">
        <v>-3.33</v>
      </c>
      <c r="CQ1367">
        <v>2.82</v>
      </c>
      <c r="CR1367">
        <v>3.27</v>
      </c>
      <c r="CS1367" t="s">
        <v>7460</v>
      </c>
      <c r="CT1367">
        <v>5.33</v>
      </c>
      <c r="CU1367">
        <v>5.33</v>
      </c>
      <c r="CV1367">
        <v>0.87</v>
      </c>
      <c r="CW1367">
        <v>2.06</v>
      </c>
      <c r="CX1367">
        <v>-1.38</v>
      </c>
      <c r="CY1367">
        <v>7.99</v>
      </c>
      <c r="CZ1367" t="s">
        <v>7461</v>
      </c>
      <c r="DA1367" t="s">
        <v>116</v>
      </c>
      <c r="DB1367">
        <v>46.54</v>
      </c>
      <c r="DC1367">
        <v>37.31</v>
      </c>
      <c r="DD1367">
        <v>0</v>
      </c>
      <c r="DE1367">
        <v>4929</v>
      </c>
      <c r="DF1367">
        <v>2936</v>
      </c>
      <c r="DG1367" t="s">
        <v>116</v>
      </c>
      <c r="DH1367" t="s">
        <v>116</v>
      </c>
      <c r="DI1367" t="s">
        <v>116</v>
      </c>
    </row>
    <row r="1368" spans="1:113" x14ac:dyDescent="0.4">
      <c r="A1368" t="str">
        <f>"002937"</f>
        <v>002937</v>
      </c>
      <c r="B1368" t="s">
        <v>7462</v>
      </c>
      <c r="C1368">
        <v>-1.73</v>
      </c>
      <c r="D1368">
        <v>15.31</v>
      </c>
      <c r="E1368">
        <v>-0.27</v>
      </c>
      <c r="F1368">
        <v>15.3</v>
      </c>
      <c r="G1368">
        <v>15.31</v>
      </c>
      <c r="H1368">
        <v>44855</v>
      </c>
      <c r="I1368">
        <v>383</v>
      </c>
      <c r="J1368">
        <v>-0.12</v>
      </c>
      <c r="K1368">
        <v>4.68</v>
      </c>
      <c r="L1368">
        <v>15.59</v>
      </c>
      <c r="M1368">
        <v>15.69</v>
      </c>
      <c r="N1368">
        <v>15.25</v>
      </c>
      <c r="O1368">
        <v>15.58</v>
      </c>
      <c r="P1368">
        <v>32.200000000000003</v>
      </c>
      <c r="Q1368">
        <v>69052680</v>
      </c>
      <c r="R1368">
        <v>0.93</v>
      </c>
      <c r="S1368" t="s">
        <v>233</v>
      </c>
      <c r="T1368" t="s">
        <v>590</v>
      </c>
      <c r="U1368">
        <v>2.82</v>
      </c>
      <c r="V1368">
        <v>15.39</v>
      </c>
      <c r="W1368">
        <v>28230</v>
      </c>
      <c r="X1368">
        <v>16625</v>
      </c>
      <c r="Y1368">
        <v>1.7</v>
      </c>
      <c r="Z1368">
        <v>1606</v>
      </c>
      <c r="AA1368">
        <v>37</v>
      </c>
      <c r="AB1368" t="s">
        <v>116</v>
      </c>
      <c r="AC1368">
        <v>615800</v>
      </c>
      <c r="AD1368">
        <v>0.04</v>
      </c>
      <c r="AE1368" t="s">
        <v>116</v>
      </c>
      <c r="AF1368" t="s">
        <v>116</v>
      </c>
      <c r="AG1368">
        <v>0.96</v>
      </c>
      <c r="AH1368" t="s">
        <v>3838</v>
      </c>
      <c r="AI1368" t="s">
        <v>7463</v>
      </c>
      <c r="AJ1368">
        <v>-1.05</v>
      </c>
      <c r="AK1368">
        <v>1962</v>
      </c>
      <c r="AL1368">
        <v>23</v>
      </c>
      <c r="AM1368">
        <v>2.3999999999999998E-3</v>
      </c>
      <c r="AN1368">
        <v>-1</v>
      </c>
      <c r="AO1368">
        <v>4.1399999999999997</v>
      </c>
      <c r="AP1368">
        <v>8.1999999999999993</v>
      </c>
      <c r="AQ1368">
        <v>-0.57999999999999996</v>
      </c>
      <c r="AR1368">
        <v>9.9</v>
      </c>
      <c r="AS1368">
        <v>4.8</v>
      </c>
      <c r="AT1368" t="s">
        <v>7426</v>
      </c>
      <c r="AU1368">
        <v>33.4</v>
      </c>
      <c r="AV1368">
        <v>41.09</v>
      </c>
      <c r="AW1368">
        <v>1.06</v>
      </c>
      <c r="BA1368">
        <v>0.06</v>
      </c>
      <c r="BB1368">
        <v>0.71</v>
      </c>
      <c r="BC1368">
        <v>-2.12</v>
      </c>
      <c r="BD1368">
        <v>-1.19</v>
      </c>
      <c r="BE1368">
        <v>-1.8</v>
      </c>
      <c r="BF1368">
        <v>-2.42</v>
      </c>
      <c r="BG1368">
        <v>0.39</v>
      </c>
      <c r="BH1368">
        <v>-0.54</v>
      </c>
      <c r="BI1368">
        <v>20191225</v>
      </c>
      <c r="BJ1368">
        <v>20180926</v>
      </c>
      <c r="BK1368">
        <v>2.94</v>
      </c>
      <c r="BL1368" t="s">
        <v>116</v>
      </c>
      <c r="BM1368" t="s">
        <v>116</v>
      </c>
      <c r="BN1368">
        <v>11.01</v>
      </c>
      <c r="BO1368">
        <v>8.86</v>
      </c>
      <c r="BP1368">
        <v>0</v>
      </c>
      <c r="BQ1368">
        <v>19.52</v>
      </c>
      <c r="BR1368">
        <v>8.31</v>
      </c>
      <c r="BS1368">
        <v>1.76</v>
      </c>
      <c r="BT1368">
        <v>0.39</v>
      </c>
      <c r="BU1368">
        <v>2.15</v>
      </c>
      <c r="BV1368">
        <v>0.61</v>
      </c>
      <c r="BW1368">
        <v>2.82</v>
      </c>
      <c r="BX1368">
        <v>3.3</v>
      </c>
      <c r="BY1368">
        <v>7.64</v>
      </c>
      <c r="BZ1368">
        <v>5.46</v>
      </c>
      <c r="CA1368">
        <v>1.2</v>
      </c>
      <c r="CB1368">
        <v>0</v>
      </c>
      <c r="CC1368">
        <v>1.21</v>
      </c>
      <c r="CD1368">
        <v>1.05</v>
      </c>
      <c r="CE1368">
        <v>1.05</v>
      </c>
      <c r="CF1368">
        <v>0.91</v>
      </c>
      <c r="CG1368">
        <v>2.41</v>
      </c>
      <c r="CH1368">
        <v>2.19</v>
      </c>
      <c r="CI1368">
        <v>0.5</v>
      </c>
      <c r="CJ1368">
        <v>24975</v>
      </c>
      <c r="CK1368">
        <v>3743</v>
      </c>
      <c r="CL1368" t="s">
        <v>7464</v>
      </c>
      <c r="CM1368">
        <v>31.68</v>
      </c>
      <c r="CN1368">
        <v>2.23</v>
      </c>
      <c r="CO1368">
        <v>5.08</v>
      </c>
      <c r="CP1368">
        <v>20.63</v>
      </c>
      <c r="CQ1368">
        <v>5.9</v>
      </c>
      <c r="CR1368">
        <v>1.22</v>
      </c>
      <c r="CS1368" t="s">
        <v>6948</v>
      </c>
      <c r="CT1368">
        <v>3.01</v>
      </c>
      <c r="CU1368">
        <v>0</v>
      </c>
      <c r="CV1368">
        <v>1.1200000000000001</v>
      </c>
      <c r="CW1368">
        <v>0.82</v>
      </c>
      <c r="CX1368">
        <v>0.74</v>
      </c>
      <c r="CY1368">
        <v>80.48</v>
      </c>
      <c r="CZ1368" t="s">
        <v>2013</v>
      </c>
      <c r="DA1368">
        <v>28.47</v>
      </c>
      <c r="DB1368">
        <v>15.68</v>
      </c>
      <c r="DC1368">
        <v>13.74</v>
      </c>
      <c r="DD1368">
        <v>0.39</v>
      </c>
      <c r="DE1368">
        <v>2985</v>
      </c>
      <c r="DF1368">
        <v>2937</v>
      </c>
      <c r="DG1368" t="s">
        <v>116</v>
      </c>
      <c r="DH1368" t="s">
        <v>116</v>
      </c>
      <c r="DI1368" t="s">
        <v>116</v>
      </c>
    </row>
    <row r="1369" spans="1:113" x14ac:dyDescent="0.4">
      <c r="A1369" t="str">
        <f>"002938"</f>
        <v>002938</v>
      </c>
      <c r="B1369" t="s">
        <v>7465</v>
      </c>
      <c r="C1369">
        <v>-0.59</v>
      </c>
      <c r="D1369">
        <v>44.01</v>
      </c>
      <c r="E1369">
        <v>-0.26</v>
      </c>
      <c r="F1369">
        <v>44.01</v>
      </c>
      <c r="G1369">
        <v>44.02</v>
      </c>
      <c r="H1369">
        <v>87342</v>
      </c>
      <c r="I1369">
        <v>1010</v>
      </c>
      <c r="J1369">
        <v>-0.35</v>
      </c>
      <c r="K1369">
        <v>3.78</v>
      </c>
      <c r="L1369">
        <v>44.9</v>
      </c>
      <c r="M1369">
        <v>45.11</v>
      </c>
      <c r="N1369">
        <v>43.64</v>
      </c>
      <c r="O1369">
        <v>44.27</v>
      </c>
      <c r="P1369">
        <v>44.82</v>
      </c>
      <c r="Q1369">
        <v>385980032</v>
      </c>
      <c r="R1369">
        <v>0.88</v>
      </c>
      <c r="S1369" t="s">
        <v>233</v>
      </c>
      <c r="T1369" t="s">
        <v>115</v>
      </c>
      <c r="U1369">
        <v>3.32</v>
      </c>
      <c r="V1369">
        <v>44.19</v>
      </c>
      <c r="W1369">
        <v>48304</v>
      </c>
      <c r="X1369">
        <v>39038</v>
      </c>
      <c r="Y1369">
        <v>1.24</v>
      </c>
      <c r="Z1369">
        <v>70</v>
      </c>
      <c r="AA1369">
        <v>10</v>
      </c>
      <c r="AB1369" t="s">
        <v>116</v>
      </c>
      <c r="AC1369">
        <v>4605100</v>
      </c>
      <c r="AD1369">
        <v>0.04</v>
      </c>
      <c r="AE1369" t="s">
        <v>116</v>
      </c>
      <c r="AF1369" t="s">
        <v>116</v>
      </c>
      <c r="AG1369">
        <v>2.31</v>
      </c>
      <c r="AH1369" t="s">
        <v>7466</v>
      </c>
      <c r="AI1369" t="s">
        <v>7467</v>
      </c>
      <c r="AJ1369">
        <v>0.09</v>
      </c>
      <c r="AK1369">
        <v>3908</v>
      </c>
      <c r="AL1369">
        <v>22</v>
      </c>
      <c r="AM1369">
        <v>1E-3</v>
      </c>
      <c r="AN1369">
        <v>-3</v>
      </c>
      <c r="AO1369">
        <v>-2.75</v>
      </c>
      <c r="AP1369">
        <v>-10.91</v>
      </c>
      <c r="AQ1369">
        <v>7.16</v>
      </c>
      <c r="AR1369">
        <v>158.58000000000001</v>
      </c>
      <c r="AS1369">
        <v>3.78</v>
      </c>
      <c r="AT1369" t="s">
        <v>7466</v>
      </c>
      <c r="AU1369">
        <v>34.94</v>
      </c>
      <c r="AV1369">
        <v>36.71</v>
      </c>
      <c r="AW1369">
        <v>1.49</v>
      </c>
      <c r="BA1369">
        <v>1.42</v>
      </c>
      <c r="BB1369">
        <v>1.9</v>
      </c>
      <c r="BC1369">
        <v>-1.42</v>
      </c>
      <c r="BD1369">
        <v>-0.18</v>
      </c>
      <c r="BE1369">
        <v>-1.98</v>
      </c>
      <c r="BF1369">
        <v>-2.44</v>
      </c>
      <c r="BG1369">
        <v>0.85</v>
      </c>
      <c r="BH1369">
        <v>-0.41</v>
      </c>
      <c r="BI1369">
        <v>20191031</v>
      </c>
      <c r="BJ1369">
        <v>20180918</v>
      </c>
      <c r="BK1369">
        <v>23.11</v>
      </c>
      <c r="BL1369" t="s">
        <v>116</v>
      </c>
      <c r="BM1369" t="s">
        <v>116</v>
      </c>
      <c r="BN1369">
        <v>287.20999999999998</v>
      </c>
      <c r="BO1369">
        <v>185.58</v>
      </c>
      <c r="BP1369">
        <v>0</v>
      </c>
      <c r="BQ1369">
        <v>35.39</v>
      </c>
      <c r="BR1369">
        <v>168.76</v>
      </c>
      <c r="BS1369">
        <v>84.66</v>
      </c>
      <c r="BT1369">
        <v>17.16</v>
      </c>
      <c r="BU1369">
        <v>100.46</v>
      </c>
      <c r="BV1369">
        <v>25.41</v>
      </c>
      <c r="BW1369">
        <v>61.78</v>
      </c>
      <c r="BX1369">
        <v>121.55</v>
      </c>
      <c r="BY1369">
        <v>173.37</v>
      </c>
      <c r="BZ1369">
        <v>135.24</v>
      </c>
      <c r="CA1369">
        <v>20.53</v>
      </c>
      <c r="CB1369">
        <v>0.28000000000000003</v>
      </c>
      <c r="CC1369">
        <v>20.52</v>
      </c>
      <c r="CD1369">
        <v>17.02</v>
      </c>
      <c r="CE1369">
        <v>17.02</v>
      </c>
      <c r="CF1369">
        <v>15.96</v>
      </c>
      <c r="CG1369">
        <v>38.020000000000003</v>
      </c>
      <c r="CH1369">
        <v>24.08</v>
      </c>
      <c r="CI1369">
        <v>-0.56000000000000005</v>
      </c>
      <c r="CJ1369">
        <v>39996</v>
      </c>
      <c r="CK1369">
        <v>5779</v>
      </c>
      <c r="CL1369" t="s">
        <v>7468</v>
      </c>
      <c r="CM1369">
        <v>8.9700000000000006</v>
      </c>
      <c r="CN1369">
        <v>0.4</v>
      </c>
      <c r="CO1369">
        <v>5.48</v>
      </c>
      <c r="CP1369">
        <v>42.24</v>
      </c>
      <c r="CQ1369">
        <v>5.87</v>
      </c>
      <c r="CR1369">
        <v>1.1399999999999999</v>
      </c>
      <c r="CS1369" t="s">
        <v>7469</v>
      </c>
      <c r="CT1369">
        <v>8.0299999999999994</v>
      </c>
      <c r="CU1369">
        <v>0</v>
      </c>
      <c r="CV1369">
        <v>5.26</v>
      </c>
      <c r="CW1369">
        <v>1.64</v>
      </c>
      <c r="CX1369">
        <v>1.04</v>
      </c>
      <c r="CY1369">
        <v>64.61</v>
      </c>
      <c r="CZ1369" t="s">
        <v>7470</v>
      </c>
      <c r="DA1369">
        <v>22</v>
      </c>
      <c r="DB1369">
        <v>11.84</v>
      </c>
      <c r="DC1369">
        <v>9.82</v>
      </c>
      <c r="DD1369">
        <v>8.86</v>
      </c>
      <c r="DE1369">
        <v>35479</v>
      </c>
      <c r="DF1369">
        <v>2938</v>
      </c>
      <c r="DG1369" t="s">
        <v>116</v>
      </c>
      <c r="DH1369" t="s">
        <v>116</v>
      </c>
      <c r="DI1369" t="s">
        <v>116</v>
      </c>
    </row>
    <row r="1370" spans="1:113" x14ac:dyDescent="0.4">
      <c r="A1370" t="str">
        <f>"002939"</f>
        <v>002939</v>
      </c>
      <c r="B1370" t="s">
        <v>7471</v>
      </c>
      <c r="C1370">
        <v>-2.42</v>
      </c>
      <c r="D1370">
        <v>13.31</v>
      </c>
      <c r="E1370">
        <v>-0.33</v>
      </c>
      <c r="F1370">
        <v>13.3</v>
      </c>
      <c r="G1370">
        <v>13.31</v>
      </c>
      <c r="H1370">
        <v>885738</v>
      </c>
      <c r="I1370">
        <v>9648</v>
      </c>
      <c r="J1370">
        <v>-7.0000000000000007E-2</v>
      </c>
      <c r="K1370">
        <v>5.32</v>
      </c>
      <c r="L1370">
        <v>13.57</v>
      </c>
      <c r="M1370">
        <v>14.06</v>
      </c>
      <c r="N1370">
        <v>13.29</v>
      </c>
      <c r="O1370">
        <v>13.64</v>
      </c>
      <c r="P1370">
        <v>41.64</v>
      </c>
      <c r="Q1370">
        <v>1214772992</v>
      </c>
      <c r="R1370">
        <v>1.43</v>
      </c>
      <c r="S1370" t="s">
        <v>623</v>
      </c>
      <c r="T1370" t="s">
        <v>115</v>
      </c>
      <c r="U1370">
        <v>5.65</v>
      </c>
      <c r="V1370">
        <v>13.71</v>
      </c>
      <c r="W1370">
        <v>442661</v>
      </c>
      <c r="X1370">
        <v>443077</v>
      </c>
      <c r="Y1370">
        <v>1</v>
      </c>
      <c r="Z1370">
        <v>2758</v>
      </c>
      <c r="AA1370">
        <v>309</v>
      </c>
      <c r="AB1370" t="s">
        <v>116</v>
      </c>
      <c r="AC1370">
        <v>4362800</v>
      </c>
      <c r="AD1370">
        <v>0.04</v>
      </c>
      <c r="AE1370" t="s">
        <v>116</v>
      </c>
      <c r="AF1370" t="s">
        <v>116</v>
      </c>
      <c r="AG1370">
        <v>16.64</v>
      </c>
      <c r="AH1370" t="s">
        <v>7472</v>
      </c>
      <c r="AI1370" t="s">
        <v>7473</v>
      </c>
      <c r="AJ1370">
        <v>-1.74</v>
      </c>
      <c r="AK1370">
        <v>4567</v>
      </c>
      <c r="AL1370">
        <v>194</v>
      </c>
      <c r="AM1370">
        <v>1.1999999999999999E-3</v>
      </c>
      <c r="AN1370">
        <v>-1</v>
      </c>
      <c r="AO1370">
        <v>-0.82</v>
      </c>
      <c r="AP1370">
        <v>14.15</v>
      </c>
      <c r="AQ1370">
        <v>-12.43</v>
      </c>
      <c r="AR1370">
        <v>37.08</v>
      </c>
      <c r="AS1370">
        <v>9.99</v>
      </c>
      <c r="AT1370" t="s">
        <v>7474</v>
      </c>
      <c r="AU1370">
        <v>48.57</v>
      </c>
      <c r="AV1370">
        <v>70.52</v>
      </c>
      <c r="AW1370">
        <v>1.26</v>
      </c>
      <c r="BA1370">
        <v>-0.51</v>
      </c>
      <c r="BB1370">
        <v>3.08</v>
      </c>
      <c r="BC1370">
        <v>-2.57</v>
      </c>
      <c r="BD1370">
        <v>0.55000000000000004</v>
      </c>
      <c r="BE1370">
        <v>-1.92</v>
      </c>
      <c r="BF1370">
        <v>-5.33</v>
      </c>
      <c r="BG1370">
        <v>0.15</v>
      </c>
      <c r="BH1370">
        <v>-2.97</v>
      </c>
      <c r="BI1370">
        <v>20191212</v>
      </c>
      <c r="BJ1370">
        <v>20181026</v>
      </c>
      <c r="BK1370">
        <v>31.03</v>
      </c>
      <c r="BL1370" t="s">
        <v>116</v>
      </c>
      <c r="BM1370" t="s">
        <v>116</v>
      </c>
      <c r="BN1370">
        <v>612.25</v>
      </c>
      <c r="BO1370">
        <v>166.73</v>
      </c>
      <c r="BP1370">
        <v>4.2300000000000004</v>
      </c>
      <c r="BQ1370">
        <v>72.08</v>
      </c>
      <c r="BR1370">
        <v>0</v>
      </c>
      <c r="BS1370">
        <v>1.68</v>
      </c>
      <c r="BT1370">
        <v>0.68</v>
      </c>
      <c r="BU1370">
        <v>0</v>
      </c>
      <c r="BV1370">
        <v>0</v>
      </c>
      <c r="BW1370">
        <v>0</v>
      </c>
      <c r="BX1370">
        <v>92.2</v>
      </c>
      <c r="BY1370">
        <v>26.42</v>
      </c>
      <c r="BZ1370">
        <v>0</v>
      </c>
      <c r="CA1370">
        <v>9.14</v>
      </c>
      <c r="CB1370">
        <v>7.09</v>
      </c>
      <c r="CC1370">
        <v>9.15</v>
      </c>
      <c r="CD1370">
        <v>7.57</v>
      </c>
      <c r="CE1370">
        <v>7.44</v>
      </c>
      <c r="CF1370">
        <v>7.36</v>
      </c>
      <c r="CG1370">
        <v>22.83</v>
      </c>
      <c r="CH1370">
        <v>20.16</v>
      </c>
      <c r="CI1370">
        <v>54.3</v>
      </c>
      <c r="CJ1370">
        <v>101942</v>
      </c>
      <c r="CK1370">
        <v>8699</v>
      </c>
      <c r="CL1370" t="s">
        <v>327</v>
      </c>
      <c r="CM1370">
        <v>55.22</v>
      </c>
      <c r="CN1370">
        <v>29.62</v>
      </c>
      <c r="CO1370">
        <v>2.48</v>
      </c>
      <c r="CP1370">
        <v>20.48</v>
      </c>
      <c r="CQ1370">
        <v>15.63</v>
      </c>
      <c r="CR1370">
        <v>1.5</v>
      </c>
      <c r="CS1370" t="s">
        <v>5764</v>
      </c>
      <c r="CT1370">
        <v>5.37</v>
      </c>
      <c r="CU1370">
        <v>0</v>
      </c>
      <c r="CV1370">
        <v>2.97</v>
      </c>
      <c r="CW1370">
        <v>0.74</v>
      </c>
      <c r="CX1370">
        <v>0.65</v>
      </c>
      <c r="CY1370">
        <v>27.23</v>
      </c>
      <c r="CZ1370" t="s">
        <v>1832</v>
      </c>
      <c r="DA1370" t="s">
        <v>116</v>
      </c>
      <c r="DB1370">
        <v>34.6</v>
      </c>
      <c r="DC1370">
        <v>28.16</v>
      </c>
      <c r="DD1370">
        <v>0</v>
      </c>
      <c r="DE1370">
        <v>3176</v>
      </c>
      <c r="DF1370">
        <v>2939</v>
      </c>
      <c r="DG1370" t="s">
        <v>116</v>
      </c>
      <c r="DH1370" t="s">
        <v>116</v>
      </c>
      <c r="DI1370" t="s">
        <v>116</v>
      </c>
    </row>
    <row r="1371" spans="1:113" x14ac:dyDescent="0.4">
      <c r="A1371" t="str">
        <f>"002940"</f>
        <v>002940</v>
      </c>
      <c r="B1371" t="s">
        <v>7475</v>
      </c>
      <c r="C1371">
        <v>-0.99</v>
      </c>
      <c r="D1371">
        <v>29.05</v>
      </c>
      <c r="E1371">
        <v>-0.28999999999999998</v>
      </c>
      <c r="F1371">
        <v>29.05</v>
      </c>
      <c r="G1371">
        <v>29.08</v>
      </c>
      <c r="H1371">
        <v>5515</v>
      </c>
      <c r="I1371">
        <v>40</v>
      </c>
      <c r="J1371">
        <v>-0.16</v>
      </c>
      <c r="K1371">
        <v>1.17</v>
      </c>
      <c r="L1371">
        <v>29.4</v>
      </c>
      <c r="M1371">
        <v>29.6</v>
      </c>
      <c r="N1371">
        <v>29</v>
      </c>
      <c r="O1371">
        <v>29.34</v>
      </c>
      <c r="P1371">
        <v>21.69</v>
      </c>
      <c r="Q1371">
        <v>16143061</v>
      </c>
      <c r="R1371">
        <v>1.04</v>
      </c>
      <c r="S1371" t="s">
        <v>574</v>
      </c>
      <c r="T1371" t="s">
        <v>590</v>
      </c>
      <c r="U1371">
        <v>2.04</v>
      </c>
      <c r="V1371">
        <v>29.27</v>
      </c>
      <c r="W1371">
        <v>3696</v>
      </c>
      <c r="X1371">
        <v>1819</v>
      </c>
      <c r="Y1371">
        <v>2.0299999999999998</v>
      </c>
      <c r="Z1371">
        <v>22</v>
      </c>
      <c r="AA1371">
        <v>33</v>
      </c>
      <c r="AB1371" t="s">
        <v>116</v>
      </c>
      <c r="AC1371">
        <v>0</v>
      </c>
      <c r="AD1371">
        <v>0</v>
      </c>
      <c r="AE1371" t="s">
        <v>116</v>
      </c>
      <c r="AF1371" t="s">
        <v>116</v>
      </c>
      <c r="AG1371">
        <v>0.47</v>
      </c>
      <c r="AH1371" t="s">
        <v>6694</v>
      </c>
      <c r="AI1371" t="s">
        <v>6671</v>
      </c>
      <c r="AJ1371">
        <v>-0.31</v>
      </c>
      <c r="AK1371">
        <v>733</v>
      </c>
      <c r="AL1371">
        <v>8</v>
      </c>
      <c r="AM1371">
        <v>1.6000000000000001E-3</v>
      </c>
      <c r="AN1371">
        <v>-1</v>
      </c>
      <c r="AO1371">
        <v>-0.88</v>
      </c>
      <c r="AP1371">
        <v>2.8</v>
      </c>
      <c r="AQ1371">
        <v>-7.43</v>
      </c>
      <c r="AR1371">
        <v>-17.05</v>
      </c>
      <c r="AS1371">
        <v>1.17</v>
      </c>
      <c r="AT1371" t="s">
        <v>6694</v>
      </c>
      <c r="AU1371">
        <v>26.17</v>
      </c>
      <c r="AV1371">
        <v>24.05</v>
      </c>
      <c r="AW1371">
        <v>0.67</v>
      </c>
      <c r="BA1371">
        <v>0.2</v>
      </c>
      <c r="BB1371">
        <v>0.89</v>
      </c>
      <c r="BC1371">
        <v>-1.1599999999999999</v>
      </c>
      <c r="BD1371">
        <v>-0.23</v>
      </c>
      <c r="BE1371">
        <v>-1.19</v>
      </c>
      <c r="BF1371">
        <v>-1.86</v>
      </c>
      <c r="BG1371">
        <v>0.17</v>
      </c>
      <c r="BH1371">
        <v>-0.75</v>
      </c>
      <c r="BI1371">
        <v>20191026</v>
      </c>
      <c r="BJ1371">
        <v>20181023</v>
      </c>
      <c r="BK1371">
        <v>0.9</v>
      </c>
      <c r="BL1371" t="s">
        <v>116</v>
      </c>
      <c r="BM1371" t="s">
        <v>116</v>
      </c>
      <c r="BN1371">
        <v>13.31</v>
      </c>
      <c r="BO1371">
        <v>9.43</v>
      </c>
      <c r="BP1371">
        <v>0.46</v>
      </c>
      <c r="BQ1371">
        <v>25.68</v>
      </c>
      <c r="BR1371">
        <v>9.35</v>
      </c>
      <c r="BS1371">
        <v>2.34</v>
      </c>
      <c r="BT1371">
        <v>0.39</v>
      </c>
      <c r="BU1371">
        <v>3.28</v>
      </c>
      <c r="BV1371">
        <v>1.49</v>
      </c>
      <c r="BW1371">
        <v>1.31</v>
      </c>
      <c r="BX1371">
        <v>5.41</v>
      </c>
      <c r="BY1371">
        <v>10.67</v>
      </c>
      <c r="BZ1371">
        <v>3</v>
      </c>
      <c r="CA1371">
        <v>1.22</v>
      </c>
      <c r="CB1371">
        <v>-0.04</v>
      </c>
      <c r="CC1371">
        <v>1.2</v>
      </c>
      <c r="CD1371">
        <v>0.99</v>
      </c>
      <c r="CE1371">
        <v>0.9</v>
      </c>
      <c r="CF1371">
        <v>0.84</v>
      </c>
      <c r="CG1371">
        <v>2.71</v>
      </c>
      <c r="CH1371">
        <v>1.37</v>
      </c>
      <c r="CI1371">
        <v>-0.08</v>
      </c>
      <c r="CJ1371">
        <v>13246</v>
      </c>
      <c r="CK1371">
        <v>3567</v>
      </c>
      <c r="CL1371" t="s">
        <v>7476</v>
      </c>
      <c r="CM1371">
        <v>-8.8699999999999992</v>
      </c>
      <c r="CN1371">
        <v>20.58</v>
      </c>
      <c r="CO1371">
        <v>2.77</v>
      </c>
      <c r="CP1371">
        <v>19.03</v>
      </c>
      <c r="CQ1371">
        <v>2.4500000000000002</v>
      </c>
      <c r="CR1371">
        <v>2.58</v>
      </c>
      <c r="CS1371" t="s">
        <v>7477</v>
      </c>
      <c r="CT1371">
        <v>10.48</v>
      </c>
      <c r="CU1371">
        <v>0</v>
      </c>
      <c r="CV1371">
        <v>6.02</v>
      </c>
      <c r="CW1371">
        <v>3.01</v>
      </c>
      <c r="CX1371">
        <v>1.53</v>
      </c>
      <c r="CY1371">
        <v>70.86</v>
      </c>
      <c r="CZ1371" t="s">
        <v>7478</v>
      </c>
      <c r="DA1371">
        <v>71.86</v>
      </c>
      <c r="DB1371">
        <v>11.41</v>
      </c>
      <c r="DC1371">
        <v>8.4700000000000006</v>
      </c>
      <c r="DD1371">
        <v>0.17</v>
      </c>
      <c r="DE1371">
        <v>901</v>
      </c>
      <c r="DF1371">
        <v>2940</v>
      </c>
      <c r="DG1371" t="s">
        <v>116</v>
      </c>
      <c r="DH1371" t="s">
        <v>116</v>
      </c>
      <c r="DI1371" t="s">
        <v>116</v>
      </c>
    </row>
    <row r="1372" spans="1:113" x14ac:dyDescent="0.4">
      <c r="A1372" t="str">
        <f>"002941"</f>
        <v>002941</v>
      </c>
      <c r="B1372" t="s">
        <v>7479</v>
      </c>
      <c r="C1372">
        <v>1.1499999999999999</v>
      </c>
      <c r="D1372">
        <v>17.55</v>
      </c>
      <c r="E1372">
        <v>0.2</v>
      </c>
      <c r="F1372">
        <v>17.55</v>
      </c>
      <c r="G1372">
        <v>17.559999999999999</v>
      </c>
      <c r="H1372">
        <v>132969</v>
      </c>
      <c r="I1372">
        <v>2187</v>
      </c>
      <c r="J1372">
        <v>0.06</v>
      </c>
      <c r="K1372">
        <v>7.7</v>
      </c>
      <c r="L1372">
        <v>17.32</v>
      </c>
      <c r="M1372">
        <v>17.88</v>
      </c>
      <c r="N1372">
        <v>17.28</v>
      </c>
      <c r="O1372">
        <v>17.350000000000001</v>
      </c>
      <c r="P1372">
        <v>146.46</v>
      </c>
      <c r="Q1372">
        <v>232966320</v>
      </c>
      <c r="R1372">
        <v>1.02</v>
      </c>
      <c r="S1372" t="s">
        <v>181</v>
      </c>
      <c r="T1372" t="s">
        <v>616</v>
      </c>
      <c r="U1372">
        <v>3.46</v>
      </c>
      <c r="V1372">
        <v>17.52</v>
      </c>
      <c r="W1372">
        <v>66019</v>
      </c>
      <c r="X1372">
        <v>66950</v>
      </c>
      <c r="Y1372">
        <v>0.99</v>
      </c>
      <c r="Z1372">
        <v>1</v>
      </c>
      <c r="AA1372">
        <v>185</v>
      </c>
      <c r="AB1372" t="s">
        <v>116</v>
      </c>
      <c r="AC1372">
        <v>640800</v>
      </c>
      <c r="AD1372">
        <v>0.02</v>
      </c>
      <c r="AE1372" t="s">
        <v>116</v>
      </c>
      <c r="AF1372" t="s">
        <v>116</v>
      </c>
      <c r="AG1372">
        <v>1.73</v>
      </c>
      <c r="AH1372" t="s">
        <v>7480</v>
      </c>
      <c r="AI1372" t="s">
        <v>7481</v>
      </c>
      <c r="AJ1372">
        <v>1.83</v>
      </c>
      <c r="AK1372">
        <v>3191</v>
      </c>
      <c r="AL1372">
        <v>42</v>
      </c>
      <c r="AM1372">
        <v>2.3999999999999998E-3</v>
      </c>
      <c r="AN1372">
        <v>2</v>
      </c>
      <c r="AO1372">
        <v>-0.56999999999999995</v>
      </c>
      <c r="AP1372">
        <v>-3.78</v>
      </c>
      <c r="AQ1372">
        <v>-31.61</v>
      </c>
      <c r="AR1372">
        <v>-18.010000000000002</v>
      </c>
      <c r="AS1372">
        <v>8.32</v>
      </c>
      <c r="AT1372" t="s">
        <v>3299</v>
      </c>
      <c r="AU1372">
        <v>157.4</v>
      </c>
      <c r="AV1372">
        <v>32.04</v>
      </c>
      <c r="AW1372">
        <v>1</v>
      </c>
      <c r="BA1372">
        <v>-0.17</v>
      </c>
      <c r="BB1372">
        <v>3.05</v>
      </c>
      <c r="BC1372">
        <v>-0.4</v>
      </c>
      <c r="BD1372">
        <v>0.98</v>
      </c>
      <c r="BE1372">
        <v>1.33</v>
      </c>
      <c r="BF1372">
        <v>-1.85</v>
      </c>
      <c r="BG1372">
        <v>1.56</v>
      </c>
      <c r="BH1372">
        <v>0.17</v>
      </c>
      <c r="BI1372">
        <v>20191127</v>
      </c>
      <c r="BJ1372">
        <v>20181128</v>
      </c>
      <c r="BK1372">
        <v>6.45</v>
      </c>
      <c r="BL1372" t="s">
        <v>116</v>
      </c>
      <c r="BM1372" t="s">
        <v>116</v>
      </c>
      <c r="BN1372">
        <v>112.53</v>
      </c>
      <c r="BO1372">
        <v>22.5</v>
      </c>
      <c r="BP1372">
        <v>2.4</v>
      </c>
      <c r="BQ1372">
        <v>77.87</v>
      </c>
      <c r="BR1372">
        <v>84.3</v>
      </c>
      <c r="BS1372">
        <v>3.64</v>
      </c>
      <c r="BT1372">
        <v>2.57</v>
      </c>
      <c r="BU1372">
        <v>59.94</v>
      </c>
      <c r="BV1372">
        <v>21.83</v>
      </c>
      <c r="BW1372">
        <v>33.299999999999997</v>
      </c>
      <c r="BX1372">
        <v>7.28</v>
      </c>
      <c r="BY1372">
        <v>38.35</v>
      </c>
      <c r="BZ1372">
        <v>35.31</v>
      </c>
      <c r="CA1372">
        <v>1.01</v>
      </c>
      <c r="CB1372">
        <v>-0.04</v>
      </c>
      <c r="CC1372">
        <v>1.01</v>
      </c>
      <c r="CD1372">
        <v>0.63</v>
      </c>
      <c r="CE1372">
        <v>0.57999999999999996</v>
      </c>
      <c r="CF1372">
        <v>0.51</v>
      </c>
      <c r="CG1372">
        <v>7.03</v>
      </c>
      <c r="CH1372">
        <v>-15.13</v>
      </c>
      <c r="CI1372">
        <v>2</v>
      </c>
      <c r="CJ1372">
        <v>38313</v>
      </c>
      <c r="CK1372">
        <v>4170</v>
      </c>
      <c r="CL1372" t="s">
        <v>7482</v>
      </c>
      <c r="CM1372">
        <v>-82.92</v>
      </c>
      <c r="CN1372">
        <v>-0.02</v>
      </c>
      <c r="CO1372">
        <v>5.03</v>
      </c>
      <c r="CP1372">
        <v>-7.48</v>
      </c>
      <c r="CQ1372">
        <v>2.95</v>
      </c>
      <c r="CR1372">
        <v>0.83</v>
      </c>
      <c r="CS1372" t="s">
        <v>2739</v>
      </c>
      <c r="CT1372">
        <v>3.49</v>
      </c>
      <c r="CU1372">
        <v>0</v>
      </c>
      <c r="CV1372">
        <v>1.1299999999999999</v>
      </c>
      <c r="CW1372">
        <v>1.0900000000000001</v>
      </c>
      <c r="CX1372">
        <v>-2.35</v>
      </c>
      <c r="CY1372">
        <v>20</v>
      </c>
      <c r="CZ1372" t="s">
        <v>2621</v>
      </c>
      <c r="DA1372">
        <v>7.92</v>
      </c>
      <c r="DB1372">
        <v>2.64</v>
      </c>
      <c r="DC1372">
        <v>1.51</v>
      </c>
      <c r="DD1372">
        <v>0.06</v>
      </c>
      <c r="DE1372">
        <v>1816</v>
      </c>
      <c r="DF1372">
        <v>2941</v>
      </c>
      <c r="DG1372" t="s">
        <v>116</v>
      </c>
      <c r="DH1372" t="s">
        <v>116</v>
      </c>
      <c r="DI1372" t="s">
        <v>116</v>
      </c>
    </row>
    <row r="1373" spans="1:113" x14ac:dyDescent="0.4">
      <c r="A1373" t="str">
        <f>"002942"</f>
        <v>002942</v>
      </c>
      <c r="B1373" t="s">
        <v>7483</v>
      </c>
      <c r="C1373">
        <v>1.89</v>
      </c>
      <c r="D1373">
        <v>28.62</v>
      </c>
      <c r="E1373">
        <v>0.53</v>
      </c>
      <c r="F1373">
        <v>28.61</v>
      </c>
      <c r="G1373">
        <v>28.62</v>
      </c>
      <c r="H1373">
        <v>34576</v>
      </c>
      <c r="I1373">
        <v>577</v>
      </c>
      <c r="J1373">
        <v>0.18</v>
      </c>
      <c r="K1373">
        <v>8.84</v>
      </c>
      <c r="L1373">
        <v>28.2</v>
      </c>
      <c r="M1373">
        <v>29.14</v>
      </c>
      <c r="N1373">
        <v>28.02</v>
      </c>
      <c r="O1373">
        <v>28.09</v>
      </c>
      <c r="P1373">
        <v>18.38</v>
      </c>
      <c r="Q1373">
        <v>98579080</v>
      </c>
      <c r="R1373">
        <v>1.35</v>
      </c>
      <c r="S1373" t="s">
        <v>697</v>
      </c>
      <c r="T1373" t="s">
        <v>590</v>
      </c>
      <c r="U1373">
        <v>3.99</v>
      </c>
      <c r="V1373">
        <v>28.51</v>
      </c>
      <c r="W1373">
        <v>15835</v>
      </c>
      <c r="X1373">
        <v>18741</v>
      </c>
      <c r="Y1373">
        <v>0.84</v>
      </c>
      <c r="Z1373">
        <v>90</v>
      </c>
      <c r="AA1373">
        <v>47</v>
      </c>
      <c r="AB1373" t="s">
        <v>116</v>
      </c>
      <c r="AC1373">
        <v>19700</v>
      </c>
      <c r="AD1373">
        <v>0</v>
      </c>
      <c r="AE1373" t="s">
        <v>116</v>
      </c>
      <c r="AF1373" t="s">
        <v>116</v>
      </c>
      <c r="AG1373">
        <v>0.39</v>
      </c>
      <c r="AH1373" t="s">
        <v>6906</v>
      </c>
      <c r="AI1373" t="s">
        <v>6860</v>
      </c>
      <c r="AJ1373">
        <v>2.57</v>
      </c>
      <c r="AK1373">
        <v>2409</v>
      </c>
      <c r="AL1373">
        <v>14</v>
      </c>
      <c r="AM1373">
        <v>3.7000000000000002E-3</v>
      </c>
      <c r="AN1373">
        <v>2</v>
      </c>
      <c r="AO1373">
        <v>1.96</v>
      </c>
      <c r="AP1373">
        <v>4.76</v>
      </c>
      <c r="AQ1373">
        <v>-9.34</v>
      </c>
      <c r="AR1373">
        <v>-5.61</v>
      </c>
      <c r="AS1373">
        <v>8.84</v>
      </c>
      <c r="AT1373" t="s">
        <v>6906</v>
      </c>
      <c r="AU1373">
        <v>21.59</v>
      </c>
      <c r="AV1373">
        <v>26.81</v>
      </c>
      <c r="AW1373">
        <v>0.47</v>
      </c>
      <c r="BA1373">
        <v>0.39</v>
      </c>
      <c r="BB1373">
        <v>3.74</v>
      </c>
      <c r="BC1373">
        <v>-0.25</v>
      </c>
      <c r="BD1373">
        <v>1.5</v>
      </c>
      <c r="BE1373">
        <v>1.49</v>
      </c>
      <c r="BF1373">
        <v>-1.78</v>
      </c>
      <c r="BG1373">
        <v>2.14</v>
      </c>
      <c r="BH1373">
        <v>0.39</v>
      </c>
      <c r="BI1373">
        <v>20191216</v>
      </c>
      <c r="BJ1373">
        <v>20181205</v>
      </c>
      <c r="BK1373">
        <v>1.2</v>
      </c>
      <c r="BL1373" t="s">
        <v>116</v>
      </c>
      <c r="BM1373" t="s">
        <v>116</v>
      </c>
      <c r="BN1373">
        <v>12.59</v>
      </c>
      <c r="BO1373">
        <v>9.06</v>
      </c>
      <c r="BP1373">
        <v>0</v>
      </c>
      <c r="BQ1373">
        <v>28.02</v>
      </c>
      <c r="BR1373">
        <v>7.63</v>
      </c>
      <c r="BS1373">
        <v>2.4300000000000002</v>
      </c>
      <c r="BT1373">
        <v>0.44</v>
      </c>
      <c r="BU1373">
        <v>3.34</v>
      </c>
      <c r="BV1373">
        <v>0.99</v>
      </c>
      <c r="BW1373">
        <v>1.26</v>
      </c>
      <c r="BX1373">
        <v>3.57</v>
      </c>
      <c r="BY1373">
        <v>8.26</v>
      </c>
      <c r="BZ1373">
        <v>5.47</v>
      </c>
      <c r="CA1373">
        <v>1.64</v>
      </c>
      <c r="CB1373">
        <v>0.09</v>
      </c>
      <c r="CC1373">
        <v>1.65</v>
      </c>
      <c r="CD1373">
        <v>1.4</v>
      </c>
      <c r="CE1373">
        <v>1.4</v>
      </c>
      <c r="CF1373">
        <v>1.28</v>
      </c>
      <c r="CG1373">
        <v>3.22</v>
      </c>
      <c r="CH1373">
        <v>1.74</v>
      </c>
      <c r="CI1373">
        <v>-2.5499999999999998</v>
      </c>
      <c r="CJ1373">
        <v>19373</v>
      </c>
      <c r="CK1373">
        <v>2019</v>
      </c>
      <c r="CL1373" t="s">
        <v>3650</v>
      </c>
      <c r="CM1373">
        <v>28.36</v>
      </c>
      <c r="CN1373">
        <v>16.739999999999998</v>
      </c>
      <c r="CO1373">
        <v>3.79</v>
      </c>
      <c r="CP1373">
        <v>19.72</v>
      </c>
      <c r="CQ1373">
        <v>4.16</v>
      </c>
      <c r="CR1373">
        <v>1.05</v>
      </c>
      <c r="CS1373" t="s">
        <v>7484</v>
      </c>
      <c r="CT1373">
        <v>7.55</v>
      </c>
      <c r="CU1373">
        <v>0</v>
      </c>
      <c r="CV1373">
        <v>2.97</v>
      </c>
      <c r="CW1373">
        <v>2.68</v>
      </c>
      <c r="CX1373">
        <v>1.45</v>
      </c>
      <c r="CY1373">
        <v>71.98</v>
      </c>
      <c r="CZ1373" t="s">
        <v>7485</v>
      </c>
      <c r="DA1373">
        <v>33.81</v>
      </c>
      <c r="DB1373">
        <v>19.899999999999999</v>
      </c>
      <c r="DC1373">
        <v>16.97</v>
      </c>
      <c r="DD1373">
        <v>0.38</v>
      </c>
      <c r="DE1373">
        <v>1140</v>
      </c>
      <c r="DF1373">
        <v>2942</v>
      </c>
      <c r="DG1373" t="s">
        <v>116</v>
      </c>
      <c r="DH1373" t="s">
        <v>116</v>
      </c>
      <c r="DI1373" t="s">
        <v>116</v>
      </c>
    </row>
    <row r="1374" spans="1:113" x14ac:dyDescent="0.4">
      <c r="A1374" t="str">
        <f>"002943"</f>
        <v>002943</v>
      </c>
      <c r="B1374" t="s">
        <v>7486</v>
      </c>
      <c r="C1374">
        <v>-2.85</v>
      </c>
      <c r="D1374">
        <v>23.52</v>
      </c>
      <c r="E1374">
        <v>-0.69</v>
      </c>
      <c r="F1374">
        <v>23.52</v>
      </c>
      <c r="G1374">
        <v>23.53</v>
      </c>
      <c r="H1374">
        <v>34463</v>
      </c>
      <c r="I1374">
        <v>945</v>
      </c>
      <c r="J1374">
        <v>-0.33</v>
      </c>
      <c r="K1374">
        <v>6.65</v>
      </c>
      <c r="L1374">
        <v>24.17</v>
      </c>
      <c r="M1374">
        <v>24.21</v>
      </c>
      <c r="N1374">
        <v>23.43</v>
      </c>
      <c r="O1374">
        <v>24.21</v>
      </c>
      <c r="P1374">
        <v>68.48</v>
      </c>
      <c r="Q1374">
        <v>82118672</v>
      </c>
      <c r="R1374">
        <v>1.01</v>
      </c>
      <c r="S1374" t="s">
        <v>712</v>
      </c>
      <c r="T1374" t="s">
        <v>599</v>
      </c>
      <c r="U1374">
        <v>3.22</v>
      </c>
      <c r="V1374">
        <v>23.83</v>
      </c>
      <c r="W1374">
        <v>21254</v>
      </c>
      <c r="X1374">
        <v>13209</v>
      </c>
      <c r="Y1374">
        <v>1.61</v>
      </c>
      <c r="Z1374">
        <v>75</v>
      </c>
      <c r="AA1374">
        <v>188</v>
      </c>
      <c r="AB1374" t="s">
        <v>116</v>
      </c>
      <c r="AC1374">
        <v>495500</v>
      </c>
      <c r="AD1374">
        <v>0.06</v>
      </c>
      <c r="AE1374" t="s">
        <v>116</v>
      </c>
      <c r="AF1374" t="s">
        <v>116</v>
      </c>
      <c r="AG1374">
        <v>0.52</v>
      </c>
      <c r="AH1374" t="s">
        <v>4930</v>
      </c>
      <c r="AI1374" t="s">
        <v>3743</v>
      </c>
      <c r="AJ1374">
        <v>-2.17</v>
      </c>
      <c r="AK1374">
        <v>2333</v>
      </c>
      <c r="AL1374">
        <v>15</v>
      </c>
      <c r="AM1374">
        <v>2.8E-3</v>
      </c>
      <c r="AN1374">
        <v>-3</v>
      </c>
      <c r="AO1374">
        <v>-4.51</v>
      </c>
      <c r="AP1374">
        <v>7.79</v>
      </c>
      <c r="AQ1374">
        <v>-30.9</v>
      </c>
      <c r="AR1374">
        <v>-32.409999999999997</v>
      </c>
      <c r="AS1374">
        <v>9.2899999999999991</v>
      </c>
      <c r="AT1374" t="s">
        <v>7487</v>
      </c>
      <c r="AU1374">
        <v>56</v>
      </c>
      <c r="AV1374">
        <v>23.76</v>
      </c>
      <c r="AW1374">
        <v>1.82</v>
      </c>
      <c r="BA1374">
        <v>-0.17</v>
      </c>
      <c r="BB1374">
        <v>0</v>
      </c>
      <c r="BC1374">
        <v>-3.22</v>
      </c>
      <c r="BD1374">
        <v>-1.58</v>
      </c>
      <c r="BE1374">
        <v>-2.69</v>
      </c>
      <c r="BF1374">
        <v>-2.85</v>
      </c>
      <c r="BG1374">
        <v>0.38</v>
      </c>
      <c r="BH1374">
        <v>-1.27</v>
      </c>
      <c r="BI1374">
        <v>20191128</v>
      </c>
      <c r="BJ1374">
        <v>20181129</v>
      </c>
      <c r="BK1374">
        <v>1</v>
      </c>
      <c r="BL1374" t="s">
        <v>116</v>
      </c>
      <c r="BM1374" t="s">
        <v>116</v>
      </c>
      <c r="BN1374">
        <v>9.9600000000000009</v>
      </c>
      <c r="BO1374">
        <v>7.91</v>
      </c>
      <c r="BP1374">
        <v>0.04</v>
      </c>
      <c r="BQ1374">
        <v>20.09</v>
      </c>
      <c r="BR1374">
        <v>6.99</v>
      </c>
      <c r="BS1374">
        <v>0.74</v>
      </c>
      <c r="BT1374">
        <v>1.04</v>
      </c>
      <c r="BU1374">
        <v>1.52</v>
      </c>
      <c r="BV1374">
        <v>1.36</v>
      </c>
      <c r="BW1374">
        <v>1.88</v>
      </c>
      <c r="BX1374">
        <v>4.47</v>
      </c>
      <c r="BY1374">
        <v>2.27</v>
      </c>
      <c r="BZ1374">
        <v>1.59</v>
      </c>
      <c r="CA1374">
        <v>0.3</v>
      </c>
      <c r="CB1374">
        <v>0.06</v>
      </c>
      <c r="CC1374">
        <v>0.32</v>
      </c>
      <c r="CD1374">
        <v>0.26</v>
      </c>
      <c r="CE1374">
        <v>0.26</v>
      </c>
      <c r="CF1374">
        <v>0.08</v>
      </c>
      <c r="CG1374">
        <v>2.16</v>
      </c>
      <c r="CH1374">
        <v>-0.55000000000000004</v>
      </c>
      <c r="CI1374">
        <v>-3.61</v>
      </c>
      <c r="CJ1374">
        <v>16259</v>
      </c>
      <c r="CK1374">
        <v>2281</v>
      </c>
      <c r="CL1374" t="s">
        <v>5431</v>
      </c>
      <c r="CM1374">
        <v>-68.87</v>
      </c>
      <c r="CN1374">
        <v>-37.42</v>
      </c>
      <c r="CO1374">
        <v>2.97</v>
      </c>
      <c r="CP1374">
        <v>-42.82</v>
      </c>
      <c r="CQ1374">
        <v>10.36</v>
      </c>
      <c r="CR1374">
        <v>0.43</v>
      </c>
      <c r="CS1374" t="s">
        <v>4726</v>
      </c>
      <c r="CT1374">
        <v>7.91</v>
      </c>
      <c r="CU1374">
        <v>0</v>
      </c>
      <c r="CV1374">
        <v>4.47</v>
      </c>
      <c r="CW1374">
        <v>2.16</v>
      </c>
      <c r="CX1374">
        <v>-0.55000000000000004</v>
      </c>
      <c r="CY1374">
        <v>79.47</v>
      </c>
      <c r="CZ1374" t="s">
        <v>6350</v>
      </c>
      <c r="DA1374">
        <v>30.16</v>
      </c>
      <c r="DB1374">
        <v>13.35</v>
      </c>
      <c r="DC1374">
        <v>11.34</v>
      </c>
      <c r="DD1374">
        <v>0.18</v>
      </c>
      <c r="DE1374">
        <v>468</v>
      </c>
      <c r="DF1374">
        <v>2943</v>
      </c>
      <c r="DG1374" t="s">
        <v>116</v>
      </c>
      <c r="DH1374" t="s">
        <v>116</v>
      </c>
      <c r="DI1374" t="s">
        <v>116</v>
      </c>
    </row>
    <row r="1375" spans="1:113" x14ac:dyDescent="0.4">
      <c r="A1375" t="str">
        <f>"002945"</f>
        <v>002945</v>
      </c>
      <c r="B1375" t="s">
        <v>7488</v>
      </c>
      <c r="C1375">
        <v>-3.36</v>
      </c>
      <c r="D1375">
        <v>14.65</v>
      </c>
      <c r="E1375">
        <v>-0.51</v>
      </c>
      <c r="F1375">
        <v>14.64</v>
      </c>
      <c r="G1375">
        <v>14.65</v>
      </c>
      <c r="H1375">
        <v>408650</v>
      </c>
      <c r="I1375">
        <v>4840</v>
      </c>
      <c r="J1375">
        <v>0</v>
      </c>
      <c r="K1375">
        <v>15.14</v>
      </c>
      <c r="L1375">
        <v>15.19</v>
      </c>
      <c r="M1375">
        <v>15.29</v>
      </c>
      <c r="N1375">
        <v>14.6</v>
      </c>
      <c r="O1375">
        <v>15.16</v>
      </c>
      <c r="P1375">
        <v>97.05</v>
      </c>
      <c r="Q1375">
        <v>613979648</v>
      </c>
      <c r="R1375">
        <v>1.01</v>
      </c>
      <c r="S1375" t="s">
        <v>623</v>
      </c>
      <c r="T1375" t="s">
        <v>2028</v>
      </c>
      <c r="U1375">
        <v>4.55</v>
      </c>
      <c r="V1375">
        <v>15.02</v>
      </c>
      <c r="W1375">
        <v>224843</v>
      </c>
      <c r="X1375">
        <v>183807</v>
      </c>
      <c r="Y1375">
        <v>1.22</v>
      </c>
      <c r="Z1375">
        <v>391</v>
      </c>
      <c r="AA1375">
        <v>656</v>
      </c>
      <c r="AB1375" t="s">
        <v>116</v>
      </c>
      <c r="AC1375">
        <v>3835500</v>
      </c>
      <c r="AD1375">
        <v>0.09</v>
      </c>
      <c r="AE1375" t="s">
        <v>116</v>
      </c>
      <c r="AF1375" t="s">
        <v>116</v>
      </c>
      <c r="AG1375">
        <v>2.7</v>
      </c>
      <c r="AH1375" t="s">
        <v>7489</v>
      </c>
      <c r="AI1375" t="s">
        <v>7490</v>
      </c>
      <c r="AJ1375">
        <v>-2.69</v>
      </c>
      <c r="AK1375">
        <v>4326</v>
      </c>
      <c r="AL1375">
        <v>94</v>
      </c>
      <c r="AM1375">
        <v>3.5000000000000001E-3</v>
      </c>
      <c r="AN1375">
        <v>-1</v>
      </c>
      <c r="AO1375">
        <v>-2.46</v>
      </c>
      <c r="AP1375">
        <v>16.45</v>
      </c>
      <c r="AQ1375">
        <v>-8.3800000000000008</v>
      </c>
      <c r="AR1375">
        <v>309.10000000000002</v>
      </c>
      <c r="AS1375">
        <v>15.14</v>
      </c>
      <c r="AT1375" t="s">
        <v>7491</v>
      </c>
      <c r="AU1375">
        <v>100.58</v>
      </c>
      <c r="AV1375">
        <v>114.76</v>
      </c>
      <c r="AW1375">
        <v>1.72</v>
      </c>
      <c r="BA1375">
        <v>0.2</v>
      </c>
      <c r="BB1375">
        <v>0.86</v>
      </c>
      <c r="BC1375">
        <v>-3.69</v>
      </c>
      <c r="BD1375">
        <v>-0.89</v>
      </c>
      <c r="BE1375">
        <v>-3.55</v>
      </c>
      <c r="BF1375">
        <v>-4.1900000000000004</v>
      </c>
      <c r="BG1375">
        <v>0.34</v>
      </c>
      <c r="BH1375">
        <v>-2.4700000000000002</v>
      </c>
      <c r="BI1375">
        <v>20191028</v>
      </c>
      <c r="BJ1375">
        <v>20190117</v>
      </c>
      <c r="BK1375">
        <v>27</v>
      </c>
      <c r="BL1375" t="s">
        <v>116</v>
      </c>
      <c r="BM1375" t="s">
        <v>116</v>
      </c>
      <c r="BN1375">
        <v>146.32</v>
      </c>
      <c r="BO1375">
        <v>52.02</v>
      </c>
      <c r="BP1375">
        <v>0</v>
      </c>
      <c r="BQ1375">
        <v>64.45</v>
      </c>
      <c r="BR1375">
        <v>0</v>
      </c>
      <c r="BS1375">
        <v>0.5</v>
      </c>
      <c r="BT1375">
        <v>0.42</v>
      </c>
      <c r="BU1375">
        <v>0</v>
      </c>
      <c r="BV1375">
        <v>0</v>
      </c>
      <c r="BW1375">
        <v>0</v>
      </c>
      <c r="BX1375">
        <v>6.77</v>
      </c>
      <c r="BY1375">
        <v>6.74</v>
      </c>
      <c r="BZ1375">
        <v>0</v>
      </c>
      <c r="CA1375">
        <v>3.06</v>
      </c>
      <c r="CB1375">
        <v>2.13</v>
      </c>
      <c r="CC1375">
        <v>3.43</v>
      </c>
      <c r="CD1375">
        <v>3.05</v>
      </c>
      <c r="CE1375">
        <v>3.06</v>
      </c>
      <c r="CF1375">
        <v>2.73</v>
      </c>
      <c r="CG1375">
        <v>10.79</v>
      </c>
      <c r="CH1375">
        <v>12.38</v>
      </c>
      <c r="CI1375">
        <v>14.02</v>
      </c>
      <c r="CJ1375">
        <v>94055</v>
      </c>
      <c r="CK1375">
        <v>2871</v>
      </c>
      <c r="CL1375" t="s">
        <v>2864</v>
      </c>
      <c r="CM1375">
        <v>18.899999999999999</v>
      </c>
      <c r="CN1375">
        <v>-7.46</v>
      </c>
      <c r="CO1375">
        <v>7.6</v>
      </c>
      <c r="CP1375">
        <v>31.95</v>
      </c>
      <c r="CQ1375">
        <v>58.65</v>
      </c>
      <c r="CR1375">
        <v>0.27</v>
      </c>
      <c r="CS1375" t="s">
        <v>7492</v>
      </c>
      <c r="CT1375">
        <v>1.93</v>
      </c>
      <c r="CU1375">
        <v>0</v>
      </c>
      <c r="CV1375">
        <v>0.25</v>
      </c>
      <c r="CW1375">
        <v>0.4</v>
      </c>
      <c r="CX1375">
        <v>0.46</v>
      </c>
      <c r="CY1375">
        <v>35.549999999999997</v>
      </c>
      <c r="CZ1375" t="s">
        <v>7493</v>
      </c>
      <c r="DA1375" t="s">
        <v>116</v>
      </c>
      <c r="DB1375">
        <v>45.4</v>
      </c>
      <c r="DC1375">
        <v>45.32</v>
      </c>
      <c r="DD1375">
        <v>0</v>
      </c>
      <c r="DE1375">
        <v>1962</v>
      </c>
      <c r="DF1375">
        <v>2945</v>
      </c>
      <c r="DG1375" t="s">
        <v>116</v>
      </c>
      <c r="DH1375" t="s">
        <v>116</v>
      </c>
      <c r="DI1375" t="s">
        <v>116</v>
      </c>
    </row>
    <row r="1376" spans="1:113" x14ac:dyDescent="0.4">
      <c r="A1376" t="str">
        <f>"002946"</f>
        <v>002946</v>
      </c>
      <c r="B1376" t="s">
        <v>7494</v>
      </c>
      <c r="C1376">
        <v>-0.24</v>
      </c>
      <c r="D1376">
        <v>12.4</v>
      </c>
      <c r="E1376">
        <v>-0.03</v>
      </c>
      <c r="F1376">
        <v>12.39</v>
      </c>
      <c r="G1376">
        <v>12.4</v>
      </c>
      <c r="H1376">
        <v>20824</v>
      </c>
      <c r="I1376">
        <v>297</v>
      </c>
      <c r="J1376">
        <v>0.08</v>
      </c>
      <c r="K1376">
        <v>2.44</v>
      </c>
      <c r="L1376">
        <v>12.44</v>
      </c>
      <c r="M1376">
        <v>12.51</v>
      </c>
      <c r="N1376">
        <v>12.38</v>
      </c>
      <c r="O1376">
        <v>12.43</v>
      </c>
      <c r="P1376">
        <v>44.45</v>
      </c>
      <c r="Q1376">
        <v>25947162</v>
      </c>
      <c r="R1376">
        <v>0.9</v>
      </c>
      <c r="S1376" t="s">
        <v>4803</v>
      </c>
      <c r="T1376" t="s">
        <v>582</v>
      </c>
      <c r="U1376">
        <v>1.05</v>
      </c>
      <c r="V1376">
        <v>12.46</v>
      </c>
      <c r="W1376">
        <v>12002</v>
      </c>
      <c r="X1376">
        <v>8822</v>
      </c>
      <c r="Y1376">
        <v>1.36</v>
      </c>
      <c r="Z1376">
        <v>354</v>
      </c>
      <c r="AA1376">
        <v>183</v>
      </c>
      <c r="AB1376" t="s">
        <v>116</v>
      </c>
      <c r="AC1376">
        <v>41100</v>
      </c>
      <c r="AD1376">
        <v>0</v>
      </c>
      <c r="AE1376" t="s">
        <v>116</v>
      </c>
      <c r="AF1376" t="s">
        <v>116</v>
      </c>
      <c r="AG1376">
        <v>0.85</v>
      </c>
      <c r="AH1376" t="s">
        <v>7495</v>
      </c>
      <c r="AI1376" t="s">
        <v>7496</v>
      </c>
      <c r="AJ1376">
        <v>0.44</v>
      </c>
      <c r="AK1376">
        <v>989</v>
      </c>
      <c r="AL1376">
        <v>21</v>
      </c>
      <c r="AM1376">
        <v>2.5000000000000001E-3</v>
      </c>
      <c r="AN1376">
        <v>-1</v>
      </c>
      <c r="AO1376">
        <v>-0.08</v>
      </c>
      <c r="AP1376">
        <v>1.56</v>
      </c>
      <c r="AQ1376">
        <v>-10.14</v>
      </c>
      <c r="AR1376">
        <v>130.06</v>
      </c>
      <c r="AS1376">
        <v>2.44</v>
      </c>
      <c r="AT1376" t="s">
        <v>7495</v>
      </c>
      <c r="AU1376">
        <v>43.03</v>
      </c>
      <c r="AV1376">
        <v>43.61</v>
      </c>
      <c r="AW1376">
        <v>0.9</v>
      </c>
      <c r="BA1376">
        <v>0.08</v>
      </c>
      <c r="BB1376">
        <v>0.64</v>
      </c>
      <c r="BC1376">
        <v>-0.4</v>
      </c>
      <c r="BD1376">
        <v>0.24</v>
      </c>
      <c r="BE1376">
        <v>-0.32</v>
      </c>
      <c r="BF1376">
        <v>-0.88</v>
      </c>
      <c r="BG1376">
        <v>0.16</v>
      </c>
      <c r="BH1376">
        <v>-0.48</v>
      </c>
      <c r="BI1376">
        <v>20191224</v>
      </c>
      <c r="BJ1376">
        <v>20190125</v>
      </c>
      <c r="BK1376">
        <v>8.5399999999999991</v>
      </c>
      <c r="BL1376" t="s">
        <v>116</v>
      </c>
      <c r="BM1376" t="s">
        <v>116</v>
      </c>
      <c r="BN1376">
        <v>52.7</v>
      </c>
      <c r="BO1376">
        <v>18.940000000000001</v>
      </c>
      <c r="BP1376">
        <v>0.87</v>
      </c>
      <c r="BQ1376">
        <v>62.42</v>
      </c>
      <c r="BR1376">
        <v>13.48</v>
      </c>
      <c r="BS1376">
        <v>19.809999999999999</v>
      </c>
      <c r="BT1376">
        <v>2.2200000000000002</v>
      </c>
      <c r="BU1376">
        <v>28.54</v>
      </c>
      <c r="BV1376">
        <v>3.05</v>
      </c>
      <c r="BW1376">
        <v>4.84</v>
      </c>
      <c r="BX1376">
        <v>5.39</v>
      </c>
      <c r="BY1376">
        <v>42.22</v>
      </c>
      <c r="BZ1376">
        <v>28.03</v>
      </c>
      <c r="CA1376">
        <v>1.95</v>
      </c>
      <c r="CB1376">
        <v>0.21</v>
      </c>
      <c r="CC1376">
        <v>2.0099999999999998</v>
      </c>
      <c r="CD1376">
        <v>1.86</v>
      </c>
      <c r="CE1376">
        <v>1.79</v>
      </c>
      <c r="CF1376">
        <v>1.52</v>
      </c>
      <c r="CG1376">
        <v>5.77</v>
      </c>
      <c r="CH1376">
        <v>3.14</v>
      </c>
      <c r="CI1376">
        <v>1.45</v>
      </c>
      <c r="CJ1376">
        <v>28231</v>
      </c>
      <c r="CK1376">
        <v>3024</v>
      </c>
      <c r="CL1376" t="s">
        <v>489</v>
      </c>
      <c r="CM1376">
        <v>1.88</v>
      </c>
      <c r="CN1376">
        <v>13.32</v>
      </c>
      <c r="CO1376">
        <v>5.59</v>
      </c>
      <c r="CP1376">
        <v>33.76</v>
      </c>
      <c r="CQ1376">
        <v>2.5099999999999998</v>
      </c>
      <c r="CR1376">
        <v>0.48</v>
      </c>
      <c r="CS1376" t="s">
        <v>3899</v>
      </c>
      <c r="CT1376">
        <v>2.2200000000000002</v>
      </c>
      <c r="CU1376">
        <v>0</v>
      </c>
      <c r="CV1376">
        <v>0.63</v>
      </c>
      <c r="CW1376">
        <v>0.68</v>
      </c>
      <c r="CX1376">
        <v>0.37</v>
      </c>
      <c r="CY1376">
        <v>35.93</v>
      </c>
      <c r="CZ1376" t="s">
        <v>2777</v>
      </c>
      <c r="DA1376">
        <v>33.61</v>
      </c>
      <c r="DB1376">
        <v>4.63</v>
      </c>
      <c r="DC1376">
        <v>4.2300000000000004</v>
      </c>
      <c r="DD1376">
        <v>0.2</v>
      </c>
      <c r="DE1376">
        <v>6777</v>
      </c>
      <c r="DF1376">
        <v>2946</v>
      </c>
      <c r="DG1376" t="s">
        <v>116</v>
      </c>
      <c r="DH1376" t="s">
        <v>116</v>
      </c>
      <c r="DI1376" t="s">
        <v>116</v>
      </c>
    </row>
    <row r="1377" spans="1:113" x14ac:dyDescent="0.4">
      <c r="A1377" t="str">
        <f>"002947"</f>
        <v>002947</v>
      </c>
      <c r="B1377" t="s">
        <v>7497</v>
      </c>
      <c r="C1377">
        <v>-2.12</v>
      </c>
      <c r="D1377">
        <v>64.95</v>
      </c>
      <c r="E1377">
        <v>-1.41</v>
      </c>
      <c r="F1377">
        <v>64.94</v>
      </c>
      <c r="G1377">
        <v>64.95</v>
      </c>
      <c r="H1377">
        <v>21152</v>
      </c>
      <c r="I1377">
        <v>309</v>
      </c>
      <c r="J1377">
        <v>-0.28000000000000003</v>
      </c>
      <c r="K1377">
        <v>6.96</v>
      </c>
      <c r="L1377">
        <v>66.89</v>
      </c>
      <c r="M1377">
        <v>66.900000000000006</v>
      </c>
      <c r="N1377">
        <v>64.88</v>
      </c>
      <c r="O1377">
        <v>66.36</v>
      </c>
      <c r="P1377">
        <v>51.78</v>
      </c>
      <c r="Q1377">
        <v>138956560</v>
      </c>
      <c r="R1377">
        <v>0.87</v>
      </c>
      <c r="S1377" t="s">
        <v>233</v>
      </c>
      <c r="T1377" t="s">
        <v>323</v>
      </c>
      <c r="U1377">
        <v>3.04</v>
      </c>
      <c r="V1377">
        <v>65.69</v>
      </c>
      <c r="W1377">
        <v>11754</v>
      </c>
      <c r="X1377">
        <v>9398</v>
      </c>
      <c r="Y1377">
        <v>1.25</v>
      </c>
      <c r="Z1377">
        <v>1</v>
      </c>
      <c r="AA1377">
        <v>21</v>
      </c>
      <c r="AB1377" t="s">
        <v>116</v>
      </c>
      <c r="AC1377">
        <v>548500</v>
      </c>
      <c r="AD1377">
        <v>0.03</v>
      </c>
      <c r="AE1377" t="s">
        <v>116</v>
      </c>
      <c r="AF1377" t="s">
        <v>116</v>
      </c>
      <c r="AG1377">
        <v>0.3</v>
      </c>
      <c r="AH1377" t="s">
        <v>1862</v>
      </c>
      <c r="AI1377" t="s">
        <v>3219</v>
      </c>
      <c r="AJ1377">
        <v>-1.45</v>
      </c>
      <c r="AK1377">
        <v>2405</v>
      </c>
      <c r="AL1377">
        <v>9</v>
      </c>
      <c r="AM1377">
        <v>2.8999999999999998E-3</v>
      </c>
      <c r="AN1377">
        <v>-1</v>
      </c>
      <c r="AO1377">
        <v>5.72</v>
      </c>
      <c r="AP1377">
        <v>20.93</v>
      </c>
      <c r="AQ1377">
        <v>16</v>
      </c>
      <c r="AR1377">
        <v>250.7</v>
      </c>
      <c r="AS1377">
        <v>6.96</v>
      </c>
      <c r="AT1377" t="s">
        <v>1862</v>
      </c>
      <c r="AU1377">
        <v>51.07</v>
      </c>
      <c r="AV1377">
        <v>62.63</v>
      </c>
      <c r="AW1377">
        <v>1.27</v>
      </c>
      <c r="BA1377">
        <v>0.8</v>
      </c>
      <c r="BB1377">
        <v>0.81</v>
      </c>
      <c r="BC1377">
        <v>-2.23</v>
      </c>
      <c r="BD1377">
        <v>-1</v>
      </c>
      <c r="BE1377">
        <v>-2.9</v>
      </c>
      <c r="BF1377">
        <v>-2.91</v>
      </c>
      <c r="BG1377">
        <v>0.11</v>
      </c>
      <c r="BH1377">
        <v>-1.1200000000000001</v>
      </c>
      <c r="BI1377">
        <v>20191223</v>
      </c>
      <c r="BJ1377">
        <v>20190201</v>
      </c>
      <c r="BK1377">
        <v>1.22</v>
      </c>
      <c r="BL1377" t="s">
        <v>116</v>
      </c>
      <c r="BM1377" t="s">
        <v>116</v>
      </c>
      <c r="BN1377">
        <v>13.11</v>
      </c>
      <c r="BO1377">
        <v>11.65</v>
      </c>
      <c r="BP1377">
        <v>0</v>
      </c>
      <c r="BQ1377">
        <v>11.12</v>
      </c>
      <c r="BR1377">
        <v>11.62</v>
      </c>
      <c r="BS1377">
        <v>1.24</v>
      </c>
      <c r="BT1377">
        <v>0.13</v>
      </c>
      <c r="BU1377">
        <v>1.44</v>
      </c>
      <c r="BV1377">
        <v>0.59</v>
      </c>
      <c r="BW1377">
        <v>2.4900000000000002</v>
      </c>
      <c r="BX1377">
        <v>6.92</v>
      </c>
      <c r="BY1377">
        <v>3.89</v>
      </c>
      <c r="BZ1377">
        <v>1.99</v>
      </c>
      <c r="CA1377">
        <v>1.28</v>
      </c>
      <c r="CB1377">
        <v>0.05</v>
      </c>
      <c r="CC1377">
        <v>1.35</v>
      </c>
      <c r="CD1377">
        <v>1.1399999999999999</v>
      </c>
      <c r="CE1377">
        <v>1.1399999999999999</v>
      </c>
      <c r="CF1377">
        <v>1.04</v>
      </c>
      <c r="CG1377">
        <v>3.33</v>
      </c>
      <c r="CH1377">
        <v>1.54</v>
      </c>
      <c r="CI1377">
        <v>0.02</v>
      </c>
      <c r="CJ1377">
        <v>10713</v>
      </c>
      <c r="CK1377">
        <v>2836</v>
      </c>
      <c r="CL1377" t="s">
        <v>7498</v>
      </c>
      <c r="CM1377">
        <v>33.24</v>
      </c>
      <c r="CN1377">
        <v>13.73</v>
      </c>
      <c r="CO1377">
        <v>6.77</v>
      </c>
      <c r="CP1377">
        <v>51.26</v>
      </c>
      <c r="CQ1377">
        <v>20.27</v>
      </c>
      <c r="CR1377">
        <v>0.31</v>
      </c>
      <c r="CS1377" t="s">
        <v>7499</v>
      </c>
      <c r="CT1377">
        <v>9.59</v>
      </c>
      <c r="CU1377">
        <v>0</v>
      </c>
      <c r="CV1377">
        <v>5.7</v>
      </c>
      <c r="CW1377">
        <v>2.74</v>
      </c>
      <c r="CX1377">
        <v>1.27</v>
      </c>
      <c r="CY1377">
        <v>88.88</v>
      </c>
      <c r="CZ1377" t="s">
        <v>7500</v>
      </c>
      <c r="DA1377">
        <v>48.95</v>
      </c>
      <c r="DB1377">
        <v>32.770000000000003</v>
      </c>
      <c r="DC1377">
        <v>29.37</v>
      </c>
      <c r="DD1377">
        <v>0.18</v>
      </c>
      <c r="DE1377">
        <v>600</v>
      </c>
      <c r="DF1377">
        <v>2947</v>
      </c>
      <c r="DG1377" t="s">
        <v>116</v>
      </c>
      <c r="DH1377" t="s">
        <v>116</v>
      </c>
      <c r="DI1377" t="s">
        <v>116</v>
      </c>
    </row>
    <row r="1378" spans="1:113" x14ac:dyDescent="0.4">
      <c r="A1378" t="str">
        <f>"002948"</f>
        <v>002948</v>
      </c>
      <c r="B1378" t="s">
        <v>7501</v>
      </c>
      <c r="C1378">
        <v>-0.17</v>
      </c>
      <c r="D1378">
        <v>5.92</v>
      </c>
      <c r="E1378">
        <v>-0.01</v>
      </c>
      <c r="F1378">
        <v>5.91</v>
      </c>
      <c r="G1378">
        <v>5.92</v>
      </c>
      <c r="H1378">
        <v>234703</v>
      </c>
      <c r="I1378">
        <v>2575</v>
      </c>
      <c r="J1378">
        <v>0</v>
      </c>
      <c r="K1378">
        <v>5.2</v>
      </c>
      <c r="L1378">
        <v>5.93</v>
      </c>
      <c r="M1378">
        <v>6.08</v>
      </c>
      <c r="N1378">
        <v>5.9</v>
      </c>
      <c r="O1378">
        <v>5.93</v>
      </c>
      <c r="P1378">
        <v>10.29</v>
      </c>
      <c r="Q1378">
        <v>140095056</v>
      </c>
      <c r="R1378">
        <v>1.05</v>
      </c>
      <c r="S1378" t="s">
        <v>114</v>
      </c>
      <c r="T1378" t="s">
        <v>645</v>
      </c>
      <c r="U1378">
        <v>3.04</v>
      </c>
      <c r="V1378">
        <v>5.97</v>
      </c>
      <c r="W1378">
        <v>118154</v>
      </c>
      <c r="X1378">
        <v>116549</v>
      </c>
      <c r="Y1378">
        <v>1.01</v>
      </c>
      <c r="Z1378">
        <v>1047</v>
      </c>
      <c r="AA1378">
        <v>158</v>
      </c>
      <c r="AB1378" t="s">
        <v>116</v>
      </c>
      <c r="AC1378">
        <v>1155800</v>
      </c>
      <c r="AD1378">
        <v>0.04</v>
      </c>
      <c r="AE1378" t="s">
        <v>116</v>
      </c>
      <c r="AF1378" t="s">
        <v>116</v>
      </c>
      <c r="AG1378">
        <v>4.51</v>
      </c>
      <c r="AH1378" t="s">
        <v>7502</v>
      </c>
      <c r="AI1378" t="s">
        <v>7503</v>
      </c>
      <c r="AJ1378">
        <v>0.51</v>
      </c>
      <c r="AK1378">
        <v>2360</v>
      </c>
      <c r="AL1378">
        <v>99</v>
      </c>
      <c r="AM1378">
        <v>2.2000000000000001E-3</v>
      </c>
      <c r="AN1378">
        <v>-1</v>
      </c>
      <c r="AO1378">
        <v>0.51</v>
      </c>
      <c r="AP1378">
        <v>4.41</v>
      </c>
      <c r="AQ1378">
        <v>1.02</v>
      </c>
      <c r="AR1378">
        <v>37.04</v>
      </c>
      <c r="AS1378">
        <v>5.2</v>
      </c>
      <c r="AT1378" t="s">
        <v>7502</v>
      </c>
      <c r="AU1378">
        <v>12.05</v>
      </c>
      <c r="AV1378">
        <v>13.19</v>
      </c>
      <c r="AW1378">
        <v>1.22</v>
      </c>
      <c r="BA1378">
        <v>0</v>
      </c>
      <c r="BB1378">
        <v>2.5299999999999998</v>
      </c>
      <c r="BC1378">
        <v>-0.51</v>
      </c>
      <c r="BD1378">
        <v>0.66</v>
      </c>
      <c r="BE1378">
        <v>-0.17</v>
      </c>
      <c r="BF1378">
        <v>-2.63</v>
      </c>
      <c r="BG1378">
        <v>0.34</v>
      </c>
      <c r="BH1378">
        <v>-0.83</v>
      </c>
      <c r="BI1378">
        <v>20191030</v>
      </c>
      <c r="BJ1378">
        <v>20190116</v>
      </c>
      <c r="BK1378">
        <v>45.1</v>
      </c>
      <c r="BL1378" t="s">
        <v>116</v>
      </c>
      <c r="BM1378">
        <v>17.63</v>
      </c>
      <c r="BN1378">
        <v>3550.01</v>
      </c>
      <c r="BO1378">
        <v>295.85000000000002</v>
      </c>
      <c r="BP1378">
        <v>5.5</v>
      </c>
      <c r="BQ1378">
        <v>91.51</v>
      </c>
      <c r="BR1378">
        <v>0</v>
      </c>
      <c r="BS1378">
        <v>28.54</v>
      </c>
      <c r="BT1378">
        <v>1.58</v>
      </c>
      <c r="BU1378">
        <v>0</v>
      </c>
      <c r="BV1378">
        <v>0</v>
      </c>
      <c r="BW1378">
        <v>0</v>
      </c>
      <c r="BX1378">
        <v>83.38</v>
      </c>
      <c r="BY1378">
        <v>71.89</v>
      </c>
      <c r="BZ1378">
        <v>0</v>
      </c>
      <c r="CA1378">
        <v>24.46</v>
      </c>
      <c r="CB1378">
        <v>9.26</v>
      </c>
      <c r="CC1378">
        <v>24.45</v>
      </c>
      <c r="CD1378">
        <v>19.850000000000001</v>
      </c>
      <c r="CE1378">
        <v>19.47</v>
      </c>
      <c r="CF1378">
        <v>19.399999999999999</v>
      </c>
      <c r="CG1378">
        <v>28.45</v>
      </c>
      <c r="CH1378">
        <v>-122.62</v>
      </c>
      <c r="CI1378">
        <v>10.34</v>
      </c>
      <c r="CJ1378">
        <v>104747</v>
      </c>
      <c r="CK1378">
        <v>4305</v>
      </c>
      <c r="CL1378" t="s">
        <v>1236</v>
      </c>
      <c r="CM1378">
        <v>10.98</v>
      </c>
      <c r="CN1378">
        <v>35.880000000000003</v>
      </c>
      <c r="CO1378">
        <v>1.23</v>
      </c>
      <c r="CP1378">
        <v>-2.1800000000000002</v>
      </c>
      <c r="CQ1378">
        <v>3.71</v>
      </c>
      <c r="CR1378">
        <v>3.38</v>
      </c>
      <c r="CS1378" t="s">
        <v>3311</v>
      </c>
      <c r="CT1378">
        <v>4.82</v>
      </c>
      <c r="CU1378">
        <v>4.82</v>
      </c>
      <c r="CV1378">
        <v>1.85</v>
      </c>
      <c r="CW1378">
        <v>0.63</v>
      </c>
      <c r="CX1378">
        <v>-2.72</v>
      </c>
      <c r="CY1378">
        <v>8.33</v>
      </c>
      <c r="CZ1378" t="s">
        <v>4286</v>
      </c>
      <c r="DA1378" t="s">
        <v>116</v>
      </c>
      <c r="DB1378">
        <v>34.020000000000003</v>
      </c>
      <c r="DC1378">
        <v>27.08</v>
      </c>
      <c r="DD1378">
        <v>0</v>
      </c>
      <c r="DE1378">
        <v>3794</v>
      </c>
      <c r="DF1378">
        <v>2948</v>
      </c>
      <c r="DG1378" t="s">
        <v>116</v>
      </c>
      <c r="DH1378" t="s">
        <v>116</v>
      </c>
      <c r="DI1378" t="s">
        <v>116</v>
      </c>
    </row>
    <row r="1379" spans="1:113" x14ac:dyDescent="0.4">
      <c r="A1379" t="str">
        <f>"002949"</f>
        <v>002949</v>
      </c>
      <c r="B1379" t="s">
        <v>7504</v>
      </c>
      <c r="C1379">
        <v>0.14000000000000001</v>
      </c>
      <c r="D1379">
        <v>21.66</v>
      </c>
      <c r="E1379">
        <v>0.03</v>
      </c>
      <c r="F1379">
        <v>21.66</v>
      </c>
      <c r="G1379">
        <v>21.67</v>
      </c>
      <c r="H1379">
        <v>18783</v>
      </c>
      <c r="I1379">
        <v>380</v>
      </c>
      <c r="J1379">
        <v>0</v>
      </c>
      <c r="K1379">
        <v>3.83</v>
      </c>
      <c r="L1379">
        <v>21.65</v>
      </c>
      <c r="M1379">
        <v>21.85</v>
      </c>
      <c r="N1379">
        <v>21.64</v>
      </c>
      <c r="O1379">
        <v>21.63</v>
      </c>
      <c r="P1379">
        <v>35.57</v>
      </c>
      <c r="Q1379">
        <v>40802524</v>
      </c>
      <c r="R1379">
        <v>1.03</v>
      </c>
      <c r="S1379" t="s">
        <v>181</v>
      </c>
      <c r="T1379" t="s">
        <v>115</v>
      </c>
      <c r="U1379">
        <v>0.97</v>
      </c>
      <c r="V1379">
        <v>21.72</v>
      </c>
      <c r="W1379">
        <v>10036</v>
      </c>
      <c r="X1379">
        <v>8747</v>
      </c>
      <c r="Y1379">
        <v>1.1499999999999999</v>
      </c>
      <c r="Z1379">
        <v>95</v>
      </c>
      <c r="AA1379">
        <v>206</v>
      </c>
      <c r="AB1379" t="s">
        <v>116</v>
      </c>
      <c r="AC1379">
        <v>177500</v>
      </c>
      <c r="AD1379">
        <v>0.02</v>
      </c>
      <c r="AE1379" t="s">
        <v>116</v>
      </c>
      <c r="AF1379" t="s">
        <v>116</v>
      </c>
      <c r="AG1379">
        <v>0.49</v>
      </c>
      <c r="AH1379" t="s">
        <v>1537</v>
      </c>
      <c r="AI1379" t="s">
        <v>7505</v>
      </c>
      <c r="AJ1379">
        <v>0.82</v>
      </c>
      <c r="AK1379">
        <v>1250</v>
      </c>
      <c r="AL1379">
        <v>15</v>
      </c>
      <c r="AM1379">
        <v>3.0999999999999999E-3</v>
      </c>
      <c r="AN1379">
        <v>1</v>
      </c>
      <c r="AO1379">
        <v>-0.55000000000000004</v>
      </c>
      <c r="AP1379">
        <v>0.74</v>
      </c>
      <c r="AQ1379">
        <v>-12.38</v>
      </c>
      <c r="AR1379">
        <v>111.11</v>
      </c>
      <c r="AS1379">
        <v>3.83</v>
      </c>
      <c r="AT1379" t="s">
        <v>1537</v>
      </c>
      <c r="AU1379">
        <v>32.1</v>
      </c>
      <c r="AV1379">
        <v>33.67</v>
      </c>
      <c r="AW1379">
        <v>0.92</v>
      </c>
      <c r="BA1379">
        <v>0.09</v>
      </c>
      <c r="BB1379">
        <v>1.02</v>
      </c>
      <c r="BC1379">
        <v>0.05</v>
      </c>
      <c r="BD1379">
        <v>0.43</v>
      </c>
      <c r="BE1379">
        <v>0.05</v>
      </c>
      <c r="BF1379">
        <v>-0.87</v>
      </c>
      <c r="BG1379">
        <v>0.09</v>
      </c>
      <c r="BH1379">
        <v>-0.28999999999999998</v>
      </c>
      <c r="BI1379">
        <v>20191031</v>
      </c>
      <c r="BJ1379">
        <v>20190226</v>
      </c>
      <c r="BK1379">
        <v>1.96</v>
      </c>
      <c r="BL1379" t="s">
        <v>116</v>
      </c>
      <c r="BM1379" t="s">
        <v>116</v>
      </c>
      <c r="BN1379">
        <v>17.09</v>
      </c>
      <c r="BO1379">
        <v>11.01</v>
      </c>
      <c r="BP1379">
        <v>0.25</v>
      </c>
      <c r="BQ1379">
        <v>34.06</v>
      </c>
      <c r="BR1379">
        <v>11.2</v>
      </c>
      <c r="BS1379">
        <v>3.67</v>
      </c>
      <c r="BT1379">
        <v>0.75</v>
      </c>
      <c r="BU1379">
        <v>5.77</v>
      </c>
      <c r="BV1379">
        <v>0.33</v>
      </c>
      <c r="BW1379">
        <v>4.3</v>
      </c>
      <c r="BX1379">
        <v>6.42</v>
      </c>
      <c r="BY1379">
        <v>7.88</v>
      </c>
      <c r="BZ1379">
        <v>5.39</v>
      </c>
      <c r="CA1379">
        <v>1.08</v>
      </c>
      <c r="CB1379">
        <v>0.08</v>
      </c>
      <c r="CC1379">
        <v>1.1100000000000001</v>
      </c>
      <c r="CD1379">
        <v>0.95</v>
      </c>
      <c r="CE1379">
        <v>0.9</v>
      </c>
      <c r="CF1379">
        <v>0.76</v>
      </c>
      <c r="CG1379">
        <v>2.27</v>
      </c>
      <c r="CH1379">
        <v>-1.01</v>
      </c>
      <c r="CI1379">
        <v>0.42</v>
      </c>
      <c r="CJ1379">
        <v>27577</v>
      </c>
      <c r="CK1379">
        <v>1778</v>
      </c>
      <c r="CL1379" t="s">
        <v>7506</v>
      </c>
      <c r="CM1379">
        <v>0</v>
      </c>
      <c r="CN1379">
        <v>0</v>
      </c>
      <c r="CO1379">
        <v>3.86</v>
      </c>
      <c r="CP1379">
        <v>-41.96</v>
      </c>
      <c r="CQ1379">
        <v>5.39</v>
      </c>
      <c r="CR1379">
        <v>1.1499999999999999</v>
      </c>
      <c r="CS1379" t="s">
        <v>386</v>
      </c>
      <c r="CT1379">
        <v>5.62</v>
      </c>
      <c r="CU1379">
        <v>0</v>
      </c>
      <c r="CV1379">
        <v>3.27</v>
      </c>
      <c r="CW1379">
        <v>1.1599999999999999</v>
      </c>
      <c r="CX1379">
        <v>-0.52</v>
      </c>
      <c r="CY1379">
        <v>64.45</v>
      </c>
      <c r="CZ1379" t="s">
        <v>7507</v>
      </c>
      <c r="DA1379">
        <v>31.52</v>
      </c>
      <c r="DB1379">
        <v>13.7</v>
      </c>
      <c r="DC1379">
        <v>11.37</v>
      </c>
      <c r="DD1379">
        <v>0.34</v>
      </c>
      <c r="DE1379">
        <v>2699</v>
      </c>
      <c r="DF1379">
        <v>2949</v>
      </c>
      <c r="DG1379" t="s">
        <v>116</v>
      </c>
      <c r="DH1379" t="s">
        <v>116</v>
      </c>
      <c r="DI1379" t="s">
        <v>116</v>
      </c>
    </row>
    <row r="1380" spans="1:113" x14ac:dyDescent="0.4">
      <c r="A1380" t="str">
        <f>"002950"</f>
        <v>002950</v>
      </c>
      <c r="B1380" t="s">
        <v>7508</v>
      </c>
      <c r="C1380">
        <v>0.1</v>
      </c>
      <c r="D1380">
        <v>20.32</v>
      </c>
      <c r="E1380">
        <v>0.02</v>
      </c>
      <c r="F1380">
        <v>20.309999999999999</v>
      </c>
      <c r="G1380">
        <v>20.32</v>
      </c>
      <c r="H1380">
        <v>11025</v>
      </c>
      <c r="I1380">
        <v>101</v>
      </c>
      <c r="J1380">
        <v>0.1</v>
      </c>
      <c r="K1380">
        <v>2.2999999999999998</v>
      </c>
      <c r="L1380">
        <v>20.309999999999999</v>
      </c>
      <c r="M1380">
        <v>20.49</v>
      </c>
      <c r="N1380">
        <v>20.21</v>
      </c>
      <c r="O1380">
        <v>20.3</v>
      </c>
      <c r="P1380">
        <v>29.52</v>
      </c>
      <c r="Q1380">
        <v>22479410</v>
      </c>
      <c r="R1380">
        <v>0.88</v>
      </c>
      <c r="S1380" t="s">
        <v>559</v>
      </c>
      <c r="T1380" t="s">
        <v>774</v>
      </c>
      <c r="U1380">
        <v>1.38</v>
      </c>
      <c r="V1380">
        <v>20.39</v>
      </c>
      <c r="W1380">
        <v>5644</v>
      </c>
      <c r="X1380">
        <v>5381</v>
      </c>
      <c r="Y1380">
        <v>1.05</v>
      </c>
      <c r="Z1380">
        <v>6</v>
      </c>
      <c r="AA1380">
        <v>51</v>
      </c>
      <c r="AB1380" t="s">
        <v>116</v>
      </c>
      <c r="AC1380">
        <v>95500</v>
      </c>
      <c r="AD1380">
        <v>0.01</v>
      </c>
      <c r="AE1380" t="s">
        <v>116</v>
      </c>
      <c r="AF1380" t="s">
        <v>116</v>
      </c>
      <c r="AG1380">
        <v>0.48</v>
      </c>
      <c r="AH1380" t="s">
        <v>7509</v>
      </c>
      <c r="AI1380" t="s">
        <v>7510</v>
      </c>
      <c r="AJ1380">
        <v>0.78</v>
      </c>
      <c r="AK1380">
        <v>1029</v>
      </c>
      <c r="AL1380">
        <v>11</v>
      </c>
      <c r="AM1380">
        <v>2.2000000000000001E-3</v>
      </c>
      <c r="AN1380">
        <v>1</v>
      </c>
      <c r="AO1380">
        <v>0.25</v>
      </c>
      <c r="AP1380">
        <v>5.67</v>
      </c>
      <c r="AQ1380">
        <v>-4.1500000000000004</v>
      </c>
      <c r="AR1380">
        <v>86.76</v>
      </c>
      <c r="AS1380">
        <v>2.2999999999999998</v>
      </c>
      <c r="AT1380" t="s">
        <v>7509</v>
      </c>
      <c r="AU1380">
        <v>28.14</v>
      </c>
      <c r="AV1380">
        <v>37.659999999999997</v>
      </c>
      <c r="AW1380">
        <v>0.95</v>
      </c>
      <c r="BA1380">
        <v>0.05</v>
      </c>
      <c r="BB1380">
        <v>0.94</v>
      </c>
      <c r="BC1380">
        <v>-0.44</v>
      </c>
      <c r="BD1380">
        <v>0.44</v>
      </c>
      <c r="BE1380">
        <v>0.05</v>
      </c>
      <c r="BF1380">
        <v>-0.83</v>
      </c>
      <c r="BG1380">
        <v>0.54</v>
      </c>
      <c r="BH1380">
        <v>-0.34</v>
      </c>
      <c r="BI1380">
        <v>20191030</v>
      </c>
      <c r="BJ1380">
        <v>20190311</v>
      </c>
      <c r="BK1380">
        <v>4.22</v>
      </c>
      <c r="BL1380" t="s">
        <v>116</v>
      </c>
      <c r="BM1380" t="s">
        <v>116</v>
      </c>
      <c r="BN1380">
        <v>31.38</v>
      </c>
      <c r="BO1380">
        <v>19.53</v>
      </c>
      <c r="BP1380">
        <v>0.08</v>
      </c>
      <c r="BQ1380">
        <v>37.51</v>
      </c>
      <c r="BR1380">
        <v>16.39</v>
      </c>
      <c r="BS1380">
        <v>9.85</v>
      </c>
      <c r="BT1380">
        <v>1.81</v>
      </c>
      <c r="BU1380">
        <v>6.01</v>
      </c>
      <c r="BV1380">
        <v>7.4</v>
      </c>
      <c r="BW1380">
        <v>2.5299999999999998</v>
      </c>
      <c r="BX1380">
        <v>7.86</v>
      </c>
      <c r="BY1380">
        <v>17.12</v>
      </c>
      <c r="BZ1380">
        <v>11.4</v>
      </c>
      <c r="CA1380">
        <v>2.67</v>
      </c>
      <c r="CB1380">
        <v>0.24</v>
      </c>
      <c r="CC1380">
        <v>2.64</v>
      </c>
      <c r="CD1380">
        <v>2.17</v>
      </c>
      <c r="CE1380">
        <v>2.1800000000000002</v>
      </c>
      <c r="CF1380">
        <v>1.95</v>
      </c>
      <c r="CG1380">
        <v>6.7</v>
      </c>
      <c r="CH1380">
        <v>1.35</v>
      </c>
      <c r="CI1380">
        <v>-0.21</v>
      </c>
      <c r="CJ1380">
        <v>27176</v>
      </c>
      <c r="CK1380">
        <v>1766</v>
      </c>
      <c r="CL1380" t="s">
        <v>1583</v>
      </c>
      <c r="CM1380">
        <v>54.66</v>
      </c>
      <c r="CN1380">
        <v>18.22</v>
      </c>
      <c r="CO1380">
        <v>4.3899999999999997</v>
      </c>
      <c r="CP1380">
        <v>63.41</v>
      </c>
      <c r="CQ1380">
        <v>5.01</v>
      </c>
      <c r="CR1380">
        <v>0.74</v>
      </c>
      <c r="CS1380" t="s">
        <v>814</v>
      </c>
      <c r="CT1380">
        <v>4.63</v>
      </c>
      <c r="CU1380">
        <v>0</v>
      </c>
      <c r="CV1380">
        <v>1.86</v>
      </c>
      <c r="CW1380">
        <v>1.59</v>
      </c>
      <c r="CX1380">
        <v>0.32</v>
      </c>
      <c r="CY1380">
        <v>62.24</v>
      </c>
      <c r="CZ1380" t="s">
        <v>3834</v>
      </c>
      <c r="DA1380">
        <v>33.409999999999997</v>
      </c>
      <c r="DB1380">
        <v>15.62</v>
      </c>
      <c r="DC1380">
        <v>12.73</v>
      </c>
      <c r="DD1380">
        <v>0.45</v>
      </c>
      <c r="DE1380">
        <v>4526</v>
      </c>
      <c r="DF1380">
        <v>2950</v>
      </c>
      <c r="DG1380" t="s">
        <v>116</v>
      </c>
      <c r="DH1380" t="s">
        <v>116</v>
      </c>
      <c r="DI1380" t="s">
        <v>116</v>
      </c>
    </row>
    <row r="1381" spans="1:113" x14ac:dyDescent="0.4">
      <c r="A1381" t="str">
        <f>"002951"</f>
        <v>002951</v>
      </c>
      <c r="B1381" t="s">
        <v>7511</v>
      </c>
      <c r="C1381">
        <v>2.87</v>
      </c>
      <c r="D1381">
        <v>17.899999999999999</v>
      </c>
      <c r="E1381">
        <v>0.5</v>
      </c>
      <c r="F1381">
        <v>17.899999999999999</v>
      </c>
      <c r="G1381">
        <v>17.91</v>
      </c>
      <c r="H1381">
        <v>79266</v>
      </c>
      <c r="I1381">
        <v>630</v>
      </c>
      <c r="J1381">
        <v>-0.05</v>
      </c>
      <c r="K1381">
        <v>17.61</v>
      </c>
      <c r="L1381">
        <v>18.12</v>
      </c>
      <c r="M1381">
        <v>19.14</v>
      </c>
      <c r="N1381">
        <v>17.82</v>
      </c>
      <c r="O1381">
        <v>17.399999999999999</v>
      </c>
      <c r="P1381">
        <v>48.37</v>
      </c>
      <c r="Q1381">
        <v>147670656</v>
      </c>
      <c r="R1381">
        <v>6.23</v>
      </c>
      <c r="S1381" t="s">
        <v>345</v>
      </c>
      <c r="T1381" t="s">
        <v>582</v>
      </c>
      <c r="U1381">
        <v>7.59</v>
      </c>
      <c r="V1381">
        <v>18.63</v>
      </c>
      <c r="W1381">
        <v>44998</v>
      </c>
      <c r="X1381">
        <v>34268</v>
      </c>
      <c r="Y1381">
        <v>1.31</v>
      </c>
      <c r="Z1381">
        <v>72</v>
      </c>
      <c r="AA1381">
        <v>20</v>
      </c>
      <c r="AB1381" t="s">
        <v>116</v>
      </c>
      <c r="AC1381">
        <v>5381600</v>
      </c>
      <c r="AD1381">
        <v>0.66</v>
      </c>
      <c r="AE1381" t="s">
        <v>116</v>
      </c>
      <c r="AF1381" t="s">
        <v>116</v>
      </c>
      <c r="AG1381">
        <v>0.45</v>
      </c>
      <c r="AH1381" t="s">
        <v>7512</v>
      </c>
      <c r="AI1381" t="s">
        <v>7513</v>
      </c>
      <c r="AJ1381">
        <v>3.55</v>
      </c>
      <c r="AK1381">
        <v>2294</v>
      </c>
      <c r="AL1381">
        <v>35</v>
      </c>
      <c r="AM1381">
        <v>7.7000000000000002E-3</v>
      </c>
      <c r="AN1381">
        <v>2</v>
      </c>
      <c r="AO1381">
        <v>3.58</v>
      </c>
      <c r="AP1381">
        <v>9.48</v>
      </c>
      <c r="AQ1381">
        <v>-10.9</v>
      </c>
      <c r="AR1381">
        <v>87.63</v>
      </c>
      <c r="AS1381">
        <v>17.61</v>
      </c>
      <c r="AT1381" t="s">
        <v>7514</v>
      </c>
      <c r="AU1381">
        <v>39.26</v>
      </c>
      <c r="AV1381">
        <v>37.1</v>
      </c>
      <c r="AW1381">
        <v>0.9</v>
      </c>
      <c r="BA1381">
        <v>4.1399999999999997</v>
      </c>
      <c r="BB1381">
        <v>10</v>
      </c>
      <c r="BC1381">
        <v>2.41</v>
      </c>
      <c r="BD1381">
        <v>7.07</v>
      </c>
      <c r="BE1381">
        <v>-1.21</v>
      </c>
      <c r="BF1381">
        <v>-6.48</v>
      </c>
      <c r="BG1381">
        <v>0.45</v>
      </c>
      <c r="BH1381">
        <v>-4.1900000000000004</v>
      </c>
      <c r="BI1381">
        <v>20191031</v>
      </c>
      <c r="BJ1381">
        <v>20190315</v>
      </c>
      <c r="BK1381">
        <v>4.05</v>
      </c>
      <c r="BL1381" t="s">
        <v>116</v>
      </c>
      <c r="BM1381" t="s">
        <v>116</v>
      </c>
      <c r="BN1381">
        <v>14.52</v>
      </c>
      <c r="BO1381">
        <v>12.56</v>
      </c>
      <c r="BP1381">
        <v>0</v>
      </c>
      <c r="BQ1381">
        <v>13.51</v>
      </c>
      <c r="BR1381">
        <v>10.41</v>
      </c>
      <c r="BS1381">
        <v>3.58</v>
      </c>
      <c r="BT1381">
        <v>0.28999999999999998</v>
      </c>
      <c r="BU1381">
        <v>1.93</v>
      </c>
      <c r="BV1381">
        <v>1.0900000000000001</v>
      </c>
      <c r="BW1381">
        <v>0.94</v>
      </c>
      <c r="BX1381">
        <v>5.37</v>
      </c>
      <c r="BY1381">
        <v>3.78</v>
      </c>
      <c r="BZ1381">
        <v>2.36</v>
      </c>
      <c r="CA1381">
        <v>1.1399999999999999</v>
      </c>
      <c r="CB1381">
        <v>0.1</v>
      </c>
      <c r="CC1381">
        <v>1.1399999999999999</v>
      </c>
      <c r="CD1381">
        <v>1.1200000000000001</v>
      </c>
      <c r="CE1381">
        <v>1.1200000000000001</v>
      </c>
      <c r="CF1381">
        <v>1.04</v>
      </c>
      <c r="CG1381">
        <v>2.8</v>
      </c>
      <c r="CH1381">
        <v>2.4</v>
      </c>
      <c r="CI1381">
        <v>-0.36</v>
      </c>
      <c r="CJ1381">
        <v>22979</v>
      </c>
      <c r="CK1381">
        <v>1958</v>
      </c>
      <c r="CL1381" t="s">
        <v>764</v>
      </c>
      <c r="CM1381">
        <v>0</v>
      </c>
      <c r="CN1381">
        <v>0</v>
      </c>
      <c r="CO1381">
        <v>5.77</v>
      </c>
      <c r="CP1381">
        <v>30.25</v>
      </c>
      <c r="CQ1381">
        <v>19.2</v>
      </c>
      <c r="CR1381">
        <v>2.23</v>
      </c>
      <c r="CS1381" t="s">
        <v>3995</v>
      </c>
      <c r="CT1381">
        <v>3.1</v>
      </c>
      <c r="CU1381">
        <v>0</v>
      </c>
      <c r="CV1381">
        <v>1.33</v>
      </c>
      <c r="CW1381">
        <v>0.69</v>
      </c>
      <c r="CX1381">
        <v>0.59</v>
      </c>
      <c r="CY1381">
        <v>86.49</v>
      </c>
      <c r="CZ1381" t="s">
        <v>3515</v>
      </c>
      <c r="DA1381">
        <v>37.54</v>
      </c>
      <c r="DB1381">
        <v>30.3</v>
      </c>
      <c r="DC1381">
        <v>29.76</v>
      </c>
      <c r="DD1381">
        <v>0.09</v>
      </c>
      <c r="DE1381">
        <v>516</v>
      </c>
      <c r="DF1381">
        <v>2951</v>
      </c>
      <c r="DG1381" t="s">
        <v>116</v>
      </c>
      <c r="DH1381" t="s">
        <v>116</v>
      </c>
      <c r="DI1381" t="s">
        <v>116</v>
      </c>
    </row>
    <row r="1382" spans="1:113" x14ac:dyDescent="0.4">
      <c r="A1382" t="str">
        <f>"002952"</f>
        <v>002952</v>
      </c>
      <c r="B1382" t="s">
        <v>7515</v>
      </c>
      <c r="C1382">
        <v>-3.68</v>
      </c>
      <c r="D1382">
        <v>32.72</v>
      </c>
      <c r="E1382">
        <v>-1.25</v>
      </c>
      <c r="F1382">
        <v>32.71</v>
      </c>
      <c r="G1382">
        <v>32.72</v>
      </c>
      <c r="H1382">
        <v>19697</v>
      </c>
      <c r="I1382">
        <v>565</v>
      </c>
      <c r="J1382">
        <v>0.09</v>
      </c>
      <c r="K1382">
        <v>8.6199999999999992</v>
      </c>
      <c r="L1382">
        <v>33.78</v>
      </c>
      <c r="M1382">
        <v>34.270000000000003</v>
      </c>
      <c r="N1382">
        <v>32.65</v>
      </c>
      <c r="O1382">
        <v>33.97</v>
      </c>
      <c r="P1382">
        <v>43.32</v>
      </c>
      <c r="Q1382">
        <v>65631996</v>
      </c>
      <c r="R1382">
        <v>1.3</v>
      </c>
      <c r="S1382" t="s">
        <v>233</v>
      </c>
      <c r="T1382" t="s">
        <v>434</v>
      </c>
      <c r="U1382">
        <v>4.7699999999999996</v>
      </c>
      <c r="V1382">
        <v>33.32</v>
      </c>
      <c r="W1382">
        <v>11915</v>
      </c>
      <c r="X1382">
        <v>7782</v>
      </c>
      <c r="Y1382">
        <v>1.53</v>
      </c>
      <c r="Z1382">
        <v>3</v>
      </c>
      <c r="AA1382">
        <v>13</v>
      </c>
      <c r="AB1382" t="s">
        <v>116</v>
      </c>
      <c r="AC1382">
        <v>314200</v>
      </c>
      <c r="AD1382">
        <v>0.04</v>
      </c>
      <c r="AE1382" t="s">
        <v>116</v>
      </c>
      <c r="AF1382" t="s">
        <v>116</v>
      </c>
      <c r="AG1382">
        <v>0.23</v>
      </c>
      <c r="AH1382" t="s">
        <v>7516</v>
      </c>
      <c r="AI1382" t="s">
        <v>7517</v>
      </c>
      <c r="AJ1382">
        <v>-3</v>
      </c>
      <c r="AK1382">
        <v>1722</v>
      </c>
      <c r="AL1382">
        <v>11</v>
      </c>
      <c r="AM1382">
        <v>5.0000000000000001E-3</v>
      </c>
      <c r="AN1382">
        <v>-1</v>
      </c>
      <c r="AO1382">
        <v>-0.12</v>
      </c>
      <c r="AP1382">
        <v>3.28</v>
      </c>
      <c r="AQ1382">
        <v>-14.05</v>
      </c>
      <c r="AR1382">
        <v>61.13</v>
      </c>
      <c r="AS1382">
        <v>8.6199999999999992</v>
      </c>
      <c r="AT1382" t="s">
        <v>7516</v>
      </c>
      <c r="AU1382">
        <v>40.869999999999997</v>
      </c>
      <c r="AV1382">
        <v>36.24</v>
      </c>
      <c r="AW1382">
        <v>1.2</v>
      </c>
      <c r="BA1382">
        <v>-0.56000000000000005</v>
      </c>
      <c r="BB1382">
        <v>0.88</v>
      </c>
      <c r="BC1382">
        <v>-3.89</v>
      </c>
      <c r="BD1382">
        <v>-1.91</v>
      </c>
      <c r="BE1382">
        <v>-3.14</v>
      </c>
      <c r="BF1382">
        <v>-4.5199999999999996</v>
      </c>
      <c r="BG1382">
        <v>0.21</v>
      </c>
      <c r="BH1382">
        <v>-1.77</v>
      </c>
      <c r="BI1382">
        <v>20191023</v>
      </c>
      <c r="BJ1382">
        <v>20190328</v>
      </c>
      <c r="BK1382">
        <v>1.1000000000000001</v>
      </c>
      <c r="BL1382" t="s">
        <v>116</v>
      </c>
      <c r="BM1382" t="s">
        <v>116</v>
      </c>
      <c r="BN1382">
        <v>8.94</v>
      </c>
      <c r="BO1382">
        <v>7.74</v>
      </c>
      <c r="BP1382">
        <v>0</v>
      </c>
      <c r="BQ1382">
        <v>13.39</v>
      </c>
      <c r="BR1382">
        <v>7.99</v>
      </c>
      <c r="BS1382">
        <v>0.49</v>
      </c>
      <c r="BT1382">
        <v>0.17</v>
      </c>
      <c r="BU1382">
        <v>1.01</v>
      </c>
      <c r="BV1382">
        <v>0.78</v>
      </c>
      <c r="BW1382">
        <v>0.92</v>
      </c>
      <c r="BX1382">
        <v>4.18</v>
      </c>
      <c r="BY1382">
        <v>3.37</v>
      </c>
      <c r="BZ1382">
        <v>2.41</v>
      </c>
      <c r="CA1382">
        <v>0.72</v>
      </c>
      <c r="CB1382">
        <v>-0.01</v>
      </c>
      <c r="CC1382">
        <v>0.72</v>
      </c>
      <c r="CD1382">
        <v>0.62</v>
      </c>
      <c r="CE1382">
        <v>0.62</v>
      </c>
      <c r="CF1382">
        <v>0.59</v>
      </c>
      <c r="CG1382">
        <v>2.12</v>
      </c>
      <c r="CH1382">
        <v>0.5</v>
      </c>
      <c r="CI1382">
        <v>-1.29</v>
      </c>
      <c r="CJ1382">
        <v>17487</v>
      </c>
      <c r="CK1382">
        <v>1307</v>
      </c>
      <c r="CL1382" t="s">
        <v>770</v>
      </c>
      <c r="CM1382">
        <v>0</v>
      </c>
      <c r="CN1382">
        <v>0</v>
      </c>
      <c r="CO1382">
        <v>4.63</v>
      </c>
      <c r="CP1382">
        <v>71.489999999999995</v>
      </c>
      <c r="CQ1382">
        <v>10.63</v>
      </c>
      <c r="CR1382">
        <v>1.39</v>
      </c>
      <c r="CS1382" t="s">
        <v>3264</v>
      </c>
      <c r="CT1382">
        <v>7.06</v>
      </c>
      <c r="CU1382">
        <v>0</v>
      </c>
      <c r="CV1382">
        <v>3.82</v>
      </c>
      <c r="CW1382">
        <v>1.93</v>
      </c>
      <c r="CX1382">
        <v>0.46</v>
      </c>
      <c r="CY1382">
        <v>86.61</v>
      </c>
      <c r="CZ1382" t="s">
        <v>7518</v>
      </c>
      <c r="DA1382">
        <v>28.66</v>
      </c>
      <c r="DB1382">
        <v>21.45</v>
      </c>
      <c r="DC1382">
        <v>18.399999999999999</v>
      </c>
      <c r="DD1382">
        <v>0.12</v>
      </c>
      <c r="DE1382">
        <v>1715</v>
      </c>
      <c r="DF1382">
        <v>2952</v>
      </c>
      <c r="DG1382" t="s">
        <v>116</v>
      </c>
      <c r="DH1382" t="s">
        <v>116</v>
      </c>
      <c r="DI1382" t="s">
        <v>116</v>
      </c>
    </row>
    <row r="1383" spans="1:113" x14ac:dyDescent="0.4">
      <c r="A1383" t="str">
        <f>"002953"</f>
        <v>002953</v>
      </c>
      <c r="B1383" t="s">
        <v>7519</v>
      </c>
      <c r="C1383">
        <v>-1.93</v>
      </c>
      <c r="D1383">
        <v>19.77</v>
      </c>
      <c r="E1383">
        <v>-0.39</v>
      </c>
      <c r="F1383">
        <v>19.760000000000002</v>
      </c>
      <c r="G1383">
        <v>19.77</v>
      </c>
      <c r="H1383">
        <v>20945</v>
      </c>
      <c r="I1383">
        <v>179</v>
      </c>
      <c r="J1383">
        <v>0.1</v>
      </c>
      <c r="K1383">
        <v>4.87</v>
      </c>
      <c r="L1383">
        <v>20.16</v>
      </c>
      <c r="M1383">
        <v>20.25</v>
      </c>
      <c r="N1383">
        <v>19.7</v>
      </c>
      <c r="O1383">
        <v>20.16</v>
      </c>
      <c r="P1383">
        <v>29.85</v>
      </c>
      <c r="Q1383">
        <v>41902000</v>
      </c>
      <c r="R1383">
        <v>1.03</v>
      </c>
      <c r="S1383" t="s">
        <v>397</v>
      </c>
      <c r="T1383" t="s">
        <v>551</v>
      </c>
      <c r="U1383">
        <v>2.73</v>
      </c>
      <c r="V1383">
        <v>20.010000000000002</v>
      </c>
      <c r="W1383">
        <v>13717</v>
      </c>
      <c r="X1383">
        <v>7228</v>
      </c>
      <c r="Y1383">
        <v>1.9</v>
      </c>
      <c r="Z1383">
        <v>20</v>
      </c>
      <c r="AA1383">
        <v>4</v>
      </c>
      <c r="AB1383" t="s">
        <v>116</v>
      </c>
      <c r="AC1383">
        <v>12100</v>
      </c>
      <c r="AD1383">
        <v>0</v>
      </c>
      <c r="AE1383" t="s">
        <v>116</v>
      </c>
      <c r="AF1383" t="s">
        <v>116</v>
      </c>
      <c r="AG1383">
        <v>0.43</v>
      </c>
      <c r="AH1383" t="s">
        <v>7520</v>
      </c>
      <c r="AI1383" t="s">
        <v>7521</v>
      </c>
      <c r="AJ1383">
        <v>-1.26</v>
      </c>
      <c r="AK1383">
        <v>1545</v>
      </c>
      <c r="AL1383">
        <v>14</v>
      </c>
      <c r="AM1383">
        <v>3.2000000000000002E-3</v>
      </c>
      <c r="AN1383">
        <v>-1</v>
      </c>
      <c r="AO1383">
        <v>0.41</v>
      </c>
      <c r="AP1383">
        <v>5.16</v>
      </c>
      <c r="AQ1383">
        <v>-16.579999999999998</v>
      </c>
      <c r="AR1383">
        <v>90.1</v>
      </c>
      <c r="AS1383">
        <v>4.87</v>
      </c>
      <c r="AT1383" t="s">
        <v>7520</v>
      </c>
      <c r="AU1383">
        <v>30.87</v>
      </c>
      <c r="AV1383">
        <v>29.44</v>
      </c>
      <c r="AW1383">
        <v>1.24</v>
      </c>
      <c r="BA1383">
        <v>0</v>
      </c>
      <c r="BB1383">
        <v>0.45</v>
      </c>
      <c r="BC1383">
        <v>-2.2799999999999998</v>
      </c>
      <c r="BD1383">
        <v>-0.77</v>
      </c>
      <c r="BE1383">
        <v>-1.93</v>
      </c>
      <c r="BF1383">
        <v>-2.37</v>
      </c>
      <c r="BG1383">
        <v>0.36</v>
      </c>
      <c r="BH1383">
        <v>-1.17</v>
      </c>
      <c r="BI1383">
        <v>20191025</v>
      </c>
      <c r="BJ1383">
        <v>20190509</v>
      </c>
      <c r="BK1383">
        <v>1.72</v>
      </c>
      <c r="BL1383" t="s">
        <v>116</v>
      </c>
      <c r="BM1383" t="s">
        <v>116</v>
      </c>
      <c r="BN1383">
        <v>11.83</v>
      </c>
      <c r="BO1383">
        <v>9.18</v>
      </c>
      <c r="BP1383">
        <v>0</v>
      </c>
      <c r="BQ1383">
        <v>22.44</v>
      </c>
      <c r="BR1383">
        <v>9.6999999999999993</v>
      </c>
      <c r="BS1383">
        <v>1.1100000000000001</v>
      </c>
      <c r="BT1383">
        <v>0.7</v>
      </c>
      <c r="BU1383">
        <v>2.5099999999999998</v>
      </c>
      <c r="BV1383">
        <v>1.32</v>
      </c>
      <c r="BW1383">
        <v>4.28</v>
      </c>
      <c r="BX1383">
        <v>3.56</v>
      </c>
      <c r="BY1383">
        <v>11.3</v>
      </c>
      <c r="BZ1383">
        <v>9.25</v>
      </c>
      <c r="CA1383">
        <v>0.86</v>
      </c>
      <c r="CB1383">
        <v>0.01</v>
      </c>
      <c r="CC1383">
        <v>0.89</v>
      </c>
      <c r="CD1383">
        <v>0.85</v>
      </c>
      <c r="CE1383">
        <v>0.85</v>
      </c>
      <c r="CF1383">
        <v>0.82</v>
      </c>
      <c r="CG1383">
        <v>3.48</v>
      </c>
      <c r="CH1383">
        <v>0.01</v>
      </c>
      <c r="CI1383">
        <v>0.86</v>
      </c>
      <c r="CJ1383">
        <v>23714</v>
      </c>
      <c r="CK1383">
        <v>1814</v>
      </c>
      <c r="CL1383" t="s">
        <v>1583</v>
      </c>
      <c r="CM1383">
        <v>0</v>
      </c>
      <c r="CN1383">
        <v>0</v>
      </c>
      <c r="CO1383">
        <v>3.71</v>
      </c>
      <c r="CP1383">
        <v>3993.43</v>
      </c>
      <c r="CQ1383">
        <v>3.01</v>
      </c>
      <c r="CR1383">
        <v>0.61</v>
      </c>
      <c r="CS1383" t="s">
        <v>2367</v>
      </c>
      <c r="CT1383">
        <v>5.33</v>
      </c>
      <c r="CU1383">
        <v>0</v>
      </c>
      <c r="CV1383">
        <v>2.0699999999999998</v>
      </c>
      <c r="CW1383">
        <v>2.02</v>
      </c>
      <c r="CX1383">
        <v>0</v>
      </c>
      <c r="CY1383">
        <v>77.56</v>
      </c>
      <c r="CZ1383" t="s">
        <v>7522</v>
      </c>
      <c r="DA1383">
        <v>18.14</v>
      </c>
      <c r="DB1383">
        <v>7.61</v>
      </c>
      <c r="DC1383">
        <v>7.57</v>
      </c>
      <c r="DD1383">
        <v>0.36</v>
      </c>
      <c r="DE1383">
        <v>1741</v>
      </c>
      <c r="DF1383">
        <v>2953</v>
      </c>
      <c r="DG1383" t="s">
        <v>116</v>
      </c>
      <c r="DH1383" t="s">
        <v>116</v>
      </c>
      <c r="DI1383" t="s">
        <v>116</v>
      </c>
    </row>
    <row r="1384" spans="1:113" x14ac:dyDescent="0.4">
      <c r="A1384" t="str">
        <f>"002955"</f>
        <v>002955</v>
      </c>
      <c r="B1384" t="s">
        <v>7523</v>
      </c>
      <c r="C1384">
        <v>1.71</v>
      </c>
      <c r="D1384">
        <v>58.32</v>
      </c>
      <c r="E1384">
        <v>0.98</v>
      </c>
      <c r="F1384">
        <v>58.32</v>
      </c>
      <c r="G1384">
        <v>58.33</v>
      </c>
      <c r="H1384">
        <v>31050</v>
      </c>
      <c r="I1384">
        <v>298</v>
      </c>
      <c r="J1384">
        <v>-0.04</v>
      </c>
      <c r="K1384">
        <v>9.0500000000000007</v>
      </c>
      <c r="L1384">
        <v>57.44</v>
      </c>
      <c r="M1384">
        <v>59.35</v>
      </c>
      <c r="N1384">
        <v>57.02</v>
      </c>
      <c r="O1384">
        <v>57.34</v>
      </c>
      <c r="P1384">
        <v>24.86</v>
      </c>
      <c r="Q1384">
        <v>180698448</v>
      </c>
      <c r="R1384">
        <v>1.68</v>
      </c>
      <c r="S1384" t="s">
        <v>241</v>
      </c>
      <c r="T1384" t="s">
        <v>165</v>
      </c>
      <c r="U1384">
        <v>4.0599999999999996</v>
      </c>
      <c r="V1384">
        <v>58.2</v>
      </c>
      <c r="W1384">
        <v>14830</v>
      </c>
      <c r="X1384">
        <v>16220</v>
      </c>
      <c r="Y1384">
        <v>0.91</v>
      </c>
      <c r="Z1384">
        <v>6</v>
      </c>
      <c r="AA1384">
        <v>167</v>
      </c>
      <c r="AB1384" t="s">
        <v>116</v>
      </c>
      <c r="AC1384">
        <v>120600</v>
      </c>
      <c r="AD1384">
        <v>0.01</v>
      </c>
      <c r="AE1384" t="s">
        <v>116</v>
      </c>
      <c r="AF1384" t="s">
        <v>116</v>
      </c>
      <c r="AG1384">
        <v>0.34</v>
      </c>
      <c r="AH1384" t="s">
        <v>5928</v>
      </c>
      <c r="AI1384" t="s">
        <v>7524</v>
      </c>
      <c r="AJ1384">
        <v>2.39</v>
      </c>
      <c r="AK1384">
        <v>2395</v>
      </c>
      <c r="AL1384">
        <v>13</v>
      </c>
      <c r="AM1384">
        <v>3.8E-3</v>
      </c>
      <c r="AN1384">
        <v>4</v>
      </c>
      <c r="AO1384">
        <v>2.35</v>
      </c>
      <c r="AP1384">
        <v>6.38</v>
      </c>
      <c r="AQ1384">
        <v>-5.49</v>
      </c>
      <c r="AR1384">
        <v>11.28</v>
      </c>
      <c r="AS1384">
        <v>9.0500000000000007</v>
      </c>
      <c r="AT1384" t="s">
        <v>5928</v>
      </c>
      <c r="AU1384">
        <v>27.91</v>
      </c>
      <c r="AV1384">
        <v>24.13</v>
      </c>
      <c r="AW1384">
        <v>1.06</v>
      </c>
      <c r="BA1384">
        <v>0.17</v>
      </c>
      <c r="BB1384">
        <v>3.51</v>
      </c>
      <c r="BC1384">
        <v>-0.56000000000000005</v>
      </c>
      <c r="BD1384">
        <v>1.49</v>
      </c>
      <c r="BE1384">
        <v>1.53</v>
      </c>
      <c r="BF1384">
        <v>-1.74</v>
      </c>
      <c r="BG1384">
        <v>2.2799999999999998</v>
      </c>
      <c r="BH1384">
        <v>0.22</v>
      </c>
      <c r="BI1384">
        <v>20191121</v>
      </c>
      <c r="BJ1384">
        <v>20190523</v>
      </c>
      <c r="BK1384">
        <v>1.39</v>
      </c>
      <c r="BL1384" t="s">
        <v>116</v>
      </c>
      <c r="BM1384" t="s">
        <v>116</v>
      </c>
      <c r="BN1384">
        <v>40.32</v>
      </c>
      <c r="BO1384">
        <v>28.47</v>
      </c>
      <c r="BP1384">
        <v>0.2</v>
      </c>
      <c r="BQ1384">
        <v>28.9</v>
      </c>
      <c r="BR1384">
        <v>37.630000000000003</v>
      </c>
      <c r="BS1384">
        <v>1.23</v>
      </c>
      <c r="BT1384">
        <v>0.47</v>
      </c>
      <c r="BU1384">
        <v>10.95</v>
      </c>
      <c r="BV1384">
        <v>6.36</v>
      </c>
      <c r="BW1384">
        <v>7.57</v>
      </c>
      <c r="BX1384">
        <v>20.12</v>
      </c>
      <c r="BY1384">
        <v>35.32</v>
      </c>
      <c r="BZ1384">
        <v>26.41</v>
      </c>
      <c r="CA1384">
        <v>2.92</v>
      </c>
      <c r="CB1384">
        <v>0.14000000000000001</v>
      </c>
      <c r="CC1384">
        <v>2.94</v>
      </c>
      <c r="CD1384">
        <v>2.4700000000000002</v>
      </c>
      <c r="CE1384">
        <v>2.4500000000000002</v>
      </c>
      <c r="CF1384">
        <v>2.14</v>
      </c>
      <c r="CG1384">
        <v>6.64</v>
      </c>
      <c r="CH1384">
        <v>-0.1</v>
      </c>
      <c r="CI1384">
        <v>4.9800000000000004</v>
      </c>
      <c r="CJ1384">
        <v>28841</v>
      </c>
      <c r="CK1384">
        <v>1190</v>
      </c>
      <c r="CL1384" t="s">
        <v>3833</v>
      </c>
      <c r="CM1384">
        <v>0</v>
      </c>
      <c r="CN1384">
        <v>0</v>
      </c>
      <c r="CO1384">
        <v>2.81</v>
      </c>
      <c r="CP1384">
        <v>-848.87</v>
      </c>
      <c r="CQ1384">
        <v>2.2999999999999998</v>
      </c>
      <c r="CR1384">
        <v>0</v>
      </c>
      <c r="CS1384" t="s">
        <v>7525</v>
      </c>
      <c r="CT1384">
        <v>20.74</v>
      </c>
      <c r="CU1384">
        <v>20.74</v>
      </c>
      <c r="CV1384">
        <v>14.47</v>
      </c>
      <c r="CW1384">
        <v>4.78</v>
      </c>
      <c r="CX1384">
        <v>-7.0000000000000007E-2</v>
      </c>
      <c r="CY1384">
        <v>70.599999999999994</v>
      </c>
      <c r="CZ1384" t="s">
        <v>4668</v>
      </c>
      <c r="DA1384">
        <v>25.23</v>
      </c>
      <c r="DB1384">
        <v>8.25</v>
      </c>
      <c r="DC1384">
        <v>6.93</v>
      </c>
      <c r="DD1384">
        <v>1.49</v>
      </c>
      <c r="DE1384">
        <v>2653</v>
      </c>
      <c r="DF1384">
        <v>2955</v>
      </c>
      <c r="DG1384" t="s">
        <v>116</v>
      </c>
      <c r="DH1384" t="s">
        <v>116</v>
      </c>
      <c r="DI1384" t="s">
        <v>116</v>
      </c>
    </row>
    <row r="1385" spans="1:113" x14ac:dyDescent="0.4">
      <c r="A1385" t="str">
        <f>"002956"</f>
        <v>002956</v>
      </c>
      <c r="B1385" t="s">
        <v>7526</v>
      </c>
      <c r="C1385">
        <v>1.52</v>
      </c>
      <c r="D1385">
        <v>54.16</v>
      </c>
      <c r="E1385">
        <v>0.81</v>
      </c>
      <c r="F1385">
        <v>54.16</v>
      </c>
      <c r="G1385">
        <v>54.19</v>
      </c>
      <c r="H1385">
        <v>18563</v>
      </c>
      <c r="I1385">
        <v>159</v>
      </c>
      <c r="J1385">
        <v>0.48</v>
      </c>
      <c r="K1385">
        <v>9.2799999999999994</v>
      </c>
      <c r="L1385">
        <v>53.35</v>
      </c>
      <c r="M1385">
        <v>54.88</v>
      </c>
      <c r="N1385">
        <v>53.32</v>
      </c>
      <c r="O1385">
        <v>53.35</v>
      </c>
      <c r="P1385">
        <v>26.67</v>
      </c>
      <c r="Q1385">
        <v>100303312</v>
      </c>
      <c r="R1385">
        <v>1.65</v>
      </c>
      <c r="S1385" t="s">
        <v>863</v>
      </c>
      <c r="T1385" t="s">
        <v>982</v>
      </c>
      <c r="U1385">
        <v>2.92</v>
      </c>
      <c r="V1385">
        <v>54.04</v>
      </c>
      <c r="W1385">
        <v>9393</v>
      </c>
      <c r="X1385">
        <v>9170</v>
      </c>
      <c r="Y1385">
        <v>1.02</v>
      </c>
      <c r="Z1385">
        <v>60</v>
      </c>
      <c r="AA1385">
        <v>5</v>
      </c>
      <c r="AB1385" t="s">
        <v>116</v>
      </c>
      <c r="AC1385">
        <v>144000</v>
      </c>
      <c r="AD1385">
        <v>0.01</v>
      </c>
      <c r="AE1385" t="s">
        <v>116</v>
      </c>
      <c r="AF1385" t="s">
        <v>116</v>
      </c>
      <c r="AG1385">
        <v>0.2</v>
      </c>
      <c r="AH1385" t="s">
        <v>7527</v>
      </c>
      <c r="AI1385" t="s">
        <v>2080</v>
      </c>
      <c r="AJ1385">
        <v>2.2000000000000002</v>
      </c>
      <c r="AK1385">
        <v>1977</v>
      </c>
      <c r="AL1385">
        <v>9</v>
      </c>
      <c r="AM1385">
        <v>4.7000000000000002E-3</v>
      </c>
      <c r="AN1385">
        <v>2</v>
      </c>
      <c r="AO1385">
        <v>1.2</v>
      </c>
      <c r="AP1385">
        <v>4.17</v>
      </c>
      <c r="AQ1385">
        <v>-0.51</v>
      </c>
      <c r="AR1385">
        <v>47.74</v>
      </c>
      <c r="AS1385">
        <v>9.2799999999999994</v>
      </c>
      <c r="AT1385" t="s">
        <v>7527</v>
      </c>
      <c r="AU1385">
        <v>29.14</v>
      </c>
      <c r="AV1385">
        <v>31.66</v>
      </c>
      <c r="AW1385">
        <v>0.53</v>
      </c>
      <c r="BA1385">
        <v>0</v>
      </c>
      <c r="BB1385">
        <v>2.87</v>
      </c>
      <c r="BC1385">
        <v>-0.06</v>
      </c>
      <c r="BD1385">
        <v>1.28</v>
      </c>
      <c r="BE1385">
        <v>1.52</v>
      </c>
      <c r="BF1385">
        <v>-1.31</v>
      </c>
      <c r="BG1385">
        <v>1.58</v>
      </c>
      <c r="BH1385">
        <v>0.23</v>
      </c>
      <c r="BI1385">
        <v>20191028</v>
      </c>
      <c r="BJ1385">
        <v>20190619</v>
      </c>
      <c r="BK1385">
        <v>0.8</v>
      </c>
      <c r="BL1385" t="s">
        <v>116</v>
      </c>
      <c r="BM1385" t="s">
        <v>116</v>
      </c>
      <c r="BN1385">
        <v>15.39</v>
      </c>
      <c r="BO1385">
        <v>13.05</v>
      </c>
      <c r="BP1385">
        <v>0</v>
      </c>
      <c r="BQ1385">
        <v>15.21</v>
      </c>
      <c r="BR1385">
        <v>12.75</v>
      </c>
      <c r="BS1385">
        <v>1.01</v>
      </c>
      <c r="BT1385">
        <v>0.23</v>
      </c>
      <c r="BU1385">
        <v>2.2599999999999998</v>
      </c>
      <c r="BV1385">
        <v>0.67</v>
      </c>
      <c r="BW1385">
        <v>0.48</v>
      </c>
      <c r="BX1385">
        <v>8.31</v>
      </c>
      <c r="BY1385">
        <v>6.87</v>
      </c>
      <c r="BZ1385">
        <v>2.82</v>
      </c>
      <c r="CA1385">
        <v>1.37</v>
      </c>
      <c r="CB1385">
        <v>7.0000000000000007E-2</v>
      </c>
      <c r="CC1385">
        <v>1.37</v>
      </c>
      <c r="CD1385">
        <v>1.22</v>
      </c>
      <c r="CE1385">
        <v>1.22</v>
      </c>
      <c r="CF1385">
        <v>1.0900000000000001</v>
      </c>
      <c r="CG1385">
        <v>3.7</v>
      </c>
      <c r="CH1385">
        <v>1.36</v>
      </c>
      <c r="CI1385">
        <v>-1.43</v>
      </c>
      <c r="CJ1385">
        <v>15219</v>
      </c>
      <c r="CK1385">
        <v>1314</v>
      </c>
      <c r="CL1385" t="s">
        <v>252</v>
      </c>
      <c r="CM1385">
        <v>0</v>
      </c>
      <c r="CN1385">
        <v>0</v>
      </c>
      <c r="CO1385">
        <v>3.32</v>
      </c>
      <c r="CP1385">
        <v>31.88</v>
      </c>
      <c r="CQ1385">
        <v>6.3</v>
      </c>
      <c r="CR1385">
        <v>0</v>
      </c>
      <c r="CS1385" t="s">
        <v>7528</v>
      </c>
      <c r="CT1385">
        <v>16.309999999999999</v>
      </c>
      <c r="CU1385">
        <v>0</v>
      </c>
      <c r="CV1385">
        <v>10.38</v>
      </c>
      <c r="CW1385">
        <v>4.62</v>
      </c>
      <c r="CX1385">
        <v>1.7</v>
      </c>
      <c r="CY1385">
        <v>84.79</v>
      </c>
      <c r="CZ1385" t="s">
        <v>7529</v>
      </c>
      <c r="DA1385">
        <v>58.93</v>
      </c>
      <c r="DB1385">
        <v>19.87</v>
      </c>
      <c r="DC1385">
        <v>17.73</v>
      </c>
      <c r="DD1385">
        <v>0.03</v>
      </c>
      <c r="DE1385">
        <v>2300</v>
      </c>
      <c r="DF1385">
        <v>2956</v>
      </c>
      <c r="DG1385" t="s">
        <v>116</v>
      </c>
      <c r="DH1385" t="s">
        <v>116</v>
      </c>
      <c r="DI1385" t="s">
        <v>116</v>
      </c>
    </row>
    <row r="1386" spans="1:113" x14ac:dyDescent="0.4">
      <c r="A1386" t="str">
        <f>"002957"</f>
        <v>002957</v>
      </c>
      <c r="B1386" t="s">
        <v>7530</v>
      </c>
      <c r="C1386">
        <v>1.74</v>
      </c>
      <c r="D1386">
        <v>34.47</v>
      </c>
      <c r="E1386">
        <v>0.59</v>
      </c>
      <c r="F1386">
        <v>34.47</v>
      </c>
      <c r="G1386">
        <v>34.479999999999997</v>
      </c>
      <c r="H1386">
        <v>58384</v>
      </c>
      <c r="I1386">
        <v>1331</v>
      </c>
      <c r="J1386">
        <v>0.06</v>
      </c>
      <c r="K1386">
        <v>14.24</v>
      </c>
      <c r="L1386">
        <v>33.93</v>
      </c>
      <c r="M1386">
        <v>34.65</v>
      </c>
      <c r="N1386">
        <v>33.75</v>
      </c>
      <c r="O1386">
        <v>33.880000000000003</v>
      </c>
      <c r="P1386">
        <v>50.18</v>
      </c>
      <c r="Q1386">
        <v>199818880</v>
      </c>
      <c r="R1386">
        <v>1.49</v>
      </c>
      <c r="S1386" t="s">
        <v>682</v>
      </c>
      <c r="T1386" t="s">
        <v>115</v>
      </c>
      <c r="U1386">
        <v>2.66</v>
      </c>
      <c r="V1386">
        <v>34.229999999999997</v>
      </c>
      <c r="W1386">
        <v>27981</v>
      </c>
      <c r="X1386">
        <v>30403</v>
      </c>
      <c r="Y1386">
        <v>0.92</v>
      </c>
      <c r="Z1386">
        <v>440</v>
      </c>
      <c r="AA1386">
        <v>162</v>
      </c>
      <c r="AB1386" t="s">
        <v>116</v>
      </c>
      <c r="AC1386">
        <v>407200</v>
      </c>
      <c r="AD1386">
        <v>0.03</v>
      </c>
      <c r="AE1386" t="s">
        <v>116</v>
      </c>
      <c r="AF1386" t="s">
        <v>116</v>
      </c>
      <c r="AG1386">
        <v>0.41</v>
      </c>
      <c r="AH1386" t="s">
        <v>7531</v>
      </c>
      <c r="AI1386" t="s">
        <v>7532</v>
      </c>
      <c r="AJ1386">
        <v>2.42</v>
      </c>
      <c r="AK1386">
        <v>3072</v>
      </c>
      <c r="AL1386">
        <v>19</v>
      </c>
      <c r="AM1386">
        <v>4.5999999999999999E-3</v>
      </c>
      <c r="AN1386">
        <v>2</v>
      </c>
      <c r="AO1386">
        <v>1.3</v>
      </c>
      <c r="AP1386">
        <v>14.21</v>
      </c>
      <c r="AQ1386">
        <v>-9.15</v>
      </c>
      <c r="AR1386">
        <v>128.28</v>
      </c>
      <c r="AS1386">
        <v>14.24</v>
      </c>
      <c r="AT1386" t="s">
        <v>7531</v>
      </c>
      <c r="AU1386">
        <v>53.48</v>
      </c>
      <c r="AV1386">
        <v>47.72</v>
      </c>
      <c r="AW1386">
        <v>1.81</v>
      </c>
      <c r="BA1386">
        <v>0.15</v>
      </c>
      <c r="BB1386">
        <v>2.27</v>
      </c>
      <c r="BC1386">
        <v>-0.38</v>
      </c>
      <c r="BD1386">
        <v>1.02</v>
      </c>
      <c r="BE1386">
        <v>1.59</v>
      </c>
      <c r="BF1386">
        <v>-0.52</v>
      </c>
      <c r="BG1386">
        <v>2.13</v>
      </c>
      <c r="BH1386">
        <v>0.72</v>
      </c>
      <c r="BI1386">
        <v>20191224</v>
      </c>
      <c r="BJ1386">
        <v>20190726</v>
      </c>
      <c r="BK1386">
        <v>4.0999999999999996</v>
      </c>
      <c r="BL1386" t="s">
        <v>116</v>
      </c>
      <c r="BM1386" t="s">
        <v>116</v>
      </c>
      <c r="BN1386">
        <v>29.33</v>
      </c>
      <c r="BO1386">
        <v>22.81</v>
      </c>
      <c r="BP1386">
        <v>2.0699999999999998</v>
      </c>
      <c r="BQ1386">
        <v>15.21</v>
      </c>
      <c r="BR1386">
        <v>26.66</v>
      </c>
      <c r="BS1386">
        <v>2.04</v>
      </c>
      <c r="BT1386">
        <v>0.33</v>
      </c>
      <c r="BU1386">
        <v>4.1900000000000004</v>
      </c>
      <c r="BV1386">
        <v>1.87</v>
      </c>
      <c r="BW1386">
        <v>9.1199999999999992</v>
      </c>
      <c r="BX1386">
        <v>7.61</v>
      </c>
      <c r="BY1386">
        <v>14.35</v>
      </c>
      <c r="BZ1386">
        <v>8.1999999999999993</v>
      </c>
      <c r="CA1386">
        <v>2.91</v>
      </c>
      <c r="CB1386">
        <v>0.04</v>
      </c>
      <c r="CC1386">
        <v>2.91</v>
      </c>
      <c r="CD1386">
        <v>2.5</v>
      </c>
      <c r="CE1386">
        <v>2.11</v>
      </c>
      <c r="CF1386">
        <v>1.91</v>
      </c>
      <c r="CG1386">
        <v>10.17</v>
      </c>
      <c r="CH1386">
        <v>1.69</v>
      </c>
      <c r="CI1386">
        <v>3.31</v>
      </c>
      <c r="CJ1386">
        <v>24578</v>
      </c>
      <c r="CK1386">
        <v>1668</v>
      </c>
      <c r="CL1386" t="s">
        <v>5867</v>
      </c>
      <c r="CM1386">
        <v>0</v>
      </c>
      <c r="CN1386">
        <v>0</v>
      </c>
      <c r="CO1386">
        <v>6.2</v>
      </c>
      <c r="CP1386">
        <v>83.82</v>
      </c>
      <c r="CQ1386">
        <v>9.85</v>
      </c>
      <c r="CR1386">
        <v>0</v>
      </c>
      <c r="CS1386" t="s">
        <v>6801</v>
      </c>
      <c r="CT1386">
        <v>5.56</v>
      </c>
      <c r="CU1386">
        <v>0</v>
      </c>
      <c r="CV1386">
        <v>1.86</v>
      </c>
      <c r="CW1386">
        <v>2.48</v>
      </c>
      <c r="CX1386">
        <v>0.41</v>
      </c>
      <c r="CY1386">
        <v>77.75</v>
      </c>
      <c r="CZ1386" t="s">
        <v>7533</v>
      </c>
      <c r="DA1386">
        <v>42.87</v>
      </c>
      <c r="DB1386">
        <v>20.25</v>
      </c>
      <c r="DC1386">
        <v>14.72</v>
      </c>
      <c r="DD1386">
        <v>1.7</v>
      </c>
      <c r="DE1386">
        <v>2240</v>
      </c>
      <c r="DF1386">
        <v>2957</v>
      </c>
      <c r="DG1386" t="s">
        <v>116</v>
      </c>
      <c r="DH1386" t="s">
        <v>116</v>
      </c>
      <c r="DI1386" t="s">
        <v>116</v>
      </c>
    </row>
    <row r="1387" spans="1:113" x14ac:dyDescent="0.4">
      <c r="A1387" t="str">
        <f>"002958"</f>
        <v>002958</v>
      </c>
      <c r="B1387" t="s">
        <v>7534</v>
      </c>
      <c r="C1387">
        <v>-0.32</v>
      </c>
      <c r="D1387">
        <v>6.26</v>
      </c>
      <c r="E1387">
        <v>-0.02</v>
      </c>
      <c r="F1387">
        <v>6.26</v>
      </c>
      <c r="G1387">
        <v>6.27</v>
      </c>
      <c r="H1387">
        <v>617690</v>
      </c>
      <c r="I1387">
        <v>5131</v>
      </c>
      <c r="J1387">
        <v>-0.15</v>
      </c>
      <c r="K1387">
        <v>11.12</v>
      </c>
      <c r="L1387">
        <v>6.25</v>
      </c>
      <c r="M1387">
        <v>6.52</v>
      </c>
      <c r="N1387">
        <v>6.22</v>
      </c>
      <c r="O1387">
        <v>6.28</v>
      </c>
      <c r="P1387">
        <v>11.06</v>
      </c>
      <c r="Q1387">
        <v>392547392</v>
      </c>
      <c r="R1387">
        <v>0.89</v>
      </c>
      <c r="S1387" t="s">
        <v>114</v>
      </c>
      <c r="T1387" t="s">
        <v>645</v>
      </c>
      <c r="U1387">
        <v>4.78</v>
      </c>
      <c r="V1387">
        <v>6.36</v>
      </c>
      <c r="W1387">
        <v>300303</v>
      </c>
      <c r="X1387">
        <v>317387</v>
      </c>
      <c r="Y1387">
        <v>0.95</v>
      </c>
      <c r="Z1387">
        <v>375</v>
      </c>
      <c r="AA1387">
        <v>1812</v>
      </c>
      <c r="AB1387" t="s">
        <v>116</v>
      </c>
      <c r="AC1387">
        <v>1880000</v>
      </c>
      <c r="AD1387">
        <v>0.05</v>
      </c>
      <c r="AE1387" t="s">
        <v>116</v>
      </c>
      <c r="AF1387" t="s">
        <v>116</v>
      </c>
      <c r="AG1387">
        <v>5.56</v>
      </c>
      <c r="AH1387" t="s">
        <v>7535</v>
      </c>
      <c r="AI1387" t="s">
        <v>7536</v>
      </c>
      <c r="AJ1387">
        <v>0.36</v>
      </c>
      <c r="AK1387">
        <v>3652</v>
      </c>
      <c r="AL1387">
        <v>169</v>
      </c>
      <c r="AM1387">
        <v>3.0000000000000001E-3</v>
      </c>
      <c r="AN1387">
        <v>-1</v>
      </c>
      <c r="AO1387">
        <v>0.32</v>
      </c>
      <c r="AP1387">
        <v>7.01</v>
      </c>
      <c r="AQ1387">
        <v>0.48</v>
      </c>
      <c r="AR1387">
        <v>64.3</v>
      </c>
      <c r="AS1387">
        <v>11.12</v>
      </c>
      <c r="AT1387" t="s">
        <v>7535</v>
      </c>
      <c r="AU1387">
        <v>12.68</v>
      </c>
      <c r="AV1387">
        <v>14.38</v>
      </c>
      <c r="AW1387">
        <v>1.24</v>
      </c>
      <c r="BA1387">
        <v>-0.48</v>
      </c>
      <c r="BB1387">
        <v>3.82</v>
      </c>
      <c r="BC1387">
        <v>-0.96</v>
      </c>
      <c r="BD1387">
        <v>1.2</v>
      </c>
      <c r="BE1387">
        <v>0.16</v>
      </c>
      <c r="BF1387">
        <v>-3.99</v>
      </c>
      <c r="BG1387">
        <v>0.64</v>
      </c>
      <c r="BH1387">
        <v>-1.51</v>
      </c>
      <c r="BI1387">
        <v>20191029</v>
      </c>
      <c r="BJ1387">
        <v>20190326</v>
      </c>
      <c r="BK1387">
        <v>55.56</v>
      </c>
      <c r="BL1387" t="s">
        <v>116</v>
      </c>
      <c r="BM1387" t="s">
        <v>116</v>
      </c>
      <c r="BN1387">
        <v>3286.16</v>
      </c>
      <c r="BO1387">
        <v>238.06</v>
      </c>
      <c r="BP1387">
        <v>8.3699999999999992</v>
      </c>
      <c r="BQ1387">
        <v>92.5</v>
      </c>
      <c r="BR1387">
        <v>0</v>
      </c>
      <c r="BS1387">
        <v>30.43</v>
      </c>
      <c r="BT1387">
        <v>0.86</v>
      </c>
      <c r="BU1387">
        <v>0</v>
      </c>
      <c r="BV1387">
        <v>0</v>
      </c>
      <c r="BW1387">
        <v>0</v>
      </c>
      <c r="BX1387">
        <v>38.18</v>
      </c>
      <c r="BY1387">
        <v>65.8</v>
      </c>
      <c r="BZ1387">
        <v>0</v>
      </c>
      <c r="CA1387">
        <v>26.81</v>
      </c>
      <c r="CB1387">
        <v>12.62</v>
      </c>
      <c r="CC1387">
        <v>26.77</v>
      </c>
      <c r="CD1387">
        <v>23.71</v>
      </c>
      <c r="CE1387">
        <v>23.57</v>
      </c>
      <c r="CF1387">
        <v>23.32</v>
      </c>
      <c r="CG1387">
        <v>69.790000000000006</v>
      </c>
      <c r="CH1387">
        <v>-57.51</v>
      </c>
      <c r="CI1387">
        <v>-0.89</v>
      </c>
      <c r="CJ1387">
        <v>153986</v>
      </c>
      <c r="CK1387">
        <v>3608</v>
      </c>
      <c r="CL1387" t="s">
        <v>3694</v>
      </c>
      <c r="CM1387">
        <v>15.87</v>
      </c>
      <c r="CN1387">
        <v>22.99</v>
      </c>
      <c r="CO1387">
        <v>1.46</v>
      </c>
      <c r="CP1387">
        <v>-6.05</v>
      </c>
      <c r="CQ1387">
        <v>5.29</v>
      </c>
      <c r="CR1387">
        <v>2.4</v>
      </c>
      <c r="CS1387" t="s">
        <v>604</v>
      </c>
      <c r="CT1387">
        <v>4.29</v>
      </c>
      <c r="CU1387">
        <v>0</v>
      </c>
      <c r="CV1387">
        <v>0.69</v>
      </c>
      <c r="CW1387">
        <v>1.26</v>
      </c>
      <c r="CX1387">
        <v>-1.04</v>
      </c>
      <c r="CY1387">
        <v>7.24</v>
      </c>
      <c r="CZ1387" t="s">
        <v>4792</v>
      </c>
      <c r="DA1387" t="s">
        <v>116</v>
      </c>
      <c r="DB1387">
        <v>40.74</v>
      </c>
      <c r="DC1387">
        <v>35.83</v>
      </c>
      <c r="DD1387">
        <v>0</v>
      </c>
      <c r="DE1387">
        <v>5226</v>
      </c>
      <c r="DF1387">
        <v>2958</v>
      </c>
      <c r="DG1387" t="s">
        <v>116</v>
      </c>
      <c r="DH1387" t="s">
        <v>116</v>
      </c>
      <c r="DI1387" t="s">
        <v>116</v>
      </c>
    </row>
    <row r="1388" spans="1:113" x14ac:dyDescent="0.4">
      <c r="A1388" t="str">
        <f>"002959"</f>
        <v>002959</v>
      </c>
      <c r="B1388" t="s">
        <v>7537</v>
      </c>
      <c r="C1388">
        <v>-3.74</v>
      </c>
      <c r="D1388">
        <v>66.08</v>
      </c>
      <c r="E1388">
        <v>-2.57</v>
      </c>
      <c r="F1388">
        <v>66.08</v>
      </c>
      <c r="G1388">
        <v>66.09</v>
      </c>
      <c r="H1388">
        <v>43229</v>
      </c>
      <c r="I1388">
        <v>714</v>
      </c>
      <c r="J1388">
        <v>-0.1</v>
      </c>
      <c r="K1388">
        <v>14.41</v>
      </c>
      <c r="L1388">
        <v>68.099999999999994</v>
      </c>
      <c r="M1388">
        <v>68.87</v>
      </c>
      <c r="N1388">
        <v>65.91</v>
      </c>
      <c r="O1388">
        <v>68.650000000000006</v>
      </c>
      <c r="P1388">
        <v>35.479999999999997</v>
      </c>
      <c r="Q1388">
        <v>290043296</v>
      </c>
      <c r="R1388">
        <v>1.2</v>
      </c>
      <c r="S1388" t="s">
        <v>209</v>
      </c>
      <c r="T1388" t="s">
        <v>551</v>
      </c>
      <c r="U1388">
        <v>4.3099999999999996</v>
      </c>
      <c r="V1388">
        <v>67.09</v>
      </c>
      <c r="W1388">
        <v>25196</v>
      </c>
      <c r="X1388">
        <v>18033</v>
      </c>
      <c r="Y1388">
        <v>1.4</v>
      </c>
      <c r="Z1388">
        <v>58</v>
      </c>
      <c r="AA1388">
        <v>3</v>
      </c>
      <c r="AB1388" t="s">
        <v>116</v>
      </c>
      <c r="AC1388">
        <v>1443700</v>
      </c>
      <c r="AD1388">
        <v>7.0000000000000007E-2</v>
      </c>
      <c r="AE1388" t="s">
        <v>116</v>
      </c>
      <c r="AF1388" t="s">
        <v>116</v>
      </c>
      <c r="AG1388">
        <v>0.3</v>
      </c>
      <c r="AH1388" t="s">
        <v>7538</v>
      </c>
      <c r="AI1388" t="s">
        <v>7539</v>
      </c>
      <c r="AJ1388">
        <v>-3.06</v>
      </c>
      <c r="AK1388">
        <v>3414</v>
      </c>
      <c r="AL1388">
        <v>13</v>
      </c>
      <c r="AM1388">
        <v>4.1999999999999997E-3</v>
      </c>
      <c r="AN1388">
        <v>-3</v>
      </c>
      <c r="AO1388">
        <v>-4.45</v>
      </c>
      <c r="AP1388">
        <v>13.75</v>
      </c>
      <c r="AQ1388">
        <v>-14.23</v>
      </c>
      <c r="AR1388">
        <v>92.93</v>
      </c>
      <c r="AS1388">
        <v>14.41</v>
      </c>
      <c r="AT1388" t="s">
        <v>7538</v>
      </c>
      <c r="AU1388">
        <v>33.909999999999997</v>
      </c>
      <c r="AV1388">
        <v>42.75</v>
      </c>
      <c r="AW1388">
        <v>1.65</v>
      </c>
      <c r="BA1388">
        <v>-0.8</v>
      </c>
      <c r="BB1388">
        <v>0.32</v>
      </c>
      <c r="BC1388">
        <v>-3.99</v>
      </c>
      <c r="BD1388">
        <v>-2.27</v>
      </c>
      <c r="BE1388">
        <v>-2.97</v>
      </c>
      <c r="BF1388">
        <v>-4.05</v>
      </c>
      <c r="BG1388">
        <v>0.26</v>
      </c>
      <c r="BH1388">
        <v>-1.48</v>
      </c>
      <c r="BI1388">
        <v>20191225</v>
      </c>
      <c r="BJ1388">
        <v>20190823</v>
      </c>
      <c r="BK1388">
        <v>1.2</v>
      </c>
      <c r="BL1388" t="s">
        <v>116</v>
      </c>
      <c r="BM1388" t="s">
        <v>116</v>
      </c>
      <c r="BN1388">
        <v>22.16</v>
      </c>
      <c r="BO1388">
        <v>15.64</v>
      </c>
      <c r="BP1388">
        <v>0</v>
      </c>
      <c r="BQ1388">
        <v>29.42</v>
      </c>
      <c r="BR1388">
        <v>17.690000000000001</v>
      </c>
      <c r="BS1388">
        <v>1.1399999999999999</v>
      </c>
      <c r="BT1388">
        <v>1.97</v>
      </c>
      <c r="BU1388">
        <v>6.49</v>
      </c>
      <c r="BV1388">
        <v>4.12</v>
      </c>
      <c r="BW1388">
        <v>0.91</v>
      </c>
      <c r="BX1388">
        <v>9.6999999999999993</v>
      </c>
      <c r="BY1388">
        <v>17.21</v>
      </c>
      <c r="BZ1388">
        <v>11.14</v>
      </c>
      <c r="CA1388">
        <v>2.16</v>
      </c>
      <c r="CB1388">
        <v>0.03</v>
      </c>
      <c r="CC1388">
        <v>2.16</v>
      </c>
      <c r="CD1388">
        <v>1.68</v>
      </c>
      <c r="CE1388">
        <v>1.68</v>
      </c>
      <c r="CF1388">
        <v>1.63</v>
      </c>
      <c r="CG1388">
        <v>4.5</v>
      </c>
      <c r="CH1388">
        <v>1.08</v>
      </c>
      <c r="CI1388">
        <v>3.85</v>
      </c>
      <c r="CJ1388">
        <v>26130</v>
      </c>
      <c r="CK1388">
        <v>1148</v>
      </c>
      <c r="CL1388" t="s">
        <v>4073</v>
      </c>
      <c r="CM1388">
        <v>0</v>
      </c>
      <c r="CN1388">
        <v>0</v>
      </c>
      <c r="CO1388">
        <v>5.07</v>
      </c>
      <c r="CP1388">
        <v>73.72</v>
      </c>
      <c r="CQ1388">
        <v>4.6100000000000003</v>
      </c>
      <c r="CR1388">
        <v>0</v>
      </c>
      <c r="CS1388" t="s">
        <v>7540</v>
      </c>
      <c r="CT1388">
        <v>13.03</v>
      </c>
      <c r="CU1388">
        <v>0</v>
      </c>
      <c r="CV1388">
        <v>8.08</v>
      </c>
      <c r="CW1388">
        <v>3.75</v>
      </c>
      <c r="CX1388">
        <v>0.9</v>
      </c>
      <c r="CY1388">
        <v>70.58</v>
      </c>
      <c r="CZ1388" t="s">
        <v>7541</v>
      </c>
      <c r="DA1388">
        <v>35.29</v>
      </c>
      <c r="DB1388">
        <v>12.58</v>
      </c>
      <c r="DC1388">
        <v>9.74</v>
      </c>
      <c r="DD1388">
        <v>0.53</v>
      </c>
      <c r="DE1388">
        <v>2564</v>
      </c>
      <c r="DF1388">
        <v>2959</v>
      </c>
      <c r="DG1388" t="s">
        <v>116</v>
      </c>
      <c r="DH1388" t="s">
        <v>116</v>
      </c>
      <c r="DI1388" t="s">
        <v>116</v>
      </c>
    </row>
    <row r="1389" spans="1:113" x14ac:dyDescent="0.4">
      <c r="A1389" t="str">
        <f>"002960"</f>
        <v>002960</v>
      </c>
      <c r="B1389" t="s">
        <v>7542</v>
      </c>
      <c r="C1389">
        <v>-1.18</v>
      </c>
      <c r="D1389">
        <v>26.81</v>
      </c>
      <c r="E1389">
        <v>-0.32</v>
      </c>
      <c r="F1389">
        <v>26.81</v>
      </c>
      <c r="G1389">
        <v>26.82</v>
      </c>
      <c r="H1389">
        <v>25800</v>
      </c>
      <c r="I1389">
        <v>535</v>
      </c>
      <c r="J1389">
        <v>-0.1</v>
      </c>
      <c r="K1389">
        <v>4.3</v>
      </c>
      <c r="L1389">
        <v>27.16</v>
      </c>
      <c r="M1389">
        <v>27.22</v>
      </c>
      <c r="N1389">
        <v>26.81</v>
      </c>
      <c r="O1389">
        <v>27.13</v>
      </c>
      <c r="P1389">
        <v>17.91</v>
      </c>
      <c r="Q1389">
        <v>69496680</v>
      </c>
      <c r="R1389">
        <v>1.22</v>
      </c>
      <c r="S1389" t="s">
        <v>682</v>
      </c>
      <c r="T1389" t="s">
        <v>608</v>
      </c>
      <c r="U1389">
        <v>1.51</v>
      </c>
      <c r="V1389">
        <v>26.94</v>
      </c>
      <c r="W1389">
        <v>15531</v>
      </c>
      <c r="X1389">
        <v>10269</v>
      </c>
      <c r="Y1389">
        <v>1.51</v>
      </c>
      <c r="Z1389">
        <v>88</v>
      </c>
      <c r="AA1389">
        <v>141</v>
      </c>
      <c r="AB1389" t="s">
        <v>116</v>
      </c>
      <c r="AC1389">
        <v>377500</v>
      </c>
      <c r="AD1389">
        <v>0.02</v>
      </c>
      <c r="AE1389" t="s">
        <v>116</v>
      </c>
      <c r="AF1389" t="s">
        <v>116</v>
      </c>
      <c r="AG1389">
        <v>0.6</v>
      </c>
      <c r="AH1389" t="s">
        <v>4655</v>
      </c>
      <c r="AI1389" t="s">
        <v>7543</v>
      </c>
      <c r="AJ1389">
        <v>-0.5</v>
      </c>
      <c r="AK1389">
        <v>1771</v>
      </c>
      <c r="AL1389">
        <v>15</v>
      </c>
      <c r="AM1389">
        <v>2.3999999999999998E-3</v>
      </c>
      <c r="AN1389">
        <v>-1</v>
      </c>
      <c r="AO1389">
        <v>1.98</v>
      </c>
      <c r="AP1389">
        <v>2.33</v>
      </c>
      <c r="AQ1389">
        <v>-13.04</v>
      </c>
      <c r="AR1389">
        <v>54.61</v>
      </c>
      <c r="AS1389">
        <v>4.3</v>
      </c>
      <c r="AT1389" t="s">
        <v>4655</v>
      </c>
      <c r="AU1389">
        <v>17.84</v>
      </c>
      <c r="AV1389">
        <v>18.7</v>
      </c>
      <c r="AW1389">
        <v>1.23</v>
      </c>
      <c r="BA1389">
        <v>0.11</v>
      </c>
      <c r="BB1389">
        <v>0.33</v>
      </c>
      <c r="BC1389">
        <v>-1.18</v>
      </c>
      <c r="BD1389">
        <v>-0.71</v>
      </c>
      <c r="BE1389">
        <v>-1.29</v>
      </c>
      <c r="BF1389">
        <v>-1.51</v>
      </c>
      <c r="BG1389">
        <v>0</v>
      </c>
      <c r="BH1389">
        <v>-0.47</v>
      </c>
      <c r="BI1389">
        <v>20191107</v>
      </c>
      <c r="BJ1389">
        <v>20190809</v>
      </c>
      <c r="BK1389">
        <v>2.4</v>
      </c>
      <c r="BL1389" t="s">
        <v>116</v>
      </c>
      <c r="BM1389" t="s">
        <v>116</v>
      </c>
      <c r="BN1389">
        <v>34.35</v>
      </c>
      <c r="BO1389">
        <v>26.88</v>
      </c>
      <c r="BP1389">
        <v>0.14000000000000001</v>
      </c>
      <c r="BQ1389">
        <v>21.34</v>
      </c>
      <c r="BR1389">
        <v>30.64</v>
      </c>
      <c r="BS1389">
        <v>2.72</v>
      </c>
      <c r="BT1389">
        <v>0.32</v>
      </c>
      <c r="BU1389">
        <v>7.31</v>
      </c>
      <c r="BV1389">
        <v>2.8</v>
      </c>
      <c r="BW1389">
        <v>12.03</v>
      </c>
      <c r="BX1389">
        <v>8.7899999999999991</v>
      </c>
      <c r="BY1389">
        <v>16.010000000000002</v>
      </c>
      <c r="BZ1389">
        <v>9.5299999999999994</v>
      </c>
      <c r="CA1389">
        <v>3.11</v>
      </c>
      <c r="CB1389">
        <v>-0.08</v>
      </c>
      <c r="CC1389">
        <v>3.11</v>
      </c>
      <c r="CD1389">
        <v>2.6</v>
      </c>
      <c r="CE1389">
        <v>2.69</v>
      </c>
      <c r="CF1389">
        <v>2.76</v>
      </c>
      <c r="CG1389">
        <v>14.69</v>
      </c>
      <c r="CH1389">
        <v>-3.44</v>
      </c>
      <c r="CI1389">
        <v>-0.49</v>
      </c>
      <c r="CJ1389">
        <v>39964</v>
      </c>
      <c r="CK1389">
        <v>1501</v>
      </c>
      <c r="CL1389" t="s">
        <v>3086</v>
      </c>
      <c r="CM1389">
        <v>0</v>
      </c>
      <c r="CN1389">
        <v>0</v>
      </c>
      <c r="CO1389">
        <v>2.39</v>
      </c>
      <c r="CP1389">
        <v>-18.690000000000001</v>
      </c>
      <c r="CQ1389">
        <v>4.0199999999999996</v>
      </c>
      <c r="CR1389">
        <v>0</v>
      </c>
      <c r="CS1389" t="s">
        <v>7544</v>
      </c>
      <c r="CT1389">
        <v>11.2</v>
      </c>
      <c r="CU1389">
        <v>0</v>
      </c>
      <c r="CV1389">
        <v>3.66</v>
      </c>
      <c r="CW1389">
        <v>6.12</v>
      </c>
      <c r="CX1389">
        <v>-1.43</v>
      </c>
      <c r="CY1389">
        <v>78.260000000000005</v>
      </c>
      <c r="CZ1389" t="s">
        <v>7545</v>
      </c>
      <c r="DA1389">
        <v>40.44</v>
      </c>
      <c r="DB1389">
        <v>19.45</v>
      </c>
      <c r="DC1389">
        <v>16.829999999999998</v>
      </c>
      <c r="DD1389">
        <v>0.74</v>
      </c>
      <c r="DE1389">
        <v>2135</v>
      </c>
      <c r="DF1389">
        <v>2960</v>
      </c>
      <c r="DG1389" t="s">
        <v>116</v>
      </c>
      <c r="DH1389" t="s">
        <v>116</v>
      </c>
      <c r="DI1389" t="s">
        <v>116</v>
      </c>
    </row>
    <row r="1390" spans="1:113" x14ac:dyDescent="0.4">
      <c r="A1390" t="str">
        <f>"002961"</f>
        <v>002961</v>
      </c>
      <c r="B1390" t="s">
        <v>7546</v>
      </c>
      <c r="C1390">
        <v>-4.3099999999999996</v>
      </c>
      <c r="D1390">
        <v>37.07</v>
      </c>
      <c r="E1390">
        <v>-1.67</v>
      </c>
      <c r="F1390">
        <v>37.06</v>
      </c>
      <c r="G1390">
        <v>37.07</v>
      </c>
      <c r="H1390">
        <v>99405</v>
      </c>
      <c r="I1390">
        <v>1823</v>
      </c>
      <c r="J1390">
        <v>-0.23</v>
      </c>
      <c r="K1390">
        <v>22.09</v>
      </c>
      <c r="L1390">
        <v>38.4</v>
      </c>
      <c r="M1390">
        <v>38.979999999999997</v>
      </c>
      <c r="N1390">
        <v>37</v>
      </c>
      <c r="O1390">
        <v>38.74</v>
      </c>
      <c r="P1390">
        <v>134.02000000000001</v>
      </c>
      <c r="Q1390">
        <v>378804832</v>
      </c>
      <c r="R1390">
        <v>1.1399999999999999</v>
      </c>
      <c r="S1390" t="s">
        <v>732</v>
      </c>
      <c r="T1390" t="s">
        <v>975</v>
      </c>
      <c r="U1390">
        <v>5.1100000000000003</v>
      </c>
      <c r="V1390">
        <v>38.11</v>
      </c>
      <c r="W1390">
        <v>58588</v>
      </c>
      <c r="X1390">
        <v>40817</v>
      </c>
      <c r="Y1390">
        <v>1.44</v>
      </c>
      <c r="Z1390">
        <v>319</v>
      </c>
      <c r="AA1390">
        <v>69</v>
      </c>
      <c r="AB1390" t="s">
        <v>116</v>
      </c>
      <c r="AC1390">
        <v>1190400</v>
      </c>
      <c r="AD1390">
        <v>7.0000000000000007E-2</v>
      </c>
      <c r="AE1390" t="s">
        <v>116</v>
      </c>
      <c r="AF1390" t="s">
        <v>116</v>
      </c>
      <c r="AG1390">
        <v>0.45</v>
      </c>
      <c r="AH1390" t="s">
        <v>2905</v>
      </c>
      <c r="AI1390" t="s">
        <v>7547</v>
      </c>
      <c r="AJ1390">
        <v>-3.63</v>
      </c>
      <c r="AK1390">
        <v>4027</v>
      </c>
      <c r="AL1390">
        <v>25</v>
      </c>
      <c r="AM1390">
        <v>5.4999999999999997E-3</v>
      </c>
      <c r="AN1390">
        <v>-1</v>
      </c>
      <c r="AO1390">
        <v>-0.69</v>
      </c>
      <c r="AP1390">
        <v>10.16</v>
      </c>
      <c r="AQ1390">
        <v>10.66</v>
      </c>
      <c r="AR1390">
        <v>565.53</v>
      </c>
      <c r="AS1390">
        <v>22.09</v>
      </c>
      <c r="AT1390" t="s">
        <v>2905</v>
      </c>
      <c r="AU1390">
        <v>137.46</v>
      </c>
      <c r="AV1390">
        <v>143.78</v>
      </c>
      <c r="AW1390">
        <v>2.56</v>
      </c>
      <c r="BA1390">
        <v>-0.88</v>
      </c>
      <c r="BB1390">
        <v>0.62</v>
      </c>
      <c r="BC1390">
        <v>-4.49</v>
      </c>
      <c r="BD1390">
        <v>-1.63</v>
      </c>
      <c r="BE1390">
        <v>-3.46</v>
      </c>
      <c r="BF1390">
        <v>-4.9000000000000004</v>
      </c>
      <c r="BG1390">
        <v>0.19</v>
      </c>
      <c r="BH1390">
        <v>-2.68</v>
      </c>
      <c r="BI1390">
        <v>20191112</v>
      </c>
      <c r="BJ1390">
        <v>20190905</v>
      </c>
      <c r="BK1390">
        <v>4.45</v>
      </c>
      <c r="BL1390" t="s">
        <v>116</v>
      </c>
      <c r="BM1390" t="s">
        <v>116</v>
      </c>
      <c r="BN1390">
        <v>59.92</v>
      </c>
      <c r="BO1390">
        <v>16.8</v>
      </c>
      <c r="BP1390">
        <v>0</v>
      </c>
      <c r="BQ1390">
        <v>71.959999999999994</v>
      </c>
      <c r="BR1390">
        <v>0</v>
      </c>
      <c r="BS1390">
        <v>0.37</v>
      </c>
      <c r="BT1390">
        <v>3.37</v>
      </c>
      <c r="BU1390">
        <v>0</v>
      </c>
      <c r="BV1390">
        <v>0.06</v>
      </c>
      <c r="BW1390">
        <v>0</v>
      </c>
      <c r="BX1390">
        <v>2.67</v>
      </c>
      <c r="BY1390">
        <v>7.07</v>
      </c>
      <c r="BZ1390">
        <v>0</v>
      </c>
      <c r="CA1390">
        <v>1.21</v>
      </c>
      <c r="CB1390">
        <v>0.09</v>
      </c>
      <c r="CC1390">
        <v>1.2</v>
      </c>
      <c r="CD1390">
        <v>0.92</v>
      </c>
      <c r="CE1390">
        <v>0.92</v>
      </c>
      <c r="CF1390">
        <v>0.8</v>
      </c>
      <c r="CG1390">
        <v>7.5</v>
      </c>
      <c r="CH1390">
        <v>-3.96</v>
      </c>
      <c r="CI1390">
        <v>-1.96</v>
      </c>
      <c r="CJ1390">
        <v>34613</v>
      </c>
      <c r="CK1390">
        <v>1300</v>
      </c>
      <c r="CL1390" t="s">
        <v>205</v>
      </c>
      <c r="CM1390">
        <v>0</v>
      </c>
      <c r="CN1390">
        <v>0</v>
      </c>
      <c r="CO1390">
        <v>9.82</v>
      </c>
      <c r="CP1390">
        <v>-41.64</v>
      </c>
      <c r="CQ1390">
        <v>23.32</v>
      </c>
      <c r="CR1390">
        <v>0</v>
      </c>
      <c r="CS1390" t="s">
        <v>3753</v>
      </c>
      <c r="CT1390">
        <v>3.78</v>
      </c>
      <c r="CU1390">
        <v>0</v>
      </c>
      <c r="CV1390">
        <v>0.6</v>
      </c>
      <c r="CW1390">
        <v>1.69</v>
      </c>
      <c r="CX1390">
        <v>-0.89</v>
      </c>
      <c r="CY1390">
        <v>28.04</v>
      </c>
      <c r="CZ1390" t="s">
        <v>7548</v>
      </c>
      <c r="DA1390" t="s">
        <v>116</v>
      </c>
      <c r="DB1390">
        <v>17.11</v>
      </c>
      <c r="DC1390">
        <v>13.05</v>
      </c>
      <c r="DD1390">
        <v>0</v>
      </c>
      <c r="DE1390">
        <v>430</v>
      </c>
      <c r="DF1390">
        <v>2961</v>
      </c>
      <c r="DG1390" t="s">
        <v>116</v>
      </c>
      <c r="DH1390" t="s">
        <v>116</v>
      </c>
      <c r="DI1390" t="s">
        <v>116</v>
      </c>
    </row>
    <row r="1391" spans="1:113" x14ac:dyDescent="0.4">
      <c r="A1391" t="str">
        <f>"002962"</f>
        <v>002962</v>
      </c>
      <c r="B1391" t="s">
        <v>7549</v>
      </c>
      <c r="C1391">
        <v>-4.79</v>
      </c>
      <c r="D1391">
        <v>37.75</v>
      </c>
      <c r="E1391">
        <v>-1.9</v>
      </c>
      <c r="F1391">
        <v>37.75</v>
      </c>
      <c r="G1391">
        <v>37.76</v>
      </c>
      <c r="H1391">
        <v>83017</v>
      </c>
      <c r="I1391">
        <v>1477</v>
      </c>
      <c r="J1391">
        <v>-0.44</v>
      </c>
      <c r="K1391">
        <v>16.47</v>
      </c>
      <c r="L1391">
        <v>39.549999999999997</v>
      </c>
      <c r="M1391">
        <v>39.659999999999997</v>
      </c>
      <c r="N1391">
        <v>37.75</v>
      </c>
      <c r="O1391">
        <v>39.65</v>
      </c>
      <c r="P1391">
        <v>46.92</v>
      </c>
      <c r="Q1391">
        <v>320398240</v>
      </c>
      <c r="R1391">
        <v>1.24</v>
      </c>
      <c r="S1391" t="s">
        <v>233</v>
      </c>
      <c r="T1391" t="s">
        <v>774</v>
      </c>
      <c r="U1391">
        <v>4.82</v>
      </c>
      <c r="V1391">
        <v>38.590000000000003</v>
      </c>
      <c r="W1391">
        <v>51677</v>
      </c>
      <c r="X1391">
        <v>31340</v>
      </c>
      <c r="Y1391">
        <v>1.65</v>
      </c>
      <c r="Z1391">
        <v>5</v>
      </c>
      <c r="AA1391">
        <v>39</v>
      </c>
      <c r="AB1391" t="s">
        <v>116</v>
      </c>
      <c r="AC1391">
        <v>498300</v>
      </c>
      <c r="AD1391">
        <v>0.02</v>
      </c>
      <c r="AE1391" t="s">
        <v>116</v>
      </c>
      <c r="AF1391" t="s">
        <v>116</v>
      </c>
      <c r="AG1391">
        <v>0.5</v>
      </c>
      <c r="AH1391" t="s">
        <v>4935</v>
      </c>
      <c r="AI1391" t="s">
        <v>7550</v>
      </c>
      <c r="AJ1391">
        <v>-4.1100000000000003</v>
      </c>
      <c r="AK1391">
        <v>3522</v>
      </c>
      <c r="AL1391">
        <v>24</v>
      </c>
      <c r="AM1391">
        <v>4.7000000000000002E-3</v>
      </c>
      <c r="AN1391">
        <v>-1</v>
      </c>
      <c r="AO1391">
        <v>-3.08</v>
      </c>
      <c r="AP1391">
        <v>10.220000000000001</v>
      </c>
      <c r="AQ1391">
        <v>-15.02</v>
      </c>
      <c r="AR1391">
        <v>162.33000000000001</v>
      </c>
      <c r="AS1391">
        <v>16.47</v>
      </c>
      <c r="AT1391" t="s">
        <v>4935</v>
      </c>
      <c r="AU1391">
        <v>48.37</v>
      </c>
      <c r="AV1391">
        <v>55.21</v>
      </c>
      <c r="AW1391">
        <v>1.86</v>
      </c>
      <c r="BA1391">
        <v>-0.25</v>
      </c>
      <c r="BB1391">
        <v>0.03</v>
      </c>
      <c r="BC1391">
        <v>-4.79</v>
      </c>
      <c r="BD1391">
        <v>-2.66</v>
      </c>
      <c r="BE1391">
        <v>-4.55</v>
      </c>
      <c r="BF1391">
        <v>-4.82</v>
      </c>
      <c r="BG1391">
        <v>0</v>
      </c>
      <c r="BH1391">
        <v>-2.13</v>
      </c>
      <c r="BI1391">
        <v>20191029</v>
      </c>
      <c r="BJ1391">
        <v>20190917</v>
      </c>
      <c r="BK1391">
        <v>2.02</v>
      </c>
      <c r="BL1391" t="s">
        <v>116</v>
      </c>
      <c r="BM1391" t="s">
        <v>116</v>
      </c>
      <c r="BN1391">
        <v>18.57</v>
      </c>
      <c r="BO1391">
        <v>15.95</v>
      </c>
      <c r="BP1391">
        <v>0</v>
      </c>
      <c r="BQ1391">
        <v>14.1</v>
      </c>
      <c r="BR1391">
        <v>13.99</v>
      </c>
      <c r="BS1391">
        <v>3.67</v>
      </c>
      <c r="BT1391">
        <v>0.57999999999999996</v>
      </c>
      <c r="BU1391">
        <v>2.33</v>
      </c>
      <c r="BV1391">
        <v>0.62</v>
      </c>
      <c r="BW1391">
        <v>2.41</v>
      </c>
      <c r="BX1391">
        <v>10.29</v>
      </c>
      <c r="BY1391">
        <v>5.26</v>
      </c>
      <c r="BZ1391">
        <v>3.48</v>
      </c>
      <c r="CA1391">
        <v>1.3</v>
      </c>
      <c r="CB1391">
        <v>0</v>
      </c>
      <c r="CC1391">
        <v>1.4</v>
      </c>
      <c r="CD1391">
        <v>1.22</v>
      </c>
      <c r="CE1391">
        <v>1.22</v>
      </c>
      <c r="CF1391">
        <v>1.03</v>
      </c>
      <c r="CG1391">
        <v>3.49</v>
      </c>
      <c r="CH1391">
        <v>0.94</v>
      </c>
      <c r="CI1391">
        <v>6.51</v>
      </c>
      <c r="CJ1391">
        <v>60674</v>
      </c>
      <c r="CK1391">
        <v>831</v>
      </c>
      <c r="CL1391" t="s">
        <v>1732</v>
      </c>
      <c r="CM1391">
        <v>0</v>
      </c>
      <c r="CN1391">
        <v>0</v>
      </c>
      <c r="CO1391">
        <v>4.7699999999999996</v>
      </c>
      <c r="CP1391">
        <v>81.150000000000006</v>
      </c>
      <c r="CQ1391">
        <v>14.46</v>
      </c>
      <c r="CR1391">
        <v>0</v>
      </c>
      <c r="CS1391" t="s">
        <v>4039</v>
      </c>
      <c r="CT1391">
        <v>7.91</v>
      </c>
      <c r="CU1391">
        <v>0</v>
      </c>
      <c r="CV1391">
        <v>5.0999999999999996</v>
      </c>
      <c r="CW1391">
        <v>1.73</v>
      </c>
      <c r="CX1391">
        <v>0.47</v>
      </c>
      <c r="CY1391">
        <v>85.9</v>
      </c>
      <c r="CZ1391" t="s">
        <v>7551</v>
      </c>
      <c r="DA1391">
        <v>33.909999999999997</v>
      </c>
      <c r="DB1391">
        <v>24.67</v>
      </c>
      <c r="DC1391">
        <v>23.12</v>
      </c>
      <c r="DD1391">
        <v>0.25</v>
      </c>
      <c r="DE1391">
        <v>1095</v>
      </c>
      <c r="DF1391">
        <v>2962</v>
      </c>
      <c r="DG1391" t="s">
        <v>116</v>
      </c>
      <c r="DH1391" t="s">
        <v>116</v>
      </c>
      <c r="DI1391" t="s">
        <v>116</v>
      </c>
    </row>
    <row r="1392" spans="1:113" x14ac:dyDescent="0.4">
      <c r="A1392" t="str">
        <f>"002963"</f>
        <v>002963</v>
      </c>
      <c r="B1392" t="s">
        <v>7552</v>
      </c>
      <c r="C1392">
        <v>-0.69</v>
      </c>
      <c r="D1392">
        <v>33.229999999999997</v>
      </c>
      <c r="E1392">
        <v>-0.23</v>
      </c>
      <c r="F1392">
        <v>33.229999999999997</v>
      </c>
      <c r="G1392">
        <v>33.24</v>
      </c>
      <c r="H1392">
        <v>27229</v>
      </c>
      <c r="I1392">
        <v>389</v>
      </c>
      <c r="J1392">
        <v>-0.2</v>
      </c>
      <c r="K1392">
        <v>7.24</v>
      </c>
      <c r="L1392">
        <v>33.31</v>
      </c>
      <c r="M1392">
        <v>33.68</v>
      </c>
      <c r="N1392">
        <v>33.11</v>
      </c>
      <c r="O1392">
        <v>33.46</v>
      </c>
      <c r="P1392">
        <v>18.36</v>
      </c>
      <c r="Q1392">
        <v>90754960</v>
      </c>
      <c r="R1392">
        <v>0.83</v>
      </c>
      <c r="S1392" t="s">
        <v>3331</v>
      </c>
      <c r="T1392" t="s">
        <v>165</v>
      </c>
      <c r="U1392">
        <v>1.7</v>
      </c>
      <c r="V1392">
        <v>33.33</v>
      </c>
      <c r="W1392">
        <v>15369</v>
      </c>
      <c r="X1392">
        <v>11860</v>
      </c>
      <c r="Y1392">
        <v>1.3</v>
      </c>
      <c r="Z1392">
        <v>410</v>
      </c>
      <c r="AA1392">
        <v>75</v>
      </c>
      <c r="AB1392" t="s">
        <v>116</v>
      </c>
      <c r="AC1392">
        <v>243200</v>
      </c>
      <c r="AD1392">
        <v>0.02</v>
      </c>
      <c r="AE1392" t="s">
        <v>116</v>
      </c>
      <c r="AF1392" t="s">
        <v>116</v>
      </c>
      <c r="AG1392">
        <v>0.38</v>
      </c>
      <c r="AH1392" t="s">
        <v>7553</v>
      </c>
      <c r="AI1392" t="s">
        <v>2666</v>
      </c>
      <c r="AJ1392">
        <v>-0.01</v>
      </c>
      <c r="AK1392">
        <v>2024</v>
      </c>
      <c r="AL1392">
        <v>13</v>
      </c>
      <c r="AM1392">
        <v>3.5999999999999999E-3</v>
      </c>
      <c r="AN1392">
        <v>-1</v>
      </c>
      <c r="AO1392">
        <v>-2.27</v>
      </c>
      <c r="AP1392">
        <v>-2.0299999999999998</v>
      </c>
      <c r="AQ1392">
        <v>40.450000000000003</v>
      </c>
      <c r="AR1392">
        <v>40.450000000000003</v>
      </c>
      <c r="AS1392">
        <v>7.24</v>
      </c>
      <c r="AT1392" t="s">
        <v>7553</v>
      </c>
      <c r="AU1392">
        <v>18.079999999999998</v>
      </c>
      <c r="AV1392">
        <v>29.25</v>
      </c>
      <c r="AW1392">
        <v>0</v>
      </c>
      <c r="BA1392">
        <v>-0.45</v>
      </c>
      <c r="BB1392">
        <v>0.66</v>
      </c>
      <c r="BC1392">
        <v>-1.05</v>
      </c>
      <c r="BD1392">
        <v>-0.39</v>
      </c>
      <c r="BE1392">
        <v>-0.24</v>
      </c>
      <c r="BF1392">
        <v>-1.34</v>
      </c>
      <c r="BG1392">
        <v>0.36</v>
      </c>
      <c r="BH1392">
        <v>-0.3</v>
      </c>
      <c r="BI1392">
        <v>20191027</v>
      </c>
      <c r="BJ1392">
        <v>20191028</v>
      </c>
      <c r="BK1392">
        <v>1.5</v>
      </c>
      <c r="BL1392" t="s">
        <v>116</v>
      </c>
      <c r="BM1392" t="s">
        <v>116</v>
      </c>
      <c r="BN1392">
        <v>14.83</v>
      </c>
      <c r="BO1392">
        <v>8.2799999999999994</v>
      </c>
      <c r="BP1392">
        <v>0</v>
      </c>
      <c r="BQ1392">
        <v>44.17</v>
      </c>
      <c r="BR1392">
        <v>14.51</v>
      </c>
      <c r="BS1392">
        <v>0.14000000000000001</v>
      </c>
      <c r="BT1392">
        <v>0.01</v>
      </c>
      <c r="BU1392">
        <v>6.48</v>
      </c>
      <c r="BV1392">
        <v>4.28</v>
      </c>
      <c r="BW1392">
        <v>5.91</v>
      </c>
      <c r="BX1392">
        <v>2.64</v>
      </c>
      <c r="BY1392">
        <v>9.39</v>
      </c>
      <c r="BZ1392">
        <v>5.7</v>
      </c>
      <c r="CA1392">
        <v>2.41</v>
      </c>
      <c r="CB1392">
        <v>0</v>
      </c>
      <c r="CC1392">
        <v>2.41</v>
      </c>
      <c r="CD1392">
        <v>2.04</v>
      </c>
      <c r="CE1392">
        <v>2.04</v>
      </c>
      <c r="CF1392">
        <v>2.0299999999999998</v>
      </c>
      <c r="CG1392">
        <v>4.26</v>
      </c>
      <c r="CH1392">
        <v>1.04</v>
      </c>
      <c r="CI1392">
        <v>-0.83</v>
      </c>
      <c r="CJ1392">
        <v>74129</v>
      </c>
      <c r="CK1392">
        <v>507</v>
      </c>
      <c r="CL1392" t="s">
        <v>7554</v>
      </c>
      <c r="CM1392">
        <v>0</v>
      </c>
      <c r="CN1392">
        <v>0</v>
      </c>
      <c r="CO1392">
        <v>3.07</v>
      </c>
      <c r="CP1392">
        <v>47.84</v>
      </c>
      <c r="CQ1392">
        <v>5.32</v>
      </c>
      <c r="CR1392">
        <v>0</v>
      </c>
      <c r="CS1392" t="s">
        <v>7555</v>
      </c>
      <c r="CT1392">
        <v>10.83</v>
      </c>
      <c r="CU1392">
        <v>10.83</v>
      </c>
      <c r="CV1392">
        <v>1.75</v>
      </c>
      <c r="CW1392">
        <v>2.83</v>
      </c>
      <c r="CX1392">
        <v>0.69</v>
      </c>
      <c r="CY1392">
        <v>55.83</v>
      </c>
      <c r="CZ1392" t="s">
        <v>7556</v>
      </c>
      <c r="DA1392">
        <v>39.35</v>
      </c>
      <c r="DB1392">
        <v>25.63</v>
      </c>
      <c r="DC1392">
        <v>21.73</v>
      </c>
      <c r="DD1392">
        <v>0.09</v>
      </c>
      <c r="DE1392">
        <v>520</v>
      </c>
      <c r="DF1392">
        <v>2963</v>
      </c>
      <c r="DG1392" t="s">
        <v>116</v>
      </c>
      <c r="DH1392" t="s">
        <v>116</v>
      </c>
      <c r="DI1392" t="s">
        <v>116</v>
      </c>
    </row>
    <row r="1393" spans="1:113" x14ac:dyDescent="0.4">
      <c r="A1393" t="str">
        <f>"002965"</f>
        <v>002965</v>
      </c>
      <c r="B1393" t="s">
        <v>7557</v>
      </c>
      <c r="C1393">
        <v>0.03</v>
      </c>
      <c r="D1393">
        <v>34.83</v>
      </c>
      <c r="E1393">
        <v>0.01</v>
      </c>
      <c r="F1393">
        <v>34.82</v>
      </c>
      <c r="G1393">
        <v>34.83</v>
      </c>
      <c r="H1393">
        <v>62295</v>
      </c>
      <c r="I1393">
        <v>1628</v>
      </c>
      <c r="J1393">
        <v>-0.48</v>
      </c>
      <c r="K1393">
        <v>16.53</v>
      </c>
      <c r="L1393">
        <v>34.619999999999997</v>
      </c>
      <c r="M1393">
        <v>35.08</v>
      </c>
      <c r="N1393">
        <v>34.11</v>
      </c>
      <c r="O1393">
        <v>34.82</v>
      </c>
      <c r="P1393">
        <v>33.619999999999997</v>
      </c>
      <c r="Q1393">
        <v>214759888</v>
      </c>
      <c r="R1393">
        <v>0.96</v>
      </c>
      <c r="S1393" t="s">
        <v>293</v>
      </c>
      <c r="T1393" t="s">
        <v>551</v>
      </c>
      <c r="U1393">
        <v>2.79</v>
      </c>
      <c r="V1393">
        <v>34.47</v>
      </c>
      <c r="W1393">
        <v>33488</v>
      </c>
      <c r="X1393">
        <v>28807</v>
      </c>
      <c r="Y1393">
        <v>1.1599999999999999</v>
      </c>
      <c r="Z1393">
        <v>140</v>
      </c>
      <c r="AA1393">
        <v>312</v>
      </c>
      <c r="AB1393" t="s">
        <v>116</v>
      </c>
      <c r="AC1393">
        <v>969400</v>
      </c>
      <c r="AD1393">
        <v>7.0000000000000007E-2</v>
      </c>
      <c r="AE1393" t="s">
        <v>116</v>
      </c>
      <c r="AF1393" t="s">
        <v>116</v>
      </c>
      <c r="AG1393">
        <v>0.38</v>
      </c>
      <c r="AH1393" t="s">
        <v>1711</v>
      </c>
      <c r="AI1393" t="s">
        <v>5030</v>
      </c>
      <c r="AJ1393">
        <v>0.71</v>
      </c>
      <c r="AK1393">
        <v>3013</v>
      </c>
      <c r="AL1393">
        <v>21</v>
      </c>
      <c r="AM1393">
        <v>5.4999999999999997E-3</v>
      </c>
      <c r="AN1393">
        <v>6</v>
      </c>
      <c r="AO1393">
        <v>2.4300000000000002</v>
      </c>
      <c r="AP1393">
        <v>2.44</v>
      </c>
      <c r="AQ1393">
        <v>75.11</v>
      </c>
      <c r="AR1393">
        <v>75.11</v>
      </c>
      <c r="AS1393">
        <v>16.53</v>
      </c>
      <c r="AT1393" t="s">
        <v>1711</v>
      </c>
      <c r="AU1393">
        <v>34.31</v>
      </c>
      <c r="AV1393">
        <v>37.26</v>
      </c>
      <c r="AW1393">
        <v>0</v>
      </c>
      <c r="BA1393">
        <v>-0.56999999999999995</v>
      </c>
      <c r="BB1393">
        <v>0.75</v>
      </c>
      <c r="BC1393">
        <v>-2.04</v>
      </c>
      <c r="BD1393">
        <v>-0.99</v>
      </c>
      <c r="BE1393">
        <v>0.61</v>
      </c>
      <c r="BF1393">
        <v>-0.71</v>
      </c>
      <c r="BG1393">
        <v>2.11</v>
      </c>
      <c r="BH1393">
        <v>1.02</v>
      </c>
      <c r="BI1393">
        <v>20191202</v>
      </c>
      <c r="BJ1393">
        <v>20191025</v>
      </c>
      <c r="BK1393">
        <v>1.51</v>
      </c>
      <c r="BL1393" t="s">
        <v>116</v>
      </c>
      <c r="BM1393" t="s">
        <v>116</v>
      </c>
      <c r="BN1393">
        <v>15.47</v>
      </c>
      <c r="BO1393">
        <v>8.9600000000000009</v>
      </c>
      <c r="BP1393">
        <v>0</v>
      </c>
      <c r="BQ1393">
        <v>42.06</v>
      </c>
      <c r="BR1393">
        <v>9.6999999999999993</v>
      </c>
      <c r="BS1393">
        <v>3.27</v>
      </c>
      <c r="BT1393">
        <v>1.25</v>
      </c>
      <c r="BU1393">
        <v>6.45</v>
      </c>
      <c r="BV1393">
        <v>3</v>
      </c>
      <c r="BW1393">
        <v>3.74</v>
      </c>
      <c r="BX1393">
        <v>1.38</v>
      </c>
      <c r="BY1393">
        <v>11.2</v>
      </c>
      <c r="BZ1393">
        <v>8.32</v>
      </c>
      <c r="CA1393">
        <v>1.34</v>
      </c>
      <c r="CB1393">
        <v>0.01</v>
      </c>
      <c r="CC1393">
        <v>1.34</v>
      </c>
      <c r="CD1393">
        <v>1.17</v>
      </c>
      <c r="CE1393">
        <v>1.17</v>
      </c>
      <c r="CF1393">
        <v>1.1499999999999999</v>
      </c>
      <c r="CG1393">
        <v>5.86</v>
      </c>
      <c r="CH1393">
        <v>0.96</v>
      </c>
      <c r="CI1393">
        <v>-0.28999999999999998</v>
      </c>
      <c r="CJ1393">
        <v>33000</v>
      </c>
      <c r="CK1393">
        <v>1142</v>
      </c>
      <c r="CL1393" t="s">
        <v>1713</v>
      </c>
      <c r="CM1393">
        <v>0</v>
      </c>
      <c r="CN1393">
        <v>0</v>
      </c>
      <c r="CO1393">
        <v>3.3</v>
      </c>
      <c r="CP1393">
        <v>54.78</v>
      </c>
      <c r="CQ1393">
        <v>4.6900000000000004</v>
      </c>
      <c r="CR1393">
        <v>0</v>
      </c>
      <c r="CS1393" t="s">
        <v>7558</v>
      </c>
      <c r="CT1393">
        <v>10.54</v>
      </c>
      <c r="CU1393">
        <v>10.54</v>
      </c>
      <c r="CV1393">
        <v>0.91</v>
      </c>
      <c r="CW1393">
        <v>3.89</v>
      </c>
      <c r="CX1393">
        <v>0.64</v>
      </c>
      <c r="CY1393">
        <v>57.94</v>
      </c>
      <c r="CZ1393" t="s">
        <v>7559</v>
      </c>
      <c r="DA1393">
        <v>25.69</v>
      </c>
      <c r="DB1393">
        <v>11.92</v>
      </c>
      <c r="DC1393">
        <v>10.45</v>
      </c>
      <c r="DD1393">
        <v>0.44</v>
      </c>
      <c r="DE1393">
        <v>2355</v>
      </c>
      <c r="DF1393">
        <v>2965</v>
      </c>
      <c r="DG1393" t="s">
        <v>116</v>
      </c>
      <c r="DH1393" t="s">
        <v>116</v>
      </c>
      <c r="DI1393" t="s">
        <v>116</v>
      </c>
    </row>
    <row r="1394" spans="1:113" x14ac:dyDescent="0.4">
      <c r="A1394" t="str">
        <f>"002966"</f>
        <v>002966</v>
      </c>
      <c r="B1394" t="s">
        <v>7560</v>
      </c>
      <c r="C1394">
        <v>-3.61</v>
      </c>
      <c r="D1394">
        <v>10.15</v>
      </c>
      <c r="E1394">
        <v>-0.38</v>
      </c>
      <c r="F1394">
        <v>10.15</v>
      </c>
      <c r="G1394">
        <v>10.16</v>
      </c>
      <c r="H1394">
        <v>977270</v>
      </c>
      <c r="I1394">
        <v>8107</v>
      </c>
      <c r="J1394">
        <v>0</v>
      </c>
      <c r="K1394">
        <v>29.32</v>
      </c>
      <c r="L1394">
        <v>10.35</v>
      </c>
      <c r="M1394">
        <v>10.84</v>
      </c>
      <c r="N1394">
        <v>10.07</v>
      </c>
      <c r="O1394">
        <v>10.53</v>
      </c>
      <c r="P1394">
        <v>12.33</v>
      </c>
      <c r="Q1394">
        <v>1022628672</v>
      </c>
      <c r="R1394">
        <v>1.07</v>
      </c>
      <c r="S1394" t="s">
        <v>114</v>
      </c>
      <c r="T1394" t="s">
        <v>323</v>
      </c>
      <c r="U1394">
        <v>7.31</v>
      </c>
      <c r="V1394">
        <v>10.46</v>
      </c>
      <c r="W1394">
        <v>488759</v>
      </c>
      <c r="X1394">
        <v>488511</v>
      </c>
      <c r="Y1394">
        <v>1</v>
      </c>
      <c r="Z1394">
        <v>2450</v>
      </c>
      <c r="AA1394">
        <v>1417</v>
      </c>
      <c r="AB1394" t="s">
        <v>116</v>
      </c>
      <c r="AC1394">
        <v>12272000</v>
      </c>
      <c r="AD1394">
        <v>0.36</v>
      </c>
      <c r="AE1394" t="s">
        <v>116</v>
      </c>
      <c r="AF1394" t="s">
        <v>116</v>
      </c>
      <c r="AG1394">
        <v>3.33</v>
      </c>
      <c r="AH1394" t="s">
        <v>7561</v>
      </c>
      <c r="AI1394" t="s">
        <v>7562</v>
      </c>
      <c r="AJ1394">
        <v>-2.93</v>
      </c>
      <c r="AK1394">
        <v>4547</v>
      </c>
      <c r="AL1394">
        <v>215</v>
      </c>
      <c r="AM1394">
        <v>6.4000000000000003E-3</v>
      </c>
      <c r="AN1394">
        <v>-1</v>
      </c>
      <c r="AO1394">
        <v>0.1</v>
      </c>
      <c r="AP1394">
        <v>14.69</v>
      </c>
      <c r="AQ1394">
        <v>-4.78</v>
      </c>
      <c r="AR1394">
        <v>29.13</v>
      </c>
      <c r="AS1394">
        <v>29.32</v>
      </c>
      <c r="AT1394" t="s">
        <v>7561</v>
      </c>
      <c r="AU1394">
        <v>13.94</v>
      </c>
      <c r="AV1394">
        <v>15.09</v>
      </c>
      <c r="AW1394">
        <v>1.54</v>
      </c>
      <c r="BA1394">
        <v>-1.71</v>
      </c>
      <c r="BB1394">
        <v>2.94</v>
      </c>
      <c r="BC1394">
        <v>-4.37</v>
      </c>
      <c r="BD1394">
        <v>-0.63</v>
      </c>
      <c r="BE1394">
        <v>-1.93</v>
      </c>
      <c r="BF1394">
        <v>-6.37</v>
      </c>
      <c r="BG1394">
        <v>0.79</v>
      </c>
      <c r="BH1394">
        <v>-2.98</v>
      </c>
      <c r="BI1394">
        <v>20191031</v>
      </c>
      <c r="BJ1394">
        <v>20190802</v>
      </c>
      <c r="BK1394">
        <v>33.33</v>
      </c>
      <c r="BL1394" t="s">
        <v>116</v>
      </c>
      <c r="BM1394" t="s">
        <v>116</v>
      </c>
      <c r="BN1394">
        <v>3486.69</v>
      </c>
      <c r="BO1394">
        <v>273.75</v>
      </c>
      <c r="BP1394">
        <v>11.27</v>
      </c>
      <c r="BQ1394">
        <v>91.83</v>
      </c>
      <c r="BR1394">
        <v>0</v>
      </c>
      <c r="BS1394">
        <v>29.95</v>
      </c>
      <c r="BT1394">
        <v>3.8</v>
      </c>
      <c r="BU1394">
        <v>0</v>
      </c>
      <c r="BV1394">
        <v>0</v>
      </c>
      <c r="BW1394">
        <v>0</v>
      </c>
      <c r="BX1394">
        <v>108.22</v>
      </c>
      <c r="BY1394">
        <v>71.2</v>
      </c>
      <c r="BZ1394">
        <v>0</v>
      </c>
      <c r="CA1394">
        <v>27.45</v>
      </c>
      <c r="CB1394">
        <v>15.41</v>
      </c>
      <c r="CC1394">
        <v>27.36</v>
      </c>
      <c r="CD1394">
        <v>21.71</v>
      </c>
      <c r="CE1394">
        <v>20.58</v>
      </c>
      <c r="CF1394">
        <v>20.45</v>
      </c>
      <c r="CG1394">
        <v>70.87</v>
      </c>
      <c r="CH1394">
        <v>-44.72</v>
      </c>
      <c r="CI1394">
        <v>-182.1</v>
      </c>
      <c r="CJ1394">
        <v>168409</v>
      </c>
      <c r="CK1394">
        <v>1979</v>
      </c>
      <c r="CL1394" t="s">
        <v>2399</v>
      </c>
      <c r="CM1394">
        <v>0</v>
      </c>
      <c r="CN1394">
        <v>0</v>
      </c>
      <c r="CO1394">
        <v>1.24</v>
      </c>
      <c r="CP1394">
        <v>-7.57</v>
      </c>
      <c r="CQ1394">
        <v>4.75</v>
      </c>
      <c r="CR1394">
        <v>0</v>
      </c>
      <c r="CS1394" t="s">
        <v>6983</v>
      </c>
      <c r="CT1394">
        <v>8.2100000000000009</v>
      </c>
      <c r="CU1394">
        <v>0</v>
      </c>
      <c r="CV1394">
        <v>3.25</v>
      </c>
      <c r="CW1394">
        <v>2.13</v>
      </c>
      <c r="CX1394">
        <v>-1.34</v>
      </c>
      <c r="CY1394">
        <v>7.85</v>
      </c>
      <c r="CZ1394" t="s">
        <v>1266</v>
      </c>
      <c r="DA1394" t="s">
        <v>116</v>
      </c>
      <c r="DB1394">
        <v>38.549999999999997</v>
      </c>
      <c r="DC1394">
        <v>28.9</v>
      </c>
      <c r="DD1394">
        <v>0</v>
      </c>
      <c r="DE1394">
        <v>3565</v>
      </c>
      <c r="DF1394">
        <v>2966</v>
      </c>
      <c r="DG1394" t="s">
        <v>116</v>
      </c>
      <c r="DH1394" t="s">
        <v>116</v>
      </c>
      <c r="DI1394" t="s">
        <v>116</v>
      </c>
    </row>
    <row r="1395" spans="1:113" x14ac:dyDescent="0.4">
      <c r="A1395" t="str">
        <f>"002967"</f>
        <v>002967</v>
      </c>
      <c r="B1395" t="s">
        <v>7563</v>
      </c>
      <c r="C1395">
        <v>-3.11</v>
      </c>
      <c r="D1395">
        <v>32.409999999999997</v>
      </c>
      <c r="E1395">
        <v>-1.04</v>
      </c>
      <c r="F1395">
        <v>32.4</v>
      </c>
      <c r="G1395">
        <v>32.409999999999997</v>
      </c>
      <c r="H1395">
        <v>171086</v>
      </c>
      <c r="I1395">
        <v>3281</v>
      </c>
      <c r="J1395">
        <v>-0.45</v>
      </c>
      <c r="K1395">
        <v>20.7</v>
      </c>
      <c r="L1395">
        <v>32.880000000000003</v>
      </c>
      <c r="M1395">
        <v>33.619999999999997</v>
      </c>
      <c r="N1395">
        <v>31.88</v>
      </c>
      <c r="O1395">
        <v>33.450000000000003</v>
      </c>
      <c r="P1395">
        <v>114.76</v>
      </c>
      <c r="Q1395">
        <v>558294592</v>
      </c>
      <c r="R1395">
        <v>0.87</v>
      </c>
      <c r="S1395" t="s">
        <v>173</v>
      </c>
      <c r="T1395" t="s">
        <v>551</v>
      </c>
      <c r="U1395">
        <v>5.2</v>
      </c>
      <c r="V1395">
        <v>32.630000000000003</v>
      </c>
      <c r="W1395">
        <v>98828</v>
      </c>
      <c r="X1395">
        <v>72258</v>
      </c>
      <c r="Y1395">
        <v>1.37</v>
      </c>
      <c r="Z1395">
        <v>311</v>
      </c>
      <c r="AA1395">
        <v>379</v>
      </c>
      <c r="AB1395" t="s">
        <v>116</v>
      </c>
      <c r="AC1395">
        <v>11396200</v>
      </c>
      <c r="AD1395">
        <v>0.42</v>
      </c>
      <c r="AE1395" t="s">
        <v>116</v>
      </c>
      <c r="AF1395" t="s">
        <v>116</v>
      </c>
      <c r="AG1395">
        <v>0.83</v>
      </c>
      <c r="AH1395" t="s">
        <v>7564</v>
      </c>
      <c r="AI1395" t="s">
        <v>7565</v>
      </c>
      <c r="AJ1395">
        <v>-2.4300000000000002</v>
      </c>
      <c r="AK1395">
        <v>4098</v>
      </c>
      <c r="AL1395">
        <v>42</v>
      </c>
      <c r="AM1395">
        <v>5.1000000000000004E-3</v>
      </c>
      <c r="AN1395">
        <v>-1</v>
      </c>
      <c r="AO1395">
        <v>4.55</v>
      </c>
      <c r="AP1395">
        <v>15.96</v>
      </c>
      <c r="AQ1395">
        <v>336.2</v>
      </c>
      <c r="AR1395">
        <v>336.2</v>
      </c>
      <c r="AS1395">
        <v>20.7</v>
      </c>
      <c r="AT1395" t="s">
        <v>7564</v>
      </c>
      <c r="AU1395">
        <v>80.709999999999994</v>
      </c>
      <c r="AV1395">
        <v>87.9</v>
      </c>
      <c r="AW1395">
        <v>0</v>
      </c>
      <c r="BA1395">
        <v>-1.7</v>
      </c>
      <c r="BB1395">
        <v>0.51</v>
      </c>
      <c r="BC1395">
        <v>-4.6900000000000004</v>
      </c>
      <c r="BD1395">
        <v>-2.44</v>
      </c>
      <c r="BE1395">
        <v>-1.43</v>
      </c>
      <c r="BF1395">
        <v>-3.6</v>
      </c>
      <c r="BG1395">
        <v>1.66</v>
      </c>
      <c r="BH1395">
        <v>-0.66</v>
      </c>
      <c r="BI1395">
        <v>20191111</v>
      </c>
      <c r="BJ1395">
        <v>20191108</v>
      </c>
      <c r="BK1395">
        <v>3.31</v>
      </c>
      <c r="BL1395" t="s">
        <v>116</v>
      </c>
      <c r="BM1395" t="s">
        <v>116</v>
      </c>
      <c r="BN1395">
        <v>23.78</v>
      </c>
      <c r="BO1395">
        <v>8.58</v>
      </c>
      <c r="BP1395">
        <v>0.02</v>
      </c>
      <c r="BQ1395">
        <v>63.85</v>
      </c>
      <c r="BR1395">
        <v>10.58</v>
      </c>
      <c r="BS1395">
        <v>8.75</v>
      </c>
      <c r="BT1395">
        <v>0.22</v>
      </c>
      <c r="BU1395">
        <v>12.14</v>
      </c>
      <c r="BV1395">
        <v>0.11</v>
      </c>
      <c r="BW1395">
        <v>6.93</v>
      </c>
      <c r="BX1395">
        <v>2.5499999999999998</v>
      </c>
      <c r="BY1395">
        <v>9.9700000000000006</v>
      </c>
      <c r="BZ1395">
        <v>5.4</v>
      </c>
      <c r="CA1395">
        <v>0.68</v>
      </c>
      <c r="CB1395">
        <v>7.0000000000000007E-2</v>
      </c>
      <c r="CC1395">
        <v>0.69</v>
      </c>
      <c r="CD1395">
        <v>0.7</v>
      </c>
      <c r="CE1395">
        <v>0.7</v>
      </c>
      <c r="CF1395">
        <v>0.56000000000000005</v>
      </c>
      <c r="CG1395">
        <v>3.26</v>
      </c>
      <c r="CH1395">
        <v>-0.09</v>
      </c>
      <c r="CI1395">
        <v>-1.48</v>
      </c>
      <c r="CJ1395">
        <v>152800</v>
      </c>
      <c r="CK1395">
        <v>541</v>
      </c>
      <c r="CL1395" t="s">
        <v>7566</v>
      </c>
      <c r="CM1395">
        <v>0</v>
      </c>
      <c r="CN1395">
        <v>0</v>
      </c>
      <c r="CO1395">
        <v>7.51</v>
      </c>
      <c r="CP1395">
        <v>-1158.92</v>
      </c>
      <c r="CQ1395">
        <v>10.75</v>
      </c>
      <c r="CR1395">
        <v>0</v>
      </c>
      <c r="CS1395" t="s">
        <v>313</v>
      </c>
      <c r="CT1395">
        <v>4.32</v>
      </c>
      <c r="CU1395">
        <v>4.32</v>
      </c>
      <c r="CV1395">
        <v>0.77</v>
      </c>
      <c r="CW1395">
        <v>0.98</v>
      </c>
      <c r="CX1395">
        <v>-0.03</v>
      </c>
      <c r="CY1395">
        <v>36.06</v>
      </c>
      <c r="CZ1395" t="s">
        <v>7567</v>
      </c>
      <c r="DA1395">
        <v>45.8</v>
      </c>
      <c r="DB1395">
        <v>6.84</v>
      </c>
      <c r="DC1395">
        <v>7.03</v>
      </c>
      <c r="DD1395">
        <v>1.2</v>
      </c>
      <c r="DE1395">
        <v>3930</v>
      </c>
      <c r="DF1395">
        <v>2967</v>
      </c>
      <c r="DG1395" t="s">
        <v>116</v>
      </c>
      <c r="DH1395" t="s">
        <v>116</v>
      </c>
      <c r="DI1395" t="s">
        <v>116</v>
      </c>
    </row>
    <row r="1396" spans="1:113" x14ac:dyDescent="0.4">
      <c r="A1396" t="str">
        <f>"002968"</f>
        <v>002968</v>
      </c>
      <c r="B1396" t="s">
        <v>7568</v>
      </c>
      <c r="C1396">
        <v>-1.64</v>
      </c>
      <c r="D1396">
        <v>71.31</v>
      </c>
      <c r="E1396">
        <v>-1.19</v>
      </c>
      <c r="F1396">
        <v>71.3</v>
      </c>
      <c r="G1396">
        <v>71.31</v>
      </c>
      <c r="H1396">
        <v>61194</v>
      </c>
      <c r="I1396">
        <v>1787</v>
      </c>
      <c r="J1396">
        <v>0.01</v>
      </c>
      <c r="K1396">
        <v>34.17</v>
      </c>
      <c r="L1396">
        <v>69</v>
      </c>
      <c r="M1396">
        <v>71.5</v>
      </c>
      <c r="N1396">
        <v>67.62</v>
      </c>
      <c r="O1396">
        <v>72.5</v>
      </c>
      <c r="P1396">
        <v>49.33</v>
      </c>
      <c r="Q1396">
        <v>423293184</v>
      </c>
      <c r="R1396">
        <v>1.3</v>
      </c>
      <c r="S1396" t="s">
        <v>419</v>
      </c>
      <c r="T1396" t="s">
        <v>906</v>
      </c>
      <c r="U1396">
        <v>5.35</v>
      </c>
      <c r="V1396">
        <v>69.17</v>
      </c>
      <c r="W1396">
        <v>31742</v>
      </c>
      <c r="X1396">
        <v>29452</v>
      </c>
      <c r="Y1396">
        <v>1.08</v>
      </c>
      <c r="Z1396">
        <v>146</v>
      </c>
      <c r="AA1396">
        <v>477</v>
      </c>
      <c r="AB1396" t="s">
        <v>116</v>
      </c>
      <c r="AC1396">
        <v>17567400</v>
      </c>
      <c r="AD1396">
        <v>1.42</v>
      </c>
      <c r="AE1396" t="s">
        <v>116</v>
      </c>
      <c r="AF1396" t="s">
        <v>116</v>
      </c>
      <c r="AG1396">
        <v>0.18</v>
      </c>
      <c r="AH1396" t="s">
        <v>6663</v>
      </c>
      <c r="AI1396" t="s">
        <v>7569</v>
      </c>
      <c r="AJ1396">
        <v>-0.96</v>
      </c>
      <c r="AK1396">
        <v>3341</v>
      </c>
      <c r="AL1396">
        <v>18</v>
      </c>
      <c r="AM1396">
        <v>1.0200000000000001E-2</v>
      </c>
      <c r="AN1396">
        <v>-1</v>
      </c>
      <c r="AO1396">
        <v>10.1</v>
      </c>
      <c r="AP1396">
        <v>166.48</v>
      </c>
      <c r="AQ1396">
        <v>166.48</v>
      </c>
      <c r="AR1396">
        <v>166.48</v>
      </c>
      <c r="AS1396">
        <v>34.17</v>
      </c>
      <c r="AT1396" t="s">
        <v>6663</v>
      </c>
      <c r="AU1396">
        <v>48.86</v>
      </c>
      <c r="AV1396">
        <v>58</v>
      </c>
      <c r="AW1396">
        <v>0</v>
      </c>
      <c r="BA1396">
        <v>-4.83</v>
      </c>
      <c r="BB1396">
        <v>-1.38</v>
      </c>
      <c r="BC1396">
        <v>-6.73</v>
      </c>
      <c r="BD1396">
        <v>-4.59</v>
      </c>
      <c r="BE1396">
        <v>3.35</v>
      </c>
      <c r="BF1396">
        <v>-0.27</v>
      </c>
      <c r="BG1396">
        <v>5.46</v>
      </c>
      <c r="BH1396">
        <v>2.95</v>
      </c>
      <c r="BI1396">
        <v>20191202</v>
      </c>
      <c r="BJ1396">
        <v>20191203</v>
      </c>
      <c r="BK1396">
        <v>0.72</v>
      </c>
      <c r="BL1396" t="s">
        <v>116</v>
      </c>
      <c r="BM1396" t="s">
        <v>116</v>
      </c>
      <c r="BN1396">
        <v>5.03</v>
      </c>
      <c r="BO1396">
        <v>2.92</v>
      </c>
      <c r="BP1396">
        <v>0.01</v>
      </c>
      <c r="BQ1396">
        <v>41.63</v>
      </c>
      <c r="BR1396">
        <v>3.5</v>
      </c>
      <c r="BS1396">
        <v>0.94</v>
      </c>
      <c r="BT1396">
        <v>0.02</v>
      </c>
      <c r="BU1396">
        <v>1.83</v>
      </c>
      <c r="BV1396">
        <v>0.01</v>
      </c>
      <c r="BW1396">
        <v>1.6</v>
      </c>
      <c r="BX1396">
        <v>0.81</v>
      </c>
      <c r="BY1396">
        <v>7.53</v>
      </c>
      <c r="BZ1396">
        <v>5.96</v>
      </c>
      <c r="CA1396">
        <v>0.9</v>
      </c>
      <c r="CB1396">
        <v>0.01</v>
      </c>
      <c r="CC1396">
        <v>0.9</v>
      </c>
      <c r="CD1396">
        <v>0.78</v>
      </c>
      <c r="CE1396">
        <v>0.78</v>
      </c>
      <c r="CF1396">
        <v>0.66</v>
      </c>
      <c r="CG1396">
        <v>1.37</v>
      </c>
      <c r="CH1396">
        <v>-0.47</v>
      </c>
      <c r="CI1396">
        <v>-1.25</v>
      </c>
      <c r="CJ1396">
        <v>35838</v>
      </c>
      <c r="CK1396">
        <v>500</v>
      </c>
      <c r="CL1396" t="s">
        <v>7570</v>
      </c>
      <c r="CM1396">
        <v>0</v>
      </c>
      <c r="CN1396">
        <v>0</v>
      </c>
      <c r="CO1396">
        <v>7.03</v>
      </c>
      <c r="CP1396">
        <v>-108.81</v>
      </c>
      <c r="CQ1396">
        <v>6.79</v>
      </c>
      <c r="CR1396">
        <v>0</v>
      </c>
      <c r="CS1396" t="s">
        <v>7571</v>
      </c>
      <c r="CT1396">
        <v>10.14</v>
      </c>
      <c r="CU1396">
        <v>10.14</v>
      </c>
      <c r="CV1396">
        <v>1.1299999999999999</v>
      </c>
      <c r="CW1396">
        <v>1.91</v>
      </c>
      <c r="CX1396">
        <v>-0.66</v>
      </c>
      <c r="CY1396">
        <v>58.09</v>
      </c>
      <c r="CZ1396" t="s">
        <v>7572</v>
      </c>
      <c r="DA1396">
        <v>20.83</v>
      </c>
      <c r="DB1396">
        <v>11.98</v>
      </c>
      <c r="DC1396">
        <v>10.32</v>
      </c>
      <c r="DD1396">
        <v>0</v>
      </c>
      <c r="DE1396">
        <v>18889</v>
      </c>
      <c r="DF1396">
        <v>2968</v>
      </c>
      <c r="DG1396" t="s">
        <v>116</v>
      </c>
      <c r="DH1396" t="s">
        <v>116</v>
      </c>
      <c r="DI1396" t="s">
        <v>116</v>
      </c>
    </row>
    <row r="1397" spans="1:113" x14ac:dyDescent="0.4">
      <c r="A1397" t="str">
        <f>"002969"</f>
        <v>002969</v>
      </c>
      <c r="B1397" t="s">
        <v>7573</v>
      </c>
      <c r="C1397">
        <v>-0.82</v>
      </c>
      <c r="D1397">
        <v>13.3</v>
      </c>
      <c r="E1397">
        <v>-0.11</v>
      </c>
      <c r="F1397">
        <v>13.29</v>
      </c>
      <c r="G1397">
        <v>13.3</v>
      </c>
      <c r="H1397">
        <v>269781</v>
      </c>
      <c r="I1397">
        <v>6233</v>
      </c>
      <c r="J1397">
        <v>-1.33</v>
      </c>
      <c r="K1397">
        <v>28.32</v>
      </c>
      <c r="L1397">
        <v>13.17</v>
      </c>
      <c r="M1397">
        <v>14.07</v>
      </c>
      <c r="N1397">
        <v>13.11</v>
      </c>
      <c r="O1397">
        <v>13.41</v>
      </c>
      <c r="P1397">
        <v>149.44999999999999</v>
      </c>
      <c r="Q1397">
        <v>365238912</v>
      </c>
      <c r="R1397">
        <v>0.92</v>
      </c>
      <c r="S1397" t="s">
        <v>345</v>
      </c>
      <c r="T1397" t="s">
        <v>575</v>
      </c>
      <c r="U1397">
        <v>7.16</v>
      </c>
      <c r="V1397">
        <v>13.54</v>
      </c>
      <c r="W1397">
        <v>130676</v>
      </c>
      <c r="X1397">
        <v>139105</v>
      </c>
      <c r="Y1397">
        <v>0.94</v>
      </c>
      <c r="Z1397">
        <v>31</v>
      </c>
      <c r="AA1397">
        <v>1509</v>
      </c>
      <c r="AB1397" t="s">
        <v>116</v>
      </c>
      <c r="AC1397">
        <v>2099300</v>
      </c>
      <c r="AD1397">
        <v>0.17</v>
      </c>
      <c r="AE1397" t="s">
        <v>116</v>
      </c>
      <c r="AF1397" t="s">
        <v>116</v>
      </c>
      <c r="AG1397">
        <v>0.95</v>
      </c>
      <c r="AH1397" t="s">
        <v>6249</v>
      </c>
      <c r="AI1397" t="s">
        <v>7574</v>
      </c>
      <c r="AJ1397">
        <v>-0.14000000000000001</v>
      </c>
      <c r="AK1397">
        <v>4021</v>
      </c>
      <c r="AL1397">
        <v>67</v>
      </c>
      <c r="AM1397">
        <v>7.0000000000000001E-3</v>
      </c>
      <c r="AN1397">
        <v>-1</v>
      </c>
      <c r="AO1397">
        <v>-2.06</v>
      </c>
      <c r="AP1397">
        <v>262.39999999999998</v>
      </c>
      <c r="AQ1397">
        <v>262.39999999999998</v>
      </c>
      <c r="AR1397">
        <v>262.39999999999998</v>
      </c>
      <c r="AS1397">
        <v>28.32</v>
      </c>
      <c r="AT1397" t="s">
        <v>6249</v>
      </c>
      <c r="AU1397">
        <v>69.94</v>
      </c>
      <c r="AV1397">
        <v>73.19</v>
      </c>
      <c r="AW1397">
        <v>0</v>
      </c>
      <c r="BA1397">
        <v>-1.79</v>
      </c>
      <c r="BB1397">
        <v>4.92</v>
      </c>
      <c r="BC1397">
        <v>-2.2400000000000002</v>
      </c>
      <c r="BD1397">
        <v>0.96</v>
      </c>
      <c r="BE1397">
        <v>0.99</v>
      </c>
      <c r="BF1397">
        <v>-5.47</v>
      </c>
      <c r="BG1397">
        <v>1.45</v>
      </c>
      <c r="BH1397">
        <v>-1.78</v>
      </c>
      <c r="BI1397">
        <v>20191201</v>
      </c>
      <c r="BJ1397">
        <v>20191202</v>
      </c>
      <c r="BK1397">
        <v>9.5299999999999994</v>
      </c>
      <c r="BL1397" t="s">
        <v>116</v>
      </c>
      <c r="BM1397" t="s">
        <v>116</v>
      </c>
      <c r="BN1397">
        <v>32.67</v>
      </c>
      <c r="BO1397">
        <v>16.63</v>
      </c>
      <c r="BP1397">
        <v>0</v>
      </c>
      <c r="BQ1397">
        <v>49.08</v>
      </c>
      <c r="BR1397">
        <v>10.37</v>
      </c>
      <c r="BS1397">
        <v>18.16</v>
      </c>
      <c r="BT1397">
        <v>1.96</v>
      </c>
      <c r="BU1397">
        <v>15.06</v>
      </c>
      <c r="BV1397">
        <v>4.0599999999999996</v>
      </c>
      <c r="BW1397">
        <v>2.73</v>
      </c>
      <c r="BX1397">
        <v>5.0599999999999996</v>
      </c>
      <c r="BY1397">
        <v>16.2</v>
      </c>
      <c r="BZ1397">
        <v>13.46</v>
      </c>
      <c r="CA1397">
        <v>0.81</v>
      </c>
      <c r="CB1397">
        <v>0</v>
      </c>
      <c r="CC1397">
        <v>0.8</v>
      </c>
      <c r="CD1397">
        <v>0.64</v>
      </c>
      <c r="CE1397">
        <v>0.64</v>
      </c>
      <c r="CF1397">
        <v>0.59</v>
      </c>
      <c r="CG1397">
        <v>2.57</v>
      </c>
      <c r="CH1397">
        <v>3.43</v>
      </c>
      <c r="CI1397">
        <v>-0.28000000000000003</v>
      </c>
      <c r="CJ1397">
        <v>177638</v>
      </c>
      <c r="CK1397">
        <v>536</v>
      </c>
      <c r="CL1397" t="s">
        <v>7575</v>
      </c>
      <c r="CM1397">
        <v>0</v>
      </c>
      <c r="CN1397">
        <v>0</v>
      </c>
      <c r="CO1397">
        <v>6.43</v>
      </c>
      <c r="CP1397">
        <v>36.909999999999997</v>
      </c>
      <c r="CQ1397">
        <v>7.82</v>
      </c>
      <c r="CR1397">
        <v>0</v>
      </c>
      <c r="CS1397" t="s">
        <v>1584</v>
      </c>
      <c r="CT1397">
        <v>2.0699999999999998</v>
      </c>
      <c r="CU1397">
        <v>2.0699999999999998</v>
      </c>
      <c r="CV1397">
        <v>0.53</v>
      </c>
      <c r="CW1397">
        <v>0.27</v>
      </c>
      <c r="CX1397">
        <v>0.36</v>
      </c>
      <c r="CY1397">
        <v>50.92</v>
      </c>
      <c r="CZ1397" t="s">
        <v>520</v>
      </c>
      <c r="DA1397">
        <v>16.87</v>
      </c>
      <c r="DB1397">
        <v>4.9800000000000004</v>
      </c>
      <c r="DC1397">
        <v>3.93</v>
      </c>
      <c r="DD1397">
        <v>0.04</v>
      </c>
      <c r="DE1397">
        <v>2402</v>
      </c>
      <c r="DF1397">
        <v>2969</v>
      </c>
      <c r="DG1397" t="s">
        <v>116</v>
      </c>
      <c r="DH1397" t="s">
        <v>116</v>
      </c>
      <c r="DI1397" t="s">
        <v>116</v>
      </c>
    </row>
    <row r="1398" spans="1:113" x14ac:dyDescent="0.4">
      <c r="A1398" t="str">
        <f>"002970"</f>
        <v>002970</v>
      </c>
      <c r="B1398" t="s">
        <v>7576</v>
      </c>
      <c r="C1398">
        <v>10</v>
      </c>
      <c r="D1398">
        <v>117.28</v>
      </c>
      <c r="E1398">
        <v>10.66</v>
      </c>
      <c r="F1398">
        <v>117.28</v>
      </c>
      <c r="G1398" t="s">
        <v>116</v>
      </c>
      <c r="H1398">
        <v>142975</v>
      </c>
      <c r="I1398">
        <v>26</v>
      </c>
      <c r="J1398">
        <v>0</v>
      </c>
      <c r="K1398">
        <v>66.19</v>
      </c>
      <c r="L1398">
        <v>117.28</v>
      </c>
      <c r="M1398">
        <v>117.28</v>
      </c>
      <c r="N1398">
        <v>109</v>
      </c>
      <c r="O1398">
        <v>106.62</v>
      </c>
      <c r="P1398">
        <v>68.989999999999995</v>
      </c>
      <c r="Q1398">
        <v>1641903872</v>
      </c>
      <c r="R1398">
        <v>11.24</v>
      </c>
      <c r="S1398" t="s">
        <v>465</v>
      </c>
      <c r="T1398" t="s">
        <v>115</v>
      </c>
      <c r="U1398">
        <v>7.77</v>
      </c>
      <c r="V1398">
        <v>114.84</v>
      </c>
      <c r="W1398">
        <v>78675</v>
      </c>
      <c r="X1398">
        <v>64300</v>
      </c>
      <c r="Y1398">
        <v>1.22</v>
      </c>
      <c r="Z1398">
        <v>10077</v>
      </c>
      <c r="AA1398">
        <v>0</v>
      </c>
      <c r="AB1398" t="s">
        <v>116</v>
      </c>
      <c r="AC1398">
        <v>137967808</v>
      </c>
      <c r="AD1398">
        <v>5.45</v>
      </c>
      <c r="AE1398">
        <v>7.0000000000000007E-2</v>
      </c>
      <c r="AF1398">
        <v>118183056</v>
      </c>
      <c r="AG1398">
        <v>0.22</v>
      </c>
      <c r="AH1398" t="s">
        <v>7577</v>
      </c>
      <c r="AI1398" t="s">
        <v>7578</v>
      </c>
      <c r="AJ1398">
        <v>10.68</v>
      </c>
      <c r="AK1398">
        <v>2351</v>
      </c>
      <c r="AL1398">
        <v>61</v>
      </c>
      <c r="AM1398">
        <v>2.8199999999999999E-2</v>
      </c>
      <c r="AN1398">
        <v>9</v>
      </c>
      <c r="AO1398">
        <v>33.1</v>
      </c>
      <c r="AP1398">
        <v>208.63</v>
      </c>
      <c r="AQ1398">
        <v>208.63</v>
      </c>
      <c r="AR1398">
        <v>208.63</v>
      </c>
      <c r="AS1398">
        <v>66.19</v>
      </c>
      <c r="AT1398" t="s">
        <v>7577</v>
      </c>
      <c r="AU1398">
        <v>49.96</v>
      </c>
      <c r="AV1398">
        <v>67.03</v>
      </c>
      <c r="AW1398">
        <v>0</v>
      </c>
      <c r="BA1398">
        <v>10</v>
      </c>
      <c r="BB1398">
        <v>10</v>
      </c>
      <c r="BC1398">
        <v>2.23</v>
      </c>
      <c r="BD1398">
        <v>7.71</v>
      </c>
      <c r="BE1398">
        <v>0</v>
      </c>
      <c r="BF1398">
        <v>0</v>
      </c>
      <c r="BG1398">
        <v>7.6</v>
      </c>
      <c r="BH1398">
        <v>2.29</v>
      </c>
      <c r="BI1398">
        <v>20191216</v>
      </c>
      <c r="BJ1398">
        <v>20191217</v>
      </c>
      <c r="BK1398">
        <v>0.86</v>
      </c>
      <c r="BL1398" t="s">
        <v>116</v>
      </c>
      <c r="BM1398" t="s">
        <v>116</v>
      </c>
      <c r="BN1398">
        <v>10.8</v>
      </c>
      <c r="BO1398">
        <v>5.41</v>
      </c>
      <c r="BP1398">
        <v>0.14000000000000001</v>
      </c>
      <c r="BQ1398">
        <v>48.57</v>
      </c>
      <c r="BR1398">
        <v>9.11</v>
      </c>
      <c r="BS1398">
        <v>0.83</v>
      </c>
      <c r="BT1398">
        <v>0.19</v>
      </c>
      <c r="BU1398">
        <v>4.7699999999999996</v>
      </c>
      <c r="BV1398">
        <v>2.29</v>
      </c>
      <c r="BW1398">
        <v>2.83</v>
      </c>
      <c r="BX1398">
        <v>0.7</v>
      </c>
      <c r="BY1398">
        <v>9.8800000000000008</v>
      </c>
      <c r="BZ1398">
        <v>5.59</v>
      </c>
      <c r="CA1398">
        <v>1.3</v>
      </c>
      <c r="CB1398">
        <v>-0.02</v>
      </c>
      <c r="CC1398">
        <v>1.3</v>
      </c>
      <c r="CD1398">
        <v>1.1200000000000001</v>
      </c>
      <c r="CE1398">
        <v>1.1000000000000001</v>
      </c>
      <c r="CF1398">
        <v>0.97</v>
      </c>
      <c r="CG1398">
        <v>3.81</v>
      </c>
      <c r="CH1398">
        <v>0.81</v>
      </c>
      <c r="CI1398">
        <v>0.21</v>
      </c>
      <c r="CJ1398">
        <v>45259</v>
      </c>
      <c r="CK1398">
        <v>477</v>
      </c>
      <c r="CL1398" t="s">
        <v>5543</v>
      </c>
      <c r="CM1398">
        <v>0</v>
      </c>
      <c r="CN1398">
        <v>0</v>
      </c>
      <c r="CO1398">
        <v>7.83</v>
      </c>
      <c r="CP1398">
        <v>125.77</v>
      </c>
      <c r="CQ1398">
        <v>10.26</v>
      </c>
      <c r="CR1398">
        <v>0</v>
      </c>
      <c r="CS1398" t="s">
        <v>7579</v>
      </c>
      <c r="CT1398">
        <v>14.97</v>
      </c>
      <c r="CU1398">
        <v>14.97</v>
      </c>
      <c r="CV1398">
        <v>0.81</v>
      </c>
      <c r="CW1398">
        <v>4.41</v>
      </c>
      <c r="CX1398">
        <v>0.93</v>
      </c>
      <c r="CY1398">
        <v>50.09</v>
      </c>
      <c r="CZ1398" t="s">
        <v>7580</v>
      </c>
      <c r="DA1398">
        <v>43.4</v>
      </c>
      <c r="DB1398">
        <v>13.12</v>
      </c>
      <c r="DC1398">
        <v>11.15</v>
      </c>
      <c r="DD1398">
        <v>1.18</v>
      </c>
      <c r="DE1398">
        <v>1757</v>
      </c>
      <c r="DF1398">
        <v>2970</v>
      </c>
      <c r="DG1398" t="s">
        <v>116</v>
      </c>
      <c r="DH1398" t="s">
        <v>116</v>
      </c>
      <c r="DI1398" t="s">
        <v>116</v>
      </c>
    </row>
    <row r="1399" spans="1:113" x14ac:dyDescent="0.4">
      <c r="A1399" t="str">
        <f>"002972"</f>
        <v>002972</v>
      </c>
      <c r="B1399" t="s">
        <v>7581</v>
      </c>
      <c r="C1399">
        <v>44.04</v>
      </c>
      <c r="D1399">
        <v>16.55</v>
      </c>
      <c r="E1399">
        <v>5.0599999999999996</v>
      </c>
      <c r="F1399">
        <v>16.55</v>
      </c>
      <c r="G1399" t="s">
        <v>116</v>
      </c>
      <c r="H1399">
        <v>1473</v>
      </c>
      <c r="I1399">
        <v>16</v>
      </c>
      <c r="J1399">
        <v>0</v>
      </c>
      <c r="K1399">
        <v>0.33</v>
      </c>
      <c r="L1399">
        <v>13.79</v>
      </c>
      <c r="M1399">
        <v>16.55</v>
      </c>
      <c r="N1399">
        <v>13.79</v>
      </c>
      <c r="O1399">
        <v>11.49</v>
      </c>
      <c r="P1399">
        <v>25.21</v>
      </c>
      <c r="Q1399">
        <v>2430990</v>
      </c>
      <c r="R1399">
        <v>0</v>
      </c>
      <c r="S1399" t="s">
        <v>164</v>
      </c>
      <c r="T1399" t="s">
        <v>115</v>
      </c>
      <c r="U1399">
        <v>24.02</v>
      </c>
      <c r="V1399">
        <v>16.5</v>
      </c>
      <c r="W1399">
        <v>1263</v>
      </c>
      <c r="X1399">
        <v>210</v>
      </c>
      <c r="Y1399">
        <v>6.01</v>
      </c>
      <c r="Z1399">
        <v>67200</v>
      </c>
      <c r="AA1399">
        <v>0</v>
      </c>
      <c r="AB1399" t="s">
        <v>116</v>
      </c>
      <c r="AC1399">
        <v>15200</v>
      </c>
      <c r="AD1399">
        <v>0</v>
      </c>
      <c r="AE1399">
        <v>45.62</v>
      </c>
      <c r="AF1399">
        <v>111215992</v>
      </c>
      <c r="AG1399">
        <v>0.44</v>
      </c>
      <c r="AH1399" t="s">
        <v>7582</v>
      </c>
      <c r="AI1399" t="s">
        <v>2277</v>
      </c>
      <c r="AJ1399">
        <v>44.72</v>
      </c>
      <c r="AK1399">
        <v>217</v>
      </c>
      <c r="AL1399">
        <v>7</v>
      </c>
      <c r="AM1399">
        <v>1.5E-3</v>
      </c>
      <c r="AN1399">
        <v>1</v>
      </c>
      <c r="AO1399">
        <v>44.04</v>
      </c>
      <c r="AP1399">
        <v>44.04</v>
      </c>
      <c r="AQ1399">
        <v>44.04</v>
      </c>
      <c r="AR1399">
        <v>44.04</v>
      </c>
      <c r="AS1399">
        <v>0.33</v>
      </c>
      <c r="AT1399" t="s">
        <v>7582</v>
      </c>
      <c r="AU1399">
        <v>22.49</v>
      </c>
      <c r="AV1399">
        <v>30.67</v>
      </c>
      <c r="AW1399">
        <v>0</v>
      </c>
      <c r="BA1399">
        <v>20.02</v>
      </c>
      <c r="BB1399">
        <v>44.04</v>
      </c>
      <c r="BC1399">
        <v>20.02</v>
      </c>
      <c r="BD1399">
        <v>43.62</v>
      </c>
      <c r="BE1399">
        <v>20.010000000000002</v>
      </c>
      <c r="BF1399">
        <v>0</v>
      </c>
      <c r="BG1399">
        <v>20.010000000000002</v>
      </c>
      <c r="BH1399">
        <v>0.42</v>
      </c>
      <c r="BI1399">
        <v>20191226</v>
      </c>
      <c r="BJ1399">
        <v>20191227</v>
      </c>
      <c r="BK1399">
        <v>1.76</v>
      </c>
      <c r="BL1399" t="s">
        <v>116</v>
      </c>
      <c r="BM1399" t="s">
        <v>116</v>
      </c>
      <c r="BN1399">
        <v>7</v>
      </c>
      <c r="BO1399">
        <v>5.45</v>
      </c>
      <c r="BP1399">
        <v>0.01</v>
      </c>
      <c r="BQ1399">
        <v>22.02</v>
      </c>
      <c r="BR1399">
        <v>6.15</v>
      </c>
      <c r="BS1399">
        <v>0.4</v>
      </c>
      <c r="BT1399">
        <v>0.03</v>
      </c>
      <c r="BU1399">
        <v>1.53</v>
      </c>
      <c r="BV1399">
        <v>0.83</v>
      </c>
      <c r="BW1399">
        <v>3.12</v>
      </c>
      <c r="BX1399">
        <v>0.56999999999999995</v>
      </c>
      <c r="BY1399">
        <v>2.2799999999999998</v>
      </c>
      <c r="BZ1399">
        <v>0.88</v>
      </c>
      <c r="CA1399">
        <v>0.98</v>
      </c>
      <c r="CB1399">
        <v>0</v>
      </c>
      <c r="CC1399">
        <v>1.01</v>
      </c>
      <c r="CD1399">
        <v>0.87</v>
      </c>
      <c r="CE1399">
        <v>0.87</v>
      </c>
      <c r="CF1399">
        <v>0.84</v>
      </c>
      <c r="CG1399">
        <v>3.2</v>
      </c>
      <c r="CH1399">
        <v>0.21</v>
      </c>
      <c r="CI1399">
        <v>-0.28999999999999998</v>
      </c>
      <c r="CJ1399">
        <v>86253</v>
      </c>
      <c r="CK1399">
        <v>511</v>
      </c>
      <c r="CL1399" t="s">
        <v>7583</v>
      </c>
      <c r="CM1399">
        <v>0</v>
      </c>
      <c r="CN1399">
        <v>0</v>
      </c>
      <c r="CO1399">
        <v>2.92</v>
      </c>
      <c r="CP1399">
        <v>139.57</v>
      </c>
      <c r="CQ1399">
        <v>12.78</v>
      </c>
      <c r="CR1399">
        <v>0</v>
      </c>
      <c r="CS1399" t="s">
        <v>2546</v>
      </c>
      <c r="CT1399">
        <v>5.67</v>
      </c>
      <c r="CU1399">
        <v>5.67</v>
      </c>
      <c r="CV1399">
        <v>0.33</v>
      </c>
      <c r="CW1399">
        <v>1.82</v>
      </c>
      <c r="CX1399">
        <v>0.12</v>
      </c>
      <c r="CY1399">
        <v>77.86</v>
      </c>
      <c r="CZ1399" t="s">
        <v>4715</v>
      </c>
      <c r="DA1399">
        <v>61.3</v>
      </c>
      <c r="DB1399">
        <v>42.81</v>
      </c>
      <c r="DC1399">
        <v>38.04</v>
      </c>
      <c r="DD1399">
        <v>0.14000000000000001</v>
      </c>
      <c r="DE1399">
        <v>300</v>
      </c>
      <c r="DF1399">
        <v>2972</v>
      </c>
      <c r="DG1399" t="s">
        <v>116</v>
      </c>
      <c r="DH1399" t="s">
        <v>116</v>
      </c>
      <c r="DI1399" t="s">
        <v>116</v>
      </c>
    </row>
    <row r="1400" spans="1:113" x14ac:dyDescent="0.4">
      <c r="A1400" t="str">
        <f>"003816"</f>
        <v>003816</v>
      </c>
      <c r="B1400" t="s">
        <v>7584</v>
      </c>
      <c r="C1400">
        <v>-0.28000000000000003</v>
      </c>
      <c r="D1400">
        <v>3.59</v>
      </c>
      <c r="E1400">
        <v>-0.01</v>
      </c>
      <c r="F1400">
        <v>3.59</v>
      </c>
      <c r="G1400">
        <v>3.6</v>
      </c>
      <c r="H1400">
        <v>421704</v>
      </c>
      <c r="I1400">
        <v>5901</v>
      </c>
      <c r="J1400">
        <v>-0.27</v>
      </c>
      <c r="K1400">
        <v>2.06</v>
      </c>
      <c r="L1400">
        <v>3.61</v>
      </c>
      <c r="M1400">
        <v>3.62</v>
      </c>
      <c r="N1400">
        <v>3.59</v>
      </c>
      <c r="O1400">
        <v>3.6</v>
      </c>
      <c r="P1400">
        <v>16.38</v>
      </c>
      <c r="Q1400">
        <v>151970352</v>
      </c>
      <c r="R1400">
        <v>0.97</v>
      </c>
      <c r="S1400" t="s">
        <v>361</v>
      </c>
      <c r="T1400" t="s">
        <v>115</v>
      </c>
      <c r="U1400">
        <v>0.83</v>
      </c>
      <c r="V1400">
        <v>3.6</v>
      </c>
      <c r="W1400">
        <v>272688</v>
      </c>
      <c r="X1400">
        <v>149016</v>
      </c>
      <c r="Y1400">
        <v>1.83</v>
      </c>
      <c r="Z1400">
        <v>7797</v>
      </c>
      <c r="AA1400">
        <v>15677</v>
      </c>
      <c r="AB1400" t="s">
        <v>116</v>
      </c>
      <c r="AC1400">
        <v>447300</v>
      </c>
      <c r="AD1400">
        <v>0.01</v>
      </c>
      <c r="AE1400" t="s">
        <v>116</v>
      </c>
      <c r="AF1400" t="s">
        <v>116</v>
      </c>
      <c r="AG1400">
        <v>20.47</v>
      </c>
      <c r="AH1400" t="s">
        <v>7585</v>
      </c>
      <c r="AI1400" t="s">
        <v>7586</v>
      </c>
      <c r="AJ1400">
        <v>0.4</v>
      </c>
      <c r="AK1400">
        <v>3203</v>
      </c>
      <c r="AL1400">
        <v>132</v>
      </c>
      <c r="AM1400">
        <v>5.9999999999999995E-4</v>
      </c>
      <c r="AN1400">
        <v>-1</v>
      </c>
      <c r="AO1400">
        <v>-0.55000000000000004</v>
      </c>
      <c r="AP1400">
        <v>2.87</v>
      </c>
      <c r="AQ1400">
        <v>-15.13</v>
      </c>
      <c r="AR1400">
        <v>44.18</v>
      </c>
      <c r="AS1400">
        <v>2.06</v>
      </c>
      <c r="AT1400" t="s">
        <v>7585</v>
      </c>
      <c r="AU1400">
        <v>17.739999999999998</v>
      </c>
      <c r="AV1400">
        <v>20.83</v>
      </c>
      <c r="AW1400">
        <v>0.82</v>
      </c>
      <c r="BA1400">
        <v>0.28000000000000003</v>
      </c>
      <c r="BB1400">
        <v>0.56000000000000005</v>
      </c>
      <c r="BC1400">
        <v>-0.28000000000000003</v>
      </c>
      <c r="BD1400">
        <v>0.1</v>
      </c>
      <c r="BE1400">
        <v>-0.55000000000000004</v>
      </c>
      <c r="BF1400">
        <v>-0.83</v>
      </c>
      <c r="BG1400">
        <v>0</v>
      </c>
      <c r="BH1400">
        <v>-0.38</v>
      </c>
      <c r="BI1400">
        <v>20191031</v>
      </c>
      <c r="BJ1400">
        <v>20190826</v>
      </c>
      <c r="BK1400">
        <v>504.99</v>
      </c>
      <c r="BL1400" t="s">
        <v>116</v>
      </c>
      <c r="BM1400">
        <v>111.64</v>
      </c>
      <c r="BN1400">
        <v>3962.73</v>
      </c>
      <c r="BO1400">
        <v>887.68</v>
      </c>
      <c r="BP1400">
        <v>449.44</v>
      </c>
      <c r="BQ1400">
        <v>66.260000000000005</v>
      </c>
      <c r="BR1400">
        <v>695.93</v>
      </c>
      <c r="BS1400">
        <v>2601.44</v>
      </c>
      <c r="BT1400">
        <v>49.19</v>
      </c>
      <c r="BU1400">
        <v>717.98</v>
      </c>
      <c r="BV1400">
        <v>199.52</v>
      </c>
      <c r="BW1400">
        <v>65.72</v>
      </c>
      <c r="BX1400">
        <v>106.93</v>
      </c>
      <c r="BY1400">
        <v>431.39</v>
      </c>
      <c r="BZ1400">
        <v>237.27</v>
      </c>
      <c r="CA1400">
        <v>145.13999999999999</v>
      </c>
      <c r="CB1400">
        <v>10.23</v>
      </c>
      <c r="CC1400">
        <v>145.04</v>
      </c>
      <c r="CD1400">
        <v>127.64</v>
      </c>
      <c r="CE1400">
        <v>82.98</v>
      </c>
      <c r="CF1400">
        <v>80.180000000000007</v>
      </c>
      <c r="CG1400">
        <v>231.03</v>
      </c>
      <c r="CH1400">
        <v>245.58</v>
      </c>
      <c r="CI1400">
        <v>66.86</v>
      </c>
      <c r="CJ1400">
        <v>675448</v>
      </c>
      <c r="CK1400">
        <v>3031</v>
      </c>
      <c r="CL1400" t="s">
        <v>7587</v>
      </c>
      <c r="CM1400">
        <v>0</v>
      </c>
      <c r="CN1400">
        <v>0</v>
      </c>
      <c r="CO1400">
        <v>2.04</v>
      </c>
      <c r="CP1400">
        <v>7.38</v>
      </c>
      <c r="CQ1400">
        <v>4.2</v>
      </c>
      <c r="CR1400">
        <v>0</v>
      </c>
      <c r="CS1400" t="s">
        <v>1971</v>
      </c>
      <c r="CT1400">
        <v>1.76</v>
      </c>
      <c r="CU1400">
        <v>0</v>
      </c>
      <c r="CV1400">
        <v>0.21</v>
      </c>
      <c r="CW1400">
        <v>0.46</v>
      </c>
      <c r="CX1400">
        <v>0.49</v>
      </c>
      <c r="CY1400">
        <v>22.4</v>
      </c>
      <c r="CZ1400" t="s">
        <v>7588</v>
      </c>
      <c r="DA1400">
        <v>45</v>
      </c>
      <c r="DB1400">
        <v>33.64</v>
      </c>
      <c r="DC1400">
        <v>19.239999999999998</v>
      </c>
      <c r="DD1400">
        <v>2.98</v>
      </c>
      <c r="DE1400">
        <v>18663</v>
      </c>
      <c r="DF1400">
        <v>3816</v>
      </c>
      <c r="DG1400" t="s">
        <v>116</v>
      </c>
      <c r="DH1400" t="s">
        <v>116</v>
      </c>
      <c r="DI1400" t="s">
        <v>116</v>
      </c>
    </row>
    <row r="1401" spans="1:113" x14ac:dyDescent="0.4">
      <c r="A1401" t="str">
        <f>"300001"</f>
        <v>300001</v>
      </c>
      <c r="B1401" t="s">
        <v>7589</v>
      </c>
      <c r="C1401">
        <v>-2.72</v>
      </c>
      <c r="D1401">
        <v>17.510000000000002</v>
      </c>
      <c r="E1401">
        <v>-0.49</v>
      </c>
      <c r="F1401">
        <v>17.510000000000002</v>
      </c>
      <c r="G1401">
        <v>17.52</v>
      </c>
      <c r="H1401">
        <v>131408</v>
      </c>
      <c r="I1401">
        <v>1035</v>
      </c>
      <c r="J1401">
        <v>-0.16</v>
      </c>
      <c r="K1401">
        <v>1.43</v>
      </c>
      <c r="L1401">
        <v>18.21</v>
      </c>
      <c r="M1401">
        <v>18.28</v>
      </c>
      <c r="N1401">
        <v>17.48</v>
      </c>
      <c r="O1401">
        <v>18</v>
      </c>
      <c r="P1401">
        <v>84.35</v>
      </c>
      <c r="Q1401">
        <v>233398080</v>
      </c>
      <c r="R1401">
        <v>0.94</v>
      </c>
      <c r="S1401" t="s">
        <v>397</v>
      </c>
      <c r="T1401" t="s">
        <v>645</v>
      </c>
      <c r="U1401">
        <v>4.4400000000000004</v>
      </c>
      <c r="V1401">
        <v>17.760000000000002</v>
      </c>
      <c r="W1401">
        <v>76862</v>
      </c>
      <c r="X1401">
        <v>54546</v>
      </c>
      <c r="Y1401">
        <v>1.41</v>
      </c>
      <c r="Z1401">
        <v>16</v>
      </c>
      <c r="AA1401">
        <v>272</v>
      </c>
      <c r="AB1401" t="s">
        <v>116</v>
      </c>
      <c r="AC1401">
        <v>872300</v>
      </c>
      <c r="AD1401">
        <v>0.01</v>
      </c>
      <c r="AE1401" t="s">
        <v>116</v>
      </c>
      <c r="AF1401" t="s">
        <v>116</v>
      </c>
      <c r="AG1401">
        <v>9.2200000000000006</v>
      </c>
      <c r="AH1401" t="s">
        <v>7590</v>
      </c>
      <c r="AI1401" t="s">
        <v>7591</v>
      </c>
      <c r="AJ1401">
        <v>-2.04</v>
      </c>
      <c r="AK1401">
        <v>3100</v>
      </c>
      <c r="AL1401">
        <v>42</v>
      </c>
      <c r="AM1401">
        <v>5.0000000000000001E-4</v>
      </c>
      <c r="AN1401">
        <v>-1</v>
      </c>
      <c r="AO1401">
        <v>1.8</v>
      </c>
      <c r="AP1401">
        <v>9.16</v>
      </c>
      <c r="AQ1401">
        <v>7.49</v>
      </c>
      <c r="AR1401">
        <v>-0.06</v>
      </c>
      <c r="AS1401">
        <v>2.86</v>
      </c>
      <c r="AT1401" t="s">
        <v>7592</v>
      </c>
      <c r="AU1401">
        <v>91.63</v>
      </c>
      <c r="AV1401">
        <v>97.59</v>
      </c>
      <c r="AW1401">
        <v>0.94</v>
      </c>
      <c r="BA1401">
        <v>1.17</v>
      </c>
      <c r="BB1401">
        <v>1.56</v>
      </c>
      <c r="BC1401">
        <v>-2.89</v>
      </c>
      <c r="BD1401">
        <v>-1.33</v>
      </c>
      <c r="BE1401">
        <v>-3.84</v>
      </c>
      <c r="BF1401">
        <v>-4.21</v>
      </c>
      <c r="BG1401">
        <v>0.17</v>
      </c>
      <c r="BH1401">
        <v>-1.4</v>
      </c>
      <c r="BI1401">
        <v>20191026</v>
      </c>
      <c r="BJ1401">
        <v>20091030</v>
      </c>
      <c r="BK1401">
        <v>9.98</v>
      </c>
      <c r="BL1401" t="s">
        <v>116</v>
      </c>
      <c r="BM1401" t="s">
        <v>116</v>
      </c>
      <c r="BN1401">
        <v>139</v>
      </c>
      <c r="BO1401">
        <v>32.35</v>
      </c>
      <c r="BP1401">
        <v>4.0999999999999996</v>
      </c>
      <c r="BQ1401">
        <v>73.78</v>
      </c>
      <c r="BR1401">
        <v>83.12</v>
      </c>
      <c r="BS1401">
        <v>25.29</v>
      </c>
      <c r="BT1401">
        <v>7.04</v>
      </c>
      <c r="BU1401">
        <v>90.46</v>
      </c>
      <c r="BV1401">
        <v>10.92</v>
      </c>
      <c r="BW1401">
        <v>47.97</v>
      </c>
      <c r="BX1401">
        <v>8.41</v>
      </c>
      <c r="BY1401">
        <v>40.04</v>
      </c>
      <c r="BZ1401">
        <v>29.55</v>
      </c>
      <c r="CA1401">
        <v>1.21</v>
      </c>
      <c r="CB1401">
        <v>1.04</v>
      </c>
      <c r="CC1401">
        <v>1.1599999999999999</v>
      </c>
      <c r="CD1401">
        <v>1.21</v>
      </c>
      <c r="CE1401">
        <v>1.55</v>
      </c>
      <c r="CF1401">
        <v>1.33</v>
      </c>
      <c r="CG1401">
        <v>12.54</v>
      </c>
      <c r="CH1401">
        <v>-0.56999999999999995</v>
      </c>
      <c r="CI1401">
        <v>-1.47</v>
      </c>
      <c r="CJ1401">
        <v>36796</v>
      </c>
      <c r="CK1401">
        <v>12482</v>
      </c>
      <c r="CL1401" t="s">
        <v>7593</v>
      </c>
      <c r="CM1401">
        <v>8.11</v>
      </c>
      <c r="CN1401">
        <v>2.86</v>
      </c>
      <c r="CO1401">
        <v>5.4</v>
      </c>
      <c r="CP1401">
        <v>-308.3</v>
      </c>
      <c r="CQ1401">
        <v>4.3600000000000003</v>
      </c>
      <c r="CR1401">
        <v>0.06</v>
      </c>
      <c r="CS1401" t="s">
        <v>829</v>
      </c>
      <c r="CT1401">
        <v>3.24</v>
      </c>
      <c r="CU1401">
        <v>0</v>
      </c>
      <c r="CV1401">
        <v>0.84</v>
      </c>
      <c r="CW1401">
        <v>1.26</v>
      </c>
      <c r="CX1401">
        <v>-0.06</v>
      </c>
      <c r="CY1401">
        <v>23.27</v>
      </c>
      <c r="CZ1401" t="s">
        <v>7594</v>
      </c>
      <c r="DA1401">
        <v>26.2</v>
      </c>
      <c r="DB1401">
        <v>3.03</v>
      </c>
      <c r="DC1401">
        <v>3.88</v>
      </c>
      <c r="DD1401">
        <v>1.71</v>
      </c>
      <c r="DE1401">
        <v>5445</v>
      </c>
      <c r="DF1401">
        <v>300001</v>
      </c>
      <c r="DG1401" t="s">
        <v>116</v>
      </c>
      <c r="DH1401" t="s">
        <v>116</v>
      </c>
      <c r="DI1401" t="s">
        <v>116</v>
      </c>
    </row>
    <row r="1402" spans="1:113" x14ac:dyDescent="0.4">
      <c r="A1402" t="str">
        <f>"300002"</f>
        <v>300002</v>
      </c>
      <c r="B1402" t="s">
        <v>7595</v>
      </c>
      <c r="C1402">
        <v>-0.3</v>
      </c>
      <c r="D1402">
        <v>3.28</v>
      </c>
      <c r="E1402">
        <v>-0.01</v>
      </c>
      <c r="F1402">
        <v>3.27</v>
      </c>
      <c r="G1402">
        <v>3.28</v>
      </c>
      <c r="H1402">
        <v>235390</v>
      </c>
      <c r="I1402">
        <v>4989</v>
      </c>
      <c r="J1402">
        <v>0.31</v>
      </c>
      <c r="K1402">
        <v>1.66</v>
      </c>
      <c r="L1402">
        <v>3.31</v>
      </c>
      <c r="M1402">
        <v>3.35</v>
      </c>
      <c r="N1402">
        <v>3.27</v>
      </c>
      <c r="O1402">
        <v>3.29</v>
      </c>
      <c r="P1402" t="s">
        <v>116</v>
      </c>
      <c r="Q1402">
        <v>77822320</v>
      </c>
      <c r="R1402">
        <v>1.21</v>
      </c>
      <c r="S1402" t="s">
        <v>607</v>
      </c>
      <c r="T1402" t="s">
        <v>165</v>
      </c>
      <c r="U1402">
        <v>2.4300000000000002</v>
      </c>
      <c r="V1402">
        <v>3.31</v>
      </c>
      <c r="W1402">
        <v>120144</v>
      </c>
      <c r="X1402">
        <v>115246</v>
      </c>
      <c r="Y1402">
        <v>1.04</v>
      </c>
      <c r="Z1402">
        <v>2637</v>
      </c>
      <c r="AA1402">
        <v>6869</v>
      </c>
      <c r="AB1402" t="s">
        <v>116</v>
      </c>
      <c r="AC1402">
        <v>419000</v>
      </c>
      <c r="AD1402">
        <v>0.01</v>
      </c>
      <c r="AE1402" t="s">
        <v>116</v>
      </c>
      <c r="AF1402" t="s">
        <v>116</v>
      </c>
      <c r="AG1402">
        <v>14.15</v>
      </c>
      <c r="AH1402" t="s">
        <v>7596</v>
      </c>
      <c r="AI1402" t="s">
        <v>7597</v>
      </c>
      <c r="AJ1402">
        <v>0.37</v>
      </c>
      <c r="AK1402">
        <v>1986</v>
      </c>
      <c r="AL1402">
        <v>119</v>
      </c>
      <c r="AM1402">
        <v>8.0000000000000004E-4</v>
      </c>
      <c r="AN1402">
        <v>-1</v>
      </c>
      <c r="AO1402">
        <v>0</v>
      </c>
      <c r="AP1402">
        <v>3.8</v>
      </c>
      <c r="AQ1402">
        <v>-9.89</v>
      </c>
      <c r="AR1402">
        <v>-0.61</v>
      </c>
      <c r="AS1402">
        <v>1.73</v>
      </c>
      <c r="AT1402" t="s">
        <v>7598</v>
      </c>
      <c r="AU1402" t="s">
        <v>116</v>
      </c>
      <c r="AV1402">
        <v>80.16</v>
      </c>
      <c r="AW1402">
        <v>1.74</v>
      </c>
      <c r="BA1402">
        <v>0.61</v>
      </c>
      <c r="BB1402">
        <v>1.82</v>
      </c>
      <c r="BC1402">
        <v>-0.61</v>
      </c>
      <c r="BD1402">
        <v>0.49</v>
      </c>
      <c r="BE1402">
        <v>-0.91</v>
      </c>
      <c r="BF1402">
        <v>-2.09</v>
      </c>
      <c r="BG1402">
        <v>0.31</v>
      </c>
      <c r="BH1402">
        <v>-0.79</v>
      </c>
      <c r="BI1402">
        <v>20191030</v>
      </c>
      <c r="BJ1402">
        <v>20091030</v>
      </c>
      <c r="BK1402">
        <v>19.61</v>
      </c>
      <c r="BL1402" t="s">
        <v>116</v>
      </c>
      <c r="BM1402" t="s">
        <v>116</v>
      </c>
      <c r="BN1402">
        <v>64.8</v>
      </c>
      <c r="BO1402">
        <v>49.27</v>
      </c>
      <c r="BP1402">
        <v>0.06</v>
      </c>
      <c r="BQ1402">
        <v>23.87</v>
      </c>
      <c r="BR1402">
        <v>23.84</v>
      </c>
      <c r="BS1402">
        <v>3.94</v>
      </c>
      <c r="BT1402">
        <v>4.13</v>
      </c>
      <c r="BU1402">
        <v>14.47</v>
      </c>
      <c r="BV1402">
        <v>1.94</v>
      </c>
      <c r="BW1402">
        <v>9.44</v>
      </c>
      <c r="BX1402">
        <v>4.21</v>
      </c>
      <c r="BY1402">
        <v>10.81</v>
      </c>
      <c r="BZ1402">
        <v>3.18</v>
      </c>
      <c r="CA1402">
        <v>-3.15</v>
      </c>
      <c r="CB1402">
        <v>0.01</v>
      </c>
      <c r="CC1402">
        <v>-3.18</v>
      </c>
      <c r="CD1402">
        <v>-2.98</v>
      </c>
      <c r="CE1402">
        <v>-2.97</v>
      </c>
      <c r="CF1402">
        <v>-3.08</v>
      </c>
      <c r="CG1402">
        <v>23.03</v>
      </c>
      <c r="CH1402">
        <v>-0.02</v>
      </c>
      <c r="CI1402">
        <v>0.6</v>
      </c>
      <c r="CJ1402">
        <v>58110</v>
      </c>
      <c r="CK1402">
        <v>23422</v>
      </c>
      <c r="CL1402" t="s">
        <v>6849</v>
      </c>
      <c r="CM1402">
        <v>-93.2</v>
      </c>
      <c r="CN1402">
        <v>4.71</v>
      </c>
      <c r="CO1402">
        <v>1.31</v>
      </c>
      <c r="CP1402">
        <v>-3960.83</v>
      </c>
      <c r="CQ1402">
        <v>5.95</v>
      </c>
      <c r="CR1402">
        <v>0</v>
      </c>
      <c r="CS1402" t="s">
        <v>7599</v>
      </c>
      <c r="CT1402">
        <v>2.5099999999999998</v>
      </c>
      <c r="CU1402">
        <v>0</v>
      </c>
      <c r="CV1402">
        <v>0.21</v>
      </c>
      <c r="CW1402">
        <v>1.17</v>
      </c>
      <c r="CX1402">
        <v>0</v>
      </c>
      <c r="CY1402">
        <v>76.040000000000006</v>
      </c>
      <c r="CZ1402" t="s">
        <v>7600</v>
      </c>
      <c r="DA1402">
        <v>70.56</v>
      </c>
      <c r="DB1402">
        <v>-29.16</v>
      </c>
      <c r="DC1402">
        <v>-27.44</v>
      </c>
      <c r="DD1402">
        <v>1.61</v>
      </c>
      <c r="DE1402">
        <v>3583</v>
      </c>
      <c r="DF1402">
        <v>300002</v>
      </c>
      <c r="DG1402" t="s">
        <v>116</v>
      </c>
      <c r="DH1402" t="s">
        <v>116</v>
      </c>
      <c r="DI1402" t="s">
        <v>116</v>
      </c>
    </row>
    <row r="1403" spans="1:113" x14ac:dyDescent="0.4">
      <c r="A1403" t="str">
        <f>"300003"</f>
        <v>300003</v>
      </c>
      <c r="B1403" t="s">
        <v>7601</v>
      </c>
      <c r="C1403">
        <v>-3.24</v>
      </c>
      <c r="D1403">
        <v>32</v>
      </c>
      <c r="E1403">
        <v>-1.07</v>
      </c>
      <c r="F1403">
        <v>31.99</v>
      </c>
      <c r="G1403">
        <v>32</v>
      </c>
      <c r="H1403">
        <v>233998</v>
      </c>
      <c r="I1403">
        <v>2684</v>
      </c>
      <c r="J1403">
        <v>-0.11</v>
      </c>
      <c r="K1403">
        <v>1.54</v>
      </c>
      <c r="L1403">
        <v>33</v>
      </c>
      <c r="M1403">
        <v>33.25</v>
      </c>
      <c r="N1403">
        <v>31.98</v>
      </c>
      <c r="O1403">
        <v>33.07</v>
      </c>
      <c r="P1403">
        <v>26.52</v>
      </c>
      <c r="Q1403">
        <v>761034816</v>
      </c>
      <c r="R1403">
        <v>1.48</v>
      </c>
      <c r="S1403" t="s">
        <v>559</v>
      </c>
      <c r="T1403" t="s">
        <v>165</v>
      </c>
      <c r="U1403">
        <v>3.84</v>
      </c>
      <c r="V1403">
        <v>32.520000000000003</v>
      </c>
      <c r="W1403">
        <v>129429</v>
      </c>
      <c r="X1403">
        <v>104569</v>
      </c>
      <c r="Y1403">
        <v>1.24</v>
      </c>
      <c r="Z1403">
        <v>641</v>
      </c>
      <c r="AA1403">
        <v>765</v>
      </c>
      <c r="AB1403" t="s">
        <v>116</v>
      </c>
      <c r="AC1403">
        <v>1399200</v>
      </c>
      <c r="AD1403">
        <v>0</v>
      </c>
      <c r="AE1403" t="s">
        <v>116</v>
      </c>
      <c r="AF1403" t="s">
        <v>116</v>
      </c>
      <c r="AG1403">
        <v>15.15</v>
      </c>
      <c r="AH1403" t="s">
        <v>7602</v>
      </c>
      <c r="AI1403" t="s">
        <v>7603</v>
      </c>
      <c r="AJ1403">
        <v>-2.56</v>
      </c>
      <c r="AK1403">
        <v>4143</v>
      </c>
      <c r="AL1403">
        <v>56</v>
      </c>
      <c r="AM1403">
        <v>4.0000000000000002E-4</v>
      </c>
      <c r="AN1403">
        <v>-2</v>
      </c>
      <c r="AO1403">
        <v>-3.85</v>
      </c>
      <c r="AP1403">
        <v>-0.84</v>
      </c>
      <c r="AQ1403">
        <v>25.1</v>
      </c>
      <c r="AR1403">
        <v>54.99</v>
      </c>
      <c r="AS1403">
        <v>2.2000000000000002</v>
      </c>
      <c r="AT1403" t="s">
        <v>7604</v>
      </c>
      <c r="AU1403">
        <v>33.79</v>
      </c>
      <c r="AV1403">
        <v>46.78</v>
      </c>
      <c r="AW1403">
        <v>1.05</v>
      </c>
      <c r="BA1403">
        <v>-0.21</v>
      </c>
      <c r="BB1403">
        <v>0.54</v>
      </c>
      <c r="BC1403">
        <v>-3.3</v>
      </c>
      <c r="BD1403">
        <v>-1.65</v>
      </c>
      <c r="BE1403">
        <v>-3.03</v>
      </c>
      <c r="BF1403">
        <v>-3.76</v>
      </c>
      <c r="BG1403">
        <v>0.06</v>
      </c>
      <c r="BH1403">
        <v>-1.58</v>
      </c>
      <c r="BI1403">
        <v>20191026</v>
      </c>
      <c r="BJ1403">
        <v>20091030</v>
      </c>
      <c r="BK1403">
        <v>17.82</v>
      </c>
      <c r="BL1403" t="s">
        <v>116</v>
      </c>
      <c r="BM1403" t="s">
        <v>116</v>
      </c>
      <c r="BN1403">
        <v>162.31</v>
      </c>
      <c r="BO1403">
        <v>74.62</v>
      </c>
      <c r="BP1403">
        <v>4.26</v>
      </c>
      <c r="BQ1403">
        <v>51.4</v>
      </c>
      <c r="BR1403">
        <v>61.29</v>
      </c>
      <c r="BS1403">
        <v>14.72</v>
      </c>
      <c r="BT1403">
        <v>17.64</v>
      </c>
      <c r="BU1403">
        <v>45.52</v>
      </c>
      <c r="BV1403">
        <v>9.5299999999999994</v>
      </c>
      <c r="BW1403">
        <v>22.95</v>
      </c>
      <c r="BX1403">
        <v>0.64</v>
      </c>
      <c r="BY1403">
        <v>58.8</v>
      </c>
      <c r="BZ1403">
        <v>16.09</v>
      </c>
      <c r="CA1403">
        <v>18.329999999999998</v>
      </c>
      <c r="CB1403">
        <v>0.37</v>
      </c>
      <c r="CC1403">
        <v>19.05</v>
      </c>
      <c r="CD1403">
        <v>16.16</v>
      </c>
      <c r="CE1403">
        <v>16.12</v>
      </c>
      <c r="CF1403">
        <v>13.29</v>
      </c>
      <c r="CG1403">
        <v>53.64</v>
      </c>
      <c r="CH1403">
        <v>12.81</v>
      </c>
      <c r="CI1403">
        <v>-2.27</v>
      </c>
      <c r="CJ1403">
        <v>48643</v>
      </c>
      <c r="CK1403">
        <v>21836</v>
      </c>
      <c r="CL1403" t="s">
        <v>7605</v>
      </c>
      <c r="CM1403">
        <v>40.99</v>
      </c>
      <c r="CN1403">
        <v>28.25</v>
      </c>
      <c r="CO1403">
        <v>7.64</v>
      </c>
      <c r="CP1403">
        <v>44.51</v>
      </c>
      <c r="CQ1403">
        <v>9.6999999999999993</v>
      </c>
      <c r="CR1403">
        <v>0.51</v>
      </c>
      <c r="CS1403" t="s">
        <v>7606</v>
      </c>
      <c r="CT1403">
        <v>4.1900000000000004</v>
      </c>
      <c r="CU1403">
        <v>0</v>
      </c>
      <c r="CV1403">
        <v>0.04</v>
      </c>
      <c r="CW1403">
        <v>3.01</v>
      </c>
      <c r="CX1403">
        <v>0.72</v>
      </c>
      <c r="CY1403">
        <v>45.97</v>
      </c>
      <c r="CZ1403" t="s">
        <v>7607</v>
      </c>
      <c r="DA1403">
        <v>72.64</v>
      </c>
      <c r="DB1403">
        <v>31.18</v>
      </c>
      <c r="DC1403">
        <v>27.42</v>
      </c>
      <c r="DD1403">
        <v>3.57</v>
      </c>
      <c r="DE1403">
        <v>7689</v>
      </c>
      <c r="DF1403">
        <v>300003</v>
      </c>
      <c r="DG1403" t="s">
        <v>116</v>
      </c>
      <c r="DH1403" t="s">
        <v>116</v>
      </c>
      <c r="DI1403" t="s">
        <v>116</v>
      </c>
    </row>
    <row r="1404" spans="1:113" x14ac:dyDescent="0.4">
      <c r="A1404" t="str">
        <f>"300004"</f>
        <v>300004</v>
      </c>
      <c r="B1404" t="s">
        <v>7608</v>
      </c>
      <c r="C1404">
        <v>-3.59</v>
      </c>
      <c r="D1404">
        <v>6.44</v>
      </c>
      <c r="E1404">
        <v>-0.24</v>
      </c>
      <c r="F1404">
        <v>6.43</v>
      </c>
      <c r="G1404">
        <v>6.44</v>
      </c>
      <c r="H1404">
        <v>96247</v>
      </c>
      <c r="I1404">
        <v>1868</v>
      </c>
      <c r="J1404">
        <v>-0.15</v>
      </c>
      <c r="K1404">
        <v>2.4500000000000002</v>
      </c>
      <c r="L1404">
        <v>6.7</v>
      </c>
      <c r="M1404">
        <v>6.73</v>
      </c>
      <c r="N1404">
        <v>6.43</v>
      </c>
      <c r="O1404">
        <v>6.68</v>
      </c>
      <c r="P1404">
        <v>66.47</v>
      </c>
      <c r="Q1404">
        <v>63240540</v>
      </c>
      <c r="R1404">
        <v>0.79</v>
      </c>
      <c r="S1404" t="s">
        <v>397</v>
      </c>
      <c r="T1404" t="s">
        <v>551</v>
      </c>
      <c r="U1404">
        <v>4.49</v>
      </c>
      <c r="V1404">
        <v>6.57</v>
      </c>
      <c r="W1404">
        <v>64586</v>
      </c>
      <c r="X1404">
        <v>31661</v>
      </c>
      <c r="Y1404">
        <v>2.04</v>
      </c>
      <c r="Z1404">
        <v>397</v>
      </c>
      <c r="AA1404">
        <v>272</v>
      </c>
      <c r="AB1404" t="s">
        <v>116</v>
      </c>
      <c r="AC1404">
        <v>280700</v>
      </c>
      <c r="AD1404">
        <v>0.02</v>
      </c>
      <c r="AE1404" t="s">
        <v>116</v>
      </c>
      <c r="AF1404" t="s">
        <v>116</v>
      </c>
      <c r="AG1404">
        <v>3.92</v>
      </c>
      <c r="AH1404" t="s">
        <v>6835</v>
      </c>
      <c r="AI1404" t="s">
        <v>7609</v>
      </c>
      <c r="AJ1404">
        <v>-2.91</v>
      </c>
      <c r="AK1404">
        <v>1658</v>
      </c>
      <c r="AL1404">
        <v>58</v>
      </c>
      <c r="AM1404">
        <v>1.5E-3</v>
      </c>
      <c r="AN1404">
        <v>-1</v>
      </c>
      <c r="AO1404">
        <v>-2.2799999999999998</v>
      </c>
      <c r="AP1404">
        <v>11.42</v>
      </c>
      <c r="AQ1404">
        <v>47.37</v>
      </c>
      <c r="AR1404">
        <v>79.39</v>
      </c>
      <c r="AS1404">
        <v>3.56</v>
      </c>
      <c r="AT1404" t="s">
        <v>7610</v>
      </c>
      <c r="AU1404" t="s">
        <v>116</v>
      </c>
      <c r="AV1404" t="s">
        <v>116</v>
      </c>
      <c r="AW1404">
        <v>0.6</v>
      </c>
      <c r="BA1404">
        <v>0.3</v>
      </c>
      <c r="BB1404">
        <v>0.75</v>
      </c>
      <c r="BC1404">
        <v>-3.74</v>
      </c>
      <c r="BD1404">
        <v>-1.64</v>
      </c>
      <c r="BE1404">
        <v>-3.88</v>
      </c>
      <c r="BF1404">
        <v>-4.3099999999999996</v>
      </c>
      <c r="BG1404">
        <v>0.16</v>
      </c>
      <c r="BH1404">
        <v>-1.96</v>
      </c>
      <c r="BI1404">
        <v>20191026</v>
      </c>
      <c r="BJ1404">
        <v>20091030</v>
      </c>
      <c r="BK1404">
        <v>4.8</v>
      </c>
      <c r="BL1404" t="s">
        <v>116</v>
      </c>
      <c r="BM1404" t="s">
        <v>116</v>
      </c>
      <c r="BN1404">
        <v>27.81</v>
      </c>
      <c r="BO1404">
        <v>19.989999999999998</v>
      </c>
      <c r="BP1404">
        <v>0.03</v>
      </c>
      <c r="BQ1404">
        <v>28.03</v>
      </c>
      <c r="BR1404">
        <v>15.13</v>
      </c>
      <c r="BS1404">
        <v>8.36</v>
      </c>
      <c r="BT1404">
        <v>1.6</v>
      </c>
      <c r="BU1404">
        <v>4.24</v>
      </c>
      <c r="BV1404">
        <v>7.56</v>
      </c>
      <c r="BW1404">
        <v>5.09</v>
      </c>
      <c r="BX1404">
        <v>20.43</v>
      </c>
      <c r="BY1404">
        <v>5.28</v>
      </c>
      <c r="BZ1404">
        <v>3.9</v>
      </c>
      <c r="CA1404">
        <v>0.35</v>
      </c>
      <c r="CB1404">
        <v>0.01</v>
      </c>
      <c r="CC1404">
        <v>0.4</v>
      </c>
      <c r="CD1404">
        <v>0.33</v>
      </c>
      <c r="CE1404">
        <v>0.35</v>
      </c>
      <c r="CF1404">
        <v>0.24</v>
      </c>
      <c r="CG1404">
        <v>-5.83</v>
      </c>
      <c r="CH1404">
        <v>0.94</v>
      </c>
      <c r="CI1404">
        <v>0.04</v>
      </c>
      <c r="CJ1404">
        <v>21054</v>
      </c>
      <c r="CK1404">
        <v>12855</v>
      </c>
      <c r="CL1404" t="s">
        <v>750</v>
      </c>
      <c r="CM1404">
        <v>165.44</v>
      </c>
      <c r="CN1404">
        <v>-0.26</v>
      </c>
      <c r="CO1404">
        <v>1.55</v>
      </c>
      <c r="CP1404">
        <v>33.01</v>
      </c>
      <c r="CQ1404">
        <v>5.86</v>
      </c>
      <c r="CR1404">
        <v>0</v>
      </c>
      <c r="CS1404" t="s">
        <v>1012</v>
      </c>
      <c r="CT1404">
        <v>4.16</v>
      </c>
      <c r="CU1404">
        <v>0</v>
      </c>
      <c r="CV1404">
        <v>4.26</v>
      </c>
      <c r="CW1404">
        <v>-1.21</v>
      </c>
      <c r="CX1404">
        <v>0.2</v>
      </c>
      <c r="CY1404">
        <v>71.87</v>
      </c>
      <c r="CZ1404" t="s">
        <v>7611</v>
      </c>
      <c r="DA1404">
        <v>26.1</v>
      </c>
      <c r="DB1404">
        <v>6.6</v>
      </c>
      <c r="DC1404">
        <v>6.61</v>
      </c>
      <c r="DD1404">
        <v>0.21</v>
      </c>
      <c r="DE1404">
        <v>1100</v>
      </c>
      <c r="DF1404">
        <v>300004</v>
      </c>
      <c r="DG1404" t="s">
        <v>116</v>
      </c>
      <c r="DH1404" t="s">
        <v>116</v>
      </c>
      <c r="DI1404" t="s">
        <v>116</v>
      </c>
    </row>
    <row r="1405" spans="1:113" x14ac:dyDescent="0.4">
      <c r="A1405" t="str">
        <f>"300005"</f>
        <v>300005</v>
      </c>
      <c r="B1405" t="s">
        <v>7612</v>
      </c>
      <c r="C1405">
        <v>0</v>
      </c>
      <c r="D1405">
        <v>4.21</v>
      </c>
      <c r="E1405">
        <v>0</v>
      </c>
      <c r="F1405">
        <v>4.2</v>
      </c>
      <c r="G1405">
        <v>4.21</v>
      </c>
      <c r="H1405">
        <v>158592</v>
      </c>
      <c r="I1405">
        <v>5523</v>
      </c>
      <c r="J1405">
        <v>-0.23</v>
      </c>
      <c r="K1405">
        <v>2.39</v>
      </c>
      <c r="L1405">
        <v>4.21</v>
      </c>
      <c r="M1405">
        <v>4.34</v>
      </c>
      <c r="N1405">
        <v>4.21</v>
      </c>
      <c r="O1405">
        <v>4.21</v>
      </c>
      <c r="P1405">
        <v>28.29</v>
      </c>
      <c r="Q1405">
        <v>67602152</v>
      </c>
      <c r="R1405">
        <v>0.68</v>
      </c>
      <c r="S1405" t="s">
        <v>3070</v>
      </c>
      <c r="T1405" t="s">
        <v>165</v>
      </c>
      <c r="U1405">
        <v>3.09</v>
      </c>
      <c r="V1405">
        <v>4.26</v>
      </c>
      <c r="W1405">
        <v>82619</v>
      </c>
      <c r="X1405">
        <v>75973</v>
      </c>
      <c r="Y1405">
        <v>1.0900000000000001</v>
      </c>
      <c r="Z1405">
        <v>3020</v>
      </c>
      <c r="AA1405">
        <v>3507</v>
      </c>
      <c r="AB1405" t="s">
        <v>116</v>
      </c>
      <c r="AC1405">
        <v>257200</v>
      </c>
      <c r="AD1405">
        <v>0.01</v>
      </c>
      <c r="AE1405" t="s">
        <v>116</v>
      </c>
      <c r="AF1405" t="s">
        <v>116</v>
      </c>
      <c r="AG1405">
        <v>6.62</v>
      </c>
      <c r="AH1405" t="s">
        <v>4004</v>
      </c>
      <c r="AI1405" t="s">
        <v>1717</v>
      </c>
      <c r="AJ1405">
        <v>0.68</v>
      </c>
      <c r="AK1405">
        <v>1610</v>
      </c>
      <c r="AL1405">
        <v>99</v>
      </c>
      <c r="AM1405">
        <v>1.5E-3</v>
      </c>
      <c r="AN1405">
        <v>0</v>
      </c>
      <c r="AO1405">
        <v>-2.31</v>
      </c>
      <c r="AP1405">
        <v>17.27</v>
      </c>
      <c r="AQ1405">
        <v>-4.32</v>
      </c>
      <c r="AR1405">
        <v>28.75</v>
      </c>
      <c r="AS1405">
        <v>2.77</v>
      </c>
      <c r="AT1405" t="s">
        <v>6633</v>
      </c>
      <c r="AU1405" t="s">
        <v>116</v>
      </c>
      <c r="AV1405" t="s">
        <v>116</v>
      </c>
      <c r="AW1405">
        <v>1.0900000000000001</v>
      </c>
      <c r="BA1405">
        <v>0</v>
      </c>
      <c r="BB1405">
        <v>3.09</v>
      </c>
      <c r="BC1405">
        <v>0</v>
      </c>
      <c r="BD1405">
        <v>1.25</v>
      </c>
      <c r="BE1405">
        <v>0</v>
      </c>
      <c r="BF1405">
        <v>-3</v>
      </c>
      <c r="BG1405">
        <v>0</v>
      </c>
      <c r="BH1405">
        <v>-1.25</v>
      </c>
      <c r="BI1405">
        <v>20191225</v>
      </c>
      <c r="BJ1405">
        <v>20091030</v>
      </c>
      <c r="BK1405">
        <v>8.91</v>
      </c>
      <c r="BL1405" t="s">
        <v>116</v>
      </c>
      <c r="BM1405" t="s">
        <v>116</v>
      </c>
      <c r="BN1405">
        <v>29.6</v>
      </c>
      <c r="BO1405">
        <v>24.24</v>
      </c>
      <c r="BP1405">
        <v>0.31</v>
      </c>
      <c r="BQ1405">
        <v>17.059999999999999</v>
      </c>
      <c r="BR1405">
        <v>25.72</v>
      </c>
      <c r="BS1405">
        <v>1.84</v>
      </c>
      <c r="BT1405">
        <v>0.13</v>
      </c>
      <c r="BU1405">
        <v>5</v>
      </c>
      <c r="BV1405">
        <v>5.17</v>
      </c>
      <c r="BW1405">
        <v>6.45</v>
      </c>
      <c r="BX1405">
        <v>9.6199999999999992</v>
      </c>
      <c r="BY1405">
        <v>9.8699999999999992</v>
      </c>
      <c r="BZ1405">
        <v>5.97</v>
      </c>
      <c r="CA1405">
        <v>1.25</v>
      </c>
      <c r="CB1405">
        <v>7.0000000000000007E-2</v>
      </c>
      <c r="CC1405">
        <v>1.27</v>
      </c>
      <c r="CD1405">
        <v>1</v>
      </c>
      <c r="CE1405">
        <v>0.99</v>
      </c>
      <c r="CF1405">
        <v>0.31</v>
      </c>
      <c r="CG1405">
        <v>4.41</v>
      </c>
      <c r="CH1405">
        <v>-2.0499999999999998</v>
      </c>
      <c r="CI1405">
        <v>-0.5</v>
      </c>
      <c r="CJ1405">
        <v>35443</v>
      </c>
      <c r="CK1405">
        <v>16166</v>
      </c>
      <c r="CL1405" t="s">
        <v>4875</v>
      </c>
      <c r="CM1405">
        <v>293.22000000000003</v>
      </c>
      <c r="CN1405">
        <v>-20.55</v>
      </c>
      <c r="CO1405">
        <v>1.55</v>
      </c>
      <c r="CP1405">
        <v>-18.350000000000001</v>
      </c>
      <c r="CQ1405">
        <v>3.8</v>
      </c>
      <c r="CR1405">
        <v>0</v>
      </c>
      <c r="CS1405" t="s">
        <v>2261</v>
      </c>
      <c r="CT1405">
        <v>2.72</v>
      </c>
      <c r="CU1405">
        <v>0</v>
      </c>
      <c r="CV1405">
        <v>1.08</v>
      </c>
      <c r="CW1405">
        <v>0.49</v>
      </c>
      <c r="CX1405">
        <v>-0.23</v>
      </c>
      <c r="CY1405">
        <v>81.900000000000006</v>
      </c>
      <c r="CZ1405" t="s">
        <v>4488</v>
      </c>
      <c r="DA1405">
        <v>39.47</v>
      </c>
      <c r="DB1405">
        <v>12.72</v>
      </c>
      <c r="DC1405">
        <v>10.08</v>
      </c>
      <c r="DD1405">
        <v>0.28000000000000003</v>
      </c>
      <c r="DE1405">
        <v>1721</v>
      </c>
      <c r="DF1405">
        <v>300005</v>
      </c>
      <c r="DG1405" t="s">
        <v>116</v>
      </c>
      <c r="DH1405" t="s">
        <v>116</v>
      </c>
      <c r="DI1405" t="s">
        <v>116</v>
      </c>
    </row>
    <row r="1406" spans="1:113" x14ac:dyDescent="0.4">
      <c r="A1406" t="str">
        <f>"300006"</f>
        <v>300006</v>
      </c>
      <c r="B1406" t="s">
        <v>7613</v>
      </c>
      <c r="C1406">
        <v>4.46</v>
      </c>
      <c r="D1406">
        <v>5.86</v>
      </c>
      <c r="E1406">
        <v>0.25</v>
      </c>
      <c r="F1406">
        <v>5.85</v>
      </c>
      <c r="G1406">
        <v>5.86</v>
      </c>
      <c r="H1406">
        <v>302510</v>
      </c>
      <c r="I1406">
        <v>1974</v>
      </c>
      <c r="J1406">
        <v>0.17</v>
      </c>
      <c r="K1406">
        <v>4.51</v>
      </c>
      <c r="L1406">
        <v>5.65</v>
      </c>
      <c r="M1406">
        <v>5.97</v>
      </c>
      <c r="N1406">
        <v>5.63</v>
      </c>
      <c r="O1406">
        <v>5.61</v>
      </c>
      <c r="P1406">
        <v>46.94</v>
      </c>
      <c r="Q1406">
        <v>176721840</v>
      </c>
      <c r="R1406">
        <v>1.6</v>
      </c>
      <c r="S1406" t="s">
        <v>574</v>
      </c>
      <c r="T1406" t="s">
        <v>906</v>
      </c>
      <c r="U1406">
        <v>6.06</v>
      </c>
      <c r="V1406">
        <v>5.84</v>
      </c>
      <c r="W1406">
        <v>143957</v>
      </c>
      <c r="X1406">
        <v>158553</v>
      </c>
      <c r="Y1406">
        <v>0.91</v>
      </c>
      <c r="Z1406">
        <v>746</v>
      </c>
      <c r="AA1406">
        <v>2793</v>
      </c>
      <c r="AB1406" t="s">
        <v>116</v>
      </c>
      <c r="AC1406">
        <v>457100</v>
      </c>
      <c r="AD1406">
        <v>0.02</v>
      </c>
      <c r="AE1406" t="s">
        <v>116</v>
      </c>
      <c r="AF1406" t="s">
        <v>116</v>
      </c>
      <c r="AG1406">
        <v>6.71</v>
      </c>
      <c r="AH1406" t="s">
        <v>7614</v>
      </c>
      <c r="AI1406" t="s">
        <v>7615</v>
      </c>
      <c r="AJ1406">
        <v>5.14</v>
      </c>
      <c r="AK1406">
        <v>3192</v>
      </c>
      <c r="AL1406">
        <v>95</v>
      </c>
      <c r="AM1406">
        <v>1.4E-3</v>
      </c>
      <c r="AN1406">
        <v>5</v>
      </c>
      <c r="AO1406">
        <v>5.59</v>
      </c>
      <c r="AP1406">
        <v>19.84</v>
      </c>
      <c r="AQ1406">
        <v>30.51</v>
      </c>
      <c r="AR1406">
        <v>65.069999999999993</v>
      </c>
      <c r="AS1406">
        <v>5.77</v>
      </c>
      <c r="AT1406" t="s">
        <v>7616</v>
      </c>
      <c r="AU1406">
        <v>64.3</v>
      </c>
      <c r="AV1406">
        <v>48.57</v>
      </c>
      <c r="AW1406">
        <v>0.66</v>
      </c>
      <c r="BA1406">
        <v>0.71</v>
      </c>
      <c r="BB1406">
        <v>6.42</v>
      </c>
      <c r="BC1406">
        <v>0.36</v>
      </c>
      <c r="BD1406">
        <v>4.13</v>
      </c>
      <c r="BE1406">
        <v>3.72</v>
      </c>
      <c r="BF1406">
        <v>-1.84</v>
      </c>
      <c r="BG1406">
        <v>4.09</v>
      </c>
      <c r="BH1406">
        <v>0.32</v>
      </c>
      <c r="BI1406">
        <v>20191028</v>
      </c>
      <c r="BJ1406">
        <v>20091030</v>
      </c>
      <c r="BK1406">
        <v>8.1199999999999992</v>
      </c>
      <c r="BL1406" t="s">
        <v>116</v>
      </c>
      <c r="BM1406" t="s">
        <v>116</v>
      </c>
      <c r="BN1406">
        <v>36.03</v>
      </c>
      <c r="BO1406">
        <v>17.309999999999999</v>
      </c>
      <c r="BP1406">
        <v>0.83</v>
      </c>
      <c r="BQ1406">
        <v>49.64</v>
      </c>
      <c r="BR1406">
        <v>17.23</v>
      </c>
      <c r="BS1406">
        <v>6.19</v>
      </c>
      <c r="BT1406">
        <v>2.11</v>
      </c>
      <c r="BU1406">
        <v>17.14</v>
      </c>
      <c r="BV1406">
        <v>2.64</v>
      </c>
      <c r="BW1406">
        <v>5.91</v>
      </c>
      <c r="BX1406">
        <v>5.78</v>
      </c>
      <c r="BY1406">
        <v>12.99</v>
      </c>
      <c r="BZ1406">
        <v>3.97</v>
      </c>
      <c r="CA1406">
        <v>0.83</v>
      </c>
      <c r="CB1406">
        <v>0.05</v>
      </c>
      <c r="CC1406">
        <v>0.82</v>
      </c>
      <c r="CD1406">
        <v>0.75</v>
      </c>
      <c r="CE1406">
        <v>0.76</v>
      </c>
      <c r="CF1406">
        <v>0.52</v>
      </c>
      <c r="CG1406">
        <v>2.86</v>
      </c>
      <c r="CH1406">
        <v>1.31</v>
      </c>
      <c r="CI1406">
        <v>-0.86</v>
      </c>
      <c r="CJ1406">
        <v>35837</v>
      </c>
      <c r="CK1406">
        <v>14620</v>
      </c>
      <c r="CL1406" t="s">
        <v>6925</v>
      </c>
      <c r="CM1406">
        <v>-23.97</v>
      </c>
      <c r="CN1406">
        <v>22.51</v>
      </c>
      <c r="CO1406">
        <v>2.75</v>
      </c>
      <c r="CP1406">
        <v>36.46</v>
      </c>
      <c r="CQ1406">
        <v>3.66</v>
      </c>
      <c r="CR1406">
        <v>0.85</v>
      </c>
      <c r="CS1406" t="s">
        <v>3590</v>
      </c>
      <c r="CT1406">
        <v>2.13</v>
      </c>
      <c r="CU1406">
        <v>0</v>
      </c>
      <c r="CV1406">
        <v>0.71</v>
      </c>
      <c r="CW1406">
        <v>0.35</v>
      </c>
      <c r="CX1406">
        <v>0.16</v>
      </c>
      <c r="CY1406">
        <v>48.04</v>
      </c>
      <c r="CZ1406" t="s">
        <v>4907</v>
      </c>
      <c r="DA1406">
        <v>69.44</v>
      </c>
      <c r="DB1406">
        <v>6.37</v>
      </c>
      <c r="DC1406">
        <v>5.85</v>
      </c>
      <c r="DD1406">
        <v>0.22</v>
      </c>
      <c r="DE1406">
        <v>1319</v>
      </c>
      <c r="DF1406">
        <v>300006</v>
      </c>
      <c r="DG1406" t="s">
        <v>116</v>
      </c>
      <c r="DH1406" t="s">
        <v>116</v>
      </c>
      <c r="DI1406" t="s">
        <v>116</v>
      </c>
    </row>
    <row r="1407" spans="1:113" x14ac:dyDescent="0.4">
      <c r="A1407" t="str">
        <f>"300007"</f>
        <v>300007</v>
      </c>
      <c r="B1407" t="s">
        <v>7617</v>
      </c>
      <c r="C1407">
        <v>-4.92</v>
      </c>
      <c r="D1407">
        <v>16.8</v>
      </c>
      <c r="E1407">
        <v>-0.87</v>
      </c>
      <c r="F1407">
        <v>16.79</v>
      </c>
      <c r="G1407">
        <v>16.8</v>
      </c>
      <c r="H1407">
        <v>238132</v>
      </c>
      <c r="I1407">
        <v>3087</v>
      </c>
      <c r="J1407">
        <v>0.12</v>
      </c>
      <c r="K1407">
        <v>10.07</v>
      </c>
      <c r="L1407">
        <v>17.48</v>
      </c>
      <c r="M1407">
        <v>17.59</v>
      </c>
      <c r="N1407">
        <v>16.71</v>
      </c>
      <c r="O1407">
        <v>17.670000000000002</v>
      </c>
      <c r="P1407">
        <v>30.52</v>
      </c>
      <c r="Q1407">
        <v>409598752</v>
      </c>
      <c r="R1407">
        <v>0.91</v>
      </c>
      <c r="S1407" t="s">
        <v>2977</v>
      </c>
      <c r="T1407" t="s">
        <v>652</v>
      </c>
      <c r="U1407">
        <v>4.9800000000000004</v>
      </c>
      <c r="V1407">
        <v>17.2</v>
      </c>
      <c r="W1407">
        <v>140342</v>
      </c>
      <c r="X1407">
        <v>97790</v>
      </c>
      <c r="Y1407">
        <v>1.44</v>
      </c>
      <c r="Z1407">
        <v>305</v>
      </c>
      <c r="AA1407">
        <v>149</v>
      </c>
      <c r="AB1407" t="s">
        <v>116</v>
      </c>
      <c r="AC1407">
        <v>3803600</v>
      </c>
      <c r="AD1407">
        <v>0.11</v>
      </c>
      <c r="AE1407" t="s">
        <v>116</v>
      </c>
      <c r="AF1407" t="s">
        <v>116</v>
      </c>
      <c r="AG1407">
        <v>2.37</v>
      </c>
      <c r="AH1407" t="s">
        <v>7618</v>
      </c>
      <c r="AI1407" t="s">
        <v>7619</v>
      </c>
      <c r="AJ1407">
        <v>-4.24</v>
      </c>
      <c r="AK1407">
        <v>3691</v>
      </c>
      <c r="AL1407">
        <v>65</v>
      </c>
      <c r="AM1407">
        <v>2.7000000000000001E-3</v>
      </c>
      <c r="AN1407">
        <v>-1</v>
      </c>
      <c r="AO1407">
        <v>0.66</v>
      </c>
      <c r="AP1407">
        <v>20.170000000000002</v>
      </c>
      <c r="AQ1407">
        <v>26.6</v>
      </c>
      <c r="AR1407">
        <v>71.52</v>
      </c>
      <c r="AS1407">
        <v>11.76</v>
      </c>
      <c r="AT1407" t="s">
        <v>4805</v>
      </c>
      <c r="AU1407">
        <v>53.47</v>
      </c>
      <c r="AV1407">
        <v>79.84</v>
      </c>
      <c r="AW1407">
        <v>1.81</v>
      </c>
      <c r="BA1407">
        <v>-1.08</v>
      </c>
      <c r="BB1407">
        <v>-0.45</v>
      </c>
      <c r="BC1407">
        <v>-5.43</v>
      </c>
      <c r="BD1407">
        <v>-2.66</v>
      </c>
      <c r="BE1407">
        <v>-3.89</v>
      </c>
      <c r="BF1407">
        <v>-4.49</v>
      </c>
      <c r="BG1407">
        <v>0.54</v>
      </c>
      <c r="BH1407">
        <v>-2.27</v>
      </c>
      <c r="BI1407">
        <v>20191107</v>
      </c>
      <c r="BJ1407">
        <v>20091030</v>
      </c>
      <c r="BK1407">
        <v>2.93</v>
      </c>
      <c r="BL1407" t="s">
        <v>116</v>
      </c>
      <c r="BM1407" t="s">
        <v>116</v>
      </c>
      <c r="BN1407">
        <v>50.6</v>
      </c>
      <c r="BO1407">
        <v>15.71</v>
      </c>
      <c r="BP1407">
        <v>6.05</v>
      </c>
      <c r="BQ1407">
        <v>57.01</v>
      </c>
      <c r="BR1407">
        <v>24.85</v>
      </c>
      <c r="BS1407">
        <v>9.0299999999999994</v>
      </c>
      <c r="BT1407">
        <v>5.18</v>
      </c>
      <c r="BU1407">
        <v>13.05</v>
      </c>
      <c r="BV1407">
        <v>5.17</v>
      </c>
      <c r="BW1407">
        <v>5.71</v>
      </c>
      <c r="BX1407">
        <v>5.97</v>
      </c>
      <c r="BY1407">
        <v>12.82</v>
      </c>
      <c r="BZ1407">
        <v>8.5500000000000007</v>
      </c>
      <c r="CA1407">
        <v>1.95</v>
      </c>
      <c r="CB1407">
        <v>0.15</v>
      </c>
      <c r="CC1407">
        <v>1.95</v>
      </c>
      <c r="CD1407">
        <v>1.64</v>
      </c>
      <c r="CE1407">
        <v>1.21</v>
      </c>
      <c r="CF1407">
        <v>0.67</v>
      </c>
      <c r="CG1407">
        <v>6.43</v>
      </c>
      <c r="CH1407">
        <v>0.99</v>
      </c>
      <c r="CI1407">
        <v>-3.02</v>
      </c>
      <c r="CJ1407">
        <v>25976</v>
      </c>
      <c r="CK1407">
        <v>7793</v>
      </c>
      <c r="CL1407" t="s">
        <v>3922</v>
      </c>
      <c r="CM1407">
        <v>33.58</v>
      </c>
      <c r="CN1407">
        <v>18.600000000000001</v>
      </c>
      <c r="CO1407">
        <v>3.13</v>
      </c>
      <c r="CP1407">
        <v>49.63</v>
      </c>
      <c r="CQ1407">
        <v>3.84</v>
      </c>
      <c r="CR1407">
        <v>0.09</v>
      </c>
      <c r="CS1407" t="s">
        <v>7620</v>
      </c>
      <c r="CT1407">
        <v>5.36</v>
      </c>
      <c r="CU1407">
        <v>0</v>
      </c>
      <c r="CV1407">
        <v>2.04</v>
      </c>
      <c r="CW1407">
        <v>2.2000000000000002</v>
      </c>
      <c r="CX1407">
        <v>0.34</v>
      </c>
      <c r="CY1407">
        <v>31.04</v>
      </c>
      <c r="CZ1407" t="s">
        <v>7621</v>
      </c>
      <c r="DA1407">
        <v>33.270000000000003</v>
      </c>
      <c r="DB1407">
        <v>15.21</v>
      </c>
      <c r="DC1407">
        <v>9.44</v>
      </c>
      <c r="DD1407">
        <v>0.84</v>
      </c>
      <c r="DE1407">
        <v>2202</v>
      </c>
      <c r="DF1407">
        <v>300007</v>
      </c>
      <c r="DG1407" t="s">
        <v>116</v>
      </c>
      <c r="DH1407" t="s">
        <v>116</v>
      </c>
      <c r="DI1407" t="s">
        <v>116</v>
      </c>
    </row>
    <row r="1408" spans="1:113" x14ac:dyDescent="0.4">
      <c r="A1408" t="str">
        <f>"300008"</f>
        <v>300008</v>
      </c>
      <c r="B1408" t="s">
        <v>7622</v>
      </c>
      <c r="C1408">
        <v>-1.01</v>
      </c>
      <c r="D1408">
        <v>2.93</v>
      </c>
      <c r="E1408">
        <v>-0.03</v>
      </c>
      <c r="F1408">
        <v>2.93</v>
      </c>
      <c r="G1408">
        <v>2.94</v>
      </c>
      <c r="H1408">
        <v>123567</v>
      </c>
      <c r="I1408">
        <v>4175</v>
      </c>
      <c r="J1408">
        <v>-0.33</v>
      </c>
      <c r="K1408">
        <v>2.0499999999999998</v>
      </c>
      <c r="L1408">
        <v>2.96</v>
      </c>
      <c r="M1408">
        <v>2.99</v>
      </c>
      <c r="N1408">
        <v>2.93</v>
      </c>
      <c r="O1408">
        <v>2.96</v>
      </c>
      <c r="P1408" t="s">
        <v>116</v>
      </c>
      <c r="Q1408">
        <v>36604444</v>
      </c>
      <c r="R1408">
        <v>0.95</v>
      </c>
      <c r="S1408" t="s">
        <v>7623</v>
      </c>
      <c r="T1408" t="s">
        <v>1653</v>
      </c>
      <c r="U1408">
        <v>2.0299999999999998</v>
      </c>
      <c r="V1408">
        <v>2.96</v>
      </c>
      <c r="W1408">
        <v>66611</v>
      </c>
      <c r="X1408">
        <v>56956</v>
      </c>
      <c r="Y1408">
        <v>1.17</v>
      </c>
      <c r="Z1408">
        <v>2446</v>
      </c>
      <c r="AA1408">
        <v>528</v>
      </c>
      <c r="AB1408" t="s">
        <v>116</v>
      </c>
      <c r="AC1408">
        <v>187400</v>
      </c>
      <c r="AD1408">
        <v>0.01</v>
      </c>
      <c r="AE1408" t="s">
        <v>116</v>
      </c>
      <c r="AF1408" t="s">
        <v>116</v>
      </c>
      <c r="AG1408">
        <v>6.02</v>
      </c>
      <c r="AH1408" t="s">
        <v>3362</v>
      </c>
      <c r="AI1408" t="s">
        <v>7624</v>
      </c>
      <c r="AJ1408">
        <v>-0.33</v>
      </c>
      <c r="AK1408">
        <v>1413</v>
      </c>
      <c r="AL1408">
        <v>87</v>
      </c>
      <c r="AM1408">
        <v>1.5E-3</v>
      </c>
      <c r="AN1408">
        <v>-1</v>
      </c>
      <c r="AO1408">
        <v>-0.34</v>
      </c>
      <c r="AP1408">
        <v>3.9</v>
      </c>
      <c r="AQ1408">
        <v>-8.44</v>
      </c>
      <c r="AR1408">
        <v>13.13</v>
      </c>
      <c r="AS1408">
        <v>2.16</v>
      </c>
      <c r="AT1408" t="s">
        <v>4388</v>
      </c>
      <c r="AU1408" t="s">
        <v>116</v>
      </c>
      <c r="AV1408" t="s">
        <v>116</v>
      </c>
      <c r="AW1408">
        <v>0.68</v>
      </c>
      <c r="BA1408">
        <v>0</v>
      </c>
      <c r="BB1408">
        <v>1.01</v>
      </c>
      <c r="BC1408">
        <v>-1.01</v>
      </c>
      <c r="BD1408">
        <v>0.08</v>
      </c>
      <c r="BE1408">
        <v>-1.01</v>
      </c>
      <c r="BF1408">
        <v>-2.0099999999999998</v>
      </c>
      <c r="BG1408">
        <v>0</v>
      </c>
      <c r="BH1408">
        <v>-1.0900000000000001</v>
      </c>
      <c r="BI1408">
        <v>20191223</v>
      </c>
      <c r="BJ1408">
        <v>20091030</v>
      </c>
      <c r="BK1408">
        <v>9.6</v>
      </c>
      <c r="BL1408" t="s">
        <v>116</v>
      </c>
      <c r="BM1408" t="s">
        <v>116</v>
      </c>
      <c r="BN1408">
        <v>21.82</v>
      </c>
      <c r="BO1408">
        <v>6.78</v>
      </c>
      <c r="BP1408">
        <v>0.01</v>
      </c>
      <c r="BQ1408">
        <v>68.88</v>
      </c>
      <c r="BR1408">
        <v>14.78</v>
      </c>
      <c r="BS1408">
        <v>3.9</v>
      </c>
      <c r="BT1408">
        <v>1.1100000000000001</v>
      </c>
      <c r="BU1408">
        <v>14.92</v>
      </c>
      <c r="BV1408">
        <v>5.45</v>
      </c>
      <c r="BW1408">
        <v>7.64</v>
      </c>
      <c r="BX1408">
        <v>11.63</v>
      </c>
      <c r="BY1408">
        <v>4.8899999999999997</v>
      </c>
      <c r="BZ1408">
        <v>4.42</v>
      </c>
      <c r="CA1408">
        <v>-0.59</v>
      </c>
      <c r="CB1408">
        <v>-0.01</v>
      </c>
      <c r="CC1408">
        <v>-0.72</v>
      </c>
      <c r="CD1408">
        <v>-0.77</v>
      </c>
      <c r="CE1408">
        <v>-0.75</v>
      </c>
      <c r="CF1408">
        <v>-0.63</v>
      </c>
      <c r="CG1408">
        <v>-14.88</v>
      </c>
      <c r="CH1408">
        <v>-0.47</v>
      </c>
      <c r="CI1408">
        <v>-0.52</v>
      </c>
      <c r="CJ1408">
        <v>65330</v>
      </c>
      <c r="CK1408">
        <v>8740</v>
      </c>
      <c r="CL1408" t="s">
        <v>6845</v>
      </c>
      <c r="CM1408">
        <v>94.37</v>
      </c>
      <c r="CN1408">
        <v>-40.57</v>
      </c>
      <c r="CO1408">
        <v>4.1500000000000004</v>
      </c>
      <c r="CP1408">
        <v>-59.48</v>
      </c>
      <c r="CQ1408">
        <v>5.75</v>
      </c>
      <c r="CR1408">
        <v>0</v>
      </c>
      <c r="CS1408" t="s">
        <v>7625</v>
      </c>
      <c r="CT1408">
        <v>0.71</v>
      </c>
      <c r="CU1408">
        <v>0</v>
      </c>
      <c r="CV1408">
        <v>1.21</v>
      </c>
      <c r="CW1408">
        <v>-1.55</v>
      </c>
      <c r="CX1408">
        <v>-0.05</v>
      </c>
      <c r="CY1408">
        <v>31.06</v>
      </c>
      <c r="CZ1408" t="s">
        <v>7626</v>
      </c>
      <c r="DA1408">
        <v>9.6300000000000008</v>
      </c>
      <c r="DB1408">
        <v>-12.01</v>
      </c>
      <c r="DC1408">
        <v>-15.24</v>
      </c>
      <c r="DD1408">
        <v>0.21</v>
      </c>
      <c r="DE1408">
        <v>1082</v>
      </c>
      <c r="DF1408">
        <v>300008</v>
      </c>
      <c r="DG1408" t="s">
        <v>116</v>
      </c>
      <c r="DH1408" t="s">
        <v>116</v>
      </c>
      <c r="DI1408" t="s">
        <v>116</v>
      </c>
    </row>
    <row r="1409" spans="1:113" x14ac:dyDescent="0.4">
      <c r="A1409" t="str">
        <f>"300009"</f>
        <v>300009</v>
      </c>
      <c r="B1409" t="s">
        <v>7627</v>
      </c>
      <c r="C1409">
        <v>-0.87</v>
      </c>
      <c r="D1409">
        <v>14.81</v>
      </c>
      <c r="E1409">
        <v>-0.13</v>
      </c>
      <c r="F1409">
        <v>14.81</v>
      </c>
      <c r="G1409">
        <v>14.82</v>
      </c>
      <c r="H1409">
        <v>61158</v>
      </c>
      <c r="I1409">
        <v>596</v>
      </c>
      <c r="J1409">
        <v>0</v>
      </c>
      <c r="K1409">
        <v>0.89</v>
      </c>
      <c r="L1409">
        <v>14.9</v>
      </c>
      <c r="M1409">
        <v>14.98</v>
      </c>
      <c r="N1409">
        <v>14.8</v>
      </c>
      <c r="O1409">
        <v>14.94</v>
      </c>
      <c r="P1409">
        <v>45.41</v>
      </c>
      <c r="Q1409">
        <v>91126840</v>
      </c>
      <c r="R1409">
        <v>1.02</v>
      </c>
      <c r="S1409" t="s">
        <v>132</v>
      </c>
      <c r="T1409" t="s">
        <v>575</v>
      </c>
      <c r="U1409">
        <v>1.2</v>
      </c>
      <c r="V1409">
        <v>14.9</v>
      </c>
      <c r="W1409">
        <v>38502</v>
      </c>
      <c r="X1409">
        <v>22656</v>
      </c>
      <c r="Y1409">
        <v>1.7</v>
      </c>
      <c r="Z1409">
        <v>103</v>
      </c>
      <c r="AA1409">
        <v>255</v>
      </c>
      <c r="AB1409" t="s">
        <v>116</v>
      </c>
      <c r="AC1409">
        <v>447000</v>
      </c>
      <c r="AD1409">
        <v>0.01</v>
      </c>
      <c r="AE1409" t="s">
        <v>116</v>
      </c>
      <c r="AF1409" t="s">
        <v>116</v>
      </c>
      <c r="AG1409">
        <v>6.87</v>
      </c>
      <c r="AH1409" t="s">
        <v>7628</v>
      </c>
      <c r="AI1409" t="s">
        <v>7629</v>
      </c>
      <c r="AJ1409">
        <v>-0.19</v>
      </c>
      <c r="AK1409">
        <v>2026</v>
      </c>
      <c r="AL1409">
        <v>30</v>
      </c>
      <c r="AM1409">
        <v>4.0000000000000002E-4</v>
      </c>
      <c r="AN1409">
        <v>-6</v>
      </c>
      <c r="AO1409">
        <v>-1.21</v>
      </c>
      <c r="AP1409">
        <v>-0.94</v>
      </c>
      <c r="AQ1409">
        <v>-2.44</v>
      </c>
      <c r="AR1409">
        <v>12.11</v>
      </c>
      <c r="AS1409">
        <v>1.02</v>
      </c>
      <c r="AT1409" t="s">
        <v>7630</v>
      </c>
      <c r="AU1409">
        <v>53.91</v>
      </c>
      <c r="AV1409">
        <v>59.11</v>
      </c>
      <c r="AW1409">
        <v>0.56999999999999995</v>
      </c>
      <c r="BA1409">
        <v>-0.27</v>
      </c>
      <c r="BB1409">
        <v>0.27</v>
      </c>
      <c r="BC1409">
        <v>-0.94</v>
      </c>
      <c r="BD1409">
        <v>-0.27</v>
      </c>
      <c r="BE1409">
        <v>-0.6</v>
      </c>
      <c r="BF1409">
        <v>-1.1299999999999999</v>
      </c>
      <c r="BG1409">
        <v>7.0000000000000007E-2</v>
      </c>
      <c r="BH1409">
        <v>-0.6</v>
      </c>
      <c r="BI1409">
        <v>20191225</v>
      </c>
      <c r="BJ1409">
        <v>20091030</v>
      </c>
      <c r="BK1409">
        <v>10.5</v>
      </c>
      <c r="BL1409" t="s">
        <v>116</v>
      </c>
      <c r="BM1409" t="s">
        <v>116</v>
      </c>
      <c r="BN1409">
        <v>32.46</v>
      </c>
      <c r="BO1409">
        <v>27.64</v>
      </c>
      <c r="BP1409">
        <v>0.86</v>
      </c>
      <c r="BQ1409">
        <v>12.21</v>
      </c>
      <c r="BR1409">
        <v>13.51</v>
      </c>
      <c r="BS1409">
        <v>4.79</v>
      </c>
      <c r="BT1409">
        <v>1.42</v>
      </c>
      <c r="BU1409">
        <v>2.8</v>
      </c>
      <c r="BV1409">
        <v>1.34</v>
      </c>
      <c r="BW1409">
        <v>3.51</v>
      </c>
      <c r="BX1409">
        <v>7.55</v>
      </c>
      <c r="BY1409">
        <v>11.63</v>
      </c>
      <c r="BZ1409">
        <v>2.35</v>
      </c>
      <c r="CA1409">
        <v>2.94</v>
      </c>
      <c r="CB1409">
        <v>-7.0000000000000007E-2</v>
      </c>
      <c r="CC1409">
        <v>2.93</v>
      </c>
      <c r="CD1409">
        <v>2.54</v>
      </c>
      <c r="CE1409">
        <v>2.57</v>
      </c>
      <c r="CF1409">
        <v>2.48</v>
      </c>
      <c r="CG1409">
        <v>8.34</v>
      </c>
      <c r="CH1409">
        <v>1.34</v>
      </c>
      <c r="CI1409">
        <v>-0.67</v>
      </c>
      <c r="CJ1409">
        <v>40300</v>
      </c>
      <c r="CK1409">
        <v>14857</v>
      </c>
      <c r="CL1409" t="s">
        <v>7631</v>
      </c>
      <c r="CM1409">
        <v>10.95</v>
      </c>
      <c r="CN1409">
        <v>14.24</v>
      </c>
      <c r="CO1409">
        <v>5.63</v>
      </c>
      <c r="CP1409">
        <v>115.91</v>
      </c>
      <c r="CQ1409">
        <v>13.37</v>
      </c>
      <c r="CR1409">
        <v>1.01</v>
      </c>
      <c r="CS1409" t="s">
        <v>3774</v>
      </c>
      <c r="CT1409">
        <v>2.63</v>
      </c>
      <c r="CU1409">
        <v>0</v>
      </c>
      <c r="CV1409">
        <v>0.72</v>
      </c>
      <c r="CW1409">
        <v>0.79</v>
      </c>
      <c r="CX1409">
        <v>0.13</v>
      </c>
      <c r="CY1409">
        <v>85.15</v>
      </c>
      <c r="CZ1409" t="s">
        <v>7632</v>
      </c>
      <c r="DA1409">
        <v>79.819999999999993</v>
      </c>
      <c r="DB1409">
        <v>25.24</v>
      </c>
      <c r="DC1409">
        <v>22.09</v>
      </c>
      <c r="DD1409">
        <v>0.79</v>
      </c>
      <c r="DE1409">
        <v>1993</v>
      </c>
      <c r="DF1409">
        <v>300009</v>
      </c>
      <c r="DG1409" t="s">
        <v>116</v>
      </c>
      <c r="DH1409" t="s">
        <v>116</v>
      </c>
      <c r="DI1409" t="s">
        <v>116</v>
      </c>
    </row>
    <row r="1410" spans="1:113" x14ac:dyDescent="0.4">
      <c r="A1410" t="str">
        <f>"300010"</f>
        <v>300010</v>
      </c>
      <c r="B1410" t="s">
        <v>7633</v>
      </c>
      <c r="C1410">
        <v>-2.58</v>
      </c>
      <c r="D1410">
        <v>12.44</v>
      </c>
      <c r="E1410">
        <v>-0.33</v>
      </c>
      <c r="F1410">
        <v>12.44</v>
      </c>
      <c r="G1410">
        <v>12.45</v>
      </c>
      <c r="H1410">
        <v>199395</v>
      </c>
      <c r="I1410">
        <v>3663</v>
      </c>
      <c r="J1410">
        <v>-0.39</v>
      </c>
      <c r="K1410">
        <v>2.82</v>
      </c>
      <c r="L1410">
        <v>12.76</v>
      </c>
      <c r="M1410">
        <v>12.92</v>
      </c>
      <c r="N1410">
        <v>12.43</v>
      </c>
      <c r="O1410">
        <v>12.77</v>
      </c>
      <c r="P1410">
        <v>136.12</v>
      </c>
      <c r="Q1410">
        <v>252277312</v>
      </c>
      <c r="R1410">
        <v>0.61</v>
      </c>
      <c r="S1410" t="s">
        <v>607</v>
      </c>
      <c r="T1410" t="s">
        <v>165</v>
      </c>
      <c r="U1410">
        <v>3.84</v>
      </c>
      <c r="V1410">
        <v>12.65</v>
      </c>
      <c r="W1410">
        <v>111373</v>
      </c>
      <c r="X1410">
        <v>88022</v>
      </c>
      <c r="Y1410">
        <v>1.27</v>
      </c>
      <c r="Z1410">
        <v>162</v>
      </c>
      <c r="AA1410">
        <v>519</v>
      </c>
      <c r="AB1410" t="s">
        <v>116</v>
      </c>
      <c r="AC1410">
        <v>740100</v>
      </c>
      <c r="AD1410">
        <v>0.01</v>
      </c>
      <c r="AE1410" t="s">
        <v>116</v>
      </c>
      <c r="AF1410" t="s">
        <v>116</v>
      </c>
      <c r="AG1410">
        <v>7.07</v>
      </c>
      <c r="AH1410" t="s">
        <v>7634</v>
      </c>
      <c r="AI1410" t="s">
        <v>7635</v>
      </c>
      <c r="AJ1410">
        <v>-1.91</v>
      </c>
      <c r="AK1410">
        <v>3365</v>
      </c>
      <c r="AL1410">
        <v>59</v>
      </c>
      <c r="AM1410">
        <v>8.0000000000000004E-4</v>
      </c>
      <c r="AN1410">
        <v>-1</v>
      </c>
      <c r="AO1410">
        <v>-1.81</v>
      </c>
      <c r="AP1410">
        <v>19.27</v>
      </c>
      <c r="AQ1410">
        <v>35.22</v>
      </c>
      <c r="AR1410">
        <v>71.349999999999994</v>
      </c>
      <c r="AS1410">
        <v>3.1</v>
      </c>
      <c r="AT1410" t="s">
        <v>7636</v>
      </c>
      <c r="AU1410" t="s">
        <v>116</v>
      </c>
      <c r="AV1410" t="s">
        <v>116</v>
      </c>
      <c r="AW1410">
        <v>1.19</v>
      </c>
      <c r="BA1410">
        <v>-0.08</v>
      </c>
      <c r="BB1410">
        <v>1.17</v>
      </c>
      <c r="BC1410">
        <v>-2.66</v>
      </c>
      <c r="BD1410">
        <v>-0.92</v>
      </c>
      <c r="BE1410">
        <v>-2.5099999999999998</v>
      </c>
      <c r="BF1410">
        <v>-3.72</v>
      </c>
      <c r="BG1410">
        <v>0.08</v>
      </c>
      <c r="BH1410">
        <v>-1.66</v>
      </c>
      <c r="BI1410">
        <v>20191206</v>
      </c>
      <c r="BJ1410">
        <v>20091030</v>
      </c>
      <c r="BK1410">
        <v>8.68</v>
      </c>
      <c r="BL1410" t="s">
        <v>116</v>
      </c>
      <c r="BM1410" t="s">
        <v>116</v>
      </c>
      <c r="BN1410">
        <v>71.209999999999994</v>
      </c>
      <c r="BO1410">
        <v>33.61</v>
      </c>
      <c r="BP1410">
        <v>1.37</v>
      </c>
      <c r="BQ1410">
        <v>50.88</v>
      </c>
      <c r="BR1410">
        <v>25.86</v>
      </c>
      <c r="BS1410">
        <v>2.4900000000000002</v>
      </c>
      <c r="BT1410">
        <v>3.22</v>
      </c>
      <c r="BU1410">
        <v>27.27</v>
      </c>
      <c r="BV1410">
        <v>5.41</v>
      </c>
      <c r="BW1410">
        <v>8</v>
      </c>
      <c r="BX1410">
        <v>29.59</v>
      </c>
      <c r="BY1410">
        <v>13.25</v>
      </c>
      <c r="BZ1410">
        <v>8.01</v>
      </c>
      <c r="CA1410">
        <v>0.51</v>
      </c>
      <c r="CB1410">
        <v>-0.19</v>
      </c>
      <c r="CC1410">
        <v>0.49</v>
      </c>
      <c r="CD1410">
        <v>0.53</v>
      </c>
      <c r="CE1410">
        <v>0.6</v>
      </c>
      <c r="CF1410">
        <v>0.61</v>
      </c>
      <c r="CG1410">
        <v>-4.46</v>
      </c>
      <c r="CH1410">
        <v>-0.18</v>
      </c>
      <c r="CI1410">
        <v>-1.74</v>
      </c>
      <c r="CJ1410">
        <v>41696</v>
      </c>
      <c r="CK1410">
        <v>15436</v>
      </c>
      <c r="CL1410" t="s">
        <v>7637</v>
      </c>
      <c r="CM1410">
        <v>687.09</v>
      </c>
      <c r="CN1410">
        <v>20.52</v>
      </c>
      <c r="CO1410">
        <v>3.21</v>
      </c>
      <c r="CP1410">
        <v>-613.78</v>
      </c>
      <c r="CQ1410">
        <v>8.15</v>
      </c>
      <c r="CR1410">
        <v>0</v>
      </c>
      <c r="CS1410" t="s">
        <v>1395</v>
      </c>
      <c r="CT1410">
        <v>3.87</v>
      </c>
      <c r="CU1410">
        <v>0</v>
      </c>
      <c r="CV1410">
        <v>3.41</v>
      </c>
      <c r="CW1410">
        <v>-0.51</v>
      </c>
      <c r="CX1410">
        <v>-0.02</v>
      </c>
      <c r="CY1410">
        <v>47.2</v>
      </c>
      <c r="CZ1410" t="s">
        <v>7638</v>
      </c>
      <c r="DA1410">
        <v>39.549999999999997</v>
      </c>
      <c r="DB1410">
        <v>3.84</v>
      </c>
      <c r="DC1410">
        <v>4.49</v>
      </c>
      <c r="DD1410">
        <v>0.43</v>
      </c>
      <c r="DE1410">
        <v>2135</v>
      </c>
      <c r="DF1410">
        <v>300010</v>
      </c>
      <c r="DG1410" t="s">
        <v>116</v>
      </c>
      <c r="DH1410" t="s">
        <v>116</v>
      </c>
      <c r="DI1410" t="s">
        <v>116</v>
      </c>
    </row>
    <row r="1411" spans="1:113" x14ac:dyDescent="0.4">
      <c r="A1411" t="str">
        <f>"300011"</f>
        <v>300011</v>
      </c>
      <c r="B1411" t="s">
        <v>7639</v>
      </c>
      <c r="C1411">
        <v>-0.85</v>
      </c>
      <c r="D1411">
        <v>5.85</v>
      </c>
      <c r="E1411">
        <v>-0.05</v>
      </c>
      <c r="F1411">
        <v>5.84</v>
      </c>
      <c r="G1411">
        <v>5.85</v>
      </c>
      <c r="H1411">
        <v>45001</v>
      </c>
      <c r="I1411">
        <v>205</v>
      </c>
      <c r="J1411">
        <v>0</v>
      </c>
      <c r="K1411">
        <v>1.01</v>
      </c>
      <c r="L1411">
        <v>5.92</v>
      </c>
      <c r="M1411">
        <v>5.98</v>
      </c>
      <c r="N1411">
        <v>5.84</v>
      </c>
      <c r="O1411">
        <v>5.9</v>
      </c>
      <c r="P1411">
        <v>71.5</v>
      </c>
      <c r="Q1411">
        <v>26635614</v>
      </c>
      <c r="R1411">
        <v>1.22</v>
      </c>
      <c r="S1411" t="s">
        <v>164</v>
      </c>
      <c r="T1411" t="s">
        <v>165</v>
      </c>
      <c r="U1411">
        <v>2.37</v>
      </c>
      <c r="V1411">
        <v>5.92</v>
      </c>
      <c r="W1411">
        <v>24431</v>
      </c>
      <c r="X1411">
        <v>20570</v>
      </c>
      <c r="Y1411">
        <v>1.19</v>
      </c>
      <c r="Z1411">
        <v>426</v>
      </c>
      <c r="AA1411">
        <v>329</v>
      </c>
      <c r="AB1411" t="s">
        <v>116</v>
      </c>
      <c r="AC1411">
        <v>24900</v>
      </c>
      <c r="AD1411">
        <v>0</v>
      </c>
      <c r="AE1411" t="s">
        <v>116</v>
      </c>
      <c r="AF1411" t="s">
        <v>116</v>
      </c>
      <c r="AG1411">
        <v>4.4800000000000004</v>
      </c>
      <c r="AH1411" t="s">
        <v>4631</v>
      </c>
      <c r="AI1411" t="s">
        <v>6230</v>
      </c>
      <c r="AJ1411">
        <v>-0.17</v>
      </c>
      <c r="AK1411">
        <v>943</v>
      </c>
      <c r="AL1411">
        <v>48</v>
      </c>
      <c r="AM1411">
        <v>1.1000000000000001E-3</v>
      </c>
      <c r="AN1411">
        <v>-1</v>
      </c>
      <c r="AO1411">
        <v>-0.34</v>
      </c>
      <c r="AP1411">
        <v>-0.17</v>
      </c>
      <c r="AQ1411">
        <v>-0.85</v>
      </c>
      <c r="AR1411">
        <v>-3.31</v>
      </c>
      <c r="AS1411">
        <v>1.57</v>
      </c>
      <c r="AT1411" t="s">
        <v>2863</v>
      </c>
      <c r="AU1411" t="s">
        <v>116</v>
      </c>
      <c r="AV1411" t="s">
        <v>116</v>
      </c>
      <c r="AW1411">
        <v>0.97</v>
      </c>
      <c r="BA1411">
        <v>0.34</v>
      </c>
      <c r="BB1411">
        <v>1.36</v>
      </c>
      <c r="BC1411">
        <v>-1.02</v>
      </c>
      <c r="BD1411">
        <v>0.32</v>
      </c>
      <c r="BE1411">
        <v>-1.18</v>
      </c>
      <c r="BF1411">
        <v>-2.17</v>
      </c>
      <c r="BG1411">
        <v>0.17</v>
      </c>
      <c r="BH1411">
        <v>-1.17</v>
      </c>
      <c r="BI1411">
        <v>20191029</v>
      </c>
      <c r="BJ1411">
        <v>20091030</v>
      </c>
      <c r="BK1411">
        <v>5.59</v>
      </c>
      <c r="BL1411" t="s">
        <v>116</v>
      </c>
      <c r="BM1411" t="s">
        <v>116</v>
      </c>
      <c r="BN1411">
        <v>35.58</v>
      </c>
      <c r="BO1411">
        <v>19.34</v>
      </c>
      <c r="BP1411">
        <v>0.02</v>
      </c>
      <c r="BQ1411">
        <v>45.59</v>
      </c>
      <c r="BR1411">
        <v>20.48</v>
      </c>
      <c r="BS1411">
        <v>4.95</v>
      </c>
      <c r="BT1411">
        <v>2.54</v>
      </c>
      <c r="BU1411">
        <v>12.8</v>
      </c>
      <c r="BV1411">
        <v>4.17</v>
      </c>
      <c r="BW1411">
        <v>12.37</v>
      </c>
      <c r="BX1411">
        <v>11.72</v>
      </c>
      <c r="BY1411">
        <v>10.5</v>
      </c>
      <c r="BZ1411">
        <v>7.05</v>
      </c>
      <c r="CA1411">
        <v>0.28999999999999998</v>
      </c>
      <c r="CB1411">
        <v>-0.04</v>
      </c>
      <c r="CC1411">
        <v>0.37</v>
      </c>
      <c r="CD1411">
        <v>0.32</v>
      </c>
      <c r="CE1411">
        <v>0.34</v>
      </c>
      <c r="CF1411">
        <v>0.27</v>
      </c>
      <c r="CG1411">
        <v>1.49</v>
      </c>
      <c r="CH1411">
        <v>-0.1</v>
      </c>
      <c r="CI1411">
        <v>-0.49</v>
      </c>
      <c r="CJ1411">
        <v>27673</v>
      </c>
      <c r="CK1411">
        <v>10326</v>
      </c>
      <c r="CL1411" t="s">
        <v>1367</v>
      </c>
      <c r="CM1411">
        <v>9.73</v>
      </c>
      <c r="CN1411">
        <v>15.93</v>
      </c>
      <c r="CO1411">
        <v>1.69</v>
      </c>
      <c r="CP1411">
        <v>-315.95999999999998</v>
      </c>
      <c r="CQ1411">
        <v>3.11</v>
      </c>
      <c r="CR1411">
        <v>0</v>
      </c>
      <c r="CS1411" t="s">
        <v>6307</v>
      </c>
      <c r="CT1411">
        <v>3.46</v>
      </c>
      <c r="CU1411">
        <v>0</v>
      </c>
      <c r="CV1411">
        <v>2.1</v>
      </c>
      <c r="CW1411">
        <v>0.27</v>
      </c>
      <c r="CX1411">
        <v>-0.02</v>
      </c>
      <c r="CY1411">
        <v>54.35</v>
      </c>
      <c r="CZ1411" t="s">
        <v>7638</v>
      </c>
      <c r="DA1411">
        <v>32.85</v>
      </c>
      <c r="DB1411">
        <v>2.72</v>
      </c>
      <c r="DC1411">
        <v>3.27</v>
      </c>
      <c r="DD1411">
        <v>0.28000000000000003</v>
      </c>
      <c r="DE1411">
        <v>1838</v>
      </c>
      <c r="DF1411">
        <v>300011</v>
      </c>
      <c r="DG1411" t="s">
        <v>116</v>
      </c>
      <c r="DH1411" t="s">
        <v>116</v>
      </c>
      <c r="DI1411" t="s">
        <v>116</v>
      </c>
    </row>
    <row r="1412" spans="1:113" x14ac:dyDescent="0.4">
      <c r="A1412" t="str">
        <f>"300012"</f>
        <v>300012</v>
      </c>
      <c r="B1412" t="s">
        <v>7640</v>
      </c>
      <c r="C1412">
        <v>-1.01</v>
      </c>
      <c r="D1412">
        <v>14.75</v>
      </c>
      <c r="E1412">
        <v>-0.15</v>
      </c>
      <c r="F1412">
        <v>14.75</v>
      </c>
      <c r="G1412">
        <v>14.76</v>
      </c>
      <c r="H1412">
        <v>107935</v>
      </c>
      <c r="I1412">
        <v>1705</v>
      </c>
      <c r="J1412">
        <v>-0.33</v>
      </c>
      <c r="K1412">
        <v>0.72</v>
      </c>
      <c r="L1412">
        <v>14.88</v>
      </c>
      <c r="M1412">
        <v>15.02</v>
      </c>
      <c r="N1412">
        <v>14.66</v>
      </c>
      <c r="O1412">
        <v>14.9</v>
      </c>
      <c r="P1412">
        <v>50.9</v>
      </c>
      <c r="Q1412">
        <v>159909200</v>
      </c>
      <c r="R1412">
        <v>0.61</v>
      </c>
      <c r="S1412" t="s">
        <v>2977</v>
      </c>
      <c r="T1412" t="s">
        <v>115</v>
      </c>
      <c r="U1412">
        <v>2.42</v>
      </c>
      <c r="V1412">
        <v>14.82</v>
      </c>
      <c r="W1412">
        <v>61698</v>
      </c>
      <c r="X1412">
        <v>46237</v>
      </c>
      <c r="Y1412">
        <v>1.33</v>
      </c>
      <c r="Z1412">
        <v>243</v>
      </c>
      <c r="AA1412">
        <v>5</v>
      </c>
      <c r="AB1412" t="s">
        <v>116</v>
      </c>
      <c r="AC1412">
        <v>420800</v>
      </c>
      <c r="AD1412">
        <v>0</v>
      </c>
      <c r="AE1412" t="s">
        <v>116</v>
      </c>
      <c r="AF1412" t="s">
        <v>116</v>
      </c>
      <c r="AG1412">
        <v>15.06</v>
      </c>
      <c r="AH1412" t="s">
        <v>7641</v>
      </c>
      <c r="AI1412" t="s">
        <v>7642</v>
      </c>
      <c r="AJ1412">
        <v>-0.33</v>
      </c>
      <c r="AK1412">
        <v>3061</v>
      </c>
      <c r="AL1412">
        <v>35</v>
      </c>
      <c r="AM1412">
        <v>2.0000000000000001E-4</v>
      </c>
      <c r="AN1412">
        <v>-2</v>
      </c>
      <c r="AO1412">
        <v>-1.61</v>
      </c>
      <c r="AP1412">
        <v>8.6199999999999992</v>
      </c>
      <c r="AQ1412">
        <v>15.14</v>
      </c>
      <c r="AR1412">
        <v>126.4</v>
      </c>
      <c r="AS1412">
        <v>0.85</v>
      </c>
      <c r="AT1412" t="s">
        <v>3350</v>
      </c>
      <c r="AU1412">
        <v>52.16</v>
      </c>
      <c r="AV1412">
        <v>90.56</v>
      </c>
      <c r="AW1412">
        <v>0.87</v>
      </c>
      <c r="BA1412">
        <v>-0.13</v>
      </c>
      <c r="BB1412">
        <v>0.81</v>
      </c>
      <c r="BC1412">
        <v>-1.61</v>
      </c>
      <c r="BD1412">
        <v>-0.56999999999999995</v>
      </c>
      <c r="BE1412">
        <v>-0.87</v>
      </c>
      <c r="BF1412">
        <v>-1.8</v>
      </c>
      <c r="BG1412">
        <v>0.61</v>
      </c>
      <c r="BH1412">
        <v>-0.44</v>
      </c>
      <c r="BI1412">
        <v>20191029</v>
      </c>
      <c r="BJ1412">
        <v>20091030</v>
      </c>
      <c r="BK1412">
        <v>16.579999999999998</v>
      </c>
      <c r="BL1412" t="s">
        <v>116</v>
      </c>
      <c r="BM1412" t="s">
        <v>116</v>
      </c>
      <c r="BN1412">
        <v>39.18</v>
      </c>
      <c r="BO1412">
        <v>30.27</v>
      </c>
      <c r="BP1412">
        <v>0.6</v>
      </c>
      <c r="BQ1412">
        <v>21.22</v>
      </c>
      <c r="BR1412">
        <v>17.57</v>
      </c>
      <c r="BS1412">
        <v>11.21</v>
      </c>
      <c r="BT1412">
        <v>1.4</v>
      </c>
      <c r="BU1412">
        <v>7.2</v>
      </c>
      <c r="BV1412">
        <v>0.24</v>
      </c>
      <c r="BW1412">
        <v>8.25</v>
      </c>
      <c r="BX1412">
        <v>0.47</v>
      </c>
      <c r="BY1412">
        <v>22.03</v>
      </c>
      <c r="BZ1412">
        <v>10.79</v>
      </c>
      <c r="CA1412">
        <v>3.95</v>
      </c>
      <c r="CB1412">
        <v>0.72</v>
      </c>
      <c r="CC1412">
        <v>4.12</v>
      </c>
      <c r="CD1412">
        <v>3.69</v>
      </c>
      <c r="CE1412">
        <v>3.6</v>
      </c>
      <c r="CF1412">
        <v>2.56</v>
      </c>
      <c r="CG1412">
        <v>12.13</v>
      </c>
      <c r="CH1412">
        <v>2.83</v>
      </c>
      <c r="CI1412">
        <v>-4.22</v>
      </c>
      <c r="CJ1412">
        <v>29680</v>
      </c>
      <c r="CK1412">
        <v>43022</v>
      </c>
      <c r="CL1412" t="s">
        <v>7643</v>
      </c>
      <c r="CM1412">
        <v>123.09</v>
      </c>
      <c r="CN1412">
        <v>20.21</v>
      </c>
      <c r="CO1412">
        <v>8.08</v>
      </c>
      <c r="CP1412">
        <v>86.31</v>
      </c>
      <c r="CQ1412">
        <v>11.1</v>
      </c>
      <c r="CR1412">
        <v>0.24</v>
      </c>
      <c r="CS1412" t="s">
        <v>7644</v>
      </c>
      <c r="CT1412">
        <v>1.83</v>
      </c>
      <c r="CU1412">
        <v>0</v>
      </c>
      <c r="CV1412">
        <v>0.03</v>
      </c>
      <c r="CW1412">
        <v>0.73</v>
      </c>
      <c r="CX1412">
        <v>0.17</v>
      </c>
      <c r="CY1412">
        <v>77.25</v>
      </c>
      <c r="CZ1412" t="s">
        <v>7645</v>
      </c>
      <c r="DA1412">
        <v>51.05</v>
      </c>
      <c r="DB1412">
        <v>17.93</v>
      </c>
      <c r="DC1412">
        <v>16.350000000000001</v>
      </c>
      <c r="DD1412">
        <v>2.19</v>
      </c>
      <c r="DE1412">
        <v>8351</v>
      </c>
      <c r="DF1412">
        <v>300012</v>
      </c>
      <c r="DG1412" t="s">
        <v>116</v>
      </c>
      <c r="DH1412" t="s">
        <v>116</v>
      </c>
      <c r="DI1412" t="s">
        <v>116</v>
      </c>
    </row>
    <row r="1413" spans="1:113" x14ac:dyDescent="0.4">
      <c r="A1413" t="str">
        <f>"300013"</f>
        <v>300013</v>
      </c>
      <c r="B1413" t="s">
        <v>7646</v>
      </c>
      <c r="C1413">
        <v>0.82</v>
      </c>
      <c r="D1413">
        <v>8.57</v>
      </c>
      <c r="E1413">
        <v>7.0000000000000007E-2</v>
      </c>
      <c r="F1413">
        <v>8.56</v>
      </c>
      <c r="G1413">
        <v>8.57</v>
      </c>
      <c r="H1413">
        <v>34467</v>
      </c>
      <c r="I1413">
        <v>3247</v>
      </c>
      <c r="J1413">
        <v>1.3</v>
      </c>
      <c r="K1413">
        <v>0.84</v>
      </c>
      <c r="L1413">
        <v>8.52</v>
      </c>
      <c r="M1413">
        <v>8.58</v>
      </c>
      <c r="N1413">
        <v>8.24</v>
      </c>
      <c r="O1413">
        <v>8.5</v>
      </c>
      <c r="P1413">
        <v>138.77000000000001</v>
      </c>
      <c r="Q1413">
        <v>29051060</v>
      </c>
      <c r="R1413">
        <v>1.27</v>
      </c>
      <c r="S1413" t="s">
        <v>3113</v>
      </c>
      <c r="T1413" t="s">
        <v>323</v>
      </c>
      <c r="U1413">
        <v>4</v>
      </c>
      <c r="V1413">
        <v>8.43</v>
      </c>
      <c r="W1413">
        <v>17476</v>
      </c>
      <c r="X1413">
        <v>16991</v>
      </c>
      <c r="Y1413">
        <v>1.03</v>
      </c>
      <c r="Z1413">
        <v>5</v>
      </c>
      <c r="AA1413">
        <v>862</v>
      </c>
      <c r="AB1413" t="s">
        <v>116</v>
      </c>
      <c r="AC1413">
        <v>103100</v>
      </c>
      <c r="AD1413">
        <v>0</v>
      </c>
      <c r="AE1413" t="s">
        <v>116</v>
      </c>
      <c r="AF1413" t="s">
        <v>116</v>
      </c>
      <c r="AG1413">
        <v>4.09</v>
      </c>
      <c r="AH1413" t="s">
        <v>7647</v>
      </c>
      <c r="AI1413" t="s">
        <v>6311</v>
      </c>
      <c r="AJ1413">
        <v>1.5</v>
      </c>
      <c r="AK1413">
        <v>904</v>
      </c>
      <c r="AL1413">
        <v>38</v>
      </c>
      <c r="AM1413">
        <v>8.9999999999999998E-4</v>
      </c>
      <c r="AN1413">
        <v>4</v>
      </c>
      <c r="AO1413">
        <v>5.15</v>
      </c>
      <c r="AP1413">
        <v>16.12</v>
      </c>
      <c r="AQ1413">
        <v>-3.6</v>
      </c>
      <c r="AR1413">
        <v>40.98</v>
      </c>
      <c r="AS1413">
        <v>1.1399999999999999</v>
      </c>
      <c r="AT1413" t="s">
        <v>1270</v>
      </c>
      <c r="AU1413">
        <v>80.27</v>
      </c>
      <c r="AV1413">
        <v>59.27</v>
      </c>
      <c r="AW1413">
        <v>0.95</v>
      </c>
      <c r="BA1413">
        <v>0.24</v>
      </c>
      <c r="BB1413">
        <v>0.94</v>
      </c>
      <c r="BC1413">
        <v>-3.06</v>
      </c>
      <c r="BD1413">
        <v>-0.84</v>
      </c>
      <c r="BE1413">
        <v>0.59</v>
      </c>
      <c r="BF1413">
        <v>-0.12</v>
      </c>
      <c r="BG1413">
        <v>4</v>
      </c>
      <c r="BH1413">
        <v>1.66</v>
      </c>
      <c r="BI1413">
        <v>20191114</v>
      </c>
      <c r="BJ1413">
        <v>20091030</v>
      </c>
      <c r="BK1413">
        <v>4.47</v>
      </c>
      <c r="BL1413" t="s">
        <v>116</v>
      </c>
      <c r="BM1413" t="s">
        <v>116</v>
      </c>
      <c r="BN1413">
        <v>27.45</v>
      </c>
      <c r="BO1413">
        <v>14.34</v>
      </c>
      <c r="BP1413">
        <v>0.28000000000000003</v>
      </c>
      <c r="BQ1413">
        <v>46.72</v>
      </c>
      <c r="BR1413">
        <v>10.14</v>
      </c>
      <c r="BS1413">
        <v>5.29</v>
      </c>
      <c r="BT1413">
        <v>2.2799999999999998</v>
      </c>
      <c r="BU1413">
        <v>8.7799999999999994</v>
      </c>
      <c r="BV1413">
        <v>0.62</v>
      </c>
      <c r="BW1413">
        <v>6.42</v>
      </c>
      <c r="BX1413">
        <v>7.57</v>
      </c>
      <c r="BY1413">
        <v>6.91</v>
      </c>
      <c r="BZ1413">
        <v>4.54</v>
      </c>
      <c r="CA1413">
        <v>0.33</v>
      </c>
      <c r="CB1413">
        <v>0.13</v>
      </c>
      <c r="CC1413">
        <v>0.32</v>
      </c>
      <c r="CD1413">
        <v>0.23</v>
      </c>
      <c r="CE1413">
        <v>0.21</v>
      </c>
      <c r="CF1413">
        <v>0.01</v>
      </c>
      <c r="CG1413">
        <v>2.12</v>
      </c>
      <c r="CH1413">
        <v>0.16</v>
      </c>
      <c r="CI1413">
        <v>-0.32</v>
      </c>
      <c r="CJ1413">
        <v>12445</v>
      </c>
      <c r="CK1413">
        <v>24271</v>
      </c>
      <c r="CL1413" t="s">
        <v>7648</v>
      </c>
      <c r="CM1413">
        <v>-44.95</v>
      </c>
      <c r="CN1413">
        <v>-3.77</v>
      </c>
      <c r="CO1413">
        <v>2.67</v>
      </c>
      <c r="CP1413">
        <v>239.16</v>
      </c>
      <c r="CQ1413">
        <v>5.54</v>
      </c>
      <c r="CR1413">
        <v>0.17</v>
      </c>
      <c r="CS1413" t="s">
        <v>3798</v>
      </c>
      <c r="CT1413">
        <v>3.21</v>
      </c>
      <c r="CU1413">
        <v>0</v>
      </c>
      <c r="CV1413">
        <v>1.69</v>
      </c>
      <c r="CW1413">
        <v>0.47</v>
      </c>
      <c r="CX1413">
        <v>0.04</v>
      </c>
      <c r="CY1413">
        <v>52.26</v>
      </c>
      <c r="CZ1413" t="s">
        <v>7649</v>
      </c>
      <c r="DA1413">
        <v>34.340000000000003</v>
      </c>
      <c r="DB1413">
        <v>4.8</v>
      </c>
      <c r="DC1413">
        <v>3</v>
      </c>
      <c r="DD1413">
        <v>0.21</v>
      </c>
      <c r="DE1413">
        <v>3355</v>
      </c>
      <c r="DF1413">
        <v>300013</v>
      </c>
      <c r="DG1413" t="s">
        <v>116</v>
      </c>
      <c r="DH1413" t="s">
        <v>116</v>
      </c>
      <c r="DI1413" t="s">
        <v>116</v>
      </c>
    </row>
    <row r="1414" spans="1:113" x14ac:dyDescent="0.4">
      <c r="A1414" t="str">
        <f>"300014"</f>
        <v>300014</v>
      </c>
      <c r="B1414" t="s">
        <v>7650</v>
      </c>
      <c r="C1414">
        <v>-6.38</v>
      </c>
      <c r="D1414">
        <v>48.55</v>
      </c>
      <c r="E1414">
        <v>-3.31</v>
      </c>
      <c r="F1414">
        <v>48.54</v>
      </c>
      <c r="G1414">
        <v>48.55</v>
      </c>
      <c r="H1414">
        <v>480332</v>
      </c>
      <c r="I1414">
        <v>4343</v>
      </c>
      <c r="J1414">
        <v>-0.2</v>
      </c>
      <c r="K1414">
        <v>5.86</v>
      </c>
      <c r="L1414">
        <v>52.04</v>
      </c>
      <c r="M1414">
        <v>52.23</v>
      </c>
      <c r="N1414">
        <v>48.48</v>
      </c>
      <c r="O1414">
        <v>51.86</v>
      </c>
      <c r="P1414">
        <v>30.45</v>
      </c>
      <c r="Q1414">
        <v>2390488576</v>
      </c>
      <c r="R1414">
        <v>1.75</v>
      </c>
      <c r="S1414" t="s">
        <v>397</v>
      </c>
      <c r="T1414" t="s">
        <v>551</v>
      </c>
      <c r="U1414">
        <v>7.23</v>
      </c>
      <c r="V1414">
        <v>49.77</v>
      </c>
      <c r="W1414">
        <v>245560</v>
      </c>
      <c r="X1414">
        <v>234772</v>
      </c>
      <c r="Y1414">
        <v>1.05</v>
      </c>
      <c r="Z1414">
        <v>1328</v>
      </c>
      <c r="AA1414">
        <v>600</v>
      </c>
      <c r="AB1414" t="s">
        <v>116</v>
      </c>
      <c r="AC1414">
        <v>7363700</v>
      </c>
      <c r="AD1414">
        <v>0.03</v>
      </c>
      <c r="AE1414" t="s">
        <v>116</v>
      </c>
      <c r="AF1414" t="s">
        <v>116</v>
      </c>
      <c r="AG1414">
        <v>8.19</v>
      </c>
      <c r="AH1414" t="s">
        <v>7651</v>
      </c>
      <c r="AI1414" t="s">
        <v>7652</v>
      </c>
      <c r="AJ1414">
        <v>-5.7</v>
      </c>
      <c r="AK1414">
        <v>4672</v>
      </c>
      <c r="AL1414">
        <v>103</v>
      </c>
      <c r="AM1414">
        <v>1.2999999999999999E-3</v>
      </c>
      <c r="AN1414">
        <v>-3</v>
      </c>
      <c r="AO1414">
        <v>-10.5</v>
      </c>
      <c r="AP1414">
        <v>8.42</v>
      </c>
      <c r="AQ1414">
        <v>54.37</v>
      </c>
      <c r="AR1414">
        <v>208.84</v>
      </c>
      <c r="AS1414">
        <v>10.19</v>
      </c>
      <c r="AT1414" t="s">
        <v>7653</v>
      </c>
      <c r="AU1414">
        <v>34.83</v>
      </c>
      <c r="AV1414">
        <v>82.44</v>
      </c>
      <c r="AW1414">
        <v>1.57</v>
      </c>
      <c r="BA1414">
        <v>0.35</v>
      </c>
      <c r="BB1414">
        <v>0.71</v>
      </c>
      <c r="BC1414">
        <v>-6.52</v>
      </c>
      <c r="BD1414">
        <v>-4.04</v>
      </c>
      <c r="BE1414">
        <v>-6.71</v>
      </c>
      <c r="BF1414">
        <v>-7.05</v>
      </c>
      <c r="BG1414">
        <v>0.14000000000000001</v>
      </c>
      <c r="BH1414">
        <v>-2.35</v>
      </c>
      <c r="BI1414">
        <v>20191223</v>
      </c>
      <c r="BJ1414">
        <v>20091030</v>
      </c>
      <c r="BK1414">
        <v>9.69</v>
      </c>
      <c r="BL1414" t="s">
        <v>116</v>
      </c>
      <c r="BM1414" t="s">
        <v>116</v>
      </c>
      <c r="BN1414">
        <v>141.56</v>
      </c>
      <c r="BO1414">
        <v>71.900000000000006</v>
      </c>
      <c r="BP1414">
        <v>1.46</v>
      </c>
      <c r="BQ1414">
        <v>48.18</v>
      </c>
      <c r="BR1414">
        <v>74.16</v>
      </c>
      <c r="BS1414">
        <v>32.74</v>
      </c>
      <c r="BT1414">
        <v>3.46</v>
      </c>
      <c r="BU1414">
        <v>46.97</v>
      </c>
      <c r="BV1414">
        <v>9.77</v>
      </c>
      <c r="BW1414">
        <v>21.42</v>
      </c>
      <c r="BX1414">
        <v>33.76</v>
      </c>
      <c r="BY1414">
        <v>45.77</v>
      </c>
      <c r="BZ1414">
        <v>32.51</v>
      </c>
      <c r="CA1414">
        <v>12.11</v>
      </c>
      <c r="CB1414">
        <v>6.95</v>
      </c>
      <c r="CC1414">
        <v>12.09</v>
      </c>
      <c r="CD1414">
        <v>11.73</v>
      </c>
      <c r="CE1414">
        <v>11.59</v>
      </c>
      <c r="CF1414">
        <v>11.34</v>
      </c>
      <c r="CG1414">
        <v>26.64</v>
      </c>
      <c r="CH1414">
        <v>8.49</v>
      </c>
      <c r="CI1414">
        <v>14.08</v>
      </c>
      <c r="CJ1414">
        <v>59288</v>
      </c>
      <c r="CK1414">
        <v>7952</v>
      </c>
      <c r="CL1414" t="s">
        <v>7654</v>
      </c>
      <c r="CM1414">
        <v>205.94</v>
      </c>
      <c r="CN1414">
        <v>52.12</v>
      </c>
      <c r="CO1414">
        <v>6.54</v>
      </c>
      <c r="CP1414">
        <v>55.45</v>
      </c>
      <c r="CQ1414">
        <v>10.28</v>
      </c>
      <c r="CR1414">
        <v>0</v>
      </c>
      <c r="CS1414" t="s">
        <v>7655</v>
      </c>
      <c r="CT1414">
        <v>7.42</v>
      </c>
      <c r="CU1414">
        <v>0</v>
      </c>
      <c r="CV1414">
        <v>3.48</v>
      </c>
      <c r="CW1414">
        <v>2.75</v>
      </c>
      <c r="CX1414">
        <v>0.88</v>
      </c>
      <c r="CY1414">
        <v>50.79</v>
      </c>
      <c r="CZ1414" t="s">
        <v>7656</v>
      </c>
      <c r="DA1414">
        <v>28.98</v>
      </c>
      <c r="DB1414">
        <v>26.46</v>
      </c>
      <c r="DC1414">
        <v>25.32</v>
      </c>
      <c r="DD1414">
        <v>3.36</v>
      </c>
      <c r="DE1414">
        <v>7050</v>
      </c>
      <c r="DF1414">
        <v>300014</v>
      </c>
      <c r="DG1414" t="s">
        <v>116</v>
      </c>
      <c r="DH1414" t="s">
        <v>116</v>
      </c>
      <c r="DI1414" t="s">
        <v>116</v>
      </c>
    </row>
    <row r="1415" spans="1:113" x14ac:dyDescent="0.4">
      <c r="A1415" t="str">
        <f>"300015"</f>
        <v>300015</v>
      </c>
      <c r="B1415" t="s">
        <v>7657</v>
      </c>
      <c r="C1415">
        <v>-1.1299999999999999</v>
      </c>
      <c r="D1415">
        <v>38.56</v>
      </c>
      <c r="E1415">
        <v>-0.44</v>
      </c>
      <c r="F1415">
        <v>38.56</v>
      </c>
      <c r="G1415">
        <v>38.57</v>
      </c>
      <c r="H1415">
        <v>159459</v>
      </c>
      <c r="I1415">
        <v>2159</v>
      </c>
      <c r="J1415">
        <v>0.05</v>
      </c>
      <c r="K1415">
        <v>0.63</v>
      </c>
      <c r="L1415">
        <v>38.74</v>
      </c>
      <c r="M1415">
        <v>39.130000000000003</v>
      </c>
      <c r="N1415">
        <v>38.44</v>
      </c>
      <c r="O1415">
        <v>39</v>
      </c>
      <c r="P1415">
        <v>72.78</v>
      </c>
      <c r="Q1415">
        <v>618653056</v>
      </c>
      <c r="R1415">
        <v>0.98</v>
      </c>
      <c r="S1415" t="s">
        <v>559</v>
      </c>
      <c r="T1415" t="s">
        <v>599</v>
      </c>
      <c r="U1415">
        <v>1.77</v>
      </c>
      <c r="V1415">
        <v>38.799999999999997</v>
      </c>
      <c r="W1415">
        <v>87661</v>
      </c>
      <c r="X1415">
        <v>71798</v>
      </c>
      <c r="Y1415">
        <v>1.22</v>
      </c>
      <c r="Z1415">
        <v>334</v>
      </c>
      <c r="AA1415">
        <v>368</v>
      </c>
      <c r="AB1415" t="s">
        <v>116</v>
      </c>
      <c r="AC1415">
        <v>2787300</v>
      </c>
      <c r="AD1415">
        <v>0.01</v>
      </c>
      <c r="AE1415" t="s">
        <v>116</v>
      </c>
      <c r="AF1415" t="s">
        <v>116</v>
      </c>
      <c r="AG1415">
        <v>25.13</v>
      </c>
      <c r="AH1415" t="s">
        <v>7658</v>
      </c>
      <c r="AI1415" t="s">
        <v>7659</v>
      </c>
      <c r="AJ1415">
        <v>-0.45</v>
      </c>
      <c r="AK1415">
        <v>4322</v>
      </c>
      <c r="AL1415">
        <v>37</v>
      </c>
      <c r="AM1415">
        <v>1E-4</v>
      </c>
      <c r="AN1415">
        <v>-1</v>
      </c>
      <c r="AO1415">
        <v>0.19</v>
      </c>
      <c r="AP1415">
        <v>-3.41</v>
      </c>
      <c r="AQ1415">
        <v>9.67</v>
      </c>
      <c r="AR1415">
        <v>92.06</v>
      </c>
      <c r="AS1415">
        <v>1.33</v>
      </c>
      <c r="AT1415" t="s">
        <v>7660</v>
      </c>
      <c r="AU1415">
        <v>88.81</v>
      </c>
      <c r="AV1415">
        <v>118.39</v>
      </c>
      <c r="AW1415">
        <v>0.96</v>
      </c>
      <c r="BA1415">
        <v>-0.67</v>
      </c>
      <c r="BB1415">
        <v>0.33</v>
      </c>
      <c r="BC1415">
        <v>-1.44</v>
      </c>
      <c r="BD1415">
        <v>-0.52</v>
      </c>
      <c r="BE1415">
        <v>-0.46</v>
      </c>
      <c r="BF1415">
        <v>-1.46</v>
      </c>
      <c r="BG1415">
        <v>0.31</v>
      </c>
      <c r="BH1415">
        <v>-0.61</v>
      </c>
      <c r="BI1415">
        <v>20191026</v>
      </c>
      <c r="BJ1415">
        <v>20091030</v>
      </c>
      <c r="BK1415">
        <v>30.98</v>
      </c>
      <c r="BL1415" t="s">
        <v>116</v>
      </c>
      <c r="BM1415" t="s">
        <v>116</v>
      </c>
      <c r="BN1415">
        <v>114.93</v>
      </c>
      <c r="BO1415">
        <v>64.459999999999994</v>
      </c>
      <c r="BP1415">
        <v>3.6</v>
      </c>
      <c r="BQ1415">
        <v>40.78</v>
      </c>
      <c r="BR1415">
        <v>48.08</v>
      </c>
      <c r="BS1415">
        <v>17.190000000000001</v>
      </c>
      <c r="BT1415">
        <v>5.01</v>
      </c>
      <c r="BU1415">
        <v>43.06</v>
      </c>
      <c r="BV1415">
        <v>3.72</v>
      </c>
      <c r="BW1415">
        <v>12.16</v>
      </c>
      <c r="BX1415">
        <v>5.63</v>
      </c>
      <c r="BY1415">
        <v>77.319999999999993</v>
      </c>
      <c r="BZ1415">
        <v>39.89</v>
      </c>
      <c r="CA1415">
        <v>17.84</v>
      </c>
      <c r="CB1415">
        <v>0.66</v>
      </c>
      <c r="CC1415">
        <v>17.03</v>
      </c>
      <c r="CD1415">
        <v>13.05</v>
      </c>
      <c r="CE1415">
        <v>12.31</v>
      </c>
      <c r="CF1415">
        <v>12.35</v>
      </c>
      <c r="CG1415">
        <v>25.6</v>
      </c>
      <c r="CH1415">
        <v>18.53</v>
      </c>
      <c r="CI1415">
        <v>4.3899999999999997</v>
      </c>
      <c r="CJ1415">
        <v>55624</v>
      </c>
      <c r="CK1415">
        <v>21634</v>
      </c>
      <c r="CL1415" t="s">
        <v>7661</v>
      </c>
      <c r="CM1415">
        <v>37.549999999999997</v>
      </c>
      <c r="CN1415">
        <v>26.25</v>
      </c>
      <c r="CO1415">
        <v>18.53</v>
      </c>
      <c r="CP1415">
        <v>64.459999999999994</v>
      </c>
      <c r="CQ1415">
        <v>15.45</v>
      </c>
      <c r="CR1415">
        <v>0.4</v>
      </c>
      <c r="CS1415" t="s">
        <v>7662</v>
      </c>
      <c r="CT1415">
        <v>2.08</v>
      </c>
      <c r="CU1415">
        <v>0</v>
      </c>
      <c r="CV1415">
        <v>0.18</v>
      </c>
      <c r="CW1415">
        <v>0.83</v>
      </c>
      <c r="CX1415">
        <v>0.6</v>
      </c>
      <c r="CY1415">
        <v>56.08</v>
      </c>
      <c r="CZ1415" t="s">
        <v>7663</v>
      </c>
      <c r="DA1415">
        <v>48.41</v>
      </c>
      <c r="DB1415">
        <v>23.08</v>
      </c>
      <c r="DC1415">
        <v>15.92</v>
      </c>
      <c r="DD1415">
        <v>1.1200000000000001</v>
      </c>
      <c r="DE1415">
        <v>16430</v>
      </c>
      <c r="DF1415">
        <v>300015</v>
      </c>
      <c r="DG1415" t="s">
        <v>116</v>
      </c>
      <c r="DH1415" t="s">
        <v>116</v>
      </c>
      <c r="DI1415" t="s">
        <v>116</v>
      </c>
    </row>
    <row r="1416" spans="1:113" x14ac:dyDescent="0.4">
      <c r="A1416" t="str">
        <f>"300016"</f>
        <v>300016</v>
      </c>
      <c r="B1416" t="s">
        <v>7664</v>
      </c>
      <c r="C1416">
        <v>-1.47</v>
      </c>
      <c r="D1416">
        <v>8.73</v>
      </c>
      <c r="E1416">
        <v>-0.13</v>
      </c>
      <c r="F1416">
        <v>8.73</v>
      </c>
      <c r="G1416">
        <v>8.74</v>
      </c>
      <c r="H1416">
        <v>160848</v>
      </c>
      <c r="I1416">
        <v>1958</v>
      </c>
      <c r="J1416">
        <v>-0.33</v>
      </c>
      <c r="K1416">
        <v>4.32</v>
      </c>
      <c r="L1416">
        <v>8.7899999999999991</v>
      </c>
      <c r="M1416">
        <v>8.99</v>
      </c>
      <c r="N1416">
        <v>8.73</v>
      </c>
      <c r="O1416">
        <v>8.86</v>
      </c>
      <c r="P1416">
        <v>19.38</v>
      </c>
      <c r="Q1416">
        <v>142276960</v>
      </c>
      <c r="R1416">
        <v>2.16</v>
      </c>
      <c r="S1416" t="s">
        <v>781</v>
      </c>
      <c r="T1416" t="s">
        <v>165</v>
      </c>
      <c r="U1416">
        <v>2.93</v>
      </c>
      <c r="V1416">
        <v>8.85</v>
      </c>
      <c r="W1416">
        <v>86257</v>
      </c>
      <c r="X1416">
        <v>74591</v>
      </c>
      <c r="Y1416">
        <v>1.1599999999999999</v>
      </c>
      <c r="Z1416">
        <v>20</v>
      </c>
      <c r="AA1416">
        <v>137</v>
      </c>
      <c r="AB1416" t="s">
        <v>116</v>
      </c>
      <c r="AC1416">
        <v>2579000</v>
      </c>
      <c r="AD1416">
        <v>0.09</v>
      </c>
      <c r="AE1416" t="s">
        <v>116</v>
      </c>
      <c r="AF1416" t="s">
        <v>116</v>
      </c>
      <c r="AG1416">
        <v>3.72</v>
      </c>
      <c r="AH1416" t="s">
        <v>7665</v>
      </c>
      <c r="AI1416" t="s">
        <v>7666</v>
      </c>
      <c r="AJ1416">
        <v>-0.79</v>
      </c>
      <c r="AK1416">
        <v>2657</v>
      </c>
      <c r="AL1416">
        <v>61</v>
      </c>
      <c r="AM1416">
        <v>1.6000000000000001E-3</v>
      </c>
      <c r="AN1416">
        <v>-1</v>
      </c>
      <c r="AO1416">
        <v>2.82</v>
      </c>
      <c r="AP1416">
        <v>8.0399999999999991</v>
      </c>
      <c r="AQ1416">
        <v>-4.49</v>
      </c>
      <c r="AR1416">
        <v>26.52</v>
      </c>
      <c r="AS1416">
        <v>4.96</v>
      </c>
      <c r="AT1416" t="s">
        <v>7667</v>
      </c>
      <c r="AU1416">
        <v>22.9</v>
      </c>
      <c r="AV1416">
        <v>29.23</v>
      </c>
      <c r="AW1416">
        <v>1.4</v>
      </c>
      <c r="BA1416">
        <v>-0.79</v>
      </c>
      <c r="BB1416">
        <v>1.47</v>
      </c>
      <c r="BC1416">
        <v>-1.47</v>
      </c>
      <c r="BD1416">
        <v>-0.16</v>
      </c>
      <c r="BE1416">
        <v>-0.68</v>
      </c>
      <c r="BF1416">
        <v>-2.89</v>
      </c>
      <c r="BG1416">
        <v>0</v>
      </c>
      <c r="BH1416">
        <v>-1.3</v>
      </c>
      <c r="BI1416">
        <v>20191118</v>
      </c>
      <c r="BJ1416">
        <v>20091030</v>
      </c>
      <c r="BK1416">
        <v>4.95</v>
      </c>
      <c r="BL1416" t="s">
        <v>116</v>
      </c>
      <c r="BM1416" t="s">
        <v>116</v>
      </c>
      <c r="BN1416">
        <v>13.89</v>
      </c>
      <c r="BO1416">
        <v>12.73</v>
      </c>
      <c r="BP1416">
        <v>0</v>
      </c>
      <c r="BQ1416">
        <v>8.39</v>
      </c>
      <c r="BR1416">
        <v>5.97</v>
      </c>
      <c r="BS1416">
        <v>3.49</v>
      </c>
      <c r="BT1416">
        <v>0.2</v>
      </c>
      <c r="BU1416">
        <v>0.97</v>
      </c>
      <c r="BV1416">
        <v>1.21</v>
      </c>
      <c r="BW1416">
        <v>1.63</v>
      </c>
      <c r="BX1416">
        <v>1.55</v>
      </c>
      <c r="BY1416">
        <v>6.08</v>
      </c>
      <c r="BZ1416">
        <v>1.87</v>
      </c>
      <c r="CA1416">
        <v>1.96</v>
      </c>
      <c r="CB1416">
        <v>0.18</v>
      </c>
      <c r="CC1416">
        <v>1.93</v>
      </c>
      <c r="CD1416">
        <v>1.67</v>
      </c>
      <c r="CE1416">
        <v>1.67</v>
      </c>
      <c r="CF1416">
        <v>1.48</v>
      </c>
      <c r="CG1416">
        <v>5.53</v>
      </c>
      <c r="CH1416">
        <v>1.1299999999999999</v>
      </c>
      <c r="CI1416">
        <v>0.1</v>
      </c>
      <c r="CJ1416">
        <v>31082</v>
      </c>
      <c r="CK1416">
        <v>10424</v>
      </c>
      <c r="CL1416" t="s">
        <v>7668</v>
      </c>
      <c r="CM1416">
        <v>32.31</v>
      </c>
      <c r="CN1416">
        <v>30.94</v>
      </c>
      <c r="CO1416">
        <v>3.35</v>
      </c>
      <c r="CP1416">
        <v>38.08</v>
      </c>
      <c r="CQ1416">
        <v>7.11</v>
      </c>
      <c r="CR1416">
        <v>1.1299999999999999</v>
      </c>
      <c r="CS1416" t="s">
        <v>1696</v>
      </c>
      <c r="CT1416">
        <v>2.6</v>
      </c>
      <c r="CU1416">
        <v>2.6</v>
      </c>
      <c r="CV1416">
        <v>0.31</v>
      </c>
      <c r="CW1416">
        <v>1.1200000000000001</v>
      </c>
      <c r="CX1416">
        <v>0.23</v>
      </c>
      <c r="CY1416">
        <v>91.61</v>
      </c>
      <c r="CZ1416" t="s">
        <v>7669</v>
      </c>
      <c r="DA1416">
        <v>69.28</v>
      </c>
      <c r="DB1416">
        <v>32.21</v>
      </c>
      <c r="DC1416">
        <v>27.51</v>
      </c>
      <c r="DD1416">
        <v>0.38</v>
      </c>
      <c r="DE1416">
        <v>535</v>
      </c>
      <c r="DF1416">
        <v>300016</v>
      </c>
      <c r="DG1416" t="s">
        <v>116</v>
      </c>
      <c r="DH1416" t="s">
        <v>116</v>
      </c>
      <c r="DI1416" t="s">
        <v>116</v>
      </c>
    </row>
    <row r="1417" spans="1:113" x14ac:dyDescent="0.4">
      <c r="A1417" t="str">
        <f>"300017"</f>
        <v>300017</v>
      </c>
      <c r="B1417" t="s">
        <v>7670</v>
      </c>
      <c r="C1417">
        <v>-0.42</v>
      </c>
      <c r="D1417">
        <v>9.49</v>
      </c>
      <c r="E1417">
        <v>-0.04</v>
      </c>
      <c r="F1417">
        <v>9.48</v>
      </c>
      <c r="G1417">
        <v>9.49</v>
      </c>
      <c r="H1417">
        <v>563028</v>
      </c>
      <c r="I1417">
        <v>6677</v>
      </c>
      <c r="J1417">
        <v>0.11</v>
      </c>
      <c r="K1417">
        <v>2.59</v>
      </c>
      <c r="L1417">
        <v>9.5500000000000007</v>
      </c>
      <c r="M1417">
        <v>9.75</v>
      </c>
      <c r="N1417">
        <v>9.4700000000000006</v>
      </c>
      <c r="O1417">
        <v>9.5299999999999994</v>
      </c>
      <c r="P1417">
        <v>22.37</v>
      </c>
      <c r="Q1417">
        <v>542368128</v>
      </c>
      <c r="R1417">
        <v>1.04</v>
      </c>
      <c r="S1417" t="s">
        <v>3586</v>
      </c>
      <c r="T1417" t="s">
        <v>1653</v>
      </c>
      <c r="U1417">
        <v>2.94</v>
      </c>
      <c r="V1417">
        <v>9.6300000000000008</v>
      </c>
      <c r="W1417">
        <v>288825</v>
      </c>
      <c r="X1417">
        <v>274203</v>
      </c>
      <c r="Y1417">
        <v>1.05</v>
      </c>
      <c r="Z1417">
        <v>1325</v>
      </c>
      <c r="AA1417">
        <v>489</v>
      </c>
      <c r="AB1417" t="s">
        <v>116</v>
      </c>
      <c r="AC1417">
        <v>926400</v>
      </c>
      <c r="AD1417">
        <v>0.01</v>
      </c>
      <c r="AE1417" t="s">
        <v>116</v>
      </c>
      <c r="AF1417" t="s">
        <v>116</v>
      </c>
      <c r="AG1417">
        <v>21.73</v>
      </c>
      <c r="AH1417" t="s">
        <v>7671</v>
      </c>
      <c r="AI1417" t="s">
        <v>7672</v>
      </c>
      <c r="AJ1417">
        <v>0.26</v>
      </c>
      <c r="AK1417">
        <v>3978</v>
      </c>
      <c r="AL1417">
        <v>142</v>
      </c>
      <c r="AM1417">
        <v>6.9999999999999999E-4</v>
      </c>
      <c r="AN1417">
        <v>-1</v>
      </c>
      <c r="AO1417">
        <v>-0.63</v>
      </c>
      <c r="AP1417">
        <v>7.35</v>
      </c>
      <c r="AQ1417">
        <v>-7.05</v>
      </c>
      <c r="AR1417">
        <v>21.67</v>
      </c>
      <c r="AS1417">
        <v>3.23</v>
      </c>
      <c r="AT1417" t="s">
        <v>7673</v>
      </c>
      <c r="AU1417">
        <v>23.93</v>
      </c>
      <c r="AV1417">
        <v>28.71</v>
      </c>
      <c r="AW1417">
        <v>1.63</v>
      </c>
      <c r="BA1417">
        <v>0.21</v>
      </c>
      <c r="BB1417">
        <v>2.31</v>
      </c>
      <c r="BC1417">
        <v>-0.63</v>
      </c>
      <c r="BD1417">
        <v>1.08</v>
      </c>
      <c r="BE1417">
        <v>-0.63</v>
      </c>
      <c r="BF1417">
        <v>-2.67</v>
      </c>
      <c r="BG1417">
        <v>0.21</v>
      </c>
      <c r="BH1417">
        <v>-1.5</v>
      </c>
      <c r="BI1417">
        <v>20191119</v>
      </c>
      <c r="BJ1417">
        <v>20091030</v>
      </c>
      <c r="BK1417">
        <v>24.33</v>
      </c>
      <c r="BL1417" t="s">
        <v>116</v>
      </c>
      <c r="BM1417" t="s">
        <v>116</v>
      </c>
      <c r="BN1417">
        <v>112.46</v>
      </c>
      <c r="BO1417">
        <v>94.11</v>
      </c>
      <c r="BP1417">
        <v>-0.12</v>
      </c>
      <c r="BQ1417">
        <v>16.420000000000002</v>
      </c>
      <c r="BR1417">
        <v>62.16</v>
      </c>
      <c r="BS1417">
        <v>15.26</v>
      </c>
      <c r="BT1417">
        <v>6.1</v>
      </c>
      <c r="BU1417">
        <v>14.78</v>
      </c>
      <c r="BV1417">
        <v>0.28999999999999998</v>
      </c>
      <c r="BW1417">
        <v>20.58</v>
      </c>
      <c r="BX1417">
        <v>23.22</v>
      </c>
      <c r="BY1417">
        <v>45.7</v>
      </c>
      <c r="BZ1417">
        <v>34.18</v>
      </c>
      <c r="CA1417">
        <v>8.82</v>
      </c>
      <c r="CB1417">
        <v>7.57</v>
      </c>
      <c r="CC1417">
        <v>7.99</v>
      </c>
      <c r="CD1417">
        <v>7.75</v>
      </c>
      <c r="CE1417">
        <v>7.74</v>
      </c>
      <c r="CF1417">
        <v>0.92</v>
      </c>
      <c r="CG1417">
        <v>43.28</v>
      </c>
      <c r="CH1417">
        <v>2.0499999999999998</v>
      </c>
      <c r="CI1417">
        <v>-0.77</v>
      </c>
      <c r="CJ1417">
        <v>150200</v>
      </c>
      <c r="CK1417">
        <v>11611</v>
      </c>
      <c r="CL1417" t="s">
        <v>7674</v>
      </c>
      <c r="CM1417">
        <v>26.19</v>
      </c>
      <c r="CN1417">
        <v>-1.34</v>
      </c>
      <c r="CO1417">
        <v>2.46</v>
      </c>
      <c r="CP1417">
        <v>112.58</v>
      </c>
      <c r="CQ1417">
        <v>5.05</v>
      </c>
      <c r="CR1417">
        <v>0.32</v>
      </c>
      <c r="CS1417" t="s">
        <v>3150</v>
      </c>
      <c r="CT1417">
        <v>3.87</v>
      </c>
      <c r="CU1417">
        <v>3.87</v>
      </c>
      <c r="CV1417">
        <v>0.95</v>
      </c>
      <c r="CW1417">
        <v>1.78</v>
      </c>
      <c r="CX1417">
        <v>0.08</v>
      </c>
      <c r="CY1417">
        <v>83.68</v>
      </c>
      <c r="CZ1417" t="s">
        <v>7675</v>
      </c>
      <c r="DA1417">
        <v>25.21</v>
      </c>
      <c r="DB1417">
        <v>19.29</v>
      </c>
      <c r="DC1417">
        <v>16.940000000000001</v>
      </c>
      <c r="DD1417">
        <v>4.9400000000000004</v>
      </c>
      <c r="DE1417">
        <v>4122</v>
      </c>
      <c r="DF1417">
        <v>300017</v>
      </c>
      <c r="DG1417" t="s">
        <v>116</v>
      </c>
      <c r="DH1417" t="s">
        <v>116</v>
      </c>
      <c r="DI1417" t="s">
        <v>116</v>
      </c>
    </row>
    <row r="1418" spans="1:113" x14ac:dyDescent="0.4">
      <c r="A1418" t="str">
        <f>"300018"</f>
        <v>300018</v>
      </c>
      <c r="B1418" t="s">
        <v>7676</v>
      </c>
      <c r="C1418">
        <v>-0.96</v>
      </c>
      <c r="D1418">
        <v>5.18</v>
      </c>
      <c r="E1418">
        <v>-0.05</v>
      </c>
      <c r="F1418">
        <v>5.17</v>
      </c>
      <c r="G1418">
        <v>5.18</v>
      </c>
      <c r="H1418">
        <v>84546</v>
      </c>
      <c r="I1418">
        <v>323</v>
      </c>
      <c r="J1418">
        <v>0</v>
      </c>
      <c r="K1418">
        <v>2.2400000000000002</v>
      </c>
      <c r="L1418">
        <v>5.24</v>
      </c>
      <c r="M1418">
        <v>5.3</v>
      </c>
      <c r="N1418">
        <v>5.17</v>
      </c>
      <c r="O1418">
        <v>5.23</v>
      </c>
      <c r="P1418">
        <v>99.88</v>
      </c>
      <c r="Q1418">
        <v>44315012</v>
      </c>
      <c r="R1418">
        <v>0.97</v>
      </c>
      <c r="S1418" t="s">
        <v>397</v>
      </c>
      <c r="T1418" t="s">
        <v>774</v>
      </c>
      <c r="U1418">
        <v>2.4900000000000002</v>
      </c>
      <c r="V1418">
        <v>5.24</v>
      </c>
      <c r="W1418">
        <v>47325</v>
      </c>
      <c r="X1418">
        <v>37221</v>
      </c>
      <c r="Y1418">
        <v>1.27</v>
      </c>
      <c r="Z1418">
        <v>1155</v>
      </c>
      <c r="AA1418">
        <v>343</v>
      </c>
      <c r="AB1418" t="s">
        <v>116</v>
      </c>
      <c r="AC1418">
        <v>29300</v>
      </c>
      <c r="AD1418">
        <v>0</v>
      </c>
      <c r="AE1418" t="s">
        <v>116</v>
      </c>
      <c r="AF1418" t="s">
        <v>116</v>
      </c>
      <c r="AG1418">
        <v>3.78</v>
      </c>
      <c r="AH1418" t="s">
        <v>1004</v>
      </c>
      <c r="AI1418" t="s">
        <v>1877</v>
      </c>
      <c r="AJ1418">
        <v>-0.28000000000000003</v>
      </c>
      <c r="AK1418">
        <v>1611</v>
      </c>
      <c r="AL1418">
        <v>52</v>
      </c>
      <c r="AM1418">
        <v>1.4E-3</v>
      </c>
      <c r="AN1418">
        <v>-1</v>
      </c>
      <c r="AO1418">
        <v>0.19</v>
      </c>
      <c r="AP1418">
        <v>5.28</v>
      </c>
      <c r="AQ1418">
        <v>-7.17</v>
      </c>
      <c r="AR1418">
        <v>15.88</v>
      </c>
      <c r="AS1418">
        <v>2.71</v>
      </c>
      <c r="AT1418" t="s">
        <v>7677</v>
      </c>
      <c r="AU1418" t="s">
        <v>116</v>
      </c>
      <c r="AV1418" t="s">
        <v>116</v>
      </c>
      <c r="AW1418">
        <v>1.42</v>
      </c>
      <c r="BA1418">
        <v>0.19</v>
      </c>
      <c r="BB1418">
        <v>1.34</v>
      </c>
      <c r="BC1418">
        <v>-1.1499999999999999</v>
      </c>
      <c r="BD1418">
        <v>0.22</v>
      </c>
      <c r="BE1418">
        <v>-1.1499999999999999</v>
      </c>
      <c r="BF1418">
        <v>-2.2599999999999998</v>
      </c>
      <c r="BG1418">
        <v>0.19</v>
      </c>
      <c r="BH1418">
        <v>-1.18</v>
      </c>
      <c r="BI1418">
        <v>20191210</v>
      </c>
      <c r="BJ1418">
        <v>20091030</v>
      </c>
      <c r="BK1418">
        <v>4.83</v>
      </c>
      <c r="BL1418" t="s">
        <v>116</v>
      </c>
      <c r="BM1418" t="s">
        <v>116</v>
      </c>
      <c r="BN1418">
        <v>11.73</v>
      </c>
      <c r="BO1418">
        <v>10.210000000000001</v>
      </c>
      <c r="BP1418">
        <v>0.57999999999999996</v>
      </c>
      <c r="BQ1418">
        <v>8.06</v>
      </c>
      <c r="BR1418">
        <v>8.59</v>
      </c>
      <c r="BS1418">
        <v>0.56000000000000005</v>
      </c>
      <c r="BT1418">
        <v>0.26</v>
      </c>
      <c r="BU1418">
        <v>0.9</v>
      </c>
      <c r="BV1418">
        <v>1.17</v>
      </c>
      <c r="BW1418">
        <v>1.98</v>
      </c>
      <c r="BX1418">
        <v>6.05</v>
      </c>
      <c r="BY1418">
        <v>2.2200000000000002</v>
      </c>
      <c r="BZ1418">
        <v>1.02</v>
      </c>
      <c r="CA1418">
        <v>0.19</v>
      </c>
      <c r="CB1418">
        <v>0</v>
      </c>
      <c r="CC1418">
        <v>0.21</v>
      </c>
      <c r="CD1418">
        <v>0.17</v>
      </c>
      <c r="CE1418">
        <v>0.19</v>
      </c>
      <c r="CF1418">
        <v>0.17</v>
      </c>
      <c r="CG1418">
        <v>-0.99</v>
      </c>
      <c r="CH1418">
        <v>0.3</v>
      </c>
      <c r="CI1418">
        <v>-0.37</v>
      </c>
      <c r="CJ1418">
        <v>34019</v>
      </c>
      <c r="CK1418">
        <v>9175</v>
      </c>
      <c r="CL1418" t="s">
        <v>1609</v>
      </c>
      <c r="CM1418">
        <v>507.38</v>
      </c>
      <c r="CN1418">
        <v>-11.15</v>
      </c>
      <c r="CO1418">
        <v>2.4500000000000002</v>
      </c>
      <c r="CP1418">
        <v>82.77</v>
      </c>
      <c r="CQ1418">
        <v>11.24</v>
      </c>
      <c r="CR1418">
        <v>0</v>
      </c>
      <c r="CS1418" t="s">
        <v>1887</v>
      </c>
      <c r="CT1418">
        <v>2.12</v>
      </c>
      <c r="CU1418">
        <v>0</v>
      </c>
      <c r="CV1418">
        <v>1.25</v>
      </c>
      <c r="CW1418">
        <v>-0.21</v>
      </c>
      <c r="CX1418">
        <v>0.06</v>
      </c>
      <c r="CY1418">
        <v>87.03</v>
      </c>
      <c r="CZ1418" t="s">
        <v>2285</v>
      </c>
      <c r="DA1418">
        <v>54.14</v>
      </c>
      <c r="DB1418">
        <v>8.74</v>
      </c>
      <c r="DC1418">
        <v>8.44</v>
      </c>
      <c r="DD1418">
        <v>0.5</v>
      </c>
      <c r="DE1418">
        <v>788</v>
      </c>
      <c r="DF1418">
        <v>300018</v>
      </c>
      <c r="DG1418" t="s">
        <v>116</v>
      </c>
      <c r="DH1418" t="s">
        <v>116</v>
      </c>
      <c r="DI1418" t="s">
        <v>116</v>
      </c>
    </row>
    <row r="1419" spans="1:113" x14ac:dyDescent="0.4">
      <c r="A1419" t="str">
        <f>"300019"</f>
        <v>300019</v>
      </c>
      <c r="B1419" t="s">
        <v>7678</v>
      </c>
      <c r="C1419">
        <v>0.41</v>
      </c>
      <c r="D1419">
        <v>9.75</v>
      </c>
      <c r="E1419">
        <v>0.04</v>
      </c>
      <c r="F1419">
        <v>9.74</v>
      </c>
      <c r="G1419">
        <v>9.75</v>
      </c>
      <c r="H1419">
        <v>73018</v>
      </c>
      <c r="I1419">
        <v>1157</v>
      </c>
      <c r="J1419">
        <v>0.21</v>
      </c>
      <c r="K1419">
        <v>2.68</v>
      </c>
      <c r="L1419">
        <v>9.8000000000000007</v>
      </c>
      <c r="M1419">
        <v>10.130000000000001</v>
      </c>
      <c r="N1419">
        <v>9.7100000000000009</v>
      </c>
      <c r="O1419">
        <v>9.7100000000000009</v>
      </c>
      <c r="P1419">
        <v>29.13</v>
      </c>
      <c r="Q1419">
        <v>72254696</v>
      </c>
      <c r="R1419">
        <v>0.86</v>
      </c>
      <c r="S1419" t="s">
        <v>891</v>
      </c>
      <c r="T1419" t="s">
        <v>582</v>
      </c>
      <c r="U1419">
        <v>4.33</v>
      </c>
      <c r="V1419">
        <v>9.9</v>
      </c>
      <c r="W1419">
        <v>40749</v>
      </c>
      <c r="X1419">
        <v>32269</v>
      </c>
      <c r="Y1419">
        <v>1.26</v>
      </c>
      <c r="Z1419">
        <v>471</v>
      </c>
      <c r="AA1419">
        <v>205</v>
      </c>
      <c r="AB1419" t="s">
        <v>116</v>
      </c>
      <c r="AC1419">
        <v>163700</v>
      </c>
      <c r="AD1419">
        <v>0.01</v>
      </c>
      <c r="AE1419" t="s">
        <v>116</v>
      </c>
      <c r="AF1419" t="s">
        <v>116</v>
      </c>
      <c r="AG1419">
        <v>2.72</v>
      </c>
      <c r="AH1419" t="s">
        <v>5548</v>
      </c>
      <c r="AI1419" t="s">
        <v>7679</v>
      </c>
      <c r="AJ1419">
        <v>1.0900000000000001</v>
      </c>
      <c r="AK1419">
        <v>2194</v>
      </c>
      <c r="AL1419">
        <v>33</v>
      </c>
      <c r="AM1419">
        <v>1.1999999999999999E-3</v>
      </c>
      <c r="AN1419">
        <v>1</v>
      </c>
      <c r="AO1419">
        <v>-0.31</v>
      </c>
      <c r="AP1419">
        <v>20.37</v>
      </c>
      <c r="AQ1419">
        <v>25.64</v>
      </c>
      <c r="AR1419">
        <v>63.32</v>
      </c>
      <c r="AS1419">
        <v>5.49</v>
      </c>
      <c r="AT1419" t="s">
        <v>7680</v>
      </c>
      <c r="AU1419">
        <v>25.3</v>
      </c>
      <c r="AV1419">
        <v>49.54</v>
      </c>
      <c r="AW1419">
        <v>1.55</v>
      </c>
      <c r="BA1419">
        <v>0.93</v>
      </c>
      <c r="BB1419">
        <v>4.33</v>
      </c>
      <c r="BC1419">
        <v>0</v>
      </c>
      <c r="BD1419">
        <v>1.91</v>
      </c>
      <c r="BE1419">
        <v>-0.51</v>
      </c>
      <c r="BF1419">
        <v>-3.75</v>
      </c>
      <c r="BG1419">
        <v>0.41</v>
      </c>
      <c r="BH1419">
        <v>-1.5</v>
      </c>
      <c r="BI1419">
        <v>20191107</v>
      </c>
      <c r="BJ1419">
        <v>20091030</v>
      </c>
      <c r="BK1419">
        <v>3.31</v>
      </c>
      <c r="BL1419" t="s">
        <v>116</v>
      </c>
      <c r="BM1419" t="s">
        <v>116</v>
      </c>
      <c r="BN1419">
        <v>11.09</v>
      </c>
      <c r="BO1419">
        <v>8.42</v>
      </c>
      <c r="BP1419">
        <v>0.01</v>
      </c>
      <c r="BQ1419">
        <v>23.95</v>
      </c>
      <c r="BR1419">
        <v>6.04</v>
      </c>
      <c r="BS1419">
        <v>3.91</v>
      </c>
      <c r="BT1419">
        <v>0.52</v>
      </c>
      <c r="BU1419">
        <v>2.34</v>
      </c>
      <c r="BV1419">
        <v>1.66</v>
      </c>
      <c r="BW1419">
        <v>2.1800000000000002</v>
      </c>
      <c r="BX1419">
        <v>0.43</v>
      </c>
      <c r="BY1419">
        <v>6.74</v>
      </c>
      <c r="BZ1419">
        <v>4.67</v>
      </c>
      <c r="CA1419">
        <v>0.92</v>
      </c>
      <c r="CB1419">
        <v>0</v>
      </c>
      <c r="CC1419">
        <v>0.96</v>
      </c>
      <c r="CD1419">
        <v>0.83</v>
      </c>
      <c r="CE1419">
        <v>0.83</v>
      </c>
      <c r="CF1419">
        <v>0.76</v>
      </c>
      <c r="CG1419">
        <v>4.29</v>
      </c>
      <c r="CH1419">
        <v>0.17</v>
      </c>
      <c r="CI1419">
        <v>-0.25</v>
      </c>
      <c r="CJ1419">
        <v>21907</v>
      </c>
      <c r="CK1419">
        <v>6066</v>
      </c>
      <c r="CL1419" t="s">
        <v>6505</v>
      </c>
      <c r="CM1419">
        <v>302.08999999999997</v>
      </c>
      <c r="CN1419">
        <v>15.5</v>
      </c>
      <c r="CO1419">
        <v>3.83</v>
      </c>
      <c r="CP1419">
        <v>193.19</v>
      </c>
      <c r="CQ1419">
        <v>4.79</v>
      </c>
      <c r="CR1419">
        <v>0</v>
      </c>
      <c r="CS1419" t="s">
        <v>5231</v>
      </c>
      <c r="CT1419">
        <v>2.54</v>
      </c>
      <c r="CU1419">
        <v>0</v>
      </c>
      <c r="CV1419">
        <v>0.13</v>
      </c>
      <c r="CW1419">
        <v>1.3</v>
      </c>
      <c r="CX1419">
        <v>0.05</v>
      </c>
      <c r="CY1419">
        <v>75.930000000000007</v>
      </c>
      <c r="CZ1419" t="s">
        <v>7681</v>
      </c>
      <c r="DA1419">
        <v>30.69</v>
      </c>
      <c r="DB1419">
        <v>13.71</v>
      </c>
      <c r="DC1419">
        <v>12.33</v>
      </c>
      <c r="DD1419">
        <v>0.28999999999999998</v>
      </c>
      <c r="DE1419">
        <v>698</v>
      </c>
      <c r="DF1419">
        <v>300019</v>
      </c>
      <c r="DG1419" t="s">
        <v>116</v>
      </c>
      <c r="DH1419" t="s">
        <v>116</v>
      </c>
      <c r="DI1419" t="s">
        <v>116</v>
      </c>
    </row>
    <row r="1420" spans="1:113" x14ac:dyDescent="0.4">
      <c r="A1420" t="str">
        <f>"300020"</f>
        <v>300020</v>
      </c>
      <c r="B1420" t="s">
        <v>7682</v>
      </c>
      <c r="C1420">
        <v>-1.74</v>
      </c>
      <c r="D1420">
        <v>8.4499999999999993</v>
      </c>
      <c r="E1420">
        <v>-0.15</v>
      </c>
      <c r="F1420">
        <v>8.44</v>
      </c>
      <c r="G1420">
        <v>8.4499999999999993</v>
      </c>
      <c r="H1420">
        <v>82609</v>
      </c>
      <c r="I1420">
        <v>390</v>
      </c>
      <c r="J1420">
        <v>0.12</v>
      </c>
      <c r="K1420">
        <v>1.34</v>
      </c>
      <c r="L1420">
        <v>8.6199999999999992</v>
      </c>
      <c r="M1420">
        <v>8.65</v>
      </c>
      <c r="N1420">
        <v>8.44</v>
      </c>
      <c r="O1420">
        <v>8.6</v>
      </c>
      <c r="P1420">
        <v>30.61</v>
      </c>
      <c r="Q1420">
        <v>70708064</v>
      </c>
      <c r="R1420">
        <v>1.07</v>
      </c>
      <c r="S1420" t="s">
        <v>607</v>
      </c>
      <c r="T1420" t="s">
        <v>590</v>
      </c>
      <c r="U1420">
        <v>2.44</v>
      </c>
      <c r="V1420">
        <v>8.56</v>
      </c>
      <c r="W1420">
        <v>49538</v>
      </c>
      <c r="X1420">
        <v>33071</v>
      </c>
      <c r="Y1420">
        <v>1.5</v>
      </c>
      <c r="Z1420">
        <v>509</v>
      </c>
      <c r="AA1420">
        <v>364</v>
      </c>
      <c r="AB1420" t="s">
        <v>116</v>
      </c>
      <c r="AC1420">
        <v>82800</v>
      </c>
      <c r="AD1420">
        <v>0</v>
      </c>
      <c r="AE1420" t="s">
        <v>116</v>
      </c>
      <c r="AF1420" t="s">
        <v>116</v>
      </c>
      <c r="AG1420">
        <v>6.17</v>
      </c>
      <c r="AH1420" t="s">
        <v>7683</v>
      </c>
      <c r="AI1420" t="s">
        <v>1339</v>
      </c>
      <c r="AJ1420">
        <v>-1.07</v>
      </c>
      <c r="AK1420">
        <v>2156</v>
      </c>
      <c r="AL1420">
        <v>38</v>
      </c>
      <c r="AM1420">
        <v>5.9999999999999995E-4</v>
      </c>
      <c r="AN1420">
        <v>-1</v>
      </c>
      <c r="AO1420">
        <v>0</v>
      </c>
      <c r="AP1420">
        <v>4.84</v>
      </c>
      <c r="AQ1420">
        <v>-10.3</v>
      </c>
      <c r="AR1420">
        <v>31.01</v>
      </c>
      <c r="AS1420">
        <v>1.88</v>
      </c>
      <c r="AT1420" t="s">
        <v>7684</v>
      </c>
      <c r="AU1420">
        <v>36.979999999999997</v>
      </c>
      <c r="AV1420">
        <v>209.55</v>
      </c>
      <c r="AW1420">
        <v>1.8</v>
      </c>
      <c r="BA1420">
        <v>0.23</v>
      </c>
      <c r="BB1420">
        <v>0.57999999999999996</v>
      </c>
      <c r="BC1420">
        <v>-1.86</v>
      </c>
      <c r="BD1420">
        <v>-0.47</v>
      </c>
      <c r="BE1420">
        <v>-1.97</v>
      </c>
      <c r="BF1420">
        <v>-2.31</v>
      </c>
      <c r="BG1420">
        <v>0.12</v>
      </c>
      <c r="BH1420">
        <v>-1.27</v>
      </c>
      <c r="BI1420">
        <v>20191026</v>
      </c>
      <c r="BJ1420">
        <v>20091030</v>
      </c>
      <c r="BK1420">
        <v>6.56</v>
      </c>
      <c r="BL1420" t="s">
        <v>116</v>
      </c>
      <c r="BM1420" t="s">
        <v>116</v>
      </c>
      <c r="BN1420">
        <v>62.63</v>
      </c>
      <c r="BO1420">
        <v>33.21</v>
      </c>
      <c r="BP1420">
        <v>0.41</v>
      </c>
      <c r="BQ1420">
        <v>46.32</v>
      </c>
      <c r="BR1420">
        <v>45.36</v>
      </c>
      <c r="BS1420">
        <v>1.9</v>
      </c>
      <c r="BT1420">
        <v>0.91</v>
      </c>
      <c r="BU1420">
        <v>28.97</v>
      </c>
      <c r="BV1420">
        <v>20.59</v>
      </c>
      <c r="BW1420">
        <v>16.12</v>
      </c>
      <c r="BX1420">
        <v>15.97</v>
      </c>
      <c r="BY1420">
        <v>14.53</v>
      </c>
      <c r="BZ1420">
        <v>10.79</v>
      </c>
      <c r="CA1420">
        <v>1.54</v>
      </c>
      <c r="CB1420">
        <v>0.39</v>
      </c>
      <c r="CC1420">
        <v>1.57</v>
      </c>
      <c r="CD1420">
        <v>1.34</v>
      </c>
      <c r="CE1420">
        <v>1.36</v>
      </c>
      <c r="CF1420">
        <v>1.29</v>
      </c>
      <c r="CG1420">
        <v>9.4600000000000009</v>
      </c>
      <c r="CH1420">
        <v>-9.6999999999999993</v>
      </c>
      <c r="CI1420">
        <v>-3.65</v>
      </c>
      <c r="CJ1420">
        <v>49453</v>
      </c>
      <c r="CK1420">
        <v>8903</v>
      </c>
      <c r="CL1420" t="s">
        <v>7685</v>
      </c>
      <c r="CM1420">
        <v>998.4</v>
      </c>
      <c r="CN1420">
        <v>-4.32</v>
      </c>
      <c r="CO1420">
        <v>1.67</v>
      </c>
      <c r="CP1420">
        <v>-5.71</v>
      </c>
      <c r="CQ1420">
        <v>3.81</v>
      </c>
      <c r="CR1420">
        <v>0.36</v>
      </c>
      <c r="CS1420" t="s">
        <v>2782</v>
      </c>
      <c r="CT1420">
        <v>5.0599999999999996</v>
      </c>
      <c r="CU1420">
        <v>0</v>
      </c>
      <c r="CV1420">
        <v>2.44</v>
      </c>
      <c r="CW1420">
        <v>1.44</v>
      </c>
      <c r="CX1420">
        <v>-1.48</v>
      </c>
      <c r="CY1420">
        <v>53.03</v>
      </c>
      <c r="CZ1420" t="s">
        <v>1396</v>
      </c>
      <c r="DA1420">
        <v>25.75</v>
      </c>
      <c r="DB1420">
        <v>10.62</v>
      </c>
      <c r="DC1420">
        <v>9.34</v>
      </c>
      <c r="DD1420">
        <v>0.43</v>
      </c>
      <c r="DE1420">
        <v>798</v>
      </c>
      <c r="DF1420">
        <v>300020</v>
      </c>
      <c r="DG1420" t="s">
        <v>116</v>
      </c>
      <c r="DH1420" t="s">
        <v>116</v>
      </c>
      <c r="DI1420" t="s">
        <v>116</v>
      </c>
    </row>
    <row r="1421" spans="1:113" x14ac:dyDescent="0.4">
      <c r="A1421" t="str">
        <f>"300021"</f>
        <v>300021</v>
      </c>
      <c r="B1421" t="s">
        <v>7686</v>
      </c>
      <c r="C1421">
        <v>-0.94</v>
      </c>
      <c r="D1421">
        <v>5.25</v>
      </c>
      <c r="E1421">
        <v>-0.05</v>
      </c>
      <c r="F1421">
        <v>5.25</v>
      </c>
      <c r="G1421">
        <v>5.26</v>
      </c>
      <c r="H1421">
        <v>94246</v>
      </c>
      <c r="I1421">
        <v>1500</v>
      </c>
      <c r="J1421">
        <v>-0.18</v>
      </c>
      <c r="K1421">
        <v>1.45</v>
      </c>
      <c r="L1421">
        <v>5.3</v>
      </c>
      <c r="M1421">
        <v>5.32</v>
      </c>
      <c r="N1421">
        <v>5.25</v>
      </c>
      <c r="O1421">
        <v>5.3</v>
      </c>
      <c r="P1421">
        <v>37.44</v>
      </c>
      <c r="Q1421">
        <v>49760816</v>
      </c>
      <c r="R1421">
        <v>0.57999999999999996</v>
      </c>
      <c r="S1421" t="s">
        <v>449</v>
      </c>
      <c r="T1421" t="s">
        <v>1122</v>
      </c>
      <c r="U1421">
        <v>1.32</v>
      </c>
      <c r="V1421">
        <v>5.28</v>
      </c>
      <c r="W1421">
        <v>63116</v>
      </c>
      <c r="X1421">
        <v>31130</v>
      </c>
      <c r="Y1421">
        <v>2.0299999999999998</v>
      </c>
      <c r="Z1421">
        <v>1442</v>
      </c>
      <c r="AA1421">
        <v>668</v>
      </c>
      <c r="AB1421" t="s">
        <v>116</v>
      </c>
      <c r="AC1421">
        <v>53000</v>
      </c>
      <c r="AD1421">
        <v>0</v>
      </c>
      <c r="AE1421" t="s">
        <v>116</v>
      </c>
      <c r="AF1421" t="s">
        <v>116</v>
      </c>
      <c r="AG1421">
        <v>6.48</v>
      </c>
      <c r="AH1421" t="s">
        <v>1454</v>
      </c>
      <c r="AI1421" t="s">
        <v>3182</v>
      </c>
      <c r="AJ1421">
        <v>-0.26</v>
      </c>
      <c r="AK1421">
        <v>1243</v>
      </c>
      <c r="AL1421">
        <v>76</v>
      </c>
      <c r="AM1421">
        <v>1.1999999999999999E-3</v>
      </c>
      <c r="AN1421">
        <v>-1</v>
      </c>
      <c r="AO1421">
        <v>-1.68</v>
      </c>
      <c r="AP1421">
        <v>3.14</v>
      </c>
      <c r="AQ1421">
        <v>1.94</v>
      </c>
      <c r="AR1421">
        <v>29.63</v>
      </c>
      <c r="AS1421">
        <v>2.2400000000000002</v>
      </c>
      <c r="AT1421" t="s">
        <v>5183</v>
      </c>
      <c r="AU1421">
        <v>33.01</v>
      </c>
      <c r="AV1421">
        <v>41.78</v>
      </c>
      <c r="AW1421">
        <v>1.03</v>
      </c>
      <c r="BA1421">
        <v>0</v>
      </c>
      <c r="BB1421">
        <v>0.38</v>
      </c>
      <c r="BC1421">
        <v>-0.94</v>
      </c>
      <c r="BD1421">
        <v>-0.38</v>
      </c>
      <c r="BE1421">
        <v>-0.94</v>
      </c>
      <c r="BF1421">
        <v>-1.32</v>
      </c>
      <c r="BG1421">
        <v>0</v>
      </c>
      <c r="BH1421">
        <v>-0.56000000000000005</v>
      </c>
      <c r="BI1421">
        <v>20191216</v>
      </c>
      <c r="BJ1421">
        <v>20091030</v>
      </c>
      <c r="BK1421">
        <v>7.97</v>
      </c>
      <c r="BL1421" t="s">
        <v>116</v>
      </c>
      <c r="BM1421" t="s">
        <v>116</v>
      </c>
      <c r="BN1421">
        <v>39.729999999999997</v>
      </c>
      <c r="BO1421">
        <v>14.48</v>
      </c>
      <c r="BP1421">
        <v>1.48</v>
      </c>
      <c r="BQ1421">
        <v>59.84</v>
      </c>
      <c r="BR1421">
        <v>27.09</v>
      </c>
      <c r="BS1421">
        <v>3.33</v>
      </c>
      <c r="BT1421">
        <v>0.98</v>
      </c>
      <c r="BU1421">
        <v>20.420000000000002</v>
      </c>
      <c r="BV1421">
        <v>5.78</v>
      </c>
      <c r="BW1421">
        <v>8.39</v>
      </c>
      <c r="BX1421">
        <v>2.54</v>
      </c>
      <c r="BY1421">
        <v>13.14</v>
      </c>
      <c r="BZ1421">
        <v>9.74</v>
      </c>
      <c r="CA1421">
        <v>1.26</v>
      </c>
      <c r="CB1421">
        <v>0</v>
      </c>
      <c r="CC1421">
        <v>1.28</v>
      </c>
      <c r="CD1421">
        <v>0.93</v>
      </c>
      <c r="CE1421">
        <v>0.84</v>
      </c>
      <c r="CF1421">
        <v>0.73</v>
      </c>
      <c r="CG1421">
        <v>4.13</v>
      </c>
      <c r="CH1421">
        <v>-0.42</v>
      </c>
      <c r="CI1421">
        <v>-3.09</v>
      </c>
      <c r="CJ1421">
        <v>29550</v>
      </c>
      <c r="CK1421">
        <v>14236</v>
      </c>
      <c r="CL1421" t="s">
        <v>7687</v>
      </c>
      <c r="CM1421">
        <v>46.49</v>
      </c>
      <c r="CN1421">
        <v>34.979999999999997</v>
      </c>
      <c r="CO1421">
        <v>2.89</v>
      </c>
      <c r="CP1421">
        <v>-100.36</v>
      </c>
      <c r="CQ1421">
        <v>3.18</v>
      </c>
      <c r="CR1421">
        <v>1.88</v>
      </c>
      <c r="CS1421" t="s">
        <v>4800</v>
      </c>
      <c r="CT1421">
        <v>1.82</v>
      </c>
      <c r="CU1421">
        <v>0</v>
      </c>
      <c r="CV1421">
        <v>0.32</v>
      </c>
      <c r="CW1421">
        <v>0.52</v>
      </c>
      <c r="CX1421">
        <v>-0.05</v>
      </c>
      <c r="CY1421">
        <v>36.44</v>
      </c>
      <c r="CZ1421" t="s">
        <v>7688</v>
      </c>
      <c r="DA1421">
        <v>25.88</v>
      </c>
      <c r="DB1421">
        <v>9.56</v>
      </c>
      <c r="DC1421">
        <v>6.38</v>
      </c>
      <c r="DD1421">
        <v>0.1</v>
      </c>
      <c r="DE1421">
        <v>1550</v>
      </c>
      <c r="DF1421">
        <v>300021</v>
      </c>
      <c r="DG1421" t="s">
        <v>116</v>
      </c>
      <c r="DH1421" t="s">
        <v>116</v>
      </c>
      <c r="DI1421" t="s">
        <v>116</v>
      </c>
    </row>
    <row r="1422" spans="1:113" x14ac:dyDescent="0.4">
      <c r="A1422" t="str">
        <f>"300022"</f>
        <v>300022</v>
      </c>
      <c r="B1422" t="s">
        <v>7689</v>
      </c>
      <c r="C1422">
        <v>-0.78</v>
      </c>
      <c r="D1422">
        <v>3.83</v>
      </c>
      <c r="E1422">
        <v>-0.03</v>
      </c>
      <c r="F1422">
        <v>3.83</v>
      </c>
      <c r="G1422">
        <v>3.84</v>
      </c>
      <c r="H1422">
        <v>78334</v>
      </c>
      <c r="I1422">
        <v>1999</v>
      </c>
      <c r="J1422">
        <v>0.26</v>
      </c>
      <c r="K1422">
        <v>2.29</v>
      </c>
      <c r="L1422">
        <v>3.89</v>
      </c>
      <c r="M1422">
        <v>3.91</v>
      </c>
      <c r="N1422">
        <v>3.82</v>
      </c>
      <c r="O1422">
        <v>3.86</v>
      </c>
      <c r="P1422" t="s">
        <v>116</v>
      </c>
      <c r="Q1422">
        <v>30340308</v>
      </c>
      <c r="R1422">
        <v>0.73</v>
      </c>
      <c r="S1422" t="s">
        <v>2298</v>
      </c>
      <c r="T1422" t="s">
        <v>582</v>
      </c>
      <c r="U1422">
        <v>2.33</v>
      </c>
      <c r="V1422">
        <v>3.87</v>
      </c>
      <c r="W1422">
        <v>45318</v>
      </c>
      <c r="X1422">
        <v>33016</v>
      </c>
      <c r="Y1422">
        <v>1.37</v>
      </c>
      <c r="Z1422">
        <v>209</v>
      </c>
      <c r="AA1422">
        <v>1808</v>
      </c>
      <c r="AB1422" t="s">
        <v>116</v>
      </c>
      <c r="AC1422">
        <v>166100</v>
      </c>
      <c r="AD1422">
        <v>0.02</v>
      </c>
      <c r="AE1422" t="s">
        <v>116</v>
      </c>
      <c r="AF1422" t="s">
        <v>116</v>
      </c>
      <c r="AG1422">
        <v>3.43</v>
      </c>
      <c r="AH1422" t="s">
        <v>6480</v>
      </c>
      <c r="AI1422" t="s">
        <v>7690</v>
      </c>
      <c r="AJ1422">
        <v>-0.1</v>
      </c>
      <c r="AK1422">
        <v>1225</v>
      </c>
      <c r="AL1422">
        <v>64</v>
      </c>
      <c r="AM1422">
        <v>1.9E-3</v>
      </c>
      <c r="AN1422">
        <v>-1</v>
      </c>
      <c r="AO1422">
        <v>-0.52</v>
      </c>
      <c r="AP1422">
        <v>4.08</v>
      </c>
      <c r="AQ1422">
        <v>0.26</v>
      </c>
      <c r="AR1422">
        <v>5.8</v>
      </c>
      <c r="AS1422">
        <v>2.76</v>
      </c>
      <c r="AT1422" t="s">
        <v>7691</v>
      </c>
      <c r="AU1422" t="s">
        <v>116</v>
      </c>
      <c r="AV1422">
        <v>139.15</v>
      </c>
      <c r="AW1422">
        <v>0.82</v>
      </c>
      <c r="BA1422">
        <v>0.78</v>
      </c>
      <c r="BB1422">
        <v>1.3</v>
      </c>
      <c r="BC1422">
        <v>-1.04</v>
      </c>
      <c r="BD1422">
        <v>0.34</v>
      </c>
      <c r="BE1422">
        <v>-1.54</v>
      </c>
      <c r="BF1422">
        <v>-2.0499999999999998</v>
      </c>
      <c r="BG1422">
        <v>0.26</v>
      </c>
      <c r="BH1422">
        <v>-1.1200000000000001</v>
      </c>
      <c r="BI1422">
        <v>20191030</v>
      </c>
      <c r="BJ1422">
        <v>20091030</v>
      </c>
      <c r="BK1422">
        <v>3.8</v>
      </c>
      <c r="BL1422" t="s">
        <v>116</v>
      </c>
      <c r="BM1422" t="s">
        <v>116</v>
      </c>
      <c r="BN1422">
        <v>19.75</v>
      </c>
      <c r="BO1422">
        <v>1.64</v>
      </c>
      <c r="BP1422">
        <v>2.36</v>
      </c>
      <c r="BQ1422">
        <v>79.75</v>
      </c>
      <c r="BR1422">
        <v>16.559999999999999</v>
      </c>
      <c r="BS1422">
        <v>1.43</v>
      </c>
      <c r="BT1422">
        <v>0.54</v>
      </c>
      <c r="BU1422">
        <v>15.62</v>
      </c>
      <c r="BV1422">
        <v>5.51</v>
      </c>
      <c r="BW1422">
        <v>4.43</v>
      </c>
      <c r="BX1422">
        <v>2.0699999999999998</v>
      </c>
      <c r="BY1422">
        <v>18.61</v>
      </c>
      <c r="BZ1422">
        <v>16.05</v>
      </c>
      <c r="CA1422">
        <v>-0.46</v>
      </c>
      <c r="CB1422">
        <v>0.03</v>
      </c>
      <c r="CC1422">
        <v>-0.46</v>
      </c>
      <c r="CD1422">
        <v>-0.51</v>
      </c>
      <c r="CE1422">
        <v>-0.57999999999999996</v>
      </c>
      <c r="CF1422">
        <v>-0.34</v>
      </c>
      <c r="CG1422">
        <v>-4.41</v>
      </c>
      <c r="CH1422">
        <v>-0.84</v>
      </c>
      <c r="CI1422">
        <v>-1.57</v>
      </c>
      <c r="CJ1422">
        <v>32570</v>
      </c>
      <c r="CK1422">
        <v>8721</v>
      </c>
      <c r="CL1422" t="s">
        <v>1649</v>
      </c>
      <c r="CM1422">
        <v>-2616.1799999999998</v>
      </c>
      <c r="CN1422">
        <v>-16.920000000000002</v>
      </c>
      <c r="CO1422">
        <v>8.8699999999999992</v>
      </c>
      <c r="CP1422">
        <v>-17.420000000000002</v>
      </c>
      <c r="CQ1422">
        <v>0.78</v>
      </c>
      <c r="CR1422">
        <v>0</v>
      </c>
      <c r="CS1422" t="s">
        <v>7692</v>
      </c>
      <c r="CT1422">
        <v>0.43</v>
      </c>
      <c r="CU1422">
        <v>0</v>
      </c>
      <c r="CV1422">
        <v>0.54</v>
      </c>
      <c r="CW1422">
        <v>-1.1599999999999999</v>
      </c>
      <c r="CX1422">
        <v>-0.22</v>
      </c>
      <c r="CY1422">
        <v>8.31</v>
      </c>
      <c r="CZ1422" t="s">
        <v>7693</v>
      </c>
      <c r="DA1422">
        <v>13.76</v>
      </c>
      <c r="DB1422">
        <v>-2.48</v>
      </c>
      <c r="DC1422">
        <v>-3.11</v>
      </c>
      <c r="DD1422">
        <v>0</v>
      </c>
      <c r="DE1422">
        <v>1270</v>
      </c>
      <c r="DF1422">
        <v>300022</v>
      </c>
      <c r="DG1422" t="s">
        <v>116</v>
      </c>
      <c r="DH1422" t="s">
        <v>116</v>
      </c>
      <c r="DI1422" t="s">
        <v>116</v>
      </c>
    </row>
    <row r="1423" spans="1:113" x14ac:dyDescent="0.4">
      <c r="A1423" t="str">
        <f>"300023"</f>
        <v>300023</v>
      </c>
      <c r="B1423" t="s">
        <v>7694</v>
      </c>
      <c r="C1423">
        <v>-1.08</v>
      </c>
      <c r="D1423">
        <v>7.33</v>
      </c>
      <c r="E1423">
        <v>-0.08</v>
      </c>
      <c r="F1423">
        <v>7.33</v>
      </c>
      <c r="G1423">
        <v>7.34</v>
      </c>
      <c r="H1423">
        <v>40355</v>
      </c>
      <c r="I1423">
        <v>1414</v>
      </c>
      <c r="J1423">
        <v>-0.13</v>
      </c>
      <c r="K1423">
        <v>2.79</v>
      </c>
      <c r="L1423">
        <v>7.45</v>
      </c>
      <c r="M1423">
        <v>7.57</v>
      </c>
      <c r="N1423">
        <v>7.33</v>
      </c>
      <c r="O1423">
        <v>7.41</v>
      </c>
      <c r="P1423" t="s">
        <v>116</v>
      </c>
      <c r="Q1423">
        <v>30038414</v>
      </c>
      <c r="R1423">
        <v>0.78</v>
      </c>
      <c r="S1423" t="s">
        <v>682</v>
      </c>
      <c r="T1423" t="s">
        <v>913</v>
      </c>
      <c r="U1423">
        <v>3.24</v>
      </c>
      <c r="V1423">
        <v>7.44</v>
      </c>
      <c r="W1423">
        <v>24602</v>
      </c>
      <c r="X1423">
        <v>15753</v>
      </c>
      <c r="Y1423">
        <v>1.56</v>
      </c>
      <c r="Z1423">
        <v>1067</v>
      </c>
      <c r="AA1423">
        <v>55</v>
      </c>
      <c r="AB1423" t="s">
        <v>116</v>
      </c>
      <c r="AC1423">
        <v>56600</v>
      </c>
      <c r="AD1423">
        <v>0.01</v>
      </c>
      <c r="AE1423" t="s">
        <v>116</v>
      </c>
      <c r="AF1423" t="s">
        <v>116</v>
      </c>
      <c r="AG1423">
        <v>1.44</v>
      </c>
      <c r="AH1423" t="s">
        <v>7495</v>
      </c>
      <c r="AI1423" t="s">
        <v>7695</v>
      </c>
      <c r="AJ1423">
        <v>-0.4</v>
      </c>
      <c r="AK1423">
        <v>991</v>
      </c>
      <c r="AL1423">
        <v>41</v>
      </c>
      <c r="AM1423">
        <v>2.8E-3</v>
      </c>
      <c r="AN1423">
        <v>-1</v>
      </c>
      <c r="AO1423">
        <v>-2.0099999999999998</v>
      </c>
      <c r="AP1423">
        <v>4.5599999999999996</v>
      </c>
      <c r="AQ1423">
        <v>-9.06</v>
      </c>
      <c r="AR1423">
        <v>20.76</v>
      </c>
      <c r="AS1423">
        <v>3.77</v>
      </c>
      <c r="AT1423" t="s">
        <v>7696</v>
      </c>
      <c r="AU1423" t="s">
        <v>116</v>
      </c>
      <c r="AV1423" t="s">
        <v>116</v>
      </c>
      <c r="AW1423">
        <v>0.83</v>
      </c>
      <c r="BA1423">
        <v>0.54</v>
      </c>
      <c r="BB1423">
        <v>2.16</v>
      </c>
      <c r="BC1423">
        <v>-1.08</v>
      </c>
      <c r="BD1423">
        <v>0.45</v>
      </c>
      <c r="BE1423">
        <v>-1.61</v>
      </c>
      <c r="BF1423">
        <v>-3.17</v>
      </c>
      <c r="BG1423">
        <v>0</v>
      </c>
      <c r="BH1423">
        <v>-1.53</v>
      </c>
      <c r="BI1423">
        <v>20191216</v>
      </c>
      <c r="BJ1423">
        <v>20091030</v>
      </c>
      <c r="BK1423">
        <v>3.16</v>
      </c>
      <c r="BL1423" t="s">
        <v>116</v>
      </c>
      <c r="BM1423" t="s">
        <v>116</v>
      </c>
      <c r="BN1423">
        <v>39.21</v>
      </c>
      <c r="BO1423">
        <v>3.1</v>
      </c>
      <c r="BP1423">
        <v>0.12</v>
      </c>
      <c r="BQ1423">
        <v>91.78</v>
      </c>
      <c r="BR1423">
        <v>30.03</v>
      </c>
      <c r="BS1423">
        <v>1.45</v>
      </c>
      <c r="BT1423">
        <v>0.17</v>
      </c>
      <c r="BU1423">
        <v>35.94</v>
      </c>
      <c r="BV1423">
        <v>0.23</v>
      </c>
      <c r="BW1423">
        <v>0.16</v>
      </c>
      <c r="BX1423">
        <v>5.9</v>
      </c>
      <c r="BY1423">
        <v>1.21</v>
      </c>
      <c r="BZ1423">
        <v>2.85</v>
      </c>
      <c r="CA1423">
        <v>-2.16</v>
      </c>
      <c r="CB1423">
        <v>0</v>
      </c>
      <c r="CC1423">
        <v>-2.16</v>
      </c>
      <c r="CD1423">
        <v>-2.12</v>
      </c>
      <c r="CE1423">
        <v>-1.91</v>
      </c>
      <c r="CF1423">
        <v>-1.92</v>
      </c>
      <c r="CG1423">
        <v>-6.02</v>
      </c>
      <c r="CH1423">
        <v>5.82</v>
      </c>
      <c r="CI1423">
        <v>-0.8</v>
      </c>
      <c r="CJ1423">
        <v>21651</v>
      </c>
      <c r="CK1423">
        <v>4948</v>
      </c>
      <c r="CL1423" t="s">
        <v>2473</v>
      </c>
      <c r="CM1423">
        <v>-939.1</v>
      </c>
      <c r="CN1423">
        <v>-64.45</v>
      </c>
      <c r="CO1423">
        <v>7.46</v>
      </c>
      <c r="CP1423">
        <v>3.98</v>
      </c>
      <c r="CQ1423">
        <v>19.170000000000002</v>
      </c>
      <c r="CR1423">
        <v>0</v>
      </c>
      <c r="CS1423" t="s">
        <v>7697</v>
      </c>
      <c r="CT1423">
        <v>0.98</v>
      </c>
      <c r="CU1423">
        <v>0</v>
      </c>
      <c r="CV1423">
        <v>1.87</v>
      </c>
      <c r="CW1423">
        <v>-1.91</v>
      </c>
      <c r="CX1423">
        <v>1.84</v>
      </c>
      <c r="CY1423">
        <v>7.92</v>
      </c>
      <c r="CZ1423" t="s">
        <v>7698</v>
      </c>
      <c r="DA1423">
        <v>-135.41</v>
      </c>
      <c r="DB1423">
        <v>-178.44</v>
      </c>
      <c r="DC1423">
        <v>-158.05000000000001</v>
      </c>
      <c r="DD1423">
        <v>0</v>
      </c>
      <c r="DE1423">
        <v>112</v>
      </c>
      <c r="DF1423">
        <v>300023</v>
      </c>
      <c r="DG1423" t="s">
        <v>116</v>
      </c>
      <c r="DH1423" t="s">
        <v>116</v>
      </c>
      <c r="DI1423" t="s">
        <v>116</v>
      </c>
    </row>
    <row r="1424" spans="1:113" x14ac:dyDescent="0.4">
      <c r="A1424" t="str">
        <f>"300024"</f>
        <v>300024</v>
      </c>
      <c r="B1424" t="s">
        <v>7699</v>
      </c>
      <c r="C1424">
        <v>-1.97</v>
      </c>
      <c r="D1424">
        <v>13.96</v>
      </c>
      <c r="E1424">
        <v>-0.28000000000000003</v>
      </c>
      <c r="F1424">
        <v>13.95</v>
      </c>
      <c r="G1424">
        <v>13.96</v>
      </c>
      <c r="H1424">
        <v>161603</v>
      </c>
      <c r="I1424">
        <v>2602</v>
      </c>
      <c r="J1424">
        <v>-0.13</v>
      </c>
      <c r="K1424">
        <v>1.07</v>
      </c>
      <c r="L1424">
        <v>14.2</v>
      </c>
      <c r="M1424">
        <v>14.32</v>
      </c>
      <c r="N1424">
        <v>13.96</v>
      </c>
      <c r="O1424">
        <v>14.24</v>
      </c>
      <c r="P1424">
        <v>56.92</v>
      </c>
      <c r="Q1424">
        <v>228277856</v>
      </c>
      <c r="R1424">
        <v>1.42</v>
      </c>
      <c r="S1424" t="s">
        <v>682</v>
      </c>
      <c r="T1424" t="s">
        <v>434</v>
      </c>
      <c r="U1424">
        <v>2.5299999999999998</v>
      </c>
      <c r="V1424">
        <v>14.13</v>
      </c>
      <c r="W1424">
        <v>99300</v>
      </c>
      <c r="X1424">
        <v>62303</v>
      </c>
      <c r="Y1424">
        <v>1.59</v>
      </c>
      <c r="Z1424">
        <v>1009</v>
      </c>
      <c r="AA1424">
        <v>284</v>
      </c>
      <c r="AB1424" t="s">
        <v>116</v>
      </c>
      <c r="AC1424">
        <v>438800</v>
      </c>
      <c r="AD1424">
        <v>0</v>
      </c>
      <c r="AE1424" t="s">
        <v>116</v>
      </c>
      <c r="AF1424" t="s">
        <v>116</v>
      </c>
      <c r="AG1424">
        <v>15.14</v>
      </c>
      <c r="AH1424" t="s">
        <v>7700</v>
      </c>
      <c r="AI1424" t="s">
        <v>7701</v>
      </c>
      <c r="AJ1424">
        <v>-1.29</v>
      </c>
      <c r="AK1424">
        <v>3121</v>
      </c>
      <c r="AL1424">
        <v>52</v>
      </c>
      <c r="AM1424">
        <v>2.9999999999999997E-4</v>
      </c>
      <c r="AN1424">
        <v>-1</v>
      </c>
      <c r="AO1424">
        <v>-0.99</v>
      </c>
      <c r="AP1424">
        <v>3.64</v>
      </c>
      <c r="AQ1424">
        <v>-3.66</v>
      </c>
      <c r="AR1424">
        <v>5.6</v>
      </c>
      <c r="AS1424">
        <v>1.44</v>
      </c>
      <c r="AT1424" t="s">
        <v>7702</v>
      </c>
      <c r="AU1424">
        <v>53.5</v>
      </c>
      <c r="AV1424">
        <v>48.47</v>
      </c>
      <c r="AW1424">
        <v>0.94</v>
      </c>
      <c r="BA1424">
        <v>-0.28000000000000003</v>
      </c>
      <c r="BB1424">
        <v>0.56000000000000005</v>
      </c>
      <c r="BC1424">
        <v>-1.97</v>
      </c>
      <c r="BD1424">
        <v>-0.8</v>
      </c>
      <c r="BE1424">
        <v>-1.69</v>
      </c>
      <c r="BF1424">
        <v>-2.5099999999999998</v>
      </c>
      <c r="BG1424">
        <v>0</v>
      </c>
      <c r="BH1424">
        <v>-1.1599999999999999</v>
      </c>
      <c r="BI1424">
        <v>20191026</v>
      </c>
      <c r="BJ1424">
        <v>20091030</v>
      </c>
      <c r="BK1424">
        <v>15.6</v>
      </c>
      <c r="BL1424" t="s">
        <v>116</v>
      </c>
      <c r="BM1424" t="s">
        <v>116</v>
      </c>
      <c r="BN1424">
        <v>102.29</v>
      </c>
      <c r="BO1424">
        <v>64.28</v>
      </c>
      <c r="BP1424">
        <v>0.84</v>
      </c>
      <c r="BQ1424">
        <v>36.33</v>
      </c>
      <c r="BR1424">
        <v>74.010000000000005</v>
      </c>
      <c r="BS1424">
        <v>12.73</v>
      </c>
      <c r="BT1424">
        <v>3.96</v>
      </c>
      <c r="BU1424">
        <v>30.64</v>
      </c>
      <c r="BV1424">
        <v>34.19</v>
      </c>
      <c r="BW1424">
        <v>13.74</v>
      </c>
      <c r="BX1424">
        <v>26.5</v>
      </c>
      <c r="BY1424">
        <v>18.63</v>
      </c>
      <c r="BZ1424">
        <v>13.12</v>
      </c>
      <c r="CA1424">
        <v>3.18</v>
      </c>
      <c r="CB1424">
        <v>0.77</v>
      </c>
      <c r="CC1424">
        <v>3.18</v>
      </c>
      <c r="CD1424">
        <v>2.79</v>
      </c>
      <c r="CE1424">
        <v>2.87</v>
      </c>
      <c r="CF1424">
        <v>2.27</v>
      </c>
      <c r="CG1424">
        <v>21.62</v>
      </c>
      <c r="CH1424">
        <v>-5.15</v>
      </c>
      <c r="CI1424">
        <v>-11.5</v>
      </c>
      <c r="CJ1424">
        <v>140414</v>
      </c>
      <c r="CK1424">
        <v>7972</v>
      </c>
      <c r="CL1424" t="s">
        <v>7703</v>
      </c>
      <c r="CM1424">
        <v>-12.83</v>
      </c>
      <c r="CN1424">
        <v>-10.199999999999999</v>
      </c>
      <c r="CO1424">
        <v>3.39</v>
      </c>
      <c r="CP1424">
        <v>-42.3</v>
      </c>
      <c r="CQ1424">
        <v>11.69</v>
      </c>
      <c r="CR1424">
        <v>0</v>
      </c>
      <c r="CS1424" t="s">
        <v>2474</v>
      </c>
      <c r="CT1424">
        <v>4.12</v>
      </c>
      <c r="CU1424">
        <v>0</v>
      </c>
      <c r="CV1424">
        <v>1.7</v>
      </c>
      <c r="CW1424">
        <v>1.39</v>
      </c>
      <c r="CX1424">
        <v>-0.33</v>
      </c>
      <c r="CY1424">
        <v>62.84</v>
      </c>
      <c r="CZ1424" t="s">
        <v>7704</v>
      </c>
      <c r="DA1424">
        <v>29.54</v>
      </c>
      <c r="DB1424">
        <v>17.059999999999999</v>
      </c>
      <c r="DC1424">
        <v>15.41</v>
      </c>
      <c r="DD1424">
        <v>0.59</v>
      </c>
      <c r="DE1424">
        <v>4513</v>
      </c>
      <c r="DF1424">
        <v>300024</v>
      </c>
      <c r="DG1424" t="s">
        <v>116</v>
      </c>
      <c r="DH1424" t="s">
        <v>116</v>
      </c>
      <c r="DI1424" t="s">
        <v>116</v>
      </c>
    </row>
    <row r="1425" spans="1:113" x14ac:dyDescent="0.4">
      <c r="A1425" t="str">
        <f>"300025"</f>
        <v>300025</v>
      </c>
      <c r="B1425" t="s">
        <v>7705</v>
      </c>
      <c r="C1425">
        <v>-1.7</v>
      </c>
      <c r="D1425">
        <v>5.21</v>
      </c>
      <c r="E1425">
        <v>-0.09</v>
      </c>
      <c r="F1425">
        <v>5.21</v>
      </c>
      <c r="G1425">
        <v>5.22</v>
      </c>
      <c r="H1425">
        <v>88595</v>
      </c>
      <c r="I1425">
        <v>1305</v>
      </c>
      <c r="J1425">
        <v>-0.18</v>
      </c>
      <c r="K1425">
        <v>2.2200000000000002</v>
      </c>
      <c r="L1425">
        <v>5.32</v>
      </c>
      <c r="M1425">
        <v>5.34</v>
      </c>
      <c r="N1425">
        <v>5.2</v>
      </c>
      <c r="O1425">
        <v>5.3</v>
      </c>
      <c r="P1425">
        <v>365.96</v>
      </c>
      <c r="Q1425">
        <v>46765972</v>
      </c>
      <c r="R1425">
        <v>1.03</v>
      </c>
      <c r="S1425" t="s">
        <v>465</v>
      </c>
      <c r="T1425" t="s">
        <v>590</v>
      </c>
      <c r="U1425">
        <v>2.64</v>
      </c>
      <c r="V1425">
        <v>5.28</v>
      </c>
      <c r="W1425">
        <v>49807</v>
      </c>
      <c r="X1425">
        <v>38788</v>
      </c>
      <c r="Y1425">
        <v>1.28</v>
      </c>
      <c r="Z1425">
        <v>713</v>
      </c>
      <c r="AA1425">
        <v>1080</v>
      </c>
      <c r="AB1425" t="s">
        <v>116</v>
      </c>
      <c r="AC1425">
        <v>97900</v>
      </c>
      <c r="AD1425">
        <v>0.01</v>
      </c>
      <c r="AE1425" t="s">
        <v>116</v>
      </c>
      <c r="AF1425" t="s">
        <v>116</v>
      </c>
      <c r="AG1425">
        <v>3.99</v>
      </c>
      <c r="AH1425" t="s">
        <v>7706</v>
      </c>
      <c r="AI1425" t="s">
        <v>7707</v>
      </c>
      <c r="AJ1425">
        <v>-1.02</v>
      </c>
      <c r="AK1425">
        <v>1395</v>
      </c>
      <c r="AL1425">
        <v>64</v>
      </c>
      <c r="AM1425">
        <v>1.6000000000000001E-3</v>
      </c>
      <c r="AN1425">
        <v>-1</v>
      </c>
      <c r="AO1425">
        <v>-0.38</v>
      </c>
      <c r="AP1425">
        <v>2.56</v>
      </c>
      <c r="AQ1425">
        <v>-15.7</v>
      </c>
      <c r="AR1425">
        <v>8.77</v>
      </c>
      <c r="AS1425">
        <v>2.67</v>
      </c>
      <c r="AT1425" t="s">
        <v>7708</v>
      </c>
      <c r="AU1425">
        <v>43.19</v>
      </c>
      <c r="AV1425">
        <v>204.18</v>
      </c>
      <c r="AW1425">
        <v>1.33</v>
      </c>
      <c r="BA1425">
        <v>0.38</v>
      </c>
      <c r="BB1425">
        <v>0.75</v>
      </c>
      <c r="BC1425">
        <v>-1.89</v>
      </c>
      <c r="BD1425">
        <v>-0.4</v>
      </c>
      <c r="BE1425">
        <v>-2.0699999999999998</v>
      </c>
      <c r="BF1425">
        <v>-2.4300000000000002</v>
      </c>
      <c r="BG1425">
        <v>0.19</v>
      </c>
      <c r="BH1425">
        <v>-1.29</v>
      </c>
      <c r="BI1425">
        <v>20191022</v>
      </c>
      <c r="BJ1425">
        <v>20091030</v>
      </c>
      <c r="BK1425">
        <v>4.29</v>
      </c>
      <c r="BL1425" t="s">
        <v>116</v>
      </c>
      <c r="BM1425" t="s">
        <v>116</v>
      </c>
      <c r="BN1425">
        <v>19.53</v>
      </c>
      <c r="BO1425">
        <v>7.64</v>
      </c>
      <c r="BP1425">
        <v>0.02</v>
      </c>
      <c r="BQ1425">
        <v>60.78</v>
      </c>
      <c r="BR1425">
        <v>15.09</v>
      </c>
      <c r="BS1425">
        <v>0.38</v>
      </c>
      <c r="BT1425">
        <v>0.03</v>
      </c>
      <c r="BU1425">
        <v>11.55</v>
      </c>
      <c r="BV1425">
        <v>2.5299999999999998</v>
      </c>
      <c r="BW1425">
        <v>10.54</v>
      </c>
      <c r="BX1425">
        <v>0.32</v>
      </c>
      <c r="BY1425">
        <v>7.54</v>
      </c>
      <c r="BZ1425">
        <v>6.29</v>
      </c>
      <c r="CA1425">
        <v>0.04</v>
      </c>
      <c r="CB1425">
        <v>-0.06</v>
      </c>
      <c r="CC1425">
        <v>0.03</v>
      </c>
      <c r="CD1425">
        <v>0.04</v>
      </c>
      <c r="CE1425">
        <v>0.05</v>
      </c>
      <c r="CF1425">
        <v>-0.02</v>
      </c>
      <c r="CG1425">
        <v>2.95</v>
      </c>
      <c r="CH1425">
        <v>0.2</v>
      </c>
      <c r="CI1425">
        <v>-0.48</v>
      </c>
      <c r="CJ1425">
        <v>37505</v>
      </c>
      <c r="CK1425">
        <v>8855</v>
      </c>
      <c r="CL1425" t="s">
        <v>1438</v>
      </c>
      <c r="CM1425">
        <v>112.65</v>
      </c>
      <c r="CN1425">
        <v>-21.79</v>
      </c>
      <c r="CO1425">
        <v>2.92</v>
      </c>
      <c r="CP1425">
        <v>111.89</v>
      </c>
      <c r="CQ1425">
        <v>2.96</v>
      </c>
      <c r="CR1425">
        <v>0</v>
      </c>
      <c r="CS1425" t="s">
        <v>3700</v>
      </c>
      <c r="CT1425">
        <v>1.78</v>
      </c>
      <c r="CU1425">
        <v>0</v>
      </c>
      <c r="CV1425">
        <v>7.0000000000000007E-2</v>
      </c>
      <c r="CW1425">
        <v>0.69</v>
      </c>
      <c r="CX1425">
        <v>0.05</v>
      </c>
      <c r="CY1425">
        <v>39.119999999999997</v>
      </c>
      <c r="CZ1425" t="s">
        <v>3959</v>
      </c>
      <c r="DA1425">
        <v>16.55</v>
      </c>
      <c r="DB1425">
        <v>0.54</v>
      </c>
      <c r="DC1425">
        <v>0.61</v>
      </c>
      <c r="DD1425">
        <v>0.33</v>
      </c>
      <c r="DE1425">
        <v>3140</v>
      </c>
      <c r="DF1425">
        <v>300025</v>
      </c>
      <c r="DG1425" t="s">
        <v>116</v>
      </c>
      <c r="DH1425" t="s">
        <v>116</v>
      </c>
      <c r="DI1425" t="s">
        <v>116</v>
      </c>
    </row>
    <row r="1426" spans="1:113" x14ac:dyDescent="0.4">
      <c r="A1426" t="str">
        <f>"300026"</f>
        <v>300026</v>
      </c>
      <c r="B1426" t="s">
        <v>7709</v>
      </c>
      <c r="C1426">
        <v>-0.57999999999999996</v>
      </c>
      <c r="D1426">
        <v>3.4</v>
      </c>
      <c r="E1426">
        <v>-0.02</v>
      </c>
      <c r="F1426">
        <v>3.4</v>
      </c>
      <c r="G1426">
        <v>3.41</v>
      </c>
      <c r="H1426">
        <v>129246</v>
      </c>
      <c r="I1426">
        <v>2039</v>
      </c>
      <c r="J1426">
        <v>0</v>
      </c>
      <c r="K1426">
        <v>0.53</v>
      </c>
      <c r="L1426">
        <v>3.42</v>
      </c>
      <c r="M1426">
        <v>3.44</v>
      </c>
      <c r="N1426">
        <v>3.4</v>
      </c>
      <c r="O1426">
        <v>3.42</v>
      </c>
      <c r="P1426">
        <v>14.85</v>
      </c>
      <c r="Q1426">
        <v>44239056</v>
      </c>
      <c r="R1426">
        <v>0.93</v>
      </c>
      <c r="S1426" t="s">
        <v>781</v>
      </c>
      <c r="T1426" t="s">
        <v>1035</v>
      </c>
      <c r="U1426">
        <v>1.17</v>
      </c>
      <c r="V1426">
        <v>3.42</v>
      </c>
      <c r="W1426">
        <v>71597</v>
      </c>
      <c r="X1426">
        <v>57649</v>
      </c>
      <c r="Y1426">
        <v>1.24</v>
      </c>
      <c r="Z1426">
        <v>6693</v>
      </c>
      <c r="AA1426">
        <v>1095</v>
      </c>
      <c r="AB1426" t="s">
        <v>116</v>
      </c>
      <c r="AC1426">
        <v>157700</v>
      </c>
      <c r="AD1426">
        <v>0</v>
      </c>
      <c r="AE1426" t="s">
        <v>116</v>
      </c>
      <c r="AF1426" t="s">
        <v>116</v>
      </c>
      <c r="AG1426">
        <v>24.34</v>
      </c>
      <c r="AH1426" t="s">
        <v>7710</v>
      </c>
      <c r="AI1426" t="s">
        <v>7711</v>
      </c>
      <c r="AJ1426">
        <v>0.09</v>
      </c>
      <c r="AK1426">
        <v>1667</v>
      </c>
      <c r="AL1426">
        <v>78</v>
      </c>
      <c r="AM1426">
        <v>2.9999999999999997E-4</v>
      </c>
      <c r="AN1426">
        <v>-1</v>
      </c>
      <c r="AO1426">
        <v>-0.57999999999999996</v>
      </c>
      <c r="AP1426">
        <v>-2.2999999999999998</v>
      </c>
      <c r="AQ1426">
        <v>0.59</v>
      </c>
      <c r="AR1426">
        <v>12.21</v>
      </c>
      <c r="AS1426">
        <v>0.85</v>
      </c>
      <c r="AT1426" t="s">
        <v>7712</v>
      </c>
      <c r="AU1426">
        <v>38.74</v>
      </c>
      <c r="AV1426">
        <v>48.48</v>
      </c>
      <c r="AW1426">
        <v>0.59</v>
      </c>
      <c r="BA1426">
        <v>0</v>
      </c>
      <c r="BB1426">
        <v>0.57999999999999996</v>
      </c>
      <c r="BC1426">
        <v>-0.57999999999999996</v>
      </c>
      <c r="BD1426">
        <v>0.08</v>
      </c>
      <c r="BE1426">
        <v>-0.57999999999999996</v>
      </c>
      <c r="BF1426">
        <v>-1.1599999999999999</v>
      </c>
      <c r="BG1426">
        <v>0</v>
      </c>
      <c r="BH1426">
        <v>-0.67</v>
      </c>
      <c r="BI1426">
        <v>20191029</v>
      </c>
      <c r="BJ1426">
        <v>20091030</v>
      </c>
      <c r="BK1426">
        <v>30.06</v>
      </c>
      <c r="BL1426" t="s">
        <v>116</v>
      </c>
      <c r="BM1426" t="s">
        <v>116</v>
      </c>
      <c r="BN1426">
        <v>83.08</v>
      </c>
      <c r="BO1426">
        <v>69.150000000000006</v>
      </c>
      <c r="BP1426">
        <v>2.82</v>
      </c>
      <c r="BQ1426">
        <v>13.38</v>
      </c>
      <c r="BR1426">
        <v>43.17</v>
      </c>
      <c r="BS1426">
        <v>18.399999999999999</v>
      </c>
      <c r="BT1426">
        <v>2.4300000000000002</v>
      </c>
      <c r="BU1426">
        <v>10.15</v>
      </c>
      <c r="BV1426">
        <v>8.94</v>
      </c>
      <c r="BW1426">
        <v>19.670000000000002</v>
      </c>
      <c r="BX1426">
        <v>5.9</v>
      </c>
      <c r="BY1426">
        <v>36.020000000000003</v>
      </c>
      <c r="BZ1426">
        <v>10.89</v>
      </c>
      <c r="CA1426">
        <v>6.2</v>
      </c>
      <c r="CB1426">
        <v>0.16</v>
      </c>
      <c r="CC1426">
        <v>6.16</v>
      </c>
      <c r="CD1426">
        <v>5.24</v>
      </c>
      <c r="CE1426">
        <v>5.16</v>
      </c>
      <c r="CF1426">
        <v>5.07</v>
      </c>
      <c r="CG1426">
        <v>31.96</v>
      </c>
      <c r="CH1426">
        <v>2.2599999999999998</v>
      </c>
      <c r="CI1426">
        <v>-0.34</v>
      </c>
      <c r="CJ1426">
        <v>57026</v>
      </c>
      <c r="CK1426">
        <v>26646</v>
      </c>
      <c r="CL1426" t="s">
        <v>7431</v>
      </c>
      <c r="CM1426">
        <v>11.45</v>
      </c>
      <c r="CN1426">
        <v>18.89</v>
      </c>
      <c r="CO1426">
        <v>1.48</v>
      </c>
      <c r="CP1426">
        <v>45.2</v>
      </c>
      <c r="CQ1426">
        <v>2.84</v>
      </c>
      <c r="CR1426">
        <v>0.57999999999999996</v>
      </c>
      <c r="CS1426" t="s">
        <v>5990</v>
      </c>
      <c r="CT1426">
        <v>2.2999999999999998</v>
      </c>
      <c r="CU1426">
        <v>2.2999999999999998</v>
      </c>
      <c r="CV1426">
        <v>0.2</v>
      </c>
      <c r="CW1426">
        <v>1.06</v>
      </c>
      <c r="CX1426">
        <v>0.08</v>
      </c>
      <c r="CY1426">
        <v>83.23</v>
      </c>
      <c r="CZ1426" t="s">
        <v>2553</v>
      </c>
      <c r="DA1426">
        <v>69.760000000000005</v>
      </c>
      <c r="DB1426">
        <v>17.23</v>
      </c>
      <c r="DC1426">
        <v>14.33</v>
      </c>
      <c r="DD1426">
        <v>1.1299999999999999</v>
      </c>
      <c r="DE1426">
        <v>5487</v>
      </c>
      <c r="DF1426">
        <v>300026</v>
      </c>
      <c r="DG1426" t="s">
        <v>116</v>
      </c>
      <c r="DH1426" t="s">
        <v>116</v>
      </c>
      <c r="DI1426" t="s">
        <v>116</v>
      </c>
    </row>
    <row r="1427" spans="1:113" x14ac:dyDescent="0.4">
      <c r="A1427" t="str">
        <f>"300027"</f>
        <v>300027</v>
      </c>
      <c r="B1427" t="s">
        <v>7713</v>
      </c>
      <c r="C1427">
        <v>-2.67</v>
      </c>
      <c r="D1427">
        <v>4.7300000000000004</v>
      </c>
      <c r="E1427">
        <v>-0.13</v>
      </c>
      <c r="F1427">
        <v>4.72</v>
      </c>
      <c r="G1427">
        <v>4.7300000000000004</v>
      </c>
      <c r="H1427">
        <v>379760</v>
      </c>
      <c r="I1427">
        <v>1878</v>
      </c>
      <c r="J1427">
        <v>0</v>
      </c>
      <c r="K1427">
        <v>1.72</v>
      </c>
      <c r="L1427">
        <v>4.8600000000000003</v>
      </c>
      <c r="M1427">
        <v>4.8600000000000003</v>
      </c>
      <c r="N1427">
        <v>4.71</v>
      </c>
      <c r="O1427">
        <v>4.8600000000000003</v>
      </c>
      <c r="P1427" t="s">
        <v>116</v>
      </c>
      <c r="Q1427">
        <v>181714080</v>
      </c>
      <c r="R1427">
        <v>0.82</v>
      </c>
      <c r="S1427" t="s">
        <v>589</v>
      </c>
      <c r="T1427" t="s">
        <v>590</v>
      </c>
      <c r="U1427">
        <v>3.09</v>
      </c>
      <c r="V1427">
        <v>4.78</v>
      </c>
      <c r="W1427">
        <v>227781</v>
      </c>
      <c r="X1427">
        <v>151979</v>
      </c>
      <c r="Y1427">
        <v>1.5</v>
      </c>
      <c r="Z1427">
        <v>896</v>
      </c>
      <c r="AA1427">
        <v>162</v>
      </c>
      <c r="AB1427" t="s">
        <v>116</v>
      </c>
      <c r="AC1427">
        <v>281900</v>
      </c>
      <c r="AD1427">
        <v>0</v>
      </c>
      <c r="AE1427" t="s">
        <v>116</v>
      </c>
      <c r="AF1427" t="s">
        <v>116</v>
      </c>
      <c r="AG1427">
        <v>22.11</v>
      </c>
      <c r="AH1427" t="s">
        <v>7714</v>
      </c>
      <c r="AI1427" t="s">
        <v>7715</v>
      </c>
      <c r="AJ1427">
        <v>-2</v>
      </c>
      <c r="AK1427">
        <v>2800</v>
      </c>
      <c r="AL1427">
        <v>136</v>
      </c>
      <c r="AM1427">
        <v>5.9999999999999995E-4</v>
      </c>
      <c r="AN1427">
        <v>-2</v>
      </c>
      <c r="AO1427">
        <v>-2.06</v>
      </c>
      <c r="AP1427">
        <v>7.99</v>
      </c>
      <c r="AQ1427">
        <v>0.85</v>
      </c>
      <c r="AR1427">
        <v>0.85</v>
      </c>
      <c r="AS1427">
        <v>2.4300000000000002</v>
      </c>
      <c r="AT1427" t="s">
        <v>7716</v>
      </c>
      <c r="AU1427" t="s">
        <v>116</v>
      </c>
      <c r="AV1427" t="s">
        <v>116</v>
      </c>
      <c r="AW1427">
        <v>1.37</v>
      </c>
      <c r="BA1427">
        <v>0</v>
      </c>
      <c r="BB1427">
        <v>0</v>
      </c>
      <c r="BC1427">
        <v>-3.09</v>
      </c>
      <c r="BD1427">
        <v>-1.54</v>
      </c>
      <c r="BE1427">
        <v>-2.67</v>
      </c>
      <c r="BF1427">
        <v>-2.67</v>
      </c>
      <c r="BG1427">
        <v>0.42</v>
      </c>
      <c r="BH1427">
        <v>-1.1299999999999999</v>
      </c>
      <c r="BI1427">
        <v>20191223</v>
      </c>
      <c r="BJ1427">
        <v>20091030</v>
      </c>
      <c r="BK1427">
        <v>27.88</v>
      </c>
      <c r="BL1427" t="s">
        <v>116</v>
      </c>
      <c r="BM1427" t="s">
        <v>116</v>
      </c>
      <c r="BN1427">
        <v>166.24</v>
      </c>
      <c r="BO1427">
        <v>79.72</v>
      </c>
      <c r="BP1427">
        <v>9.14</v>
      </c>
      <c r="BQ1427">
        <v>46.54</v>
      </c>
      <c r="BR1427">
        <v>58</v>
      </c>
      <c r="BS1427">
        <v>9.16</v>
      </c>
      <c r="BT1427">
        <v>0.08</v>
      </c>
      <c r="BU1427">
        <v>59.99</v>
      </c>
      <c r="BV1427">
        <v>13.14</v>
      </c>
      <c r="BW1427">
        <v>8.1</v>
      </c>
      <c r="BX1427">
        <v>26.17</v>
      </c>
      <c r="BY1427">
        <v>16.170000000000002</v>
      </c>
      <c r="BZ1427">
        <v>12.87</v>
      </c>
      <c r="CA1427">
        <v>-6.9</v>
      </c>
      <c r="CB1427">
        <v>-2.42</v>
      </c>
      <c r="CC1427">
        <v>-7</v>
      </c>
      <c r="CD1427">
        <v>-7.26</v>
      </c>
      <c r="CE1427">
        <v>-6.52</v>
      </c>
      <c r="CF1427">
        <v>-5.2</v>
      </c>
      <c r="CG1427">
        <v>21.17</v>
      </c>
      <c r="CH1427">
        <v>-1.94</v>
      </c>
      <c r="CI1427">
        <v>-10.210000000000001</v>
      </c>
      <c r="CJ1427">
        <v>109178</v>
      </c>
      <c r="CK1427">
        <v>14317</v>
      </c>
      <c r="CL1427" t="s">
        <v>6247</v>
      </c>
      <c r="CM1427">
        <v>-298.56</v>
      </c>
      <c r="CN1427">
        <v>-49.22</v>
      </c>
      <c r="CO1427">
        <v>1.65</v>
      </c>
      <c r="CP1427">
        <v>-68.010000000000005</v>
      </c>
      <c r="CQ1427">
        <v>8.16</v>
      </c>
      <c r="CR1427">
        <v>0</v>
      </c>
      <c r="CS1427" t="s">
        <v>7717</v>
      </c>
      <c r="CT1427">
        <v>2.86</v>
      </c>
      <c r="CU1427">
        <v>0</v>
      </c>
      <c r="CV1427">
        <v>0.94</v>
      </c>
      <c r="CW1427">
        <v>0.76</v>
      </c>
      <c r="CX1427">
        <v>-7.0000000000000007E-2</v>
      </c>
      <c r="CY1427">
        <v>47.96</v>
      </c>
      <c r="CZ1427" t="s">
        <v>7718</v>
      </c>
      <c r="DA1427">
        <v>20.39</v>
      </c>
      <c r="DB1427">
        <v>-42.68</v>
      </c>
      <c r="DC1427">
        <v>-40.340000000000003</v>
      </c>
      <c r="DD1427">
        <v>0.49</v>
      </c>
      <c r="DE1427">
        <v>2010</v>
      </c>
      <c r="DF1427">
        <v>300027</v>
      </c>
      <c r="DG1427" t="s">
        <v>116</v>
      </c>
      <c r="DH1427" t="s">
        <v>116</v>
      </c>
      <c r="DI1427" t="s">
        <v>116</v>
      </c>
    </row>
    <row r="1428" spans="1:113" x14ac:dyDescent="0.4">
      <c r="A1428" t="str">
        <f>"300029"</f>
        <v>300029</v>
      </c>
      <c r="B1428" t="s">
        <v>7719</v>
      </c>
      <c r="C1428">
        <v>-2.0699999999999998</v>
      </c>
      <c r="D1428">
        <v>6.61</v>
      </c>
      <c r="E1428">
        <v>-0.14000000000000001</v>
      </c>
      <c r="F1428">
        <v>6.61</v>
      </c>
      <c r="G1428">
        <v>6.62</v>
      </c>
      <c r="H1428">
        <v>68001</v>
      </c>
      <c r="I1428">
        <v>1499</v>
      </c>
      <c r="J1428">
        <v>0.15</v>
      </c>
      <c r="K1428">
        <v>3.4</v>
      </c>
      <c r="L1428">
        <v>6.75</v>
      </c>
      <c r="M1428">
        <v>6.8</v>
      </c>
      <c r="N1428">
        <v>6.56</v>
      </c>
      <c r="O1428">
        <v>6.75</v>
      </c>
      <c r="P1428" t="s">
        <v>116</v>
      </c>
      <c r="Q1428">
        <v>45335716</v>
      </c>
      <c r="R1428">
        <v>0.84</v>
      </c>
      <c r="S1428" t="s">
        <v>682</v>
      </c>
      <c r="T1428" t="s">
        <v>323</v>
      </c>
      <c r="U1428">
        <v>3.56</v>
      </c>
      <c r="V1428">
        <v>6.67</v>
      </c>
      <c r="W1428">
        <v>43064</v>
      </c>
      <c r="X1428">
        <v>24937</v>
      </c>
      <c r="Y1428">
        <v>1.73</v>
      </c>
      <c r="Z1428">
        <v>300</v>
      </c>
      <c r="AA1428">
        <v>360</v>
      </c>
      <c r="AB1428" t="s">
        <v>116</v>
      </c>
      <c r="AC1428">
        <v>105300</v>
      </c>
      <c r="AD1428">
        <v>0.01</v>
      </c>
      <c r="AE1428" t="s">
        <v>116</v>
      </c>
      <c r="AF1428" t="s">
        <v>116</v>
      </c>
      <c r="AG1428">
        <v>2</v>
      </c>
      <c r="AH1428" t="s">
        <v>2398</v>
      </c>
      <c r="AI1428" t="s">
        <v>2398</v>
      </c>
      <c r="AJ1428">
        <v>-1.4</v>
      </c>
      <c r="AK1428">
        <v>1517</v>
      </c>
      <c r="AL1428">
        <v>45</v>
      </c>
      <c r="AM1428">
        <v>2.2000000000000001E-3</v>
      </c>
      <c r="AN1428">
        <v>-2</v>
      </c>
      <c r="AO1428">
        <v>0.15</v>
      </c>
      <c r="AP1428">
        <v>3.93</v>
      </c>
      <c r="AQ1428">
        <v>5.76</v>
      </c>
      <c r="AR1428">
        <v>42.76</v>
      </c>
      <c r="AS1428">
        <v>4.3499999999999996</v>
      </c>
      <c r="AT1428" t="s">
        <v>7720</v>
      </c>
      <c r="AU1428" t="s">
        <v>116</v>
      </c>
      <c r="AV1428" t="s">
        <v>116</v>
      </c>
      <c r="AW1428">
        <v>0.19</v>
      </c>
      <c r="BA1428">
        <v>0</v>
      </c>
      <c r="BB1428">
        <v>0.74</v>
      </c>
      <c r="BC1428">
        <v>-2.81</v>
      </c>
      <c r="BD1428">
        <v>-1.23</v>
      </c>
      <c r="BE1428">
        <v>-2.0699999999999998</v>
      </c>
      <c r="BF1428">
        <v>-2.79</v>
      </c>
      <c r="BG1428">
        <v>0.76</v>
      </c>
      <c r="BH1428">
        <v>-0.84</v>
      </c>
      <c r="BI1428">
        <v>20191225</v>
      </c>
      <c r="BJ1428">
        <v>20091225</v>
      </c>
      <c r="BK1428">
        <v>2</v>
      </c>
      <c r="BL1428" t="s">
        <v>116</v>
      </c>
      <c r="BM1428" t="s">
        <v>116</v>
      </c>
      <c r="BN1428">
        <v>1.58</v>
      </c>
      <c r="BO1428">
        <v>0.83</v>
      </c>
      <c r="BP1428">
        <v>-0.12</v>
      </c>
      <c r="BQ1428">
        <v>55.2</v>
      </c>
      <c r="BR1428">
        <v>0.67</v>
      </c>
      <c r="BS1428">
        <v>0.77</v>
      </c>
      <c r="BT1428">
        <v>0.11</v>
      </c>
      <c r="BU1428">
        <v>0.77</v>
      </c>
      <c r="BV1428">
        <v>0.14000000000000001</v>
      </c>
      <c r="BW1428">
        <v>0.18</v>
      </c>
      <c r="BX1428">
        <v>8.34</v>
      </c>
      <c r="BY1428">
        <v>0.12</v>
      </c>
      <c r="BZ1428">
        <v>7.0000000000000007E-2</v>
      </c>
      <c r="CA1428">
        <v>-0.09</v>
      </c>
      <c r="CB1428">
        <v>0</v>
      </c>
      <c r="CC1428">
        <v>-0.37</v>
      </c>
      <c r="CD1428">
        <v>-0.37</v>
      </c>
      <c r="CE1428">
        <v>-0.36</v>
      </c>
      <c r="CF1428">
        <v>-0.11</v>
      </c>
      <c r="CG1428">
        <v>-9.77</v>
      </c>
      <c r="CH1428">
        <v>-0.13</v>
      </c>
      <c r="CI1428">
        <v>-0.03</v>
      </c>
      <c r="CJ1428">
        <v>20216</v>
      </c>
      <c r="CK1428">
        <v>7727</v>
      </c>
      <c r="CL1428" t="s">
        <v>3637</v>
      </c>
      <c r="CM1428">
        <v>-20.25</v>
      </c>
      <c r="CN1428">
        <v>34.83</v>
      </c>
      <c r="CO1428">
        <v>15.94</v>
      </c>
      <c r="CP1428">
        <v>-98.79</v>
      </c>
      <c r="CQ1428">
        <v>109.93</v>
      </c>
      <c r="CR1428">
        <v>0</v>
      </c>
      <c r="CS1428" t="s">
        <v>2189</v>
      </c>
      <c r="CT1428">
        <v>0.41</v>
      </c>
      <c r="CU1428">
        <v>0</v>
      </c>
      <c r="CV1428">
        <v>4.17</v>
      </c>
      <c r="CW1428">
        <v>-4.8899999999999997</v>
      </c>
      <c r="CX1428">
        <v>-7.0000000000000007E-2</v>
      </c>
      <c r="CY1428">
        <v>52.62</v>
      </c>
      <c r="CZ1428" t="s">
        <v>7721</v>
      </c>
      <c r="DA1428">
        <v>40.98</v>
      </c>
      <c r="DB1428">
        <v>-73.83</v>
      </c>
      <c r="DC1428">
        <v>-300.94</v>
      </c>
      <c r="DD1428">
        <v>0.01</v>
      </c>
      <c r="DE1428">
        <v>180</v>
      </c>
      <c r="DF1428">
        <v>300029</v>
      </c>
      <c r="DG1428" t="s">
        <v>116</v>
      </c>
      <c r="DH1428" t="s">
        <v>116</v>
      </c>
      <c r="DI1428" t="s">
        <v>116</v>
      </c>
    </row>
    <row r="1429" spans="1:113" x14ac:dyDescent="0.4">
      <c r="A1429" t="str">
        <f>"300030"</f>
        <v>300030</v>
      </c>
      <c r="B1429" t="s">
        <v>7722</v>
      </c>
      <c r="C1429">
        <v>-0.81</v>
      </c>
      <c r="D1429">
        <v>7.32</v>
      </c>
      <c r="E1429">
        <v>-0.06</v>
      </c>
      <c r="F1429">
        <v>7.32</v>
      </c>
      <c r="G1429">
        <v>7.33</v>
      </c>
      <c r="H1429">
        <v>85492</v>
      </c>
      <c r="I1429">
        <v>841</v>
      </c>
      <c r="J1429">
        <v>0.14000000000000001</v>
      </c>
      <c r="K1429">
        <v>3.31</v>
      </c>
      <c r="L1429">
        <v>7.34</v>
      </c>
      <c r="M1429">
        <v>7.59</v>
      </c>
      <c r="N1429">
        <v>7.22</v>
      </c>
      <c r="O1429">
        <v>7.38</v>
      </c>
      <c r="P1429">
        <v>73.95</v>
      </c>
      <c r="Q1429">
        <v>63350160</v>
      </c>
      <c r="R1429">
        <v>0.72</v>
      </c>
      <c r="S1429" t="s">
        <v>559</v>
      </c>
      <c r="T1429" t="s">
        <v>551</v>
      </c>
      <c r="U1429">
        <v>5.01</v>
      </c>
      <c r="V1429">
        <v>7.41</v>
      </c>
      <c r="W1429">
        <v>46125</v>
      </c>
      <c r="X1429">
        <v>39367</v>
      </c>
      <c r="Y1429">
        <v>1.17</v>
      </c>
      <c r="Z1429">
        <v>1163</v>
      </c>
      <c r="AA1429">
        <v>184</v>
      </c>
      <c r="AB1429" t="s">
        <v>116</v>
      </c>
      <c r="AC1429">
        <v>107900</v>
      </c>
      <c r="AD1429">
        <v>0.01</v>
      </c>
      <c r="AE1429" t="s">
        <v>116</v>
      </c>
      <c r="AF1429" t="s">
        <v>116</v>
      </c>
      <c r="AG1429">
        <v>2.58</v>
      </c>
      <c r="AH1429" t="s">
        <v>2324</v>
      </c>
      <c r="AI1429" t="s">
        <v>7723</v>
      </c>
      <c r="AJ1429">
        <v>-0.13</v>
      </c>
      <c r="AK1429">
        <v>1602</v>
      </c>
      <c r="AL1429">
        <v>53</v>
      </c>
      <c r="AM1429">
        <v>2.0999999999999999E-3</v>
      </c>
      <c r="AN1429">
        <v>-3</v>
      </c>
      <c r="AO1429">
        <v>-3.94</v>
      </c>
      <c r="AP1429">
        <v>13.31</v>
      </c>
      <c r="AQ1429">
        <v>34.07</v>
      </c>
      <c r="AR1429">
        <v>42.14</v>
      </c>
      <c r="AS1429">
        <v>3.96</v>
      </c>
      <c r="AT1429" t="s">
        <v>3108</v>
      </c>
      <c r="AU1429" t="s">
        <v>116</v>
      </c>
      <c r="AV1429" t="s">
        <v>116</v>
      </c>
      <c r="AW1429">
        <v>0.73</v>
      </c>
      <c r="BA1429">
        <v>-0.54</v>
      </c>
      <c r="BB1429">
        <v>2.85</v>
      </c>
      <c r="BC1429">
        <v>-2.17</v>
      </c>
      <c r="BD1429">
        <v>0.41</v>
      </c>
      <c r="BE1429">
        <v>-0.27</v>
      </c>
      <c r="BF1429">
        <v>-3.56</v>
      </c>
      <c r="BG1429">
        <v>1.39</v>
      </c>
      <c r="BH1429">
        <v>-1.22</v>
      </c>
      <c r="BI1429">
        <v>20191211</v>
      </c>
      <c r="BJ1429">
        <v>20091225</v>
      </c>
      <c r="BK1429">
        <v>3.09</v>
      </c>
      <c r="BL1429" t="s">
        <v>116</v>
      </c>
      <c r="BM1429" t="s">
        <v>116</v>
      </c>
      <c r="BN1429">
        <v>15.3</v>
      </c>
      <c r="BO1429">
        <v>8.34</v>
      </c>
      <c r="BP1429">
        <v>0.02</v>
      </c>
      <c r="BQ1429">
        <v>45.36</v>
      </c>
      <c r="BR1429">
        <v>7.19</v>
      </c>
      <c r="BS1429">
        <v>2.64</v>
      </c>
      <c r="BT1429">
        <v>1.26</v>
      </c>
      <c r="BU1429">
        <v>3.01</v>
      </c>
      <c r="BV1429">
        <v>0.75</v>
      </c>
      <c r="BW1429">
        <v>2.27</v>
      </c>
      <c r="BX1429">
        <v>3.95</v>
      </c>
      <c r="BY1429">
        <v>4.1100000000000003</v>
      </c>
      <c r="BZ1429">
        <v>2.3199999999999998</v>
      </c>
      <c r="CA1429">
        <v>0.33</v>
      </c>
      <c r="CB1429">
        <v>0.12</v>
      </c>
      <c r="CC1429">
        <v>0.33</v>
      </c>
      <c r="CD1429">
        <v>0.23</v>
      </c>
      <c r="CE1429">
        <v>0.23</v>
      </c>
      <c r="CF1429">
        <v>0.13</v>
      </c>
      <c r="CG1429">
        <v>0.96</v>
      </c>
      <c r="CH1429">
        <v>0.31</v>
      </c>
      <c r="CI1429">
        <v>-1.02</v>
      </c>
      <c r="CJ1429">
        <v>24000</v>
      </c>
      <c r="CK1429">
        <v>9001</v>
      </c>
      <c r="CL1429" t="s">
        <v>7724</v>
      </c>
      <c r="CM1429">
        <v>51.21</v>
      </c>
      <c r="CN1429">
        <v>4.5999999999999996</v>
      </c>
      <c r="CO1429">
        <v>2.71</v>
      </c>
      <c r="CP1429">
        <v>73.77</v>
      </c>
      <c r="CQ1429">
        <v>5.5</v>
      </c>
      <c r="CR1429">
        <v>0</v>
      </c>
      <c r="CS1429" t="s">
        <v>5752</v>
      </c>
      <c r="CT1429">
        <v>2.7</v>
      </c>
      <c r="CU1429">
        <v>0</v>
      </c>
      <c r="CV1429">
        <v>1.28</v>
      </c>
      <c r="CW1429">
        <v>0.31</v>
      </c>
      <c r="CX1429">
        <v>0.1</v>
      </c>
      <c r="CY1429">
        <v>54.5</v>
      </c>
      <c r="CZ1429" t="s">
        <v>7725</v>
      </c>
      <c r="DA1429">
        <v>43.46</v>
      </c>
      <c r="DB1429">
        <v>7.96</v>
      </c>
      <c r="DC1429">
        <v>5.58</v>
      </c>
      <c r="DD1429">
        <v>0.14000000000000001</v>
      </c>
      <c r="DE1429">
        <v>946</v>
      </c>
      <c r="DF1429">
        <v>300030</v>
      </c>
      <c r="DG1429" t="s">
        <v>116</v>
      </c>
      <c r="DH1429" t="s">
        <v>116</v>
      </c>
      <c r="DI1429" t="s">
        <v>116</v>
      </c>
    </row>
    <row r="1430" spans="1:113" x14ac:dyDescent="0.4">
      <c r="A1430" t="str">
        <f>"300031"</f>
        <v>300031</v>
      </c>
      <c r="B1430" t="s">
        <v>7726</v>
      </c>
      <c r="C1430">
        <v>-2.4700000000000002</v>
      </c>
      <c r="D1430">
        <v>13.81</v>
      </c>
      <c r="E1430">
        <v>-0.35</v>
      </c>
      <c r="F1430">
        <v>13.8</v>
      </c>
      <c r="G1430">
        <v>13.81</v>
      </c>
      <c r="H1430">
        <v>87099</v>
      </c>
      <c r="I1430">
        <v>1591</v>
      </c>
      <c r="J1430">
        <v>7.0000000000000007E-2</v>
      </c>
      <c r="K1430">
        <v>2.69</v>
      </c>
      <c r="L1430">
        <v>14.16</v>
      </c>
      <c r="M1430">
        <v>14.2</v>
      </c>
      <c r="N1430">
        <v>13.73</v>
      </c>
      <c r="O1430">
        <v>14.16</v>
      </c>
      <c r="P1430">
        <v>17.649999999999999</v>
      </c>
      <c r="Q1430">
        <v>121654280</v>
      </c>
      <c r="R1430">
        <v>0.8</v>
      </c>
      <c r="S1430" t="s">
        <v>1384</v>
      </c>
      <c r="T1430" t="s">
        <v>323</v>
      </c>
      <c r="U1430">
        <v>3.32</v>
      </c>
      <c r="V1430">
        <v>13.97</v>
      </c>
      <c r="W1430">
        <v>52855</v>
      </c>
      <c r="X1430">
        <v>34244</v>
      </c>
      <c r="Y1430">
        <v>1.54</v>
      </c>
      <c r="Z1430">
        <v>711</v>
      </c>
      <c r="AA1430">
        <v>38</v>
      </c>
      <c r="AB1430" t="s">
        <v>116</v>
      </c>
      <c r="AC1430">
        <v>228000</v>
      </c>
      <c r="AD1430">
        <v>0.01</v>
      </c>
      <c r="AE1430" t="s">
        <v>116</v>
      </c>
      <c r="AF1430" t="s">
        <v>116</v>
      </c>
      <c r="AG1430">
        <v>3.24</v>
      </c>
      <c r="AH1430" t="s">
        <v>1022</v>
      </c>
      <c r="AI1430" t="s">
        <v>7727</v>
      </c>
      <c r="AJ1430">
        <v>-1.79</v>
      </c>
      <c r="AK1430">
        <v>2109</v>
      </c>
      <c r="AL1430">
        <v>41</v>
      </c>
      <c r="AM1430">
        <v>1.2999999999999999E-3</v>
      </c>
      <c r="AN1430">
        <v>-3</v>
      </c>
      <c r="AO1430">
        <v>-4.88</v>
      </c>
      <c r="AP1430">
        <v>19.77</v>
      </c>
      <c r="AQ1430">
        <v>18.95</v>
      </c>
      <c r="AR1430">
        <v>4.7</v>
      </c>
      <c r="AS1430">
        <v>3.53</v>
      </c>
      <c r="AT1430" t="s">
        <v>2582</v>
      </c>
      <c r="AU1430">
        <v>19.37</v>
      </c>
      <c r="AV1430">
        <v>20.16</v>
      </c>
      <c r="AW1430">
        <v>1.2</v>
      </c>
      <c r="BA1430">
        <v>0</v>
      </c>
      <c r="BB1430">
        <v>0.28000000000000003</v>
      </c>
      <c r="BC1430">
        <v>-3.04</v>
      </c>
      <c r="BD1430">
        <v>-1.36</v>
      </c>
      <c r="BE1430">
        <v>-2.4700000000000002</v>
      </c>
      <c r="BF1430">
        <v>-2.75</v>
      </c>
      <c r="BG1430">
        <v>0.57999999999999996</v>
      </c>
      <c r="BH1430">
        <v>-1.1100000000000001</v>
      </c>
      <c r="BI1430">
        <v>20191028</v>
      </c>
      <c r="BJ1430">
        <v>20091225</v>
      </c>
      <c r="BK1430">
        <v>3.97</v>
      </c>
      <c r="BL1430" t="s">
        <v>116</v>
      </c>
      <c r="BM1430" t="s">
        <v>116</v>
      </c>
      <c r="BN1430">
        <v>48.1</v>
      </c>
      <c r="BO1430">
        <v>25.42</v>
      </c>
      <c r="BP1430">
        <v>0.49</v>
      </c>
      <c r="BQ1430">
        <v>46.13</v>
      </c>
      <c r="BR1430">
        <v>28.5</v>
      </c>
      <c r="BS1430">
        <v>2.38</v>
      </c>
      <c r="BT1430">
        <v>0.71</v>
      </c>
      <c r="BU1430">
        <v>18.57</v>
      </c>
      <c r="BV1430">
        <v>2.41</v>
      </c>
      <c r="BW1430">
        <v>4.93</v>
      </c>
      <c r="BX1430">
        <v>9.2899999999999991</v>
      </c>
      <c r="BY1430">
        <v>17.690000000000001</v>
      </c>
      <c r="BZ1430">
        <v>7.18</v>
      </c>
      <c r="CA1430">
        <v>2.52</v>
      </c>
      <c r="CB1430">
        <v>0.01</v>
      </c>
      <c r="CC1430">
        <v>2.52</v>
      </c>
      <c r="CD1430">
        <v>2.2599999999999998</v>
      </c>
      <c r="CE1430">
        <v>2.33</v>
      </c>
      <c r="CF1430">
        <v>2.2999999999999998</v>
      </c>
      <c r="CG1430">
        <v>10.83</v>
      </c>
      <c r="CH1430">
        <v>2.1800000000000002</v>
      </c>
      <c r="CI1430">
        <v>12.66</v>
      </c>
      <c r="CJ1430">
        <v>15560</v>
      </c>
      <c r="CK1430">
        <v>15877</v>
      </c>
      <c r="CL1430" t="s">
        <v>7728</v>
      </c>
      <c r="CM1430">
        <v>5.04</v>
      </c>
      <c r="CN1430">
        <v>14.34</v>
      </c>
      <c r="CO1430">
        <v>2.16</v>
      </c>
      <c r="CP1430">
        <v>25.11</v>
      </c>
      <c r="CQ1430">
        <v>3.1</v>
      </c>
      <c r="CR1430">
        <v>0</v>
      </c>
      <c r="CS1430" t="s">
        <v>986</v>
      </c>
      <c r="CT1430">
        <v>6.41</v>
      </c>
      <c r="CU1430">
        <v>0</v>
      </c>
      <c r="CV1430">
        <v>2.34</v>
      </c>
      <c r="CW1430">
        <v>2.73</v>
      </c>
      <c r="CX1430">
        <v>0.55000000000000004</v>
      </c>
      <c r="CY1430">
        <v>52.86</v>
      </c>
      <c r="CZ1430" t="s">
        <v>7729</v>
      </c>
      <c r="DA1430">
        <v>59.4</v>
      </c>
      <c r="DB1430">
        <v>14.23</v>
      </c>
      <c r="DC1430">
        <v>13.16</v>
      </c>
      <c r="DD1430">
        <v>0.23</v>
      </c>
      <c r="DE1430">
        <v>821</v>
      </c>
      <c r="DF1430">
        <v>300031</v>
      </c>
      <c r="DG1430" t="s">
        <v>116</v>
      </c>
      <c r="DH1430" t="s">
        <v>116</v>
      </c>
      <c r="DI1430" t="s">
        <v>116</v>
      </c>
    </row>
    <row r="1431" spans="1:113" x14ac:dyDescent="0.4">
      <c r="A1431" t="str">
        <f>"300032"</f>
        <v>300032</v>
      </c>
      <c r="B1431" t="s">
        <v>7730</v>
      </c>
      <c r="C1431">
        <v>-0.27</v>
      </c>
      <c r="D1431">
        <v>3.69</v>
      </c>
      <c r="E1431">
        <v>-0.01</v>
      </c>
      <c r="F1431">
        <v>3.69</v>
      </c>
      <c r="G1431">
        <v>3.7</v>
      </c>
      <c r="H1431">
        <v>115119</v>
      </c>
      <c r="I1431">
        <v>2646</v>
      </c>
      <c r="J1431">
        <v>0.27</v>
      </c>
      <c r="K1431">
        <v>1.43</v>
      </c>
      <c r="L1431">
        <v>3.7</v>
      </c>
      <c r="M1431">
        <v>3.76</v>
      </c>
      <c r="N1431">
        <v>3.65</v>
      </c>
      <c r="O1431">
        <v>3.7</v>
      </c>
      <c r="P1431" t="s">
        <v>116</v>
      </c>
      <c r="Q1431">
        <v>42580880</v>
      </c>
      <c r="R1431">
        <v>0.34</v>
      </c>
      <c r="S1431" t="s">
        <v>233</v>
      </c>
      <c r="T1431" t="s">
        <v>590</v>
      </c>
      <c r="U1431">
        <v>2.97</v>
      </c>
      <c r="V1431">
        <v>3.7</v>
      </c>
      <c r="W1431">
        <v>63842</v>
      </c>
      <c r="X1431">
        <v>51277</v>
      </c>
      <c r="Y1431">
        <v>1.25</v>
      </c>
      <c r="Z1431">
        <v>924</v>
      </c>
      <c r="AA1431">
        <v>1713</v>
      </c>
      <c r="AB1431" t="s">
        <v>116</v>
      </c>
      <c r="AC1431">
        <v>271600</v>
      </c>
      <c r="AD1431">
        <v>0.01</v>
      </c>
      <c r="AE1431" t="s">
        <v>116</v>
      </c>
      <c r="AF1431" t="s">
        <v>116</v>
      </c>
      <c r="AG1431">
        <v>8.0299999999999994</v>
      </c>
      <c r="AH1431" t="s">
        <v>7731</v>
      </c>
      <c r="AI1431" t="s">
        <v>7731</v>
      </c>
      <c r="AJ1431">
        <v>0.41</v>
      </c>
      <c r="AK1431">
        <v>1774</v>
      </c>
      <c r="AL1431">
        <v>65</v>
      </c>
      <c r="AM1431">
        <v>8.0000000000000004E-4</v>
      </c>
      <c r="AN1431">
        <v>-3</v>
      </c>
      <c r="AO1431">
        <v>-3.91</v>
      </c>
      <c r="AP1431">
        <v>16.77</v>
      </c>
      <c r="AQ1431">
        <v>27.68</v>
      </c>
      <c r="AR1431">
        <v>27.68</v>
      </c>
      <c r="AS1431">
        <v>2.0299999999999998</v>
      </c>
      <c r="AT1431" t="s">
        <v>4548</v>
      </c>
      <c r="AU1431" t="s">
        <v>116</v>
      </c>
      <c r="AV1431" t="s">
        <v>116</v>
      </c>
      <c r="AW1431">
        <v>0.81</v>
      </c>
      <c r="BA1431">
        <v>0</v>
      </c>
      <c r="BB1431">
        <v>1.62</v>
      </c>
      <c r="BC1431">
        <v>-1.35</v>
      </c>
      <c r="BD1431">
        <v>-0.03</v>
      </c>
      <c r="BE1431">
        <v>-0.27</v>
      </c>
      <c r="BF1431">
        <v>-1.86</v>
      </c>
      <c r="BG1431">
        <v>1.1000000000000001</v>
      </c>
      <c r="BH1431">
        <v>-0.24</v>
      </c>
      <c r="BI1431">
        <v>20191127</v>
      </c>
      <c r="BJ1431">
        <v>20091225</v>
      </c>
      <c r="BK1431">
        <v>8.0299999999999994</v>
      </c>
      <c r="BL1431" t="s">
        <v>116</v>
      </c>
      <c r="BM1431" t="s">
        <v>116</v>
      </c>
      <c r="BN1431">
        <v>21.03</v>
      </c>
      <c r="BO1431">
        <v>13.81</v>
      </c>
      <c r="BP1431">
        <v>-0.18</v>
      </c>
      <c r="BQ1431">
        <v>35.200000000000003</v>
      </c>
      <c r="BR1431">
        <v>9.66</v>
      </c>
      <c r="BS1431">
        <v>8.4600000000000009</v>
      </c>
      <c r="BT1431">
        <v>1.42</v>
      </c>
      <c r="BU1431">
        <v>5.95</v>
      </c>
      <c r="BV1431">
        <v>2.46</v>
      </c>
      <c r="BW1431">
        <v>3.91</v>
      </c>
      <c r="BX1431">
        <v>29.66</v>
      </c>
      <c r="BY1431">
        <v>13.29</v>
      </c>
      <c r="BZ1431">
        <v>11.74</v>
      </c>
      <c r="CA1431">
        <v>-0.48</v>
      </c>
      <c r="CB1431">
        <v>0.11</v>
      </c>
      <c r="CC1431">
        <v>-0.45</v>
      </c>
      <c r="CD1431">
        <v>-0.44</v>
      </c>
      <c r="CE1431">
        <v>-0.4</v>
      </c>
      <c r="CF1431">
        <v>-0.83</v>
      </c>
      <c r="CG1431">
        <v>-25.34</v>
      </c>
      <c r="CH1431">
        <v>0.53</v>
      </c>
      <c r="CI1431">
        <v>-0.28000000000000003</v>
      </c>
      <c r="CJ1431">
        <v>32426</v>
      </c>
      <c r="CK1431">
        <v>17473</v>
      </c>
      <c r="CL1431" t="s">
        <v>7732</v>
      </c>
      <c r="CM1431">
        <v>97.42</v>
      </c>
      <c r="CN1431">
        <v>-36.74</v>
      </c>
      <c r="CO1431">
        <v>2.15</v>
      </c>
      <c r="CP1431">
        <v>56.23</v>
      </c>
      <c r="CQ1431">
        <v>2.23</v>
      </c>
      <c r="CR1431">
        <v>0</v>
      </c>
      <c r="CS1431" t="s">
        <v>6745</v>
      </c>
      <c r="CT1431">
        <v>1.72</v>
      </c>
      <c r="CU1431">
        <v>0</v>
      </c>
      <c r="CV1431">
        <v>3.69</v>
      </c>
      <c r="CW1431">
        <v>-3.15</v>
      </c>
      <c r="CX1431">
        <v>7.0000000000000007E-2</v>
      </c>
      <c r="CY1431">
        <v>65.66</v>
      </c>
      <c r="CZ1431" t="s">
        <v>7733</v>
      </c>
      <c r="DA1431">
        <v>11.66</v>
      </c>
      <c r="DB1431">
        <v>-3.64</v>
      </c>
      <c r="DC1431">
        <v>-3.02</v>
      </c>
      <c r="DD1431">
        <v>0.43</v>
      </c>
      <c r="DE1431">
        <v>8609</v>
      </c>
      <c r="DF1431">
        <v>300032</v>
      </c>
      <c r="DG1431" t="s">
        <v>116</v>
      </c>
      <c r="DH1431" t="s">
        <v>116</v>
      </c>
      <c r="DI1431" t="s">
        <v>116</v>
      </c>
    </row>
    <row r="1432" spans="1:113" x14ac:dyDescent="0.4">
      <c r="A1432" t="str">
        <f>"300033"</f>
        <v>300033</v>
      </c>
      <c r="B1432" t="s">
        <v>7734</v>
      </c>
      <c r="C1432">
        <v>-4.5999999999999996</v>
      </c>
      <c r="D1432">
        <v>104.75</v>
      </c>
      <c r="E1432">
        <v>-5.05</v>
      </c>
      <c r="F1432">
        <v>104.74</v>
      </c>
      <c r="G1432">
        <v>104.75</v>
      </c>
      <c r="H1432">
        <v>180772</v>
      </c>
      <c r="I1432">
        <v>1372</v>
      </c>
      <c r="J1432">
        <v>-0.53</v>
      </c>
      <c r="K1432">
        <v>6.84</v>
      </c>
      <c r="L1432">
        <v>109.71</v>
      </c>
      <c r="M1432">
        <v>110.98</v>
      </c>
      <c r="N1432">
        <v>103.69</v>
      </c>
      <c r="O1432">
        <v>109.8</v>
      </c>
      <c r="P1432">
        <v>92.14</v>
      </c>
      <c r="Q1432">
        <v>1949562880</v>
      </c>
      <c r="R1432">
        <v>1.48</v>
      </c>
      <c r="S1432" t="s">
        <v>607</v>
      </c>
      <c r="T1432" t="s">
        <v>590</v>
      </c>
      <c r="U1432">
        <v>6.64</v>
      </c>
      <c r="V1432">
        <v>107.85</v>
      </c>
      <c r="W1432">
        <v>94189</v>
      </c>
      <c r="X1432">
        <v>86583</v>
      </c>
      <c r="Y1432">
        <v>1.0900000000000001</v>
      </c>
      <c r="Z1432">
        <v>62</v>
      </c>
      <c r="AA1432">
        <v>397</v>
      </c>
      <c r="AB1432" t="s">
        <v>116</v>
      </c>
      <c r="AC1432">
        <v>16686899</v>
      </c>
      <c r="AD1432">
        <v>0.08</v>
      </c>
      <c r="AE1432" t="s">
        <v>116</v>
      </c>
      <c r="AF1432" t="s">
        <v>116</v>
      </c>
      <c r="AG1432">
        <v>2.64</v>
      </c>
      <c r="AH1432" t="s">
        <v>7735</v>
      </c>
      <c r="AI1432" t="s">
        <v>7736</v>
      </c>
      <c r="AJ1432">
        <v>-3.92</v>
      </c>
      <c r="AK1432">
        <v>4591</v>
      </c>
      <c r="AL1432">
        <v>39</v>
      </c>
      <c r="AM1432">
        <v>1.5E-3</v>
      </c>
      <c r="AN1432">
        <v>-1</v>
      </c>
      <c r="AO1432">
        <v>-1.71</v>
      </c>
      <c r="AP1432">
        <v>14.81</v>
      </c>
      <c r="AQ1432">
        <v>2.69</v>
      </c>
      <c r="AR1432">
        <v>177.7</v>
      </c>
      <c r="AS1432">
        <v>9.6</v>
      </c>
      <c r="AT1432" t="s">
        <v>7737</v>
      </c>
      <c r="AU1432">
        <v>72.78</v>
      </c>
      <c r="AV1432">
        <v>88.83</v>
      </c>
      <c r="AW1432">
        <v>2.06</v>
      </c>
      <c r="BA1432">
        <v>-0.08</v>
      </c>
      <c r="BB1432">
        <v>1.07</v>
      </c>
      <c r="BC1432">
        <v>-5.56</v>
      </c>
      <c r="BD1432">
        <v>-1.78</v>
      </c>
      <c r="BE1432">
        <v>-4.5199999999999996</v>
      </c>
      <c r="BF1432">
        <v>-5.61</v>
      </c>
      <c r="BG1432">
        <v>1.02</v>
      </c>
      <c r="BH1432">
        <v>-2.82</v>
      </c>
      <c r="BI1432">
        <v>20191028</v>
      </c>
      <c r="BJ1432">
        <v>20091225</v>
      </c>
      <c r="BK1432">
        <v>5.38</v>
      </c>
      <c r="BL1432" t="s">
        <v>116</v>
      </c>
      <c r="BM1432" t="s">
        <v>116</v>
      </c>
      <c r="BN1432">
        <v>46.86</v>
      </c>
      <c r="BO1432">
        <v>35.53</v>
      </c>
      <c r="BP1432">
        <v>0</v>
      </c>
      <c r="BQ1432">
        <v>24.18</v>
      </c>
      <c r="BR1432">
        <v>40.700000000000003</v>
      </c>
      <c r="BS1432">
        <v>4.3</v>
      </c>
      <c r="BT1432">
        <v>0.77</v>
      </c>
      <c r="BU1432">
        <v>11.29</v>
      </c>
      <c r="BV1432">
        <v>0</v>
      </c>
      <c r="BW1432">
        <v>0.17</v>
      </c>
      <c r="BX1432">
        <v>3.57</v>
      </c>
      <c r="BY1432">
        <v>11.56</v>
      </c>
      <c r="BZ1432">
        <v>1.4</v>
      </c>
      <c r="CA1432">
        <v>5.39</v>
      </c>
      <c r="CB1432">
        <v>0.03</v>
      </c>
      <c r="CC1432">
        <v>5.41</v>
      </c>
      <c r="CD1432">
        <v>4.58</v>
      </c>
      <c r="CE1432">
        <v>4.58</v>
      </c>
      <c r="CF1432">
        <v>4.5</v>
      </c>
      <c r="CG1432">
        <v>22.78</v>
      </c>
      <c r="CH1432">
        <v>7.14</v>
      </c>
      <c r="CI1432">
        <v>-0.86</v>
      </c>
      <c r="CJ1432">
        <v>54894</v>
      </c>
      <c r="CK1432">
        <v>3431</v>
      </c>
      <c r="CL1432" t="s">
        <v>7738</v>
      </c>
      <c r="CM1432">
        <v>43.89</v>
      </c>
      <c r="CN1432">
        <v>27.07</v>
      </c>
      <c r="CO1432">
        <v>15.85</v>
      </c>
      <c r="CP1432">
        <v>78.87</v>
      </c>
      <c r="CQ1432">
        <v>48.71</v>
      </c>
      <c r="CR1432">
        <v>0.46</v>
      </c>
      <c r="CS1432" t="s">
        <v>6659</v>
      </c>
      <c r="CT1432">
        <v>6.61</v>
      </c>
      <c r="CU1432">
        <v>0</v>
      </c>
      <c r="CV1432">
        <v>0.66</v>
      </c>
      <c r="CW1432">
        <v>4.24</v>
      </c>
      <c r="CX1432">
        <v>1.33</v>
      </c>
      <c r="CY1432">
        <v>75.819999999999993</v>
      </c>
      <c r="CZ1432" t="s">
        <v>4014</v>
      </c>
      <c r="DA1432">
        <v>87.89</v>
      </c>
      <c r="DB1432">
        <v>46.64</v>
      </c>
      <c r="DC1432">
        <v>39.65</v>
      </c>
      <c r="DD1432">
        <v>3.24</v>
      </c>
      <c r="DE1432">
        <v>3023</v>
      </c>
      <c r="DF1432">
        <v>300033</v>
      </c>
      <c r="DG1432" t="s">
        <v>116</v>
      </c>
      <c r="DH1432" t="s">
        <v>116</v>
      </c>
      <c r="DI1432" t="s">
        <v>116</v>
      </c>
    </row>
    <row r="1433" spans="1:113" x14ac:dyDescent="0.4">
      <c r="A1433" t="str">
        <f>"300034"</f>
        <v>300034</v>
      </c>
      <c r="B1433" t="s">
        <v>7739</v>
      </c>
      <c r="C1433">
        <v>-1.68</v>
      </c>
      <c r="D1433">
        <v>15.81</v>
      </c>
      <c r="E1433">
        <v>-0.27</v>
      </c>
      <c r="F1433">
        <v>15.81</v>
      </c>
      <c r="G1433">
        <v>15.82</v>
      </c>
      <c r="H1433">
        <v>46139</v>
      </c>
      <c r="I1433">
        <v>303</v>
      </c>
      <c r="J1433">
        <v>-0.05</v>
      </c>
      <c r="K1433">
        <v>1.0900000000000001</v>
      </c>
      <c r="L1433">
        <v>16.100000000000001</v>
      </c>
      <c r="M1433">
        <v>16.12</v>
      </c>
      <c r="N1433">
        <v>15.81</v>
      </c>
      <c r="O1433">
        <v>16.079999999999998</v>
      </c>
      <c r="P1433">
        <v>43.8</v>
      </c>
      <c r="Q1433">
        <v>73530456</v>
      </c>
      <c r="R1433">
        <v>1.2</v>
      </c>
      <c r="S1433" t="s">
        <v>1509</v>
      </c>
      <c r="T1433" t="s">
        <v>165</v>
      </c>
      <c r="U1433">
        <v>1.93</v>
      </c>
      <c r="V1433">
        <v>15.94</v>
      </c>
      <c r="W1433">
        <v>27284</v>
      </c>
      <c r="X1433">
        <v>18855</v>
      </c>
      <c r="Y1433">
        <v>1.45</v>
      </c>
      <c r="Z1433">
        <v>236</v>
      </c>
      <c r="AA1433">
        <v>60</v>
      </c>
      <c r="AB1433" t="s">
        <v>116</v>
      </c>
      <c r="AC1433">
        <v>268900</v>
      </c>
      <c r="AD1433">
        <v>0.01</v>
      </c>
      <c r="AE1433" t="s">
        <v>116</v>
      </c>
      <c r="AF1433" t="s">
        <v>116</v>
      </c>
      <c r="AG1433">
        <v>4.22</v>
      </c>
      <c r="AH1433" t="s">
        <v>7740</v>
      </c>
      <c r="AI1433" t="s">
        <v>7741</v>
      </c>
      <c r="AJ1433">
        <v>-1</v>
      </c>
      <c r="AK1433">
        <v>2581</v>
      </c>
      <c r="AL1433">
        <v>18</v>
      </c>
      <c r="AM1433">
        <v>4.0000000000000002E-4</v>
      </c>
      <c r="AN1433">
        <v>-3</v>
      </c>
      <c r="AO1433">
        <v>-2.23</v>
      </c>
      <c r="AP1433">
        <v>4.9800000000000004</v>
      </c>
      <c r="AQ1433">
        <v>-7.81</v>
      </c>
      <c r="AR1433">
        <v>86.44</v>
      </c>
      <c r="AS1433">
        <v>2.0699999999999998</v>
      </c>
      <c r="AT1433" t="s">
        <v>7742</v>
      </c>
      <c r="AU1433">
        <v>44.61</v>
      </c>
      <c r="AV1433">
        <v>69.489999999999995</v>
      </c>
      <c r="AW1433">
        <v>1.28</v>
      </c>
      <c r="BA1433">
        <v>0.12</v>
      </c>
      <c r="BB1433">
        <v>0.25</v>
      </c>
      <c r="BC1433">
        <v>-1.68</v>
      </c>
      <c r="BD1433">
        <v>-0.89</v>
      </c>
      <c r="BE1433">
        <v>-1.8</v>
      </c>
      <c r="BF1433">
        <v>-1.92</v>
      </c>
      <c r="BG1433">
        <v>0</v>
      </c>
      <c r="BH1433">
        <v>-0.79</v>
      </c>
      <c r="BI1433">
        <v>20191029</v>
      </c>
      <c r="BJ1433">
        <v>20091225</v>
      </c>
      <c r="BK1433">
        <v>4.6900000000000004</v>
      </c>
      <c r="BL1433" t="s">
        <v>116</v>
      </c>
      <c r="BM1433" t="s">
        <v>116</v>
      </c>
      <c r="BN1433">
        <v>30.8</v>
      </c>
      <c r="BO1433">
        <v>20.9</v>
      </c>
      <c r="BP1433">
        <v>1.3</v>
      </c>
      <c r="BQ1433">
        <v>27.93</v>
      </c>
      <c r="BR1433">
        <v>19.18</v>
      </c>
      <c r="BS1433">
        <v>5.45</v>
      </c>
      <c r="BT1433">
        <v>1.03</v>
      </c>
      <c r="BU1433">
        <v>7.74</v>
      </c>
      <c r="BV1433">
        <v>5.36</v>
      </c>
      <c r="BW1433">
        <v>7.04</v>
      </c>
      <c r="BX1433">
        <v>8.86</v>
      </c>
      <c r="BY1433">
        <v>10.33</v>
      </c>
      <c r="BZ1433">
        <v>6.95</v>
      </c>
      <c r="CA1433">
        <v>1.81</v>
      </c>
      <c r="CB1433">
        <v>-0.02</v>
      </c>
      <c r="CC1433">
        <v>1.82</v>
      </c>
      <c r="CD1433">
        <v>1.55</v>
      </c>
      <c r="CE1433">
        <v>1.27</v>
      </c>
      <c r="CF1433">
        <v>1.19</v>
      </c>
      <c r="CG1433">
        <v>6.44</v>
      </c>
      <c r="CH1433">
        <v>0.15</v>
      </c>
      <c r="CI1433">
        <v>1.1000000000000001</v>
      </c>
      <c r="CJ1433">
        <v>20532</v>
      </c>
      <c r="CK1433">
        <v>10857</v>
      </c>
      <c r="CL1433" t="s">
        <v>7743</v>
      </c>
      <c r="CM1433">
        <v>88.24</v>
      </c>
      <c r="CN1433">
        <v>94.28</v>
      </c>
      <c r="CO1433">
        <v>3.55</v>
      </c>
      <c r="CP1433">
        <v>481.16</v>
      </c>
      <c r="CQ1433">
        <v>7.18</v>
      </c>
      <c r="CR1433">
        <v>0.73</v>
      </c>
      <c r="CS1433" t="s">
        <v>2993</v>
      </c>
      <c r="CT1433">
        <v>4.45</v>
      </c>
      <c r="CU1433">
        <v>0</v>
      </c>
      <c r="CV1433">
        <v>1.89</v>
      </c>
      <c r="CW1433">
        <v>1.37</v>
      </c>
      <c r="CX1433">
        <v>0.03</v>
      </c>
      <c r="CY1433">
        <v>67.849999999999994</v>
      </c>
      <c r="CZ1433" t="s">
        <v>2177</v>
      </c>
      <c r="DA1433">
        <v>32.770000000000003</v>
      </c>
      <c r="DB1433">
        <v>17.54</v>
      </c>
      <c r="DC1433">
        <v>12.3</v>
      </c>
      <c r="DD1433">
        <v>0.4</v>
      </c>
      <c r="DE1433">
        <v>992</v>
      </c>
      <c r="DF1433">
        <v>300034</v>
      </c>
      <c r="DG1433" t="s">
        <v>116</v>
      </c>
      <c r="DH1433" t="s">
        <v>116</v>
      </c>
      <c r="DI1433" t="s">
        <v>116</v>
      </c>
    </row>
    <row r="1434" spans="1:113" x14ac:dyDescent="0.4">
      <c r="A1434" t="str">
        <f>"300035"</f>
        <v>300035</v>
      </c>
      <c r="B1434" t="s">
        <v>7744</v>
      </c>
      <c r="C1434">
        <v>-2.41</v>
      </c>
      <c r="D1434">
        <v>7.69</v>
      </c>
      <c r="E1434">
        <v>-0.19</v>
      </c>
      <c r="F1434">
        <v>7.69</v>
      </c>
      <c r="G1434">
        <v>7.7</v>
      </c>
      <c r="H1434">
        <v>374144</v>
      </c>
      <c r="I1434">
        <v>3596</v>
      </c>
      <c r="J1434">
        <v>0.39</v>
      </c>
      <c r="K1434">
        <v>9.1999999999999993</v>
      </c>
      <c r="L1434">
        <v>7.9</v>
      </c>
      <c r="M1434">
        <v>8.1199999999999992</v>
      </c>
      <c r="N1434">
        <v>7.41</v>
      </c>
      <c r="O1434">
        <v>7.88</v>
      </c>
      <c r="P1434">
        <v>30.28</v>
      </c>
      <c r="Q1434">
        <v>295236896</v>
      </c>
      <c r="R1434">
        <v>0.83</v>
      </c>
      <c r="S1434" t="s">
        <v>397</v>
      </c>
      <c r="T1434" t="s">
        <v>599</v>
      </c>
      <c r="U1434">
        <v>9.01</v>
      </c>
      <c r="V1434">
        <v>7.89</v>
      </c>
      <c r="W1434">
        <v>196443</v>
      </c>
      <c r="X1434">
        <v>177701</v>
      </c>
      <c r="Y1434">
        <v>1.1100000000000001</v>
      </c>
      <c r="Z1434">
        <v>789</v>
      </c>
      <c r="AA1434">
        <v>1217</v>
      </c>
      <c r="AB1434" t="s">
        <v>116</v>
      </c>
      <c r="AC1434">
        <v>944100</v>
      </c>
      <c r="AD1434">
        <v>0.03</v>
      </c>
      <c r="AE1434" t="s">
        <v>116</v>
      </c>
      <c r="AF1434" t="s">
        <v>116</v>
      </c>
      <c r="AG1434">
        <v>4.07</v>
      </c>
      <c r="AH1434" t="s">
        <v>7409</v>
      </c>
      <c r="AI1434" t="s">
        <v>7745</v>
      </c>
      <c r="AJ1434">
        <v>-1.73</v>
      </c>
      <c r="AK1434">
        <v>3419</v>
      </c>
      <c r="AL1434">
        <v>109</v>
      </c>
      <c r="AM1434">
        <v>2.7000000000000001E-3</v>
      </c>
      <c r="AN1434">
        <v>-2</v>
      </c>
      <c r="AO1434">
        <v>-1.54</v>
      </c>
      <c r="AP1434">
        <v>44.28</v>
      </c>
      <c r="AQ1434">
        <v>39.56</v>
      </c>
      <c r="AR1434">
        <v>72.040000000000006</v>
      </c>
      <c r="AS1434">
        <v>9.8000000000000007</v>
      </c>
      <c r="AT1434" t="s">
        <v>3391</v>
      </c>
      <c r="AU1434">
        <v>27.39</v>
      </c>
      <c r="AV1434">
        <v>37.79</v>
      </c>
      <c r="AW1434">
        <v>1.72</v>
      </c>
      <c r="BA1434">
        <v>0.25</v>
      </c>
      <c r="BB1434">
        <v>3.05</v>
      </c>
      <c r="BC1434">
        <v>-5.96</v>
      </c>
      <c r="BD1434">
        <v>0.14000000000000001</v>
      </c>
      <c r="BE1434">
        <v>-2.66</v>
      </c>
      <c r="BF1434">
        <v>-5.3</v>
      </c>
      <c r="BG1434">
        <v>3.78</v>
      </c>
      <c r="BH1434">
        <v>-2.5499999999999998</v>
      </c>
      <c r="BI1434">
        <v>20191119</v>
      </c>
      <c r="BJ1434">
        <v>20091225</v>
      </c>
      <c r="BK1434">
        <v>6.41</v>
      </c>
      <c r="BL1434" t="s">
        <v>116</v>
      </c>
      <c r="BM1434" t="s">
        <v>116</v>
      </c>
      <c r="BN1434">
        <v>23.16</v>
      </c>
      <c r="BO1434">
        <v>13.69</v>
      </c>
      <c r="BP1434">
        <v>0</v>
      </c>
      <c r="BQ1434">
        <v>40.9</v>
      </c>
      <c r="BR1434">
        <v>11.97</v>
      </c>
      <c r="BS1434">
        <v>3.4</v>
      </c>
      <c r="BT1434">
        <v>1.2</v>
      </c>
      <c r="BU1434">
        <v>7.41</v>
      </c>
      <c r="BV1434">
        <v>3.98</v>
      </c>
      <c r="BW1434">
        <v>3.71</v>
      </c>
      <c r="BX1434">
        <v>4.17</v>
      </c>
      <c r="BY1434">
        <v>6.22</v>
      </c>
      <c r="BZ1434">
        <v>3.5</v>
      </c>
      <c r="CA1434">
        <v>1.4</v>
      </c>
      <c r="CB1434">
        <v>0.02</v>
      </c>
      <c r="CC1434">
        <v>1.4</v>
      </c>
      <c r="CD1434">
        <v>1.22</v>
      </c>
      <c r="CE1434">
        <v>1.22</v>
      </c>
      <c r="CF1434">
        <v>1.2</v>
      </c>
      <c r="CG1434">
        <v>4.13</v>
      </c>
      <c r="CH1434">
        <v>-0.13</v>
      </c>
      <c r="CI1434">
        <v>0.77</v>
      </c>
      <c r="CJ1434">
        <v>34909</v>
      </c>
      <c r="CK1434">
        <v>10939</v>
      </c>
      <c r="CL1434" t="s">
        <v>7746</v>
      </c>
      <c r="CM1434">
        <v>68.28</v>
      </c>
      <c r="CN1434">
        <v>47.93</v>
      </c>
      <c r="CO1434">
        <v>3.01</v>
      </c>
      <c r="CP1434">
        <v>-370.53</v>
      </c>
      <c r="CQ1434">
        <v>7.92</v>
      </c>
      <c r="CR1434">
        <v>0.33</v>
      </c>
      <c r="CS1434" t="s">
        <v>3753</v>
      </c>
      <c r="CT1434">
        <v>2.56</v>
      </c>
      <c r="CU1434">
        <v>2.56</v>
      </c>
      <c r="CV1434">
        <v>0.65</v>
      </c>
      <c r="CW1434">
        <v>0.65</v>
      </c>
      <c r="CX1434">
        <v>-0.02</v>
      </c>
      <c r="CY1434">
        <v>59.1</v>
      </c>
      <c r="CZ1434" t="s">
        <v>3185</v>
      </c>
      <c r="DA1434">
        <v>43.76</v>
      </c>
      <c r="DB1434">
        <v>22.53</v>
      </c>
      <c r="DC1434">
        <v>19.62</v>
      </c>
      <c r="DD1434">
        <v>0.37</v>
      </c>
      <c r="DE1434">
        <v>740</v>
      </c>
      <c r="DF1434">
        <v>300035</v>
      </c>
      <c r="DG1434" t="s">
        <v>116</v>
      </c>
      <c r="DH1434" t="s">
        <v>116</v>
      </c>
      <c r="DI1434" t="s">
        <v>116</v>
      </c>
    </row>
    <row r="1435" spans="1:113" x14ac:dyDescent="0.4">
      <c r="A1435" t="str">
        <f>"300036"</f>
        <v>300036</v>
      </c>
      <c r="B1435" t="s">
        <v>7747</v>
      </c>
      <c r="C1435">
        <v>-3.94</v>
      </c>
      <c r="D1435">
        <v>19.5</v>
      </c>
      <c r="E1435">
        <v>-0.8</v>
      </c>
      <c r="F1435">
        <v>19.489999999999998</v>
      </c>
      <c r="G1435">
        <v>19.5</v>
      </c>
      <c r="H1435">
        <v>112274</v>
      </c>
      <c r="I1435">
        <v>2871</v>
      </c>
      <c r="J1435">
        <v>-0.3</v>
      </c>
      <c r="K1435">
        <v>3.01</v>
      </c>
      <c r="L1435">
        <v>20.28</v>
      </c>
      <c r="M1435">
        <v>20.48</v>
      </c>
      <c r="N1435">
        <v>19.5</v>
      </c>
      <c r="O1435">
        <v>20.3</v>
      </c>
      <c r="P1435">
        <v>51.15</v>
      </c>
      <c r="Q1435">
        <v>224354976</v>
      </c>
      <c r="R1435">
        <v>1.29</v>
      </c>
      <c r="S1435" t="s">
        <v>607</v>
      </c>
      <c r="T1435" t="s">
        <v>165</v>
      </c>
      <c r="U1435">
        <v>4.83</v>
      </c>
      <c r="V1435">
        <v>19.98</v>
      </c>
      <c r="W1435">
        <v>60710</v>
      </c>
      <c r="X1435">
        <v>51564</v>
      </c>
      <c r="Y1435">
        <v>1.18</v>
      </c>
      <c r="Z1435">
        <v>27</v>
      </c>
      <c r="AA1435">
        <v>445</v>
      </c>
      <c r="AB1435" t="s">
        <v>116</v>
      </c>
      <c r="AC1435">
        <v>273800</v>
      </c>
      <c r="AD1435">
        <v>0</v>
      </c>
      <c r="AE1435" t="s">
        <v>116</v>
      </c>
      <c r="AF1435" t="s">
        <v>116</v>
      </c>
      <c r="AG1435">
        <v>3.72</v>
      </c>
      <c r="AH1435" t="s">
        <v>3339</v>
      </c>
      <c r="AI1435" t="s">
        <v>7748</v>
      </c>
      <c r="AJ1435">
        <v>-3.26</v>
      </c>
      <c r="AK1435">
        <v>2892</v>
      </c>
      <c r="AL1435">
        <v>39</v>
      </c>
      <c r="AM1435">
        <v>1E-3</v>
      </c>
      <c r="AN1435">
        <v>-2</v>
      </c>
      <c r="AO1435">
        <v>-2.35</v>
      </c>
      <c r="AP1435">
        <v>6.91</v>
      </c>
      <c r="AQ1435">
        <v>8.39</v>
      </c>
      <c r="AR1435">
        <v>6.82</v>
      </c>
      <c r="AS1435">
        <v>3.18</v>
      </c>
      <c r="AT1435" t="s">
        <v>3859</v>
      </c>
      <c r="AU1435">
        <v>46.12</v>
      </c>
      <c r="AV1435">
        <v>52.3</v>
      </c>
      <c r="AW1435">
        <v>1.38</v>
      </c>
      <c r="BA1435">
        <v>-0.1</v>
      </c>
      <c r="BB1435">
        <v>0.89</v>
      </c>
      <c r="BC1435">
        <v>-3.94</v>
      </c>
      <c r="BD1435">
        <v>-1.56</v>
      </c>
      <c r="BE1435">
        <v>-3.85</v>
      </c>
      <c r="BF1435">
        <v>-4.79</v>
      </c>
      <c r="BG1435">
        <v>0</v>
      </c>
      <c r="BH1435">
        <v>-2.38</v>
      </c>
      <c r="BI1435">
        <v>20191021</v>
      </c>
      <c r="BJ1435">
        <v>20091225</v>
      </c>
      <c r="BK1435">
        <v>4.5</v>
      </c>
      <c r="BL1435" t="s">
        <v>116</v>
      </c>
      <c r="BM1435" t="s">
        <v>116</v>
      </c>
      <c r="BN1435">
        <v>26.57</v>
      </c>
      <c r="BO1435">
        <v>20.36</v>
      </c>
      <c r="BP1435">
        <v>-0.05</v>
      </c>
      <c r="BQ1435">
        <v>23.54</v>
      </c>
      <c r="BR1435">
        <v>14.35</v>
      </c>
      <c r="BS1435">
        <v>1.55</v>
      </c>
      <c r="BT1435">
        <v>1.02</v>
      </c>
      <c r="BU1435">
        <v>6.14</v>
      </c>
      <c r="BV1435">
        <v>0.17</v>
      </c>
      <c r="BW1435">
        <v>8.2799999999999994</v>
      </c>
      <c r="BX1435">
        <v>8.34</v>
      </c>
      <c r="BY1435">
        <v>10.53</v>
      </c>
      <c r="BZ1435">
        <v>4.55</v>
      </c>
      <c r="CA1435">
        <v>1.29</v>
      </c>
      <c r="CB1435">
        <v>7.0000000000000007E-2</v>
      </c>
      <c r="CC1435">
        <v>1.37</v>
      </c>
      <c r="CD1435">
        <v>1.25</v>
      </c>
      <c r="CE1435">
        <v>1.29</v>
      </c>
      <c r="CF1435">
        <v>1.1000000000000001</v>
      </c>
      <c r="CG1435">
        <v>7.07</v>
      </c>
      <c r="CH1435">
        <v>-4.2699999999999996</v>
      </c>
      <c r="CI1435">
        <v>-5.4</v>
      </c>
      <c r="CJ1435">
        <v>31330</v>
      </c>
      <c r="CK1435">
        <v>11278</v>
      </c>
      <c r="CL1435" t="s">
        <v>7749</v>
      </c>
      <c r="CM1435">
        <v>21.15</v>
      </c>
      <c r="CN1435">
        <v>15.04</v>
      </c>
      <c r="CO1435">
        <v>4.3099999999999996</v>
      </c>
      <c r="CP1435">
        <v>-20.51</v>
      </c>
      <c r="CQ1435">
        <v>8.32</v>
      </c>
      <c r="CR1435">
        <v>0.38</v>
      </c>
      <c r="CS1435" t="s">
        <v>230</v>
      </c>
      <c r="CT1435">
        <v>4.53</v>
      </c>
      <c r="CU1435">
        <v>0</v>
      </c>
      <c r="CV1435">
        <v>1.86</v>
      </c>
      <c r="CW1435">
        <v>1.57</v>
      </c>
      <c r="CX1435">
        <v>-0.95</v>
      </c>
      <c r="CY1435">
        <v>76.63</v>
      </c>
      <c r="CZ1435" t="s">
        <v>2691</v>
      </c>
      <c r="DA1435">
        <v>56.84</v>
      </c>
      <c r="DB1435">
        <v>12.28</v>
      </c>
      <c r="DC1435">
        <v>12.2</v>
      </c>
      <c r="DD1435">
        <v>1.5</v>
      </c>
      <c r="DE1435">
        <v>3555</v>
      </c>
      <c r="DF1435">
        <v>300036</v>
      </c>
      <c r="DG1435" t="s">
        <v>116</v>
      </c>
      <c r="DH1435" t="s">
        <v>116</v>
      </c>
      <c r="DI1435" t="s">
        <v>116</v>
      </c>
    </row>
    <row r="1436" spans="1:113" x14ac:dyDescent="0.4">
      <c r="A1436" t="str">
        <f>"300037"</f>
        <v>300037</v>
      </c>
      <c r="B1436" t="s">
        <v>7750</v>
      </c>
      <c r="C1436">
        <v>-4.67</v>
      </c>
      <c r="D1436">
        <v>36.51</v>
      </c>
      <c r="E1436">
        <v>-1.79</v>
      </c>
      <c r="F1436">
        <v>36.51</v>
      </c>
      <c r="G1436">
        <v>36.53</v>
      </c>
      <c r="H1436">
        <v>161891</v>
      </c>
      <c r="I1436">
        <v>2349</v>
      </c>
      <c r="J1436">
        <v>-0.53</v>
      </c>
      <c r="K1436">
        <v>6.48</v>
      </c>
      <c r="L1436">
        <v>38.340000000000003</v>
      </c>
      <c r="M1436">
        <v>38.520000000000003</v>
      </c>
      <c r="N1436">
        <v>36.29</v>
      </c>
      <c r="O1436">
        <v>38.299999999999997</v>
      </c>
      <c r="P1436">
        <v>43.35</v>
      </c>
      <c r="Q1436">
        <v>605954624</v>
      </c>
      <c r="R1436">
        <v>1.31</v>
      </c>
      <c r="S1436" t="s">
        <v>891</v>
      </c>
      <c r="T1436" t="s">
        <v>115</v>
      </c>
      <c r="U1436">
        <v>5.82</v>
      </c>
      <c r="V1436">
        <v>37.43</v>
      </c>
      <c r="W1436">
        <v>86640</v>
      </c>
      <c r="X1436">
        <v>75251</v>
      </c>
      <c r="Y1436">
        <v>1.1499999999999999</v>
      </c>
      <c r="Z1436">
        <v>224</v>
      </c>
      <c r="AA1436">
        <v>14</v>
      </c>
      <c r="AB1436" t="s">
        <v>116</v>
      </c>
      <c r="AC1436">
        <v>3117000</v>
      </c>
      <c r="AD1436">
        <v>0.04</v>
      </c>
      <c r="AE1436" t="s">
        <v>116</v>
      </c>
      <c r="AF1436" t="s">
        <v>116</v>
      </c>
      <c r="AG1436">
        <v>2.5</v>
      </c>
      <c r="AH1436" t="s">
        <v>7751</v>
      </c>
      <c r="AI1436" t="s">
        <v>7752</v>
      </c>
      <c r="AJ1436">
        <v>-3.99</v>
      </c>
      <c r="AK1436">
        <v>4228</v>
      </c>
      <c r="AL1436">
        <v>38</v>
      </c>
      <c r="AM1436">
        <v>1.5E-3</v>
      </c>
      <c r="AN1436">
        <v>-2</v>
      </c>
      <c r="AO1436">
        <v>0.3</v>
      </c>
      <c r="AP1436">
        <v>22.19</v>
      </c>
      <c r="AQ1436">
        <v>43.91</v>
      </c>
      <c r="AR1436">
        <v>52.89</v>
      </c>
      <c r="AS1436">
        <v>7.63</v>
      </c>
      <c r="AT1436" t="s">
        <v>7753</v>
      </c>
      <c r="AU1436">
        <v>39.36</v>
      </c>
      <c r="AV1436">
        <v>43.21</v>
      </c>
      <c r="AW1436">
        <v>1.08</v>
      </c>
      <c r="BA1436">
        <v>0.1</v>
      </c>
      <c r="BB1436">
        <v>0.56999999999999995</v>
      </c>
      <c r="BC1436">
        <v>-5.25</v>
      </c>
      <c r="BD1436">
        <v>-2.27</v>
      </c>
      <c r="BE1436">
        <v>-4.7699999999999996</v>
      </c>
      <c r="BF1436">
        <v>-5.22</v>
      </c>
      <c r="BG1436">
        <v>0.61</v>
      </c>
      <c r="BH1436">
        <v>-2.4</v>
      </c>
      <c r="BI1436">
        <v>20191220</v>
      </c>
      <c r="BJ1436">
        <v>20100108</v>
      </c>
      <c r="BK1436">
        <v>3.79</v>
      </c>
      <c r="BL1436" t="s">
        <v>116</v>
      </c>
      <c r="BM1436" t="s">
        <v>116</v>
      </c>
      <c r="BN1436">
        <v>45.64</v>
      </c>
      <c r="BO1436">
        <v>30.42</v>
      </c>
      <c r="BP1436">
        <v>0.93</v>
      </c>
      <c r="BQ1436">
        <v>31.31</v>
      </c>
      <c r="BR1436">
        <v>21.44</v>
      </c>
      <c r="BS1436">
        <v>8.9499999999999993</v>
      </c>
      <c r="BT1436">
        <v>2.59</v>
      </c>
      <c r="BU1436">
        <v>11.74</v>
      </c>
      <c r="BV1436">
        <v>3.89</v>
      </c>
      <c r="BW1436">
        <v>8.27</v>
      </c>
      <c r="BX1436">
        <v>12.37</v>
      </c>
      <c r="BY1436">
        <v>16.97</v>
      </c>
      <c r="BZ1436">
        <v>10.88</v>
      </c>
      <c r="CA1436">
        <v>2.81</v>
      </c>
      <c r="CB1436">
        <v>0.12</v>
      </c>
      <c r="CC1436">
        <v>2.81</v>
      </c>
      <c r="CD1436">
        <v>2.44</v>
      </c>
      <c r="CE1436">
        <v>2.39</v>
      </c>
      <c r="CF1436">
        <v>2.2999999999999998</v>
      </c>
      <c r="CG1436">
        <v>13.12</v>
      </c>
      <c r="CH1436">
        <v>3.88</v>
      </c>
      <c r="CI1436">
        <v>-1.48</v>
      </c>
      <c r="CJ1436">
        <v>18402</v>
      </c>
      <c r="CK1436">
        <v>11523</v>
      </c>
      <c r="CL1436" t="s">
        <v>7754</v>
      </c>
      <c r="CM1436">
        <v>15.08</v>
      </c>
      <c r="CN1436">
        <v>9.3800000000000008</v>
      </c>
      <c r="CO1436">
        <v>4.55</v>
      </c>
      <c r="CP1436">
        <v>35.64</v>
      </c>
      <c r="CQ1436">
        <v>8.15</v>
      </c>
      <c r="CR1436">
        <v>0.47</v>
      </c>
      <c r="CS1436" t="s">
        <v>4250</v>
      </c>
      <c r="CT1436">
        <v>8.0299999999999994</v>
      </c>
      <c r="CU1436">
        <v>0</v>
      </c>
      <c r="CV1436">
        <v>3.27</v>
      </c>
      <c r="CW1436">
        <v>3.46</v>
      </c>
      <c r="CX1436">
        <v>1.02</v>
      </c>
      <c r="CY1436">
        <v>66.650000000000006</v>
      </c>
      <c r="CZ1436" t="s">
        <v>5427</v>
      </c>
      <c r="DA1436">
        <v>35.869999999999997</v>
      </c>
      <c r="DB1436">
        <v>16.579999999999998</v>
      </c>
      <c r="DC1436">
        <v>14.1</v>
      </c>
      <c r="DD1436">
        <v>1.19</v>
      </c>
      <c r="DE1436">
        <v>2098</v>
      </c>
      <c r="DF1436">
        <v>300037</v>
      </c>
      <c r="DG1436" t="s">
        <v>116</v>
      </c>
      <c r="DH1436" t="s">
        <v>116</v>
      </c>
      <c r="DI1436" t="s">
        <v>116</v>
      </c>
    </row>
    <row r="1437" spans="1:113" x14ac:dyDescent="0.4">
      <c r="A1437" t="str">
        <f>"300038"</f>
        <v>300038</v>
      </c>
      <c r="B1437" t="s">
        <v>7755</v>
      </c>
      <c r="C1437">
        <v>-2.1</v>
      </c>
      <c r="D1437">
        <v>8.84</v>
      </c>
      <c r="E1437">
        <v>-0.19</v>
      </c>
      <c r="F1437">
        <v>8.83</v>
      </c>
      <c r="G1437">
        <v>8.84</v>
      </c>
      <c r="H1437">
        <v>227487</v>
      </c>
      <c r="I1437">
        <v>1560</v>
      </c>
      <c r="J1437">
        <v>0.11</v>
      </c>
      <c r="K1437">
        <v>2.82</v>
      </c>
      <c r="L1437">
        <v>8.98</v>
      </c>
      <c r="M1437">
        <v>9.1</v>
      </c>
      <c r="N1437">
        <v>8.8000000000000007</v>
      </c>
      <c r="O1437">
        <v>9.0299999999999994</v>
      </c>
      <c r="P1437">
        <v>15.48</v>
      </c>
      <c r="Q1437">
        <v>204262896</v>
      </c>
      <c r="R1437">
        <v>1.1399999999999999</v>
      </c>
      <c r="S1437" t="s">
        <v>1384</v>
      </c>
      <c r="T1437" t="s">
        <v>165</v>
      </c>
      <c r="U1437">
        <v>3.32</v>
      </c>
      <c r="V1437">
        <v>8.98</v>
      </c>
      <c r="W1437">
        <v>127117</v>
      </c>
      <c r="X1437">
        <v>100370</v>
      </c>
      <c r="Y1437">
        <v>1.27</v>
      </c>
      <c r="Z1437">
        <v>640</v>
      </c>
      <c r="AA1437">
        <v>114</v>
      </c>
      <c r="AB1437" t="s">
        <v>116</v>
      </c>
      <c r="AC1437">
        <v>1142300</v>
      </c>
      <c r="AD1437">
        <v>0.02</v>
      </c>
      <c r="AE1437" t="s">
        <v>116</v>
      </c>
      <c r="AF1437" t="s">
        <v>116</v>
      </c>
      <c r="AG1437">
        <v>8.06</v>
      </c>
      <c r="AH1437" t="s">
        <v>7756</v>
      </c>
      <c r="AI1437" t="s">
        <v>7757</v>
      </c>
      <c r="AJ1437">
        <v>-1.43</v>
      </c>
      <c r="AK1437">
        <v>2765</v>
      </c>
      <c r="AL1437">
        <v>82</v>
      </c>
      <c r="AM1437">
        <v>1E-3</v>
      </c>
      <c r="AN1437">
        <v>-1</v>
      </c>
      <c r="AO1437">
        <v>1.5</v>
      </c>
      <c r="AP1437">
        <v>6.63</v>
      </c>
      <c r="AQ1437">
        <v>-5.86</v>
      </c>
      <c r="AR1437">
        <v>-4.54</v>
      </c>
      <c r="AS1437">
        <v>3.23</v>
      </c>
      <c r="AT1437" t="s">
        <v>7758</v>
      </c>
      <c r="AU1437">
        <v>17.829999999999998</v>
      </c>
      <c r="AV1437">
        <v>16.350000000000001</v>
      </c>
      <c r="AW1437">
        <v>2.16</v>
      </c>
      <c r="BA1437">
        <v>-0.55000000000000004</v>
      </c>
      <c r="BB1437">
        <v>0.78</v>
      </c>
      <c r="BC1437">
        <v>-2.5499999999999998</v>
      </c>
      <c r="BD1437">
        <v>-0.56000000000000005</v>
      </c>
      <c r="BE1437">
        <v>-1.56</v>
      </c>
      <c r="BF1437">
        <v>-2.86</v>
      </c>
      <c r="BG1437">
        <v>0.45</v>
      </c>
      <c r="BH1437">
        <v>-1.54</v>
      </c>
      <c r="BI1437">
        <v>20191026</v>
      </c>
      <c r="BJ1437">
        <v>20100108</v>
      </c>
      <c r="BK1437">
        <v>11.72</v>
      </c>
      <c r="BL1437" t="s">
        <v>116</v>
      </c>
      <c r="BM1437" t="s">
        <v>116</v>
      </c>
      <c r="BN1437">
        <v>143.59</v>
      </c>
      <c r="BO1437">
        <v>109.93</v>
      </c>
      <c r="BP1437">
        <v>1</v>
      </c>
      <c r="BQ1437">
        <v>22.75</v>
      </c>
      <c r="BR1437">
        <v>61.4</v>
      </c>
      <c r="BS1437">
        <v>8.1</v>
      </c>
      <c r="BT1437">
        <v>1.96</v>
      </c>
      <c r="BU1437">
        <v>28.46</v>
      </c>
      <c r="BV1437">
        <v>6.13</v>
      </c>
      <c r="BW1437">
        <v>18.8</v>
      </c>
      <c r="BX1437">
        <v>79.66</v>
      </c>
      <c r="BY1437">
        <v>31.94</v>
      </c>
      <c r="BZ1437">
        <v>22.93</v>
      </c>
      <c r="CA1437">
        <v>5.84</v>
      </c>
      <c r="CB1437">
        <v>0.7</v>
      </c>
      <c r="CC1437">
        <v>5.84</v>
      </c>
      <c r="CD1437">
        <v>5.0199999999999996</v>
      </c>
      <c r="CE1437">
        <v>5.0199999999999996</v>
      </c>
      <c r="CF1437">
        <v>4.32</v>
      </c>
      <c r="CG1437">
        <v>17.940000000000001</v>
      </c>
      <c r="CH1437">
        <v>0.66</v>
      </c>
      <c r="CI1437">
        <v>-5.0599999999999996</v>
      </c>
      <c r="CJ1437">
        <v>46188</v>
      </c>
      <c r="CK1437">
        <v>15256</v>
      </c>
      <c r="CL1437" t="s">
        <v>4771</v>
      </c>
      <c r="CM1437">
        <v>-9.5299999999999994</v>
      </c>
      <c r="CN1437">
        <v>-1</v>
      </c>
      <c r="CO1437">
        <v>0.94</v>
      </c>
      <c r="CP1437">
        <v>157.47999999999999</v>
      </c>
      <c r="CQ1437">
        <v>3.24</v>
      </c>
      <c r="CR1437">
        <v>0.79</v>
      </c>
      <c r="CS1437" t="s">
        <v>7759</v>
      </c>
      <c r="CT1437">
        <v>9.3800000000000008</v>
      </c>
      <c r="CU1437">
        <v>0</v>
      </c>
      <c r="CV1437">
        <v>6.8</v>
      </c>
      <c r="CW1437">
        <v>1.53</v>
      </c>
      <c r="CX1437">
        <v>0.06</v>
      </c>
      <c r="CY1437">
        <v>76.56</v>
      </c>
      <c r="CZ1437" t="s">
        <v>7760</v>
      </c>
      <c r="DA1437">
        <v>28.21</v>
      </c>
      <c r="DB1437">
        <v>18.3</v>
      </c>
      <c r="DC1437">
        <v>15.71</v>
      </c>
      <c r="DD1437">
        <v>1.83</v>
      </c>
      <c r="DE1437">
        <v>1421</v>
      </c>
      <c r="DF1437">
        <v>300038</v>
      </c>
      <c r="DG1437" t="s">
        <v>116</v>
      </c>
      <c r="DH1437" t="s">
        <v>116</v>
      </c>
      <c r="DI1437" t="s">
        <v>116</v>
      </c>
    </row>
    <row r="1438" spans="1:113" x14ac:dyDescent="0.4">
      <c r="A1438" t="str">
        <f>"300039"</f>
        <v>300039</v>
      </c>
      <c r="B1438" t="s">
        <v>7761</v>
      </c>
      <c r="C1438">
        <v>-1.26</v>
      </c>
      <c r="D1438">
        <v>4.6900000000000004</v>
      </c>
      <c r="E1438">
        <v>-0.06</v>
      </c>
      <c r="F1438">
        <v>4.6900000000000004</v>
      </c>
      <c r="G1438">
        <v>4.7</v>
      </c>
      <c r="H1438">
        <v>102099</v>
      </c>
      <c r="I1438">
        <v>993</v>
      </c>
      <c r="J1438">
        <v>-0.2</v>
      </c>
      <c r="K1438">
        <v>0.98</v>
      </c>
      <c r="L1438">
        <v>4.7699999999999996</v>
      </c>
      <c r="M1438">
        <v>4.8099999999999996</v>
      </c>
      <c r="N1438">
        <v>4.6900000000000004</v>
      </c>
      <c r="O1438">
        <v>4.75</v>
      </c>
      <c r="P1438">
        <v>17.66</v>
      </c>
      <c r="Q1438">
        <v>48532020</v>
      </c>
      <c r="R1438">
        <v>0.7</v>
      </c>
      <c r="S1438" t="s">
        <v>781</v>
      </c>
      <c r="T1438" t="s">
        <v>1653</v>
      </c>
      <c r="U1438">
        <v>2.5299999999999998</v>
      </c>
      <c r="V1438">
        <v>4.75</v>
      </c>
      <c r="W1438">
        <v>62959</v>
      </c>
      <c r="X1438">
        <v>39140</v>
      </c>
      <c r="Y1438">
        <v>1.61</v>
      </c>
      <c r="Z1438">
        <v>501</v>
      </c>
      <c r="AA1438">
        <v>584</v>
      </c>
      <c r="AB1438" t="s">
        <v>116</v>
      </c>
      <c r="AC1438">
        <v>144500</v>
      </c>
      <c r="AD1438">
        <v>0.01</v>
      </c>
      <c r="AE1438" t="s">
        <v>116</v>
      </c>
      <c r="AF1438" t="s">
        <v>116</v>
      </c>
      <c r="AG1438">
        <v>10.37</v>
      </c>
      <c r="AH1438" t="s">
        <v>7762</v>
      </c>
      <c r="AI1438" t="s">
        <v>7763</v>
      </c>
      <c r="AJ1438">
        <v>-0.57999999999999996</v>
      </c>
      <c r="AK1438">
        <v>1033</v>
      </c>
      <c r="AL1438">
        <v>99</v>
      </c>
      <c r="AM1438">
        <v>1E-3</v>
      </c>
      <c r="AN1438">
        <v>-3</v>
      </c>
      <c r="AO1438">
        <v>-2.4900000000000002</v>
      </c>
      <c r="AP1438">
        <v>1.96</v>
      </c>
      <c r="AQ1438">
        <v>9.07</v>
      </c>
      <c r="AR1438">
        <v>18.43</v>
      </c>
      <c r="AS1438">
        <v>1.69</v>
      </c>
      <c r="AT1438" t="s">
        <v>7764</v>
      </c>
      <c r="AU1438">
        <v>24.95</v>
      </c>
      <c r="AV1438">
        <v>21.63</v>
      </c>
      <c r="AW1438">
        <v>0.77</v>
      </c>
      <c r="BA1438">
        <v>0.42</v>
      </c>
      <c r="BB1438">
        <v>1.26</v>
      </c>
      <c r="BC1438">
        <v>-1.26</v>
      </c>
      <c r="BD1438">
        <v>7.0000000000000007E-2</v>
      </c>
      <c r="BE1438">
        <v>-1.68</v>
      </c>
      <c r="BF1438">
        <v>-2.4900000000000002</v>
      </c>
      <c r="BG1438">
        <v>0</v>
      </c>
      <c r="BH1438">
        <v>-1.34</v>
      </c>
      <c r="BI1438">
        <v>20191209</v>
      </c>
      <c r="BJ1438">
        <v>20100108</v>
      </c>
      <c r="BK1438">
        <v>10.46</v>
      </c>
      <c r="BL1438" t="s">
        <v>116</v>
      </c>
      <c r="BM1438" t="s">
        <v>116</v>
      </c>
      <c r="BN1438">
        <v>27.73</v>
      </c>
      <c r="BO1438">
        <v>25.32</v>
      </c>
      <c r="BP1438">
        <v>0</v>
      </c>
      <c r="BQ1438">
        <v>8.69</v>
      </c>
      <c r="BR1438">
        <v>22.1</v>
      </c>
      <c r="BS1438">
        <v>2.71</v>
      </c>
      <c r="BT1438">
        <v>0.41</v>
      </c>
      <c r="BU1438">
        <v>2.17</v>
      </c>
      <c r="BV1438">
        <v>1.77</v>
      </c>
      <c r="BW1438">
        <v>4.08</v>
      </c>
      <c r="BX1438">
        <v>0.09</v>
      </c>
      <c r="BY1438">
        <v>10.63</v>
      </c>
      <c r="BZ1438">
        <v>1.89</v>
      </c>
      <c r="CA1438">
        <v>2.42</v>
      </c>
      <c r="CB1438">
        <v>0.08</v>
      </c>
      <c r="CC1438">
        <v>2.44</v>
      </c>
      <c r="CD1438">
        <v>2.08</v>
      </c>
      <c r="CE1438">
        <v>2.08</v>
      </c>
      <c r="CF1438">
        <v>1.94</v>
      </c>
      <c r="CG1438">
        <v>12.78</v>
      </c>
      <c r="CH1438">
        <v>1.76</v>
      </c>
      <c r="CI1438">
        <v>3.95</v>
      </c>
      <c r="CJ1438">
        <v>37612</v>
      </c>
      <c r="CK1438">
        <v>16057</v>
      </c>
      <c r="CL1438" t="s">
        <v>1073</v>
      </c>
      <c r="CM1438">
        <v>-12.65</v>
      </c>
      <c r="CN1438">
        <v>-7.53</v>
      </c>
      <c r="CO1438">
        <v>1.94</v>
      </c>
      <c r="CP1438">
        <v>27.81</v>
      </c>
      <c r="CQ1438">
        <v>4.6100000000000003</v>
      </c>
      <c r="CR1438">
        <v>2.17</v>
      </c>
      <c r="CS1438" t="s">
        <v>1831</v>
      </c>
      <c r="CT1438">
        <v>2.42</v>
      </c>
      <c r="CU1438">
        <v>0</v>
      </c>
      <c r="CV1438">
        <v>0.01</v>
      </c>
      <c r="CW1438">
        <v>1.22</v>
      </c>
      <c r="CX1438">
        <v>0.17</v>
      </c>
      <c r="CY1438">
        <v>91.31</v>
      </c>
      <c r="CZ1438" t="s">
        <v>7765</v>
      </c>
      <c r="DA1438">
        <v>82.25</v>
      </c>
      <c r="DB1438">
        <v>22.73</v>
      </c>
      <c r="DC1438">
        <v>19.59</v>
      </c>
      <c r="DD1438">
        <v>0.38</v>
      </c>
      <c r="DE1438">
        <v>1673</v>
      </c>
      <c r="DF1438">
        <v>300039</v>
      </c>
      <c r="DG1438" t="s">
        <v>116</v>
      </c>
      <c r="DH1438" t="s">
        <v>116</v>
      </c>
      <c r="DI1438" t="s">
        <v>116</v>
      </c>
    </row>
    <row r="1439" spans="1:113" x14ac:dyDescent="0.4">
      <c r="A1439" t="str">
        <f>"300040"</f>
        <v>300040</v>
      </c>
      <c r="B1439" t="s">
        <v>7766</v>
      </c>
      <c r="C1439">
        <v>-1.08</v>
      </c>
      <c r="D1439">
        <v>5.49</v>
      </c>
      <c r="E1439">
        <v>-0.06</v>
      </c>
      <c r="F1439">
        <v>5.49</v>
      </c>
      <c r="G1439">
        <v>5.5</v>
      </c>
      <c r="H1439">
        <v>26810</v>
      </c>
      <c r="I1439">
        <v>697</v>
      </c>
      <c r="J1439">
        <v>0</v>
      </c>
      <c r="K1439">
        <v>1.08</v>
      </c>
      <c r="L1439">
        <v>5.55</v>
      </c>
      <c r="M1439">
        <v>5.58</v>
      </c>
      <c r="N1439">
        <v>5.48</v>
      </c>
      <c r="O1439">
        <v>5.55</v>
      </c>
      <c r="P1439">
        <v>33.36</v>
      </c>
      <c r="Q1439">
        <v>14848841</v>
      </c>
      <c r="R1439">
        <v>1.08</v>
      </c>
      <c r="S1439" t="s">
        <v>397</v>
      </c>
      <c r="T1439" t="s">
        <v>1287</v>
      </c>
      <c r="U1439">
        <v>1.8</v>
      </c>
      <c r="V1439">
        <v>5.54</v>
      </c>
      <c r="W1439">
        <v>14072</v>
      </c>
      <c r="X1439">
        <v>12738</v>
      </c>
      <c r="Y1439">
        <v>1.1000000000000001</v>
      </c>
      <c r="Z1439">
        <v>233</v>
      </c>
      <c r="AA1439">
        <v>745</v>
      </c>
      <c r="AB1439" t="s">
        <v>116</v>
      </c>
      <c r="AC1439">
        <v>25500</v>
      </c>
      <c r="AD1439">
        <v>0</v>
      </c>
      <c r="AE1439" t="s">
        <v>116</v>
      </c>
      <c r="AF1439" t="s">
        <v>116</v>
      </c>
      <c r="AG1439">
        <v>2.48</v>
      </c>
      <c r="AH1439" t="s">
        <v>6979</v>
      </c>
      <c r="AI1439" t="s">
        <v>6246</v>
      </c>
      <c r="AJ1439">
        <v>-0.4</v>
      </c>
      <c r="AK1439">
        <v>776</v>
      </c>
      <c r="AL1439">
        <v>35</v>
      </c>
      <c r="AM1439">
        <v>1.4E-3</v>
      </c>
      <c r="AN1439">
        <v>-1</v>
      </c>
      <c r="AO1439">
        <v>0.55000000000000004</v>
      </c>
      <c r="AP1439">
        <v>4.57</v>
      </c>
      <c r="AQ1439">
        <v>-4.6900000000000004</v>
      </c>
      <c r="AR1439">
        <v>12.73</v>
      </c>
      <c r="AS1439">
        <v>1.24</v>
      </c>
      <c r="AT1439" t="s">
        <v>7767</v>
      </c>
      <c r="AU1439">
        <v>57.52</v>
      </c>
      <c r="AV1439">
        <v>41.74</v>
      </c>
      <c r="AW1439">
        <v>1.01</v>
      </c>
      <c r="BA1439">
        <v>0</v>
      </c>
      <c r="BB1439">
        <v>0.54</v>
      </c>
      <c r="BC1439">
        <v>-1.26</v>
      </c>
      <c r="BD1439">
        <v>-0.21</v>
      </c>
      <c r="BE1439">
        <v>-1.08</v>
      </c>
      <c r="BF1439">
        <v>-1.61</v>
      </c>
      <c r="BG1439">
        <v>0.18</v>
      </c>
      <c r="BH1439">
        <v>-0.87</v>
      </c>
      <c r="BI1439">
        <v>20191218</v>
      </c>
      <c r="BJ1439">
        <v>20100108</v>
      </c>
      <c r="BK1439">
        <v>3.43</v>
      </c>
      <c r="BL1439" t="s">
        <v>116</v>
      </c>
      <c r="BM1439" t="s">
        <v>116</v>
      </c>
      <c r="BN1439">
        <v>43.35</v>
      </c>
      <c r="BO1439">
        <v>20.260000000000002</v>
      </c>
      <c r="BP1439">
        <v>0.33</v>
      </c>
      <c r="BQ1439">
        <v>52.51</v>
      </c>
      <c r="BR1439">
        <v>18.84</v>
      </c>
      <c r="BS1439">
        <v>13.19</v>
      </c>
      <c r="BT1439">
        <v>1.71</v>
      </c>
      <c r="BU1439">
        <v>7.86</v>
      </c>
      <c r="BV1439">
        <v>4.0199999999999996</v>
      </c>
      <c r="BW1439">
        <v>7.83</v>
      </c>
      <c r="BX1439">
        <v>7.98</v>
      </c>
      <c r="BY1439">
        <v>4.09</v>
      </c>
      <c r="BZ1439">
        <v>2.23</v>
      </c>
      <c r="CA1439">
        <v>0.46</v>
      </c>
      <c r="CB1439">
        <v>0.17</v>
      </c>
      <c r="CC1439">
        <v>0.48</v>
      </c>
      <c r="CD1439">
        <v>0.46</v>
      </c>
      <c r="CE1439">
        <v>0.42</v>
      </c>
      <c r="CF1439">
        <v>0.27</v>
      </c>
      <c r="CG1439">
        <v>7.21</v>
      </c>
      <c r="CH1439">
        <v>-0.49</v>
      </c>
      <c r="CI1439">
        <v>1.25</v>
      </c>
      <c r="CJ1439">
        <v>21182</v>
      </c>
      <c r="CK1439">
        <v>10245</v>
      </c>
      <c r="CL1439" t="s">
        <v>2551</v>
      </c>
      <c r="CM1439">
        <v>-22.63</v>
      </c>
      <c r="CN1439">
        <v>-42.52</v>
      </c>
      <c r="CO1439">
        <v>0.97</v>
      </c>
      <c r="CP1439">
        <v>-38.549999999999997</v>
      </c>
      <c r="CQ1439">
        <v>4.6100000000000003</v>
      </c>
      <c r="CR1439">
        <v>0.91</v>
      </c>
      <c r="CS1439" t="s">
        <v>1605</v>
      </c>
      <c r="CT1439">
        <v>5.64</v>
      </c>
      <c r="CU1439">
        <v>5.64</v>
      </c>
      <c r="CV1439">
        <v>2.33</v>
      </c>
      <c r="CW1439">
        <v>2.1</v>
      </c>
      <c r="CX1439">
        <v>-0.14000000000000001</v>
      </c>
      <c r="CY1439">
        <v>46.73</v>
      </c>
      <c r="CZ1439" t="s">
        <v>2994</v>
      </c>
      <c r="DA1439">
        <v>45.53</v>
      </c>
      <c r="DB1439">
        <v>11.31</v>
      </c>
      <c r="DC1439">
        <v>10.35</v>
      </c>
      <c r="DD1439">
        <v>0.16</v>
      </c>
      <c r="DE1439">
        <v>800</v>
      </c>
      <c r="DF1439">
        <v>300040</v>
      </c>
      <c r="DG1439" t="s">
        <v>116</v>
      </c>
      <c r="DH1439" t="s">
        <v>116</v>
      </c>
      <c r="DI1439" t="s">
        <v>116</v>
      </c>
    </row>
    <row r="1440" spans="1:113" x14ac:dyDescent="0.4">
      <c r="A1440" t="str">
        <f>"300041"</f>
        <v>300041</v>
      </c>
      <c r="B1440" t="s">
        <v>7768</v>
      </c>
      <c r="C1440">
        <v>-0.3</v>
      </c>
      <c r="D1440">
        <v>10.07</v>
      </c>
      <c r="E1440">
        <v>-0.03</v>
      </c>
      <c r="F1440">
        <v>10.06</v>
      </c>
      <c r="G1440">
        <v>10.07</v>
      </c>
      <c r="H1440">
        <v>70626</v>
      </c>
      <c r="I1440">
        <v>182</v>
      </c>
      <c r="J1440">
        <v>-0.09</v>
      </c>
      <c r="K1440">
        <v>2.31</v>
      </c>
      <c r="L1440">
        <v>10.11</v>
      </c>
      <c r="M1440">
        <v>10.19</v>
      </c>
      <c r="N1440">
        <v>10.029999999999999</v>
      </c>
      <c r="O1440">
        <v>10.1</v>
      </c>
      <c r="P1440">
        <v>21.84</v>
      </c>
      <c r="Q1440">
        <v>71323304</v>
      </c>
      <c r="R1440">
        <v>1.0900000000000001</v>
      </c>
      <c r="S1440" t="s">
        <v>891</v>
      </c>
      <c r="T1440" t="s">
        <v>774</v>
      </c>
      <c r="U1440">
        <v>1.58</v>
      </c>
      <c r="V1440">
        <v>10.1</v>
      </c>
      <c r="W1440">
        <v>27898</v>
      </c>
      <c r="X1440">
        <v>42728</v>
      </c>
      <c r="Y1440">
        <v>0.65</v>
      </c>
      <c r="Z1440">
        <v>240</v>
      </c>
      <c r="AA1440">
        <v>49</v>
      </c>
      <c r="AB1440" t="s">
        <v>116</v>
      </c>
      <c r="AC1440">
        <v>195100</v>
      </c>
      <c r="AD1440">
        <v>0.01</v>
      </c>
      <c r="AE1440" t="s">
        <v>116</v>
      </c>
      <c r="AF1440" t="s">
        <v>116</v>
      </c>
      <c r="AG1440">
        <v>3.06</v>
      </c>
      <c r="AH1440" t="s">
        <v>7769</v>
      </c>
      <c r="AI1440" t="s">
        <v>338</v>
      </c>
      <c r="AJ1440">
        <v>0.38</v>
      </c>
      <c r="AK1440">
        <v>2091</v>
      </c>
      <c r="AL1440">
        <v>34</v>
      </c>
      <c r="AM1440">
        <v>1.1000000000000001E-3</v>
      </c>
      <c r="AN1440">
        <v>-1</v>
      </c>
      <c r="AO1440">
        <v>1.2</v>
      </c>
      <c r="AP1440">
        <v>0.8</v>
      </c>
      <c r="AQ1440">
        <v>-3.36</v>
      </c>
      <c r="AR1440">
        <v>54.51</v>
      </c>
      <c r="AS1440">
        <v>2.65</v>
      </c>
      <c r="AT1440" t="s">
        <v>5988</v>
      </c>
      <c r="AU1440">
        <v>27.54</v>
      </c>
      <c r="AV1440">
        <v>36.1</v>
      </c>
      <c r="AW1440">
        <v>0.8</v>
      </c>
      <c r="BA1440">
        <v>0.1</v>
      </c>
      <c r="BB1440">
        <v>0.89</v>
      </c>
      <c r="BC1440">
        <v>-0.69</v>
      </c>
      <c r="BD1440">
        <v>-0.01</v>
      </c>
      <c r="BE1440">
        <v>-0.4</v>
      </c>
      <c r="BF1440">
        <v>-1.18</v>
      </c>
      <c r="BG1440">
        <v>0.4</v>
      </c>
      <c r="BH1440">
        <v>-0.28999999999999998</v>
      </c>
      <c r="BI1440">
        <v>20191021</v>
      </c>
      <c r="BJ1440">
        <v>20100108</v>
      </c>
      <c r="BK1440">
        <v>4.26</v>
      </c>
      <c r="BL1440" t="s">
        <v>116</v>
      </c>
      <c r="BM1440" t="s">
        <v>116</v>
      </c>
      <c r="BN1440">
        <v>25.3</v>
      </c>
      <c r="BO1440">
        <v>16.66</v>
      </c>
      <c r="BP1440">
        <v>0.01</v>
      </c>
      <c r="BQ1440">
        <v>34.11</v>
      </c>
      <c r="BR1440">
        <v>14.78</v>
      </c>
      <c r="BS1440">
        <v>5.59</v>
      </c>
      <c r="BT1440">
        <v>1.78</v>
      </c>
      <c r="BU1440">
        <v>8.48</v>
      </c>
      <c r="BV1440">
        <v>2.35</v>
      </c>
      <c r="BW1440">
        <v>6</v>
      </c>
      <c r="BX1440">
        <v>8.5500000000000007</v>
      </c>
      <c r="BY1440">
        <v>13.65</v>
      </c>
      <c r="BZ1440">
        <v>9.2200000000000006</v>
      </c>
      <c r="CA1440">
        <v>1.68</v>
      </c>
      <c r="CB1440">
        <v>0</v>
      </c>
      <c r="CC1440">
        <v>1.7</v>
      </c>
      <c r="CD1440">
        <v>1.47</v>
      </c>
      <c r="CE1440">
        <v>1.47</v>
      </c>
      <c r="CF1440">
        <v>1.38</v>
      </c>
      <c r="CG1440">
        <v>4.68</v>
      </c>
      <c r="CH1440">
        <v>2</v>
      </c>
      <c r="CI1440">
        <v>-2.11</v>
      </c>
      <c r="CJ1440">
        <v>14769</v>
      </c>
      <c r="CK1440">
        <v>18034</v>
      </c>
      <c r="CL1440" t="s">
        <v>7770</v>
      </c>
      <c r="CM1440">
        <v>33.43</v>
      </c>
      <c r="CN1440">
        <v>2.4300000000000002</v>
      </c>
      <c r="CO1440">
        <v>2.57</v>
      </c>
      <c r="CP1440">
        <v>21.46</v>
      </c>
      <c r="CQ1440">
        <v>3.14</v>
      </c>
      <c r="CR1440">
        <v>1.49</v>
      </c>
      <c r="CS1440" t="s">
        <v>7771</v>
      </c>
      <c r="CT1440">
        <v>3.91</v>
      </c>
      <c r="CU1440">
        <v>0</v>
      </c>
      <c r="CV1440">
        <v>2.0099999999999998</v>
      </c>
      <c r="CW1440">
        <v>1.1000000000000001</v>
      </c>
      <c r="CX1440">
        <v>0.47</v>
      </c>
      <c r="CY1440">
        <v>65.84</v>
      </c>
      <c r="CZ1440" t="s">
        <v>7772</v>
      </c>
      <c r="DA1440">
        <v>32.479999999999997</v>
      </c>
      <c r="DB1440">
        <v>12.28</v>
      </c>
      <c r="DC1440">
        <v>10.79</v>
      </c>
      <c r="DD1440">
        <v>0.59</v>
      </c>
      <c r="DE1440">
        <v>1245</v>
      </c>
      <c r="DF1440">
        <v>300041</v>
      </c>
      <c r="DG1440" t="s">
        <v>116</v>
      </c>
      <c r="DH1440" t="s">
        <v>116</v>
      </c>
      <c r="DI1440" t="s">
        <v>116</v>
      </c>
    </row>
    <row r="1441" spans="1:113" x14ac:dyDescent="0.4">
      <c r="A1441" t="str">
        <f>"300042"</f>
        <v>300042</v>
      </c>
      <c r="B1441" t="s">
        <v>7773</v>
      </c>
      <c r="C1441">
        <v>-2.94</v>
      </c>
      <c r="D1441">
        <v>15.17</v>
      </c>
      <c r="E1441">
        <v>-0.46</v>
      </c>
      <c r="F1441">
        <v>15.16</v>
      </c>
      <c r="G1441">
        <v>15.17</v>
      </c>
      <c r="H1441">
        <v>52437</v>
      </c>
      <c r="I1441">
        <v>510</v>
      </c>
      <c r="J1441">
        <v>-0.06</v>
      </c>
      <c r="K1441">
        <v>3.12</v>
      </c>
      <c r="L1441">
        <v>15.68</v>
      </c>
      <c r="M1441">
        <v>15.69</v>
      </c>
      <c r="N1441">
        <v>15.15</v>
      </c>
      <c r="O1441">
        <v>15.63</v>
      </c>
      <c r="P1441">
        <v>44.65</v>
      </c>
      <c r="Q1441">
        <v>80736480</v>
      </c>
      <c r="R1441">
        <v>0.96</v>
      </c>
      <c r="S1441" t="s">
        <v>241</v>
      </c>
      <c r="T1441" t="s">
        <v>115</v>
      </c>
      <c r="U1441">
        <v>3.45</v>
      </c>
      <c r="V1441">
        <v>15.4</v>
      </c>
      <c r="W1441">
        <v>34720</v>
      </c>
      <c r="X1441">
        <v>17717</v>
      </c>
      <c r="Y1441">
        <v>1.96</v>
      </c>
      <c r="Z1441">
        <v>133</v>
      </c>
      <c r="AA1441">
        <v>43</v>
      </c>
      <c r="AB1441" t="s">
        <v>116</v>
      </c>
      <c r="AC1441">
        <v>421800</v>
      </c>
      <c r="AD1441">
        <v>0.03</v>
      </c>
      <c r="AE1441" t="s">
        <v>116</v>
      </c>
      <c r="AF1441" t="s">
        <v>116</v>
      </c>
      <c r="AG1441">
        <v>1.68</v>
      </c>
      <c r="AH1441" t="s">
        <v>7774</v>
      </c>
      <c r="AI1441" t="s">
        <v>5438</v>
      </c>
      <c r="AJ1441">
        <v>-2.2599999999999998</v>
      </c>
      <c r="AK1441">
        <v>2075</v>
      </c>
      <c r="AL1441">
        <v>25</v>
      </c>
      <c r="AM1441">
        <v>1.5E-3</v>
      </c>
      <c r="AN1441">
        <v>-1</v>
      </c>
      <c r="AO1441">
        <v>1.55</v>
      </c>
      <c r="AP1441">
        <v>5.71</v>
      </c>
      <c r="AQ1441">
        <v>7.13</v>
      </c>
      <c r="AR1441">
        <v>78.19</v>
      </c>
      <c r="AS1441">
        <v>4.9000000000000004</v>
      </c>
      <c r="AT1441" t="s">
        <v>3817</v>
      </c>
      <c r="AU1441">
        <v>41.78</v>
      </c>
      <c r="AV1441">
        <v>47.14</v>
      </c>
      <c r="AW1441">
        <v>2.42</v>
      </c>
      <c r="BA1441">
        <v>0.32</v>
      </c>
      <c r="BB1441">
        <v>0.38</v>
      </c>
      <c r="BC1441">
        <v>-3.07</v>
      </c>
      <c r="BD1441">
        <v>-1.49</v>
      </c>
      <c r="BE1441">
        <v>-3.25</v>
      </c>
      <c r="BF1441">
        <v>-3.31</v>
      </c>
      <c r="BG1441">
        <v>0.13</v>
      </c>
      <c r="BH1441">
        <v>-1.45</v>
      </c>
      <c r="BI1441">
        <v>20191211</v>
      </c>
      <c r="BJ1441">
        <v>20100108</v>
      </c>
      <c r="BK1441">
        <v>2</v>
      </c>
      <c r="BL1441" t="s">
        <v>116</v>
      </c>
      <c r="BM1441" t="s">
        <v>116</v>
      </c>
      <c r="BN1441">
        <v>10.41</v>
      </c>
      <c r="BO1441">
        <v>9.82</v>
      </c>
      <c r="BP1441">
        <v>0</v>
      </c>
      <c r="BQ1441">
        <v>5.75</v>
      </c>
      <c r="BR1441">
        <v>8.06</v>
      </c>
      <c r="BS1441">
        <v>0.45</v>
      </c>
      <c r="BT1441">
        <v>0.09</v>
      </c>
      <c r="BU1441">
        <v>0.57999999999999996</v>
      </c>
      <c r="BV1441">
        <v>1.1599999999999999</v>
      </c>
      <c r="BW1441">
        <v>0.93</v>
      </c>
      <c r="BX1441">
        <v>5.36</v>
      </c>
      <c r="BY1441">
        <v>8.25</v>
      </c>
      <c r="BZ1441">
        <v>7.19</v>
      </c>
      <c r="CA1441">
        <v>0.64</v>
      </c>
      <c r="CB1441">
        <v>0.13</v>
      </c>
      <c r="CC1441">
        <v>0.64</v>
      </c>
      <c r="CD1441">
        <v>0.51</v>
      </c>
      <c r="CE1441">
        <v>0.51</v>
      </c>
      <c r="CF1441">
        <v>0.36</v>
      </c>
      <c r="CG1441">
        <v>2.13</v>
      </c>
      <c r="CH1441">
        <v>-0.69</v>
      </c>
      <c r="CI1441">
        <v>-0.86</v>
      </c>
      <c r="CJ1441">
        <v>18217</v>
      </c>
      <c r="CK1441">
        <v>5874</v>
      </c>
      <c r="CL1441" t="s">
        <v>213</v>
      </c>
      <c r="CM1441">
        <v>19.329999999999998</v>
      </c>
      <c r="CN1441">
        <v>19.489999999999998</v>
      </c>
      <c r="CO1441">
        <v>3.1</v>
      </c>
      <c r="CP1441">
        <v>-44.2</v>
      </c>
      <c r="CQ1441">
        <v>3.69</v>
      </c>
      <c r="CR1441">
        <v>0.88</v>
      </c>
      <c r="CS1441" t="s">
        <v>758</v>
      </c>
      <c r="CT1441">
        <v>4.9000000000000004</v>
      </c>
      <c r="CU1441">
        <v>0</v>
      </c>
      <c r="CV1441">
        <v>2.67</v>
      </c>
      <c r="CW1441">
        <v>1.07</v>
      </c>
      <c r="CX1441">
        <v>-0.34</v>
      </c>
      <c r="CY1441">
        <v>94.25</v>
      </c>
      <c r="CZ1441" t="s">
        <v>3669</v>
      </c>
      <c r="DA1441">
        <v>12.77</v>
      </c>
      <c r="DB1441">
        <v>7.78</v>
      </c>
      <c r="DC1441">
        <v>6.19</v>
      </c>
      <c r="DD1441">
        <v>0.16</v>
      </c>
      <c r="DE1441">
        <v>340</v>
      </c>
      <c r="DF1441">
        <v>300042</v>
      </c>
      <c r="DG1441" t="s">
        <v>116</v>
      </c>
      <c r="DH1441" t="s">
        <v>116</v>
      </c>
      <c r="DI1441" t="s">
        <v>116</v>
      </c>
    </row>
    <row r="1442" spans="1:113" x14ac:dyDescent="0.4">
      <c r="A1442" t="str">
        <f>"300043"</f>
        <v>300043</v>
      </c>
      <c r="B1442" t="s">
        <v>7775</v>
      </c>
      <c r="C1442">
        <v>-2.82</v>
      </c>
      <c r="D1442">
        <v>5.16</v>
      </c>
      <c r="E1442">
        <v>-0.15</v>
      </c>
      <c r="F1442">
        <v>5.15</v>
      </c>
      <c r="G1442">
        <v>5.16</v>
      </c>
      <c r="H1442">
        <v>368777</v>
      </c>
      <c r="I1442">
        <v>2461</v>
      </c>
      <c r="J1442">
        <v>0.39</v>
      </c>
      <c r="K1442">
        <v>4.03</v>
      </c>
      <c r="L1442">
        <v>5.34</v>
      </c>
      <c r="M1442">
        <v>5.42</v>
      </c>
      <c r="N1442">
        <v>5.12</v>
      </c>
      <c r="O1442">
        <v>5.31</v>
      </c>
      <c r="P1442">
        <v>14.2</v>
      </c>
      <c r="Q1442">
        <v>193733264</v>
      </c>
      <c r="R1442">
        <v>1.07</v>
      </c>
      <c r="S1442" t="s">
        <v>217</v>
      </c>
      <c r="T1442" t="s">
        <v>551</v>
      </c>
      <c r="U1442">
        <v>5.65</v>
      </c>
      <c r="V1442">
        <v>5.25</v>
      </c>
      <c r="W1442">
        <v>210689</v>
      </c>
      <c r="X1442">
        <v>158088</v>
      </c>
      <c r="Y1442">
        <v>1.33</v>
      </c>
      <c r="Z1442">
        <v>367</v>
      </c>
      <c r="AA1442">
        <v>944</v>
      </c>
      <c r="AB1442" t="s">
        <v>116</v>
      </c>
      <c r="AC1442">
        <v>369000</v>
      </c>
      <c r="AD1442">
        <v>0.01</v>
      </c>
      <c r="AE1442" t="s">
        <v>116</v>
      </c>
      <c r="AF1442" t="s">
        <v>116</v>
      </c>
      <c r="AG1442">
        <v>9.15</v>
      </c>
      <c r="AH1442" t="s">
        <v>2293</v>
      </c>
      <c r="AI1442" t="s">
        <v>7776</v>
      </c>
      <c r="AJ1442">
        <v>-2.15</v>
      </c>
      <c r="AK1442">
        <v>3767</v>
      </c>
      <c r="AL1442">
        <v>98</v>
      </c>
      <c r="AM1442">
        <v>1.1000000000000001E-3</v>
      </c>
      <c r="AN1442">
        <v>-2</v>
      </c>
      <c r="AO1442">
        <v>-3.01</v>
      </c>
      <c r="AP1442">
        <v>11.45</v>
      </c>
      <c r="AQ1442">
        <v>7.95</v>
      </c>
      <c r="AR1442">
        <v>56.84</v>
      </c>
      <c r="AS1442">
        <v>5.91</v>
      </c>
      <c r="AT1442" t="s">
        <v>7777</v>
      </c>
      <c r="AU1442">
        <v>17.59</v>
      </c>
      <c r="AV1442">
        <v>26.92</v>
      </c>
      <c r="AW1442">
        <v>1.35</v>
      </c>
      <c r="BA1442">
        <v>0.56000000000000005</v>
      </c>
      <c r="BB1442">
        <v>2.0699999999999998</v>
      </c>
      <c r="BC1442">
        <v>-3.58</v>
      </c>
      <c r="BD1442">
        <v>-1.07</v>
      </c>
      <c r="BE1442">
        <v>-3.37</v>
      </c>
      <c r="BF1442">
        <v>-4.8</v>
      </c>
      <c r="BG1442">
        <v>0.78</v>
      </c>
      <c r="BH1442">
        <v>-1.76</v>
      </c>
      <c r="BI1442">
        <v>20191110</v>
      </c>
      <c r="BJ1442">
        <v>20100120</v>
      </c>
      <c r="BK1442">
        <v>12.44</v>
      </c>
      <c r="BL1442" t="s">
        <v>116</v>
      </c>
      <c r="BM1442" t="s">
        <v>116</v>
      </c>
      <c r="BN1442">
        <v>62.18</v>
      </c>
      <c r="BO1442">
        <v>30.8</v>
      </c>
      <c r="BP1442">
        <v>0</v>
      </c>
      <c r="BQ1442">
        <v>50.46</v>
      </c>
      <c r="BR1442">
        <v>14.17</v>
      </c>
      <c r="BS1442">
        <v>13.13</v>
      </c>
      <c r="BT1442">
        <v>7.33</v>
      </c>
      <c r="BU1442">
        <v>21.37</v>
      </c>
      <c r="BV1442">
        <v>0.77</v>
      </c>
      <c r="BW1442">
        <v>6.66</v>
      </c>
      <c r="BX1442">
        <v>0.91</v>
      </c>
      <c r="BY1442">
        <v>20.6</v>
      </c>
      <c r="BZ1442">
        <v>9.9499999999999993</v>
      </c>
      <c r="CA1442">
        <v>3.83</v>
      </c>
      <c r="CB1442">
        <v>-0.04</v>
      </c>
      <c r="CC1442">
        <v>4.13</v>
      </c>
      <c r="CD1442">
        <v>3.41</v>
      </c>
      <c r="CE1442">
        <v>3.39</v>
      </c>
      <c r="CF1442">
        <v>3.26</v>
      </c>
      <c r="CG1442">
        <v>16.38</v>
      </c>
      <c r="CH1442">
        <v>6</v>
      </c>
      <c r="CI1442">
        <v>0.86</v>
      </c>
      <c r="CJ1442">
        <v>50495</v>
      </c>
      <c r="CK1442">
        <v>12349</v>
      </c>
      <c r="CL1442" t="s">
        <v>6596</v>
      </c>
      <c r="CM1442">
        <v>59.58</v>
      </c>
      <c r="CN1442">
        <v>-8.0500000000000007</v>
      </c>
      <c r="CO1442">
        <v>2.08</v>
      </c>
      <c r="CP1442">
        <v>10.69</v>
      </c>
      <c r="CQ1442">
        <v>3.12</v>
      </c>
      <c r="CR1442">
        <v>0.57999999999999996</v>
      </c>
      <c r="CS1442" t="s">
        <v>2331</v>
      </c>
      <c r="CT1442">
        <v>2.48</v>
      </c>
      <c r="CU1442">
        <v>0</v>
      </c>
      <c r="CV1442">
        <v>7.0000000000000007E-2</v>
      </c>
      <c r="CW1442">
        <v>1.32</v>
      </c>
      <c r="CX1442">
        <v>0.48</v>
      </c>
      <c r="CY1442">
        <v>49.54</v>
      </c>
      <c r="CZ1442" t="s">
        <v>7152</v>
      </c>
      <c r="DA1442">
        <v>51.68</v>
      </c>
      <c r="DB1442">
        <v>18.57</v>
      </c>
      <c r="DC1442">
        <v>16.46</v>
      </c>
      <c r="DD1442">
        <v>0.2</v>
      </c>
      <c r="DE1442">
        <v>2996</v>
      </c>
      <c r="DF1442">
        <v>300043</v>
      </c>
      <c r="DG1442" t="s">
        <v>116</v>
      </c>
      <c r="DH1442" t="s">
        <v>116</v>
      </c>
      <c r="DI1442" t="s">
        <v>116</v>
      </c>
    </row>
    <row r="1443" spans="1:113" x14ac:dyDescent="0.4">
      <c r="A1443" t="str">
        <f>"300044"</f>
        <v>300044</v>
      </c>
      <c r="B1443" t="s">
        <v>7778</v>
      </c>
      <c r="C1443">
        <v>-1.97</v>
      </c>
      <c r="D1443">
        <v>6.46</v>
      </c>
      <c r="E1443">
        <v>-0.13</v>
      </c>
      <c r="F1443">
        <v>6.46</v>
      </c>
      <c r="G1443">
        <v>6.47</v>
      </c>
      <c r="H1443">
        <v>75540</v>
      </c>
      <c r="I1443">
        <v>1191</v>
      </c>
      <c r="J1443">
        <v>-0.3</v>
      </c>
      <c r="K1443">
        <v>1.43</v>
      </c>
      <c r="L1443">
        <v>6.6</v>
      </c>
      <c r="M1443">
        <v>6.62</v>
      </c>
      <c r="N1443">
        <v>6.46</v>
      </c>
      <c r="O1443">
        <v>6.59</v>
      </c>
      <c r="P1443">
        <v>37.130000000000003</v>
      </c>
      <c r="Q1443">
        <v>49571412</v>
      </c>
      <c r="R1443">
        <v>1.01</v>
      </c>
      <c r="S1443" t="s">
        <v>607</v>
      </c>
      <c r="T1443" t="s">
        <v>115</v>
      </c>
      <c r="U1443">
        <v>2.4300000000000002</v>
      </c>
      <c r="V1443">
        <v>6.56</v>
      </c>
      <c r="W1443">
        <v>42346</v>
      </c>
      <c r="X1443">
        <v>33194</v>
      </c>
      <c r="Y1443">
        <v>1.28</v>
      </c>
      <c r="Z1443">
        <v>185</v>
      </c>
      <c r="AA1443">
        <v>136</v>
      </c>
      <c r="AB1443" t="s">
        <v>116</v>
      </c>
      <c r="AC1443">
        <v>49500</v>
      </c>
      <c r="AD1443">
        <v>0</v>
      </c>
      <c r="AE1443" t="s">
        <v>116</v>
      </c>
      <c r="AF1443" t="s">
        <v>116</v>
      </c>
      <c r="AG1443">
        <v>5.3</v>
      </c>
      <c r="AH1443" t="s">
        <v>452</v>
      </c>
      <c r="AI1443" t="s">
        <v>7779</v>
      </c>
      <c r="AJ1443">
        <v>-1.29</v>
      </c>
      <c r="AK1443">
        <v>1845</v>
      </c>
      <c r="AL1443">
        <v>41</v>
      </c>
      <c r="AM1443">
        <v>8.0000000000000004E-4</v>
      </c>
      <c r="AN1443">
        <v>-1</v>
      </c>
      <c r="AO1443">
        <v>-0.46</v>
      </c>
      <c r="AP1443">
        <v>8.0299999999999994</v>
      </c>
      <c r="AQ1443">
        <v>-11.87</v>
      </c>
      <c r="AR1443">
        <v>6.95</v>
      </c>
      <c r="AS1443">
        <v>1.52</v>
      </c>
      <c r="AT1443" t="s">
        <v>4414</v>
      </c>
      <c r="AU1443">
        <v>73.73</v>
      </c>
      <c r="AV1443">
        <v>68.040000000000006</v>
      </c>
      <c r="AW1443">
        <v>1.53</v>
      </c>
      <c r="BA1443">
        <v>0.15</v>
      </c>
      <c r="BB1443">
        <v>0.46</v>
      </c>
      <c r="BC1443">
        <v>-1.97</v>
      </c>
      <c r="BD1443">
        <v>-0.42</v>
      </c>
      <c r="BE1443">
        <v>-2.12</v>
      </c>
      <c r="BF1443">
        <v>-2.42</v>
      </c>
      <c r="BG1443">
        <v>0</v>
      </c>
      <c r="BH1443">
        <v>-1.55</v>
      </c>
      <c r="BI1443">
        <v>20191224</v>
      </c>
      <c r="BJ1443">
        <v>20100120</v>
      </c>
      <c r="BK1443">
        <v>7.93</v>
      </c>
      <c r="BL1443" t="s">
        <v>116</v>
      </c>
      <c r="BM1443" t="s">
        <v>116</v>
      </c>
      <c r="BN1443">
        <v>52.5</v>
      </c>
      <c r="BO1443">
        <v>24.37</v>
      </c>
      <c r="BP1443">
        <v>0.81</v>
      </c>
      <c r="BQ1443">
        <v>52.05</v>
      </c>
      <c r="BR1443">
        <v>26.88</v>
      </c>
      <c r="BS1443">
        <v>6.49</v>
      </c>
      <c r="BT1443">
        <v>2.35</v>
      </c>
      <c r="BU1443">
        <v>20.48</v>
      </c>
      <c r="BV1443">
        <v>3.89</v>
      </c>
      <c r="BW1443">
        <v>13.6</v>
      </c>
      <c r="BX1443">
        <v>10.62</v>
      </c>
      <c r="BY1443">
        <v>9.89</v>
      </c>
      <c r="BZ1443">
        <v>7.08</v>
      </c>
      <c r="CA1443">
        <v>1.1599999999999999</v>
      </c>
      <c r="CB1443">
        <v>-0.01</v>
      </c>
      <c r="CC1443">
        <v>1.1599999999999999</v>
      </c>
      <c r="CD1443">
        <v>1.0900000000000001</v>
      </c>
      <c r="CE1443">
        <v>1.03</v>
      </c>
      <c r="CF1443">
        <v>0.85</v>
      </c>
      <c r="CG1443">
        <v>6.15</v>
      </c>
      <c r="CH1443">
        <v>0.06</v>
      </c>
      <c r="CI1443">
        <v>1.49</v>
      </c>
      <c r="CJ1443">
        <v>52911</v>
      </c>
      <c r="CK1443">
        <v>9371</v>
      </c>
      <c r="CL1443" t="s">
        <v>1118</v>
      </c>
      <c r="CM1443">
        <v>-5.31</v>
      </c>
      <c r="CN1443">
        <v>20.010000000000002</v>
      </c>
      <c r="CO1443">
        <v>2.1</v>
      </c>
      <c r="CP1443">
        <v>881.82</v>
      </c>
      <c r="CQ1443">
        <v>5.18</v>
      </c>
      <c r="CR1443">
        <v>0.15</v>
      </c>
      <c r="CS1443" t="s">
        <v>5815</v>
      </c>
      <c r="CT1443">
        <v>3.07</v>
      </c>
      <c r="CU1443">
        <v>0</v>
      </c>
      <c r="CV1443">
        <v>1.34</v>
      </c>
      <c r="CW1443">
        <v>0.78</v>
      </c>
      <c r="CX1443">
        <v>0.01</v>
      </c>
      <c r="CY1443">
        <v>46.41</v>
      </c>
      <c r="CZ1443" t="s">
        <v>5280</v>
      </c>
      <c r="DA1443">
        <v>28.42</v>
      </c>
      <c r="DB1443">
        <v>11.72</v>
      </c>
      <c r="DC1443">
        <v>10.47</v>
      </c>
      <c r="DD1443">
        <v>0.42</v>
      </c>
      <c r="DE1443">
        <v>1030</v>
      </c>
      <c r="DF1443">
        <v>300044</v>
      </c>
      <c r="DG1443" t="s">
        <v>116</v>
      </c>
      <c r="DH1443" t="s">
        <v>116</v>
      </c>
      <c r="DI1443" t="s">
        <v>116</v>
      </c>
    </row>
    <row r="1444" spans="1:113" x14ac:dyDescent="0.4">
      <c r="A1444" t="str">
        <f>"300045"</f>
        <v>300045</v>
      </c>
      <c r="B1444" t="s">
        <v>7780</v>
      </c>
      <c r="C1444">
        <v>1.43</v>
      </c>
      <c r="D1444">
        <v>9.19</v>
      </c>
      <c r="E1444">
        <v>0.13</v>
      </c>
      <c r="F1444">
        <v>9.18</v>
      </c>
      <c r="G1444">
        <v>9.19</v>
      </c>
      <c r="H1444">
        <v>202398</v>
      </c>
      <c r="I1444">
        <v>1163</v>
      </c>
      <c r="J1444">
        <v>0.11</v>
      </c>
      <c r="K1444">
        <v>4.9000000000000004</v>
      </c>
      <c r="L1444">
        <v>9.08</v>
      </c>
      <c r="M1444">
        <v>9.43</v>
      </c>
      <c r="N1444">
        <v>9.07</v>
      </c>
      <c r="O1444">
        <v>9.06</v>
      </c>
      <c r="P1444">
        <v>102.63</v>
      </c>
      <c r="Q1444">
        <v>187536576</v>
      </c>
      <c r="R1444">
        <v>2.63</v>
      </c>
      <c r="S1444" t="s">
        <v>241</v>
      </c>
      <c r="T1444" t="s">
        <v>165</v>
      </c>
      <c r="U1444">
        <v>3.97</v>
      </c>
      <c r="V1444">
        <v>9.27</v>
      </c>
      <c r="W1444">
        <v>97130</v>
      </c>
      <c r="X1444">
        <v>105268</v>
      </c>
      <c r="Y1444">
        <v>0.92</v>
      </c>
      <c r="Z1444">
        <v>1060</v>
      </c>
      <c r="AA1444">
        <v>883</v>
      </c>
      <c r="AB1444" t="s">
        <v>116</v>
      </c>
      <c r="AC1444">
        <v>342300</v>
      </c>
      <c r="AD1444">
        <v>0.01</v>
      </c>
      <c r="AE1444" t="s">
        <v>116</v>
      </c>
      <c r="AF1444" t="s">
        <v>116</v>
      </c>
      <c r="AG1444">
        <v>4.13</v>
      </c>
      <c r="AH1444" t="s">
        <v>7781</v>
      </c>
      <c r="AI1444" t="s">
        <v>7782</v>
      </c>
      <c r="AJ1444">
        <v>2.11</v>
      </c>
      <c r="AK1444">
        <v>2836</v>
      </c>
      <c r="AL1444">
        <v>71</v>
      </c>
      <c r="AM1444">
        <v>1.6999999999999999E-3</v>
      </c>
      <c r="AN1444">
        <v>4</v>
      </c>
      <c r="AO1444">
        <v>2.9</v>
      </c>
      <c r="AP1444">
        <v>8.6300000000000008</v>
      </c>
      <c r="AQ1444">
        <v>-0.11</v>
      </c>
      <c r="AR1444">
        <v>21.56</v>
      </c>
      <c r="AS1444">
        <v>5.58</v>
      </c>
      <c r="AT1444" t="s">
        <v>5182</v>
      </c>
      <c r="AU1444">
        <v>50.9</v>
      </c>
      <c r="AV1444">
        <v>47.87</v>
      </c>
      <c r="AW1444">
        <v>2.14</v>
      </c>
      <c r="BA1444">
        <v>0.22</v>
      </c>
      <c r="BB1444">
        <v>4.08</v>
      </c>
      <c r="BC1444">
        <v>0.11</v>
      </c>
      <c r="BD1444">
        <v>2.27</v>
      </c>
      <c r="BE1444">
        <v>1.21</v>
      </c>
      <c r="BF1444">
        <v>-2.5499999999999998</v>
      </c>
      <c r="BG1444">
        <v>1.32</v>
      </c>
      <c r="BH1444">
        <v>-0.84</v>
      </c>
      <c r="BI1444">
        <v>20191121</v>
      </c>
      <c r="BJ1444">
        <v>20100120</v>
      </c>
      <c r="BK1444">
        <v>6.15</v>
      </c>
      <c r="BL1444" t="s">
        <v>116</v>
      </c>
      <c r="BM1444" t="s">
        <v>116</v>
      </c>
      <c r="BN1444">
        <v>24.14</v>
      </c>
      <c r="BO1444">
        <v>18.97</v>
      </c>
      <c r="BP1444">
        <v>7.0000000000000007E-2</v>
      </c>
      <c r="BQ1444">
        <v>21.15</v>
      </c>
      <c r="BR1444">
        <v>15.6</v>
      </c>
      <c r="BS1444">
        <v>0.63</v>
      </c>
      <c r="BT1444">
        <v>2.95</v>
      </c>
      <c r="BU1444">
        <v>4.59</v>
      </c>
      <c r="BV1444">
        <v>2.2200000000000002</v>
      </c>
      <c r="BW1444">
        <v>10.49</v>
      </c>
      <c r="BX1444">
        <v>7.89</v>
      </c>
      <c r="BY1444">
        <v>4.84</v>
      </c>
      <c r="BZ1444">
        <v>2.89</v>
      </c>
      <c r="CA1444">
        <v>0.48</v>
      </c>
      <c r="CB1444">
        <v>-0.01</v>
      </c>
      <c r="CC1444">
        <v>0.45</v>
      </c>
      <c r="CD1444">
        <v>0.41</v>
      </c>
      <c r="CE1444">
        <v>0.41</v>
      </c>
      <c r="CF1444">
        <v>0.42</v>
      </c>
      <c r="CG1444">
        <v>4.72</v>
      </c>
      <c r="CH1444">
        <v>-1.19</v>
      </c>
      <c r="CI1444">
        <v>-1.52</v>
      </c>
      <c r="CJ1444">
        <v>41852</v>
      </c>
      <c r="CK1444">
        <v>8664</v>
      </c>
      <c r="CL1444" t="s">
        <v>6791</v>
      </c>
      <c r="CM1444">
        <v>-14.56</v>
      </c>
      <c r="CN1444">
        <v>19.13</v>
      </c>
      <c r="CO1444">
        <v>2.98</v>
      </c>
      <c r="CP1444">
        <v>-47.53</v>
      </c>
      <c r="CQ1444">
        <v>11.67</v>
      </c>
      <c r="CR1444">
        <v>0.22</v>
      </c>
      <c r="CS1444" t="s">
        <v>1584</v>
      </c>
      <c r="CT1444">
        <v>3.08</v>
      </c>
      <c r="CU1444">
        <v>0</v>
      </c>
      <c r="CV1444">
        <v>1.28</v>
      </c>
      <c r="CW1444">
        <v>0.77</v>
      </c>
      <c r="CX1444">
        <v>-0.19</v>
      </c>
      <c r="CY1444">
        <v>78.56</v>
      </c>
      <c r="CZ1444" t="s">
        <v>425</v>
      </c>
      <c r="DA1444">
        <v>40.36</v>
      </c>
      <c r="DB1444">
        <v>9.8800000000000008</v>
      </c>
      <c r="DC1444">
        <v>8.5299999999999994</v>
      </c>
      <c r="DD1444">
        <v>0.3</v>
      </c>
      <c r="DE1444">
        <v>690</v>
      </c>
      <c r="DF1444">
        <v>300045</v>
      </c>
      <c r="DG1444" t="s">
        <v>116</v>
      </c>
      <c r="DH1444" t="s">
        <v>116</v>
      </c>
      <c r="DI1444" t="s">
        <v>116</v>
      </c>
    </row>
    <row r="1445" spans="1:113" x14ac:dyDescent="0.4">
      <c r="A1445" t="str">
        <f>"300046"</f>
        <v>300046</v>
      </c>
      <c r="B1445" t="s">
        <v>7783</v>
      </c>
      <c r="C1445">
        <v>-2.2799999999999998</v>
      </c>
      <c r="D1445">
        <v>16.309999999999999</v>
      </c>
      <c r="E1445">
        <v>-0.38</v>
      </c>
      <c r="F1445">
        <v>16.309999999999999</v>
      </c>
      <c r="G1445">
        <v>16.329999999999998</v>
      </c>
      <c r="H1445">
        <v>183397</v>
      </c>
      <c r="I1445">
        <v>2368</v>
      </c>
      <c r="J1445">
        <v>-0.11</v>
      </c>
      <c r="K1445">
        <v>8.61</v>
      </c>
      <c r="L1445">
        <v>16.829999999999998</v>
      </c>
      <c r="M1445">
        <v>16.98</v>
      </c>
      <c r="N1445">
        <v>16.190000000000001</v>
      </c>
      <c r="O1445">
        <v>16.690000000000001</v>
      </c>
      <c r="P1445">
        <v>35.81</v>
      </c>
      <c r="Q1445">
        <v>303948320</v>
      </c>
      <c r="R1445">
        <v>1.04</v>
      </c>
      <c r="S1445" t="s">
        <v>3507</v>
      </c>
      <c r="T1445" t="s">
        <v>774</v>
      </c>
      <c r="U1445">
        <v>4.7300000000000004</v>
      </c>
      <c r="V1445">
        <v>16.57</v>
      </c>
      <c r="W1445">
        <v>104395</v>
      </c>
      <c r="X1445">
        <v>79002</v>
      </c>
      <c r="Y1445">
        <v>1.32</v>
      </c>
      <c r="Z1445">
        <v>136</v>
      </c>
      <c r="AA1445">
        <v>528</v>
      </c>
      <c r="AB1445" t="s">
        <v>116</v>
      </c>
      <c r="AC1445">
        <v>2368000</v>
      </c>
      <c r="AD1445">
        <v>0.09</v>
      </c>
      <c r="AE1445" t="s">
        <v>116</v>
      </c>
      <c r="AF1445" t="s">
        <v>116</v>
      </c>
      <c r="AG1445">
        <v>2.13</v>
      </c>
      <c r="AH1445" t="s">
        <v>7784</v>
      </c>
      <c r="AI1445" t="s">
        <v>7784</v>
      </c>
      <c r="AJ1445">
        <v>-1.6</v>
      </c>
      <c r="AK1445">
        <v>3639</v>
      </c>
      <c r="AL1445">
        <v>50</v>
      </c>
      <c r="AM1445">
        <v>2.3999999999999998E-3</v>
      </c>
      <c r="AN1445">
        <v>-1</v>
      </c>
      <c r="AO1445">
        <v>4.68</v>
      </c>
      <c r="AP1445">
        <v>15.51</v>
      </c>
      <c r="AQ1445">
        <v>1.94</v>
      </c>
      <c r="AR1445">
        <v>51.44</v>
      </c>
      <c r="AS1445">
        <v>12.3</v>
      </c>
      <c r="AT1445" t="s">
        <v>2431</v>
      </c>
      <c r="AU1445">
        <v>41.49</v>
      </c>
      <c r="AV1445">
        <v>40.53</v>
      </c>
      <c r="AW1445">
        <v>0.98</v>
      </c>
      <c r="BA1445">
        <v>0.84</v>
      </c>
      <c r="BB1445">
        <v>1.74</v>
      </c>
      <c r="BC1445">
        <v>-3</v>
      </c>
      <c r="BD1445">
        <v>-0.7</v>
      </c>
      <c r="BE1445">
        <v>-3.09</v>
      </c>
      <c r="BF1445">
        <v>-3.95</v>
      </c>
      <c r="BG1445">
        <v>0.74</v>
      </c>
      <c r="BH1445">
        <v>-1.58</v>
      </c>
      <c r="BI1445">
        <v>20191025</v>
      </c>
      <c r="BJ1445">
        <v>20100120</v>
      </c>
      <c r="BK1445">
        <v>2.13</v>
      </c>
      <c r="BL1445" t="s">
        <v>116</v>
      </c>
      <c r="BM1445" t="s">
        <v>116</v>
      </c>
      <c r="BN1445">
        <v>10.58</v>
      </c>
      <c r="BO1445">
        <v>9.0500000000000007</v>
      </c>
      <c r="BP1445">
        <v>0</v>
      </c>
      <c r="BQ1445">
        <v>14.49</v>
      </c>
      <c r="BR1445">
        <v>6.24</v>
      </c>
      <c r="BS1445">
        <v>1.21</v>
      </c>
      <c r="BT1445">
        <v>0.11</v>
      </c>
      <c r="BU1445">
        <v>1.51</v>
      </c>
      <c r="BV1445">
        <v>1.07</v>
      </c>
      <c r="BW1445">
        <v>1.53</v>
      </c>
      <c r="BX1445">
        <v>4.92</v>
      </c>
      <c r="BY1445">
        <v>2.75</v>
      </c>
      <c r="BZ1445">
        <v>1.62</v>
      </c>
      <c r="CA1445">
        <v>0.8</v>
      </c>
      <c r="CB1445">
        <v>7.0000000000000007E-2</v>
      </c>
      <c r="CC1445">
        <v>0.8</v>
      </c>
      <c r="CD1445">
        <v>0.73</v>
      </c>
      <c r="CE1445">
        <v>0.73</v>
      </c>
      <c r="CF1445">
        <v>0.66</v>
      </c>
      <c r="CG1445">
        <v>1.42</v>
      </c>
      <c r="CH1445">
        <v>0.52</v>
      </c>
      <c r="CI1445">
        <v>-0.21</v>
      </c>
      <c r="CJ1445">
        <v>15378</v>
      </c>
      <c r="CK1445">
        <v>9698</v>
      </c>
      <c r="CL1445" t="s">
        <v>4105</v>
      </c>
      <c r="CM1445">
        <v>-2.66</v>
      </c>
      <c r="CN1445">
        <v>-2.13</v>
      </c>
      <c r="CO1445">
        <v>3.84</v>
      </c>
      <c r="CP1445">
        <v>66.569999999999993</v>
      </c>
      <c r="CQ1445">
        <v>12.62</v>
      </c>
      <c r="CR1445">
        <v>1.84</v>
      </c>
      <c r="CS1445" t="s">
        <v>7785</v>
      </c>
      <c r="CT1445">
        <v>4.24</v>
      </c>
      <c r="CU1445">
        <v>0</v>
      </c>
      <c r="CV1445">
        <v>2.31</v>
      </c>
      <c r="CW1445">
        <v>0.66</v>
      </c>
      <c r="CX1445">
        <v>0.25</v>
      </c>
      <c r="CY1445">
        <v>85.51</v>
      </c>
      <c r="CZ1445" t="s">
        <v>7786</v>
      </c>
      <c r="DA1445">
        <v>41.16</v>
      </c>
      <c r="DB1445">
        <v>28.91</v>
      </c>
      <c r="DC1445">
        <v>26.43</v>
      </c>
      <c r="DD1445">
        <v>7.0000000000000007E-2</v>
      </c>
      <c r="DE1445">
        <v>550</v>
      </c>
      <c r="DF1445">
        <v>300046</v>
      </c>
      <c r="DG1445" t="s">
        <v>116</v>
      </c>
      <c r="DH1445" t="s">
        <v>116</v>
      </c>
      <c r="DI1445" t="s">
        <v>116</v>
      </c>
    </row>
    <row r="1446" spans="1:113" x14ac:dyDescent="0.4">
      <c r="A1446" t="str">
        <f>"300047"</f>
        <v>300047</v>
      </c>
      <c r="B1446" t="s">
        <v>7787</v>
      </c>
      <c r="C1446">
        <v>-2.23</v>
      </c>
      <c r="D1446">
        <v>7.89</v>
      </c>
      <c r="E1446">
        <v>-0.18</v>
      </c>
      <c r="F1446">
        <v>7.89</v>
      </c>
      <c r="G1446">
        <v>7.9</v>
      </c>
      <c r="H1446">
        <v>159798</v>
      </c>
      <c r="I1446">
        <v>887</v>
      </c>
      <c r="J1446">
        <v>-0.12</v>
      </c>
      <c r="K1446">
        <v>3.22</v>
      </c>
      <c r="L1446">
        <v>8.07</v>
      </c>
      <c r="M1446">
        <v>8.14</v>
      </c>
      <c r="N1446">
        <v>7.88</v>
      </c>
      <c r="O1446">
        <v>8.07</v>
      </c>
      <c r="P1446">
        <v>42.39</v>
      </c>
      <c r="Q1446">
        <v>128036136</v>
      </c>
      <c r="R1446">
        <v>0.95</v>
      </c>
      <c r="S1446" t="s">
        <v>607</v>
      </c>
      <c r="T1446" t="s">
        <v>115</v>
      </c>
      <c r="U1446">
        <v>3.22</v>
      </c>
      <c r="V1446">
        <v>8.01</v>
      </c>
      <c r="W1446">
        <v>99793</v>
      </c>
      <c r="X1446">
        <v>60005</v>
      </c>
      <c r="Y1446">
        <v>1.66</v>
      </c>
      <c r="Z1446">
        <v>1187</v>
      </c>
      <c r="AA1446">
        <v>361</v>
      </c>
      <c r="AB1446" t="s">
        <v>116</v>
      </c>
      <c r="AC1446">
        <v>426900</v>
      </c>
      <c r="AD1446">
        <v>0.01</v>
      </c>
      <c r="AE1446" t="s">
        <v>116</v>
      </c>
      <c r="AF1446" t="s">
        <v>116</v>
      </c>
      <c r="AG1446">
        <v>4.96</v>
      </c>
      <c r="AH1446" t="s">
        <v>5475</v>
      </c>
      <c r="AI1446" t="s">
        <v>4323</v>
      </c>
      <c r="AJ1446">
        <v>-1.55</v>
      </c>
      <c r="AK1446">
        <v>2324</v>
      </c>
      <c r="AL1446">
        <v>69</v>
      </c>
      <c r="AM1446">
        <v>1.4E-3</v>
      </c>
      <c r="AN1446">
        <v>-1</v>
      </c>
      <c r="AO1446">
        <v>-1.25</v>
      </c>
      <c r="AP1446">
        <v>5.76</v>
      </c>
      <c r="AQ1446">
        <v>-3.78</v>
      </c>
      <c r="AR1446">
        <v>14.33</v>
      </c>
      <c r="AS1446">
        <v>3.4</v>
      </c>
      <c r="AT1446" t="s">
        <v>7788</v>
      </c>
      <c r="AU1446">
        <v>22.23</v>
      </c>
      <c r="AV1446">
        <v>23.34</v>
      </c>
      <c r="AW1446">
        <v>1.9</v>
      </c>
      <c r="BA1446">
        <v>0</v>
      </c>
      <c r="BB1446">
        <v>0.87</v>
      </c>
      <c r="BC1446">
        <v>-2.35</v>
      </c>
      <c r="BD1446">
        <v>-0.71</v>
      </c>
      <c r="BE1446">
        <v>-2.23</v>
      </c>
      <c r="BF1446">
        <v>-3.07</v>
      </c>
      <c r="BG1446">
        <v>0.13</v>
      </c>
      <c r="BH1446">
        <v>-1.52</v>
      </c>
      <c r="BI1446">
        <v>20191217</v>
      </c>
      <c r="BJ1446">
        <v>20100120</v>
      </c>
      <c r="BK1446">
        <v>6.38</v>
      </c>
      <c r="BL1446" t="s">
        <v>116</v>
      </c>
      <c r="BM1446" t="s">
        <v>116</v>
      </c>
      <c r="BN1446">
        <v>50.95</v>
      </c>
      <c r="BO1446">
        <v>30.83</v>
      </c>
      <c r="BP1446">
        <v>1.32</v>
      </c>
      <c r="BQ1446">
        <v>36.9</v>
      </c>
      <c r="BR1446">
        <v>33.700000000000003</v>
      </c>
      <c r="BS1446">
        <v>3.62</v>
      </c>
      <c r="BT1446">
        <v>2.4700000000000002</v>
      </c>
      <c r="BU1446">
        <v>18.64</v>
      </c>
      <c r="BV1446">
        <v>12.35</v>
      </c>
      <c r="BW1446">
        <v>12.48</v>
      </c>
      <c r="BX1446">
        <v>14.73</v>
      </c>
      <c r="BY1446">
        <v>24.97</v>
      </c>
      <c r="BZ1446">
        <v>19.93</v>
      </c>
      <c r="CA1446">
        <v>1.17</v>
      </c>
      <c r="CB1446">
        <v>-0.03</v>
      </c>
      <c r="CC1446">
        <v>1.19</v>
      </c>
      <c r="CD1446">
        <v>1.1000000000000001</v>
      </c>
      <c r="CE1446">
        <v>0.89</v>
      </c>
      <c r="CF1446">
        <v>0.75</v>
      </c>
      <c r="CG1446">
        <v>8.93</v>
      </c>
      <c r="CH1446">
        <v>1.33</v>
      </c>
      <c r="CI1446">
        <v>-1.17</v>
      </c>
      <c r="CJ1446">
        <v>35986</v>
      </c>
      <c r="CK1446">
        <v>13079</v>
      </c>
      <c r="CL1446" t="s">
        <v>3323</v>
      </c>
      <c r="CM1446">
        <v>13.81</v>
      </c>
      <c r="CN1446">
        <v>29.42</v>
      </c>
      <c r="CO1446">
        <v>1.63</v>
      </c>
      <c r="CP1446">
        <v>37.700000000000003</v>
      </c>
      <c r="CQ1446">
        <v>2.02</v>
      </c>
      <c r="CR1446">
        <v>0.48</v>
      </c>
      <c r="CS1446" t="s">
        <v>358</v>
      </c>
      <c r="CT1446">
        <v>4.83</v>
      </c>
      <c r="CU1446">
        <v>0</v>
      </c>
      <c r="CV1446">
        <v>2.31</v>
      </c>
      <c r="CW1446">
        <v>1.4</v>
      </c>
      <c r="CX1446">
        <v>0.21</v>
      </c>
      <c r="CY1446">
        <v>60.52</v>
      </c>
      <c r="CZ1446" t="s">
        <v>5949</v>
      </c>
      <c r="DA1446">
        <v>20.2</v>
      </c>
      <c r="DB1446">
        <v>4.6900000000000004</v>
      </c>
      <c r="DC1446">
        <v>3.57</v>
      </c>
      <c r="DD1446">
        <v>1.59</v>
      </c>
      <c r="DE1446">
        <v>4925</v>
      </c>
      <c r="DF1446">
        <v>300047</v>
      </c>
      <c r="DG1446" t="s">
        <v>116</v>
      </c>
      <c r="DH1446" t="s">
        <v>116</v>
      </c>
      <c r="DI1446" t="s">
        <v>116</v>
      </c>
    </row>
    <row r="1447" spans="1:113" x14ac:dyDescent="0.4">
      <c r="A1447" t="str">
        <f>"300048"</f>
        <v>300048</v>
      </c>
      <c r="B1447" t="s">
        <v>7789</v>
      </c>
      <c r="C1447">
        <v>0</v>
      </c>
      <c r="D1447">
        <v>2.38</v>
      </c>
      <c r="E1447">
        <v>0</v>
      </c>
      <c r="F1447">
        <v>2.37</v>
      </c>
      <c r="G1447">
        <v>2.38</v>
      </c>
      <c r="H1447">
        <v>123304</v>
      </c>
      <c r="I1447">
        <v>1104</v>
      </c>
      <c r="J1447">
        <v>0</v>
      </c>
      <c r="K1447">
        <v>1.1299999999999999</v>
      </c>
      <c r="L1447">
        <v>2.37</v>
      </c>
      <c r="M1447">
        <v>2.42</v>
      </c>
      <c r="N1447">
        <v>2.37</v>
      </c>
      <c r="O1447">
        <v>2.38</v>
      </c>
      <c r="P1447">
        <v>90.84</v>
      </c>
      <c r="Q1447">
        <v>29602266</v>
      </c>
      <c r="R1447">
        <v>1.2</v>
      </c>
      <c r="S1447" t="s">
        <v>397</v>
      </c>
      <c r="T1447" t="s">
        <v>165</v>
      </c>
      <c r="U1447">
        <v>2.1</v>
      </c>
      <c r="V1447">
        <v>2.4</v>
      </c>
      <c r="W1447">
        <v>61630</v>
      </c>
      <c r="X1447">
        <v>61674</v>
      </c>
      <c r="Y1447">
        <v>1</v>
      </c>
      <c r="Z1447">
        <v>3412</v>
      </c>
      <c r="AA1447">
        <v>157</v>
      </c>
      <c r="AB1447" t="s">
        <v>116</v>
      </c>
      <c r="AC1447">
        <v>5500</v>
      </c>
      <c r="AD1447">
        <v>0</v>
      </c>
      <c r="AE1447" t="s">
        <v>116</v>
      </c>
      <c r="AF1447" t="s">
        <v>116</v>
      </c>
      <c r="AG1447">
        <v>10.9</v>
      </c>
      <c r="AH1447" t="s">
        <v>1797</v>
      </c>
      <c r="AI1447" t="s">
        <v>7790</v>
      </c>
      <c r="AJ1447">
        <v>0.68</v>
      </c>
      <c r="AK1447">
        <v>1177</v>
      </c>
      <c r="AL1447">
        <v>105</v>
      </c>
      <c r="AM1447">
        <v>1E-3</v>
      </c>
      <c r="AN1447">
        <v>0</v>
      </c>
      <c r="AO1447">
        <v>0.85</v>
      </c>
      <c r="AP1447">
        <v>4.8499999999999996</v>
      </c>
      <c r="AQ1447">
        <v>-5.18</v>
      </c>
      <c r="AR1447">
        <v>-0.42</v>
      </c>
      <c r="AS1447">
        <v>1.59</v>
      </c>
      <c r="AT1447" t="s">
        <v>4032</v>
      </c>
      <c r="AU1447" t="s">
        <v>116</v>
      </c>
      <c r="AV1447" t="s">
        <v>116</v>
      </c>
      <c r="AW1447">
        <v>0.95</v>
      </c>
      <c r="BA1447">
        <v>-0.42</v>
      </c>
      <c r="BB1447">
        <v>1.68</v>
      </c>
      <c r="BC1447">
        <v>-0.42</v>
      </c>
      <c r="BD1447">
        <v>0.87</v>
      </c>
      <c r="BE1447">
        <v>0.42</v>
      </c>
      <c r="BF1447">
        <v>-1.65</v>
      </c>
      <c r="BG1447">
        <v>0.42</v>
      </c>
      <c r="BH1447">
        <v>-0.87</v>
      </c>
      <c r="BI1447">
        <v>20191127</v>
      </c>
      <c r="BJ1447">
        <v>20100120</v>
      </c>
      <c r="BK1447">
        <v>11.14</v>
      </c>
      <c r="BL1447" t="s">
        <v>116</v>
      </c>
      <c r="BM1447" t="s">
        <v>116</v>
      </c>
      <c r="BN1447">
        <v>40.340000000000003</v>
      </c>
      <c r="BO1447">
        <v>22.57</v>
      </c>
      <c r="BP1447">
        <v>0.95</v>
      </c>
      <c r="BQ1447">
        <v>41.7</v>
      </c>
      <c r="BR1447">
        <v>22.41</v>
      </c>
      <c r="BS1447">
        <v>11.7</v>
      </c>
      <c r="BT1447">
        <v>1.47</v>
      </c>
      <c r="BU1447">
        <v>13.86</v>
      </c>
      <c r="BV1447">
        <v>7.24</v>
      </c>
      <c r="BW1447">
        <v>9.0500000000000007</v>
      </c>
      <c r="BX1447">
        <v>8.5299999999999994</v>
      </c>
      <c r="BY1447">
        <v>7.59</v>
      </c>
      <c r="BZ1447">
        <v>5.13</v>
      </c>
      <c r="CA1447">
        <v>0.03</v>
      </c>
      <c r="CB1447">
        <v>-0.02</v>
      </c>
      <c r="CC1447">
        <v>0.05</v>
      </c>
      <c r="CD1447">
        <v>7.0000000000000007E-2</v>
      </c>
      <c r="CE1447">
        <v>0.22</v>
      </c>
      <c r="CF1447">
        <v>0.18</v>
      </c>
      <c r="CG1447">
        <v>2.5099999999999998</v>
      </c>
      <c r="CH1447">
        <v>1.72</v>
      </c>
      <c r="CI1447">
        <v>-0.62</v>
      </c>
      <c r="CJ1447">
        <v>47901</v>
      </c>
      <c r="CK1447">
        <v>16238</v>
      </c>
      <c r="CL1447" t="s">
        <v>964</v>
      </c>
      <c r="CM1447">
        <v>3.01</v>
      </c>
      <c r="CN1447">
        <v>-22.84</v>
      </c>
      <c r="CO1447">
        <v>1.17</v>
      </c>
      <c r="CP1447">
        <v>15.45</v>
      </c>
      <c r="CQ1447">
        <v>3.5</v>
      </c>
      <c r="CR1447">
        <v>0</v>
      </c>
      <c r="CS1447" t="s">
        <v>3929</v>
      </c>
      <c r="CT1447">
        <v>2.0299999999999998</v>
      </c>
      <c r="CU1447">
        <v>0</v>
      </c>
      <c r="CV1447">
        <v>0.77</v>
      </c>
      <c r="CW1447">
        <v>0.23</v>
      </c>
      <c r="CX1447">
        <v>0.15</v>
      </c>
      <c r="CY1447">
        <v>55.96</v>
      </c>
      <c r="CZ1447" t="s">
        <v>7330</v>
      </c>
      <c r="DA1447">
        <v>32.39</v>
      </c>
      <c r="DB1447">
        <v>0.43</v>
      </c>
      <c r="DC1447">
        <v>2.89</v>
      </c>
      <c r="DD1447">
        <v>0.53</v>
      </c>
      <c r="DE1447">
        <v>1806</v>
      </c>
      <c r="DF1447">
        <v>300048</v>
      </c>
      <c r="DG1447" t="s">
        <v>116</v>
      </c>
      <c r="DH1447" t="s">
        <v>116</v>
      </c>
      <c r="DI1447" t="s">
        <v>116</v>
      </c>
    </row>
    <row r="1448" spans="1:113" x14ac:dyDescent="0.4">
      <c r="A1448" t="str">
        <f>"300049"</f>
        <v>300049</v>
      </c>
      <c r="B1448" t="s">
        <v>7791</v>
      </c>
      <c r="C1448">
        <v>0</v>
      </c>
      <c r="D1448">
        <v>7.51</v>
      </c>
      <c r="E1448">
        <v>0</v>
      </c>
      <c r="F1448">
        <v>7.51</v>
      </c>
      <c r="G1448">
        <v>7.52</v>
      </c>
      <c r="H1448">
        <v>30186</v>
      </c>
      <c r="I1448">
        <v>418</v>
      </c>
      <c r="J1448">
        <v>0</v>
      </c>
      <c r="K1448">
        <v>1.32</v>
      </c>
      <c r="L1448">
        <v>7.5</v>
      </c>
      <c r="M1448">
        <v>7.65</v>
      </c>
      <c r="N1448">
        <v>7.48</v>
      </c>
      <c r="O1448">
        <v>7.51</v>
      </c>
      <c r="P1448">
        <v>61.58</v>
      </c>
      <c r="Q1448">
        <v>22826198</v>
      </c>
      <c r="R1448">
        <v>1.4</v>
      </c>
      <c r="S1448" t="s">
        <v>559</v>
      </c>
      <c r="T1448" t="s">
        <v>796</v>
      </c>
      <c r="U1448">
        <v>2.2599999999999998</v>
      </c>
      <c r="V1448">
        <v>7.56</v>
      </c>
      <c r="W1448">
        <v>16146</v>
      </c>
      <c r="X1448">
        <v>14040</v>
      </c>
      <c r="Y1448">
        <v>1.1499999999999999</v>
      </c>
      <c r="Z1448">
        <v>209</v>
      </c>
      <c r="AA1448">
        <v>30</v>
      </c>
      <c r="AB1448" t="s">
        <v>116</v>
      </c>
      <c r="AC1448">
        <v>111800</v>
      </c>
      <c r="AD1448">
        <v>0.01</v>
      </c>
      <c r="AE1448" t="s">
        <v>116</v>
      </c>
      <c r="AF1448" t="s">
        <v>116</v>
      </c>
      <c r="AG1448">
        <v>2.2799999999999998</v>
      </c>
      <c r="AH1448" t="s">
        <v>7792</v>
      </c>
      <c r="AI1448" t="s">
        <v>4503</v>
      </c>
      <c r="AJ1448">
        <v>0.68</v>
      </c>
      <c r="AK1448">
        <v>732</v>
      </c>
      <c r="AL1448">
        <v>41</v>
      </c>
      <c r="AM1448">
        <v>1.8E-3</v>
      </c>
      <c r="AN1448">
        <v>0</v>
      </c>
      <c r="AO1448">
        <v>0.4</v>
      </c>
      <c r="AP1448">
        <v>3.87</v>
      </c>
      <c r="AQ1448">
        <v>-3.1</v>
      </c>
      <c r="AR1448">
        <v>-25.94</v>
      </c>
      <c r="AS1448">
        <v>1.61</v>
      </c>
      <c r="AT1448" t="s">
        <v>7793</v>
      </c>
      <c r="AU1448">
        <v>2182.16</v>
      </c>
      <c r="AV1448">
        <v>55.78</v>
      </c>
      <c r="AW1448">
        <v>0.91</v>
      </c>
      <c r="BA1448">
        <v>-0.13</v>
      </c>
      <c r="BB1448">
        <v>1.86</v>
      </c>
      <c r="BC1448">
        <v>-0.4</v>
      </c>
      <c r="BD1448">
        <v>0.69</v>
      </c>
      <c r="BE1448">
        <v>0.13</v>
      </c>
      <c r="BF1448">
        <v>-1.83</v>
      </c>
      <c r="BG1448">
        <v>0.4</v>
      </c>
      <c r="BH1448">
        <v>-0.69</v>
      </c>
      <c r="BI1448">
        <v>20191213</v>
      </c>
      <c r="BJ1448">
        <v>20100120</v>
      </c>
      <c r="BK1448">
        <v>2.63</v>
      </c>
      <c r="BL1448" t="s">
        <v>116</v>
      </c>
      <c r="BM1448" t="s">
        <v>116</v>
      </c>
      <c r="BN1448">
        <v>18.52</v>
      </c>
      <c r="BO1448">
        <v>13.52</v>
      </c>
      <c r="BP1448">
        <v>1.98</v>
      </c>
      <c r="BQ1448">
        <v>16.329999999999998</v>
      </c>
      <c r="BR1448">
        <v>10.65</v>
      </c>
      <c r="BS1448">
        <v>0.89</v>
      </c>
      <c r="BT1448">
        <v>1.18</v>
      </c>
      <c r="BU1448">
        <v>1.91</v>
      </c>
      <c r="BV1448">
        <v>1.04</v>
      </c>
      <c r="BW1448">
        <v>2.74</v>
      </c>
      <c r="BX1448">
        <v>6.59</v>
      </c>
      <c r="BY1448">
        <v>5.75</v>
      </c>
      <c r="BZ1448">
        <v>1.75</v>
      </c>
      <c r="CA1448">
        <v>0.66</v>
      </c>
      <c r="CB1448">
        <v>0</v>
      </c>
      <c r="CC1448">
        <v>0.66</v>
      </c>
      <c r="CD1448">
        <v>0.42</v>
      </c>
      <c r="CE1448">
        <v>0.24</v>
      </c>
      <c r="CF1448">
        <v>0.34</v>
      </c>
      <c r="CG1448">
        <v>4.0599999999999996</v>
      </c>
      <c r="CH1448">
        <v>2</v>
      </c>
      <c r="CI1448">
        <v>0.72</v>
      </c>
      <c r="CJ1448">
        <v>17841</v>
      </c>
      <c r="CK1448">
        <v>10503</v>
      </c>
      <c r="CL1448" t="s">
        <v>2806</v>
      </c>
      <c r="CM1448">
        <v>-58.92</v>
      </c>
      <c r="CN1448">
        <v>-1.61</v>
      </c>
      <c r="CO1448">
        <v>1.46</v>
      </c>
      <c r="CP1448">
        <v>9.8800000000000008</v>
      </c>
      <c r="CQ1448">
        <v>3.44</v>
      </c>
      <c r="CR1448">
        <v>0</v>
      </c>
      <c r="CS1448" t="s">
        <v>1381</v>
      </c>
      <c r="CT1448">
        <v>5.14</v>
      </c>
      <c r="CU1448">
        <v>0</v>
      </c>
      <c r="CV1448">
        <v>2.5099999999999998</v>
      </c>
      <c r="CW1448">
        <v>1.55</v>
      </c>
      <c r="CX1448">
        <v>0.76</v>
      </c>
      <c r="CY1448">
        <v>72.98</v>
      </c>
      <c r="CZ1448" t="s">
        <v>4893</v>
      </c>
      <c r="DA1448">
        <v>69.58</v>
      </c>
      <c r="DB1448">
        <v>11.47</v>
      </c>
      <c r="DC1448">
        <v>4.1900000000000004</v>
      </c>
      <c r="DD1448">
        <v>0.44</v>
      </c>
      <c r="DE1448">
        <v>626</v>
      </c>
      <c r="DF1448">
        <v>300049</v>
      </c>
      <c r="DG1448" t="s">
        <v>116</v>
      </c>
      <c r="DH1448" t="s">
        <v>116</v>
      </c>
      <c r="DI1448" t="s">
        <v>116</v>
      </c>
    </row>
    <row r="1449" spans="1:113" x14ac:dyDescent="0.4">
      <c r="A1449" t="str">
        <f>"300050"</f>
        <v>300050</v>
      </c>
      <c r="B1449" t="s">
        <v>7794</v>
      </c>
      <c r="C1449">
        <v>-2.39</v>
      </c>
      <c r="D1449">
        <v>5.73</v>
      </c>
      <c r="E1449">
        <v>-0.14000000000000001</v>
      </c>
      <c r="F1449">
        <v>5.73</v>
      </c>
      <c r="G1449">
        <v>5.74</v>
      </c>
      <c r="H1449">
        <v>78059</v>
      </c>
      <c r="I1449">
        <v>553</v>
      </c>
      <c r="J1449">
        <v>-0.16</v>
      </c>
      <c r="K1449">
        <v>2.02</v>
      </c>
      <c r="L1449">
        <v>5.87</v>
      </c>
      <c r="M1449">
        <v>5.92</v>
      </c>
      <c r="N1449">
        <v>5.72</v>
      </c>
      <c r="O1449">
        <v>5.87</v>
      </c>
      <c r="P1449">
        <v>87.03</v>
      </c>
      <c r="Q1449">
        <v>45383804</v>
      </c>
      <c r="R1449">
        <v>0.85</v>
      </c>
      <c r="S1449" t="s">
        <v>607</v>
      </c>
      <c r="T1449" t="s">
        <v>551</v>
      </c>
      <c r="U1449">
        <v>3.41</v>
      </c>
      <c r="V1449">
        <v>5.81</v>
      </c>
      <c r="W1449">
        <v>44181</v>
      </c>
      <c r="X1449">
        <v>33878</v>
      </c>
      <c r="Y1449">
        <v>1.3</v>
      </c>
      <c r="Z1449">
        <v>182</v>
      </c>
      <c r="AA1449">
        <v>355</v>
      </c>
      <c r="AB1449" t="s">
        <v>116</v>
      </c>
      <c r="AC1449">
        <v>61600</v>
      </c>
      <c r="AD1449">
        <v>0</v>
      </c>
      <c r="AE1449" t="s">
        <v>116</v>
      </c>
      <c r="AF1449" t="s">
        <v>116</v>
      </c>
      <c r="AG1449">
        <v>3.87</v>
      </c>
      <c r="AH1449" t="s">
        <v>5914</v>
      </c>
      <c r="AI1449" t="s">
        <v>7795</v>
      </c>
      <c r="AJ1449">
        <v>-1.71</v>
      </c>
      <c r="AK1449">
        <v>1489</v>
      </c>
      <c r="AL1449">
        <v>52</v>
      </c>
      <c r="AM1449">
        <v>1.4E-3</v>
      </c>
      <c r="AN1449">
        <v>-1</v>
      </c>
      <c r="AO1449">
        <v>0.87</v>
      </c>
      <c r="AP1449">
        <v>6.11</v>
      </c>
      <c r="AQ1449">
        <v>0.7</v>
      </c>
      <c r="AR1449">
        <v>-7.73</v>
      </c>
      <c r="AS1449">
        <v>2.19</v>
      </c>
      <c r="AT1449" t="s">
        <v>7796</v>
      </c>
      <c r="AU1449">
        <v>60.32</v>
      </c>
      <c r="AV1449">
        <v>55.07</v>
      </c>
      <c r="AW1449">
        <v>1.45</v>
      </c>
      <c r="BA1449">
        <v>0</v>
      </c>
      <c r="BB1449">
        <v>0.85</v>
      </c>
      <c r="BC1449">
        <v>-2.56</v>
      </c>
      <c r="BD1449">
        <v>-0.95</v>
      </c>
      <c r="BE1449">
        <v>-2.39</v>
      </c>
      <c r="BF1449">
        <v>-3.21</v>
      </c>
      <c r="BG1449">
        <v>0.17</v>
      </c>
      <c r="BH1449">
        <v>-1.43</v>
      </c>
      <c r="BI1449">
        <v>20191026</v>
      </c>
      <c r="BJ1449">
        <v>20100120</v>
      </c>
      <c r="BK1449">
        <v>5.45</v>
      </c>
      <c r="BL1449" t="s">
        <v>116</v>
      </c>
      <c r="BM1449" t="s">
        <v>116</v>
      </c>
      <c r="BN1449">
        <v>36.28</v>
      </c>
      <c r="BO1449">
        <v>28.82</v>
      </c>
      <c r="BP1449">
        <v>0.01</v>
      </c>
      <c r="BQ1449">
        <v>20.55</v>
      </c>
      <c r="BR1449">
        <v>13.06</v>
      </c>
      <c r="BS1449">
        <v>1.43</v>
      </c>
      <c r="BT1449">
        <v>0.69</v>
      </c>
      <c r="BU1449">
        <v>6.54</v>
      </c>
      <c r="BV1449">
        <v>0.75</v>
      </c>
      <c r="BW1449">
        <v>7.44</v>
      </c>
      <c r="BX1449">
        <v>16.920000000000002</v>
      </c>
      <c r="BY1449">
        <v>8.15</v>
      </c>
      <c r="BZ1449">
        <v>5.68</v>
      </c>
      <c r="CA1449">
        <v>0.45</v>
      </c>
      <c r="CB1449">
        <v>0.01</v>
      </c>
      <c r="CC1449">
        <v>0.45</v>
      </c>
      <c r="CD1449">
        <v>0.26</v>
      </c>
      <c r="CE1449">
        <v>0.27</v>
      </c>
      <c r="CF1449">
        <v>0.1</v>
      </c>
      <c r="CG1449">
        <v>5.84</v>
      </c>
      <c r="CH1449">
        <v>-1.68</v>
      </c>
      <c r="CI1449">
        <v>-1.96</v>
      </c>
      <c r="CJ1449">
        <v>32273</v>
      </c>
      <c r="CK1449">
        <v>11028</v>
      </c>
      <c r="CL1449" t="s">
        <v>4537</v>
      </c>
      <c r="CM1449">
        <v>-15.5</v>
      </c>
      <c r="CN1449">
        <v>22.9</v>
      </c>
      <c r="CO1449">
        <v>1.08</v>
      </c>
      <c r="CP1449">
        <v>-18.54</v>
      </c>
      <c r="CQ1449">
        <v>3.83</v>
      </c>
      <c r="CR1449">
        <v>0</v>
      </c>
      <c r="CS1449" t="s">
        <v>5719</v>
      </c>
      <c r="CT1449">
        <v>5.29</v>
      </c>
      <c r="CU1449">
        <v>0</v>
      </c>
      <c r="CV1449">
        <v>3.11</v>
      </c>
      <c r="CW1449">
        <v>1.07</v>
      </c>
      <c r="CX1449">
        <v>-0.31</v>
      </c>
      <c r="CY1449">
        <v>79.430000000000007</v>
      </c>
      <c r="CZ1449" t="s">
        <v>2296</v>
      </c>
      <c r="DA1449">
        <v>30.3</v>
      </c>
      <c r="DB1449">
        <v>5.56</v>
      </c>
      <c r="DC1449">
        <v>3.3</v>
      </c>
      <c r="DD1449">
        <v>0.41</v>
      </c>
      <c r="DE1449">
        <v>1597</v>
      </c>
      <c r="DF1449">
        <v>300050</v>
      </c>
      <c r="DG1449" t="s">
        <v>116</v>
      </c>
      <c r="DH1449" t="s">
        <v>116</v>
      </c>
      <c r="DI1449" t="s">
        <v>116</v>
      </c>
    </row>
    <row r="1450" spans="1:113" x14ac:dyDescent="0.4">
      <c r="A1450" t="str">
        <f>"300051"</f>
        <v>300051</v>
      </c>
      <c r="B1450" t="s">
        <v>7797</v>
      </c>
      <c r="C1450">
        <v>-1.1200000000000001</v>
      </c>
      <c r="D1450">
        <v>6.19</v>
      </c>
      <c r="E1450">
        <v>-7.0000000000000007E-2</v>
      </c>
      <c r="F1450">
        <v>6.18</v>
      </c>
      <c r="G1450">
        <v>6.19</v>
      </c>
      <c r="H1450">
        <v>57971</v>
      </c>
      <c r="I1450">
        <v>701</v>
      </c>
      <c r="J1450">
        <v>0</v>
      </c>
      <c r="K1450">
        <v>2.58</v>
      </c>
      <c r="L1450">
        <v>6.3</v>
      </c>
      <c r="M1450">
        <v>6.34</v>
      </c>
      <c r="N1450">
        <v>6.16</v>
      </c>
      <c r="O1450">
        <v>6.26</v>
      </c>
      <c r="P1450">
        <v>1798.47</v>
      </c>
      <c r="Q1450">
        <v>36322524</v>
      </c>
      <c r="R1450">
        <v>1.1000000000000001</v>
      </c>
      <c r="S1450" t="s">
        <v>1384</v>
      </c>
      <c r="T1450" t="s">
        <v>975</v>
      </c>
      <c r="U1450">
        <v>2.88</v>
      </c>
      <c r="V1450">
        <v>6.27</v>
      </c>
      <c r="W1450">
        <v>27521</v>
      </c>
      <c r="X1450">
        <v>30450</v>
      </c>
      <c r="Y1450">
        <v>0.9</v>
      </c>
      <c r="Z1450">
        <v>73</v>
      </c>
      <c r="AA1450">
        <v>414</v>
      </c>
      <c r="AB1450" t="s">
        <v>116</v>
      </c>
      <c r="AC1450">
        <v>0</v>
      </c>
      <c r="AD1450">
        <v>0</v>
      </c>
      <c r="AE1450" t="s">
        <v>116</v>
      </c>
      <c r="AF1450" t="s">
        <v>116</v>
      </c>
      <c r="AG1450">
        <v>2.25</v>
      </c>
      <c r="AH1450" t="s">
        <v>6825</v>
      </c>
      <c r="AI1450" t="s">
        <v>1111</v>
      </c>
      <c r="AJ1450">
        <v>-0.44</v>
      </c>
      <c r="AK1450">
        <v>1588</v>
      </c>
      <c r="AL1450">
        <v>37</v>
      </c>
      <c r="AM1450">
        <v>1.6000000000000001E-3</v>
      </c>
      <c r="AN1450">
        <v>-1</v>
      </c>
      <c r="AO1450">
        <v>0.16</v>
      </c>
      <c r="AP1450">
        <v>8.0299999999999994</v>
      </c>
      <c r="AQ1450">
        <v>-0.96</v>
      </c>
      <c r="AR1450">
        <v>5.09</v>
      </c>
      <c r="AS1450">
        <v>2.58</v>
      </c>
      <c r="AT1450" t="s">
        <v>6825</v>
      </c>
      <c r="AU1450" t="s">
        <v>116</v>
      </c>
      <c r="AV1450" t="s">
        <v>116</v>
      </c>
      <c r="AW1450">
        <v>1.73</v>
      </c>
      <c r="BA1450">
        <v>0.64</v>
      </c>
      <c r="BB1450">
        <v>1.28</v>
      </c>
      <c r="BC1450">
        <v>-1.6</v>
      </c>
      <c r="BD1450">
        <v>0.09</v>
      </c>
      <c r="BE1450">
        <v>-1.75</v>
      </c>
      <c r="BF1450">
        <v>-2.37</v>
      </c>
      <c r="BG1450">
        <v>0.49</v>
      </c>
      <c r="BH1450">
        <v>-1.21</v>
      </c>
      <c r="BI1450">
        <v>20191028</v>
      </c>
      <c r="BJ1450">
        <v>20100211</v>
      </c>
      <c r="BK1450">
        <v>3.66</v>
      </c>
      <c r="BL1450" t="s">
        <v>116</v>
      </c>
      <c r="BM1450" t="s">
        <v>116</v>
      </c>
      <c r="BN1450">
        <v>10.87</v>
      </c>
      <c r="BO1450">
        <v>5.92</v>
      </c>
      <c r="BP1450">
        <v>-0.01</v>
      </c>
      <c r="BQ1450">
        <v>45.56</v>
      </c>
      <c r="BR1450">
        <v>2.0299999999999998</v>
      </c>
      <c r="BS1450">
        <v>5.2</v>
      </c>
      <c r="BT1450">
        <v>0.32</v>
      </c>
      <c r="BU1450">
        <v>1.68</v>
      </c>
      <c r="BV1450">
        <v>0.01</v>
      </c>
      <c r="BW1450">
        <v>0.27</v>
      </c>
      <c r="BX1450">
        <v>4.84</v>
      </c>
      <c r="BY1450">
        <v>2.1800000000000002</v>
      </c>
      <c r="BZ1450">
        <v>1</v>
      </c>
      <c r="CA1450">
        <v>7.0000000000000007E-2</v>
      </c>
      <c r="CB1450">
        <v>0</v>
      </c>
      <c r="CC1450">
        <v>7.0000000000000007E-2</v>
      </c>
      <c r="CD1450">
        <v>0.03</v>
      </c>
      <c r="CE1450">
        <v>0.01</v>
      </c>
      <c r="CF1450">
        <v>-0.02</v>
      </c>
      <c r="CG1450">
        <v>-2.75</v>
      </c>
      <c r="CH1450">
        <v>0.36</v>
      </c>
      <c r="CI1450">
        <v>-0.17</v>
      </c>
      <c r="CJ1450">
        <v>41310</v>
      </c>
      <c r="CK1450">
        <v>5444</v>
      </c>
      <c r="CL1450" t="s">
        <v>882</v>
      </c>
      <c r="CM1450">
        <v>-95.41</v>
      </c>
      <c r="CN1450">
        <v>24.81</v>
      </c>
      <c r="CO1450">
        <v>3.82</v>
      </c>
      <c r="CP1450">
        <v>63.76</v>
      </c>
      <c r="CQ1450">
        <v>10.4</v>
      </c>
      <c r="CR1450">
        <v>0</v>
      </c>
      <c r="CS1450" t="s">
        <v>350</v>
      </c>
      <c r="CT1450">
        <v>1.62</v>
      </c>
      <c r="CU1450">
        <v>0</v>
      </c>
      <c r="CV1450">
        <v>1.32</v>
      </c>
      <c r="CW1450">
        <v>-0.75</v>
      </c>
      <c r="CX1450">
        <v>0.1</v>
      </c>
      <c r="CY1450">
        <v>54.49</v>
      </c>
      <c r="CZ1450" t="s">
        <v>2569</v>
      </c>
      <c r="DA1450">
        <v>54.25</v>
      </c>
      <c r="DB1450">
        <v>3.3</v>
      </c>
      <c r="DC1450">
        <v>0.43</v>
      </c>
      <c r="DD1450">
        <v>0.2</v>
      </c>
      <c r="DE1450">
        <v>742</v>
      </c>
      <c r="DF1450">
        <v>300051</v>
      </c>
      <c r="DG1450" t="s">
        <v>116</v>
      </c>
      <c r="DH1450" t="s">
        <v>116</v>
      </c>
      <c r="DI1450" t="s">
        <v>116</v>
      </c>
    </row>
    <row r="1451" spans="1:113" x14ac:dyDescent="0.4">
      <c r="A1451" t="str">
        <f>"300052"</f>
        <v>300052</v>
      </c>
      <c r="B1451" t="s">
        <v>7798</v>
      </c>
      <c r="C1451">
        <v>0.48</v>
      </c>
      <c r="D1451">
        <v>16.72</v>
      </c>
      <c r="E1451">
        <v>0.08</v>
      </c>
      <c r="F1451">
        <v>16.71</v>
      </c>
      <c r="G1451">
        <v>16.72</v>
      </c>
      <c r="H1451">
        <v>378953</v>
      </c>
      <c r="I1451">
        <v>4328</v>
      </c>
      <c r="J1451">
        <v>-0.23</v>
      </c>
      <c r="K1451">
        <v>14.57</v>
      </c>
      <c r="L1451">
        <v>16.649999999999999</v>
      </c>
      <c r="M1451">
        <v>17.690000000000001</v>
      </c>
      <c r="N1451">
        <v>16.510000000000002</v>
      </c>
      <c r="O1451">
        <v>16.64</v>
      </c>
      <c r="P1451">
        <v>48.17</v>
      </c>
      <c r="Q1451">
        <v>648016704</v>
      </c>
      <c r="R1451">
        <v>0.91</v>
      </c>
      <c r="S1451" t="s">
        <v>1384</v>
      </c>
      <c r="T1451" t="s">
        <v>115</v>
      </c>
      <c r="U1451">
        <v>7.09</v>
      </c>
      <c r="V1451">
        <v>17.100000000000001</v>
      </c>
      <c r="W1451">
        <v>184273</v>
      </c>
      <c r="X1451">
        <v>194680</v>
      </c>
      <c r="Y1451">
        <v>0.95</v>
      </c>
      <c r="Z1451">
        <v>173</v>
      </c>
      <c r="AA1451">
        <v>1951</v>
      </c>
      <c r="AB1451" t="s">
        <v>116</v>
      </c>
      <c r="AC1451">
        <v>2572400</v>
      </c>
      <c r="AD1451">
        <v>0.1</v>
      </c>
      <c r="AE1451" t="s">
        <v>116</v>
      </c>
      <c r="AF1451" t="s">
        <v>116</v>
      </c>
      <c r="AG1451">
        <v>2.6</v>
      </c>
      <c r="AH1451" t="s">
        <v>1173</v>
      </c>
      <c r="AI1451" t="s">
        <v>7799</v>
      </c>
      <c r="AJ1451">
        <v>1.1599999999999999</v>
      </c>
      <c r="AK1451">
        <v>4272</v>
      </c>
      <c r="AL1451">
        <v>89</v>
      </c>
      <c r="AM1451">
        <v>3.3999999999999998E-3</v>
      </c>
      <c r="AN1451">
        <v>1</v>
      </c>
      <c r="AO1451">
        <v>-0.95</v>
      </c>
      <c r="AP1451">
        <v>27.44</v>
      </c>
      <c r="AQ1451">
        <v>23.67</v>
      </c>
      <c r="AR1451">
        <v>65.87</v>
      </c>
      <c r="AS1451">
        <v>25.68</v>
      </c>
      <c r="AT1451" t="s">
        <v>370</v>
      </c>
      <c r="AU1451">
        <v>61.3</v>
      </c>
      <c r="AV1451">
        <v>121.24</v>
      </c>
      <c r="AW1451">
        <v>1.36</v>
      </c>
      <c r="BA1451">
        <v>0.06</v>
      </c>
      <c r="BB1451">
        <v>6.31</v>
      </c>
      <c r="BC1451">
        <v>-0.78</v>
      </c>
      <c r="BD1451">
        <v>2.77</v>
      </c>
      <c r="BE1451">
        <v>0.42</v>
      </c>
      <c r="BF1451">
        <v>-5.48</v>
      </c>
      <c r="BG1451">
        <v>1.27</v>
      </c>
      <c r="BH1451">
        <v>-2.2799999999999998</v>
      </c>
      <c r="BI1451">
        <v>20191030</v>
      </c>
      <c r="BJ1451">
        <v>20100211</v>
      </c>
      <c r="BK1451">
        <v>2.64</v>
      </c>
      <c r="BL1451" t="s">
        <v>116</v>
      </c>
      <c r="BM1451" t="s">
        <v>116</v>
      </c>
      <c r="BN1451">
        <v>13.78</v>
      </c>
      <c r="BO1451">
        <v>8.5</v>
      </c>
      <c r="BP1451">
        <v>0.1</v>
      </c>
      <c r="BQ1451">
        <v>37.659999999999997</v>
      </c>
      <c r="BR1451">
        <v>6.21</v>
      </c>
      <c r="BS1451">
        <v>0.96</v>
      </c>
      <c r="BT1451">
        <v>0.08</v>
      </c>
      <c r="BU1451">
        <v>4.9000000000000004</v>
      </c>
      <c r="BV1451">
        <v>0</v>
      </c>
      <c r="BW1451">
        <v>1.22</v>
      </c>
      <c r="BX1451">
        <v>3.55</v>
      </c>
      <c r="BY1451">
        <v>2.48</v>
      </c>
      <c r="BZ1451">
        <v>1.08</v>
      </c>
      <c r="CA1451">
        <v>0.62</v>
      </c>
      <c r="CB1451">
        <v>0.42</v>
      </c>
      <c r="CC1451">
        <v>0.67</v>
      </c>
      <c r="CD1451">
        <v>0.68</v>
      </c>
      <c r="CE1451">
        <v>0.69</v>
      </c>
      <c r="CF1451">
        <v>0.18</v>
      </c>
      <c r="CG1451">
        <v>1.97</v>
      </c>
      <c r="CH1451">
        <v>0.24</v>
      </c>
      <c r="CI1451">
        <v>-0.74</v>
      </c>
      <c r="CJ1451">
        <v>39636</v>
      </c>
      <c r="CK1451">
        <v>3723</v>
      </c>
      <c r="CL1451" t="s">
        <v>2961</v>
      </c>
      <c r="CM1451">
        <v>107.47</v>
      </c>
      <c r="CN1451">
        <v>24</v>
      </c>
      <c r="CO1451">
        <v>5.19</v>
      </c>
      <c r="CP1451">
        <v>184.52</v>
      </c>
      <c r="CQ1451">
        <v>17.809999999999999</v>
      </c>
      <c r="CR1451">
        <v>0.12</v>
      </c>
      <c r="CS1451" t="s">
        <v>4342</v>
      </c>
      <c r="CT1451">
        <v>3.22</v>
      </c>
      <c r="CU1451">
        <v>3.22</v>
      </c>
      <c r="CV1451">
        <v>1.35</v>
      </c>
      <c r="CW1451">
        <v>0.75</v>
      </c>
      <c r="CX1451">
        <v>0.09</v>
      </c>
      <c r="CY1451">
        <v>61.65</v>
      </c>
      <c r="CZ1451" t="s">
        <v>7800</v>
      </c>
      <c r="DA1451">
        <v>56.2</v>
      </c>
      <c r="DB1451">
        <v>24.86</v>
      </c>
      <c r="DC1451">
        <v>27.72</v>
      </c>
      <c r="DD1451">
        <v>0.27</v>
      </c>
      <c r="DE1451">
        <v>402</v>
      </c>
      <c r="DF1451">
        <v>300052</v>
      </c>
      <c r="DG1451" t="s">
        <v>116</v>
      </c>
      <c r="DH1451" t="s">
        <v>116</v>
      </c>
      <c r="DI1451" t="s">
        <v>116</v>
      </c>
    </row>
    <row r="1452" spans="1:113" x14ac:dyDescent="0.4">
      <c r="A1452" t="str">
        <f>"300053"</f>
        <v>300053</v>
      </c>
      <c r="B1452" t="s">
        <v>7801</v>
      </c>
      <c r="C1452">
        <v>-3.32</v>
      </c>
      <c r="D1452">
        <v>12.8</v>
      </c>
      <c r="E1452">
        <v>-0.44</v>
      </c>
      <c r="F1452">
        <v>12.79</v>
      </c>
      <c r="G1452">
        <v>12.8</v>
      </c>
      <c r="H1452">
        <v>271801</v>
      </c>
      <c r="I1452">
        <v>3731</v>
      </c>
      <c r="J1452">
        <v>-0.38</v>
      </c>
      <c r="K1452">
        <v>4.62</v>
      </c>
      <c r="L1452">
        <v>13.2</v>
      </c>
      <c r="M1452">
        <v>13.43</v>
      </c>
      <c r="N1452">
        <v>12.8</v>
      </c>
      <c r="O1452">
        <v>13.24</v>
      </c>
      <c r="P1452">
        <v>88.97</v>
      </c>
      <c r="Q1452">
        <v>355644288</v>
      </c>
      <c r="R1452">
        <v>0.91</v>
      </c>
      <c r="S1452" t="s">
        <v>3507</v>
      </c>
      <c r="T1452" t="s">
        <v>551</v>
      </c>
      <c r="U1452">
        <v>4.76</v>
      </c>
      <c r="V1452">
        <v>13.08</v>
      </c>
      <c r="W1452">
        <v>153120</v>
      </c>
      <c r="X1452">
        <v>118681</v>
      </c>
      <c r="Y1452">
        <v>1.29</v>
      </c>
      <c r="Z1452">
        <v>124</v>
      </c>
      <c r="AA1452">
        <v>1004</v>
      </c>
      <c r="AB1452" t="s">
        <v>116</v>
      </c>
      <c r="AC1452">
        <v>394700</v>
      </c>
      <c r="AD1452">
        <v>0.01</v>
      </c>
      <c r="AE1452" t="s">
        <v>116</v>
      </c>
      <c r="AF1452" t="s">
        <v>116</v>
      </c>
      <c r="AG1452">
        <v>5.89</v>
      </c>
      <c r="AH1452" t="s">
        <v>7802</v>
      </c>
      <c r="AI1452" t="s">
        <v>7803</v>
      </c>
      <c r="AJ1452">
        <v>-2.64</v>
      </c>
      <c r="AK1452">
        <v>3310</v>
      </c>
      <c r="AL1452">
        <v>82</v>
      </c>
      <c r="AM1452">
        <v>1.4E-3</v>
      </c>
      <c r="AN1452">
        <v>-2</v>
      </c>
      <c r="AO1452">
        <v>-1.76</v>
      </c>
      <c r="AP1452">
        <v>19.850000000000001</v>
      </c>
      <c r="AQ1452">
        <v>12.87</v>
      </c>
      <c r="AR1452">
        <v>57.25</v>
      </c>
      <c r="AS1452">
        <v>5.0999999999999996</v>
      </c>
      <c r="AT1452" t="s">
        <v>7804</v>
      </c>
      <c r="AU1452">
        <v>113.47</v>
      </c>
      <c r="AV1452">
        <v>94.68</v>
      </c>
      <c r="AW1452">
        <v>0.89</v>
      </c>
      <c r="BA1452">
        <v>-0.3</v>
      </c>
      <c r="BB1452">
        <v>1.44</v>
      </c>
      <c r="BC1452">
        <v>-3.32</v>
      </c>
      <c r="BD1452">
        <v>-1.17</v>
      </c>
      <c r="BE1452">
        <v>-3.03</v>
      </c>
      <c r="BF1452">
        <v>-4.6900000000000004</v>
      </c>
      <c r="BG1452">
        <v>0</v>
      </c>
      <c r="BH1452">
        <v>-2.15</v>
      </c>
      <c r="BI1452">
        <v>20191210</v>
      </c>
      <c r="BJ1452">
        <v>20100211</v>
      </c>
      <c r="BK1452">
        <v>7.02</v>
      </c>
      <c r="BL1452" t="s">
        <v>116</v>
      </c>
      <c r="BM1452" t="s">
        <v>116</v>
      </c>
      <c r="BN1452">
        <v>40.79</v>
      </c>
      <c r="BO1452">
        <v>32.450000000000003</v>
      </c>
      <c r="BP1452">
        <v>0.02</v>
      </c>
      <c r="BQ1452">
        <v>20.41</v>
      </c>
      <c r="BR1452">
        <v>18.420000000000002</v>
      </c>
      <c r="BS1452">
        <v>3.52</v>
      </c>
      <c r="BT1452">
        <v>3.66</v>
      </c>
      <c r="BU1452">
        <v>6.41</v>
      </c>
      <c r="BV1452">
        <v>3.39</v>
      </c>
      <c r="BW1452">
        <v>7.09</v>
      </c>
      <c r="BX1452">
        <v>20.239999999999998</v>
      </c>
      <c r="BY1452">
        <v>5.56</v>
      </c>
      <c r="BZ1452">
        <v>3.36</v>
      </c>
      <c r="CA1452">
        <v>0.88</v>
      </c>
      <c r="CB1452">
        <v>0.12</v>
      </c>
      <c r="CC1452">
        <v>0.87</v>
      </c>
      <c r="CD1452">
        <v>0.76</v>
      </c>
      <c r="CE1452">
        <v>0.76</v>
      </c>
      <c r="CF1452">
        <v>0.46</v>
      </c>
      <c r="CG1452">
        <v>5.14</v>
      </c>
      <c r="CH1452">
        <v>-0.82</v>
      </c>
      <c r="CI1452">
        <v>-1.5</v>
      </c>
      <c r="CJ1452">
        <v>40000</v>
      </c>
      <c r="CK1452">
        <v>13327</v>
      </c>
      <c r="CL1452" t="s">
        <v>7805</v>
      </c>
      <c r="CM1452">
        <v>-17.18</v>
      </c>
      <c r="CN1452">
        <v>-3.76</v>
      </c>
      <c r="CO1452">
        <v>2.77</v>
      </c>
      <c r="CP1452">
        <v>-109.4</v>
      </c>
      <c r="CQ1452">
        <v>16.16</v>
      </c>
      <c r="CR1452">
        <v>0.16</v>
      </c>
      <c r="CS1452" t="s">
        <v>1808</v>
      </c>
      <c r="CT1452">
        <v>4.62</v>
      </c>
      <c r="CU1452">
        <v>0</v>
      </c>
      <c r="CV1452">
        <v>2.88</v>
      </c>
      <c r="CW1452">
        <v>0.73</v>
      </c>
      <c r="CX1452">
        <v>-0.12</v>
      </c>
      <c r="CY1452">
        <v>79.55</v>
      </c>
      <c r="CZ1452" t="s">
        <v>7806</v>
      </c>
      <c r="DA1452">
        <v>39.590000000000003</v>
      </c>
      <c r="DB1452">
        <v>15.81</v>
      </c>
      <c r="DC1452">
        <v>13.62</v>
      </c>
      <c r="DD1452">
        <v>0.31</v>
      </c>
      <c r="DE1452">
        <v>866</v>
      </c>
      <c r="DF1452">
        <v>300053</v>
      </c>
      <c r="DG1452" t="s">
        <v>116</v>
      </c>
      <c r="DH1452" t="s">
        <v>116</v>
      </c>
      <c r="DI1452" t="s">
        <v>116</v>
      </c>
    </row>
    <row r="1453" spans="1:113" x14ac:dyDescent="0.4">
      <c r="A1453" t="str">
        <f>"300054"</f>
        <v>300054</v>
      </c>
      <c r="B1453" t="s">
        <v>7807</v>
      </c>
      <c r="C1453">
        <v>-6</v>
      </c>
      <c r="D1453">
        <v>9.09</v>
      </c>
      <c r="E1453">
        <v>-0.57999999999999996</v>
      </c>
      <c r="F1453">
        <v>9.09</v>
      </c>
      <c r="G1453">
        <v>9.1</v>
      </c>
      <c r="H1453">
        <v>381303</v>
      </c>
      <c r="I1453">
        <v>2942</v>
      </c>
      <c r="J1453">
        <v>-0.43</v>
      </c>
      <c r="K1453">
        <v>5.37</v>
      </c>
      <c r="L1453">
        <v>9.39</v>
      </c>
      <c r="M1453">
        <v>9.4600000000000009</v>
      </c>
      <c r="N1453">
        <v>9.07</v>
      </c>
      <c r="O1453">
        <v>9.67</v>
      </c>
      <c r="P1453">
        <v>37.93</v>
      </c>
      <c r="Q1453">
        <v>352538656</v>
      </c>
      <c r="R1453">
        <v>1.57</v>
      </c>
      <c r="S1453" t="s">
        <v>891</v>
      </c>
      <c r="T1453" t="s">
        <v>774</v>
      </c>
      <c r="U1453">
        <v>4.03</v>
      </c>
      <c r="V1453">
        <v>9.25</v>
      </c>
      <c r="W1453">
        <v>230484</v>
      </c>
      <c r="X1453">
        <v>150819</v>
      </c>
      <c r="Y1453">
        <v>1.53</v>
      </c>
      <c r="Z1453">
        <v>868</v>
      </c>
      <c r="AA1453">
        <v>215</v>
      </c>
      <c r="AB1453" t="s">
        <v>116</v>
      </c>
      <c r="AC1453">
        <v>11030400</v>
      </c>
      <c r="AD1453">
        <v>0.18</v>
      </c>
      <c r="AE1453" t="s">
        <v>116</v>
      </c>
      <c r="AF1453" t="s">
        <v>116</v>
      </c>
      <c r="AG1453">
        <v>7.09</v>
      </c>
      <c r="AH1453" t="s">
        <v>7808</v>
      </c>
      <c r="AI1453" t="s">
        <v>7809</v>
      </c>
      <c r="AJ1453">
        <v>-5.32</v>
      </c>
      <c r="AK1453">
        <v>3412</v>
      </c>
      <c r="AL1453">
        <v>112</v>
      </c>
      <c r="AM1453">
        <v>1.6000000000000001E-3</v>
      </c>
      <c r="AN1453">
        <v>-2</v>
      </c>
      <c r="AO1453">
        <v>-1.84</v>
      </c>
      <c r="AP1453">
        <v>13.34</v>
      </c>
      <c r="AQ1453">
        <v>-2.0499999999999998</v>
      </c>
      <c r="AR1453">
        <v>43.15</v>
      </c>
      <c r="AS1453">
        <v>6</v>
      </c>
      <c r="AT1453" t="s">
        <v>7810</v>
      </c>
      <c r="AU1453">
        <v>37.19</v>
      </c>
      <c r="AV1453">
        <v>30.44</v>
      </c>
      <c r="AW1453">
        <v>1.4</v>
      </c>
      <c r="BA1453">
        <v>-2.9</v>
      </c>
      <c r="BB1453">
        <v>-2.17</v>
      </c>
      <c r="BC1453">
        <v>-6.2</v>
      </c>
      <c r="BD1453">
        <v>-4.3899999999999997</v>
      </c>
      <c r="BE1453">
        <v>-3.19</v>
      </c>
      <c r="BF1453">
        <v>-3.91</v>
      </c>
      <c r="BG1453">
        <v>0.22</v>
      </c>
      <c r="BH1453">
        <v>-1.61</v>
      </c>
      <c r="BI1453">
        <v>20191206</v>
      </c>
      <c r="BJ1453">
        <v>20100211</v>
      </c>
      <c r="BK1453">
        <v>9.81</v>
      </c>
      <c r="BL1453" t="s">
        <v>116</v>
      </c>
      <c r="BM1453" t="s">
        <v>116</v>
      </c>
      <c r="BN1453">
        <v>39.979999999999997</v>
      </c>
      <c r="BO1453">
        <v>37.65</v>
      </c>
      <c r="BP1453">
        <v>0.37</v>
      </c>
      <c r="BQ1453">
        <v>4.91</v>
      </c>
      <c r="BR1453">
        <v>20.8</v>
      </c>
      <c r="BS1453">
        <v>3.81</v>
      </c>
      <c r="BT1453">
        <v>1.81</v>
      </c>
      <c r="BU1453">
        <v>1.5</v>
      </c>
      <c r="BV1453">
        <v>2.0299999999999998</v>
      </c>
      <c r="BW1453">
        <v>3.11</v>
      </c>
      <c r="BX1453">
        <v>17.41</v>
      </c>
      <c r="BY1453">
        <v>7.96</v>
      </c>
      <c r="BZ1453">
        <v>4.9800000000000004</v>
      </c>
      <c r="CA1453">
        <v>1.93</v>
      </c>
      <c r="CB1453">
        <v>0.56999999999999995</v>
      </c>
      <c r="CC1453">
        <v>1.99</v>
      </c>
      <c r="CD1453">
        <v>1.74</v>
      </c>
      <c r="CE1453">
        <v>1.76</v>
      </c>
      <c r="CF1453">
        <v>1.51</v>
      </c>
      <c r="CG1453">
        <v>12.56</v>
      </c>
      <c r="CH1453">
        <v>1.77</v>
      </c>
      <c r="CI1453">
        <v>-0.39</v>
      </c>
      <c r="CJ1453">
        <v>18155</v>
      </c>
      <c r="CK1453">
        <v>34999</v>
      </c>
      <c r="CL1453" t="s">
        <v>7811</v>
      </c>
      <c r="CM1453">
        <v>-23.18</v>
      </c>
      <c r="CN1453">
        <v>-19.43</v>
      </c>
      <c r="CO1453">
        <v>2.31</v>
      </c>
      <c r="CP1453">
        <v>50.33</v>
      </c>
      <c r="CQ1453">
        <v>11.2</v>
      </c>
      <c r="CR1453">
        <v>0.21</v>
      </c>
      <c r="CS1453" t="s">
        <v>702</v>
      </c>
      <c r="CT1453">
        <v>3.93</v>
      </c>
      <c r="CU1453">
        <v>3.93</v>
      </c>
      <c r="CV1453">
        <v>1.77</v>
      </c>
      <c r="CW1453">
        <v>1.28</v>
      </c>
      <c r="CX1453">
        <v>0.18</v>
      </c>
      <c r="CY1453">
        <v>94.16</v>
      </c>
      <c r="CZ1453" t="s">
        <v>6576</v>
      </c>
      <c r="DA1453">
        <v>37.51</v>
      </c>
      <c r="DB1453">
        <v>24.18</v>
      </c>
      <c r="DC1453">
        <v>22.15</v>
      </c>
      <c r="DD1453">
        <v>0.79</v>
      </c>
      <c r="DE1453">
        <v>1902</v>
      </c>
      <c r="DF1453">
        <v>300054</v>
      </c>
      <c r="DG1453" t="s">
        <v>116</v>
      </c>
      <c r="DH1453" t="s">
        <v>116</v>
      </c>
      <c r="DI1453" t="s">
        <v>116</v>
      </c>
    </row>
    <row r="1454" spans="1:113" x14ac:dyDescent="0.4">
      <c r="A1454" t="str">
        <f>"300055"</f>
        <v>300055</v>
      </c>
      <c r="B1454" t="s">
        <v>7812</v>
      </c>
      <c r="C1454">
        <v>-0.15</v>
      </c>
      <c r="D1454">
        <v>6.66</v>
      </c>
      <c r="E1454">
        <v>-0.01</v>
      </c>
      <c r="F1454">
        <v>6.66</v>
      </c>
      <c r="G1454">
        <v>6.67</v>
      </c>
      <c r="H1454">
        <v>100642</v>
      </c>
      <c r="I1454">
        <v>1063</v>
      </c>
      <c r="J1454">
        <v>0</v>
      </c>
      <c r="K1454">
        <v>1.17</v>
      </c>
      <c r="L1454">
        <v>6.68</v>
      </c>
      <c r="M1454">
        <v>6.75</v>
      </c>
      <c r="N1454">
        <v>6.62</v>
      </c>
      <c r="O1454">
        <v>6.67</v>
      </c>
      <c r="P1454">
        <v>25.8</v>
      </c>
      <c r="Q1454">
        <v>67204496</v>
      </c>
      <c r="R1454">
        <v>1.1499999999999999</v>
      </c>
      <c r="S1454" t="s">
        <v>140</v>
      </c>
      <c r="T1454" t="s">
        <v>165</v>
      </c>
      <c r="U1454">
        <v>1.95</v>
      </c>
      <c r="V1454">
        <v>6.68</v>
      </c>
      <c r="W1454">
        <v>53032</v>
      </c>
      <c r="X1454">
        <v>47610</v>
      </c>
      <c r="Y1454">
        <v>1.1100000000000001</v>
      </c>
      <c r="Z1454">
        <v>298</v>
      </c>
      <c r="AA1454">
        <v>12</v>
      </c>
      <c r="AB1454" t="s">
        <v>116</v>
      </c>
      <c r="AC1454">
        <v>159000</v>
      </c>
      <c r="AD1454">
        <v>0</v>
      </c>
      <c r="AE1454" t="s">
        <v>116</v>
      </c>
      <c r="AF1454" t="s">
        <v>116</v>
      </c>
      <c r="AG1454">
        <v>8.6300000000000008</v>
      </c>
      <c r="AH1454" t="s">
        <v>7813</v>
      </c>
      <c r="AI1454" t="s">
        <v>7814</v>
      </c>
      <c r="AJ1454">
        <v>0.53</v>
      </c>
      <c r="AK1454">
        <v>1406</v>
      </c>
      <c r="AL1454">
        <v>72</v>
      </c>
      <c r="AM1454">
        <v>8.0000000000000004E-4</v>
      </c>
      <c r="AN1454">
        <v>-1</v>
      </c>
      <c r="AO1454">
        <v>0.3</v>
      </c>
      <c r="AP1454">
        <v>-2.77</v>
      </c>
      <c r="AQ1454">
        <v>9.36</v>
      </c>
      <c r="AR1454">
        <v>-13</v>
      </c>
      <c r="AS1454">
        <v>1.61</v>
      </c>
      <c r="AT1454" t="s">
        <v>4025</v>
      </c>
      <c r="AU1454" t="s">
        <v>116</v>
      </c>
      <c r="AV1454" t="s">
        <v>116</v>
      </c>
      <c r="AW1454">
        <v>0.97</v>
      </c>
      <c r="BA1454">
        <v>0.15</v>
      </c>
      <c r="BB1454">
        <v>1.2</v>
      </c>
      <c r="BC1454">
        <v>-0.75</v>
      </c>
      <c r="BD1454">
        <v>0.11</v>
      </c>
      <c r="BE1454">
        <v>-0.3</v>
      </c>
      <c r="BF1454">
        <v>-1.33</v>
      </c>
      <c r="BG1454">
        <v>0.6</v>
      </c>
      <c r="BH1454">
        <v>-0.26</v>
      </c>
      <c r="BI1454">
        <v>20191025</v>
      </c>
      <c r="BJ1454">
        <v>20100226</v>
      </c>
      <c r="BK1454">
        <v>8.65</v>
      </c>
      <c r="BL1454" t="s">
        <v>116</v>
      </c>
      <c r="BM1454" t="s">
        <v>116</v>
      </c>
      <c r="BN1454">
        <v>75.709999999999994</v>
      </c>
      <c r="BO1454">
        <v>57.91</v>
      </c>
      <c r="BP1454">
        <v>0.82</v>
      </c>
      <c r="BQ1454">
        <v>22.42</v>
      </c>
      <c r="BR1454">
        <v>31.48</v>
      </c>
      <c r="BS1454">
        <v>7.1</v>
      </c>
      <c r="BT1454">
        <v>2.8</v>
      </c>
      <c r="BU1454">
        <v>11.63</v>
      </c>
      <c r="BV1454">
        <v>7.12</v>
      </c>
      <c r="BW1454">
        <v>10.9</v>
      </c>
      <c r="BX1454">
        <v>36.15</v>
      </c>
      <c r="BY1454">
        <v>6.67</v>
      </c>
      <c r="BZ1454">
        <v>4.68</v>
      </c>
      <c r="CA1454">
        <v>1.88</v>
      </c>
      <c r="CB1454">
        <v>0.18</v>
      </c>
      <c r="CC1454">
        <v>1.87</v>
      </c>
      <c r="CD1454">
        <v>1.68</v>
      </c>
      <c r="CE1454">
        <v>1.68</v>
      </c>
      <c r="CF1454">
        <v>1.62</v>
      </c>
      <c r="CG1454">
        <v>12.32</v>
      </c>
      <c r="CH1454">
        <v>0.38</v>
      </c>
      <c r="CI1454">
        <v>-0.79</v>
      </c>
      <c r="CJ1454">
        <v>50034</v>
      </c>
      <c r="CK1454">
        <v>12495</v>
      </c>
      <c r="CL1454" t="s">
        <v>7815</v>
      </c>
      <c r="CM1454">
        <v>-30.07</v>
      </c>
      <c r="CN1454">
        <v>-39</v>
      </c>
      <c r="CO1454">
        <v>0.99</v>
      </c>
      <c r="CP1454">
        <v>153.38</v>
      </c>
      <c r="CQ1454">
        <v>8.64</v>
      </c>
      <c r="CR1454">
        <v>0.23</v>
      </c>
      <c r="CS1454" t="s">
        <v>7352</v>
      </c>
      <c r="CT1454">
        <v>6.69</v>
      </c>
      <c r="CU1454">
        <v>0</v>
      </c>
      <c r="CV1454">
        <v>4.18</v>
      </c>
      <c r="CW1454">
        <v>1.42</v>
      </c>
      <c r="CX1454">
        <v>0.04</v>
      </c>
      <c r="CY1454">
        <v>76.489999999999995</v>
      </c>
      <c r="CZ1454" t="s">
        <v>5949</v>
      </c>
      <c r="DA1454">
        <v>29.92</v>
      </c>
      <c r="DB1454">
        <v>28.18</v>
      </c>
      <c r="DC1454">
        <v>25.11</v>
      </c>
      <c r="DD1454">
        <v>0.16</v>
      </c>
      <c r="DE1454">
        <v>1431</v>
      </c>
      <c r="DF1454">
        <v>300055</v>
      </c>
      <c r="DG1454" t="s">
        <v>116</v>
      </c>
      <c r="DH1454" t="s">
        <v>116</v>
      </c>
      <c r="DI1454" t="s">
        <v>116</v>
      </c>
    </row>
    <row r="1455" spans="1:113" x14ac:dyDescent="0.4">
      <c r="A1455" t="str">
        <f>"300056"</f>
        <v>300056</v>
      </c>
      <c r="B1455" t="s">
        <v>7816</v>
      </c>
      <c r="C1455">
        <v>-0.31</v>
      </c>
      <c r="D1455">
        <v>6.47</v>
      </c>
      <c r="E1455">
        <v>-0.02</v>
      </c>
      <c r="F1455">
        <v>6.46</v>
      </c>
      <c r="G1455">
        <v>6.47</v>
      </c>
      <c r="H1455">
        <v>14888</v>
      </c>
      <c r="I1455">
        <v>196</v>
      </c>
      <c r="J1455">
        <v>0.15</v>
      </c>
      <c r="K1455">
        <v>0.47</v>
      </c>
      <c r="L1455">
        <v>6.51</v>
      </c>
      <c r="M1455">
        <v>6.54</v>
      </c>
      <c r="N1455">
        <v>6.42</v>
      </c>
      <c r="O1455">
        <v>6.49</v>
      </c>
      <c r="P1455" t="s">
        <v>116</v>
      </c>
      <c r="Q1455">
        <v>9633716</v>
      </c>
      <c r="R1455">
        <v>0.59</v>
      </c>
      <c r="S1455" t="s">
        <v>140</v>
      </c>
      <c r="T1455" t="s">
        <v>975</v>
      </c>
      <c r="U1455">
        <v>1.85</v>
      </c>
      <c r="V1455">
        <v>6.47</v>
      </c>
      <c r="W1455">
        <v>10511</v>
      </c>
      <c r="X1455">
        <v>4377</v>
      </c>
      <c r="Y1455">
        <v>2.4</v>
      </c>
      <c r="Z1455">
        <v>243</v>
      </c>
      <c r="AA1455">
        <v>259</v>
      </c>
      <c r="AB1455" t="s">
        <v>116</v>
      </c>
      <c r="AC1455">
        <v>113900</v>
      </c>
      <c r="AD1455">
        <v>0.01</v>
      </c>
      <c r="AE1455" t="s">
        <v>116</v>
      </c>
      <c r="AF1455" t="s">
        <v>116</v>
      </c>
      <c r="AG1455">
        <v>3.16</v>
      </c>
      <c r="AH1455" t="s">
        <v>5585</v>
      </c>
      <c r="AI1455" t="s">
        <v>4633</v>
      </c>
      <c r="AJ1455">
        <v>0.37</v>
      </c>
      <c r="AK1455">
        <v>366</v>
      </c>
      <c r="AL1455">
        <v>41</v>
      </c>
      <c r="AM1455">
        <v>1.2999999999999999E-3</v>
      </c>
      <c r="AN1455">
        <v>-3</v>
      </c>
      <c r="AO1455">
        <v>-3.72</v>
      </c>
      <c r="AP1455">
        <v>-0.46</v>
      </c>
      <c r="AQ1455">
        <v>10.220000000000001</v>
      </c>
      <c r="AR1455">
        <v>20.48</v>
      </c>
      <c r="AS1455">
        <v>1.02</v>
      </c>
      <c r="AT1455" t="s">
        <v>7817</v>
      </c>
      <c r="AU1455" t="s">
        <v>116</v>
      </c>
      <c r="AV1455" t="s">
        <v>116</v>
      </c>
      <c r="AW1455">
        <v>0.77</v>
      </c>
      <c r="BA1455">
        <v>0.31</v>
      </c>
      <c r="BB1455">
        <v>0.77</v>
      </c>
      <c r="BC1455">
        <v>-1.08</v>
      </c>
      <c r="BD1455">
        <v>-0.3</v>
      </c>
      <c r="BE1455">
        <v>-0.61</v>
      </c>
      <c r="BF1455">
        <v>-1.07</v>
      </c>
      <c r="BG1455">
        <v>0.78</v>
      </c>
      <c r="BH1455">
        <v>-0.01</v>
      </c>
      <c r="BI1455">
        <v>20191204</v>
      </c>
      <c r="BJ1455">
        <v>20100226</v>
      </c>
      <c r="BK1455">
        <v>3.85</v>
      </c>
      <c r="BL1455" t="s">
        <v>116</v>
      </c>
      <c r="BM1455" t="s">
        <v>116</v>
      </c>
      <c r="BN1455">
        <v>30.12</v>
      </c>
      <c r="BO1455">
        <v>8.76</v>
      </c>
      <c r="BP1455">
        <v>0</v>
      </c>
      <c r="BQ1455">
        <v>70.92</v>
      </c>
      <c r="BR1455">
        <v>22.73</v>
      </c>
      <c r="BS1455">
        <v>3.92</v>
      </c>
      <c r="BT1455">
        <v>0.52</v>
      </c>
      <c r="BU1455">
        <v>20.84</v>
      </c>
      <c r="BV1455">
        <v>11.2</v>
      </c>
      <c r="BW1455">
        <v>3.5</v>
      </c>
      <c r="BX1455">
        <v>9.15</v>
      </c>
      <c r="BY1455">
        <v>20.54</v>
      </c>
      <c r="BZ1455">
        <v>19.440000000000001</v>
      </c>
      <c r="CA1455">
        <v>-0.76</v>
      </c>
      <c r="CB1455">
        <v>0</v>
      </c>
      <c r="CC1455">
        <v>-0.8</v>
      </c>
      <c r="CD1455">
        <v>-0.8</v>
      </c>
      <c r="CE1455">
        <v>-0.76</v>
      </c>
      <c r="CF1455">
        <v>-1.26</v>
      </c>
      <c r="CG1455">
        <v>-4.28</v>
      </c>
      <c r="CH1455">
        <v>-0.21</v>
      </c>
      <c r="CI1455">
        <v>-0.44</v>
      </c>
      <c r="CJ1455">
        <v>15289</v>
      </c>
      <c r="CK1455">
        <v>9502</v>
      </c>
      <c r="CL1455" t="s">
        <v>4325</v>
      </c>
      <c r="CM1455">
        <v>-94.03</v>
      </c>
      <c r="CN1455">
        <v>320.25</v>
      </c>
      <c r="CO1455">
        <v>2.85</v>
      </c>
      <c r="CP1455">
        <v>-118.77</v>
      </c>
      <c r="CQ1455">
        <v>1.21</v>
      </c>
      <c r="CR1455">
        <v>0</v>
      </c>
      <c r="CS1455" t="s">
        <v>7818</v>
      </c>
      <c r="CT1455">
        <v>2.27</v>
      </c>
      <c r="CU1455">
        <v>0</v>
      </c>
      <c r="CV1455">
        <v>2.37</v>
      </c>
      <c r="CW1455">
        <v>-1.1100000000000001</v>
      </c>
      <c r="CX1455">
        <v>-0.05</v>
      </c>
      <c r="CY1455">
        <v>29.07</v>
      </c>
      <c r="CZ1455" t="s">
        <v>7819</v>
      </c>
      <c r="DA1455">
        <v>5.38</v>
      </c>
      <c r="DB1455">
        <v>-3.71</v>
      </c>
      <c r="DC1455">
        <v>-3.7</v>
      </c>
      <c r="DD1455">
        <v>0.21</v>
      </c>
      <c r="DE1455">
        <v>605</v>
      </c>
      <c r="DF1455">
        <v>300056</v>
      </c>
      <c r="DG1455" t="s">
        <v>116</v>
      </c>
      <c r="DH1455" t="s">
        <v>116</v>
      </c>
      <c r="DI1455" t="s">
        <v>116</v>
      </c>
    </row>
    <row r="1456" spans="1:113" x14ac:dyDescent="0.4">
      <c r="A1456" t="str">
        <f>"300057"</f>
        <v>300057</v>
      </c>
      <c r="B1456" t="s">
        <v>7820</v>
      </c>
      <c r="C1456">
        <v>-1.1200000000000001</v>
      </c>
      <c r="D1456">
        <v>6.16</v>
      </c>
      <c r="E1456">
        <v>-7.0000000000000007E-2</v>
      </c>
      <c r="F1456">
        <v>6.16</v>
      </c>
      <c r="G1456">
        <v>6.17</v>
      </c>
      <c r="H1456">
        <v>180800</v>
      </c>
      <c r="I1456">
        <v>1392</v>
      </c>
      <c r="J1456">
        <v>-0.15</v>
      </c>
      <c r="K1456">
        <v>3.69</v>
      </c>
      <c r="L1456">
        <v>6.25</v>
      </c>
      <c r="M1456">
        <v>6.31</v>
      </c>
      <c r="N1456">
        <v>6.14</v>
      </c>
      <c r="O1456">
        <v>6.23</v>
      </c>
      <c r="P1456">
        <v>36.53</v>
      </c>
      <c r="Q1456">
        <v>112446184</v>
      </c>
      <c r="R1456">
        <v>1.1299999999999999</v>
      </c>
      <c r="S1456" t="s">
        <v>345</v>
      </c>
      <c r="T1456" t="s">
        <v>551</v>
      </c>
      <c r="U1456">
        <v>2.73</v>
      </c>
      <c r="V1456">
        <v>6.22</v>
      </c>
      <c r="W1456">
        <v>102055</v>
      </c>
      <c r="X1456">
        <v>78745</v>
      </c>
      <c r="Y1456">
        <v>1.3</v>
      </c>
      <c r="Z1456">
        <v>75</v>
      </c>
      <c r="AA1456">
        <v>1325</v>
      </c>
      <c r="AB1456" t="s">
        <v>116</v>
      </c>
      <c r="AC1456">
        <v>306900</v>
      </c>
      <c r="AD1456">
        <v>0.01</v>
      </c>
      <c r="AE1456" t="s">
        <v>116</v>
      </c>
      <c r="AF1456" t="s">
        <v>116</v>
      </c>
      <c r="AG1456">
        <v>4.91</v>
      </c>
      <c r="AH1456" t="s">
        <v>7821</v>
      </c>
      <c r="AI1456" t="s">
        <v>7822</v>
      </c>
      <c r="AJ1456">
        <v>-0.44</v>
      </c>
      <c r="AK1456">
        <v>1883</v>
      </c>
      <c r="AL1456">
        <v>96</v>
      </c>
      <c r="AM1456">
        <v>2E-3</v>
      </c>
      <c r="AN1456">
        <v>-1</v>
      </c>
      <c r="AO1456">
        <v>-0.65</v>
      </c>
      <c r="AP1456">
        <v>12.61</v>
      </c>
      <c r="AQ1456">
        <v>6.39</v>
      </c>
      <c r="AR1456">
        <v>20.91</v>
      </c>
      <c r="AS1456">
        <v>4.4000000000000004</v>
      </c>
      <c r="AT1456" t="s">
        <v>340</v>
      </c>
      <c r="AU1456">
        <v>30.5</v>
      </c>
      <c r="AV1456">
        <v>33.72</v>
      </c>
      <c r="AW1456">
        <v>2.1</v>
      </c>
      <c r="BA1456">
        <v>0.32</v>
      </c>
      <c r="BB1456">
        <v>1.28</v>
      </c>
      <c r="BC1456">
        <v>-1.44</v>
      </c>
      <c r="BD1456">
        <v>-0.17</v>
      </c>
      <c r="BE1456">
        <v>-1.44</v>
      </c>
      <c r="BF1456">
        <v>-2.38</v>
      </c>
      <c r="BG1456">
        <v>0.33</v>
      </c>
      <c r="BH1456">
        <v>-0.95</v>
      </c>
      <c r="BI1456">
        <v>20191212</v>
      </c>
      <c r="BJ1456">
        <v>20100226</v>
      </c>
      <c r="BK1456">
        <v>6.67</v>
      </c>
      <c r="BL1456" t="s">
        <v>116</v>
      </c>
      <c r="BM1456" t="s">
        <v>116</v>
      </c>
      <c r="BN1456">
        <v>67.650000000000006</v>
      </c>
      <c r="BO1456">
        <v>33.06</v>
      </c>
      <c r="BP1456">
        <v>0.65</v>
      </c>
      <c r="BQ1456">
        <v>50.16</v>
      </c>
      <c r="BR1456">
        <v>38.1</v>
      </c>
      <c r="BS1456">
        <v>18.97</v>
      </c>
      <c r="BT1456">
        <v>2.4300000000000002</v>
      </c>
      <c r="BU1456">
        <v>28.61</v>
      </c>
      <c r="BV1456">
        <v>6.89</v>
      </c>
      <c r="BW1456">
        <v>10.97</v>
      </c>
      <c r="BX1456">
        <v>17.940000000000001</v>
      </c>
      <c r="BY1456">
        <v>31.6</v>
      </c>
      <c r="BZ1456">
        <v>27.76</v>
      </c>
      <c r="CA1456">
        <v>0.89</v>
      </c>
      <c r="CB1456">
        <v>-0.01</v>
      </c>
      <c r="CC1456">
        <v>0.91</v>
      </c>
      <c r="CD1456">
        <v>0.78</v>
      </c>
      <c r="CE1456">
        <v>0.84</v>
      </c>
      <c r="CF1456">
        <v>0.81</v>
      </c>
      <c r="CG1456">
        <v>7.81</v>
      </c>
      <c r="CH1456">
        <v>0.02</v>
      </c>
      <c r="CI1456">
        <v>-1.58</v>
      </c>
      <c r="CJ1456">
        <v>22081</v>
      </c>
      <c r="CK1456">
        <v>18615</v>
      </c>
      <c r="CL1456" t="s">
        <v>1743</v>
      </c>
      <c r="CM1456">
        <v>17.989999999999998</v>
      </c>
      <c r="CN1456">
        <v>3.22</v>
      </c>
      <c r="CO1456">
        <v>1.24</v>
      </c>
      <c r="CP1456">
        <v>1819.22</v>
      </c>
      <c r="CQ1456">
        <v>1.3</v>
      </c>
      <c r="CR1456">
        <v>1.3</v>
      </c>
      <c r="CS1456" t="s">
        <v>358</v>
      </c>
      <c r="CT1456">
        <v>4.96</v>
      </c>
      <c r="CU1456">
        <v>0</v>
      </c>
      <c r="CV1456">
        <v>2.69</v>
      </c>
      <c r="CW1456">
        <v>1.17</v>
      </c>
      <c r="CX1456">
        <v>0</v>
      </c>
      <c r="CY1456">
        <v>48.88</v>
      </c>
      <c r="CZ1456" t="s">
        <v>1285</v>
      </c>
      <c r="DA1456">
        <v>12.15</v>
      </c>
      <c r="DB1456">
        <v>2.83</v>
      </c>
      <c r="DC1456">
        <v>2.67</v>
      </c>
      <c r="DD1456">
        <v>0.89</v>
      </c>
      <c r="DE1456">
        <v>1398</v>
      </c>
      <c r="DF1456">
        <v>300057</v>
      </c>
      <c r="DG1456" t="s">
        <v>116</v>
      </c>
      <c r="DH1456" t="s">
        <v>116</v>
      </c>
      <c r="DI1456" t="s">
        <v>116</v>
      </c>
    </row>
    <row r="1457" spans="1:113" x14ac:dyDescent="0.4">
      <c r="A1457" t="str">
        <f>"300058"</f>
        <v>300058</v>
      </c>
      <c r="B1457" t="s">
        <v>7823</v>
      </c>
      <c r="C1457">
        <v>5.52</v>
      </c>
      <c r="D1457">
        <v>5.73</v>
      </c>
      <c r="E1457">
        <v>0.3</v>
      </c>
      <c r="F1457">
        <v>5.73</v>
      </c>
      <c r="G1457">
        <v>5.74</v>
      </c>
      <c r="H1457">
        <v>1531190</v>
      </c>
      <c r="I1457">
        <v>12923</v>
      </c>
      <c r="J1457">
        <v>-0.68</v>
      </c>
      <c r="K1457">
        <v>7.03</v>
      </c>
      <c r="L1457">
        <v>5.44</v>
      </c>
      <c r="M1457">
        <v>5.97</v>
      </c>
      <c r="N1457">
        <v>5.42</v>
      </c>
      <c r="O1457">
        <v>5.43</v>
      </c>
      <c r="P1457">
        <v>17.05</v>
      </c>
      <c r="Q1457">
        <v>889561536</v>
      </c>
      <c r="R1457">
        <v>4.63</v>
      </c>
      <c r="S1457" t="s">
        <v>345</v>
      </c>
      <c r="T1457" t="s">
        <v>165</v>
      </c>
      <c r="U1457">
        <v>10.130000000000001</v>
      </c>
      <c r="V1457">
        <v>5.81</v>
      </c>
      <c r="W1457">
        <v>714490</v>
      </c>
      <c r="X1457">
        <v>816700</v>
      </c>
      <c r="Y1457">
        <v>0.87</v>
      </c>
      <c r="Z1457">
        <v>112</v>
      </c>
      <c r="AA1457">
        <v>3467</v>
      </c>
      <c r="AB1457" t="s">
        <v>116</v>
      </c>
      <c r="AC1457">
        <v>391700</v>
      </c>
      <c r="AD1457">
        <v>0</v>
      </c>
      <c r="AE1457" t="s">
        <v>116</v>
      </c>
      <c r="AF1457" t="s">
        <v>116</v>
      </c>
      <c r="AG1457">
        <v>21.78</v>
      </c>
      <c r="AH1457" t="s">
        <v>7824</v>
      </c>
      <c r="AI1457" t="s">
        <v>7825</v>
      </c>
      <c r="AJ1457">
        <v>6.2</v>
      </c>
      <c r="AK1457">
        <v>4298</v>
      </c>
      <c r="AL1457">
        <v>356</v>
      </c>
      <c r="AM1457">
        <v>1.6000000000000001E-3</v>
      </c>
      <c r="AN1457">
        <v>2</v>
      </c>
      <c r="AO1457">
        <v>5.51</v>
      </c>
      <c r="AP1457">
        <v>9.77</v>
      </c>
      <c r="AQ1457">
        <v>-4.82</v>
      </c>
      <c r="AR1457">
        <v>33.03</v>
      </c>
      <c r="AS1457">
        <v>7.95</v>
      </c>
      <c r="AT1457" t="s">
        <v>7826</v>
      </c>
      <c r="AU1457">
        <v>23.63</v>
      </c>
      <c r="AV1457">
        <v>36.700000000000003</v>
      </c>
      <c r="AW1457">
        <v>1.43</v>
      </c>
      <c r="BA1457">
        <v>0.18</v>
      </c>
      <c r="BB1457">
        <v>9.94</v>
      </c>
      <c r="BC1457">
        <v>-0.18</v>
      </c>
      <c r="BD1457">
        <v>6.99</v>
      </c>
      <c r="BE1457">
        <v>5.33</v>
      </c>
      <c r="BF1457">
        <v>-4.0199999999999996</v>
      </c>
      <c r="BG1457">
        <v>5.72</v>
      </c>
      <c r="BH1457">
        <v>-1.47</v>
      </c>
      <c r="BI1457">
        <v>20191113</v>
      </c>
      <c r="BJ1457">
        <v>20100226</v>
      </c>
      <c r="BK1457">
        <v>24.91</v>
      </c>
      <c r="BL1457" t="s">
        <v>116</v>
      </c>
      <c r="BM1457" t="s">
        <v>116</v>
      </c>
      <c r="BN1457">
        <v>186.18</v>
      </c>
      <c r="BO1457">
        <v>87.08</v>
      </c>
      <c r="BP1457">
        <v>1.21</v>
      </c>
      <c r="BQ1457">
        <v>52.58</v>
      </c>
      <c r="BR1457">
        <v>101.7</v>
      </c>
      <c r="BS1457">
        <v>1.32</v>
      </c>
      <c r="BT1457">
        <v>14.49</v>
      </c>
      <c r="BU1457">
        <v>86.81</v>
      </c>
      <c r="BV1457">
        <v>0</v>
      </c>
      <c r="BW1457">
        <v>74.77</v>
      </c>
      <c r="BX1457">
        <v>37.119999999999997</v>
      </c>
      <c r="BY1457">
        <v>196.88</v>
      </c>
      <c r="BZ1457">
        <v>178.19</v>
      </c>
      <c r="CA1457">
        <v>8.11</v>
      </c>
      <c r="CB1457">
        <v>0.42</v>
      </c>
      <c r="CC1457">
        <v>8.08</v>
      </c>
      <c r="CD1457">
        <v>6.41</v>
      </c>
      <c r="CE1457">
        <v>6.28</v>
      </c>
      <c r="CF1457">
        <v>3.66</v>
      </c>
      <c r="CG1457">
        <v>27.76</v>
      </c>
      <c r="CH1457">
        <v>3.57</v>
      </c>
      <c r="CI1457">
        <v>-2.5</v>
      </c>
      <c r="CJ1457">
        <v>71399</v>
      </c>
      <c r="CK1457">
        <v>26963</v>
      </c>
      <c r="CL1457" t="s">
        <v>7827</v>
      </c>
      <c r="CM1457">
        <v>52.12</v>
      </c>
      <c r="CN1457">
        <v>15.79</v>
      </c>
      <c r="CO1457">
        <v>1.64</v>
      </c>
      <c r="CP1457">
        <v>39.94</v>
      </c>
      <c r="CQ1457">
        <v>0.73</v>
      </c>
      <c r="CR1457">
        <v>0.56000000000000005</v>
      </c>
      <c r="CS1457" t="s">
        <v>2326</v>
      </c>
      <c r="CT1457">
        <v>3.5</v>
      </c>
      <c r="CU1457">
        <v>3.5</v>
      </c>
      <c r="CV1457">
        <v>1.49</v>
      </c>
      <c r="CW1457">
        <v>1.1100000000000001</v>
      </c>
      <c r="CX1457">
        <v>0.14000000000000001</v>
      </c>
      <c r="CY1457">
        <v>46.77</v>
      </c>
      <c r="CZ1457" t="s">
        <v>7828</v>
      </c>
      <c r="DA1457">
        <v>9.49</v>
      </c>
      <c r="DB1457">
        <v>4.12</v>
      </c>
      <c r="DC1457">
        <v>3.19</v>
      </c>
      <c r="DD1457">
        <v>0.23</v>
      </c>
      <c r="DE1457">
        <v>5445</v>
      </c>
      <c r="DF1457">
        <v>300058</v>
      </c>
      <c r="DG1457" t="s">
        <v>116</v>
      </c>
      <c r="DH1457" t="s">
        <v>116</v>
      </c>
      <c r="DI1457" t="s">
        <v>116</v>
      </c>
    </row>
    <row r="1458" spans="1:113" x14ac:dyDescent="0.4">
      <c r="A1458" t="str">
        <f>"300059"</f>
        <v>300059</v>
      </c>
      <c r="B1458" t="s">
        <v>7829</v>
      </c>
      <c r="C1458">
        <v>-2.78</v>
      </c>
      <c r="D1458">
        <v>15.06</v>
      </c>
      <c r="E1458">
        <v>-0.43</v>
      </c>
      <c r="F1458">
        <v>15.05</v>
      </c>
      <c r="G1458">
        <v>15.06</v>
      </c>
      <c r="H1458">
        <v>2420217</v>
      </c>
      <c r="I1458">
        <v>24288</v>
      </c>
      <c r="J1458">
        <v>-0.06</v>
      </c>
      <c r="K1458">
        <v>4.45</v>
      </c>
      <c r="L1458">
        <v>15.51</v>
      </c>
      <c r="M1458">
        <v>15.64</v>
      </c>
      <c r="N1458">
        <v>15.01</v>
      </c>
      <c r="O1458">
        <v>15.49</v>
      </c>
      <c r="P1458">
        <v>54.39</v>
      </c>
      <c r="Q1458">
        <v>3726181376</v>
      </c>
      <c r="R1458">
        <v>1.45</v>
      </c>
      <c r="S1458" t="s">
        <v>623</v>
      </c>
      <c r="T1458" t="s">
        <v>1653</v>
      </c>
      <c r="U1458">
        <v>4.07</v>
      </c>
      <c r="V1458">
        <v>15.4</v>
      </c>
      <c r="W1458">
        <v>1267753</v>
      </c>
      <c r="X1458">
        <v>1152464</v>
      </c>
      <c r="Y1458">
        <v>1.1000000000000001</v>
      </c>
      <c r="Z1458">
        <v>12238</v>
      </c>
      <c r="AA1458">
        <v>79</v>
      </c>
      <c r="AB1458" t="s">
        <v>116</v>
      </c>
      <c r="AC1458">
        <v>36361600</v>
      </c>
      <c r="AD1458">
        <v>0.05</v>
      </c>
      <c r="AE1458" t="s">
        <v>116</v>
      </c>
      <c r="AF1458" t="s">
        <v>116</v>
      </c>
      <c r="AG1458">
        <v>54.35</v>
      </c>
      <c r="AH1458" t="s">
        <v>7830</v>
      </c>
      <c r="AI1458" t="s">
        <v>7831</v>
      </c>
      <c r="AJ1458">
        <v>-2.1</v>
      </c>
      <c r="AK1458">
        <v>4727</v>
      </c>
      <c r="AL1458">
        <v>512</v>
      </c>
      <c r="AM1458">
        <v>8.9999999999999998E-4</v>
      </c>
      <c r="AN1458">
        <v>-1</v>
      </c>
      <c r="AO1458">
        <v>-0.86</v>
      </c>
      <c r="AP1458">
        <v>8.74</v>
      </c>
      <c r="AQ1458">
        <v>-1.05</v>
      </c>
      <c r="AR1458">
        <v>49.6</v>
      </c>
      <c r="AS1458">
        <v>5.14</v>
      </c>
      <c r="AT1458" t="s">
        <v>7832</v>
      </c>
      <c r="AU1458">
        <v>65.150000000000006</v>
      </c>
      <c r="AV1458">
        <v>105.49</v>
      </c>
      <c r="AW1458">
        <v>1.65</v>
      </c>
      <c r="BA1458">
        <v>0.13</v>
      </c>
      <c r="BB1458">
        <v>0.97</v>
      </c>
      <c r="BC1458">
        <v>-3.1</v>
      </c>
      <c r="BD1458">
        <v>-0.61</v>
      </c>
      <c r="BE1458">
        <v>-2.9</v>
      </c>
      <c r="BF1458">
        <v>-3.71</v>
      </c>
      <c r="BG1458">
        <v>0.33</v>
      </c>
      <c r="BH1458">
        <v>-2.17</v>
      </c>
      <c r="BI1458">
        <v>20191022</v>
      </c>
      <c r="BJ1458">
        <v>20100319</v>
      </c>
      <c r="BK1458">
        <v>67.16</v>
      </c>
      <c r="BL1458" t="s">
        <v>116</v>
      </c>
      <c r="BM1458" t="s">
        <v>116</v>
      </c>
      <c r="BN1458">
        <v>533.32000000000005</v>
      </c>
      <c r="BO1458">
        <v>207.77</v>
      </c>
      <c r="BP1458">
        <v>0</v>
      </c>
      <c r="BQ1458">
        <v>61.04</v>
      </c>
      <c r="BR1458">
        <v>480.85</v>
      </c>
      <c r="BS1458">
        <v>16.02</v>
      </c>
      <c r="BT1458">
        <v>0.6</v>
      </c>
      <c r="BU1458">
        <v>313.33</v>
      </c>
      <c r="BV1458">
        <v>1.47</v>
      </c>
      <c r="BW1458">
        <v>3.3</v>
      </c>
      <c r="BX1458">
        <v>89.3</v>
      </c>
      <c r="BY1458">
        <v>10.59</v>
      </c>
      <c r="BZ1458">
        <v>2.89</v>
      </c>
      <c r="CA1458">
        <v>16.670000000000002</v>
      </c>
      <c r="CB1458">
        <v>2.3199999999999998</v>
      </c>
      <c r="CC1458">
        <v>16.59</v>
      </c>
      <c r="CD1458">
        <v>13.95</v>
      </c>
      <c r="CE1458">
        <v>13.95</v>
      </c>
      <c r="CF1458">
        <v>13.53</v>
      </c>
      <c r="CG1458">
        <v>47.21</v>
      </c>
      <c r="CH1458">
        <v>65.5</v>
      </c>
      <c r="CI1458">
        <v>86.48</v>
      </c>
      <c r="CJ1458">
        <v>357930</v>
      </c>
      <c r="CK1458">
        <v>13155</v>
      </c>
      <c r="CL1458" t="s">
        <v>7833</v>
      </c>
      <c r="CM1458">
        <v>74.13</v>
      </c>
      <c r="CN1458">
        <v>3.28</v>
      </c>
      <c r="CO1458">
        <v>4.87</v>
      </c>
      <c r="CP1458">
        <v>15.44</v>
      </c>
      <c r="CQ1458">
        <v>95.5</v>
      </c>
      <c r="CR1458">
        <v>0.11</v>
      </c>
      <c r="CS1458" t="s">
        <v>1959</v>
      </c>
      <c r="CT1458">
        <v>3.09</v>
      </c>
      <c r="CU1458">
        <v>0</v>
      </c>
      <c r="CV1458">
        <v>1.33</v>
      </c>
      <c r="CW1458">
        <v>0.7</v>
      </c>
      <c r="CX1458">
        <v>0.98</v>
      </c>
      <c r="CY1458">
        <v>38.96</v>
      </c>
      <c r="CZ1458" t="s">
        <v>7218</v>
      </c>
      <c r="DA1458">
        <v>72.69</v>
      </c>
      <c r="DB1458">
        <v>157.41</v>
      </c>
      <c r="DC1458">
        <v>131.66999999999999</v>
      </c>
      <c r="DD1458">
        <v>2.31</v>
      </c>
      <c r="DE1458">
        <v>4325</v>
      </c>
      <c r="DF1458">
        <v>300059</v>
      </c>
      <c r="DG1458" t="s">
        <v>116</v>
      </c>
      <c r="DH1458" t="s">
        <v>116</v>
      </c>
      <c r="DI1458" t="s">
        <v>116</v>
      </c>
    </row>
    <row r="1459" spans="1:113" x14ac:dyDescent="0.4">
      <c r="A1459" t="str">
        <f>"300061"</f>
        <v>300061</v>
      </c>
      <c r="B1459" t="s">
        <v>7834</v>
      </c>
      <c r="C1459">
        <v>-3.41</v>
      </c>
      <c r="D1459">
        <v>6.51</v>
      </c>
      <c r="E1459">
        <v>-0.23</v>
      </c>
      <c r="F1459">
        <v>6.51</v>
      </c>
      <c r="G1459">
        <v>6.52</v>
      </c>
      <c r="H1459">
        <v>80243</v>
      </c>
      <c r="I1459">
        <v>1122</v>
      </c>
      <c r="J1459">
        <v>-0.14000000000000001</v>
      </c>
      <c r="K1459">
        <v>1.73</v>
      </c>
      <c r="L1459">
        <v>6.74</v>
      </c>
      <c r="M1459">
        <v>6.78</v>
      </c>
      <c r="N1459">
        <v>6.51</v>
      </c>
      <c r="O1459">
        <v>6.74</v>
      </c>
      <c r="P1459">
        <v>92.68</v>
      </c>
      <c r="Q1459">
        <v>53204488</v>
      </c>
      <c r="R1459">
        <v>0.86</v>
      </c>
      <c r="S1459" t="s">
        <v>732</v>
      </c>
      <c r="T1459" t="s">
        <v>1653</v>
      </c>
      <c r="U1459">
        <v>4.01</v>
      </c>
      <c r="V1459">
        <v>6.63</v>
      </c>
      <c r="W1459">
        <v>49508</v>
      </c>
      <c r="X1459">
        <v>30735</v>
      </c>
      <c r="Y1459">
        <v>1.61</v>
      </c>
      <c r="Z1459">
        <v>640</v>
      </c>
      <c r="AA1459">
        <v>313</v>
      </c>
      <c r="AB1459" t="s">
        <v>116</v>
      </c>
      <c r="AC1459">
        <v>96400</v>
      </c>
      <c r="AD1459">
        <v>0.01</v>
      </c>
      <c r="AE1459" t="s">
        <v>116</v>
      </c>
      <c r="AF1459" t="s">
        <v>116</v>
      </c>
      <c r="AG1459">
        <v>4.6399999999999997</v>
      </c>
      <c r="AH1459" t="s">
        <v>7835</v>
      </c>
      <c r="AI1459" t="s">
        <v>7836</v>
      </c>
      <c r="AJ1459">
        <v>-2.73</v>
      </c>
      <c r="AK1459">
        <v>1829</v>
      </c>
      <c r="AL1459">
        <v>44</v>
      </c>
      <c r="AM1459">
        <v>8.9999999999999998E-4</v>
      </c>
      <c r="AN1459">
        <v>-1</v>
      </c>
      <c r="AO1459">
        <v>-2.54</v>
      </c>
      <c r="AP1459">
        <v>13.41</v>
      </c>
      <c r="AQ1459">
        <v>-10.08</v>
      </c>
      <c r="AR1459">
        <v>9.41</v>
      </c>
      <c r="AS1459">
        <v>4.5</v>
      </c>
      <c r="AT1459" t="s">
        <v>7837</v>
      </c>
      <c r="AU1459" t="s">
        <v>116</v>
      </c>
      <c r="AV1459" t="s">
        <v>116</v>
      </c>
      <c r="AW1459">
        <v>1.41</v>
      </c>
      <c r="BA1459">
        <v>0</v>
      </c>
      <c r="BB1459">
        <v>0.59</v>
      </c>
      <c r="BC1459">
        <v>-3.41</v>
      </c>
      <c r="BD1459">
        <v>-1.63</v>
      </c>
      <c r="BE1459">
        <v>-3.41</v>
      </c>
      <c r="BF1459">
        <v>-3.98</v>
      </c>
      <c r="BG1459">
        <v>0</v>
      </c>
      <c r="BH1459">
        <v>-1.79</v>
      </c>
      <c r="BI1459">
        <v>20191227</v>
      </c>
      <c r="BJ1459">
        <v>20100319</v>
      </c>
      <c r="BK1459">
        <v>6.77</v>
      </c>
      <c r="BL1459" t="s">
        <v>116</v>
      </c>
      <c r="BM1459" t="s">
        <v>116</v>
      </c>
      <c r="BN1459">
        <v>29.32</v>
      </c>
      <c r="BO1459">
        <v>22.67</v>
      </c>
      <c r="BP1459">
        <v>0.43</v>
      </c>
      <c r="BQ1459">
        <v>21.21</v>
      </c>
      <c r="BR1459">
        <v>15.03</v>
      </c>
      <c r="BS1459">
        <v>0.4</v>
      </c>
      <c r="BT1459">
        <v>0.57999999999999996</v>
      </c>
      <c r="BU1459">
        <v>3.89</v>
      </c>
      <c r="BV1459">
        <v>0.3</v>
      </c>
      <c r="BW1459">
        <v>1.51</v>
      </c>
      <c r="BX1459">
        <v>19.32</v>
      </c>
      <c r="BY1459">
        <v>8.33</v>
      </c>
      <c r="BZ1459">
        <v>3.81</v>
      </c>
      <c r="CA1459">
        <v>0.7</v>
      </c>
      <c r="CB1459">
        <v>0.02</v>
      </c>
      <c r="CC1459">
        <v>0.13</v>
      </c>
      <c r="CD1459">
        <v>0</v>
      </c>
      <c r="CE1459">
        <v>0.36</v>
      </c>
      <c r="CF1459">
        <v>0.43</v>
      </c>
      <c r="CG1459">
        <v>-2.73</v>
      </c>
      <c r="CH1459">
        <v>0.56999999999999995</v>
      </c>
      <c r="CI1459">
        <v>3.95</v>
      </c>
      <c r="CJ1459">
        <v>18000</v>
      </c>
      <c r="CK1459">
        <v>9910</v>
      </c>
      <c r="CL1459" t="s">
        <v>7732</v>
      </c>
      <c r="CM1459">
        <v>-84.17</v>
      </c>
      <c r="CN1459">
        <v>-45.85</v>
      </c>
      <c r="CO1459">
        <v>1.94</v>
      </c>
      <c r="CP1459">
        <v>77.2</v>
      </c>
      <c r="CQ1459">
        <v>5.29</v>
      </c>
      <c r="CR1459">
        <v>0</v>
      </c>
      <c r="CS1459" t="s">
        <v>484</v>
      </c>
      <c r="CT1459">
        <v>3.35</v>
      </c>
      <c r="CU1459">
        <v>0</v>
      </c>
      <c r="CV1459">
        <v>2.85</v>
      </c>
      <c r="CW1459">
        <v>-0.4</v>
      </c>
      <c r="CX1459">
        <v>0.08</v>
      </c>
      <c r="CY1459">
        <v>77.319999999999993</v>
      </c>
      <c r="CZ1459" t="s">
        <v>4889</v>
      </c>
      <c r="DA1459">
        <v>54.24</v>
      </c>
      <c r="DB1459">
        <v>8.35</v>
      </c>
      <c r="DC1459">
        <v>4.28</v>
      </c>
      <c r="DD1459">
        <v>0.36</v>
      </c>
      <c r="DE1459">
        <v>2811</v>
      </c>
      <c r="DF1459">
        <v>300061</v>
      </c>
      <c r="DG1459" t="s">
        <v>116</v>
      </c>
      <c r="DH1459" t="s">
        <v>116</v>
      </c>
      <c r="DI1459" t="s">
        <v>116</v>
      </c>
    </row>
    <row r="1460" spans="1:113" x14ac:dyDescent="0.4">
      <c r="A1460" t="str">
        <f>"300062"</f>
        <v>300062</v>
      </c>
      <c r="B1460" t="s">
        <v>7838</v>
      </c>
      <c r="C1460">
        <v>-1.84</v>
      </c>
      <c r="D1460">
        <v>5.34</v>
      </c>
      <c r="E1460">
        <v>-0.1</v>
      </c>
      <c r="F1460">
        <v>5.33</v>
      </c>
      <c r="G1460">
        <v>5.34</v>
      </c>
      <c r="H1460">
        <v>45595</v>
      </c>
      <c r="I1460">
        <v>1284</v>
      </c>
      <c r="J1460">
        <v>0.19</v>
      </c>
      <c r="K1460">
        <v>2.41</v>
      </c>
      <c r="L1460">
        <v>5.5</v>
      </c>
      <c r="M1460">
        <v>5.5</v>
      </c>
      <c r="N1460">
        <v>5.33</v>
      </c>
      <c r="O1460">
        <v>5.44</v>
      </c>
      <c r="P1460">
        <v>30.67</v>
      </c>
      <c r="Q1460">
        <v>24689086</v>
      </c>
      <c r="R1460">
        <v>1.79</v>
      </c>
      <c r="S1460" t="s">
        <v>397</v>
      </c>
      <c r="T1460" t="s">
        <v>975</v>
      </c>
      <c r="U1460">
        <v>3.13</v>
      </c>
      <c r="V1460">
        <v>5.41</v>
      </c>
      <c r="W1460">
        <v>26166</v>
      </c>
      <c r="X1460">
        <v>19429</v>
      </c>
      <c r="Y1460">
        <v>1.35</v>
      </c>
      <c r="Z1460">
        <v>290</v>
      </c>
      <c r="AA1460">
        <v>121</v>
      </c>
      <c r="AB1460" t="s">
        <v>116</v>
      </c>
      <c r="AC1460">
        <v>118300</v>
      </c>
      <c r="AD1460">
        <v>0.02</v>
      </c>
      <c r="AE1460" t="s">
        <v>116</v>
      </c>
      <c r="AF1460" t="s">
        <v>116</v>
      </c>
      <c r="AG1460">
        <v>1.89</v>
      </c>
      <c r="AH1460" t="s">
        <v>7839</v>
      </c>
      <c r="AI1460" t="s">
        <v>5858</v>
      </c>
      <c r="AJ1460">
        <v>-1.1599999999999999</v>
      </c>
      <c r="AK1460">
        <v>978</v>
      </c>
      <c r="AL1460">
        <v>47</v>
      </c>
      <c r="AM1460">
        <v>2.5000000000000001E-3</v>
      </c>
      <c r="AN1460">
        <v>-1</v>
      </c>
      <c r="AO1460">
        <v>-1.1100000000000001</v>
      </c>
      <c r="AP1460">
        <v>3.89</v>
      </c>
      <c r="AQ1460">
        <v>-2.91</v>
      </c>
      <c r="AR1460">
        <v>9.8800000000000008</v>
      </c>
      <c r="AS1460">
        <v>3.34</v>
      </c>
      <c r="AT1460" t="s">
        <v>7840</v>
      </c>
      <c r="AU1460">
        <v>42.95</v>
      </c>
      <c r="AV1460">
        <v>98.36</v>
      </c>
      <c r="AW1460">
        <v>1.03</v>
      </c>
      <c r="BA1460">
        <v>1.1000000000000001</v>
      </c>
      <c r="BB1460">
        <v>1.1000000000000001</v>
      </c>
      <c r="BC1460">
        <v>-2.02</v>
      </c>
      <c r="BD1460">
        <v>-0.46</v>
      </c>
      <c r="BE1460">
        <v>-2.91</v>
      </c>
      <c r="BF1460">
        <v>-2.91</v>
      </c>
      <c r="BG1460">
        <v>0.19</v>
      </c>
      <c r="BH1460">
        <v>-1.38</v>
      </c>
      <c r="BI1460">
        <v>20191030</v>
      </c>
      <c r="BJ1460">
        <v>20100319</v>
      </c>
      <c r="BK1460">
        <v>3.08</v>
      </c>
      <c r="BL1460" t="s">
        <v>116</v>
      </c>
      <c r="BM1460" t="s">
        <v>116</v>
      </c>
      <c r="BN1460">
        <v>21.86</v>
      </c>
      <c r="BO1460">
        <v>8.0299999999999994</v>
      </c>
      <c r="BP1460">
        <v>0.11</v>
      </c>
      <c r="BQ1460">
        <v>62.77</v>
      </c>
      <c r="BR1460">
        <v>14.58</v>
      </c>
      <c r="BS1460">
        <v>5.01</v>
      </c>
      <c r="BT1460">
        <v>0.72</v>
      </c>
      <c r="BU1460">
        <v>11.12</v>
      </c>
      <c r="BV1460">
        <v>1.47</v>
      </c>
      <c r="BW1460">
        <v>7.34</v>
      </c>
      <c r="BX1460">
        <v>2.2599999999999998</v>
      </c>
      <c r="BY1460">
        <v>7.06</v>
      </c>
      <c r="BZ1460">
        <v>5.32</v>
      </c>
      <c r="CA1460">
        <v>0.28999999999999998</v>
      </c>
      <c r="CB1460">
        <v>0.38</v>
      </c>
      <c r="CC1460">
        <v>0.28000000000000003</v>
      </c>
      <c r="CD1460">
        <v>0.4</v>
      </c>
      <c r="CE1460">
        <v>0.4</v>
      </c>
      <c r="CF1460">
        <v>0.08</v>
      </c>
      <c r="CG1460">
        <v>2.41</v>
      </c>
      <c r="CH1460">
        <v>0.57999999999999996</v>
      </c>
      <c r="CI1460">
        <v>0.17</v>
      </c>
      <c r="CJ1460">
        <v>14526</v>
      </c>
      <c r="CK1460">
        <v>9400</v>
      </c>
      <c r="CL1460" t="s">
        <v>4120</v>
      </c>
      <c r="CM1460">
        <v>115.68</v>
      </c>
      <c r="CN1460">
        <v>3.27</v>
      </c>
      <c r="CO1460">
        <v>2.0499999999999998</v>
      </c>
      <c r="CP1460">
        <v>28.3</v>
      </c>
      <c r="CQ1460">
        <v>2.33</v>
      </c>
      <c r="CR1460">
        <v>0.75</v>
      </c>
      <c r="CS1460" t="s">
        <v>5815</v>
      </c>
      <c r="CT1460">
        <v>2.61</v>
      </c>
      <c r="CU1460">
        <v>0</v>
      </c>
      <c r="CV1460">
        <v>0.73</v>
      </c>
      <c r="CW1460">
        <v>0.78</v>
      </c>
      <c r="CX1460">
        <v>0.19</v>
      </c>
      <c r="CY1460">
        <v>36.74</v>
      </c>
      <c r="CZ1460" t="s">
        <v>6334</v>
      </c>
      <c r="DA1460">
        <v>24.66</v>
      </c>
      <c r="DB1460">
        <v>4.05</v>
      </c>
      <c r="DC1460">
        <v>5.7</v>
      </c>
      <c r="DD1460">
        <v>0.24</v>
      </c>
      <c r="DE1460">
        <v>1060</v>
      </c>
      <c r="DF1460">
        <v>300062</v>
      </c>
      <c r="DG1460" t="s">
        <v>116</v>
      </c>
      <c r="DH1460" t="s">
        <v>116</v>
      </c>
      <c r="DI1460" t="s">
        <v>116</v>
      </c>
    </row>
    <row r="1461" spans="1:113" x14ac:dyDescent="0.4">
      <c r="A1461" t="str">
        <f>"300063"</f>
        <v>300063</v>
      </c>
      <c r="B1461" t="s">
        <v>7841</v>
      </c>
      <c r="C1461">
        <v>0.66</v>
      </c>
      <c r="D1461">
        <v>3.06</v>
      </c>
      <c r="E1461">
        <v>0.02</v>
      </c>
      <c r="F1461">
        <v>3.06</v>
      </c>
      <c r="G1461">
        <v>3.07</v>
      </c>
      <c r="H1461">
        <v>282698</v>
      </c>
      <c r="I1461">
        <v>2805</v>
      </c>
      <c r="J1461">
        <v>-0.32</v>
      </c>
      <c r="K1461">
        <v>4.8600000000000003</v>
      </c>
      <c r="L1461">
        <v>3.04</v>
      </c>
      <c r="M1461">
        <v>3.34</v>
      </c>
      <c r="N1461">
        <v>3.04</v>
      </c>
      <c r="O1461">
        <v>3.04</v>
      </c>
      <c r="P1461">
        <v>20.47</v>
      </c>
      <c r="Q1461">
        <v>90088984</v>
      </c>
      <c r="R1461">
        <v>2.71</v>
      </c>
      <c r="S1461" t="s">
        <v>1384</v>
      </c>
      <c r="T1461" t="s">
        <v>551</v>
      </c>
      <c r="U1461">
        <v>9.8699999999999992</v>
      </c>
      <c r="V1461">
        <v>3.19</v>
      </c>
      <c r="W1461">
        <v>180116</v>
      </c>
      <c r="X1461">
        <v>102582</v>
      </c>
      <c r="Y1461">
        <v>1.76</v>
      </c>
      <c r="Z1461">
        <v>1153</v>
      </c>
      <c r="AA1461">
        <v>2027</v>
      </c>
      <c r="AB1461" t="s">
        <v>116</v>
      </c>
      <c r="AC1461">
        <v>370600</v>
      </c>
      <c r="AD1461">
        <v>0.03</v>
      </c>
      <c r="AE1461" t="s">
        <v>116</v>
      </c>
      <c r="AF1461" t="s">
        <v>116</v>
      </c>
      <c r="AG1461">
        <v>5.82</v>
      </c>
      <c r="AH1461" t="s">
        <v>7842</v>
      </c>
      <c r="AI1461" t="s">
        <v>7843</v>
      </c>
      <c r="AJ1461">
        <v>1.34</v>
      </c>
      <c r="AK1461">
        <v>1510</v>
      </c>
      <c r="AL1461">
        <v>187</v>
      </c>
      <c r="AM1461">
        <v>3.2000000000000002E-3</v>
      </c>
      <c r="AN1461">
        <v>4</v>
      </c>
      <c r="AO1461">
        <v>3.74</v>
      </c>
      <c r="AP1461">
        <v>6.62</v>
      </c>
      <c r="AQ1461">
        <v>3.73</v>
      </c>
      <c r="AR1461">
        <v>-8.11</v>
      </c>
      <c r="AS1461">
        <v>7.49</v>
      </c>
      <c r="AT1461" t="s">
        <v>7844</v>
      </c>
      <c r="AU1461" t="s">
        <v>116</v>
      </c>
      <c r="AV1461" t="s">
        <v>116</v>
      </c>
      <c r="AW1461">
        <v>0.8</v>
      </c>
      <c r="BA1461">
        <v>0</v>
      </c>
      <c r="BB1461">
        <v>9.8699999999999992</v>
      </c>
      <c r="BC1461">
        <v>0</v>
      </c>
      <c r="BD1461">
        <v>4.83</v>
      </c>
      <c r="BE1461">
        <v>0.66</v>
      </c>
      <c r="BF1461">
        <v>-8.3800000000000008</v>
      </c>
      <c r="BG1461">
        <v>0.66</v>
      </c>
      <c r="BH1461">
        <v>-4.17</v>
      </c>
      <c r="BI1461">
        <v>20191029</v>
      </c>
      <c r="BJ1461">
        <v>20100326</v>
      </c>
      <c r="BK1461">
        <v>7.49</v>
      </c>
      <c r="BL1461" t="s">
        <v>116</v>
      </c>
      <c r="BM1461" t="s">
        <v>116</v>
      </c>
      <c r="BN1461">
        <v>27.18</v>
      </c>
      <c r="BO1461">
        <v>10.71</v>
      </c>
      <c r="BP1461">
        <v>0.69</v>
      </c>
      <c r="BQ1461">
        <v>58.06</v>
      </c>
      <c r="BR1461">
        <v>23.54</v>
      </c>
      <c r="BS1461">
        <v>2.0499999999999998</v>
      </c>
      <c r="BT1461">
        <v>0.59</v>
      </c>
      <c r="BU1461">
        <v>15.45</v>
      </c>
      <c r="BV1461">
        <v>1.7</v>
      </c>
      <c r="BW1461">
        <v>14.93</v>
      </c>
      <c r="BX1461">
        <v>12.08</v>
      </c>
      <c r="BY1461">
        <v>59.63</v>
      </c>
      <c r="BZ1461">
        <v>55.71</v>
      </c>
      <c r="CA1461">
        <v>1.04</v>
      </c>
      <c r="CB1461">
        <v>0</v>
      </c>
      <c r="CC1461">
        <v>1.05</v>
      </c>
      <c r="CD1461">
        <v>0.86</v>
      </c>
      <c r="CE1461">
        <v>0.84</v>
      </c>
      <c r="CF1461">
        <v>0.63</v>
      </c>
      <c r="CG1461">
        <v>-8.66</v>
      </c>
      <c r="CH1461">
        <v>-1.03</v>
      </c>
      <c r="CI1461">
        <v>-1.3</v>
      </c>
      <c r="CJ1461">
        <v>28928</v>
      </c>
      <c r="CK1461">
        <v>13039</v>
      </c>
      <c r="CL1461" t="s">
        <v>2417</v>
      </c>
      <c r="CM1461">
        <v>-21.62</v>
      </c>
      <c r="CN1461">
        <v>1.78</v>
      </c>
      <c r="CO1461">
        <v>2.14</v>
      </c>
      <c r="CP1461">
        <v>-22.18</v>
      </c>
      <c r="CQ1461">
        <v>0.38</v>
      </c>
      <c r="CR1461">
        <v>0</v>
      </c>
      <c r="CS1461" t="s">
        <v>2261</v>
      </c>
      <c r="CT1461">
        <v>1.43</v>
      </c>
      <c r="CU1461">
        <v>0</v>
      </c>
      <c r="CV1461">
        <v>1.61</v>
      </c>
      <c r="CW1461">
        <v>-1.1599999999999999</v>
      </c>
      <c r="CX1461">
        <v>-0.14000000000000001</v>
      </c>
      <c r="CY1461">
        <v>39.39</v>
      </c>
      <c r="CZ1461" t="s">
        <v>1026</v>
      </c>
      <c r="DA1461">
        <v>6.57</v>
      </c>
      <c r="DB1461">
        <v>1.74</v>
      </c>
      <c r="DC1461">
        <v>1.41</v>
      </c>
      <c r="DD1461">
        <v>0.23</v>
      </c>
      <c r="DE1461">
        <v>1938</v>
      </c>
      <c r="DF1461">
        <v>300063</v>
      </c>
      <c r="DG1461" t="s">
        <v>116</v>
      </c>
      <c r="DH1461" t="s">
        <v>116</v>
      </c>
      <c r="DI1461" t="s">
        <v>116</v>
      </c>
    </row>
    <row r="1462" spans="1:113" x14ac:dyDescent="0.4">
      <c r="A1462" t="str">
        <f>"300064"</f>
        <v>300064</v>
      </c>
      <c r="B1462" t="s">
        <v>7845</v>
      </c>
      <c r="C1462">
        <v>-0.6</v>
      </c>
      <c r="D1462">
        <v>3.3</v>
      </c>
      <c r="E1462">
        <v>-0.02</v>
      </c>
      <c r="F1462">
        <v>3.3</v>
      </c>
      <c r="G1462">
        <v>3.31</v>
      </c>
      <c r="H1462">
        <v>103122</v>
      </c>
      <c r="I1462">
        <v>532</v>
      </c>
      <c r="J1462">
        <v>0</v>
      </c>
      <c r="K1462">
        <v>1.7</v>
      </c>
      <c r="L1462">
        <v>3.3</v>
      </c>
      <c r="M1462">
        <v>3.37</v>
      </c>
      <c r="N1462">
        <v>3.3</v>
      </c>
      <c r="O1462">
        <v>3.32</v>
      </c>
      <c r="P1462">
        <v>43.75</v>
      </c>
      <c r="Q1462">
        <v>34298588</v>
      </c>
      <c r="R1462">
        <v>1.36</v>
      </c>
      <c r="S1462" t="s">
        <v>933</v>
      </c>
      <c r="T1462" t="s">
        <v>652</v>
      </c>
      <c r="U1462">
        <v>2.11</v>
      </c>
      <c r="V1462">
        <v>3.33</v>
      </c>
      <c r="W1462">
        <v>55640</v>
      </c>
      <c r="X1462">
        <v>47482</v>
      </c>
      <c r="Y1462">
        <v>1.17</v>
      </c>
      <c r="Z1462">
        <v>2191</v>
      </c>
      <c r="AA1462">
        <v>1091</v>
      </c>
      <c r="AB1462" t="s">
        <v>116</v>
      </c>
      <c r="AC1462">
        <v>311500</v>
      </c>
      <c r="AD1462">
        <v>0.03</v>
      </c>
      <c r="AE1462" t="s">
        <v>116</v>
      </c>
      <c r="AF1462" t="s">
        <v>116</v>
      </c>
      <c r="AG1462">
        <v>6.06</v>
      </c>
      <c r="AH1462" t="s">
        <v>4124</v>
      </c>
      <c r="AI1462" t="s">
        <v>7846</v>
      </c>
      <c r="AJ1462">
        <v>0.08</v>
      </c>
      <c r="AK1462">
        <v>1025</v>
      </c>
      <c r="AL1462">
        <v>101</v>
      </c>
      <c r="AM1462">
        <v>1.6999999999999999E-3</v>
      </c>
      <c r="AN1462">
        <v>-1</v>
      </c>
      <c r="AO1462">
        <v>-1.49</v>
      </c>
      <c r="AP1462">
        <v>2.8</v>
      </c>
      <c r="AQ1462">
        <v>-6.25</v>
      </c>
      <c r="AR1462">
        <v>-25.78</v>
      </c>
      <c r="AS1462">
        <v>2.8</v>
      </c>
      <c r="AT1462" t="s">
        <v>1320</v>
      </c>
      <c r="AU1462" t="s">
        <v>116</v>
      </c>
      <c r="AV1462">
        <v>41.29</v>
      </c>
      <c r="AW1462">
        <v>1.43</v>
      </c>
      <c r="BA1462">
        <v>-0.6</v>
      </c>
      <c r="BB1462">
        <v>1.51</v>
      </c>
      <c r="BC1462">
        <v>-0.6</v>
      </c>
      <c r="BD1462">
        <v>0.18</v>
      </c>
      <c r="BE1462">
        <v>0</v>
      </c>
      <c r="BF1462">
        <v>-2.08</v>
      </c>
      <c r="BG1462">
        <v>0</v>
      </c>
      <c r="BH1462">
        <v>-0.78</v>
      </c>
      <c r="BI1462">
        <v>20191205</v>
      </c>
      <c r="BJ1462">
        <v>20100326</v>
      </c>
      <c r="BK1462">
        <v>12.05</v>
      </c>
      <c r="BL1462" t="s">
        <v>116</v>
      </c>
      <c r="BM1462" t="s">
        <v>116</v>
      </c>
      <c r="BN1462">
        <v>93.02</v>
      </c>
      <c r="BO1462">
        <v>69.88</v>
      </c>
      <c r="BP1462">
        <v>0.17</v>
      </c>
      <c r="BQ1462">
        <v>24.69</v>
      </c>
      <c r="BR1462">
        <v>38.76</v>
      </c>
      <c r="BS1462">
        <v>28.39</v>
      </c>
      <c r="BT1462">
        <v>1.61</v>
      </c>
      <c r="BU1462">
        <v>20.440000000000001</v>
      </c>
      <c r="BV1462">
        <v>8.48</v>
      </c>
      <c r="BW1462">
        <v>8.35</v>
      </c>
      <c r="BX1462">
        <v>47.52</v>
      </c>
      <c r="BY1462">
        <v>7.3</v>
      </c>
      <c r="BZ1462">
        <v>5.0999999999999996</v>
      </c>
      <c r="CA1462">
        <v>0.66</v>
      </c>
      <c r="CB1462">
        <v>0.09</v>
      </c>
      <c r="CC1462">
        <v>0.71</v>
      </c>
      <c r="CD1462">
        <v>0.67</v>
      </c>
      <c r="CE1462">
        <v>0.68</v>
      </c>
      <c r="CF1462">
        <v>0.04</v>
      </c>
      <c r="CG1462">
        <v>9.1300000000000008</v>
      </c>
      <c r="CH1462">
        <v>-11.54</v>
      </c>
      <c r="CI1462">
        <v>-1.39</v>
      </c>
      <c r="CJ1462">
        <v>25176</v>
      </c>
      <c r="CK1462">
        <v>14621</v>
      </c>
      <c r="CL1462" t="s">
        <v>205</v>
      </c>
      <c r="CM1462">
        <v>-64.239999999999995</v>
      </c>
      <c r="CN1462">
        <v>-31.36</v>
      </c>
      <c r="CO1462">
        <v>0.56999999999999995</v>
      </c>
      <c r="CP1462">
        <v>-3.45</v>
      </c>
      <c r="CQ1462">
        <v>5.45</v>
      </c>
      <c r="CR1462">
        <v>0.42</v>
      </c>
      <c r="CS1462" t="s">
        <v>2039</v>
      </c>
      <c r="CT1462">
        <v>5.8</v>
      </c>
      <c r="CU1462">
        <v>0</v>
      </c>
      <c r="CV1462">
        <v>3.94</v>
      </c>
      <c r="CW1462">
        <v>0.76</v>
      </c>
      <c r="CX1462">
        <v>-0.96</v>
      </c>
      <c r="CY1462">
        <v>75.13</v>
      </c>
      <c r="CZ1462" t="s">
        <v>4731</v>
      </c>
      <c r="DA1462">
        <v>30.12</v>
      </c>
      <c r="DB1462">
        <v>9.0299999999999994</v>
      </c>
      <c r="DC1462">
        <v>9.34</v>
      </c>
      <c r="DD1462">
        <v>0.32</v>
      </c>
      <c r="DE1462">
        <v>1895</v>
      </c>
      <c r="DF1462">
        <v>300064</v>
      </c>
      <c r="DG1462" t="s">
        <v>116</v>
      </c>
      <c r="DH1462" t="s">
        <v>116</v>
      </c>
      <c r="DI1462" t="s">
        <v>116</v>
      </c>
    </row>
    <row r="1463" spans="1:113" x14ac:dyDescent="0.4">
      <c r="A1463" t="str">
        <f>"300065"</f>
        <v>300065</v>
      </c>
      <c r="B1463" t="s">
        <v>7847</v>
      </c>
      <c r="C1463">
        <v>-1.24</v>
      </c>
      <c r="D1463">
        <v>11.94</v>
      </c>
      <c r="E1463">
        <v>-0.15</v>
      </c>
      <c r="F1463">
        <v>11.94</v>
      </c>
      <c r="G1463">
        <v>11.95</v>
      </c>
      <c r="H1463">
        <v>37455</v>
      </c>
      <c r="I1463">
        <v>450</v>
      </c>
      <c r="J1463">
        <v>0</v>
      </c>
      <c r="K1463">
        <v>1.1200000000000001</v>
      </c>
      <c r="L1463">
        <v>12.1</v>
      </c>
      <c r="M1463">
        <v>12.23</v>
      </c>
      <c r="N1463">
        <v>11.91</v>
      </c>
      <c r="O1463">
        <v>12.09</v>
      </c>
      <c r="P1463">
        <v>38.93</v>
      </c>
      <c r="Q1463">
        <v>45303596</v>
      </c>
      <c r="R1463">
        <v>1.1399999999999999</v>
      </c>
      <c r="S1463" t="s">
        <v>607</v>
      </c>
      <c r="T1463" t="s">
        <v>165</v>
      </c>
      <c r="U1463">
        <v>2.65</v>
      </c>
      <c r="V1463">
        <v>12.1</v>
      </c>
      <c r="W1463">
        <v>21906</v>
      </c>
      <c r="X1463">
        <v>15549</v>
      </c>
      <c r="Y1463">
        <v>1.41</v>
      </c>
      <c r="Z1463">
        <v>447</v>
      </c>
      <c r="AA1463">
        <v>138</v>
      </c>
      <c r="AB1463" t="s">
        <v>116</v>
      </c>
      <c r="AC1463">
        <v>246800</v>
      </c>
      <c r="AD1463">
        <v>0.01</v>
      </c>
      <c r="AE1463" t="s">
        <v>116</v>
      </c>
      <c r="AF1463" t="s">
        <v>116</v>
      </c>
      <c r="AG1463">
        <v>3.33</v>
      </c>
      <c r="AH1463" t="s">
        <v>7848</v>
      </c>
      <c r="AI1463" t="s">
        <v>7849</v>
      </c>
      <c r="AJ1463">
        <v>-0.56000000000000005</v>
      </c>
      <c r="AK1463">
        <v>1310</v>
      </c>
      <c r="AL1463">
        <v>29</v>
      </c>
      <c r="AM1463">
        <v>8.9999999999999998E-4</v>
      </c>
      <c r="AN1463">
        <v>-1</v>
      </c>
      <c r="AO1463">
        <v>0.17</v>
      </c>
      <c r="AP1463">
        <v>6.23</v>
      </c>
      <c r="AQ1463">
        <v>-6.43</v>
      </c>
      <c r="AR1463">
        <v>17.170000000000002</v>
      </c>
      <c r="AS1463">
        <v>1.29</v>
      </c>
      <c r="AT1463" t="s">
        <v>7850</v>
      </c>
      <c r="AU1463">
        <v>42.42</v>
      </c>
      <c r="AV1463">
        <v>44.99</v>
      </c>
      <c r="AW1463">
        <v>1.08</v>
      </c>
      <c r="BA1463">
        <v>0.08</v>
      </c>
      <c r="BB1463">
        <v>1.1599999999999999</v>
      </c>
      <c r="BC1463">
        <v>-1.49</v>
      </c>
      <c r="BD1463">
        <v>0.04</v>
      </c>
      <c r="BE1463">
        <v>-1.32</v>
      </c>
      <c r="BF1463">
        <v>-2.37</v>
      </c>
      <c r="BG1463">
        <v>0.25</v>
      </c>
      <c r="BH1463">
        <v>-1.29</v>
      </c>
      <c r="BI1463">
        <v>20191031</v>
      </c>
      <c r="BJ1463">
        <v>20100326</v>
      </c>
      <c r="BK1463">
        <v>3.98</v>
      </c>
      <c r="BL1463" t="s">
        <v>116</v>
      </c>
      <c r="BM1463" t="s">
        <v>116</v>
      </c>
      <c r="BN1463">
        <v>22.35</v>
      </c>
      <c r="BO1463">
        <v>17.739999999999998</v>
      </c>
      <c r="BP1463">
        <v>7.0000000000000007E-2</v>
      </c>
      <c r="BQ1463">
        <v>20.32</v>
      </c>
      <c r="BR1463">
        <v>14.07</v>
      </c>
      <c r="BS1463">
        <v>0.81</v>
      </c>
      <c r="BT1463">
        <v>2.34</v>
      </c>
      <c r="BU1463">
        <v>3.93</v>
      </c>
      <c r="BV1463">
        <v>2</v>
      </c>
      <c r="BW1463">
        <v>4.49</v>
      </c>
      <c r="BX1463">
        <v>9.48</v>
      </c>
      <c r="BY1463">
        <v>5.24</v>
      </c>
      <c r="BZ1463">
        <v>3.21</v>
      </c>
      <c r="CA1463">
        <v>1.07</v>
      </c>
      <c r="CB1463">
        <v>0.06</v>
      </c>
      <c r="CC1463">
        <v>1.1000000000000001</v>
      </c>
      <c r="CD1463">
        <v>0.9</v>
      </c>
      <c r="CE1463">
        <v>0.92</v>
      </c>
      <c r="CF1463">
        <v>0.66</v>
      </c>
      <c r="CG1463">
        <v>4.33</v>
      </c>
      <c r="CH1463">
        <v>-0.12</v>
      </c>
      <c r="CI1463">
        <v>0.04</v>
      </c>
      <c r="CJ1463">
        <v>22968</v>
      </c>
      <c r="CK1463">
        <v>12688</v>
      </c>
      <c r="CL1463" t="s">
        <v>6364</v>
      </c>
      <c r="CM1463">
        <v>7.51</v>
      </c>
      <c r="CN1463">
        <v>0.06</v>
      </c>
      <c r="CO1463">
        <v>2.68</v>
      </c>
      <c r="CP1463">
        <v>-384.32</v>
      </c>
      <c r="CQ1463">
        <v>9.08</v>
      </c>
      <c r="CR1463">
        <v>0.25</v>
      </c>
      <c r="CS1463" t="s">
        <v>3753</v>
      </c>
      <c r="CT1463">
        <v>4.45</v>
      </c>
      <c r="CU1463">
        <v>0</v>
      </c>
      <c r="CV1463">
        <v>2.38</v>
      </c>
      <c r="CW1463">
        <v>1.0900000000000001</v>
      </c>
      <c r="CX1463">
        <v>-0.03</v>
      </c>
      <c r="CY1463">
        <v>79.37</v>
      </c>
      <c r="CZ1463" t="s">
        <v>7851</v>
      </c>
      <c r="DA1463">
        <v>38.700000000000003</v>
      </c>
      <c r="DB1463">
        <v>20.51</v>
      </c>
      <c r="DC1463">
        <v>17.48</v>
      </c>
      <c r="DD1463">
        <v>0.19</v>
      </c>
      <c r="DE1463">
        <v>467</v>
      </c>
      <c r="DF1463">
        <v>300065</v>
      </c>
      <c r="DG1463" t="s">
        <v>116</v>
      </c>
      <c r="DH1463" t="s">
        <v>116</v>
      </c>
      <c r="DI1463" t="s">
        <v>116</v>
      </c>
    </row>
    <row r="1464" spans="1:113" x14ac:dyDescent="0.4">
      <c r="A1464" t="str">
        <f>"300066"</f>
        <v>300066</v>
      </c>
      <c r="B1464" t="s">
        <v>7852</v>
      </c>
      <c r="C1464">
        <v>-2.5099999999999998</v>
      </c>
      <c r="D1464">
        <v>4.67</v>
      </c>
      <c r="E1464">
        <v>-0.12</v>
      </c>
      <c r="F1464">
        <v>4.67</v>
      </c>
      <c r="G1464">
        <v>4.68</v>
      </c>
      <c r="H1464">
        <v>241692</v>
      </c>
      <c r="I1464">
        <v>6133</v>
      </c>
      <c r="J1464">
        <v>0</v>
      </c>
      <c r="K1464">
        <v>2.4300000000000002</v>
      </c>
      <c r="L1464">
        <v>4.7699999999999996</v>
      </c>
      <c r="M1464">
        <v>4.8499999999999996</v>
      </c>
      <c r="N1464">
        <v>4.6500000000000004</v>
      </c>
      <c r="O1464">
        <v>4.79</v>
      </c>
      <c r="P1464">
        <v>30.67</v>
      </c>
      <c r="Q1464">
        <v>114734272</v>
      </c>
      <c r="R1464">
        <v>0.91</v>
      </c>
      <c r="S1464" t="s">
        <v>2977</v>
      </c>
      <c r="T1464" t="s">
        <v>683</v>
      </c>
      <c r="U1464">
        <v>4.18</v>
      </c>
      <c r="V1464">
        <v>4.75</v>
      </c>
      <c r="W1464">
        <v>153261</v>
      </c>
      <c r="X1464">
        <v>88431</v>
      </c>
      <c r="Y1464">
        <v>1.73</v>
      </c>
      <c r="Z1464">
        <v>765</v>
      </c>
      <c r="AA1464">
        <v>1403</v>
      </c>
      <c r="AB1464" t="s">
        <v>116</v>
      </c>
      <c r="AC1464">
        <v>153600</v>
      </c>
      <c r="AD1464">
        <v>0.01</v>
      </c>
      <c r="AE1464" t="s">
        <v>116</v>
      </c>
      <c r="AF1464" t="s">
        <v>116</v>
      </c>
      <c r="AG1464">
        <v>9.9600000000000009</v>
      </c>
      <c r="AH1464" t="s">
        <v>1003</v>
      </c>
      <c r="AI1464" t="s">
        <v>2658</v>
      </c>
      <c r="AJ1464">
        <v>-1.83</v>
      </c>
      <c r="AK1464">
        <v>2490</v>
      </c>
      <c r="AL1464">
        <v>97</v>
      </c>
      <c r="AM1464">
        <v>1E-3</v>
      </c>
      <c r="AN1464">
        <v>-2</v>
      </c>
      <c r="AO1464">
        <v>-0.01</v>
      </c>
      <c r="AP1464">
        <v>8.86</v>
      </c>
      <c r="AQ1464">
        <v>4.24</v>
      </c>
      <c r="AR1464">
        <v>41.52</v>
      </c>
      <c r="AS1464">
        <v>4.2300000000000004</v>
      </c>
      <c r="AT1464" t="s">
        <v>7853</v>
      </c>
      <c r="AU1464">
        <v>36.35</v>
      </c>
      <c r="AV1464">
        <v>49.66</v>
      </c>
      <c r="AW1464">
        <v>1.1599999999999999</v>
      </c>
      <c r="BA1464">
        <v>-0.42</v>
      </c>
      <c r="BB1464">
        <v>1.25</v>
      </c>
      <c r="BC1464">
        <v>-2.92</v>
      </c>
      <c r="BD1464">
        <v>-0.89</v>
      </c>
      <c r="BE1464">
        <v>-2.1</v>
      </c>
      <c r="BF1464">
        <v>-3.71</v>
      </c>
      <c r="BG1464">
        <v>0.43</v>
      </c>
      <c r="BH1464">
        <v>-1.61</v>
      </c>
      <c r="BI1464">
        <v>20191202</v>
      </c>
      <c r="BJ1464">
        <v>20100326</v>
      </c>
      <c r="BK1464">
        <v>10.4</v>
      </c>
      <c r="BL1464" t="s">
        <v>116</v>
      </c>
      <c r="BM1464" t="s">
        <v>116</v>
      </c>
      <c r="BN1464">
        <v>20.61</v>
      </c>
      <c r="BO1464">
        <v>16.96</v>
      </c>
      <c r="BP1464">
        <v>1.01</v>
      </c>
      <c r="BQ1464">
        <v>12.84</v>
      </c>
      <c r="BR1464">
        <v>13.15</v>
      </c>
      <c r="BS1464">
        <v>2.62</v>
      </c>
      <c r="BT1464">
        <v>0.67</v>
      </c>
      <c r="BU1464">
        <v>2.38</v>
      </c>
      <c r="BV1464">
        <v>2.73</v>
      </c>
      <c r="BW1464">
        <v>4.09</v>
      </c>
      <c r="BX1464">
        <v>0.68</v>
      </c>
      <c r="BY1464">
        <v>5.85</v>
      </c>
      <c r="BZ1464">
        <v>3.69</v>
      </c>
      <c r="CA1464">
        <v>1.38</v>
      </c>
      <c r="CB1464">
        <v>0.41</v>
      </c>
      <c r="CC1464">
        <v>1.38</v>
      </c>
      <c r="CD1464">
        <v>1.24</v>
      </c>
      <c r="CE1464">
        <v>1.19</v>
      </c>
      <c r="CF1464">
        <v>1.06</v>
      </c>
      <c r="CG1464">
        <v>4.82</v>
      </c>
      <c r="CH1464">
        <v>-0.5</v>
      </c>
      <c r="CI1464">
        <v>-2.75</v>
      </c>
      <c r="CJ1464">
        <v>56416</v>
      </c>
      <c r="CK1464">
        <v>10127</v>
      </c>
      <c r="CL1464" t="s">
        <v>570</v>
      </c>
      <c r="CM1464">
        <v>43.14</v>
      </c>
      <c r="CN1464">
        <v>17.89</v>
      </c>
      <c r="CO1464">
        <v>2.86</v>
      </c>
      <c r="CP1464">
        <v>-96.51</v>
      </c>
      <c r="CQ1464">
        <v>8.3000000000000007</v>
      </c>
      <c r="CR1464">
        <v>0.43</v>
      </c>
      <c r="CS1464" t="s">
        <v>7854</v>
      </c>
      <c r="CT1464">
        <v>1.63</v>
      </c>
      <c r="CU1464">
        <v>0</v>
      </c>
      <c r="CV1464">
        <v>7.0000000000000007E-2</v>
      </c>
      <c r="CW1464">
        <v>0.46</v>
      </c>
      <c r="CX1464">
        <v>-0.05</v>
      </c>
      <c r="CY1464">
        <v>82.26</v>
      </c>
      <c r="CZ1464" t="s">
        <v>7855</v>
      </c>
      <c r="DA1464">
        <v>36.880000000000003</v>
      </c>
      <c r="DB1464">
        <v>23.6</v>
      </c>
      <c r="DC1464">
        <v>20.3</v>
      </c>
      <c r="DD1464">
        <v>0.38</v>
      </c>
      <c r="DE1464">
        <v>1242</v>
      </c>
      <c r="DF1464">
        <v>300066</v>
      </c>
      <c r="DG1464" t="s">
        <v>116</v>
      </c>
      <c r="DH1464" t="s">
        <v>116</v>
      </c>
      <c r="DI1464" t="s">
        <v>116</v>
      </c>
    </row>
    <row r="1465" spans="1:113" x14ac:dyDescent="0.4">
      <c r="A1465" t="str">
        <f>"300067"</f>
        <v>300067</v>
      </c>
      <c r="B1465" t="s">
        <v>7856</v>
      </c>
      <c r="C1465">
        <v>-1.41</v>
      </c>
      <c r="D1465">
        <v>4.21</v>
      </c>
      <c r="E1465">
        <v>-0.06</v>
      </c>
      <c r="F1465">
        <v>4.21</v>
      </c>
      <c r="G1465">
        <v>4.22</v>
      </c>
      <c r="H1465">
        <v>114925</v>
      </c>
      <c r="I1465">
        <v>1948</v>
      </c>
      <c r="J1465">
        <v>-0.23</v>
      </c>
      <c r="K1465">
        <v>1.77</v>
      </c>
      <c r="L1465">
        <v>4.28</v>
      </c>
      <c r="M1465">
        <v>4.29</v>
      </c>
      <c r="N1465">
        <v>4.21</v>
      </c>
      <c r="O1465">
        <v>4.2699999999999996</v>
      </c>
      <c r="P1465">
        <v>20.170000000000002</v>
      </c>
      <c r="Q1465">
        <v>48927472</v>
      </c>
      <c r="R1465">
        <v>0.95</v>
      </c>
      <c r="S1465" t="s">
        <v>1192</v>
      </c>
      <c r="T1465" t="s">
        <v>1653</v>
      </c>
      <c r="U1465">
        <v>1.87</v>
      </c>
      <c r="V1465">
        <v>4.26</v>
      </c>
      <c r="W1465">
        <v>71186</v>
      </c>
      <c r="X1465">
        <v>43739</v>
      </c>
      <c r="Y1465">
        <v>1.63</v>
      </c>
      <c r="Z1465">
        <v>2184</v>
      </c>
      <c r="AA1465">
        <v>120</v>
      </c>
      <c r="AB1465" t="s">
        <v>116</v>
      </c>
      <c r="AC1465">
        <v>93700</v>
      </c>
      <c r="AD1465">
        <v>0</v>
      </c>
      <c r="AE1465" t="s">
        <v>116</v>
      </c>
      <c r="AF1465" t="s">
        <v>116</v>
      </c>
      <c r="AG1465">
        <v>6.48</v>
      </c>
      <c r="AH1465" t="s">
        <v>7857</v>
      </c>
      <c r="AI1465" t="s">
        <v>7858</v>
      </c>
      <c r="AJ1465">
        <v>-0.73</v>
      </c>
      <c r="AK1465">
        <v>1127</v>
      </c>
      <c r="AL1465">
        <v>102</v>
      </c>
      <c r="AM1465">
        <v>1.6000000000000001E-3</v>
      </c>
      <c r="AN1465">
        <v>-1</v>
      </c>
      <c r="AO1465">
        <v>-1.41</v>
      </c>
      <c r="AP1465">
        <v>1.94</v>
      </c>
      <c r="AQ1465">
        <v>2.4300000000000002</v>
      </c>
      <c r="AR1465">
        <v>12.85</v>
      </c>
      <c r="AS1465">
        <v>2.27</v>
      </c>
      <c r="AT1465" t="s">
        <v>1023</v>
      </c>
      <c r="AU1465">
        <v>24.86</v>
      </c>
      <c r="AV1465">
        <v>28.33</v>
      </c>
      <c r="AW1465">
        <v>1</v>
      </c>
      <c r="BA1465">
        <v>0.23</v>
      </c>
      <c r="BB1465">
        <v>0.47</v>
      </c>
      <c r="BC1465">
        <v>-1.41</v>
      </c>
      <c r="BD1465">
        <v>-0.3</v>
      </c>
      <c r="BE1465">
        <v>-1.64</v>
      </c>
      <c r="BF1465">
        <v>-1.86</v>
      </c>
      <c r="BG1465">
        <v>0</v>
      </c>
      <c r="BH1465">
        <v>-1.1100000000000001</v>
      </c>
      <c r="BI1465">
        <v>20191227</v>
      </c>
      <c r="BJ1465">
        <v>20100421</v>
      </c>
      <c r="BK1465">
        <v>9.31</v>
      </c>
      <c r="BL1465" t="s">
        <v>116</v>
      </c>
      <c r="BM1465" t="s">
        <v>116</v>
      </c>
      <c r="BN1465">
        <v>19.760000000000002</v>
      </c>
      <c r="BO1465">
        <v>16.600000000000001</v>
      </c>
      <c r="BP1465">
        <v>0.14000000000000001</v>
      </c>
      <c r="BQ1465">
        <v>15.28</v>
      </c>
      <c r="BR1465">
        <v>10.77</v>
      </c>
      <c r="BS1465">
        <v>4.18</v>
      </c>
      <c r="BT1465">
        <v>0.67</v>
      </c>
      <c r="BU1465">
        <v>3</v>
      </c>
      <c r="BV1465">
        <v>3.55</v>
      </c>
      <c r="BW1465">
        <v>2.77</v>
      </c>
      <c r="BX1465">
        <v>2.04</v>
      </c>
      <c r="BY1465">
        <v>9.26</v>
      </c>
      <c r="BZ1465">
        <v>5.94</v>
      </c>
      <c r="CA1465">
        <v>1.86</v>
      </c>
      <c r="CB1465">
        <v>0.02</v>
      </c>
      <c r="CC1465">
        <v>1.84</v>
      </c>
      <c r="CD1465">
        <v>1.47</v>
      </c>
      <c r="CE1465">
        <v>1.46</v>
      </c>
      <c r="CF1465">
        <v>1.4</v>
      </c>
      <c r="CG1465">
        <v>5.52</v>
      </c>
      <c r="CH1465">
        <v>0.69</v>
      </c>
      <c r="CI1465">
        <v>-1.1299999999999999</v>
      </c>
      <c r="CJ1465">
        <v>35449</v>
      </c>
      <c r="CK1465">
        <v>14286</v>
      </c>
      <c r="CL1465" t="s">
        <v>1506</v>
      </c>
      <c r="CM1465">
        <v>15.28</v>
      </c>
      <c r="CN1465">
        <v>-4.2699999999999996</v>
      </c>
      <c r="CO1465">
        <v>2.37</v>
      </c>
      <c r="CP1465">
        <v>56.74</v>
      </c>
      <c r="CQ1465">
        <v>4.2300000000000004</v>
      </c>
      <c r="CR1465">
        <v>1.82</v>
      </c>
      <c r="CS1465" t="s">
        <v>7859</v>
      </c>
      <c r="CT1465">
        <v>1.78</v>
      </c>
      <c r="CU1465">
        <v>1.78</v>
      </c>
      <c r="CV1465">
        <v>0.22</v>
      </c>
      <c r="CW1465">
        <v>0.59</v>
      </c>
      <c r="CX1465">
        <v>7.0000000000000007E-2</v>
      </c>
      <c r="CY1465">
        <v>84.03</v>
      </c>
      <c r="CZ1465" t="s">
        <v>1761</v>
      </c>
      <c r="DA1465">
        <v>35.880000000000003</v>
      </c>
      <c r="DB1465">
        <v>20.059999999999999</v>
      </c>
      <c r="DC1465">
        <v>15.73</v>
      </c>
      <c r="DD1465">
        <v>0.39</v>
      </c>
      <c r="DE1465">
        <v>861</v>
      </c>
      <c r="DF1465">
        <v>300067</v>
      </c>
      <c r="DG1465" t="s">
        <v>116</v>
      </c>
      <c r="DH1465" t="s">
        <v>116</v>
      </c>
      <c r="DI1465" t="s">
        <v>116</v>
      </c>
    </row>
    <row r="1466" spans="1:113" x14ac:dyDescent="0.4">
      <c r="A1466" t="str">
        <f>"300068"</f>
        <v>300068</v>
      </c>
      <c r="B1466" t="s">
        <v>7860</v>
      </c>
      <c r="C1466">
        <v>-1.9</v>
      </c>
      <c r="D1466">
        <v>10.84</v>
      </c>
      <c r="E1466">
        <v>-0.21</v>
      </c>
      <c r="F1466">
        <v>10.84</v>
      </c>
      <c r="G1466">
        <v>10.85</v>
      </c>
      <c r="H1466">
        <v>120004</v>
      </c>
      <c r="I1466">
        <v>2445</v>
      </c>
      <c r="J1466">
        <v>-0.17</v>
      </c>
      <c r="K1466">
        <v>1.49</v>
      </c>
      <c r="L1466">
        <v>11.01</v>
      </c>
      <c r="M1466">
        <v>11.1</v>
      </c>
      <c r="N1466">
        <v>10.82</v>
      </c>
      <c r="O1466">
        <v>11.05</v>
      </c>
      <c r="P1466">
        <v>21.5</v>
      </c>
      <c r="Q1466">
        <v>131755192</v>
      </c>
      <c r="R1466">
        <v>0.99</v>
      </c>
      <c r="S1466" t="s">
        <v>397</v>
      </c>
      <c r="T1466" t="s">
        <v>590</v>
      </c>
      <c r="U1466">
        <v>2.5299999999999998</v>
      </c>
      <c r="V1466">
        <v>10.98</v>
      </c>
      <c r="W1466">
        <v>70105</v>
      </c>
      <c r="X1466">
        <v>49899</v>
      </c>
      <c r="Y1466">
        <v>1.4</v>
      </c>
      <c r="Z1466">
        <v>777</v>
      </c>
      <c r="AA1466">
        <v>634</v>
      </c>
      <c r="AB1466" t="s">
        <v>116</v>
      </c>
      <c r="AC1466">
        <v>267500</v>
      </c>
      <c r="AD1466">
        <v>0</v>
      </c>
      <c r="AE1466" t="s">
        <v>116</v>
      </c>
      <c r="AF1466" t="s">
        <v>116</v>
      </c>
      <c r="AG1466">
        <v>8.06</v>
      </c>
      <c r="AH1466" t="s">
        <v>7861</v>
      </c>
      <c r="AI1466" t="s">
        <v>7862</v>
      </c>
      <c r="AJ1466">
        <v>-1.22</v>
      </c>
      <c r="AK1466">
        <v>2349</v>
      </c>
      <c r="AL1466">
        <v>51</v>
      </c>
      <c r="AM1466">
        <v>5.9999999999999995E-4</v>
      </c>
      <c r="AN1466">
        <v>-1</v>
      </c>
      <c r="AO1466">
        <v>-1.9</v>
      </c>
      <c r="AP1466">
        <v>6.69</v>
      </c>
      <c r="AQ1466">
        <v>-7.82</v>
      </c>
      <c r="AR1466">
        <v>-23.77</v>
      </c>
      <c r="AS1466">
        <v>2.16</v>
      </c>
      <c r="AT1466" t="s">
        <v>7863</v>
      </c>
      <c r="AU1466">
        <v>68.680000000000007</v>
      </c>
      <c r="AV1466">
        <v>39</v>
      </c>
      <c r="AW1466">
        <v>0.9</v>
      </c>
      <c r="BA1466">
        <v>-0.36</v>
      </c>
      <c r="BB1466">
        <v>0.45</v>
      </c>
      <c r="BC1466">
        <v>-2.08</v>
      </c>
      <c r="BD1466">
        <v>-0.64</v>
      </c>
      <c r="BE1466">
        <v>-1.54</v>
      </c>
      <c r="BF1466">
        <v>-2.34</v>
      </c>
      <c r="BG1466">
        <v>0.18</v>
      </c>
      <c r="BH1466">
        <v>-1.26</v>
      </c>
      <c r="BI1466">
        <v>20191025</v>
      </c>
      <c r="BJ1466">
        <v>20100421</v>
      </c>
      <c r="BK1466">
        <v>8.7100000000000009</v>
      </c>
      <c r="BL1466" t="s">
        <v>116</v>
      </c>
      <c r="BM1466" t="s">
        <v>116</v>
      </c>
      <c r="BN1466">
        <v>134.4</v>
      </c>
      <c r="BO1466">
        <v>64.28</v>
      </c>
      <c r="BP1466">
        <v>-0.87</v>
      </c>
      <c r="BQ1466">
        <v>52.82</v>
      </c>
      <c r="BR1466">
        <v>70.78</v>
      </c>
      <c r="BS1466">
        <v>34.340000000000003</v>
      </c>
      <c r="BT1466">
        <v>3.04</v>
      </c>
      <c r="BU1466">
        <v>59.43</v>
      </c>
      <c r="BV1466">
        <v>31.8</v>
      </c>
      <c r="BW1466">
        <v>23.92</v>
      </c>
      <c r="BX1466">
        <v>38.76</v>
      </c>
      <c r="BY1466">
        <v>64.78</v>
      </c>
      <c r="BZ1466">
        <v>57.34</v>
      </c>
      <c r="CA1466">
        <v>2.7</v>
      </c>
      <c r="CB1466">
        <v>0.68</v>
      </c>
      <c r="CC1466">
        <v>2.65</v>
      </c>
      <c r="CD1466">
        <v>2.64</v>
      </c>
      <c r="CE1466">
        <v>3.29</v>
      </c>
      <c r="CF1466">
        <v>1.06</v>
      </c>
      <c r="CG1466">
        <v>15.58</v>
      </c>
      <c r="CH1466">
        <v>-0.79</v>
      </c>
      <c r="CI1466">
        <v>-3.7</v>
      </c>
      <c r="CJ1466">
        <v>49386</v>
      </c>
      <c r="CK1466">
        <v>11226</v>
      </c>
      <c r="CL1466" t="s">
        <v>7864</v>
      </c>
      <c r="CM1466">
        <v>-24.11</v>
      </c>
      <c r="CN1466">
        <v>-1.67</v>
      </c>
      <c r="CO1466">
        <v>1.47</v>
      </c>
      <c r="CP1466">
        <v>-119.94</v>
      </c>
      <c r="CQ1466">
        <v>1.46</v>
      </c>
      <c r="CR1466">
        <v>0</v>
      </c>
      <c r="CS1466" t="s">
        <v>6423</v>
      </c>
      <c r="CT1466">
        <v>7.38</v>
      </c>
      <c r="CU1466">
        <v>0</v>
      </c>
      <c r="CV1466">
        <v>4.45</v>
      </c>
      <c r="CW1466">
        <v>1.79</v>
      </c>
      <c r="CX1466">
        <v>-0.09</v>
      </c>
      <c r="CY1466">
        <v>47.83</v>
      </c>
      <c r="CZ1466" t="s">
        <v>5435</v>
      </c>
      <c r="DA1466">
        <v>11.49</v>
      </c>
      <c r="DB1466">
        <v>4.16</v>
      </c>
      <c r="DC1466">
        <v>5.08</v>
      </c>
      <c r="DD1466">
        <v>1.48</v>
      </c>
      <c r="DE1466">
        <v>7343</v>
      </c>
      <c r="DF1466">
        <v>300068</v>
      </c>
      <c r="DG1466" t="s">
        <v>116</v>
      </c>
      <c r="DH1466" t="s">
        <v>116</v>
      </c>
      <c r="DI1466" t="s">
        <v>116</v>
      </c>
    </row>
    <row r="1467" spans="1:113" x14ac:dyDescent="0.4">
      <c r="A1467" t="str">
        <f>"300069"</f>
        <v>300069</v>
      </c>
      <c r="B1467" t="s">
        <v>7865</v>
      </c>
      <c r="C1467">
        <v>0.06</v>
      </c>
      <c r="D1467">
        <v>15.71</v>
      </c>
      <c r="E1467">
        <v>0.01</v>
      </c>
      <c r="F1467">
        <v>15.71</v>
      </c>
      <c r="G1467">
        <v>15.72</v>
      </c>
      <c r="H1467">
        <v>23315</v>
      </c>
      <c r="I1467">
        <v>527</v>
      </c>
      <c r="J1467">
        <v>0.06</v>
      </c>
      <c r="K1467">
        <v>2.77</v>
      </c>
      <c r="L1467">
        <v>15.41</v>
      </c>
      <c r="M1467">
        <v>15.97</v>
      </c>
      <c r="N1467">
        <v>15.22</v>
      </c>
      <c r="O1467">
        <v>15.7</v>
      </c>
      <c r="P1467">
        <v>1144.03</v>
      </c>
      <c r="Q1467">
        <v>36758472</v>
      </c>
      <c r="R1467">
        <v>0.86</v>
      </c>
      <c r="S1467" t="s">
        <v>397</v>
      </c>
      <c r="T1467" t="s">
        <v>590</v>
      </c>
      <c r="U1467">
        <v>4.78</v>
      </c>
      <c r="V1467">
        <v>15.77</v>
      </c>
      <c r="W1467">
        <v>12241</v>
      </c>
      <c r="X1467">
        <v>11074</v>
      </c>
      <c r="Y1467">
        <v>1.1100000000000001</v>
      </c>
      <c r="Z1467">
        <v>199</v>
      </c>
      <c r="AA1467">
        <v>27</v>
      </c>
      <c r="AB1467" t="s">
        <v>116</v>
      </c>
      <c r="AC1467">
        <v>0</v>
      </c>
      <c r="AD1467">
        <v>0</v>
      </c>
      <c r="AE1467" t="s">
        <v>116</v>
      </c>
      <c r="AF1467" t="s">
        <v>116</v>
      </c>
      <c r="AG1467">
        <v>0.84</v>
      </c>
      <c r="AH1467" t="s">
        <v>7866</v>
      </c>
      <c r="AI1467" t="s">
        <v>7867</v>
      </c>
      <c r="AJ1467">
        <v>0.74</v>
      </c>
      <c r="AK1467">
        <v>1482</v>
      </c>
      <c r="AL1467">
        <v>16</v>
      </c>
      <c r="AM1467">
        <v>1.9E-3</v>
      </c>
      <c r="AN1467">
        <v>1</v>
      </c>
      <c r="AO1467">
        <v>1.35</v>
      </c>
      <c r="AP1467">
        <v>44.39</v>
      </c>
      <c r="AQ1467">
        <v>18.84</v>
      </c>
      <c r="AR1467">
        <v>64.849999999999994</v>
      </c>
      <c r="AS1467">
        <v>4.0599999999999996</v>
      </c>
      <c r="AT1467" t="s">
        <v>7868</v>
      </c>
      <c r="AU1467" t="s">
        <v>116</v>
      </c>
      <c r="AV1467" t="s">
        <v>116</v>
      </c>
      <c r="AW1467">
        <v>0.53</v>
      </c>
      <c r="BA1467">
        <v>-1.85</v>
      </c>
      <c r="BB1467">
        <v>1.72</v>
      </c>
      <c r="BC1467">
        <v>-3.06</v>
      </c>
      <c r="BD1467">
        <v>0.42</v>
      </c>
      <c r="BE1467">
        <v>1.95</v>
      </c>
      <c r="BF1467">
        <v>-1.63</v>
      </c>
      <c r="BG1467">
        <v>3.22</v>
      </c>
      <c r="BH1467">
        <v>-0.36</v>
      </c>
      <c r="BI1467">
        <v>20191030</v>
      </c>
      <c r="BJ1467">
        <v>20100421</v>
      </c>
      <c r="BK1467">
        <v>1.17</v>
      </c>
      <c r="BL1467" t="s">
        <v>116</v>
      </c>
      <c r="BM1467" t="s">
        <v>116</v>
      </c>
      <c r="BN1467">
        <v>5.67</v>
      </c>
      <c r="BO1467">
        <v>3.47</v>
      </c>
      <c r="BP1467">
        <v>0.17</v>
      </c>
      <c r="BQ1467">
        <v>35.78</v>
      </c>
      <c r="BR1467">
        <v>3</v>
      </c>
      <c r="BS1467">
        <v>1.4</v>
      </c>
      <c r="BT1467">
        <v>0.24</v>
      </c>
      <c r="BU1467">
        <v>2.0299999999999998</v>
      </c>
      <c r="BV1467">
        <v>0.83</v>
      </c>
      <c r="BW1467">
        <v>1.03</v>
      </c>
      <c r="BX1467">
        <v>2.61</v>
      </c>
      <c r="BY1467">
        <v>1.25</v>
      </c>
      <c r="BZ1467">
        <v>0.86</v>
      </c>
      <c r="CA1467">
        <v>0.1</v>
      </c>
      <c r="CB1467">
        <v>0</v>
      </c>
      <c r="CC1467">
        <v>0.1</v>
      </c>
      <c r="CD1467">
        <v>0.06</v>
      </c>
      <c r="CE1467">
        <v>0.01</v>
      </c>
      <c r="CF1467">
        <v>-0.03</v>
      </c>
      <c r="CG1467">
        <v>-0.49</v>
      </c>
      <c r="CH1467">
        <v>0.3</v>
      </c>
      <c r="CI1467">
        <v>0.09</v>
      </c>
      <c r="CJ1467">
        <v>5315</v>
      </c>
      <c r="CK1467">
        <v>10809</v>
      </c>
      <c r="CL1467" t="s">
        <v>7869</v>
      </c>
      <c r="CM1467">
        <v>109.88</v>
      </c>
      <c r="CN1467">
        <v>-12.61</v>
      </c>
      <c r="CO1467">
        <v>5.3</v>
      </c>
      <c r="CP1467">
        <v>61.39</v>
      </c>
      <c r="CQ1467">
        <v>14.72</v>
      </c>
      <c r="CR1467">
        <v>0</v>
      </c>
      <c r="CS1467" t="s">
        <v>888</v>
      </c>
      <c r="CT1467">
        <v>2.97</v>
      </c>
      <c r="CU1467">
        <v>0</v>
      </c>
      <c r="CV1467">
        <v>2.23</v>
      </c>
      <c r="CW1467">
        <v>-0.42</v>
      </c>
      <c r="CX1467">
        <v>0.26</v>
      </c>
      <c r="CY1467">
        <v>61.16</v>
      </c>
      <c r="CZ1467" t="s">
        <v>7870</v>
      </c>
      <c r="DA1467">
        <v>30.89</v>
      </c>
      <c r="DB1467">
        <v>8.2799999999999994</v>
      </c>
      <c r="DC1467">
        <v>0.96</v>
      </c>
      <c r="DD1467">
        <v>0.05</v>
      </c>
      <c r="DE1467">
        <v>255</v>
      </c>
      <c r="DF1467">
        <v>300069</v>
      </c>
      <c r="DG1467" t="s">
        <v>116</v>
      </c>
      <c r="DH1467" t="s">
        <v>116</v>
      </c>
      <c r="DI1467" t="s">
        <v>116</v>
      </c>
    </row>
    <row r="1468" spans="1:113" x14ac:dyDescent="0.4">
      <c r="A1468" t="str">
        <f>"300070"</f>
        <v>300070</v>
      </c>
      <c r="B1468" t="s">
        <v>7871</v>
      </c>
      <c r="C1468">
        <v>-1.59</v>
      </c>
      <c r="D1468">
        <v>7.45</v>
      </c>
      <c r="E1468">
        <v>-0.12</v>
      </c>
      <c r="F1468">
        <v>7.45</v>
      </c>
      <c r="G1468">
        <v>7.46</v>
      </c>
      <c r="H1468">
        <v>239163</v>
      </c>
      <c r="I1468">
        <v>2949</v>
      </c>
      <c r="J1468">
        <v>-0.12</v>
      </c>
      <c r="K1468">
        <v>1.1000000000000001</v>
      </c>
      <c r="L1468">
        <v>7.59</v>
      </c>
      <c r="M1468">
        <v>7.64</v>
      </c>
      <c r="N1468">
        <v>7.44</v>
      </c>
      <c r="O1468">
        <v>7.57</v>
      </c>
      <c r="P1468">
        <v>48.8</v>
      </c>
      <c r="Q1468">
        <v>180716736</v>
      </c>
      <c r="R1468">
        <v>1.03</v>
      </c>
      <c r="S1468" t="s">
        <v>140</v>
      </c>
      <c r="T1468" t="s">
        <v>165</v>
      </c>
      <c r="U1468">
        <v>2.64</v>
      </c>
      <c r="V1468">
        <v>7.56</v>
      </c>
      <c r="W1468">
        <v>132926</v>
      </c>
      <c r="X1468">
        <v>106237</v>
      </c>
      <c r="Y1468">
        <v>1.25</v>
      </c>
      <c r="Z1468">
        <v>981</v>
      </c>
      <c r="AA1468">
        <v>240</v>
      </c>
      <c r="AB1468" t="s">
        <v>116</v>
      </c>
      <c r="AC1468">
        <v>597300</v>
      </c>
      <c r="AD1468">
        <v>0</v>
      </c>
      <c r="AE1468" t="s">
        <v>116</v>
      </c>
      <c r="AF1468" t="s">
        <v>116</v>
      </c>
      <c r="AG1468">
        <v>21.81</v>
      </c>
      <c r="AH1468" t="s">
        <v>7872</v>
      </c>
      <c r="AI1468" t="s">
        <v>7873</v>
      </c>
      <c r="AJ1468">
        <v>-0.91</v>
      </c>
      <c r="AK1468">
        <v>2992</v>
      </c>
      <c r="AL1468">
        <v>80</v>
      </c>
      <c r="AM1468">
        <v>4.0000000000000002E-4</v>
      </c>
      <c r="AN1468">
        <v>-1</v>
      </c>
      <c r="AO1468">
        <v>-1.59</v>
      </c>
      <c r="AP1468">
        <v>-0.8</v>
      </c>
      <c r="AQ1468">
        <v>10.53</v>
      </c>
      <c r="AR1468">
        <v>-4.01</v>
      </c>
      <c r="AS1468">
        <v>1.47</v>
      </c>
      <c r="AT1468" t="s">
        <v>7874</v>
      </c>
      <c r="AU1468">
        <v>22.81</v>
      </c>
      <c r="AV1468">
        <v>18.940000000000001</v>
      </c>
      <c r="AW1468">
        <v>0.76</v>
      </c>
      <c r="BA1468">
        <v>0.26</v>
      </c>
      <c r="BB1468">
        <v>0.92</v>
      </c>
      <c r="BC1468">
        <v>-1.72</v>
      </c>
      <c r="BD1468">
        <v>-0.18</v>
      </c>
      <c r="BE1468">
        <v>-1.84</v>
      </c>
      <c r="BF1468">
        <v>-2.4900000000000002</v>
      </c>
      <c r="BG1468">
        <v>0.13</v>
      </c>
      <c r="BH1468">
        <v>-1.4</v>
      </c>
      <c r="BI1468">
        <v>20191224</v>
      </c>
      <c r="BJ1468">
        <v>20100421</v>
      </c>
      <c r="BK1468">
        <v>31.65</v>
      </c>
      <c r="BL1468" t="s">
        <v>116</v>
      </c>
      <c r="BM1468" t="s">
        <v>116</v>
      </c>
      <c r="BN1468">
        <v>627.74</v>
      </c>
      <c r="BO1468">
        <v>190.89</v>
      </c>
      <c r="BP1468">
        <v>29.02</v>
      </c>
      <c r="BQ1468">
        <v>64.97</v>
      </c>
      <c r="BR1468">
        <v>203.93</v>
      </c>
      <c r="BS1468">
        <v>5.66</v>
      </c>
      <c r="BT1468">
        <v>308.48</v>
      </c>
      <c r="BU1468">
        <v>240.05</v>
      </c>
      <c r="BV1468">
        <v>28.93</v>
      </c>
      <c r="BW1468">
        <v>62.68</v>
      </c>
      <c r="BX1468">
        <v>67.31</v>
      </c>
      <c r="BY1468">
        <v>71.099999999999994</v>
      </c>
      <c r="BZ1468">
        <v>51.95</v>
      </c>
      <c r="CA1468">
        <v>4.4400000000000004</v>
      </c>
      <c r="CB1468">
        <v>0.42</v>
      </c>
      <c r="CC1468">
        <v>4.5199999999999996</v>
      </c>
      <c r="CD1468">
        <v>3.69</v>
      </c>
      <c r="CE1468">
        <v>3.62</v>
      </c>
      <c r="CF1468">
        <v>3.75</v>
      </c>
      <c r="CG1468">
        <v>87.22</v>
      </c>
      <c r="CH1468">
        <v>12.38</v>
      </c>
      <c r="CI1468">
        <v>-7.9</v>
      </c>
      <c r="CJ1468">
        <v>84091</v>
      </c>
      <c r="CK1468">
        <v>19354</v>
      </c>
      <c r="CL1468" t="s">
        <v>7875</v>
      </c>
      <c r="CM1468">
        <v>-36.799999999999997</v>
      </c>
      <c r="CN1468">
        <v>17.54</v>
      </c>
      <c r="CO1468">
        <v>1.24</v>
      </c>
      <c r="CP1468">
        <v>19.05</v>
      </c>
      <c r="CQ1468">
        <v>3.32</v>
      </c>
      <c r="CR1468">
        <v>0.52</v>
      </c>
      <c r="CS1468" t="s">
        <v>6030</v>
      </c>
      <c r="CT1468">
        <v>6.03</v>
      </c>
      <c r="CU1468">
        <v>0</v>
      </c>
      <c r="CV1468">
        <v>2.13</v>
      </c>
      <c r="CW1468">
        <v>2.76</v>
      </c>
      <c r="CX1468">
        <v>0.39</v>
      </c>
      <c r="CY1468">
        <v>30.41</v>
      </c>
      <c r="CZ1468" t="s">
        <v>2435</v>
      </c>
      <c r="DA1468">
        <v>26.94</v>
      </c>
      <c r="DB1468">
        <v>6.24</v>
      </c>
      <c r="DC1468">
        <v>5.0999999999999996</v>
      </c>
      <c r="DD1468">
        <v>1.1299999999999999</v>
      </c>
      <c r="DE1468">
        <v>3105</v>
      </c>
      <c r="DF1468">
        <v>300070</v>
      </c>
      <c r="DG1468" t="s">
        <v>116</v>
      </c>
      <c r="DH1468" t="s">
        <v>116</v>
      </c>
      <c r="DI1468" t="s">
        <v>116</v>
      </c>
    </row>
    <row r="1469" spans="1:113" x14ac:dyDescent="0.4">
      <c r="A1469" t="str">
        <f>"300071"</f>
        <v>300071</v>
      </c>
      <c r="B1469" t="s">
        <v>7876</v>
      </c>
      <c r="C1469">
        <v>8.3000000000000007</v>
      </c>
      <c r="D1469">
        <v>2.87</v>
      </c>
      <c r="E1469">
        <v>0.22</v>
      </c>
      <c r="F1469">
        <v>2.86</v>
      </c>
      <c r="G1469">
        <v>2.87</v>
      </c>
      <c r="H1469">
        <v>427622</v>
      </c>
      <c r="I1469">
        <v>7056</v>
      </c>
      <c r="J1469">
        <v>1.41</v>
      </c>
      <c r="K1469">
        <v>6.7</v>
      </c>
      <c r="L1469">
        <v>2.73</v>
      </c>
      <c r="M1469">
        <v>2.92</v>
      </c>
      <c r="N1469">
        <v>2.73</v>
      </c>
      <c r="O1469">
        <v>2.65</v>
      </c>
      <c r="P1469" t="s">
        <v>116</v>
      </c>
      <c r="Q1469">
        <v>121140608</v>
      </c>
      <c r="R1469">
        <v>2.02</v>
      </c>
      <c r="S1469" t="s">
        <v>345</v>
      </c>
      <c r="T1469" t="s">
        <v>165</v>
      </c>
      <c r="U1469">
        <v>7.17</v>
      </c>
      <c r="V1469">
        <v>2.83</v>
      </c>
      <c r="W1469">
        <v>193547</v>
      </c>
      <c r="X1469">
        <v>234075</v>
      </c>
      <c r="Y1469">
        <v>0.83</v>
      </c>
      <c r="Z1469">
        <v>1292</v>
      </c>
      <c r="AA1469">
        <v>306</v>
      </c>
      <c r="AB1469" t="s">
        <v>116</v>
      </c>
      <c r="AC1469">
        <v>762800</v>
      </c>
      <c r="AD1469">
        <v>7.0000000000000007E-2</v>
      </c>
      <c r="AE1469" t="s">
        <v>116</v>
      </c>
      <c r="AF1469" t="s">
        <v>116</v>
      </c>
      <c r="AG1469">
        <v>6.39</v>
      </c>
      <c r="AH1469" t="s">
        <v>562</v>
      </c>
      <c r="AI1469" t="s">
        <v>5923</v>
      </c>
      <c r="AJ1469">
        <v>8.98</v>
      </c>
      <c r="AK1469">
        <v>2264</v>
      </c>
      <c r="AL1469">
        <v>189</v>
      </c>
      <c r="AM1469">
        <v>3.0000000000000001E-3</v>
      </c>
      <c r="AN1469">
        <v>2</v>
      </c>
      <c r="AO1469">
        <v>9.5399999999999991</v>
      </c>
      <c r="AP1469">
        <v>24.24</v>
      </c>
      <c r="AQ1469">
        <v>11.67</v>
      </c>
      <c r="AR1469">
        <v>-20.059999999999999</v>
      </c>
      <c r="AS1469">
        <v>10.7</v>
      </c>
      <c r="AT1469" t="s">
        <v>7877</v>
      </c>
      <c r="AU1469" t="s">
        <v>116</v>
      </c>
      <c r="AV1469" t="s">
        <v>116</v>
      </c>
      <c r="AW1469">
        <v>1.06</v>
      </c>
      <c r="BA1469">
        <v>3.02</v>
      </c>
      <c r="BB1469">
        <v>10.19</v>
      </c>
      <c r="BC1469">
        <v>3.02</v>
      </c>
      <c r="BD1469">
        <v>6.9</v>
      </c>
      <c r="BE1469">
        <v>5.13</v>
      </c>
      <c r="BF1469">
        <v>-1.71</v>
      </c>
      <c r="BG1469">
        <v>5.13</v>
      </c>
      <c r="BH1469">
        <v>1.4</v>
      </c>
      <c r="BI1469">
        <v>20191206</v>
      </c>
      <c r="BJ1469">
        <v>20100421</v>
      </c>
      <c r="BK1469">
        <v>6.71</v>
      </c>
      <c r="BL1469" t="s">
        <v>116</v>
      </c>
      <c r="BM1469" t="s">
        <v>116</v>
      </c>
      <c r="BN1469">
        <v>22.95</v>
      </c>
      <c r="BO1469">
        <v>0.72</v>
      </c>
      <c r="BP1469">
        <v>0.09</v>
      </c>
      <c r="BQ1469">
        <v>96.45</v>
      </c>
      <c r="BR1469">
        <v>14.03</v>
      </c>
      <c r="BS1469">
        <v>0.08</v>
      </c>
      <c r="BT1469">
        <v>0.2</v>
      </c>
      <c r="BU1469">
        <v>17.47</v>
      </c>
      <c r="BV1469">
        <v>0</v>
      </c>
      <c r="BW1469">
        <v>10.85</v>
      </c>
      <c r="BX1469">
        <v>0.24</v>
      </c>
      <c r="BY1469">
        <v>17.63</v>
      </c>
      <c r="BZ1469">
        <v>13.68</v>
      </c>
      <c r="CA1469">
        <v>-0.44</v>
      </c>
      <c r="CB1469">
        <v>-0.05</v>
      </c>
      <c r="CC1469">
        <v>-0.35</v>
      </c>
      <c r="CD1469">
        <v>-0.47</v>
      </c>
      <c r="CE1469">
        <v>-0.48</v>
      </c>
      <c r="CF1469">
        <v>-0.6</v>
      </c>
      <c r="CG1469">
        <v>-6.92</v>
      </c>
      <c r="CH1469">
        <v>1.1399999999999999</v>
      </c>
      <c r="CI1469">
        <v>0.28000000000000003</v>
      </c>
      <c r="CJ1469">
        <v>23246</v>
      </c>
      <c r="CK1469">
        <v>17190</v>
      </c>
      <c r="CL1469" t="s">
        <v>7878</v>
      </c>
      <c r="CM1469">
        <v>-211.04</v>
      </c>
      <c r="CN1469">
        <v>-23.68</v>
      </c>
      <c r="CO1469">
        <v>26.64</v>
      </c>
      <c r="CP1469">
        <v>16.88</v>
      </c>
      <c r="CQ1469">
        <v>1.0900000000000001</v>
      </c>
      <c r="CR1469">
        <v>0</v>
      </c>
      <c r="CS1469" t="s">
        <v>7879</v>
      </c>
      <c r="CT1469">
        <v>0.11</v>
      </c>
      <c r="CU1469">
        <v>0</v>
      </c>
      <c r="CV1469">
        <v>0.04</v>
      </c>
      <c r="CW1469">
        <v>-1.03</v>
      </c>
      <c r="CX1469">
        <v>0.17</v>
      </c>
      <c r="CY1469">
        <v>3.15</v>
      </c>
      <c r="CZ1469" t="s">
        <v>7880</v>
      </c>
      <c r="DA1469">
        <v>22.42</v>
      </c>
      <c r="DB1469">
        <v>-2.52</v>
      </c>
      <c r="DC1469">
        <v>-2.72</v>
      </c>
      <c r="DD1469">
        <v>0.18</v>
      </c>
      <c r="DE1469">
        <v>1781</v>
      </c>
      <c r="DF1469">
        <v>300071</v>
      </c>
      <c r="DG1469" t="s">
        <v>116</v>
      </c>
      <c r="DH1469" t="s">
        <v>116</v>
      </c>
      <c r="DI1469" t="s">
        <v>116</v>
      </c>
    </row>
    <row r="1470" spans="1:113" x14ac:dyDescent="0.4">
      <c r="A1470" t="str">
        <f>"300072"</f>
        <v>300072</v>
      </c>
      <c r="B1470" t="s">
        <v>7881</v>
      </c>
      <c r="C1470">
        <v>0.16</v>
      </c>
      <c r="D1470">
        <v>6.19</v>
      </c>
      <c r="E1470">
        <v>0.01</v>
      </c>
      <c r="F1470">
        <v>6.18</v>
      </c>
      <c r="G1470">
        <v>6.19</v>
      </c>
      <c r="H1470">
        <v>519554</v>
      </c>
      <c r="I1470">
        <v>6488</v>
      </c>
      <c r="J1470">
        <v>0</v>
      </c>
      <c r="K1470">
        <v>2.4300000000000002</v>
      </c>
      <c r="L1470">
        <v>6.16</v>
      </c>
      <c r="M1470">
        <v>6.46</v>
      </c>
      <c r="N1470">
        <v>6.15</v>
      </c>
      <c r="O1470">
        <v>6.18</v>
      </c>
      <c r="P1470">
        <v>150.83000000000001</v>
      </c>
      <c r="Q1470">
        <v>326617568</v>
      </c>
      <c r="R1470">
        <v>1.58</v>
      </c>
      <c r="S1470" t="s">
        <v>140</v>
      </c>
      <c r="T1470" t="s">
        <v>165</v>
      </c>
      <c r="U1470">
        <v>5.0199999999999996</v>
      </c>
      <c r="V1470">
        <v>6.29</v>
      </c>
      <c r="W1470">
        <v>269296</v>
      </c>
      <c r="X1470">
        <v>250258</v>
      </c>
      <c r="Y1470">
        <v>1.08</v>
      </c>
      <c r="Z1470">
        <v>2400</v>
      </c>
      <c r="AA1470">
        <v>56</v>
      </c>
      <c r="AB1470" t="s">
        <v>116</v>
      </c>
      <c r="AC1470">
        <v>609200</v>
      </c>
      <c r="AD1470">
        <v>0.01</v>
      </c>
      <c r="AE1470" t="s">
        <v>116</v>
      </c>
      <c r="AF1470" t="s">
        <v>116</v>
      </c>
      <c r="AG1470">
        <v>21.42</v>
      </c>
      <c r="AH1470" t="s">
        <v>7882</v>
      </c>
      <c r="AI1470" t="s">
        <v>7883</v>
      </c>
      <c r="AJ1470">
        <v>0.84</v>
      </c>
      <c r="AK1470">
        <v>3664</v>
      </c>
      <c r="AL1470">
        <v>142</v>
      </c>
      <c r="AM1470">
        <v>6.9999999999999999E-4</v>
      </c>
      <c r="AN1470">
        <v>2</v>
      </c>
      <c r="AO1470">
        <v>0</v>
      </c>
      <c r="AP1470">
        <v>4.5599999999999996</v>
      </c>
      <c r="AQ1470">
        <v>-3.28</v>
      </c>
      <c r="AR1470">
        <v>-36.9</v>
      </c>
      <c r="AS1470">
        <v>4.6100000000000003</v>
      </c>
      <c r="AT1470" t="s">
        <v>7884</v>
      </c>
      <c r="AU1470" t="s">
        <v>116</v>
      </c>
      <c r="AV1470">
        <v>28.77</v>
      </c>
      <c r="AW1470">
        <v>1.69</v>
      </c>
      <c r="BA1470">
        <v>-0.32</v>
      </c>
      <c r="BB1470">
        <v>4.53</v>
      </c>
      <c r="BC1470">
        <v>-0.49</v>
      </c>
      <c r="BD1470">
        <v>1.72</v>
      </c>
      <c r="BE1470">
        <v>0.49</v>
      </c>
      <c r="BF1470">
        <v>-4.18</v>
      </c>
      <c r="BG1470">
        <v>0.65</v>
      </c>
      <c r="BH1470">
        <v>-1.56</v>
      </c>
      <c r="BI1470">
        <v>20191026</v>
      </c>
      <c r="BJ1470">
        <v>20100427</v>
      </c>
      <c r="BK1470">
        <v>23.5</v>
      </c>
      <c r="BL1470" t="s">
        <v>116</v>
      </c>
      <c r="BM1470" t="s">
        <v>116</v>
      </c>
      <c r="BN1470">
        <v>230.39</v>
      </c>
      <c r="BO1470">
        <v>95.83</v>
      </c>
      <c r="BP1470">
        <v>16.57</v>
      </c>
      <c r="BQ1470">
        <v>51.22</v>
      </c>
      <c r="BR1470">
        <v>189.72</v>
      </c>
      <c r="BS1470">
        <v>22.81</v>
      </c>
      <c r="BT1470">
        <v>8.59</v>
      </c>
      <c r="BU1470">
        <v>100.93</v>
      </c>
      <c r="BV1470">
        <v>20.73</v>
      </c>
      <c r="BW1470">
        <v>105.95</v>
      </c>
      <c r="BX1470">
        <v>11.29</v>
      </c>
      <c r="BY1470">
        <v>61.12</v>
      </c>
      <c r="BZ1470">
        <v>55.56</v>
      </c>
      <c r="CA1470">
        <v>0.23</v>
      </c>
      <c r="CB1470">
        <v>-0.02</v>
      </c>
      <c r="CC1470">
        <v>0.32</v>
      </c>
      <c r="CD1470">
        <v>0.18</v>
      </c>
      <c r="CE1470">
        <v>0.72</v>
      </c>
      <c r="CF1470">
        <v>0.55000000000000004</v>
      </c>
      <c r="CG1470">
        <v>54.66</v>
      </c>
      <c r="CH1470">
        <v>0.76</v>
      </c>
      <c r="CI1470">
        <v>-12.15</v>
      </c>
      <c r="CJ1470">
        <v>61931</v>
      </c>
      <c r="CK1470">
        <v>18196</v>
      </c>
      <c r="CL1470" t="s">
        <v>7885</v>
      </c>
      <c r="CM1470">
        <v>-94.18</v>
      </c>
      <c r="CN1470">
        <v>-51.73</v>
      </c>
      <c r="CO1470">
        <v>1.57</v>
      </c>
      <c r="CP1470">
        <v>190.34</v>
      </c>
      <c r="CQ1470">
        <v>2.38</v>
      </c>
      <c r="CR1470">
        <v>0.48</v>
      </c>
      <c r="CS1470" t="s">
        <v>1650</v>
      </c>
      <c r="CT1470">
        <v>3.95</v>
      </c>
      <c r="CU1470">
        <v>3.95</v>
      </c>
      <c r="CV1470">
        <v>0.48</v>
      </c>
      <c r="CW1470">
        <v>2.33</v>
      </c>
      <c r="CX1470">
        <v>0.03</v>
      </c>
      <c r="CY1470">
        <v>41.59</v>
      </c>
      <c r="CZ1470" t="s">
        <v>3974</v>
      </c>
      <c r="DA1470">
        <v>9.1</v>
      </c>
      <c r="DB1470">
        <v>0.37</v>
      </c>
      <c r="DC1470">
        <v>1.18</v>
      </c>
      <c r="DD1470">
        <v>1.63</v>
      </c>
      <c r="DE1470">
        <v>4763</v>
      </c>
      <c r="DF1470">
        <v>300072</v>
      </c>
      <c r="DG1470" t="s">
        <v>116</v>
      </c>
      <c r="DH1470" t="s">
        <v>116</v>
      </c>
      <c r="DI1470" t="s">
        <v>116</v>
      </c>
    </row>
    <row r="1471" spans="1:113" x14ac:dyDescent="0.4">
      <c r="A1471" t="str">
        <f>"300073"</f>
        <v>300073</v>
      </c>
      <c r="B1471" t="s">
        <v>7886</v>
      </c>
      <c r="C1471">
        <v>-2.94</v>
      </c>
      <c r="D1471">
        <v>27.03</v>
      </c>
      <c r="E1471">
        <v>-0.82</v>
      </c>
      <c r="F1471">
        <v>27.02</v>
      </c>
      <c r="G1471">
        <v>27.03</v>
      </c>
      <c r="H1471">
        <v>404289</v>
      </c>
      <c r="I1471">
        <v>5485</v>
      </c>
      <c r="J1471">
        <v>-0.1</v>
      </c>
      <c r="K1471">
        <v>9.4</v>
      </c>
      <c r="L1471">
        <v>27.55</v>
      </c>
      <c r="M1471">
        <v>27.85</v>
      </c>
      <c r="N1471">
        <v>26.87</v>
      </c>
      <c r="O1471">
        <v>27.85</v>
      </c>
      <c r="P1471">
        <v>40.299999999999997</v>
      </c>
      <c r="Q1471">
        <v>1105329152</v>
      </c>
      <c r="R1471">
        <v>1.25</v>
      </c>
      <c r="S1471" t="s">
        <v>933</v>
      </c>
      <c r="T1471" t="s">
        <v>165</v>
      </c>
      <c r="U1471">
        <v>3.52</v>
      </c>
      <c r="V1471">
        <v>27.34</v>
      </c>
      <c r="W1471">
        <v>219242</v>
      </c>
      <c r="X1471">
        <v>185047</v>
      </c>
      <c r="Y1471">
        <v>1.18</v>
      </c>
      <c r="Z1471">
        <v>117</v>
      </c>
      <c r="AA1471">
        <v>19</v>
      </c>
      <c r="AB1471" t="s">
        <v>116</v>
      </c>
      <c r="AC1471">
        <v>15053300</v>
      </c>
      <c r="AD1471">
        <v>0.16</v>
      </c>
      <c r="AE1471" t="s">
        <v>116</v>
      </c>
      <c r="AF1471" t="s">
        <v>116</v>
      </c>
      <c r="AG1471">
        <v>4.3</v>
      </c>
      <c r="AH1471" t="s">
        <v>7887</v>
      </c>
      <c r="AI1471" t="s">
        <v>7888</v>
      </c>
      <c r="AJ1471">
        <v>-2.27</v>
      </c>
      <c r="AK1471">
        <v>4531</v>
      </c>
      <c r="AL1471">
        <v>89</v>
      </c>
      <c r="AM1471">
        <v>2.0999999999999999E-3</v>
      </c>
      <c r="AN1471">
        <v>-1</v>
      </c>
      <c r="AO1471">
        <v>8.43</v>
      </c>
      <c r="AP1471">
        <v>25.14</v>
      </c>
      <c r="AQ1471">
        <v>4.97</v>
      </c>
      <c r="AR1471">
        <v>-1.89</v>
      </c>
      <c r="AS1471">
        <v>12.18</v>
      </c>
      <c r="AT1471" t="s">
        <v>4817</v>
      </c>
      <c r="AU1471">
        <v>35.72</v>
      </c>
      <c r="AV1471">
        <v>37.340000000000003</v>
      </c>
      <c r="AW1471">
        <v>1.69</v>
      </c>
      <c r="BA1471">
        <v>-1.08</v>
      </c>
      <c r="BB1471">
        <v>0</v>
      </c>
      <c r="BC1471">
        <v>-3.52</v>
      </c>
      <c r="BD1471">
        <v>-1.83</v>
      </c>
      <c r="BE1471">
        <v>-1.89</v>
      </c>
      <c r="BF1471">
        <v>-2.94</v>
      </c>
      <c r="BG1471">
        <v>0.6</v>
      </c>
      <c r="BH1471">
        <v>-1.1100000000000001</v>
      </c>
      <c r="BI1471">
        <v>20191224</v>
      </c>
      <c r="BJ1471">
        <v>20100427</v>
      </c>
      <c r="BK1471">
        <v>4.37</v>
      </c>
      <c r="BL1471" t="s">
        <v>116</v>
      </c>
      <c r="BM1471" t="s">
        <v>116</v>
      </c>
      <c r="BN1471">
        <v>44.61</v>
      </c>
      <c r="BO1471">
        <v>34.6</v>
      </c>
      <c r="BP1471">
        <v>0</v>
      </c>
      <c r="BQ1471">
        <v>22.43</v>
      </c>
      <c r="BR1471">
        <v>32.33</v>
      </c>
      <c r="BS1471">
        <v>4.24</v>
      </c>
      <c r="BT1471">
        <v>1.19</v>
      </c>
      <c r="BU1471">
        <v>8.5</v>
      </c>
      <c r="BV1471">
        <v>2</v>
      </c>
      <c r="BW1471">
        <v>10.1</v>
      </c>
      <c r="BX1471">
        <v>22.08</v>
      </c>
      <c r="BY1471">
        <v>18.399999999999999</v>
      </c>
      <c r="BZ1471">
        <v>14.93</v>
      </c>
      <c r="CA1471">
        <v>2.57</v>
      </c>
      <c r="CB1471">
        <v>0.28999999999999998</v>
      </c>
      <c r="CC1471">
        <v>2.59</v>
      </c>
      <c r="CD1471">
        <v>2.2000000000000002</v>
      </c>
      <c r="CE1471">
        <v>2.2000000000000002</v>
      </c>
      <c r="CF1471">
        <v>1.96</v>
      </c>
      <c r="CG1471">
        <v>7.82</v>
      </c>
      <c r="CH1471">
        <v>1.55</v>
      </c>
      <c r="CI1471">
        <v>-1.2</v>
      </c>
      <c r="CJ1471">
        <v>43122</v>
      </c>
      <c r="CK1471">
        <v>7696</v>
      </c>
      <c r="CL1471" t="s">
        <v>7648</v>
      </c>
      <c r="CM1471">
        <v>6.98</v>
      </c>
      <c r="CN1471">
        <v>-25.75</v>
      </c>
      <c r="CO1471">
        <v>3.41</v>
      </c>
      <c r="CP1471">
        <v>76.27</v>
      </c>
      <c r="CQ1471">
        <v>6.42</v>
      </c>
      <c r="CR1471">
        <v>0.52</v>
      </c>
      <c r="CS1471" t="s">
        <v>7889</v>
      </c>
      <c r="CT1471">
        <v>7.92</v>
      </c>
      <c r="CU1471">
        <v>0</v>
      </c>
      <c r="CV1471">
        <v>5.0599999999999996</v>
      </c>
      <c r="CW1471">
        <v>1.79</v>
      </c>
      <c r="CX1471">
        <v>0.35</v>
      </c>
      <c r="CY1471">
        <v>77.569999999999993</v>
      </c>
      <c r="CZ1471" t="s">
        <v>7890</v>
      </c>
      <c r="DA1471">
        <v>18.88</v>
      </c>
      <c r="DB1471">
        <v>13.97</v>
      </c>
      <c r="DC1471">
        <v>11.94</v>
      </c>
      <c r="DD1471">
        <v>0.75</v>
      </c>
      <c r="DE1471">
        <v>841</v>
      </c>
      <c r="DF1471">
        <v>300073</v>
      </c>
      <c r="DG1471" t="s">
        <v>116</v>
      </c>
      <c r="DH1471" t="s">
        <v>116</v>
      </c>
      <c r="DI1471" t="s">
        <v>116</v>
      </c>
    </row>
    <row r="1472" spans="1:113" x14ac:dyDescent="0.4">
      <c r="A1472" t="str">
        <f>"300074"</f>
        <v>300074</v>
      </c>
      <c r="B1472" t="s">
        <v>7891</v>
      </c>
      <c r="C1472">
        <v>-1.77</v>
      </c>
      <c r="D1472">
        <v>4.4400000000000004</v>
      </c>
      <c r="E1472">
        <v>-0.08</v>
      </c>
      <c r="F1472">
        <v>4.43</v>
      </c>
      <c r="G1472">
        <v>4.4400000000000004</v>
      </c>
      <c r="H1472">
        <v>66357</v>
      </c>
      <c r="I1472">
        <v>650</v>
      </c>
      <c r="J1472">
        <v>0.23</v>
      </c>
      <c r="K1472">
        <v>1.37</v>
      </c>
      <c r="L1472">
        <v>4.51</v>
      </c>
      <c r="M1472">
        <v>4.5599999999999996</v>
      </c>
      <c r="N1472">
        <v>4.41</v>
      </c>
      <c r="O1472">
        <v>4.5199999999999996</v>
      </c>
      <c r="P1472">
        <v>354.3</v>
      </c>
      <c r="Q1472">
        <v>29874150</v>
      </c>
      <c r="R1472">
        <v>1.05</v>
      </c>
      <c r="S1472" t="s">
        <v>465</v>
      </c>
      <c r="T1472" t="s">
        <v>1653</v>
      </c>
      <c r="U1472">
        <v>3.32</v>
      </c>
      <c r="V1472">
        <v>4.5</v>
      </c>
      <c r="W1472">
        <v>36163</v>
      </c>
      <c r="X1472">
        <v>30194</v>
      </c>
      <c r="Y1472">
        <v>1.2</v>
      </c>
      <c r="Z1472">
        <v>259</v>
      </c>
      <c r="AA1472">
        <v>932</v>
      </c>
      <c r="AB1472" t="s">
        <v>116</v>
      </c>
      <c r="AC1472">
        <v>142100</v>
      </c>
      <c r="AD1472">
        <v>0.01</v>
      </c>
      <c r="AE1472" t="s">
        <v>116</v>
      </c>
      <c r="AF1472" t="s">
        <v>116</v>
      </c>
      <c r="AG1472">
        <v>4.8600000000000003</v>
      </c>
      <c r="AH1472" t="s">
        <v>2472</v>
      </c>
      <c r="AI1472" t="s">
        <v>7892</v>
      </c>
      <c r="AJ1472">
        <v>-1.0900000000000001</v>
      </c>
      <c r="AK1472">
        <v>1290</v>
      </c>
      <c r="AL1472">
        <v>51</v>
      </c>
      <c r="AM1472">
        <v>1.1000000000000001E-3</v>
      </c>
      <c r="AN1472">
        <v>-1</v>
      </c>
      <c r="AO1472">
        <v>-0.9</v>
      </c>
      <c r="AP1472">
        <v>5.97</v>
      </c>
      <c r="AQ1472">
        <v>-7.11</v>
      </c>
      <c r="AR1472">
        <v>15.93</v>
      </c>
      <c r="AS1472">
        <v>1.73</v>
      </c>
      <c r="AT1472" t="s">
        <v>7893</v>
      </c>
      <c r="AU1472">
        <v>99.05</v>
      </c>
      <c r="AV1472">
        <v>162.36000000000001</v>
      </c>
      <c r="AW1472">
        <v>1.25</v>
      </c>
      <c r="BA1472">
        <v>-0.22</v>
      </c>
      <c r="BB1472">
        <v>0.88</v>
      </c>
      <c r="BC1472">
        <v>-2.4300000000000002</v>
      </c>
      <c r="BD1472">
        <v>-0.4</v>
      </c>
      <c r="BE1472">
        <v>-1.55</v>
      </c>
      <c r="BF1472">
        <v>-2.63</v>
      </c>
      <c r="BG1472">
        <v>0.68</v>
      </c>
      <c r="BH1472">
        <v>-1.37</v>
      </c>
      <c r="BI1472">
        <v>20191030</v>
      </c>
      <c r="BJ1472">
        <v>20100427</v>
      </c>
      <c r="BK1472">
        <v>5.42</v>
      </c>
      <c r="BL1472" t="s">
        <v>116</v>
      </c>
      <c r="BM1472" t="s">
        <v>116</v>
      </c>
      <c r="BN1472">
        <v>15.06</v>
      </c>
      <c r="BO1472">
        <v>12.13</v>
      </c>
      <c r="BP1472">
        <v>0.09</v>
      </c>
      <c r="BQ1472">
        <v>18.8</v>
      </c>
      <c r="BR1472">
        <v>8.26</v>
      </c>
      <c r="BS1472">
        <v>2.75</v>
      </c>
      <c r="BT1472">
        <v>0.22</v>
      </c>
      <c r="BU1472">
        <v>2.4900000000000002</v>
      </c>
      <c r="BV1472">
        <v>1.72</v>
      </c>
      <c r="BW1472">
        <v>3.58</v>
      </c>
      <c r="BX1472">
        <v>2.4300000000000002</v>
      </c>
      <c r="BY1472">
        <v>2.73</v>
      </c>
      <c r="BZ1472">
        <v>1.61</v>
      </c>
      <c r="CA1472">
        <v>0.02</v>
      </c>
      <c r="CB1472">
        <v>0.06</v>
      </c>
      <c r="CC1472">
        <v>0.03</v>
      </c>
      <c r="CD1472">
        <v>0.05</v>
      </c>
      <c r="CE1472">
        <v>0.05</v>
      </c>
      <c r="CF1472">
        <v>-0.01</v>
      </c>
      <c r="CG1472">
        <v>4.07</v>
      </c>
      <c r="CH1472">
        <v>-0.55000000000000004</v>
      </c>
      <c r="CI1472">
        <v>-0.48</v>
      </c>
      <c r="CJ1472">
        <v>33041</v>
      </c>
      <c r="CK1472">
        <v>11621</v>
      </c>
      <c r="CL1472" t="s">
        <v>3589</v>
      </c>
      <c r="CM1472">
        <v>216.3</v>
      </c>
      <c r="CN1472">
        <v>5.87</v>
      </c>
      <c r="CO1472">
        <v>1.98</v>
      </c>
      <c r="CP1472">
        <v>-43.47</v>
      </c>
      <c r="CQ1472">
        <v>8.82</v>
      </c>
      <c r="CR1472">
        <v>0</v>
      </c>
      <c r="CS1472" t="s">
        <v>930</v>
      </c>
      <c r="CT1472">
        <v>2.2400000000000002</v>
      </c>
      <c r="CU1472">
        <v>0</v>
      </c>
      <c r="CV1472">
        <v>0.45</v>
      </c>
      <c r="CW1472">
        <v>0.75</v>
      </c>
      <c r="CX1472">
        <v>-0.1</v>
      </c>
      <c r="CY1472">
        <v>80.569999999999993</v>
      </c>
      <c r="CZ1472" t="s">
        <v>7894</v>
      </c>
      <c r="DA1472">
        <v>41.23</v>
      </c>
      <c r="DB1472">
        <v>0.88</v>
      </c>
      <c r="DC1472">
        <v>1.87</v>
      </c>
      <c r="DD1472">
        <v>0.3</v>
      </c>
      <c r="DE1472">
        <v>517</v>
      </c>
      <c r="DF1472">
        <v>300074</v>
      </c>
      <c r="DG1472" t="s">
        <v>116</v>
      </c>
      <c r="DH1472" t="s">
        <v>116</v>
      </c>
      <c r="DI1472" t="s">
        <v>116</v>
      </c>
    </row>
    <row r="1473" spans="1:113" x14ac:dyDescent="0.4">
      <c r="A1473" t="str">
        <f>"300075"</f>
        <v>300075</v>
      </c>
      <c r="B1473" t="s">
        <v>7895</v>
      </c>
      <c r="C1473">
        <v>-1.65</v>
      </c>
      <c r="D1473">
        <v>11.32</v>
      </c>
      <c r="E1473">
        <v>-0.19</v>
      </c>
      <c r="F1473">
        <v>11.32</v>
      </c>
      <c r="G1473">
        <v>11.34</v>
      </c>
      <c r="H1473">
        <v>69040</v>
      </c>
      <c r="I1473">
        <v>1297</v>
      </c>
      <c r="J1473">
        <v>-0.17</v>
      </c>
      <c r="K1473">
        <v>2.15</v>
      </c>
      <c r="L1473">
        <v>11.52</v>
      </c>
      <c r="M1473">
        <v>11.6</v>
      </c>
      <c r="N1473">
        <v>11.32</v>
      </c>
      <c r="O1473">
        <v>11.51</v>
      </c>
      <c r="P1473">
        <v>37.92</v>
      </c>
      <c r="Q1473">
        <v>79347312</v>
      </c>
      <c r="R1473">
        <v>1.1000000000000001</v>
      </c>
      <c r="S1473" t="s">
        <v>607</v>
      </c>
      <c r="T1473" t="s">
        <v>165</v>
      </c>
      <c r="U1473">
        <v>2.4300000000000002</v>
      </c>
      <c r="V1473">
        <v>11.49</v>
      </c>
      <c r="W1473">
        <v>40233</v>
      </c>
      <c r="X1473">
        <v>28807</v>
      </c>
      <c r="Y1473">
        <v>1.4</v>
      </c>
      <c r="Z1473">
        <v>399</v>
      </c>
      <c r="AA1473">
        <v>461</v>
      </c>
      <c r="AB1473" t="s">
        <v>116</v>
      </c>
      <c r="AC1473">
        <v>129000</v>
      </c>
      <c r="AD1473">
        <v>0</v>
      </c>
      <c r="AE1473" t="s">
        <v>116</v>
      </c>
      <c r="AF1473" t="s">
        <v>116</v>
      </c>
      <c r="AG1473">
        <v>3.22</v>
      </c>
      <c r="AH1473" t="s">
        <v>7896</v>
      </c>
      <c r="AI1473" t="s">
        <v>7897</v>
      </c>
      <c r="AJ1473">
        <v>-0.97</v>
      </c>
      <c r="AK1473">
        <v>1703</v>
      </c>
      <c r="AL1473">
        <v>41</v>
      </c>
      <c r="AM1473">
        <v>1.2999999999999999E-3</v>
      </c>
      <c r="AN1473">
        <v>-1</v>
      </c>
      <c r="AO1473">
        <v>-0.79</v>
      </c>
      <c r="AP1473">
        <v>4.1399999999999997</v>
      </c>
      <c r="AQ1473">
        <v>-6.6</v>
      </c>
      <c r="AR1473">
        <v>4.1399999999999997</v>
      </c>
      <c r="AS1473">
        <v>2.37</v>
      </c>
      <c r="AT1473" t="s">
        <v>7898</v>
      </c>
      <c r="AU1473">
        <v>39.57</v>
      </c>
      <c r="AV1473">
        <v>41.2</v>
      </c>
      <c r="AW1473">
        <v>1.32</v>
      </c>
      <c r="BA1473">
        <v>0.09</v>
      </c>
      <c r="BB1473">
        <v>0.78</v>
      </c>
      <c r="BC1473">
        <v>-1.65</v>
      </c>
      <c r="BD1473">
        <v>-0.15</v>
      </c>
      <c r="BE1473">
        <v>-1.74</v>
      </c>
      <c r="BF1473">
        <v>-2.41</v>
      </c>
      <c r="BG1473">
        <v>0</v>
      </c>
      <c r="BH1473">
        <v>-1.5</v>
      </c>
      <c r="BI1473">
        <v>20191025</v>
      </c>
      <c r="BJ1473">
        <v>20100427</v>
      </c>
      <c r="BK1473">
        <v>4.2699999999999996</v>
      </c>
      <c r="BL1473" t="s">
        <v>116</v>
      </c>
      <c r="BM1473" t="s">
        <v>116</v>
      </c>
      <c r="BN1473">
        <v>29.8</v>
      </c>
      <c r="BO1473">
        <v>23.19</v>
      </c>
      <c r="BP1473">
        <v>0.13</v>
      </c>
      <c r="BQ1473">
        <v>21.75</v>
      </c>
      <c r="BR1473">
        <v>20.99</v>
      </c>
      <c r="BS1473">
        <v>0.56000000000000005</v>
      </c>
      <c r="BT1473">
        <v>1.24</v>
      </c>
      <c r="BU1473">
        <v>6.26</v>
      </c>
      <c r="BV1473">
        <v>2.33</v>
      </c>
      <c r="BW1473">
        <v>11.77</v>
      </c>
      <c r="BX1473">
        <v>9.82</v>
      </c>
      <c r="BY1473">
        <v>7.55</v>
      </c>
      <c r="BZ1473">
        <v>4.7300000000000004</v>
      </c>
      <c r="CA1473">
        <v>1.02</v>
      </c>
      <c r="CB1473">
        <v>-0.02</v>
      </c>
      <c r="CC1473">
        <v>1.06</v>
      </c>
      <c r="CD1473">
        <v>0.95</v>
      </c>
      <c r="CE1473">
        <v>0.96</v>
      </c>
      <c r="CF1473">
        <v>0.93</v>
      </c>
      <c r="CG1473">
        <v>8.56</v>
      </c>
      <c r="CH1473">
        <v>-1.23</v>
      </c>
      <c r="CI1473">
        <v>-3.13</v>
      </c>
      <c r="CJ1473">
        <v>47477</v>
      </c>
      <c r="CK1473">
        <v>6143</v>
      </c>
      <c r="CL1473" t="s">
        <v>2709</v>
      </c>
      <c r="CM1473">
        <v>5.34</v>
      </c>
      <c r="CN1473">
        <v>21.58</v>
      </c>
      <c r="CO1473">
        <v>2.08</v>
      </c>
      <c r="CP1473">
        <v>-39.409999999999997</v>
      </c>
      <c r="CQ1473">
        <v>6.39</v>
      </c>
      <c r="CR1473">
        <v>0.27</v>
      </c>
      <c r="CS1473" t="s">
        <v>6486</v>
      </c>
      <c r="CT1473">
        <v>5.44</v>
      </c>
      <c r="CU1473">
        <v>0</v>
      </c>
      <c r="CV1473">
        <v>2.2999999999999998</v>
      </c>
      <c r="CW1473">
        <v>2.0099999999999998</v>
      </c>
      <c r="CX1473">
        <v>-0.28999999999999998</v>
      </c>
      <c r="CY1473">
        <v>77.81</v>
      </c>
      <c r="CZ1473" t="s">
        <v>1361</v>
      </c>
      <c r="DA1473">
        <v>37.32</v>
      </c>
      <c r="DB1473">
        <v>13.57</v>
      </c>
      <c r="DC1473">
        <v>12.65</v>
      </c>
      <c r="DD1473">
        <v>0.71</v>
      </c>
      <c r="DE1473">
        <v>7618</v>
      </c>
      <c r="DF1473">
        <v>300075</v>
      </c>
      <c r="DG1473" t="s">
        <v>116</v>
      </c>
      <c r="DH1473" t="s">
        <v>116</v>
      </c>
      <c r="DI1473" t="s">
        <v>116</v>
      </c>
    </row>
    <row r="1474" spans="1:113" x14ac:dyDescent="0.4">
      <c r="A1474" t="str">
        <f>"300076"</f>
        <v>300076</v>
      </c>
      <c r="B1474" t="s">
        <v>7899</v>
      </c>
      <c r="C1474">
        <v>-2.64</v>
      </c>
      <c r="D1474">
        <v>6.26</v>
      </c>
      <c r="E1474">
        <v>-0.17</v>
      </c>
      <c r="F1474">
        <v>6.26</v>
      </c>
      <c r="G1474">
        <v>6.27</v>
      </c>
      <c r="H1474">
        <v>116413</v>
      </c>
      <c r="I1474">
        <v>1628</v>
      </c>
      <c r="J1474">
        <v>0.16</v>
      </c>
      <c r="K1474">
        <v>3.15</v>
      </c>
      <c r="L1474">
        <v>6.43</v>
      </c>
      <c r="M1474">
        <v>6.47</v>
      </c>
      <c r="N1474">
        <v>6.19</v>
      </c>
      <c r="O1474">
        <v>6.43</v>
      </c>
      <c r="P1474">
        <v>110.17</v>
      </c>
      <c r="Q1474">
        <v>73741304</v>
      </c>
      <c r="R1474">
        <v>0.97</v>
      </c>
      <c r="S1474" t="s">
        <v>241</v>
      </c>
      <c r="T1474" t="s">
        <v>590</v>
      </c>
      <c r="U1474">
        <v>4.3499999999999996</v>
      </c>
      <c r="V1474">
        <v>6.33</v>
      </c>
      <c r="W1474">
        <v>67567</v>
      </c>
      <c r="X1474">
        <v>48846</v>
      </c>
      <c r="Y1474">
        <v>1.38</v>
      </c>
      <c r="Z1474">
        <v>179</v>
      </c>
      <c r="AA1474">
        <v>567</v>
      </c>
      <c r="AB1474" t="s">
        <v>116</v>
      </c>
      <c r="AC1474">
        <v>84900</v>
      </c>
      <c r="AD1474">
        <v>0.01</v>
      </c>
      <c r="AE1474" t="s">
        <v>116</v>
      </c>
      <c r="AF1474" t="s">
        <v>116</v>
      </c>
      <c r="AG1474">
        <v>3.7</v>
      </c>
      <c r="AH1474" t="s">
        <v>7900</v>
      </c>
      <c r="AI1474" t="s">
        <v>7901</v>
      </c>
      <c r="AJ1474">
        <v>-1.96</v>
      </c>
      <c r="AK1474">
        <v>2280</v>
      </c>
      <c r="AL1474">
        <v>51</v>
      </c>
      <c r="AM1474">
        <v>1.4E-3</v>
      </c>
      <c r="AN1474">
        <v>-3</v>
      </c>
      <c r="AO1474">
        <v>-4.43</v>
      </c>
      <c r="AP1474">
        <v>-0.32</v>
      </c>
      <c r="AQ1474">
        <v>8.3000000000000007</v>
      </c>
      <c r="AR1474">
        <v>57.43</v>
      </c>
      <c r="AS1474">
        <v>4.91</v>
      </c>
      <c r="AT1474" t="s">
        <v>7902</v>
      </c>
      <c r="AU1474">
        <v>713.84</v>
      </c>
      <c r="AV1474">
        <v>141.44</v>
      </c>
      <c r="AW1474">
        <v>1.27</v>
      </c>
      <c r="BA1474">
        <v>0</v>
      </c>
      <c r="BB1474">
        <v>0.62</v>
      </c>
      <c r="BC1474">
        <v>-3.73</v>
      </c>
      <c r="BD1474">
        <v>-1.49</v>
      </c>
      <c r="BE1474">
        <v>-2.64</v>
      </c>
      <c r="BF1474">
        <v>-3.25</v>
      </c>
      <c r="BG1474">
        <v>1.1299999999999999</v>
      </c>
      <c r="BH1474">
        <v>-1.1599999999999999</v>
      </c>
      <c r="BI1474">
        <v>20191120</v>
      </c>
      <c r="BJ1474">
        <v>20100430</v>
      </c>
      <c r="BK1474">
        <v>4.24</v>
      </c>
      <c r="BL1474" t="s">
        <v>116</v>
      </c>
      <c r="BM1474" t="s">
        <v>116</v>
      </c>
      <c r="BN1474">
        <v>11.07</v>
      </c>
      <c r="BO1474">
        <v>10.19</v>
      </c>
      <c r="BP1474">
        <v>0</v>
      </c>
      <c r="BQ1474">
        <v>7.92</v>
      </c>
      <c r="BR1474">
        <v>9.6300000000000008</v>
      </c>
      <c r="BS1474">
        <v>0.67</v>
      </c>
      <c r="BT1474">
        <v>0.23</v>
      </c>
      <c r="BU1474">
        <v>0.85</v>
      </c>
      <c r="BV1474">
        <v>0.38</v>
      </c>
      <c r="BW1474">
        <v>0.88</v>
      </c>
      <c r="BX1474">
        <v>5.08</v>
      </c>
      <c r="BY1474">
        <v>0.62</v>
      </c>
      <c r="BZ1474">
        <v>0.42</v>
      </c>
      <c r="CA1474">
        <v>0.18</v>
      </c>
      <c r="CB1474">
        <v>0.49</v>
      </c>
      <c r="CC1474">
        <v>0.17</v>
      </c>
      <c r="CD1474">
        <v>0.18</v>
      </c>
      <c r="CE1474">
        <v>0.18</v>
      </c>
      <c r="CF1474">
        <v>-0.28000000000000003</v>
      </c>
      <c r="CG1474">
        <v>0.56000000000000005</v>
      </c>
      <c r="CH1474">
        <v>-0.25</v>
      </c>
      <c r="CI1474">
        <v>0.92</v>
      </c>
      <c r="CJ1474">
        <v>20000</v>
      </c>
      <c r="CK1474">
        <v>11847</v>
      </c>
      <c r="CL1474" t="s">
        <v>2715</v>
      </c>
      <c r="CM1474">
        <v>-45.44</v>
      </c>
      <c r="CN1474">
        <v>-60.65</v>
      </c>
      <c r="CO1474">
        <v>2.6</v>
      </c>
      <c r="CP1474">
        <v>-107.91</v>
      </c>
      <c r="CQ1474">
        <v>43.12</v>
      </c>
      <c r="CR1474">
        <v>0.38</v>
      </c>
      <c r="CS1474" t="s">
        <v>1533</v>
      </c>
      <c r="CT1474">
        <v>2.4</v>
      </c>
      <c r="CU1474">
        <v>0</v>
      </c>
      <c r="CV1474">
        <v>1.2</v>
      </c>
      <c r="CW1474">
        <v>0.13</v>
      </c>
      <c r="CX1474">
        <v>-0.06</v>
      </c>
      <c r="CY1474">
        <v>92.08</v>
      </c>
      <c r="CZ1474" t="s">
        <v>7638</v>
      </c>
      <c r="DA1474">
        <v>31.93</v>
      </c>
      <c r="DB1474">
        <v>28.74</v>
      </c>
      <c r="DC1474">
        <v>29.35</v>
      </c>
      <c r="DD1474">
        <v>0.05</v>
      </c>
      <c r="DE1474">
        <v>308</v>
      </c>
      <c r="DF1474">
        <v>300076</v>
      </c>
      <c r="DG1474" t="s">
        <v>116</v>
      </c>
      <c r="DH1474" t="s">
        <v>116</v>
      </c>
      <c r="DI1474" t="s">
        <v>116</v>
      </c>
    </row>
    <row r="1475" spans="1:113" x14ac:dyDescent="0.4">
      <c r="A1475" t="str">
        <f>"300077"</f>
        <v>300077</v>
      </c>
      <c r="B1475" t="s">
        <v>7903</v>
      </c>
      <c r="C1475">
        <v>-1.59</v>
      </c>
      <c r="D1475">
        <v>6.18</v>
      </c>
      <c r="E1475">
        <v>-0.1</v>
      </c>
      <c r="F1475">
        <v>6.18</v>
      </c>
      <c r="G1475">
        <v>6.19</v>
      </c>
      <c r="H1475">
        <v>185967</v>
      </c>
      <c r="I1475">
        <v>2223</v>
      </c>
      <c r="J1475">
        <v>-0.47</v>
      </c>
      <c r="K1475">
        <v>3.41</v>
      </c>
      <c r="L1475">
        <v>6.28</v>
      </c>
      <c r="M1475">
        <v>6.41</v>
      </c>
      <c r="N1475">
        <v>6.17</v>
      </c>
      <c r="O1475">
        <v>6.28</v>
      </c>
      <c r="P1475" t="s">
        <v>116</v>
      </c>
      <c r="Q1475">
        <v>117035120</v>
      </c>
      <c r="R1475">
        <v>1.22</v>
      </c>
      <c r="S1475" t="s">
        <v>3507</v>
      </c>
      <c r="T1475" t="s">
        <v>115</v>
      </c>
      <c r="U1475">
        <v>3.82</v>
      </c>
      <c r="V1475">
        <v>6.29</v>
      </c>
      <c r="W1475">
        <v>100419</v>
      </c>
      <c r="X1475">
        <v>85548</v>
      </c>
      <c r="Y1475">
        <v>1.17</v>
      </c>
      <c r="Z1475">
        <v>561</v>
      </c>
      <c r="AA1475">
        <v>827</v>
      </c>
      <c r="AB1475" t="s">
        <v>116</v>
      </c>
      <c r="AC1475">
        <v>366800</v>
      </c>
      <c r="AD1475">
        <v>0.01</v>
      </c>
      <c r="AE1475" t="s">
        <v>116</v>
      </c>
      <c r="AF1475" t="s">
        <v>116</v>
      </c>
      <c r="AG1475">
        <v>5.45</v>
      </c>
      <c r="AH1475" t="s">
        <v>7904</v>
      </c>
      <c r="AI1475" t="s">
        <v>7905</v>
      </c>
      <c r="AJ1475">
        <v>-0.91</v>
      </c>
      <c r="AK1475">
        <v>2574</v>
      </c>
      <c r="AL1475">
        <v>72</v>
      </c>
      <c r="AM1475">
        <v>1.2999999999999999E-3</v>
      </c>
      <c r="AN1475">
        <v>-2</v>
      </c>
      <c r="AO1475">
        <v>-0.48</v>
      </c>
      <c r="AP1475">
        <v>3</v>
      </c>
      <c r="AQ1475">
        <v>-2.52</v>
      </c>
      <c r="AR1475">
        <v>-16.37</v>
      </c>
      <c r="AS1475">
        <v>3.41</v>
      </c>
      <c r="AT1475" t="s">
        <v>7904</v>
      </c>
      <c r="AU1475" t="s">
        <v>116</v>
      </c>
      <c r="AV1475" t="s">
        <v>116</v>
      </c>
      <c r="AW1475">
        <v>1.27</v>
      </c>
      <c r="BA1475">
        <v>0</v>
      </c>
      <c r="BB1475">
        <v>2.0699999999999998</v>
      </c>
      <c r="BC1475">
        <v>-1.75</v>
      </c>
      <c r="BD1475">
        <v>0.21</v>
      </c>
      <c r="BE1475">
        <v>-1.59</v>
      </c>
      <c r="BF1475">
        <v>-3.59</v>
      </c>
      <c r="BG1475">
        <v>0.16</v>
      </c>
      <c r="BH1475">
        <v>-1.8</v>
      </c>
      <c r="BI1475">
        <v>20191219</v>
      </c>
      <c r="BJ1475">
        <v>20100430</v>
      </c>
      <c r="BK1475">
        <v>5.58</v>
      </c>
      <c r="BL1475" t="s">
        <v>116</v>
      </c>
      <c r="BM1475" t="s">
        <v>116</v>
      </c>
      <c r="BN1475">
        <v>27.04</v>
      </c>
      <c r="BO1475">
        <v>10.1</v>
      </c>
      <c r="BP1475">
        <v>-0.46</v>
      </c>
      <c r="BQ1475">
        <v>64.33</v>
      </c>
      <c r="BR1475">
        <v>12.15</v>
      </c>
      <c r="BS1475">
        <v>3.27</v>
      </c>
      <c r="BT1475">
        <v>0.72</v>
      </c>
      <c r="BU1475">
        <v>16.22</v>
      </c>
      <c r="BV1475">
        <v>2.1800000000000002</v>
      </c>
      <c r="BW1475">
        <v>3.29</v>
      </c>
      <c r="BX1475">
        <v>20.72</v>
      </c>
      <c r="BY1475">
        <v>2.73</v>
      </c>
      <c r="BZ1475">
        <v>2</v>
      </c>
      <c r="CA1475">
        <v>-1</v>
      </c>
      <c r="CB1475">
        <v>-0.13</v>
      </c>
      <c r="CC1475">
        <v>-1</v>
      </c>
      <c r="CD1475">
        <v>-0.93</v>
      </c>
      <c r="CE1475">
        <v>-0.78</v>
      </c>
      <c r="CF1475">
        <v>-1.03</v>
      </c>
      <c r="CG1475">
        <v>-18.25</v>
      </c>
      <c r="CH1475">
        <v>-0.57999999999999996</v>
      </c>
      <c r="CI1475">
        <v>-1.88</v>
      </c>
      <c r="CJ1475">
        <v>70798</v>
      </c>
      <c r="CK1475">
        <v>7699</v>
      </c>
      <c r="CL1475" t="s">
        <v>2315</v>
      </c>
      <c r="CM1475">
        <v>-217.34</v>
      </c>
      <c r="CN1475">
        <v>-45.44</v>
      </c>
      <c r="CO1475">
        <v>3.41</v>
      </c>
      <c r="CP1475">
        <v>-59.5</v>
      </c>
      <c r="CQ1475">
        <v>12.6</v>
      </c>
      <c r="CR1475">
        <v>0</v>
      </c>
      <c r="CS1475" t="s">
        <v>7906</v>
      </c>
      <c r="CT1475">
        <v>1.81</v>
      </c>
      <c r="CU1475">
        <v>0</v>
      </c>
      <c r="CV1475">
        <v>3.71</v>
      </c>
      <c r="CW1475">
        <v>-3.27</v>
      </c>
      <c r="CX1475">
        <v>-0.1</v>
      </c>
      <c r="CY1475">
        <v>37.36</v>
      </c>
      <c r="CZ1475" t="s">
        <v>7907</v>
      </c>
      <c r="DA1475">
        <v>26.94</v>
      </c>
      <c r="DB1475">
        <v>-36.630000000000003</v>
      </c>
      <c r="DC1475">
        <v>-28.41</v>
      </c>
      <c r="DD1475">
        <v>0.83</v>
      </c>
      <c r="DE1475">
        <v>859</v>
      </c>
      <c r="DF1475">
        <v>300077</v>
      </c>
      <c r="DG1475" t="s">
        <v>116</v>
      </c>
      <c r="DH1475" t="s">
        <v>116</v>
      </c>
      <c r="DI1475" t="s">
        <v>116</v>
      </c>
    </row>
    <row r="1476" spans="1:113" x14ac:dyDescent="0.4">
      <c r="A1476" t="str">
        <f>"300078"</f>
        <v>300078</v>
      </c>
      <c r="B1476" t="s">
        <v>7908</v>
      </c>
      <c r="C1476">
        <v>-3.47</v>
      </c>
      <c r="D1476">
        <v>11.95</v>
      </c>
      <c r="E1476">
        <v>-0.43</v>
      </c>
      <c r="F1476">
        <v>11.95</v>
      </c>
      <c r="G1476">
        <v>11.96</v>
      </c>
      <c r="H1476">
        <v>126224</v>
      </c>
      <c r="I1476">
        <v>2092</v>
      </c>
      <c r="J1476">
        <v>-0.41</v>
      </c>
      <c r="K1476">
        <v>1.73</v>
      </c>
      <c r="L1476">
        <v>12.38</v>
      </c>
      <c r="M1476">
        <v>12.43</v>
      </c>
      <c r="N1476">
        <v>11.8</v>
      </c>
      <c r="O1476">
        <v>12.38</v>
      </c>
      <c r="P1476">
        <v>63.51</v>
      </c>
      <c r="Q1476">
        <v>154099072</v>
      </c>
      <c r="R1476">
        <v>1.1000000000000001</v>
      </c>
      <c r="S1476" t="s">
        <v>233</v>
      </c>
      <c r="T1476" t="s">
        <v>590</v>
      </c>
      <c r="U1476">
        <v>5.09</v>
      </c>
      <c r="V1476">
        <v>12.21</v>
      </c>
      <c r="W1476">
        <v>91759</v>
      </c>
      <c r="X1476">
        <v>34465</v>
      </c>
      <c r="Y1476">
        <v>2.66</v>
      </c>
      <c r="Z1476">
        <v>73</v>
      </c>
      <c r="AA1476">
        <v>48</v>
      </c>
      <c r="AB1476" t="s">
        <v>116</v>
      </c>
      <c r="AC1476">
        <v>126300</v>
      </c>
      <c r="AD1476">
        <v>0</v>
      </c>
      <c r="AE1476" t="s">
        <v>116</v>
      </c>
      <c r="AF1476" t="s">
        <v>116</v>
      </c>
      <c r="AG1476">
        <v>7.29</v>
      </c>
      <c r="AH1476" t="s">
        <v>7909</v>
      </c>
      <c r="AI1476" t="s">
        <v>444</v>
      </c>
      <c r="AJ1476">
        <v>-2.79</v>
      </c>
      <c r="AK1476">
        <v>2270</v>
      </c>
      <c r="AL1476">
        <v>56</v>
      </c>
      <c r="AM1476">
        <v>8.0000000000000004E-4</v>
      </c>
      <c r="AN1476">
        <v>-2</v>
      </c>
      <c r="AO1476">
        <v>-4.54</v>
      </c>
      <c r="AP1476">
        <v>-5.91</v>
      </c>
      <c r="AQ1476">
        <v>0.59</v>
      </c>
      <c r="AR1476">
        <v>20.440000000000001</v>
      </c>
      <c r="AS1476">
        <v>2.4900000000000002</v>
      </c>
      <c r="AT1476" t="s">
        <v>7910</v>
      </c>
      <c r="AU1476">
        <v>65.89</v>
      </c>
      <c r="AV1476">
        <v>71.569999999999993</v>
      </c>
      <c r="AW1476">
        <v>1.7</v>
      </c>
      <c r="BA1476">
        <v>0</v>
      </c>
      <c r="BB1476">
        <v>0.4</v>
      </c>
      <c r="BC1476">
        <v>-4.68</v>
      </c>
      <c r="BD1476">
        <v>-1.39</v>
      </c>
      <c r="BE1476">
        <v>-3.47</v>
      </c>
      <c r="BF1476">
        <v>-3.86</v>
      </c>
      <c r="BG1476">
        <v>1.27</v>
      </c>
      <c r="BH1476">
        <v>-2.09</v>
      </c>
      <c r="BI1476">
        <v>20191206</v>
      </c>
      <c r="BJ1476">
        <v>20100430</v>
      </c>
      <c r="BK1476">
        <v>8.59</v>
      </c>
      <c r="BL1476" t="s">
        <v>116</v>
      </c>
      <c r="BM1476" t="s">
        <v>116</v>
      </c>
      <c r="BN1476">
        <v>35.67</v>
      </c>
      <c r="BO1476">
        <v>22.85</v>
      </c>
      <c r="BP1476">
        <v>0.53</v>
      </c>
      <c r="BQ1476">
        <v>34.46</v>
      </c>
      <c r="BR1476">
        <v>17.41</v>
      </c>
      <c r="BS1476">
        <v>2.79</v>
      </c>
      <c r="BT1476">
        <v>0.89</v>
      </c>
      <c r="BU1476">
        <v>9.5399999999999991</v>
      </c>
      <c r="BV1476">
        <v>2.5</v>
      </c>
      <c r="BW1476">
        <v>10.11</v>
      </c>
      <c r="BX1476">
        <v>7.84</v>
      </c>
      <c r="BY1476">
        <v>10.68</v>
      </c>
      <c r="BZ1476">
        <v>6.22</v>
      </c>
      <c r="CA1476">
        <v>1.37</v>
      </c>
      <c r="CB1476">
        <v>0.02</v>
      </c>
      <c r="CC1476">
        <v>1.37</v>
      </c>
      <c r="CD1476">
        <v>1.17</v>
      </c>
      <c r="CE1476">
        <v>1.21</v>
      </c>
      <c r="CF1476">
        <v>1.08</v>
      </c>
      <c r="CG1476">
        <v>6.2</v>
      </c>
      <c r="CH1476">
        <v>-1.42</v>
      </c>
      <c r="CI1476">
        <v>-2.4300000000000002</v>
      </c>
      <c r="CJ1476">
        <v>35169</v>
      </c>
      <c r="CK1476">
        <v>14401</v>
      </c>
      <c r="CL1476" t="s">
        <v>7911</v>
      </c>
      <c r="CM1476">
        <v>11.35</v>
      </c>
      <c r="CN1476">
        <v>21.44</v>
      </c>
      <c r="CO1476">
        <v>4.22</v>
      </c>
      <c r="CP1476">
        <v>-72.47</v>
      </c>
      <c r="CQ1476">
        <v>9.6199999999999992</v>
      </c>
      <c r="CR1476">
        <v>0.14000000000000001</v>
      </c>
      <c r="CS1476" t="s">
        <v>829</v>
      </c>
      <c r="CT1476">
        <v>2.83</v>
      </c>
      <c r="CU1476">
        <v>2.83</v>
      </c>
      <c r="CV1476">
        <v>0.91</v>
      </c>
      <c r="CW1476">
        <v>0.72</v>
      </c>
      <c r="CX1476">
        <v>-0.16</v>
      </c>
      <c r="CY1476">
        <v>64.06</v>
      </c>
      <c r="CZ1476" t="s">
        <v>7912</v>
      </c>
      <c r="DA1476">
        <v>41.76</v>
      </c>
      <c r="DB1476">
        <v>12.82</v>
      </c>
      <c r="DC1476">
        <v>11.36</v>
      </c>
      <c r="DD1476">
        <v>1.01</v>
      </c>
      <c r="DE1476">
        <v>1986</v>
      </c>
      <c r="DF1476">
        <v>300078</v>
      </c>
      <c r="DG1476" t="s">
        <v>116</v>
      </c>
      <c r="DH1476" t="s">
        <v>116</v>
      </c>
      <c r="DI1476" t="s">
        <v>116</v>
      </c>
    </row>
    <row r="1477" spans="1:113" x14ac:dyDescent="0.4">
      <c r="A1477" t="str">
        <f>"300079"</f>
        <v>300079</v>
      </c>
      <c r="B1477" t="s">
        <v>7913</v>
      </c>
      <c r="C1477">
        <v>-4</v>
      </c>
      <c r="D1477">
        <v>6</v>
      </c>
      <c r="E1477">
        <v>-0.25</v>
      </c>
      <c r="F1477">
        <v>6</v>
      </c>
      <c r="G1477">
        <v>6.01</v>
      </c>
      <c r="H1477">
        <v>471271</v>
      </c>
      <c r="I1477">
        <v>8765</v>
      </c>
      <c r="J1477">
        <v>-0.32</v>
      </c>
      <c r="K1477">
        <v>3.81</v>
      </c>
      <c r="L1477">
        <v>6.29</v>
      </c>
      <c r="M1477">
        <v>6.3</v>
      </c>
      <c r="N1477">
        <v>5.99</v>
      </c>
      <c r="O1477">
        <v>6.25</v>
      </c>
      <c r="P1477">
        <v>107.88</v>
      </c>
      <c r="Q1477">
        <v>289616608</v>
      </c>
      <c r="R1477">
        <v>0.61</v>
      </c>
      <c r="S1477" t="s">
        <v>465</v>
      </c>
      <c r="T1477" t="s">
        <v>165</v>
      </c>
      <c r="U1477">
        <v>4.96</v>
      </c>
      <c r="V1477">
        <v>6.15</v>
      </c>
      <c r="W1477">
        <v>271514</v>
      </c>
      <c r="X1477">
        <v>199757</v>
      </c>
      <c r="Y1477">
        <v>1.36</v>
      </c>
      <c r="Z1477">
        <v>530</v>
      </c>
      <c r="AA1477">
        <v>3606</v>
      </c>
      <c r="AB1477" t="s">
        <v>116</v>
      </c>
      <c r="AC1477">
        <v>2082000</v>
      </c>
      <c r="AD1477">
        <v>0.03</v>
      </c>
      <c r="AE1477" t="s">
        <v>116</v>
      </c>
      <c r="AF1477" t="s">
        <v>116</v>
      </c>
      <c r="AG1477">
        <v>12.38</v>
      </c>
      <c r="AH1477" t="s">
        <v>7914</v>
      </c>
      <c r="AI1477" t="s">
        <v>7510</v>
      </c>
      <c r="AJ1477">
        <v>-3.32</v>
      </c>
      <c r="AK1477">
        <v>3496</v>
      </c>
      <c r="AL1477">
        <v>135</v>
      </c>
      <c r="AM1477">
        <v>1.1000000000000001E-3</v>
      </c>
      <c r="AN1477">
        <v>-2</v>
      </c>
      <c r="AO1477">
        <v>-0.33</v>
      </c>
      <c r="AP1477">
        <v>25.26</v>
      </c>
      <c r="AQ1477">
        <v>16.73</v>
      </c>
      <c r="AR1477">
        <v>82.93</v>
      </c>
      <c r="AS1477">
        <v>3.98</v>
      </c>
      <c r="AT1477" t="s">
        <v>7915</v>
      </c>
      <c r="AU1477">
        <v>143.37</v>
      </c>
      <c r="AV1477">
        <v>101.74</v>
      </c>
      <c r="AW1477">
        <v>1.81</v>
      </c>
      <c r="BA1477">
        <v>0.64</v>
      </c>
      <c r="BB1477">
        <v>0.8</v>
      </c>
      <c r="BC1477">
        <v>-4.16</v>
      </c>
      <c r="BD1477">
        <v>-1.67</v>
      </c>
      <c r="BE1477">
        <v>-4.6100000000000003</v>
      </c>
      <c r="BF1477">
        <v>-4.76</v>
      </c>
      <c r="BG1477">
        <v>0.17</v>
      </c>
      <c r="BH1477">
        <v>-2.33</v>
      </c>
      <c r="BI1477">
        <v>20191218</v>
      </c>
      <c r="BJ1477">
        <v>20100430</v>
      </c>
      <c r="BK1477">
        <v>14.3</v>
      </c>
      <c r="BL1477" t="s">
        <v>116</v>
      </c>
      <c r="BM1477" t="s">
        <v>116</v>
      </c>
      <c r="BN1477">
        <v>43.74</v>
      </c>
      <c r="BO1477">
        <v>38.369999999999997</v>
      </c>
      <c r="BP1477">
        <v>-0.01</v>
      </c>
      <c r="BQ1477">
        <v>12.3</v>
      </c>
      <c r="BR1477">
        <v>27.06</v>
      </c>
      <c r="BS1477">
        <v>4.26</v>
      </c>
      <c r="BT1477">
        <v>5.26</v>
      </c>
      <c r="BU1477">
        <v>5.27</v>
      </c>
      <c r="BV1477">
        <v>2.1</v>
      </c>
      <c r="BW1477">
        <v>5.39</v>
      </c>
      <c r="BX1477">
        <v>8.5</v>
      </c>
      <c r="BY1477">
        <v>7.01</v>
      </c>
      <c r="BZ1477">
        <v>3.85</v>
      </c>
      <c r="CA1477">
        <v>0.65</v>
      </c>
      <c r="CB1477">
        <v>0.04</v>
      </c>
      <c r="CC1477">
        <v>0.63</v>
      </c>
      <c r="CD1477">
        <v>0.59</v>
      </c>
      <c r="CE1477">
        <v>0.6</v>
      </c>
      <c r="CF1477">
        <v>0.56000000000000005</v>
      </c>
      <c r="CG1477">
        <v>14.1</v>
      </c>
      <c r="CH1477">
        <v>5.42</v>
      </c>
      <c r="CI1477">
        <v>2.86</v>
      </c>
      <c r="CJ1477">
        <v>97914</v>
      </c>
      <c r="CK1477">
        <v>12092</v>
      </c>
      <c r="CL1477" t="s">
        <v>7179</v>
      </c>
      <c r="CM1477">
        <v>-29.11</v>
      </c>
      <c r="CN1477">
        <v>-29.68</v>
      </c>
      <c r="CO1477">
        <v>2.2400000000000002</v>
      </c>
      <c r="CP1477">
        <v>15.83</v>
      </c>
      <c r="CQ1477">
        <v>12.24</v>
      </c>
      <c r="CR1477">
        <v>0.17</v>
      </c>
      <c r="CS1477" t="s">
        <v>145</v>
      </c>
      <c r="CT1477">
        <v>2.68</v>
      </c>
      <c r="CU1477">
        <v>0</v>
      </c>
      <c r="CV1477">
        <v>0.59</v>
      </c>
      <c r="CW1477">
        <v>0.99</v>
      </c>
      <c r="CX1477">
        <v>0.38</v>
      </c>
      <c r="CY1477">
        <v>87.73</v>
      </c>
      <c r="CZ1477" t="s">
        <v>7916</v>
      </c>
      <c r="DA1477">
        <v>45.09</v>
      </c>
      <c r="DB1477">
        <v>9.24</v>
      </c>
      <c r="DC1477">
        <v>8.51</v>
      </c>
      <c r="DD1477">
        <v>0.59</v>
      </c>
      <c r="DE1477">
        <v>1023</v>
      </c>
      <c r="DF1477">
        <v>300079</v>
      </c>
      <c r="DG1477" t="s">
        <v>116</v>
      </c>
      <c r="DH1477" t="s">
        <v>116</v>
      </c>
      <c r="DI1477" t="s">
        <v>116</v>
      </c>
    </row>
    <row r="1478" spans="1:113" x14ac:dyDescent="0.4">
      <c r="A1478" t="str">
        <f>"300080"</f>
        <v>300080</v>
      </c>
      <c r="B1478" t="s">
        <v>7917</v>
      </c>
      <c r="C1478">
        <v>-0.37</v>
      </c>
      <c r="D1478">
        <v>5.36</v>
      </c>
      <c r="E1478">
        <v>-0.02</v>
      </c>
      <c r="F1478">
        <v>5.36</v>
      </c>
      <c r="G1478">
        <v>5.37</v>
      </c>
      <c r="H1478">
        <v>48671</v>
      </c>
      <c r="I1478">
        <v>693</v>
      </c>
      <c r="J1478">
        <v>-0.18</v>
      </c>
      <c r="K1478">
        <v>0.97</v>
      </c>
      <c r="L1478">
        <v>5.38</v>
      </c>
      <c r="M1478">
        <v>5.45</v>
      </c>
      <c r="N1478">
        <v>5.35</v>
      </c>
      <c r="O1478">
        <v>5.38</v>
      </c>
      <c r="P1478">
        <v>8.51</v>
      </c>
      <c r="Q1478">
        <v>26240960</v>
      </c>
      <c r="R1478">
        <v>1.22</v>
      </c>
      <c r="S1478" t="s">
        <v>3507</v>
      </c>
      <c r="T1478" t="s">
        <v>652</v>
      </c>
      <c r="U1478">
        <v>1.86</v>
      </c>
      <c r="V1478">
        <v>5.39</v>
      </c>
      <c r="W1478">
        <v>26076</v>
      </c>
      <c r="X1478">
        <v>22595</v>
      </c>
      <c r="Y1478">
        <v>1.1499999999999999</v>
      </c>
      <c r="Z1478">
        <v>300</v>
      </c>
      <c r="AA1478">
        <v>178</v>
      </c>
      <c r="AB1478" t="s">
        <v>116</v>
      </c>
      <c r="AC1478">
        <v>244800</v>
      </c>
      <c r="AD1478">
        <v>0.01</v>
      </c>
      <c r="AE1478" t="s">
        <v>116</v>
      </c>
      <c r="AF1478" t="s">
        <v>116</v>
      </c>
      <c r="AG1478">
        <v>5.0199999999999996</v>
      </c>
      <c r="AH1478" t="s">
        <v>2946</v>
      </c>
      <c r="AI1478" t="s">
        <v>6465</v>
      </c>
      <c r="AJ1478">
        <v>0.31</v>
      </c>
      <c r="AK1478">
        <v>1220</v>
      </c>
      <c r="AL1478">
        <v>40</v>
      </c>
      <c r="AM1478">
        <v>8.0000000000000004E-4</v>
      </c>
      <c r="AN1478">
        <v>-1</v>
      </c>
      <c r="AO1478">
        <v>0.76</v>
      </c>
      <c r="AP1478">
        <v>4.28</v>
      </c>
      <c r="AQ1478">
        <v>-8.2200000000000006</v>
      </c>
      <c r="AR1478">
        <v>23.22</v>
      </c>
      <c r="AS1478">
        <v>1.22</v>
      </c>
      <c r="AT1478" t="s">
        <v>5731</v>
      </c>
      <c r="AU1478" t="s">
        <v>116</v>
      </c>
      <c r="AV1478" t="s">
        <v>116</v>
      </c>
      <c r="AW1478">
        <v>1.02</v>
      </c>
      <c r="BA1478">
        <v>0</v>
      </c>
      <c r="BB1478">
        <v>1.3</v>
      </c>
      <c r="BC1478">
        <v>-0.56000000000000005</v>
      </c>
      <c r="BD1478">
        <v>0.21</v>
      </c>
      <c r="BE1478">
        <v>-0.37</v>
      </c>
      <c r="BF1478">
        <v>-1.65</v>
      </c>
      <c r="BG1478">
        <v>0.19</v>
      </c>
      <c r="BH1478">
        <v>-0.59</v>
      </c>
      <c r="BI1478">
        <v>20191030</v>
      </c>
      <c r="BJ1478">
        <v>20100625</v>
      </c>
      <c r="BK1478">
        <v>20.239999999999998</v>
      </c>
      <c r="BL1478" t="s">
        <v>116</v>
      </c>
      <c r="BM1478" t="s">
        <v>116</v>
      </c>
      <c r="BN1478">
        <v>96.19</v>
      </c>
      <c r="BO1478">
        <v>49.94</v>
      </c>
      <c r="BP1478">
        <v>8.0399999999999991</v>
      </c>
      <c r="BQ1478">
        <v>39.729999999999997</v>
      </c>
      <c r="BR1478">
        <v>55.16</v>
      </c>
      <c r="BS1478">
        <v>28.45</v>
      </c>
      <c r="BT1478">
        <v>2.2999999999999998</v>
      </c>
      <c r="BU1478">
        <v>31.52</v>
      </c>
      <c r="BV1478">
        <v>9.42</v>
      </c>
      <c r="BW1478">
        <v>6.43</v>
      </c>
      <c r="BX1478">
        <v>6.78</v>
      </c>
      <c r="BY1478">
        <v>50.35</v>
      </c>
      <c r="BZ1478">
        <v>31.46</v>
      </c>
      <c r="CA1478">
        <v>12.44</v>
      </c>
      <c r="CB1478">
        <v>-0.04</v>
      </c>
      <c r="CC1478">
        <v>12.44</v>
      </c>
      <c r="CD1478">
        <v>10.39</v>
      </c>
      <c r="CE1478">
        <v>9.56</v>
      </c>
      <c r="CF1478">
        <v>-0.32</v>
      </c>
      <c r="CG1478">
        <v>22.41</v>
      </c>
      <c r="CH1478">
        <v>11.57</v>
      </c>
      <c r="CI1478">
        <v>10.34</v>
      </c>
      <c r="CJ1478">
        <v>27632</v>
      </c>
      <c r="CK1478">
        <v>14456</v>
      </c>
      <c r="CL1478" t="s">
        <v>7918</v>
      </c>
      <c r="CM1478">
        <v>-48.2</v>
      </c>
      <c r="CN1478">
        <v>-11.35</v>
      </c>
      <c r="CO1478">
        <v>2.17</v>
      </c>
      <c r="CP1478">
        <v>9.3800000000000008</v>
      </c>
      <c r="CQ1478">
        <v>2.15</v>
      </c>
      <c r="CR1478">
        <v>0</v>
      </c>
      <c r="CS1478" t="s">
        <v>7919</v>
      </c>
      <c r="CT1478">
        <v>2.4700000000000002</v>
      </c>
      <c r="CU1478">
        <v>0</v>
      </c>
      <c r="CV1478">
        <v>0.34</v>
      </c>
      <c r="CW1478">
        <v>1.1100000000000001</v>
      </c>
      <c r="CX1478">
        <v>0.56999999999999995</v>
      </c>
      <c r="CY1478">
        <v>51.91</v>
      </c>
      <c r="CZ1478" t="s">
        <v>7920</v>
      </c>
      <c r="DA1478">
        <v>37.51</v>
      </c>
      <c r="DB1478">
        <v>24.71</v>
      </c>
      <c r="DC1478">
        <v>18.989999999999998</v>
      </c>
      <c r="DD1478">
        <v>1.24</v>
      </c>
      <c r="DE1478">
        <v>2398</v>
      </c>
      <c r="DF1478">
        <v>300080</v>
      </c>
      <c r="DG1478" t="s">
        <v>116</v>
      </c>
      <c r="DH1478" t="s">
        <v>116</v>
      </c>
      <c r="DI1478" t="s">
        <v>116</v>
      </c>
    </row>
    <row r="1479" spans="1:113" x14ac:dyDescent="0.4">
      <c r="A1479" t="str">
        <f>"300081"</f>
        <v>300081</v>
      </c>
      <c r="B1479" t="s">
        <v>7921</v>
      </c>
      <c r="C1479">
        <v>1.43</v>
      </c>
      <c r="D1479">
        <v>10.62</v>
      </c>
      <c r="E1479">
        <v>0.15</v>
      </c>
      <c r="F1479">
        <v>10.62</v>
      </c>
      <c r="G1479">
        <v>10.63</v>
      </c>
      <c r="H1479">
        <v>268698</v>
      </c>
      <c r="I1479">
        <v>4188</v>
      </c>
      <c r="J1479">
        <v>-0.18</v>
      </c>
      <c r="K1479">
        <v>7.43</v>
      </c>
      <c r="L1479">
        <v>10.48</v>
      </c>
      <c r="M1479">
        <v>10.7</v>
      </c>
      <c r="N1479">
        <v>10.31</v>
      </c>
      <c r="O1479">
        <v>10.47</v>
      </c>
      <c r="P1479">
        <v>39.18</v>
      </c>
      <c r="Q1479">
        <v>283781920</v>
      </c>
      <c r="R1479">
        <v>0.78</v>
      </c>
      <c r="S1479" t="s">
        <v>217</v>
      </c>
      <c r="T1479" t="s">
        <v>165</v>
      </c>
      <c r="U1479">
        <v>3.72</v>
      </c>
      <c r="V1479">
        <v>10.56</v>
      </c>
      <c r="W1479">
        <v>133139</v>
      </c>
      <c r="X1479">
        <v>135559</v>
      </c>
      <c r="Y1479">
        <v>0.98</v>
      </c>
      <c r="Z1479">
        <v>141</v>
      </c>
      <c r="AA1479">
        <v>435</v>
      </c>
      <c r="AB1479" t="s">
        <v>116</v>
      </c>
      <c r="AC1479">
        <v>781800</v>
      </c>
      <c r="AD1479">
        <v>0.02</v>
      </c>
      <c r="AE1479" t="s">
        <v>116</v>
      </c>
      <c r="AF1479" t="s">
        <v>116</v>
      </c>
      <c r="AG1479">
        <v>3.62</v>
      </c>
      <c r="AH1479" t="s">
        <v>7922</v>
      </c>
      <c r="AI1479" t="s">
        <v>7923</v>
      </c>
      <c r="AJ1479">
        <v>2.11</v>
      </c>
      <c r="AK1479">
        <v>3245</v>
      </c>
      <c r="AL1479">
        <v>83</v>
      </c>
      <c r="AM1479">
        <v>2.3E-3</v>
      </c>
      <c r="AN1479">
        <v>1</v>
      </c>
      <c r="AO1479">
        <v>-0.75</v>
      </c>
      <c r="AP1479">
        <v>16.829999999999998</v>
      </c>
      <c r="AQ1479">
        <v>5.04</v>
      </c>
      <c r="AR1479">
        <v>19.329999999999998</v>
      </c>
      <c r="AS1479">
        <v>8.49</v>
      </c>
      <c r="AT1479" t="s">
        <v>3286</v>
      </c>
      <c r="AU1479">
        <v>56.31</v>
      </c>
      <c r="AV1479">
        <v>28.34</v>
      </c>
      <c r="AW1479">
        <v>1.65</v>
      </c>
      <c r="BA1479">
        <v>0.1</v>
      </c>
      <c r="BB1479">
        <v>2.2000000000000002</v>
      </c>
      <c r="BC1479">
        <v>-1.53</v>
      </c>
      <c r="BD1479">
        <v>0.87</v>
      </c>
      <c r="BE1479">
        <v>1.34</v>
      </c>
      <c r="BF1479">
        <v>-0.75</v>
      </c>
      <c r="BG1479">
        <v>3.01</v>
      </c>
      <c r="BH1479">
        <v>0.56000000000000005</v>
      </c>
      <c r="BI1479">
        <v>20191227</v>
      </c>
      <c r="BJ1479">
        <v>20100520</v>
      </c>
      <c r="BK1479">
        <v>5.29</v>
      </c>
      <c r="BL1479" t="s">
        <v>116</v>
      </c>
      <c r="BM1479" t="s">
        <v>116</v>
      </c>
      <c r="BN1479">
        <v>31.81</v>
      </c>
      <c r="BO1479">
        <v>26.58</v>
      </c>
      <c r="BP1479">
        <v>0.17</v>
      </c>
      <c r="BQ1479">
        <v>15.9</v>
      </c>
      <c r="BR1479">
        <v>17.43</v>
      </c>
      <c r="BS1479">
        <v>0.42</v>
      </c>
      <c r="BT1479">
        <v>0.79</v>
      </c>
      <c r="BU1479">
        <v>5.0599999999999996</v>
      </c>
      <c r="BV1479">
        <v>4.13</v>
      </c>
      <c r="BW1479">
        <v>3.02</v>
      </c>
      <c r="BX1479">
        <v>15.44</v>
      </c>
      <c r="BY1479">
        <v>3.98</v>
      </c>
      <c r="BZ1479">
        <v>2.23</v>
      </c>
      <c r="CA1479">
        <v>1.19</v>
      </c>
      <c r="CB1479">
        <v>-0.11</v>
      </c>
      <c r="CC1479">
        <v>1.23</v>
      </c>
      <c r="CD1479">
        <v>1.0900000000000001</v>
      </c>
      <c r="CE1479">
        <v>1.08</v>
      </c>
      <c r="CF1479">
        <v>0.1</v>
      </c>
      <c r="CG1479">
        <v>5.85</v>
      </c>
      <c r="CH1479">
        <v>-0.57999999999999996</v>
      </c>
      <c r="CI1479">
        <v>-1.7</v>
      </c>
      <c r="CJ1479">
        <v>29747</v>
      </c>
      <c r="CK1479">
        <v>10638</v>
      </c>
      <c r="CL1479" t="s">
        <v>7924</v>
      </c>
      <c r="CM1479">
        <v>-47.8</v>
      </c>
      <c r="CN1479">
        <v>-17.84</v>
      </c>
      <c r="CO1479">
        <v>2.11</v>
      </c>
      <c r="CP1479">
        <v>-96.35</v>
      </c>
      <c r="CQ1479">
        <v>14.1</v>
      </c>
      <c r="CR1479">
        <v>0</v>
      </c>
      <c r="CS1479" t="s">
        <v>7925</v>
      </c>
      <c r="CT1479">
        <v>5.0199999999999996</v>
      </c>
      <c r="CU1479">
        <v>0</v>
      </c>
      <c r="CV1479">
        <v>2.92</v>
      </c>
      <c r="CW1479">
        <v>1.1100000000000001</v>
      </c>
      <c r="CX1479">
        <v>-0.11</v>
      </c>
      <c r="CY1479">
        <v>83.57</v>
      </c>
      <c r="CZ1479" t="s">
        <v>5468</v>
      </c>
      <c r="DA1479">
        <v>44</v>
      </c>
      <c r="DB1479">
        <v>29.96</v>
      </c>
      <c r="DC1479">
        <v>27</v>
      </c>
      <c r="DD1479">
        <v>0.23</v>
      </c>
      <c r="DE1479">
        <v>820</v>
      </c>
      <c r="DF1479">
        <v>300081</v>
      </c>
      <c r="DG1479" t="s">
        <v>116</v>
      </c>
      <c r="DH1479" t="s">
        <v>116</v>
      </c>
      <c r="DI1479" t="s">
        <v>116</v>
      </c>
    </row>
    <row r="1480" spans="1:113" x14ac:dyDescent="0.4">
      <c r="A1480" t="str">
        <f>"300082"</f>
        <v>300082</v>
      </c>
      <c r="B1480" t="s">
        <v>7926</v>
      </c>
      <c r="C1480">
        <v>3.83</v>
      </c>
      <c r="D1480">
        <v>5.97</v>
      </c>
      <c r="E1480">
        <v>0.22</v>
      </c>
      <c r="F1480">
        <v>5.97</v>
      </c>
      <c r="G1480">
        <v>5.98</v>
      </c>
      <c r="H1480">
        <v>125317</v>
      </c>
      <c r="I1480">
        <v>2419</v>
      </c>
      <c r="J1480">
        <v>0</v>
      </c>
      <c r="K1480">
        <v>1.85</v>
      </c>
      <c r="L1480">
        <v>5.71</v>
      </c>
      <c r="M1480">
        <v>6.06</v>
      </c>
      <c r="N1480">
        <v>5.71</v>
      </c>
      <c r="O1480">
        <v>5.75</v>
      </c>
      <c r="P1480">
        <v>12.57</v>
      </c>
      <c r="Q1480">
        <v>74481904</v>
      </c>
      <c r="R1480">
        <v>3.15</v>
      </c>
      <c r="S1480" t="s">
        <v>891</v>
      </c>
      <c r="T1480" t="s">
        <v>434</v>
      </c>
      <c r="U1480">
        <v>6.09</v>
      </c>
      <c r="V1480">
        <v>5.94</v>
      </c>
      <c r="W1480">
        <v>64672</v>
      </c>
      <c r="X1480">
        <v>60645</v>
      </c>
      <c r="Y1480">
        <v>1.07</v>
      </c>
      <c r="Z1480">
        <v>849</v>
      </c>
      <c r="AA1480">
        <v>249</v>
      </c>
      <c r="AB1480" t="s">
        <v>116</v>
      </c>
      <c r="AC1480">
        <v>479100</v>
      </c>
      <c r="AD1480">
        <v>0.03</v>
      </c>
      <c r="AE1480" t="s">
        <v>116</v>
      </c>
      <c r="AF1480" t="s">
        <v>116</v>
      </c>
      <c r="AG1480">
        <v>6.76</v>
      </c>
      <c r="AH1480" t="s">
        <v>7927</v>
      </c>
      <c r="AI1480" t="s">
        <v>2537</v>
      </c>
      <c r="AJ1480">
        <v>4.5</v>
      </c>
      <c r="AK1480">
        <v>1803</v>
      </c>
      <c r="AL1480">
        <v>70</v>
      </c>
      <c r="AM1480">
        <v>1E-3</v>
      </c>
      <c r="AN1480">
        <v>2</v>
      </c>
      <c r="AO1480">
        <v>5.1100000000000003</v>
      </c>
      <c r="AP1480">
        <v>11.8</v>
      </c>
      <c r="AQ1480">
        <v>3.11</v>
      </c>
      <c r="AR1480">
        <v>5.38</v>
      </c>
      <c r="AS1480">
        <v>4.01</v>
      </c>
      <c r="AT1480" t="s">
        <v>4399</v>
      </c>
      <c r="AU1480">
        <v>12.87</v>
      </c>
      <c r="AV1480">
        <v>12.48</v>
      </c>
      <c r="AW1480">
        <v>0.94</v>
      </c>
      <c r="BA1480">
        <v>-0.7</v>
      </c>
      <c r="BB1480">
        <v>5.39</v>
      </c>
      <c r="BC1480">
        <v>-0.7</v>
      </c>
      <c r="BD1480">
        <v>3.36</v>
      </c>
      <c r="BE1480">
        <v>4.55</v>
      </c>
      <c r="BF1480">
        <v>-1.49</v>
      </c>
      <c r="BG1480">
        <v>4.55</v>
      </c>
      <c r="BH1480">
        <v>0.46</v>
      </c>
      <c r="BI1480">
        <v>20191025</v>
      </c>
      <c r="BJ1480">
        <v>20100520</v>
      </c>
      <c r="BK1480">
        <v>6.81</v>
      </c>
      <c r="BL1480" t="s">
        <v>116</v>
      </c>
      <c r="BM1480" t="s">
        <v>116</v>
      </c>
      <c r="BN1480">
        <v>51.31</v>
      </c>
      <c r="BO1480">
        <v>31.07</v>
      </c>
      <c r="BP1480">
        <v>1.95</v>
      </c>
      <c r="BQ1480">
        <v>35.64</v>
      </c>
      <c r="BR1480">
        <v>21.88</v>
      </c>
      <c r="BS1480">
        <v>18.670000000000002</v>
      </c>
      <c r="BT1480">
        <v>3.68</v>
      </c>
      <c r="BU1480">
        <v>16.53</v>
      </c>
      <c r="BV1480">
        <v>2.78</v>
      </c>
      <c r="BW1480">
        <v>3.71</v>
      </c>
      <c r="BX1480">
        <v>17.059999999999999</v>
      </c>
      <c r="BY1480">
        <v>45.82</v>
      </c>
      <c r="BZ1480">
        <v>40.6</v>
      </c>
      <c r="CA1480">
        <v>3.1</v>
      </c>
      <c r="CB1480">
        <v>0.09</v>
      </c>
      <c r="CC1480">
        <v>3.1</v>
      </c>
      <c r="CD1480">
        <v>2.54</v>
      </c>
      <c r="CE1480">
        <v>2.42</v>
      </c>
      <c r="CF1480">
        <v>2.35</v>
      </c>
      <c r="CG1480">
        <v>5.93</v>
      </c>
      <c r="CH1480">
        <v>10.64</v>
      </c>
      <c r="CI1480">
        <v>-0.49</v>
      </c>
      <c r="CJ1480">
        <v>22332</v>
      </c>
      <c r="CK1480">
        <v>13996</v>
      </c>
      <c r="CL1480" t="s">
        <v>7928</v>
      </c>
      <c r="CM1480">
        <v>-3.91</v>
      </c>
      <c r="CN1480">
        <v>-18.48</v>
      </c>
      <c r="CO1480">
        <v>1.31</v>
      </c>
      <c r="CP1480">
        <v>3.82</v>
      </c>
      <c r="CQ1480">
        <v>0.89</v>
      </c>
      <c r="CR1480">
        <v>5.61</v>
      </c>
      <c r="CS1480" t="s">
        <v>5052</v>
      </c>
      <c r="CT1480">
        <v>4.5599999999999996</v>
      </c>
      <c r="CU1480">
        <v>0</v>
      </c>
      <c r="CV1480">
        <v>2.5099999999999998</v>
      </c>
      <c r="CW1480">
        <v>0.87</v>
      </c>
      <c r="CX1480">
        <v>1.56</v>
      </c>
      <c r="CY1480">
        <v>60.56</v>
      </c>
      <c r="CZ1480" t="s">
        <v>6295</v>
      </c>
      <c r="DA1480">
        <v>11.4</v>
      </c>
      <c r="DB1480">
        <v>6.78</v>
      </c>
      <c r="DC1480">
        <v>5.29</v>
      </c>
      <c r="DD1480">
        <v>0.25</v>
      </c>
      <c r="DE1480">
        <v>1272</v>
      </c>
      <c r="DF1480">
        <v>300082</v>
      </c>
      <c r="DG1480" t="s">
        <v>116</v>
      </c>
      <c r="DH1480" t="s">
        <v>116</v>
      </c>
      <c r="DI1480" t="s">
        <v>116</v>
      </c>
    </row>
    <row r="1481" spans="1:113" x14ac:dyDescent="0.4">
      <c r="A1481" t="str">
        <f>"300083"</f>
        <v>300083</v>
      </c>
      <c r="B1481" t="s">
        <v>7929</v>
      </c>
      <c r="C1481">
        <v>-3.86</v>
      </c>
      <c r="D1481">
        <v>3.99</v>
      </c>
      <c r="E1481">
        <v>-0.16</v>
      </c>
      <c r="F1481">
        <v>3.99</v>
      </c>
      <c r="G1481">
        <v>4</v>
      </c>
      <c r="H1481">
        <v>605467</v>
      </c>
      <c r="I1481">
        <v>4213</v>
      </c>
      <c r="J1481">
        <v>-0.49</v>
      </c>
      <c r="K1481">
        <v>4.84</v>
      </c>
      <c r="L1481">
        <v>4.17</v>
      </c>
      <c r="M1481">
        <v>4.2300000000000004</v>
      </c>
      <c r="N1481">
        <v>3.97</v>
      </c>
      <c r="O1481">
        <v>4.1500000000000004</v>
      </c>
      <c r="P1481" t="s">
        <v>116</v>
      </c>
      <c r="Q1481">
        <v>247221216</v>
      </c>
      <c r="R1481">
        <v>0.82</v>
      </c>
      <c r="S1481" t="s">
        <v>233</v>
      </c>
      <c r="T1481" t="s">
        <v>551</v>
      </c>
      <c r="U1481">
        <v>6.27</v>
      </c>
      <c r="V1481">
        <v>4.08</v>
      </c>
      <c r="W1481">
        <v>352267</v>
      </c>
      <c r="X1481">
        <v>253200</v>
      </c>
      <c r="Y1481">
        <v>1.39</v>
      </c>
      <c r="Z1481">
        <v>2158</v>
      </c>
      <c r="AA1481">
        <v>1210</v>
      </c>
      <c r="AB1481" t="s">
        <v>116</v>
      </c>
      <c r="AC1481">
        <v>635100</v>
      </c>
      <c r="AD1481">
        <v>0.02</v>
      </c>
      <c r="AE1481" t="s">
        <v>116</v>
      </c>
      <c r="AF1481" t="s">
        <v>116</v>
      </c>
      <c r="AG1481">
        <v>12.51</v>
      </c>
      <c r="AH1481" t="s">
        <v>7930</v>
      </c>
      <c r="AI1481" t="s">
        <v>7931</v>
      </c>
      <c r="AJ1481">
        <v>-3.18</v>
      </c>
      <c r="AK1481">
        <v>3150</v>
      </c>
      <c r="AL1481">
        <v>192</v>
      </c>
      <c r="AM1481">
        <v>1.5E-3</v>
      </c>
      <c r="AN1481">
        <v>-2</v>
      </c>
      <c r="AO1481">
        <v>-1</v>
      </c>
      <c r="AP1481">
        <v>37.11</v>
      </c>
      <c r="AQ1481">
        <v>23.15</v>
      </c>
      <c r="AR1481">
        <v>69.069999999999993</v>
      </c>
      <c r="AS1481">
        <v>6.59</v>
      </c>
      <c r="AT1481" t="s">
        <v>7932</v>
      </c>
      <c r="AU1481" t="s">
        <v>116</v>
      </c>
      <c r="AV1481" t="s">
        <v>116</v>
      </c>
      <c r="AW1481">
        <v>1.8</v>
      </c>
      <c r="BA1481">
        <v>0.48</v>
      </c>
      <c r="BB1481">
        <v>1.93</v>
      </c>
      <c r="BC1481">
        <v>-4.34</v>
      </c>
      <c r="BD1481">
        <v>-1.61</v>
      </c>
      <c r="BE1481">
        <v>-4.32</v>
      </c>
      <c r="BF1481">
        <v>-5.67</v>
      </c>
      <c r="BG1481">
        <v>0.5</v>
      </c>
      <c r="BH1481">
        <v>-2.2400000000000002</v>
      </c>
      <c r="BI1481">
        <v>20191026</v>
      </c>
      <c r="BJ1481">
        <v>20100520</v>
      </c>
      <c r="BK1481">
        <v>14.31</v>
      </c>
      <c r="BL1481" t="s">
        <v>116</v>
      </c>
      <c r="BM1481" t="s">
        <v>116</v>
      </c>
      <c r="BN1481">
        <v>79.91</v>
      </c>
      <c r="BO1481">
        <v>26.76</v>
      </c>
      <c r="BP1481">
        <v>-0.02</v>
      </c>
      <c r="BQ1481">
        <v>66.540000000000006</v>
      </c>
      <c r="BR1481">
        <v>47.91</v>
      </c>
      <c r="BS1481">
        <v>8.69</v>
      </c>
      <c r="BT1481">
        <v>1.92</v>
      </c>
      <c r="BU1481">
        <v>41.22</v>
      </c>
      <c r="BV1481">
        <v>17.91</v>
      </c>
      <c r="BW1481">
        <v>15.89</v>
      </c>
      <c r="BX1481">
        <v>36.67</v>
      </c>
      <c r="BY1481">
        <v>43.82</v>
      </c>
      <c r="BZ1481">
        <v>38.75</v>
      </c>
      <c r="CA1481">
        <v>-0.61</v>
      </c>
      <c r="CB1481">
        <v>-0.75</v>
      </c>
      <c r="CC1481">
        <v>-0.56000000000000005</v>
      </c>
      <c r="CD1481">
        <v>-0.87</v>
      </c>
      <c r="CE1481">
        <v>-0.83</v>
      </c>
      <c r="CF1481">
        <v>-1.1200000000000001</v>
      </c>
      <c r="CG1481">
        <v>-25.08</v>
      </c>
      <c r="CH1481">
        <v>-1.45</v>
      </c>
      <c r="CI1481">
        <v>1.1499999999999999</v>
      </c>
      <c r="CJ1481">
        <v>42750</v>
      </c>
      <c r="CK1481">
        <v>21484</v>
      </c>
      <c r="CL1481" t="s">
        <v>6925</v>
      </c>
      <c r="CM1481">
        <v>18.66</v>
      </c>
      <c r="CN1481">
        <v>5.2</v>
      </c>
      <c r="CO1481">
        <v>2.15</v>
      </c>
      <c r="CP1481">
        <v>-39.299999999999997</v>
      </c>
      <c r="CQ1481">
        <v>1.3</v>
      </c>
      <c r="CR1481">
        <v>0</v>
      </c>
      <c r="CS1481" t="s">
        <v>7933</v>
      </c>
      <c r="CT1481">
        <v>1.86</v>
      </c>
      <c r="CU1481">
        <v>1.86</v>
      </c>
      <c r="CV1481">
        <v>2.56</v>
      </c>
      <c r="CW1481">
        <v>-1.75</v>
      </c>
      <c r="CX1481">
        <v>-0.1</v>
      </c>
      <c r="CY1481">
        <v>33.49</v>
      </c>
      <c r="CZ1481" t="s">
        <v>7934</v>
      </c>
      <c r="DA1481">
        <v>11.56</v>
      </c>
      <c r="DB1481">
        <v>-1.38</v>
      </c>
      <c r="DC1481">
        <v>-1.89</v>
      </c>
      <c r="DD1481">
        <v>0.95</v>
      </c>
      <c r="DE1481">
        <v>11306</v>
      </c>
      <c r="DF1481">
        <v>300083</v>
      </c>
      <c r="DG1481" t="s">
        <v>116</v>
      </c>
      <c r="DH1481" t="s">
        <v>116</v>
      </c>
      <c r="DI1481" t="s">
        <v>116</v>
      </c>
    </row>
    <row r="1482" spans="1:113" x14ac:dyDescent="0.4">
      <c r="A1482" t="str">
        <f>"300084"</f>
        <v>300084</v>
      </c>
      <c r="B1482" t="s">
        <v>7935</v>
      </c>
      <c r="C1482">
        <v>-0.22</v>
      </c>
      <c r="D1482">
        <v>4.47</v>
      </c>
      <c r="E1482">
        <v>-0.01</v>
      </c>
      <c r="F1482">
        <v>4.46</v>
      </c>
      <c r="G1482">
        <v>4.47</v>
      </c>
      <c r="H1482">
        <v>30737</v>
      </c>
      <c r="I1482">
        <v>658</v>
      </c>
      <c r="J1482">
        <v>0</v>
      </c>
      <c r="K1482">
        <v>0.93</v>
      </c>
      <c r="L1482">
        <v>4.4800000000000004</v>
      </c>
      <c r="M1482">
        <v>4.5199999999999996</v>
      </c>
      <c r="N1482">
        <v>4.46</v>
      </c>
      <c r="O1482">
        <v>4.4800000000000004</v>
      </c>
      <c r="P1482" t="s">
        <v>116</v>
      </c>
      <c r="Q1482">
        <v>13798197</v>
      </c>
      <c r="R1482">
        <v>0.99</v>
      </c>
      <c r="S1482" t="s">
        <v>4171</v>
      </c>
      <c r="T1482" t="s">
        <v>1122</v>
      </c>
      <c r="U1482">
        <v>1.34</v>
      </c>
      <c r="V1482">
        <v>4.49</v>
      </c>
      <c r="W1482">
        <v>16166</v>
      </c>
      <c r="X1482">
        <v>14571</v>
      </c>
      <c r="Y1482">
        <v>1.1100000000000001</v>
      </c>
      <c r="Z1482">
        <v>577</v>
      </c>
      <c r="AA1482">
        <v>97</v>
      </c>
      <c r="AB1482" t="s">
        <v>116</v>
      </c>
      <c r="AC1482">
        <v>26400</v>
      </c>
      <c r="AD1482">
        <v>0</v>
      </c>
      <c r="AE1482" t="s">
        <v>116</v>
      </c>
      <c r="AF1482" t="s">
        <v>116</v>
      </c>
      <c r="AG1482">
        <v>3.3</v>
      </c>
      <c r="AH1482" t="s">
        <v>6583</v>
      </c>
      <c r="AI1482" t="s">
        <v>4203</v>
      </c>
      <c r="AJ1482">
        <v>0.46</v>
      </c>
      <c r="AK1482">
        <v>704</v>
      </c>
      <c r="AL1482">
        <v>44</v>
      </c>
      <c r="AM1482">
        <v>1.2999999999999999E-3</v>
      </c>
      <c r="AN1482">
        <v>-1</v>
      </c>
      <c r="AO1482">
        <v>0.23</v>
      </c>
      <c r="AP1482">
        <v>1.1299999999999999</v>
      </c>
      <c r="AQ1482">
        <v>-6.49</v>
      </c>
      <c r="AR1482">
        <v>-6.49</v>
      </c>
      <c r="AS1482">
        <v>1.07</v>
      </c>
      <c r="AT1482" t="s">
        <v>1553</v>
      </c>
      <c r="AU1482">
        <v>39.68</v>
      </c>
      <c r="AV1482">
        <v>26.08</v>
      </c>
      <c r="AW1482">
        <v>0.79</v>
      </c>
      <c r="BA1482">
        <v>0</v>
      </c>
      <c r="BB1482">
        <v>0.89</v>
      </c>
      <c r="BC1482">
        <v>-0.45</v>
      </c>
      <c r="BD1482">
        <v>0.2</v>
      </c>
      <c r="BE1482">
        <v>-0.22</v>
      </c>
      <c r="BF1482">
        <v>-1.1100000000000001</v>
      </c>
      <c r="BG1482">
        <v>0.22</v>
      </c>
      <c r="BH1482">
        <v>-0.43</v>
      </c>
      <c r="BI1482">
        <v>20191026</v>
      </c>
      <c r="BJ1482">
        <v>20100520</v>
      </c>
      <c r="BK1482">
        <v>3.85</v>
      </c>
      <c r="BL1482" t="s">
        <v>116</v>
      </c>
      <c r="BM1482" t="s">
        <v>116</v>
      </c>
      <c r="BN1482">
        <v>32.67</v>
      </c>
      <c r="BO1482">
        <v>18.37</v>
      </c>
      <c r="BP1482">
        <v>0.2</v>
      </c>
      <c r="BQ1482">
        <v>43.14</v>
      </c>
      <c r="BR1482">
        <v>16.43</v>
      </c>
      <c r="BS1482">
        <v>2.77</v>
      </c>
      <c r="BT1482">
        <v>1.18</v>
      </c>
      <c r="BU1482">
        <v>10.02</v>
      </c>
      <c r="BV1482">
        <v>5.36</v>
      </c>
      <c r="BW1482">
        <v>5.83</v>
      </c>
      <c r="BX1482">
        <v>12.21</v>
      </c>
      <c r="BY1482">
        <v>3.2</v>
      </c>
      <c r="BZ1482">
        <v>2.13</v>
      </c>
      <c r="CA1482">
        <v>-0.46</v>
      </c>
      <c r="CB1482">
        <v>0.01</v>
      </c>
      <c r="CC1482">
        <v>-0.46</v>
      </c>
      <c r="CD1482">
        <v>-0.48</v>
      </c>
      <c r="CE1482">
        <v>-0.47</v>
      </c>
      <c r="CF1482">
        <v>-0.54</v>
      </c>
      <c r="CG1482">
        <v>1.69</v>
      </c>
      <c r="CH1482">
        <v>-0.77</v>
      </c>
      <c r="CI1482">
        <v>0.86</v>
      </c>
      <c r="CJ1482">
        <v>24823</v>
      </c>
      <c r="CK1482">
        <v>11600</v>
      </c>
      <c r="CL1482" t="s">
        <v>6831</v>
      </c>
      <c r="CM1482">
        <v>-93.51</v>
      </c>
      <c r="CN1482">
        <v>-1.74</v>
      </c>
      <c r="CO1482">
        <v>0.94</v>
      </c>
      <c r="CP1482">
        <v>-22.41</v>
      </c>
      <c r="CQ1482">
        <v>5.37</v>
      </c>
      <c r="CR1482">
        <v>0</v>
      </c>
      <c r="CS1482" t="s">
        <v>7936</v>
      </c>
      <c r="CT1482">
        <v>4.78</v>
      </c>
      <c r="CU1482">
        <v>0</v>
      </c>
      <c r="CV1482">
        <v>3.17</v>
      </c>
      <c r="CW1482">
        <v>0.44</v>
      </c>
      <c r="CX1482">
        <v>-0.2</v>
      </c>
      <c r="CY1482">
        <v>56.24</v>
      </c>
      <c r="CZ1482" t="s">
        <v>7937</v>
      </c>
      <c r="DA1482">
        <v>33.409999999999997</v>
      </c>
      <c r="DB1482">
        <v>-14.34</v>
      </c>
      <c r="DC1482">
        <v>-14.61</v>
      </c>
      <c r="DD1482">
        <v>0.16</v>
      </c>
      <c r="DE1482">
        <v>1038</v>
      </c>
      <c r="DF1482">
        <v>300084</v>
      </c>
      <c r="DG1482" t="s">
        <v>116</v>
      </c>
      <c r="DH1482" t="s">
        <v>116</v>
      </c>
      <c r="DI1482" t="s">
        <v>116</v>
      </c>
    </row>
    <row r="1483" spans="1:113" x14ac:dyDescent="0.4">
      <c r="A1483" t="str">
        <f>"300085"</f>
        <v>300085</v>
      </c>
      <c r="B1483" t="s">
        <v>7938</v>
      </c>
      <c r="C1483">
        <v>-3.09</v>
      </c>
      <c r="D1483">
        <v>15.7</v>
      </c>
      <c r="E1483">
        <v>-0.5</v>
      </c>
      <c r="F1483">
        <v>15.69</v>
      </c>
      <c r="G1483">
        <v>15.7</v>
      </c>
      <c r="H1483">
        <v>156371</v>
      </c>
      <c r="I1483">
        <v>2569</v>
      </c>
      <c r="J1483">
        <v>-0.05</v>
      </c>
      <c r="K1483">
        <v>3.77</v>
      </c>
      <c r="L1483">
        <v>16.28</v>
      </c>
      <c r="M1483">
        <v>16.38</v>
      </c>
      <c r="N1483">
        <v>15.65</v>
      </c>
      <c r="O1483">
        <v>16.2</v>
      </c>
      <c r="P1483">
        <v>7230.35</v>
      </c>
      <c r="Q1483">
        <v>250894800</v>
      </c>
      <c r="R1483">
        <v>1.08</v>
      </c>
      <c r="S1483" t="s">
        <v>607</v>
      </c>
      <c r="T1483" t="s">
        <v>115</v>
      </c>
      <c r="U1483">
        <v>4.51</v>
      </c>
      <c r="V1483">
        <v>16.04</v>
      </c>
      <c r="W1483">
        <v>89183</v>
      </c>
      <c r="X1483">
        <v>67188</v>
      </c>
      <c r="Y1483">
        <v>1.33</v>
      </c>
      <c r="Z1483">
        <v>72</v>
      </c>
      <c r="AA1483">
        <v>820</v>
      </c>
      <c r="AB1483" t="s">
        <v>116</v>
      </c>
      <c r="AC1483">
        <v>1940600</v>
      </c>
      <c r="AD1483">
        <v>0.04</v>
      </c>
      <c r="AE1483" t="s">
        <v>116</v>
      </c>
      <c r="AF1483" t="s">
        <v>116</v>
      </c>
      <c r="AG1483">
        <v>4.1500000000000004</v>
      </c>
      <c r="AH1483" t="s">
        <v>7939</v>
      </c>
      <c r="AI1483" t="s">
        <v>7940</v>
      </c>
      <c r="AJ1483">
        <v>-2.41</v>
      </c>
      <c r="AK1483">
        <v>3282</v>
      </c>
      <c r="AL1483">
        <v>48</v>
      </c>
      <c r="AM1483">
        <v>1.1000000000000001E-3</v>
      </c>
      <c r="AN1483">
        <v>-1</v>
      </c>
      <c r="AO1483">
        <v>-0.56999999999999995</v>
      </c>
      <c r="AP1483">
        <v>4.95</v>
      </c>
      <c r="AQ1483">
        <v>2.2799999999999998</v>
      </c>
      <c r="AR1483">
        <v>97.73</v>
      </c>
      <c r="AS1483">
        <v>4.83</v>
      </c>
      <c r="AT1483" t="s">
        <v>7941</v>
      </c>
      <c r="AU1483">
        <v>333.51</v>
      </c>
      <c r="AV1483">
        <v>310.32</v>
      </c>
      <c r="AW1483">
        <v>2.48</v>
      </c>
      <c r="BA1483">
        <v>0.49</v>
      </c>
      <c r="BB1483">
        <v>1.1100000000000001</v>
      </c>
      <c r="BC1483">
        <v>-3.4</v>
      </c>
      <c r="BD1483">
        <v>-0.96</v>
      </c>
      <c r="BE1483">
        <v>-3.56</v>
      </c>
      <c r="BF1483">
        <v>-4.1500000000000004</v>
      </c>
      <c r="BG1483">
        <v>0.32</v>
      </c>
      <c r="BH1483">
        <v>-2.13</v>
      </c>
      <c r="BI1483">
        <v>20191030</v>
      </c>
      <c r="BJ1483">
        <v>20100526</v>
      </c>
      <c r="BK1483">
        <v>7.07</v>
      </c>
      <c r="BL1483" t="s">
        <v>116</v>
      </c>
      <c r="BM1483" t="s">
        <v>116</v>
      </c>
      <c r="BN1483">
        <v>21</v>
      </c>
      <c r="BO1483">
        <v>13.53</v>
      </c>
      <c r="BP1483">
        <v>0.15</v>
      </c>
      <c r="BQ1483">
        <v>34.86</v>
      </c>
      <c r="BR1483">
        <v>12.68</v>
      </c>
      <c r="BS1483">
        <v>0.14000000000000001</v>
      </c>
      <c r="BT1483">
        <v>0.42</v>
      </c>
      <c r="BU1483">
        <v>5.85</v>
      </c>
      <c r="BV1483">
        <v>1.1299999999999999</v>
      </c>
      <c r="BW1483">
        <v>4.47</v>
      </c>
      <c r="BX1483">
        <v>3.89</v>
      </c>
      <c r="BY1483">
        <v>8.44</v>
      </c>
      <c r="BZ1483">
        <v>5.83</v>
      </c>
      <c r="CA1483">
        <v>0.02</v>
      </c>
      <c r="CB1483">
        <v>-7.0000000000000007E-2</v>
      </c>
      <c r="CC1483">
        <v>0.02</v>
      </c>
      <c r="CD1483">
        <v>0.01</v>
      </c>
      <c r="CE1483">
        <v>0.01</v>
      </c>
      <c r="CF1483">
        <v>-0.19</v>
      </c>
      <c r="CG1483">
        <v>2.4</v>
      </c>
      <c r="CH1483">
        <v>-1.45</v>
      </c>
      <c r="CI1483">
        <v>-1.38</v>
      </c>
      <c r="CJ1483">
        <v>58737</v>
      </c>
      <c r="CK1483">
        <v>5515</v>
      </c>
      <c r="CL1483" t="s">
        <v>7942</v>
      </c>
      <c r="CM1483">
        <v>-68.36</v>
      </c>
      <c r="CN1483">
        <v>-13.99</v>
      </c>
      <c r="CO1483">
        <v>8.1999999999999993</v>
      </c>
      <c r="CP1483">
        <v>-76.709999999999994</v>
      </c>
      <c r="CQ1483">
        <v>13.15</v>
      </c>
      <c r="CR1483">
        <v>0.13</v>
      </c>
      <c r="CS1483" t="s">
        <v>1018</v>
      </c>
      <c r="CT1483">
        <v>1.91</v>
      </c>
      <c r="CU1483">
        <v>0</v>
      </c>
      <c r="CV1483">
        <v>0.55000000000000004</v>
      </c>
      <c r="CW1483">
        <v>0.34</v>
      </c>
      <c r="CX1483">
        <v>-0.2</v>
      </c>
      <c r="CY1483">
        <v>64.44</v>
      </c>
      <c r="CZ1483" t="s">
        <v>5544</v>
      </c>
      <c r="DA1483">
        <v>30.96</v>
      </c>
      <c r="DB1483">
        <v>0.22</v>
      </c>
      <c r="DC1483">
        <v>0.14000000000000001</v>
      </c>
      <c r="DD1483">
        <v>0.43</v>
      </c>
      <c r="DE1483">
        <v>742</v>
      </c>
      <c r="DF1483">
        <v>300085</v>
      </c>
      <c r="DG1483" t="s">
        <v>116</v>
      </c>
      <c r="DH1483" t="s">
        <v>116</v>
      </c>
      <c r="DI1483" t="s">
        <v>116</v>
      </c>
    </row>
    <row r="1484" spans="1:113" x14ac:dyDescent="0.4">
      <c r="A1484" t="str">
        <f>"300086"</f>
        <v>300086</v>
      </c>
      <c r="B1484" t="s">
        <v>7943</v>
      </c>
      <c r="C1484">
        <v>-0.84</v>
      </c>
      <c r="D1484">
        <v>4.7300000000000004</v>
      </c>
      <c r="E1484">
        <v>-0.04</v>
      </c>
      <c r="F1484">
        <v>4.7300000000000004</v>
      </c>
      <c r="G1484">
        <v>4.74</v>
      </c>
      <c r="H1484">
        <v>42390</v>
      </c>
      <c r="I1484">
        <v>250</v>
      </c>
      <c r="J1484">
        <v>-0.2</v>
      </c>
      <c r="K1484">
        <v>0.97</v>
      </c>
      <c r="L1484">
        <v>4.7699999999999996</v>
      </c>
      <c r="M1484">
        <v>4.8099999999999996</v>
      </c>
      <c r="N1484">
        <v>4.7300000000000004</v>
      </c>
      <c r="O1484">
        <v>4.7699999999999996</v>
      </c>
      <c r="P1484">
        <v>963.35</v>
      </c>
      <c r="Q1484">
        <v>20239862</v>
      </c>
      <c r="R1484">
        <v>0.99</v>
      </c>
      <c r="S1484" t="s">
        <v>574</v>
      </c>
      <c r="T1484" t="s">
        <v>851</v>
      </c>
      <c r="U1484">
        <v>1.68</v>
      </c>
      <c r="V1484">
        <v>4.7699999999999996</v>
      </c>
      <c r="W1484">
        <v>23704</v>
      </c>
      <c r="X1484">
        <v>18686</v>
      </c>
      <c r="Y1484">
        <v>1.27</v>
      </c>
      <c r="Z1484">
        <v>265</v>
      </c>
      <c r="AA1484">
        <v>20</v>
      </c>
      <c r="AB1484" t="s">
        <v>116</v>
      </c>
      <c r="AC1484">
        <v>50100</v>
      </c>
      <c r="AD1484">
        <v>0</v>
      </c>
      <c r="AE1484" t="s">
        <v>116</v>
      </c>
      <c r="AF1484" t="s">
        <v>116</v>
      </c>
      <c r="AG1484">
        <v>4.3600000000000003</v>
      </c>
      <c r="AH1484" t="s">
        <v>7944</v>
      </c>
      <c r="AI1484" t="s">
        <v>2793</v>
      </c>
      <c r="AJ1484">
        <v>-0.16</v>
      </c>
      <c r="AK1484">
        <v>923</v>
      </c>
      <c r="AL1484">
        <v>46</v>
      </c>
      <c r="AM1484">
        <v>1.1000000000000001E-3</v>
      </c>
      <c r="AN1484">
        <v>-1</v>
      </c>
      <c r="AO1484">
        <v>-1.05</v>
      </c>
      <c r="AP1484">
        <v>4.6500000000000004</v>
      </c>
      <c r="AQ1484">
        <v>-3.47</v>
      </c>
      <c r="AR1484">
        <v>-19.149999999999999</v>
      </c>
      <c r="AS1484">
        <v>1.68</v>
      </c>
      <c r="AT1484" t="s">
        <v>3942</v>
      </c>
      <c r="AU1484" t="s">
        <v>116</v>
      </c>
      <c r="AV1484">
        <v>159.24</v>
      </c>
      <c r="AW1484">
        <v>0.91</v>
      </c>
      <c r="BA1484">
        <v>0</v>
      </c>
      <c r="BB1484">
        <v>0.84</v>
      </c>
      <c r="BC1484">
        <v>-0.84</v>
      </c>
      <c r="BD1484">
        <v>0.1</v>
      </c>
      <c r="BE1484">
        <v>-0.84</v>
      </c>
      <c r="BF1484">
        <v>-1.66</v>
      </c>
      <c r="BG1484">
        <v>0</v>
      </c>
      <c r="BH1484">
        <v>-0.94</v>
      </c>
      <c r="BI1484">
        <v>20191031</v>
      </c>
      <c r="BJ1484">
        <v>20100526</v>
      </c>
      <c r="BK1484">
        <v>4.5</v>
      </c>
      <c r="BL1484" t="s">
        <v>116</v>
      </c>
      <c r="BM1484" t="s">
        <v>116</v>
      </c>
      <c r="BN1484">
        <v>21.93</v>
      </c>
      <c r="BO1484">
        <v>15.45</v>
      </c>
      <c r="BP1484">
        <v>1.31</v>
      </c>
      <c r="BQ1484">
        <v>23.58</v>
      </c>
      <c r="BR1484">
        <v>5.4</v>
      </c>
      <c r="BS1484">
        <v>3.29</v>
      </c>
      <c r="BT1484">
        <v>1.93</v>
      </c>
      <c r="BU1484">
        <v>4.26</v>
      </c>
      <c r="BV1484">
        <v>1.32</v>
      </c>
      <c r="BW1484">
        <v>1.27</v>
      </c>
      <c r="BX1484">
        <v>8.2100000000000009</v>
      </c>
      <c r="BY1484">
        <v>7.63</v>
      </c>
      <c r="BZ1484">
        <v>4.03</v>
      </c>
      <c r="CA1484">
        <v>0.16</v>
      </c>
      <c r="CB1484">
        <v>0.04</v>
      </c>
      <c r="CC1484">
        <v>0.18</v>
      </c>
      <c r="CD1484">
        <v>7.0000000000000007E-2</v>
      </c>
      <c r="CE1484">
        <v>0.02</v>
      </c>
      <c r="CF1484">
        <v>-0.05</v>
      </c>
      <c r="CG1484">
        <v>1.6</v>
      </c>
      <c r="CH1484">
        <v>7.0000000000000007E-2</v>
      </c>
      <c r="CI1484">
        <v>-0.21</v>
      </c>
      <c r="CJ1484">
        <v>20028</v>
      </c>
      <c r="CK1484">
        <v>12582</v>
      </c>
      <c r="CL1484" t="s">
        <v>1162</v>
      </c>
      <c r="CM1484">
        <v>-96.36</v>
      </c>
      <c r="CN1484">
        <v>19.71</v>
      </c>
      <c r="CO1484">
        <v>1.38</v>
      </c>
      <c r="CP1484">
        <v>309.05</v>
      </c>
      <c r="CQ1484">
        <v>2.79</v>
      </c>
      <c r="CR1484">
        <v>3.17</v>
      </c>
      <c r="CS1484" t="s">
        <v>2001</v>
      </c>
      <c r="CT1484">
        <v>3.43</v>
      </c>
      <c r="CU1484">
        <v>0</v>
      </c>
      <c r="CV1484">
        <v>1.82</v>
      </c>
      <c r="CW1484">
        <v>0.36</v>
      </c>
      <c r="CX1484">
        <v>0.02</v>
      </c>
      <c r="CY1484">
        <v>70.44</v>
      </c>
      <c r="CZ1484" t="s">
        <v>564</v>
      </c>
      <c r="DA1484">
        <v>47.13</v>
      </c>
      <c r="DB1484">
        <v>2.16</v>
      </c>
      <c r="DC1484">
        <v>0.22</v>
      </c>
      <c r="DD1484">
        <v>0.11</v>
      </c>
      <c r="DE1484">
        <v>1587</v>
      </c>
      <c r="DF1484">
        <v>300086</v>
      </c>
      <c r="DG1484" t="s">
        <v>116</v>
      </c>
      <c r="DH1484" t="s">
        <v>116</v>
      </c>
      <c r="DI1484" t="s">
        <v>116</v>
      </c>
    </row>
    <row r="1485" spans="1:113" x14ac:dyDescent="0.4">
      <c r="A1485" t="str">
        <f>"300087"</f>
        <v>300087</v>
      </c>
      <c r="B1485" t="s">
        <v>7945</v>
      </c>
      <c r="C1485">
        <v>0.68</v>
      </c>
      <c r="D1485">
        <v>8.82</v>
      </c>
      <c r="E1485">
        <v>0.06</v>
      </c>
      <c r="F1485">
        <v>8.81</v>
      </c>
      <c r="G1485">
        <v>8.82</v>
      </c>
      <c r="H1485">
        <v>34347</v>
      </c>
      <c r="I1485">
        <v>870</v>
      </c>
      <c r="J1485">
        <v>0.23</v>
      </c>
      <c r="K1485">
        <v>0.87</v>
      </c>
      <c r="L1485">
        <v>8.76</v>
      </c>
      <c r="M1485">
        <v>8.9</v>
      </c>
      <c r="N1485">
        <v>8.69</v>
      </c>
      <c r="O1485">
        <v>8.76</v>
      </c>
      <c r="P1485" t="s">
        <v>116</v>
      </c>
      <c r="Q1485">
        <v>30168136</v>
      </c>
      <c r="R1485">
        <v>1.01</v>
      </c>
      <c r="S1485" t="s">
        <v>1871</v>
      </c>
      <c r="T1485" t="s">
        <v>575</v>
      </c>
      <c r="U1485">
        <v>2.4</v>
      </c>
      <c r="V1485">
        <v>8.7799999999999994</v>
      </c>
      <c r="W1485">
        <v>17609</v>
      </c>
      <c r="X1485">
        <v>16738</v>
      </c>
      <c r="Y1485">
        <v>1.05</v>
      </c>
      <c r="Z1485">
        <v>404</v>
      </c>
      <c r="AA1485">
        <v>153</v>
      </c>
      <c r="AB1485" t="s">
        <v>116</v>
      </c>
      <c r="AC1485">
        <v>9600</v>
      </c>
      <c r="AD1485">
        <v>0</v>
      </c>
      <c r="AE1485" t="s">
        <v>116</v>
      </c>
      <c r="AF1485" t="s">
        <v>116</v>
      </c>
      <c r="AG1485">
        <v>3.94</v>
      </c>
      <c r="AH1485" t="s">
        <v>3449</v>
      </c>
      <c r="AI1485" t="s">
        <v>6264</v>
      </c>
      <c r="AJ1485">
        <v>1.36</v>
      </c>
      <c r="AK1485">
        <v>702</v>
      </c>
      <c r="AL1485">
        <v>49</v>
      </c>
      <c r="AM1485">
        <v>1.1999999999999999E-3</v>
      </c>
      <c r="AN1485">
        <v>1</v>
      </c>
      <c r="AO1485">
        <v>-1.78</v>
      </c>
      <c r="AP1485">
        <v>13.81</v>
      </c>
      <c r="AQ1485">
        <v>10.25</v>
      </c>
      <c r="AR1485">
        <v>-13.78</v>
      </c>
      <c r="AS1485">
        <v>1.73</v>
      </c>
      <c r="AT1485" t="s">
        <v>5842</v>
      </c>
      <c r="AU1485">
        <v>47.5</v>
      </c>
      <c r="AV1485">
        <v>55.55</v>
      </c>
      <c r="AW1485">
        <v>0.27</v>
      </c>
      <c r="BA1485">
        <v>0</v>
      </c>
      <c r="BB1485">
        <v>1.6</v>
      </c>
      <c r="BC1485">
        <v>-0.8</v>
      </c>
      <c r="BD1485">
        <v>0.27</v>
      </c>
      <c r="BE1485">
        <v>0.68</v>
      </c>
      <c r="BF1485">
        <v>-0.9</v>
      </c>
      <c r="BG1485">
        <v>1.5</v>
      </c>
      <c r="BH1485">
        <v>0.42</v>
      </c>
      <c r="BI1485">
        <v>20191216</v>
      </c>
      <c r="BJ1485">
        <v>20100526</v>
      </c>
      <c r="BK1485">
        <v>4.3</v>
      </c>
      <c r="BL1485" t="s">
        <v>116</v>
      </c>
      <c r="BM1485" t="s">
        <v>116</v>
      </c>
      <c r="BN1485">
        <v>17.62</v>
      </c>
      <c r="BO1485">
        <v>7.01</v>
      </c>
      <c r="BP1485">
        <v>1.94</v>
      </c>
      <c r="BQ1485">
        <v>49.18</v>
      </c>
      <c r="BR1485">
        <v>13.55</v>
      </c>
      <c r="BS1485">
        <v>1.99</v>
      </c>
      <c r="BT1485">
        <v>0.95</v>
      </c>
      <c r="BU1485">
        <v>8.27</v>
      </c>
      <c r="BV1485">
        <v>5.93</v>
      </c>
      <c r="BW1485">
        <v>0.23</v>
      </c>
      <c r="BX1485">
        <v>1.7</v>
      </c>
      <c r="BY1485">
        <v>3.17</v>
      </c>
      <c r="BZ1485">
        <v>2.1</v>
      </c>
      <c r="CA1485">
        <v>-0.56999999999999995</v>
      </c>
      <c r="CB1485">
        <v>0.11</v>
      </c>
      <c r="CC1485">
        <v>-0.56000000000000005</v>
      </c>
      <c r="CD1485">
        <v>-0.56000000000000005</v>
      </c>
      <c r="CE1485">
        <v>-0.28999999999999998</v>
      </c>
      <c r="CF1485">
        <v>-0.44</v>
      </c>
      <c r="CG1485">
        <v>1.35</v>
      </c>
      <c r="CH1485">
        <v>0.75</v>
      </c>
      <c r="CI1485">
        <v>-0.56000000000000005</v>
      </c>
      <c r="CJ1485">
        <v>10140</v>
      </c>
      <c r="CK1485">
        <v>19561</v>
      </c>
      <c r="CL1485" t="s">
        <v>7946</v>
      </c>
      <c r="CM1485">
        <v>28.64</v>
      </c>
      <c r="CN1485">
        <v>17.37</v>
      </c>
      <c r="CO1485">
        <v>5.41</v>
      </c>
      <c r="CP1485">
        <v>50.69</v>
      </c>
      <c r="CQ1485">
        <v>11.97</v>
      </c>
      <c r="CR1485">
        <v>0.33</v>
      </c>
      <c r="CS1485" t="s">
        <v>4719</v>
      </c>
      <c r="CT1485">
        <v>1.63</v>
      </c>
      <c r="CU1485">
        <v>0</v>
      </c>
      <c r="CV1485">
        <v>0.39</v>
      </c>
      <c r="CW1485">
        <v>0.31</v>
      </c>
      <c r="CX1485">
        <v>0.17</v>
      </c>
      <c r="CY1485">
        <v>39.82</v>
      </c>
      <c r="CZ1485" t="s">
        <v>7947</v>
      </c>
      <c r="DA1485">
        <v>33.729999999999997</v>
      </c>
      <c r="DB1485">
        <v>-17.88</v>
      </c>
      <c r="DC1485">
        <v>-9.1</v>
      </c>
      <c r="DD1485">
        <v>0.31</v>
      </c>
      <c r="DE1485">
        <v>745</v>
      </c>
      <c r="DF1485">
        <v>300087</v>
      </c>
      <c r="DG1485" t="s">
        <v>116</v>
      </c>
      <c r="DH1485" t="s">
        <v>116</v>
      </c>
      <c r="DI1485" t="s">
        <v>116</v>
      </c>
    </row>
    <row r="1486" spans="1:113" x14ac:dyDescent="0.4">
      <c r="A1486" t="str">
        <f>"300088"</f>
        <v>300088</v>
      </c>
      <c r="B1486" t="s">
        <v>7948</v>
      </c>
      <c r="C1486">
        <v>-4.6500000000000004</v>
      </c>
      <c r="D1486">
        <v>9.85</v>
      </c>
      <c r="E1486">
        <v>-0.48</v>
      </c>
      <c r="F1486">
        <v>9.85</v>
      </c>
      <c r="G1486">
        <v>9.86</v>
      </c>
      <c r="H1486">
        <v>1913072</v>
      </c>
      <c r="I1486">
        <v>17614</v>
      </c>
      <c r="J1486">
        <v>-0.19</v>
      </c>
      <c r="K1486">
        <v>8.43</v>
      </c>
      <c r="L1486">
        <v>10.37</v>
      </c>
      <c r="M1486">
        <v>10.37</v>
      </c>
      <c r="N1486">
        <v>9.83</v>
      </c>
      <c r="O1486">
        <v>10.33</v>
      </c>
      <c r="P1486">
        <v>23.99</v>
      </c>
      <c r="Q1486">
        <v>1923600384</v>
      </c>
      <c r="R1486">
        <v>1.1100000000000001</v>
      </c>
      <c r="S1486" t="s">
        <v>233</v>
      </c>
      <c r="T1486" t="s">
        <v>575</v>
      </c>
      <c r="U1486">
        <v>5.23</v>
      </c>
      <c r="V1486">
        <v>10.06</v>
      </c>
      <c r="W1486">
        <v>1066160</v>
      </c>
      <c r="X1486">
        <v>846912</v>
      </c>
      <c r="Y1486">
        <v>1.26</v>
      </c>
      <c r="Z1486">
        <v>3854</v>
      </c>
      <c r="AA1486">
        <v>1037</v>
      </c>
      <c r="AB1486" t="s">
        <v>116</v>
      </c>
      <c r="AC1486">
        <v>7599100</v>
      </c>
      <c r="AD1486">
        <v>0.04</v>
      </c>
      <c r="AE1486" t="s">
        <v>116</v>
      </c>
      <c r="AF1486" t="s">
        <v>116</v>
      </c>
      <c r="AG1486">
        <v>22.7</v>
      </c>
      <c r="AH1486" t="s">
        <v>7949</v>
      </c>
      <c r="AI1486" t="s">
        <v>7950</v>
      </c>
      <c r="AJ1486">
        <v>-3.97</v>
      </c>
      <c r="AK1486">
        <v>4705</v>
      </c>
      <c r="AL1486">
        <v>407</v>
      </c>
      <c r="AM1486">
        <v>1.8E-3</v>
      </c>
      <c r="AN1486">
        <v>-1</v>
      </c>
      <c r="AO1486">
        <v>-6.29</v>
      </c>
      <c r="AP1486">
        <v>24.06</v>
      </c>
      <c r="AQ1486">
        <v>32.04</v>
      </c>
      <c r="AR1486">
        <v>145.02000000000001</v>
      </c>
      <c r="AS1486">
        <v>10.67</v>
      </c>
      <c r="AT1486" t="s">
        <v>7951</v>
      </c>
      <c r="AU1486">
        <v>27.91</v>
      </c>
      <c r="AV1486">
        <v>31.98</v>
      </c>
      <c r="AW1486">
        <v>1.85</v>
      </c>
      <c r="BA1486">
        <v>0.39</v>
      </c>
      <c r="BB1486">
        <v>0.39</v>
      </c>
      <c r="BC1486">
        <v>-4.84</v>
      </c>
      <c r="BD1486">
        <v>-2.66</v>
      </c>
      <c r="BE1486">
        <v>-5.01</v>
      </c>
      <c r="BF1486">
        <v>-5.01</v>
      </c>
      <c r="BG1486">
        <v>0.2</v>
      </c>
      <c r="BH1486">
        <v>-1.98</v>
      </c>
      <c r="BI1486">
        <v>20191202</v>
      </c>
      <c r="BJ1486">
        <v>20100526</v>
      </c>
      <c r="BK1486">
        <v>23.12</v>
      </c>
      <c r="BL1486" t="s">
        <v>116</v>
      </c>
      <c r="BM1486" t="s">
        <v>116</v>
      </c>
      <c r="BN1486">
        <v>90.63</v>
      </c>
      <c r="BO1486">
        <v>55.33</v>
      </c>
      <c r="BP1486">
        <v>0.54</v>
      </c>
      <c r="BQ1486">
        <v>38.35</v>
      </c>
      <c r="BR1486">
        <v>33.15</v>
      </c>
      <c r="BS1486">
        <v>30.18</v>
      </c>
      <c r="BT1486">
        <v>1.41</v>
      </c>
      <c r="BU1486">
        <v>23.58</v>
      </c>
      <c r="BV1486">
        <v>3.76</v>
      </c>
      <c r="BW1486">
        <v>13.1</v>
      </c>
      <c r="BX1486">
        <v>3.25</v>
      </c>
      <c r="BY1486">
        <v>46.44</v>
      </c>
      <c r="BZ1486">
        <v>34.17</v>
      </c>
      <c r="CA1486">
        <v>8.56</v>
      </c>
      <c r="CB1486">
        <v>-0.28000000000000003</v>
      </c>
      <c r="CC1486">
        <v>8.57</v>
      </c>
      <c r="CD1486">
        <v>7.21</v>
      </c>
      <c r="CE1486">
        <v>7.12</v>
      </c>
      <c r="CF1486">
        <v>6.96</v>
      </c>
      <c r="CG1486">
        <v>24.7</v>
      </c>
      <c r="CH1486">
        <v>11.47</v>
      </c>
      <c r="CI1486">
        <v>-3.22</v>
      </c>
      <c r="CJ1486">
        <v>85664</v>
      </c>
      <c r="CK1486">
        <v>20920</v>
      </c>
      <c r="CL1486" t="s">
        <v>7952</v>
      </c>
      <c r="CM1486">
        <v>17.09</v>
      </c>
      <c r="CN1486">
        <v>-34.86</v>
      </c>
      <c r="CO1486">
        <v>4.26</v>
      </c>
      <c r="CP1486">
        <v>19.850000000000001</v>
      </c>
      <c r="CQ1486">
        <v>4.9000000000000004</v>
      </c>
      <c r="CR1486">
        <v>1.31</v>
      </c>
      <c r="CS1486" t="s">
        <v>1565</v>
      </c>
      <c r="CT1486">
        <v>2.31</v>
      </c>
      <c r="CU1486">
        <v>2.31</v>
      </c>
      <c r="CV1486">
        <v>0.14000000000000001</v>
      </c>
      <c r="CW1486">
        <v>1.07</v>
      </c>
      <c r="CX1486">
        <v>0.5</v>
      </c>
      <c r="CY1486">
        <v>61.05</v>
      </c>
      <c r="CZ1486" t="s">
        <v>7953</v>
      </c>
      <c r="DA1486">
        <v>26.44</v>
      </c>
      <c r="DB1486">
        <v>18.440000000000001</v>
      </c>
      <c r="DC1486">
        <v>15.33</v>
      </c>
      <c r="DD1486">
        <v>1.34</v>
      </c>
      <c r="DE1486">
        <v>14697</v>
      </c>
      <c r="DF1486">
        <v>300088</v>
      </c>
      <c r="DG1486" t="s">
        <v>116</v>
      </c>
      <c r="DH1486" t="s">
        <v>116</v>
      </c>
      <c r="DI1486" t="s">
        <v>116</v>
      </c>
    </row>
    <row r="1487" spans="1:113" x14ac:dyDescent="0.4">
      <c r="A1487" t="str">
        <f>"300089"</f>
        <v>300089</v>
      </c>
      <c r="B1487" t="s">
        <v>7954</v>
      </c>
      <c r="C1487">
        <v>-1.91</v>
      </c>
      <c r="D1487">
        <v>3.59</v>
      </c>
      <c r="E1487">
        <v>-7.0000000000000007E-2</v>
      </c>
      <c r="F1487">
        <v>3.58</v>
      </c>
      <c r="G1487">
        <v>3.59</v>
      </c>
      <c r="H1487">
        <v>277561</v>
      </c>
      <c r="I1487">
        <v>3047</v>
      </c>
      <c r="J1487">
        <v>-0.27</v>
      </c>
      <c r="K1487">
        <v>9.99</v>
      </c>
      <c r="L1487">
        <v>3.63</v>
      </c>
      <c r="M1487">
        <v>3.75</v>
      </c>
      <c r="N1487">
        <v>3.58</v>
      </c>
      <c r="O1487">
        <v>3.66</v>
      </c>
      <c r="P1487" t="s">
        <v>116</v>
      </c>
      <c r="Q1487">
        <v>101728752</v>
      </c>
      <c r="R1487">
        <v>0.76</v>
      </c>
      <c r="S1487" t="s">
        <v>217</v>
      </c>
      <c r="T1487" t="s">
        <v>551</v>
      </c>
      <c r="U1487">
        <v>4.6399999999999997</v>
      </c>
      <c r="V1487">
        <v>3.67</v>
      </c>
      <c r="W1487">
        <v>156704</v>
      </c>
      <c r="X1487">
        <v>120857</v>
      </c>
      <c r="Y1487">
        <v>1.3</v>
      </c>
      <c r="Z1487">
        <v>2979</v>
      </c>
      <c r="AA1487">
        <v>2490</v>
      </c>
      <c r="AB1487" t="s">
        <v>116</v>
      </c>
      <c r="AC1487">
        <v>1166300</v>
      </c>
      <c r="AD1487">
        <v>0.14000000000000001</v>
      </c>
      <c r="AE1487" t="s">
        <v>116</v>
      </c>
      <c r="AF1487" t="s">
        <v>116</v>
      </c>
      <c r="AG1487">
        <v>2.78</v>
      </c>
      <c r="AH1487" t="s">
        <v>7955</v>
      </c>
      <c r="AI1487" t="s">
        <v>7956</v>
      </c>
      <c r="AJ1487">
        <v>-1.23</v>
      </c>
      <c r="AK1487">
        <v>2495</v>
      </c>
      <c r="AL1487">
        <v>111</v>
      </c>
      <c r="AM1487">
        <v>4.0000000000000001E-3</v>
      </c>
      <c r="AN1487">
        <v>-1</v>
      </c>
      <c r="AO1487">
        <v>-1.1000000000000001</v>
      </c>
      <c r="AP1487">
        <v>-12.65</v>
      </c>
      <c r="AQ1487">
        <v>6.21</v>
      </c>
      <c r="AR1487">
        <v>-32.39</v>
      </c>
      <c r="AS1487">
        <v>12.43</v>
      </c>
      <c r="AT1487" t="s">
        <v>7957</v>
      </c>
      <c r="AU1487">
        <v>31.32</v>
      </c>
      <c r="AV1487">
        <v>8.43</v>
      </c>
      <c r="AW1487">
        <v>1.53</v>
      </c>
      <c r="BA1487">
        <v>-0.82</v>
      </c>
      <c r="BB1487">
        <v>2.46</v>
      </c>
      <c r="BC1487">
        <v>-2.19</v>
      </c>
      <c r="BD1487">
        <v>0.14000000000000001</v>
      </c>
      <c r="BE1487">
        <v>-1.1000000000000001</v>
      </c>
      <c r="BF1487">
        <v>-4.2699999999999996</v>
      </c>
      <c r="BG1487">
        <v>0.28000000000000003</v>
      </c>
      <c r="BH1487">
        <v>-2.0499999999999998</v>
      </c>
      <c r="BI1487">
        <v>20191212</v>
      </c>
      <c r="BJ1487">
        <v>20100625</v>
      </c>
      <c r="BK1487">
        <v>4.8099999999999996</v>
      </c>
      <c r="BL1487" t="s">
        <v>116</v>
      </c>
      <c r="BM1487" t="s">
        <v>116</v>
      </c>
      <c r="BN1487">
        <v>40.340000000000003</v>
      </c>
      <c r="BO1487">
        <v>22.58</v>
      </c>
      <c r="BP1487">
        <v>0</v>
      </c>
      <c r="BQ1487">
        <v>44.02</v>
      </c>
      <c r="BR1487">
        <v>9.48</v>
      </c>
      <c r="BS1487">
        <v>2.83</v>
      </c>
      <c r="BT1487">
        <v>4.5</v>
      </c>
      <c r="BU1487">
        <v>17.05</v>
      </c>
      <c r="BV1487">
        <v>1.06</v>
      </c>
      <c r="BW1487">
        <v>3.82</v>
      </c>
      <c r="BX1487">
        <v>13.49</v>
      </c>
      <c r="BY1487">
        <v>2.79</v>
      </c>
      <c r="BZ1487">
        <v>1.5</v>
      </c>
      <c r="CA1487">
        <v>-0.12</v>
      </c>
      <c r="CB1487">
        <v>0</v>
      </c>
      <c r="CC1487">
        <v>-0.11</v>
      </c>
      <c r="CD1487">
        <v>-0.13</v>
      </c>
      <c r="CE1487">
        <v>-0.13</v>
      </c>
      <c r="CF1487">
        <v>-0.17</v>
      </c>
      <c r="CG1487">
        <v>3.94</v>
      </c>
      <c r="CH1487">
        <v>-0.63</v>
      </c>
      <c r="CI1487">
        <v>-0.28999999999999998</v>
      </c>
      <c r="CJ1487">
        <v>34000</v>
      </c>
      <c r="CK1487">
        <v>6568</v>
      </c>
      <c r="CL1487" t="s">
        <v>619</v>
      </c>
      <c r="CM1487">
        <v>-109.5</v>
      </c>
      <c r="CN1487">
        <v>-63.79</v>
      </c>
      <c r="CO1487">
        <v>0.76</v>
      </c>
      <c r="CP1487">
        <v>-27.61</v>
      </c>
      <c r="CQ1487">
        <v>6.2</v>
      </c>
      <c r="CR1487">
        <v>0</v>
      </c>
      <c r="CS1487" t="s">
        <v>161</v>
      </c>
      <c r="CT1487">
        <v>4.6900000000000004</v>
      </c>
      <c r="CU1487">
        <v>0</v>
      </c>
      <c r="CV1487">
        <v>2.8</v>
      </c>
      <c r="CW1487">
        <v>0.82</v>
      </c>
      <c r="CX1487">
        <v>-0.13</v>
      </c>
      <c r="CY1487">
        <v>55.97</v>
      </c>
      <c r="CZ1487" t="s">
        <v>7958</v>
      </c>
      <c r="DA1487">
        <v>46.32</v>
      </c>
      <c r="DB1487">
        <v>-4.47</v>
      </c>
      <c r="DC1487">
        <v>-4.66</v>
      </c>
      <c r="DD1487">
        <v>0.17</v>
      </c>
      <c r="DE1487">
        <v>2450</v>
      </c>
      <c r="DF1487">
        <v>300089</v>
      </c>
      <c r="DG1487" t="s">
        <v>116</v>
      </c>
      <c r="DH1487" t="s">
        <v>116</v>
      </c>
      <c r="DI1487" t="s">
        <v>116</v>
      </c>
    </row>
    <row r="1488" spans="1:113" x14ac:dyDescent="0.4">
      <c r="A1488" t="str">
        <f>"300090"</f>
        <v>300090</v>
      </c>
      <c r="B1488" t="s">
        <v>7959</v>
      </c>
      <c r="C1488">
        <v>-1.47</v>
      </c>
      <c r="D1488">
        <v>1.34</v>
      </c>
      <c r="E1488">
        <v>-0.02</v>
      </c>
      <c r="F1488">
        <v>1.33</v>
      </c>
      <c r="G1488">
        <v>1.34</v>
      </c>
      <c r="H1488">
        <v>271591</v>
      </c>
      <c r="I1488">
        <v>1386</v>
      </c>
      <c r="J1488">
        <v>0.75</v>
      </c>
      <c r="K1488">
        <v>2.38</v>
      </c>
      <c r="L1488">
        <v>1.37</v>
      </c>
      <c r="M1488">
        <v>1.38</v>
      </c>
      <c r="N1488">
        <v>1.33</v>
      </c>
      <c r="O1488">
        <v>1.36</v>
      </c>
      <c r="P1488" t="s">
        <v>116</v>
      </c>
      <c r="Q1488">
        <v>36620272</v>
      </c>
      <c r="R1488">
        <v>0.63</v>
      </c>
      <c r="S1488" t="s">
        <v>140</v>
      </c>
      <c r="T1488" t="s">
        <v>575</v>
      </c>
      <c r="U1488">
        <v>3.68</v>
      </c>
      <c r="V1488">
        <v>1.35</v>
      </c>
      <c r="W1488">
        <v>179434</v>
      </c>
      <c r="X1488">
        <v>92157</v>
      </c>
      <c r="Y1488">
        <v>1.95</v>
      </c>
      <c r="Z1488">
        <v>18281</v>
      </c>
      <c r="AA1488">
        <v>7556</v>
      </c>
      <c r="AB1488" t="s">
        <v>116</v>
      </c>
      <c r="AC1488">
        <v>239500</v>
      </c>
      <c r="AD1488">
        <v>0.02</v>
      </c>
      <c r="AE1488" t="s">
        <v>116</v>
      </c>
      <c r="AF1488" t="s">
        <v>116</v>
      </c>
      <c r="AG1488">
        <v>11.42</v>
      </c>
      <c r="AH1488" t="s">
        <v>7960</v>
      </c>
      <c r="AI1488" t="s">
        <v>7961</v>
      </c>
      <c r="AJ1488">
        <v>-0.79</v>
      </c>
      <c r="AK1488">
        <v>1412</v>
      </c>
      <c r="AL1488">
        <v>192</v>
      </c>
      <c r="AM1488">
        <v>1.6999999999999999E-3</v>
      </c>
      <c r="AN1488">
        <v>-1</v>
      </c>
      <c r="AO1488">
        <v>-2.89</v>
      </c>
      <c r="AP1488">
        <v>0</v>
      </c>
      <c r="AQ1488">
        <v>-17.28</v>
      </c>
      <c r="AR1488">
        <v>-37.67</v>
      </c>
      <c r="AS1488">
        <v>2.58</v>
      </c>
      <c r="AT1488" t="s">
        <v>1662</v>
      </c>
      <c r="AU1488" t="s">
        <v>116</v>
      </c>
      <c r="AV1488" t="s">
        <v>116</v>
      </c>
      <c r="AW1488">
        <v>0.52</v>
      </c>
      <c r="BA1488">
        <v>0.74</v>
      </c>
      <c r="BB1488">
        <v>1.47</v>
      </c>
      <c r="BC1488">
        <v>-2.21</v>
      </c>
      <c r="BD1488">
        <v>-0.86</v>
      </c>
      <c r="BE1488">
        <v>-2.19</v>
      </c>
      <c r="BF1488">
        <v>-2.9</v>
      </c>
      <c r="BG1488">
        <v>0.75</v>
      </c>
      <c r="BH1488">
        <v>-0.61</v>
      </c>
      <c r="BI1488">
        <v>20191113</v>
      </c>
      <c r="BJ1488">
        <v>20100625</v>
      </c>
      <c r="BK1488">
        <v>13.2</v>
      </c>
      <c r="BL1488" t="s">
        <v>116</v>
      </c>
      <c r="BM1488" t="s">
        <v>116</v>
      </c>
      <c r="BN1488">
        <v>96.54</v>
      </c>
      <c r="BO1488">
        <v>-3.99</v>
      </c>
      <c r="BP1488">
        <v>0.23</v>
      </c>
      <c r="BQ1488">
        <v>103.89</v>
      </c>
      <c r="BR1488">
        <v>49.72</v>
      </c>
      <c r="BS1488">
        <v>6.36</v>
      </c>
      <c r="BT1488">
        <v>25.19</v>
      </c>
      <c r="BU1488">
        <v>69.94</v>
      </c>
      <c r="BV1488">
        <v>9.42</v>
      </c>
      <c r="BW1488">
        <v>11.59</v>
      </c>
      <c r="BX1488">
        <v>21.92</v>
      </c>
      <c r="BY1488">
        <v>4.3099999999999996</v>
      </c>
      <c r="BZ1488">
        <v>3.4</v>
      </c>
      <c r="CA1488">
        <v>-2.23</v>
      </c>
      <c r="CB1488">
        <v>-0.09</v>
      </c>
      <c r="CC1488">
        <v>-5.52</v>
      </c>
      <c r="CD1488">
        <v>-5.52</v>
      </c>
      <c r="CE1488">
        <v>-5.52</v>
      </c>
      <c r="CF1488">
        <v>-2.85</v>
      </c>
      <c r="CG1488">
        <v>-36.64</v>
      </c>
      <c r="CH1488">
        <v>1.5</v>
      </c>
      <c r="CI1488">
        <v>-0.14000000000000001</v>
      </c>
      <c r="CJ1488">
        <v>56469</v>
      </c>
      <c r="CK1488">
        <v>18644</v>
      </c>
      <c r="CL1488" t="s">
        <v>1017</v>
      </c>
      <c r="CM1488">
        <v>-163.43</v>
      </c>
      <c r="CN1488">
        <v>-26.14</v>
      </c>
      <c r="CO1488">
        <v>-4.4400000000000004</v>
      </c>
      <c r="CP1488">
        <v>11.81</v>
      </c>
      <c r="CQ1488">
        <v>4.0999999999999996</v>
      </c>
      <c r="CR1488">
        <v>0</v>
      </c>
      <c r="CS1488" t="s">
        <v>7962</v>
      </c>
      <c r="CT1488">
        <v>-0.3</v>
      </c>
      <c r="CU1488">
        <v>0</v>
      </c>
      <c r="CV1488">
        <v>1.66</v>
      </c>
      <c r="CW1488">
        <v>-2.78</v>
      </c>
      <c r="CX1488">
        <v>0.11</v>
      </c>
      <c r="CY1488">
        <v>-4.13</v>
      </c>
      <c r="CZ1488" t="s">
        <v>116</v>
      </c>
      <c r="DA1488">
        <v>21.24</v>
      </c>
      <c r="DB1488">
        <v>-51.68</v>
      </c>
      <c r="DC1488">
        <v>-128.07</v>
      </c>
      <c r="DD1488">
        <v>0.04</v>
      </c>
      <c r="DE1488">
        <v>1695</v>
      </c>
      <c r="DF1488">
        <v>300090</v>
      </c>
      <c r="DG1488" t="s">
        <v>116</v>
      </c>
      <c r="DH1488" t="s">
        <v>116</v>
      </c>
      <c r="DI1488" t="s">
        <v>116</v>
      </c>
    </row>
    <row r="1489" spans="1:113" x14ac:dyDescent="0.4">
      <c r="A1489" t="str">
        <f>"300091"</f>
        <v>300091</v>
      </c>
      <c r="B1489" t="s">
        <v>7963</v>
      </c>
      <c r="C1489">
        <v>-3.77</v>
      </c>
      <c r="D1489">
        <v>4.08</v>
      </c>
      <c r="E1489">
        <v>-0.16</v>
      </c>
      <c r="F1489">
        <v>4.08</v>
      </c>
      <c r="G1489">
        <v>4.09</v>
      </c>
      <c r="H1489">
        <v>295867</v>
      </c>
      <c r="I1489">
        <v>6241</v>
      </c>
      <c r="J1489">
        <v>-0.72</v>
      </c>
      <c r="K1489">
        <v>3.57</v>
      </c>
      <c r="L1489">
        <v>4.2699999999999996</v>
      </c>
      <c r="M1489">
        <v>4.2699999999999996</v>
      </c>
      <c r="N1489">
        <v>4.08</v>
      </c>
      <c r="O1489">
        <v>4.24</v>
      </c>
      <c r="P1489">
        <v>32.25</v>
      </c>
      <c r="Q1489">
        <v>123771696</v>
      </c>
      <c r="R1489">
        <v>0.74</v>
      </c>
      <c r="S1489" t="s">
        <v>996</v>
      </c>
      <c r="T1489" t="s">
        <v>323</v>
      </c>
      <c r="U1489">
        <v>4.4800000000000004</v>
      </c>
      <c r="V1489">
        <v>4.18</v>
      </c>
      <c r="W1489">
        <v>188106</v>
      </c>
      <c r="X1489">
        <v>107761</v>
      </c>
      <c r="Y1489">
        <v>1.75</v>
      </c>
      <c r="Z1489">
        <v>1906</v>
      </c>
      <c r="AA1489">
        <v>3071</v>
      </c>
      <c r="AB1489" t="s">
        <v>116</v>
      </c>
      <c r="AC1489">
        <v>895800</v>
      </c>
      <c r="AD1489">
        <v>0.03</v>
      </c>
      <c r="AE1489" t="s">
        <v>116</v>
      </c>
      <c r="AF1489" t="s">
        <v>116</v>
      </c>
      <c r="AG1489">
        <v>8.3000000000000007</v>
      </c>
      <c r="AH1489" t="s">
        <v>1132</v>
      </c>
      <c r="AI1489" t="s">
        <v>7964</v>
      </c>
      <c r="AJ1489">
        <v>-3.09</v>
      </c>
      <c r="AK1489">
        <v>2189</v>
      </c>
      <c r="AL1489">
        <v>135</v>
      </c>
      <c r="AM1489">
        <v>1.6000000000000001E-3</v>
      </c>
      <c r="AN1489">
        <v>-1</v>
      </c>
      <c r="AO1489">
        <v>-2.85</v>
      </c>
      <c r="AP1489">
        <v>4.08</v>
      </c>
      <c r="AQ1489">
        <v>8.2200000000000006</v>
      </c>
      <c r="AR1489">
        <v>21.36</v>
      </c>
      <c r="AS1489">
        <v>4.0199999999999996</v>
      </c>
      <c r="AT1489" t="s">
        <v>5433</v>
      </c>
      <c r="AU1489">
        <v>69.81</v>
      </c>
      <c r="AV1489">
        <v>51.02</v>
      </c>
      <c r="AW1489">
        <v>0.91</v>
      </c>
      <c r="BA1489">
        <v>0.71</v>
      </c>
      <c r="BB1489">
        <v>0.71</v>
      </c>
      <c r="BC1489">
        <v>-3.77</v>
      </c>
      <c r="BD1489">
        <v>-1.34</v>
      </c>
      <c r="BE1489">
        <v>-4.45</v>
      </c>
      <c r="BF1489">
        <v>-4.45</v>
      </c>
      <c r="BG1489">
        <v>0</v>
      </c>
      <c r="BH1489">
        <v>-2.44</v>
      </c>
      <c r="BI1489">
        <v>20191029</v>
      </c>
      <c r="BJ1489">
        <v>20100625</v>
      </c>
      <c r="BK1489">
        <v>12.3</v>
      </c>
      <c r="BL1489" t="s">
        <v>116</v>
      </c>
      <c r="BM1489" t="s">
        <v>116</v>
      </c>
      <c r="BN1489">
        <v>63.02</v>
      </c>
      <c r="BO1489">
        <v>25.96</v>
      </c>
      <c r="BP1489">
        <v>0</v>
      </c>
      <c r="BQ1489">
        <v>58.81</v>
      </c>
      <c r="BR1489">
        <v>41.22</v>
      </c>
      <c r="BS1489">
        <v>10.119999999999999</v>
      </c>
      <c r="BT1489">
        <v>1.63</v>
      </c>
      <c r="BU1489">
        <v>36.14</v>
      </c>
      <c r="BV1489">
        <v>22.82</v>
      </c>
      <c r="BW1489">
        <v>8.7799999999999994</v>
      </c>
      <c r="BX1489">
        <v>8.16</v>
      </c>
      <c r="BY1489">
        <v>14.61</v>
      </c>
      <c r="BZ1489">
        <v>10.72</v>
      </c>
      <c r="CA1489">
        <v>1.42</v>
      </c>
      <c r="CB1489">
        <v>0</v>
      </c>
      <c r="CC1489">
        <v>1.4</v>
      </c>
      <c r="CD1489">
        <v>1.17</v>
      </c>
      <c r="CE1489">
        <v>1.17</v>
      </c>
      <c r="CF1489">
        <v>1.1599999999999999</v>
      </c>
      <c r="CG1489">
        <v>4.97</v>
      </c>
      <c r="CH1489">
        <v>-0.7</v>
      </c>
      <c r="CI1489">
        <v>-0.78</v>
      </c>
      <c r="CJ1489">
        <v>40119</v>
      </c>
      <c r="CK1489">
        <v>18345</v>
      </c>
      <c r="CL1489" t="s">
        <v>2967</v>
      </c>
      <c r="CM1489">
        <v>-18.489999999999998</v>
      </c>
      <c r="CN1489">
        <v>-8.66</v>
      </c>
      <c r="CO1489">
        <v>1.93</v>
      </c>
      <c r="CP1489">
        <v>-71.58</v>
      </c>
      <c r="CQ1489">
        <v>3.44</v>
      </c>
      <c r="CR1489">
        <v>0.2</v>
      </c>
      <c r="CS1489" t="s">
        <v>5850</v>
      </c>
      <c r="CT1489">
        <v>2.11</v>
      </c>
      <c r="CU1489">
        <v>0</v>
      </c>
      <c r="CV1489">
        <v>0.66</v>
      </c>
      <c r="CW1489">
        <v>0.4</v>
      </c>
      <c r="CX1489">
        <v>-0.06</v>
      </c>
      <c r="CY1489">
        <v>41.19</v>
      </c>
      <c r="CZ1489" t="s">
        <v>2789</v>
      </c>
      <c r="DA1489">
        <v>26.62</v>
      </c>
      <c r="DB1489">
        <v>9.75</v>
      </c>
      <c r="DC1489">
        <v>7.99</v>
      </c>
      <c r="DD1489">
        <v>0.5</v>
      </c>
      <c r="DE1489">
        <v>1170</v>
      </c>
      <c r="DF1489">
        <v>300091</v>
      </c>
      <c r="DG1489" t="s">
        <v>116</v>
      </c>
      <c r="DH1489" t="s">
        <v>116</v>
      </c>
      <c r="DI1489" t="s">
        <v>116</v>
      </c>
    </row>
    <row r="1490" spans="1:113" x14ac:dyDescent="0.4">
      <c r="A1490" t="str">
        <f>"300092"</f>
        <v>300092</v>
      </c>
      <c r="B1490" t="s">
        <v>7965</v>
      </c>
      <c r="C1490">
        <v>-1.52</v>
      </c>
      <c r="D1490">
        <v>7.15</v>
      </c>
      <c r="E1490">
        <v>-0.11</v>
      </c>
      <c r="F1490">
        <v>7.14</v>
      </c>
      <c r="G1490">
        <v>7.15</v>
      </c>
      <c r="H1490">
        <v>23689</v>
      </c>
      <c r="I1490">
        <v>267</v>
      </c>
      <c r="J1490">
        <v>0</v>
      </c>
      <c r="K1490">
        <v>1.42</v>
      </c>
      <c r="L1490">
        <v>7.26</v>
      </c>
      <c r="M1490">
        <v>7.32</v>
      </c>
      <c r="N1490">
        <v>7.13</v>
      </c>
      <c r="O1490">
        <v>7.26</v>
      </c>
      <c r="P1490">
        <v>32.020000000000003</v>
      </c>
      <c r="Q1490">
        <v>17114686</v>
      </c>
      <c r="R1490">
        <v>1.28</v>
      </c>
      <c r="S1490" t="s">
        <v>682</v>
      </c>
      <c r="T1490" t="s">
        <v>582</v>
      </c>
      <c r="U1490">
        <v>2.62</v>
      </c>
      <c r="V1490">
        <v>7.22</v>
      </c>
      <c r="W1490">
        <v>14198</v>
      </c>
      <c r="X1490">
        <v>9491</v>
      </c>
      <c r="Y1490">
        <v>1.5</v>
      </c>
      <c r="Z1490">
        <v>454</v>
      </c>
      <c r="AA1490">
        <v>767</v>
      </c>
      <c r="AB1490" t="s">
        <v>116</v>
      </c>
      <c r="AC1490">
        <v>24700</v>
      </c>
      <c r="AD1490">
        <v>0</v>
      </c>
      <c r="AE1490" t="s">
        <v>116</v>
      </c>
      <c r="AF1490" t="s">
        <v>116</v>
      </c>
      <c r="AG1490">
        <v>1.67</v>
      </c>
      <c r="AH1490" t="s">
        <v>7966</v>
      </c>
      <c r="AI1490" t="s">
        <v>7967</v>
      </c>
      <c r="AJ1490">
        <v>-0.84</v>
      </c>
      <c r="AK1490">
        <v>786</v>
      </c>
      <c r="AL1490">
        <v>30</v>
      </c>
      <c r="AM1490">
        <v>1.8E-3</v>
      </c>
      <c r="AN1490">
        <v>-1</v>
      </c>
      <c r="AO1490">
        <v>-0.15</v>
      </c>
      <c r="AP1490">
        <v>6.08</v>
      </c>
      <c r="AQ1490">
        <v>4.2300000000000004</v>
      </c>
      <c r="AR1490">
        <v>18.28</v>
      </c>
      <c r="AS1490">
        <v>2.0099999999999998</v>
      </c>
      <c r="AT1490" t="s">
        <v>4279</v>
      </c>
      <c r="AU1490">
        <v>42.57</v>
      </c>
      <c r="AV1490">
        <v>242.14</v>
      </c>
      <c r="AW1490">
        <v>0.83</v>
      </c>
      <c r="BA1490">
        <v>0</v>
      </c>
      <c r="BB1490">
        <v>0.83</v>
      </c>
      <c r="BC1490">
        <v>-1.79</v>
      </c>
      <c r="BD1490">
        <v>-0.49</v>
      </c>
      <c r="BE1490">
        <v>-1.52</v>
      </c>
      <c r="BF1490">
        <v>-2.3199999999999998</v>
      </c>
      <c r="BG1490">
        <v>0.28000000000000003</v>
      </c>
      <c r="BH1490">
        <v>-1.03</v>
      </c>
      <c r="BI1490">
        <v>20191025</v>
      </c>
      <c r="BJ1490">
        <v>20100708</v>
      </c>
      <c r="BK1490">
        <v>2.3199999999999998</v>
      </c>
      <c r="BL1490" t="s">
        <v>116</v>
      </c>
      <c r="BM1490" t="s">
        <v>116</v>
      </c>
      <c r="BN1490">
        <v>9.3800000000000008</v>
      </c>
      <c r="BO1490">
        <v>5.85</v>
      </c>
      <c r="BP1490">
        <v>0.03</v>
      </c>
      <c r="BQ1490">
        <v>37.33</v>
      </c>
      <c r="BR1490">
        <v>7.21</v>
      </c>
      <c r="BS1490">
        <v>1.84</v>
      </c>
      <c r="BT1490">
        <v>0.15</v>
      </c>
      <c r="BU1490">
        <v>3.46</v>
      </c>
      <c r="BV1490">
        <v>2.38</v>
      </c>
      <c r="BW1490">
        <v>2.48</v>
      </c>
      <c r="BX1490">
        <v>2.4</v>
      </c>
      <c r="BY1490">
        <v>4.01</v>
      </c>
      <c r="BZ1490">
        <v>2.86</v>
      </c>
      <c r="CA1490">
        <v>0.39</v>
      </c>
      <c r="CB1490">
        <v>0</v>
      </c>
      <c r="CC1490">
        <v>0.39</v>
      </c>
      <c r="CD1490">
        <v>0.39</v>
      </c>
      <c r="CE1490">
        <v>0.39</v>
      </c>
      <c r="CF1490">
        <v>0.28000000000000003</v>
      </c>
      <c r="CG1490">
        <v>0.99</v>
      </c>
      <c r="CH1490">
        <v>0.68</v>
      </c>
      <c r="CI1490">
        <v>0.13</v>
      </c>
      <c r="CJ1490">
        <v>16921</v>
      </c>
      <c r="CK1490">
        <v>6970</v>
      </c>
      <c r="CL1490" t="s">
        <v>2763</v>
      </c>
      <c r="CM1490">
        <v>477.41</v>
      </c>
      <c r="CN1490">
        <v>12.66</v>
      </c>
      <c r="CO1490">
        <v>2.83</v>
      </c>
      <c r="CP1490">
        <v>24.33</v>
      </c>
      <c r="CQ1490">
        <v>4.13</v>
      </c>
      <c r="CR1490">
        <v>0.21</v>
      </c>
      <c r="CS1490" t="s">
        <v>3277</v>
      </c>
      <c r="CT1490">
        <v>2.5299999999999998</v>
      </c>
      <c r="CU1490">
        <v>0</v>
      </c>
      <c r="CV1490">
        <v>1.03</v>
      </c>
      <c r="CW1490">
        <v>0.43</v>
      </c>
      <c r="CX1490">
        <v>0.28999999999999998</v>
      </c>
      <c r="CY1490">
        <v>62.35</v>
      </c>
      <c r="CZ1490" t="s">
        <v>4429</v>
      </c>
      <c r="DA1490">
        <v>28.54</v>
      </c>
      <c r="DB1490">
        <v>9.64</v>
      </c>
      <c r="DC1490">
        <v>9.68</v>
      </c>
      <c r="DD1490">
        <v>0.14000000000000001</v>
      </c>
      <c r="DE1490">
        <v>573</v>
      </c>
      <c r="DF1490">
        <v>300092</v>
      </c>
      <c r="DG1490" t="s">
        <v>116</v>
      </c>
      <c r="DH1490" t="s">
        <v>116</v>
      </c>
      <c r="DI1490" t="s">
        <v>116</v>
      </c>
    </row>
    <row r="1491" spans="1:113" x14ac:dyDescent="0.4">
      <c r="A1491" t="str">
        <f>"300093"</f>
        <v>300093</v>
      </c>
      <c r="B1491" t="s">
        <v>7968</v>
      </c>
      <c r="C1491">
        <v>0</v>
      </c>
      <c r="D1491">
        <v>10.55</v>
      </c>
      <c r="E1491">
        <v>0</v>
      </c>
      <c r="F1491">
        <v>10.54</v>
      </c>
      <c r="G1491">
        <v>10.55</v>
      </c>
      <c r="H1491">
        <v>25684</v>
      </c>
      <c r="I1491">
        <v>251</v>
      </c>
      <c r="J1491">
        <v>0.28999999999999998</v>
      </c>
      <c r="K1491">
        <v>1.19</v>
      </c>
      <c r="L1491">
        <v>10.49</v>
      </c>
      <c r="M1491">
        <v>10.65</v>
      </c>
      <c r="N1491">
        <v>10.37</v>
      </c>
      <c r="O1491">
        <v>10.55</v>
      </c>
      <c r="P1491">
        <v>164.95</v>
      </c>
      <c r="Q1491">
        <v>27077928</v>
      </c>
      <c r="R1491">
        <v>1.23</v>
      </c>
      <c r="S1491" t="s">
        <v>195</v>
      </c>
      <c r="T1491" t="s">
        <v>551</v>
      </c>
      <c r="U1491">
        <v>2.65</v>
      </c>
      <c r="V1491">
        <v>10.54</v>
      </c>
      <c r="W1491">
        <v>13227</v>
      </c>
      <c r="X1491">
        <v>12457</v>
      </c>
      <c r="Y1491">
        <v>1.06</v>
      </c>
      <c r="Z1491">
        <v>9</v>
      </c>
      <c r="AA1491">
        <v>33</v>
      </c>
      <c r="AB1491" t="s">
        <v>116</v>
      </c>
      <c r="AC1491">
        <v>34600</v>
      </c>
      <c r="AD1491">
        <v>0</v>
      </c>
      <c r="AE1491" t="s">
        <v>116</v>
      </c>
      <c r="AF1491" t="s">
        <v>116</v>
      </c>
      <c r="AG1491">
        <v>2.16</v>
      </c>
      <c r="AH1491" t="s">
        <v>4835</v>
      </c>
      <c r="AI1491" t="s">
        <v>7969</v>
      </c>
      <c r="AJ1491">
        <v>0.68</v>
      </c>
      <c r="AK1491">
        <v>712</v>
      </c>
      <c r="AL1491">
        <v>36</v>
      </c>
      <c r="AM1491">
        <v>1.6999999999999999E-3</v>
      </c>
      <c r="AN1491">
        <v>0</v>
      </c>
      <c r="AO1491">
        <v>-2.2200000000000002</v>
      </c>
      <c r="AP1491">
        <v>-5.89</v>
      </c>
      <c r="AQ1491">
        <v>-6.55</v>
      </c>
      <c r="AR1491">
        <v>72.67</v>
      </c>
      <c r="AS1491">
        <v>1.52</v>
      </c>
      <c r="AT1491" t="s">
        <v>7019</v>
      </c>
      <c r="AU1491">
        <v>165.34</v>
      </c>
      <c r="AV1491">
        <v>152.28</v>
      </c>
      <c r="AW1491">
        <v>0.14000000000000001</v>
      </c>
      <c r="BA1491">
        <v>-0.56999999999999995</v>
      </c>
      <c r="BB1491">
        <v>0.95</v>
      </c>
      <c r="BC1491">
        <v>-1.71</v>
      </c>
      <c r="BD1491">
        <v>-7.0000000000000007E-2</v>
      </c>
      <c r="BE1491">
        <v>0.56999999999999995</v>
      </c>
      <c r="BF1491">
        <v>-0.94</v>
      </c>
      <c r="BG1491">
        <v>1.74</v>
      </c>
      <c r="BH1491">
        <v>7.0000000000000007E-2</v>
      </c>
      <c r="BI1491">
        <v>20191226</v>
      </c>
      <c r="BJ1491">
        <v>20100708</v>
      </c>
      <c r="BK1491">
        <v>2.16</v>
      </c>
      <c r="BL1491" t="s">
        <v>116</v>
      </c>
      <c r="BM1491" t="s">
        <v>116</v>
      </c>
      <c r="BN1491">
        <v>13.95</v>
      </c>
      <c r="BO1491">
        <v>7.31</v>
      </c>
      <c r="BP1491">
        <v>0.03</v>
      </c>
      <c r="BQ1491">
        <v>47.42</v>
      </c>
      <c r="BR1491">
        <v>8.56</v>
      </c>
      <c r="BS1491">
        <v>4.58</v>
      </c>
      <c r="BT1491">
        <v>0.4</v>
      </c>
      <c r="BU1491">
        <v>5.31</v>
      </c>
      <c r="BV1491">
        <v>2.4</v>
      </c>
      <c r="BW1491">
        <v>2.42</v>
      </c>
      <c r="BX1491">
        <v>3.87</v>
      </c>
      <c r="BY1491">
        <v>3.8</v>
      </c>
      <c r="BZ1491">
        <v>2.5</v>
      </c>
      <c r="CA1491">
        <v>0.12</v>
      </c>
      <c r="CB1491">
        <v>0</v>
      </c>
      <c r="CC1491">
        <v>0.11</v>
      </c>
      <c r="CD1491">
        <v>0.1</v>
      </c>
      <c r="CE1491">
        <v>0.1</v>
      </c>
      <c r="CF1491">
        <v>0.1</v>
      </c>
      <c r="CG1491">
        <v>0.81</v>
      </c>
      <c r="CH1491">
        <v>2.4500000000000002</v>
      </c>
      <c r="CI1491">
        <v>-0.1</v>
      </c>
      <c r="CJ1491">
        <v>11499</v>
      </c>
      <c r="CK1491">
        <v>14673</v>
      </c>
      <c r="CL1491" t="s">
        <v>1657</v>
      </c>
      <c r="CM1491">
        <v>-10.24</v>
      </c>
      <c r="CN1491">
        <v>-10.4</v>
      </c>
      <c r="CO1491">
        <v>3.12</v>
      </c>
      <c r="CP1491">
        <v>9.32</v>
      </c>
      <c r="CQ1491">
        <v>6</v>
      </c>
      <c r="CR1491">
        <v>0</v>
      </c>
      <c r="CS1491" t="s">
        <v>2674</v>
      </c>
      <c r="CT1491">
        <v>3.38</v>
      </c>
      <c r="CU1491">
        <v>0</v>
      </c>
      <c r="CV1491">
        <v>1.79</v>
      </c>
      <c r="CW1491">
        <v>0.37</v>
      </c>
      <c r="CX1491">
        <v>1.1299999999999999</v>
      </c>
      <c r="CY1491">
        <v>52.38</v>
      </c>
      <c r="CZ1491" t="s">
        <v>7970</v>
      </c>
      <c r="DA1491">
        <v>34.270000000000003</v>
      </c>
      <c r="DB1491">
        <v>3.06</v>
      </c>
      <c r="DC1491">
        <v>2.73</v>
      </c>
      <c r="DD1491">
        <v>0.14000000000000001</v>
      </c>
      <c r="DE1491">
        <v>1175</v>
      </c>
      <c r="DF1491">
        <v>300093</v>
      </c>
      <c r="DG1491" t="s">
        <v>116</v>
      </c>
      <c r="DH1491" t="s">
        <v>116</v>
      </c>
      <c r="DI1491" t="s">
        <v>116</v>
      </c>
    </row>
    <row r="1492" spans="1:113" x14ac:dyDescent="0.4">
      <c r="A1492" t="str">
        <f>"300094"</f>
        <v>300094</v>
      </c>
      <c r="B1492" t="s">
        <v>7971</v>
      </c>
      <c r="C1492">
        <v>-0.24</v>
      </c>
      <c r="D1492">
        <v>4.22</v>
      </c>
      <c r="E1492">
        <v>-0.01</v>
      </c>
      <c r="F1492">
        <v>4.21</v>
      </c>
      <c r="G1492">
        <v>4.22</v>
      </c>
      <c r="H1492">
        <v>48625</v>
      </c>
      <c r="I1492">
        <v>860</v>
      </c>
      <c r="J1492">
        <v>0.24</v>
      </c>
      <c r="K1492">
        <v>0.65</v>
      </c>
      <c r="L1492">
        <v>4.24</v>
      </c>
      <c r="M1492">
        <v>4.28</v>
      </c>
      <c r="N1492">
        <v>4.2</v>
      </c>
      <c r="O1492">
        <v>4.2300000000000004</v>
      </c>
      <c r="P1492">
        <v>158.28</v>
      </c>
      <c r="Q1492">
        <v>20605912</v>
      </c>
      <c r="R1492">
        <v>1.26</v>
      </c>
      <c r="S1492" t="s">
        <v>2216</v>
      </c>
      <c r="T1492" t="s">
        <v>551</v>
      </c>
      <c r="U1492">
        <v>1.89</v>
      </c>
      <c r="V1492">
        <v>4.24</v>
      </c>
      <c r="W1492">
        <v>31460</v>
      </c>
      <c r="X1492">
        <v>17165</v>
      </c>
      <c r="Y1492">
        <v>1.83</v>
      </c>
      <c r="Z1492">
        <v>1695</v>
      </c>
      <c r="AA1492">
        <v>786</v>
      </c>
      <c r="AB1492" t="s">
        <v>116</v>
      </c>
      <c r="AC1492">
        <v>43200</v>
      </c>
      <c r="AD1492">
        <v>0</v>
      </c>
      <c r="AE1492" t="s">
        <v>116</v>
      </c>
      <c r="AF1492" t="s">
        <v>116</v>
      </c>
      <c r="AG1492">
        <v>7.49</v>
      </c>
      <c r="AH1492" t="s">
        <v>7972</v>
      </c>
      <c r="AI1492" t="s">
        <v>7973</v>
      </c>
      <c r="AJ1492">
        <v>0.44</v>
      </c>
      <c r="AK1492">
        <v>724</v>
      </c>
      <c r="AL1492">
        <v>67</v>
      </c>
      <c r="AM1492">
        <v>8.9999999999999998E-4</v>
      </c>
      <c r="AN1492">
        <v>-3</v>
      </c>
      <c r="AO1492">
        <v>-1.18</v>
      </c>
      <c r="AP1492">
        <v>2.1800000000000002</v>
      </c>
      <c r="AQ1492">
        <v>1.69</v>
      </c>
      <c r="AR1492">
        <v>-16.600000000000001</v>
      </c>
      <c r="AS1492">
        <v>1.35</v>
      </c>
      <c r="AT1492" t="s">
        <v>7974</v>
      </c>
      <c r="AU1492">
        <v>168.85</v>
      </c>
      <c r="AV1492">
        <v>16.600000000000001</v>
      </c>
      <c r="AW1492">
        <v>0.8</v>
      </c>
      <c r="BA1492">
        <v>0.24</v>
      </c>
      <c r="BB1492">
        <v>1.18</v>
      </c>
      <c r="BC1492">
        <v>-0.71</v>
      </c>
      <c r="BD1492">
        <v>0.18</v>
      </c>
      <c r="BE1492">
        <v>-0.47</v>
      </c>
      <c r="BF1492">
        <v>-1.4</v>
      </c>
      <c r="BG1492">
        <v>0.48</v>
      </c>
      <c r="BH1492">
        <v>-0.42</v>
      </c>
      <c r="BI1492">
        <v>20191031</v>
      </c>
      <c r="BJ1492">
        <v>20100708</v>
      </c>
      <c r="BK1492">
        <v>9.1</v>
      </c>
      <c r="BL1492" t="s">
        <v>116</v>
      </c>
      <c r="BM1492" t="s">
        <v>116</v>
      </c>
      <c r="BN1492">
        <v>55.2</v>
      </c>
      <c r="BO1492">
        <v>27.92</v>
      </c>
      <c r="BP1492">
        <v>-0.01</v>
      </c>
      <c r="BQ1492">
        <v>49.44</v>
      </c>
      <c r="BR1492">
        <v>42.4</v>
      </c>
      <c r="BS1492">
        <v>10.210000000000001</v>
      </c>
      <c r="BT1492">
        <v>0.63</v>
      </c>
      <c r="BU1492">
        <v>19.46</v>
      </c>
      <c r="BV1492">
        <v>25.9</v>
      </c>
      <c r="BW1492">
        <v>8.1199999999999992</v>
      </c>
      <c r="BX1492">
        <v>10.89</v>
      </c>
      <c r="BY1492">
        <v>37.69</v>
      </c>
      <c r="BZ1492">
        <v>32.78</v>
      </c>
      <c r="CA1492">
        <v>0.25</v>
      </c>
      <c r="CB1492">
        <v>0</v>
      </c>
      <c r="CC1492">
        <v>0.2</v>
      </c>
      <c r="CD1492">
        <v>0.15</v>
      </c>
      <c r="CE1492">
        <v>0.18</v>
      </c>
      <c r="CF1492">
        <v>0.19</v>
      </c>
      <c r="CG1492">
        <v>6.93</v>
      </c>
      <c r="CH1492">
        <v>-0.34</v>
      </c>
      <c r="CI1492">
        <v>0.35</v>
      </c>
      <c r="CJ1492">
        <v>22188</v>
      </c>
      <c r="CK1492">
        <v>16246</v>
      </c>
      <c r="CL1492" t="s">
        <v>7975</v>
      </c>
      <c r="CM1492">
        <v>-91.97</v>
      </c>
      <c r="CN1492">
        <v>8.6199999999999992</v>
      </c>
      <c r="CO1492">
        <v>1.38</v>
      </c>
      <c r="CP1492">
        <v>-111.59</v>
      </c>
      <c r="CQ1492">
        <v>1.02</v>
      </c>
      <c r="CR1492">
        <v>0.71</v>
      </c>
      <c r="CS1492" t="s">
        <v>3929</v>
      </c>
      <c r="CT1492">
        <v>3.07</v>
      </c>
      <c r="CU1492">
        <v>0</v>
      </c>
      <c r="CV1492">
        <v>1.2</v>
      </c>
      <c r="CW1492">
        <v>0.76</v>
      </c>
      <c r="CX1492">
        <v>-0.04</v>
      </c>
      <c r="CY1492">
        <v>50.58</v>
      </c>
      <c r="CZ1492" t="s">
        <v>380</v>
      </c>
      <c r="DA1492">
        <v>13.03</v>
      </c>
      <c r="DB1492">
        <v>0.65</v>
      </c>
      <c r="DC1492">
        <v>0.48</v>
      </c>
      <c r="DD1492">
        <v>0.28999999999999998</v>
      </c>
      <c r="DE1492">
        <v>4000</v>
      </c>
      <c r="DF1492">
        <v>300094</v>
      </c>
      <c r="DG1492" t="s">
        <v>116</v>
      </c>
      <c r="DH1492" t="s">
        <v>116</v>
      </c>
      <c r="DI1492" t="s">
        <v>116</v>
      </c>
    </row>
    <row r="1493" spans="1:113" x14ac:dyDescent="0.4">
      <c r="A1493" t="str">
        <f>"300095"</f>
        <v>300095</v>
      </c>
      <c r="B1493" t="s">
        <v>7976</v>
      </c>
      <c r="C1493">
        <v>-0.34</v>
      </c>
      <c r="D1493">
        <v>5.95</v>
      </c>
      <c r="E1493">
        <v>-0.02</v>
      </c>
      <c r="F1493">
        <v>5.94</v>
      </c>
      <c r="G1493">
        <v>5.95</v>
      </c>
      <c r="H1493">
        <v>42742</v>
      </c>
      <c r="I1493">
        <v>473</v>
      </c>
      <c r="J1493">
        <v>0</v>
      </c>
      <c r="K1493">
        <v>1.55</v>
      </c>
      <c r="L1493">
        <v>5.96</v>
      </c>
      <c r="M1493">
        <v>6.05</v>
      </c>
      <c r="N1493">
        <v>5.93</v>
      </c>
      <c r="O1493">
        <v>5.97</v>
      </c>
      <c r="P1493">
        <v>30.5</v>
      </c>
      <c r="Q1493">
        <v>25584074</v>
      </c>
      <c r="R1493">
        <v>1.04</v>
      </c>
      <c r="S1493" t="s">
        <v>996</v>
      </c>
      <c r="T1493" t="s">
        <v>683</v>
      </c>
      <c r="U1493">
        <v>2.0099999999999998</v>
      </c>
      <c r="V1493">
        <v>5.99</v>
      </c>
      <c r="W1493">
        <v>21803</v>
      </c>
      <c r="X1493">
        <v>20939</v>
      </c>
      <c r="Y1493">
        <v>1.04</v>
      </c>
      <c r="Z1493">
        <v>464</v>
      </c>
      <c r="AA1493">
        <v>316</v>
      </c>
      <c r="AB1493" t="s">
        <v>116</v>
      </c>
      <c r="AC1493">
        <v>94200</v>
      </c>
      <c r="AD1493">
        <v>0.01</v>
      </c>
      <c r="AE1493" t="s">
        <v>116</v>
      </c>
      <c r="AF1493" t="s">
        <v>116</v>
      </c>
      <c r="AG1493">
        <v>2.75</v>
      </c>
      <c r="AH1493" t="s">
        <v>6026</v>
      </c>
      <c r="AI1493" t="s">
        <v>7977</v>
      </c>
      <c r="AJ1493">
        <v>0.34</v>
      </c>
      <c r="AK1493">
        <v>955</v>
      </c>
      <c r="AL1493">
        <v>45</v>
      </c>
      <c r="AM1493">
        <v>1.6000000000000001E-3</v>
      </c>
      <c r="AN1493">
        <v>-1</v>
      </c>
      <c r="AO1493">
        <v>1.35</v>
      </c>
      <c r="AP1493">
        <v>7.01</v>
      </c>
      <c r="AQ1493">
        <v>2.06</v>
      </c>
      <c r="AR1493">
        <v>29.63</v>
      </c>
      <c r="AS1493">
        <v>2.29</v>
      </c>
      <c r="AT1493" t="s">
        <v>7128</v>
      </c>
      <c r="AU1493" t="s">
        <v>116</v>
      </c>
      <c r="AV1493" t="s">
        <v>116</v>
      </c>
      <c r="AW1493">
        <v>0.91</v>
      </c>
      <c r="BA1493">
        <v>-0.17</v>
      </c>
      <c r="BB1493">
        <v>1.34</v>
      </c>
      <c r="BC1493">
        <v>-0.67</v>
      </c>
      <c r="BD1493">
        <v>0.26</v>
      </c>
      <c r="BE1493">
        <v>-0.17</v>
      </c>
      <c r="BF1493">
        <v>-1.65</v>
      </c>
      <c r="BG1493">
        <v>0.34</v>
      </c>
      <c r="BH1493">
        <v>-0.6</v>
      </c>
      <c r="BI1493">
        <v>20191118</v>
      </c>
      <c r="BJ1493">
        <v>20100728</v>
      </c>
      <c r="BK1493">
        <v>3.79</v>
      </c>
      <c r="BL1493" t="s">
        <v>116</v>
      </c>
      <c r="BM1493" t="s">
        <v>116</v>
      </c>
      <c r="BN1493">
        <v>26.17</v>
      </c>
      <c r="BO1493">
        <v>11.95</v>
      </c>
      <c r="BP1493">
        <v>1.51</v>
      </c>
      <c r="BQ1493">
        <v>48.56</v>
      </c>
      <c r="BR1493">
        <v>15.13</v>
      </c>
      <c r="BS1493">
        <v>3.54</v>
      </c>
      <c r="BT1493">
        <v>1.49</v>
      </c>
      <c r="BU1493">
        <v>10.99</v>
      </c>
      <c r="BV1493">
        <v>4.6100000000000003</v>
      </c>
      <c r="BW1493">
        <v>6.52</v>
      </c>
      <c r="BX1493">
        <v>5.8</v>
      </c>
      <c r="BY1493">
        <v>6.92</v>
      </c>
      <c r="BZ1493">
        <v>4.33</v>
      </c>
      <c r="CA1493">
        <v>0.74</v>
      </c>
      <c r="CB1493">
        <v>0</v>
      </c>
      <c r="CC1493">
        <v>0.74</v>
      </c>
      <c r="CD1493">
        <v>0.61</v>
      </c>
      <c r="CE1493">
        <v>0.55000000000000004</v>
      </c>
      <c r="CF1493">
        <v>0.52</v>
      </c>
      <c r="CG1493">
        <v>2.44</v>
      </c>
      <c r="CH1493">
        <v>-0.09</v>
      </c>
      <c r="CI1493">
        <v>-0.6</v>
      </c>
      <c r="CJ1493">
        <v>20634</v>
      </c>
      <c r="CK1493">
        <v>9042</v>
      </c>
      <c r="CL1493" t="s">
        <v>2630</v>
      </c>
      <c r="CM1493">
        <v>33.51</v>
      </c>
      <c r="CN1493">
        <v>9.44</v>
      </c>
      <c r="CO1493">
        <v>1.89</v>
      </c>
      <c r="CP1493">
        <v>-246.61</v>
      </c>
      <c r="CQ1493">
        <v>3.26</v>
      </c>
      <c r="CR1493">
        <v>0</v>
      </c>
      <c r="CS1493" t="s">
        <v>4222</v>
      </c>
      <c r="CT1493">
        <v>3.16</v>
      </c>
      <c r="CU1493">
        <v>0</v>
      </c>
      <c r="CV1493">
        <v>1.53</v>
      </c>
      <c r="CW1493">
        <v>0.64</v>
      </c>
      <c r="CX1493">
        <v>-0.02</v>
      </c>
      <c r="CY1493">
        <v>45.68</v>
      </c>
      <c r="CZ1493" t="s">
        <v>7978</v>
      </c>
      <c r="DA1493">
        <v>37.4</v>
      </c>
      <c r="DB1493">
        <v>10.7</v>
      </c>
      <c r="DC1493">
        <v>8</v>
      </c>
      <c r="DD1493">
        <v>0.23</v>
      </c>
      <c r="DE1493">
        <v>1463</v>
      </c>
      <c r="DF1493">
        <v>300095</v>
      </c>
      <c r="DG1493" t="s">
        <v>116</v>
      </c>
      <c r="DH1493" t="s">
        <v>116</v>
      </c>
      <c r="DI1493" t="s">
        <v>116</v>
      </c>
    </row>
    <row r="1494" spans="1:113" x14ac:dyDescent="0.4">
      <c r="A1494" t="str">
        <f>"300096"</f>
        <v>300096</v>
      </c>
      <c r="B1494" t="s">
        <v>7979</v>
      </c>
      <c r="C1494">
        <v>-5.0199999999999996</v>
      </c>
      <c r="D1494">
        <v>10.6</v>
      </c>
      <c r="E1494">
        <v>-0.56000000000000005</v>
      </c>
      <c r="F1494">
        <v>10.6</v>
      </c>
      <c r="G1494">
        <v>10.61</v>
      </c>
      <c r="H1494">
        <v>385686</v>
      </c>
      <c r="I1494">
        <v>3933</v>
      </c>
      <c r="J1494">
        <v>-0.08</v>
      </c>
      <c r="K1494">
        <v>10.24</v>
      </c>
      <c r="L1494">
        <v>11.27</v>
      </c>
      <c r="M1494">
        <v>11.28</v>
      </c>
      <c r="N1494">
        <v>10.33</v>
      </c>
      <c r="O1494">
        <v>11.16</v>
      </c>
      <c r="P1494">
        <v>2943.43</v>
      </c>
      <c r="Q1494">
        <v>413802368</v>
      </c>
      <c r="R1494">
        <v>1.97</v>
      </c>
      <c r="S1494" t="s">
        <v>607</v>
      </c>
      <c r="T1494" t="s">
        <v>975</v>
      </c>
      <c r="U1494">
        <v>8.51</v>
      </c>
      <c r="V1494">
        <v>10.73</v>
      </c>
      <c r="W1494">
        <v>233682</v>
      </c>
      <c r="X1494">
        <v>152004</v>
      </c>
      <c r="Y1494">
        <v>1.54</v>
      </c>
      <c r="Z1494">
        <v>197</v>
      </c>
      <c r="AA1494">
        <v>335</v>
      </c>
      <c r="AB1494" t="s">
        <v>116</v>
      </c>
      <c r="AC1494">
        <v>2109700</v>
      </c>
      <c r="AD1494">
        <v>7.0000000000000007E-2</v>
      </c>
      <c r="AE1494" t="s">
        <v>116</v>
      </c>
      <c r="AF1494" t="s">
        <v>116</v>
      </c>
      <c r="AG1494">
        <v>3.77</v>
      </c>
      <c r="AH1494" t="s">
        <v>7980</v>
      </c>
      <c r="AI1494" t="s">
        <v>7981</v>
      </c>
      <c r="AJ1494">
        <v>-4.34</v>
      </c>
      <c r="AK1494">
        <v>3876</v>
      </c>
      <c r="AL1494">
        <v>100</v>
      </c>
      <c r="AM1494">
        <v>2.5999999999999999E-3</v>
      </c>
      <c r="AN1494">
        <v>-1</v>
      </c>
      <c r="AO1494">
        <v>0.56999999999999995</v>
      </c>
      <c r="AP1494">
        <v>11.93</v>
      </c>
      <c r="AQ1494">
        <v>30.86</v>
      </c>
      <c r="AR1494">
        <v>28.41</v>
      </c>
      <c r="AS1494">
        <v>14.91</v>
      </c>
      <c r="AT1494" t="s">
        <v>7982</v>
      </c>
      <c r="AU1494">
        <v>138.18</v>
      </c>
      <c r="AV1494">
        <v>310.81</v>
      </c>
      <c r="AW1494">
        <v>1.01</v>
      </c>
      <c r="BA1494">
        <v>0.99</v>
      </c>
      <c r="BB1494">
        <v>1.08</v>
      </c>
      <c r="BC1494">
        <v>-7.44</v>
      </c>
      <c r="BD1494">
        <v>-3.86</v>
      </c>
      <c r="BE1494">
        <v>-5.94</v>
      </c>
      <c r="BF1494">
        <v>-6.03</v>
      </c>
      <c r="BG1494">
        <v>2.61</v>
      </c>
      <c r="BH1494">
        <v>-1.1599999999999999</v>
      </c>
      <c r="BI1494">
        <v>20191225</v>
      </c>
      <c r="BJ1494">
        <v>20100728</v>
      </c>
      <c r="BK1494">
        <v>4.3</v>
      </c>
      <c r="BL1494" t="s">
        <v>116</v>
      </c>
      <c r="BM1494" t="s">
        <v>116</v>
      </c>
      <c r="BN1494">
        <v>19.82</v>
      </c>
      <c r="BO1494">
        <v>7.44</v>
      </c>
      <c r="BP1494">
        <v>1.08</v>
      </c>
      <c r="BQ1494">
        <v>57</v>
      </c>
      <c r="BR1494">
        <v>14.03</v>
      </c>
      <c r="BS1494">
        <v>0.68</v>
      </c>
      <c r="BT1494">
        <v>0.28000000000000003</v>
      </c>
      <c r="BU1494">
        <v>8.0500000000000007</v>
      </c>
      <c r="BV1494">
        <v>1.66</v>
      </c>
      <c r="BW1494">
        <v>8.3800000000000008</v>
      </c>
      <c r="BX1494">
        <v>0.33</v>
      </c>
      <c r="BY1494">
        <v>5.16</v>
      </c>
      <c r="BZ1494">
        <v>2.4700000000000002</v>
      </c>
      <c r="CA1494">
        <v>0.02</v>
      </c>
      <c r="CB1494">
        <v>0.02</v>
      </c>
      <c r="CC1494">
        <v>0.01</v>
      </c>
      <c r="CD1494">
        <v>0.15</v>
      </c>
      <c r="CE1494">
        <v>0.01</v>
      </c>
      <c r="CF1494">
        <v>-0.09</v>
      </c>
      <c r="CG1494">
        <v>2.5299999999999998</v>
      </c>
      <c r="CH1494">
        <v>-1.35</v>
      </c>
      <c r="CI1494">
        <v>-0.64</v>
      </c>
      <c r="CJ1494">
        <v>32481</v>
      </c>
      <c r="CK1494">
        <v>7965</v>
      </c>
      <c r="CL1494" t="s">
        <v>6215</v>
      </c>
      <c r="CM1494">
        <v>106.77</v>
      </c>
      <c r="CN1494">
        <v>17.77</v>
      </c>
      <c r="CO1494">
        <v>6.13</v>
      </c>
      <c r="CP1494">
        <v>-33.770000000000003</v>
      </c>
      <c r="CQ1494">
        <v>8.84</v>
      </c>
      <c r="CR1494">
        <v>0.05</v>
      </c>
      <c r="CS1494" t="s">
        <v>350</v>
      </c>
      <c r="CT1494">
        <v>1.73</v>
      </c>
      <c r="CU1494">
        <v>0</v>
      </c>
      <c r="CV1494">
        <v>0.08</v>
      </c>
      <c r="CW1494">
        <v>0.59</v>
      </c>
      <c r="CX1494">
        <v>-0.31</v>
      </c>
      <c r="CY1494">
        <v>37.53</v>
      </c>
      <c r="CZ1494" t="s">
        <v>2569</v>
      </c>
      <c r="DA1494">
        <v>52.16</v>
      </c>
      <c r="DB1494">
        <v>0.32</v>
      </c>
      <c r="DC1494">
        <v>0.23</v>
      </c>
      <c r="DD1494">
        <v>0.85</v>
      </c>
      <c r="DE1494">
        <v>2103</v>
      </c>
      <c r="DF1494">
        <v>300096</v>
      </c>
      <c r="DG1494" t="s">
        <v>116</v>
      </c>
      <c r="DH1494" t="s">
        <v>116</v>
      </c>
      <c r="DI1494" t="s">
        <v>116</v>
      </c>
    </row>
    <row r="1495" spans="1:113" x14ac:dyDescent="0.4">
      <c r="A1495" t="str">
        <f>"300097"</f>
        <v>300097</v>
      </c>
      <c r="B1495" t="s">
        <v>7983</v>
      </c>
      <c r="C1495">
        <v>10.02</v>
      </c>
      <c r="D1495">
        <v>10.65</v>
      </c>
      <c r="E1495">
        <v>0.97</v>
      </c>
      <c r="F1495">
        <v>10.65</v>
      </c>
      <c r="G1495" t="s">
        <v>116</v>
      </c>
      <c r="H1495">
        <v>244318</v>
      </c>
      <c r="I1495">
        <v>1531</v>
      </c>
      <c r="J1495">
        <v>0</v>
      </c>
      <c r="K1495">
        <v>12.1</v>
      </c>
      <c r="L1495">
        <v>10.16</v>
      </c>
      <c r="M1495">
        <v>10.65</v>
      </c>
      <c r="N1495">
        <v>10.16</v>
      </c>
      <c r="O1495">
        <v>9.68</v>
      </c>
      <c r="P1495" t="s">
        <v>116</v>
      </c>
      <c r="Q1495">
        <v>257934400</v>
      </c>
      <c r="R1495">
        <v>4.28</v>
      </c>
      <c r="S1495" t="s">
        <v>2977</v>
      </c>
      <c r="T1495" t="s">
        <v>434</v>
      </c>
      <c r="U1495">
        <v>5.0599999999999996</v>
      </c>
      <c r="V1495">
        <v>10.56</v>
      </c>
      <c r="W1495">
        <v>145492</v>
      </c>
      <c r="X1495">
        <v>98826</v>
      </c>
      <c r="Y1495">
        <v>1.47</v>
      </c>
      <c r="Z1495">
        <v>44981</v>
      </c>
      <c r="AA1495">
        <v>0</v>
      </c>
      <c r="AB1495" t="s">
        <v>116</v>
      </c>
      <c r="AC1495">
        <v>10378400</v>
      </c>
      <c r="AD1495">
        <v>0.65</v>
      </c>
      <c r="AE1495">
        <v>0.18</v>
      </c>
      <c r="AF1495">
        <v>47904764</v>
      </c>
      <c r="AG1495">
        <v>2.02</v>
      </c>
      <c r="AH1495" t="s">
        <v>5044</v>
      </c>
      <c r="AI1495" t="s">
        <v>7984</v>
      </c>
      <c r="AJ1495">
        <v>10.7</v>
      </c>
      <c r="AK1495">
        <v>1024</v>
      </c>
      <c r="AL1495">
        <v>239</v>
      </c>
      <c r="AM1495">
        <v>1.18E-2</v>
      </c>
      <c r="AN1495">
        <v>2</v>
      </c>
      <c r="AO1495">
        <v>19.93</v>
      </c>
      <c r="AP1495">
        <v>33.29</v>
      </c>
      <c r="AQ1495">
        <v>6.08</v>
      </c>
      <c r="AR1495">
        <v>-4.66</v>
      </c>
      <c r="AS1495">
        <v>15.53</v>
      </c>
      <c r="AT1495" t="s">
        <v>2514</v>
      </c>
      <c r="AU1495" t="s">
        <v>116</v>
      </c>
      <c r="AV1495">
        <v>25.06</v>
      </c>
      <c r="AW1495">
        <v>1.31</v>
      </c>
      <c r="BA1495">
        <v>4.96</v>
      </c>
      <c r="BB1495">
        <v>10.02</v>
      </c>
      <c r="BC1495">
        <v>4.96</v>
      </c>
      <c r="BD1495">
        <v>9.06</v>
      </c>
      <c r="BE1495">
        <v>4.82</v>
      </c>
      <c r="BF1495">
        <v>0</v>
      </c>
      <c r="BG1495">
        <v>4.82</v>
      </c>
      <c r="BH1495">
        <v>0.96</v>
      </c>
      <c r="BI1495">
        <v>20191030</v>
      </c>
      <c r="BJ1495">
        <v>20100728</v>
      </c>
      <c r="BK1495">
        <v>2.89</v>
      </c>
      <c r="BL1495" t="s">
        <v>116</v>
      </c>
      <c r="BM1495" t="s">
        <v>116</v>
      </c>
      <c r="BN1495">
        <v>24.99</v>
      </c>
      <c r="BO1495">
        <v>18.52</v>
      </c>
      <c r="BP1495">
        <v>0.05</v>
      </c>
      <c r="BQ1495">
        <v>25.72</v>
      </c>
      <c r="BR1495">
        <v>12.22</v>
      </c>
      <c r="BS1495">
        <v>1.05</v>
      </c>
      <c r="BT1495">
        <v>1.38</v>
      </c>
      <c r="BU1495">
        <v>6.4</v>
      </c>
      <c r="BV1495">
        <v>5.75</v>
      </c>
      <c r="BW1495">
        <v>4.28</v>
      </c>
      <c r="BX1495">
        <v>12.67</v>
      </c>
      <c r="BY1495">
        <v>2.27</v>
      </c>
      <c r="BZ1495">
        <v>1.78</v>
      </c>
      <c r="CA1495">
        <v>-0.92</v>
      </c>
      <c r="CB1495">
        <v>0</v>
      </c>
      <c r="CC1495">
        <v>-0.92</v>
      </c>
      <c r="CD1495">
        <v>-0.91</v>
      </c>
      <c r="CE1495">
        <v>-0.9</v>
      </c>
      <c r="CF1495">
        <v>-0.95</v>
      </c>
      <c r="CG1495">
        <v>4.04</v>
      </c>
      <c r="CH1495">
        <v>-0.1</v>
      </c>
      <c r="CI1495">
        <v>-1.01</v>
      </c>
      <c r="CJ1495">
        <v>20095</v>
      </c>
      <c r="CK1495">
        <v>7828</v>
      </c>
      <c r="CL1495" t="s">
        <v>3525</v>
      </c>
      <c r="CM1495">
        <v>-164.07</v>
      </c>
      <c r="CN1495">
        <v>-70.739999999999995</v>
      </c>
      <c r="CO1495">
        <v>1.66</v>
      </c>
      <c r="CP1495">
        <v>-312.64999999999998</v>
      </c>
      <c r="CQ1495">
        <v>13.52</v>
      </c>
      <c r="CR1495">
        <v>0</v>
      </c>
      <c r="CS1495" t="s">
        <v>7985</v>
      </c>
      <c r="CT1495">
        <v>6.42</v>
      </c>
      <c r="CU1495">
        <v>0</v>
      </c>
      <c r="CV1495">
        <v>4.3899999999999997</v>
      </c>
      <c r="CW1495">
        <v>1.4</v>
      </c>
      <c r="CX1495">
        <v>-0.03</v>
      </c>
      <c r="CY1495">
        <v>74.08</v>
      </c>
      <c r="CZ1495" t="s">
        <v>7986</v>
      </c>
      <c r="DA1495">
        <v>21.75</v>
      </c>
      <c r="DB1495">
        <v>-40.32</v>
      </c>
      <c r="DC1495">
        <v>-39.61</v>
      </c>
      <c r="DD1495">
        <v>0.37</v>
      </c>
      <c r="DE1495">
        <v>1066</v>
      </c>
      <c r="DF1495">
        <v>300097</v>
      </c>
      <c r="DG1495" t="s">
        <v>116</v>
      </c>
      <c r="DH1495" t="s">
        <v>116</v>
      </c>
      <c r="DI1495" t="s">
        <v>116</v>
      </c>
    </row>
    <row r="1496" spans="1:113" x14ac:dyDescent="0.4">
      <c r="A1496" t="str">
        <f>"300098"</f>
        <v>300098</v>
      </c>
      <c r="B1496" t="s">
        <v>7987</v>
      </c>
      <c r="C1496">
        <v>3.15</v>
      </c>
      <c r="D1496">
        <v>5.9</v>
      </c>
      <c r="E1496">
        <v>0.18</v>
      </c>
      <c r="F1496">
        <v>5.89</v>
      </c>
      <c r="G1496">
        <v>5.9</v>
      </c>
      <c r="H1496">
        <v>612013</v>
      </c>
      <c r="I1496">
        <v>5602</v>
      </c>
      <c r="J1496">
        <v>0.17</v>
      </c>
      <c r="K1496">
        <v>4.6399999999999997</v>
      </c>
      <c r="L1496">
        <v>5.75</v>
      </c>
      <c r="M1496">
        <v>6.04</v>
      </c>
      <c r="N1496">
        <v>5.73</v>
      </c>
      <c r="O1496">
        <v>5.72</v>
      </c>
      <c r="P1496">
        <v>128.54</v>
      </c>
      <c r="Q1496">
        <v>362392384</v>
      </c>
      <c r="R1496">
        <v>2.66</v>
      </c>
      <c r="S1496" t="s">
        <v>465</v>
      </c>
      <c r="T1496" t="s">
        <v>551</v>
      </c>
      <c r="U1496">
        <v>5.42</v>
      </c>
      <c r="V1496">
        <v>5.92</v>
      </c>
      <c r="W1496">
        <v>272596</v>
      </c>
      <c r="X1496">
        <v>339417</v>
      </c>
      <c r="Y1496">
        <v>0.8</v>
      </c>
      <c r="Z1496">
        <v>2197</v>
      </c>
      <c r="AA1496">
        <v>340</v>
      </c>
      <c r="AB1496" t="s">
        <v>116</v>
      </c>
      <c r="AC1496">
        <v>254200</v>
      </c>
      <c r="AD1496">
        <v>0</v>
      </c>
      <c r="AE1496" t="s">
        <v>116</v>
      </c>
      <c r="AF1496" t="s">
        <v>116</v>
      </c>
      <c r="AG1496">
        <v>13.2</v>
      </c>
      <c r="AH1496" t="s">
        <v>7988</v>
      </c>
      <c r="AI1496" t="s">
        <v>7989</v>
      </c>
      <c r="AJ1496">
        <v>3.83</v>
      </c>
      <c r="AK1496">
        <v>3580</v>
      </c>
      <c r="AL1496">
        <v>171</v>
      </c>
      <c r="AM1496">
        <v>1.2999999999999999E-3</v>
      </c>
      <c r="AN1496">
        <v>1</v>
      </c>
      <c r="AO1496">
        <v>2.61</v>
      </c>
      <c r="AP1496">
        <v>8.4600000000000009</v>
      </c>
      <c r="AQ1496">
        <v>-16.190000000000001</v>
      </c>
      <c r="AR1496">
        <v>-12.46</v>
      </c>
      <c r="AS1496">
        <v>5.34</v>
      </c>
      <c r="AT1496" t="s">
        <v>7990</v>
      </c>
      <c r="AU1496">
        <v>50.28</v>
      </c>
      <c r="AV1496">
        <v>19.29</v>
      </c>
      <c r="AW1496">
        <v>1.31</v>
      </c>
      <c r="BA1496">
        <v>0.52</v>
      </c>
      <c r="BB1496">
        <v>5.59</v>
      </c>
      <c r="BC1496">
        <v>0.17</v>
      </c>
      <c r="BD1496">
        <v>3.52</v>
      </c>
      <c r="BE1496">
        <v>2.61</v>
      </c>
      <c r="BF1496">
        <v>-2.3199999999999998</v>
      </c>
      <c r="BG1496">
        <v>2.97</v>
      </c>
      <c r="BH1496">
        <v>-0.37</v>
      </c>
      <c r="BI1496">
        <v>20191209</v>
      </c>
      <c r="BJ1496">
        <v>20100728</v>
      </c>
      <c r="BK1496">
        <v>17.64</v>
      </c>
      <c r="BL1496" t="s">
        <v>116</v>
      </c>
      <c r="BM1496" t="s">
        <v>116</v>
      </c>
      <c r="BN1496">
        <v>91.43</v>
      </c>
      <c r="BO1496">
        <v>57.26</v>
      </c>
      <c r="BP1496">
        <v>0.92</v>
      </c>
      <c r="BQ1496">
        <v>36.36</v>
      </c>
      <c r="BR1496">
        <v>44.87</v>
      </c>
      <c r="BS1496">
        <v>1.73</v>
      </c>
      <c r="BT1496">
        <v>0.45</v>
      </c>
      <c r="BU1496">
        <v>29.41</v>
      </c>
      <c r="BV1496">
        <v>6.35</v>
      </c>
      <c r="BW1496">
        <v>20.83</v>
      </c>
      <c r="BX1496">
        <v>26.06</v>
      </c>
      <c r="BY1496">
        <v>21.63</v>
      </c>
      <c r="BZ1496">
        <v>15.22</v>
      </c>
      <c r="CA1496">
        <v>0.55000000000000004</v>
      </c>
      <c r="CB1496">
        <v>-0.09</v>
      </c>
      <c r="CC1496">
        <v>0.64</v>
      </c>
      <c r="CD1496">
        <v>0.6</v>
      </c>
      <c r="CE1496">
        <v>0.61</v>
      </c>
      <c r="CF1496">
        <v>0.45</v>
      </c>
      <c r="CG1496">
        <v>14.23</v>
      </c>
      <c r="CH1496">
        <v>-4.42</v>
      </c>
      <c r="CI1496">
        <v>-2.37</v>
      </c>
      <c r="CJ1496">
        <v>74290</v>
      </c>
      <c r="CK1496">
        <v>15420</v>
      </c>
      <c r="CL1496" t="s">
        <v>7668</v>
      </c>
      <c r="CM1496">
        <v>-84.56</v>
      </c>
      <c r="CN1496">
        <v>-15.19</v>
      </c>
      <c r="CO1496">
        <v>1.82</v>
      </c>
      <c r="CP1496">
        <v>-23.55</v>
      </c>
      <c r="CQ1496">
        <v>4.8099999999999996</v>
      </c>
      <c r="CR1496">
        <v>0.34</v>
      </c>
      <c r="CS1496" t="s">
        <v>2388</v>
      </c>
      <c r="CT1496">
        <v>3.25</v>
      </c>
      <c r="CU1496">
        <v>0</v>
      </c>
      <c r="CV1496">
        <v>1.48</v>
      </c>
      <c r="CW1496">
        <v>0.81</v>
      </c>
      <c r="CX1496">
        <v>-0.25</v>
      </c>
      <c r="CY1496">
        <v>62.63</v>
      </c>
      <c r="CZ1496" t="s">
        <v>1888</v>
      </c>
      <c r="DA1496">
        <v>29.62</v>
      </c>
      <c r="DB1496">
        <v>2.5299999999999998</v>
      </c>
      <c r="DC1496">
        <v>2.81</v>
      </c>
      <c r="DD1496">
        <v>3.07</v>
      </c>
      <c r="DE1496">
        <v>3602</v>
      </c>
      <c r="DF1496">
        <v>300098</v>
      </c>
      <c r="DG1496" t="s">
        <v>116</v>
      </c>
      <c r="DH1496" t="s">
        <v>116</v>
      </c>
      <c r="DI1496" t="s">
        <v>116</v>
      </c>
    </row>
    <row r="1497" spans="1:113" x14ac:dyDescent="0.4">
      <c r="A1497" t="str">
        <f>"300099"</f>
        <v>300099</v>
      </c>
      <c r="B1497" t="s">
        <v>7991</v>
      </c>
      <c r="C1497">
        <v>-1.74</v>
      </c>
      <c r="D1497">
        <v>6.22</v>
      </c>
      <c r="E1497">
        <v>-0.11</v>
      </c>
      <c r="F1497">
        <v>6.21</v>
      </c>
      <c r="G1497">
        <v>6.22</v>
      </c>
      <c r="H1497">
        <v>85108</v>
      </c>
      <c r="I1497">
        <v>1272</v>
      </c>
      <c r="J1497">
        <v>0</v>
      </c>
      <c r="K1497">
        <v>1.9</v>
      </c>
      <c r="L1497">
        <v>6.33</v>
      </c>
      <c r="M1497">
        <v>6.38</v>
      </c>
      <c r="N1497">
        <v>6.22</v>
      </c>
      <c r="O1497">
        <v>6.33</v>
      </c>
      <c r="P1497">
        <v>358.24</v>
      </c>
      <c r="Q1497">
        <v>53749312</v>
      </c>
      <c r="R1497">
        <v>1.04</v>
      </c>
      <c r="S1497" t="s">
        <v>2977</v>
      </c>
      <c r="T1497" t="s">
        <v>645</v>
      </c>
      <c r="U1497">
        <v>2.5299999999999998</v>
      </c>
      <c r="V1497">
        <v>6.32</v>
      </c>
      <c r="W1497">
        <v>48705</v>
      </c>
      <c r="X1497">
        <v>36403</v>
      </c>
      <c r="Y1497">
        <v>1.34</v>
      </c>
      <c r="Z1497">
        <v>864</v>
      </c>
      <c r="AA1497">
        <v>588</v>
      </c>
      <c r="AB1497" t="s">
        <v>116</v>
      </c>
      <c r="AC1497">
        <v>460200</v>
      </c>
      <c r="AD1497">
        <v>0.02</v>
      </c>
      <c r="AE1497" t="s">
        <v>116</v>
      </c>
      <c r="AF1497" t="s">
        <v>116</v>
      </c>
      <c r="AG1497">
        <v>4.4800000000000004</v>
      </c>
      <c r="AH1497" t="s">
        <v>7992</v>
      </c>
      <c r="AI1497" t="s">
        <v>3649</v>
      </c>
      <c r="AJ1497">
        <v>-1.06</v>
      </c>
      <c r="AK1497">
        <v>1681</v>
      </c>
      <c r="AL1497">
        <v>51</v>
      </c>
      <c r="AM1497">
        <v>1.1000000000000001E-3</v>
      </c>
      <c r="AN1497">
        <v>-2</v>
      </c>
      <c r="AO1497">
        <v>-1.73</v>
      </c>
      <c r="AP1497">
        <v>6.14</v>
      </c>
      <c r="AQ1497">
        <v>-8.1199999999999992</v>
      </c>
      <c r="AR1497">
        <v>55.89</v>
      </c>
      <c r="AS1497">
        <v>2.8</v>
      </c>
      <c r="AT1497" t="s">
        <v>6611</v>
      </c>
      <c r="AU1497">
        <v>50.83</v>
      </c>
      <c r="AV1497">
        <v>42.71</v>
      </c>
      <c r="AW1497">
        <v>1.66</v>
      </c>
      <c r="BA1497">
        <v>0</v>
      </c>
      <c r="BB1497">
        <v>0.79</v>
      </c>
      <c r="BC1497">
        <v>-1.74</v>
      </c>
      <c r="BD1497">
        <v>-0.23</v>
      </c>
      <c r="BE1497">
        <v>-1.74</v>
      </c>
      <c r="BF1497">
        <v>-2.5099999999999998</v>
      </c>
      <c r="BG1497">
        <v>0</v>
      </c>
      <c r="BH1497">
        <v>-1.51</v>
      </c>
      <c r="BI1497">
        <v>20191227</v>
      </c>
      <c r="BJ1497">
        <v>20100806</v>
      </c>
      <c r="BK1497">
        <v>6.69</v>
      </c>
      <c r="BL1497" t="s">
        <v>116</v>
      </c>
      <c r="BM1497" t="s">
        <v>116</v>
      </c>
      <c r="BN1497">
        <v>19.829999999999998</v>
      </c>
      <c r="BO1497">
        <v>17.07</v>
      </c>
      <c r="BP1497">
        <v>0.25</v>
      </c>
      <c r="BQ1497">
        <v>12.67</v>
      </c>
      <c r="BR1497">
        <v>10.78</v>
      </c>
      <c r="BS1497">
        <v>1.91</v>
      </c>
      <c r="BT1497">
        <v>0.7</v>
      </c>
      <c r="BU1497">
        <v>2.5</v>
      </c>
      <c r="BV1497">
        <v>2.21</v>
      </c>
      <c r="BW1497">
        <v>2.76</v>
      </c>
      <c r="BX1497">
        <v>7.84</v>
      </c>
      <c r="BY1497">
        <v>1.86</v>
      </c>
      <c r="BZ1497">
        <v>0.92</v>
      </c>
      <c r="CA1497">
        <v>0.05</v>
      </c>
      <c r="CB1497">
        <v>0.05</v>
      </c>
      <c r="CC1497">
        <v>0.05</v>
      </c>
      <c r="CD1497">
        <v>0.02</v>
      </c>
      <c r="CE1497">
        <v>0.09</v>
      </c>
      <c r="CF1497">
        <v>0.03</v>
      </c>
      <c r="CG1497">
        <v>2.04</v>
      </c>
      <c r="CH1497">
        <v>1.46</v>
      </c>
      <c r="CI1497">
        <v>1.91</v>
      </c>
      <c r="CJ1497">
        <v>47037</v>
      </c>
      <c r="CK1497">
        <v>6464</v>
      </c>
      <c r="CL1497" t="s">
        <v>7993</v>
      </c>
      <c r="CM1497">
        <v>-64.12</v>
      </c>
      <c r="CN1497">
        <v>7.22</v>
      </c>
      <c r="CO1497">
        <v>2.44</v>
      </c>
      <c r="CP1497">
        <v>28.58</v>
      </c>
      <c r="CQ1497">
        <v>22.43</v>
      </c>
      <c r="CR1497">
        <v>1.61</v>
      </c>
      <c r="CS1497" t="s">
        <v>910</v>
      </c>
      <c r="CT1497">
        <v>2.5499999999999998</v>
      </c>
      <c r="CU1497">
        <v>0</v>
      </c>
      <c r="CV1497">
        <v>1.17</v>
      </c>
      <c r="CW1497">
        <v>0.3</v>
      </c>
      <c r="CX1497">
        <v>0.22</v>
      </c>
      <c r="CY1497">
        <v>86.09</v>
      </c>
      <c r="CZ1497" t="s">
        <v>366</v>
      </c>
      <c r="DA1497">
        <v>50.44</v>
      </c>
      <c r="DB1497">
        <v>2.61</v>
      </c>
      <c r="DC1497">
        <v>4.7</v>
      </c>
      <c r="DD1497">
        <v>0.32</v>
      </c>
      <c r="DE1497">
        <v>520</v>
      </c>
      <c r="DF1497">
        <v>300099</v>
      </c>
      <c r="DG1497" t="s">
        <v>116</v>
      </c>
      <c r="DH1497" t="s">
        <v>116</v>
      </c>
      <c r="DI1497" t="s">
        <v>116</v>
      </c>
    </row>
    <row r="1498" spans="1:113" x14ac:dyDescent="0.4">
      <c r="A1498" t="str">
        <f>"300100"</f>
        <v>300100</v>
      </c>
      <c r="B1498" t="s">
        <v>7994</v>
      </c>
      <c r="C1498">
        <v>-1.1599999999999999</v>
      </c>
      <c r="D1498">
        <v>5.96</v>
      </c>
      <c r="E1498">
        <v>-7.0000000000000007E-2</v>
      </c>
      <c r="F1498">
        <v>5.96</v>
      </c>
      <c r="G1498">
        <v>5.97</v>
      </c>
      <c r="H1498">
        <v>44504</v>
      </c>
      <c r="I1498">
        <v>598</v>
      </c>
      <c r="J1498">
        <v>0</v>
      </c>
      <c r="K1498">
        <v>1.17</v>
      </c>
      <c r="L1498">
        <v>6.03</v>
      </c>
      <c r="M1498">
        <v>6.09</v>
      </c>
      <c r="N1498">
        <v>5.92</v>
      </c>
      <c r="O1498">
        <v>6.03</v>
      </c>
      <c r="P1498">
        <v>148.88</v>
      </c>
      <c r="Q1498">
        <v>26786834</v>
      </c>
      <c r="R1498">
        <v>1.06</v>
      </c>
      <c r="S1498" t="s">
        <v>256</v>
      </c>
      <c r="T1498" t="s">
        <v>590</v>
      </c>
      <c r="U1498">
        <v>2.82</v>
      </c>
      <c r="V1498">
        <v>6.02</v>
      </c>
      <c r="W1498">
        <v>25952</v>
      </c>
      <c r="X1498">
        <v>18552</v>
      </c>
      <c r="Y1498">
        <v>1.4</v>
      </c>
      <c r="Z1498">
        <v>173</v>
      </c>
      <c r="AA1498">
        <v>337</v>
      </c>
      <c r="AB1498" t="s">
        <v>116</v>
      </c>
      <c r="AC1498">
        <v>3000</v>
      </c>
      <c r="AD1498">
        <v>0</v>
      </c>
      <c r="AE1498" t="s">
        <v>116</v>
      </c>
      <c r="AF1498" t="s">
        <v>116</v>
      </c>
      <c r="AG1498">
        <v>3.81</v>
      </c>
      <c r="AH1498" t="s">
        <v>7995</v>
      </c>
      <c r="AI1498" t="s">
        <v>4690</v>
      </c>
      <c r="AJ1498">
        <v>-0.48</v>
      </c>
      <c r="AK1498">
        <v>1513</v>
      </c>
      <c r="AL1498">
        <v>29</v>
      </c>
      <c r="AM1498">
        <v>8.0000000000000004E-4</v>
      </c>
      <c r="AN1498">
        <v>-1</v>
      </c>
      <c r="AO1498">
        <v>-0.83</v>
      </c>
      <c r="AP1498">
        <v>4.93</v>
      </c>
      <c r="AQ1498">
        <v>-2.61</v>
      </c>
      <c r="AR1498">
        <v>-41.34</v>
      </c>
      <c r="AS1498">
        <v>2.44</v>
      </c>
      <c r="AT1498" t="s">
        <v>7691</v>
      </c>
      <c r="AU1498" t="s">
        <v>116</v>
      </c>
      <c r="AV1498" t="s">
        <v>116</v>
      </c>
      <c r="AW1498">
        <v>0.9</v>
      </c>
      <c r="BA1498">
        <v>0</v>
      </c>
      <c r="BB1498">
        <v>1</v>
      </c>
      <c r="BC1498">
        <v>-1.82</v>
      </c>
      <c r="BD1498">
        <v>-0.18</v>
      </c>
      <c r="BE1498">
        <v>-1.1599999999999999</v>
      </c>
      <c r="BF1498">
        <v>-2.13</v>
      </c>
      <c r="BG1498">
        <v>0.68</v>
      </c>
      <c r="BH1498">
        <v>-0.98</v>
      </c>
      <c r="BI1498">
        <v>20191224</v>
      </c>
      <c r="BJ1498">
        <v>20100806</v>
      </c>
      <c r="BK1498">
        <v>4.57</v>
      </c>
      <c r="BL1498" t="s">
        <v>116</v>
      </c>
      <c r="BM1498" t="s">
        <v>116</v>
      </c>
      <c r="BN1498">
        <v>69.58</v>
      </c>
      <c r="BO1498">
        <v>27.41</v>
      </c>
      <c r="BP1498">
        <v>-0.08</v>
      </c>
      <c r="BQ1498">
        <v>60.73</v>
      </c>
      <c r="BR1498">
        <v>31.66</v>
      </c>
      <c r="BS1498">
        <v>21.11</v>
      </c>
      <c r="BT1498">
        <v>4.8099999999999996</v>
      </c>
      <c r="BU1498">
        <v>33.159999999999997</v>
      </c>
      <c r="BV1498">
        <v>8.24</v>
      </c>
      <c r="BW1498">
        <v>7.55</v>
      </c>
      <c r="BX1498">
        <v>10.74</v>
      </c>
      <c r="BY1498">
        <v>31.77</v>
      </c>
      <c r="BZ1498">
        <v>25.06</v>
      </c>
      <c r="CA1498">
        <v>0.17</v>
      </c>
      <c r="CB1498">
        <v>0.04</v>
      </c>
      <c r="CC1498">
        <v>0.13</v>
      </c>
      <c r="CD1498">
        <v>0.09</v>
      </c>
      <c r="CE1498">
        <v>0.14000000000000001</v>
      </c>
      <c r="CF1498">
        <v>0.53</v>
      </c>
      <c r="CG1498">
        <v>10.96</v>
      </c>
      <c r="CH1498">
        <v>3.75</v>
      </c>
      <c r="CI1498">
        <v>-1.1000000000000001</v>
      </c>
      <c r="CJ1498">
        <v>22434</v>
      </c>
      <c r="CK1498">
        <v>8135</v>
      </c>
      <c r="CL1498" t="s">
        <v>4967</v>
      </c>
      <c r="CM1498">
        <v>-92.89</v>
      </c>
      <c r="CN1498">
        <v>-24</v>
      </c>
      <c r="CO1498">
        <v>0.99</v>
      </c>
      <c r="CP1498">
        <v>7.26</v>
      </c>
      <c r="CQ1498">
        <v>0.86</v>
      </c>
      <c r="CR1498">
        <v>0.51</v>
      </c>
      <c r="CS1498" t="s">
        <v>2913</v>
      </c>
      <c r="CT1498">
        <v>6</v>
      </c>
      <c r="CU1498">
        <v>0</v>
      </c>
      <c r="CV1498">
        <v>2.35</v>
      </c>
      <c r="CW1498">
        <v>2.4</v>
      </c>
      <c r="CX1498">
        <v>0.82</v>
      </c>
      <c r="CY1498">
        <v>39.39</v>
      </c>
      <c r="CZ1498" t="s">
        <v>3760</v>
      </c>
      <c r="DA1498">
        <v>21.14</v>
      </c>
      <c r="DB1498">
        <v>0.53</v>
      </c>
      <c r="DC1498">
        <v>0.43</v>
      </c>
      <c r="DD1498">
        <v>1.43</v>
      </c>
      <c r="DE1498">
        <v>6105</v>
      </c>
      <c r="DF1498">
        <v>300100</v>
      </c>
      <c r="DG1498" t="s">
        <v>116</v>
      </c>
      <c r="DH1498" t="s">
        <v>116</v>
      </c>
      <c r="DI1498" t="s">
        <v>116</v>
      </c>
    </row>
    <row r="1499" spans="1:113" x14ac:dyDescent="0.4">
      <c r="A1499" t="str">
        <f>"300101"</f>
        <v>300101</v>
      </c>
      <c r="B1499" t="s">
        <v>7996</v>
      </c>
      <c r="C1499">
        <v>2.08</v>
      </c>
      <c r="D1499">
        <v>9.34</v>
      </c>
      <c r="E1499">
        <v>0.19</v>
      </c>
      <c r="F1499">
        <v>9.33</v>
      </c>
      <c r="G1499">
        <v>9.34</v>
      </c>
      <c r="H1499">
        <v>247182</v>
      </c>
      <c r="I1499">
        <v>5783</v>
      </c>
      <c r="J1499">
        <v>0.43</v>
      </c>
      <c r="K1499">
        <v>4.49</v>
      </c>
      <c r="L1499">
        <v>9.1199999999999992</v>
      </c>
      <c r="M1499">
        <v>9.5500000000000007</v>
      </c>
      <c r="N1499">
        <v>9.11</v>
      </c>
      <c r="O1499">
        <v>9.15</v>
      </c>
      <c r="P1499">
        <v>476.55</v>
      </c>
      <c r="Q1499">
        <v>230155632</v>
      </c>
      <c r="R1499">
        <v>2.88</v>
      </c>
      <c r="S1499" t="s">
        <v>465</v>
      </c>
      <c r="T1499" t="s">
        <v>582</v>
      </c>
      <c r="U1499">
        <v>4.8099999999999996</v>
      </c>
      <c r="V1499">
        <v>9.31</v>
      </c>
      <c r="W1499">
        <v>110751</v>
      </c>
      <c r="X1499">
        <v>136431</v>
      </c>
      <c r="Y1499">
        <v>0.81</v>
      </c>
      <c r="Z1499">
        <v>254</v>
      </c>
      <c r="AA1499">
        <v>1104</v>
      </c>
      <c r="AB1499" t="s">
        <v>116</v>
      </c>
      <c r="AC1499">
        <v>229800</v>
      </c>
      <c r="AD1499">
        <v>0.01</v>
      </c>
      <c r="AE1499" t="s">
        <v>116</v>
      </c>
      <c r="AF1499" t="s">
        <v>116</v>
      </c>
      <c r="AG1499">
        <v>5.51</v>
      </c>
      <c r="AH1499" t="s">
        <v>7997</v>
      </c>
      <c r="AI1499" t="s">
        <v>7998</v>
      </c>
      <c r="AJ1499">
        <v>2.76</v>
      </c>
      <c r="AK1499">
        <v>3257</v>
      </c>
      <c r="AL1499">
        <v>76</v>
      </c>
      <c r="AM1499">
        <v>1.4E-3</v>
      </c>
      <c r="AN1499">
        <v>4</v>
      </c>
      <c r="AO1499">
        <v>4.25</v>
      </c>
      <c r="AP1499">
        <v>12.53</v>
      </c>
      <c r="AQ1499">
        <v>-0.85</v>
      </c>
      <c r="AR1499">
        <v>-5.47</v>
      </c>
      <c r="AS1499">
        <v>6.5</v>
      </c>
      <c r="AT1499" t="s">
        <v>7999</v>
      </c>
      <c r="AU1499" t="s">
        <v>116</v>
      </c>
      <c r="AV1499">
        <v>322.51</v>
      </c>
      <c r="AW1499">
        <v>1.24</v>
      </c>
      <c r="BA1499">
        <v>-0.33</v>
      </c>
      <c r="BB1499">
        <v>4.37</v>
      </c>
      <c r="BC1499">
        <v>-0.44</v>
      </c>
      <c r="BD1499">
        <v>1.76</v>
      </c>
      <c r="BE1499">
        <v>2.41</v>
      </c>
      <c r="BF1499">
        <v>-2.2000000000000002</v>
      </c>
      <c r="BG1499">
        <v>2.52</v>
      </c>
      <c r="BH1499">
        <v>0.31</v>
      </c>
      <c r="BI1499">
        <v>20191029</v>
      </c>
      <c r="BJ1499">
        <v>20100806</v>
      </c>
      <c r="BK1499">
        <v>5.58</v>
      </c>
      <c r="BL1499" t="s">
        <v>116</v>
      </c>
      <c r="BM1499" t="s">
        <v>116</v>
      </c>
      <c r="BN1499">
        <v>15.15</v>
      </c>
      <c r="BO1499">
        <v>9.2799999999999994</v>
      </c>
      <c r="BP1499">
        <v>1.69</v>
      </c>
      <c r="BQ1499">
        <v>27.61</v>
      </c>
      <c r="BR1499">
        <v>10.31</v>
      </c>
      <c r="BS1499">
        <v>0.99</v>
      </c>
      <c r="BT1499">
        <v>1.7</v>
      </c>
      <c r="BU1499">
        <v>2.61</v>
      </c>
      <c r="BV1499">
        <v>2.84</v>
      </c>
      <c r="BW1499">
        <v>4.03</v>
      </c>
      <c r="BX1499">
        <v>1.1499999999999999</v>
      </c>
      <c r="BY1499">
        <v>3.02</v>
      </c>
      <c r="BZ1499">
        <v>1.77</v>
      </c>
      <c r="CA1499">
        <v>0.02</v>
      </c>
      <c r="CB1499">
        <v>-0.01</v>
      </c>
      <c r="CC1499">
        <v>0.04</v>
      </c>
      <c r="CD1499">
        <v>0.04</v>
      </c>
      <c r="CE1499">
        <v>0.08</v>
      </c>
      <c r="CF1499">
        <v>-0.06</v>
      </c>
      <c r="CG1499">
        <v>2.5</v>
      </c>
      <c r="CH1499">
        <v>-1.22</v>
      </c>
      <c r="CI1499">
        <v>-2.2200000000000002</v>
      </c>
      <c r="CJ1499">
        <v>66939</v>
      </c>
      <c r="CK1499">
        <v>5677</v>
      </c>
      <c r="CL1499" t="s">
        <v>8000</v>
      </c>
      <c r="CM1499">
        <v>-69.12</v>
      </c>
      <c r="CN1499">
        <v>-1.1200000000000001</v>
      </c>
      <c r="CO1499">
        <v>5.62</v>
      </c>
      <c r="CP1499">
        <v>-42.6</v>
      </c>
      <c r="CQ1499">
        <v>17.28</v>
      </c>
      <c r="CR1499">
        <v>0.21</v>
      </c>
      <c r="CS1499" t="s">
        <v>3943</v>
      </c>
      <c r="CT1499">
        <v>1.66</v>
      </c>
      <c r="CU1499">
        <v>0</v>
      </c>
      <c r="CV1499">
        <v>0.21</v>
      </c>
      <c r="CW1499">
        <v>0.45</v>
      </c>
      <c r="CX1499">
        <v>-0.22</v>
      </c>
      <c r="CY1499">
        <v>61.27</v>
      </c>
      <c r="CZ1499" t="s">
        <v>8001</v>
      </c>
      <c r="DA1499">
        <v>41.31</v>
      </c>
      <c r="DB1499">
        <v>0.62</v>
      </c>
      <c r="DC1499">
        <v>2.72</v>
      </c>
      <c r="DD1499">
        <v>0.37</v>
      </c>
      <c r="DE1499">
        <v>784</v>
      </c>
      <c r="DF1499">
        <v>300101</v>
      </c>
      <c r="DG1499" t="s">
        <v>116</v>
      </c>
      <c r="DH1499" t="s">
        <v>116</v>
      </c>
      <c r="DI1499" t="s">
        <v>116</v>
      </c>
    </row>
    <row r="1500" spans="1:113" x14ac:dyDescent="0.4">
      <c r="A1500" t="str">
        <f>"300102"</f>
        <v>300102</v>
      </c>
      <c r="B1500" t="s">
        <v>8002</v>
      </c>
      <c r="C1500">
        <v>-0.4</v>
      </c>
      <c r="D1500">
        <v>4.92</v>
      </c>
      <c r="E1500">
        <v>-0.02</v>
      </c>
      <c r="F1500">
        <v>4.92</v>
      </c>
      <c r="G1500">
        <v>4.93</v>
      </c>
      <c r="H1500">
        <v>155055</v>
      </c>
      <c r="I1500">
        <v>503</v>
      </c>
      <c r="J1500">
        <v>-0.19</v>
      </c>
      <c r="K1500">
        <v>2.19</v>
      </c>
      <c r="L1500">
        <v>4.93</v>
      </c>
      <c r="M1500">
        <v>5.09</v>
      </c>
      <c r="N1500">
        <v>4.91</v>
      </c>
      <c r="O1500">
        <v>4.9400000000000004</v>
      </c>
      <c r="P1500" t="s">
        <v>116</v>
      </c>
      <c r="Q1500">
        <v>77527352</v>
      </c>
      <c r="R1500">
        <v>1.04</v>
      </c>
      <c r="S1500" t="s">
        <v>3507</v>
      </c>
      <c r="T1500" t="s">
        <v>975</v>
      </c>
      <c r="U1500">
        <v>3.64</v>
      </c>
      <c r="V1500">
        <v>5</v>
      </c>
      <c r="W1500">
        <v>75083</v>
      </c>
      <c r="X1500">
        <v>79972</v>
      </c>
      <c r="Y1500">
        <v>0.94</v>
      </c>
      <c r="Z1500">
        <v>229</v>
      </c>
      <c r="AA1500">
        <v>2239</v>
      </c>
      <c r="AB1500" t="s">
        <v>116</v>
      </c>
      <c r="AC1500">
        <v>91200</v>
      </c>
      <c r="AD1500">
        <v>0</v>
      </c>
      <c r="AE1500" t="s">
        <v>116</v>
      </c>
      <c r="AF1500" t="s">
        <v>116</v>
      </c>
      <c r="AG1500">
        <v>7.08</v>
      </c>
      <c r="AH1500" t="s">
        <v>4728</v>
      </c>
      <c r="AI1500" t="s">
        <v>4728</v>
      </c>
      <c r="AJ1500">
        <v>0.27</v>
      </c>
      <c r="AK1500">
        <v>2054</v>
      </c>
      <c r="AL1500">
        <v>75</v>
      </c>
      <c r="AM1500">
        <v>1.1000000000000001E-3</v>
      </c>
      <c r="AN1500">
        <v>-2</v>
      </c>
      <c r="AO1500">
        <v>0.82</v>
      </c>
      <c r="AP1500">
        <v>21.18</v>
      </c>
      <c r="AQ1500">
        <v>-0.4</v>
      </c>
      <c r="AR1500">
        <v>-15.25</v>
      </c>
      <c r="AS1500">
        <v>3.58</v>
      </c>
      <c r="AT1500" t="s">
        <v>2299</v>
      </c>
      <c r="AU1500" t="s">
        <v>116</v>
      </c>
      <c r="AV1500">
        <v>19.34</v>
      </c>
      <c r="AW1500">
        <v>1.25</v>
      </c>
      <c r="BA1500">
        <v>-0.2</v>
      </c>
      <c r="BB1500">
        <v>3.04</v>
      </c>
      <c r="BC1500">
        <v>-0.61</v>
      </c>
      <c r="BD1500">
        <v>1.21</v>
      </c>
      <c r="BE1500">
        <v>-0.2</v>
      </c>
      <c r="BF1500">
        <v>-3.34</v>
      </c>
      <c r="BG1500">
        <v>0.2</v>
      </c>
      <c r="BH1500">
        <v>-1.62</v>
      </c>
      <c r="BI1500">
        <v>20191226</v>
      </c>
      <c r="BJ1500">
        <v>20100812</v>
      </c>
      <c r="BK1500">
        <v>7.08</v>
      </c>
      <c r="BL1500" t="s">
        <v>116</v>
      </c>
      <c r="BM1500" t="s">
        <v>116</v>
      </c>
      <c r="BN1500">
        <v>66.819999999999993</v>
      </c>
      <c r="BO1500">
        <v>28.27</v>
      </c>
      <c r="BP1500">
        <v>0.03</v>
      </c>
      <c r="BQ1500">
        <v>57.65</v>
      </c>
      <c r="BR1500">
        <v>25.54</v>
      </c>
      <c r="BS1500">
        <v>28.81</v>
      </c>
      <c r="BT1500">
        <v>1.29</v>
      </c>
      <c r="BU1500">
        <v>18.8</v>
      </c>
      <c r="BV1500">
        <v>6.23</v>
      </c>
      <c r="BW1500">
        <v>6.63</v>
      </c>
      <c r="BX1500">
        <v>15.71</v>
      </c>
      <c r="BY1500">
        <v>7.03</v>
      </c>
      <c r="BZ1500">
        <v>5.9</v>
      </c>
      <c r="CA1500">
        <v>-0.51</v>
      </c>
      <c r="CB1500">
        <v>0.1</v>
      </c>
      <c r="CC1500">
        <v>-0.51</v>
      </c>
      <c r="CD1500">
        <v>-0.5</v>
      </c>
      <c r="CE1500">
        <v>-0.5</v>
      </c>
      <c r="CF1500">
        <v>-1.22</v>
      </c>
      <c r="CG1500">
        <v>5.2</v>
      </c>
      <c r="CH1500">
        <v>-0.05</v>
      </c>
      <c r="CI1500">
        <v>-0.73</v>
      </c>
      <c r="CJ1500">
        <v>42500</v>
      </c>
      <c r="CK1500">
        <v>10179</v>
      </c>
      <c r="CL1500" t="s">
        <v>3552</v>
      </c>
      <c r="CM1500">
        <v>-132.62</v>
      </c>
      <c r="CN1500">
        <v>-11.79</v>
      </c>
      <c r="CO1500">
        <v>1.23</v>
      </c>
      <c r="CP1500">
        <v>-727.26</v>
      </c>
      <c r="CQ1500">
        <v>4.95</v>
      </c>
      <c r="CR1500">
        <v>0.52</v>
      </c>
      <c r="CS1500" t="s">
        <v>2140</v>
      </c>
      <c r="CT1500">
        <v>4</v>
      </c>
      <c r="CU1500">
        <v>0</v>
      </c>
      <c r="CV1500">
        <v>2.2200000000000002</v>
      </c>
      <c r="CW1500">
        <v>0.74</v>
      </c>
      <c r="CX1500">
        <v>-0.01</v>
      </c>
      <c r="CY1500">
        <v>42.3</v>
      </c>
      <c r="CZ1500" t="s">
        <v>8003</v>
      </c>
      <c r="DA1500">
        <v>16.02</v>
      </c>
      <c r="DB1500">
        <v>-7.2</v>
      </c>
      <c r="DC1500">
        <v>-7.07</v>
      </c>
      <c r="DD1500">
        <v>0.5</v>
      </c>
      <c r="DE1500">
        <v>2675</v>
      </c>
      <c r="DF1500">
        <v>300102</v>
      </c>
      <c r="DG1500" t="s">
        <v>116</v>
      </c>
      <c r="DH1500" t="s">
        <v>116</v>
      </c>
      <c r="DI1500" t="s">
        <v>116</v>
      </c>
    </row>
    <row r="1501" spans="1:113" x14ac:dyDescent="0.4">
      <c r="A1501" t="str">
        <f>"300103"</f>
        <v>300103</v>
      </c>
      <c r="B1501" t="s">
        <v>8004</v>
      </c>
      <c r="C1501">
        <v>0.33</v>
      </c>
      <c r="D1501">
        <v>9.16</v>
      </c>
      <c r="E1501">
        <v>0.03</v>
      </c>
      <c r="F1501">
        <v>9.16</v>
      </c>
      <c r="G1501">
        <v>9.17</v>
      </c>
      <c r="H1501">
        <v>29161</v>
      </c>
      <c r="I1501">
        <v>329</v>
      </c>
      <c r="J1501">
        <v>-0.1</v>
      </c>
      <c r="K1501">
        <v>1.19</v>
      </c>
      <c r="L1501">
        <v>9.15</v>
      </c>
      <c r="M1501">
        <v>9.26</v>
      </c>
      <c r="N1501">
        <v>9.11</v>
      </c>
      <c r="O1501">
        <v>9.1300000000000008</v>
      </c>
      <c r="P1501">
        <v>62.97</v>
      </c>
      <c r="Q1501">
        <v>26790646</v>
      </c>
      <c r="R1501">
        <v>1.4</v>
      </c>
      <c r="S1501" t="s">
        <v>598</v>
      </c>
      <c r="T1501" t="s">
        <v>913</v>
      </c>
      <c r="U1501">
        <v>1.64</v>
      </c>
      <c r="V1501">
        <v>9.19</v>
      </c>
      <c r="W1501">
        <v>12717</v>
      </c>
      <c r="X1501">
        <v>16444</v>
      </c>
      <c r="Y1501">
        <v>0.77</v>
      </c>
      <c r="Z1501">
        <v>528</v>
      </c>
      <c r="AA1501">
        <v>315</v>
      </c>
      <c r="AB1501" t="s">
        <v>116</v>
      </c>
      <c r="AC1501">
        <v>19200</v>
      </c>
      <c r="AD1501">
        <v>0</v>
      </c>
      <c r="AE1501" t="s">
        <v>116</v>
      </c>
      <c r="AF1501" t="s">
        <v>116</v>
      </c>
      <c r="AG1501">
        <v>2.4500000000000002</v>
      </c>
      <c r="AH1501" t="s">
        <v>8005</v>
      </c>
      <c r="AI1501" t="s">
        <v>4030</v>
      </c>
      <c r="AJ1501">
        <v>1.01</v>
      </c>
      <c r="AK1501">
        <v>1008</v>
      </c>
      <c r="AL1501">
        <v>29</v>
      </c>
      <c r="AM1501">
        <v>1.1999999999999999E-3</v>
      </c>
      <c r="AN1501">
        <v>1</v>
      </c>
      <c r="AO1501">
        <v>-0.11</v>
      </c>
      <c r="AP1501">
        <v>2.81</v>
      </c>
      <c r="AQ1501">
        <v>-4.28</v>
      </c>
      <c r="AR1501">
        <v>21.97</v>
      </c>
      <c r="AS1501">
        <v>2.35</v>
      </c>
      <c r="AT1501" t="s">
        <v>8006</v>
      </c>
      <c r="AU1501">
        <v>122.94</v>
      </c>
      <c r="AV1501">
        <v>151.41</v>
      </c>
      <c r="AW1501">
        <v>0.78</v>
      </c>
      <c r="BA1501">
        <v>0.22</v>
      </c>
      <c r="BB1501">
        <v>1.42</v>
      </c>
      <c r="BC1501">
        <v>-0.22</v>
      </c>
      <c r="BD1501">
        <v>0.63</v>
      </c>
      <c r="BE1501">
        <v>0.11</v>
      </c>
      <c r="BF1501">
        <v>-1.08</v>
      </c>
      <c r="BG1501">
        <v>0.55000000000000004</v>
      </c>
      <c r="BH1501">
        <v>-0.3</v>
      </c>
      <c r="BI1501">
        <v>20191029</v>
      </c>
      <c r="BJ1501">
        <v>20100812</v>
      </c>
      <c r="BK1501">
        <v>3.18</v>
      </c>
      <c r="BL1501" t="s">
        <v>116</v>
      </c>
      <c r="BM1501" t="s">
        <v>116</v>
      </c>
      <c r="BN1501">
        <v>21.23</v>
      </c>
      <c r="BO1501">
        <v>9.5</v>
      </c>
      <c r="BP1501">
        <v>2.2400000000000002</v>
      </c>
      <c r="BQ1501">
        <v>44.68</v>
      </c>
      <c r="BR1501">
        <v>12.58</v>
      </c>
      <c r="BS1501">
        <v>3.42</v>
      </c>
      <c r="BT1501">
        <v>0.72</v>
      </c>
      <c r="BU1501">
        <v>6.55</v>
      </c>
      <c r="BV1501">
        <v>6.06</v>
      </c>
      <c r="BW1501">
        <v>1.3</v>
      </c>
      <c r="BX1501">
        <v>2.23</v>
      </c>
      <c r="BY1501">
        <v>7.38</v>
      </c>
      <c r="BZ1501">
        <v>5.96</v>
      </c>
      <c r="CA1501">
        <v>0.66</v>
      </c>
      <c r="CB1501">
        <v>0.15</v>
      </c>
      <c r="CC1501">
        <v>0.66</v>
      </c>
      <c r="CD1501">
        <v>0.59</v>
      </c>
      <c r="CE1501">
        <v>0.35</v>
      </c>
      <c r="CF1501">
        <v>0.34</v>
      </c>
      <c r="CG1501">
        <v>3.58</v>
      </c>
      <c r="CH1501">
        <v>0.74</v>
      </c>
      <c r="CI1501">
        <v>-0.4</v>
      </c>
      <c r="CJ1501">
        <v>20620</v>
      </c>
      <c r="CK1501">
        <v>6028</v>
      </c>
      <c r="CL1501" t="s">
        <v>2260</v>
      </c>
      <c r="CM1501">
        <v>14.73</v>
      </c>
      <c r="CN1501">
        <v>273.29000000000002</v>
      </c>
      <c r="CO1501">
        <v>3.06</v>
      </c>
      <c r="CP1501">
        <v>39.119999999999997</v>
      </c>
      <c r="CQ1501">
        <v>3.94</v>
      </c>
      <c r="CR1501">
        <v>0</v>
      </c>
      <c r="CS1501" t="s">
        <v>3966</v>
      </c>
      <c r="CT1501">
        <v>2.99</v>
      </c>
      <c r="CU1501">
        <v>0</v>
      </c>
      <c r="CV1501">
        <v>0.7</v>
      </c>
      <c r="CW1501">
        <v>1.1299999999999999</v>
      </c>
      <c r="CX1501">
        <v>0.23</v>
      </c>
      <c r="CY1501">
        <v>44.76</v>
      </c>
      <c r="CZ1501" t="s">
        <v>5753</v>
      </c>
      <c r="DA1501">
        <v>19.25</v>
      </c>
      <c r="DB1501">
        <v>8.9499999999999993</v>
      </c>
      <c r="DC1501">
        <v>4.7</v>
      </c>
      <c r="DD1501">
        <v>0.27</v>
      </c>
      <c r="DE1501">
        <v>323</v>
      </c>
      <c r="DF1501">
        <v>300103</v>
      </c>
      <c r="DG1501" t="s">
        <v>116</v>
      </c>
      <c r="DH1501" t="s">
        <v>116</v>
      </c>
      <c r="DI1501" t="s">
        <v>116</v>
      </c>
    </row>
    <row r="1502" spans="1:113" x14ac:dyDescent="0.4">
      <c r="A1502" t="str">
        <f>"300105"</f>
        <v>300105</v>
      </c>
      <c r="B1502" t="s">
        <v>8007</v>
      </c>
      <c r="C1502">
        <v>-1.35</v>
      </c>
      <c r="D1502">
        <v>4.37</v>
      </c>
      <c r="E1502">
        <v>-0.06</v>
      </c>
      <c r="F1502">
        <v>4.3600000000000003</v>
      </c>
      <c r="G1502">
        <v>4.37</v>
      </c>
      <c r="H1502">
        <v>66678</v>
      </c>
      <c r="I1502">
        <v>698</v>
      </c>
      <c r="J1502">
        <v>0.46</v>
      </c>
      <c r="K1502">
        <v>1.3</v>
      </c>
      <c r="L1502">
        <v>4.3899999999999997</v>
      </c>
      <c r="M1502">
        <v>4.42</v>
      </c>
      <c r="N1502">
        <v>4.34</v>
      </c>
      <c r="O1502">
        <v>4.43</v>
      </c>
      <c r="P1502" t="s">
        <v>116</v>
      </c>
      <c r="Q1502">
        <v>29209630</v>
      </c>
      <c r="R1502">
        <v>1.41</v>
      </c>
      <c r="S1502" t="s">
        <v>2977</v>
      </c>
      <c r="T1502" t="s">
        <v>645</v>
      </c>
      <c r="U1502">
        <v>1.81</v>
      </c>
      <c r="V1502">
        <v>4.38</v>
      </c>
      <c r="W1502">
        <v>40257</v>
      </c>
      <c r="X1502">
        <v>26421</v>
      </c>
      <c r="Y1502">
        <v>1.52</v>
      </c>
      <c r="Z1502">
        <v>586</v>
      </c>
      <c r="AA1502">
        <v>1036</v>
      </c>
      <c r="AB1502" t="s">
        <v>116</v>
      </c>
      <c r="AC1502">
        <v>586900</v>
      </c>
      <c r="AD1502">
        <v>0.04</v>
      </c>
      <c r="AE1502" t="s">
        <v>116</v>
      </c>
      <c r="AF1502" t="s">
        <v>116</v>
      </c>
      <c r="AG1502">
        <v>5.13</v>
      </c>
      <c r="AH1502" t="s">
        <v>6767</v>
      </c>
      <c r="AI1502" t="s">
        <v>6767</v>
      </c>
      <c r="AJ1502">
        <v>-0.68</v>
      </c>
      <c r="AK1502">
        <v>1160</v>
      </c>
      <c r="AL1502">
        <v>57</v>
      </c>
      <c r="AM1502">
        <v>1.1000000000000001E-3</v>
      </c>
      <c r="AN1502">
        <v>-1</v>
      </c>
      <c r="AO1502">
        <v>2.58</v>
      </c>
      <c r="AP1502">
        <v>5.56</v>
      </c>
      <c r="AQ1502">
        <v>-0.68</v>
      </c>
      <c r="AR1502">
        <v>16.84</v>
      </c>
      <c r="AS1502">
        <v>2.2400000000000002</v>
      </c>
      <c r="AT1502" t="s">
        <v>8008</v>
      </c>
      <c r="AU1502" t="s">
        <v>116</v>
      </c>
      <c r="AV1502">
        <v>268.89999999999998</v>
      </c>
      <c r="AW1502">
        <v>0.99</v>
      </c>
      <c r="BA1502">
        <v>-0.9</v>
      </c>
      <c r="BB1502">
        <v>-0.23</v>
      </c>
      <c r="BC1502">
        <v>-2.0299999999999998</v>
      </c>
      <c r="BD1502">
        <v>-1.1100000000000001</v>
      </c>
      <c r="BE1502">
        <v>-0.46</v>
      </c>
      <c r="BF1502">
        <v>-1.1299999999999999</v>
      </c>
      <c r="BG1502">
        <v>0.69</v>
      </c>
      <c r="BH1502">
        <v>-0.24</v>
      </c>
      <c r="BI1502">
        <v>20191030</v>
      </c>
      <c r="BJ1502">
        <v>20100820</v>
      </c>
      <c r="BK1502">
        <v>5.13</v>
      </c>
      <c r="BL1502" t="s">
        <v>116</v>
      </c>
      <c r="BM1502" t="s">
        <v>116</v>
      </c>
      <c r="BN1502">
        <v>21.98</v>
      </c>
      <c r="BO1502">
        <v>19.260000000000002</v>
      </c>
      <c r="BP1502">
        <v>0</v>
      </c>
      <c r="BQ1502">
        <v>12.37</v>
      </c>
      <c r="BR1502">
        <v>19.86</v>
      </c>
      <c r="BS1502">
        <v>1.37</v>
      </c>
      <c r="BT1502">
        <v>0.43</v>
      </c>
      <c r="BU1502">
        <v>2.58</v>
      </c>
      <c r="BV1502">
        <v>1.94</v>
      </c>
      <c r="BW1502">
        <v>4.04</v>
      </c>
      <c r="BX1502">
        <v>6.77</v>
      </c>
      <c r="BY1502">
        <v>2.8</v>
      </c>
      <c r="BZ1502">
        <v>2.2599999999999998</v>
      </c>
      <c r="CA1502">
        <v>-0.17</v>
      </c>
      <c r="CB1502">
        <v>0.2</v>
      </c>
      <c r="CC1502">
        <v>-0.16</v>
      </c>
      <c r="CD1502">
        <v>-0.16</v>
      </c>
      <c r="CE1502">
        <v>-0.16</v>
      </c>
      <c r="CF1502">
        <v>-0.39</v>
      </c>
      <c r="CG1502">
        <v>6.23</v>
      </c>
      <c r="CH1502">
        <v>-0.17</v>
      </c>
      <c r="CI1502">
        <v>-11.62</v>
      </c>
      <c r="CJ1502">
        <v>23675</v>
      </c>
      <c r="CK1502">
        <v>12573</v>
      </c>
      <c r="CL1502" t="s">
        <v>3469</v>
      </c>
      <c r="CM1502">
        <v>-197.04</v>
      </c>
      <c r="CN1502">
        <v>1.59</v>
      </c>
      <c r="CO1502">
        <v>1.1599999999999999</v>
      </c>
      <c r="CP1502">
        <v>-130.80000000000001</v>
      </c>
      <c r="CQ1502">
        <v>8</v>
      </c>
      <c r="CR1502">
        <v>0</v>
      </c>
      <c r="CS1502" t="s">
        <v>1836</v>
      </c>
      <c r="CT1502">
        <v>3.75</v>
      </c>
      <c r="CU1502">
        <v>0</v>
      </c>
      <c r="CV1502">
        <v>1.32</v>
      </c>
      <c r="CW1502">
        <v>1.21</v>
      </c>
      <c r="CX1502">
        <v>-0.03</v>
      </c>
      <c r="CY1502">
        <v>87.63</v>
      </c>
      <c r="CZ1502" t="s">
        <v>8009</v>
      </c>
      <c r="DA1502">
        <v>19.27</v>
      </c>
      <c r="DB1502">
        <v>-6.24</v>
      </c>
      <c r="DC1502">
        <v>-5.6</v>
      </c>
      <c r="DD1502">
        <v>0.28999999999999998</v>
      </c>
      <c r="DE1502">
        <v>567</v>
      </c>
      <c r="DF1502">
        <v>300105</v>
      </c>
      <c r="DG1502" t="s">
        <v>116</v>
      </c>
      <c r="DH1502" t="s">
        <v>116</v>
      </c>
      <c r="DI1502" t="s">
        <v>116</v>
      </c>
    </row>
    <row r="1503" spans="1:113" x14ac:dyDescent="0.4">
      <c r="A1503" t="str">
        <f>"300106"</f>
        <v>300106</v>
      </c>
      <c r="B1503" t="s">
        <v>8010</v>
      </c>
      <c r="C1503">
        <v>-0.61</v>
      </c>
      <c r="D1503">
        <v>6.47</v>
      </c>
      <c r="E1503">
        <v>-0.04</v>
      </c>
      <c r="F1503">
        <v>6.45</v>
      </c>
      <c r="G1503">
        <v>6.47</v>
      </c>
      <c r="H1503">
        <v>32739</v>
      </c>
      <c r="I1503">
        <v>150</v>
      </c>
      <c r="J1503">
        <v>0</v>
      </c>
      <c r="K1503">
        <v>1.55</v>
      </c>
      <c r="L1503">
        <v>6.53</v>
      </c>
      <c r="M1503">
        <v>6.62</v>
      </c>
      <c r="N1503">
        <v>6.45</v>
      </c>
      <c r="O1503">
        <v>6.51</v>
      </c>
      <c r="P1503">
        <v>826.21</v>
      </c>
      <c r="Q1503">
        <v>21407482</v>
      </c>
      <c r="R1503">
        <v>1.17</v>
      </c>
      <c r="S1503" t="s">
        <v>449</v>
      </c>
      <c r="T1503" t="s">
        <v>616</v>
      </c>
      <c r="U1503">
        <v>2.61</v>
      </c>
      <c r="V1503">
        <v>6.54</v>
      </c>
      <c r="W1503">
        <v>16780</v>
      </c>
      <c r="X1503">
        <v>15959</v>
      </c>
      <c r="Y1503">
        <v>1.05</v>
      </c>
      <c r="Z1503">
        <v>283</v>
      </c>
      <c r="AA1503">
        <v>123</v>
      </c>
      <c r="AB1503" t="s">
        <v>116</v>
      </c>
      <c r="AC1503">
        <v>57500</v>
      </c>
      <c r="AD1503">
        <v>0.01</v>
      </c>
      <c r="AE1503" t="s">
        <v>116</v>
      </c>
      <c r="AF1503" t="s">
        <v>116</v>
      </c>
      <c r="AG1503">
        <v>2.11</v>
      </c>
      <c r="AH1503" t="s">
        <v>8011</v>
      </c>
      <c r="AI1503" t="s">
        <v>8011</v>
      </c>
      <c r="AJ1503">
        <v>0.06</v>
      </c>
      <c r="AK1503">
        <v>773</v>
      </c>
      <c r="AL1503">
        <v>42</v>
      </c>
      <c r="AM1503">
        <v>2E-3</v>
      </c>
      <c r="AN1503">
        <v>-1</v>
      </c>
      <c r="AO1503">
        <v>0.95</v>
      </c>
      <c r="AP1503">
        <v>4.8600000000000003</v>
      </c>
      <c r="AQ1503">
        <v>-7.44</v>
      </c>
      <c r="AR1503">
        <v>22.54</v>
      </c>
      <c r="AS1503">
        <v>2.66</v>
      </c>
      <c r="AT1503" t="s">
        <v>8012</v>
      </c>
      <c r="AU1503" t="s">
        <v>116</v>
      </c>
      <c r="AV1503">
        <v>69.37</v>
      </c>
      <c r="AW1503">
        <v>0.69</v>
      </c>
      <c r="BA1503">
        <v>0.31</v>
      </c>
      <c r="BB1503">
        <v>1.69</v>
      </c>
      <c r="BC1503">
        <v>-0.92</v>
      </c>
      <c r="BD1503">
        <v>0.44</v>
      </c>
      <c r="BE1503">
        <v>-0.92</v>
      </c>
      <c r="BF1503">
        <v>-2.27</v>
      </c>
      <c r="BG1503">
        <v>0.31</v>
      </c>
      <c r="BH1503">
        <v>-1.06</v>
      </c>
      <c r="BI1503">
        <v>20191223</v>
      </c>
      <c r="BJ1503">
        <v>20100820</v>
      </c>
      <c r="BK1503">
        <v>2.11</v>
      </c>
      <c r="BL1503" t="s">
        <v>116</v>
      </c>
      <c r="BM1503" t="s">
        <v>116</v>
      </c>
      <c r="BN1503">
        <v>11.23</v>
      </c>
      <c r="BO1503">
        <v>6.38</v>
      </c>
      <c r="BP1503">
        <v>0.66</v>
      </c>
      <c r="BQ1503">
        <v>37.299999999999997</v>
      </c>
      <c r="BR1503">
        <v>5.03</v>
      </c>
      <c r="BS1503">
        <v>4.1500000000000004</v>
      </c>
      <c r="BT1503">
        <v>0.7</v>
      </c>
      <c r="BU1503">
        <v>3.76</v>
      </c>
      <c r="BV1503">
        <v>1.35</v>
      </c>
      <c r="BW1503">
        <v>1.4</v>
      </c>
      <c r="BX1503">
        <v>6.21</v>
      </c>
      <c r="BY1503">
        <v>5.25</v>
      </c>
      <c r="BZ1503">
        <v>4.5</v>
      </c>
      <c r="CA1503">
        <v>0.01</v>
      </c>
      <c r="CB1503">
        <v>0</v>
      </c>
      <c r="CC1503">
        <v>0.05</v>
      </c>
      <c r="CD1503">
        <v>0.04</v>
      </c>
      <c r="CE1503">
        <v>0.01</v>
      </c>
      <c r="CF1503">
        <v>-0.02</v>
      </c>
      <c r="CG1503">
        <v>-2.16</v>
      </c>
      <c r="CH1503">
        <v>1.06</v>
      </c>
      <c r="CI1503">
        <v>-0.14000000000000001</v>
      </c>
      <c r="CJ1503">
        <v>16000</v>
      </c>
      <c r="CK1503">
        <v>7685</v>
      </c>
      <c r="CL1503" t="s">
        <v>8013</v>
      </c>
      <c r="CM1503">
        <v>-94.6</v>
      </c>
      <c r="CN1503">
        <v>-1.59</v>
      </c>
      <c r="CO1503">
        <v>2.14</v>
      </c>
      <c r="CP1503">
        <v>12.91</v>
      </c>
      <c r="CQ1503">
        <v>2.6</v>
      </c>
      <c r="CR1503">
        <v>0</v>
      </c>
      <c r="CS1503" t="s">
        <v>1177</v>
      </c>
      <c r="CT1503">
        <v>3.02</v>
      </c>
      <c r="CU1503">
        <v>0</v>
      </c>
      <c r="CV1503">
        <v>2.94</v>
      </c>
      <c r="CW1503">
        <v>-1.02</v>
      </c>
      <c r="CX1503">
        <v>0.5</v>
      </c>
      <c r="CY1503">
        <v>56.78</v>
      </c>
      <c r="CZ1503" t="s">
        <v>5810</v>
      </c>
      <c r="DA1503">
        <v>14.26</v>
      </c>
      <c r="DB1503">
        <v>0.25</v>
      </c>
      <c r="DC1503">
        <v>0.24</v>
      </c>
      <c r="DD1503">
        <v>0.02</v>
      </c>
      <c r="DE1503">
        <v>658</v>
      </c>
      <c r="DF1503">
        <v>300106</v>
      </c>
      <c r="DG1503" t="s">
        <v>116</v>
      </c>
      <c r="DH1503" t="s">
        <v>116</v>
      </c>
      <c r="DI1503" t="s">
        <v>116</v>
      </c>
    </row>
    <row r="1504" spans="1:113" x14ac:dyDescent="0.4">
      <c r="A1504" t="str">
        <f>"300107"</f>
        <v>300107</v>
      </c>
      <c r="B1504" t="s">
        <v>8014</v>
      </c>
      <c r="C1504">
        <v>-0.85</v>
      </c>
      <c r="D1504">
        <v>7.02</v>
      </c>
      <c r="E1504">
        <v>-0.06</v>
      </c>
      <c r="F1504">
        <v>7.02</v>
      </c>
      <c r="G1504">
        <v>7.03</v>
      </c>
      <c r="H1504">
        <v>44821</v>
      </c>
      <c r="I1504">
        <v>975</v>
      </c>
      <c r="J1504">
        <v>-0.13</v>
      </c>
      <c r="K1504">
        <v>1.34</v>
      </c>
      <c r="L1504">
        <v>7.11</v>
      </c>
      <c r="M1504">
        <v>7.12</v>
      </c>
      <c r="N1504">
        <v>7.01</v>
      </c>
      <c r="O1504">
        <v>7.08</v>
      </c>
      <c r="P1504">
        <v>10.26</v>
      </c>
      <c r="Q1504">
        <v>31698946</v>
      </c>
      <c r="R1504">
        <v>0.92</v>
      </c>
      <c r="S1504" t="s">
        <v>891</v>
      </c>
      <c r="T1504" t="s">
        <v>608</v>
      </c>
      <c r="U1504">
        <v>1.55</v>
      </c>
      <c r="V1504">
        <v>7.07</v>
      </c>
      <c r="W1504">
        <v>24558</v>
      </c>
      <c r="X1504">
        <v>20263</v>
      </c>
      <c r="Y1504">
        <v>1.21</v>
      </c>
      <c r="Z1504">
        <v>426</v>
      </c>
      <c r="AA1504">
        <v>184</v>
      </c>
      <c r="AB1504" t="s">
        <v>116</v>
      </c>
      <c r="AC1504">
        <v>74700</v>
      </c>
      <c r="AD1504">
        <v>0</v>
      </c>
      <c r="AE1504" t="s">
        <v>116</v>
      </c>
      <c r="AF1504" t="s">
        <v>116</v>
      </c>
      <c r="AG1504">
        <v>3.34</v>
      </c>
      <c r="AH1504" t="s">
        <v>2817</v>
      </c>
      <c r="AI1504" t="s">
        <v>8015</v>
      </c>
      <c r="AJ1504">
        <v>-0.17</v>
      </c>
      <c r="AK1504">
        <v>1110</v>
      </c>
      <c r="AL1504">
        <v>40</v>
      </c>
      <c r="AM1504">
        <v>1.1999999999999999E-3</v>
      </c>
      <c r="AN1504">
        <v>-1</v>
      </c>
      <c r="AO1504">
        <v>-0.14000000000000001</v>
      </c>
      <c r="AP1504">
        <v>-1.1299999999999999</v>
      </c>
      <c r="AQ1504">
        <v>-9.42</v>
      </c>
      <c r="AR1504">
        <v>-23.11</v>
      </c>
      <c r="AS1504">
        <v>1.68</v>
      </c>
      <c r="AT1504" t="s">
        <v>8016</v>
      </c>
      <c r="AU1504">
        <v>8.68</v>
      </c>
      <c r="AV1504">
        <v>5.88</v>
      </c>
      <c r="AW1504">
        <v>1.06</v>
      </c>
      <c r="BA1504">
        <v>0.42</v>
      </c>
      <c r="BB1504">
        <v>0.56000000000000005</v>
      </c>
      <c r="BC1504">
        <v>-0.99</v>
      </c>
      <c r="BD1504">
        <v>-0.11</v>
      </c>
      <c r="BE1504">
        <v>-1.27</v>
      </c>
      <c r="BF1504">
        <v>-1.4</v>
      </c>
      <c r="BG1504">
        <v>0.14000000000000001</v>
      </c>
      <c r="BH1504">
        <v>-0.74</v>
      </c>
      <c r="BI1504">
        <v>20191212</v>
      </c>
      <c r="BJ1504">
        <v>20100820</v>
      </c>
      <c r="BK1504">
        <v>5.5</v>
      </c>
      <c r="BL1504" t="s">
        <v>116</v>
      </c>
      <c r="BM1504" t="s">
        <v>116</v>
      </c>
      <c r="BN1504">
        <v>18.09</v>
      </c>
      <c r="BO1504">
        <v>17.11</v>
      </c>
      <c r="BP1504">
        <v>0</v>
      </c>
      <c r="BQ1504">
        <v>5.41</v>
      </c>
      <c r="BR1504">
        <v>13.36</v>
      </c>
      <c r="BS1504">
        <v>3.96</v>
      </c>
      <c r="BT1504">
        <v>0.08</v>
      </c>
      <c r="BU1504">
        <v>0.81</v>
      </c>
      <c r="BV1504">
        <v>0.89</v>
      </c>
      <c r="BW1504">
        <v>1.3</v>
      </c>
      <c r="BX1504">
        <v>2</v>
      </c>
      <c r="BY1504">
        <v>7.44</v>
      </c>
      <c r="BZ1504">
        <v>3.48</v>
      </c>
      <c r="CA1504">
        <v>3.29</v>
      </c>
      <c r="CB1504">
        <v>0.03</v>
      </c>
      <c r="CC1504">
        <v>3.28</v>
      </c>
      <c r="CD1504">
        <v>2.82</v>
      </c>
      <c r="CE1504">
        <v>2.82</v>
      </c>
      <c r="CF1504">
        <v>2.79</v>
      </c>
      <c r="CG1504">
        <v>8.59</v>
      </c>
      <c r="CH1504">
        <v>0.57999999999999996</v>
      </c>
      <c r="CI1504">
        <v>0.13</v>
      </c>
      <c r="CJ1504">
        <v>39204</v>
      </c>
      <c r="CK1504">
        <v>6798</v>
      </c>
      <c r="CL1504" t="s">
        <v>8017</v>
      </c>
      <c r="CM1504">
        <v>-42.84</v>
      </c>
      <c r="CN1504">
        <v>-29.48</v>
      </c>
      <c r="CO1504">
        <v>2.25</v>
      </c>
      <c r="CP1504">
        <v>66.3</v>
      </c>
      <c r="CQ1504">
        <v>5.18</v>
      </c>
      <c r="CR1504">
        <v>4.26</v>
      </c>
      <c r="CS1504" t="s">
        <v>8018</v>
      </c>
      <c r="CT1504">
        <v>3.11</v>
      </c>
      <c r="CU1504">
        <v>0</v>
      </c>
      <c r="CV1504">
        <v>0.36</v>
      </c>
      <c r="CW1504">
        <v>1.56</v>
      </c>
      <c r="CX1504">
        <v>0.11</v>
      </c>
      <c r="CY1504">
        <v>94.59</v>
      </c>
      <c r="CZ1504" t="s">
        <v>8019</v>
      </c>
      <c r="DA1504">
        <v>53.21</v>
      </c>
      <c r="DB1504">
        <v>44.26</v>
      </c>
      <c r="DC1504">
        <v>37.9</v>
      </c>
      <c r="DD1504">
        <v>0.33</v>
      </c>
      <c r="DE1504">
        <v>606</v>
      </c>
      <c r="DF1504">
        <v>300107</v>
      </c>
      <c r="DG1504" t="s">
        <v>116</v>
      </c>
      <c r="DH1504" t="s">
        <v>116</v>
      </c>
      <c r="DI1504" t="s">
        <v>116</v>
      </c>
    </row>
    <row r="1505" spans="1:113" x14ac:dyDescent="0.4">
      <c r="A1505" t="str">
        <f>"300108"</f>
        <v>300108</v>
      </c>
      <c r="B1505" t="s">
        <v>8020</v>
      </c>
      <c r="C1505">
        <v>0</v>
      </c>
      <c r="D1505">
        <v>3.83</v>
      </c>
      <c r="E1505">
        <v>0</v>
      </c>
      <c r="F1505">
        <v>3.83</v>
      </c>
      <c r="G1505">
        <v>3.84</v>
      </c>
      <c r="H1505">
        <v>76829</v>
      </c>
      <c r="I1505">
        <v>847</v>
      </c>
      <c r="J1505">
        <v>0</v>
      </c>
      <c r="K1505">
        <v>1.79</v>
      </c>
      <c r="L1505">
        <v>3.83</v>
      </c>
      <c r="M1505">
        <v>3.89</v>
      </c>
      <c r="N1505">
        <v>3.83</v>
      </c>
      <c r="O1505">
        <v>3.83</v>
      </c>
      <c r="P1505">
        <v>157.30000000000001</v>
      </c>
      <c r="Q1505">
        <v>29617022</v>
      </c>
      <c r="R1505">
        <v>1.06</v>
      </c>
      <c r="S1505" t="s">
        <v>781</v>
      </c>
      <c r="T1505" t="s">
        <v>294</v>
      </c>
      <c r="U1505">
        <v>1.57</v>
      </c>
      <c r="V1505">
        <v>3.85</v>
      </c>
      <c r="W1505">
        <v>35215</v>
      </c>
      <c r="X1505">
        <v>41614</v>
      </c>
      <c r="Y1505">
        <v>0.85</v>
      </c>
      <c r="Z1505">
        <v>627</v>
      </c>
      <c r="AA1505">
        <v>1523</v>
      </c>
      <c r="AB1505" t="s">
        <v>116</v>
      </c>
      <c r="AC1505">
        <v>155100</v>
      </c>
      <c r="AD1505">
        <v>0.01</v>
      </c>
      <c r="AE1505" t="s">
        <v>116</v>
      </c>
      <c r="AF1505" t="s">
        <v>116</v>
      </c>
      <c r="AG1505">
        <v>4.3</v>
      </c>
      <c r="AH1505" t="s">
        <v>8021</v>
      </c>
      <c r="AI1505" t="s">
        <v>8022</v>
      </c>
      <c r="AJ1505">
        <v>0.68</v>
      </c>
      <c r="AK1505">
        <v>920</v>
      </c>
      <c r="AL1505">
        <v>84</v>
      </c>
      <c r="AM1505">
        <v>1.9E-3</v>
      </c>
      <c r="AN1505">
        <v>0</v>
      </c>
      <c r="AO1505">
        <v>0.27</v>
      </c>
      <c r="AP1505">
        <v>2.13</v>
      </c>
      <c r="AQ1505">
        <v>-7.93</v>
      </c>
      <c r="AR1505">
        <v>-23.4</v>
      </c>
      <c r="AS1505">
        <v>2.38</v>
      </c>
      <c r="AT1505" t="s">
        <v>1275</v>
      </c>
      <c r="AU1505">
        <v>20.05</v>
      </c>
      <c r="AV1505">
        <v>11.77</v>
      </c>
      <c r="AW1505">
        <v>1.31</v>
      </c>
      <c r="BA1505">
        <v>0</v>
      </c>
      <c r="BB1505">
        <v>1.57</v>
      </c>
      <c r="BC1505">
        <v>0</v>
      </c>
      <c r="BD1505">
        <v>0.65</v>
      </c>
      <c r="BE1505">
        <v>0</v>
      </c>
      <c r="BF1505">
        <v>-1.54</v>
      </c>
      <c r="BG1505">
        <v>0</v>
      </c>
      <c r="BH1505">
        <v>-0.65</v>
      </c>
      <c r="BI1505">
        <v>20191029</v>
      </c>
      <c r="BJ1505">
        <v>20100825</v>
      </c>
      <c r="BK1505">
        <v>6.66</v>
      </c>
      <c r="BL1505" t="s">
        <v>116</v>
      </c>
      <c r="BM1505" t="s">
        <v>116</v>
      </c>
      <c r="BN1505">
        <v>50.5</v>
      </c>
      <c r="BO1505">
        <v>22.2</v>
      </c>
      <c r="BP1505">
        <v>0.4</v>
      </c>
      <c r="BQ1505">
        <v>55.24</v>
      </c>
      <c r="BR1505">
        <v>19.7</v>
      </c>
      <c r="BS1505">
        <v>9.42</v>
      </c>
      <c r="BT1505">
        <v>2.79</v>
      </c>
      <c r="BU1505">
        <v>17.21</v>
      </c>
      <c r="BV1505">
        <v>5.23</v>
      </c>
      <c r="BW1505">
        <v>8.4</v>
      </c>
      <c r="BX1505">
        <v>8.15</v>
      </c>
      <c r="BY1505">
        <v>8.5500000000000007</v>
      </c>
      <c r="BZ1505">
        <v>6.26</v>
      </c>
      <c r="CA1505">
        <v>0.24</v>
      </c>
      <c r="CB1505">
        <v>0</v>
      </c>
      <c r="CC1505">
        <v>0.23</v>
      </c>
      <c r="CD1505">
        <v>0.12</v>
      </c>
      <c r="CE1505">
        <v>0.12</v>
      </c>
      <c r="CF1505">
        <v>-0.26</v>
      </c>
      <c r="CG1505">
        <v>7.23</v>
      </c>
      <c r="CH1505">
        <v>2.21</v>
      </c>
      <c r="CI1505">
        <v>-1.47</v>
      </c>
      <c r="CJ1505">
        <v>17973</v>
      </c>
      <c r="CK1505">
        <v>17972</v>
      </c>
      <c r="CL1505" t="s">
        <v>5924</v>
      </c>
      <c r="CM1505">
        <v>-88.03</v>
      </c>
      <c r="CN1505">
        <v>42.11</v>
      </c>
      <c r="CO1505">
        <v>1.1499999999999999</v>
      </c>
      <c r="CP1505">
        <v>11.53</v>
      </c>
      <c r="CQ1505">
        <v>2.98</v>
      </c>
      <c r="CR1505">
        <v>0</v>
      </c>
      <c r="CS1505" t="s">
        <v>4864</v>
      </c>
      <c r="CT1505">
        <v>3.33</v>
      </c>
      <c r="CU1505">
        <v>0</v>
      </c>
      <c r="CV1505">
        <v>1.22</v>
      </c>
      <c r="CW1505">
        <v>1.0900000000000001</v>
      </c>
      <c r="CX1505">
        <v>0.33</v>
      </c>
      <c r="CY1505">
        <v>43.96</v>
      </c>
      <c r="CZ1505" t="s">
        <v>2002</v>
      </c>
      <c r="DA1505">
        <v>26.77</v>
      </c>
      <c r="DB1505">
        <v>2.77</v>
      </c>
      <c r="DC1505">
        <v>1.42</v>
      </c>
      <c r="DD1505">
        <v>0.1</v>
      </c>
      <c r="DE1505">
        <v>1544</v>
      </c>
      <c r="DF1505">
        <v>300108</v>
      </c>
      <c r="DG1505" t="s">
        <v>116</v>
      </c>
      <c r="DH1505" t="s">
        <v>116</v>
      </c>
      <c r="DI1505" t="s">
        <v>116</v>
      </c>
    </row>
    <row r="1506" spans="1:113" x14ac:dyDescent="0.4">
      <c r="A1506" t="str">
        <f>"300109"</f>
        <v>300109</v>
      </c>
      <c r="B1506" t="s">
        <v>8023</v>
      </c>
      <c r="C1506">
        <v>-1.81</v>
      </c>
      <c r="D1506">
        <v>16.260000000000002</v>
      </c>
      <c r="E1506">
        <v>-0.3</v>
      </c>
      <c r="F1506">
        <v>16.260000000000002</v>
      </c>
      <c r="G1506">
        <v>16.27</v>
      </c>
      <c r="H1506">
        <v>37441</v>
      </c>
      <c r="I1506">
        <v>764</v>
      </c>
      <c r="J1506">
        <v>0.06</v>
      </c>
      <c r="K1506">
        <v>3.19</v>
      </c>
      <c r="L1506">
        <v>16.57</v>
      </c>
      <c r="M1506">
        <v>16.760000000000002</v>
      </c>
      <c r="N1506">
        <v>16.23</v>
      </c>
      <c r="O1506">
        <v>16.559999999999999</v>
      </c>
      <c r="P1506">
        <v>37.85</v>
      </c>
      <c r="Q1506">
        <v>61715836</v>
      </c>
      <c r="R1506">
        <v>0.72</v>
      </c>
      <c r="S1506" t="s">
        <v>891</v>
      </c>
      <c r="T1506" t="s">
        <v>652</v>
      </c>
      <c r="U1506">
        <v>3.2</v>
      </c>
      <c r="V1506">
        <v>16.48</v>
      </c>
      <c r="W1506">
        <v>24125</v>
      </c>
      <c r="X1506">
        <v>13316</v>
      </c>
      <c r="Y1506">
        <v>1.81</v>
      </c>
      <c r="Z1506">
        <v>357</v>
      </c>
      <c r="AA1506">
        <v>277</v>
      </c>
      <c r="AB1506" t="s">
        <v>116</v>
      </c>
      <c r="AC1506">
        <v>280000</v>
      </c>
      <c r="AD1506">
        <v>0.02</v>
      </c>
      <c r="AE1506" t="s">
        <v>116</v>
      </c>
      <c r="AF1506" t="s">
        <v>116</v>
      </c>
      <c r="AG1506">
        <v>1.17</v>
      </c>
      <c r="AH1506" t="s">
        <v>8024</v>
      </c>
      <c r="AI1506" t="s">
        <v>1737</v>
      </c>
      <c r="AJ1506">
        <v>-1.1299999999999999</v>
      </c>
      <c r="AK1506">
        <v>1600</v>
      </c>
      <c r="AL1506">
        <v>23</v>
      </c>
      <c r="AM1506">
        <v>2E-3</v>
      </c>
      <c r="AN1506">
        <v>-2</v>
      </c>
      <c r="AO1506">
        <v>-1.0900000000000001</v>
      </c>
      <c r="AP1506">
        <v>-10.61</v>
      </c>
      <c r="AQ1506">
        <v>4.84</v>
      </c>
      <c r="AR1506">
        <v>19.12</v>
      </c>
      <c r="AS1506">
        <v>3.61</v>
      </c>
      <c r="AT1506" t="s">
        <v>3986</v>
      </c>
      <c r="AU1506">
        <v>46.31</v>
      </c>
      <c r="AV1506">
        <v>58.66</v>
      </c>
      <c r="AW1506">
        <v>0.57999999999999996</v>
      </c>
      <c r="BA1506">
        <v>0.06</v>
      </c>
      <c r="BB1506">
        <v>1.21</v>
      </c>
      <c r="BC1506">
        <v>-1.99</v>
      </c>
      <c r="BD1506">
        <v>-0.46</v>
      </c>
      <c r="BE1506">
        <v>-1.87</v>
      </c>
      <c r="BF1506">
        <v>-2.98</v>
      </c>
      <c r="BG1506">
        <v>0.18</v>
      </c>
      <c r="BH1506">
        <v>-1.35</v>
      </c>
      <c r="BI1506">
        <v>20191225</v>
      </c>
      <c r="BJ1506">
        <v>20100825</v>
      </c>
      <c r="BK1506">
        <v>3.23</v>
      </c>
      <c r="BL1506" t="s">
        <v>116</v>
      </c>
      <c r="BM1506" t="s">
        <v>116</v>
      </c>
      <c r="BN1506">
        <v>40.950000000000003</v>
      </c>
      <c r="BO1506">
        <v>30.29</v>
      </c>
      <c r="BP1506">
        <v>7.0000000000000007E-2</v>
      </c>
      <c r="BQ1506">
        <v>25.87</v>
      </c>
      <c r="BR1506">
        <v>9.43</v>
      </c>
      <c r="BS1506">
        <v>3.88</v>
      </c>
      <c r="BT1506">
        <v>0.71</v>
      </c>
      <c r="BU1506">
        <v>8.91</v>
      </c>
      <c r="BV1506">
        <v>1.89</v>
      </c>
      <c r="BW1506">
        <v>3.03</v>
      </c>
      <c r="BX1506">
        <v>22.64</v>
      </c>
      <c r="BY1506">
        <v>6.61</v>
      </c>
      <c r="BZ1506">
        <v>3.5</v>
      </c>
      <c r="CA1506">
        <v>1.31</v>
      </c>
      <c r="CB1506">
        <v>0.02</v>
      </c>
      <c r="CC1506">
        <v>1.34</v>
      </c>
      <c r="CD1506">
        <v>1.1000000000000001</v>
      </c>
      <c r="CE1506">
        <v>1.04</v>
      </c>
      <c r="CF1506">
        <v>1</v>
      </c>
      <c r="CG1506">
        <v>4.04</v>
      </c>
      <c r="CH1506">
        <v>-0.13</v>
      </c>
      <c r="CI1506">
        <v>-0.48</v>
      </c>
      <c r="CJ1506">
        <v>17270</v>
      </c>
      <c r="CK1506">
        <v>6011</v>
      </c>
      <c r="CL1506" t="s">
        <v>8025</v>
      </c>
      <c r="CM1506">
        <v>29.8</v>
      </c>
      <c r="CN1506">
        <v>37.54</v>
      </c>
      <c r="CO1506">
        <v>1.73</v>
      </c>
      <c r="CP1506">
        <v>-394.77</v>
      </c>
      <c r="CQ1506">
        <v>7.95</v>
      </c>
      <c r="CR1506">
        <v>0.41</v>
      </c>
      <c r="CS1506" t="s">
        <v>335</v>
      </c>
      <c r="CT1506">
        <v>9.3699999999999992</v>
      </c>
      <c r="CU1506">
        <v>0</v>
      </c>
      <c r="CV1506">
        <v>7.01</v>
      </c>
      <c r="CW1506">
        <v>1.25</v>
      </c>
      <c r="CX1506">
        <v>-0.04</v>
      </c>
      <c r="CY1506">
        <v>73.95</v>
      </c>
      <c r="CZ1506" t="s">
        <v>2903</v>
      </c>
      <c r="DA1506">
        <v>47.07</v>
      </c>
      <c r="DB1506">
        <v>19.87</v>
      </c>
      <c r="DC1506">
        <v>15.75</v>
      </c>
      <c r="DD1506">
        <v>0.3</v>
      </c>
      <c r="DE1506">
        <v>789</v>
      </c>
      <c r="DF1506">
        <v>300109</v>
      </c>
      <c r="DG1506" t="s">
        <v>116</v>
      </c>
      <c r="DH1506" t="s">
        <v>116</v>
      </c>
      <c r="DI1506" t="s">
        <v>116</v>
      </c>
    </row>
    <row r="1507" spans="1:113" x14ac:dyDescent="0.4">
      <c r="A1507" t="str">
        <f>"300110"</f>
        <v>300110</v>
      </c>
      <c r="B1507" t="s">
        <v>8026</v>
      </c>
      <c r="C1507">
        <v>-1.67</v>
      </c>
      <c r="D1507">
        <v>4.13</v>
      </c>
      <c r="E1507">
        <v>-7.0000000000000007E-2</v>
      </c>
      <c r="F1507">
        <v>4.12</v>
      </c>
      <c r="G1507">
        <v>4.13</v>
      </c>
      <c r="H1507">
        <v>137063</v>
      </c>
      <c r="I1507">
        <v>1359</v>
      </c>
      <c r="J1507">
        <v>0.24</v>
      </c>
      <c r="K1507">
        <v>1.1599999999999999</v>
      </c>
      <c r="L1507">
        <v>4.22</v>
      </c>
      <c r="M1507">
        <v>4.25</v>
      </c>
      <c r="N1507">
        <v>4.1100000000000003</v>
      </c>
      <c r="O1507">
        <v>4.2</v>
      </c>
      <c r="P1507">
        <v>143.58000000000001</v>
      </c>
      <c r="Q1507">
        <v>57393184</v>
      </c>
      <c r="R1507">
        <v>0.55000000000000004</v>
      </c>
      <c r="S1507" t="s">
        <v>574</v>
      </c>
      <c r="T1507" t="s">
        <v>645</v>
      </c>
      <c r="U1507">
        <v>3.33</v>
      </c>
      <c r="V1507">
        <v>4.1900000000000004</v>
      </c>
      <c r="W1507">
        <v>81977</v>
      </c>
      <c r="X1507">
        <v>55086</v>
      </c>
      <c r="Y1507">
        <v>1.49</v>
      </c>
      <c r="Z1507">
        <v>2735</v>
      </c>
      <c r="AA1507">
        <v>411</v>
      </c>
      <c r="AB1507" t="s">
        <v>116</v>
      </c>
      <c r="AC1507">
        <v>166300</v>
      </c>
      <c r="AD1507">
        <v>0.01</v>
      </c>
      <c r="AE1507" t="s">
        <v>116</v>
      </c>
      <c r="AF1507" t="s">
        <v>116</v>
      </c>
      <c r="AG1507">
        <v>11.78</v>
      </c>
      <c r="AH1507" t="s">
        <v>8027</v>
      </c>
      <c r="AI1507" t="s">
        <v>2427</v>
      </c>
      <c r="AJ1507">
        <v>-0.99</v>
      </c>
      <c r="AK1507">
        <v>1495</v>
      </c>
      <c r="AL1507">
        <v>92</v>
      </c>
      <c r="AM1507">
        <v>8.0000000000000004E-4</v>
      </c>
      <c r="AN1507">
        <v>-1</v>
      </c>
      <c r="AO1507">
        <v>-2.37</v>
      </c>
      <c r="AP1507">
        <v>3.77</v>
      </c>
      <c r="AQ1507">
        <v>1.47</v>
      </c>
      <c r="AR1507">
        <v>29.87</v>
      </c>
      <c r="AS1507">
        <v>2.2200000000000002</v>
      </c>
      <c r="AT1507" t="s">
        <v>3602</v>
      </c>
      <c r="AU1507">
        <v>133.97</v>
      </c>
      <c r="AV1507">
        <v>125.86</v>
      </c>
      <c r="AW1507">
        <v>1.1100000000000001</v>
      </c>
      <c r="BA1507">
        <v>0.48</v>
      </c>
      <c r="BB1507">
        <v>1.19</v>
      </c>
      <c r="BC1507">
        <v>-2.14</v>
      </c>
      <c r="BD1507">
        <v>-0.3</v>
      </c>
      <c r="BE1507">
        <v>-2.13</v>
      </c>
      <c r="BF1507">
        <v>-2.82</v>
      </c>
      <c r="BG1507">
        <v>0.49</v>
      </c>
      <c r="BH1507">
        <v>-1.37</v>
      </c>
      <c r="BI1507">
        <v>20191026</v>
      </c>
      <c r="BJ1507">
        <v>20100825</v>
      </c>
      <c r="BK1507">
        <v>11.82</v>
      </c>
      <c r="BL1507" t="s">
        <v>116</v>
      </c>
      <c r="BM1507" t="s">
        <v>116</v>
      </c>
      <c r="BN1507">
        <v>27.42</v>
      </c>
      <c r="BO1507">
        <v>21.7</v>
      </c>
      <c r="BP1507">
        <v>0.75</v>
      </c>
      <c r="BQ1507">
        <v>18.100000000000001</v>
      </c>
      <c r="BR1507">
        <v>13.03</v>
      </c>
      <c r="BS1507">
        <v>11.89</v>
      </c>
      <c r="BT1507">
        <v>1.1599999999999999</v>
      </c>
      <c r="BU1507">
        <v>4.6100000000000003</v>
      </c>
      <c r="BV1507">
        <v>1.76</v>
      </c>
      <c r="BW1507">
        <v>6.04</v>
      </c>
      <c r="BX1507">
        <v>5.28</v>
      </c>
      <c r="BY1507">
        <v>10.91</v>
      </c>
      <c r="BZ1507">
        <v>4.62</v>
      </c>
      <c r="CA1507">
        <v>0.41</v>
      </c>
      <c r="CB1507">
        <v>0</v>
      </c>
      <c r="CC1507">
        <v>0.37</v>
      </c>
      <c r="CD1507">
        <v>0.28000000000000003</v>
      </c>
      <c r="CE1507">
        <v>0.26</v>
      </c>
      <c r="CF1507">
        <v>0.27</v>
      </c>
      <c r="CG1507">
        <v>4.03</v>
      </c>
      <c r="CH1507">
        <v>1.8</v>
      </c>
      <c r="CI1507">
        <v>-3.57</v>
      </c>
      <c r="CJ1507">
        <v>61381</v>
      </c>
      <c r="CK1507">
        <v>10051</v>
      </c>
      <c r="CL1507" t="s">
        <v>4837</v>
      </c>
      <c r="CM1507">
        <v>-8.43</v>
      </c>
      <c r="CN1507">
        <v>8.4</v>
      </c>
      <c r="CO1507">
        <v>2.25</v>
      </c>
      <c r="CP1507">
        <v>27.18</v>
      </c>
      <c r="CQ1507">
        <v>4.47</v>
      </c>
      <c r="CR1507">
        <v>0.73</v>
      </c>
      <c r="CS1507" t="s">
        <v>3988</v>
      </c>
      <c r="CT1507">
        <v>1.84</v>
      </c>
      <c r="CU1507">
        <v>0</v>
      </c>
      <c r="CV1507">
        <v>0.45</v>
      </c>
      <c r="CW1507">
        <v>0.34</v>
      </c>
      <c r="CX1507">
        <v>0.15</v>
      </c>
      <c r="CY1507">
        <v>79.150000000000006</v>
      </c>
      <c r="CZ1507" t="s">
        <v>4062</v>
      </c>
      <c r="DA1507">
        <v>57.64</v>
      </c>
      <c r="DB1507">
        <v>3.8</v>
      </c>
      <c r="DC1507">
        <v>2.34</v>
      </c>
      <c r="DD1507">
        <v>0.42</v>
      </c>
      <c r="DE1507">
        <v>2617</v>
      </c>
      <c r="DF1507">
        <v>300110</v>
      </c>
      <c r="DG1507" t="s">
        <v>116</v>
      </c>
      <c r="DH1507" t="s">
        <v>116</v>
      </c>
      <c r="DI1507" t="s">
        <v>116</v>
      </c>
    </row>
    <row r="1508" spans="1:113" x14ac:dyDescent="0.4">
      <c r="A1508" t="str">
        <f>"300111"</f>
        <v>300111</v>
      </c>
      <c r="B1508" t="s">
        <v>8028</v>
      </c>
      <c r="C1508">
        <v>-0.84</v>
      </c>
      <c r="D1508">
        <v>2.35</v>
      </c>
      <c r="E1508">
        <v>-0.02</v>
      </c>
      <c r="F1508">
        <v>2.35</v>
      </c>
      <c r="G1508">
        <v>2.36</v>
      </c>
      <c r="H1508">
        <v>113664</v>
      </c>
      <c r="I1508">
        <v>543</v>
      </c>
      <c r="J1508">
        <v>0</v>
      </c>
      <c r="K1508">
        <v>1.02</v>
      </c>
      <c r="L1508">
        <v>2.36</v>
      </c>
      <c r="M1508">
        <v>2.41</v>
      </c>
      <c r="N1508">
        <v>2.35</v>
      </c>
      <c r="O1508">
        <v>2.37</v>
      </c>
      <c r="P1508" t="s">
        <v>116</v>
      </c>
      <c r="Q1508">
        <v>27026294</v>
      </c>
      <c r="R1508">
        <v>1.55</v>
      </c>
      <c r="S1508" t="s">
        <v>3507</v>
      </c>
      <c r="T1508" t="s">
        <v>590</v>
      </c>
      <c r="U1508">
        <v>2.5299999999999998</v>
      </c>
      <c r="V1508">
        <v>2.38</v>
      </c>
      <c r="W1508">
        <v>54412</v>
      </c>
      <c r="X1508">
        <v>59252</v>
      </c>
      <c r="Y1508">
        <v>0.92</v>
      </c>
      <c r="Z1508">
        <v>1770</v>
      </c>
      <c r="AA1508">
        <v>2468</v>
      </c>
      <c r="AB1508" t="s">
        <v>116</v>
      </c>
      <c r="AC1508">
        <v>11300</v>
      </c>
      <c r="AD1508">
        <v>0</v>
      </c>
      <c r="AE1508" t="s">
        <v>116</v>
      </c>
      <c r="AF1508" t="s">
        <v>116</v>
      </c>
      <c r="AG1508">
        <v>11.17</v>
      </c>
      <c r="AH1508" t="s">
        <v>4826</v>
      </c>
      <c r="AI1508" t="s">
        <v>8029</v>
      </c>
      <c r="AJ1508">
        <v>-0.16</v>
      </c>
      <c r="AK1508">
        <v>974</v>
      </c>
      <c r="AL1508">
        <v>117</v>
      </c>
      <c r="AM1508">
        <v>1E-3</v>
      </c>
      <c r="AN1508">
        <v>-1</v>
      </c>
      <c r="AO1508">
        <v>0</v>
      </c>
      <c r="AP1508">
        <v>3.07</v>
      </c>
      <c r="AQ1508">
        <v>-1.67</v>
      </c>
      <c r="AR1508">
        <v>16.920000000000002</v>
      </c>
      <c r="AS1508">
        <v>1.27</v>
      </c>
      <c r="AT1508" t="s">
        <v>8030</v>
      </c>
      <c r="AU1508" t="s">
        <v>116</v>
      </c>
      <c r="AV1508" t="s">
        <v>116</v>
      </c>
      <c r="AW1508">
        <v>0.72</v>
      </c>
      <c r="BA1508">
        <v>-0.42</v>
      </c>
      <c r="BB1508">
        <v>1.69</v>
      </c>
      <c r="BC1508">
        <v>-0.84</v>
      </c>
      <c r="BD1508">
        <v>0.33</v>
      </c>
      <c r="BE1508">
        <v>-0.42</v>
      </c>
      <c r="BF1508">
        <v>-2.4900000000000002</v>
      </c>
      <c r="BG1508">
        <v>0</v>
      </c>
      <c r="BH1508">
        <v>-1.17</v>
      </c>
      <c r="BI1508">
        <v>20191204</v>
      </c>
      <c r="BJ1508">
        <v>20100827</v>
      </c>
      <c r="BK1508">
        <v>11.2</v>
      </c>
      <c r="BL1508" t="s">
        <v>116</v>
      </c>
      <c r="BM1508" t="s">
        <v>116</v>
      </c>
      <c r="BN1508">
        <v>14.98</v>
      </c>
      <c r="BO1508">
        <v>-0.24</v>
      </c>
      <c r="BP1508">
        <v>1.1399999999999999</v>
      </c>
      <c r="BQ1508">
        <v>94.04</v>
      </c>
      <c r="BR1508">
        <v>8.2799999999999994</v>
      </c>
      <c r="BS1508">
        <v>4.8499999999999996</v>
      </c>
      <c r="BT1508">
        <v>0.56000000000000005</v>
      </c>
      <c r="BU1508">
        <v>9.67</v>
      </c>
      <c r="BV1508">
        <v>1.39</v>
      </c>
      <c r="BW1508">
        <v>2.4900000000000002</v>
      </c>
      <c r="BX1508">
        <v>0.46</v>
      </c>
      <c r="BY1508">
        <v>6.59</v>
      </c>
      <c r="BZ1508">
        <v>5.41</v>
      </c>
      <c r="CA1508">
        <v>-0.52</v>
      </c>
      <c r="CB1508">
        <v>-0.21</v>
      </c>
      <c r="CC1508">
        <v>-0.41</v>
      </c>
      <c r="CD1508">
        <v>-0.45</v>
      </c>
      <c r="CE1508">
        <v>-0.55000000000000004</v>
      </c>
      <c r="CF1508">
        <v>-0.35</v>
      </c>
      <c r="CG1508">
        <v>-12.63</v>
      </c>
      <c r="CH1508">
        <v>0.74</v>
      </c>
      <c r="CI1508">
        <v>-1.3</v>
      </c>
      <c r="CJ1508">
        <v>101610</v>
      </c>
      <c r="CK1508">
        <v>8821</v>
      </c>
      <c r="CL1508" t="s">
        <v>8031</v>
      </c>
      <c r="CM1508">
        <v>77.69</v>
      </c>
      <c r="CN1508">
        <v>-9.0299999999999994</v>
      </c>
      <c r="CO1508">
        <v>-108.09</v>
      </c>
      <c r="CP1508">
        <v>35.380000000000003</v>
      </c>
      <c r="CQ1508">
        <v>4</v>
      </c>
      <c r="CR1508">
        <v>0</v>
      </c>
      <c r="CS1508" t="s">
        <v>8032</v>
      </c>
      <c r="CT1508">
        <v>-0.02</v>
      </c>
      <c r="CU1508">
        <v>0</v>
      </c>
      <c r="CV1508">
        <v>0.04</v>
      </c>
      <c r="CW1508">
        <v>-1.1299999999999999</v>
      </c>
      <c r="CX1508">
        <v>7.0000000000000007E-2</v>
      </c>
      <c r="CY1508">
        <v>-1.63</v>
      </c>
      <c r="CZ1508" t="s">
        <v>116</v>
      </c>
      <c r="DA1508">
        <v>17.920000000000002</v>
      </c>
      <c r="DB1508">
        <v>-7.88</v>
      </c>
      <c r="DC1508">
        <v>-8.41</v>
      </c>
      <c r="DD1508">
        <v>0.12</v>
      </c>
      <c r="DE1508">
        <v>602</v>
      </c>
      <c r="DF1508">
        <v>300111</v>
      </c>
      <c r="DG1508" t="s">
        <v>116</v>
      </c>
      <c r="DH1508" t="s">
        <v>116</v>
      </c>
      <c r="DI1508" t="s">
        <v>116</v>
      </c>
    </row>
    <row r="1509" spans="1:113" x14ac:dyDescent="0.4">
      <c r="A1509" t="str">
        <f>"300112"</f>
        <v>300112</v>
      </c>
      <c r="B1509" t="s">
        <v>8033</v>
      </c>
      <c r="C1509">
        <v>-8.44</v>
      </c>
      <c r="D1509">
        <v>10.3</v>
      </c>
      <c r="E1509">
        <v>-0.95</v>
      </c>
      <c r="F1509">
        <v>10.29</v>
      </c>
      <c r="G1509">
        <v>10.3</v>
      </c>
      <c r="H1509">
        <v>472702</v>
      </c>
      <c r="I1509">
        <v>12119</v>
      </c>
      <c r="J1509">
        <v>-1.33</v>
      </c>
      <c r="K1509">
        <v>24.06</v>
      </c>
      <c r="L1509">
        <v>10.92</v>
      </c>
      <c r="M1509">
        <v>11.17</v>
      </c>
      <c r="N1509">
        <v>10.199999999999999</v>
      </c>
      <c r="O1509">
        <v>11.25</v>
      </c>
      <c r="P1509">
        <v>43.36</v>
      </c>
      <c r="Q1509">
        <v>506742304</v>
      </c>
      <c r="R1509">
        <v>0.78</v>
      </c>
      <c r="S1509" t="s">
        <v>2977</v>
      </c>
      <c r="T1509" t="s">
        <v>115</v>
      </c>
      <c r="U1509">
        <v>8.6199999999999992</v>
      </c>
      <c r="V1509">
        <v>10.72</v>
      </c>
      <c r="W1509">
        <v>266917</v>
      </c>
      <c r="X1509">
        <v>205785</v>
      </c>
      <c r="Y1509">
        <v>1.3</v>
      </c>
      <c r="Z1509">
        <v>270</v>
      </c>
      <c r="AA1509">
        <v>908</v>
      </c>
      <c r="AB1509" t="s">
        <v>116</v>
      </c>
      <c r="AC1509">
        <v>7628700</v>
      </c>
      <c r="AD1509">
        <v>0.41</v>
      </c>
      <c r="AE1509" t="s">
        <v>116</v>
      </c>
      <c r="AF1509" t="s">
        <v>116</v>
      </c>
      <c r="AG1509">
        <v>1.96</v>
      </c>
      <c r="AH1509" t="s">
        <v>8034</v>
      </c>
      <c r="AI1509" t="s">
        <v>8035</v>
      </c>
      <c r="AJ1509">
        <v>-7.77</v>
      </c>
      <c r="AK1509">
        <v>4122</v>
      </c>
      <c r="AL1509">
        <v>115</v>
      </c>
      <c r="AM1509">
        <v>5.7999999999999996E-3</v>
      </c>
      <c r="AN1509">
        <v>-1</v>
      </c>
      <c r="AO1509">
        <v>-9.49</v>
      </c>
      <c r="AP1509">
        <v>41.87</v>
      </c>
      <c r="AQ1509">
        <v>29.07</v>
      </c>
      <c r="AR1509">
        <v>68.849999999999994</v>
      </c>
      <c r="AS1509">
        <v>27.61</v>
      </c>
      <c r="AT1509" t="s">
        <v>8036</v>
      </c>
      <c r="AU1509">
        <v>48.14</v>
      </c>
      <c r="AV1509">
        <v>52.43</v>
      </c>
      <c r="AW1509">
        <v>0.57999999999999996</v>
      </c>
      <c r="BA1509">
        <v>-2.93</v>
      </c>
      <c r="BB1509">
        <v>-0.71</v>
      </c>
      <c r="BC1509">
        <v>-9.33</v>
      </c>
      <c r="BD1509">
        <v>-4.71</v>
      </c>
      <c r="BE1509">
        <v>-5.68</v>
      </c>
      <c r="BF1509">
        <v>-7.79</v>
      </c>
      <c r="BG1509">
        <v>0.98</v>
      </c>
      <c r="BH1509">
        <v>-3.73</v>
      </c>
      <c r="BI1509">
        <v>20191101</v>
      </c>
      <c r="BJ1509">
        <v>20100827</v>
      </c>
      <c r="BK1509">
        <v>2.86</v>
      </c>
      <c r="BL1509" t="s">
        <v>116</v>
      </c>
      <c r="BM1509" t="s">
        <v>116</v>
      </c>
      <c r="BN1509">
        <v>12.42</v>
      </c>
      <c r="BO1509">
        <v>9.7899999999999991</v>
      </c>
      <c r="BP1509">
        <v>0.27</v>
      </c>
      <c r="BQ1509">
        <v>18.98</v>
      </c>
      <c r="BR1509">
        <v>6.48</v>
      </c>
      <c r="BS1509">
        <v>1.98</v>
      </c>
      <c r="BT1509">
        <v>0.79</v>
      </c>
      <c r="BU1509">
        <v>2.0299999999999998</v>
      </c>
      <c r="BV1509">
        <v>1.47</v>
      </c>
      <c r="BW1509">
        <v>2.08</v>
      </c>
      <c r="BX1509">
        <v>4.87</v>
      </c>
      <c r="BY1509">
        <v>4.71</v>
      </c>
      <c r="BZ1509">
        <v>2.13</v>
      </c>
      <c r="CA1509">
        <v>0.63</v>
      </c>
      <c r="CB1509">
        <v>-0.02</v>
      </c>
      <c r="CC1509">
        <v>0.63</v>
      </c>
      <c r="CD1509">
        <v>0.52</v>
      </c>
      <c r="CE1509">
        <v>0.51</v>
      </c>
      <c r="CF1509">
        <v>0.49</v>
      </c>
      <c r="CG1509">
        <v>2.08</v>
      </c>
      <c r="CH1509">
        <v>0.55000000000000004</v>
      </c>
      <c r="CI1509">
        <v>-0.18</v>
      </c>
      <c r="CJ1509">
        <v>18809</v>
      </c>
      <c r="CK1509">
        <v>9104</v>
      </c>
      <c r="CL1509" t="s">
        <v>6324</v>
      </c>
      <c r="CM1509">
        <v>10.89</v>
      </c>
      <c r="CN1509">
        <v>20.04</v>
      </c>
      <c r="CO1509">
        <v>3.01</v>
      </c>
      <c r="CP1509">
        <v>53.69</v>
      </c>
      <c r="CQ1509">
        <v>6.26</v>
      </c>
      <c r="CR1509">
        <v>1.17</v>
      </c>
      <c r="CS1509" t="s">
        <v>446</v>
      </c>
      <c r="CT1509">
        <v>3.42</v>
      </c>
      <c r="CU1509">
        <v>0</v>
      </c>
      <c r="CV1509">
        <v>1.7</v>
      </c>
      <c r="CW1509">
        <v>0.73</v>
      </c>
      <c r="CX1509">
        <v>0.19</v>
      </c>
      <c r="CY1509">
        <v>78.86</v>
      </c>
      <c r="CZ1509" t="s">
        <v>1768</v>
      </c>
      <c r="DA1509">
        <v>54.85</v>
      </c>
      <c r="DB1509">
        <v>13.39</v>
      </c>
      <c r="DC1509">
        <v>10.82</v>
      </c>
      <c r="DD1509">
        <v>0.45</v>
      </c>
      <c r="DE1509">
        <v>1119</v>
      </c>
      <c r="DF1509">
        <v>300112</v>
      </c>
      <c r="DG1509" t="s">
        <v>116</v>
      </c>
      <c r="DH1509" t="s">
        <v>116</v>
      </c>
      <c r="DI1509" t="s">
        <v>116</v>
      </c>
    </row>
    <row r="1510" spans="1:113" x14ac:dyDescent="0.4">
      <c r="A1510" t="str">
        <f>"300113"</f>
        <v>300113</v>
      </c>
      <c r="B1510" t="s">
        <v>8037</v>
      </c>
      <c r="C1510">
        <v>0.08</v>
      </c>
      <c r="D1510">
        <v>25.99</v>
      </c>
      <c r="E1510">
        <v>0.02</v>
      </c>
      <c r="F1510">
        <v>25.98</v>
      </c>
      <c r="G1510">
        <v>25.99</v>
      </c>
      <c r="H1510">
        <v>348400</v>
      </c>
      <c r="I1510">
        <v>2739</v>
      </c>
      <c r="J1510">
        <v>0</v>
      </c>
      <c r="K1510">
        <v>7.29</v>
      </c>
      <c r="L1510">
        <v>26.14</v>
      </c>
      <c r="M1510">
        <v>27.17</v>
      </c>
      <c r="N1510">
        <v>25.78</v>
      </c>
      <c r="O1510">
        <v>25.97</v>
      </c>
      <c r="P1510">
        <v>38.799999999999997</v>
      </c>
      <c r="Q1510">
        <v>920218944</v>
      </c>
      <c r="R1510">
        <v>1.46</v>
      </c>
      <c r="S1510" t="s">
        <v>1384</v>
      </c>
      <c r="T1510" t="s">
        <v>590</v>
      </c>
      <c r="U1510">
        <v>5.35</v>
      </c>
      <c r="V1510">
        <v>26.41</v>
      </c>
      <c r="W1510">
        <v>165002</v>
      </c>
      <c r="X1510">
        <v>183398</v>
      </c>
      <c r="Y1510">
        <v>0.9</v>
      </c>
      <c r="Z1510">
        <v>64</v>
      </c>
      <c r="AA1510">
        <v>517</v>
      </c>
      <c r="AB1510" t="s">
        <v>116</v>
      </c>
      <c r="AC1510">
        <v>3369400</v>
      </c>
      <c r="AD1510">
        <v>0.03</v>
      </c>
      <c r="AE1510" t="s">
        <v>116</v>
      </c>
      <c r="AF1510" t="s">
        <v>116</v>
      </c>
      <c r="AG1510">
        <v>4.78</v>
      </c>
      <c r="AH1510" t="s">
        <v>8038</v>
      </c>
      <c r="AI1510" t="s">
        <v>8039</v>
      </c>
      <c r="AJ1510">
        <v>0.76</v>
      </c>
      <c r="AK1510">
        <v>4206</v>
      </c>
      <c r="AL1510">
        <v>83</v>
      </c>
      <c r="AM1510">
        <v>1.6999999999999999E-3</v>
      </c>
      <c r="AN1510">
        <v>1</v>
      </c>
      <c r="AO1510">
        <v>-2.65</v>
      </c>
      <c r="AP1510">
        <v>20.77</v>
      </c>
      <c r="AQ1510">
        <v>40.94</v>
      </c>
      <c r="AR1510">
        <v>104.48</v>
      </c>
      <c r="AS1510">
        <v>8.5299999999999994</v>
      </c>
      <c r="AT1510" t="s">
        <v>8040</v>
      </c>
      <c r="AU1510">
        <v>77.739999999999995</v>
      </c>
      <c r="AV1510">
        <v>56.1</v>
      </c>
      <c r="AW1510">
        <v>2.0299999999999998</v>
      </c>
      <c r="BA1510">
        <v>0.65</v>
      </c>
      <c r="BB1510">
        <v>4.62</v>
      </c>
      <c r="BC1510">
        <v>-0.73</v>
      </c>
      <c r="BD1510">
        <v>1.7</v>
      </c>
      <c r="BE1510">
        <v>-0.56999999999999995</v>
      </c>
      <c r="BF1510">
        <v>-4.34</v>
      </c>
      <c r="BG1510">
        <v>0.81</v>
      </c>
      <c r="BH1510">
        <v>-1.63</v>
      </c>
      <c r="BI1510">
        <v>20191030</v>
      </c>
      <c r="BJ1510">
        <v>20100827</v>
      </c>
      <c r="BK1510">
        <v>6.94</v>
      </c>
      <c r="BL1510" t="s">
        <v>116</v>
      </c>
      <c r="BM1510" t="s">
        <v>116</v>
      </c>
      <c r="BN1510">
        <v>35.020000000000003</v>
      </c>
      <c r="BO1510">
        <v>27.51</v>
      </c>
      <c r="BP1510">
        <v>1.07</v>
      </c>
      <c r="BQ1510">
        <v>18.39</v>
      </c>
      <c r="BR1510">
        <v>17.559999999999999</v>
      </c>
      <c r="BS1510">
        <v>0.63</v>
      </c>
      <c r="BT1510">
        <v>0.17</v>
      </c>
      <c r="BU1510">
        <v>6.26</v>
      </c>
      <c r="BV1510">
        <v>0.47</v>
      </c>
      <c r="BW1510">
        <v>1.54</v>
      </c>
      <c r="BX1510">
        <v>2.83</v>
      </c>
      <c r="BY1510">
        <v>12.19</v>
      </c>
      <c r="BZ1510">
        <v>3.82</v>
      </c>
      <c r="CA1510">
        <v>4.5599999999999996</v>
      </c>
      <c r="CB1510">
        <v>0.13</v>
      </c>
      <c r="CC1510">
        <v>4.66</v>
      </c>
      <c r="CD1510">
        <v>4.0199999999999996</v>
      </c>
      <c r="CE1510">
        <v>3.49</v>
      </c>
      <c r="CF1510">
        <v>3.31</v>
      </c>
      <c r="CG1510">
        <v>18.79</v>
      </c>
      <c r="CH1510">
        <v>2.12</v>
      </c>
      <c r="CI1510">
        <v>-1.65</v>
      </c>
      <c r="CJ1510">
        <v>36585</v>
      </c>
      <c r="CK1510">
        <v>11164</v>
      </c>
      <c r="CL1510" t="s">
        <v>8041</v>
      </c>
      <c r="CM1510">
        <v>-20.43</v>
      </c>
      <c r="CN1510">
        <v>-20.54</v>
      </c>
      <c r="CO1510">
        <v>6.56</v>
      </c>
      <c r="CP1510">
        <v>85.15</v>
      </c>
      <c r="CQ1510">
        <v>14.81</v>
      </c>
      <c r="CR1510">
        <v>0</v>
      </c>
      <c r="CS1510" t="s">
        <v>6070</v>
      </c>
      <c r="CT1510">
        <v>3.96</v>
      </c>
      <c r="CU1510">
        <v>0</v>
      </c>
      <c r="CV1510">
        <v>0.41</v>
      </c>
      <c r="CW1510">
        <v>2.71</v>
      </c>
      <c r="CX1510">
        <v>0.31</v>
      </c>
      <c r="CY1510">
        <v>78.56</v>
      </c>
      <c r="CZ1510" t="s">
        <v>8042</v>
      </c>
      <c r="DA1510">
        <v>68.63</v>
      </c>
      <c r="DB1510">
        <v>37.42</v>
      </c>
      <c r="DC1510">
        <v>28.62</v>
      </c>
      <c r="DD1510">
        <v>1.29</v>
      </c>
      <c r="DE1510">
        <v>1513</v>
      </c>
      <c r="DF1510">
        <v>300113</v>
      </c>
      <c r="DG1510" t="s">
        <v>116</v>
      </c>
      <c r="DH1510" t="s">
        <v>116</v>
      </c>
      <c r="DI1510" t="s">
        <v>116</v>
      </c>
    </row>
    <row r="1511" spans="1:113" x14ac:dyDescent="0.4">
      <c r="A1511" t="str">
        <f>"300114"</f>
        <v>300114</v>
      </c>
      <c r="B1511" t="s">
        <v>8043</v>
      </c>
      <c r="C1511">
        <v>-2.25</v>
      </c>
      <c r="D1511">
        <v>11.29</v>
      </c>
      <c r="E1511">
        <v>-0.26</v>
      </c>
      <c r="F1511">
        <v>11.29</v>
      </c>
      <c r="G1511">
        <v>11.3</v>
      </c>
      <c r="H1511">
        <v>99360</v>
      </c>
      <c r="I1511">
        <v>741</v>
      </c>
      <c r="J1511">
        <v>-0.34</v>
      </c>
      <c r="K1511">
        <v>1.68</v>
      </c>
      <c r="L1511">
        <v>11.59</v>
      </c>
      <c r="M1511">
        <v>11.64</v>
      </c>
      <c r="N1511">
        <v>11.28</v>
      </c>
      <c r="O1511">
        <v>11.55</v>
      </c>
      <c r="P1511">
        <v>26.88</v>
      </c>
      <c r="Q1511">
        <v>113806704</v>
      </c>
      <c r="R1511">
        <v>1.02</v>
      </c>
      <c r="S1511" t="s">
        <v>233</v>
      </c>
      <c r="T1511" t="s">
        <v>913</v>
      </c>
      <c r="U1511">
        <v>3.12</v>
      </c>
      <c r="V1511">
        <v>11.45</v>
      </c>
      <c r="W1511">
        <v>56210</v>
      </c>
      <c r="X1511">
        <v>43150</v>
      </c>
      <c r="Y1511">
        <v>1.3</v>
      </c>
      <c r="Z1511">
        <v>251</v>
      </c>
      <c r="AA1511">
        <v>115</v>
      </c>
      <c r="AB1511" t="s">
        <v>116</v>
      </c>
      <c r="AC1511">
        <v>270000</v>
      </c>
      <c r="AD1511">
        <v>0.01</v>
      </c>
      <c r="AE1511" t="s">
        <v>116</v>
      </c>
      <c r="AF1511" t="s">
        <v>116</v>
      </c>
      <c r="AG1511">
        <v>5.91</v>
      </c>
      <c r="AH1511" t="s">
        <v>4274</v>
      </c>
      <c r="AI1511" t="s">
        <v>4274</v>
      </c>
      <c r="AJ1511">
        <v>-1.57</v>
      </c>
      <c r="AK1511">
        <v>2720</v>
      </c>
      <c r="AL1511">
        <v>37</v>
      </c>
      <c r="AM1511">
        <v>5.9999999999999995E-4</v>
      </c>
      <c r="AN1511">
        <v>-1</v>
      </c>
      <c r="AO1511">
        <v>-0.7</v>
      </c>
      <c r="AP1511">
        <v>4.83</v>
      </c>
      <c r="AQ1511">
        <v>0.98</v>
      </c>
      <c r="AR1511">
        <v>59.58</v>
      </c>
      <c r="AS1511">
        <v>3.89</v>
      </c>
      <c r="AT1511" t="s">
        <v>2036</v>
      </c>
      <c r="AU1511">
        <v>31.83</v>
      </c>
      <c r="AV1511">
        <v>42.7</v>
      </c>
      <c r="AW1511">
        <v>1.1499999999999999</v>
      </c>
      <c r="BA1511">
        <v>0.35</v>
      </c>
      <c r="BB1511">
        <v>0.78</v>
      </c>
      <c r="BC1511">
        <v>-2.34</v>
      </c>
      <c r="BD1511">
        <v>-0.83</v>
      </c>
      <c r="BE1511">
        <v>-2.59</v>
      </c>
      <c r="BF1511">
        <v>-3.01</v>
      </c>
      <c r="BG1511">
        <v>0.09</v>
      </c>
      <c r="BH1511">
        <v>-1.42</v>
      </c>
      <c r="BI1511">
        <v>20191114</v>
      </c>
      <c r="BJ1511">
        <v>20100827</v>
      </c>
      <c r="BK1511">
        <v>5.91</v>
      </c>
      <c r="BL1511" t="s">
        <v>116</v>
      </c>
      <c r="BM1511" t="s">
        <v>116</v>
      </c>
      <c r="BN1511">
        <v>24.45</v>
      </c>
      <c r="BO1511">
        <v>15.83</v>
      </c>
      <c r="BP1511">
        <v>0.6</v>
      </c>
      <c r="BQ1511">
        <v>32.82</v>
      </c>
      <c r="BR1511">
        <v>17.07</v>
      </c>
      <c r="BS1511">
        <v>4.47</v>
      </c>
      <c r="BT1511">
        <v>0.61</v>
      </c>
      <c r="BU1511">
        <v>7.67</v>
      </c>
      <c r="BV1511">
        <v>3.74</v>
      </c>
      <c r="BW1511">
        <v>6.39</v>
      </c>
      <c r="BX1511">
        <v>0.72</v>
      </c>
      <c r="BY1511">
        <v>11.57</v>
      </c>
      <c r="BZ1511">
        <v>7.11</v>
      </c>
      <c r="CA1511">
        <v>2.17</v>
      </c>
      <c r="CB1511">
        <v>0.14000000000000001</v>
      </c>
      <c r="CC1511">
        <v>2.17</v>
      </c>
      <c r="CD1511">
        <v>1.9</v>
      </c>
      <c r="CE1511">
        <v>1.86</v>
      </c>
      <c r="CF1511">
        <v>1.85</v>
      </c>
      <c r="CG1511">
        <v>7.47</v>
      </c>
      <c r="CH1511">
        <v>1.82</v>
      </c>
      <c r="CI1511">
        <v>0.97</v>
      </c>
      <c r="CJ1511">
        <v>23720</v>
      </c>
      <c r="CK1511">
        <v>10771</v>
      </c>
      <c r="CL1511" t="s">
        <v>401</v>
      </c>
      <c r="CM1511">
        <v>40.18</v>
      </c>
      <c r="CN1511">
        <v>13.42</v>
      </c>
      <c r="CO1511">
        <v>4.21</v>
      </c>
      <c r="CP1511">
        <v>36.72</v>
      </c>
      <c r="CQ1511">
        <v>5.76</v>
      </c>
      <c r="CR1511">
        <v>0.4</v>
      </c>
      <c r="CS1511" t="s">
        <v>8044</v>
      </c>
      <c r="CT1511">
        <v>2.68</v>
      </c>
      <c r="CU1511">
        <v>0</v>
      </c>
      <c r="CV1511">
        <v>0.12</v>
      </c>
      <c r="CW1511">
        <v>1.26</v>
      </c>
      <c r="CX1511">
        <v>0.31</v>
      </c>
      <c r="CY1511">
        <v>64.739999999999995</v>
      </c>
      <c r="CZ1511" t="s">
        <v>8045</v>
      </c>
      <c r="DA1511">
        <v>38.56</v>
      </c>
      <c r="DB1511">
        <v>18.73</v>
      </c>
      <c r="DC1511">
        <v>16.079999999999998</v>
      </c>
      <c r="DD1511">
        <v>0.46</v>
      </c>
      <c r="DE1511">
        <v>3165</v>
      </c>
      <c r="DF1511">
        <v>300114</v>
      </c>
      <c r="DG1511" t="s">
        <v>116</v>
      </c>
      <c r="DH1511" t="s">
        <v>116</v>
      </c>
      <c r="DI1511" t="s">
        <v>116</v>
      </c>
    </row>
    <row r="1512" spans="1:113" x14ac:dyDescent="0.4">
      <c r="A1512" t="str">
        <f>"300115"</f>
        <v>300115</v>
      </c>
      <c r="B1512" t="s">
        <v>8046</v>
      </c>
      <c r="C1512">
        <v>-4.3099999999999996</v>
      </c>
      <c r="D1512">
        <v>17.97</v>
      </c>
      <c r="E1512">
        <v>-0.81</v>
      </c>
      <c r="F1512">
        <v>17.97</v>
      </c>
      <c r="G1512">
        <v>17.98</v>
      </c>
      <c r="H1512">
        <v>285353</v>
      </c>
      <c r="I1512">
        <v>2774</v>
      </c>
      <c r="J1512">
        <v>-0.38</v>
      </c>
      <c r="K1512">
        <v>3.15</v>
      </c>
      <c r="L1512">
        <v>18.88</v>
      </c>
      <c r="M1512">
        <v>18.940000000000001</v>
      </c>
      <c r="N1512">
        <v>17.920000000000002</v>
      </c>
      <c r="O1512">
        <v>18.78</v>
      </c>
      <c r="P1512">
        <v>65.17</v>
      </c>
      <c r="Q1512">
        <v>522474528</v>
      </c>
      <c r="R1512">
        <v>1.23</v>
      </c>
      <c r="S1512" t="s">
        <v>233</v>
      </c>
      <c r="T1512" t="s">
        <v>115</v>
      </c>
      <c r="U1512">
        <v>5.43</v>
      </c>
      <c r="V1512">
        <v>18.309999999999999</v>
      </c>
      <c r="W1512">
        <v>160774</v>
      </c>
      <c r="X1512">
        <v>124579</v>
      </c>
      <c r="Y1512">
        <v>1.29</v>
      </c>
      <c r="Z1512">
        <v>2</v>
      </c>
      <c r="AA1512">
        <v>906</v>
      </c>
      <c r="AB1512" t="s">
        <v>116</v>
      </c>
      <c r="AC1512">
        <v>674800</v>
      </c>
      <c r="AD1512">
        <v>0.01</v>
      </c>
      <c r="AE1512" t="s">
        <v>116</v>
      </c>
      <c r="AF1512" t="s">
        <v>116</v>
      </c>
      <c r="AG1512">
        <v>9.0500000000000007</v>
      </c>
      <c r="AH1512" t="s">
        <v>8047</v>
      </c>
      <c r="AI1512" t="s">
        <v>8048</v>
      </c>
      <c r="AJ1512">
        <v>-3.63</v>
      </c>
      <c r="AK1512">
        <v>4218</v>
      </c>
      <c r="AL1512">
        <v>68</v>
      </c>
      <c r="AM1512">
        <v>6.9999999999999999E-4</v>
      </c>
      <c r="AN1512">
        <v>-2</v>
      </c>
      <c r="AO1512">
        <v>-3.18</v>
      </c>
      <c r="AP1512">
        <v>14.53</v>
      </c>
      <c r="AQ1512">
        <v>19.88</v>
      </c>
      <c r="AR1512">
        <v>122.13</v>
      </c>
      <c r="AS1512">
        <v>5.33</v>
      </c>
      <c r="AT1512" t="s">
        <v>8049</v>
      </c>
      <c r="AU1512">
        <v>329.83</v>
      </c>
      <c r="AV1512">
        <v>425.06</v>
      </c>
      <c r="AW1512">
        <v>2.54</v>
      </c>
      <c r="BA1512">
        <v>0.53</v>
      </c>
      <c r="BB1512">
        <v>0.85</v>
      </c>
      <c r="BC1512">
        <v>-4.58</v>
      </c>
      <c r="BD1512">
        <v>-2.5</v>
      </c>
      <c r="BE1512">
        <v>-4.82</v>
      </c>
      <c r="BF1512">
        <v>-5.12</v>
      </c>
      <c r="BG1512">
        <v>0.28000000000000003</v>
      </c>
      <c r="BH1512">
        <v>-1.81</v>
      </c>
      <c r="BI1512">
        <v>20191029</v>
      </c>
      <c r="BJ1512">
        <v>20100902</v>
      </c>
      <c r="BK1512">
        <v>9.1</v>
      </c>
      <c r="BL1512" t="s">
        <v>116</v>
      </c>
      <c r="BM1512" t="s">
        <v>116</v>
      </c>
      <c r="BN1512">
        <v>98.69</v>
      </c>
      <c r="BO1512">
        <v>44.01</v>
      </c>
      <c r="BP1512">
        <v>2.0299999999999998</v>
      </c>
      <c r="BQ1512">
        <v>53.35</v>
      </c>
      <c r="BR1512">
        <v>54.89</v>
      </c>
      <c r="BS1512">
        <v>33.9</v>
      </c>
      <c r="BT1512">
        <v>1.9</v>
      </c>
      <c r="BU1512">
        <v>48.66</v>
      </c>
      <c r="BV1512">
        <v>24.2</v>
      </c>
      <c r="BW1512">
        <v>16.18</v>
      </c>
      <c r="BX1512">
        <v>12.83</v>
      </c>
      <c r="BY1512">
        <v>61.85</v>
      </c>
      <c r="BZ1512">
        <v>47.65</v>
      </c>
      <c r="CA1512">
        <v>2.5099999999999998</v>
      </c>
      <c r="CB1512">
        <v>-0.04</v>
      </c>
      <c r="CC1512">
        <v>2.5</v>
      </c>
      <c r="CD1512">
        <v>2.13</v>
      </c>
      <c r="CE1512">
        <v>1.88</v>
      </c>
      <c r="CF1512">
        <v>1.5</v>
      </c>
      <c r="CG1512">
        <v>21.47</v>
      </c>
      <c r="CH1512">
        <v>3.79</v>
      </c>
      <c r="CI1512">
        <v>-5.44</v>
      </c>
      <c r="CJ1512">
        <v>43244</v>
      </c>
      <c r="CK1512">
        <v>12378</v>
      </c>
      <c r="CL1512" t="s">
        <v>8050</v>
      </c>
      <c r="CM1512">
        <v>6.27</v>
      </c>
      <c r="CN1512">
        <v>2.76</v>
      </c>
      <c r="CO1512">
        <v>3.72</v>
      </c>
      <c r="CP1512">
        <v>43.09</v>
      </c>
      <c r="CQ1512">
        <v>2.64</v>
      </c>
      <c r="CR1512">
        <v>0.55000000000000004</v>
      </c>
      <c r="CS1512" t="s">
        <v>2782</v>
      </c>
      <c r="CT1512">
        <v>4.84</v>
      </c>
      <c r="CU1512">
        <v>0</v>
      </c>
      <c r="CV1512">
        <v>1.41</v>
      </c>
      <c r="CW1512">
        <v>2.36</v>
      </c>
      <c r="CX1512">
        <v>0.42</v>
      </c>
      <c r="CY1512">
        <v>44.59</v>
      </c>
      <c r="CZ1512" t="s">
        <v>7184</v>
      </c>
      <c r="DA1512">
        <v>22.96</v>
      </c>
      <c r="DB1512">
        <v>4.05</v>
      </c>
      <c r="DC1512">
        <v>3.04</v>
      </c>
      <c r="DD1512">
        <v>5.9</v>
      </c>
      <c r="DE1512">
        <v>24159</v>
      </c>
      <c r="DF1512">
        <v>300115</v>
      </c>
      <c r="DG1512" t="s">
        <v>116</v>
      </c>
      <c r="DH1512" t="s">
        <v>116</v>
      </c>
      <c r="DI1512" t="s">
        <v>116</v>
      </c>
    </row>
    <row r="1513" spans="1:113" x14ac:dyDescent="0.4">
      <c r="A1513" t="str">
        <f>"300116"</f>
        <v>300116</v>
      </c>
      <c r="B1513" t="s">
        <v>8051</v>
      </c>
      <c r="C1513" t="s">
        <v>116</v>
      </c>
      <c r="D1513">
        <v>1.62</v>
      </c>
      <c r="E1513" t="s">
        <v>116</v>
      </c>
      <c r="G1513" t="s">
        <v>116</v>
      </c>
      <c r="H1513">
        <v>0</v>
      </c>
      <c r="I1513">
        <v>0</v>
      </c>
      <c r="J1513" t="s">
        <v>116</v>
      </c>
      <c r="K1513">
        <v>0</v>
      </c>
      <c r="L1513" t="s">
        <v>116</v>
      </c>
      <c r="M1513" t="s">
        <v>116</v>
      </c>
      <c r="N1513" t="s">
        <v>116</v>
      </c>
      <c r="O1513">
        <v>1.62</v>
      </c>
      <c r="P1513" t="s">
        <v>116</v>
      </c>
      <c r="Q1513">
        <v>0</v>
      </c>
      <c r="R1513">
        <v>0</v>
      </c>
      <c r="S1513" t="s">
        <v>397</v>
      </c>
      <c r="T1513" t="s">
        <v>913</v>
      </c>
      <c r="U1513">
        <v>0</v>
      </c>
      <c r="V1513">
        <v>1.62</v>
      </c>
      <c r="W1513">
        <v>0</v>
      </c>
      <c r="X1513">
        <v>0</v>
      </c>
      <c r="Y1513" t="s">
        <v>116</v>
      </c>
      <c r="Z1513">
        <v>0</v>
      </c>
      <c r="AA1513">
        <v>0</v>
      </c>
      <c r="AB1513" t="s">
        <v>116</v>
      </c>
      <c r="AC1513">
        <v>0</v>
      </c>
      <c r="AD1513" t="s">
        <v>116</v>
      </c>
      <c r="AE1513" t="s">
        <v>116</v>
      </c>
      <c r="AF1513" t="s">
        <v>116</v>
      </c>
      <c r="AG1513">
        <v>19.690000000000001</v>
      </c>
      <c r="AH1513" t="s">
        <v>8052</v>
      </c>
      <c r="AI1513" t="s">
        <v>8053</v>
      </c>
      <c r="AJ1513">
        <v>0.68</v>
      </c>
      <c r="AK1513">
        <v>0</v>
      </c>
      <c r="AL1513" t="s">
        <v>116</v>
      </c>
      <c r="AM1513" t="s">
        <v>116</v>
      </c>
      <c r="AN1513">
        <v>-1</v>
      </c>
      <c r="AO1513">
        <v>-1.82</v>
      </c>
      <c r="AP1513">
        <v>4.5199999999999996</v>
      </c>
      <c r="AQ1513">
        <v>-2.99</v>
      </c>
      <c r="AR1513">
        <v>19.12</v>
      </c>
      <c r="AS1513" t="s">
        <v>116</v>
      </c>
      <c r="AT1513" t="s">
        <v>8054</v>
      </c>
      <c r="AU1513" t="s">
        <v>116</v>
      </c>
      <c r="AV1513" t="s">
        <v>116</v>
      </c>
      <c r="AW1513">
        <v>0</v>
      </c>
      <c r="BA1513" t="s">
        <v>116</v>
      </c>
      <c r="BB1513" t="s">
        <v>116</v>
      </c>
      <c r="BC1513" t="s">
        <v>116</v>
      </c>
      <c r="BD1513">
        <v>0</v>
      </c>
      <c r="BE1513" t="s">
        <v>116</v>
      </c>
      <c r="BF1513" t="s">
        <v>116</v>
      </c>
      <c r="BG1513" t="s">
        <v>116</v>
      </c>
      <c r="BH1513" t="s">
        <v>116</v>
      </c>
      <c r="BI1513">
        <v>20191028</v>
      </c>
      <c r="BJ1513">
        <v>20100902</v>
      </c>
      <c r="BK1513">
        <v>24.33</v>
      </c>
      <c r="BL1513" t="s">
        <v>116</v>
      </c>
      <c r="BM1513" t="s">
        <v>116</v>
      </c>
      <c r="BN1513">
        <v>139.91</v>
      </c>
      <c r="BO1513">
        <v>-24.19</v>
      </c>
      <c r="BP1513">
        <v>0.5</v>
      </c>
      <c r="BQ1513">
        <v>116.93</v>
      </c>
      <c r="BR1513">
        <v>111.14</v>
      </c>
      <c r="BS1513">
        <v>13.35</v>
      </c>
      <c r="BT1513">
        <v>0.89</v>
      </c>
      <c r="BU1513">
        <v>146.91999999999999</v>
      </c>
      <c r="BV1513">
        <v>16.41</v>
      </c>
      <c r="BW1513">
        <v>80.33</v>
      </c>
      <c r="BX1513">
        <v>49.06</v>
      </c>
      <c r="BY1513">
        <v>4.3</v>
      </c>
      <c r="BZ1513">
        <v>3.78</v>
      </c>
      <c r="CA1513">
        <v>-24.69</v>
      </c>
      <c r="CB1513">
        <v>-1.19</v>
      </c>
      <c r="CC1513">
        <v>-26.17</v>
      </c>
      <c r="CD1513">
        <v>-26.17</v>
      </c>
      <c r="CE1513">
        <v>-26.07</v>
      </c>
      <c r="CF1513">
        <v>-24.8</v>
      </c>
      <c r="CG1513">
        <v>-97.46</v>
      </c>
      <c r="CH1513">
        <v>0.43</v>
      </c>
      <c r="CI1513">
        <v>0.65</v>
      </c>
      <c r="CJ1513">
        <v>64669</v>
      </c>
      <c r="CK1513">
        <v>24694</v>
      </c>
      <c r="CL1513" t="s">
        <v>3805</v>
      </c>
      <c r="CM1513">
        <v>10.44</v>
      </c>
      <c r="CN1513">
        <v>-87.86</v>
      </c>
      <c r="CO1513">
        <v>-1.63</v>
      </c>
      <c r="CP1513">
        <v>92.3</v>
      </c>
      <c r="CQ1513">
        <v>9.17</v>
      </c>
      <c r="CR1513">
        <v>0</v>
      </c>
      <c r="CS1513" t="s">
        <v>8055</v>
      </c>
      <c r="CT1513">
        <v>-0.99</v>
      </c>
      <c r="CU1513">
        <v>0</v>
      </c>
      <c r="CV1513">
        <v>2.02</v>
      </c>
      <c r="CW1513">
        <v>-4.01</v>
      </c>
      <c r="CX1513">
        <v>0.02</v>
      </c>
      <c r="CY1513">
        <v>-17.29</v>
      </c>
      <c r="CZ1513" t="s">
        <v>116</v>
      </c>
      <c r="DA1513">
        <v>12.05</v>
      </c>
      <c r="DB1513">
        <v>-574.51</v>
      </c>
      <c r="DC1513">
        <v>-606.55999999999995</v>
      </c>
      <c r="DD1513">
        <v>0.16</v>
      </c>
      <c r="DE1513">
        <v>1267</v>
      </c>
      <c r="DF1513">
        <v>300116</v>
      </c>
      <c r="DG1513" t="s">
        <v>116</v>
      </c>
      <c r="DH1513" t="s">
        <v>116</v>
      </c>
      <c r="DI1513" t="s">
        <v>116</v>
      </c>
    </row>
    <row r="1514" spans="1:113" x14ac:dyDescent="0.4">
      <c r="A1514" t="str">
        <f>"300117"</f>
        <v>300117</v>
      </c>
      <c r="B1514" t="s">
        <v>8056</v>
      </c>
      <c r="C1514">
        <v>-0.27</v>
      </c>
      <c r="D1514">
        <v>3.72</v>
      </c>
      <c r="E1514">
        <v>-0.01</v>
      </c>
      <c r="F1514">
        <v>3.71</v>
      </c>
      <c r="G1514">
        <v>3.72</v>
      </c>
      <c r="H1514">
        <v>87967</v>
      </c>
      <c r="I1514">
        <v>374</v>
      </c>
      <c r="J1514">
        <v>0</v>
      </c>
      <c r="K1514">
        <v>1.23</v>
      </c>
      <c r="L1514">
        <v>3.78</v>
      </c>
      <c r="M1514">
        <v>3.83</v>
      </c>
      <c r="N1514">
        <v>3.71</v>
      </c>
      <c r="O1514">
        <v>3.73</v>
      </c>
      <c r="P1514">
        <v>5.52</v>
      </c>
      <c r="Q1514">
        <v>33192156</v>
      </c>
      <c r="R1514">
        <v>1.96</v>
      </c>
      <c r="S1514" t="s">
        <v>3331</v>
      </c>
      <c r="T1514" t="s">
        <v>165</v>
      </c>
      <c r="U1514">
        <v>3.22</v>
      </c>
      <c r="V1514">
        <v>3.77</v>
      </c>
      <c r="W1514">
        <v>50418</v>
      </c>
      <c r="X1514">
        <v>37549</v>
      </c>
      <c r="Y1514">
        <v>1.34</v>
      </c>
      <c r="Z1514">
        <v>1611</v>
      </c>
      <c r="AA1514">
        <v>507</v>
      </c>
      <c r="AB1514" t="s">
        <v>116</v>
      </c>
      <c r="AC1514">
        <v>351500</v>
      </c>
      <c r="AD1514">
        <v>0.03</v>
      </c>
      <c r="AE1514" t="s">
        <v>116</v>
      </c>
      <c r="AF1514" t="s">
        <v>116</v>
      </c>
      <c r="AG1514">
        <v>7.14</v>
      </c>
      <c r="AH1514" t="s">
        <v>2396</v>
      </c>
      <c r="AI1514" t="s">
        <v>8057</v>
      </c>
      <c r="AJ1514">
        <v>0.41</v>
      </c>
      <c r="AK1514">
        <v>1090</v>
      </c>
      <c r="AL1514">
        <v>81</v>
      </c>
      <c r="AM1514">
        <v>1.1000000000000001E-3</v>
      </c>
      <c r="AN1514">
        <v>-1</v>
      </c>
      <c r="AO1514">
        <v>0.81</v>
      </c>
      <c r="AP1514">
        <v>3.05</v>
      </c>
      <c r="AQ1514">
        <v>-2.62</v>
      </c>
      <c r="AR1514">
        <v>-10.4</v>
      </c>
      <c r="AS1514">
        <v>2.89</v>
      </c>
      <c r="AT1514" t="s">
        <v>8058</v>
      </c>
      <c r="AU1514">
        <v>7.39</v>
      </c>
      <c r="AV1514">
        <v>45.4</v>
      </c>
      <c r="AW1514">
        <v>1.24</v>
      </c>
      <c r="BA1514">
        <v>1.34</v>
      </c>
      <c r="BB1514">
        <v>2.68</v>
      </c>
      <c r="BC1514">
        <v>-0.54</v>
      </c>
      <c r="BD1514">
        <v>1.1599999999999999</v>
      </c>
      <c r="BE1514">
        <v>-1.59</v>
      </c>
      <c r="BF1514">
        <v>-2.87</v>
      </c>
      <c r="BG1514">
        <v>0.27</v>
      </c>
      <c r="BH1514">
        <v>-1.43</v>
      </c>
      <c r="BI1514">
        <v>20191030</v>
      </c>
      <c r="BJ1514">
        <v>20100902</v>
      </c>
      <c r="BK1514">
        <v>7.17</v>
      </c>
      <c r="BL1514" t="s">
        <v>116</v>
      </c>
      <c r="BM1514" t="s">
        <v>116</v>
      </c>
      <c r="BN1514">
        <v>63.86</v>
      </c>
      <c r="BO1514">
        <v>17.28</v>
      </c>
      <c r="BP1514">
        <v>0</v>
      </c>
      <c r="BQ1514">
        <v>72.95</v>
      </c>
      <c r="BR1514">
        <v>56.65</v>
      </c>
      <c r="BS1514">
        <v>3.59</v>
      </c>
      <c r="BT1514">
        <v>1.3</v>
      </c>
      <c r="BU1514">
        <v>42.24</v>
      </c>
      <c r="BV1514">
        <v>29.95</v>
      </c>
      <c r="BW1514">
        <v>16.82</v>
      </c>
      <c r="BX1514">
        <v>0</v>
      </c>
      <c r="BY1514">
        <v>23.68</v>
      </c>
      <c r="BZ1514">
        <v>19.829999999999998</v>
      </c>
      <c r="CA1514">
        <v>4.33</v>
      </c>
      <c r="CB1514">
        <v>0</v>
      </c>
      <c r="CC1514">
        <v>4.28</v>
      </c>
      <c r="CD1514">
        <v>3.62</v>
      </c>
      <c r="CE1514">
        <v>3.62</v>
      </c>
      <c r="CF1514">
        <v>0.43</v>
      </c>
      <c r="CG1514">
        <v>9.6</v>
      </c>
      <c r="CH1514">
        <v>-3.82</v>
      </c>
      <c r="CI1514">
        <v>-3.2</v>
      </c>
      <c r="CJ1514">
        <v>27438</v>
      </c>
      <c r="CK1514">
        <v>11098</v>
      </c>
      <c r="CL1514" t="s">
        <v>4268</v>
      </c>
      <c r="CM1514">
        <v>500.66</v>
      </c>
      <c r="CN1514">
        <v>-15.27</v>
      </c>
      <c r="CO1514">
        <v>1.54</v>
      </c>
      <c r="CP1514">
        <v>-6.97</v>
      </c>
      <c r="CQ1514">
        <v>1.1299999999999999</v>
      </c>
      <c r="CR1514">
        <v>0.22</v>
      </c>
      <c r="CS1514" t="s">
        <v>5410</v>
      </c>
      <c r="CT1514">
        <v>2.41</v>
      </c>
      <c r="CU1514">
        <v>0</v>
      </c>
      <c r="CV1514">
        <v>0</v>
      </c>
      <c r="CW1514">
        <v>1.34</v>
      </c>
      <c r="CX1514">
        <v>-0.53</v>
      </c>
      <c r="CY1514">
        <v>27.05</v>
      </c>
      <c r="CZ1514" t="s">
        <v>8059</v>
      </c>
      <c r="DA1514">
        <v>16.260000000000002</v>
      </c>
      <c r="DB1514">
        <v>18.27</v>
      </c>
      <c r="DC1514">
        <v>15.3</v>
      </c>
      <c r="DD1514">
        <v>0.38</v>
      </c>
      <c r="DE1514">
        <v>1405</v>
      </c>
      <c r="DF1514">
        <v>300117</v>
      </c>
      <c r="DG1514" t="s">
        <v>116</v>
      </c>
      <c r="DH1514" t="s">
        <v>116</v>
      </c>
      <c r="DI1514" t="s">
        <v>116</v>
      </c>
    </row>
    <row r="1515" spans="1:113" x14ac:dyDescent="0.4">
      <c r="A1515" t="str">
        <f>"300118"</f>
        <v>300118</v>
      </c>
      <c r="B1515" t="s">
        <v>8060</v>
      </c>
      <c r="C1515">
        <v>-3.45</v>
      </c>
      <c r="D1515">
        <v>13.43</v>
      </c>
      <c r="E1515">
        <v>-0.48</v>
      </c>
      <c r="F1515">
        <v>13.42</v>
      </c>
      <c r="G1515">
        <v>13.43</v>
      </c>
      <c r="H1515">
        <v>204825</v>
      </c>
      <c r="I1515">
        <v>1686</v>
      </c>
      <c r="J1515">
        <v>-0.06</v>
      </c>
      <c r="K1515">
        <v>2.94</v>
      </c>
      <c r="L1515">
        <v>13.85</v>
      </c>
      <c r="M1515">
        <v>14.07</v>
      </c>
      <c r="N1515">
        <v>13.39</v>
      </c>
      <c r="O1515">
        <v>13.91</v>
      </c>
      <c r="P1515">
        <v>11.59</v>
      </c>
      <c r="Q1515">
        <v>280882496</v>
      </c>
      <c r="R1515">
        <v>0.97</v>
      </c>
      <c r="S1515" t="s">
        <v>3507</v>
      </c>
      <c r="T1515" t="s">
        <v>590</v>
      </c>
      <c r="U1515">
        <v>4.8899999999999997</v>
      </c>
      <c r="V1515">
        <v>13.71</v>
      </c>
      <c r="W1515">
        <v>115511</v>
      </c>
      <c r="X1515">
        <v>89314</v>
      </c>
      <c r="Y1515">
        <v>1.29</v>
      </c>
      <c r="Z1515">
        <v>219</v>
      </c>
      <c r="AA1515">
        <v>521</v>
      </c>
      <c r="AB1515" t="s">
        <v>116</v>
      </c>
      <c r="AC1515">
        <v>1128900</v>
      </c>
      <c r="AD1515">
        <v>0.01</v>
      </c>
      <c r="AE1515" t="s">
        <v>116</v>
      </c>
      <c r="AF1515" t="s">
        <v>116</v>
      </c>
      <c r="AG1515">
        <v>6.96</v>
      </c>
      <c r="AH1515" t="s">
        <v>8061</v>
      </c>
      <c r="AI1515" t="s">
        <v>8062</v>
      </c>
      <c r="AJ1515">
        <v>-2.77</v>
      </c>
      <c r="AK1515">
        <v>3429</v>
      </c>
      <c r="AL1515">
        <v>60</v>
      </c>
      <c r="AM1515">
        <v>8.9999999999999998E-4</v>
      </c>
      <c r="AN1515">
        <v>-1</v>
      </c>
      <c r="AO1515">
        <v>-2.68</v>
      </c>
      <c r="AP1515">
        <v>15.28</v>
      </c>
      <c r="AQ1515">
        <v>7.44</v>
      </c>
      <c r="AR1515">
        <v>138.55000000000001</v>
      </c>
      <c r="AS1515">
        <v>3.51</v>
      </c>
      <c r="AT1515" t="s">
        <v>8063</v>
      </c>
      <c r="AU1515">
        <v>15.04</v>
      </c>
      <c r="AV1515">
        <v>52.1</v>
      </c>
      <c r="AW1515">
        <v>2</v>
      </c>
      <c r="BA1515">
        <v>-0.43</v>
      </c>
      <c r="BB1515">
        <v>1.1499999999999999</v>
      </c>
      <c r="BC1515">
        <v>-3.74</v>
      </c>
      <c r="BD1515">
        <v>-1.41</v>
      </c>
      <c r="BE1515">
        <v>-3.03</v>
      </c>
      <c r="BF1515">
        <v>-4.55</v>
      </c>
      <c r="BG1515">
        <v>0.3</v>
      </c>
      <c r="BH1515">
        <v>-2.04</v>
      </c>
      <c r="BI1515">
        <v>20191022</v>
      </c>
      <c r="BJ1515">
        <v>20100902</v>
      </c>
      <c r="BK1515">
        <v>9.01</v>
      </c>
      <c r="BL1515" t="s">
        <v>116</v>
      </c>
      <c r="BM1515" t="s">
        <v>116</v>
      </c>
      <c r="BN1515">
        <v>248.07</v>
      </c>
      <c r="BO1515">
        <v>80.319999999999993</v>
      </c>
      <c r="BP1515">
        <v>10.55</v>
      </c>
      <c r="BQ1515">
        <v>63.37</v>
      </c>
      <c r="BR1515">
        <v>125.8</v>
      </c>
      <c r="BS1515">
        <v>72.8</v>
      </c>
      <c r="BT1515">
        <v>5.88</v>
      </c>
      <c r="BU1515">
        <v>127.37</v>
      </c>
      <c r="BV1515">
        <v>18.670000000000002</v>
      </c>
      <c r="BW1515">
        <v>38.26</v>
      </c>
      <c r="BX1515">
        <v>50.74</v>
      </c>
      <c r="BY1515">
        <v>97.74</v>
      </c>
      <c r="BZ1515">
        <v>78.150000000000006</v>
      </c>
      <c r="CA1515">
        <v>5.81</v>
      </c>
      <c r="CB1515">
        <v>-0.04</v>
      </c>
      <c r="CC1515">
        <v>9.2799999999999994</v>
      </c>
      <c r="CD1515">
        <v>7.85</v>
      </c>
      <c r="CE1515">
        <v>7.83</v>
      </c>
      <c r="CF1515">
        <v>5.41</v>
      </c>
      <c r="CG1515">
        <v>22.14</v>
      </c>
      <c r="CH1515">
        <v>21.16</v>
      </c>
      <c r="CI1515">
        <v>3.87</v>
      </c>
      <c r="CJ1515">
        <v>32440</v>
      </c>
      <c r="CK1515">
        <v>17995</v>
      </c>
      <c r="CL1515" t="s">
        <v>8064</v>
      </c>
      <c r="CM1515">
        <v>271.13</v>
      </c>
      <c r="CN1515">
        <v>42.87</v>
      </c>
      <c r="CO1515">
        <v>1.51</v>
      </c>
      <c r="CP1515">
        <v>5.72</v>
      </c>
      <c r="CQ1515">
        <v>1.24</v>
      </c>
      <c r="CR1515">
        <v>0.44</v>
      </c>
      <c r="CS1515" t="s">
        <v>650</v>
      </c>
      <c r="CT1515">
        <v>8.91</v>
      </c>
      <c r="CU1515">
        <v>0</v>
      </c>
      <c r="CV1515">
        <v>5.63</v>
      </c>
      <c r="CW1515">
        <v>2.46</v>
      </c>
      <c r="CX1515">
        <v>2.35</v>
      </c>
      <c r="CY1515">
        <v>32.380000000000003</v>
      </c>
      <c r="CZ1515" t="s">
        <v>4920</v>
      </c>
      <c r="DA1515">
        <v>20.04</v>
      </c>
      <c r="DB1515">
        <v>5.95</v>
      </c>
      <c r="DC1515">
        <v>8.02</v>
      </c>
      <c r="DD1515">
        <v>5.19</v>
      </c>
      <c r="DE1515">
        <v>6551</v>
      </c>
      <c r="DF1515">
        <v>300118</v>
      </c>
      <c r="DG1515" t="s">
        <v>116</v>
      </c>
      <c r="DH1515" t="s">
        <v>116</v>
      </c>
      <c r="DI1515" t="s">
        <v>116</v>
      </c>
    </row>
    <row r="1516" spans="1:113" x14ac:dyDescent="0.4">
      <c r="A1516" t="str">
        <f>"300119"</f>
        <v>300119</v>
      </c>
      <c r="B1516" t="s">
        <v>8065</v>
      </c>
      <c r="C1516">
        <v>-0.28999999999999998</v>
      </c>
      <c r="D1516">
        <v>13.9</v>
      </c>
      <c r="E1516">
        <v>-0.04</v>
      </c>
      <c r="F1516">
        <v>13.89</v>
      </c>
      <c r="G1516">
        <v>13.9</v>
      </c>
      <c r="H1516">
        <v>43681</v>
      </c>
      <c r="I1516">
        <v>824</v>
      </c>
      <c r="J1516">
        <v>7.0000000000000007E-2</v>
      </c>
      <c r="K1516">
        <v>1.79</v>
      </c>
      <c r="L1516">
        <v>13.81</v>
      </c>
      <c r="M1516">
        <v>13.99</v>
      </c>
      <c r="N1516">
        <v>13.77</v>
      </c>
      <c r="O1516">
        <v>13.94</v>
      </c>
      <c r="P1516">
        <v>29.15</v>
      </c>
      <c r="Q1516">
        <v>60700112</v>
      </c>
      <c r="R1516">
        <v>0.53</v>
      </c>
      <c r="S1516" t="s">
        <v>132</v>
      </c>
      <c r="T1516" t="s">
        <v>1035</v>
      </c>
      <c r="U1516">
        <v>1.58</v>
      </c>
      <c r="V1516">
        <v>13.9</v>
      </c>
      <c r="W1516">
        <v>22257</v>
      </c>
      <c r="X1516">
        <v>21424</v>
      </c>
      <c r="Y1516">
        <v>1.04</v>
      </c>
      <c r="Z1516">
        <v>142</v>
      </c>
      <c r="AA1516">
        <v>123</v>
      </c>
      <c r="AB1516" t="s">
        <v>116</v>
      </c>
      <c r="AC1516">
        <v>232000</v>
      </c>
      <c r="AD1516">
        <v>0.01</v>
      </c>
      <c r="AE1516" t="s">
        <v>116</v>
      </c>
      <c r="AF1516" t="s">
        <v>116</v>
      </c>
      <c r="AG1516">
        <v>2.44</v>
      </c>
      <c r="AH1516" t="s">
        <v>8066</v>
      </c>
      <c r="AI1516" t="s">
        <v>8067</v>
      </c>
      <c r="AJ1516">
        <v>0.39</v>
      </c>
      <c r="AK1516">
        <v>1910</v>
      </c>
      <c r="AL1516">
        <v>23</v>
      </c>
      <c r="AM1516">
        <v>8.9999999999999998E-4</v>
      </c>
      <c r="AN1516">
        <v>-2</v>
      </c>
      <c r="AO1516">
        <v>-2.73</v>
      </c>
      <c r="AP1516">
        <v>0.22</v>
      </c>
      <c r="AQ1516">
        <v>8.85</v>
      </c>
      <c r="AR1516">
        <v>88.94</v>
      </c>
      <c r="AS1516">
        <v>2.58</v>
      </c>
      <c r="AT1516" t="s">
        <v>4774</v>
      </c>
      <c r="AU1516">
        <v>35.659999999999997</v>
      </c>
      <c r="AV1516">
        <v>47.26</v>
      </c>
      <c r="AW1516">
        <v>0</v>
      </c>
      <c r="BA1516">
        <v>-0.93</v>
      </c>
      <c r="BB1516">
        <v>0.36</v>
      </c>
      <c r="BC1516">
        <v>-1.22</v>
      </c>
      <c r="BD1516">
        <v>-0.31</v>
      </c>
      <c r="BE1516">
        <v>0.65</v>
      </c>
      <c r="BF1516">
        <v>-0.64</v>
      </c>
      <c r="BG1516">
        <v>0.94</v>
      </c>
      <c r="BH1516">
        <v>0.03</v>
      </c>
      <c r="BI1516">
        <v>20191029</v>
      </c>
      <c r="BJ1516">
        <v>20100917</v>
      </c>
      <c r="BK1516">
        <v>4.04</v>
      </c>
      <c r="BL1516" t="s">
        <v>116</v>
      </c>
      <c r="BM1516" t="s">
        <v>116</v>
      </c>
      <c r="BN1516">
        <v>31.79</v>
      </c>
      <c r="BO1516">
        <v>19.989999999999998</v>
      </c>
      <c r="BP1516">
        <v>2.54</v>
      </c>
      <c r="BQ1516">
        <v>29.11</v>
      </c>
      <c r="BR1516">
        <v>14.8</v>
      </c>
      <c r="BS1516">
        <v>7.56</v>
      </c>
      <c r="BT1516">
        <v>2.4300000000000002</v>
      </c>
      <c r="BU1516">
        <v>8.2799999999999994</v>
      </c>
      <c r="BV1516">
        <v>2.42</v>
      </c>
      <c r="BW1516">
        <v>4.3600000000000003</v>
      </c>
      <c r="BX1516">
        <v>9.36</v>
      </c>
      <c r="BY1516">
        <v>10.33</v>
      </c>
      <c r="BZ1516">
        <v>4.99</v>
      </c>
      <c r="CA1516">
        <v>2</v>
      </c>
      <c r="CB1516">
        <v>0.16</v>
      </c>
      <c r="CC1516">
        <v>2.0099999999999998</v>
      </c>
      <c r="CD1516">
        <v>1.73</v>
      </c>
      <c r="CE1516">
        <v>1.45</v>
      </c>
      <c r="CF1516">
        <v>1.32</v>
      </c>
      <c r="CG1516">
        <v>6.61</v>
      </c>
      <c r="CH1516">
        <v>1.7</v>
      </c>
      <c r="CI1516">
        <v>-0.27</v>
      </c>
      <c r="CJ1516">
        <v>29875</v>
      </c>
      <c r="CK1516">
        <v>5675</v>
      </c>
      <c r="CL1516" t="s">
        <v>2806</v>
      </c>
      <c r="CM1516">
        <v>36.54</v>
      </c>
      <c r="CN1516">
        <v>17.86</v>
      </c>
      <c r="CO1516">
        <v>2.81</v>
      </c>
      <c r="CP1516">
        <v>33.04</v>
      </c>
      <c r="CQ1516">
        <v>5.44</v>
      </c>
      <c r="CR1516">
        <v>1.08</v>
      </c>
      <c r="CS1516" t="s">
        <v>793</v>
      </c>
      <c r="CT1516">
        <v>4.9400000000000004</v>
      </c>
      <c r="CU1516">
        <v>0</v>
      </c>
      <c r="CV1516">
        <v>2.31</v>
      </c>
      <c r="CW1516">
        <v>1.63</v>
      </c>
      <c r="CX1516">
        <v>0.42</v>
      </c>
      <c r="CY1516">
        <v>62.9</v>
      </c>
      <c r="CZ1516" t="s">
        <v>6179</v>
      </c>
      <c r="DA1516">
        <v>51.71</v>
      </c>
      <c r="DB1516">
        <v>19.37</v>
      </c>
      <c r="DC1516">
        <v>14</v>
      </c>
      <c r="DD1516">
        <v>0.66</v>
      </c>
      <c r="DE1516">
        <v>1984</v>
      </c>
      <c r="DF1516">
        <v>300119</v>
      </c>
      <c r="DG1516" t="s">
        <v>116</v>
      </c>
      <c r="DH1516" t="s">
        <v>116</v>
      </c>
      <c r="DI1516" t="s">
        <v>116</v>
      </c>
    </row>
    <row r="1517" spans="1:113" x14ac:dyDescent="0.4">
      <c r="A1517" t="str">
        <f>"300120"</f>
        <v>300120</v>
      </c>
      <c r="B1517" t="s">
        <v>8068</v>
      </c>
      <c r="C1517">
        <v>-1.28</v>
      </c>
      <c r="D1517">
        <v>6.15</v>
      </c>
      <c r="E1517">
        <v>-0.08</v>
      </c>
      <c r="F1517">
        <v>6.15</v>
      </c>
      <c r="G1517">
        <v>6.16</v>
      </c>
      <c r="H1517">
        <v>30781</v>
      </c>
      <c r="I1517">
        <v>517</v>
      </c>
      <c r="J1517">
        <v>0</v>
      </c>
      <c r="K1517">
        <v>1.31</v>
      </c>
      <c r="L1517">
        <v>6.19</v>
      </c>
      <c r="M1517">
        <v>6.27</v>
      </c>
      <c r="N1517">
        <v>6.1</v>
      </c>
      <c r="O1517">
        <v>6.23</v>
      </c>
      <c r="P1517">
        <v>24.88</v>
      </c>
      <c r="Q1517">
        <v>19009630</v>
      </c>
      <c r="R1517">
        <v>0.86</v>
      </c>
      <c r="S1517" t="s">
        <v>233</v>
      </c>
      <c r="T1517" t="s">
        <v>1035</v>
      </c>
      <c r="U1517">
        <v>2.73</v>
      </c>
      <c r="V1517">
        <v>6.18</v>
      </c>
      <c r="W1517">
        <v>15540</v>
      </c>
      <c r="X1517">
        <v>15241</v>
      </c>
      <c r="Y1517">
        <v>1.02</v>
      </c>
      <c r="Z1517">
        <v>121</v>
      </c>
      <c r="AA1517">
        <v>632</v>
      </c>
      <c r="AB1517" t="s">
        <v>116</v>
      </c>
      <c r="AC1517">
        <v>123200</v>
      </c>
      <c r="AD1517">
        <v>0.01</v>
      </c>
      <c r="AE1517" t="s">
        <v>116</v>
      </c>
      <c r="AF1517" t="s">
        <v>116</v>
      </c>
      <c r="AG1517">
        <v>2.34</v>
      </c>
      <c r="AH1517" t="s">
        <v>8069</v>
      </c>
      <c r="AI1517" t="s">
        <v>5756</v>
      </c>
      <c r="AJ1517">
        <v>-0.61</v>
      </c>
      <c r="AK1517">
        <v>1129</v>
      </c>
      <c r="AL1517">
        <v>27</v>
      </c>
      <c r="AM1517">
        <v>1.1999999999999999E-3</v>
      </c>
      <c r="AN1517">
        <v>-1</v>
      </c>
      <c r="AO1517">
        <v>0.82</v>
      </c>
      <c r="AP1517">
        <v>8.08</v>
      </c>
      <c r="AQ1517">
        <v>0.16</v>
      </c>
      <c r="AR1517">
        <v>3.02</v>
      </c>
      <c r="AS1517">
        <v>1.42</v>
      </c>
      <c r="AT1517" t="s">
        <v>2561</v>
      </c>
      <c r="AU1517">
        <v>22.25</v>
      </c>
      <c r="AV1517">
        <v>21.23</v>
      </c>
      <c r="AW1517">
        <v>1.36</v>
      </c>
      <c r="BA1517">
        <v>-0.64</v>
      </c>
      <c r="BB1517">
        <v>0.64</v>
      </c>
      <c r="BC1517">
        <v>-2.09</v>
      </c>
      <c r="BD1517">
        <v>-0.87</v>
      </c>
      <c r="BE1517">
        <v>-0.65</v>
      </c>
      <c r="BF1517">
        <v>-1.91</v>
      </c>
      <c r="BG1517">
        <v>0.82</v>
      </c>
      <c r="BH1517">
        <v>-0.41</v>
      </c>
      <c r="BI1517">
        <v>20191029</v>
      </c>
      <c r="BJ1517">
        <v>20100917</v>
      </c>
      <c r="BK1517">
        <v>4.6500000000000004</v>
      </c>
      <c r="BL1517" t="s">
        <v>116</v>
      </c>
      <c r="BM1517" t="s">
        <v>116</v>
      </c>
      <c r="BN1517">
        <v>34.54</v>
      </c>
      <c r="BO1517">
        <v>23.94</v>
      </c>
      <c r="BP1517">
        <v>0.79</v>
      </c>
      <c r="BQ1517">
        <v>28.4</v>
      </c>
      <c r="BR1517">
        <v>18.8</v>
      </c>
      <c r="BS1517">
        <v>5.56</v>
      </c>
      <c r="BT1517">
        <v>2.0299999999999998</v>
      </c>
      <c r="BU1517">
        <v>9.31</v>
      </c>
      <c r="BV1517">
        <v>3.98</v>
      </c>
      <c r="BW1517">
        <v>7.91</v>
      </c>
      <c r="BX1517">
        <v>16.79</v>
      </c>
      <c r="BY1517">
        <v>16.760000000000002</v>
      </c>
      <c r="BZ1517">
        <v>13.54</v>
      </c>
      <c r="CA1517">
        <v>0.95</v>
      </c>
      <c r="CB1517">
        <v>0</v>
      </c>
      <c r="CC1517">
        <v>0.95</v>
      </c>
      <c r="CD1517">
        <v>0.82</v>
      </c>
      <c r="CE1517">
        <v>0.86</v>
      </c>
      <c r="CF1517">
        <v>0.82</v>
      </c>
      <c r="CG1517">
        <v>2.29</v>
      </c>
      <c r="CH1517">
        <v>-0.6</v>
      </c>
      <c r="CI1517">
        <v>2.72</v>
      </c>
      <c r="CJ1517">
        <v>13127</v>
      </c>
      <c r="CK1517">
        <v>16527</v>
      </c>
      <c r="CL1517" t="s">
        <v>2891</v>
      </c>
      <c r="CM1517">
        <v>-6.65</v>
      </c>
      <c r="CN1517">
        <v>11.46</v>
      </c>
      <c r="CO1517">
        <v>1.19</v>
      </c>
      <c r="CP1517">
        <v>-47.65</v>
      </c>
      <c r="CQ1517">
        <v>1.71</v>
      </c>
      <c r="CR1517">
        <v>1.37</v>
      </c>
      <c r="CS1517" t="s">
        <v>1119</v>
      </c>
      <c r="CT1517">
        <v>5.15</v>
      </c>
      <c r="CU1517">
        <v>0</v>
      </c>
      <c r="CV1517">
        <v>3.61</v>
      </c>
      <c r="CW1517">
        <v>0.49</v>
      </c>
      <c r="CX1517">
        <v>-0.13</v>
      </c>
      <c r="CY1517">
        <v>69.33</v>
      </c>
      <c r="CZ1517" t="s">
        <v>5630</v>
      </c>
      <c r="DA1517">
        <v>19.21</v>
      </c>
      <c r="DB1517">
        <v>5.67</v>
      </c>
      <c r="DC1517">
        <v>5.14</v>
      </c>
      <c r="DD1517">
        <v>0.51</v>
      </c>
      <c r="DE1517">
        <v>2350</v>
      </c>
      <c r="DF1517">
        <v>300120</v>
      </c>
      <c r="DG1517" t="s">
        <v>116</v>
      </c>
      <c r="DH1517" t="s">
        <v>116</v>
      </c>
      <c r="DI1517" t="s">
        <v>116</v>
      </c>
    </row>
    <row r="1518" spans="1:113" x14ac:dyDescent="0.4">
      <c r="A1518" t="str">
        <f>"300121"</f>
        <v>300121</v>
      </c>
      <c r="B1518" t="s">
        <v>8070</v>
      </c>
      <c r="C1518">
        <v>-0.42</v>
      </c>
      <c r="D1518">
        <v>7.04</v>
      </c>
      <c r="E1518">
        <v>-0.03</v>
      </c>
      <c r="F1518">
        <v>7.04</v>
      </c>
      <c r="G1518">
        <v>7.05</v>
      </c>
      <c r="H1518">
        <v>18140</v>
      </c>
      <c r="I1518">
        <v>221</v>
      </c>
      <c r="J1518">
        <v>0.14000000000000001</v>
      </c>
      <c r="K1518">
        <v>0.5</v>
      </c>
      <c r="L1518">
        <v>7.07</v>
      </c>
      <c r="M1518">
        <v>7.1</v>
      </c>
      <c r="N1518">
        <v>7.02</v>
      </c>
      <c r="O1518">
        <v>7.07</v>
      </c>
      <c r="P1518">
        <v>14.91</v>
      </c>
      <c r="Q1518">
        <v>12794214</v>
      </c>
      <c r="R1518">
        <v>0.64</v>
      </c>
      <c r="S1518" t="s">
        <v>891</v>
      </c>
      <c r="T1518" t="s">
        <v>645</v>
      </c>
      <c r="U1518">
        <v>1.1299999999999999</v>
      </c>
      <c r="V1518">
        <v>7.05</v>
      </c>
      <c r="W1518">
        <v>9859</v>
      </c>
      <c r="X1518">
        <v>8281</v>
      </c>
      <c r="Y1518">
        <v>1.19</v>
      </c>
      <c r="Z1518">
        <v>351</v>
      </c>
      <c r="AA1518">
        <v>572</v>
      </c>
      <c r="AB1518" t="s">
        <v>116</v>
      </c>
      <c r="AC1518">
        <v>0</v>
      </c>
      <c r="AD1518">
        <v>0</v>
      </c>
      <c r="AE1518" t="s">
        <v>116</v>
      </c>
      <c r="AF1518" t="s">
        <v>116</v>
      </c>
      <c r="AG1518">
        <v>3.6</v>
      </c>
      <c r="AH1518" t="s">
        <v>5917</v>
      </c>
      <c r="AI1518" t="s">
        <v>8071</v>
      </c>
      <c r="AJ1518">
        <v>0.25</v>
      </c>
      <c r="AK1518">
        <v>714</v>
      </c>
      <c r="AL1518">
        <v>25</v>
      </c>
      <c r="AM1518">
        <v>6.9999999999999999E-4</v>
      </c>
      <c r="AN1518">
        <v>-1</v>
      </c>
      <c r="AO1518">
        <v>-0.7</v>
      </c>
      <c r="AP1518">
        <v>13.92</v>
      </c>
      <c r="AQ1518">
        <v>2.0299999999999998</v>
      </c>
      <c r="AR1518">
        <v>-10.77</v>
      </c>
      <c r="AS1518">
        <v>1.1000000000000001</v>
      </c>
      <c r="AT1518" t="s">
        <v>8072</v>
      </c>
      <c r="AU1518">
        <v>14.45</v>
      </c>
      <c r="AV1518">
        <v>7.45</v>
      </c>
      <c r="AW1518">
        <v>0.92</v>
      </c>
      <c r="BA1518">
        <v>0</v>
      </c>
      <c r="BB1518">
        <v>0.42</v>
      </c>
      <c r="BC1518">
        <v>-0.71</v>
      </c>
      <c r="BD1518">
        <v>-0.24</v>
      </c>
      <c r="BE1518">
        <v>-0.42</v>
      </c>
      <c r="BF1518">
        <v>-0.85</v>
      </c>
      <c r="BG1518">
        <v>0.28000000000000003</v>
      </c>
      <c r="BH1518">
        <v>-0.18</v>
      </c>
      <c r="BI1518">
        <v>20191204</v>
      </c>
      <c r="BJ1518">
        <v>20100917</v>
      </c>
      <c r="BK1518">
        <v>3.89</v>
      </c>
      <c r="BL1518" t="s">
        <v>116</v>
      </c>
      <c r="BM1518" t="s">
        <v>116</v>
      </c>
      <c r="BN1518">
        <v>21.12</v>
      </c>
      <c r="BO1518">
        <v>16.440000000000001</v>
      </c>
      <c r="BP1518">
        <v>0</v>
      </c>
      <c r="BQ1518">
        <v>22.19</v>
      </c>
      <c r="BR1518">
        <v>12.38</v>
      </c>
      <c r="BS1518">
        <v>5.09</v>
      </c>
      <c r="BT1518">
        <v>0.73</v>
      </c>
      <c r="BU1518">
        <v>4.54</v>
      </c>
      <c r="BV1518">
        <v>2.11</v>
      </c>
      <c r="BW1518">
        <v>4.99</v>
      </c>
      <c r="BX1518">
        <v>7.28</v>
      </c>
      <c r="BY1518">
        <v>15.08</v>
      </c>
      <c r="BZ1518">
        <v>11.33</v>
      </c>
      <c r="CA1518">
        <v>1.69</v>
      </c>
      <c r="CB1518">
        <v>0</v>
      </c>
      <c r="CC1518">
        <v>1.73</v>
      </c>
      <c r="CD1518">
        <v>1.38</v>
      </c>
      <c r="CE1518">
        <v>1.38</v>
      </c>
      <c r="CF1518">
        <v>1.34</v>
      </c>
      <c r="CG1518">
        <v>5.21</v>
      </c>
      <c r="CH1518">
        <v>1.48</v>
      </c>
      <c r="CI1518">
        <v>-1.91</v>
      </c>
      <c r="CJ1518">
        <v>17124</v>
      </c>
      <c r="CK1518">
        <v>9626</v>
      </c>
      <c r="CL1518" t="s">
        <v>1991</v>
      </c>
      <c r="CM1518">
        <v>-56.39</v>
      </c>
      <c r="CN1518">
        <v>-0.89</v>
      </c>
      <c r="CO1518">
        <v>1.66</v>
      </c>
      <c r="CP1518">
        <v>18.510000000000002</v>
      </c>
      <c r="CQ1518">
        <v>1.81</v>
      </c>
      <c r="CR1518">
        <v>9.23</v>
      </c>
      <c r="CS1518" t="s">
        <v>2552</v>
      </c>
      <c r="CT1518">
        <v>4.2300000000000004</v>
      </c>
      <c r="CU1518">
        <v>0</v>
      </c>
      <c r="CV1518">
        <v>1.87</v>
      </c>
      <c r="CW1518">
        <v>1.34</v>
      </c>
      <c r="CX1518">
        <v>0.38</v>
      </c>
      <c r="CY1518">
        <v>77.81</v>
      </c>
      <c r="CZ1518" t="s">
        <v>8073</v>
      </c>
      <c r="DA1518">
        <v>24.85</v>
      </c>
      <c r="DB1518">
        <v>11.23</v>
      </c>
      <c r="DC1518">
        <v>9.1300000000000008</v>
      </c>
      <c r="DD1518">
        <v>0.34</v>
      </c>
      <c r="DE1518">
        <v>1680</v>
      </c>
      <c r="DF1518">
        <v>300121</v>
      </c>
      <c r="DG1518" t="s">
        <v>116</v>
      </c>
      <c r="DH1518" t="s">
        <v>116</v>
      </c>
      <c r="DI1518" t="s">
        <v>116</v>
      </c>
    </row>
    <row r="1519" spans="1:113" x14ac:dyDescent="0.4">
      <c r="A1519" t="str">
        <f>"300122"</f>
        <v>300122</v>
      </c>
      <c r="B1519" t="s">
        <v>8074</v>
      </c>
      <c r="C1519">
        <v>-2.2799999999999998</v>
      </c>
      <c r="D1519">
        <v>48.81</v>
      </c>
      <c r="E1519">
        <v>-1.1399999999999999</v>
      </c>
      <c r="F1519">
        <v>48.8</v>
      </c>
      <c r="G1519">
        <v>48.81</v>
      </c>
      <c r="H1519">
        <v>87066</v>
      </c>
      <c r="I1519">
        <v>430</v>
      </c>
      <c r="J1519">
        <v>-0.09</v>
      </c>
      <c r="K1519">
        <v>0.99</v>
      </c>
      <c r="L1519">
        <v>50</v>
      </c>
      <c r="M1519">
        <v>50.67</v>
      </c>
      <c r="N1519">
        <v>48.69</v>
      </c>
      <c r="O1519">
        <v>49.95</v>
      </c>
      <c r="P1519">
        <v>33.22</v>
      </c>
      <c r="Q1519">
        <v>429799392</v>
      </c>
      <c r="R1519">
        <v>1.1599999999999999</v>
      </c>
      <c r="S1519" t="s">
        <v>132</v>
      </c>
      <c r="T1519" t="s">
        <v>906</v>
      </c>
      <c r="U1519">
        <v>3.96</v>
      </c>
      <c r="V1519">
        <v>49.36</v>
      </c>
      <c r="W1519">
        <v>49618</v>
      </c>
      <c r="X1519">
        <v>37448</v>
      </c>
      <c r="Y1519">
        <v>1.32</v>
      </c>
      <c r="Z1519">
        <v>30</v>
      </c>
      <c r="AA1519">
        <v>175</v>
      </c>
      <c r="AB1519" t="s">
        <v>116</v>
      </c>
      <c r="AC1519">
        <v>2025000</v>
      </c>
      <c r="AD1519">
        <v>0.01</v>
      </c>
      <c r="AE1519" t="s">
        <v>116</v>
      </c>
      <c r="AF1519" t="s">
        <v>116</v>
      </c>
      <c r="AG1519">
        <v>8.76</v>
      </c>
      <c r="AH1519" t="s">
        <v>8075</v>
      </c>
      <c r="AI1519" t="s">
        <v>8076</v>
      </c>
      <c r="AJ1519">
        <v>-1.6</v>
      </c>
      <c r="AK1519">
        <v>3658</v>
      </c>
      <c r="AL1519">
        <v>24</v>
      </c>
      <c r="AM1519">
        <v>2.9999999999999997E-4</v>
      </c>
      <c r="AN1519">
        <v>-2</v>
      </c>
      <c r="AO1519">
        <v>0.98</v>
      </c>
      <c r="AP1519">
        <v>10.18</v>
      </c>
      <c r="AQ1519">
        <v>1.81</v>
      </c>
      <c r="AR1519">
        <v>27.57</v>
      </c>
      <c r="AS1519">
        <v>1.83</v>
      </c>
      <c r="AT1519" t="s">
        <v>8077</v>
      </c>
      <c r="AU1519">
        <v>36.700000000000003</v>
      </c>
      <c r="AV1519">
        <v>53.81</v>
      </c>
      <c r="AW1519">
        <v>0.75</v>
      </c>
      <c r="BA1519">
        <v>0.1</v>
      </c>
      <c r="BB1519">
        <v>1.44</v>
      </c>
      <c r="BC1519">
        <v>-2.52</v>
      </c>
      <c r="BD1519">
        <v>-1.17</v>
      </c>
      <c r="BE1519">
        <v>-2.38</v>
      </c>
      <c r="BF1519">
        <v>-3.67</v>
      </c>
      <c r="BG1519">
        <v>0.25</v>
      </c>
      <c r="BH1519">
        <v>-1.1100000000000001</v>
      </c>
      <c r="BI1519">
        <v>20191218</v>
      </c>
      <c r="BJ1519">
        <v>20100928</v>
      </c>
      <c r="BK1519">
        <v>16</v>
      </c>
      <c r="BL1519" t="s">
        <v>116</v>
      </c>
      <c r="BM1519" t="s">
        <v>116</v>
      </c>
      <c r="BN1519">
        <v>108.89</v>
      </c>
      <c r="BO1519">
        <v>51.44</v>
      </c>
      <c r="BP1519">
        <v>0</v>
      </c>
      <c r="BQ1519">
        <v>52.76</v>
      </c>
      <c r="BR1519">
        <v>82.85</v>
      </c>
      <c r="BS1519">
        <v>9.2899999999999991</v>
      </c>
      <c r="BT1519">
        <v>2.4300000000000002</v>
      </c>
      <c r="BU1519">
        <v>56.4</v>
      </c>
      <c r="BV1519">
        <v>26.27</v>
      </c>
      <c r="BW1519">
        <v>44.46</v>
      </c>
      <c r="BX1519">
        <v>2.08</v>
      </c>
      <c r="BY1519">
        <v>76.66</v>
      </c>
      <c r="BZ1519">
        <v>44.51</v>
      </c>
      <c r="CA1519">
        <v>21.13</v>
      </c>
      <c r="CB1519">
        <v>0</v>
      </c>
      <c r="CC1519">
        <v>20.68</v>
      </c>
      <c r="CD1519">
        <v>17.63</v>
      </c>
      <c r="CE1519">
        <v>17.63</v>
      </c>
      <c r="CF1519">
        <v>17.98</v>
      </c>
      <c r="CG1519">
        <v>30.61</v>
      </c>
      <c r="CH1519">
        <v>5.63</v>
      </c>
      <c r="CI1519">
        <v>3.01</v>
      </c>
      <c r="CJ1519">
        <v>35386</v>
      </c>
      <c r="CK1519">
        <v>13465</v>
      </c>
      <c r="CL1519" t="s">
        <v>8078</v>
      </c>
      <c r="CM1519">
        <v>62.25</v>
      </c>
      <c r="CN1519">
        <v>119.35</v>
      </c>
      <c r="CO1519">
        <v>15.18</v>
      </c>
      <c r="CP1519">
        <v>138.72999999999999</v>
      </c>
      <c r="CQ1519">
        <v>10.19</v>
      </c>
      <c r="CR1519">
        <v>1.02</v>
      </c>
      <c r="CS1519" t="s">
        <v>8079</v>
      </c>
      <c r="CT1519">
        <v>3.21</v>
      </c>
      <c r="CU1519">
        <v>0</v>
      </c>
      <c r="CV1519">
        <v>0.13</v>
      </c>
      <c r="CW1519">
        <v>1.91</v>
      </c>
      <c r="CX1519">
        <v>0.35</v>
      </c>
      <c r="CY1519">
        <v>47.24</v>
      </c>
      <c r="CZ1519" t="s">
        <v>8080</v>
      </c>
      <c r="DA1519">
        <v>41.94</v>
      </c>
      <c r="DB1519">
        <v>27.56</v>
      </c>
      <c r="DC1519">
        <v>23</v>
      </c>
      <c r="DD1519">
        <v>1.05</v>
      </c>
      <c r="DE1519">
        <v>2405</v>
      </c>
      <c r="DF1519">
        <v>300122</v>
      </c>
      <c r="DG1519" t="s">
        <v>116</v>
      </c>
      <c r="DH1519" t="s">
        <v>116</v>
      </c>
      <c r="DI1519" t="s">
        <v>116</v>
      </c>
    </row>
    <row r="1520" spans="1:113" x14ac:dyDescent="0.4">
      <c r="A1520" t="str">
        <f>"300123"</f>
        <v>300123</v>
      </c>
      <c r="B1520" t="s">
        <v>8081</v>
      </c>
      <c r="C1520">
        <v>-2.2000000000000002</v>
      </c>
      <c r="D1520">
        <v>7.55</v>
      </c>
      <c r="E1520">
        <v>-0.17</v>
      </c>
      <c r="F1520">
        <v>7.55</v>
      </c>
      <c r="G1520">
        <v>7.56</v>
      </c>
      <c r="H1520">
        <v>263445</v>
      </c>
      <c r="I1520">
        <v>3060</v>
      </c>
      <c r="J1520">
        <v>-0.25</v>
      </c>
      <c r="K1520">
        <v>4.5599999999999996</v>
      </c>
      <c r="L1520">
        <v>7.78</v>
      </c>
      <c r="M1520">
        <v>7.95</v>
      </c>
      <c r="N1520">
        <v>7.52</v>
      </c>
      <c r="O1520">
        <v>7.72</v>
      </c>
      <c r="P1520">
        <v>44.12</v>
      </c>
      <c r="Q1520">
        <v>205020992</v>
      </c>
      <c r="R1520">
        <v>0.83</v>
      </c>
      <c r="S1520" t="s">
        <v>7623</v>
      </c>
      <c r="T1520" t="s">
        <v>599</v>
      </c>
      <c r="U1520">
        <v>5.57</v>
      </c>
      <c r="V1520">
        <v>7.78</v>
      </c>
      <c r="W1520">
        <v>151395</v>
      </c>
      <c r="X1520">
        <v>112050</v>
      </c>
      <c r="Y1520">
        <v>1.35</v>
      </c>
      <c r="Z1520">
        <v>129</v>
      </c>
      <c r="AA1520">
        <v>1461</v>
      </c>
      <c r="AB1520" t="s">
        <v>116</v>
      </c>
      <c r="AC1520">
        <v>741400</v>
      </c>
      <c r="AD1520">
        <v>0.03</v>
      </c>
      <c r="AE1520" t="s">
        <v>116</v>
      </c>
      <c r="AF1520" t="s">
        <v>116</v>
      </c>
      <c r="AG1520">
        <v>5.78</v>
      </c>
      <c r="AH1520" t="s">
        <v>8082</v>
      </c>
      <c r="AI1520" t="s">
        <v>8083</v>
      </c>
      <c r="AJ1520">
        <v>-1.52</v>
      </c>
      <c r="AK1520">
        <v>3151</v>
      </c>
      <c r="AL1520">
        <v>84</v>
      </c>
      <c r="AM1520">
        <v>1.4E-3</v>
      </c>
      <c r="AN1520">
        <v>-2</v>
      </c>
      <c r="AO1520">
        <v>-0.53</v>
      </c>
      <c r="AP1520">
        <v>14.57</v>
      </c>
      <c r="AQ1520">
        <v>1.62</v>
      </c>
      <c r="AR1520">
        <v>49.42</v>
      </c>
      <c r="AS1520">
        <v>7.19</v>
      </c>
      <c r="AT1520" t="s">
        <v>8084</v>
      </c>
      <c r="AU1520">
        <v>37.86</v>
      </c>
      <c r="AV1520">
        <v>47.71</v>
      </c>
      <c r="AW1520">
        <v>1.1299999999999999</v>
      </c>
      <c r="BA1520">
        <v>0.78</v>
      </c>
      <c r="BB1520">
        <v>2.98</v>
      </c>
      <c r="BC1520">
        <v>-2.59</v>
      </c>
      <c r="BD1520">
        <v>0.81</v>
      </c>
      <c r="BE1520">
        <v>-2.96</v>
      </c>
      <c r="BF1520">
        <v>-5.03</v>
      </c>
      <c r="BG1520">
        <v>0.4</v>
      </c>
      <c r="BH1520">
        <v>-3.01</v>
      </c>
      <c r="BI1520">
        <v>20191029</v>
      </c>
      <c r="BJ1520">
        <v>20100928</v>
      </c>
      <c r="BK1520">
        <v>10.08</v>
      </c>
      <c r="BL1520" t="s">
        <v>116</v>
      </c>
      <c r="BM1520" t="s">
        <v>116</v>
      </c>
      <c r="BN1520">
        <v>74</v>
      </c>
      <c r="BO1520">
        <v>48.49</v>
      </c>
      <c r="BP1520">
        <v>1</v>
      </c>
      <c r="BQ1520">
        <v>33.119999999999997</v>
      </c>
      <c r="BR1520">
        <v>29.34</v>
      </c>
      <c r="BS1520">
        <v>9.0399999999999991</v>
      </c>
      <c r="BT1520">
        <v>3.23</v>
      </c>
      <c r="BU1520">
        <v>17.52</v>
      </c>
      <c r="BV1520">
        <v>8.93</v>
      </c>
      <c r="BW1520">
        <v>13.9</v>
      </c>
      <c r="BX1520">
        <v>32.619999999999997</v>
      </c>
      <c r="BY1520">
        <v>11.81</v>
      </c>
      <c r="BZ1520">
        <v>8.5399999999999991</v>
      </c>
      <c r="CA1520">
        <v>1.48</v>
      </c>
      <c r="CB1520">
        <v>0.01</v>
      </c>
      <c r="CC1520">
        <v>1.49</v>
      </c>
      <c r="CD1520">
        <v>1.39</v>
      </c>
      <c r="CE1520">
        <v>1.29</v>
      </c>
      <c r="CF1520">
        <v>1.23</v>
      </c>
      <c r="CG1520">
        <v>5.69</v>
      </c>
      <c r="CH1520">
        <v>1.04</v>
      </c>
      <c r="CI1520">
        <v>-0.93</v>
      </c>
      <c r="CJ1520">
        <v>45015</v>
      </c>
      <c r="CK1520">
        <v>8135</v>
      </c>
      <c r="CL1520" t="s">
        <v>8085</v>
      </c>
      <c r="CM1520">
        <v>47.29</v>
      </c>
      <c r="CN1520">
        <v>41.79</v>
      </c>
      <c r="CO1520">
        <v>1.57</v>
      </c>
      <c r="CP1520">
        <v>73.23</v>
      </c>
      <c r="CQ1520">
        <v>6.44</v>
      </c>
      <c r="CR1520">
        <v>0.26</v>
      </c>
      <c r="CS1520" t="s">
        <v>5140</v>
      </c>
      <c r="CT1520">
        <v>4.8099999999999996</v>
      </c>
      <c r="CU1520">
        <v>0</v>
      </c>
      <c r="CV1520">
        <v>3.24</v>
      </c>
      <c r="CW1520">
        <v>0.56000000000000005</v>
      </c>
      <c r="CX1520">
        <v>0.1</v>
      </c>
      <c r="CY1520">
        <v>65.53</v>
      </c>
      <c r="CZ1520" t="s">
        <v>5758</v>
      </c>
      <c r="DA1520">
        <v>27.72</v>
      </c>
      <c r="DB1520">
        <v>12.56</v>
      </c>
      <c r="DC1520">
        <v>10.95</v>
      </c>
      <c r="DD1520">
        <v>0.22</v>
      </c>
      <c r="DE1520">
        <v>1883</v>
      </c>
      <c r="DF1520">
        <v>300123</v>
      </c>
      <c r="DG1520" t="s">
        <v>116</v>
      </c>
      <c r="DH1520" t="s">
        <v>116</v>
      </c>
      <c r="DI1520" t="s">
        <v>116</v>
      </c>
    </row>
    <row r="1521" spans="1:113" x14ac:dyDescent="0.4">
      <c r="A1521" t="str">
        <f>"300124"</f>
        <v>300124</v>
      </c>
      <c r="B1521" t="s">
        <v>8086</v>
      </c>
      <c r="C1521">
        <v>1.37</v>
      </c>
      <c r="D1521">
        <v>29.5</v>
      </c>
      <c r="E1521">
        <v>0.4</v>
      </c>
      <c r="F1521">
        <v>29.49</v>
      </c>
      <c r="G1521">
        <v>29.5</v>
      </c>
      <c r="H1521">
        <v>144258</v>
      </c>
      <c r="I1521">
        <v>2130</v>
      </c>
      <c r="J1521">
        <v>0.1</v>
      </c>
      <c r="K1521">
        <v>1.06</v>
      </c>
      <c r="L1521">
        <v>29</v>
      </c>
      <c r="M1521">
        <v>29.96</v>
      </c>
      <c r="N1521">
        <v>28.89</v>
      </c>
      <c r="O1521">
        <v>29.1</v>
      </c>
      <c r="P1521">
        <v>59.35</v>
      </c>
      <c r="Q1521">
        <v>427522912</v>
      </c>
      <c r="R1521">
        <v>2.5099999999999998</v>
      </c>
      <c r="S1521" t="s">
        <v>2977</v>
      </c>
      <c r="T1521" t="s">
        <v>115</v>
      </c>
      <c r="U1521">
        <v>3.68</v>
      </c>
      <c r="V1521">
        <v>29.64</v>
      </c>
      <c r="W1521">
        <v>71860</v>
      </c>
      <c r="X1521">
        <v>72398</v>
      </c>
      <c r="Y1521">
        <v>0.99</v>
      </c>
      <c r="Z1521">
        <v>12</v>
      </c>
      <c r="AA1521">
        <v>142</v>
      </c>
      <c r="AB1521" t="s">
        <v>116</v>
      </c>
      <c r="AC1521">
        <v>336400</v>
      </c>
      <c r="AD1521">
        <v>0</v>
      </c>
      <c r="AE1521" t="s">
        <v>116</v>
      </c>
      <c r="AF1521" t="s">
        <v>116</v>
      </c>
      <c r="AG1521">
        <v>13.55</v>
      </c>
      <c r="AH1521" t="s">
        <v>8087</v>
      </c>
      <c r="AI1521" t="s">
        <v>8088</v>
      </c>
      <c r="AJ1521">
        <v>2.0499999999999998</v>
      </c>
      <c r="AK1521">
        <v>4152</v>
      </c>
      <c r="AL1521">
        <v>35</v>
      </c>
      <c r="AM1521">
        <v>2.9999999999999997E-4</v>
      </c>
      <c r="AN1521">
        <v>2</v>
      </c>
      <c r="AO1521">
        <v>1.4</v>
      </c>
      <c r="AP1521">
        <v>12.3</v>
      </c>
      <c r="AQ1521">
        <v>19.43</v>
      </c>
      <c r="AR1521">
        <v>47.94</v>
      </c>
      <c r="AS1521">
        <v>1.41</v>
      </c>
      <c r="AT1521" t="s">
        <v>8089</v>
      </c>
      <c r="AU1521">
        <v>50.17</v>
      </c>
      <c r="AV1521">
        <v>43.81</v>
      </c>
      <c r="AW1521">
        <v>0.84</v>
      </c>
      <c r="BA1521">
        <v>-0.34</v>
      </c>
      <c r="BB1521">
        <v>2.96</v>
      </c>
      <c r="BC1521">
        <v>-0.72</v>
      </c>
      <c r="BD1521">
        <v>1.84</v>
      </c>
      <c r="BE1521">
        <v>1.72</v>
      </c>
      <c r="BF1521">
        <v>-1.54</v>
      </c>
      <c r="BG1521">
        <v>2.11</v>
      </c>
      <c r="BH1521">
        <v>-0.47</v>
      </c>
      <c r="BI1521">
        <v>20191225</v>
      </c>
      <c r="BJ1521">
        <v>20100928</v>
      </c>
      <c r="BK1521">
        <v>17.329999999999998</v>
      </c>
      <c r="BL1521" t="s">
        <v>116</v>
      </c>
      <c r="BM1521" t="s">
        <v>116</v>
      </c>
      <c r="BN1521">
        <v>129.27000000000001</v>
      </c>
      <c r="BO1521">
        <v>67.42</v>
      </c>
      <c r="BP1521">
        <v>7.3</v>
      </c>
      <c r="BQ1521">
        <v>42.2</v>
      </c>
      <c r="BR1521">
        <v>85.94</v>
      </c>
      <c r="BS1521">
        <v>11.52</v>
      </c>
      <c r="BT1521">
        <v>5.16</v>
      </c>
      <c r="BU1521">
        <v>47.65</v>
      </c>
      <c r="BV1521">
        <v>17.62</v>
      </c>
      <c r="BW1521">
        <v>24</v>
      </c>
      <c r="BX1521">
        <v>14.03</v>
      </c>
      <c r="BY1521">
        <v>49.08</v>
      </c>
      <c r="BZ1521">
        <v>30.3</v>
      </c>
      <c r="CA1521">
        <v>7.32</v>
      </c>
      <c r="CB1521">
        <v>0.64</v>
      </c>
      <c r="CC1521">
        <v>7.37</v>
      </c>
      <c r="CD1521">
        <v>7.15</v>
      </c>
      <c r="CE1521">
        <v>6.46</v>
      </c>
      <c r="CF1521">
        <v>5.65</v>
      </c>
      <c r="CG1521">
        <v>33.880000000000003</v>
      </c>
      <c r="CH1521">
        <v>5.62</v>
      </c>
      <c r="CI1521">
        <v>4.09</v>
      </c>
      <c r="CJ1521">
        <v>22541</v>
      </c>
      <c r="CK1521">
        <v>45324</v>
      </c>
      <c r="CL1521" t="s">
        <v>8090</v>
      </c>
      <c r="CM1521">
        <v>-18.649999999999999</v>
      </c>
      <c r="CN1521">
        <v>24.61</v>
      </c>
      <c r="CO1521">
        <v>7.27</v>
      </c>
      <c r="CP1521">
        <v>91.01</v>
      </c>
      <c r="CQ1521">
        <v>10.41</v>
      </c>
      <c r="CR1521">
        <v>0.65</v>
      </c>
      <c r="CS1521" t="s">
        <v>6158</v>
      </c>
      <c r="CT1521">
        <v>4.0599999999999996</v>
      </c>
      <c r="CU1521">
        <v>4.0599999999999996</v>
      </c>
      <c r="CV1521">
        <v>0.81</v>
      </c>
      <c r="CW1521">
        <v>1.96</v>
      </c>
      <c r="CX1521">
        <v>0.32</v>
      </c>
      <c r="CY1521">
        <v>52.15</v>
      </c>
      <c r="CZ1521" t="s">
        <v>7478</v>
      </c>
      <c r="DA1521">
        <v>38.270000000000003</v>
      </c>
      <c r="DB1521">
        <v>14.91</v>
      </c>
      <c r="DC1521">
        <v>13.16</v>
      </c>
      <c r="DD1521">
        <v>6.04</v>
      </c>
      <c r="DE1521">
        <v>7769</v>
      </c>
      <c r="DF1521">
        <v>300124</v>
      </c>
      <c r="DG1521" t="s">
        <v>116</v>
      </c>
      <c r="DH1521" t="s">
        <v>116</v>
      </c>
      <c r="DI1521" t="s">
        <v>116</v>
      </c>
    </row>
    <row r="1522" spans="1:113" x14ac:dyDescent="0.4">
      <c r="A1522" t="str">
        <f>"300125"</f>
        <v>300125</v>
      </c>
      <c r="B1522" t="s">
        <v>8091</v>
      </c>
      <c r="C1522">
        <v>-2.37</v>
      </c>
      <c r="D1522">
        <v>16.920000000000002</v>
      </c>
      <c r="E1522">
        <v>-0.41</v>
      </c>
      <c r="F1522">
        <v>16.899999999999999</v>
      </c>
      <c r="G1522">
        <v>16.920000000000002</v>
      </c>
      <c r="H1522">
        <v>33179</v>
      </c>
      <c r="I1522">
        <v>1063</v>
      </c>
      <c r="J1522">
        <v>0.06</v>
      </c>
      <c r="K1522">
        <v>1.26</v>
      </c>
      <c r="L1522">
        <v>17.25</v>
      </c>
      <c r="M1522">
        <v>17.440000000000001</v>
      </c>
      <c r="N1522">
        <v>16.8</v>
      </c>
      <c r="O1522">
        <v>17.329999999999998</v>
      </c>
      <c r="P1522">
        <v>489.46</v>
      </c>
      <c r="Q1522">
        <v>56554756</v>
      </c>
      <c r="R1522">
        <v>1.2</v>
      </c>
      <c r="S1522" t="s">
        <v>397</v>
      </c>
      <c r="T1522" t="s">
        <v>434</v>
      </c>
      <c r="U1522">
        <v>3.69</v>
      </c>
      <c r="V1522">
        <v>17.05</v>
      </c>
      <c r="W1522">
        <v>17428</v>
      </c>
      <c r="X1522">
        <v>15751</v>
      </c>
      <c r="Y1522">
        <v>1.1100000000000001</v>
      </c>
      <c r="Z1522">
        <v>96</v>
      </c>
      <c r="AA1522">
        <v>156</v>
      </c>
      <c r="AB1522" t="s">
        <v>116</v>
      </c>
      <c r="AC1522">
        <v>131100</v>
      </c>
      <c r="AD1522">
        <v>0</v>
      </c>
      <c r="AE1522" t="s">
        <v>116</v>
      </c>
      <c r="AF1522" t="s">
        <v>116</v>
      </c>
      <c r="AG1522">
        <v>2.64</v>
      </c>
      <c r="AH1522" t="s">
        <v>8092</v>
      </c>
      <c r="AI1522" t="s">
        <v>8093</v>
      </c>
      <c r="AJ1522">
        <v>-1.69</v>
      </c>
      <c r="AK1522">
        <v>1195</v>
      </c>
      <c r="AL1522">
        <v>28</v>
      </c>
      <c r="AM1522">
        <v>1.1000000000000001E-3</v>
      </c>
      <c r="AN1522">
        <v>-1</v>
      </c>
      <c r="AO1522">
        <v>-3.26</v>
      </c>
      <c r="AP1522">
        <v>5.75</v>
      </c>
      <c r="AQ1522">
        <v>14.25</v>
      </c>
      <c r="AR1522">
        <v>100.63</v>
      </c>
      <c r="AS1522">
        <v>1.62</v>
      </c>
      <c r="AT1522" t="s">
        <v>8094</v>
      </c>
      <c r="AU1522">
        <v>251.62</v>
      </c>
      <c r="AV1522">
        <v>122.44</v>
      </c>
      <c r="AW1522">
        <v>0.05</v>
      </c>
      <c r="BA1522">
        <v>-0.46</v>
      </c>
      <c r="BB1522">
        <v>0.63</v>
      </c>
      <c r="BC1522">
        <v>-3.06</v>
      </c>
      <c r="BD1522">
        <v>-1.64</v>
      </c>
      <c r="BE1522">
        <v>-1.91</v>
      </c>
      <c r="BF1522">
        <v>-2.98</v>
      </c>
      <c r="BG1522">
        <v>0.71</v>
      </c>
      <c r="BH1522">
        <v>-0.72</v>
      </c>
      <c r="BI1522">
        <v>20191029</v>
      </c>
      <c r="BJ1522">
        <v>20101013</v>
      </c>
      <c r="BK1522">
        <v>2.66</v>
      </c>
      <c r="BL1522" t="s">
        <v>116</v>
      </c>
      <c r="BM1522" t="s">
        <v>116</v>
      </c>
      <c r="BN1522">
        <v>12.49</v>
      </c>
      <c r="BO1522">
        <v>7.66</v>
      </c>
      <c r="BP1522">
        <v>0.37</v>
      </c>
      <c r="BQ1522">
        <v>35.71</v>
      </c>
      <c r="BR1522">
        <v>6.14</v>
      </c>
      <c r="BS1522">
        <v>3.66</v>
      </c>
      <c r="BT1522">
        <v>0.76</v>
      </c>
      <c r="BU1522">
        <v>0.82</v>
      </c>
      <c r="BV1522">
        <v>0.09</v>
      </c>
      <c r="BW1522">
        <v>1.61</v>
      </c>
      <c r="BX1522">
        <v>6.63</v>
      </c>
      <c r="BY1522">
        <v>0.68</v>
      </c>
      <c r="BZ1522">
        <v>0.34</v>
      </c>
      <c r="CA1522">
        <v>0.05</v>
      </c>
      <c r="CB1522">
        <v>0.11</v>
      </c>
      <c r="CC1522">
        <v>0.05</v>
      </c>
      <c r="CD1522">
        <v>0.05</v>
      </c>
      <c r="CE1522">
        <v>7.0000000000000007E-2</v>
      </c>
      <c r="CF1522">
        <v>-0.03</v>
      </c>
      <c r="CG1522">
        <v>-1.41</v>
      </c>
      <c r="CH1522">
        <v>0.04</v>
      </c>
      <c r="CI1522">
        <v>-0.43</v>
      </c>
      <c r="CJ1522">
        <v>6755</v>
      </c>
      <c r="CK1522">
        <v>30396</v>
      </c>
      <c r="CL1522" t="s">
        <v>8095</v>
      </c>
      <c r="CM1522">
        <v>-73.239999999999995</v>
      </c>
      <c r="CN1522">
        <v>-43.15</v>
      </c>
      <c r="CO1522">
        <v>5.87</v>
      </c>
      <c r="CP1522">
        <v>1202.0999999999999</v>
      </c>
      <c r="CQ1522">
        <v>65.91</v>
      </c>
      <c r="CR1522">
        <v>0</v>
      </c>
      <c r="CS1522" t="s">
        <v>613</v>
      </c>
      <c r="CT1522">
        <v>2.88</v>
      </c>
      <c r="CU1522">
        <v>0</v>
      </c>
      <c r="CV1522">
        <v>2.5</v>
      </c>
      <c r="CW1522">
        <v>-0.53</v>
      </c>
      <c r="CX1522">
        <v>0.01</v>
      </c>
      <c r="CY1522">
        <v>61.33</v>
      </c>
      <c r="CZ1522" t="s">
        <v>6889</v>
      </c>
      <c r="DA1522">
        <v>49.87</v>
      </c>
      <c r="DB1522">
        <v>7.97</v>
      </c>
      <c r="DC1522">
        <v>10.1</v>
      </c>
      <c r="DD1522">
        <v>0.04</v>
      </c>
      <c r="DE1522">
        <v>102</v>
      </c>
      <c r="DF1522">
        <v>300125</v>
      </c>
      <c r="DG1522" t="s">
        <v>116</v>
      </c>
      <c r="DH1522" t="s">
        <v>116</v>
      </c>
      <c r="DI1522" t="s">
        <v>116</v>
      </c>
    </row>
    <row r="1523" spans="1:113" x14ac:dyDescent="0.4">
      <c r="A1523" t="str">
        <f>"300126"</f>
        <v>300126</v>
      </c>
      <c r="B1523" t="s">
        <v>8096</v>
      </c>
      <c r="C1523">
        <v>-2.4300000000000002</v>
      </c>
      <c r="D1523">
        <v>5.61</v>
      </c>
      <c r="E1523">
        <v>-0.14000000000000001</v>
      </c>
      <c r="F1523">
        <v>5.61</v>
      </c>
      <c r="G1523">
        <v>5.62</v>
      </c>
      <c r="H1523">
        <v>35791</v>
      </c>
      <c r="I1523">
        <v>226</v>
      </c>
      <c r="J1523">
        <v>-0.35</v>
      </c>
      <c r="K1523">
        <v>1.7</v>
      </c>
      <c r="L1523">
        <v>5.78</v>
      </c>
      <c r="M1523">
        <v>5.78</v>
      </c>
      <c r="N1523">
        <v>5.61</v>
      </c>
      <c r="O1523">
        <v>5.75</v>
      </c>
      <c r="P1523">
        <v>220.95</v>
      </c>
      <c r="Q1523">
        <v>20368814</v>
      </c>
      <c r="R1523">
        <v>1.01</v>
      </c>
      <c r="S1523" t="s">
        <v>353</v>
      </c>
      <c r="T1523" t="s">
        <v>1653</v>
      </c>
      <c r="U1523">
        <v>2.96</v>
      </c>
      <c r="V1523">
        <v>5.69</v>
      </c>
      <c r="W1523">
        <v>25155</v>
      </c>
      <c r="X1523">
        <v>10636</v>
      </c>
      <c r="Y1523">
        <v>2.37</v>
      </c>
      <c r="Z1523">
        <v>135</v>
      </c>
      <c r="AA1523">
        <v>1</v>
      </c>
      <c r="AB1523" t="s">
        <v>116</v>
      </c>
      <c r="AC1523">
        <v>103500</v>
      </c>
      <c r="AD1523">
        <v>0.01</v>
      </c>
      <c r="AE1523" t="s">
        <v>116</v>
      </c>
      <c r="AF1523" t="s">
        <v>116</v>
      </c>
      <c r="AG1523">
        <v>2.11</v>
      </c>
      <c r="AH1523" t="s">
        <v>8097</v>
      </c>
      <c r="AI1523" t="s">
        <v>7893</v>
      </c>
      <c r="AJ1523">
        <v>-1.76</v>
      </c>
      <c r="AK1523">
        <v>919</v>
      </c>
      <c r="AL1523">
        <v>39</v>
      </c>
      <c r="AM1523">
        <v>1.8E-3</v>
      </c>
      <c r="AN1523">
        <v>-1</v>
      </c>
      <c r="AO1523">
        <v>2.56</v>
      </c>
      <c r="AP1523">
        <v>8.3000000000000007</v>
      </c>
      <c r="AQ1523">
        <v>7.88</v>
      </c>
      <c r="AR1523">
        <v>12.65</v>
      </c>
      <c r="AS1523">
        <v>2.5</v>
      </c>
      <c r="AT1523" t="s">
        <v>7514</v>
      </c>
      <c r="AU1523" t="s">
        <v>116</v>
      </c>
      <c r="AV1523" t="s">
        <v>116</v>
      </c>
      <c r="AW1523">
        <v>0.96</v>
      </c>
      <c r="BA1523">
        <v>0.52</v>
      </c>
      <c r="BB1523">
        <v>0.52</v>
      </c>
      <c r="BC1523">
        <v>-2.4300000000000002</v>
      </c>
      <c r="BD1523">
        <v>-1.02</v>
      </c>
      <c r="BE1523">
        <v>-2.94</v>
      </c>
      <c r="BF1523">
        <v>-2.94</v>
      </c>
      <c r="BG1523">
        <v>0</v>
      </c>
      <c r="BH1523">
        <v>-1.41</v>
      </c>
      <c r="BI1523">
        <v>20191026</v>
      </c>
      <c r="BJ1523">
        <v>20101013</v>
      </c>
      <c r="BK1523">
        <v>3.04</v>
      </c>
      <c r="BL1523" t="s">
        <v>116</v>
      </c>
      <c r="BM1523" t="s">
        <v>116</v>
      </c>
      <c r="BN1523">
        <v>11.55</v>
      </c>
      <c r="BO1523">
        <v>9.6999999999999993</v>
      </c>
      <c r="BP1523">
        <v>-0.02</v>
      </c>
      <c r="BQ1523">
        <v>16.22</v>
      </c>
      <c r="BR1523">
        <v>8.34</v>
      </c>
      <c r="BS1523">
        <v>1.5</v>
      </c>
      <c r="BT1523">
        <v>0.48</v>
      </c>
      <c r="BU1523">
        <v>1.85</v>
      </c>
      <c r="BV1523">
        <v>0.96</v>
      </c>
      <c r="BW1523">
        <v>0.9</v>
      </c>
      <c r="BX1523">
        <v>4.7300000000000004</v>
      </c>
      <c r="BY1523">
        <v>3.72</v>
      </c>
      <c r="BZ1523">
        <v>3.03</v>
      </c>
      <c r="CA1523">
        <v>0.05</v>
      </c>
      <c r="CB1523">
        <v>0.18</v>
      </c>
      <c r="CC1523">
        <v>0.05</v>
      </c>
      <c r="CD1523">
        <v>0.06</v>
      </c>
      <c r="CE1523">
        <v>0.06</v>
      </c>
      <c r="CF1523">
        <v>0.04</v>
      </c>
      <c r="CG1523">
        <v>1.52</v>
      </c>
      <c r="CH1523">
        <v>0.09</v>
      </c>
      <c r="CI1523">
        <v>-0.16</v>
      </c>
      <c r="CJ1523">
        <v>15915</v>
      </c>
      <c r="CK1523">
        <v>9013</v>
      </c>
      <c r="CL1523" t="s">
        <v>708</v>
      </c>
      <c r="CM1523">
        <v>125.76</v>
      </c>
      <c r="CN1523">
        <v>-22.54</v>
      </c>
      <c r="CO1523">
        <v>1.76</v>
      </c>
      <c r="CP1523">
        <v>179.96</v>
      </c>
      <c r="CQ1523">
        <v>4.58</v>
      </c>
      <c r="CR1523">
        <v>0</v>
      </c>
      <c r="CS1523" t="s">
        <v>2098</v>
      </c>
      <c r="CT1523">
        <v>3.19</v>
      </c>
      <c r="CU1523">
        <v>0</v>
      </c>
      <c r="CV1523">
        <v>1.56</v>
      </c>
      <c r="CW1523">
        <v>0.5</v>
      </c>
      <c r="CX1523">
        <v>0.03</v>
      </c>
      <c r="CY1523">
        <v>83.93</v>
      </c>
      <c r="CZ1523" t="s">
        <v>3959</v>
      </c>
      <c r="DA1523">
        <v>18.63</v>
      </c>
      <c r="DB1523">
        <v>1.43</v>
      </c>
      <c r="DC1523">
        <v>1.56</v>
      </c>
      <c r="DD1523">
        <v>0.24</v>
      </c>
      <c r="DE1523">
        <v>1562</v>
      </c>
      <c r="DF1523">
        <v>300126</v>
      </c>
      <c r="DG1523" t="s">
        <v>116</v>
      </c>
      <c r="DH1523" t="s">
        <v>116</v>
      </c>
      <c r="DI1523" t="s">
        <v>116</v>
      </c>
    </row>
    <row r="1524" spans="1:113" x14ac:dyDescent="0.4">
      <c r="A1524" t="str">
        <f>"300127"</f>
        <v>300127</v>
      </c>
      <c r="B1524" t="s">
        <v>8098</v>
      </c>
      <c r="C1524">
        <v>1.48</v>
      </c>
      <c r="D1524">
        <v>19.149999999999999</v>
      </c>
      <c r="E1524">
        <v>0.28000000000000003</v>
      </c>
      <c r="F1524">
        <v>19.14</v>
      </c>
      <c r="G1524">
        <v>19.149999999999999</v>
      </c>
      <c r="H1524">
        <v>157585</v>
      </c>
      <c r="I1524">
        <v>2747</v>
      </c>
      <c r="J1524">
        <v>0.26</v>
      </c>
      <c r="K1524">
        <v>6.94</v>
      </c>
      <c r="L1524">
        <v>18.89</v>
      </c>
      <c r="M1524">
        <v>19.62</v>
      </c>
      <c r="N1524">
        <v>18.71</v>
      </c>
      <c r="O1524">
        <v>18.87</v>
      </c>
      <c r="P1524">
        <v>42</v>
      </c>
      <c r="Q1524">
        <v>302255840</v>
      </c>
      <c r="R1524">
        <v>1.8</v>
      </c>
      <c r="S1524" t="s">
        <v>233</v>
      </c>
      <c r="T1524" t="s">
        <v>582</v>
      </c>
      <c r="U1524">
        <v>4.82</v>
      </c>
      <c r="V1524">
        <v>19.18</v>
      </c>
      <c r="W1524">
        <v>77652</v>
      </c>
      <c r="X1524">
        <v>79933</v>
      </c>
      <c r="Y1524">
        <v>0.97</v>
      </c>
      <c r="Z1524">
        <v>210</v>
      </c>
      <c r="AA1524">
        <v>699</v>
      </c>
      <c r="AB1524" t="s">
        <v>116</v>
      </c>
      <c r="AC1524">
        <v>423100</v>
      </c>
      <c r="AD1524">
        <v>0.02</v>
      </c>
      <c r="AE1524" t="s">
        <v>116</v>
      </c>
      <c r="AF1524" t="s">
        <v>116</v>
      </c>
      <c r="AG1524">
        <v>2.27</v>
      </c>
      <c r="AH1524" t="s">
        <v>8099</v>
      </c>
      <c r="AI1524" t="s">
        <v>8100</v>
      </c>
      <c r="AJ1524">
        <v>2.16</v>
      </c>
      <c r="AK1524">
        <v>3556</v>
      </c>
      <c r="AL1524">
        <v>44</v>
      </c>
      <c r="AM1524">
        <v>2E-3</v>
      </c>
      <c r="AN1524">
        <v>4</v>
      </c>
      <c r="AO1524">
        <v>3.12</v>
      </c>
      <c r="AP1524">
        <v>8.19</v>
      </c>
      <c r="AQ1524">
        <v>4.93</v>
      </c>
      <c r="AR1524">
        <v>84.13</v>
      </c>
      <c r="AS1524">
        <v>16.579999999999998</v>
      </c>
      <c r="AT1524" t="s">
        <v>8101</v>
      </c>
      <c r="AU1524">
        <v>43.21</v>
      </c>
      <c r="AV1524">
        <v>39.57</v>
      </c>
      <c r="AW1524">
        <v>0.65</v>
      </c>
      <c r="BA1524">
        <v>0.11</v>
      </c>
      <c r="BB1524">
        <v>3.97</v>
      </c>
      <c r="BC1524">
        <v>-0.85</v>
      </c>
      <c r="BD1524">
        <v>1.65</v>
      </c>
      <c r="BE1524">
        <v>1.38</v>
      </c>
      <c r="BF1524">
        <v>-2.4</v>
      </c>
      <c r="BG1524">
        <v>2.35</v>
      </c>
      <c r="BH1524">
        <v>-0.16</v>
      </c>
      <c r="BI1524">
        <v>20191026</v>
      </c>
      <c r="BJ1524">
        <v>20101013</v>
      </c>
      <c r="BK1524">
        <v>3.23</v>
      </c>
      <c r="BL1524" t="s">
        <v>116</v>
      </c>
      <c r="BM1524" t="s">
        <v>116</v>
      </c>
      <c r="BN1524">
        <v>12.88</v>
      </c>
      <c r="BO1524">
        <v>12.22</v>
      </c>
      <c r="BP1524">
        <v>0.06</v>
      </c>
      <c r="BQ1524">
        <v>4.6399999999999997</v>
      </c>
      <c r="BR1524">
        <v>10.56</v>
      </c>
      <c r="BS1524">
        <v>1.72</v>
      </c>
      <c r="BT1524">
        <v>0.27</v>
      </c>
      <c r="BU1524">
        <v>0.59</v>
      </c>
      <c r="BV1524">
        <v>1.3</v>
      </c>
      <c r="BW1524">
        <v>1.64</v>
      </c>
      <c r="BX1524">
        <v>4.96</v>
      </c>
      <c r="BY1524">
        <v>4.4400000000000004</v>
      </c>
      <c r="BZ1524">
        <v>2.91</v>
      </c>
      <c r="CA1524">
        <v>1.31</v>
      </c>
      <c r="CB1524">
        <v>0.05</v>
      </c>
      <c r="CC1524">
        <v>1.31</v>
      </c>
      <c r="CD1524">
        <v>1.1100000000000001</v>
      </c>
      <c r="CE1524">
        <v>1.1100000000000001</v>
      </c>
      <c r="CF1524">
        <v>1.1000000000000001</v>
      </c>
      <c r="CG1524">
        <v>2.63</v>
      </c>
      <c r="CH1524">
        <v>1.1399999999999999</v>
      </c>
      <c r="CI1524">
        <v>1.81</v>
      </c>
      <c r="CJ1524">
        <v>30036</v>
      </c>
      <c r="CK1524">
        <v>3165</v>
      </c>
      <c r="CL1524" t="s">
        <v>634</v>
      </c>
      <c r="CM1524">
        <v>-10.65</v>
      </c>
      <c r="CN1524">
        <v>-3.79</v>
      </c>
      <c r="CO1524">
        <v>5.0599999999999996</v>
      </c>
      <c r="CP1524">
        <v>54.28</v>
      </c>
      <c r="CQ1524">
        <v>13.94</v>
      </c>
      <c r="CR1524">
        <v>1.83</v>
      </c>
      <c r="CS1524" t="s">
        <v>7785</v>
      </c>
      <c r="CT1524">
        <v>3.78</v>
      </c>
      <c r="CU1524">
        <v>0</v>
      </c>
      <c r="CV1524">
        <v>1.54</v>
      </c>
      <c r="CW1524">
        <v>0.81</v>
      </c>
      <c r="CX1524">
        <v>0.35</v>
      </c>
      <c r="CY1524">
        <v>94.89</v>
      </c>
      <c r="CZ1524" t="s">
        <v>842</v>
      </c>
      <c r="DA1524">
        <v>34.51</v>
      </c>
      <c r="DB1524">
        <v>29.49</v>
      </c>
      <c r="DC1524">
        <v>24.89</v>
      </c>
      <c r="DD1524">
        <v>0.15</v>
      </c>
      <c r="DE1524">
        <v>1029</v>
      </c>
      <c r="DF1524">
        <v>300127</v>
      </c>
      <c r="DG1524" t="s">
        <v>116</v>
      </c>
      <c r="DH1524" t="s">
        <v>116</v>
      </c>
      <c r="DI1524" t="s">
        <v>116</v>
      </c>
    </row>
    <row r="1525" spans="1:113" x14ac:dyDescent="0.4">
      <c r="A1525" t="str">
        <f>"300128"</f>
        <v>300128</v>
      </c>
      <c r="B1525" t="s">
        <v>8102</v>
      </c>
      <c r="C1525">
        <v>-0.74</v>
      </c>
      <c r="D1525">
        <v>4.01</v>
      </c>
      <c r="E1525">
        <v>-0.03</v>
      </c>
      <c r="F1525">
        <v>4.01</v>
      </c>
      <c r="G1525">
        <v>4.0199999999999996</v>
      </c>
      <c r="H1525">
        <v>308930</v>
      </c>
      <c r="I1525">
        <v>1849</v>
      </c>
      <c r="J1525">
        <v>-0.24</v>
      </c>
      <c r="K1525">
        <v>2.88</v>
      </c>
      <c r="L1525">
        <v>4.03</v>
      </c>
      <c r="M1525">
        <v>4.12</v>
      </c>
      <c r="N1525">
        <v>3.97</v>
      </c>
      <c r="O1525">
        <v>4.04</v>
      </c>
      <c r="P1525">
        <v>233.81</v>
      </c>
      <c r="Q1525">
        <v>125296568</v>
      </c>
      <c r="R1525">
        <v>1.1299999999999999</v>
      </c>
      <c r="S1525" t="s">
        <v>233</v>
      </c>
      <c r="T1525" t="s">
        <v>323</v>
      </c>
      <c r="U1525">
        <v>3.71</v>
      </c>
      <c r="V1525">
        <v>4.0599999999999996</v>
      </c>
      <c r="W1525">
        <v>153174</v>
      </c>
      <c r="X1525">
        <v>155756</v>
      </c>
      <c r="Y1525">
        <v>0.98</v>
      </c>
      <c r="Z1525">
        <v>2347</v>
      </c>
      <c r="AA1525">
        <v>602</v>
      </c>
      <c r="AB1525" t="s">
        <v>116</v>
      </c>
      <c r="AC1525">
        <v>613800</v>
      </c>
      <c r="AD1525">
        <v>0.02</v>
      </c>
      <c r="AE1525" t="s">
        <v>116</v>
      </c>
      <c r="AF1525" t="s">
        <v>116</v>
      </c>
      <c r="AG1525">
        <v>10.72</v>
      </c>
      <c r="AH1525" t="s">
        <v>8103</v>
      </c>
      <c r="AI1525" t="s">
        <v>8104</v>
      </c>
      <c r="AJ1525">
        <v>-0.06</v>
      </c>
      <c r="AK1525">
        <v>2168</v>
      </c>
      <c r="AL1525">
        <v>142</v>
      </c>
      <c r="AM1525">
        <v>1.2999999999999999E-3</v>
      </c>
      <c r="AN1525">
        <v>-1</v>
      </c>
      <c r="AO1525">
        <v>-1.23</v>
      </c>
      <c r="AP1525">
        <v>9.86</v>
      </c>
      <c r="AQ1525">
        <v>2.56</v>
      </c>
      <c r="AR1525">
        <v>11.08</v>
      </c>
      <c r="AS1525">
        <v>4.08</v>
      </c>
      <c r="AT1525" t="s">
        <v>568</v>
      </c>
      <c r="AU1525" t="s">
        <v>116</v>
      </c>
      <c r="AV1525" t="s">
        <v>116</v>
      </c>
      <c r="AW1525">
        <v>1.64</v>
      </c>
      <c r="BA1525">
        <v>-0.25</v>
      </c>
      <c r="BB1525">
        <v>1.98</v>
      </c>
      <c r="BC1525">
        <v>-1.73</v>
      </c>
      <c r="BD1525">
        <v>0.39</v>
      </c>
      <c r="BE1525">
        <v>-0.5</v>
      </c>
      <c r="BF1525">
        <v>-2.67</v>
      </c>
      <c r="BG1525">
        <v>1.01</v>
      </c>
      <c r="BH1525">
        <v>-1.1299999999999999</v>
      </c>
      <c r="BI1525">
        <v>20191029</v>
      </c>
      <c r="BJ1525">
        <v>20101013</v>
      </c>
      <c r="BK1525">
        <v>10.94</v>
      </c>
      <c r="BL1525" t="s">
        <v>116</v>
      </c>
      <c r="BM1525" t="s">
        <v>116</v>
      </c>
      <c r="BN1525">
        <v>27.16</v>
      </c>
      <c r="BO1525">
        <v>12.04</v>
      </c>
      <c r="BP1525">
        <v>0.72</v>
      </c>
      <c r="BQ1525">
        <v>53.01</v>
      </c>
      <c r="BR1525">
        <v>12.91</v>
      </c>
      <c r="BS1525">
        <v>4.37</v>
      </c>
      <c r="BT1525">
        <v>0.57999999999999996</v>
      </c>
      <c r="BU1525">
        <v>13.89</v>
      </c>
      <c r="BV1525">
        <v>2.1800000000000002</v>
      </c>
      <c r="BW1525">
        <v>4.6500000000000004</v>
      </c>
      <c r="BX1525">
        <v>4.13</v>
      </c>
      <c r="BY1525">
        <v>11.92</v>
      </c>
      <c r="BZ1525">
        <v>10.14</v>
      </c>
      <c r="CA1525">
        <v>0.17</v>
      </c>
      <c r="CB1525">
        <v>0.12</v>
      </c>
      <c r="CC1525">
        <v>0.16</v>
      </c>
      <c r="CD1525">
        <v>0.19</v>
      </c>
      <c r="CE1525">
        <v>0.14000000000000001</v>
      </c>
      <c r="CF1525">
        <v>-0.06</v>
      </c>
      <c r="CG1525">
        <v>-3.49</v>
      </c>
      <c r="CH1525">
        <v>1.1399999999999999</v>
      </c>
      <c r="CI1525">
        <v>-0.99</v>
      </c>
      <c r="CJ1525">
        <v>34052</v>
      </c>
      <c r="CK1525">
        <v>22238</v>
      </c>
      <c r="CL1525" t="s">
        <v>5732</v>
      </c>
      <c r="CM1525">
        <v>192.3</v>
      </c>
      <c r="CN1525">
        <v>-42.05</v>
      </c>
      <c r="CO1525">
        <v>3.64</v>
      </c>
      <c r="CP1525">
        <v>38.450000000000003</v>
      </c>
      <c r="CQ1525">
        <v>3.68</v>
      </c>
      <c r="CR1525">
        <v>0</v>
      </c>
      <c r="CS1525" t="s">
        <v>910</v>
      </c>
      <c r="CT1525">
        <v>1.1000000000000001</v>
      </c>
      <c r="CU1525">
        <v>0</v>
      </c>
      <c r="CV1525">
        <v>0.38</v>
      </c>
      <c r="CW1525">
        <v>-0.32</v>
      </c>
      <c r="CX1525">
        <v>0.1</v>
      </c>
      <c r="CY1525">
        <v>44.34</v>
      </c>
      <c r="CZ1525" t="s">
        <v>5667</v>
      </c>
      <c r="DA1525">
        <v>14.95</v>
      </c>
      <c r="DB1525">
        <v>1.42</v>
      </c>
      <c r="DC1525">
        <v>1.18</v>
      </c>
      <c r="DD1525">
        <v>0.3</v>
      </c>
      <c r="DE1525">
        <v>1961</v>
      </c>
      <c r="DF1525">
        <v>300128</v>
      </c>
      <c r="DG1525" t="s">
        <v>116</v>
      </c>
      <c r="DH1525" t="s">
        <v>116</v>
      </c>
      <c r="DI1525" t="s">
        <v>116</v>
      </c>
    </row>
    <row r="1526" spans="1:113" x14ac:dyDescent="0.4">
      <c r="A1526" t="str">
        <f>"300129"</f>
        <v>300129</v>
      </c>
      <c r="B1526" t="s">
        <v>8105</v>
      </c>
      <c r="C1526">
        <v>-2.06</v>
      </c>
      <c r="D1526">
        <v>4.76</v>
      </c>
      <c r="E1526">
        <v>-0.1</v>
      </c>
      <c r="F1526">
        <v>4.75</v>
      </c>
      <c r="G1526">
        <v>4.76</v>
      </c>
      <c r="H1526">
        <v>79489</v>
      </c>
      <c r="I1526">
        <v>1175</v>
      </c>
      <c r="J1526">
        <v>-0.2</v>
      </c>
      <c r="K1526">
        <v>1.43</v>
      </c>
      <c r="L1526">
        <v>4.84</v>
      </c>
      <c r="M1526">
        <v>4.9400000000000004</v>
      </c>
      <c r="N1526">
        <v>4.74</v>
      </c>
      <c r="O1526">
        <v>4.8600000000000003</v>
      </c>
      <c r="P1526">
        <v>19.03</v>
      </c>
      <c r="Q1526">
        <v>38523116</v>
      </c>
      <c r="R1526">
        <v>1.26</v>
      </c>
      <c r="S1526" t="s">
        <v>397</v>
      </c>
      <c r="T1526" t="s">
        <v>1653</v>
      </c>
      <c r="U1526">
        <v>4.12</v>
      </c>
      <c r="V1526">
        <v>4.8499999999999996</v>
      </c>
      <c r="W1526">
        <v>45659</v>
      </c>
      <c r="X1526">
        <v>33830</v>
      </c>
      <c r="Y1526">
        <v>1.35</v>
      </c>
      <c r="Z1526">
        <v>205</v>
      </c>
      <c r="AA1526">
        <v>1084</v>
      </c>
      <c r="AB1526" t="s">
        <v>116</v>
      </c>
      <c r="AC1526">
        <v>152000</v>
      </c>
      <c r="AD1526">
        <v>0.01</v>
      </c>
      <c r="AE1526" t="s">
        <v>116</v>
      </c>
      <c r="AF1526" t="s">
        <v>116</v>
      </c>
      <c r="AG1526">
        <v>5.57</v>
      </c>
      <c r="AH1526" t="s">
        <v>8106</v>
      </c>
      <c r="AI1526" t="s">
        <v>8107</v>
      </c>
      <c r="AJ1526">
        <v>-1.38</v>
      </c>
      <c r="AK1526">
        <v>1736</v>
      </c>
      <c r="AL1526">
        <v>46</v>
      </c>
      <c r="AM1526">
        <v>8.0000000000000004E-4</v>
      </c>
      <c r="AN1526">
        <v>-1</v>
      </c>
      <c r="AO1526">
        <v>-0.21</v>
      </c>
      <c r="AP1526">
        <v>4.8499999999999996</v>
      </c>
      <c r="AQ1526">
        <v>8.43</v>
      </c>
      <c r="AR1526">
        <v>71.22</v>
      </c>
      <c r="AS1526">
        <v>1.63</v>
      </c>
      <c r="AT1526" t="s">
        <v>5437</v>
      </c>
      <c r="AU1526">
        <v>27.61</v>
      </c>
      <c r="AV1526">
        <v>325.06</v>
      </c>
      <c r="AW1526">
        <v>0.94</v>
      </c>
      <c r="BA1526">
        <v>-0.41</v>
      </c>
      <c r="BB1526">
        <v>1.65</v>
      </c>
      <c r="BC1526">
        <v>-2.4700000000000002</v>
      </c>
      <c r="BD1526">
        <v>-0.28000000000000003</v>
      </c>
      <c r="BE1526">
        <v>-1.65</v>
      </c>
      <c r="BF1526">
        <v>-3.64</v>
      </c>
      <c r="BG1526">
        <v>0.42</v>
      </c>
      <c r="BH1526">
        <v>-1.78</v>
      </c>
      <c r="BI1526">
        <v>20191213</v>
      </c>
      <c r="BJ1526">
        <v>20101019</v>
      </c>
      <c r="BK1526">
        <v>7.19</v>
      </c>
      <c r="BL1526" t="s">
        <v>116</v>
      </c>
      <c r="BM1526" t="s">
        <v>116</v>
      </c>
      <c r="BN1526">
        <v>37.68</v>
      </c>
      <c r="BO1526">
        <v>22.97</v>
      </c>
      <c r="BP1526">
        <v>0.01</v>
      </c>
      <c r="BQ1526">
        <v>39.020000000000003</v>
      </c>
      <c r="BR1526">
        <v>26.5</v>
      </c>
      <c r="BS1526">
        <v>6.92</v>
      </c>
      <c r="BT1526">
        <v>2.2999999999999998</v>
      </c>
      <c r="BU1526">
        <v>14.35</v>
      </c>
      <c r="BV1526">
        <v>9.27</v>
      </c>
      <c r="BW1526">
        <v>7.83</v>
      </c>
      <c r="BX1526">
        <v>7.13</v>
      </c>
      <c r="BY1526">
        <v>15.28</v>
      </c>
      <c r="BZ1526">
        <v>11.92</v>
      </c>
      <c r="CA1526">
        <v>1.63</v>
      </c>
      <c r="CB1526">
        <v>0.08</v>
      </c>
      <c r="CC1526">
        <v>1.62</v>
      </c>
      <c r="CD1526">
        <v>1.34</v>
      </c>
      <c r="CE1526">
        <v>1.35</v>
      </c>
      <c r="CF1526">
        <v>1.27</v>
      </c>
      <c r="CG1526">
        <v>8.17</v>
      </c>
      <c r="CH1526">
        <v>1.1100000000000001</v>
      </c>
      <c r="CI1526">
        <v>0.61</v>
      </c>
      <c r="CJ1526">
        <v>41381</v>
      </c>
      <c r="CK1526">
        <v>11759</v>
      </c>
      <c r="CL1526" t="s">
        <v>5543</v>
      </c>
      <c r="CM1526">
        <v>528.65</v>
      </c>
      <c r="CN1526">
        <v>84.86</v>
      </c>
      <c r="CO1526">
        <v>1.49</v>
      </c>
      <c r="CP1526">
        <v>30.81</v>
      </c>
      <c r="CQ1526">
        <v>2.2400000000000002</v>
      </c>
      <c r="CR1526">
        <v>1.68</v>
      </c>
      <c r="CS1526" t="s">
        <v>3067</v>
      </c>
      <c r="CT1526">
        <v>3.19</v>
      </c>
      <c r="CU1526">
        <v>0</v>
      </c>
      <c r="CV1526">
        <v>0.99</v>
      </c>
      <c r="CW1526">
        <v>1.1399999999999999</v>
      </c>
      <c r="CX1526">
        <v>0.15</v>
      </c>
      <c r="CY1526">
        <v>60.96</v>
      </c>
      <c r="CZ1526" t="s">
        <v>8108</v>
      </c>
      <c r="DA1526">
        <v>21.97</v>
      </c>
      <c r="DB1526">
        <v>10.65</v>
      </c>
      <c r="DC1526">
        <v>8.83</v>
      </c>
      <c r="DD1526">
        <v>0.36</v>
      </c>
      <c r="DE1526">
        <v>834</v>
      </c>
      <c r="DF1526">
        <v>300129</v>
      </c>
      <c r="DG1526" t="s">
        <v>116</v>
      </c>
      <c r="DH1526" t="s">
        <v>116</v>
      </c>
      <c r="DI1526" t="s">
        <v>116</v>
      </c>
    </row>
    <row r="1527" spans="1:113" x14ac:dyDescent="0.4">
      <c r="A1527" t="str">
        <f>"300130"</f>
        <v>300130</v>
      </c>
      <c r="B1527" t="s">
        <v>8109</v>
      </c>
      <c r="C1527">
        <v>-2.4900000000000002</v>
      </c>
      <c r="D1527">
        <v>17.2</v>
      </c>
      <c r="E1527">
        <v>-0.44</v>
      </c>
      <c r="F1527">
        <v>17.18</v>
      </c>
      <c r="G1527">
        <v>17.2</v>
      </c>
      <c r="H1527">
        <v>122008</v>
      </c>
      <c r="I1527">
        <v>668</v>
      </c>
      <c r="J1527">
        <v>-0.05</v>
      </c>
      <c r="K1527">
        <v>3.58</v>
      </c>
      <c r="L1527">
        <v>17.64</v>
      </c>
      <c r="M1527">
        <v>17.850000000000001</v>
      </c>
      <c r="N1527">
        <v>17.079999999999998</v>
      </c>
      <c r="O1527">
        <v>17.64</v>
      </c>
      <c r="P1527">
        <v>20.48</v>
      </c>
      <c r="Q1527">
        <v>212849616</v>
      </c>
      <c r="R1527">
        <v>1.36</v>
      </c>
      <c r="S1527" t="s">
        <v>241</v>
      </c>
      <c r="T1527" t="s">
        <v>115</v>
      </c>
      <c r="U1527">
        <v>4.37</v>
      </c>
      <c r="V1527">
        <v>17.45</v>
      </c>
      <c r="W1527">
        <v>72097</v>
      </c>
      <c r="X1527">
        <v>49911</v>
      </c>
      <c r="Y1527">
        <v>1.44</v>
      </c>
      <c r="Z1527">
        <v>32</v>
      </c>
      <c r="AA1527">
        <v>45</v>
      </c>
      <c r="AB1527" t="s">
        <v>116</v>
      </c>
      <c r="AC1527">
        <v>132300</v>
      </c>
      <c r="AD1527">
        <v>0</v>
      </c>
      <c r="AE1527" t="s">
        <v>116</v>
      </c>
      <c r="AF1527" t="s">
        <v>116</v>
      </c>
      <c r="AG1527">
        <v>3.41</v>
      </c>
      <c r="AH1527" t="s">
        <v>8110</v>
      </c>
      <c r="AI1527" t="s">
        <v>8111</v>
      </c>
      <c r="AJ1527">
        <v>-1.82</v>
      </c>
      <c r="AK1527">
        <v>3846</v>
      </c>
      <c r="AL1527">
        <v>32</v>
      </c>
      <c r="AM1527">
        <v>8.9999999999999998E-4</v>
      </c>
      <c r="AN1527">
        <v>-3</v>
      </c>
      <c r="AO1527">
        <v>-2.66</v>
      </c>
      <c r="AP1527">
        <v>12.71</v>
      </c>
      <c r="AQ1527">
        <v>1.24</v>
      </c>
      <c r="AR1527">
        <v>51.94</v>
      </c>
      <c r="AS1527">
        <v>4.6100000000000003</v>
      </c>
      <c r="AT1527" t="s">
        <v>8112</v>
      </c>
      <c r="AU1527">
        <v>19.28</v>
      </c>
      <c r="AV1527">
        <v>33.6</v>
      </c>
      <c r="AW1527">
        <v>1.93</v>
      </c>
      <c r="BA1527">
        <v>0</v>
      </c>
      <c r="BB1527">
        <v>1.19</v>
      </c>
      <c r="BC1527">
        <v>-3.17</v>
      </c>
      <c r="BD1527">
        <v>-1.1000000000000001</v>
      </c>
      <c r="BE1527">
        <v>-2.4900000000000002</v>
      </c>
      <c r="BF1527">
        <v>-3.64</v>
      </c>
      <c r="BG1527">
        <v>0.7</v>
      </c>
      <c r="BH1527">
        <v>-1.39</v>
      </c>
      <c r="BI1527">
        <v>20191029</v>
      </c>
      <c r="BJ1527">
        <v>20101019</v>
      </c>
      <c r="BK1527">
        <v>4.84</v>
      </c>
      <c r="BL1527" t="s">
        <v>116</v>
      </c>
      <c r="BM1527" t="s">
        <v>116</v>
      </c>
      <c r="BN1527">
        <v>33.21</v>
      </c>
      <c r="BO1527">
        <v>24.6</v>
      </c>
      <c r="BP1527">
        <v>0.22</v>
      </c>
      <c r="BQ1527">
        <v>25.26</v>
      </c>
      <c r="BR1527">
        <v>16.75</v>
      </c>
      <c r="BS1527">
        <v>3.85</v>
      </c>
      <c r="BT1527">
        <v>0.3</v>
      </c>
      <c r="BU1527">
        <v>8.16</v>
      </c>
      <c r="BV1527">
        <v>2.4</v>
      </c>
      <c r="BW1527">
        <v>4.7699999999999996</v>
      </c>
      <c r="BX1527">
        <v>10.01</v>
      </c>
      <c r="BY1527">
        <v>24.02</v>
      </c>
      <c r="BZ1527">
        <v>17.59</v>
      </c>
      <c r="CA1527">
        <v>3.29</v>
      </c>
      <c r="CB1527">
        <v>0.49</v>
      </c>
      <c r="CC1527">
        <v>3.28</v>
      </c>
      <c r="CD1527">
        <v>3.06</v>
      </c>
      <c r="CE1527">
        <v>3.05</v>
      </c>
      <c r="CF1527">
        <v>2.37</v>
      </c>
      <c r="CG1527">
        <v>9.73</v>
      </c>
      <c r="CH1527">
        <v>0.98</v>
      </c>
      <c r="CI1527">
        <v>-6.54</v>
      </c>
      <c r="CJ1527">
        <v>19893</v>
      </c>
      <c r="CK1527">
        <v>13307</v>
      </c>
      <c r="CL1527" t="s">
        <v>8113</v>
      </c>
      <c r="CM1527">
        <v>152.25</v>
      </c>
      <c r="CN1527">
        <v>57.67</v>
      </c>
      <c r="CO1527">
        <v>3.39</v>
      </c>
      <c r="CP1527">
        <v>84.99</v>
      </c>
      <c r="CQ1527">
        <v>3.47</v>
      </c>
      <c r="CR1527">
        <v>0</v>
      </c>
      <c r="CS1527" t="s">
        <v>4250</v>
      </c>
      <c r="CT1527">
        <v>5.08</v>
      </c>
      <c r="CU1527">
        <v>5.08</v>
      </c>
      <c r="CV1527">
        <v>2.0699999999999998</v>
      </c>
      <c r="CW1527">
        <v>2.0099999999999998</v>
      </c>
      <c r="CX1527">
        <v>0.2</v>
      </c>
      <c r="CY1527">
        <v>74.069999999999993</v>
      </c>
      <c r="CZ1527" t="s">
        <v>6842</v>
      </c>
      <c r="DA1527">
        <v>26.79</v>
      </c>
      <c r="DB1527">
        <v>13.68</v>
      </c>
      <c r="DC1527">
        <v>12.7</v>
      </c>
      <c r="DD1527">
        <v>1.45</v>
      </c>
      <c r="DE1527">
        <v>2363</v>
      </c>
      <c r="DF1527">
        <v>300130</v>
      </c>
      <c r="DG1527" t="s">
        <v>116</v>
      </c>
      <c r="DH1527" t="s">
        <v>116</v>
      </c>
      <c r="DI1527" t="s">
        <v>116</v>
      </c>
    </row>
    <row r="1528" spans="1:113" x14ac:dyDescent="0.4">
      <c r="A1528" t="str">
        <f>"300131"</f>
        <v>300131</v>
      </c>
      <c r="B1528" t="s">
        <v>8114</v>
      </c>
      <c r="C1528">
        <v>-0.56999999999999995</v>
      </c>
      <c r="D1528">
        <v>5.22</v>
      </c>
      <c r="E1528">
        <v>-0.03</v>
      </c>
      <c r="F1528">
        <v>5.22</v>
      </c>
      <c r="G1528">
        <v>5.23</v>
      </c>
      <c r="H1528">
        <v>224509</v>
      </c>
      <c r="I1528">
        <v>2336</v>
      </c>
      <c r="J1528">
        <v>0</v>
      </c>
      <c r="K1528">
        <v>2.85</v>
      </c>
      <c r="L1528">
        <v>5.26</v>
      </c>
      <c r="M1528">
        <v>5.29</v>
      </c>
      <c r="N1528">
        <v>5.21</v>
      </c>
      <c r="O1528">
        <v>5.25</v>
      </c>
      <c r="P1528">
        <v>26.69</v>
      </c>
      <c r="Q1528">
        <v>118057904</v>
      </c>
      <c r="R1528">
        <v>0.9</v>
      </c>
      <c r="S1528" t="s">
        <v>233</v>
      </c>
      <c r="T1528" t="s">
        <v>115</v>
      </c>
      <c r="U1528">
        <v>1.52</v>
      </c>
      <c r="V1528">
        <v>5.26</v>
      </c>
      <c r="W1528">
        <v>137189</v>
      </c>
      <c r="X1528">
        <v>87320</v>
      </c>
      <c r="Y1528">
        <v>1.57</v>
      </c>
      <c r="Z1528">
        <v>1935</v>
      </c>
      <c r="AA1528">
        <v>1272</v>
      </c>
      <c r="AB1528" t="s">
        <v>116</v>
      </c>
      <c r="AC1528">
        <v>288200</v>
      </c>
      <c r="AD1528">
        <v>0.01</v>
      </c>
      <c r="AE1528" t="s">
        <v>116</v>
      </c>
      <c r="AF1528" t="s">
        <v>116</v>
      </c>
      <c r="AG1528">
        <v>7.88</v>
      </c>
      <c r="AH1528" t="s">
        <v>5953</v>
      </c>
      <c r="AI1528" t="s">
        <v>8115</v>
      </c>
      <c r="AJ1528">
        <v>0.11</v>
      </c>
      <c r="AK1528">
        <v>2626</v>
      </c>
      <c r="AL1528">
        <v>85</v>
      </c>
      <c r="AM1528">
        <v>1.1000000000000001E-3</v>
      </c>
      <c r="AN1528">
        <v>-1</v>
      </c>
      <c r="AO1528">
        <v>-0.19</v>
      </c>
      <c r="AP1528">
        <v>3.98</v>
      </c>
      <c r="AQ1528">
        <v>-11.68</v>
      </c>
      <c r="AR1528">
        <v>22.25</v>
      </c>
      <c r="AS1528">
        <v>3.03</v>
      </c>
      <c r="AT1528" t="s">
        <v>8116</v>
      </c>
      <c r="AU1528">
        <v>40.6</v>
      </c>
      <c r="AV1528">
        <v>39.72</v>
      </c>
      <c r="AW1528">
        <v>1.29</v>
      </c>
      <c r="BA1528">
        <v>0.19</v>
      </c>
      <c r="BB1528">
        <v>0.76</v>
      </c>
      <c r="BC1528">
        <v>-0.76</v>
      </c>
      <c r="BD1528">
        <v>0.16</v>
      </c>
      <c r="BE1528">
        <v>-0.76</v>
      </c>
      <c r="BF1528">
        <v>-1.32</v>
      </c>
      <c r="BG1528">
        <v>0.19</v>
      </c>
      <c r="BH1528">
        <v>-0.73</v>
      </c>
      <c r="BI1528">
        <v>20191025</v>
      </c>
      <c r="BJ1528">
        <v>20101019</v>
      </c>
      <c r="BK1528">
        <v>10.7</v>
      </c>
      <c r="BL1528" t="s">
        <v>116</v>
      </c>
      <c r="BM1528" t="s">
        <v>116</v>
      </c>
      <c r="BN1528">
        <v>59.16</v>
      </c>
      <c r="BO1528">
        <v>18.29</v>
      </c>
      <c r="BP1528">
        <v>2.2200000000000002</v>
      </c>
      <c r="BQ1528">
        <v>65.34</v>
      </c>
      <c r="BR1528">
        <v>44.9</v>
      </c>
      <c r="BS1528">
        <v>0.79</v>
      </c>
      <c r="BT1528">
        <v>1.62</v>
      </c>
      <c r="BU1528">
        <v>32.35</v>
      </c>
      <c r="BV1528">
        <v>8.0299999999999994</v>
      </c>
      <c r="BW1528">
        <v>17.02</v>
      </c>
      <c r="BX1528">
        <v>5.21</v>
      </c>
      <c r="BY1528">
        <v>93.19</v>
      </c>
      <c r="BZ1528">
        <v>85.69</v>
      </c>
      <c r="CA1528">
        <v>2.74</v>
      </c>
      <c r="CB1528">
        <v>0.2</v>
      </c>
      <c r="CC1528">
        <v>2.73</v>
      </c>
      <c r="CD1528">
        <v>2.0699999999999998</v>
      </c>
      <c r="CE1528">
        <v>1.57</v>
      </c>
      <c r="CF1528">
        <v>1.31</v>
      </c>
      <c r="CG1528">
        <v>1.87</v>
      </c>
      <c r="CH1528">
        <v>8.3000000000000007</v>
      </c>
      <c r="CI1528">
        <v>-0.1</v>
      </c>
      <c r="CJ1528">
        <v>45617</v>
      </c>
      <c r="CK1528">
        <v>16218</v>
      </c>
      <c r="CL1528" t="s">
        <v>1635</v>
      </c>
      <c r="CM1528">
        <v>-1.9</v>
      </c>
      <c r="CN1528">
        <v>6.33</v>
      </c>
      <c r="CO1528">
        <v>3.05</v>
      </c>
      <c r="CP1528">
        <v>6.73</v>
      </c>
      <c r="CQ1528">
        <v>0.6</v>
      </c>
      <c r="CR1528">
        <v>0.38</v>
      </c>
      <c r="CS1528" t="s">
        <v>2902</v>
      </c>
      <c r="CT1528">
        <v>1.71</v>
      </c>
      <c r="CU1528">
        <v>0</v>
      </c>
      <c r="CV1528">
        <v>0.49</v>
      </c>
      <c r="CW1528">
        <v>0.17</v>
      </c>
      <c r="CX1528">
        <v>0.78</v>
      </c>
      <c r="CY1528">
        <v>30.91</v>
      </c>
      <c r="CZ1528" t="s">
        <v>1006</v>
      </c>
      <c r="DA1528">
        <v>8.0500000000000007</v>
      </c>
      <c r="DB1528">
        <v>2.94</v>
      </c>
      <c r="DC1528">
        <v>1.68</v>
      </c>
      <c r="DD1528">
        <v>0.3</v>
      </c>
      <c r="DE1528">
        <v>1205</v>
      </c>
      <c r="DF1528">
        <v>300131</v>
      </c>
      <c r="DG1528" t="s">
        <v>116</v>
      </c>
      <c r="DH1528" t="s">
        <v>116</v>
      </c>
      <c r="DI1528" t="s">
        <v>116</v>
      </c>
    </row>
    <row r="1529" spans="1:113" x14ac:dyDescent="0.4">
      <c r="A1529" t="str">
        <f>"300132"</f>
        <v>300132</v>
      </c>
      <c r="B1529" t="s">
        <v>8117</v>
      </c>
      <c r="C1529">
        <v>9.84</v>
      </c>
      <c r="D1529">
        <v>10.83</v>
      </c>
      <c r="E1529">
        <v>0.97</v>
      </c>
      <c r="F1529">
        <v>10.82</v>
      </c>
      <c r="G1529">
        <v>10.83</v>
      </c>
      <c r="H1529">
        <v>250656</v>
      </c>
      <c r="I1529">
        <v>5811</v>
      </c>
      <c r="J1529">
        <v>1.03</v>
      </c>
      <c r="K1529">
        <v>6.5</v>
      </c>
      <c r="L1529">
        <v>9.84</v>
      </c>
      <c r="M1529">
        <v>10.85</v>
      </c>
      <c r="N1529">
        <v>9.84</v>
      </c>
      <c r="O1529">
        <v>9.86</v>
      </c>
      <c r="P1529">
        <v>12.51</v>
      </c>
      <c r="Q1529">
        <v>264734144</v>
      </c>
      <c r="R1529">
        <v>4.62</v>
      </c>
      <c r="S1529" t="s">
        <v>891</v>
      </c>
      <c r="T1529" t="s">
        <v>975</v>
      </c>
      <c r="U1529">
        <v>10.24</v>
      </c>
      <c r="V1529">
        <v>10.56</v>
      </c>
      <c r="W1529">
        <v>116901</v>
      </c>
      <c r="X1529">
        <v>133755</v>
      </c>
      <c r="Y1529">
        <v>0.87</v>
      </c>
      <c r="Z1529">
        <v>246</v>
      </c>
      <c r="AA1529">
        <v>4928</v>
      </c>
      <c r="AB1529" t="s">
        <v>116</v>
      </c>
      <c r="AC1529">
        <v>381800</v>
      </c>
      <c r="AD1529">
        <v>0.02</v>
      </c>
      <c r="AE1529" t="s">
        <v>116</v>
      </c>
      <c r="AF1529" t="s">
        <v>116</v>
      </c>
      <c r="AG1529">
        <v>3.86</v>
      </c>
      <c r="AH1529" t="s">
        <v>6568</v>
      </c>
      <c r="AI1529" t="s">
        <v>8118</v>
      </c>
      <c r="AJ1529">
        <v>10.52</v>
      </c>
      <c r="AK1529">
        <v>2428</v>
      </c>
      <c r="AL1529">
        <v>103</v>
      </c>
      <c r="AM1529">
        <v>2.7000000000000001E-3</v>
      </c>
      <c r="AN1529">
        <v>2</v>
      </c>
      <c r="AO1529">
        <v>9.7200000000000006</v>
      </c>
      <c r="AP1529">
        <v>19.010000000000002</v>
      </c>
      <c r="AQ1529">
        <v>9.73</v>
      </c>
      <c r="AR1529">
        <v>5.76</v>
      </c>
      <c r="AS1529">
        <v>10.27</v>
      </c>
      <c r="AT1529" t="s">
        <v>8119</v>
      </c>
      <c r="AU1529">
        <v>11.95</v>
      </c>
      <c r="AV1529">
        <v>13.97</v>
      </c>
      <c r="AW1529">
        <v>0.4</v>
      </c>
      <c r="BA1529">
        <v>-0.2</v>
      </c>
      <c r="BB1529">
        <v>10.039999999999999</v>
      </c>
      <c r="BC1529">
        <v>-0.2</v>
      </c>
      <c r="BD1529">
        <v>7.12</v>
      </c>
      <c r="BE1529">
        <v>10.06</v>
      </c>
      <c r="BF1529">
        <v>-0.18</v>
      </c>
      <c r="BG1529">
        <v>10.06</v>
      </c>
      <c r="BH1529">
        <v>2.72</v>
      </c>
      <c r="BI1529">
        <v>20191106</v>
      </c>
      <c r="BJ1529">
        <v>20101026</v>
      </c>
      <c r="BK1529">
        <v>5.17</v>
      </c>
      <c r="BL1529" t="s">
        <v>116</v>
      </c>
      <c r="BM1529" t="s">
        <v>116</v>
      </c>
      <c r="BN1529">
        <v>45.11</v>
      </c>
      <c r="BO1529">
        <v>29.13</v>
      </c>
      <c r="BP1529">
        <v>1.31</v>
      </c>
      <c r="BQ1529">
        <v>32.53</v>
      </c>
      <c r="BR1529">
        <v>22.1</v>
      </c>
      <c r="BS1529">
        <v>5.78</v>
      </c>
      <c r="BT1529">
        <v>1.43</v>
      </c>
      <c r="BU1529">
        <v>7.44</v>
      </c>
      <c r="BV1529">
        <v>8.0399999999999991</v>
      </c>
      <c r="BW1529">
        <v>6.7</v>
      </c>
      <c r="BX1529">
        <v>14.55</v>
      </c>
      <c r="BY1529">
        <v>19.21</v>
      </c>
      <c r="BZ1529">
        <v>13.19</v>
      </c>
      <c r="CA1529">
        <v>4.05</v>
      </c>
      <c r="CB1529">
        <v>0</v>
      </c>
      <c r="CC1529">
        <v>4.04</v>
      </c>
      <c r="CD1529">
        <v>3.47</v>
      </c>
      <c r="CE1529">
        <v>3.35</v>
      </c>
      <c r="CF1529">
        <v>3.31</v>
      </c>
      <c r="CG1529">
        <v>8.64</v>
      </c>
      <c r="CH1529">
        <v>4.72</v>
      </c>
      <c r="CI1529">
        <v>3.56</v>
      </c>
      <c r="CJ1529">
        <v>17100</v>
      </c>
      <c r="CK1529">
        <v>14275</v>
      </c>
      <c r="CL1529" t="s">
        <v>8120</v>
      </c>
      <c r="CM1529">
        <v>25.43</v>
      </c>
      <c r="CN1529">
        <v>102.18</v>
      </c>
      <c r="CO1529">
        <v>1.92</v>
      </c>
      <c r="CP1529">
        <v>11.86</v>
      </c>
      <c r="CQ1529">
        <v>2.91</v>
      </c>
      <c r="CR1529">
        <v>0.69</v>
      </c>
      <c r="CS1529" t="s">
        <v>8121</v>
      </c>
      <c r="CT1529">
        <v>5.64</v>
      </c>
      <c r="CU1529">
        <v>0</v>
      </c>
      <c r="CV1529">
        <v>2.82</v>
      </c>
      <c r="CW1529">
        <v>1.67</v>
      </c>
      <c r="CX1529">
        <v>0.91</v>
      </c>
      <c r="CY1529">
        <v>64.569999999999993</v>
      </c>
      <c r="CZ1529" t="s">
        <v>8122</v>
      </c>
      <c r="DA1529">
        <v>31.33</v>
      </c>
      <c r="DB1529">
        <v>21.07</v>
      </c>
      <c r="DC1529">
        <v>17.46</v>
      </c>
      <c r="DD1529">
        <v>0.66</v>
      </c>
      <c r="DE1529">
        <v>430</v>
      </c>
      <c r="DF1529">
        <v>300132</v>
      </c>
      <c r="DG1529" t="s">
        <v>116</v>
      </c>
      <c r="DH1529" t="s">
        <v>116</v>
      </c>
      <c r="DI1529" t="s">
        <v>116</v>
      </c>
    </row>
    <row r="1530" spans="1:113" x14ac:dyDescent="0.4">
      <c r="A1530" t="str">
        <f>"300133"</f>
        <v>300133</v>
      </c>
      <c r="B1530" t="s">
        <v>8123</v>
      </c>
      <c r="C1530">
        <v>0</v>
      </c>
      <c r="D1530">
        <v>7.45</v>
      </c>
      <c r="E1530">
        <v>0</v>
      </c>
      <c r="F1530">
        <v>7.44</v>
      </c>
      <c r="G1530">
        <v>7.45</v>
      </c>
      <c r="H1530">
        <v>233495</v>
      </c>
      <c r="I1530">
        <v>1561</v>
      </c>
      <c r="J1530">
        <v>0.13</v>
      </c>
      <c r="K1530">
        <v>1.69</v>
      </c>
      <c r="L1530">
        <v>7.4</v>
      </c>
      <c r="M1530">
        <v>7.65</v>
      </c>
      <c r="N1530">
        <v>7.35</v>
      </c>
      <c r="O1530">
        <v>7.45</v>
      </c>
      <c r="P1530">
        <v>404.63</v>
      </c>
      <c r="Q1530">
        <v>175473552</v>
      </c>
      <c r="R1530">
        <v>1.1299999999999999</v>
      </c>
      <c r="S1530" t="s">
        <v>589</v>
      </c>
      <c r="T1530" t="s">
        <v>590</v>
      </c>
      <c r="U1530">
        <v>4.03</v>
      </c>
      <c r="V1530">
        <v>7.52</v>
      </c>
      <c r="W1530">
        <v>117602</v>
      </c>
      <c r="X1530">
        <v>115893</v>
      </c>
      <c r="Y1530">
        <v>1.01</v>
      </c>
      <c r="Z1530">
        <v>176</v>
      </c>
      <c r="AA1530">
        <v>1867</v>
      </c>
      <c r="AB1530" t="s">
        <v>116</v>
      </c>
      <c r="AC1530">
        <v>328600</v>
      </c>
      <c r="AD1530">
        <v>0</v>
      </c>
      <c r="AE1530" t="s">
        <v>116</v>
      </c>
      <c r="AF1530" t="s">
        <v>116</v>
      </c>
      <c r="AG1530">
        <v>13.81</v>
      </c>
      <c r="AH1530" t="s">
        <v>8124</v>
      </c>
      <c r="AI1530" t="s">
        <v>8125</v>
      </c>
      <c r="AJ1530">
        <v>0.68</v>
      </c>
      <c r="AK1530">
        <v>2900</v>
      </c>
      <c r="AL1530">
        <v>81</v>
      </c>
      <c r="AM1530">
        <v>5.9999999999999995E-4</v>
      </c>
      <c r="AN1530">
        <v>0</v>
      </c>
      <c r="AO1530">
        <v>-0.79</v>
      </c>
      <c r="AP1530">
        <v>20.16</v>
      </c>
      <c r="AQ1530">
        <v>7.81</v>
      </c>
      <c r="AR1530">
        <v>-16.71</v>
      </c>
      <c r="AS1530">
        <v>2.4700000000000002</v>
      </c>
      <c r="AT1530" t="s">
        <v>8126</v>
      </c>
      <c r="AU1530" t="s">
        <v>116</v>
      </c>
      <c r="AV1530">
        <v>61.92</v>
      </c>
      <c r="AW1530">
        <v>1.1299999999999999</v>
      </c>
      <c r="BA1530">
        <v>-0.67</v>
      </c>
      <c r="BB1530">
        <v>2.68</v>
      </c>
      <c r="BC1530">
        <v>-1.34</v>
      </c>
      <c r="BD1530">
        <v>0.87</v>
      </c>
      <c r="BE1530">
        <v>0.68</v>
      </c>
      <c r="BF1530">
        <v>-2.61</v>
      </c>
      <c r="BG1530">
        <v>1.36</v>
      </c>
      <c r="BH1530">
        <v>-0.87</v>
      </c>
      <c r="BI1530">
        <v>20191225</v>
      </c>
      <c r="BJ1530">
        <v>20101026</v>
      </c>
      <c r="BK1530">
        <v>17.559999999999999</v>
      </c>
      <c r="BL1530" t="s">
        <v>116</v>
      </c>
      <c r="BM1530" t="s">
        <v>116</v>
      </c>
      <c r="BN1530">
        <v>131.71</v>
      </c>
      <c r="BO1530">
        <v>69.47</v>
      </c>
      <c r="BP1530">
        <v>0.61</v>
      </c>
      <c r="BQ1530">
        <v>46.79</v>
      </c>
      <c r="BR1530">
        <v>103.17</v>
      </c>
      <c r="BS1530">
        <v>0.25</v>
      </c>
      <c r="BT1530">
        <v>0.03</v>
      </c>
      <c r="BU1530">
        <v>58.63</v>
      </c>
      <c r="BV1530">
        <v>25.9</v>
      </c>
      <c r="BW1530">
        <v>27.3</v>
      </c>
      <c r="BX1530">
        <v>29.54</v>
      </c>
      <c r="BY1530">
        <v>13.1</v>
      </c>
      <c r="BZ1530">
        <v>9.0399999999999991</v>
      </c>
      <c r="CA1530">
        <v>0.99</v>
      </c>
      <c r="CB1530">
        <v>0.37</v>
      </c>
      <c r="CC1530">
        <v>0.94</v>
      </c>
      <c r="CD1530">
        <v>0.18</v>
      </c>
      <c r="CE1530">
        <v>0.24</v>
      </c>
      <c r="CF1530">
        <v>-0.72</v>
      </c>
      <c r="CG1530">
        <v>24.81</v>
      </c>
      <c r="CH1530">
        <v>3.45</v>
      </c>
      <c r="CI1530">
        <v>12.2</v>
      </c>
      <c r="CJ1530">
        <v>30483</v>
      </c>
      <c r="CK1530">
        <v>31050</v>
      </c>
      <c r="CL1530" t="s">
        <v>8127</v>
      </c>
      <c r="CM1530">
        <v>-93.18</v>
      </c>
      <c r="CN1530">
        <v>-63.43</v>
      </c>
      <c r="CO1530">
        <v>1.88</v>
      </c>
      <c r="CP1530">
        <v>37.94</v>
      </c>
      <c r="CQ1530">
        <v>9.99</v>
      </c>
      <c r="CR1530">
        <v>0.2</v>
      </c>
      <c r="CS1530" t="s">
        <v>342</v>
      </c>
      <c r="CT1530">
        <v>3.96</v>
      </c>
      <c r="CU1530">
        <v>0</v>
      </c>
      <c r="CV1530">
        <v>1.68</v>
      </c>
      <c r="CW1530">
        <v>1.41</v>
      </c>
      <c r="CX1530">
        <v>0.2</v>
      </c>
      <c r="CY1530">
        <v>52.75</v>
      </c>
      <c r="CZ1530" t="s">
        <v>7870</v>
      </c>
      <c r="DA1530">
        <v>30.93</v>
      </c>
      <c r="DB1530">
        <v>7.55</v>
      </c>
      <c r="DC1530">
        <v>1.85</v>
      </c>
      <c r="DD1530">
        <v>0.16</v>
      </c>
      <c r="DE1530">
        <v>1204</v>
      </c>
      <c r="DF1530">
        <v>300133</v>
      </c>
      <c r="DG1530" t="s">
        <v>116</v>
      </c>
      <c r="DH1530" t="s">
        <v>116</v>
      </c>
      <c r="DI1530" t="s">
        <v>116</v>
      </c>
    </row>
    <row r="1531" spans="1:113" x14ac:dyDescent="0.4">
      <c r="A1531" t="str">
        <f>"300134"</f>
        <v>300134</v>
      </c>
      <c r="B1531" t="s">
        <v>8128</v>
      </c>
      <c r="C1531">
        <v>-0.76</v>
      </c>
      <c r="D1531">
        <v>15.63</v>
      </c>
      <c r="E1531">
        <v>-0.12</v>
      </c>
      <c r="F1531">
        <v>15.63</v>
      </c>
      <c r="G1531">
        <v>15.64</v>
      </c>
      <c r="H1531">
        <v>206104</v>
      </c>
      <c r="I1531">
        <v>1814</v>
      </c>
      <c r="J1531">
        <v>-0.25</v>
      </c>
      <c r="K1531">
        <v>2.89</v>
      </c>
      <c r="L1531">
        <v>15.65</v>
      </c>
      <c r="M1531">
        <v>16.04</v>
      </c>
      <c r="N1531">
        <v>15.6</v>
      </c>
      <c r="O1531">
        <v>15.75</v>
      </c>
      <c r="P1531">
        <v>186.93</v>
      </c>
      <c r="Q1531">
        <v>325350592</v>
      </c>
      <c r="R1531">
        <v>1.1599999999999999</v>
      </c>
      <c r="S1531" t="s">
        <v>465</v>
      </c>
      <c r="T1531" t="s">
        <v>115</v>
      </c>
      <c r="U1531">
        <v>2.79</v>
      </c>
      <c r="V1531">
        <v>15.79</v>
      </c>
      <c r="W1531">
        <v>95500</v>
      </c>
      <c r="X1531">
        <v>110604</v>
      </c>
      <c r="Y1531">
        <v>0.86</v>
      </c>
      <c r="Z1531">
        <v>189</v>
      </c>
      <c r="AA1531">
        <v>317</v>
      </c>
      <c r="AB1531" t="s">
        <v>116</v>
      </c>
      <c r="AC1531">
        <v>2061100</v>
      </c>
      <c r="AD1531">
        <v>0.04</v>
      </c>
      <c r="AE1531" t="s">
        <v>116</v>
      </c>
      <c r="AF1531" t="s">
        <v>116</v>
      </c>
      <c r="AG1531">
        <v>7.12</v>
      </c>
      <c r="AH1531" t="s">
        <v>8129</v>
      </c>
      <c r="AI1531" t="s">
        <v>8130</v>
      </c>
      <c r="AJ1531">
        <v>-0.08</v>
      </c>
      <c r="AK1531">
        <v>3715</v>
      </c>
      <c r="AL1531">
        <v>55</v>
      </c>
      <c r="AM1531">
        <v>8.0000000000000004E-4</v>
      </c>
      <c r="AN1531">
        <v>-1</v>
      </c>
      <c r="AO1531">
        <v>6.19</v>
      </c>
      <c r="AP1531">
        <v>16.38</v>
      </c>
      <c r="AQ1531">
        <v>-13.55</v>
      </c>
      <c r="AR1531">
        <v>66.28</v>
      </c>
      <c r="AS1531">
        <v>5.92</v>
      </c>
      <c r="AT1531" t="s">
        <v>8131</v>
      </c>
      <c r="AU1531">
        <v>84.23</v>
      </c>
      <c r="AV1531">
        <v>485.54</v>
      </c>
      <c r="AW1531">
        <v>1.53</v>
      </c>
      <c r="BA1531">
        <v>-0.63</v>
      </c>
      <c r="BB1531">
        <v>1.84</v>
      </c>
      <c r="BC1531">
        <v>-0.95</v>
      </c>
      <c r="BD1531">
        <v>0.23</v>
      </c>
      <c r="BE1531">
        <v>-0.13</v>
      </c>
      <c r="BF1531">
        <v>-2.56</v>
      </c>
      <c r="BG1531">
        <v>0.19</v>
      </c>
      <c r="BH1531">
        <v>-0.99</v>
      </c>
      <c r="BI1531">
        <v>20191125</v>
      </c>
      <c r="BJ1531">
        <v>20101026</v>
      </c>
      <c r="BK1531">
        <v>7.67</v>
      </c>
      <c r="BL1531" t="s">
        <v>116</v>
      </c>
      <c r="BM1531" t="s">
        <v>116</v>
      </c>
      <c r="BN1531">
        <v>67.510000000000005</v>
      </c>
      <c r="BO1531">
        <v>53.98</v>
      </c>
      <c r="BP1531">
        <v>0.02</v>
      </c>
      <c r="BQ1531">
        <v>20.010000000000002</v>
      </c>
      <c r="BR1531">
        <v>42.18</v>
      </c>
      <c r="BS1531">
        <v>12.63</v>
      </c>
      <c r="BT1531">
        <v>3.35</v>
      </c>
      <c r="BU1531">
        <v>13.26</v>
      </c>
      <c r="BV1531">
        <v>5.32</v>
      </c>
      <c r="BW1531">
        <v>7.6</v>
      </c>
      <c r="BX1531">
        <v>48.48</v>
      </c>
      <c r="BY1531">
        <v>18.350000000000001</v>
      </c>
      <c r="BZ1531">
        <v>14.45</v>
      </c>
      <c r="CA1531">
        <v>0.63</v>
      </c>
      <c r="CB1531">
        <v>0.3</v>
      </c>
      <c r="CC1531">
        <v>0.65</v>
      </c>
      <c r="CD1531">
        <v>0.52</v>
      </c>
      <c r="CE1531">
        <v>0.48</v>
      </c>
      <c r="CF1531">
        <v>-0.3</v>
      </c>
      <c r="CG1531">
        <v>-3.22</v>
      </c>
      <c r="CH1531">
        <v>3.6</v>
      </c>
      <c r="CI1531">
        <v>-3.8</v>
      </c>
      <c r="CJ1531">
        <v>57081</v>
      </c>
      <c r="CK1531">
        <v>6104</v>
      </c>
      <c r="CL1531" t="s">
        <v>8132</v>
      </c>
      <c r="CM1531">
        <v>169.17</v>
      </c>
      <c r="CN1531">
        <v>37.76</v>
      </c>
      <c r="CO1531">
        <v>2.2200000000000002</v>
      </c>
      <c r="CP1531">
        <v>33.36</v>
      </c>
      <c r="CQ1531">
        <v>6.54</v>
      </c>
      <c r="CR1531">
        <v>0</v>
      </c>
      <c r="CS1531" t="s">
        <v>2373</v>
      </c>
      <c r="CT1531">
        <v>7.03</v>
      </c>
      <c r="CU1531">
        <v>0</v>
      </c>
      <c r="CV1531">
        <v>6.32</v>
      </c>
      <c r="CW1531">
        <v>-0.42</v>
      </c>
      <c r="CX1531">
        <v>0.47</v>
      </c>
      <c r="CY1531">
        <v>79.959999999999994</v>
      </c>
      <c r="CZ1531" t="s">
        <v>2405</v>
      </c>
      <c r="DA1531">
        <v>21.24</v>
      </c>
      <c r="DB1531">
        <v>3.45</v>
      </c>
      <c r="DC1531">
        <v>2.62</v>
      </c>
      <c r="DD1531">
        <v>1.63</v>
      </c>
      <c r="DE1531">
        <v>5587</v>
      </c>
      <c r="DF1531">
        <v>300134</v>
      </c>
      <c r="DG1531" t="s">
        <v>116</v>
      </c>
      <c r="DH1531" t="s">
        <v>116</v>
      </c>
      <c r="DI1531" t="s">
        <v>116</v>
      </c>
    </row>
    <row r="1532" spans="1:113" x14ac:dyDescent="0.4">
      <c r="A1532" t="str">
        <f>"300135"</f>
        <v>300135</v>
      </c>
      <c r="B1532" t="s">
        <v>8133</v>
      </c>
      <c r="C1532">
        <v>-0.38</v>
      </c>
      <c r="D1532">
        <v>2.61</v>
      </c>
      <c r="E1532">
        <v>-0.01</v>
      </c>
      <c r="F1532">
        <v>2.61</v>
      </c>
      <c r="G1532">
        <v>2.62</v>
      </c>
      <c r="H1532">
        <v>50100</v>
      </c>
      <c r="I1532">
        <v>445</v>
      </c>
      <c r="J1532">
        <v>-0.37</v>
      </c>
      <c r="K1532">
        <v>0.54</v>
      </c>
      <c r="L1532">
        <v>2.63</v>
      </c>
      <c r="M1532">
        <v>2.65</v>
      </c>
      <c r="N1532">
        <v>2.61</v>
      </c>
      <c r="O1532">
        <v>2.62</v>
      </c>
      <c r="P1532">
        <v>46.56</v>
      </c>
      <c r="Q1532">
        <v>13190989</v>
      </c>
      <c r="R1532">
        <v>0.99</v>
      </c>
      <c r="S1532" t="s">
        <v>891</v>
      </c>
      <c r="T1532" t="s">
        <v>323</v>
      </c>
      <c r="U1532">
        <v>1.53</v>
      </c>
      <c r="V1532">
        <v>2.63</v>
      </c>
      <c r="W1532">
        <v>24772</v>
      </c>
      <c r="X1532">
        <v>25328</v>
      </c>
      <c r="Y1532">
        <v>0.98</v>
      </c>
      <c r="Z1532">
        <v>1488</v>
      </c>
      <c r="AA1532">
        <v>810</v>
      </c>
      <c r="AB1532" t="s">
        <v>116</v>
      </c>
      <c r="AC1532">
        <v>37100</v>
      </c>
      <c r="AD1532">
        <v>0</v>
      </c>
      <c r="AE1532" t="s">
        <v>116</v>
      </c>
      <c r="AF1532" t="s">
        <v>116</v>
      </c>
      <c r="AG1532">
        <v>9.2200000000000006</v>
      </c>
      <c r="AH1532" t="s">
        <v>1378</v>
      </c>
      <c r="AI1532" t="s">
        <v>1378</v>
      </c>
      <c r="AJ1532">
        <v>0.3</v>
      </c>
      <c r="AK1532">
        <v>712</v>
      </c>
      <c r="AL1532">
        <v>70</v>
      </c>
      <c r="AM1532">
        <v>8.0000000000000004E-4</v>
      </c>
      <c r="AN1532">
        <v>-1</v>
      </c>
      <c r="AO1532">
        <v>0.01</v>
      </c>
      <c r="AP1532">
        <v>2.35</v>
      </c>
      <c r="AQ1532">
        <v>-1.88</v>
      </c>
      <c r="AR1532">
        <v>-1.51</v>
      </c>
      <c r="AS1532">
        <v>0.62</v>
      </c>
      <c r="AT1532" t="s">
        <v>8134</v>
      </c>
      <c r="AU1532">
        <v>56.7</v>
      </c>
      <c r="AV1532">
        <v>57.99</v>
      </c>
      <c r="AW1532">
        <v>0.8</v>
      </c>
      <c r="BA1532">
        <v>0.38</v>
      </c>
      <c r="BB1532">
        <v>1.1499999999999999</v>
      </c>
      <c r="BC1532">
        <v>-0.38</v>
      </c>
      <c r="BD1532">
        <v>0.49</v>
      </c>
      <c r="BE1532">
        <v>-0.76</v>
      </c>
      <c r="BF1532">
        <v>-1.51</v>
      </c>
      <c r="BG1532">
        <v>0</v>
      </c>
      <c r="BH1532">
        <v>-0.88</v>
      </c>
      <c r="BI1532">
        <v>20191025</v>
      </c>
      <c r="BJ1532">
        <v>20101026</v>
      </c>
      <c r="BK1532">
        <v>9.2200000000000006</v>
      </c>
      <c r="BL1532" t="s">
        <v>116</v>
      </c>
      <c r="BM1532" t="s">
        <v>116</v>
      </c>
      <c r="BN1532">
        <v>28.13</v>
      </c>
      <c r="BO1532">
        <v>12.61</v>
      </c>
      <c r="BP1532">
        <v>0.03</v>
      </c>
      <c r="BQ1532">
        <v>55.07</v>
      </c>
      <c r="BR1532">
        <v>19.149999999999999</v>
      </c>
      <c r="BS1532">
        <v>7.14</v>
      </c>
      <c r="BT1532">
        <v>0.82</v>
      </c>
      <c r="BU1532">
        <v>13.13</v>
      </c>
      <c r="BV1532">
        <v>2.25</v>
      </c>
      <c r="BW1532">
        <v>5.84</v>
      </c>
      <c r="BX1532">
        <v>0.35</v>
      </c>
      <c r="BY1532">
        <v>16.850000000000001</v>
      </c>
      <c r="BZ1532">
        <v>14.64</v>
      </c>
      <c r="CA1532">
        <v>0.57999999999999996</v>
      </c>
      <c r="CB1532">
        <v>0.27</v>
      </c>
      <c r="CC1532">
        <v>0.5</v>
      </c>
      <c r="CD1532">
        <v>0.37</v>
      </c>
      <c r="CE1532">
        <v>0.39</v>
      </c>
      <c r="CF1532">
        <v>0.08</v>
      </c>
      <c r="CG1532">
        <v>2.57</v>
      </c>
      <c r="CH1532">
        <v>-1.9</v>
      </c>
      <c r="CI1532">
        <v>-3.26</v>
      </c>
      <c r="CJ1532">
        <v>48189</v>
      </c>
      <c r="CK1532">
        <v>16755</v>
      </c>
      <c r="CL1532" t="s">
        <v>2219</v>
      </c>
      <c r="CM1532">
        <v>2.4900000000000002</v>
      </c>
      <c r="CN1532">
        <v>14.81</v>
      </c>
      <c r="CO1532">
        <v>1.91</v>
      </c>
      <c r="CP1532">
        <v>-12.66</v>
      </c>
      <c r="CQ1532">
        <v>1.43</v>
      </c>
      <c r="CR1532">
        <v>0.38</v>
      </c>
      <c r="CS1532" t="s">
        <v>145</v>
      </c>
      <c r="CT1532">
        <v>1.37</v>
      </c>
      <c r="CU1532">
        <v>0</v>
      </c>
      <c r="CV1532">
        <v>0.04</v>
      </c>
      <c r="CW1532">
        <v>0.28000000000000003</v>
      </c>
      <c r="CX1532">
        <v>-0.21</v>
      </c>
      <c r="CY1532">
        <v>44.82</v>
      </c>
      <c r="CZ1532" t="s">
        <v>8135</v>
      </c>
      <c r="DA1532">
        <v>13.11</v>
      </c>
      <c r="DB1532">
        <v>3.45</v>
      </c>
      <c r="DC1532">
        <v>2.2999999999999998</v>
      </c>
      <c r="DD1532">
        <v>0.5</v>
      </c>
      <c r="DE1532">
        <v>483</v>
      </c>
      <c r="DF1532">
        <v>300135</v>
      </c>
      <c r="DG1532" t="s">
        <v>116</v>
      </c>
      <c r="DH1532" t="s">
        <v>116</v>
      </c>
      <c r="DI1532" t="s">
        <v>116</v>
      </c>
    </row>
    <row r="1533" spans="1:113" x14ac:dyDescent="0.4">
      <c r="A1533" t="str">
        <f>"300136"</f>
        <v>300136</v>
      </c>
      <c r="B1533" t="s">
        <v>8136</v>
      </c>
      <c r="C1533">
        <v>0.65</v>
      </c>
      <c r="D1533">
        <v>44.97</v>
      </c>
      <c r="E1533">
        <v>0.28999999999999998</v>
      </c>
      <c r="F1533">
        <v>44.97</v>
      </c>
      <c r="G1533">
        <v>44.98</v>
      </c>
      <c r="H1533">
        <v>489253</v>
      </c>
      <c r="I1533">
        <v>3497</v>
      </c>
      <c r="J1533">
        <v>-0.32</v>
      </c>
      <c r="K1533">
        <v>6.04</v>
      </c>
      <c r="L1533">
        <v>45.76</v>
      </c>
      <c r="M1533">
        <v>47.3</v>
      </c>
      <c r="N1533">
        <v>44.8</v>
      </c>
      <c r="O1533">
        <v>44.68</v>
      </c>
      <c r="P1533">
        <v>39.46</v>
      </c>
      <c r="Q1533">
        <v>2263303936</v>
      </c>
      <c r="R1533">
        <v>1.72</v>
      </c>
      <c r="S1533" t="s">
        <v>465</v>
      </c>
      <c r="T1533" t="s">
        <v>115</v>
      </c>
      <c r="U1533">
        <v>5.6</v>
      </c>
      <c r="V1533">
        <v>46.26</v>
      </c>
      <c r="W1533">
        <v>222138</v>
      </c>
      <c r="X1533">
        <v>267115</v>
      </c>
      <c r="Y1533">
        <v>0.83</v>
      </c>
      <c r="Z1533">
        <v>136</v>
      </c>
      <c r="AA1533">
        <v>2</v>
      </c>
      <c r="AB1533" t="s">
        <v>116</v>
      </c>
      <c r="AC1533">
        <v>14226801</v>
      </c>
      <c r="AD1533">
        <v>0.04</v>
      </c>
      <c r="AE1533" t="s">
        <v>116</v>
      </c>
      <c r="AF1533" t="s">
        <v>116</v>
      </c>
      <c r="AG1533">
        <v>8.1</v>
      </c>
      <c r="AH1533" t="s">
        <v>8137</v>
      </c>
      <c r="AI1533" t="s">
        <v>8138</v>
      </c>
      <c r="AJ1533">
        <v>1.33</v>
      </c>
      <c r="AK1533">
        <v>4545</v>
      </c>
      <c r="AL1533">
        <v>108</v>
      </c>
      <c r="AM1533">
        <v>1.2999999999999999E-3</v>
      </c>
      <c r="AN1533">
        <v>4</v>
      </c>
      <c r="AO1533">
        <v>3.67</v>
      </c>
      <c r="AP1533">
        <v>14.02</v>
      </c>
      <c r="AQ1533">
        <v>25.54</v>
      </c>
      <c r="AR1533">
        <v>108.1</v>
      </c>
      <c r="AS1533">
        <v>6.43</v>
      </c>
      <c r="AT1533" t="s">
        <v>8139</v>
      </c>
      <c r="AU1533">
        <v>45.68</v>
      </c>
      <c r="AV1533">
        <v>44.1</v>
      </c>
      <c r="AW1533">
        <v>1.62</v>
      </c>
      <c r="BA1533">
        <v>2.42</v>
      </c>
      <c r="BB1533">
        <v>5.86</v>
      </c>
      <c r="BC1533">
        <v>0.27</v>
      </c>
      <c r="BD1533">
        <v>3.54</v>
      </c>
      <c r="BE1533">
        <v>-1.73</v>
      </c>
      <c r="BF1533">
        <v>-4.93</v>
      </c>
      <c r="BG1533">
        <v>0.38</v>
      </c>
      <c r="BH1533">
        <v>-2.89</v>
      </c>
      <c r="BI1533">
        <v>20191203</v>
      </c>
      <c r="BJ1533">
        <v>20101105</v>
      </c>
      <c r="BK1533">
        <v>9.69</v>
      </c>
      <c r="BL1533" t="s">
        <v>116</v>
      </c>
      <c r="BM1533" t="s">
        <v>116</v>
      </c>
      <c r="BN1533">
        <v>83.46</v>
      </c>
      <c r="BO1533">
        <v>45.05</v>
      </c>
      <c r="BP1533">
        <v>0.45</v>
      </c>
      <c r="BQ1533">
        <v>45.48</v>
      </c>
      <c r="BR1533">
        <v>42.72</v>
      </c>
      <c r="BS1533">
        <v>11.39</v>
      </c>
      <c r="BT1533">
        <v>8.25</v>
      </c>
      <c r="BU1533">
        <v>23.74</v>
      </c>
      <c r="BV1533">
        <v>6.65</v>
      </c>
      <c r="BW1533">
        <v>27.85</v>
      </c>
      <c r="BX1533">
        <v>2</v>
      </c>
      <c r="BY1533">
        <v>35.75</v>
      </c>
      <c r="BZ1533">
        <v>21.76</v>
      </c>
      <c r="CA1533">
        <v>9.4600000000000009</v>
      </c>
      <c r="CB1533">
        <v>0.05</v>
      </c>
      <c r="CC1533">
        <v>9.65</v>
      </c>
      <c r="CD1533">
        <v>8.34</v>
      </c>
      <c r="CE1533">
        <v>8.2799999999999994</v>
      </c>
      <c r="CF1533">
        <v>7.43</v>
      </c>
      <c r="CG1533">
        <v>32.200000000000003</v>
      </c>
      <c r="CH1533">
        <v>3.25</v>
      </c>
      <c r="CI1533">
        <v>-4.38</v>
      </c>
      <c r="CJ1533">
        <v>68465</v>
      </c>
      <c r="CK1533">
        <v>11109</v>
      </c>
      <c r="CL1533" t="s">
        <v>8140</v>
      </c>
      <c r="CM1533">
        <v>-3.97</v>
      </c>
      <c r="CN1533">
        <v>6.45</v>
      </c>
      <c r="CO1533">
        <v>9.67</v>
      </c>
      <c r="CP1533">
        <v>133.96</v>
      </c>
      <c r="CQ1533">
        <v>12.19</v>
      </c>
      <c r="CR1533">
        <v>0</v>
      </c>
      <c r="CS1533" t="s">
        <v>8141</v>
      </c>
      <c r="CT1533">
        <v>4.6500000000000004</v>
      </c>
      <c r="CU1533">
        <v>0</v>
      </c>
      <c r="CV1533">
        <v>0.21</v>
      </c>
      <c r="CW1533">
        <v>3.32</v>
      </c>
      <c r="CX1533">
        <v>0.34</v>
      </c>
      <c r="CY1533">
        <v>53.98</v>
      </c>
      <c r="CZ1533" t="s">
        <v>6125</v>
      </c>
      <c r="DA1533">
        <v>39.11</v>
      </c>
      <c r="DB1533">
        <v>26.46</v>
      </c>
      <c r="DC1533">
        <v>23.16</v>
      </c>
      <c r="DD1533">
        <v>2.58</v>
      </c>
      <c r="DE1533">
        <v>6821</v>
      </c>
      <c r="DF1533">
        <v>300136</v>
      </c>
      <c r="DG1533" t="s">
        <v>116</v>
      </c>
      <c r="DH1533" t="s">
        <v>116</v>
      </c>
      <c r="DI1533" t="s">
        <v>116</v>
      </c>
    </row>
    <row r="1534" spans="1:113" x14ac:dyDescent="0.4">
      <c r="A1534" t="str">
        <f>"300137"</f>
        <v>300137</v>
      </c>
      <c r="B1534" t="s">
        <v>8142</v>
      </c>
      <c r="C1534">
        <v>-0.26</v>
      </c>
      <c r="D1534">
        <v>7.64</v>
      </c>
      <c r="E1534">
        <v>-0.02</v>
      </c>
      <c r="F1534">
        <v>7.64</v>
      </c>
      <c r="G1534">
        <v>7.65</v>
      </c>
      <c r="H1534">
        <v>92140</v>
      </c>
      <c r="I1534">
        <v>515</v>
      </c>
      <c r="J1534">
        <v>-0.12</v>
      </c>
      <c r="K1534">
        <v>1.96</v>
      </c>
      <c r="L1534">
        <v>7.69</v>
      </c>
      <c r="M1534">
        <v>7.84</v>
      </c>
      <c r="N1534">
        <v>7.64</v>
      </c>
      <c r="O1534">
        <v>7.66</v>
      </c>
      <c r="P1534">
        <v>17.899999999999999</v>
      </c>
      <c r="Q1534">
        <v>71447144</v>
      </c>
      <c r="R1534">
        <v>1.01</v>
      </c>
      <c r="S1534" t="s">
        <v>140</v>
      </c>
      <c r="T1534" t="s">
        <v>608</v>
      </c>
      <c r="U1534">
        <v>2.61</v>
      </c>
      <c r="V1534">
        <v>7.75</v>
      </c>
      <c r="W1534">
        <v>51331</v>
      </c>
      <c r="X1534">
        <v>40809</v>
      </c>
      <c r="Y1534">
        <v>1.26</v>
      </c>
      <c r="Z1534">
        <v>1206</v>
      </c>
      <c r="AA1534">
        <v>684</v>
      </c>
      <c r="AB1534" t="s">
        <v>116</v>
      </c>
      <c r="AC1534">
        <v>737500</v>
      </c>
      <c r="AD1534">
        <v>0.02</v>
      </c>
      <c r="AE1534" t="s">
        <v>116</v>
      </c>
      <c r="AF1534" t="s">
        <v>116</v>
      </c>
      <c r="AG1534">
        <v>4.71</v>
      </c>
      <c r="AH1534" t="s">
        <v>8143</v>
      </c>
      <c r="AI1534" t="s">
        <v>8144</v>
      </c>
      <c r="AJ1534">
        <v>0.42</v>
      </c>
      <c r="AK1534">
        <v>1843</v>
      </c>
      <c r="AL1534">
        <v>50</v>
      </c>
      <c r="AM1534">
        <v>1.1000000000000001E-3</v>
      </c>
      <c r="AN1534">
        <v>-1</v>
      </c>
      <c r="AO1534">
        <v>-0.26</v>
      </c>
      <c r="AP1534">
        <v>6.26</v>
      </c>
      <c r="AQ1534">
        <v>-0.52</v>
      </c>
      <c r="AR1534">
        <v>-6.26</v>
      </c>
      <c r="AS1534">
        <v>2.04</v>
      </c>
      <c r="AT1534" t="s">
        <v>8145</v>
      </c>
      <c r="AU1534">
        <v>14.59</v>
      </c>
      <c r="AV1534">
        <v>16.23</v>
      </c>
      <c r="AW1534">
        <v>1.03</v>
      </c>
      <c r="BA1534">
        <v>0.39</v>
      </c>
      <c r="BB1534">
        <v>2.35</v>
      </c>
      <c r="BC1534">
        <v>-0.26</v>
      </c>
      <c r="BD1534">
        <v>1.23</v>
      </c>
      <c r="BE1534">
        <v>-0.65</v>
      </c>
      <c r="BF1534">
        <v>-2.5499999999999998</v>
      </c>
      <c r="BG1534">
        <v>0</v>
      </c>
      <c r="BH1534">
        <v>-1.49</v>
      </c>
      <c r="BI1534">
        <v>20191030</v>
      </c>
      <c r="BJ1534">
        <v>20101105</v>
      </c>
      <c r="BK1534">
        <v>5.51</v>
      </c>
      <c r="BL1534" t="s">
        <v>116</v>
      </c>
      <c r="BM1534" t="s">
        <v>116</v>
      </c>
      <c r="BN1534">
        <v>24</v>
      </c>
      <c r="BO1534">
        <v>19.75</v>
      </c>
      <c r="BP1534">
        <v>0.47</v>
      </c>
      <c r="BQ1534">
        <v>15.78</v>
      </c>
      <c r="BR1534">
        <v>17.760000000000002</v>
      </c>
      <c r="BS1534">
        <v>2.58</v>
      </c>
      <c r="BT1534">
        <v>0.23</v>
      </c>
      <c r="BU1534">
        <v>3.71</v>
      </c>
      <c r="BV1534">
        <v>4.63</v>
      </c>
      <c r="BW1534">
        <v>6.02</v>
      </c>
      <c r="BX1534">
        <v>4.71</v>
      </c>
      <c r="BY1534">
        <v>9.56</v>
      </c>
      <c r="BZ1534">
        <v>4.87</v>
      </c>
      <c r="CA1534">
        <v>1.99</v>
      </c>
      <c r="CB1534">
        <v>0.01</v>
      </c>
      <c r="CC1534">
        <v>2.0499999999999998</v>
      </c>
      <c r="CD1534">
        <v>1.75</v>
      </c>
      <c r="CE1534">
        <v>1.76</v>
      </c>
      <c r="CF1534">
        <v>1.71</v>
      </c>
      <c r="CG1534">
        <v>8.91</v>
      </c>
      <c r="CH1534">
        <v>0.51</v>
      </c>
      <c r="CI1534">
        <v>-1.1299999999999999</v>
      </c>
      <c r="CJ1534">
        <v>56277</v>
      </c>
      <c r="CK1534">
        <v>8029</v>
      </c>
      <c r="CL1534" t="s">
        <v>4564</v>
      </c>
      <c r="CM1534">
        <v>19.79</v>
      </c>
      <c r="CN1534">
        <v>16.559999999999999</v>
      </c>
      <c r="CO1534">
        <v>2.13</v>
      </c>
      <c r="CP1534">
        <v>82.62</v>
      </c>
      <c r="CQ1534">
        <v>4.4000000000000004</v>
      </c>
      <c r="CR1534">
        <v>0</v>
      </c>
      <c r="CS1534" t="s">
        <v>3311</v>
      </c>
      <c r="CT1534">
        <v>3.58</v>
      </c>
      <c r="CU1534">
        <v>0</v>
      </c>
      <c r="CV1534">
        <v>0.86</v>
      </c>
      <c r="CW1534">
        <v>1.62</v>
      </c>
      <c r="CX1534">
        <v>0.09</v>
      </c>
      <c r="CY1534">
        <v>82.27</v>
      </c>
      <c r="CZ1534" t="s">
        <v>8146</v>
      </c>
      <c r="DA1534">
        <v>49.08</v>
      </c>
      <c r="DB1534">
        <v>20.84</v>
      </c>
      <c r="DC1534">
        <v>18.440000000000001</v>
      </c>
      <c r="DD1534">
        <v>0.35</v>
      </c>
      <c r="DE1534">
        <v>1767</v>
      </c>
      <c r="DF1534">
        <v>300137</v>
      </c>
      <c r="DG1534" t="s">
        <v>116</v>
      </c>
      <c r="DH1534" t="s">
        <v>116</v>
      </c>
      <c r="DI1534" t="s">
        <v>116</v>
      </c>
    </row>
    <row r="1535" spans="1:113" x14ac:dyDescent="0.4">
      <c r="A1535" t="str">
        <f>"300138"</f>
        <v>300138</v>
      </c>
      <c r="B1535" t="s">
        <v>8147</v>
      </c>
      <c r="C1535">
        <v>-0.4</v>
      </c>
      <c r="D1535">
        <v>7.45</v>
      </c>
      <c r="E1535">
        <v>-0.03</v>
      </c>
      <c r="F1535">
        <v>7.45</v>
      </c>
      <c r="G1535">
        <v>7.46</v>
      </c>
      <c r="H1535">
        <v>45189</v>
      </c>
      <c r="I1535">
        <v>57</v>
      </c>
      <c r="J1535">
        <v>0.27</v>
      </c>
      <c r="K1535">
        <v>1.1200000000000001</v>
      </c>
      <c r="L1535">
        <v>7.52</v>
      </c>
      <c r="M1535">
        <v>7.52</v>
      </c>
      <c r="N1535">
        <v>7.42</v>
      </c>
      <c r="O1535">
        <v>7.48</v>
      </c>
      <c r="P1535">
        <v>19.37</v>
      </c>
      <c r="Q1535">
        <v>33782992</v>
      </c>
      <c r="R1535">
        <v>0.83</v>
      </c>
      <c r="S1535" t="s">
        <v>863</v>
      </c>
      <c r="T1535" t="s">
        <v>608</v>
      </c>
      <c r="U1535">
        <v>1.34</v>
      </c>
      <c r="V1535">
        <v>7.48</v>
      </c>
      <c r="W1535">
        <v>17081</v>
      </c>
      <c r="X1535">
        <v>28108</v>
      </c>
      <c r="Y1535">
        <v>0.61</v>
      </c>
      <c r="Z1535">
        <v>27</v>
      </c>
      <c r="AA1535">
        <v>544</v>
      </c>
      <c r="AB1535" t="s">
        <v>116</v>
      </c>
      <c r="AC1535">
        <v>145100</v>
      </c>
      <c r="AD1535">
        <v>0.01</v>
      </c>
      <c r="AE1535" t="s">
        <v>116</v>
      </c>
      <c r="AF1535" t="s">
        <v>116</v>
      </c>
      <c r="AG1535">
        <v>4.05</v>
      </c>
      <c r="AH1535" t="s">
        <v>3446</v>
      </c>
      <c r="AI1535" t="s">
        <v>2944</v>
      </c>
      <c r="AJ1535">
        <v>0.28000000000000003</v>
      </c>
      <c r="AK1535">
        <v>1110</v>
      </c>
      <c r="AL1535">
        <v>41</v>
      </c>
      <c r="AM1535">
        <v>1E-3</v>
      </c>
      <c r="AN1535">
        <v>-1</v>
      </c>
      <c r="AO1535">
        <v>0.95</v>
      </c>
      <c r="AP1535">
        <v>12.2</v>
      </c>
      <c r="AQ1535">
        <v>9.4</v>
      </c>
      <c r="AR1535">
        <v>31.16</v>
      </c>
      <c r="AS1535">
        <v>1.19</v>
      </c>
      <c r="AT1535" t="s">
        <v>2047</v>
      </c>
      <c r="AU1535">
        <v>23.11</v>
      </c>
      <c r="AV1535">
        <v>26.25</v>
      </c>
      <c r="AW1535">
        <v>0.64</v>
      </c>
      <c r="BA1535">
        <v>0.53</v>
      </c>
      <c r="BB1535">
        <v>0.53</v>
      </c>
      <c r="BC1535">
        <v>-0.8</v>
      </c>
      <c r="BD1535">
        <v>-0.06</v>
      </c>
      <c r="BE1535">
        <v>-0.93</v>
      </c>
      <c r="BF1535">
        <v>-0.93</v>
      </c>
      <c r="BG1535">
        <v>0.4</v>
      </c>
      <c r="BH1535">
        <v>-0.35</v>
      </c>
      <c r="BI1535">
        <v>20191118</v>
      </c>
      <c r="BJ1535">
        <v>20101105</v>
      </c>
      <c r="BK1535">
        <v>5.12</v>
      </c>
      <c r="BL1535" t="s">
        <v>116</v>
      </c>
      <c r="BM1535" t="s">
        <v>116</v>
      </c>
      <c r="BN1535">
        <v>34.58</v>
      </c>
      <c r="BO1535">
        <v>18.5</v>
      </c>
      <c r="BP1535">
        <v>-7.0000000000000007E-2</v>
      </c>
      <c r="BQ1535">
        <v>46.72</v>
      </c>
      <c r="BR1535">
        <v>21.55</v>
      </c>
      <c r="BS1535">
        <v>7.29</v>
      </c>
      <c r="BT1535">
        <v>1.39</v>
      </c>
      <c r="BU1535">
        <v>12.25</v>
      </c>
      <c r="BV1535">
        <v>9.93</v>
      </c>
      <c r="BW1535">
        <v>2.2599999999999998</v>
      </c>
      <c r="BX1535">
        <v>6.62</v>
      </c>
      <c r="BY1535">
        <v>23.06</v>
      </c>
      <c r="BZ1535">
        <v>18.8</v>
      </c>
      <c r="CA1535">
        <v>1.61</v>
      </c>
      <c r="CB1535">
        <v>0</v>
      </c>
      <c r="CC1535">
        <v>1.63</v>
      </c>
      <c r="CD1535">
        <v>1.45</v>
      </c>
      <c r="CE1535">
        <v>1.48</v>
      </c>
      <c r="CF1535">
        <v>1.4</v>
      </c>
      <c r="CG1535">
        <v>6.48</v>
      </c>
      <c r="CH1535">
        <v>7.13</v>
      </c>
      <c r="CI1535">
        <v>2.97</v>
      </c>
      <c r="CJ1535">
        <v>14061</v>
      </c>
      <c r="CK1535">
        <v>27077</v>
      </c>
      <c r="CL1535" t="s">
        <v>8148</v>
      </c>
      <c r="CM1535">
        <v>15.4</v>
      </c>
      <c r="CN1535">
        <v>7.6</v>
      </c>
      <c r="CO1535">
        <v>2.06</v>
      </c>
      <c r="CP1535">
        <v>5.35</v>
      </c>
      <c r="CQ1535">
        <v>1.65</v>
      </c>
      <c r="CR1535">
        <v>1.07</v>
      </c>
      <c r="CS1535" t="s">
        <v>4215</v>
      </c>
      <c r="CT1535">
        <v>3.61</v>
      </c>
      <c r="CU1535">
        <v>0</v>
      </c>
      <c r="CV1535">
        <v>1.29</v>
      </c>
      <c r="CW1535">
        <v>1.27</v>
      </c>
      <c r="CX1535">
        <v>1.39</v>
      </c>
      <c r="CY1535">
        <v>53.48</v>
      </c>
      <c r="CZ1535" t="s">
        <v>8149</v>
      </c>
      <c r="DA1535">
        <v>18.489999999999998</v>
      </c>
      <c r="DB1535">
        <v>6.97</v>
      </c>
      <c r="DC1535">
        <v>6.4</v>
      </c>
      <c r="DD1535">
        <v>0.33</v>
      </c>
      <c r="DE1535">
        <v>1302</v>
      </c>
      <c r="DF1535">
        <v>300138</v>
      </c>
      <c r="DG1535" t="s">
        <v>116</v>
      </c>
      <c r="DH1535" t="s">
        <v>116</v>
      </c>
      <c r="DI1535" t="s">
        <v>116</v>
      </c>
    </row>
    <row r="1536" spans="1:113" x14ac:dyDescent="0.4">
      <c r="A1536" t="str">
        <f>"300139"</f>
        <v>300139</v>
      </c>
      <c r="B1536" t="s">
        <v>8150</v>
      </c>
      <c r="C1536">
        <v>-2.93</v>
      </c>
      <c r="D1536">
        <v>8.94</v>
      </c>
      <c r="E1536">
        <v>-0.27</v>
      </c>
      <c r="F1536">
        <v>8.94</v>
      </c>
      <c r="G1536">
        <v>8.9499999999999993</v>
      </c>
      <c r="H1536">
        <v>119082</v>
      </c>
      <c r="I1536">
        <v>1768</v>
      </c>
      <c r="J1536">
        <v>-0.1</v>
      </c>
      <c r="K1536">
        <v>5.46</v>
      </c>
      <c r="L1536">
        <v>9.1199999999999992</v>
      </c>
      <c r="M1536">
        <v>9.25</v>
      </c>
      <c r="N1536">
        <v>8.94</v>
      </c>
      <c r="O1536">
        <v>9.2100000000000009</v>
      </c>
      <c r="P1536" t="s">
        <v>116</v>
      </c>
      <c r="Q1536">
        <v>108052920</v>
      </c>
      <c r="R1536">
        <v>1.1200000000000001</v>
      </c>
      <c r="S1536" t="s">
        <v>233</v>
      </c>
      <c r="T1536" t="s">
        <v>165</v>
      </c>
      <c r="U1536">
        <v>3.37</v>
      </c>
      <c r="V1536">
        <v>9.07</v>
      </c>
      <c r="W1536">
        <v>70100</v>
      </c>
      <c r="X1536">
        <v>48982</v>
      </c>
      <c r="Y1536">
        <v>1.43</v>
      </c>
      <c r="Z1536">
        <v>440</v>
      </c>
      <c r="AA1536">
        <v>354</v>
      </c>
      <c r="AB1536" t="s">
        <v>116</v>
      </c>
      <c r="AC1536">
        <v>951200</v>
      </c>
      <c r="AD1536">
        <v>0.05</v>
      </c>
      <c r="AE1536" t="s">
        <v>116</v>
      </c>
      <c r="AF1536" t="s">
        <v>116</v>
      </c>
      <c r="AG1536">
        <v>2.1800000000000002</v>
      </c>
      <c r="AH1536" t="s">
        <v>8151</v>
      </c>
      <c r="AI1536" t="s">
        <v>8152</v>
      </c>
      <c r="AJ1536">
        <v>-2.25</v>
      </c>
      <c r="AK1536">
        <v>2435</v>
      </c>
      <c r="AL1536">
        <v>49</v>
      </c>
      <c r="AM1536">
        <v>2.2000000000000001E-3</v>
      </c>
      <c r="AN1536">
        <v>-1</v>
      </c>
      <c r="AO1536">
        <v>2.52</v>
      </c>
      <c r="AP1536">
        <v>10.78</v>
      </c>
      <c r="AQ1536">
        <v>1.25</v>
      </c>
      <c r="AR1536">
        <v>21.14</v>
      </c>
      <c r="AS1536">
        <v>5.71</v>
      </c>
      <c r="AT1536" t="s">
        <v>133</v>
      </c>
      <c r="AU1536" t="s">
        <v>116</v>
      </c>
      <c r="AV1536">
        <v>567.30999999999995</v>
      </c>
      <c r="AW1536">
        <v>1.3</v>
      </c>
      <c r="BA1536">
        <v>-0.98</v>
      </c>
      <c r="BB1536">
        <v>0.43</v>
      </c>
      <c r="BC1536">
        <v>-2.93</v>
      </c>
      <c r="BD1536">
        <v>-1.48</v>
      </c>
      <c r="BE1536">
        <v>-1.97</v>
      </c>
      <c r="BF1536">
        <v>-3.35</v>
      </c>
      <c r="BG1536">
        <v>0</v>
      </c>
      <c r="BH1536">
        <v>-1.45</v>
      </c>
      <c r="BI1536">
        <v>20191020</v>
      </c>
      <c r="BJ1536">
        <v>20101112</v>
      </c>
      <c r="BK1536">
        <v>2.74</v>
      </c>
      <c r="BL1536" t="s">
        <v>116</v>
      </c>
      <c r="BM1536" t="s">
        <v>116</v>
      </c>
      <c r="BN1536">
        <v>13.48</v>
      </c>
      <c r="BO1536">
        <v>11.12</v>
      </c>
      <c r="BP1536">
        <v>0.01</v>
      </c>
      <c r="BQ1536">
        <v>17.41</v>
      </c>
      <c r="BR1536">
        <v>4.1500000000000004</v>
      </c>
      <c r="BS1536">
        <v>1.93</v>
      </c>
      <c r="BT1536">
        <v>2.13</v>
      </c>
      <c r="BU1536">
        <v>2.0299999999999998</v>
      </c>
      <c r="BV1536">
        <v>1.81</v>
      </c>
      <c r="BW1536">
        <v>1.25</v>
      </c>
      <c r="BX1536">
        <v>5.8</v>
      </c>
      <c r="BY1536">
        <v>0.65</v>
      </c>
      <c r="BZ1536">
        <v>0.51</v>
      </c>
      <c r="CA1536">
        <v>-0.4</v>
      </c>
      <c r="CB1536">
        <v>0</v>
      </c>
      <c r="CC1536">
        <v>-0.4</v>
      </c>
      <c r="CD1536">
        <v>-0.43</v>
      </c>
      <c r="CE1536">
        <v>-0.42</v>
      </c>
      <c r="CF1536">
        <v>-0.43</v>
      </c>
      <c r="CG1536">
        <v>1.48</v>
      </c>
      <c r="CH1536">
        <v>-0.3</v>
      </c>
      <c r="CI1536">
        <v>-0.68</v>
      </c>
      <c r="CJ1536">
        <v>45693</v>
      </c>
      <c r="CK1536">
        <v>4561</v>
      </c>
      <c r="CL1536" t="s">
        <v>8153</v>
      </c>
      <c r="CM1536">
        <v>-291.01</v>
      </c>
      <c r="CN1536">
        <v>-61.29</v>
      </c>
      <c r="CO1536">
        <v>2.2000000000000002</v>
      </c>
      <c r="CP1536">
        <v>-81.77</v>
      </c>
      <c r="CQ1536">
        <v>37.4</v>
      </c>
      <c r="CR1536">
        <v>0</v>
      </c>
      <c r="CS1536" t="s">
        <v>7692</v>
      </c>
      <c r="CT1536">
        <v>4.0599999999999996</v>
      </c>
      <c r="CU1536">
        <v>0</v>
      </c>
      <c r="CV1536">
        <v>2.12</v>
      </c>
      <c r="CW1536">
        <v>0.54</v>
      </c>
      <c r="CX1536">
        <v>-0.11</v>
      </c>
      <c r="CY1536">
        <v>82.48</v>
      </c>
      <c r="CZ1536" t="s">
        <v>8154</v>
      </c>
      <c r="DA1536">
        <v>21.38</v>
      </c>
      <c r="DB1536">
        <v>-61.41</v>
      </c>
      <c r="DC1536">
        <v>-63.73</v>
      </c>
      <c r="DD1536">
        <v>7.0000000000000007E-2</v>
      </c>
      <c r="DE1536">
        <v>142</v>
      </c>
      <c r="DF1536">
        <v>300139</v>
      </c>
      <c r="DG1536" t="s">
        <v>116</v>
      </c>
      <c r="DH1536" t="s">
        <v>116</v>
      </c>
      <c r="DI1536" t="s">
        <v>116</v>
      </c>
    </row>
    <row r="1537" spans="1:113" x14ac:dyDescent="0.4">
      <c r="A1537" t="str">
        <f>"300140"</f>
        <v>300140</v>
      </c>
      <c r="B1537" t="s">
        <v>8155</v>
      </c>
      <c r="C1537">
        <v>-2.94</v>
      </c>
      <c r="D1537">
        <v>10.58</v>
      </c>
      <c r="E1537">
        <v>-0.32</v>
      </c>
      <c r="F1537">
        <v>10.57</v>
      </c>
      <c r="G1537">
        <v>10.58</v>
      </c>
      <c r="H1537">
        <v>45345</v>
      </c>
      <c r="I1537">
        <v>573</v>
      </c>
      <c r="J1537">
        <v>0.09</v>
      </c>
      <c r="K1537">
        <v>1.31</v>
      </c>
      <c r="L1537">
        <v>10.92</v>
      </c>
      <c r="M1537">
        <v>10.99</v>
      </c>
      <c r="N1537">
        <v>10.5</v>
      </c>
      <c r="O1537">
        <v>10.9</v>
      </c>
      <c r="P1537">
        <v>44.1</v>
      </c>
      <c r="Q1537">
        <v>48706568</v>
      </c>
      <c r="R1537">
        <v>0.82</v>
      </c>
      <c r="S1537" t="s">
        <v>397</v>
      </c>
      <c r="T1537" t="s">
        <v>913</v>
      </c>
      <c r="U1537">
        <v>4.5</v>
      </c>
      <c r="V1537">
        <v>10.74</v>
      </c>
      <c r="W1537">
        <v>30398</v>
      </c>
      <c r="X1537">
        <v>14947</v>
      </c>
      <c r="Y1537">
        <v>2.0299999999999998</v>
      </c>
      <c r="Z1537">
        <v>345</v>
      </c>
      <c r="AA1537">
        <v>312</v>
      </c>
      <c r="AB1537" t="s">
        <v>116</v>
      </c>
      <c r="AC1537">
        <v>97200</v>
      </c>
      <c r="AD1537">
        <v>0</v>
      </c>
      <c r="AE1537" t="s">
        <v>116</v>
      </c>
      <c r="AF1537" t="s">
        <v>116</v>
      </c>
      <c r="AG1537">
        <v>3.45</v>
      </c>
      <c r="AH1537" t="s">
        <v>6632</v>
      </c>
      <c r="AI1537" t="s">
        <v>5316</v>
      </c>
      <c r="AJ1537">
        <v>-2.2599999999999998</v>
      </c>
      <c r="AK1537">
        <v>1495</v>
      </c>
      <c r="AL1537">
        <v>30</v>
      </c>
      <c r="AM1537">
        <v>8.9999999999999998E-4</v>
      </c>
      <c r="AN1537">
        <v>-1</v>
      </c>
      <c r="AO1537">
        <v>-2.76</v>
      </c>
      <c r="AP1537">
        <v>9.64</v>
      </c>
      <c r="AQ1537">
        <v>7.3</v>
      </c>
      <c r="AR1537">
        <v>15</v>
      </c>
      <c r="AS1537">
        <v>2.35</v>
      </c>
      <c r="AT1537" t="s">
        <v>8156</v>
      </c>
      <c r="AU1537">
        <v>34.01</v>
      </c>
      <c r="AV1537">
        <v>151.38999999999999</v>
      </c>
      <c r="AW1537">
        <v>0.74</v>
      </c>
      <c r="BA1537">
        <v>0.18</v>
      </c>
      <c r="BB1537">
        <v>0.83</v>
      </c>
      <c r="BC1537">
        <v>-3.67</v>
      </c>
      <c r="BD1537">
        <v>-1.46</v>
      </c>
      <c r="BE1537">
        <v>-3.11</v>
      </c>
      <c r="BF1537">
        <v>-3.73</v>
      </c>
      <c r="BG1537">
        <v>0.76</v>
      </c>
      <c r="BH1537">
        <v>-1.48</v>
      </c>
      <c r="BI1537">
        <v>20191129</v>
      </c>
      <c r="BJ1537">
        <v>20101112</v>
      </c>
      <c r="BK1537">
        <v>4.2699999999999996</v>
      </c>
      <c r="BL1537" t="s">
        <v>116</v>
      </c>
      <c r="BM1537" t="s">
        <v>116</v>
      </c>
      <c r="BN1537">
        <v>64.23</v>
      </c>
      <c r="BO1537">
        <v>23.28</v>
      </c>
      <c r="BP1537">
        <v>1.9</v>
      </c>
      <c r="BQ1537">
        <v>60.79</v>
      </c>
      <c r="BR1537">
        <v>49.72</v>
      </c>
      <c r="BS1537">
        <v>4.82</v>
      </c>
      <c r="BT1537">
        <v>1.75</v>
      </c>
      <c r="BU1537">
        <v>34.97</v>
      </c>
      <c r="BV1537">
        <v>10.1</v>
      </c>
      <c r="BW1537">
        <v>21.61</v>
      </c>
      <c r="BX1537">
        <v>13.3</v>
      </c>
      <c r="BY1537">
        <v>16.350000000000001</v>
      </c>
      <c r="BZ1537">
        <v>12.09</v>
      </c>
      <c r="CA1537">
        <v>1.18</v>
      </c>
      <c r="CB1537">
        <v>-0.04</v>
      </c>
      <c r="CC1537">
        <v>1.19</v>
      </c>
      <c r="CD1537">
        <v>0.81</v>
      </c>
      <c r="CE1537">
        <v>0.77</v>
      </c>
      <c r="CF1537">
        <v>0.64</v>
      </c>
      <c r="CG1537">
        <v>4.9800000000000004</v>
      </c>
      <c r="CH1537">
        <v>-4.1399999999999997</v>
      </c>
      <c r="CI1537">
        <v>5.03</v>
      </c>
      <c r="CJ1537">
        <v>18930</v>
      </c>
      <c r="CK1537">
        <v>10202</v>
      </c>
      <c r="CL1537" t="s">
        <v>8157</v>
      </c>
      <c r="CM1537">
        <v>393.95</v>
      </c>
      <c r="CN1537">
        <v>96.94</v>
      </c>
      <c r="CO1537">
        <v>1.94</v>
      </c>
      <c r="CP1537">
        <v>-10.93</v>
      </c>
      <c r="CQ1537">
        <v>2.77</v>
      </c>
      <c r="CR1537">
        <v>0</v>
      </c>
      <c r="CS1537" t="s">
        <v>1971</v>
      </c>
      <c r="CT1537">
        <v>5.45</v>
      </c>
      <c r="CU1537">
        <v>0</v>
      </c>
      <c r="CV1537">
        <v>3.11</v>
      </c>
      <c r="CW1537">
        <v>1.17</v>
      </c>
      <c r="CX1537">
        <v>-0.97</v>
      </c>
      <c r="CY1537">
        <v>36.25</v>
      </c>
      <c r="CZ1537" t="s">
        <v>1606</v>
      </c>
      <c r="DA1537">
        <v>26.02</v>
      </c>
      <c r="DB1537">
        <v>7.25</v>
      </c>
      <c r="DC1537">
        <v>4.7</v>
      </c>
      <c r="DD1537">
        <v>0.54</v>
      </c>
      <c r="DE1537">
        <v>1936</v>
      </c>
      <c r="DF1537">
        <v>300140</v>
      </c>
      <c r="DG1537" t="s">
        <v>116</v>
      </c>
      <c r="DH1537" t="s">
        <v>116</v>
      </c>
      <c r="DI1537" t="s">
        <v>116</v>
      </c>
    </row>
    <row r="1538" spans="1:113" x14ac:dyDescent="0.4">
      <c r="A1538" t="str">
        <f>"300141"</f>
        <v>300141</v>
      </c>
      <c r="B1538" t="s">
        <v>8158</v>
      </c>
      <c r="C1538">
        <v>-0.75</v>
      </c>
      <c r="D1538">
        <v>6.6</v>
      </c>
      <c r="E1538">
        <v>-0.05</v>
      </c>
      <c r="F1538">
        <v>6.59</v>
      </c>
      <c r="G1538">
        <v>6.6</v>
      </c>
      <c r="H1538">
        <v>24668</v>
      </c>
      <c r="I1538">
        <v>277</v>
      </c>
      <c r="J1538">
        <v>0.15</v>
      </c>
      <c r="K1538">
        <v>1.49</v>
      </c>
      <c r="L1538">
        <v>6.6</v>
      </c>
      <c r="M1538">
        <v>6.71</v>
      </c>
      <c r="N1538">
        <v>6.59</v>
      </c>
      <c r="O1538">
        <v>6.65</v>
      </c>
      <c r="P1538">
        <v>537.04</v>
      </c>
      <c r="Q1538">
        <v>16366440</v>
      </c>
      <c r="R1538">
        <v>0.82</v>
      </c>
      <c r="S1538" t="s">
        <v>397</v>
      </c>
      <c r="T1538" t="s">
        <v>323</v>
      </c>
      <c r="U1538">
        <v>1.8</v>
      </c>
      <c r="V1538">
        <v>6.63</v>
      </c>
      <c r="W1538">
        <v>12665</v>
      </c>
      <c r="X1538">
        <v>12003</v>
      </c>
      <c r="Y1538">
        <v>1.06</v>
      </c>
      <c r="Z1538">
        <v>390</v>
      </c>
      <c r="AA1538">
        <v>217</v>
      </c>
      <c r="AB1538" t="s">
        <v>116</v>
      </c>
      <c r="AC1538">
        <v>52800</v>
      </c>
      <c r="AD1538">
        <v>0.01</v>
      </c>
      <c r="AE1538" t="s">
        <v>116</v>
      </c>
      <c r="AF1538" t="s">
        <v>116</v>
      </c>
      <c r="AG1538">
        <v>1.66</v>
      </c>
      <c r="AH1538" t="s">
        <v>8159</v>
      </c>
      <c r="AI1538" t="s">
        <v>3999</v>
      </c>
      <c r="AJ1538">
        <v>-7.0000000000000007E-2</v>
      </c>
      <c r="AK1538">
        <v>874</v>
      </c>
      <c r="AL1538">
        <v>28</v>
      </c>
      <c r="AM1538">
        <v>1.6999999999999999E-3</v>
      </c>
      <c r="AN1538">
        <v>-1</v>
      </c>
      <c r="AO1538">
        <v>0.47</v>
      </c>
      <c r="AP1538">
        <v>7.49</v>
      </c>
      <c r="AQ1538">
        <v>-0.3</v>
      </c>
      <c r="AR1538">
        <v>-3.15</v>
      </c>
      <c r="AS1538">
        <v>2.34</v>
      </c>
      <c r="AT1538" t="s">
        <v>8160</v>
      </c>
      <c r="AU1538">
        <v>161.47999999999999</v>
      </c>
      <c r="AV1538">
        <v>200.56</v>
      </c>
      <c r="AW1538">
        <v>1.1299999999999999</v>
      </c>
      <c r="BA1538">
        <v>-0.75</v>
      </c>
      <c r="BB1538">
        <v>0.9</v>
      </c>
      <c r="BC1538">
        <v>-0.9</v>
      </c>
      <c r="BD1538">
        <v>-0.23</v>
      </c>
      <c r="BE1538">
        <v>0</v>
      </c>
      <c r="BF1538">
        <v>-1.64</v>
      </c>
      <c r="BG1538">
        <v>0.15</v>
      </c>
      <c r="BH1538">
        <v>-0.52</v>
      </c>
      <c r="BI1538">
        <v>20191030</v>
      </c>
      <c r="BJ1538">
        <v>20101112</v>
      </c>
      <c r="BK1538">
        <v>2.5499999999999998</v>
      </c>
      <c r="BL1538" t="s">
        <v>116</v>
      </c>
      <c r="BM1538" t="s">
        <v>116</v>
      </c>
      <c r="BN1538">
        <v>15.76</v>
      </c>
      <c r="BO1538">
        <v>7.13</v>
      </c>
      <c r="BP1538">
        <v>0.16</v>
      </c>
      <c r="BQ1538">
        <v>53.71</v>
      </c>
      <c r="BR1538">
        <v>13.95</v>
      </c>
      <c r="BS1538">
        <v>1.31</v>
      </c>
      <c r="BT1538">
        <v>7.0000000000000007E-2</v>
      </c>
      <c r="BU1538">
        <v>7.86</v>
      </c>
      <c r="BV1538">
        <v>3.35</v>
      </c>
      <c r="BW1538">
        <v>6.28</v>
      </c>
      <c r="BX1538">
        <v>2.4300000000000002</v>
      </c>
      <c r="BY1538">
        <v>4.05</v>
      </c>
      <c r="BZ1538">
        <v>3.26</v>
      </c>
      <c r="CA1538">
        <v>0.03</v>
      </c>
      <c r="CB1538">
        <v>0</v>
      </c>
      <c r="CC1538">
        <v>0.03</v>
      </c>
      <c r="CD1538">
        <v>0.02</v>
      </c>
      <c r="CE1538">
        <v>0.02</v>
      </c>
      <c r="CF1538">
        <v>0</v>
      </c>
      <c r="CG1538">
        <v>2.06</v>
      </c>
      <c r="CH1538">
        <v>-0.56999999999999995</v>
      </c>
      <c r="CI1538">
        <v>0.41</v>
      </c>
      <c r="CJ1538">
        <v>17692</v>
      </c>
      <c r="CK1538">
        <v>5965</v>
      </c>
      <c r="CL1538" t="s">
        <v>4640</v>
      </c>
      <c r="CM1538">
        <v>635.24</v>
      </c>
      <c r="CN1538">
        <v>-14.23</v>
      </c>
      <c r="CO1538">
        <v>2.36</v>
      </c>
      <c r="CP1538">
        <v>-29.74</v>
      </c>
      <c r="CQ1538">
        <v>4.17</v>
      </c>
      <c r="CR1538">
        <v>0.23</v>
      </c>
      <c r="CS1538" t="s">
        <v>930</v>
      </c>
      <c r="CT1538">
        <v>2.79</v>
      </c>
      <c r="CU1538">
        <v>0</v>
      </c>
      <c r="CV1538">
        <v>0.95</v>
      </c>
      <c r="CW1538">
        <v>0.81</v>
      </c>
      <c r="CX1538">
        <v>-0.22</v>
      </c>
      <c r="CY1538">
        <v>45.27</v>
      </c>
      <c r="CZ1538" t="s">
        <v>5180</v>
      </c>
      <c r="DA1538">
        <v>19.43</v>
      </c>
      <c r="DB1538">
        <v>0.76</v>
      </c>
      <c r="DC1538">
        <v>0.57999999999999996</v>
      </c>
      <c r="DD1538">
        <v>0.15</v>
      </c>
      <c r="DE1538">
        <v>393</v>
      </c>
      <c r="DF1538">
        <v>300141</v>
      </c>
      <c r="DG1538" t="s">
        <v>116</v>
      </c>
      <c r="DH1538" t="s">
        <v>116</v>
      </c>
      <c r="DI1538" t="s">
        <v>116</v>
      </c>
    </row>
    <row r="1539" spans="1:113" x14ac:dyDescent="0.4">
      <c r="A1539" t="str">
        <f>"300142"</f>
        <v>300142</v>
      </c>
      <c r="B1539" t="s">
        <v>8161</v>
      </c>
      <c r="C1539">
        <v>-2.93</v>
      </c>
      <c r="D1539">
        <v>31.75</v>
      </c>
      <c r="E1539">
        <v>-0.96</v>
      </c>
      <c r="F1539">
        <v>31.75</v>
      </c>
      <c r="G1539">
        <v>31.77</v>
      </c>
      <c r="H1539">
        <v>240894</v>
      </c>
      <c r="I1539">
        <v>5697</v>
      </c>
      <c r="J1539">
        <v>-0.3</v>
      </c>
      <c r="K1539">
        <v>1.66</v>
      </c>
      <c r="L1539">
        <v>32.79</v>
      </c>
      <c r="M1539">
        <v>33.08</v>
      </c>
      <c r="N1539">
        <v>31.72</v>
      </c>
      <c r="O1539">
        <v>32.71</v>
      </c>
      <c r="P1539">
        <v>304.14999999999998</v>
      </c>
      <c r="Q1539">
        <v>780150848</v>
      </c>
      <c r="R1539">
        <v>1.62</v>
      </c>
      <c r="S1539" t="s">
        <v>132</v>
      </c>
      <c r="T1539" t="s">
        <v>1043</v>
      </c>
      <c r="U1539">
        <v>4.16</v>
      </c>
      <c r="V1539">
        <v>32.39</v>
      </c>
      <c r="W1539">
        <v>119837</v>
      </c>
      <c r="X1539">
        <v>121057</v>
      </c>
      <c r="Y1539">
        <v>0.99</v>
      </c>
      <c r="Z1539">
        <v>683</v>
      </c>
      <c r="AA1539">
        <v>47</v>
      </c>
      <c r="AB1539" t="s">
        <v>116</v>
      </c>
      <c r="AC1539">
        <v>11007600</v>
      </c>
      <c r="AD1539">
        <v>0.03</v>
      </c>
      <c r="AE1539" t="s">
        <v>116</v>
      </c>
      <c r="AF1539" t="s">
        <v>116</v>
      </c>
      <c r="AG1539">
        <v>14.55</v>
      </c>
      <c r="AH1539" t="s">
        <v>8162</v>
      </c>
      <c r="AI1539" t="s">
        <v>8163</v>
      </c>
      <c r="AJ1539">
        <v>-2.2599999999999998</v>
      </c>
      <c r="AK1539">
        <v>3969</v>
      </c>
      <c r="AL1539">
        <v>61</v>
      </c>
      <c r="AM1539">
        <v>4.0000000000000002E-4</v>
      </c>
      <c r="AN1539">
        <v>-1</v>
      </c>
      <c r="AO1539">
        <v>4.1399999999999997</v>
      </c>
      <c r="AP1539">
        <v>5.13</v>
      </c>
      <c r="AQ1539">
        <v>15.33</v>
      </c>
      <c r="AR1539">
        <v>66.489999999999995</v>
      </c>
      <c r="AS1539">
        <v>2.04</v>
      </c>
      <c r="AT1539" t="s">
        <v>8164</v>
      </c>
      <c r="AU1539">
        <v>45.39</v>
      </c>
      <c r="AV1539">
        <v>46.66</v>
      </c>
      <c r="AW1539">
        <v>0.71</v>
      </c>
      <c r="BA1539">
        <v>0.24</v>
      </c>
      <c r="BB1539">
        <v>1.1299999999999999</v>
      </c>
      <c r="BC1539">
        <v>-3.03</v>
      </c>
      <c r="BD1539">
        <v>-0.99</v>
      </c>
      <c r="BE1539">
        <v>-3.17</v>
      </c>
      <c r="BF1539">
        <v>-4.0199999999999996</v>
      </c>
      <c r="BG1539">
        <v>0.09</v>
      </c>
      <c r="BH1539">
        <v>-1.94</v>
      </c>
      <c r="BI1539">
        <v>20191024</v>
      </c>
      <c r="BJ1539">
        <v>20101112</v>
      </c>
      <c r="BK1539">
        <v>15.37</v>
      </c>
      <c r="BL1539" t="s">
        <v>116</v>
      </c>
      <c r="BM1539" t="s">
        <v>116</v>
      </c>
      <c r="BN1539">
        <v>70.59</v>
      </c>
      <c r="BO1539">
        <v>48.25</v>
      </c>
      <c r="BP1539">
        <v>7.86</v>
      </c>
      <c r="BQ1539">
        <v>20.52</v>
      </c>
      <c r="BR1539">
        <v>36.5</v>
      </c>
      <c r="BS1539">
        <v>7</v>
      </c>
      <c r="BT1539">
        <v>1.32</v>
      </c>
      <c r="BU1539">
        <v>11.94</v>
      </c>
      <c r="BV1539">
        <v>2.93</v>
      </c>
      <c r="BW1539">
        <v>5.12</v>
      </c>
      <c r="BX1539">
        <v>27.36</v>
      </c>
      <c r="BY1539">
        <v>7.97</v>
      </c>
      <c r="BZ1539">
        <v>1.62</v>
      </c>
      <c r="CA1539">
        <v>1.87</v>
      </c>
      <c r="CB1539">
        <v>0.05</v>
      </c>
      <c r="CC1539">
        <v>1.86</v>
      </c>
      <c r="CD1539">
        <v>1.6</v>
      </c>
      <c r="CE1539">
        <v>1.2</v>
      </c>
      <c r="CF1539">
        <v>1.1399999999999999</v>
      </c>
      <c r="CG1539">
        <v>5.04</v>
      </c>
      <c r="CH1539">
        <v>0.55000000000000004</v>
      </c>
      <c r="CI1539">
        <v>-3.26</v>
      </c>
      <c r="CJ1539">
        <v>31269</v>
      </c>
      <c r="CK1539">
        <v>37706</v>
      </c>
      <c r="CL1539" t="s">
        <v>8165</v>
      </c>
      <c r="CM1539">
        <v>32.1</v>
      </c>
      <c r="CN1539">
        <v>39.090000000000003</v>
      </c>
      <c r="CO1539">
        <v>10.119999999999999</v>
      </c>
      <c r="CP1539">
        <v>885.34</v>
      </c>
      <c r="CQ1539">
        <v>61.21</v>
      </c>
      <c r="CR1539">
        <v>0.09</v>
      </c>
      <c r="CS1539" t="s">
        <v>178</v>
      </c>
      <c r="CT1539">
        <v>3.14</v>
      </c>
      <c r="CU1539">
        <v>0</v>
      </c>
      <c r="CV1539">
        <v>1.78</v>
      </c>
      <c r="CW1539">
        <v>0.33</v>
      </c>
      <c r="CX1539">
        <v>0.04</v>
      </c>
      <c r="CY1539">
        <v>68.349999999999994</v>
      </c>
      <c r="CZ1539" t="s">
        <v>1086</v>
      </c>
      <c r="DA1539">
        <v>79.67</v>
      </c>
      <c r="DB1539">
        <v>23.49</v>
      </c>
      <c r="DC1539">
        <v>15.09</v>
      </c>
      <c r="DD1539">
        <v>0.42</v>
      </c>
      <c r="DE1539">
        <v>1089</v>
      </c>
      <c r="DF1539">
        <v>300142</v>
      </c>
      <c r="DG1539" t="s">
        <v>116</v>
      </c>
      <c r="DH1539" t="s">
        <v>116</v>
      </c>
      <c r="DI1539" t="s">
        <v>116</v>
      </c>
    </row>
    <row r="1540" spans="1:113" x14ac:dyDescent="0.4">
      <c r="A1540" t="str">
        <f>"300143"</f>
        <v>300143</v>
      </c>
      <c r="B1540" t="s">
        <v>8166</v>
      </c>
      <c r="C1540">
        <v>-1.89</v>
      </c>
      <c r="D1540">
        <v>9.32</v>
      </c>
      <c r="E1540">
        <v>-0.18</v>
      </c>
      <c r="F1540">
        <v>9.32</v>
      </c>
      <c r="G1540">
        <v>9.33</v>
      </c>
      <c r="H1540">
        <v>33253</v>
      </c>
      <c r="I1540">
        <v>1160</v>
      </c>
      <c r="J1540">
        <v>-0.31</v>
      </c>
      <c r="K1540">
        <v>0.65</v>
      </c>
      <c r="L1540">
        <v>9.49</v>
      </c>
      <c r="M1540">
        <v>9.49</v>
      </c>
      <c r="N1540">
        <v>9.3000000000000007</v>
      </c>
      <c r="O1540">
        <v>9.5</v>
      </c>
      <c r="P1540">
        <v>97.74</v>
      </c>
      <c r="Q1540">
        <v>31153838</v>
      </c>
      <c r="R1540">
        <v>0.65</v>
      </c>
      <c r="S1540" t="s">
        <v>559</v>
      </c>
      <c r="T1540" t="s">
        <v>551</v>
      </c>
      <c r="U1540">
        <v>2</v>
      </c>
      <c r="V1540">
        <v>9.3699999999999992</v>
      </c>
      <c r="W1540">
        <v>18989</v>
      </c>
      <c r="X1540">
        <v>14264</v>
      </c>
      <c r="Y1540">
        <v>1.33</v>
      </c>
      <c r="Z1540">
        <v>527</v>
      </c>
      <c r="AA1540">
        <v>494</v>
      </c>
      <c r="AB1540" t="s">
        <v>116</v>
      </c>
      <c r="AC1540">
        <v>900</v>
      </c>
      <c r="AD1540">
        <v>0</v>
      </c>
      <c r="AE1540" t="s">
        <v>116</v>
      </c>
      <c r="AF1540" t="s">
        <v>116</v>
      </c>
      <c r="AG1540">
        <v>5.1100000000000003</v>
      </c>
      <c r="AH1540" t="s">
        <v>7615</v>
      </c>
      <c r="AI1540" t="s">
        <v>8167</v>
      </c>
      <c r="AJ1540">
        <v>-1.22</v>
      </c>
      <c r="AK1540">
        <v>1164</v>
      </c>
      <c r="AL1540">
        <v>29</v>
      </c>
      <c r="AM1540">
        <v>5.9999999999999995E-4</v>
      </c>
      <c r="AN1540">
        <v>-1</v>
      </c>
      <c r="AO1540">
        <v>-1.37</v>
      </c>
      <c r="AP1540">
        <v>9.1300000000000008</v>
      </c>
      <c r="AQ1540">
        <v>15.06</v>
      </c>
      <c r="AR1540">
        <v>2.5299999999999998</v>
      </c>
      <c r="AS1540">
        <v>1.37</v>
      </c>
      <c r="AT1540" t="s">
        <v>8168</v>
      </c>
      <c r="AU1540">
        <v>236.82</v>
      </c>
      <c r="AV1540">
        <v>101.41</v>
      </c>
      <c r="AW1540">
        <v>0.56000000000000005</v>
      </c>
      <c r="BA1540">
        <v>-0.11</v>
      </c>
      <c r="BB1540">
        <v>-0.11</v>
      </c>
      <c r="BC1540">
        <v>-2.11</v>
      </c>
      <c r="BD1540">
        <v>-1.38</v>
      </c>
      <c r="BE1540">
        <v>-1.79</v>
      </c>
      <c r="BF1540">
        <v>-1.79</v>
      </c>
      <c r="BG1540">
        <v>0.22</v>
      </c>
      <c r="BH1540">
        <v>-0.51</v>
      </c>
      <c r="BI1540">
        <v>20191029</v>
      </c>
      <c r="BJ1540">
        <v>20101209</v>
      </c>
      <c r="BK1540">
        <v>5.46</v>
      </c>
      <c r="BL1540" t="s">
        <v>116</v>
      </c>
      <c r="BM1540" t="s">
        <v>116</v>
      </c>
      <c r="BN1540">
        <v>26.54</v>
      </c>
      <c r="BO1540">
        <v>20.81</v>
      </c>
      <c r="BP1540">
        <v>0.25</v>
      </c>
      <c r="BQ1540">
        <v>20.66</v>
      </c>
      <c r="BR1540">
        <v>2.93</v>
      </c>
      <c r="BS1540">
        <v>1.61</v>
      </c>
      <c r="BT1540">
        <v>1.1299999999999999</v>
      </c>
      <c r="BU1540">
        <v>2.82</v>
      </c>
      <c r="BV1540">
        <v>0.25</v>
      </c>
      <c r="BW1540">
        <v>1.39</v>
      </c>
      <c r="BX1540">
        <v>16.05</v>
      </c>
      <c r="BY1540">
        <v>4.0199999999999996</v>
      </c>
      <c r="BZ1540">
        <v>2.06</v>
      </c>
      <c r="CA1540">
        <v>0.77</v>
      </c>
      <c r="CB1540">
        <v>0.03</v>
      </c>
      <c r="CC1540">
        <v>0.67</v>
      </c>
      <c r="CD1540">
        <v>0.46</v>
      </c>
      <c r="CE1540">
        <v>0.39</v>
      </c>
      <c r="CF1540">
        <v>0.45</v>
      </c>
      <c r="CG1540">
        <v>-0.82</v>
      </c>
      <c r="CH1540">
        <v>0.42</v>
      </c>
      <c r="CI1540">
        <v>-0.16</v>
      </c>
      <c r="CJ1540">
        <v>9181</v>
      </c>
      <c r="CK1540">
        <v>26487</v>
      </c>
      <c r="CL1540" t="s">
        <v>8169</v>
      </c>
      <c r="CM1540">
        <v>-42.36</v>
      </c>
      <c r="CN1540">
        <v>4.07</v>
      </c>
      <c r="CO1540">
        <v>2.44</v>
      </c>
      <c r="CP1540">
        <v>122.31</v>
      </c>
      <c r="CQ1540">
        <v>12.66</v>
      </c>
      <c r="CR1540">
        <v>0</v>
      </c>
      <c r="CS1540" t="s">
        <v>1303</v>
      </c>
      <c r="CT1540">
        <v>3.81</v>
      </c>
      <c r="CU1540">
        <v>0</v>
      </c>
      <c r="CV1540">
        <v>2.94</v>
      </c>
      <c r="CW1540">
        <v>-0.15</v>
      </c>
      <c r="CX1540">
        <v>0.08</v>
      </c>
      <c r="CY1540">
        <v>78.42</v>
      </c>
      <c r="CZ1540" t="s">
        <v>688</v>
      </c>
      <c r="DA1540">
        <v>48.63</v>
      </c>
      <c r="DB1540">
        <v>19.16</v>
      </c>
      <c r="DC1540">
        <v>9.7100000000000009</v>
      </c>
      <c r="DD1540">
        <v>0.03</v>
      </c>
      <c r="DE1540">
        <v>1189</v>
      </c>
      <c r="DF1540">
        <v>300143</v>
      </c>
      <c r="DG1540" t="s">
        <v>116</v>
      </c>
      <c r="DH1540" t="s">
        <v>116</v>
      </c>
      <c r="DI1540" t="s">
        <v>116</v>
      </c>
    </row>
    <row r="1541" spans="1:113" x14ac:dyDescent="0.4">
      <c r="A1541" t="str">
        <f>"300144"</f>
        <v>300144</v>
      </c>
      <c r="B1541" t="s">
        <v>8170</v>
      </c>
      <c r="C1541">
        <v>-0.8</v>
      </c>
      <c r="D1541">
        <v>31.01</v>
      </c>
      <c r="E1541">
        <v>-0.25</v>
      </c>
      <c r="F1541">
        <v>31.01</v>
      </c>
      <c r="G1541">
        <v>31.02</v>
      </c>
      <c r="H1541">
        <v>37070</v>
      </c>
      <c r="I1541">
        <v>181</v>
      </c>
      <c r="J1541">
        <v>0.03</v>
      </c>
      <c r="K1541">
        <v>0.32</v>
      </c>
      <c r="L1541">
        <v>31.25</v>
      </c>
      <c r="M1541">
        <v>31.33</v>
      </c>
      <c r="N1541">
        <v>30.88</v>
      </c>
      <c r="O1541">
        <v>31.26</v>
      </c>
      <c r="P1541">
        <v>26.6</v>
      </c>
      <c r="Q1541">
        <v>115176584</v>
      </c>
      <c r="R1541">
        <v>0.88</v>
      </c>
      <c r="S1541" t="s">
        <v>493</v>
      </c>
      <c r="T1541" t="s">
        <v>590</v>
      </c>
      <c r="U1541">
        <v>1.44</v>
      </c>
      <c r="V1541">
        <v>31.07</v>
      </c>
      <c r="W1541">
        <v>20768</v>
      </c>
      <c r="X1541">
        <v>16302</v>
      </c>
      <c r="Y1541">
        <v>1.27</v>
      </c>
      <c r="Z1541">
        <v>11</v>
      </c>
      <c r="AA1541">
        <v>11</v>
      </c>
      <c r="AB1541" t="s">
        <v>116</v>
      </c>
      <c r="AC1541">
        <v>809400</v>
      </c>
      <c r="AD1541">
        <v>0</v>
      </c>
      <c r="AE1541" t="s">
        <v>116</v>
      </c>
      <c r="AF1541" t="s">
        <v>116</v>
      </c>
      <c r="AG1541">
        <v>11.76</v>
      </c>
      <c r="AH1541" t="s">
        <v>8171</v>
      </c>
      <c r="AI1541" t="s">
        <v>8172</v>
      </c>
      <c r="AJ1541">
        <v>-0.12</v>
      </c>
      <c r="AK1541">
        <v>2561</v>
      </c>
      <c r="AL1541">
        <v>14</v>
      </c>
      <c r="AM1541">
        <v>1E-4</v>
      </c>
      <c r="AN1541">
        <v>-1</v>
      </c>
      <c r="AO1541">
        <v>2.5499999999999998</v>
      </c>
      <c r="AP1541">
        <v>13.42</v>
      </c>
      <c r="AQ1541">
        <v>11.95</v>
      </c>
      <c r="AR1541">
        <v>46.07</v>
      </c>
      <c r="AS1541">
        <v>0.55000000000000004</v>
      </c>
      <c r="AT1541" t="s">
        <v>8173</v>
      </c>
      <c r="AU1541">
        <v>31.95</v>
      </c>
      <c r="AV1541">
        <v>35</v>
      </c>
      <c r="AW1541">
        <v>0.39</v>
      </c>
      <c r="BA1541">
        <v>-0.03</v>
      </c>
      <c r="BB1541">
        <v>0.22</v>
      </c>
      <c r="BC1541">
        <v>-1.22</v>
      </c>
      <c r="BD1541">
        <v>-0.61</v>
      </c>
      <c r="BE1541">
        <v>-0.77</v>
      </c>
      <c r="BF1541">
        <v>-1.02</v>
      </c>
      <c r="BG1541">
        <v>0.42</v>
      </c>
      <c r="BH1541">
        <v>-0.19</v>
      </c>
      <c r="BI1541">
        <v>20191216</v>
      </c>
      <c r="BJ1541">
        <v>20101209</v>
      </c>
      <c r="BK1541">
        <v>14.53</v>
      </c>
      <c r="BL1541" t="s">
        <v>116</v>
      </c>
      <c r="BM1541" t="s">
        <v>116</v>
      </c>
      <c r="BN1541">
        <v>116.32</v>
      </c>
      <c r="BO1541">
        <v>99.24</v>
      </c>
      <c r="BP1541">
        <v>2.74</v>
      </c>
      <c r="BQ1541">
        <v>12.33</v>
      </c>
      <c r="BR1541">
        <v>30.71</v>
      </c>
      <c r="BS1541">
        <v>23.44</v>
      </c>
      <c r="BT1541">
        <v>14.58</v>
      </c>
      <c r="BU1541">
        <v>9.1199999999999992</v>
      </c>
      <c r="BV1541">
        <v>0.05</v>
      </c>
      <c r="BW1541">
        <v>0.16</v>
      </c>
      <c r="BX1541">
        <v>24.76</v>
      </c>
      <c r="BY1541">
        <v>22.06</v>
      </c>
      <c r="BZ1541">
        <v>5.88</v>
      </c>
      <c r="CA1541">
        <v>15.61</v>
      </c>
      <c r="CB1541">
        <v>2.23</v>
      </c>
      <c r="CC1541">
        <v>15.45</v>
      </c>
      <c r="CD1541">
        <v>13</v>
      </c>
      <c r="CE1541">
        <v>12.7</v>
      </c>
      <c r="CF1541">
        <v>10.96</v>
      </c>
      <c r="CG1541">
        <v>52.73</v>
      </c>
      <c r="CH1541">
        <v>14.92</v>
      </c>
      <c r="CI1541">
        <v>-4.1399999999999997</v>
      </c>
      <c r="CJ1541">
        <v>24006</v>
      </c>
      <c r="CK1541">
        <v>28292</v>
      </c>
      <c r="CL1541" t="s">
        <v>8174</v>
      </c>
      <c r="CM1541">
        <v>10.69</v>
      </c>
      <c r="CN1541">
        <v>-10.71</v>
      </c>
      <c r="CO1541">
        <v>4.54</v>
      </c>
      <c r="CP1541">
        <v>30.18</v>
      </c>
      <c r="CQ1541">
        <v>20.420000000000002</v>
      </c>
      <c r="CR1541">
        <v>0.39</v>
      </c>
      <c r="CS1541" t="s">
        <v>8175</v>
      </c>
      <c r="CT1541">
        <v>6.83</v>
      </c>
      <c r="CU1541">
        <v>0</v>
      </c>
      <c r="CV1541">
        <v>1.7</v>
      </c>
      <c r="CW1541">
        <v>3.63</v>
      </c>
      <c r="CX1541">
        <v>1.03</v>
      </c>
      <c r="CY1541">
        <v>85.32</v>
      </c>
      <c r="CZ1541" t="s">
        <v>8176</v>
      </c>
      <c r="DA1541">
        <v>73.34</v>
      </c>
      <c r="DB1541">
        <v>70.760000000000005</v>
      </c>
      <c r="DC1541">
        <v>57.57</v>
      </c>
      <c r="DD1541">
        <v>0.28999999999999998</v>
      </c>
      <c r="DE1541">
        <v>1708</v>
      </c>
      <c r="DF1541">
        <v>300144</v>
      </c>
      <c r="DG1541" t="s">
        <v>116</v>
      </c>
      <c r="DH1541" t="s">
        <v>116</v>
      </c>
      <c r="DI1541" t="s">
        <v>116</v>
      </c>
    </row>
    <row r="1542" spans="1:113" x14ac:dyDescent="0.4">
      <c r="A1542" t="str">
        <f>"300145"</f>
        <v>300145</v>
      </c>
      <c r="B1542" t="s">
        <v>8177</v>
      </c>
      <c r="C1542">
        <v>-1.4</v>
      </c>
      <c r="D1542">
        <v>3.53</v>
      </c>
      <c r="E1542">
        <v>-0.05</v>
      </c>
      <c r="F1542">
        <v>3.53</v>
      </c>
      <c r="G1542">
        <v>3.54</v>
      </c>
      <c r="H1542">
        <v>159977</v>
      </c>
      <c r="I1542">
        <v>2063</v>
      </c>
      <c r="J1542">
        <v>-0.27</v>
      </c>
      <c r="K1542">
        <v>0.91</v>
      </c>
      <c r="L1542">
        <v>3.58</v>
      </c>
      <c r="M1542">
        <v>3.65</v>
      </c>
      <c r="N1542">
        <v>3.53</v>
      </c>
      <c r="O1542">
        <v>3.58</v>
      </c>
      <c r="P1542">
        <v>15.25</v>
      </c>
      <c r="Q1542">
        <v>57053844</v>
      </c>
      <c r="R1542">
        <v>0.75</v>
      </c>
      <c r="S1542" t="s">
        <v>682</v>
      </c>
      <c r="T1542" t="s">
        <v>590</v>
      </c>
      <c r="U1542">
        <v>3.35</v>
      </c>
      <c r="V1542">
        <v>3.57</v>
      </c>
      <c r="W1542">
        <v>101936</v>
      </c>
      <c r="X1542">
        <v>58041</v>
      </c>
      <c r="Y1542">
        <v>1.76</v>
      </c>
      <c r="Z1542">
        <v>3645</v>
      </c>
      <c r="AA1542">
        <v>138</v>
      </c>
      <c r="AB1542" t="s">
        <v>116</v>
      </c>
      <c r="AC1542">
        <v>106700</v>
      </c>
      <c r="AD1542">
        <v>0</v>
      </c>
      <c r="AE1542" t="s">
        <v>116</v>
      </c>
      <c r="AF1542" t="s">
        <v>116</v>
      </c>
      <c r="AG1542">
        <v>17.52</v>
      </c>
      <c r="AH1542" t="s">
        <v>1692</v>
      </c>
      <c r="AI1542" t="s">
        <v>8178</v>
      </c>
      <c r="AJ1542">
        <v>-0.72</v>
      </c>
      <c r="AK1542">
        <v>1753</v>
      </c>
      <c r="AL1542">
        <v>91</v>
      </c>
      <c r="AM1542">
        <v>5.0000000000000001E-4</v>
      </c>
      <c r="AN1542">
        <v>-1</v>
      </c>
      <c r="AO1542">
        <v>2.02</v>
      </c>
      <c r="AP1542">
        <v>9.9700000000000006</v>
      </c>
      <c r="AQ1542">
        <v>2.62</v>
      </c>
      <c r="AR1542">
        <v>8.6199999999999992</v>
      </c>
      <c r="AS1542">
        <v>1.36</v>
      </c>
      <c r="AT1542" t="s">
        <v>8179</v>
      </c>
      <c r="AU1542">
        <v>25.97</v>
      </c>
      <c r="AV1542">
        <v>15.78</v>
      </c>
      <c r="AW1542">
        <v>0.99</v>
      </c>
      <c r="BA1542">
        <v>0</v>
      </c>
      <c r="BB1542">
        <v>1.96</v>
      </c>
      <c r="BC1542">
        <v>-1.4</v>
      </c>
      <c r="BD1542">
        <v>-0.38</v>
      </c>
      <c r="BE1542">
        <v>-1.4</v>
      </c>
      <c r="BF1542">
        <v>-3.29</v>
      </c>
      <c r="BG1542">
        <v>0</v>
      </c>
      <c r="BH1542">
        <v>-1.02</v>
      </c>
      <c r="BI1542">
        <v>20191212</v>
      </c>
      <c r="BJ1542">
        <v>20101209</v>
      </c>
      <c r="BK1542">
        <v>19.23</v>
      </c>
      <c r="BL1542" t="s">
        <v>116</v>
      </c>
      <c r="BM1542" t="s">
        <v>116</v>
      </c>
      <c r="BN1542">
        <v>109.81</v>
      </c>
      <c r="BO1542">
        <v>51.35</v>
      </c>
      <c r="BP1542">
        <v>1.1399999999999999</v>
      </c>
      <c r="BQ1542">
        <v>52.2</v>
      </c>
      <c r="BR1542">
        <v>41.13</v>
      </c>
      <c r="BS1542">
        <v>10.96</v>
      </c>
      <c r="BT1542">
        <v>20.54</v>
      </c>
      <c r="BU1542">
        <v>42.7</v>
      </c>
      <c r="BV1542">
        <v>7.08</v>
      </c>
      <c r="BW1542">
        <v>13.63</v>
      </c>
      <c r="BX1542">
        <v>7.5</v>
      </c>
      <c r="BY1542">
        <v>28.32</v>
      </c>
      <c r="BZ1542">
        <v>17.29</v>
      </c>
      <c r="CA1542">
        <v>4.04</v>
      </c>
      <c r="CB1542">
        <v>-0.01</v>
      </c>
      <c r="CC1542">
        <v>4.08</v>
      </c>
      <c r="CD1542">
        <v>3.46</v>
      </c>
      <c r="CE1542">
        <v>3.34</v>
      </c>
      <c r="CF1542">
        <v>3.22</v>
      </c>
      <c r="CG1542">
        <v>23.39</v>
      </c>
      <c r="CH1542">
        <v>4.66</v>
      </c>
      <c r="CI1542">
        <v>5.31</v>
      </c>
      <c r="CJ1542">
        <v>34111</v>
      </c>
      <c r="CK1542">
        <v>34388</v>
      </c>
      <c r="CL1542" t="s">
        <v>8180</v>
      </c>
      <c r="CM1542">
        <v>-33.57</v>
      </c>
      <c r="CN1542">
        <v>-9.4</v>
      </c>
      <c r="CO1542">
        <v>1.32</v>
      </c>
      <c r="CP1542">
        <v>14.56</v>
      </c>
      <c r="CQ1542">
        <v>2.4</v>
      </c>
      <c r="CR1542">
        <v>0</v>
      </c>
      <c r="CS1542" t="s">
        <v>8181</v>
      </c>
      <c r="CT1542">
        <v>2.67</v>
      </c>
      <c r="CU1542">
        <v>0</v>
      </c>
      <c r="CV1542">
        <v>0.39</v>
      </c>
      <c r="CW1542">
        <v>1.22</v>
      </c>
      <c r="CX1542">
        <v>0.24</v>
      </c>
      <c r="CY1542">
        <v>46.76</v>
      </c>
      <c r="CZ1542" t="s">
        <v>8182</v>
      </c>
      <c r="DA1542">
        <v>38.950000000000003</v>
      </c>
      <c r="DB1542">
        <v>14.28</v>
      </c>
      <c r="DC1542">
        <v>11.79</v>
      </c>
      <c r="DD1542">
        <v>0.98</v>
      </c>
      <c r="DE1542">
        <v>4740</v>
      </c>
      <c r="DF1542">
        <v>300145</v>
      </c>
      <c r="DG1542" t="s">
        <v>116</v>
      </c>
      <c r="DH1542" t="s">
        <v>116</v>
      </c>
      <c r="DI1542" t="s">
        <v>116</v>
      </c>
    </row>
    <row r="1543" spans="1:113" x14ac:dyDescent="0.4">
      <c r="A1543" t="str">
        <f>"300146"</f>
        <v>300146</v>
      </c>
      <c r="B1543" t="s">
        <v>8183</v>
      </c>
      <c r="C1543">
        <v>3.29</v>
      </c>
      <c r="D1543">
        <v>16.32</v>
      </c>
      <c r="E1543">
        <v>0.52</v>
      </c>
      <c r="F1543">
        <v>16.32</v>
      </c>
      <c r="G1543">
        <v>16.329999999999998</v>
      </c>
      <c r="H1543">
        <v>312879</v>
      </c>
      <c r="I1543">
        <v>1968</v>
      </c>
      <c r="J1543">
        <v>0.12</v>
      </c>
      <c r="K1543">
        <v>3.55</v>
      </c>
      <c r="L1543">
        <v>15.87</v>
      </c>
      <c r="M1543">
        <v>16.72</v>
      </c>
      <c r="N1543">
        <v>15.84</v>
      </c>
      <c r="O1543">
        <v>15.8</v>
      </c>
      <c r="P1543">
        <v>16.260000000000002</v>
      </c>
      <c r="Q1543">
        <v>512460768</v>
      </c>
      <c r="R1543">
        <v>2.31</v>
      </c>
      <c r="S1543" t="s">
        <v>559</v>
      </c>
      <c r="T1543" t="s">
        <v>551</v>
      </c>
      <c r="U1543">
        <v>5.57</v>
      </c>
      <c r="V1543">
        <v>16.38</v>
      </c>
      <c r="W1543">
        <v>136728</v>
      </c>
      <c r="X1543">
        <v>176151</v>
      </c>
      <c r="Y1543">
        <v>0.78</v>
      </c>
      <c r="Z1543">
        <v>557</v>
      </c>
      <c r="AA1543">
        <v>1428</v>
      </c>
      <c r="AB1543" t="s">
        <v>116</v>
      </c>
      <c r="AC1543">
        <v>299900</v>
      </c>
      <c r="AD1543">
        <v>0</v>
      </c>
      <c r="AE1543" t="s">
        <v>116</v>
      </c>
      <c r="AF1543" t="s">
        <v>116</v>
      </c>
      <c r="AG1543">
        <v>8.82</v>
      </c>
      <c r="AH1543" t="s">
        <v>8184</v>
      </c>
      <c r="AI1543" t="s">
        <v>8185</v>
      </c>
      <c r="AJ1543">
        <v>3.97</v>
      </c>
      <c r="AK1543">
        <v>4035</v>
      </c>
      <c r="AL1543">
        <v>78</v>
      </c>
      <c r="AM1543">
        <v>8.9999999999999998E-4</v>
      </c>
      <c r="AN1543">
        <v>1</v>
      </c>
      <c r="AO1543">
        <v>1.94</v>
      </c>
      <c r="AP1543">
        <v>11.63</v>
      </c>
      <c r="AQ1543">
        <v>-12.54</v>
      </c>
      <c r="AR1543">
        <v>-1.03</v>
      </c>
      <c r="AS1543">
        <v>4.4400000000000004</v>
      </c>
      <c r="AT1543" t="s">
        <v>8186</v>
      </c>
      <c r="AU1543">
        <v>22.75</v>
      </c>
      <c r="AV1543">
        <v>25.77</v>
      </c>
      <c r="AW1543">
        <v>0.8</v>
      </c>
      <c r="BA1543">
        <v>0.44</v>
      </c>
      <c r="BB1543">
        <v>5.82</v>
      </c>
      <c r="BC1543">
        <v>0.25</v>
      </c>
      <c r="BD1543">
        <v>3.66</v>
      </c>
      <c r="BE1543">
        <v>2.84</v>
      </c>
      <c r="BF1543">
        <v>-2.39</v>
      </c>
      <c r="BG1543">
        <v>3.03</v>
      </c>
      <c r="BH1543">
        <v>-0.37</v>
      </c>
      <c r="BI1543">
        <v>20191025</v>
      </c>
      <c r="BJ1543">
        <v>20101215</v>
      </c>
      <c r="BK1543">
        <v>15.82</v>
      </c>
      <c r="BL1543" t="s">
        <v>116</v>
      </c>
      <c r="BM1543" t="s">
        <v>116</v>
      </c>
      <c r="BN1543">
        <v>96.63</v>
      </c>
      <c r="BO1543">
        <v>73.819999999999993</v>
      </c>
      <c r="BP1543">
        <v>-0.56999999999999995</v>
      </c>
      <c r="BQ1543">
        <v>24.19</v>
      </c>
      <c r="BR1543">
        <v>34.97</v>
      </c>
      <c r="BS1543">
        <v>8.17</v>
      </c>
      <c r="BT1543">
        <v>14.4</v>
      </c>
      <c r="BU1543">
        <v>9.9499999999999993</v>
      </c>
      <c r="BV1543">
        <v>5.42</v>
      </c>
      <c r="BW1543">
        <v>4.49</v>
      </c>
      <c r="BX1543">
        <v>31.98</v>
      </c>
      <c r="BY1543">
        <v>43.81</v>
      </c>
      <c r="BZ1543">
        <v>14.32</v>
      </c>
      <c r="CA1543">
        <v>13.14</v>
      </c>
      <c r="CB1543">
        <v>0.19</v>
      </c>
      <c r="CC1543">
        <v>13.55</v>
      </c>
      <c r="CD1543">
        <v>11.39</v>
      </c>
      <c r="CE1543">
        <v>11.91</v>
      </c>
      <c r="CF1543">
        <v>11.35</v>
      </c>
      <c r="CG1543">
        <v>21.83</v>
      </c>
      <c r="CH1543">
        <v>7.57</v>
      </c>
      <c r="CI1543">
        <v>1.62</v>
      </c>
      <c r="CJ1543">
        <v>41098</v>
      </c>
      <c r="CK1543">
        <v>17135</v>
      </c>
      <c r="CL1543" t="s">
        <v>8187</v>
      </c>
      <c r="CM1543">
        <v>12.56</v>
      </c>
      <c r="CN1543">
        <v>28.04</v>
      </c>
      <c r="CO1543">
        <v>3.5</v>
      </c>
      <c r="CP1543">
        <v>34.1</v>
      </c>
      <c r="CQ1543">
        <v>5.9</v>
      </c>
      <c r="CR1543">
        <v>2.84</v>
      </c>
      <c r="CS1543" t="s">
        <v>4039</v>
      </c>
      <c r="CT1543">
        <v>4.66</v>
      </c>
      <c r="CU1543">
        <v>0</v>
      </c>
      <c r="CV1543">
        <v>2.02</v>
      </c>
      <c r="CW1543">
        <v>1.38</v>
      </c>
      <c r="CX1543">
        <v>0.48</v>
      </c>
      <c r="CY1543">
        <v>76.400000000000006</v>
      </c>
      <c r="CZ1543" t="s">
        <v>8188</v>
      </c>
      <c r="DA1543">
        <v>67.319999999999993</v>
      </c>
      <c r="DB1543">
        <v>29.99</v>
      </c>
      <c r="DC1543">
        <v>27.18</v>
      </c>
      <c r="DD1543">
        <v>0.82</v>
      </c>
      <c r="DE1543">
        <v>2419</v>
      </c>
      <c r="DF1543">
        <v>300146</v>
      </c>
      <c r="DG1543" t="s">
        <v>116</v>
      </c>
      <c r="DH1543" t="s">
        <v>116</v>
      </c>
      <c r="DI1543" t="s">
        <v>116</v>
      </c>
    </row>
    <row r="1544" spans="1:113" x14ac:dyDescent="0.4">
      <c r="A1544" t="str">
        <f>"300147"</f>
        <v>300147</v>
      </c>
      <c r="B1544" t="s">
        <v>8189</v>
      </c>
      <c r="C1544">
        <v>-7.89</v>
      </c>
      <c r="D1544">
        <v>8.0500000000000007</v>
      </c>
      <c r="E1544">
        <v>-0.69</v>
      </c>
      <c r="F1544">
        <v>8.0399999999999991</v>
      </c>
      <c r="G1544">
        <v>8.0500000000000007</v>
      </c>
      <c r="H1544">
        <v>525413</v>
      </c>
      <c r="I1544">
        <v>5799</v>
      </c>
      <c r="J1544">
        <v>-0.24</v>
      </c>
      <c r="K1544">
        <v>8.07</v>
      </c>
      <c r="L1544">
        <v>8.82</v>
      </c>
      <c r="M1544">
        <v>8.84</v>
      </c>
      <c r="N1544">
        <v>7.93</v>
      </c>
      <c r="O1544">
        <v>8.74</v>
      </c>
      <c r="P1544">
        <v>43.32</v>
      </c>
      <c r="Q1544">
        <v>441955168</v>
      </c>
      <c r="R1544">
        <v>0.86</v>
      </c>
      <c r="S1544" t="s">
        <v>781</v>
      </c>
      <c r="T1544" t="s">
        <v>551</v>
      </c>
      <c r="U1544">
        <v>10.41</v>
      </c>
      <c r="V1544">
        <v>8.41</v>
      </c>
      <c r="W1544">
        <v>310866</v>
      </c>
      <c r="X1544">
        <v>214547</v>
      </c>
      <c r="Y1544">
        <v>1.45</v>
      </c>
      <c r="Z1544">
        <v>653</v>
      </c>
      <c r="AA1544">
        <v>23</v>
      </c>
      <c r="AB1544" t="s">
        <v>116</v>
      </c>
      <c r="AC1544">
        <v>5376700</v>
      </c>
      <c r="AD1544">
        <v>0.15</v>
      </c>
      <c r="AE1544" t="s">
        <v>116</v>
      </c>
      <c r="AF1544" t="s">
        <v>116</v>
      </c>
      <c r="AG1544">
        <v>6.51</v>
      </c>
      <c r="AH1544" t="s">
        <v>3682</v>
      </c>
      <c r="AI1544" t="s">
        <v>8190</v>
      </c>
      <c r="AJ1544">
        <v>-7.22</v>
      </c>
      <c r="AK1544">
        <v>3918</v>
      </c>
      <c r="AL1544">
        <v>134</v>
      </c>
      <c r="AM1544">
        <v>2.0999999999999999E-3</v>
      </c>
      <c r="AN1544">
        <v>-1</v>
      </c>
      <c r="AO1544">
        <v>-6.83</v>
      </c>
      <c r="AP1544">
        <v>22.53</v>
      </c>
      <c r="AQ1544">
        <v>29.42</v>
      </c>
      <c r="AR1544">
        <v>31.84</v>
      </c>
      <c r="AS1544">
        <v>12.94</v>
      </c>
      <c r="AT1544" t="s">
        <v>6230</v>
      </c>
      <c r="AU1544">
        <v>93.84</v>
      </c>
      <c r="AV1544">
        <v>94.35</v>
      </c>
      <c r="AW1544">
        <v>0.83</v>
      </c>
      <c r="BA1544">
        <v>0.92</v>
      </c>
      <c r="BB1544">
        <v>1.1399999999999999</v>
      </c>
      <c r="BC1544">
        <v>-9.27</v>
      </c>
      <c r="BD1544">
        <v>-3.76</v>
      </c>
      <c r="BE1544">
        <v>-8.73</v>
      </c>
      <c r="BF1544">
        <v>-8.94</v>
      </c>
      <c r="BG1544">
        <v>1.51</v>
      </c>
      <c r="BH1544">
        <v>-4.1399999999999997</v>
      </c>
      <c r="BI1544">
        <v>20191220</v>
      </c>
      <c r="BJ1544">
        <v>20101215</v>
      </c>
      <c r="BK1544">
        <v>6.61</v>
      </c>
      <c r="BL1544" t="s">
        <v>116</v>
      </c>
      <c r="BM1544" t="s">
        <v>116</v>
      </c>
      <c r="BN1544">
        <v>85.62</v>
      </c>
      <c r="BO1544">
        <v>35.020000000000003</v>
      </c>
      <c r="BP1544">
        <v>6.55</v>
      </c>
      <c r="BQ1544">
        <v>51.45</v>
      </c>
      <c r="BR1544">
        <v>32.799999999999997</v>
      </c>
      <c r="BS1544">
        <v>19.420000000000002</v>
      </c>
      <c r="BT1544">
        <v>5.82</v>
      </c>
      <c r="BU1544">
        <v>26.83</v>
      </c>
      <c r="BV1544">
        <v>6.34</v>
      </c>
      <c r="BW1544">
        <v>10.8</v>
      </c>
      <c r="BX1544">
        <v>21.34</v>
      </c>
      <c r="BY1544">
        <v>19.829999999999998</v>
      </c>
      <c r="BZ1544">
        <v>13.23</v>
      </c>
      <c r="CA1544">
        <v>1.19</v>
      </c>
      <c r="CB1544">
        <v>0.55000000000000004</v>
      </c>
      <c r="CC1544">
        <v>1.27</v>
      </c>
      <c r="CD1544">
        <v>1.38</v>
      </c>
      <c r="CE1544">
        <v>0.92</v>
      </c>
      <c r="CF1544">
        <v>0.4</v>
      </c>
      <c r="CG1544">
        <v>7.31</v>
      </c>
      <c r="CH1544">
        <v>0.48</v>
      </c>
      <c r="CI1544">
        <v>-0.59</v>
      </c>
      <c r="CJ1544">
        <v>30935</v>
      </c>
      <c r="CK1544">
        <v>13122</v>
      </c>
      <c r="CL1544" t="s">
        <v>8191</v>
      </c>
      <c r="CM1544">
        <v>0.33</v>
      </c>
      <c r="CN1544">
        <v>7.55</v>
      </c>
      <c r="CO1544">
        <v>1.52</v>
      </c>
      <c r="CP1544">
        <v>111.35</v>
      </c>
      <c r="CQ1544">
        <v>2.68</v>
      </c>
      <c r="CR1544">
        <v>0.42</v>
      </c>
      <c r="CS1544" t="s">
        <v>416</v>
      </c>
      <c r="CT1544">
        <v>5.29</v>
      </c>
      <c r="CU1544">
        <v>0</v>
      </c>
      <c r="CV1544">
        <v>3.23</v>
      </c>
      <c r="CW1544">
        <v>1.1100000000000001</v>
      </c>
      <c r="CX1544">
        <v>7.0000000000000007E-2</v>
      </c>
      <c r="CY1544">
        <v>40.9</v>
      </c>
      <c r="CZ1544" t="s">
        <v>1720</v>
      </c>
      <c r="DA1544">
        <v>33.270000000000003</v>
      </c>
      <c r="DB1544">
        <v>5.99</v>
      </c>
      <c r="DC1544">
        <v>4.6500000000000004</v>
      </c>
      <c r="DD1544">
        <v>0.37</v>
      </c>
      <c r="DE1544">
        <v>3561</v>
      </c>
      <c r="DF1544">
        <v>300147</v>
      </c>
      <c r="DG1544" t="s">
        <v>116</v>
      </c>
      <c r="DH1544" t="s">
        <v>116</v>
      </c>
      <c r="DI1544" t="s">
        <v>116</v>
      </c>
    </row>
    <row r="1545" spans="1:113" x14ac:dyDescent="0.4">
      <c r="A1545" t="str">
        <f>"300148"</f>
        <v>300148</v>
      </c>
      <c r="B1545" t="s">
        <v>8192</v>
      </c>
      <c r="C1545">
        <v>-0.75</v>
      </c>
      <c r="D1545">
        <v>3.98</v>
      </c>
      <c r="E1545">
        <v>-0.03</v>
      </c>
      <c r="F1545">
        <v>3.98</v>
      </c>
      <c r="G1545">
        <v>3.99</v>
      </c>
      <c r="H1545">
        <v>215322</v>
      </c>
      <c r="I1545">
        <v>3507</v>
      </c>
      <c r="J1545">
        <v>0</v>
      </c>
      <c r="K1545">
        <v>2.76</v>
      </c>
      <c r="L1545">
        <v>4.01</v>
      </c>
      <c r="M1545">
        <v>4.0599999999999996</v>
      </c>
      <c r="N1545">
        <v>3.97</v>
      </c>
      <c r="O1545">
        <v>4.01</v>
      </c>
      <c r="P1545">
        <v>22.05</v>
      </c>
      <c r="Q1545">
        <v>86430904</v>
      </c>
      <c r="R1545">
        <v>0.8</v>
      </c>
      <c r="S1545" t="s">
        <v>1902</v>
      </c>
      <c r="T1545" t="s">
        <v>599</v>
      </c>
      <c r="U1545">
        <v>2.2400000000000002</v>
      </c>
      <c r="V1545">
        <v>4.01</v>
      </c>
      <c r="W1545">
        <v>116200</v>
      </c>
      <c r="X1545">
        <v>99122</v>
      </c>
      <c r="Y1545">
        <v>1.17</v>
      </c>
      <c r="Z1545">
        <v>6907</v>
      </c>
      <c r="AA1545">
        <v>2669</v>
      </c>
      <c r="AB1545" t="s">
        <v>116</v>
      </c>
      <c r="AC1545">
        <v>240200</v>
      </c>
      <c r="AD1545">
        <v>0.01</v>
      </c>
      <c r="AE1545" t="s">
        <v>116</v>
      </c>
      <c r="AF1545" t="s">
        <v>116</v>
      </c>
      <c r="AG1545">
        <v>7.8</v>
      </c>
      <c r="AH1545" t="s">
        <v>6887</v>
      </c>
      <c r="AI1545" t="s">
        <v>3248</v>
      </c>
      <c r="AJ1545">
        <v>-7.0000000000000007E-2</v>
      </c>
      <c r="AK1545">
        <v>1508</v>
      </c>
      <c r="AL1545">
        <v>143</v>
      </c>
      <c r="AM1545">
        <v>1.8E-3</v>
      </c>
      <c r="AN1545">
        <v>-1</v>
      </c>
      <c r="AO1545">
        <v>-0.51</v>
      </c>
      <c r="AP1545">
        <v>1.27</v>
      </c>
      <c r="AQ1545">
        <v>-14.04</v>
      </c>
      <c r="AR1545">
        <v>-10.56</v>
      </c>
      <c r="AS1545">
        <v>3.83</v>
      </c>
      <c r="AT1545" t="s">
        <v>6812</v>
      </c>
      <c r="AU1545" t="s">
        <v>116</v>
      </c>
      <c r="AV1545" t="s">
        <v>116</v>
      </c>
      <c r="AW1545">
        <v>1.17</v>
      </c>
      <c r="BA1545">
        <v>0</v>
      </c>
      <c r="BB1545">
        <v>1.25</v>
      </c>
      <c r="BC1545">
        <v>-1</v>
      </c>
      <c r="BD1545">
        <v>0.1</v>
      </c>
      <c r="BE1545">
        <v>-0.75</v>
      </c>
      <c r="BF1545">
        <v>-1.97</v>
      </c>
      <c r="BG1545">
        <v>0.25</v>
      </c>
      <c r="BH1545">
        <v>-0.85</v>
      </c>
      <c r="BI1545">
        <v>20191223</v>
      </c>
      <c r="BJ1545">
        <v>20101215</v>
      </c>
      <c r="BK1545">
        <v>8.4499999999999993</v>
      </c>
      <c r="BL1545" t="s">
        <v>116</v>
      </c>
      <c r="BM1545" t="s">
        <v>116</v>
      </c>
      <c r="BN1545">
        <v>39.479999999999997</v>
      </c>
      <c r="BO1545">
        <v>33.54</v>
      </c>
      <c r="BP1545">
        <v>0.75</v>
      </c>
      <c r="BQ1545">
        <v>13.15</v>
      </c>
      <c r="BR1545">
        <v>11.17</v>
      </c>
      <c r="BS1545">
        <v>0.56000000000000005</v>
      </c>
      <c r="BT1545">
        <v>0.81</v>
      </c>
      <c r="BU1545">
        <v>4.1100000000000003</v>
      </c>
      <c r="BV1545">
        <v>0.67</v>
      </c>
      <c r="BW1545">
        <v>3.18</v>
      </c>
      <c r="BX1545">
        <v>27.25</v>
      </c>
      <c r="BY1545">
        <v>7.52</v>
      </c>
      <c r="BZ1545">
        <v>4.1900000000000004</v>
      </c>
      <c r="CA1545">
        <v>1.21</v>
      </c>
      <c r="CB1545">
        <v>0.46</v>
      </c>
      <c r="CC1545">
        <v>1.21</v>
      </c>
      <c r="CD1545">
        <v>1.1299999999999999</v>
      </c>
      <c r="CE1545">
        <v>1.1399999999999999</v>
      </c>
      <c r="CF1545">
        <v>1.1000000000000001</v>
      </c>
      <c r="CG1545">
        <v>-3.48</v>
      </c>
      <c r="CH1545">
        <v>-0.76</v>
      </c>
      <c r="CI1545">
        <v>-2.23</v>
      </c>
      <c r="CJ1545">
        <v>30436</v>
      </c>
      <c r="CK1545">
        <v>18452</v>
      </c>
      <c r="CL1545" t="s">
        <v>8193</v>
      </c>
      <c r="CM1545">
        <v>-37.229999999999997</v>
      </c>
      <c r="CN1545">
        <v>9.68</v>
      </c>
      <c r="CO1545">
        <v>1</v>
      </c>
      <c r="CP1545">
        <v>-44.22</v>
      </c>
      <c r="CQ1545">
        <v>4.47</v>
      </c>
      <c r="CR1545">
        <v>0</v>
      </c>
      <c r="CS1545" t="s">
        <v>2750</v>
      </c>
      <c r="CT1545">
        <v>3.97</v>
      </c>
      <c r="CU1545">
        <v>0</v>
      </c>
      <c r="CV1545">
        <v>3.22</v>
      </c>
      <c r="CW1545">
        <v>-0.41</v>
      </c>
      <c r="CX1545">
        <v>-0.09</v>
      </c>
      <c r="CY1545">
        <v>84.95</v>
      </c>
      <c r="CZ1545" t="s">
        <v>730</v>
      </c>
      <c r="DA1545">
        <v>44.25</v>
      </c>
      <c r="DB1545">
        <v>16.05</v>
      </c>
      <c r="DC1545">
        <v>15.21</v>
      </c>
      <c r="DD1545">
        <v>1.23</v>
      </c>
      <c r="DE1545">
        <v>1097</v>
      </c>
      <c r="DF1545">
        <v>300148</v>
      </c>
      <c r="DG1545" t="s">
        <v>116</v>
      </c>
      <c r="DH1545" t="s">
        <v>116</v>
      </c>
      <c r="DI1545" t="s">
        <v>116</v>
      </c>
    </row>
    <row r="1546" spans="1:113" x14ac:dyDescent="0.4">
      <c r="A1546" t="str">
        <f>"300149"</f>
        <v>300149</v>
      </c>
      <c r="B1546" t="s">
        <v>8194</v>
      </c>
      <c r="C1546">
        <v>-1.2</v>
      </c>
      <c r="D1546">
        <v>13.12</v>
      </c>
      <c r="E1546">
        <v>-0.16</v>
      </c>
      <c r="F1546">
        <v>13.12</v>
      </c>
      <c r="G1546">
        <v>13.13</v>
      </c>
      <c r="H1546">
        <v>22487</v>
      </c>
      <c r="I1546">
        <v>261</v>
      </c>
      <c r="J1546">
        <v>0</v>
      </c>
      <c r="K1546">
        <v>0.56000000000000005</v>
      </c>
      <c r="L1546">
        <v>13.36</v>
      </c>
      <c r="M1546">
        <v>13.36</v>
      </c>
      <c r="N1546">
        <v>13.11</v>
      </c>
      <c r="O1546">
        <v>13.28</v>
      </c>
      <c r="P1546">
        <v>60.59</v>
      </c>
      <c r="Q1546">
        <v>29741756</v>
      </c>
      <c r="R1546">
        <v>1.1399999999999999</v>
      </c>
      <c r="S1546" t="s">
        <v>132</v>
      </c>
      <c r="T1546" t="s">
        <v>551</v>
      </c>
      <c r="U1546">
        <v>1.88</v>
      </c>
      <c r="V1546">
        <v>13.23</v>
      </c>
      <c r="W1546">
        <v>14780</v>
      </c>
      <c r="X1546">
        <v>7707</v>
      </c>
      <c r="Y1546">
        <v>1.92</v>
      </c>
      <c r="Z1546">
        <v>126</v>
      </c>
      <c r="AA1546">
        <v>10</v>
      </c>
      <c r="AB1546" t="s">
        <v>116</v>
      </c>
      <c r="AC1546">
        <v>68100</v>
      </c>
      <c r="AD1546">
        <v>0</v>
      </c>
      <c r="AE1546" t="s">
        <v>116</v>
      </c>
      <c r="AF1546" t="s">
        <v>116</v>
      </c>
      <c r="AG1546">
        <v>4.05</v>
      </c>
      <c r="AH1546" t="s">
        <v>8195</v>
      </c>
      <c r="AI1546" t="s">
        <v>8196</v>
      </c>
      <c r="AJ1546">
        <v>-0.53</v>
      </c>
      <c r="AK1546">
        <v>771</v>
      </c>
      <c r="AL1546">
        <v>29</v>
      </c>
      <c r="AM1546">
        <v>6.9999999999999999E-4</v>
      </c>
      <c r="AN1546">
        <v>-3</v>
      </c>
      <c r="AO1546">
        <v>-1.79</v>
      </c>
      <c r="AP1546">
        <v>-1.58</v>
      </c>
      <c r="AQ1546">
        <v>-14.92</v>
      </c>
      <c r="AR1546">
        <v>-9.89</v>
      </c>
      <c r="AS1546">
        <v>0.86</v>
      </c>
      <c r="AT1546" t="s">
        <v>8197</v>
      </c>
      <c r="AU1546">
        <v>50.49</v>
      </c>
      <c r="AV1546">
        <v>40.71</v>
      </c>
      <c r="AW1546">
        <v>0.95</v>
      </c>
      <c r="BA1546">
        <v>0.6</v>
      </c>
      <c r="BB1546">
        <v>0.6</v>
      </c>
      <c r="BC1546">
        <v>-1.28</v>
      </c>
      <c r="BD1546">
        <v>-0.4</v>
      </c>
      <c r="BE1546">
        <v>-1.8</v>
      </c>
      <c r="BF1546">
        <v>-1.8</v>
      </c>
      <c r="BG1546">
        <v>0.08</v>
      </c>
      <c r="BH1546">
        <v>-0.8</v>
      </c>
      <c r="BI1546">
        <v>20191122</v>
      </c>
      <c r="BJ1546">
        <v>20101222</v>
      </c>
      <c r="BK1546">
        <v>5</v>
      </c>
      <c r="BL1546" t="s">
        <v>116</v>
      </c>
      <c r="BM1546" t="s">
        <v>116</v>
      </c>
      <c r="BN1546">
        <v>36.1</v>
      </c>
      <c r="BO1546">
        <v>22.37</v>
      </c>
      <c r="BP1546">
        <v>0.13</v>
      </c>
      <c r="BQ1546">
        <v>37.67</v>
      </c>
      <c r="BR1546">
        <v>8</v>
      </c>
      <c r="BS1546">
        <v>5.68</v>
      </c>
      <c r="BT1546">
        <v>1.98</v>
      </c>
      <c r="BU1546">
        <v>5.47</v>
      </c>
      <c r="BV1546">
        <v>0.8</v>
      </c>
      <c r="BW1546">
        <v>4.4000000000000004</v>
      </c>
      <c r="BX1546">
        <v>12.31</v>
      </c>
      <c r="BY1546">
        <v>9.5399999999999991</v>
      </c>
      <c r="BZ1546">
        <v>5.91</v>
      </c>
      <c r="CA1546">
        <v>0.88</v>
      </c>
      <c r="CB1546">
        <v>0.02</v>
      </c>
      <c r="CC1546">
        <v>0.88</v>
      </c>
      <c r="CD1546">
        <v>0.8</v>
      </c>
      <c r="CE1546">
        <v>0.81</v>
      </c>
      <c r="CF1546">
        <v>0.75</v>
      </c>
      <c r="CG1546">
        <v>4.45</v>
      </c>
      <c r="CH1546">
        <v>0.82</v>
      </c>
      <c r="CI1546">
        <v>-0.3</v>
      </c>
      <c r="CJ1546">
        <v>17323</v>
      </c>
      <c r="CK1546">
        <v>15021</v>
      </c>
      <c r="CL1546" t="s">
        <v>8198</v>
      </c>
      <c r="CM1546">
        <v>-27.76</v>
      </c>
      <c r="CN1546">
        <v>53.72</v>
      </c>
      <c r="CO1546">
        <v>2.93</v>
      </c>
      <c r="CP1546">
        <v>79.760000000000005</v>
      </c>
      <c r="CQ1546">
        <v>6.87</v>
      </c>
      <c r="CR1546">
        <v>0.53</v>
      </c>
      <c r="CS1546" t="s">
        <v>7041</v>
      </c>
      <c r="CT1546">
        <v>4.4800000000000004</v>
      </c>
      <c r="CU1546">
        <v>0</v>
      </c>
      <c r="CV1546">
        <v>2.46</v>
      </c>
      <c r="CW1546">
        <v>0.89</v>
      </c>
      <c r="CX1546">
        <v>0.16</v>
      </c>
      <c r="CY1546">
        <v>61.97</v>
      </c>
      <c r="CZ1546" t="s">
        <v>2723</v>
      </c>
      <c r="DA1546">
        <v>38.03</v>
      </c>
      <c r="DB1546">
        <v>9.23</v>
      </c>
      <c r="DC1546">
        <v>8.51</v>
      </c>
      <c r="DD1546">
        <v>0.38</v>
      </c>
      <c r="DE1546">
        <v>2428</v>
      </c>
      <c r="DF1546">
        <v>300149</v>
      </c>
      <c r="DG1546" t="s">
        <v>116</v>
      </c>
      <c r="DH1546" t="s">
        <v>116</v>
      </c>
      <c r="DI1546" t="s">
        <v>116</v>
      </c>
    </row>
    <row r="1547" spans="1:113" x14ac:dyDescent="0.4">
      <c r="A1547" t="str">
        <f>"300150"</f>
        <v>300150</v>
      </c>
      <c r="B1547" t="s">
        <v>8199</v>
      </c>
      <c r="C1547">
        <v>-0.95</v>
      </c>
      <c r="D1547">
        <v>4.17</v>
      </c>
      <c r="E1547">
        <v>-0.04</v>
      </c>
      <c r="F1547">
        <v>4.17</v>
      </c>
      <c r="G1547">
        <v>4.18</v>
      </c>
      <c r="H1547">
        <v>32105</v>
      </c>
      <c r="I1547">
        <v>491</v>
      </c>
      <c r="J1547">
        <v>-0.47</v>
      </c>
      <c r="K1547">
        <v>0.68</v>
      </c>
      <c r="L1547">
        <v>4.1900000000000004</v>
      </c>
      <c r="M1547">
        <v>4.25</v>
      </c>
      <c r="N1547">
        <v>4.17</v>
      </c>
      <c r="O1547">
        <v>4.21</v>
      </c>
      <c r="P1547" t="s">
        <v>116</v>
      </c>
      <c r="Q1547">
        <v>13550321</v>
      </c>
      <c r="R1547">
        <v>0.77</v>
      </c>
      <c r="S1547" t="s">
        <v>607</v>
      </c>
      <c r="T1547" t="s">
        <v>165</v>
      </c>
      <c r="U1547">
        <v>1.9</v>
      </c>
      <c r="V1547">
        <v>4.22</v>
      </c>
      <c r="W1547">
        <v>15152</v>
      </c>
      <c r="X1547">
        <v>16953</v>
      </c>
      <c r="Y1547">
        <v>0.89</v>
      </c>
      <c r="Z1547">
        <v>64</v>
      </c>
      <c r="AA1547">
        <v>52</v>
      </c>
      <c r="AB1547" t="s">
        <v>116</v>
      </c>
      <c r="AC1547">
        <v>1300</v>
      </c>
      <c r="AD1547">
        <v>0</v>
      </c>
      <c r="AE1547" t="s">
        <v>116</v>
      </c>
      <c r="AF1547" t="s">
        <v>116</v>
      </c>
      <c r="AG1547">
        <v>4.72</v>
      </c>
      <c r="AH1547" t="s">
        <v>4133</v>
      </c>
      <c r="AI1547" t="s">
        <v>8200</v>
      </c>
      <c r="AJ1547">
        <v>-0.27</v>
      </c>
      <c r="AK1547">
        <v>937</v>
      </c>
      <c r="AL1547">
        <v>34</v>
      </c>
      <c r="AM1547">
        <v>6.9999999999999999E-4</v>
      </c>
      <c r="AN1547">
        <v>-1</v>
      </c>
      <c r="AO1547">
        <v>0.48</v>
      </c>
      <c r="AP1547">
        <v>9.4499999999999993</v>
      </c>
      <c r="AQ1547">
        <v>4.25</v>
      </c>
      <c r="AR1547">
        <v>3.73</v>
      </c>
      <c r="AS1547">
        <v>0.93</v>
      </c>
      <c r="AT1547" t="s">
        <v>8069</v>
      </c>
      <c r="AU1547" t="s">
        <v>116</v>
      </c>
      <c r="AV1547">
        <v>27.65</v>
      </c>
      <c r="AW1547">
        <v>1.01</v>
      </c>
      <c r="BA1547">
        <v>-0.48</v>
      </c>
      <c r="BB1547">
        <v>0.95</v>
      </c>
      <c r="BC1547">
        <v>-0.95</v>
      </c>
      <c r="BD1547">
        <v>0.25</v>
      </c>
      <c r="BE1547">
        <v>-0.48</v>
      </c>
      <c r="BF1547">
        <v>-1.88</v>
      </c>
      <c r="BG1547">
        <v>0</v>
      </c>
      <c r="BH1547">
        <v>-1.2</v>
      </c>
      <c r="BI1547">
        <v>20191025</v>
      </c>
      <c r="BJ1547">
        <v>20101222</v>
      </c>
      <c r="BK1547">
        <v>5.85</v>
      </c>
      <c r="BL1547" t="s">
        <v>116</v>
      </c>
      <c r="BM1547" t="s">
        <v>116</v>
      </c>
      <c r="BN1547">
        <v>22.95</v>
      </c>
      <c r="BO1547">
        <v>19.309999999999999</v>
      </c>
      <c r="BP1547">
        <v>0.6</v>
      </c>
      <c r="BQ1547">
        <v>13.26</v>
      </c>
      <c r="BR1547">
        <v>14.46</v>
      </c>
      <c r="BS1547">
        <v>0.55000000000000004</v>
      </c>
      <c r="BT1547">
        <v>0.46</v>
      </c>
      <c r="BU1547">
        <v>3.04</v>
      </c>
      <c r="BV1547">
        <v>3.14</v>
      </c>
      <c r="BW1547">
        <v>6.83</v>
      </c>
      <c r="BX1547">
        <v>10.82</v>
      </c>
      <c r="BY1547">
        <v>4.32</v>
      </c>
      <c r="BZ1547">
        <v>2.57</v>
      </c>
      <c r="CA1547">
        <v>-0.01</v>
      </c>
      <c r="CB1547">
        <v>-0.03</v>
      </c>
      <c r="CC1547">
        <v>0.01</v>
      </c>
      <c r="CD1547">
        <v>-0.02</v>
      </c>
      <c r="CE1547">
        <v>-0.01</v>
      </c>
      <c r="CF1547">
        <v>-0.03</v>
      </c>
      <c r="CG1547">
        <v>1.81</v>
      </c>
      <c r="CH1547">
        <v>-1.51</v>
      </c>
      <c r="CI1547">
        <v>-1.87</v>
      </c>
      <c r="CJ1547">
        <v>34560</v>
      </c>
      <c r="CK1547">
        <v>10001</v>
      </c>
      <c r="CL1547" t="s">
        <v>1314</v>
      </c>
      <c r="CM1547">
        <v>-100.97</v>
      </c>
      <c r="CN1547">
        <v>32.630000000000003</v>
      </c>
      <c r="CO1547">
        <v>1.26</v>
      </c>
      <c r="CP1547">
        <v>-16.13</v>
      </c>
      <c r="CQ1547">
        <v>5.64</v>
      </c>
      <c r="CR1547">
        <v>2.4</v>
      </c>
      <c r="CS1547" t="s">
        <v>8201</v>
      </c>
      <c r="CT1547">
        <v>3.3</v>
      </c>
      <c r="CU1547">
        <v>0</v>
      </c>
      <c r="CV1547">
        <v>1.85</v>
      </c>
      <c r="CW1547">
        <v>0.31</v>
      </c>
      <c r="CX1547">
        <v>-0.26</v>
      </c>
      <c r="CY1547">
        <v>84.15</v>
      </c>
      <c r="CZ1547" t="s">
        <v>8202</v>
      </c>
      <c r="DA1547">
        <v>40.5</v>
      </c>
      <c r="DB1547">
        <v>-0.14000000000000001</v>
      </c>
      <c r="DC1547">
        <v>-0.21</v>
      </c>
      <c r="DD1547">
        <v>0.55000000000000004</v>
      </c>
      <c r="DE1547">
        <v>897</v>
      </c>
      <c r="DF1547">
        <v>300150</v>
      </c>
      <c r="DG1547" t="s">
        <v>116</v>
      </c>
      <c r="DH1547" t="s">
        <v>116</v>
      </c>
      <c r="DI1547" t="s">
        <v>116</v>
      </c>
    </row>
    <row r="1548" spans="1:113" x14ac:dyDescent="0.4">
      <c r="A1548" t="str">
        <f>"300151"</f>
        <v>300151</v>
      </c>
      <c r="B1548" t="s">
        <v>8203</v>
      </c>
      <c r="C1548">
        <v>-2.66</v>
      </c>
      <c r="D1548">
        <v>8.7899999999999991</v>
      </c>
      <c r="E1548">
        <v>-0.24</v>
      </c>
      <c r="F1548">
        <v>8.7799999999999994</v>
      </c>
      <c r="G1548">
        <v>8.7899999999999991</v>
      </c>
      <c r="H1548">
        <v>37113</v>
      </c>
      <c r="I1548">
        <v>874</v>
      </c>
      <c r="J1548">
        <v>0.34</v>
      </c>
      <c r="K1548">
        <v>1.29</v>
      </c>
      <c r="L1548">
        <v>8.9700000000000006</v>
      </c>
      <c r="M1548">
        <v>9.06</v>
      </c>
      <c r="N1548">
        <v>8.76</v>
      </c>
      <c r="O1548">
        <v>9.0299999999999994</v>
      </c>
      <c r="P1548">
        <v>64.290000000000006</v>
      </c>
      <c r="Q1548">
        <v>32949608</v>
      </c>
      <c r="R1548">
        <v>1.06</v>
      </c>
      <c r="S1548" t="s">
        <v>996</v>
      </c>
      <c r="T1548" t="s">
        <v>115</v>
      </c>
      <c r="U1548">
        <v>3.32</v>
      </c>
      <c r="V1548">
        <v>8.8800000000000008</v>
      </c>
      <c r="W1548">
        <v>21481</v>
      </c>
      <c r="X1548">
        <v>15632</v>
      </c>
      <c r="Y1548">
        <v>1.37</v>
      </c>
      <c r="Z1548">
        <v>1</v>
      </c>
      <c r="AA1548">
        <v>483</v>
      </c>
      <c r="AB1548" t="s">
        <v>116</v>
      </c>
      <c r="AC1548">
        <v>17900</v>
      </c>
      <c r="AD1548">
        <v>0</v>
      </c>
      <c r="AE1548" t="s">
        <v>116</v>
      </c>
      <c r="AF1548" t="s">
        <v>116</v>
      </c>
      <c r="AG1548">
        <v>2.87</v>
      </c>
      <c r="AH1548" t="s">
        <v>8204</v>
      </c>
      <c r="AI1548" t="s">
        <v>8205</v>
      </c>
      <c r="AJ1548">
        <v>-1.98</v>
      </c>
      <c r="AK1548">
        <v>1292</v>
      </c>
      <c r="AL1548">
        <v>29</v>
      </c>
      <c r="AM1548">
        <v>1E-3</v>
      </c>
      <c r="AN1548">
        <v>-1</v>
      </c>
      <c r="AO1548">
        <v>-3.41</v>
      </c>
      <c r="AP1548">
        <v>6.55</v>
      </c>
      <c r="AQ1548">
        <v>3.78</v>
      </c>
      <c r="AR1548">
        <v>68.709999999999994</v>
      </c>
      <c r="AS1548">
        <v>1.5</v>
      </c>
      <c r="AT1548" t="s">
        <v>8206</v>
      </c>
      <c r="AU1548">
        <v>68.540000000000006</v>
      </c>
      <c r="AV1548">
        <v>77.7</v>
      </c>
      <c r="AW1548">
        <v>0.94</v>
      </c>
      <c r="BA1548">
        <v>-0.66</v>
      </c>
      <c r="BB1548">
        <v>0.33</v>
      </c>
      <c r="BC1548">
        <v>-2.99</v>
      </c>
      <c r="BD1548">
        <v>-1.68</v>
      </c>
      <c r="BE1548">
        <v>-2.0099999999999998</v>
      </c>
      <c r="BF1548">
        <v>-2.98</v>
      </c>
      <c r="BG1548">
        <v>0.34</v>
      </c>
      <c r="BH1548">
        <v>-0.98</v>
      </c>
      <c r="BI1548">
        <v>20191030</v>
      </c>
      <c r="BJ1548">
        <v>20101222</v>
      </c>
      <c r="BK1548">
        <v>5.03</v>
      </c>
      <c r="BL1548" t="s">
        <v>116</v>
      </c>
      <c r="BM1548" t="s">
        <v>116</v>
      </c>
      <c r="BN1548">
        <v>10.67</v>
      </c>
      <c r="BO1548">
        <v>9</v>
      </c>
      <c r="BP1548">
        <v>0.15</v>
      </c>
      <c r="BQ1548">
        <v>14.23</v>
      </c>
      <c r="BR1548">
        <v>5.94</v>
      </c>
      <c r="BS1548">
        <v>2.42</v>
      </c>
      <c r="BT1548">
        <v>0.32</v>
      </c>
      <c r="BU1548">
        <v>1.47</v>
      </c>
      <c r="BV1548">
        <v>1.02</v>
      </c>
      <c r="BW1548">
        <v>1.54</v>
      </c>
      <c r="BX1548">
        <v>1.1100000000000001</v>
      </c>
      <c r="BY1548">
        <v>5.19</v>
      </c>
      <c r="BZ1548">
        <v>3.85</v>
      </c>
      <c r="CA1548">
        <v>0.59</v>
      </c>
      <c r="CB1548">
        <v>7.0000000000000007E-2</v>
      </c>
      <c r="CC1548">
        <v>0.59</v>
      </c>
      <c r="CD1548">
        <v>0.51</v>
      </c>
      <c r="CE1548">
        <v>0.52</v>
      </c>
      <c r="CF1548">
        <v>0.43</v>
      </c>
      <c r="CG1548">
        <v>2.58</v>
      </c>
      <c r="CH1548">
        <v>1.06</v>
      </c>
      <c r="CI1548">
        <v>-0.64</v>
      </c>
      <c r="CJ1548">
        <v>27327</v>
      </c>
      <c r="CK1548">
        <v>9070</v>
      </c>
      <c r="CL1548" t="s">
        <v>6624</v>
      </c>
      <c r="CM1548">
        <v>17.309999999999999</v>
      </c>
      <c r="CN1548">
        <v>6.55</v>
      </c>
      <c r="CO1548">
        <v>4.91</v>
      </c>
      <c r="CP1548">
        <v>41.57</v>
      </c>
      <c r="CQ1548">
        <v>8.5</v>
      </c>
      <c r="CR1548">
        <v>0.68</v>
      </c>
      <c r="CS1548" t="s">
        <v>2918</v>
      </c>
      <c r="CT1548">
        <v>1.79</v>
      </c>
      <c r="CU1548">
        <v>0</v>
      </c>
      <c r="CV1548">
        <v>0.22</v>
      </c>
      <c r="CW1548">
        <v>0.51</v>
      </c>
      <c r="CX1548">
        <v>0.21</v>
      </c>
      <c r="CY1548">
        <v>84.37</v>
      </c>
      <c r="CZ1548" t="s">
        <v>276</v>
      </c>
      <c r="DA1548">
        <v>25.96</v>
      </c>
      <c r="DB1548">
        <v>11.29</v>
      </c>
      <c r="DC1548">
        <v>9.92</v>
      </c>
      <c r="DD1548">
        <v>0.23</v>
      </c>
      <c r="DE1548">
        <v>1863</v>
      </c>
      <c r="DF1548">
        <v>300151</v>
      </c>
      <c r="DG1548" t="s">
        <v>116</v>
      </c>
      <c r="DH1548" t="s">
        <v>116</v>
      </c>
      <c r="DI1548" t="s">
        <v>116</v>
      </c>
    </row>
    <row r="1549" spans="1:113" x14ac:dyDescent="0.4">
      <c r="A1549" t="str">
        <f>"300152"</f>
        <v>300152</v>
      </c>
      <c r="B1549" t="s">
        <v>8207</v>
      </c>
      <c r="C1549">
        <v>-0.28999999999999998</v>
      </c>
      <c r="D1549">
        <v>3.48</v>
      </c>
      <c r="E1549">
        <v>-0.01</v>
      </c>
      <c r="F1549">
        <v>3.48</v>
      </c>
      <c r="G1549">
        <v>3.49</v>
      </c>
      <c r="H1549">
        <v>108227</v>
      </c>
      <c r="I1549">
        <v>1540</v>
      </c>
      <c r="J1549">
        <v>-0.28000000000000003</v>
      </c>
      <c r="K1549">
        <v>1.52</v>
      </c>
      <c r="L1549">
        <v>3.49</v>
      </c>
      <c r="M1549">
        <v>3.53</v>
      </c>
      <c r="N1549">
        <v>3.48</v>
      </c>
      <c r="O1549">
        <v>3.49</v>
      </c>
      <c r="P1549">
        <v>20.18</v>
      </c>
      <c r="Q1549">
        <v>37941564</v>
      </c>
      <c r="R1549">
        <v>0.82</v>
      </c>
      <c r="S1549" t="s">
        <v>140</v>
      </c>
      <c r="T1549" t="s">
        <v>608</v>
      </c>
      <c r="U1549">
        <v>1.43</v>
      </c>
      <c r="V1549">
        <v>3.51</v>
      </c>
      <c r="W1549">
        <v>53703</v>
      </c>
      <c r="X1549">
        <v>54524</v>
      </c>
      <c r="Y1549">
        <v>0.98</v>
      </c>
      <c r="Z1549">
        <v>4111</v>
      </c>
      <c r="AA1549">
        <v>828</v>
      </c>
      <c r="AB1549" t="s">
        <v>116</v>
      </c>
      <c r="AC1549">
        <v>109200</v>
      </c>
      <c r="AD1549">
        <v>0.01</v>
      </c>
      <c r="AE1549" t="s">
        <v>116</v>
      </c>
      <c r="AF1549" t="s">
        <v>116</v>
      </c>
      <c r="AG1549">
        <v>7.13</v>
      </c>
      <c r="AH1549" t="s">
        <v>719</v>
      </c>
      <c r="AI1549" t="s">
        <v>8208</v>
      </c>
      <c r="AJ1549">
        <v>0.39</v>
      </c>
      <c r="AK1549">
        <v>1124</v>
      </c>
      <c r="AL1549">
        <v>96</v>
      </c>
      <c r="AM1549">
        <v>1.4E-3</v>
      </c>
      <c r="AN1549">
        <v>-3</v>
      </c>
      <c r="AO1549">
        <v>-1.7</v>
      </c>
      <c r="AP1549">
        <v>-0.28999999999999998</v>
      </c>
      <c r="AQ1549">
        <v>-4.66</v>
      </c>
      <c r="AR1549">
        <v>33.33</v>
      </c>
      <c r="AS1549">
        <v>2.15</v>
      </c>
      <c r="AT1549" t="s">
        <v>7358</v>
      </c>
      <c r="AU1549" t="s">
        <v>116</v>
      </c>
      <c r="AV1549" t="s">
        <v>116</v>
      </c>
      <c r="AW1549">
        <v>1.1399999999999999</v>
      </c>
      <c r="BA1549">
        <v>0</v>
      </c>
      <c r="BB1549">
        <v>1.1499999999999999</v>
      </c>
      <c r="BC1549">
        <v>-0.28999999999999998</v>
      </c>
      <c r="BD1549">
        <v>0.45</v>
      </c>
      <c r="BE1549">
        <v>-0.28999999999999998</v>
      </c>
      <c r="BF1549">
        <v>-1.42</v>
      </c>
      <c r="BG1549">
        <v>0</v>
      </c>
      <c r="BH1549">
        <v>-0.74</v>
      </c>
      <c r="BI1549">
        <v>20191025</v>
      </c>
      <c r="BJ1549">
        <v>20101229</v>
      </c>
      <c r="BK1549">
        <v>7.13</v>
      </c>
      <c r="BL1549" t="s">
        <v>116</v>
      </c>
      <c r="BM1549" t="s">
        <v>116</v>
      </c>
      <c r="BN1549">
        <v>18.02</v>
      </c>
      <c r="BO1549">
        <v>7.94</v>
      </c>
      <c r="BP1549">
        <v>0.7</v>
      </c>
      <c r="BQ1549">
        <v>52</v>
      </c>
      <c r="BR1549">
        <v>8.25</v>
      </c>
      <c r="BS1549">
        <v>1.87</v>
      </c>
      <c r="BT1549">
        <v>3.22</v>
      </c>
      <c r="BU1549">
        <v>6.97</v>
      </c>
      <c r="BV1549">
        <v>0.9</v>
      </c>
      <c r="BW1549">
        <v>4.1500000000000004</v>
      </c>
      <c r="BX1549">
        <v>5.0599999999999996</v>
      </c>
      <c r="BY1549">
        <v>3.34</v>
      </c>
      <c r="BZ1549">
        <v>2.58</v>
      </c>
      <c r="CA1549">
        <v>0.93</v>
      </c>
      <c r="CB1549">
        <v>0.97</v>
      </c>
      <c r="CC1549">
        <v>0.93</v>
      </c>
      <c r="CD1549">
        <v>0.92</v>
      </c>
      <c r="CE1549">
        <v>0.92</v>
      </c>
      <c r="CF1549">
        <v>0</v>
      </c>
      <c r="CG1549">
        <v>-4.6900000000000004</v>
      </c>
      <c r="CH1549">
        <v>-0.01</v>
      </c>
      <c r="CI1549">
        <v>-7.0000000000000007E-2</v>
      </c>
      <c r="CJ1549">
        <v>64577</v>
      </c>
      <c r="CK1549">
        <v>7800</v>
      </c>
      <c r="CL1549" t="s">
        <v>2487</v>
      </c>
      <c r="CM1549">
        <v>135.26</v>
      </c>
      <c r="CN1549">
        <v>2.41</v>
      </c>
      <c r="CO1549">
        <v>3.12</v>
      </c>
      <c r="CP1549">
        <v>-2592</v>
      </c>
      <c r="CQ1549">
        <v>7.42</v>
      </c>
      <c r="CR1549">
        <v>0</v>
      </c>
      <c r="CS1549" t="s">
        <v>8209</v>
      </c>
      <c r="CT1549">
        <v>1.1100000000000001</v>
      </c>
      <c r="CU1549">
        <v>0</v>
      </c>
      <c r="CV1549">
        <v>0.71</v>
      </c>
      <c r="CW1549">
        <v>-0.66</v>
      </c>
      <c r="CX1549">
        <v>0</v>
      </c>
      <c r="CY1549">
        <v>44.09</v>
      </c>
      <c r="CZ1549" t="s">
        <v>3559</v>
      </c>
      <c r="DA1549">
        <v>22.68</v>
      </c>
      <c r="DB1549">
        <v>27.9</v>
      </c>
      <c r="DC1549">
        <v>27.59</v>
      </c>
      <c r="DD1549">
        <v>0.1</v>
      </c>
      <c r="DE1549">
        <v>689</v>
      </c>
      <c r="DF1549">
        <v>300152</v>
      </c>
      <c r="DG1549" t="s">
        <v>116</v>
      </c>
      <c r="DH1549" t="s">
        <v>116</v>
      </c>
      <c r="DI1549" t="s">
        <v>116</v>
      </c>
    </row>
    <row r="1550" spans="1:113" x14ac:dyDescent="0.4">
      <c r="A1550" t="str">
        <f>"300153"</f>
        <v>300153</v>
      </c>
      <c r="B1550" t="s">
        <v>8210</v>
      </c>
      <c r="C1550">
        <v>-1.96</v>
      </c>
      <c r="D1550">
        <v>6.51</v>
      </c>
      <c r="E1550">
        <v>-0.13</v>
      </c>
      <c r="F1550">
        <v>6.51</v>
      </c>
      <c r="G1550">
        <v>6.52</v>
      </c>
      <c r="H1550">
        <v>41294</v>
      </c>
      <c r="I1550">
        <v>501</v>
      </c>
      <c r="J1550">
        <v>-0.14000000000000001</v>
      </c>
      <c r="K1550">
        <v>1.3</v>
      </c>
      <c r="L1550">
        <v>6.66</v>
      </c>
      <c r="M1550">
        <v>6.84</v>
      </c>
      <c r="N1550">
        <v>6.51</v>
      </c>
      <c r="O1550">
        <v>6.64</v>
      </c>
      <c r="P1550" t="s">
        <v>116</v>
      </c>
      <c r="Q1550">
        <v>27442112</v>
      </c>
      <c r="R1550">
        <v>1.2</v>
      </c>
      <c r="S1550" t="s">
        <v>397</v>
      </c>
      <c r="T1550" t="s">
        <v>1653</v>
      </c>
      <c r="U1550">
        <v>4.97</v>
      </c>
      <c r="V1550">
        <v>6.65</v>
      </c>
      <c r="W1550">
        <v>24933</v>
      </c>
      <c r="X1550">
        <v>16361</v>
      </c>
      <c r="Y1550">
        <v>1.52</v>
      </c>
      <c r="Z1550">
        <v>271</v>
      </c>
      <c r="AA1550">
        <v>463</v>
      </c>
      <c r="AB1550" t="s">
        <v>116</v>
      </c>
      <c r="AC1550">
        <v>318300</v>
      </c>
      <c r="AD1550">
        <v>0.03</v>
      </c>
      <c r="AE1550" t="s">
        <v>116</v>
      </c>
      <c r="AF1550" t="s">
        <v>116</v>
      </c>
      <c r="AG1550">
        <v>3.17</v>
      </c>
      <c r="AH1550" t="s">
        <v>8211</v>
      </c>
      <c r="AI1550" t="s">
        <v>8212</v>
      </c>
      <c r="AJ1550">
        <v>-1.28</v>
      </c>
      <c r="AK1550">
        <v>1051</v>
      </c>
      <c r="AL1550">
        <v>39</v>
      </c>
      <c r="AM1550">
        <v>1.1999999999999999E-3</v>
      </c>
      <c r="AN1550">
        <v>-1</v>
      </c>
      <c r="AO1550">
        <v>-1.22</v>
      </c>
      <c r="AP1550">
        <v>5.51</v>
      </c>
      <c r="AQ1550">
        <v>-2.54</v>
      </c>
      <c r="AR1550">
        <v>-8.82</v>
      </c>
      <c r="AS1550">
        <v>2.74</v>
      </c>
      <c r="AT1550" t="s">
        <v>3963</v>
      </c>
      <c r="AU1550" t="s">
        <v>116</v>
      </c>
      <c r="AV1550">
        <v>115.43</v>
      </c>
      <c r="AW1550">
        <v>1.07</v>
      </c>
      <c r="BA1550">
        <v>0.3</v>
      </c>
      <c r="BB1550">
        <v>3.01</v>
      </c>
      <c r="BC1550">
        <v>-1.96</v>
      </c>
      <c r="BD1550">
        <v>0.08</v>
      </c>
      <c r="BE1550">
        <v>-2.25</v>
      </c>
      <c r="BF1550">
        <v>-4.82</v>
      </c>
      <c r="BG1550">
        <v>0</v>
      </c>
      <c r="BH1550">
        <v>-2.04</v>
      </c>
      <c r="BI1550">
        <v>20191028</v>
      </c>
      <c r="BJ1550">
        <v>20101229</v>
      </c>
      <c r="BK1550">
        <v>3.2</v>
      </c>
      <c r="BL1550" t="s">
        <v>116</v>
      </c>
      <c r="BM1550" t="s">
        <v>116</v>
      </c>
      <c r="BN1550">
        <v>15.52</v>
      </c>
      <c r="BO1550">
        <v>9.44</v>
      </c>
      <c r="BP1550">
        <v>0.04</v>
      </c>
      <c r="BQ1550">
        <v>38.94</v>
      </c>
      <c r="BR1550">
        <v>9.1300000000000008</v>
      </c>
      <c r="BS1550">
        <v>2.52</v>
      </c>
      <c r="BT1550">
        <v>0.4</v>
      </c>
      <c r="BU1550">
        <v>5.63</v>
      </c>
      <c r="BV1550">
        <v>2.11</v>
      </c>
      <c r="BW1550">
        <v>4.12</v>
      </c>
      <c r="BX1550">
        <v>4.95</v>
      </c>
      <c r="BY1550">
        <v>7.27</v>
      </c>
      <c r="BZ1550">
        <v>5.92</v>
      </c>
      <c r="CA1550">
        <v>-7.0000000000000007E-2</v>
      </c>
      <c r="CB1550">
        <v>0.11</v>
      </c>
      <c r="CC1550">
        <v>-0.03</v>
      </c>
      <c r="CD1550">
        <v>-0.02</v>
      </c>
      <c r="CE1550">
        <v>-0.02</v>
      </c>
      <c r="CF1550">
        <v>-0.13</v>
      </c>
      <c r="CG1550">
        <v>0.84</v>
      </c>
      <c r="CH1550">
        <v>-0.31</v>
      </c>
      <c r="CI1550">
        <v>-0.87</v>
      </c>
      <c r="CJ1550">
        <v>29429</v>
      </c>
      <c r="CK1550">
        <v>5122</v>
      </c>
      <c r="CL1550" t="s">
        <v>2908</v>
      </c>
      <c r="CM1550">
        <v>-112.98</v>
      </c>
      <c r="CN1550">
        <v>-20.27</v>
      </c>
      <c r="CO1550">
        <v>2.21</v>
      </c>
      <c r="CP1550">
        <v>-66.59</v>
      </c>
      <c r="CQ1550">
        <v>2.87</v>
      </c>
      <c r="CR1550">
        <v>0.77</v>
      </c>
      <c r="CS1550" t="s">
        <v>1610</v>
      </c>
      <c r="CT1550">
        <v>2.95</v>
      </c>
      <c r="CU1550">
        <v>0</v>
      </c>
      <c r="CV1550">
        <v>1.55</v>
      </c>
      <c r="CW1550">
        <v>0.26</v>
      </c>
      <c r="CX1550">
        <v>-0.1</v>
      </c>
      <c r="CY1550">
        <v>60.78</v>
      </c>
      <c r="CZ1550" t="s">
        <v>4290</v>
      </c>
      <c r="DA1550">
        <v>18.55</v>
      </c>
      <c r="DB1550">
        <v>-0.99</v>
      </c>
      <c r="DC1550">
        <v>-0.31</v>
      </c>
      <c r="DD1550">
        <v>0.19</v>
      </c>
      <c r="DE1550">
        <v>589</v>
      </c>
      <c r="DF1550">
        <v>300153</v>
      </c>
      <c r="DG1550" t="s">
        <v>116</v>
      </c>
      <c r="DH1550" t="s">
        <v>116</v>
      </c>
      <c r="DI1550" t="s">
        <v>116</v>
      </c>
    </row>
    <row r="1551" spans="1:113" x14ac:dyDescent="0.4">
      <c r="A1551" t="str">
        <f>"300154"</f>
        <v>300154</v>
      </c>
      <c r="B1551" t="s">
        <v>8213</v>
      </c>
      <c r="C1551">
        <v>-1.07</v>
      </c>
      <c r="D1551">
        <v>5.56</v>
      </c>
      <c r="E1551">
        <v>-0.06</v>
      </c>
      <c r="F1551">
        <v>5.56</v>
      </c>
      <c r="G1551">
        <v>5.57</v>
      </c>
      <c r="H1551">
        <v>21906</v>
      </c>
      <c r="I1551">
        <v>111</v>
      </c>
      <c r="J1551">
        <v>-0.17</v>
      </c>
      <c r="K1551">
        <v>0.69</v>
      </c>
      <c r="L1551">
        <v>5.65</v>
      </c>
      <c r="M1551">
        <v>5.66</v>
      </c>
      <c r="N1551">
        <v>5.54</v>
      </c>
      <c r="O1551">
        <v>5.62</v>
      </c>
      <c r="P1551">
        <v>20.81</v>
      </c>
      <c r="Q1551">
        <v>12304952</v>
      </c>
      <c r="R1551">
        <v>1.07</v>
      </c>
      <c r="S1551" t="s">
        <v>233</v>
      </c>
      <c r="T1551" t="s">
        <v>115</v>
      </c>
      <c r="U1551">
        <v>2.14</v>
      </c>
      <c r="V1551">
        <v>5.62</v>
      </c>
      <c r="W1551">
        <v>12422</v>
      </c>
      <c r="X1551">
        <v>9484</v>
      </c>
      <c r="Y1551">
        <v>1.31</v>
      </c>
      <c r="Z1551">
        <v>158</v>
      </c>
      <c r="AA1551">
        <v>210</v>
      </c>
      <c r="AB1551" t="s">
        <v>116</v>
      </c>
      <c r="AC1551">
        <v>158800</v>
      </c>
      <c r="AD1551">
        <v>0.02</v>
      </c>
      <c r="AE1551" t="s">
        <v>116</v>
      </c>
      <c r="AF1551" t="s">
        <v>116</v>
      </c>
      <c r="AG1551">
        <v>3.17</v>
      </c>
      <c r="AH1551" t="s">
        <v>4734</v>
      </c>
      <c r="AI1551" t="s">
        <v>5917</v>
      </c>
      <c r="AJ1551">
        <v>-0.39</v>
      </c>
      <c r="AK1551">
        <v>774</v>
      </c>
      <c r="AL1551">
        <v>28</v>
      </c>
      <c r="AM1551">
        <v>8.9999999999999998E-4</v>
      </c>
      <c r="AN1551">
        <v>-1</v>
      </c>
      <c r="AO1551">
        <v>0.18</v>
      </c>
      <c r="AP1551">
        <v>3.93</v>
      </c>
      <c r="AQ1551">
        <v>-1.94</v>
      </c>
      <c r="AR1551">
        <v>20.87</v>
      </c>
      <c r="AS1551">
        <v>1.47</v>
      </c>
      <c r="AT1551" t="s">
        <v>8214</v>
      </c>
      <c r="AU1551">
        <v>22.16</v>
      </c>
      <c r="AV1551">
        <v>23.65</v>
      </c>
      <c r="AW1551">
        <v>1.29</v>
      </c>
      <c r="BA1551">
        <v>0.53</v>
      </c>
      <c r="BB1551">
        <v>0.71</v>
      </c>
      <c r="BC1551">
        <v>-1.42</v>
      </c>
      <c r="BD1551">
        <v>-0.05</v>
      </c>
      <c r="BE1551">
        <v>-1.59</v>
      </c>
      <c r="BF1551">
        <v>-1.77</v>
      </c>
      <c r="BG1551">
        <v>0.36</v>
      </c>
      <c r="BH1551">
        <v>-1.02</v>
      </c>
      <c r="BI1551">
        <v>20191029</v>
      </c>
      <c r="BJ1551">
        <v>20101229</v>
      </c>
      <c r="BK1551">
        <v>4.5599999999999996</v>
      </c>
      <c r="BL1551" t="s">
        <v>116</v>
      </c>
      <c r="BM1551" t="s">
        <v>116</v>
      </c>
      <c r="BN1551">
        <v>19</v>
      </c>
      <c r="BO1551">
        <v>16.41</v>
      </c>
      <c r="BP1551">
        <v>-0.02</v>
      </c>
      <c r="BQ1551">
        <v>13.72</v>
      </c>
      <c r="BR1551">
        <v>16.8</v>
      </c>
      <c r="BS1551">
        <v>0.8</v>
      </c>
      <c r="BT1551">
        <v>0.39</v>
      </c>
      <c r="BU1551">
        <v>2.37</v>
      </c>
      <c r="BV1551">
        <v>1.08</v>
      </c>
      <c r="BW1551">
        <v>0.66</v>
      </c>
      <c r="BX1551">
        <v>7.4</v>
      </c>
      <c r="BY1551">
        <v>3.9</v>
      </c>
      <c r="BZ1551">
        <v>2.59</v>
      </c>
      <c r="CA1551">
        <v>1.0900000000000001</v>
      </c>
      <c r="CB1551">
        <v>7.0000000000000007E-2</v>
      </c>
      <c r="CC1551">
        <v>1.0900000000000001</v>
      </c>
      <c r="CD1551">
        <v>0.9</v>
      </c>
      <c r="CE1551">
        <v>0.91</v>
      </c>
      <c r="CF1551">
        <v>0.81</v>
      </c>
      <c r="CG1551">
        <v>3.38</v>
      </c>
      <c r="CH1551">
        <v>0.56999999999999995</v>
      </c>
      <c r="CI1551">
        <v>-1.93</v>
      </c>
      <c r="CJ1551">
        <v>18747</v>
      </c>
      <c r="CK1551">
        <v>7954</v>
      </c>
      <c r="CL1551" t="s">
        <v>8215</v>
      </c>
      <c r="CM1551">
        <v>8.6</v>
      </c>
      <c r="CN1551">
        <v>-11.33</v>
      </c>
      <c r="CO1551">
        <v>1.54</v>
      </c>
      <c r="CP1551">
        <v>44.35</v>
      </c>
      <c r="CQ1551">
        <v>6.5</v>
      </c>
      <c r="CR1551">
        <v>3.6</v>
      </c>
      <c r="CS1551" t="s">
        <v>541</v>
      </c>
      <c r="CT1551">
        <v>3.6</v>
      </c>
      <c r="CU1551">
        <v>0</v>
      </c>
      <c r="CV1551">
        <v>1.62</v>
      </c>
      <c r="CW1551">
        <v>0.74</v>
      </c>
      <c r="CX1551">
        <v>0.13</v>
      </c>
      <c r="CY1551">
        <v>86.39</v>
      </c>
      <c r="CZ1551" t="s">
        <v>1733</v>
      </c>
      <c r="DA1551">
        <v>33.630000000000003</v>
      </c>
      <c r="DB1551">
        <v>27.97</v>
      </c>
      <c r="DC1551">
        <v>23.41</v>
      </c>
      <c r="DD1551">
        <v>0.22</v>
      </c>
      <c r="DE1551">
        <v>885</v>
      </c>
      <c r="DF1551">
        <v>300154</v>
      </c>
      <c r="DG1551" t="s">
        <v>116</v>
      </c>
      <c r="DH1551" t="s">
        <v>116</v>
      </c>
      <c r="DI1551" t="s">
        <v>116</v>
      </c>
    </row>
    <row r="1552" spans="1:113" x14ac:dyDescent="0.4">
      <c r="A1552" t="str">
        <f>"300155"</f>
        <v>300155</v>
      </c>
      <c r="B1552" t="s">
        <v>8216</v>
      </c>
      <c r="C1552">
        <v>-2.0499999999999998</v>
      </c>
      <c r="D1552">
        <v>5.25</v>
      </c>
      <c r="E1552">
        <v>-0.11</v>
      </c>
      <c r="F1552">
        <v>5.25</v>
      </c>
      <c r="G1552">
        <v>5.26</v>
      </c>
      <c r="H1552">
        <v>38993</v>
      </c>
      <c r="I1552">
        <v>602</v>
      </c>
      <c r="J1552">
        <v>-0.18</v>
      </c>
      <c r="K1552">
        <v>1.4</v>
      </c>
      <c r="L1552">
        <v>5.37</v>
      </c>
      <c r="M1552">
        <v>5.39</v>
      </c>
      <c r="N1552">
        <v>5.25</v>
      </c>
      <c r="O1552">
        <v>5.36</v>
      </c>
      <c r="P1552">
        <v>40.97</v>
      </c>
      <c r="Q1552">
        <v>20740458</v>
      </c>
      <c r="R1552">
        <v>0.66</v>
      </c>
      <c r="S1552" t="s">
        <v>233</v>
      </c>
      <c r="T1552" t="s">
        <v>551</v>
      </c>
      <c r="U1552">
        <v>2.61</v>
      </c>
      <c r="V1552">
        <v>5.32</v>
      </c>
      <c r="W1552">
        <v>25452</v>
      </c>
      <c r="X1552">
        <v>13541</v>
      </c>
      <c r="Y1552">
        <v>1.88</v>
      </c>
      <c r="Z1552">
        <v>691</v>
      </c>
      <c r="AA1552">
        <v>651</v>
      </c>
      <c r="AB1552" t="s">
        <v>116</v>
      </c>
      <c r="AC1552">
        <v>41900</v>
      </c>
      <c r="AD1552">
        <v>0</v>
      </c>
      <c r="AE1552" t="s">
        <v>116</v>
      </c>
      <c r="AF1552" t="s">
        <v>116</v>
      </c>
      <c r="AG1552">
        <v>2.78</v>
      </c>
      <c r="AH1552" t="s">
        <v>8217</v>
      </c>
      <c r="AI1552" t="s">
        <v>4976</v>
      </c>
      <c r="AJ1552">
        <v>-1.37</v>
      </c>
      <c r="AK1552">
        <v>1132</v>
      </c>
      <c r="AL1552">
        <v>34</v>
      </c>
      <c r="AM1552">
        <v>1.1999999999999999E-3</v>
      </c>
      <c r="AN1552">
        <v>-1</v>
      </c>
      <c r="AO1552">
        <v>-1.1399999999999999</v>
      </c>
      <c r="AP1552">
        <v>8.4700000000000006</v>
      </c>
      <c r="AQ1552">
        <v>3.14</v>
      </c>
      <c r="AR1552">
        <v>24.56</v>
      </c>
      <c r="AS1552">
        <v>1.99</v>
      </c>
      <c r="AT1552" t="s">
        <v>1778</v>
      </c>
      <c r="AU1552">
        <v>56.98</v>
      </c>
      <c r="AV1552">
        <v>104.59</v>
      </c>
      <c r="AW1552">
        <v>1.02</v>
      </c>
      <c r="BA1552">
        <v>0.19</v>
      </c>
      <c r="BB1552">
        <v>0.56000000000000005</v>
      </c>
      <c r="BC1552">
        <v>-2.0499999999999998</v>
      </c>
      <c r="BD1552">
        <v>-0.77</v>
      </c>
      <c r="BE1552">
        <v>-2.23</v>
      </c>
      <c r="BF1552">
        <v>-2.6</v>
      </c>
      <c r="BG1552">
        <v>0</v>
      </c>
      <c r="BH1552">
        <v>-1.29</v>
      </c>
      <c r="BI1552">
        <v>20191111</v>
      </c>
      <c r="BJ1552">
        <v>20110107</v>
      </c>
      <c r="BK1552">
        <v>5.43</v>
      </c>
      <c r="BL1552" t="s">
        <v>116</v>
      </c>
      <c r="BM1552" t="s">
        <v>116</v>
      </c>
      <c r="BN1552">
        <v>15.96</v>
      </c>
      <c r="BO1552">
        <v>12.12</v>
      </c>
      <c r="BP1552">
        <v>0.26</v>
      </c>
      <c r="BQ1552">
        <v>22.45</v>
      </c>
      <c r="BR1552">
        <v>11.81</v>
      </c>
      <c r="BS1552">
        <v>2.0499999999999998</v>
      </c>
      <c r="BT1552">
        <v>0.3</v>
      </c>
      <c r="BU1552">
        <v>3.33</v>
      </c>
      <c r="BV1552">
        <v>2.82</v>
      </c>
      <c r="BW1552">
        <v>3.57</v>
      </c>
      <c r="BX1552">
        <v>3.57</v>
      </c>
      <c r="BY1552">
        <v>5.72</v>
      </c>
      <c r="BZ1552">
        <v>3.52</v>
      </c>
      <c r="CA1552">
        <v>0.67</v>
      </c>
      <c r="CB1552">
        <v>0</v>
      </c>
      <c r="CC1552">
        <v>0.66</v>
      </c>
      <c r="CD1552">
        <v>0.51</v>
      </c>
      <c r="CE1552">
        <v>0.52</v>
      </c>
      <c r="CF1552">
        <v>0.45</v>
      </c>
      <c r="CG1552">
        <v>2.5299999999999998</v>
      </c>
      <c r="CH1552">
        <v>0.27</v>
      </c>
      <c r="CI1552">
        <v>0.21</v>
      </c>
      <c r="CJ1552">
        <v>26600</v>
      </c>
      <c r="CK1552">
        <v>7351</v>
      </c>
      <c r="CL1552" t="s">
        <v>964</v>
      </c>
      <c r="CM1552">
        <v>77.45</v>
      </c>
      <c r="CN1552">
        <v>9.2200000000000006</v>
      </c>
      <c r="CO1552">
        <v>2.35</v>
      </c>
      <c r="CP1552">
        <v>106.16</v>
      </c>
      <c r="CQ1552">
        <v>4.99</v>
      </c>
      <c r="CR1552">
        <v>0.28999999999999998</v>
      </c>
      <c r="CS1552" t="s">
        <v>2025</v>
      </c>
      <c r="CT1552">
        <v>2.23</v>
      </c>
      <c r="CU1552">
        <v>0</v>
      </c>
      <c r="CV1552">
        <v>0.66</v>
      </c>
      <c r="CW1552">
        <v>0.46</v>
      </c>
      <c r="CX1552">
        <v>0.05</v>
      </c>
      <c r="CY1552">
        <v>75.91</v>
      </c>
      <c r="CZ1552" t="s">
        <v>3857</v>
      </c>
      <c r="DA1552">
        <v>38.43</v>
      </c>
      <c r="DB1552">
        <v>11.64</v>
      </c>
      <c r="DC1552">
        <v>9.1300000000000008</v>
      </c>
      <c r="DD1552">
        <v>0.62</v>
      </c>
      <c r="DE1552">
        <v>1307</v>
      </c>
      <c r="DF1552">
        <v>300155</v>
      </c>
      <c r="DG1552" t="s">
        <v>116</v>
      </c>
      <c r="DH1552" t="s">
        <v>116</v>
      </c>
      <c r="DI1552" t="s">
        <v>116</v>
      </c>
    </row>
    <row r="1553" spans="1:113" x14ac:dyDescent="0.4">
      <c r="A1553" t="str">
        <f>"300156"</f>
        <v>300156</v>
      </c>
      <c r="B1553" t="s">
        <v>8218</v>
      </c>
      <c r="C1553">
        <v>-2.34</v>
      </c>
      <c r="D1553">
        <v>1.67</v>
      </c>
      <c r="E1553">
        <v>-0.04</v>
      </c>
      <c r="F1553">
        <v>1.67</v>
      </c>
      <c r="G1553">
        <v>1.68</v>
      </c>
      <c r="H1553">
        <v>183706</v>
      </c>
      <c r="I1553">
        <v>2615</v>
      </c>
      <c r="J1553">
        <v>0</v>
      </c>
      <c r="K1553">
        <v>2.5499999999999998</v>
      </c>
      <c r="L1553">
        <v>1.71</v>
      </c>
      <c r="M1553">
        <v>1.73</v>
      </c>
      <c r="N1553">
        <v>1.67</v>
      </c>
      <c r="O1553">
        <v>1.71</v>
      </c>
      <c r="P1553" t="s">
        <v>116</v>
      </c>
      <c r="Q1553">
        <v>31323396</v>
      </c>
      <c r="R1553">
        <v>0.7</v>
      </c>
      <c r="S1553" t="s">
        <v>140</v>
      </c>
      <c r="T1553" t="s">
        <v>165</v>
      </c>
      <c r="U1553">
        <v>3.51</v>
      </c>
      <c r="V1553">
        <v>1.71</v>
      </c>
      <c r="W1553">
        <v>114285</v>
      </c>
      <c r="X1553">
        <v>69421</v>
      </c>
      <c r="Y1553">
        <v>1.65</v>
      </c>
      <c r="Z1553">
        <v>3959</v>
      </c>
      <c r="AA1553">
        <v>6458</v>
      </c>
      <c r="AB1553" t="s">
        <v>116</v>
      </c>
      <c r="AC1553">
        <v>142100</v>
      </c>
      <c r="AD1553">
        <v>0.02</v>
      </c>
      <c r="AE1553" t="s">
        <v>116</v>
      </c>
      <c r="AF1553" t="s">
        <v>116</v>
      </c>
      <c r="AG1553">
        <v>7.22</v>
      </c>
      <c r="AH1553" t="s">
        <v>8219</v>
      </c>
      <c r="AI1553" t="s">
        <v>3420</v>
      </c>
      <c r="AJ1553">
        <v>-1.66</v>
      </c>
      <c r="AK1553">
        <v>1415</v>
      </c>
      <c r="AL1553">
        <v>130</v>
      </c>
      <c r="AM1553">
        <v>1.8E-3</v>
      </c>
      <c r="AN1553">
        <v>-1</v>
      </c>
      <c r="AO1553">
        <v>-2.91</v>
      </c>
      <c r="AP1553">
        <v>1.83</v>
      </c>
      <c r="AQ1553">
        <v>-20.85</v>
      </c>
      <c r="AR1553">
        <v>-53.99</v>
      </c>
      <c r="AS1553">
        <v>3.39</v>
      </c>
      <c r="AT1553" t="s">
        <v>8220</v>
      </c>
      <c r="AU1553" t="s">
        <v>116</v>
      </c>
      <c r="AV1553" t="s">
        <v>116</v>
      </c>
      <c r="AW1553">
        <v>1.1000000000000001</v>
      </c>
      <c r="BA1553">
        <v>0</v>
      </c>
      <c r="BB1553">
        <v>1.17</v>
      </c>
      <c r="BC1553">
        <v>-2.34</v>
      </c>
      <c r="BD1553">
        <v>-0.28999999999999998</v>
      </c>
      <c r="BE1553">
        <v>-2.34</v>
      </c>
      <c r="BF1553">
        <v>-3.47</v>
      </c>
      <c r="BG1553">
        <v>0</v>
      </c>
      <c r="BH1553">
        <v>-2.0499999999999998</v>
      </c>
      <c r="BI1553">
        <v>20191202</v>
      </c>
      <c r="BJ1553">
        <v>20110107</v>
      </c>
      <c r="BK1553">
        <v>10.1</v>
      </c>
      <c r="BL1553" t="s">
        <v>116</v>
      </c>
      <c r="BM1553" t="s">
        <v>116</v>
      </c>
      <c r="BN1553">
        <v>54.81</v>
      </c>
      <c r="BO1553">
        <v>3.06</v>
      </c>
      <c r="BP1553">
        <v>0</v>
      </c>
      <c r="BQ1553">
        <v>94.41</v>
      </c>
      <c r="BR1553">
        <v>50.16</v>
      </c>
      <c r="BS1553">
        <v>1.0900000000000001</v>
      </c>
      <c r="BT1553">
        <v>1.08</v>
      </c>
      <c r="BU1553">
        <v>44.71</v>
      </c>
      <c r="BV1553">
        <v>13.35</v>
      </c>
      <c r="BW1553">
        <v>12.49</v>
      </c>
      <c r="BX1553">
        <v>3.51</v>
      </c>
      <c r="BY1553">
        <v>0.38</v>
      </c>
      <c r="BZ1553">
        <v>0.13</v>
      </c>
      <c r="CA1553">
        <v>-4.1500000000000004</v>
      </c>
      <c r="CB1553">
        <v>0</v>
      </c>
      <c r="CC1553">
        <v>-9.8000000000000007</v>
      </c>
      <c r="CD1553">
        <v>-9.8000000000000007</v>
      </c>
      <c r="CE1553">
        <v>-9.8000000000000007</v>
      </c>
      <c r="CF1553">
        <v>-4.1500000000000004</v>
      </c>
      <c r="CG1553">
        <v>-11.39</v>
      </c>
      <c r="CH1553">
        <v>-7.0000000000000007E-2</v>
      </c>
      <c r="CI1553">
        <v>-7.0000000000000007E-2</v>
      </c>
      <c r="CJ1553">
        <v>53268</v>
      </c>
      <c r="CK1553">
        <v>10172</v>
      </c>
      <c r="CL1553" t="s">
        <v>8221</v>
      </c>
      <c r="CM1553">
        <v>-296.35000000000002</v>
      </c>
      <c r="CN1553">
        <v>-61.02</v>
      </c>
      <c r="CO1553">
        <v>5.51</v>
      </c>
      <c r="CP1553">
        <v>-244.39</v>
      </c>
      <c r="CQ1553">
        <v>44.24</v>
      </c>
      <c r="CR1553">
        <v>0</v>
      </c>
      <c r="CS1553" t="s">
        <v>8222</v>
      </c>
      <c r="CT1553">
        <v>0.3</v>
      </c>
      <c r="CU1553">
        <v>0</v>
      </c>
      <c r="CV1553">
        <v>0.35</v>
      </c>
      <c r="CW1553">
        <v>-1.1299999999999999</v>
      </c>
      <c r="CX1553">
        <v>-0.01</v>
      </c>
      <c r="CY1553">
        <v>5.59</v>
      </c>
      <c r="CZ1553" t="s">
        <v>8223</v>
      </c>
      <c r="DA1553">
        <v>66.349999999999994</v>
      </c>
      <c r="DB1553">
        <v>-1088.22</v>
      </c>
      <c r="DC1553">
        <v>-2569.4</v>
      </c>
      <c r="DD1553">
        <v>0</v>
      </c>
      <c r="DE1553">
        <v>470</v>
      </c>
      <c r="DF1553">
        <v>300156</v>
      </c>
      <c r="DG1553" t="s">
        <v>116</v>
      </c>
      <c r="DH1553" t="s">
        <v>116</v>
      </c>
      <c r="DI1553" t="s">
        <v>116</v>
      </c>
    </row>
    <row r="1554" spans="1:113" x14ac:dyDescent="0.4">
      <c r="A1554" t="str">
        <f>"300157"</f>
        <v>300157</v>
      </c>
      <c r="B1554" t="s">
        <v>8224</v>
      </c>
      <c r="C1554">
        <v>-0.49</v>
      </c>
      <c r="D1554">
        <v>4.07</v>
      </c>
      <c r="E1554">
        <v>-0.02</v>
      </c>
      <c r="F1554">
        <v>4.0599999999999996</v>
      </c>
      <c r="G1554">
        <v>4.07</v>
      </c>
      <c r="H1554">
        <v>64198</v>
      </c>
      <c r="I1554">
        <v>356</v>
      </c>
      <c r="J1554">
        <v>0.25</v>
      </c>
      <c r="K1554">
        <v>0.91</v>
      </c>
      <c r="L1554">
        <v>4.1100000000000003</v>
      </c>
      <c r="M1554">
        <v>4.12</v>
      </c>
      <c r="N1554">
        <v>4.05</v>
      </c>
      <c r="O1554">
        <v>4.09</v>
      </c>
      <c r="P1554" t="s">
        <v>116</v>
      </c>
      <c r="Q1554">
        <v>26320044</v>
      </c>
      <c r="R1554">
        <v>1.39</v>
      </c>
      <c r="S1554" t="s">
        <v>4171</v>
      </c>
      <c r="T1554" t="s">
        <v>165</v>
      </c>
      <c r="U1554">
        <v>1.71</v>
      </c>
      <c r="V1554">
        <v>4.0999999999999996</v>
      </c>
      <c r="W1554">
        <v>32286</v>
      </c>
      <c r="X1554">
        <v>31912</v>
      </c>
      <c r="Y1554">
        <v>1.01</v>
      </c>
      <c r="Z1554">
        <v>411</v>
      </c>
      <c r="AA1554">
        <v>68</v>
      </c>
      <c r="AB1554" t="s">
        <v>116</v>
      </c>
      <c r="AC1554">
        <v>21000</v>
      </c>
      <c r="AD1554">
        <v>0</v>
      </c>
      <c r="AE1554" t="s">
        <v>116</v>
      </c>
      <c r="AF1554" t="s">
        <v>116</v>
      </c>
      <c r="AG1554">
        <v>7.07</v>
      </c>
      <c r="AH1554" t="s">
        <v>1082</v>
      </c>
      <c r="AI1554" t="s">
        <v>5317</v>
      </c>
      <c r="AJ1554">
        <v>0.19</v>
      </c>
      <c r="AK1554">
        <v>874</v>
      </c>
      <c r="AL1554">
        <v>73</v>
      </c>
      <c r="AM1554">
        <v>1E-3</v>
      </c>
      <c r="AN1554">
        <v>-1</v>
      </c>
      <c r="AO1554">
        <v>-0.24</v>
      </c>
      <c r="AP1554">
        <v>3.56</v>
      </c>
      <c r="AQ1554">
        <v>-9.56</v>
      </c>
      <c r="AR1554">
        <v>-1.93</v>
      </c>
      <c r="AS1554">
        <v>1.08</v>
      </c>
      <c r="AT1554" t="s">
        <v>475</v>
      </c>
      <c r="AU1554" t="s">
        <v>116</v>
      </c>
      <c r="AV1554">
        <v>94.76</v>
      </c>
      <c r="AW1554">
        <v>1.1100000000000001</v>
      </c>
      <c r="BA1554">
        <v>0.49</v>
      </c>
      <c r="BB1554">
        <v>0.73</v>
      </c>
      <c r="BC1554">
        <v>-0.98</v>
      </c>
      <c r="BD1554">
        <v>0.24</v>
      </c>
      <c r="BE1554">
        <v>-0.97</v>
      </c>
      <c r="BF1554">
        <v>-1.21</v>
      </c>
      <c r="BG1554">
        <v>0.49</v>
      </c>
      <c r="BH1554">
        <v>-0.73</v>
      </c>
      <c r="BI1554">
        <v>20191118</v>
      </c>
      <c r="BJ1554">
        <v>20110107</v>
      </c>
      <c r="BK1554">
        <v>7.12</v>
      </c>
      <c r="BL1554" t="s">
        <v>116</v>
      </c>
      <c r="BM1554" t="s">
        <v>116</v>
      </c>
      <c r="BN1554">
        <v>57.49</v>
      </c>
      <c r="BO1554">
        <v>35.94</v>
      </c>
      <c r="BP1554">
        <v>6.04</v>
      </c>
      <c r="BQ1554">
        <v>26.97</v>
      </c>
      <c r="BR1554">
        <v>21.2</v>
      </c>
      <c r="BS1554">
        <v>4.82</v>
      </c>
      <c r="BT1554">
        <v>1.4</v>
      </c>
      <c r="BU1554">
        <v>13.51</v>
      </c>
      <c r="BV1554">
        <v>2.3199999999999998</v>
      </c>
      <c r="BW1554">
        <v>11.76</v>
      </c>
      <c r="BX1554">
        <v>27.4</v>
      </c>
      <c r="BY1554">
        <v>7.34</v>
      </c>
      <c r="BZ1554">
        <v>5.58</v>
      </c>
      <c r="CA1554">
        <v>-0.43</v>
      </c>
      <c r="CB1554">
        <v>-0.15</v>
      </c>
      <c r="CC1554">
        <v>-0.31</v>
      </c>
      <c r="CD1554">
        <v>-0.36</v>
      </c>
      <c r="CE1554">
        <v>-0.54</v>
      </c>
      <c r="CF1554">
        <v>-0.6</v>
      </c>
      <c r="CG1554">
        <v>0.44</v>
      </c>
      <c r="CH1554">
        <v>-2.09</v>
      </c>
      <c r="CI1554">
        <v>-0.28999999999999998</v>
      </c>
      <c r="CJ1554">
        <v>33649</v>
      </c>
      <c r="CK1554">
        <v>17703</v>
      </c>
      <c r="CL1554" t="s">
        <v>4983</v>
      </c>
      <c r="CM1554">
        <v>-269.39</v>
      </c>
      <c r="CN1554">
        <v>-32.130000000000003</v>
      </c>
      <c r="CO1554">
        <v>0.81</v>
      </c>
      <c r="CP1554">
        <v>-13.85</v>
      </c>
      <c r="CQ1554">
        <v>3.95</v>
      </c>
      <c r="CR1554">
        <v>0</v>
      </c>
      <c r="CS1554" t="s">
        <v>8225</v>
      </c>
      <c r="CT1554">
        <v>5.05</v>
      </c>
      <c r="CU1554">
        <v>0</v>
      </c>
      <c r="CV1554">
        <v>3.85</v>
      </c>
      <c r="CW1554">
        <v>0.06</v>
      </c>
      <c r="CX1554">
        <v>-0.28999999999999998</v>
      </c>
      <c r="CY1554">
        <v>62.52</v>
      </c>
      <c r="CZ1554" t="s">
        <v>8226</v>
      </c>
      <c r="DA1554">
        <v>24.01</v>
      </c>
      <c r="DB1554">
        <v>-5.92</v>
      </c>
      <c r="DC1554">
        <v>-7.39</v>
      </c>
      <c r="DD1554">
        <v>0.32</v>
      </c>
      <c r="DE1554">
        <v>1620</v>
      </c>
      <c r="DF1554">
        <v>300157</v>
      </c>
      <c r="DG1554" t="s">
        <v>116</v>
      </c>
      <c r="DH1554" t="s">
        <v>116</v>
      </c>
      <c r="DI1554" t="s">
        <v>116</v>
      </c>
    </row>
    <row r="1555" spans="1:113" x14ac:dyDescent="0.4">
      <c r="A1555" t="str">
        <f>"300158"</f>
        <v>300158</v>
      </c>
      <c r="B1555" t="s">
        <v>8227</v>
      </c>
      <c r="C1555">
        <v>-0.64</v>
      </c>
      <c r="D1555">
        <v>4.6399999999999997</v>
      </c>
      <c r="E1555">
        <v>-0.03</v>
      </c>
      <c r="F1555">
        <v>4.6399999999999997</v>
      </c>
      <c r="G1555">
        <v>4.6500000000000004</v>
      </c>
      <c r="H1555">
        <v>74604</v>
      </c>
      <c r="I1555">
        <v>1078</v>
      </c>
      <c r="J1555">
        <v>-0.21</v>
      </c>
      <c r="K1555">
        <v>0.74</v>
      </c>
      <c r="L1555">
        <v>4.6500000000000004</v>
      </c>
      <c r="M1555">
        <v>4.6900000000000004</v>
      </c>
      <c r="N1555">
        <v>4.6399999999999997</v>
      </c>
      <c r="O1555">
        <v>4.67</v>
      </c>
      <c r="P1555">
        <v>25.3</v>
      </c>
      <c r="Q1555">
        <v>34787436</v>
      </c>
      <c r="R1555">
        <v>0.52</v>
      </c>
      <c r="S1555" t="s">
        <v>574</v>
      </c>
      <c r="T1555" t="s">
        <v>675</v>
      </c>
      <c r="U1555">
        <v>1.07</v>
      </c>
      <c r="V1555">
        <v>4.66</v>
      </c>
      <c r="W1555">
        <v>44397</v>
      </c>
      <c r="X1555">
        <v>30207</v>
      </c>
      <c r="Y1555">
        <v>1.47</v>
      </c>
      <c r="Z1555">
        <v>1137</v>
      </c>
      <c r="AA1555">
        <v>99</v>
      </c>
      <c r="AB1555" t="s">
        <v>116</v>
      </c>
      <c r="AC1555">
        <v>32600</v>
      </c>
      <c r="AD1555">
        <v>0</v>
      </c>
      <c r="AE1555" t="s">
        <v>116</v>
      </c>
      <c r="AF1555" t="s">
        <v>116</v>
      </c>
      <c r="AG1555">
        <v>10.08</v>
      </c>
      <c r="AH1555" t="s">
        <v>8228</v>
      </c>
      <c r="AI1555" t="s">
        <v>1562</v>
      </c>
      <c r="AJ1555">
        <v>0.04</v>
      </c>
      <c r="AK1555">
        <v>1390</v>
      </c>
      <c r="AL1555">
        <v>54</v>
      </c>
      <c r="AM1555">
        <v>5.0000000000000001E-4</v>
      </c>
      <c r="AN1555">
        <v>-3</v>
      </c>
      <c r="AO1555">
        <v>-2.11</v>
      </c>
      <c r="AP1555">
        <v>-2.11</v>
      </c>
      <c r="AQ1555">
        <v>-6.83</v>
      </c>
      <c r="AR1555">
        <v>21.78</v>
      </c>
      <c r="AS1555">
        <v>1.3</v>
      </c>
      <c r="AT1555" t="s">
        <v>8229</v>
      </c>
      <c r="AU1555" t="s">
        <v>116</v>
      </c>
      <c r="AV1555" t="s">
        <v>116</v>
      </c>
      <c r="AW1555">
        <v>0.81</v>
      </c>
      <c r="BA1555">
        <v>-0.43</v>
      </c>
      <c r="BB1555">
        <v>0.43</v>
      </c>
      <c r="BC1555">
        <v>-0.64</v>
      </c>
      <c r="BD1555">
        <v>-0.15</v>
      </c>
      <c r="BE1555">
        <v>-0.22</v>
      </c>
      <c r="BF1555">
        <v>-1.07</v>
      </c>
      <c r="BG1555">
        <v>0</v>
      </c>
      <c r="BH1555">
        <v>-0.49</v>
      </c>
      <c r="BI1555">
        <v>20191025</v>
      </c>
      <c r="BJ1555">
        <v>20110107</v>
      </c>
      <c r="BK1555">
        <v>10.33</v>
      </c>
      <c r="BL1555" t="s">
        <v>116</v>
      </c>
      <c r="BM1555" t="s">
        <v>116</v>
      </c>
      <c r="BN1555">
        <v>70.48</v>
      </c>
      <c r="BO1555">
        <v>54.99</v>
      </c>
      <c r="BP1555">
        <v>-0.02</v>
      </c>
      <c r="BQ1555">
        <v>22.01</v>
      </c>
      <c r="BR1555">
        <v>30.65</v>
      </c>
      <c r="BS1555">
        <v>9.7799999999999994</v>
      </c>
      <c r="BT1555">
        <v>2.93</v>
      </c>
      <c r="BU1555">
        <v>11.43</v>
      </c>
      <c r="BV1555">
        <v>5.45</v>
      </c>
      <c r="BW1555">
        <v>12.34</v>
      </c>
      <c r="BX1555">
        <v>37.619999999999997</v>
      </c>
      <c r="BY1555">
        <v>31.18</v>
      </c>
      <c r="BZ1555">
        <v>10.92</v>
      </c>
      <c r="CA1555">
        <v>1.72</v>
      </c>
      <c r="CB1555">
        <v>0.04</v>
      </c>
      <c r="CC1555">
        <v>1.72</v>
      </c>
      <c r="CD1555">
        <v>1.35</v>
      </c>
      <c r="CE1555">
        <v>1.42</v>
      </c>
      <c r="CF1555">
        <v>1.3</v>
      </c>
      <c r="CG1555">
        <v>6.07</v>
      </c>
      <c r="CH1555">
        <v>2.1</v>
      </c>
      <c r="CI1555">
        <v>-1.65</v>
      </c>
      <c r="CJ1555">
        <v>28525</v>
      </c>
      <c r="CK1555">
        <v>20084</v>
      </c>
      <c r="CL1555" t="s">
        <v>6394</v>
      </c>
      <c r="CM1555">
        <v>130.82</v>
      </c>
      <c r="CN1555">
        <v>30.88</v>
      </c>
      <c r="CO1555">
        <v>0.87</v>
      </c>
      <c r="CP1555">
        <v>22.85</v>
      </c>
      <c r="CQ1555">
        <v>1.54</v>
      </c>
      <c r="CR1555">
        <v>0</v>
      </c>
      <c r="CS1555" t="s">
        <v>2019</v>
      </c>
      <c r="CT1555">
        <v>5.32</v>
      </c>
      <c r="CU1555">
        <v>0</v>
      </c>
      <c r="CV1555">
        <v>3.64</v>
      </c>
      <c r="CW1555">
        <v>0.59</v>
      </c>
      <c r="CX1555">
        <v>0.2</v>
      </c>
      <c r="CY1555">
        <v>78.02</v>
      </c>
      <c r="CZ1555" t="s">
        <v>2621</v>
      </c>
      <c r="DA1555">
        <v>64.98</v>
      </c>
      <c r="DB1555">
        <v>5.5</v>
      </c>
      <c r="DC1555">
        <v>4.5599999999999996</v>
      </c>
      <c r="DD1555">
        <v>0.93</v>
      </c>
      <c r="DE1555">
        <v>3746</v>
      </c>
      <c r="DF1555">
        <v>300158</v>
      </c>
      <c r="DG1555" t="s">
        <v>116</v>
      </c>
      <c r="DH1555" t="s">
        <v>116</v>
      </c>
      <c r="DI1555" t="s">
        <v>116</v>
      </c>
    </row>
    <row r="1556" spans="1:113" x14ac:dyDescent="0.4">
      <c r="A1556" t="str">
        <f>"300159"</f>
        <v>300159</v>
      </c>
      <c r="B1556" t="s">
        <v>8230</v>
      </c>
      <c r="C1556">
        <v>-0.5</v>
      </c>
      <c r="D1556">
        <v>3.96</v>
      </c>
      <c r="E1556">
        <v>-0.02</v>
      </c>
      <c r="F1556">
        <v>3.95</v>
      </c>
      <c r="G1556">
        <v>3.96</v>
      </c>
      <c r="H1556">
        <v>137410</v>
      </c>
      <c r="I1556">
        <v>1207</v>
      </c>
      <c r="J1556">
        <v>0.25</v>
      </c>
      <c r="K1556">
        <v>1.26</v>
      </c>
      <c r="L1556">
        <v>3.99</v>
      </c>
      <c r="M1556">
        <v>4.0199999999999996</v>
      </c>
      <c r="N1556">
        <v>3.94</v>
      </c>
      <c r="O1556">
        <v>3.98</v>
      </c>
      <c r="P1556">
        <v>39.630000000000003</v>
      </c>
      <c r="Q1556">
        <v>54690688</v>
      </c>
      <c r="R1556">
        <v>0.96</v>
      </c>
      <c r="S1556" t="s">
        <v>1789</v>
      </c>
      <c r="T1556" t="s">
        <v>616</v>
      </c>
      <c r="U1556">
        <v>2.0099999999999998</v>
      </c>
      <c r="V1556">
        <v>3.98</v>
      </c>
      <c r="W1556">
        <v>73535</v>
      </c>
      <c r="X1556">
        <v>63875</v>
      </c>
      <c r="Y1556">
        <v>1.1499999999999999</v>
      </c>
      <c r="Z1556">
        <v>793</v>
      </c>
      <c r="AA1556">
        <v>3620</v>
      </c>
      <c r="AB1556" t="s">
        <v>116</v>
      </c>
      <c r="AC1556">
        <v>200000</v>
      </c>
      <c r="AD1556">
        <v>0.01</v>
      </c>
      <c r="AE1556" t="s">
        <v>116</v>
      </c>
      <c r="AF1556" t="s">
        <v>116</v>
      </c>
      <c r="AG1556">
        <v>10.93</v>
      </c>
      <c r="AH1556" t="s">
        <v>3972</v>
      </c>
      <c r="AI1556" t="s">
        <v>8231</v>
      </c>
      <c r="AJ1556">
        <v>0.18</v>
      </c>
      <c r="AK1556">
        <v>1771</v>
      </c>
      <c r="AL1556">
        <v>78</v>
      </c>
      <c r="AM1556">
        <v>6.9999999999999999E-4</v>
      </c>
      <c r="AN1556">
        <v>-1</v>
      </c>
      <c r="AO1556">
        <v>1.01</v>
      </c>
      <c r="AP1556">
        <v>1.54</v>
      </c>
      <c r="AQ1556">
        <v>-10</v>
      </c>
      <c r="AR1556">
        <v>-13.71</v>
      </c>
      <c r="AS1556">
        <v>1.49</v>
      </c>
      <c r="AT1556" t="s">
        <v>5767</v>
      </c>
      <c r="AU1556">
        <v>70.209999999999994</v>
      </c>
      <c r="AV1556">
        <v>19.850000000000001</v>
      </c>
      <c r="AW1556">
        <v>0.84</v>
      </c>
      <c r="BA1556">
        <v>0.25</v>
      </c>
      <c r="BB1556">
        <v>1.01</v>
      </c>
      <c r="BC1556">
        <v>-1.01</v>
      </c>
      <c r="BD1556">
        <v>0</v>
      </c>
      <c r="BE1556">
        <v>-0.75</v>
      </c>
      <c r="BF1556">
        <v>-1.49</v>
      </c>
      <c r="BG1556">
        <v>0.51</v>
      </c>
      <c r="BH1556">
        <v>-0.5</v>
      </c>
      <c r="BI1556">
        <v>20191023</v>
      </c>
      <c r="BJ1556">
        <v>20110107</v>
      </c>
      <c r="BK1556">
        <v>14.9</v>
      </c>
      <c r="BL1556" t="s">
        <v>116</v>
      </c>
      <c r="BM1556" t="s">
        <v>116</v>
      </c>
      <c r="BN1556">
        <v>100.69</v>
      </c>
      <c r="BO1556">
        <v>67.34</v>
      </c>
      <c r="BP1556">
        <v>1.23</v>
      </c>
      <c r="BQ1556">
        <v>31.9</v>
      </c>
      <c r="BR1556">
        <v>38.450000000000003</v>
      </c>
      <c r="BS1556">
        <v>14.28</v>
      </c>
      <c r="BT1556">
        <v>2.99</v>
      </c>
      <c r="BU1556">
        <v>27.17</v>
      </c>
      <c r="BV1556">
        <v>6.53</v>
      </c>
      <c r="BW1556">
        <v>24.21</v>
      </c>
      <c r="BX1556">
        <v>36.6</v>
      </c>
      <c r="BY1556">
        <v>9.85</v>
      </c>
      <c r="BZ1556">
        <v>6.07</v>
      </c>
      <c r="CA1556">
        <v>1.28</v>
      </c>
      <c r="CB1556">
        <v>-0.15</v>
      </c>
      <c r="CC1556">
        <v>1.33</v>
      </c>
      <c r="CD1556">
        <v>1.1200000000000001</v>
      </c>
      <c r="CE1556">
        <v>1.1200000000000001</v>
      </c>
      <c r="CF1556">
        <v>0.74</v>
      </c>
      <c r="CG1556">
        <v>15.13</v>
      </c>
      <c r="CH1556">
        <v>1.54</v>
      </c>
      <c r="CI1556">
        <v>-0.01</v>
      </c>
      <c r="CJ1556">
        <v>39543</v>
      </c>
      <c r="CK1556">
        <v>23377</v>
      </c>
      <c r="CL1556" t="s">
        <v>8232</v>
      </c>
      <c r="CM1556">
        <v>-65.63</v>
      </c>
      <c r="CN1556">
        <v>-34.590000000000003</v>
      </c>
      <c r="CO1556">
        <v>0.88</v>
      </c>
      <c r="CP1556">
        <v>38.36</v>
      </c>
      <c r="CQ1556">
        <v>5.99</v>
      </c>
      <c r="CR1556">
        <v>0.52</v>
      </c>
      <c r="CS1556" t="s">
        <v>3695</v>
      </c>
      <c r="CT1556">
        <v>4.5199999999999996</v>
      </c>
      <c r="CU1556">
        <v>0</v>
      </c>
      <c r="CV1556">
        <v>2.46</v>
      </c>
      <c r="CW1556">
        <v>1.02</v>
      </c>
      <c r="CX1556">
        <v>0.1</v>
      </c>
      <c r="CY1556">
        <v>66.88</v>
      </c>
      <c r="CZ1556" t="s">
        <v>223</v>
      </c>
      <c r="DA1556">
        <v>38.36</v>
      </c>
      <c r="DB1556">
        <v>12.99</v>
      </c>
      <c r="DC1556">
        <v>11.33</v>
      </c>
      <c r="DD1556">
        <v>0.39</v>
      </c>
      <c r="DE1556">
        <v>1970</v>
      </c>
      <c r="DF1556">
        <v>300159</v>
      </c>
      <c r="DG1556" t="s">
        <v>116</v>
      </c>
      <c r="DH1556" t="s">
        <v>116</v>
      </c>
      <c r="DI1556" t="s">
        <v>116</v>
      </c>
    </row>
    <row r="1557" spans="1:113" x14ac:dyDescent="0.4">
      <c r="A1557" t="str">
        <f>"300160"</f>
        <v>300160</v>
      </c>
      <c r="B1557" t="s">
        <v>8233</v>
      </c>
      <c r="C1557">
        <v>0</v>
      </c>
      <c r="D1557">
        <v>3.85</v>
      </c>
      <c r="E1557">
        <v>0</v>
      </c>
      <c r="F1557">
        <v>3.84</v>
      </c>
      <c r="G1557">
        <v>3.85</v>
      </c>
      <c r="H1557">
        <v>240971</v>
      </c>
      <c r="I1557">
        <v>2149</v>
      </c>
      <c r="J1557">
        <v>0</v>
      </c>
      <c r="K1557">
        <v>4.1500000000000004</v>
      </c>
      <c r="L1557">
        <v>3.89</v>
      </c>
      <c r="M1557">
        <v>3.93</v>
      </c>
      <c r="N1557">
        <v>3.79</v>
      </c>
      <c r="O1557">
        <v>3.85</v>
      </c>
      <c r="P1557">
        <v>16.420000000000002</v>
      </c>
      <c r="Q1557">
        <v>92958112</v>
      </c>
      <c r="R1557">
        <v>0.82</v>
      </c>
      <c r="S1557" t="s">
        <v>195</v>
      </c>
      <c r="T1557" t="s">
        <v>323</v>
      </c>
      <c r="U1557">
        <v>3.64</v>
      </c>
      <c r="V1557">
        <v>3.86</v>
      </c>
      <c r="W1557">
        <v>122742</v>
      </c>
      <c r="X1557">
        <v>118229</v>
      </c>
      <c r="Y1557">
        <v>1.04</v>
      </c>
      <c r="Z1557">
        <v>248</v>
      </c>
      <c r="AA1557">
        <v>2679</v>
      </c>
      <c r="AB1557" t="s">
        <v>116</v>
      </c>
      <c r="AC1557">
        <v>1595300</v>
      </c>
      <c r="AD1557">
        <v>0.13</v>
      </c>
      <c r="AE1557" t="s">
        <v>116</v>
      </c>
      <c r="AF1557" t="s">
        <v>116</v>
      </c>
      <c r="AG1557">
        <v>5.81</v>
      </c>
      <c r="AH1557" t="s">
        <v>1193</v>
      </c>
      <c r="AI1557" t="s">
        <v>6368</v>
      </c>
      <c r="AJ1557">
        <v>0.68</v>
      </c>
      <c r="AK1557">
        <v>1935</v>
      </c>
      <c r="AL1557">
        <v>125</v>
      </c>
      <c r="AM1557">
        <v>2.0999999999999999E-3</v>
      </c>
      <c r="AN1557">
        <v>0</v>
      </c>
      <c r="AO1557">
        <v>2.13</v>
      </c>
      <c r="AP1557">
        <v>14.24</v>
      </c>
      <c r="AQ1557">
        <v>10.95</v>
      </c>
      <c r="AR1557">
        <v>11.59</v>
      </c>
      <c r="AS1557">
        <v>7.85</v>
      </c>
      <c r="AT1557" t="s">
        <v>8234</v>
      </c>
      <c r="AU1557" t="s">
        <v>116</v>
      </c>
      <c r="AV1557" t="s">
        <v>116</v>
      </c>
      <c r="AW1557">
        <v>1.1000000000000001</v>
      </c>
      <c r="BA1557">
        <v>1.04</v>
      </c>
      <c r="BB1557">
        <v>2.08</v>
      </c>
      <c r="BC1557">
        <v>-1.56</v>
      </c>
      <c r="BD1557">
        <v>0.2</v>
      </c>
      <c r="BE1557">
        <v>-1.03</v>
      </c>
      <c r="BF1557">
        <v>-2.04</v>
      </c>
      <c r="BG1557">
        <v>1.58</v>
      </c>
      <c r="BH1557">
        <v>-0.2</v>
      </c>
      <c r="BI1557">
        <v>20191212</v>
      </c>
      <c r="BJ1557">
        <v>20110113</v>
      </c>
      <c r="BK1557">
        <v>6.19</v>
      </c>
      <c r="BL1557" t="s">
        <v>116</v>
      </c>
      <c r="BM1557" t="s">
        <v>116</v>
      </c>
      <c r="BN1557">
        <v>15.12</v>
      </c>
      <c r="BO1557">
        <v>9.83</v>
      </c>
      <c r="BP1557">
        <v>0</v>
      </c>
      <c r="BQ1557">
        <v>34.96</v>
      </c>
      <c r="BR1557">
        <v>6.85</v>
      </c>
      <c r="BS1557">
        <v>4.2300000000000004</v>
      </c>
      <c r="BT1557">
        <v>0.35</v>
      </c>
      <c r="BU1557">
        <v>4.76</v>
      </c>
      <c r="BV1557">
        <v>1.02</v>
      </c>
      <c r="BW1557">
        <v>2.8</v>
      </c>
      <c r="BX1557">
        <v>1.61</v>
      </c>
      <c r="BY1557">
        <v>9.7200000000000006</v>
      </c>
      <c r="BZ1557">
        <v>6.43</v>
      </c>
      <c r="CA1557">
        <v>1.0900000000000001</v>
      </c>
      <c r="CB1557">
        <v>0.03</v>
      </c>
      <c r="CC1557">
        <v>1.07</v>
      </c>
      <c r="CD1557">
        <v>1.1000000000000001</v>
      </c>
      <c r="CE1557">
        <v>1.0900000000000001</v>
      </c>
      <c r="CF1557">
        <v>1.22</v>
      </c>
      <c r="CG1557">
        <v>1.65</v>
      </c>
      <c r="CH1557">
        <v>1.99</v>
      </c>
      <c r="CI1557">
        <v>-0.13</v>
      </c>
      <c r="CJ1557">
        <v>25764</v>
      </c>
      <c r="CK1557">
        <v>11909</v>
      </c>
      <c r="CL1557" t="s">
        <v>3873</v>
      </c>
      <c r="CM1557">
        <v>27.95</v>
      </c>
      <c r="CN1557">
        <v>-8.1199999999999992</v>
      </c>
      <c r="CO1557">
        <v>2.3199999999999998</v>
      </c>
      <c r="CP1557">
        <v>11.96</v>
      </c>
      <c r="CQ1557">
        <v>2.4500000000000002</v>
      </c>
      <c r="CR1557">
        <v>0</v>
      </c>
      <c r="CS1557" t="s">
        <v>1971</v>
      </c>
      <c r="CT1557">
        <v>1.66</v>
      </c>
      <c r="CU1557">
        <v>1.66</v>
      </c>
      <c r="CV1557">
        <v>0.26</v>
      </c>
      <c r="CW1557">
        <v>0.27</v>
      </c>
      <c r="CX1557">
        <v>0.32</v>
      </c>
      <c r="CY1557">
        <v>65.03</v>
      </c>
      <c r="CZ1557" t="s">
        <v>6040</v>
      </c>
      <c r="DA1557">
        <v>33.79</v>
      </c>
      <c r="DB1557">
        <v>11.21</v>
      </c>
      <c r="DC1557">
        <v>11.19</v>
      </c>
      <c r="DD1557">
        <v>0.3</v>
      </c>
      <c r="DE1557">
        <v>2971</v>
      </c>
      <c r="DF1557">
        <v>300160</v>
      </c>
      <c r="DG1557" t="s">
        <v>116</v>
      </c>
      <c r="DH1557" t="s">
        <v>116</v>
      </c>
      <c r="DI1557" t="s">
        <v>116</v>
      </c>
    </row>
    <row r="1558" spans="1:113" x14ac:dyDescent="0.4">
      <c r="A1558" t="str">
        <f>"300161"</f>
        <v>300161</v>
      </c>
      <c r="B1558" t="s">
        <v>8235</v>
      </c>
      <c r="C1558">
        <v>-1.76</v>
      </c>
      <c r="D1558">
        <v>13.95</v>
      </c>
      <c r="E1558">
        <v>-0.25</v>
      </c>
      <c r="F1558">
        <v>13.93</v>
      </c>
      <c r="G1558">
        <v>13.95</v>
      </c>
      <c r="H1558">
        <v>13165</v>
      </c>
      <c r="I1558">
        <v>170</v>
      </c>
      <c r="J1558">
        <v>0</v>
      </c>
      <c r="K1558">
        <v>0.78</v>
      </c>
      <c r="L1558">
        <v>14.25</v>
      </c>
      <c r="M1558">
        <v>14.27</v>
      </c>
      <c r="N1558">
        <v>13.94</v>
      </c>
      <c r="O1558">
        <v>14.2</v>
      </c>
      <c r="P1558" t="s">
        <v>116</v>
      </c>
      <c r="Q1558">
        <v>18582796</v>
      </c>
      <c r="R1558">
        <v>1.25</v>
      </c>
      <c r="S1558" t="s">
        <v>712</v>
      </c>
      <c r="T1558" t="s">
        <v>774</v>
      </c>
      <c r="U1558">
        <v>2.3199999999999998</v>
      </c>
      <c r="V1558">
        <v>14.12</v>
      </c>
      <c r="W1558">
        <v>8072</v>
      </c>
      <c r="X1558">
        <v>5093</v>
      </c>
      <c r="Y1558">
        <v>1.58</v>
      </c>
      <c r="Z1558">
        <v>27</v>
      </c>
      <c r="AA1558">
        <v>637</v>
      </c>
      <c r="AB1558" t="s">
        <v>116</v>
      </c>
      <c r="AC1558">
        <v>1400</v>
      </c>
      <c r="AD1558">
        <v>0</v>
      </c>
      <c r="AE1558" t="s">
        <v>116</v>
      </c>
      <c r="AF1558" t="s">
        <v>116</v>
      </c>
      <c r="AG1558">
        <v>1.68</v>
      </c>
      <c r="AH1558" t="s">
        <v>8236</v>
      </c>
      <c r="AI1558" t="s">
        <v>6690</v>
      </c>
      <c r="AJ1558">
        <v>-1.08</v>
      </c>
      <c r="AK1558">
        <v>784</v>
      </c>
      <c r="AL1558">
        <v>17</v>
      </c>
      <c r="AM1558">
        <v>1E-3</v>
      </c>
      <c r="AN1558">
        <v>-1</v>
      </c>
      <c r="AO1558">
        <v>-1.9</v>
      </c>
      <c r="AP1558">
        <v>-0.21</v>
      </c>
      <c r="AQ1558">
        <v>-10.69</v>
      </c>
      <c r="AR1558">
        <v>41.77</v>
      </c>
      <c r="AS1558">
        <v>1.31</v>
      </c>
      <c r="AT1558" t="s">
        <v>8237</v>
      </c>
      <c r="AU1558">
        <v>71.8</v>
      </c>
      <c r="AV1558">
        <v>144.46</v>
      </c>
      <c r="AW1558">
        <v>0.95</v>
      </c>
      <c r="BA1558">
        <v>0.35</v>
      </c>
      <c r="BB1558">
        <v>0.49</v>
      </c>
      <c r="BC1558">
        <v>-1.83</v>
      </c>
      <c r="BD1558">
        <v>-0.6</v>
      </c>
      <c r="BE1558">
        <v>-2.11</v>
      </c>
      <c r="BF1558">
        <v>-2.2400000000000002</v>
      </c>
      <c r="BG1558">
        <v>7.0000000000000007E-2</v>
      </c>
      <c r="BH1558">
        <v>-1.1599999999999999</v>
      </c>
      <c r="BI1558">
        <v>20191028</v>
      </c>
      <c r="BJ1558">
        <v>20110113</v>
      </c>
      <c r="BK1558">
        <v>1.73</v>
      </c>
      <c r="BL1558" t="s">
        <v>116</v>
      </c>
      <c r="BM1558" t="s">
        <v>116</v>
      </c>
      <c r="BN1558">
        <v>22.85</v>
      </c>
      <c r="BO1558">
        <v>11</v>
      </c>
      <c r="BP1558">
        <v>1.46</v>
      </c>
      <c r="BQ1558">
        <v>45.5</v>
      </c>
      <c r="BR1558">
        <v>15.89</v>
      </c>
      <c r="BS1558">
        <v>3.15</v>
      </c>
      <c r="BT1558">
        <v>0.71</v>
      </c>
      <c r="BU1558">
        <v>9.39</v>
      </c>
      <c r="BV1558">
        <v>5.29</v>
      </c>
      <c r="BW1558">
        <v>6.13</v>
      </c>
      <c r="BX1558">
        <v>7.51</v>
      </c>
      <c r="BY1558">
        <v>5.47</v>
      </c>
      <c r="BZ1558">
        <v>3.58</v>
      </c>
      <c r="CA1558">
        <v>-0.5</v>
      </c>
      <c r="CB1558">
        <v>-0.01</v>
      </c>
      <c r="CC1558">
        <v>-0.48</v>
      </c>
      <c r="CD1558">
        <v>-0.51</v>
      </c>
      <c r="CE1558">
        <v>-0.42</v>
      </c>
      <c r="CF1558">
        <v>-1.07</v>
      </c>
      <c r="CG1558">
        <v>1.45</v>
      </c>
      <c r="CH1558">
        <v>-2.0299999999999998</v>
      </c>
      <c r="CI1558">
        <v>-3.1</v>
      </c>
      <c r="CJ1558">
        <v>14739</v>
      </c>
      <c r="CK1558">
        <v>6815</v>
      </c>
      <c r="CL1558" t="s">
        <v>2273</v>
      </c>
      <c r="CM1558">
        <v>28.55</v>
      </c>
      <c r="CN1558">
        <v>16.23</v>
      </c>
      <c r="CO1558">
        <v>2.19</v>
      </c>
      <c r="CP1558">
        <v>-11.87</v>
      </c>
      <c r="CQ1558">
        <v>4.41</v>
      </c>
      <c r="CR1558">
        <v>0.14000000000000001</v>
      </c>
      <c r="CS1558" t="s">
        <v>8238</v>
      </c>
      <c r="CT1558">
        <v>6.37</v>
      </c>
      <c r="CU1558">
        <v>0</v>
      </c>
      <c r="CV1558">
        <v>4.3499999999999996</v>
      </c>
      <c r="CW1558">
        <v>0.84</v>
      </c>
      <c r="CX1558">
        <v>-1.18</v>
      </c>
      <c r="CY1558">
        <v>48.13</v>
      </c>
      <c r="CZ1558" t="s">
        <v>8239</v>
      </c>
      <c r="DA1558">
        <v>34.58</v>
      </c>
      <c r="DB1558">
        <v>-9.19</v>
      </c>
      <c r="DC1558">
        <v>-7.73</v>
      </c>
      <c r="DD1558">
        <v>1.66</v>
      </c>
      <c r="DE1558">
        <v>2276</v>
      </c>
      <c r="DF1558">
        <v>300161</v>
      </c>
      <c r="DG1558" t="s">
        <v>116</v>
      </c>
      <c r="DH1558" t="s">
        <v>116</v>
      </c>
      <c r="DI1558" t="s">
        <v>116</v>
      </c>
    </row>
    <row r="1559" spans="1:113" x14ac:dyDescent="0.4">
      <c r="A1559" t="str">
        <f>"300162"</f>
        <v>300162</v>
      </c>
      <c r="B1559" t="s">
        <v>8240</v>
      </c>
      <c r="C1559">
        <v>-5.03</v>
      </c>
      <c r="D1559">
        <v>8.5</v>
      </c>
      <c r="E1559">
        <v>-0.45</v>
      </c>
      <c r="F1559">
        <v>8.49</v>
      </c>
      <c r="G1559">
        <v>8.5</v>
      </c>
      <c r="H1559">
        <v>331611</v>
      </c>
      <c r="I1559">
        <v>2629</v>
      </c>
      <c r="J1559">
        <v>0.12</v>
      </c>
      <c r="K1559">
        <v>14.47</v>
      </c>
      <c r="L1559">
        <v>8.99</v>
      </c>
      <c r="M1559">
        <v>9.33</v>
      </c>
      <c r="N1559">
        <v>8.4499999999999993</v>
      </c>
      <c r="O1559">
        <v>8.9499999999999993</v>
      </c>
      <c r="P1559">
        <v>54.3</v>
      </c>
      <c r="Q1559">
        <v>297140736</v>
      </c>
      <c r="R1559">
        <v>1.96</v>
      </c>
      <c r="S1559" t="s">
        <v>233</v>
      </c>
      <c r="T1559" t="s">
        <v>115</v>
      </c>
      <c r="U1559">
        <v>9.83</v>
      </c>
      <c r="V1559">
        <v>8.9600000000000009</v>
      </c>
      <c r="W1559">
        <v>179054</v>
      </c>
      <c r="X1559">
        <v>152557</v>
      </c>
      <c r="Y1559">
        <v>1.17</v>
      </c>
      <c r="Z1559">
        <v>264</v>
      </c>
      <c r="AA1559">
        <v>1491</v>
      </c>
      <c r="AB1559" t="s">
        <v>116</v>
      </c>
      <c r="AC1559">
        <v>1645200</v>
      </c>
      <c r="AD1559">
        <v>0.12</v>
      </c>
      <c r="AE1559" t="s">
        <v>116</v>
      </c>
      <c r="AF1559" t="s">
        <v>116</v>
      </c>
      <c r="AG1559">
        <v>2.29</v>
      </c>
      <c r="AH1559" t="s">
        <v>8151</v>
      </c>
      <c r="AI1559" t="s">
        <v>8241</v>
      </c>
      <c r="AJ1559">
        <v>-4.3499999999999996</v>
      </c>
      <c r="AK1559">
        <v>3503</v>
      </c>
      <c r="AL1559">
        <v>95</v>
      </c>
      <c r="AM1559">
        <v>4.1000000000000003E-3</v>
      </c>
      <c r="AN1559">
        <v>-1</v>
      </c>
      <c r="AO1559">
        <v>-2.2999999999999998</v>
      </c>
      <c r="AP1559">
        <v>19.72</v>
      </c>
      <c r="AQ1559">
        <v>4.17</v>
      </c>
      <c r="AR1559">
        <v>75.260000000000005</v>
      </c>
      <c r="AS1559">
        <v>21.15</v>
      </c>
      <c r="AT1559" t="s">
        <v>5807</v>
      </c>
      <c r="AU1559" t="s">
        <v>116</v>
      </c>
      <c r="AV1559" t="s">
        <v>116</v>
      </c>
      <c r="AW1559">
        <v>1.41</v>
      </c>
      <c r="BA1559">
        <v>0.45</v>
      </c>
      <c r="BB1559">
        <v>4.25</v>
      </c>
      <c r="BC1559">
        <v>-5.59</v>
      </c>
      <c r="BD1559">
        <v>0.12</v>
      </c>
      <c r="BE1559">
        <v>-5.45</v>
      </c>
      <c r="BF1559">
        <v>-8.9</v>
      </c>
      <c r="BG1559">
        <v>0.59</v>
      </c>
      <c r="BH1559">
        <v>-5.15</v>
      </c>
      <c r="BI1559">
        <v>20191024</v>
      </c>
      <c r="BJ1559">
        <v>20110113</v>
      </c>
      <c r="BK1559">
        <v>3.5</v>
      </c>
      <c r="BL1559" t="s">
        <v>116</v>
      </c>
      <c r="BM1559" t="s">
        <v>116</v>
      </c>
      <c r="BN1559">
        <v>13.23</v>
      </c>
      <c r="BO1559">
        <v>9.39</v>
      </c>
      <c r="BP1559">
        <v>0.3</v>
      </c>
      <c r="BQ1559">
        <v>26.79</v>
      </c>
      <c r="BR1559">
        <v>8.14</v>
      </c>
      <c r="BS1559">
        <v>2.0499999999999998</v>
      </c>
      <c r="BT1559">
        <v>0.15</v>
      </c>
      <c r="BU1559">
        <v>3.38</v>
      </c>
      <c r="BV1559">
        <v>2.1800000000000002</v>
      </c>
      <c r="BW1559">
        <v>2.48</v>
      </c>
      <c r="BX1559">
        <v>6.35</v>
      </c>
      <c r="BY1559">
        <v>6.89</v>
      </c>
      <c r="BZ1559">
        <v>5.15</v>
      </c>
      <c r="CA1559">
        <v>0.46</v>
      </c>
      <c r="CB1559">
        <v>0.02</v>
      </c>
      <c r="CC1559">
        <v>0.48</v>
      </c>
      <c r="CD1559">
        <v>0.45</v>
      </c>
      <c r="CE1559">
        <v>0.41</v>
      </c>
      <c r="CF1559">
        <v>0.34</v>
      </c>
      <c r="CG1559">
        <v>0.61</v>
      </c>
      <c r="CH1559">
        <v>0.43</v>
      </c>
      <c r="CI1559">
        <v>-0.28999999999999998</v>
      </c>
      <c r="CJ1559">
        <v>29476</v>
      </c>
      <c r="CK1559">
        <v>5320</v>
      </c>
      <c r="CL1559" t="s">
        <v>5566</v>
      </c>
      <c r="CM1559">
        <v>181.02</v>
      </c>
      <c r="CN1559">
        <v>30.88</v>
      </c>
      <c r="CO1559">
        <v>3.16</v>
      </c>
      <c r="CP1559">
        <v>68.959999999999994</v>
      </c>
      <c r="CQ1559">
        <v>4.3099999999999996</v>
      </c>
      <c r="CR1559">
        <v>0</v>
      </c>
      <c r="CS1559" t="s">
        <v>8242</v>
      </c>
      <c r="CT1559">
        <v>2.69</v>
      </c>
      <c r="CU1559">
        <v>0</v>
      </c>
      <c r="CV1559">
        <v>1.82</v>
      </c>
      <c r="CW1559">
        <v>0.17</v>
      </c>
      <c r="CX1559">
        <v>0.12</v>
      </c>
      <c r="CY1559">
        <v>70.95</v>
      </c>
      <c r="CZ1559" t="s">
        <v>8243</v>
      </c>
      <c r="DA1559">
        <v>25.3</v>
      </c>
      <c r="DB1559">
        <v>6.71</v>
      </c>
      <c r="DC1559">
        <v>5.96</v>
      </c>
      <c r="DD1559">
        <v>0.28999999999999998</v>
      </c>
      <c r="DE1559">
        <v>1402</v>
      </c>
      <c r="DF1559">
        <v>300162</v>
      </c>
      <c r="DG1559" t="s">
        <v>116</v>
      </c>
      <c r="DH1559" t="s">
        <v>116</v>
      </c>
      <c r="DI1559" t="s">
        <v>116</v>
      </c>
    </row>
    <row r="1560" spans="1:113" x14ac:dyDescent="0.4">
      <c r="A1560" t="str">
        <f>"300163"</f>
        <v>300163</v>
      </c>
      <c r="B1560" t="s">
        <v>8244</v>
      </c>
      <c r="C1560">
        <v>-1.37</v>
      </c>
      <c r="D1560">
        <v>3.6</v>
      </c>
      <c r="E1560">
        <v>-0.05</v>
      </c>
      <c r="F1560">
        <v>3.6</v>
      </c>
      <c r="G1560">
        <v>3.61</v>
      </c>
      <c r="H1560">
        <v>51369</v>
      </c>
      <c r="I1560">
        <v>409</v>
      </c>
      <c r="J1560">
        <v>0</v>
      </c>
      <c r="K1560">
        <v>1.5</v>
      </c>
      <c r="L1560">
        <v>3.66</v>
      </c>
      <c r="M1560">
        <v>3.71</v>
      </c>
      <c r="N1560">
        <v>3.6</v>
      </c>
      <c r="O1560">
        <v>3.65</v>
      </c>
      <c r="P1560">
        <v>38.71</v>
      </c>
      <c r="Q1560">
        <v>18781412</v>
      </c>
      <c r="R1560">
        <v>0.96</v>
      </c>
      <c r="S1560" t="s">
        <v>249</v>
      </c>
      <c r="T1560" t="s">
        <v>590</v>
      </c>
      <c r="U1560">
        <v>3.01</v>
      </c>
      <c r="V1560">
        <v>3.66</v>
      </c>
      <c r="W1560">
        <v>31261</v>
      </c>
      <c r="X1560">
        <v>20108</v>
      </c>
      <c r="Y1560">
        <v>1.55</v>
      </c>
      <c r="Z1560">
        <v>448</v>
      </c>
      <c r="AA1560">
        <v>2</v>
      </c>
      <c r="AB1560" t="s">
        <v>116</v>
      </c>
      <c r="AC1560">
        <v>158100</v>
      </c>
      <c r="AD1560">
        <v>0.01</v>
      </c>
      <c r="AE1560" t="s">
        <v>116</v>
      </c>
      <c r="AF1560" t="s">
        <v>116</v>
      </c>
      <c r="AG1560">
        <v>3.42</v>
      </c>
      <c r="AH1560" t="s">
        <v>8245</v>
      </c>
      <c r="AI1560" t="s">
        <v>8246</v>
      </c>
      <c r="AJ1560">
        <v>-0.69</v>
      </c>
      <c r="AK1560">
        <v>739</v>
      </c>
      <c r="AL1560">
        <v>70</v>
      </c>
      <c r="AM1560">
        <v>2E-3</v>
      </c>
      <c r="AN1560">
        <v>-1</v>
      </c>
      <c r="AO1560">
        <v>-1.1000000000000001</v>
      </c>
      <c r="AP1560">
        <v>6.51</v>
      </c>
      <c r="AQ1560">
        <v>2.27</v>
      </c>
      <c r="AR1560">
        <v>9.09</v>
      </c>
      <c r="AS1560">
        <v>1.77</v>
      </c>
      <c r="AT1560" t="s">
        <v>3614</v>
      </c>
      <c r="AU1560" t="s">
        <v>116</v>
      </c>
      <c r="AV1560" t="s">
        <v>116</v>
      </c>
      <c r="AW1560">
        <v>0.77</v>
      </c>
      <c r="BA1560">
        <v>0.27</v>
      </c>
      <c r="BB1560">
        <v>1.64</v>
      </c>
      <c r="BC1560">
        <v>-1.37</v>
      </c>
      <c r="BD1560">
        <v>0.17</v>
      </c>
      <c r="BE1560">
        <v>-1.64</v>
      </c>
      <c r="BF1560">
        <v>-2.96</v>
      </c>
      <c r="BG1560">
        <v>0</v>
      </c>
      <c r="BH1560">
        <v>-1.54</v>
      </c>
      <c r="BI1560">
        <v>20191030</v>
      </c>
      <c r="BJ1560">
        <v>20110113</v>
      </c>
      <c r="BK1560">
        <v>4.74</v>
      </c>
      <c r="BL1560" t="s">
        <v>116</v>
      </c>
      <c r="BM1560" t="s">
        <v>116</v>
      </c>
      <c r="BN1560">
        <v>8.5500000000000007</v>
      </c>
      <c r="BO1560">
        <v>5.65</v>
      </c>
      <c r="BP1560">
        <v>0.02</v>
      </c>
      <c r="BQ1560">
        <v>33.71</v>
      </c>
      <c r="BR1560">
        <v>4.7</v>
      </c>
      <c r="BS1560">
        <v>3.23</v>
      </c>
      <c r="BT1560">
        <v>0.42</v>
      </c>
      <c r="BU1560">
        <v>1.2</v>
      </c>
      <c r="BV1560">
        <v>1.66</v>
      </c>
      <c r="BW1560">
        <v>2</v>
      </c>
      <c r="BX1560">
        <v>1.31</v>
      </c>
      <c r="BY1560">
        <v>3.54</v>
      </c>
      <c r="BZ1560">
        <v>2.06</v>
      </c>
      <c r="CA1560">
        <v>0.33</v>
      </c>
      <c r="CB1560">
        <v>7.0000000000000007E-2</v>
      </c>
      <c r="CC1560">
        <v>0.43</v>
      </c>
      <c r="CD1560">
        <v>0.28999999999999998</v>
      </c>
      <c r="CE1560">
        <v>0.33</v>
      </c>
      <c r="CF1560">
        <v>-0.12</v>
      </c>
      <c r="CG1560">
        <v>-0.66</v>
      </c>
      <c r="CH1560">
        <v>0.24</v>
      </c>
      <c r="CI1560">
        <v>-0.02</v>
      </c>
      <c r="CJ1560">
        <v>23671</v>
      </c>
      <c r="CK1560">
        <v>12261</v>
      </c>
      <c r="CL1560" t="s">
        <v>3027</v>
      </c>
      <c r="CM1560">
        <v>122.12</v>
      </c>
      <c r="CN1560">
        <v>-16.95</v>
      </c>
      <c r="CO1560">
        <v>3.02</v>
      </c>
      <c r="CP1560">
        <v>71.930000000000007</v>
      </c>
      <c r="CQ1560">
        <v>4.82</v>
      </c>
      <c r="CR1560">
        <v>0</v>
      </c>
      <c r="CS1560" t="s">
        <v>4071</v>
      </c>
      <c r="CT1560">
        <v>1.19</v>
      </c>
      <c r="CU1560">
        <v>0</v>
      </c>
      <c r="CV1560">
        <v>0.28000000000000003</v>
      </c>
      <c r="CW1560">
        <v>-0.14000000000000001</v>
      </c>
      <c r="CX1560">
        <v>0.05</v>
      </c>
      <c r="CY1560">
        <v>66.09</v>
      </c>
      <c r="CZ1560" t="s">
        <v>3839</v>
      </c>
      <c r="DA1560">
        <v>41.76</v>
      </c>
      <c r="DB1560">
        <v>9.3000000000000007</v>
      </c>
      <c r="DC1560">
        <v>9.35</v>
      </c>
      <c r="DD1560">
        <v>0.1</v>
      </c>
      <c r="DE1560">
        <v>1113</v>
      </c>
      <c r="DF1560">
        <v>300163</v>
      </c>
      <c r="DG1560" t="s">
        <v>116</v>
      </c>
      <c r="DH1560" t="s">
        <v>116</v>
      </c>
      <c r="DI1560" t="s">
        <v>116</v>
      </c>
    </row>
    <row r="1561" spans="1:113" x14ac:dyDescent="0.4">
      <c r="A1561" t="str">
        <f>"300164"</f>
        <v>300164</v>
      </c>
      <c r="B1561" t="s">
        <v>8247</v>
      </c>
      <c r="C1561">
        <v>0</v>
      </c>
      <c r="D1561">
        <v>5.17</v>
      </c>
      <c r="E1561">
        <v>0</v>
      </c>
      <c r="F1561">
        <v>5.16</v>
      </c>
      <c r="G1561">
        <v>5.17</v>
      </c>
      <c r="H1561">
        <v>46762</v>
      </c>
      <c r="I1561">
        <v>621</v>
      </c>
      <c r="J1561">
        <v>0</v>
      </c>
      <c r="K1561">
        <v>1.46</v>
      </c>
      <c r="L1561">
        <v>5.21</v>
      </c>
      <c r="M1561">
        <v>5.23</v>
      </c>
      <c r="N1561">
        <v>5.14</v>
      </c>
      <c r="O1561">
        <v>5.17</v>
      </c>
      <c r="P1561">
        <v>21.35</v>
      </c>
      <c r="Q1561">
        <v>24225544</v>
      </c>
      <c r="R1561">
        <v>0.97</v>
      </c>
      <c r="S1561" t="s">
        <v>4171</v>
      </c>
      <c r="T1561" t="s">
        <v>913</v>
      </c>
      <c r="U1561">
        <v>1.74</v>
      </c>
      <c r="V1561">
        <v>5.18</v>
      </c>
      <c r="W1561">
        <v>22913</v>
      </c>
      <c r="X1561">
        <v>23849</v>
      </c>
      <c r="Y1561">
        <v>0.96</v>
      </c>
      <c r="Z1561">
        <v>312</v>
      </c>
      <c r="AA1561">
        <v>242</v>
      </c>
      <c r="AB1561" t="s">
        <v>116</v>
      </c>
      <c r="AC1561">
        <v>293300</v>
      </c>
      <c r="AD1561">
        <v>0.02</v>
      </c>
      <c r="AE1561" t="s">
        <v>116</v>
      </c>
      <c r="AF1561" t="s">
        <v>116</v>
      </c>
      <c r="AG1561">
        <v>3.21</v>
      </c>
      <c r="AH1561" t="s">
        <v>1784</v>
      </c>
      <c r="AI1561" t="s">
        <v>8248</v>
      </c>
      <c r="AJ1561">
        <v>0.68</v>
      </c>
      <c r="AK1561">
        <v>988</v>
      </c>
      <c r="AL1561">
        <v>47</v>
      </c>
      <c r="AM1561">
        <v>1.5E-3</v>
      </c>
      <c r="AN1561">
        <v>0</v>
      </c>
      <c r="AO1561">
        <v>1.57</v>
      </c>
      <c r="AP1561">
        <v>6.38</v>
      </c>
      <c r="AQ1561">
        <v>0</v>
      </c>
      <c r="AR1561">
        <v>-15.52</v>
      </c>
      <c r="AS1561">
        <v>1.76</v>
      </c>
      <c r="AT1561" t="s">
        <v>8249</v>
      </c>
      <c r="AU1561">
        <v>28.32</v>
      </c>
      <c r="AV1561">
        <v>22.51</v>
      </c>
      <c r="AW1561">
        <v>0.92</v>
      </c>
      <c r="BA1561">
        <v>0.77</v>
      </c>
      <c r="BB1561">
        <v>1.1599999999999999</v>
      </c>
      <c r="BC1561">
        <v>-0.57999999999999996</v>
      </c>
      <c r="BD1561">
        <v>0.21</v>
      </c>
      <c r="BE1561">
        <v>-0.77</v>
      </c>
      <c r="BF1561">
        <v>-1.1499999999999999</v>
      </c>
      <c r="BG1561">
        <v>0.57999999999999996</v>
      </c>
      <c r="BH1561">
        <v>-0.21</v>
      </c>
      <c r="BI1561">
        <v>20191225</v>
      </c>
      <c r="BJ1561">
        <v>20110113</v>
      </c>
      <c r="BK1561">
        <v>4.51</v>
      </c>
      <c r="BL1561" t="s">
        <v>116</v>
      </c>
      <c r="BM1561" t="s">
        <v>116</v>
      </c>
      <c r="BN1561">
        <v>30.03</v>
      </c>
      <c r="BO1561">
        <v>17.899999999999999</v>
      </c>
      <c r="BP1561">
        <v>1.27</v>
      </c>
      <c r="BQ1561">
        <v>36.17</v>
      </c>
      <c r="BR1561">
        <v>11.77</v>
      </c>
      <c r="BS1561">
        <v>3.7</v>
      </c>
      <c r="BT1561">
        <v>0.44</v>
      </c>
      <c r="BU1561">
        <v>6.13</v>
      </c>
      <c r="BV1561">
        <v>2.33</v>
      </c>
      <c r="BW1561">
        <v>6.46</v>
      </c>
      <c r="BX1561">
        <v>8.76</v>
      </c>
      <c r="BY1561">
        <v>11.39</v>
      </c>
      <c r="BZ1561">
        <v>7.07</v>
      </c>
      <c r="CA1561">
        <v>1.2</v>
      </c>
      <c r="CB1561">
        <v>0.14000000000000001</v>
      </c>
      <c r="CC1561">
        <v>0.99</v>
      </c>
      <c r="CD1561">
        <v>0.86</v>
      </c>
      <c r="CE1561">
        <v>0.82</v>
      </c>
      <c r="CF1561">
        <v>0.98</v>
      </c>
      <c r="CG1561">
        <v>3.82</v>
      </c>
      <c r="CH1561">
        <v>0.73</v>
      </c>
      <c r="CI1561">
        <v>-0.66</v>
      </c>
      <c r="CJ1561">
        <v>24358</v>
      </c>
      <c r="CK1561">
        <v>10909</v>
      </c>
      <c r="CL1561" t="s">
        <v>1970</v>
      </c>
      <c r="CM1561">
        <v>-20.6</v>
      </c>
      <c r="CN1561">
        <v>-2.65</v>
      </c>
      <c r="CO1561">
        <v>1.3</v>
      </c>
      <c r="CP1561">
        <v>31.98</v>
      </c>
      <c r="CQ1561">
        <v>2.0499999999999998</v>
      </c>
      <c r="CR1561">
        <v>1.93</v>
      </c>
      <c r="CS1561" t="s">
        <v>3393</v>
      </c>
      <c r="CT1561">
        <v>3.97</v>
      </c>
      <c r="CU1561">
        <v>0</v>
      </c>
      <c r="CV1561">
        <v>1.94</v>
      </c>
      <c r="CW1561">
        <v>0.85</v>
      </c>
      <c r="CX1561">
        <v>0.16</v>
      </c>
      <c r="CY1561">
        <v>59.6</v>
      </c>
      <c r="CZ1561" t="s">
        <v>5505</v>
      </c>
      <c r="DA1561">
        <v>37.86</v>
      </c>
      <c r="DB1561">
        <v>10.58</v>
      </c>
      <c r="DC1561">
        <v>7.2</v>
      </c>
      <c r="DD1561">
        <v>0.12</v>
      </c>
      <c r="DE1561">
        <v>770</v>
      </c>
      <c r="DF1561">
        <v>300164</v>
      </c>
      <c r="DG1561" t="s">
        <v>116</v>
      </c>
      <c r="DH1561" t="s">
        <v>116</v>
      </c>
      <c r="DI1561" t="s">
        <v>116</v>
      </c>
    </row>
    <row r="1562" spans="1:113" x14ac:dyDescent="0.4">
      <c r="A1562" t="str">
        <f>"300165"</f>
        <v>300165</v>
      </c>
      <c r="B1562" t="s">
        <v>8250</v>
      </c>
      <c r="C1562">
        <v>-0.84</v>
      </c>
      <c r="D1562">
        <v>4.71</v>
      </c>
      <c r="E1562">
        <v>-0.04</v>
      </c>
      <c r="F1562">
        <v>4.7</v>
      </c>
      <c r="G1562">
        <v>4.71</v>
      </c>
      <c r="H1562">
        <v>35707</v>
      </c>
      <c r="I1562">
        <v>844</v>
      </c>
      <c r="J1562">
        <v>0.43</v>
      </c>
      <c r="K1562">
        <v>1.1200000000000001</v>
      </c>
      <c r="L1562">
        <v>4.75</v>
      </c>
      <c r="M1562">
        <v>4.82</v>
      </c>
      <c r="N1562">
        <v>4.67</v>
      </c>
      <c r="O1562">
        <v>4.75</v>
      </c>
      <c r="P1562">
        <v>81.069999999999993</v>
      </c>
      <c r="Q1562">
        <v>16979546</v>
      </c>
      <c r="R1562">
        <v>0.75</v>
      </c>
      <c r="S1562" t="s">
        <v>2977</v>
      </c>
      <c r="T1562" t="s">
        <v>323</v>
      </c>
      <c r="U1562">
        <v>3.16</v>
      </c>
      <c r="V1562">
        <v>4.76</v>
      </c>
      <c r="W1562">
        <v>19432</v>
      </c>
      <c r="X1562">
        <v>16275</v>
      </c>
      <c r="Y1562">
        <v>1.19</v>
      </c>
      <c r="Z1562">
        <v>467</v>
      </c>
      <c r="AA1562">
        <v>396</v>
      </c>
      <c r="AB1562" t="s">
        <v>116</v>
      </c>
      <c r="AC1562">
        <v>23800</v>
      </c>
      <c r="AD1562">
        <v>0</v>
      </c>
      <c r="AE1562" t="s">
        <v>116</v>
      </c>
      <c r="AF1562" t="s">
        <v>116</v>
      </c>
      <c r="AG1562">
        <v>3.19</v>
      </c>
      <c r="AH1562" t="s">
        <v>7266</v>
      </c>
      <c r="AI1562" t="s">
        <v>6961</v>
      </c>
      <c r="AJ1562">
        <v>-0.16</v>
      </c>
      <c r="AK1562">
        <v>834</v>
      </c>
      <c r="AL1562">
        <v>43</v>
      </c>
      <c r="AM1562">
        <v>1.2999999999999999E-3</v>
      </c>
      <c r="AN1562">
        <v>-1</v>
      </c>
      <c r="AO1562">
        <v>-0.63</v>
      </c>
      <c r="AP1562">
        <v>9.0299999999999994</v>
      </c>
      <c r="AQ1562">
        <v>-10.46</v>
      </c>
      <c r="AR1562">
        <v>22.02</v>
      </c>
      <c r="AS1562">
        <v>1.32</v>
      </c>
      <c r="AT1562" t="s">
        <v>4600</v>
      </c>
      <c r="AU1562">
        <v>258.54000000000002</v>
      </c>
      <c r="AV1562">
        <v>60.12</v>
      </c>
      <c r="AW1562">
        <v>1.48</v>
      </c>
      <c r="BA1562">
        <v>0</v>
      </c>
      <c r="BB1562">
        <v>1.47</v>
      </c>
      <c r="BC1562">
        <v>-1.68</v>
      </c>
      <c r="BD1562">
        <v>0.11</v>
      </c>
      <c r="BE1562">
        <v>-0.84</v>
      </c>
      <c r="BF1562">
        <v>-2.2799999999999998</v>
      </c>
      <c r="BG1562">
        <v>0.86</v>
      </c>
      <c r="BH1562">
        <v>-0.95</v>
      </c>
      <c r="BI1562">
        <v>20191225</v>
      </c>
      <c r="BJ1562">
        <v>20110125</v>
      </c>
      <c r="BK1562">
        <v>4.62</v>
      </c>
      <c r="BL1562" t="s">
        <v>116</v>
      </c>
      <c r="BM1562" t="s">
        <v>116</v>
      </c>
      <c r="BN1562">
        <v>20.96</v>
      </c>
      <c r="BO1562">
        <v>16.059999999999999</v>
      </c>
      <c r="BP1562">
        <v>0.78</v>
      </c>
      <c r="BQ1562">
        <v>19.649999999999999</v>
      </c>
      <c r="BR1562">
        <v>12.03</v>
      </c>
      <c r="BS1562">
        <v>2.0099999999999998</v>
      </c>
      <c r="BT1562">
        <v>0.2</v>
      </c>
      <c r="BU1562">
        <v>3.91</v>
      </c>
      <c r="BV1562">
        <v>4.4800000000000004</v>
      </c>
      <c r="BW1562">
        <v>2.83</v>
      </c>
      <c r="BX1562">
        <v>7.5</v>
      </c>
      <c r="BY1562">
        <v>5.92</v>
      </c>
      <c r="BZ1562">
        <v>3.01</v>
      </c>
      <c r="CA1562">
        <v>0.34</v>
      </c>
      <c r="CB1562">
        <v>0.02</v>
      </c>
      <c r="CC1562">
        <v>0.32</v>
      </c>
      <c r="CD1562">
        <v>0.26</v>
      </c>
      <c r="CE1562">
        <v>0.2</v>
      </c>
      <c r="CF1562">
        <v>0.17</v>
      </c>
      <c r="CG1562">
        <v>3.31</v>
      </c>
      <c r="CH1562">
        <v>-0.56000000000000005</v>
      </c>
      <c r="CI1562">
        <v>-0.91</v>
      </c>
      <c r="CJ1562">
        <v>24888</v>
      </c>
      <c r="CK1562">
        <v>10847</v>
      </c>
      <c r="CL1562" t="s">
        <v>3637</v>
      </c>
      <c r="CM1562">
        <v>-57.98</v>
      </c>
      <c r="CN1562">
        <v>-9.59</v>
      </c>
      <c r="CO1562">
        <v>1.35</v>
      </c>
      <c r="CP1562">
        <v>-38.83</v>
      </c>
      <c r="CQ1562">
        <v>3.68</v>
      </c>
      <c r="CR1562">
        <v>0.85</v>
      </c>
      <c r="CS1562" t="s">
        <v>8251</v>
      </c>
      <c r="CT1562">
        <v>3.48</v>
      </c>
      <c r="CU1562">
        <v>0</v>
      </c>
      <c r="CV1562">
        <v>1.62</v>
      </c>
      <c r="CW1562">
        <v>0.72</v>
      </c>
      <c r="CX1562">
        <v>-0.12</v>
      </c>
      <c r="CY1562">
        <v>76.64</v>
      </c>
      <c r="CZ1562" t="s">
        <v>8252</v>
      </c>
      <c r="DA1562">
        <v>49.18</v>
      </c>
      <c r="DB1562">
        <v>5.81</v>
      </c>
      <c r="DC1562">
        <v>3.4</v>
      </c>
      <c r="DD1562">
        <v>0.51</v>
      </c>
      <c r="DE1562">
        <v>1377</v>
      </c>
      <c r="DF1562">
        <v>300165</v>
      </c>
      <c r="DG1562" t="s">
        <v>116</v>
      </c>
      <c r="DH1562" t="s">
        <v>116</v>
      </c>
      <c r="DI1562" t="s">
        <v>116</v>
      </c>
    </row>
    <row r="1563" spans="1:113" x14ac:dyDescent="0.4">
      <c r="A1563" t="str">
        <f>"300166"</f>
        <v>300166</v>
      </c>
      <c r="B1563" t="s">
        <v>8253</v>
      </c>
      <c r="C1563">
        <v>-1.99</v>
      </c>
      <c r="D1563">
        <v>12.83</v>
      </c>
      <c r="E1563">
        <v>-0.26</v>
      </c>
      <c r="F1563">
        <v>12.82</v>
      </c>
      <c r="G1563">
        <v>12.83</v>
      </c>
      <c r="H1563">
        <v>169795</v>
      </c>
      <c r="I1563">
        <v>1495</v>
      </c>
      <c r="J1563">
        <v>0.08</v>
      </c>
      <c r="K1563">
        <v>2.08</v>
      </c>
      <c r="L1563">
        <v>13.09</v>
      </c>
      <c r="M1563">
        <v>13.14</v>
      </c>
      <c r="N1563">
        <v>12.71</v>
      </c>
      <c r="O1563">
        <v>13.09</v>
      </c>
      <c r="P1563">
        <v>55.24</v>
      </c>
      <c r="Q1563">
        <v>219519104</v>
      </c>
      <c r="R1563">
        <v>0.97</v>
      </c>
      <c r="S1563" t="s">
        <v>607</v>
      </c>
      <c r="T1563" t="s">
        <v>165</v>
      </c>
      <c r="U1563">
        <v>3.28</v>
      </c>
      <c r="V1563">
        <v>12.93</v>
      </c>
      <c r="W1563">
        <v>101428</v>
      </c>
      <c r="X1563">
        <v>68367</v>
      </c>
      <c r="Y1563">
        <v>1.48</v>
      </c>
      <c r="Z1563">
        <v>72</v>
      </c>
      <c r="AA1563">
        <v>990</v>
      </c>
      <c r="AB1563" t="s">
        <v>116</v>
      </c>
      <c r="AC1563">
        <v>1538100</v>
      </c>
      <c r="AD1563">
        <v>0.02</v>
      </c>
      <c r="AE1563" t="s">
        <v>116</v>
      </c>
      <c r="AF1563" t="s">
        <v>116</v>
      </c>
      <c r="AG1563">
        <v>8.18</v>
      </c>
      <c r="AH1563" t="s">
        <v>8254</v>
      </c>
      <c r="AI1563" t="s">
        <v>8255</v>
      </c>
      <c r="AJ1563">
        <v>-1.31</v>
      </c>
      <c r="AK1563">
        <v>3487</v>
      </c>
      <c r="AL1563">
        <v>49</v>
      </c>
      <c r="AM1563">
        <v>5.9999999999999995E-4</v>
      </c>
      <c r="AN1563">
        <v>-1</v>
      </c>
      <c r="AO1563">
        <v>-0.93</v>
      </c>
      <c r="AP1563">
        <v>8.73</v>
      </c>
      <c r="AQ1563">
        <v>-2.2799999999999998</v>
      </c>
      <c r="AR1563">
        <v>23.96</v>
      </c>
      <c r="AS1563">
        <v>2.29</v>
      </c>
      <c r="AT1563" t="s">
        <v>8256</v>
      </c>
      <c r="AU1563">
        <v>26.08</v>
      </c>
      <c r="AV1563">
        <v>26.16</v>
      </c>
      <c r="AW1563">
        <v>1.38</v>
      </c>
      <c r="BA1563">
        <v>0</v>
      </c>
      <c r="BB1563">
        <v>0.38</v>
      </c>
      <c r="BC1563">
        <v>-2.9</v>
      </c>
      <c r="BD1563">
        <v>-1.23</v>
      </c>
      <c r="BE1563">
        <v>-1.99</v>
      </c>
      <c r="BF1563">
        <v>-2.36</v>
      </c>
      <c r="BG1563">
        <v>0.94</v>
      </c>
      <c r="BH1563">
        <v>-0.75</v>
      </c>
      <c r="BI1563">
        <v>20191223</v>
      </c>
      <c r="BJ1563">
        <v>20110125</v>
      </c>
      <c r="BK1563">
        <v>10.57</v>
      </c>
      <c r="BL1563" t="s">
        <v>116</v>
      </c>
      <c r="BM1563" t="s">
        <v>116</v>
      </c>
      <c r="BN1563">
        <v>61.96</v>
      </c>
      <c r="BO1563">
        <v>51.97</v>
      </c>
      <c r="BP1563">
        <v>1.37</v>
      </c>
      <c r="BQ1563">
        <v>13.92</v>
      </c>
      <c r="BR1563">
        <v>30.38</v>
      </c>
      <c r="BS1563">
        <v>2.94</v>
      </c>
      <c r="BT1563">
        <v>9.5399999999999991</v>
      </c>
      <c r="BU1563">
        <v>6.46</v>
      </c>
      <c r="BV1563">
        <v>3.93</v>
      </c>
      <c r="BW1563">
        <v>16.95</v>
      </c>
      <c r="BX1563">
        <v>21.86</v>
      </c>
      <c r="BY1563">
        <v>11.05</v>
      </c>
      <c r="BZ1563">
        <v>5.52</v>
      </c>
      <c r="CA1563">
        <v>1.9</v>
      </c>
      <c r="CB1563">
        <v>0.09</v>
      </c>
      <c r="CC1563">
        <v>1.94</v>
      </c>
      <c r="CD1563">
        <v>1.8</v>
      </c>
      <c r="CE1563">
        <v>1.84</v>
      </c>
      <c r="CF1563">
        <v>1.52</v>
      </c>
      <c r="CG1563">
        <v>18.86</v>
      </c>
      <c r="CH1563">
        <v>-1.48</v>
      </c>
      <c r="CI1563">
        <v>-5.56</v>
      </c>
      <c r="CJ1563">
        <v>36272</v>
      </c>
      <c r="CK1563">
        <v>20429</v>
      </c>
      <c r="CL1563" t="s">
        <v>8257</v>
      </c>
      <c r="CM1563">
        <v>0.89</v>
      </c>
      <c r="CN1563">
        <v>16.12</v>
      </c>
      <c r="CO1563">
        <v>2.61</v>
      </c>
      <c r="CP1563">
        <v>-91.69</v>
      </c>
      <c r="CQ1563">
        <v>12.26</v>
      </c>
      <c r="CR1563">
        <v>0.08</v>
      </c>
      <c r="CS1563" t="s">
        <v>1971</v>
      </c>
      <c r="CT1563">
        <v>4.92</v>
      </c>
      <c r="CU1563">
        <v>0</v>
      </c>
      <c r="CV1563">
        <v>2.0699999999999998</v>
      </c>
      <c r="CW1563">
        <v>1.79</v>
      </c>
      <c r="CX1563">
        <v>-0.14000000000000001</v>
      </c>
      <c r="CY1563">
        <v>83.88</v>
      </c>
      <c r="CZ1563" t="s">
        <v>5395</v>
      </c>
      <c r="DA1563">
        <v>50.07</v>
      </c>
      <c r="DB1563">
        <v>17.18</v>
      </c>
      <c r="DC1563">
        <v>16.649999999999999</v>
      </c>
      <c r="DD1563">
        <v>1.88</v>
      </c>
      <c r="DE1563">
        <v>6966</v>
      </c>
      <c r="DF1563">
        <v>300166</v>
      </c>
      <c r="DG1563" t="s">
        <v>116</v>
      </c>
      <c r="DH1563" t="s">
        <v>116</v>
      </c>
      <c r="DI1563" t="s">
        <v>116</v>
      </c>
    </row>
    <row r="1564" spans="1:113" x14ac:dyDescent="0.4">
      <c r="A1564" t="str">
        <f>"300167"</f>
        <v>300167</v>
      </c>
      <c r="B1564" t="s">
        <v>8258</v>
      </c>
      <c r="C1564">
        <v>-2.15</v>
      </c>
      <c r="D1564">
        <v>5.46</v>
      </c>
      <c r="E1564">
        <v>-0.12</v>
      </c>
      <c r="F1564">
        <v>5.46</v>
      </c>
      <c r="G1564">
        <v>5.47</v>
      </c>
      <c r="H1564">
        <v>82494</v>
      </c>
      <c r="I1564">
        <v>665</v>
      </c>
      <c r="J1564">
        <v>-0.17</v>
      </c>
      <c r="K1564">
        <v>2.75</v>
      </c>
      <c r="L1564">
        <v>5.57</v>
      </c>
      <c r="M1564">
        <v>5.64</v>
      </c>
      <c r="N1564">
        <v>5.43</v>
      </c>
      <c r="O1564">
        <v>5.58</v>
      </c>
      <c r="P1564">
        <v>547.34</v>
      </c>
      <c r="Q1564">
        <v>45829660</v>
      </c>
      <c r="R1564">
        <v>0.98</v>
      </c>
      <c r="S1564" t="s">
        <v>465</v>
      </c>
      <c r="T1564" t="s">
        <v>115</v>
      </c>
      <c r="U1564">
        <v>3.76</v>
      </c>
      <c r="V1564">
        <v>5.56</v>
      </c>
      <c r="W1564">
        <v>47924</v>
      </c>
      <c r="X1564">
        <v>34570</v>
      </c>
      <c r="Y1564">
        <v>1.39</v>
      </c>
      <c r="Z1564">
        <v>517</v>
      </c>
      <c r="AA1564">
        <v>665</v>
      </c>
      <c r="AB1564" t="s">
        <v>116</v>
      </c>
      <c r="AC1564">
        <v>164300</v>
      </c>
      <c r="AD1564">
        <v>0.02</v>
      </c>
      <c r="AE1564" t="s">
        <v>116</v>
      </c>
      <c r="AF1564" t="s">
        <v>116</v>
      </c>
      <c r="AG1564">
        <v>3</v>
      </c>
      <c r="AH1564" t="s">
        <v>8259</v>
      </c>
      <c r="AI1564" t="s">
        <v>8259</v>
      </c>
      <c r="AJ1564">
        <v>-1.47</v>
      </c>
      <c r="AK1564">
        <v>1425</v>
      </c>
      <c r="AL1564">
        <v>58</v>
      </c>
      <c r="AM1564">
        <v>1.9E-3</v>
      </c>
      <c r="AN1564">
        <v>-2</v>
      </c>
      <c r="AO1564">
        <v>-1.8</v>
      </c>
      <c r="AP1564">
        <v>6.43</v>
      </c>
      <c r="AQ1564">
        <v>-7.93</v>
      </c>
      <c r="AR1564">
        <v>5.61</v>
      </c>
      <c r="AS1564">
        <v>4.28</v>
      </c>
      <c r="AT1564" t="s">
        <v>8260</v>
      </c>
      <c r="AU1564" t="s">
        <v>116</v>
      </c>
      <c r="AV1564" t="s">
        <v>116</v>
      </c>
      <c r="AW1564">
        <v>0.85</v>
      </c>
      <c r="BA1564">
        <v>-0.18</v>
      </c>
      <c r="BB1564">
        <v>1.08</v>
      </c>
      <c r="BC1564">
        <v>-2.69</v>
      </c>
      <c r="BD1564">
        <v>-0.44</v>
      </c>
      <c r="BE1564">
        <v>-1.97</v>
      </c>
      <c r="BF1564">
        <v>-3.19</v>
      </c>
      <c r="BG1564">
        <v>0.55000000000000004</v>
      </c>
      <c r="BH1564">
        <v>-1.71</v>
      </c>
      <c r="BI1564">
        <v>20191217</v>
      </c>
      <c r="BJ1564">
        <v>20110125</v>
      </c>
      <c r="BK1564">
        <v>3</v>
      </c>
      <c r="BL1564" t="s">
        <v>116</v>
      </c>
      <c r="BM1564" t="s">
        <v>116</v>
      </c>
      <c r="BN1564">
        <v>10.15</v>
      </c>
      <c r="BO1564">
        <v>5.49</v>
      </c>
      <c r="BP1564">
        <v>0.56999999999999995</v>
      </c>
      <c r="BQ1564">
        <v>40.299999999999997</v>
      </c>
      <c r="BR1564">
        <v>6.78</v>
      </c>
      <c r="BS1564">
        <v>0.18</v>
      </c>
      <c r="BT1564">
        <v>0.1</v>
      </c>
      <c r="BU1564">
        <v>4.01</v>
      </c>
      <c r="BV1564">
        <v>0.92</v>
      </c>
      <c r="BW1564">
        <v>2.83</v>
      </c>
      <c r="BX1564">
        <v>3.13</v>
      </c>
      <c r="BY1564">
        <v>3.23</v>
      </c>
      <c r="BZ1564">
        <v>2.27</v>
      </c>
      <c r="CA1564">
        <v>0.15</v>
      </c>
      <c r="CB1564">
        <v>-0.01</v>
      </c>
      <c r="CC1564">
        <v>0.15</v>
      </c>
      <c r="CD1564">
        <v>7.0000000000000007E-2</v>
      </c>
      <c r="CE1564">
        <v>0.02</v>
      </c>
      <c r="CF1564">
        <v>0</v>
      </c>
      <c r="CG1564">
        <v>-0.77</v>
      </c>
      <c r="CH1564">
        <v>0.47</v>
      </c>
      <c r="CI1564">
        <v>0.19</v>
      </c>
      <c r="CJ1564">
        <v>20900</v>
      </c>
      <c r="CK1564">
        <v>9217</v>
      </c>
      <c r="CL1564" t="s">
        <v>1151</v>
      </c>
      <c r="CM1564">
        <v>107.38</v>
      </c>
      <c r="CN1564">
        <v>62.3</v>
      </c>
      <c r="CO1564">
        <v>2.98</v>
      </c>
      <c r="CP1564">
        <v>34.99</v>
      </c>
      <c r="CQ1564">
        <v>5.07</v>
      </c>
      <c r="CR1564">
        <v>0</v>
      </c>
      <c r="CS1564" t="s">
        <v>5809</v>
      </c>
      <c r="CT1564">
        <v>1.83</v>
      </c>
      <c r="CU1564">
        <v>0</v>
      </c>
      <c r="CV1564">
        <v>1.04</v>
      </c>
      <c r="CW1564">
        <v>-0.26</v>
      </c>
      <c r="CX1564">
        <v>0.16</v>
      </c>
      <c r="CY1564">
        <v>54.11</v>
      </c>
      <c r="CZ1564" t="s">
        <v>8261</v>
      </c>
      <c r="DA1564">
        <v>29.85</v>
      </c>
      <c r="DB1564">
        <v>4.75</v>
      </c>
      <c r="DC1564">
        <v>0.69</v>
      </c>
      <c r="DD1564">
        <v>0.27</v>
      </c>
      <c r="DE1564">
        <v>1085</v>
      </c>
      <c r="DF1564">
        <v>300167</v>
      </c>
      <c r="DG1564" t="s">
        <v>116</v>
      </c>
      <c r="DH1564" t="s">
        <v>116</v>
      </c>
      <c r="DI1564" t="s">
        <v>116</v>
      </c>
    </row>
    <row r="1565" spans="1:113" x14ac:dyDescent="0.4">
      <c r="A1565" t="str">
        <f>"300168"</f>
        <v>300168</v>
      </c>
      <c r="B1565" t="s">
        <v>8262</v>
      </c>
      <c r="C1565">
        <v>-1.99</v>
      </c>
      <c r="D1565">
        <v>15.78</v>
      </c>
      <c r="E1565">
        <v>-0.32</v>
      </c>
      <c r="F1565">
        <v>15.77</v>
      </c>
      <c r="G1565">
        <v>15.78</v>
      </c>
      <c r="H1565">
        <v>264588</v>
      </c>
      <c r="I1565">
        <v>3580</v>
      </c>
      <c r="J1565">
        <v>-0.31</v>
      </c>
      <c r="K1565">
        <v>2.36</v>
      </c>
      <c r="L1565">
        <v>16.3</v>
      </c>
      <c r="M1565">
        <v>16.579999999999998</v>
      </c>
      <c r="N1565">
        <v>15.78</v>
      </c>
      <c r="O1565">
        <v>16.100000000000001</v>
      </c>
      <c r="P1565">
        <v>310.7</v>
      </c>
      <c r="Q1565">
        <v>428826016</v>
      </c>
      <c r="R1565">
        <v>1.4</v>
      </c>
      <c r="S1565" t="s">
        <v>607</v>
      </c>
      <c r="T1565" t="s">
        <v>1653</v>
      </c>
      <c r="U1565">
        <v>4.97</v>
      </c>
      <c r="V1565">
        <v>16.21</v>
      </c>
      <c r="W1565">
        <v>142275</v>
      </c>
      <c r="X1565">
        <v>122313</v>
      </c>
      <c r="Y1565">
        <v>1.1599999999999999</v>
      </c>
      <c r="Z1565">
        <v>158</v>
      </c>
      <c r="AA1565">
        <v>2096</v>
      </c>
      <c r="AB1565" t="s">
        <v>116</v>
      </c>
      <c r="AC1565">
        <v>4428700</v>
      </c>
      <c r="AD1565">
        <v>0.04</v>
      </c>
      <c r="AE1565" t="s">
        <v>116</v>
      </c>
      <c r="AF1565" t="s">
        <v>116</v>
      </c>
      <c r="AG1565">
        <v>11.21</v>
      </c>
      <c r="AH1565" t="s">
        <v>8263</v>
      </c>
      <c r="AI1565" t="s">
        <v>8264</v>
      </c>
      <c r="AJ1565">
        <v>-1.31</v>
      </c>
      <c r="AK1565">
        <v>3234</v>
      </c>
      <c r="AL1565">
        <v>82</v>
      </c>
      <c r="AM1565">
        <v>6.9999999999999999E-4</v>
      </c>
      <c r="AN1565">
        <v>-1</v>
      </c>
      <c r="AO1565">
        <v>-2.5299999999999998</v>
      </c>
      <c r="AP1565">
        <v>-3.31</v>
      </c>
      <c r="AQ1565">
        <v>9.58</v>
      </c>
      <c r="AR1565">
        <v>31.88</v>
      </c>
      <c r="AS1565">
        <v>3.84</v>
      </c>
      <c r="AT1565" t="s">
        <v>8265</v>
      </c>
      <c r="AU1565">
        <v>144.77000000000001</v>
      </c>
      <c r="AV1565">
        <v>76.739999999999995</v>
      </c>
      <c r="AW1565">
        <v>1.02</v>
      </c>
      <c r="BA1565">
        <v>1.24</v>
      </c>
      <c r="BB1565">
        <v>2.98</v>
      </c>
      <c r="BC1565">
        <v>-1.99</v>
      </c>
      <c r="BD1565">
        <v>0.67</v>
      </c>
      <c r="BE1565">
        <v>-3.19</v>
      </c>
      <c r="BF1565">
        <v>-4.83</v>
      </c>
      <c r="BG1565">
        <v>0</v>
      </c>
      <c r="BH1565">
        <v>-2.65</v>
      </c>
      <c r="BI1565">
        <v>20191223</v>
      </c>
      <c r="BJ1565">
        <v>20110125</v>
      </c>
      <c r="BK1565">
        <v>11.28</v>
      </c>
      <c r="BL1565" t="s">
        <v>116</v>
      </c>
      <c r="BM1565" t="s">
        <v>116</v>
      </c>
      <c r="BN1565">
        <v>90.51</v>
      </c>
      <c r="BO1565">
        <v>39.090000000000003</v>
      </c>
      <c r="BP1565">
        <v>0.19</v>
      </c>
      <c r="BQ1565">
        <v>56.6</v>
      </c>
      <c r="BR1565">
        <v>53.08</v>
      </c>
      <c r="BS1565">
        <v>3.58</v>
      </c>
      <c r="BT1565">
        <v>9.59</v>
      </c>
      <c r="BU1565">
        <v>32.700000000000003</v>
      </c>
      <c r="BV1565">
        <v>14.22</v>
      </c>
      <c r="BW1565">
        <v>21.83</v>
      </c>
      <c r="BX1565">
        <v>11.06</v>
      </c>
      <c r="BY1565">
        <v>16.59</v>
      </c>
      <c r="BZ1565">
        <v>10.220000000000001</v>
      </c>
      <c r="CA1565">
        <v>0.53</v>
      </c>
      <c r="CB1565">
        <v>0.05</v>
      </c>
      <c r="CC1565">
        <v>0.53</v>
      </c>
      <c r="CD1565">
        <v>0.36</v>
      </c>
      <c r="CE1565">
        <v>0.43</v>
      </c>
      <c r="CF1565">
        <v>0.27</v>
      </c>
      <c r="CG1565">
        <v>13.04</v>
      </c>
      <c r="CH1565">
        <v>-11.06</v>
      </c>
      <c r="CI1565">
        <v>-3.74</v>
      </c>
      <c r="CJ1565">
        <v>56465</v>
      </c>
      <c r="CK1565">
        <v>12217</v>
      </c>
      <c r="CL1565" t="s">
        <v>8266</v>
      </c>
      <c r="CM1565">
        <v>-71.72</v>
      </c>
      <c r="CN1565">
        <v>5.81</v>
      </c>
      <c r="CO1565">
        <v>4.78</v>
      </c>
      <c r="CP1565">
        <v>-16.09</v>
      </c>
      <c r="CQ1565">
        <v>10.73</v>
      </c>
      <c r="CR1565">
        <v>0.15</v>
      </c>
      <c r="CS1565" t="s">
        <v>778</v>
      </c>
      <c r="CT1565">
        <v>3.3</v>
      </c>
      <c r="CU1565">
        <v>3.3</v>
      </c>
      <c r="CV1565">
        <v>0.98</v>
      </c>
      <c r="CW1565">
        <v>1.1599999999999999</v>
      </c>
      <c r="CX1565">
        <v>-0.98</v>
      </c>
      <c r="CY1565">
        <v>43.19</v>
      </c>
      <c r="CZ1565" t="s">
        <v>2070</v>
      </c>
      <c r="DA1565">
        <v>38.4</v>
      </c>
      <c r="DB1565">
        <v>3.23</v>
      </c>
      <c r="DC1565">
        <v>2.59</v>
      </c>
      <c r="DD1565">
        <v>0.87</v>
      </c>
      <c r="DE1565">
        <v>5628</v>
      </c>
      <c r="DF1565">
        <v>300168</v>
      </c>
      <c r="DG1565" t="s">
        <v>116</v>
      </c>
      <c r="DH1565" t="s">
        <v>116</v>
      </c>
      <c r="DI1565" t="s">
        <v>116</v>
      </c>
    </row>
    <row r="1566" spans="1:113" x14ac:dyDescent="0.4">
      <c r="A1566" t="str">
        <f>"300169"</f>
        <v>300169</v>
      </c>
      <c r="B1566" t="s">
        <v>8267</v>
      </c>
      <c r="C1566">
        <v>-1.9</v>
      </c>
      <c r="D1566">
        <v>5.67</v>
      </c>
      <c r="E1566">
        <v>-0.11</v>
      </c>
      <c r="F1566">
        <v>5.67</v>
      </c>
      <c r="G1566">
        <v>5.68</v>
      </c>
      <c r="H1566">
        <v>69946</v>
      </c>
      <c r="I1566">
        <v>773</v>
      </c>
      <c r="J1566">
        <v>0</v>
      </c>
      <c r="K1566">
        <v>2.66</v>
      </c>
      <c r="L1566">
        <v>5.78</v>
      </c>
      <c r="M1566">
        <v>5.81</v>
      </c>
      <c r="N1566">
        <v>5.65</v>
      </c>
      <c r="O1566">
        <v>5.78</v>
      </c>
      <c r="P1566">
        <v>182.49</v>
      </c>
      <c r="Q1566">
        <v>40030820</v>
      </c>
      <c r="R1566">
        <v>1</v>
      </c>
      <c r="S1566" t="s">
        <v>2444</v>
      </c>
      <c r="T1566" t="s">
        <v>323</v>
      </c>
      <c r="U1566">
        <v>2.77</v>
      </c>
      <c r="V1566">
        <v>5.72</v>
      </c>
      <c r="W1566">
        <v>36711</v>
      </c>
      <c r="X1566">
        <v>33235</v>
      </c>
      <c r="Y1566">
        <v>1.1000000000000001</v>
      </c>
      <c r="Z1566">
        <v>188</v>
      </c>
      <c r="AA1566">
        <v>1272</v>
      </c>
      <c r="AB1566" t="s">
        <v>116</v>
      </c>
      <c r="AC1566">
        <v>0</v>
      </c>
      <c r="AD1566">
        <v>0</v>
      </c>
      <c r="AE1566" t="s">
        <v>116</v>
      </c>
      <c r="AF1566" t="s">
        <v>116</v>
      </c>
      <c r="AG1566">
        <v>2.63</v>
      </c>
      <c r="AH1566" t="s">
        <v>8268</v>
      </c>
      <c r="AI1566" t="s">
        <v>5520</v>
      </c>
      <c r="AJ1566">
        <v>-1.22</v>
      </c>
      <c r="AK1566">
        <v>1720</v>
      </c>
      <c r="AL1566">
        <v>41</v>
      </c>
      <c r="AM1566">
        <v>1.5E-3</v>
      </c>
      <c r="AN1566">
        <v>-1</v>
      </c>
      <c r="AO1566">
        <v>-1.9</v>
      </c>
      <c r="AP1566">
        <v>13.4</v>
      </c>
      <c r="AQ1566">
        <v>9.8800000000000008</v>
      </c>
      <c r="AR1566">
        <v>16.91</v>
      </c>
      <c r="AS1566">
        <v>3.14</v>
      </c>
      <c r="AT1566" t="s">
        <v>8269</v>
      </c>
      <c r="AU1566">
        <v>92.38</v>
      </c>
      <c r="AV1566">
        <v>114.14</v>
      </c>
      <c r="AW1566">
        <v>1.05</v>
      </c>
      <c r="BA1566">
        <v>0</v>
      </c>
      <c r="BB1566">
        <v>0.52</v>
      </c>
      <c r="BC1566">
        <v>-2.25</v>
      </c>
      <c r="BD1566">
        <v>-0.98</v>
      </c>
      <c r="BE1566">
        <v>-1.9</v>
      </c>
      <c r="BF1566">
        <v>-2.41</v>
      </c>
      <c r="BG1566">
        <v>0.35</v>
      </c>
      <c r="BH1566">
        <v>-0.92</v>
      </c>
      <c r="BI1566">
        <v>20191029</v>
      </c>
      <c r="BJ1566">
        <v>20110125</v>
      </c>
      <c r="BK1566">
        <v>3.26</v>
      </c>
      <c r="BL1566" t="s">
        <v>116</v>
      </c>
      <c r="BM1566" t="s">
        <v>116</v>
      </c>
      <c r="BN1566">
        <v>20.41</v>
      </c>
      <c r="BO1566">
        <v>12.05</v>
      </c>
      <c r="BP1566">
        <v>0</v>
      </c>
      <c r="BQ1566">
        <v>40.94</v>
      </c>
      <c r="BR1566">
        <v>11.62</v>
      </c>
      <c r="BS1566">
        <v>3.58</v>
      </c>
      <c r="BT1566">
        <v>1.48</v>
      </c>
      <c r="BU1566">
        <v>6.87</v>
      </c>
      <c r="BV1566">
        <v>3.68</v>
      </c>
      <c r="BW1566">
        <v>4.76</v>
      </c>
      <c r="BX1566">
        <v>8.2899999999999991</v>
      </c>
      <c r="BY1566">
        <v>6.71</v>
      </c>
      <c r="BZ1566">
        <v>4.92</v>
      </c>
      <c r="CA1566">
        <v>0.05</v>
      </c>
      <c r="CB1566">
        <v>-0.1</v>
      </c>
      <c r="CC1566">
        <v>0.05</v>
      </c>
      <c r="CD1566">
        <v>0.08</v>
      </c>
      <c r="CE1566">
        <v>0.08</v>
      </c>
      <c r="CF1566">
        <v>0.05</v>
      </c>
      <c r="CG1566">
        <v>0.28999999999999998</v>
      </c>
      <c r="CH1566">
        <v>-0.74</v>
      </c>
      <c r="CI1566">
        <v>-0.85</v>
      </c>
      <c r="CJ1566">
        <v>13936</v>
      </c>
      <c r="CK1566">
        <v>15976</v>
      </c>
      <c r="CL1566" t="s">
        <v>7431</v>
      </c>
      <c r="CM1566">
        <v>100.81</v>
      </c>
      <c r="CN1566">
        <v>1.89</v>
      </c>
      <c r="CO1566">
        <v>1.53</v>
      </c>
      <c r="CP1566">
        <v>-24.82</v>
      </c>
      <c r="CQ1566">
        <v>2.76</v>
      </c>
      <c r="CR1566">
        <v>0</v>
      </c>
      <c r="CS1566" t="s">
        <v>1432</v>
      </c>
      <c r="CT1566">
        <v>3.7</v>
      </c>
      <c r="CU1566">
        <v>0</v>
      </c>
      <c r="CV1566">
        <v>2.54</v>
      </c>
      <c r="CW1566">
        <v>0.09</v>
      </c>
      <c r="CX1566">
        <v>-0.23</v>
      </c>
      <c r="CY1566">
        <v>59.05</v>
      </c>
      <c r="CZ1566" t="s">
        <v>6161</v>
      </c>
      <c r="DA1566">
        <v>26.62</v>
      </c>
      <c r="DB1566">
        <v>0.71</v>
      </c>
      <c r="DC1566">
        <v>1.1299999999999999</v>
      </c>
      <c r="DD1566">
        <v>0.13</v>
      </c>
      <c r="DE1566">
        <v>796</v>
      </c>
      <c r="DF1566">
        <v>300169</v>
      </c>
      <c r="DG1566" t="s">
        <v>116</v>
      </c>
      <c r="DH1566" t="s">
        <v>116</v>
      </c>
      <c r="DI1566" t="s">
        <v>116</v>
      </c>
    </row>
    <row r="1567" spans="1:113" x14ac:dyDescent="0.4">
      <c r="A1567" t="str">
        <f>"300170"</f>
        <v>300170</v>
      </c>
      <c r="B1567" t="s">
        <v>8270</v>
      </c>
      <c r="C1567">
        <v>-1.01</v>
      </c>
      <c r="D1567">
        <v>9.85</v>
      </c>
      <c r="E1567">
        <v>-0.1</v>
      </c>
      <c r="F1567">
        <v>9.84</v>
      </c>
      <c r="G1567">
        <v>9.85</v>
      </c>
      <c r="H1567">
        <v>178019</v>
      </c>
      <c r="I1567">
        <v>1803</v>
      </c>
      <c r="J1567">
        <v>0</v>
      </c>
      <c r="K1567">
        <v>2.44</v>
      </c>
      <c r="L1567">
        <v>9.9499999999999993</v>
      </c>
      <c r="M1567">
        <v>10.07</v>
      </c>
      <c r="N1567">
        <v>9.83</v>
      </c>
      <c r="O1567">
        <v>9.9499999999999993</v>
      </c>
      <c r="P1567">
        <v>77.900000000000006</v>
      </c>
      <c r="Q1567">
        <v>177486432</v>
      </c>
      <c r="R1567">
        <v>1.03</v>
      </c>
      <c r="S1567" t="s">
        <v>607</v>
      </c>
      <c r="T1567" t="s">
        <v>1653</v>
      </c>
      <c r="U1567">
        <v>2.41</v>
      </c>
      <c r="V1567">
        <v>9.9700000000000006</v>
      </c>
      <c r="W1567">
        <v>96081</v>
      </c>
      <c r="X1567">
        <v>81938</v>
      </c>
      <c r="Y1567">
        <v>1.17</v>
      </c>
      <c r="Z1567">
        <v>1163</v>
      </c>
      <c r="AA1567">
        <v>78</v>
      </c>
      <c r="AB1567" t="s">
        <v>116</v>
      </c>
      <c r="AC1567">
        <v>338300</v>
      </c>
      <c r="AD1567">
        <v>0.01</v>
      </c>
      <c r="AE1567" t="s">
        <v>116</v>
      </c>
      <c r="AF1567" t="s">
        <v>116</v>
      </c>
      <c r="AG1567">
        <v>7.3</v>
      </c>
      <c r="AH1567" t="s">
        <v>8271</v>
      </c>
      <c r="AI1567" t="s">
        <v>8272</v>
      </c>
      <c r="AJ1567">
        <v>-0.33</v>
      </c>
      <c r="AK1567">
        <v>2866</v>
      </c>
      <c r="AL1567">
        <v>62</v>
      </c>
      <c r="AM1567">
        <v>8.9999999999999998E-4</v>
      </c>
      <c r="AN1567">
        <v>-1</v>
      </c>
      <c r="AO1567">
        <v>-0.42</v>
      </c>
      <c r="AP1567">
        <v>5.35</v>
      </c>
      <c r="AQ1567">
        <v>-21.33</v>
      </c>
      <c r="AR1567">
        <v>1.03</v>
      </c>
      <c r="AS1567">
        <v>2.67</v>
      </c>
      <c r="AT1567" t="s">
        <v>8273</v>
      </c>
      <c r="AU1567">
        <v>38.97</v>
      </c>
      <c r="AV1567">
        <v>22.51</v>
      </c>
      <c r="AW1567">
        <v>1.97</v>
      </c>
      <c r="BA1567">
        <v>0</v>
      </c>
      <c r="BB1567">
        <v>1.21</v>
      </c>
      <c r="BC1567">
        <v>-1.21</v>
      </c>
      <c r="BD1567">
        <v>0.2</v>
      </c>
      <c r="BE1567">
        <v>-1.01</v>
      </c>
      <c r="BF1567">
        <v>-2.1800000000000002</v>
      </c>
      <c r="BG1567">
        <v>0.2</v>
      </c>
      <c r="BH1567">
        <v>-1.21</v>
      </c>
      <c r="BI1567">
        <v>20191220</v>
      </c>
      <c r="BJ1567">
        <v>20110201</v>
      </c>
      <c r="BK1567">
        <v>8.84</v>
      </c>
      <c r="BL1567" t="s">
        <v>116</v>
      </c>
      <c r="BM1567" t="s">
        <v>116</v>
      </c>
      <c r="BN1567">
        <v>42.85</v>
      </c>
      <c r="BO1567">
        <v>31.19</v>
      </c>
      <c r="BP1567">
        <v>-0.05</v>
      </c>
      <c r="BQ1567">
        <v>27.33</v>
      </c>
      <c r="BR1567">
        <v>32.04</v>
      </c>
      <c r="BS1567">
        <v>2.96</v>
      </c>
      <c r="BT1567">
        <v>2.2400000000000002</v>
      </c>
      <c r="BU1567">
        <v>11.4</v>
      </c>
      <c r="BV1567">
        <v>0</v>
      </c>
      <c r="BW1567">
        <v>23.17</v>
      </c>
      <c r="BX1567">
        <v>8.07</v>
      </c>
      <c r="BY1567">
        <v>22.36</v>
      </c>
      <c r="BZ1567">
        <v>15.98</v>
      </c>
      <c r="CA1567">
        <v>0.8</v>
      </c>
      <c r="CB1567">
        <v>-0.17</v>
      </c>
      <c r="CC1567">
        <v>0.86</v>
      </c>
      <c r="CD1567">
        <v>0.83</v>
      </c>
      <c r="CE1567">
        <v>0.84</v>
      </c>
      <c r="CF1567">
        <v>0.54</v>
      </c>
      <c r="CG1567">
        <v>14.32</v>
      </c>
      <c r="CH1567">
        <v>-3.33</v>
      </c>
      <c r="CI1567">
        <v>-1.42</v>
      </c>
      <c r="CJ1567">
        <v>61096</v>
      </c>
      <c r="CK1567">
        <v>10897</v>
      </c>
      <c r="CL1567" t="s">
        <v>136</v>
      </c>
      <c r="CM1567">
        <v>-66.099999999999994</v>
      </c>
      <c r="CN1567">
        <v>6</v>
      </c>
      <c r="CO1567">
        <v>2.79</v>
      </c>
      <c r="CP1567">
        <v>-26.15</v>
      </c>
      <c r="CQ1567">
        <v>3.89</v>
      </c>
      <c r="CR1567">
        <v>0.31</v>
      </c>
      <c r="CS1567" t="s">
        <v>5850</v>
      </c>
      <c r="CT1567">
        <v>3.53</v>
      </c>
      <c r="CU1567">
        <v>0</v>
      </c>
      <c r="CV1567">
        <v>0.91</v>
      </c>
      <c r="CW1567">
        <v>1.62</v>
      </c>
      <c r="CX1567">
        <v>-0.38</v>
      </c>
      <c r="CY1567">
        <v>72.790000000000006</v>
      </c>
      <c r="CZ1567" t="s">
        <v>2522</v>
      </c>
      <c r="DA1567">
        <v>28.55</v>
      </c>
      <c r="DB1567">
        <v>3.57</v>
      </c>
      <c r="DC1567">
        <v>3.75</v>
      </c>
      <c r="DD1567">
        <v>1.73</v>
      </c>
      <c r="DE1567">
        <v>9570</v>
      </c>
      <c r="DF1567">
        <v>300170</v>
      </c>
      <c r="DG1567" t="s">
        <v>116</v>
      </c>
      <c r="DH1567" t="s">
        <v>116</v>
      </c>
      <c r="DI1567" t="s">
        <v>116</v>
      </c>
    </row>
    <row r="1568" spans="1:113" x14ac:dyDescent="0.4">
      <c r="A1568" t="str">
        <f>"300171"</f>
        <v>300171</v>
      </c>
      <c r="B1568" t="s">
        <v>8274</v>
      </c>
      <c r="C1568">
        <v>-0.98</v>
      </c>
      <c r="D1568">
        <v>7.07</v>
      </c>
      <c r="E1568">
        <v>-7.0000000000000007E-2</v>
      </c>
      <c r="F1568">
        <v>7.07</v>
      </c>
      <c r="G1568">
        <v>7.08</v>
      </c>
      <c r="H1568">
        <v>24786</v>
      </c>
      <c r="I1568">
        <v>191</v>
      </c>
      <c r="J1568">
        <v>-0.13</v>
      </c>
      <c r="K1568">
        <v>0.74</v>
      </c>
      <c r="L1568">
        <v>7.14</v>
      </c>
      <c r="M1568">
        <v>7.17</v>
      </c>
      <c r="N1568">
        <v>7.06</v>
      </c>
      <c r="O1568">
        <v>7.14</v>
      </c>
      <c r="P1568">
        <v>54.95</v>
      </c>
      <c r="Q1568">
        <v>17679888</v>
      </c>
      <c r="R1568">
        <v>1.36</v>
      </c>
      <c r="S1568" t="s">
        <v>559</v>
      </c>
      <c r="T1568" t="s">
        <v>1653</v>
      </c>
      <c r="U1568">
        <v>1.54</v>
      </c>
      <c r="V1568">
        <v>7.13</v>
      </c>
      <c r="W1568">
        <v>15988</v>
      </c>
      <c r="X1568">
        <v>8798</v>
      </c>
      <c r="Y1568">
        <v>1.82</v>
      </c>
      <c r="Z1568">
        <v>262</v>
      </c>
      <c r="AA1568">
        <v>231</v>
      </c>
      <c r="AB1568" t="s">
        <v>116</v>
      </c>
      <c r="AC1568">
        <v>37800</v>
      </c>
      <c r="AD1568">
        <v>0</v>
      </c>
      <c r="AE1568" t="s">
        <v>116</v>
      </c>
      <c r="AF1568" t="s">
        <v>116</v>
      </c>
      <c r="AG1568">
        <v>3.34</v>
      </c>
      <c r="AH1568" t="s">
        <v>3106</v>
      </c>
      <c r="AI1568" t="s">
        <v>2604</v>
      </c>
      <c r="AJ1568">
        <v>-0.3</v>
      </c>
      <c r="AK1568">
        <v>1215</v>
      </c>
      <c r="AL1568">
        <v>20</v>
      </c>
      <c r="AM1568">
        <v>5.9999999999999995E-4</v>
      </c>
      <c r="AN1568">
        <v>-1</v>
      </c>
      <c r="AO1568">
        <v>-0.28000000000000003</v>
      </c>
      <c r="AP1568">
        <v>2.3199999999999998</v>
      </c>
      <c r="AQ1568">
        <v>-4.07</v>
      </c>
      <c r="AR1568">
        <v>1.43</v>
      </c>
      <c r="AS1568">
        <v>1.05</v>
      </c>
      <c r="AT1568" t="s">
        <v>1228</v>
      </c>
      <c r="AU1568">
        <v>67.98</v>
      </c>
      <c r="AV1568">
        <v>63.05</v>
      </c>
      <c r="AW1568">
        <v>1.2</v>
      </c>
      <c r="BA1568">
        <v>0</v>
      </c>
      <c r="BB1568">
        <v>0.42</v>
      </c>
      <c r="BC1568">
        <v>-1.1200000000000001</v>
      </c>
      <c r="BD1568">
        <v>-0.1</v>
      </c>
      <c r="BE1568">
        <v>-0.98</v>
      </c>
      <c r="BF1568">
        <v>-1.39</v>
      </c>
      <c r="BG1568">
        <v>0.14000000000000001</v>
      </c>
      <c r="BH1568">
        <v>-0.88</v>
      </c>
      <c r="BI1568">
        <v>20191030</v>
      </c>
      <c r="BJ1568">
        <v>20110201</v>
      </c>
      <c r="BK1568">
        <v>6.28</v>
      </c>
      <c r="BL1568" t="s">
        <v>116</v>
      </c>
      <c r="BM1568" t="s">
        <v>116</v>
      </c>
      <c r="BN1568">
        <v>50.83</v>
      </c>
      <c r="BO1568">
        <v>30.61</v>
      </c>
      <c r="BP1568">
        <v>0.82</v>
      </c>
      <c r="BQ1568">
        <v>38.159999999999997</v>
      </c>
      <c r="BR1568">
        <v>42.86</v>
      </c>
      <c r="BS1568">
        <v>3.58</v>
      </c>
      <c r="BT1568">
        <v>0.92</v>
      </c>
      <c r="BU1568">
        <v>18.86</v>
      </c>
      <c r="BV1568">
        <v>15.79</v>
      </c>
      <c r="BW1568">
        <v>5.19</v>
      </c>
      <c r="BX1568">
        <v>11.28</v>
      </c>
      <c r="BY1568">
        <v>14.7</v>
      </c>
      <c r="BZ1568">
        <v>10.16</v>
      </c>
      <c r="CA1568">
        <v>0.78</v>
      </c>
      <c r="CB1568">
        <v>0.23</v>
      </c>
      <c r="CC1568">
        <v>0.78</v>
      </c>
      <c r="CD1568">
        <v>0.57999999999999996</v>
      </c>
      <c r="CE1568">
        <v>0.61</v>
      </c>
      <c r="CF1568">
        <v>0.25</v>
      </c>
      <c r="CG1568">
        <v>10.55</v>
      </c>
      <c r="CH1568">
        <v>2.0099999999999998</v>
      </c>
      <c r="CI1568">
        <v>0.79</v>
      </c>
      <c r="CJ1568">
        <v>31175</v>
      </c>
      <c r="CK1568">
        <v>7560</v>
      </c>
      <c r="CL1568" t="s">
        <v>757</v>
      </c>
      <c r="CM1568">
        <v>-7.77</v>
      </c>
      <c r="CN1568">
        <v>8.39</v>
      </c>
      <c r="CO1568">
        <v>1.45</v>
      </c>
      <c r="CP1568">
        <v>22.05</v>
      </c>
      <c r="CQ1568">
        <v>3.02</v>
      </c>
      <c r="CR1568">
        <v>0.56999999999999995</v>
      </c>
      <c r="CS1568" t="s">
        <v>2025</v>
      </c>
      <c r="CT1568">
        <v>4.87</v>
      </c>
      <c r="CU1568">
        <v>0</v>
      </c>
      <c r="CV1568">
        <v>1.79</v>
      </c>
      <c r="CW1568">
        <v>1.68</v>
      </c>
      <c r="CX1568">
        <v>0.32</v>
      </c>
      <c r="CY1568">
        <v>60.23</v>
      </c>
      <c r="CZ1568" t="s">
        <v>8275</v>
      </c>
      <c r="DA1568">
        <v>30.87</v>
      </c>
      <c r="DB1568">
        <v>5.34</v>
      </c>
      <c r="DC1568">
        <v>4.12</v>
      </c>
      <c r="DD1568">
        <v>0.75</v>
      </c>
      <c r="DE1568">
        <v>2547</v>
      </c>
      <c r="DF1568">
        <v>300171</v>
      </c>
      <c r="DG1568" t="s">
        <v>116</v>
      </c>
      <c r="DH1568" t="s">
        <v>116</v>
      </c>
      <c r="DI1568" t="s">
        <v>116</v>
      </c>
    </row>
    <row r="1569" spans="1:113" x14ac:dyDescent="0.4">
      <c r="A1569" t="str">
        <f>"300172"</f>
        <v>300172</v>
      </c>
      <c r="B1569" t="s">
        <v>8276</v>
      </c>
      <c r="C1569">
        <v>0</v>
      </c>
      <c r="D1569">
        <v>5.07</v>
      </c>
      <c r="E1569">
        <v>0</v>
      </c>
      <c r="F1569">
        <v>5.07</v>
      </c>
      <c r="G1569">
        <v>5.08</v>
      </c>
      <c r="H1569">
        <v>23109</v>
      </c>
      <c r="I1569">
        <v>68</v>
      </c>
      <c r="J1569">
        <v>0.2</v>
      </c>
      <c r="K1569">
        <v>0.66</v>
      </c>
      <c r="L1569">
        <v>5.05</v>
      </c>
      <c r="M1569">
        <v>5.13</v>
      </c>
      <c r="N1569">
        <v>5.05</v>
      </c>
      <c r="O1569">
        <v>5.07</v>
      </c>
      <c r="P1569">
        <v>19.54</v>
      </c>
      <c r="Q1569">
        <v>11775458</v>
      </c>
      <c r="R1569">
        <v>1.1200000000000001</v>
      </c>
      <c r="S1569" t="s">
        <v>140</v>
      </c>
      <c r="T1569" t="s">
        <v>323</v>
      </c>
      <c r="U1569">
        <v>1.58</v>
      </c>
      <c r="V1569">
        <v>5.0999999999999996</v>
      </c>
      <c r="W1569">
        <v>12412</v>
      </c>
      <c r="X1569">
        <v>10697</v>
      </c>
      <c r="Y1569">
        <v>1.1599999999999999</v>
      </c>
      <c r="Z1569">
        <v>187</v>
      </c>
      <c r="AA1569">
        <v>966</v>
      </c>
      <c r="AB1569" t="s">
        <v>116</v>
      </c>
      <c r="AC1569">
        <v>1000</v>
      </c>
      <c r="AD1569">
        <v>0</v>
      </c>
      <c r="AE1569" t="s">
        <v>116</v>
      </c>
      <c r="AF1569" t="s">
        <v>116</v>
      </c>
      <c r="AG1569">
        <v>3.52</v>
      </c>
      <c r="AH1569" t="s">
        <v>8277</v>
      </c>
      <c r="AI1569" t="s">
        <v>2911</v>
      </c>
      <c r="AJ1569">
        <v>0.68</v>
      </c>
      <c r="AK1569">
        <v>532</v>
      </c>
      <c r="AL1569">
        <v>43</v>
      </c>
      <c r="AM1569">
        <v>1.1999999999999999E-3</v>
      </c>
      <c r="AN1569">
        <v>0</v>
      </c>
      <c r="AO1569">
        <v>0.8</v>
      </c>
      <c r="AP1569">
        <v>2.2200000000000002</v>
      </c>
      <c r="AQ1569">
        <v>-4.5199999999999996</v>
      </c>
      <c r="AR1569">
        <v>-1.93</v>
      </c>
      <c r="AS1569">
        <v>0.75</v>
      </c>
      <c r="AT1569" t="s">
        <v>8278</v>
      </c>
      <c r="AU1569">
        <v>21.12</v>
      </c>
      <c r="AV1569">
        <v>21.65</v>
      </c>
      <c r="AW1569">
        <v>0.83</v>
      </c>
      <c r="BA1569">
        <v>-0.39</v>
      </c>
      <c r="BB1569">
        <v>1.18</v>
      </c>
      <c r="BC1569">
        <v>-0.39</v>
      </c>
      <c r="BD1569">
        <v>0.51</v>
      </c>
      <c r="BE1569">
        <v>0.4</v>
      </c>
      <c r="BF1569">
        <v>-1.17</v>
      </c>
      <c r="BG1569">
        <v>0.4</v>
      </c>
      <c r="BH1569">
        <v>-0.51</v>
      </c>
      <c r="BI1569">
        <v>20191022</v>
      </c>
      <c r="BJ1569">
        <v>20110201</v>
      </c>
      <c r="BK1569">
        <v>5.22</v>
      </c>
      <c r="BL1569" t="s">
        <v>116</v>
      </c>
      <c r="BM1569" t="s">
        <v>116</v>
      </c>
      <c r="BN1569">
        <v>24.32</v>
      </c>
      <c r="BO1569">
        <v>14.3</v>
      </c>
      <c r="BP1569">
        <v>0.64</v>
      </c>
      <c r="BQ1569">
        <v>38.590000000000003</v>
      </c>
      <c r="BR1569">
        <v>14.19</v>
      </c>
      <c r="BS1569">
        <v>1.21</v>
      </c>
      <c r="BT1569">
        <v>6.94</v>
      </c>
      <c r="BU1569">
        <v>6.93</v>
      </c>
      <c r="BV1569">
        <v>2.08</v>
      </c>
      <c r="BW1569">
        <v>5.37</v>
      </c>
      <c r="BX1569">
        <v>1.96</v>
      </c>
      <c r="BY1569">
        <v>6.33</v>
      </c>
      <c r="BZ1569">
        <v>4.32</v>
      </c>
      <c r="CA1569">
        <v>1.18</v>
      </c>
      <c r="CB1569">
        <v>0.2</v>
      </c>
      <c r="CC1569">
        <v>1.22</v>
      </c>
      <c r="CD1569">
        <v>1.05</v>
      </c>
      <c r="CE1569">
        <v>1.02</v>
      </c>
      <c r="CF1569">
        <v>0.67</v>
      </c>
      <c r="CG1569">
        <v>6.78</v>
      </c>
      <c r="CH1569">
        <v>-0.25</v>
      </c>
      <c r="CI1569">
        <v>0.21</v>
      </c>
      <c r="CJ1569">
        <v>33997</v>
      </c>
      <c r="CK1569">
        <v>9084</v>
      </c>
      <c r="CL1569" t="s">
        <v>1438</v>
      </c>
      <c r="CM1569">
        <v>3.1</v>
      </c>
      <c r="CN1569">
        <v>3.46</v>
      </c>
      <c r="CO1569">
        <v>1.85</v>
      </c>
      <c r="CP1569">
        <v>-104.19</v>
      </c>
      <c r="CQ1569">
        <v>4.18</v>
      </c>
      <c r="CR1569">
        <v>0.99</v>
      </c>
      <c r="CS1569" t="s">
        <v>541</v>
      </c>
      <c r="CT1569">
        <v>2.74</v>
      </c>
      <c r="CU1569">
        <v>0</v>
      </c>
      <c r="CV1569">
        <v>0.38</v>
      </c>
      <c r="CW1569">
        <v>1.3</v>
      </c>
      <c r="CX1569">
        <v>-0.05</v>
      </c>
      <c r="CY1569">
        <v>58.8</v>
      </c>
      <c r="CZ1569" t="s">
        <v>7097</v>
      </c>
      <c r="DA1569">
        <v>31.77</v>
      </c>
      <c r="DB1569">
        <v>18.66</v>
      </c>
      <c r="DC1569">
        <v>16.03</v>
      </c>
      <c r="DD1569">
        <v>0.28999999999999998</v>
      </c>
      <c r="DE1569">
        <v>502</v>
      </c>
      <c r="DF1569">
        <v>300172</v>
      </c>
      <c r="DG1569" t="s">
        <v>116</v>
      </c>
      <c r="DH1569" t="s">
        <v>116</v>
      </c>
      <c r="DI1569" t="s">
        <v>116</v>
      </c>
    </row>
    <row r="1570" spans="1:113" x14ac:dyDescent="0.4">
      <c r="A1570" t="str">
        <f>"300173"</f>
        <v>300173</v>
      </c>
      <c r="B1570" t="s">
        <v>8279</v>
      </c>
      <c r="C1570">
        <v>10</v>
      </c>
      <c r="D1570">
        <v>6.49</v>
      </c>
      <c r="E1570">
        <v>0.59</v>
      </c>
      <c r="F1570">
        <v>6.49</v>
      </c>
      <c r="G1570" t="s">
        <v>116</v>
      </c>
      <c r="H1570">
        <v>28995</v>
      </c>
      <c r="I1570">
        <v>139</v>
      </c>
      <c r="J1570">
        <v>0</v>
      </c>
      <c r="K1570">
        <v>0.66</v>
      </c>
      <c r="L1570">
        <v>6.49</v>
      </c>
      <c r="M1570">
        <v>6.49</v>
      </c>
      <c r="N1570">
        <v>6.49</v>
      </c>
      <c r="O1570">
        <v>5.9</v>
      </c>
      <c r="P1570">
        <v>787.32</v>
      </c>
      <c r="Q1570">
        <v>18817600</v>
      </c>
      <c r="R1570">
        <v>0.2</v>
      </c>
      <c r="S1570" t="s">
        <v>353</v>
      </c>
      <c r="T1570" t="s">
        <v>551</v>
      </c>
      <c r="U1570">
        <v>0</v>
      </c>
      <c r="V1570">
        <v>6.49</v>
      </c>
      <c r="W1570">
        <v>25139</v>
      </c>
      <c r="X1570">
        <v>3856</v>
      </c>
      <c r="Y1570">
        <v>6.52</v>
      </c>
      <c r="Z1570">
        <v>181363</v>
      </c>
      <c r="AA1570">
        <v>0</v>
      </c>
      <c r="AB1570" t="s">
        <v>116</v>
      </c>
      <c r="AC1570">
        <v>4915400</v>
      </c>
      <c r="AD1570">
        <v>0.33</v>
      </c>
      <c r="AE1570">
        <v>6.26</v>
      </c>
      <c r="AF1570">
        <v>117704584</v>
      </c>
      <c r="AG1570">
        <v>4.4000000000000004</v>
      </c>
      <c r="AH1570" t="s">
        <v>4267</v>
      </c>
      <c r="AI1570" t="s">
        <v>8280</v>
      </c>
      <c r="AJ1570">
        <v>10.68</v>
      </c>
      <c r="AK1570">
        <v>421</v>
      </c>
      <c r="AL1570">
        <v>69</v>
      </c>
      <c r="AM1570">
        <v>1.6000000000000001E-3</v>
      </c>
      <c r="AN1570">
        <v>4</v>
      </c>
      <c r="AO1570">
        <v>33.26</v>
      </c>
      <c r="AP1570">
        <v>46.17</v>
      </c>
      <c r="AQ1570">
        <v>46.5</v>
      </c>
      <c r="AR1570">
        <v>43.27</v>
      </c>
      <c r="AS1570">
        <v>1.25</v>
      </c>
      <c r="AT1570" t="s">
        <v>8281</v>
      </c>
      <c r="AU1570" t="s">
        <v>116</v>
      </c>
      <c r="AV1570" t="s">
        <v>116</v>
      </c>
      <c r="AW1570">
        <v>0.82</v>
      </c>
      <c r="BA1570">
        <v>10</v>
      </c>
      <c r="BB1570">
        <v>10</v>
      </c>
      <c r="BC1570">
        <v>10</v>
      </c>
      <c r="BD1570">
        <v>10</v>
      </c>
      <c r="BE1570">
        <v>0</v>
      </c>
      <c r="BF1570">
        <v>0</v>
      </c>
      <c r="BG1570">
        <v>0</v>
      </c>
      <c r="BH1570">
        <v>0</v>
      </c>
      <c r="BI1570">
        <v>20191206</v>
      </c>
      <c r="BJ1570">
        <v>20110201</v>
      </c>
      <c r="BK1570">
        <v>5.86</v>
      </c>
      <c r="BL1570" t="s">
        <v>116</v>
      </c>
      <c r="BM1570" t="s">
        <v>116</v>
      </c>
      <c r="BN1570">
        <v>15.59</v>
      </c>
      <c r="BO1570">
        <v>8.48</v>
      </c>
      <c r="BP1570">
        <v>0</v>
      </c>
      <c r="BQ1570">
        <v>45.58</v>
      </c>
      <c r="BR1570">
        <v>10.08</v>
      </c>
      <c r="BS1570">
        <v>0.11</v>
      </c>
      <c r="BT1570">
        <v>1.1000000000000001</v>
      </c>
      <c r="BU1570">
        <v>5.37</v>
      </c>
      <c r="BV1570">
        <v>1.55</v>
      </c>
      <c r="BW1570">
        <v>4.2699999999999996</v>
      </c>
      <c r="BX1570">
        <v>8.27</v>
      </c>
      <c r="BY1570">
        <v>1.39</v>
      </c>
      <c r="BZ1570">
        <v>1.08</v>
      </c>
      <c r="CA1570">
        <v>0.04</v>
      </c>
      <c r="CB1570">
        <v>0.04</v>
      </c>
      <c r="CC1570">
        <v>0.09</v>
      </c>
      <c r="CD1570">
        <v>0.04</v>
      </c>
      <c r="CE1570">
        <v>0.04</v>
      </c>
      <c r="CF1570">
        <v>-0.19</v>
      </c>
      <c r="CG1570">
        <v>-5.83</v>
      </c>
      <c r="CH1570">
        <v>0.22</v>
      </c>
      <c r="CI1570">
        <v>-1.2</v>
      </c>
      <c r="CJ1570">
        <v>24091</v>
      </c>
      <c r="CK1570">
        <v>9641</v>
      </c>
      <c r="CL1570" t="s">
        <v>445</v>
      </c>
      <c r="CM1570">
        <v>-86.49</v>
      </c>
      <c r="CN1570">
        <v>-49.16</v>
      </c>
      <c r="CO1570">
        <v>4.4800000000000004</v>
      </c>
      <c r="CP1570">
        <v>172.73</v>
      </c>
      <c r="CQ1570">
        <v>27.31</v>
      </c>
      <c r="CR1570">
        <v>0</v>
      </c>
      <c r="CS1570" t="s">
        <v>1177</v>
      </c>
      <c r="CT1570">
        <v>1.45</v>
      </c>
      <c r="CU1570">
        <v>0</v>
      </c>
      <c r="CV1570">
        <v>1.41</v>
      </c>
      <c r="CW1570">
        <v>-0.99</v>
      </c>
      <c r="CX1570">
        <v>0.04</v>
      </c>
      <c r="CY1570">
        <v>54.42</v>
      </c>
      <c r="CZ1570" t="s">
        <v>343</v>
      </c>
      <c r="DA1570">
        <v>22.25</v>
      </c>
      <c r="DB1570">
        <v>3.09</v>
      </c>
      <c r="DC1570">
        <v>2.6</v>
      </c>
      <c r="DD1570">
        <v>0.1</v>
      </c>
      <c r="DE1570">
        <v>191</v>
      </c>
      <c r="DF1570">
        <v>300173</v>
      </c>
      <c r="DG1570" t="s">
        <v>116</v>
      </c>
      <c r="DH1570" t="s">
        <v>116</v>
      </c>
      <c r="DI1570" t="s">
        <v>116</v>
      </c>
    </row>
    <row r="1571" spans="1:113" x14ac:dyDescent="0.4">
      <c r="A1571" t="str">
        <f>"300174"</f>
        <v>300174</v>
      </c>
      <c r="B1571" t="s">
        <v>8282</v>
      </c>
      <c r="C1571">
        <v>-1.29</v>
      </c>
      <c r="D1571">
        <v>16.05</v>
      </c>
      <c r="E1571">
        <v>-0.21</v>
      </c>
      <c r="F1571">
        <v>16.05</v>
      </c>
      <c r="G1571">
        <v>16.059999999999999</v>
      </c>
      <c r="H1571">
        <v>19457</v>
      </c>
      <c r="I1571">
        <v>230</v>
      </c>
      <c r="J1571">
        <v>0</v>
      </c>
      <c r="K1571">
        <v>0.8</v>
      </c>
      <c r="L1571">
        <v>16.260000000000002</v>
      </c>
      <c r="M1571">
        <v>16.39</v>
      </c>
      <c r="N1571">
        <v>16.03</v>
      </c>
      <c r="O1571">
        <v>16.260000000000002</v>
      </c>
      <c r="P1571">
        <v>44.01</v>
      </c>
      <c r="Q1571">
        <v>31524172</v>
      </c>
      <c r="R1571">
        <v>0.69</v>
      </c>
      <c r="S1571" t="s">
        <v>891</v>
      </c>
      <c r="T1571" t="s">
        <v>975</v>
      </c>
      <c r="U1571">
        <v>2.21</v>
      </c>
      <c r="V1571">
        <v>16.2</v>
      </c>
      <c r="W1571">
        <v>10481</v>
      </c>
      <c r="X1571">
        <v>8976</v>
      </c>
      <c r="Y1571">
        <v>1.17</v>
      </c>
      <c r="Z1571">
        <v>44</v>
      </c>
      <c r="AA1571">
        <v>211</v>
      </c>
      <c r="AB1571" t="s">
        <v>116</v>
      </c>
      <c r="AC1571">
        <v>481300</v>
      </c>
      <c r="AD1571">
        <v>0.03</v>
      </c>
      <c r="AE1571" t="s">
        <v>116</v>
      </c>
      <c r="AF1571" t="s">
        <v>116</v>
      </c>
      <c r="AG1571">
        <v>2.42</v>
      </c>
      <c r="AH1571" t="s">
        <v>3253</v>
      </c>
      <c r="AI1571" t="s">
        <v>8283</v>
      </c>
      <c r="AJ1571">
        <v>-0.61</v>
      </c>
      <c r="AK1571">
        <v>1082</v>
      </c>
      <c r="AL1571">
        <v>18</v>
      </c>
      <c r="AM1571">
        <v>6.9999999999999999E-4</v>
      </c>
      <c r="AN1571">
        <v>-1</v>
      </c>
      <c r="AO1571">
        <v>-0.92</v>
      </c>
      <c r="AP1571">
        <v>-3.72</v>
      </c>
      <c r="AQ1571">
        <v>-20.47</v>
      </c>
      <c r="AR1571">
        <v>42.79</v>
      </c>
      <c r="AS1571">
        <v>1.89</v>
      </c>
      <c r="AT1571" t="s">
        <v>8284</v>
      </c>
      <c r="AU1571">
        <v>59.26</v>
      </c>
      <c r="AV1571">
        <v>47.55</v>
      </c>
      <c r="AW1571">
        <v>0.94</v>
      </c>
      <c r="BA1571">
        <v>0</v>
      </c>
      <c r="BB1571">
        <v>0.8</v>
      </c>
      <c r="BC1571">
        <v>-1.41</v>
      </c>
      <c r="BD1571">
        <v>-0.36</v>
      </c>
      <c r="BE1571">
        <v>-1.29</v>
      </c>
      <c r="BF1571">
        <v>-2.0699999999999998</v>
      </c>
      <c r="BG1571">
        <v>0.12</v>
      </c>
      <c r="BH1571">
        <v>-0.93</v>
      </c>
      <c r="BI1571">
        <v>20191029</v>
      </c>
      <c r="BJ1571">
        <v>20110201</v>
      </c>
      <c r="BK1571">
        <v>2.4500000000000002</v>
      </c>
      <c r="BL1571" t="s">
        <v>116</v>
      </c>
      <c r="BM1571" t="s">
        <v>116</v>
      </c>
      <c r="BN1571">
        <v>13.57</v>
      </c>
      <c r="BO1571">
        <v>6.98</v>
      </c>
      <c r="BP1571">
        <v>1.5</v>
      </c>
      <c r="BQ1571">
        <v>37.54</v>
      </c>
      <c r="BR1571">
        <v>4.25</v>
      </c>
      <c r="BS1571">
        <v>3.73</v>
      </c>
      <c r="BT1571">
        <v>1.25</v>
      </c>
      <c r="BU1571">
        <v>3.94</v>
      </c>
      <c r="BV1571">
        <v>1.26</v>
      </c>
      <c r="BW1571">
        <v>0.85</v>
      </c>
      <c r="BX1571">
        <v>1.44</v>
      </c>
      <c r="BY1571">
        <v>9.91</v>
      </c>
      <c r="BZ1571">
        <v>7.57</v>
      </c>
      <c r="CA1571">
        <v>0.91</v>
      </c>
      <c r="CB1571">
        <v>0.55000000000000004</v>
      </c>
      <c r="CC1571">
        <v>0.87</v>
      </c>
      <c r="CD1571">
        <v>0.84</v>
      </c>
      <c r="CE1571">
        <v>0.67</v>
      </c>
      <c r="CF1571">
        <v>0.41</v>
      </c>
      <c r="CG1571">
        <v>2.78</v>
      </c>
      <c r="CH1571">
        <v>0.21</v>
      </c>
      <c r="CI1571">
        <v>-0.52</v>
      </c>
      <c r="CJ1571">
        <v>7605</v>
      </c>
      <c r="CK1571">
        <v>13533</v>
      </c>
      <c r="CL1571" t="s">
        <v>8285</v>
      </c>
      <c r="CM1571">
        <v>-19.61</v>
      </c>
      <c r="CN1571">
        <v>-23.55</v>
      </c>
      <c r="CO1571">
        <v>5.63</v>
      </c>
      <c r="CP1571">
        <v>186.93</v>
      </c>
      <c r="CQ1571">
        <v>3.96</v>
      </c>
      <c r="CR1571">
        <v>0.31</v>
      </c>
      <c r="CS1571" t="s">
        <v>2331</v>
      </c>
      <c r="CT1571">
        <v>2.85</v>
      </c>
      <c r="CU1571">
        <v>0</v>
      </c>
      <c r="CV1571">
        <v>0.59</v>
      </c>
      <c r="CW1571">
        <v>1.1399999999999999</v>
      </c>
      <c r="CX1571">
        <v>0.09</v>
      </c>
      <c r="CY1571">
        <v>51.42</v>
      </c>
      <c r="CZ1571" t="s">
        <v>8286</v>
      </c>
      <c r="DA1571">
        <v>23.62</v>
      </c>
      <c r="DB1571">
        <v>9.19</v>
      </c>
      <c r="DC1571">
        <v>6.75</v>
      </c>
      <c r="DD1571">
        <v>0.73</v>
      </c>
      <c r="DE1571">
        <v>1934</v>
      </c>
      <c r="DF1571">
        <v>300174</v>
      </c>
      <c r="DG1571" t="s">
        <v>116</v>
      </c>
      <c r="DH1571" t="s">
        <v>116</v>
      </c>
      <c r="DI1571" t="s">
        <v>116</v>
      </c>
    </row>
    <row r="1572" spans="1:113" x14ac:dyDescent="0.4">
      <c r="A1572" t="str">
        <f>"300175"</f>
        <v>300175</v>
      </c>
      <c r="B1572" t="s">
        <v>8287</v>
      </c>
      <c r="C1572">
        <v>-1.1399999999999999</v>
      </c>
      <c r="D1572">
        <v>6.09</v>
      </c>
      <c r="E1572">
        <v>-7.0000000000000007E-2</v>
      </c>
      <c r="F1572">
        <v>6.09</v>
      </c>
      <c r="G1572">
        <v>6.1</v>
      </c>
      <c r="H1572">
        <v>32126</v>
      </c>
      <c r="I1572">
        <v>508</v>
      </c>
      <c r="J1572">
        <v>0</v>
      </c>
      <c r="K1572">
        <v>0.7</v>
      </c>
      <c r="L1572">
        <v>6.13</v>
      </c>
      <c r="M1572">
        <v>6.18</v>
      </c>
      <c r="N1572">
        <v>6.08</v>
      </c>
      <c r="O1572">
        <v>6.16</v>
      </c>
      <c r="P1572">
        <v>99.07</v>
      </c>
      <c r="Q1572">
        <v>19641104</v>
      </c>
      <c r="R1572">
        <v>0.69</v>
      </c>
      <c r="S1572" t="s">
        <v>863</v>
      </c>
      <c r="T1572" t="s">
        <v>645</v>
      </c>
      <c r="U1572">
        <v>1.62</v>
      </c>
      <c r="V1572">
        <v>6.11</v>
      </c>
      <c r="W1572">
        <v>19175</v>
      </c>
      <c r="X1572">
        <v>12951</v>
      </c>
      <c r="Y1572">
        <v>1.48</v>
      </c>
      <c r="Z1572">
        <v>87</v>
      </c>
      <c r="AA1572">
        <v>30</v>
      </c>
      <c r="AB1572" t="s">
        <v>116</v>
      </c>
      <c r="AC1572">
        <v>0</v>
      </c>
      <c r="AD1572">
        <v>0</v>
      </c>
      <c r="AE1572" t="s">
        <v>116</v>
      </c>
      <c r="AF1572" t="s">
        <v>116</v>
      </c>
      <c r="AG1572">
        <v>4.62</v>
      </c>
      <c r="AH1572" t="s">
        <v>5575</v>
      </c>
      <c r="AI1572" t="s">
        <v>8288</v>
      </c>
      <c r="AJ1572">
        <v>-0.46</v>
      </c>
      <c r="AK1572">
        <v>996</v>
      </c>
      <c r="AL1572">
        <v>32</v>
      </c>
      <c r="AM1572">
        <v>6.9999999999999999E-4</v>
      </c>
      <c r="AN1572">
        <v>-1</v>
      </c>
      <c r="AO1572">
        <v>-2.56</v>
      </c>
      <c r="AP1572">
        <v>-0.33</v>
      </c>
      <c r="AQ1572">
        <v>21.56</v>
      </c>
      <c r="AR1572">
        <v>47.1</v>
      </c>
      <c r="AS1572">
        <v>1.2</v>
      </c>
      <c r="AT1572" t="s">
        <v>8289</v>
      </c>
      <c r="AU1572">
        <v>83.15</v>
      </c>
      <c r="AV1572">
        <v>49.03</v>
      </c>
      <c r="AW1572">
        <v>1.46</v>
      </c>
      <c r="BA1572">
        <v>-0.49</v>
      </c>
      <c r="BB1572">
        <v>0.32</v>
      </c>
      <c r="BC1572">
        <v>-1.3</v>
      </c>
      <c r="BD1572">
        <v>-0.75</v>
      </c>
      <c r="BE1572">
        <v>-0.65</v>
      </c>
      <c r="BF1572">
        <v>-1.46</v>
      </c>
      <c r="BG1572">
        <v>0.16</v>
      </c>
      <c r="BH1572">
        <v>-0.39</v>
      </c>
      <c r="BI1572">
        <v>20191029</v>
      </c>
      <c r="BJ1572">
        <v>20110215</v>
      </c>
      <c r="BK1572">
        <v>4.71</v>
      </c>
      <c r="BL1572" t="s">
        <v>116</v>
      </c>
      <c r="BM1572" t="s">
        <v>116</v>
      </c>
      <c r="BN1572">
        <v>12.92</v>
      </c>
      <c r="BO1572">
        <v>8.3000000000000007</v>
      </c>
      <c r="BP1572">
        <v>1.74</v>
      </c>
      <c r="BQ1572">
        <v>22.31</v>
      </c>
      <c r="BR1572">
        <v>4.2699999999999996</v>
      </c>
      <c r="BS1572">
        <v>3.61</v>
      </c>
      <c r="BT1572">
        <v>0.3</v>
      </c>
      <c r="BU1572">
        <v>2.67</v>
      </c>
      <c r="BV1572">
        <v>1.55</v>
      </c>
      <c r="BW1572">
        <v>1.68</v>
      </c>
      <c r="BX1572">
        <v>0.74</v>
      </c>
      <c r="BY1572">
        <v>3.31</v>
      </c>
      <c r="BZ1572">
        <v>2.35</v>
      </c>
      <c r="CA1572">
        <v>0.28000000000000003</v>
      </c>
      <c r="CB1572">
        <v>0.03</v>
      </c>
      <c r="CC1572">
        <v>0.28000000000000003</v>
      </c>
      <c r="CD1572">
        <v>0.21</v>
      </c>
      <c r="CE1572">
        <v>0.22</v>
      </c>
      <c r="CF1572">
        <v>0.19</v>
      </c>
      <c r="CG1572">
        <v>3.99</v>
      </c>
      <c r="CH1572">
        <v>0.19</v>
      </c>
      <c r="CI1572">
        <v>0.23</v>
      </c>
      <c r="CJ1572">
        <v>30440</v>
      </c>
      <c r="CK1572">
        <v>8772</v>
      </c>
      <c r="CL1572" t="s">
        <v>757</v>
      </c>
      <c r="CM1572">
        <v>-52.51</v>
      </c>
      <c r="CN1572">
        <v>37.200000000000003</v>
      </c>
      <c r="CO1572">
        <v>3.46</v>
      </c>
      <c r="CP1572">
        <v>154.31</v>
      </c>
      <c r="CQ1572">
        <v>8.66</v>
      </c>
      <c r="CR1572">
        <v>0.16</v>
      </c>
      <c r="CS1572" t="s">
        <v>3798</v>
      </c>
      <c r="CT1572">
        <v>1.76</v>
      </c>
      <c r="CU1572">
        <v>0</v>
      </c>
      <c r="CV1572">
        <v>0.16</v>
      </c>
      <c r="CW1572">
        <v>0.85</v>
      </c>
      <c r="CX1572">
        <v>0.04</v>
      </c>
      <c r="CY1572">
        <v>64.209999999999994</v>
      </c>
      <c r="CZ1572" t="s">
        <v>7237</v>
      </c>
      <c r="DA1572">
        <v>29.15</v>
      </c>
      <c r="DB1572">
        <v>8.59</v>
      </c>
      <c r="DC1572">
        <v>6.55</v>
      </c>
      <c r="DD1572">
        <v>0.1</v>
      </c>
      <c r="DE1572">
        <v>466</v>
      </c>
      <c r="DF1572">
        <v>300175</v>
      </c>
      <c r="DG1572" t="s">
        <v>116</v>
      </c>
      <c r="DH1572" t="s">
        <v>116</v>
      </c>
      <c r="DI1572" t="s">
        <v>116</v>
      </c>
    </row>
    <row r="1573" spans="1:113" x14ac:dyDescent="0.4">
      <c r="A1573" t="str">
        <f>"300176"</f>
        <v>300176</v>
      </c>
      <c r="B1573" t="s">
        <v>8290</v>
      </c>
      <c r="C1573">
        <v>0.23</v>
      </c>
      <c r="D1573">
        <v>8.89</v>
      </c>
      <c r="E1573">
        <v>0.02</v>
      </c>
      <c r="F1573">
        <v>8.89</v>
      </c>
      <c r="G1573">
        <v>8.9</v>
      </c>
      <c r="H1573">
        <v>82662</v>
      </c>
      <c r="I1573">
        <v>1098</v>
      </c>
      <c r="J1573">
        <v>0</v>
      </c>
      <c r="K1573">
        <v>2.25</v>
      </c>
      <c r="L1573">
        <v>8.8800000000000008</v>
      </c>
      <c r="M1573">
        <v>9.07</v>
      </c>
      <c r="N1573">
        <v>8.82</v>
      </c>
      <c r="O1573">
        <v>8.8699999999999992</v>
      </c>
      <c r="P1573" t="s">
        <v>116</v>
      </c>
      <c r="Q1573">
        <v>74106200</v>
      </c>
      <c r="R1573">
        <v>1.02</v>
      </c>
      <c r="S1573" t="s">
        <v>293</v>
      </c>
      <c r="T1573" t="s">
        <v>551</v>
      </c>
      <c r="U1573">
        <v>2.82</v>
      </c>
      <c r="V1573">
        <v>8.9600000000000009</v>
      </c>
      <c r="W1573">
        <v>38585</v>
      </c>
      <c r="X1573">
        <v>44077</v>
      </c>
      <c r="Y1573">
        <v>0.88</v>
      </c>
      <c r="Z1573">
        <v>167</v>
      </c>
      <c r="AA1573">
        <v>369</v>
      </c>
      <c r="AB1573" t="s">
        <v>116</v>
      </c>
      <c r="AC1573">
        <v>31100</v>
      </c>
      <c r="AD1573">
        <v>0</v>
      </c>
      <c r="AE1573" t="s">
        <v>116</v>
      </c>
      <c r="AF1573" t="s">
        <v>116</v>
      </c>
      <c r="AG1573">
        <v>3.68</v>
      </c>
      <c r="AH1573" t="s">
        <v>8291</v>
      </c>
      <c r="AI1573" t="s">
        <v>8292</v>
      </c>
      <c r="AJ1573">
        <v>0.9</v>
      </c>
      <c r="AK1573">
        <v>2495</v>
      </c>
      <c r="AL1573">
        <v>33</v>
      </c>
      <c r="AM1573">
        <v>8.9999999999999998E-4</v>
      </c>
      <c r="AN1573">
        <v>1</v>
      </c>
      <c r="AO1573">
        <v>0.23</v>
      </c>
      <c r="AP1573">
        <v>1.37</v>
      </c>
      <c r="AQ1573">
        <v>-17.23</v>
      </c>
      <c r="AR1573">
        <v>-76.53</v>
      </c>
      <c r="AS1573">
        <v>3.33</v>
      </c>
      <c r="AT1573" t="s">
        <v>4961</v>
      </c>
      <c r="AU1573" t="s">
        <v>116</v>
      </c>
      <c r="AV1573">
        <v>9.31</v>
      </c>
      <c r="AW1573">
        <v>0.89</v>
      </c>
      <c r="BA1573">
        <v>0.11</v>
      </c>
      <c r="BB1573">
        <v>2.25</v>
      </c>
      <c r="BC1573">
        <v>-0.56000000000000005</v>
      </c>
      <c r="BD1573">
        <v>1.07</v>
      </c>
      <c r="BE1573">
        <v>0.11</v>
      </c>
      <c r="BF1573">
        <v>-1.98</v>
      </c>
      <c r="BG1573">
        <v>0.79</v>
      </c>
      <c r="BH1573">
        <v>-0.85</v>
      </c>
      <c r="BI1573">
        <v>20191030</v>
      </c>
      <c r="BJ1573">
        <v>20110215</v>
      </c>
      <c r="BK1573">
        <v>3.87</v>
      </c>
      <c r="BL1573" t="s">
        <v>116</v>
      </c>
      <c r="BM1573" t="s">
        <v>116</v>
      </c>
      <c r="BN1573">
        <v>23.18</v>
      </c>
      <c r="BO1573">
        <v>10.95</v>
      </c>
      <c r="BP1573">
        <v>0</v>
      </c>
      <c r="BQ1573">
        <v>52.78</v>
      </c>
      <c r="BR1573">
        <v>9.48</v>
      </c>
      <c r="BS1573">
        <v>9.24</v>
      </c>
      <c r="BT1573">
        <v>1.1100000000000001</v>
      </c>
      <c r="BU1573">
        <v>11.22</v>
      </c>
      <c r="BV1573">
        <v>3.2</v>
      </c>
      <c r="BW1573">
        <v>4.42</v>
      </c>
      <c r="BX1573">
        <v>0.39</v>
      </c>
      <c r="BY1573">
        <v>11.59</v>
      </c>
      <c r="BZ1573">
        <v>9.1999999999999993</v>
      </c>
      <c r="CA1573">
        <v>-2.87</v>
      </c>
      <c r="CB1573">
        <v>0</v>
      </c>
      <c r="CC1573">
        <v>-2.86</v>
      </c>
      <c r="CD1573">
        <v>-2.54</v>
      </c>
      <c r="CE1573">
        <v>-2.54</v>
      </c>
      <c r="CF1573">
        <v>-2.64</v>
      </c>
      <c r="CG1573">
        <v>5.59</v>
      </c>
      <c r="CH1573">
        <v>-0.05</v>
      </c>
      <c r="CI1573">
        <v>-2.21</v>
      </c>
      <c r="CJ1573">
        <v>43645</v>
      </c>
      <c r="CK1573">
        <v>5696</v>
      </c>
      <c r="CL1573" t="s">
        <v>708</v>
      </c>
      <c r="CM1573">
        <v>-165.64</v>
      </c>
      <c r="CN1573">
        <v>-58.22</v>
      </c>
      <c r="CO1573">
        <v>3.15</v>
      </c>
      <c r="CP1573">
        <v>-650.75</v>
      </c>
      <c r="CQ1573">
        <v>2.97</v>
      </c>
      <c r="CR1573">
        <v>1.41</v>
      </c>
      <c r="CS1573" t="s">
        <v>8293</v>
      </c>
      <c r="CT1573">
        <v>2.83</v>
      </c>
      <c r="CU1573">
        <v>0</v>
      </c>
      <c r="CV1573">
        <v>0.1</v>
      </c>
      <c r="CW1573">
        <v>1.44</v>
      </c>
      <c r="CX1573">
        <v>-0.01</v>
      </c>
      <c r="CY1573">
        <v>47.22</v>
      </c>
      <c r="CZ1573" t="s">
        <v>8294</v>
      </c>
      <c r="DA1573">
        <v>20.6</v>
      </c>
      <c r="DB1573">
        <v>-24.77</v>
      </c>
      <c r="DC1573">
        <v>-21.93</v>
      </c>
      <c r="DD1573">
        <v>0.56000000000000005</v>
      </c>
      <c r="DE1573">
        <v>2945</v>
      </c>
      <c r="DF1573">
        <v>300176</v>
      </c>
      <c r="DG1573" t="s">
        <v>116</v>
      </c>
      <c r="DH1573" t="s">
        <v>116</v>
      </c>
      <c r="DI1573" t="s">
        <v>116</v>
      </c>
    </row>
    <row r="1574" spans="1:113" x14ac:dyDescent="0.4">
      <c r="A1574" t="str">
        <f>"300177"</f>
        <v>300177</v>
      </c>
      <c r="B1574" t="s">
        <v>8295</v>
      </c>
      <c r="C1574">
        <v>4.1500000000000004</v>
      </c>
      <c r="D1574">
        <v>8.7799999999999994</v>
      </c>
      <c r="E1574">
        <v>0.35</v>
      </c>
      <c r="F1574">
        <v>8.7799999999999994</v>
      </c>
      <c r="G1574">
        <v>8.7899999999999991</v>
      </c>
      <c r="H1574">
        <v>346652</v>
      </c>
      <c r="I1574">
        <v>3205</v>
      </c>
      <c r="J1574">
        <v>0.34</v>
      </c>
      <c r="K1574">
        <v>6.88</v>
      </c>
      <c r="L1574">
        <v>8.48</v>
      </c>
      <c r="M1574">
        <v>9.11</v>
      </c>
      <c r="N1574">
        <v>8.4499999999999993</v>
      </c>
      <c r="O1574">
        <v>8.43</v>
      </c>
      <c r="P1574">
        <v>108.79</v>
      </c>
      <c r="Q1574">
        <v>305617696</v>
      </c>
      <c r="R1574">
        <v>1.94</v>
      </c>
      <c r="S1574" t="s">
        <v>465</v>
      </c>
      <c r="T1574" t="s">
        <v>551</v>
      </c>
      <c r="U1574">
        <v>7.83</v>
      </c>
      <c r="V1574">
        <v>8.82</v>
      </c>
      <c r="W1574">
        <v>162675</v>
      </c>
      <c r="X1574">
        <v>183977</v>
      </c>
      <c r="Y1574">
        <v>0.88</v>
      </c>
      <c r="Z1574">
        <v>723</v>
      </c>
      <c r="AA1574">
        <v>270</v>
      </c>
      <c r="AB1574" t="s">
        <v>116</v>
      </c>
      <c r="AC1574">
        <v>660600</v>
      </c>
      <c r="AD1574">
        <v>0.02</v>
      </c>
      <c r="AE1574" t="s">
        <v>116</v>
      </c>
      <c r="AF1574" t="s">
        <v>116</v>
      </c>
      <c r="AG1574">
        <v>5.04</v>
      </c>
      <c r="AH1574" t="s">
        <v>8296</v>
      </c>
      <c r="AI1574" t="s">
        <v>4212</v>
      </c>
      <c r="AJ1574">
        <v>4.83</v>
      </c>
      <c r="AK1574">
        <v>3503</v>
      </c>
      <c r="AL1574">
        <v>99</v>
      </c>
      <c r="AM1574">
        <v>2E-3</v>
      </c>
      <c r="AN1574">
        <v>3</v>
      </c>
      <c r="AO1574">
        <v>5.53</v>
      </c>
      <c r="AP1574">
        <v>10.16</v>
      </c>
      <c r="AQ1574">
        <v>-2.77</v>
      </c>
      <c r="AR1574">
        <v>29.02</v>
      </c>
      <c r="AS1574">
        <v>7.75</v>
      </c>
      <c r="AT1574" t="s">
        <v>8297</v>
      </c>
      <c r="AU1574">
        <v>95.33</v>
      </c>
      <c r="AV1574">
        <v>62.08</v>
      </c>
      <c r="AW1574">
        <v>1.25</v>
      </c>
      <c r="BA1574">
        <v>0.59</v>
      </c>
      <c r="BB1574">
        <v>8.07</v>
      </c>
      <c r="BC1574">
        <v>0.24</v>
      </c>
      <c r="BD1574">
        <v>4.58</v>
      </c>
      <c r="BE1574">
        <v>3.54</v>
      </c>
      <c r="BF1574">
        <v>-3.62</v>
      </c>
      <c r="BG1574">
        <v>3.91</v>
      </c>
      <c r="BH1574">
        <v>-0.43</v>
      </c>
      <c r="BI1574">
        <v>20191216</v>
      </c>
      <c r="BJ1574">
        <v>20110215</v>
      </c>
      <c r="BK1574">
        <v>6.75</v>
      </c>
      <c r="BL1574" t="s">
        <v>116</v>
      </c>
      <c r="BM1574" t="s">
        <v>116</v>
      </c>
      <c r="BN1574">
        <v>32.630000000000003</v>
      </c>
      <c r="BO1574">
        <v>19.079999999999998</v>
      </c>
      <c r="BP1574">
        <v>3.85</v>
      </c>
      <c r="BQ1574">
        <v>29.75</v>
      </c>
      <c r="BR1574">
        <v>20.32</v>
      </c>
      <c r="BS1574">
        <v>2.11</v>
      </c>
      <c r="BT1574">
        <v>1.73</v>
      </c>
      <c r="BU1574">
        <v>8.15</v>
      </c>
      <c r="BV1574">
        <v>3.92</v>
      </c>
      <c r="BW1574">
        <v>10.01</v>
      </c>
      <c r="BX1574">
        <v>7.22</v>
      </c>
      <c r="BY1574">
        <v>10.57</v>
      </c>
      <c r="BZ1574">
        <v>5.33</v>
      </c>
      <c r="CA1574">
        <v>0.77</v>
      </c>
      <c r="CB1574">
        <v>0.03</v>
      </c>
      <c r="CC1574">
        <v>0.77</v>
      </c>
      <c r="CD1574">
        <v>0.67</v>
      </c>
      <c r="CE1574">
        <v>0.41</v>
      </c>
      <c r="CF1574">
        <v>0.23</v>
      </c>
      <c r="CG1574">
        <v>4.8899999999999997</v>
      </c>
      <c r="CH1574">
        <v>-1.85</v>
      </c>
      <c r="CI1574">
        <v>-1.52</v>
      </c>
      <c r="CJ1574">
        <v>53427</v>
      </c>
      <c r="CK1574">
        <v>8374</v>
      </c>
      <c r="CL1574" t="s">
        <v>3474</v>
      </c>
      <c r="CM1574">
        <v>-44.9</v>
      </c>
      <c r="CN1574">
        <v>26.78</v>
      </c>
      <c r="CO1574">
        <v>3.1</v>
      </c>
      <c r="CP1574">
        <v>-31.98</v>
      </c>
      <c r="CQ1574">
        <v>5.61</v>
      </c>
      <c r="CR1574">
        <v>0.17</v>
      </c>
      <c r="CS1574" t="s">
        <v>6307</v>
      </c>
      <c r="CT1574">
        <v>2.83</v>
      </c>
      <c r="CU1574">
        <v>0</v>
      </c>
      <c r="CV1574">
        <v>1.07</v>
      </c>
      <c r="CW1574">
        <v>0.72</v>
      </c>
      <c r="CX1574">
        <v>-0.27</v>
      </c>
      <c r="CY1574">
        <v>58.46</v>
      </c>
      <c r="CZ1574" t="s">
        <v>3161</v>
      </c>
      <c r="DA1574">
        <v>49.56</v>
      </c>
      <c r="DB1574">
        <v>7.31</v>
      </c>
      <c r="DC1574">
        <v>3.87</v>
      </c>
      <c r="DD1574">
        <v>1.56</v>
      </c>
      <c r="DE1574">
        <v>2367</v>
      </c>
      <c r="DF1574">
        <v>300177</v>
      </c>
      <c r="DG1574" t="s">
        <v>116</v>
      </c>
      <c r="DH1574" t="s">
        <v>116</v>
      </c>
      <c r="DI1574" t="s">
        <v>116</v>
      </c>
    </row>
    <row r="1575" spans="1:113" x14ac:dyDescent="0.4">
      <c r="A1575" t="str">
        <f>"300178"</f>
        <v>300178</v>
      </c>
      <c r="B1575" t="s">
        <v>8298</v>
      </c>
      <c r="C1575">
        <v>-1.78</v>
      </c>
      <c r="D1575">
        <v>4.96</v>
      </c>
      <c r="E1575">
        <v>-0.09</v>
      </c>
      <c r="F1575">
        <v>4.96</v>
      </c>
      <c r="G1575">
        <v>4.97</v>
      </c>
      <c r="H1575">
        <v>113594</v>
      </c>
      <c r="I1575">
        <v>1481</v>
      </c>
      <c r="J1575">
        <v>0</v>
      </c>
      <c r="K1575">
        <v>1.94</v>
      </c>
      <c r="L1575">
        <v>5.05</v>
      </c>
      <c r="M1575">
        <v>5.07</v>
      </c>
      <c r="N1575">
        <v>4.95</v>
      </c>
      <c r="O1575">
        <v>5.05</v>
      </c>
      <c r="P1575" t="s">
        <v>116</v>
      </c>
      <c r="Q1575">
        <v>56990412</v>
      </c>
      <c r="R1575">
        <v>1.08</v>
      </c>
      <c r="S1575" t="s">
        <v>1412</v>
      </c>
      <c r="T1575" t="s">
        <v>115</v>
      </c>
      <c r="U1575">
        <v>2.38</v>
      </c>
      <c r="V1575">
        <v>5.0199999999999996</v>
      </c>
      <c r="W1575">
        <v>72495</v>
      </c>
      <c r="X1575">
        <v>41099</v>
      </c>
      <c r="Y1575">
        <v>1.76</v>
      </c>
      <c r="Z1575">
        <v>1209</v>
      </c>
      <c r="AA1575">
        <v>683</v>
      </c>
      <c r="AB1575" t="s">
        <v>116</v>
      </c>
      <c r="AC1575">
        <v>89900</v>
      </c>
      <c r="AD1575">
        <v>0</v>
      </c>
      <c r="AE1575" t="s">
        <v>116</v>
      </c>
      <c r="AF1575" t="s">
        <v>116</v>
      </c>
      <c r="AG1575">
        <v>5.84</v>
      </c>
      <c r="AH1575" t="s">
        <v>5317</v>
      </c>
      <c r="AI1575" t="s">
        <v>8299</v>
      </c>
      <c r="AJ1575">
        <v>-1.1000000000000001</v>
      </c>
      <c r="AK1575">
        <v>1244</v>
      </c>
      <c r="AL1575">
        <v>91</v>
      </c>
      <c r="AM1575">
        <v>1.6000000000000001E-3</v>
      </c>
      <c r="AN1575">
        <v>-3</v>
      </c>
      <c r="AO1575">
        <v>-3.87</v>
      </c>
      <c r="AP1575">
        <v>1.43</v>
      </c>
      <c r="AQ1575">
        <v>-10.63</v>
      </c>
      <c r="AR1575">
        <v>-44.96</v>
      </c>
      <c r="AS1575">
        <v>3.15</v>
      </c>
      <c r="AT1575" t="s">
        <v>3441</v>
      </c>
      <c r="AU1575" t="s">
        <v>116</v>
      </c>
      <c r="AV1575">
        <v>18.23</v>
      </c>
      <c r="AW1575">
        <v>1.67</v>
      </c>
      <c r="BA1575">
        <v>0</v>
      </c>
      <c r="BB1575">
        <v>0.4</v>
      </c>
      <c r="BC1575">
        <v>-1.98</v>
      </c>
      <c r="BD1575">
        <v>-0.65</v>
      </c>
      <c r="BE1575">
        <v>-1.78</v>
      </c>
      <c r="BF1575">
        <v>-2.17</v>
      </c>
      <c r="BG1575">
        <v>0.2</v>
      </c>
      <c r="BH1575">
        <v>-1.1299999999999999</v>
      </c>
      <c r="BI1575">
        <v>20191030</v>
      </c>
      <c r="BJ1575">
        <v>20110215</v>
      </c>
      <c r="BK1575">
        <v>6.17</v>
      </c>
      <c r="BL1575" t="s">
        <v>116</v>
      </c>
      <c r="BM1575" t="s">
        <v>116</v>
      </c>
      <c r="BN1575">
        <v>91.67</v>
      </c>
      <c r="BO1575">
        <v>26.99</v>
      </c>
      <c r="BP1575">
        <v>3.45</v>
      </c>
      <c r="BQ1575">
        <v>66.8</v>
      </c>
      <c r="BR1575">
        <v>65.72</v>
      </c>
      <c r="BS1575">
        <v>3.81</v>
      </c>
      <c r="BT1575">
        <v>4.5599999999999996</v>
      </c>
      <c r="BU1575">
        <v>58.83</v>
      </c>
      <c r="BV1575">
        <v>0</v>
      </c>
      <c r="BW1575">
        <v>7.7</v>
      </c>
      <c r="BX1575">
        <v>11.02</v>
      </c>
      <c r="BY1575">
        <v>31.68</v>
      </c>
      <c r="BZ1575">
        <v>27.86</v>
      </c>
      <c r="CA1575">
        <v>-1.21</v>
      </c>
      <c r="CB1575">
        <v>-0.04</v>
      </c>
      <c r="CC1575">
        <v>-1.2</v>
      </c>
      <c r="CD1575">
        <v>-1.47</v>
      </c>
      <c r="CE1575">
        <v>-1.34</v>
      </c>
      <c r="CF1575">
        <v>-1.35</v>
      </c>
      <c r="CG1575">
        <v>8.66</v>
      </c>
      <c r="CH1575">
        <v>-4.28</v>
      </c>
      <c r="CI1575">
        <v>-6.02</v>
      </c>
      <c r="CJ1575">
        <v>43221</v>
      </c>
      <c r="CK1575">
        <v>8331</v>
      </c>
      <c r="CL1575" t="s">
        <v>4268</v>
      </c>
      <c r="CM1575">
        <v>-145.75</v>
      </c>
      <c r="CN1575">
        <v>-29.25</v>
      </c>
      <c r="CO1575">
        <v>1.1299999999999999</v>
      </c>
      <c r="CP1575">
        <v>-7.14</v>
      </c>
      <c r="CQ1575">
        <v>0.97</v>
      </c>
      <c r="CR1575">
        <v>0.56000000000000005</v>
      </c>
      <c r="CS1575" t="s">
        <v>8300</v>
      </c>
      <c r="CT1575">
        <v>4.38</v>
      </c>
      <c r="CU1575">
        <v>0</v>
      </c>
      <c r="CV1575">
        <v>1.79</v>
      </c>
      <c r="CW1575">
        <v>1.4</v>
      </c>
      <c r="CX1575">
        <v>-0.69</v>
      </c>
      <c r="CY1575">
        <v>29.44</v>
      </c>
      <c r="CZ1575" t="s">
        <v>1158</v>
      </c>
      <c r="DA1575">
        <v>12.05</v>
      </c>
      <c r="DB1575">
        <v>-3.83</v>
      </c>
      <c r="DC1575">
        <v>-4.24</v>
      </c>
      <c r="DD1575">
        <v>0.09</v>
      </c>
      <c r="DE1575">
        <v>2364</v>
      </c>
      <c r="DF1575">
        <v>300178</v>
      </c>
      <c r="DG1575" t="s">
        <v>116</v>
      </c>
      <c r="DH1575" t="s">
        <v>116</v>
      </c>
      <c r="DI1575" t="s">
        <v>116</v>
      </c>
    </row>
    <row r="1576" spans="1:113" x14ac:dyDescent="0.4">
      <c r="A1576" t="str">
        <f>"300179"</f>
        <v>300179</v>
      </c>
      <c r="B1576" t="s">
        <v>8301</v>
      </c>
      <c r="C1576">
        <v>-3.03</v>
      </c>
      <c r="D1576">
        <v>6.08</v>
      </c>
      <c r="E1576">
        <v>-0.19</v>
      </c>
      <c r="F1576">
        <v>6.08</v>
      </c>
      <c r="G1576">
        <v>6.09</v>
      </c>
      <c r="H1576">
        <v>179595</v>
      </c>
      <c r="I1576">
        <v>2608</v>
      </c>
      <c r="J1576">
        <v>-0.15</v>
      </c>
      <c r="K1576">
        <v>5.36</v>
      </c>
      <c r="L1576">
        <v>6.19</v>
      </c>
      <c r="M1576">
        <v>6.33</v>
      </c>
      <c r="N1576">
        <v>6.06</v>
      </c>
      <c r="O1576">
        <v>6.27</v>
      </c>
      <c r="P1576">
        <v>25.92</v>
      </c>
      <c r="Q1576">
        <v>110664664</v>
      </c>
      <c r="R1576">
        <v>0.79</v>
      </c>
      <c r="S1576" t="s">
        <v>933</v>
      </c>
      <c r="T1576" t="s">
        <v>652</v>
      </c>
      <c r="U1576">
        <v>4.3099999999999996</v>
      </c>
      <c r="V1576">
        <v>6.16</v>
      </c>
      <c r="W1576">
        <v>102775</v>
      </c>
      <c r="X1576">
        <v>76820</v>
      </c>
      <c r="Y1576">
        <v>1.34</v>
      </c>
      <c r="Z1576">
        <v>150</v>
      </c>
      <c r="AA1576">
        <v>271</v>
      </c>
      <c r="AB1576" t="s">
        <v>116</v>
      </c>
      <c r="AC1576">
        <v>725500</v>
      </c>
      <c r="AD1576">
        <v>0.04</v>
      </c>
      <c r="AE1576" t="s">
        <v>116</v>
      </c>
      <c r="AF1576" t="s">
        <v>116</v>
      </c>
      <c r="AG1576">
        <v>3.35</v>
      </c>
      <c r="AH1576" t="s">
        <v>1799</v>
      </c>
      <c r="AI1576" t="s">
        <v>157</v>
      </c>
      <c r="AJ1576">
        <v>-2.35</v>
      </c>
      <c r="AK1576">
        <v>2507</v>
      </c>
      <c r="AL1576">
        <v>72</v>
      </c>
      <c r="AM1576">
        <v>2.0999999999999999E-3</v>
      </c>
      <c r="AN1576">
        <v>-1</v>
      </c>
      <c r="AO1576">
        <v>-1.1299999999999999</v>
      </c>
      <c r="AP1576">
        <v>19.690000000000001</v>
      </c>
      <c r="AQ1576">
        <v>24.08</v>
      </c>
      <c r="AR1576">
        <v>56.7</v>
      </c>
      <c r="AS1576">
        <v>6.31</v>
      </c>
      <c r="AT1576" t="s">
        <v>3854</v>
      </c>
      <c r="AU1576">
        <v>31.42</v>
      </c>
      <c r="AV1576">
        <v>46.94</v>
      </c>
      <c r="AW1576">
        <v>1.64</v>
      </c>
      <c r="BA1576">
        <v>-1.28</v>
      </c>
      <c r="BB1576">
        <v>0.96</v>
      </c>
      <c r="BC1576">
        <v>-3.35</v>
      </c>
      <c r="BD1576">
        <v>-1.72</v>
      </c>
      <c r="BE1576">
        <v>-1.78</v>
      </c>
      <c r="BF1576">
        <v>-3.95</v>
      </c>
      <c r="BG1576">
        <v>0.33</v>
      </c>
      <c r="BH1576">
        <v>-1.31</v>
      </c>
      <c r="BI1576">
        <v>20191227</v>
      </c>
      <c r="BJ1576">
        <v>20110215</v>
      </c>
      <c r="BK1576">
        <v>4.9800000000000004</v>
      </c>
      <c r="BL1576" t="s">
        <v>116</v>
      </c>
      <c r="BM1576" t="s">
        <v>116</v>
      </c>
      <c r="BN1576">
        <v>11.46</v>
      </c>
      <c r="BO1576">
        <v>8.84</v>
      </c>
      <c r="BP1576">
        <v>0</v>
      </c>
      <c r="BQ1576">
        <v>22.8</v>
      </c>
      <c r="BR1576">
        <v>7.07</v>
      </c>
      <c r="BS1576">
        <v>2.1</v>
      </c>
      <c r="BT1576">
        <v>0.27</v>
      </c>
      <c r="BU1576">
        <v>2.27</v>
      </c>
      <c r="BV1576">
        <v>1.06</v>
      </c>
      <c r="BW1576">
        <v>1.95</v>
      </c>
      <c r="BX1576">
        <v>1.57</v>
      </c>
      <c r="BY1576">
        <v>3.78</v>
      </c>
      <c r="BZ1576">
        <v>1.67</v>
      </c>
      <c r="CA1576">
        <v>1.01</v>
      </c>
      <c r="CB1576">
        <v>0</v>
      </c>
      <c r="CC1576">
        <v>1.01</v>
      </c>
      <c r="CD1576">
        <v>0.88</v>
      </c>
      <c r="CE1576">
        <v>0.88</v>
      </c>
      <c r="CF1576">
        <v>0.8</v>
      </c>
      <c r="CG1576">
        <v>2.59</v>
      </c>
      <c r="CH1576">
        <v>1.1100000000000001</v>
      </c>
      <c r="CI1576">
        <v>-1.1299999999999999</v>
      </c>
      <c r="CJ1576">
        <v>29276</v>
      </c>
      <c r="CK1576">
        <v>9715</v>
      </c>
      <c r="CL1576" t="s">
        <v>6505</v>
      </c>
      <c r="CM1576">
        <v>57.11</v>
      </c>
      <c r="CN1576">
        <v>39.729999999999997</v>
      </c>
      <c r="CO1576">
        <v>3.43</v>
      </c>
      <c r="CP1576">
        <v>27.38</v>
      </c>
      <c r="CQ1576">
        <v>8.02</v>
      </c>
      <c r="CR1576">
        <v>2.4500000000000002</v>
      </c>
      <c r="CS1576" t="s">
        <v>586</v>
      </c>
      <c r="CT1576">
        <v>1.77</v>
      </c>
      <c r="CU1576">
        <v>0</v>
      </c>
      <c r="CV1576">
        <v>0.31</v>
      </c>
      <c r="CW1576">
        <v>0.52</v>
      </c>
      <c r="CX1576">
        <v>0.22</v>
      </c>
      <c r="CY1576">
        <v>77.16</v>
      </c>
      <c r="CZ1576" t="s">
        <v>3544</v>
      </c>
      <c r="DA1576">
        <v>55.93</v>
      </c>
      <c r="DB1576">
        <v>26.67</v>
      </c>
      <c r="DC1576">
        <v>23.2</v>
      </c>
      <c r="DD1576">
        <v>0.28000000000000003</v>
      </c>
      <c r="DE1576">
        <v>503</v>
      </c>
      <c r="DF1576">
        <v>300179</v>
      </c>
      <c r="DG1576" t="s">
        <v>116</v>
      </c>
      <c r="DH1576" t="s">
        <v>116</v>
      </c>
      <c r="DI1576" t="s">
        <v>116</v>
      </c>
    </row>
    <row r="1577" spans="1:113" x14ac:dyDescent="0.4">
      <c r="A1577" t="str">
        <f>"300180"</f>
        <v>300180</v>
      </c>
      <c r="B1577" t="s">
        <v>8302</v>
      </c>
      <c r="C1577">
        <v>0.93</v>
      </c>
      <c r="D1577">
        <v>8.7200000000000006</v>
      </c>
      <c r="E1577">
        <v>0.08</v>
      </c>
      <c r="F1577">
        <v>8.69</v>
      </c>
      <c r="G1577">
        <v>8.7200000000000006</v>
      </c>
      <c r="H1577">
        <v>67462</v>
      </c>
      <c r="I1577">
        <v>978</v>
      </c>
      <c r="J1577">
        <v>0.35</v>
      </c>
      <c r="K1577">
        <v>0.66</v>
      </c>
      <c r="L1577">
        <v>8.69</v>
      </c>
      <c r="M1577">
        <v>8.84</v>
      </c>
      <c r="N1577">
        <v>8.64</v>
      </c>
      <c r="O1577">
        <v>8.64</v>
      </c>
      <c r="P1577">
        <v>107.34</v>
      </c>
      <c r="Q1577">
        <v>58888636</v>
      </c>
      <c r="R1577">
        <v>1.24</v>
      </c>
      <c r="S1577" t="s">
        <v>630</v>
      </c>
      <c r="T1577" t="s">
        <v>1653</v>
      </c>
      <c r="U1577">
        <v>2.31</v>
      </c>
      <c r="V1577">
        <v>8.73</v>
      </c>
      <c r="W1577">
        <v>21686</v>
      </c>
      <c r="X1577">
        <v>45776</v>
      </c>
      <c r="Y1577">
        <v>0.47</v>
      </c>
      <c r="Z1577">
        <v>553</v>
      </c>
      <c r="AA1577">
        <v>113</v>
      </c>
      <c r="AB1577" t="s">
        <v>116</v>
      </c>
      <c r="AC1577">
        <v>46900</v>
      </c>
      <c r="AD1577">
        <v>0</v>
      </c>
      <c r="AE1577" t="s">
        <v>116</v>
      </c>
      <c r="AF1577" t="s">
        <v>116</v>
      </c>
      <c r="AG1577">
        <v>10.26</v>
      </c>
      <c r="AH1577" t="s">
        <v>8303</v>
      </c>
      <c r="AI1577" t="s">
        <v>8304</v>
      </c>
      <c r="AJ1577">
        <v>1.6</v>
      </c>
      <c r="AK1577">
        <v>1733</v>
      </c>
      <c r="AL1577">
        <v>39</v>
      </c>
      <c r="AM1577">
        <v>4.0000000000000002E-4</v>
      </c>
      <c r="AN1577">
        <v>2</v>
      </c>
      <c r="AO1577">
        <v>0.57999999999999996</v>
      </c>
      <c r="AP1577">
        <v>0.81</v>
      </c>
      <c r="AQ1577">
        <v>-13.92</v>
      </c>
      <c r="AR1577">
        <v>17.68</v>
      </c>
      <c r="AS1577">
        <v>0.82</v>
      </c>
      <c r="AT1577" t="s">
        <v>8305</v>
      </c>
      <c r="AU1577">
        <v>121.86</v>
      </c>
      <c r="AV1577">
        <v>50.29</v>
      </c>
      <c r="AW1577">
        <v>0.5</v>
      </c>
      <c r="BA1577">
        <v>0.57999999999999996</v>
      </c>
      <c r="BB1577">
        <v>2.31</v>
      </c>
      <c r="BC1577">
        <v>0</v>
      </c>
      <c r="BD1577">
        <v>1.03</v>
      </c>
      <c r="BE1577">
        <v>0.35</v>
      </c>
      <c r="BF1577">
        <v>-1.36</v>
      </c>
      <c r="BG1577">
        <v>0.93</v>
      </c>
      <c r="BH1577">
        <v>-0.11</v>
      </c>
      <c r="BI1577">
        <v>20191029</v>
      </c>
      <c r="BJ1577">
        <v>20110222</v>
      </c>
      <c r="BK1577">
        <v>17.04</v>
      </c>
      <c r="BL1577" t="s">
        <v>116</v>
      </c>
      <c r="BM1577" t="s">
        <v>116</v>
      </c>
      <c r="BN1577">
        <v>80.78</v>
      </c>
      <c r="BO1577">
        <v>51.94</v>
      </c>
      <c r="BP1577">
        <v>0.03</v>
      </c>
      <c r="BQ1577">
        <v>35.659999999999997</v>
      </c>
      <c r="BR1577">
        <v>22.73</v>
      </c>
      <c r="BS1577">
        <v>31.18</v>
      </c>
      <c r="BT1577">
        <v>3.97</v>
      </c>
      <c r="BU1577">
        <v>24.91</v>
      </c>
      <c r="BV1577">
        <v>4.71</v>
      </c>
      <c r="BW1577">
        <v>4.78</v>
      </c>
      <c r="BX1577">
        <v>22.52</v>
      </c>
      <c r="BY1577">
        <v>22.94</v>
      </c>
      <c r="BZ1577">
        <v>17.149999999999999</v>
      </c>
      <c r="CA1577">
        <v>1.17</v>
      </c>
      <c r="CB1577">
        <v>0.13</v>
      </c>
      <c r="CC1577">
        <v>1.19</v>
      </c>
      <c r="CD1577">
        <v>1.03</v>
      </c>
      <c r="CE1577">
        <v>1.04</v>
      </c>
      <c r="CF1577">
        <v>1.37</v>
      </c>
      <c r="CG1577">
        <v>11.29</v>
      </c>
      <c r="CH1577">
        <v>3.95</v>
      </c>
      <c r="CI1577">
        <v>-1.28</v>
      </c>
      <c r="CJ1577">
        <v>7818</v>
      </c>
      <c r="CK1577">
        <v>105152</v>
      </c>
      <c r="CL1577" t="s">
        <v>8306</v>
      </c>
      <c r="CM1577">
        <v>-62.57</v>
      </c>
      <c r="CN1577">
        <v>0.91</v>
      </c>
      <c r="CO1577">
        <v>2.86</v>
      </c>
      <c r="CP1577">
        <v>37.6</v>
      </c>
      <c r="CQ1577">
        <v>6.48</v>
      </c>
      <c r="CR1577">
        <v>0.27</v>
      </c>
      <c r="CS1577" t="s">
        <v>6307</v>
      </c>
      <c r="CT1577">
        <v>3.05</v>
      </c>
      <c r="CU1577">
        <v>0</v>
      </c>
      <c r="CV1577">
        <v>1.32</v>
      </c>
      <c r="CW1577">
        <v>0.66</v>
      </c>
      <c r="CX1577">
        <v>0.23</v>
      </c>
      <c r="CY1577">
        <v>64.3</v>
      </c>
      <c r="CZ1577" t="s">
        <v>8307</v>
      </c>
      <c r="DA1577">
        <v>25.22</v>
      </c>
      <c r="DB1577">
        <v>5.0999999999999996</v>
      </c>
      <c r="DC1577">
        <v>4.53</v>
      </c>
      <c r="DD1577">
        <v>1.17</v>
      </c>
      <c r="DE1577">
        <v>2011</v>
      </c>
      <c r="DF1577">
        <v>300180</v>
      </c>
      <c r="DG1577" t="s">
        <v>116</v>
      </c>
      <c r="DH1577" t="s">
        <v>116</v>
      </c>
      <c r="DI1577" t="s">
        <v>116</v>
      </c>
    </row>
    <row r="1578" spans="1:113" x14ac:dyDescent="0.4">
      <c r="A1578" t="str">
        <f>"300181"</f>
        <v>300181</v>
      </c>
      <c r="B1578" t="s">
        <v>8308</v>
      </c>
      <c r="C1578">
        <v>-0.8</v>
      </c>
      <c r="D1578">
        <v>4.96</v>
      </c>
      <c r="E1578">
        <v>-0.04</v>
      </c>
      <c r="F1578">
        <v>4.95</v>
      </c>
      <c r="G1578">
        <v>4.96</v>
      </c>
      <c r="H1578">
        <v>32699</v>
      </c>
      <c r="I1578">
        <v>584</v>
      </c>
      <c r="J1578">
        <v>0</v>
      </c>
      <c r="K1578">
        <v>0.71</v>
      </c>
      <c r="L1578">
        <v>5.0199999999999996</v>
      </c>
      <c r="M1578">
        <v>5.04</v>
      </c>
      <c r="N1578">
        <v>4.95</v>
      </c>
      <c r="O1578">
        <v>5</v>
      </c>
      <c r="P1578">
        <v>58.51</v>
      </c>
      <c r="Q1578">
        <v>16349827</v>
      </c>
      <c r="R1578">
        <v>0.9</v>
      </c>
      <c r="S1578" t="s">
        <v>781</v>
      </c>
      <c r="T1578" t="s">
        <v>590</v>
      </c>
      <c r="U1578">
        <v>1.8</v>
      </c>
      <c r="V1578">
        <v>5</v>
      </c>
      <c r="W1578">
        <v>18889</v>
      </c>
      <c r="X1578">
        <v>13810</v>
      </c>
      <c r="Y1578">
        <v>1.37</v>
      </c>
      <c r="Z1578">
        <v>220</v>
      </c>
      <c r="AA1578">
        <v>1024</v>
      </c>
      <c r="AB1578" t="s">
        <v>116</v>
      </c>
      <c r="AC1578">
        <v>86300</v>
      </c>
      <c r="AD1578">
        <v>0</v>
      </c>
      <c r="AE1578" t="s">
        <v>116</v>
      </c>
      <c r="AF1578" t="s">
        <v>116</v>
      </c>
      <c r="AG1578">
        <v>4.6399999999999997</v>
      </c>
      <c r="AH1578" t="s">
        <v>4541</v>
      </c>
      <c r="AI1578" t="s">
        <v>3446</v>
      </c>
      <c r="AJ1578">
        <v>-0.12</v>
      </c>
      <c r="AK1578">
        <v>849</v>
      </c>
      <c r="AL1578">
        <v>39</v>
      </c>
      <c r="AM1578">
        <v>8.0000000000000004E-4</v>
      </c>
      <c r="AN1578">
        <v>-1</v>
      </c>
      <c r="AO1578">
        <v>-0.8</v>
      </c>
      <c r="AP1578">
        <v>2.48</v>
      </c>
      <c r="AQ1578">
        <v>-3.31</v>
      </c>
      <c r="AR1578">
        <v>-2.5499999999999998</v>
      </c>
      <c r="AS1578">
        <v>0.78</v>
      </c>
      <c r="AT1578" t="s">
        <v>2053</v>
      </c>
      <c r="AU1578">
        <v>89.46</v>
      </c>
      <c r="AV1578">
        <v>145.47</v>
      </c>
      <c r="AW1578">
        <v>1.07</v>
      </c>
      <c r="BA1578">
        <v>0.4</v>
      </c>
      <c r="BB1578">
        <v>0.8</v>
      </c>
      <c r="BC1578">
        <v>-1</v>
      </c>
      <c r="BD1578">
        <v>0</v>
      </c>
      <c r="BE1578">
        <v>-1.2</v>
      </c>
      <c r="BF1578">
        <v>-1.59</v>
      </c>
      <c r="BG1578">
        <v>0.2</v>
      </c>
      <c r="BH1578">
        <v>-0.8</v>
      </c>
      <c r="BI1578">
        <v>20191028</v>
      </c>
      <c r="BJ1578">
        <v>20110222</v>
      </c>
      <c r="BK1578">
        <v>6.09</v>
      </c>
      <c r="BL1578" t="s">
        <v>116</v>
      </c>
      <c r="BM1578" t="s">
        <v>116</v>
      </c>
      <c r="BN1578">
        <v>20.89</v>
      </c>
      <c r="BO1578">
        <v>13.26</v>
      </c>
      <c r="BP1578">
        <v>0.97</v>
      </c>
      <c r="BQ1578">
        <v>31.9</v>
      </c>
      <c r="BR1578">
        <v>7.65</v>
      </c>
      <c r="BS1578">
        <v>7.01</v>
      </c>
      <c r="BT1578">
        <v>0.76</v>
      </c>
      <c r="BU1578">
        <v>4.9000000000000004</v>
      </c>
      <c r="BV1578">
        <v>2.08</v>
      </c>
      <c r="BW1578">
        <v>2.79</v>
      </c>
      <c r="BX1578">
        <v>3.4</v>
      </c>
      <c r="BY1578">
        <v>6.57</v>
      </c>
      <c r="BZ1578">
        <v>2.2999999999999998</v>
      </c>
      <c r="CA1578">
        <v>0.4</v>
      </c>
      <c r="CB1578">
        <v>0</v>
      </c>
      <c r="CC1578">
        <v>0.4</v>
      </c>
      <c r="CD1578">
        <v>0.36</v>
      </c>
      <c r="CE1578">
        <v>0.39</v>
      </c>
      <c r="CF1578">
        <v>0.35</v>
      </c>
      <c r="CG1578">
        <v>2.69</v>
      </c>
      <c r="CH1578">
        <v>0.53</v>
      </c>
      <c r="CI1578">
        <v>-1.35</v>
      </c>
      <c r="CJ1578">
        <v>42359</v>
      </c>
      <c r="CK1578">
        <v>9927</v>
      </c>
      <c r="CL1578" t="s">
        <v>6947</v>
      </c>
      <c r="CM1578">
        <v>50.56</v>
      </c>
      <c r="CN1578">
        <v>24.27</v>
      </c>
      <c r="CO1578">
        <v>2.2799999999999998</v>
      </c>
      <c r="CP1578">
        <v>57.28</v>
      </c>
      <c r="CQ1578">
        <v>4.5999999999999996</v>
      </c>
      <c r="CR1578">
        <v>1.61</v>
      </c>
      <c r="CS1578" t="s">
        <v>1322</v>
      </c>
      <c r="CT1578">
        <v>2.1800000000000002</v>
      </c>
      <c r="CU1578">
        <v>0</v>
      </c>
      <c r="CV1578">
        <v>0.56000000000000005</v>
      </c>
      <c r="CW1578">
        <v>0.44</v>
      </c>
      <c r="CX1578">
        <v>0.09</v>
      </c>
      <c r="CY1578">
        <v>63.47</v>
      </c>
      <c r="CZ1578" t="s">
        <v>8309</v>
      </c>
      <c r="DA1578">
        <v>64.959999999999994</v>
      </c>
      <c r="DB1578">
        <v>6.08</v>
      </c>
      <c r="DC1578">
        <v>5.89</v>
      </c>
      <c r="DD1578">
        <v>0.17</v>
      </c>
      <c r="DE1578">
        <v>1708</v>
      </c>
      <c r="DF1578">
        <v>300181</v>
      </c>
      <c r="DG1578" t="s">
        <v>116</v>
      </c>
      <c r="DH1578" t="s">
        <v>116</v>
      </c>
      <c r="DI1578" t="s">
        <v>116</v>
      </c>
    </row>
    <row r="1579" spans="1:113" x14ac:dyDescent="0.4">
      <c r="A1579" t="str">
        <f>"300182"</f>
        <v>300182</v>
      </c>
      <c r="B1579" t="s">
        <v>8310</v>
      </c>
      <c r="C1579">
        <v>-1.68</v>
      </c>
      <c r="D1579">
        <v>3.52</v>
      </c>
      <c r="E1579">
        <v>-0.06</v>
      </c>
      <c r="F1579">
        <v>3.51</v>
      </c>
      <c r="G1579">
        <v>3.52</v>
      </c>
      <c r="H1579">
        <v>459329</v>
      </c>
      <c r="I1579">
        <v>7277</v>
      </c>
      <c r="J1579">
        <v>0</v>
      </c>
      <c r="K1579">
        <v>2.56</v>
      </c>
      <c r="L1579">
        <v>3.56</v>
      </c>
      <c r="M1579">
        <v>3.61</v>
      </c>
      <c r="N1579">
        <v>3.51</v>
      </c>
      <c r="O1579">
        <v>3.58</v>
      </c>
      <c r="P1579">
        <v>22.15</v>
      </c>
      <c r="Q1579">
        <v>163852688</v>
      </c>
      <c r="R1579">
        <v>0.92</v>
      </c>
      <c r="S1579" t="s">
        <v>607</v>
      </c>
      <c r="T1579" t="s">
        <v>165</v>
      </c>
      <c r="U1579">
        <v>2.79</v>
      </c>
      <c r="V1579">
        <v>3.57</v>
      </c>
      <c r="W1579">
        <v>262414</v>
      </c>
      <c r="X1579">
        <v>196915</v>
      </c>
      <c r="Y1579">
        <v>1.33</v>
      </c>
      <c r="Z1579">
        <v>5584</v>
      </c>
      <c r="AA1579">
        <v>1197</v>
      </c>
      <c r="AB1579" t="s">
        <v>116</v>
      </c>
      <c r="AC1579">
        <v>351400</v>
      </c>
      <c r="AD1579">
        <v>0.01</v>
      </c>
      <c r="AE1579" t="s">
        <v>116</v>
      </c>
      <c r="AF1579" t="s">
        <v>116</v>
      </c>
      <c r="AG1579">
        <v>17.91</v>
      </c>
      <c r="AH1579" t="s">
        <v>8311</v>
      </c>
      <c r="AI1579" t="s">
        <v>8312</v>
      </c>
      <c r="AJ1579">
        <v>-1</v>
      </c>
      <c r="AK1579">
        <v>3001</v>
      </c>
      <c r="AL1579">
        <v>153</v>
      </c>
      <c r="AM1579">
        <v>8.9999999999999998E-4</v>
      </c>
      <c r="AN1579">
        <v>-1</v>
      </c>
      <c r="AO1579">
        <v>-1.1200000000000001</v>
      </c>
      <c r="AP1579">
        <v>2.33</v>
      </c>
      <c r="AQ1579">
        <v>-9.2799999999999994</v>
      </c>
      <c r="AR1579">
        <v>-17.95</v>
      </c>
      <c r="AS1579">
        <v>2.82</v>
      </c>
      <c r="AT1579" t="s">
        <v>8313</v>
      </c>
      <c r="AU1579" t="s">
        <v>116</v>
      </c>
      <c r="AV1579">
        <v>96.79</v>
      </c>
      <c r="AW1579">
        <v>1.73</v>
      </c>
      <c r="BA1579">
        <v>-0.56000000000000005</v>
      </c>
      <c r="BB1579">
        <v>0.84</v>
      </c>
      <c r="BC1579">
        <v>-1.96</v>
      </c>
      <c r="BD1579">
        <v>-0.36</v>
      </c>
      <c r="BE1579">
        <v>-1.1200000000000001</v>
      </c>
      <c r="BF1579">
        <v>-2.4900000000000002</v>
      </c>
      <c r="BG1579">
        <v>0.28000000000000003</v>
      </c>
      <c r="BH1579">
        <v>-1.32</v>
      </c>
      <c r="BI1579">
        <v>20191223</v>
      </c>
      <c r="BJ1579">
        <v>20110222</v>
      </c>
      <c r="BK1579">
        <v>25.75</v>
      </c>
      <c r="BL1579" t="s">
        <v>116</v>
      </c>
      <c r="BM1579" t="s">
        <v>116</v>
      </c>
      <c r="BN1579">
        <v>162.9</v>
      </c>
      <c r="BO1579">
        <v>101.2</v>
      </c>
      <c r="BP1579">
        <v>0.04</v>
      </c>
      <c r="BQ1579">
        <v>37.85</v>
      </c>
      <c r="BR1579">
        <v>80.13</v>
      </c>
      <c r="BS1579">
        <v>0.55000000000000004</v>
      </c>
      <c r="BT1579">
        <v>20.96</v>
      </c>
      <c r="BU1579">
        <v>56.17</v>
      </c>
      <c r="BV1579">
        <v>9.74</v>
      </c>
      <c r="BW1579">
        <v>34.64</v>
      </c>
      <c r="BX1579">
        <v>44.32</v>
      </c>
      <c r="BY1579">
        <v>26.39</v>
      </c>
      <c r="BZ1579">
        <v>19.25</v>
      </c>
      <c r="CA1579">
        <v>3.06</v>
      </c>
      <c r="CB1579">
        <v>0.24</v>
      </c>
      <c r="CC1579">
        <v>3.03</v>
      </c>
      <c r="CD1579">
        <v>3.05</v>
      </c>
      <c r="CE1579">
        <v>3.07</v>
      </c>
      <c r="CF1579">
        <v>3.01</v>
      </c>
      <c r="CG1579">
        <v>29.97</v>
      </c>
      <c r="CH1579">
        <v>12.05</v>
      </c>
      <c r="CI1579">
        <v>-1.25</v>
      </c>
      <c r="CJ1579">
        <v>41705</v>
      </c>
      <c r="CK1579">
        <v>39013</v>
      </c>
      <c r="CL1579" t="s">
        <v>5478</v>
      </c>
      <c r="CM1579">
        <v>-61.29</v>
      </c>
      <c r="CN1579">
        <v>-24.47</v>
      </c>
      <c r="CO1579">
        <v>0.9</v>
      </c>
      <c r="CP1579">
        <v>7.52</v>
      </c>
      <c r="CQ1579">
        <v>3.43</v>
      </c>
      <c r="CR1579">
        <v>0</v>
      </c>
      <c r="CS1579" t="s">
        <v>5567</v>
      </c>
      <c r="CT1579">
        <v>3.93</v>
      </c>
      <c r="CU1579">
        <v>0</v>
      </c>
      <c r="CV1579">
        <v>1.72</v>
      </c>
      <c r="CW1579">
        <v>1.1599999999999999</v>
      </c>
      <c r="CX1579">
        <v>0.47</v>
      </c>
      <c r="CY1579">
        <v>62.12</v>
      </c>
      <c r="CZ1579" t="s">
        <v>8314</v>
      </c>
      <c r="DA1579">
        <v>27.07</v>
      </c>
      <c r="DB1579">
        <v>11.6</v>
      </c>
      <c r="DC1579">
        <v>11.63</v>
      </c>
      <c r="DD1579">
        <v>0.43</v>
      </c>
      <c r="DE1579">
        <v>879</v>
      </c>
      <c r="DF1579">
        <v>300182</v>
      </c>
      <c r="DG1579" t="s">
        <v>116</v>
      </c>
      <c r="DH1579" t="s">
        <v>116</v>
      </c>
      <c r="DI1579" t="s">
        <v>116</v>
      </c>
    </row>
    <row r="1580" spans="1:113" x14ac:dyDescent="0.4">
      <c r="A1580" t="str">
        <f>"300183"</f>
        <v>300183</v>
      </c>
      <c r="B1580" t="s">
        <v>8315</v>
      </c>
      <c r="C1580">
        <v>-4.1100000000000003</v>
      </c>
      <c r="D1580">
        <v>14.69</v>
      </c>
      <c r="E1580">
        <v>-0.63</v>
      </c>
      <c r="F1580">
        <v>14.69</v>
      </c>
      <c r="G1580">
        <v>14.7</v>
      </c>
      <c r="H1580">
        <v>135421</v>
      </c>
      <c r="I1580">
        <v>2442</v>
      </c>
      <c r="J1580">
        <v>-0.4</v>
      </c>
      <c r="K1580">
        <v>5.05</v>
      </c>
      <c r="L1580">
        <v>15.25</v>
      </c>
      <c r="M1580">
        <v>15.47</v>
      </c>
      <c r="N1580">
        <v>14.68</v>
      </c>
      <c r="O1580">
        <v>15.32</v>
      </c>
      <c r="P1580">
        <v>54.92</v>
      </c>
      <c r="Q1580">
        <v>204318192</v>
      </c>
      <c r="R1580">
        <v>0.91</v>
      </c>
      <c r="S1580" t="s">
        <v>607</v>
      </c>
      <c r="T1580" t="s">
        <v>645</v>
      </c>
      <c r="U1580">
        <v>5.16</v>
      </c>
      <c r="V1580">
        <v>15.09</v>
      </c>
      <c r="W1580">
        <v>77526</v>
      </c>
      <c r="X1580">
        <v>57895</v>
      </c>
      <c r="Y1580">
        <v>1.34</v>
      </c>
      <c r="Z1580">
        <v>539</v>
      </c>
      <c r="AA1580">
        <v>381</v>
      </c>
      <c r="AB1580" t="s">
        <v>116</v>
      </c>
      <c r="AC1580">
        <v>510900</v>
      </c>
      <c r="AD1580">
        <v>0.02</v>
      </c>
      <c r="AE1580" t="s">
        <v>116</v>
      </c>
      <c r="AF1580" t="s">
        <v>116</v>
      </c>
      <c r="AG1580">
        <v>2.68</v>
      </c>
      <c r="AH1580" t="s">
        <v>8053</v>
      </c>
      <c r="AI1580" t="s">
        <v>8316</v>
      </c>
      <c r="AJ1580">
        <v>-3.43</v>
      </c>
      <c r="AK1580">
        <v>2821</v>
      </c>
      <c r="AL1580">
        <v>48</v>
      </c>
      <c r="AM1580">
        <v>1.8E-3</v>
      </c>
      <c r="AN1580">
        <v>-2</v>
      </c>
      <c r="AO1580">
        <v>-4.1100000000000003</v>
      </c>
      <c r="AP1580">
        <v>14.86</v>
      </c>
      <c r="AQ1580">
        <v>-2.13</v>
      </c>
      <c r="AR1580">
        <v>26.97</v>
      </c>
      <c r="AS1580">
        <v>6.48</v>
      </c>
      <c r="AT1580" t="s">
        <v>5429</v>
      </c>
      <c r="AU1580">
        <v>39.75</v>
      </c>
      <c r="AV1580">
        <v>38.56</v>
      </c>
      <c r="AW1580">
        <v>1.0900000000000001</v>
      </c>
      <c r="BA1580">
        <v>-0.46</v>
      </c>
      <c r="BB1580">
        <v>0.98</v>
      </c>
      <c r="BC1580">
        <v>-4.18</v>
      </c>
      <c r="BD1580">
        <v>-1.52</v>
      </c>
      <c r="BE1580">
        <v>-3.67</v>
      </c>
      <c r="BF1580">
        <v>-5.04</v>
      </c>
      <c r="BG1580">
        <v>7.0000000000000007E-2</v>
      </c>
      <c r="BH1580">
        <v>-2.6</v>
      </c>
      <c r="BI1580">
        <v>20191223</v>
      </c>
      <c r="BJ1580">
        <v>20110222</v>
      </c>
      <c r="BK1580">
        <v>4.6900000000000004</v>
      </c>
      <c r="BL1580" t="s">
        <v>116</v>
      </c>
      <c r="BM1580" t="s">
        <v>116</v>
      </c>
      <c r="BN1580">
        <v>31.2</v>
      </c>
      <c r="BO1580">
        <v>28.38</v>
      </c>
      <c r="BP1580">
        <v>0</v>
      </c>
      <c r="BQ1580">
        <v>9.0500000000000007</v>
      </c>
      <c r="BR1580">
        <v>23.72</v>
      </c>
      <c r="BS1580">
        <v>2.35</v>
      </c>
      <c r="BT1580">
        <v>0.6</v>
      </c>
      <c r="BU1580">
        <v>2.52</v>
      </c>
      <c r="BV1580">
        <v>1.81</v>
      </c>
      <c r="BW1580">
        <v>3.43</v>
      </c>
      <c r="BX1580">
        <v>10.91</v>
      </c>
      <c r="BY1580">
        <v>5.25</v>
      </c>
      <c r="BZ1580">
        <v>2.68</v>
      </c>
      <c r="CA1580">
        <v>1.08</v>
      </c>
      <c r="CB1580">
        <v>0.09</v>
      </c>
      <c r="CC1580">
        <v>1.08</v>
      </c>
      <c r="CD1580">
        <v>0.94</v>
      </c>
      <c r="CE1580">
        <v>0.94</v>
      </c>
      <c r="CF1580">
        <v>0.7</v>
      </c>
      <c r="CG1580">
        <v>11.25</v>
      </c>
      <c r="CH1580">
        <v>1.77</v>
      </c>
      <c r="CI1580">
        <v>1.44</v>
      </c>
      <c r="CJ1580">
        <v>32483</v>
      </c>
      <c r="CK1580">
        <v>6430</v>
      </c>
      <c r="CL1580" t="s">
        <v>8317</v>
      </c>
      <c r="CM1580">
        <v>-5.37</v>
      </c>
      <c r="CN1580">
        <v>-15.96</v>
      </c>
      <c r="CO1580">
        <v>2.4300000000000002</v>
      </c>
      <c r="CP1580">
        <v>38.89</v>
      </c>
      <c r="CQ1580">
        <v>13.12</v>
      </c>
      <c r="CR1580">
        <v>1.36</v>
      </c>
      <c r="CS1580" t="s">
        <v>1932</v>
      </c>
      <c r="CT1580">
        <v>6.05</v>
      </c>
      <c r="CU1580">
        <v>0</v>
      </c>
      <c r="CV1580">
        <v>2.33</v>
      </c>
      <c r="CW1580">
        <v>2.4</v>
      </c>
      <c r="CX1580">
        <v>0.38</v>
      </c>
      <c r="CY1580">
        <v>90.95</v>
      </c>
      <c r="CZ1580" t="s">
        <v>2590</v>
      </c>
      <c r="DA1580">
        <v>48.94</v>
      </c>
      <c r="DB1580">
        <v>20.52</v>
      </c>
      <c r="DC1580">
        <v>17.920000000000002</v>
      </c>
      <c r="DD1580">
        <v>1.27</v>
      </c>
      <c r="DE1580">
        <v>1146</v>
      </c>
      <c r="DF1580">
        <v>300183</v>
      </c>
      <c r="DG1580" t="s">
        <v>116</v>
      </c>
      <c r="DH1580" t="s">
        <v>116</v>
      </c>
      <c r="DI1580" t="s">
        <v>116</v>
      </c>
    </row>
    <row r="1581" spans="1:113" x14ac:dyDescent="0.4">
      <c r="A1581" t="str">
        <f>"300184"</f>
        <v>300184</v>
      </c>
      <c r="B1581" t="s">
        <v>8318</v>
      </c>
      <c r="C1581">
        <v>-4.96</v>
      </c>
      <c r="D1581">
        <v>7.47</v>
      </c>
      <c r="E1581">
        <v>-0.39</v>
      </c>
      <c r="F1581">
        <v>7.46</v>
      </c>
      <c r="G1581">
        <v>7.47</v>
      </c>
      <c r="H1581">
        <v>446061</v>
      </c>
      <c r="I1581">
        <v>7999</v>
      </c>
      <c r="J1581">
        <v>-0.26</v>
      </c>
      <c r="K1581">
        <v>7.25</v>
      </c>
      <c r="L1581">
        <v>7.8</v>
      </c>
      <c r="M1581">
        <v>7.93</v>
      </c>
      <c r="N1581">
        <v>7.46</v>
      </c>
      <c r="O1581">
        <v>7.86</v>
      </c>
      <c r="P1581">
        <v>27.66</v>
      </c>
      <c r="Q1581">
        <v>343957056</v>
      </c>
      <c r="R1581">
        <v>1.1599999999999999</v>
      </c>
      <c r="S1581" t="s">
        <v>233</v>
      </c>
      <c r="T1581" t="s">
        <v>774</v>
      </c>
      <c r="U1581">
        <v>5.98</v>
      </c>
      <c r="V1581">
        <v>7.71</v>
      </c>
      <c r="W1581">
        <v>273434</v>
      </c>
      <c r="X1581">
        <v>172627</v>
      </c>
      <c r="Y1581">
        <v>1.58</v>
      </c>
      <c r="Z1581">
        <v>1660</v>
      </c>
      <c r="AA1581">
        <v>668</v>
      </c>
      <c r="AB1581" t="s">
        <v>116</v>
      </c>
      <c r="AC1581">
        <v>953200</v>
      </c>
      <c r="AD1581">
        <v>0.02</v>
      </c>
      <c r="AE1581" t="s">
        <v>116</v>
      </c>
      <c r="AF1581" t="s">
        <v>116</v>
      </c>
      <c r="AG1581">
        <v>6.15</v>
      </c>
      <c r="AH1581" t="s">
        <v>8319</v>
      </c>
      <c r="AI1581" t="s">
        <v>8320</v>
      </c>
      <c r="AJ1581">
        <v>-4.28</v>
      </c>
      <c r="AK1581">
        <v>3679</v>
      </c>
      <c r="AL1581">
        <v>121</v>
      </c>
      <c r="AM1581">
        <v>2E-3</v>
      </c>
      <c r="AN1581">
        <v>-2</v>
      </c>
      <c r="AO1581">
        <v>-3.98</v>
      </c>
      <c r="AP1581">
        <v>5.81</v>
      </c>
      <c r="AQ1581">
        <v>3.18</v>
      </c>
      <c r="AR1581">
        <v>79.040000000000006</v>
      </c>
      <c r="AS1581">
        <v>7.6</v>
      </c>
      <c r="AT1581" t="s">
        <v>8321</v>
      </c>
      <c r="AU1581">
        <v>30.45</v>
      </c>
      <c r="AV1581">
        <v>24.62</v>
      </c>
      <c r="AW1581">
        <v>1.82</v>
      </c>
      <c r="BA1581">
        <v>-0.76</v>
      </c>
      <c r="BB1581">
        <v>0.89</v>
      </c>
      <c r="BC1581">
        <v>-5.09</v>
      </c>
      <c r="BD1581">
        <v>-1.9</v>
      </c>
      <c r="BE1581">
        <v>-4.2300000000000004</v>
      </c>
      <c r="BF1581">
        <v>-5.8</v>
      </c>
      <c r="BG1581">
        <v>0.13</v>
      </c>
      <c r="BH1581">
        <v>-3.07</v>
      </c>
      <c r="BI1581">
        <v>20191210</v>
      </c>
      <c r="BJ1581">
        <v>20110222</v>
      </c>
      <c r="BK1581">
        <v>11.78</v>
      </c>
      <c r="BL1581" t="s">
        <v>116</v>
      </c>
      <c r="BM1581" t="s">
        <v>116</v>
      </c>
      <c r="BN1581">
        <v>67.44</v>
      </c>
      <c r="BO1581">
        <v>47.46</v>
      </c>
      <c r="BP1581">
        <v>0</v>
      </c>
      <c r="BQ1581">
        <v>29.64</v>
      </c>
      <c r="BR1581">
        <v>40.53</v>
      </c>
      <c r="BS1581">
        <v>2.33</v>
      </c>
      <c r="BT1581">
        <v>0.56999999999999995</v>
      </c>
      <c r="BU1581">
        <v>19.829999999999998</v>
      </c>
      <c r="BV1581">
        <v>12.04</v>
      </c>
      <c r="BW1581">
        <v>22.88</v>
      </c>
      <c r="BX1581">
        <v>25.12</v>
      </c>
      <c r="BY1581">
        <v>103.51</v>
      </c>
      <c r="BZ1581">
        <v>98.26</v>
      </c>
      <c r="CA1581">
        <v>2.91</v>
      </c>
      <c r="CB1581">
        <v>0</v>
      </c>
      <c r="CC1581">
        <v>2.96</v>
      </c>
      <c r="CD1581">
        <v>2.39</v>
      </c>
      <c r="CE1581">
        <v>2.39</v>
      </c>
      <c r="CF1581">
        <v>2.08</v>
      </c>
      <c r="CG1581">
        <v>9.58</v>
      </c>
      <c r="CH1581">
        <v>0.82</v>
      </c>
      <c r="CI1581">
        <v>-1.46</v>
      </c>
      <c r="CJ1581">
        <v>74000</v>
      </c>
      <c r="CK1581">
        <v>7931</v>
      </c>
      <c r="CL1581" t="s">
        <v>2237</v>
      </c>
      <c r="CM1581">
        <v>-22.27</v>
      </c>
      <c r="CN1581">
        <v>25.85</v>
      </c>
      <c r="CO1581">
        <v>1.85</v>
      </c>
      <c r="CP1581">
        <v>107.97</v>
      </c>
      <c r="CQ1581">
        <v>0.85</v>
      </c>
      <c r="CR1581">
        <v>0.75</v>
      </c>
      <c r="CS1581" t="s">
        <v>7925</v>
      </c>
      <c r="CT1581">
        <v>4.03</v>
      </c>
      <c r="CU1581">
        <v>0</v>
      </c>
      <c r="CV1581">
        <v>2.13</v>
      </c>
      <c r="CW1581">
        <v>0.81</v>
      </c>
      <c r="CX1581">
        <v>7.0000000000000007E-2</v>
      </c>
      <c r="CY1581">
        <v>70.36</v>
      </c>
      <c r="CZ1581" t="s">
        <v>3510</v>
      </c>
      <c r="DA1581">
        <v>5.07</v>
      </c>
      <c r="DB1581">
        <v>2.81</v>
      </c>
      <c r="DC1581">
        <v>2.31</v>
      </c>
      <c r="DD1581">
        <v>0.15</v>
      </c>
      <c r="DE1581">
        <v>1288</v>
      </c>
      <c r="DF1581">
        <v>300184</v>
      </c>
      <c r="DG1581" t="s">
        <v>116</v>
      </c>
      <c r="DH1581" t="s">
        <v>116</v>
      </c>
      <c r="DI1581" t="s">
        <v>116</v>
      </c>
    </row>
    <row r="1582" spans="1:113" x14ac:dyDescent="0.4">
      <c r="A1582" t="str">
        <f>"300185"</f>
        <v>300185</v>
      </c>
      <c r="B1582" t="s">
        <v>8322</v>
      </c>
      <c r="C1582">
        <v>0</v>
      </c>
      <c r="D1582">
        <v>1.77</v>
      </c>
      <c r="E1582">
        <v>0</v>
      </c>
      <c r="F1582">
        <v>1.76</v>
      </c>
      <c r="G1582">
        <v>1.77</v>
      </c>
      <c r="H1582">
        <v>199519</v>
      </c>
      <c r="I1582">
        <v>4632</v>
      </c>
      <c r="J1582">
        <v>0.56999999999999995</v>
      </c>
      <c r="K1582">
        <v>0.73</v>
      </c>
      <c r="L1582">
        <v>1.78</v>
      </c>
      <c r="M1582">
        <v>1.8</v>
      </c>
      <c r="N1582">
        <v>1.76</v>
      </c>
      <c r="O1582">
        <v>1.77</v>
      </c>
      <c r="P1582">
        <v>25.18</v>
      </c>
      <c r="Q1582">
        <v>35500468</v>
      </c>
      <c r="R1582">
        <v>1.47</v>
      </c>
      <c r="S1582" t="s">
        <v>598</v>
      </c>
      <c r="T1582" t="s">
        <v>645</v>
      </c>
      <c r="U1582">
        <v>2.2599999999999998</v>
      </c>
      <c r="V1582">
        <v>1.78</v>
      </c>
      <c r="W1582">
        <v>99339</v>
      </c>
      <c r="X1582">
        <v>100180</v>
      </c>
      <c r="Y1582">
        <v>0.99</v>
      </c>
      <c r="Z1582">
        <v>18453</v>
      </c>
      <c r="AA1582">
        <v>7014</v>
      </c>
      <c r="AB1582" t="s">
        <v>116</v>
      </c>
      <c r="AC1582">
        <v>53800</v>
      </c>
      <c r="AD1582">
        <v>0</v>
      </c>
      <c r="AE1582" t="s">
        <v>116</v>
      </c>
      <c r="AF1582" t="s">
        <v>116</v>
      </c>
      <c r="AG1582">
        <v>27.22</v>
      </c>
      <c r="AH1582" t="s">
        <v>3779</v>
      </c>
      <c r="AI1582" t="s">
        <v>8323</v>
      </c>
      <c r="AJ1582">
        <v>0.68</v>
      </c>
      <c r="AK1582">
        <v>1578</v>
      </c>
      <c r="AL1582">
        <v>126</v>
      </c>
      <c r="AM1582">
        <v>5.0000000000000001E-4</v>
      </c>
      <c r="AN1582">
        <v>0</v>
      </c>
      <c r="AO1582">
        <v>-0.56000000000000005</v>
      </c>
      <c r="AP1582">
        <v>3.51</v>
      </c>
      <c r="AQ1582">
        <v>-0.56000000000000005</v>
      </c>
      <c r="AR1582">
        <v>11.32</v>
      </c>
      <c r="AS1582">
        <v>0.84</v>
      </c>
      <c r="AT1582" t="s">
        <v>8324</v>
      </c>
      <c r="AU1582">
        <v>24.8</v>
      </c>
      <c r="AV1582">
        <v>26.63</v>
      </c>
      <c r="AW1582">
        <v>0.73</v>
      </c>
      <c r="BA1582">
        <v>0.56000000000000005</v>
      </c>
      <c r="BB1582">
        <v>1.69</v>
      </c>
      <c r="BC1582">
        <v>-0.56000000000000005</v>
      </c>
      <c r="BD1582">
        <v>0.53</v>
      </c>
      <c r="BE1582">
        <v>-0.56000000000000005</v>
      </c>
      <c r="BF1582">
        <v>-1.67</v>
      </c>
      <c r="BG1582">
        <v>0.56999999999999995</v>
      </c>
      <c r="BH1582">
        <v>-0.53</v>
      </c>
      <c r="BI1582">
        <v>20191026</v>
      </c>
      <c r="BJ1582">
        <v>20110308</v>
      </c>
      <c r="BK1582">
        <v>32.68</v>
      </c>
      <c r="BL1582" t="s">
        <v>116</v>
      </c>
      <c r="BM1582" t="s">
        <v>116</v>
      </c>
      <c r="BN1582">
        <v>112.64</v>
      </c>
      <c r="BO1582">
        <v>52.61</v>
      </c>
      <c r="BP1582">
        <v>1.77</v>
      </c>
      <c r="BQ1582">
        <v>51.73</v>
      </c>
      <c r="BR1582">
        <v>57.33</v>
      </c>
      <c r="BS1582">
        <v>44.11</v>
      </c>
      <c r="BT1582">
        <v>5.0599999999999996</v>
      </c>
      <c r="BU1582">
        <v>46.62</v>
      </c>
      <c r="BV1582">
        <v>21.43</v>
      </c>
      <c r="BW1582">
        <v>16.8</v>
      </c>
      <c r="BX1582">
        <v>11.45</v>
      </c>
      <c r="BY1582">
        <v>27.59</v>
      </c>
      <c r="BZ1582">
        <v>20.48</v>
      </c>
      <c r="CA1582">
        <v>2.4</v>
      </c>
      <c r="CB1582">
        <v>0</v>
      </c>
      <c r="CC1582">
        <v>2.37</v>
      </c>
      <c r="CD1582">
        <v>1.87</v>
      </c>
      <c r="CE1582">
        <v>1.72</v>
      </c>
      <c r="CF1582">
        <v>1.75</v>
      </c>
      <c r="CG1582">
        <v>7.18</v>
      </c>
      <c r="CH1582">
        <v>1.86</v>
      </c>
      <c r="CI1582">
        <v>-1.35</v>
      </c>
      <c r="CJ1582">
        <v>122284</v>
      </c>
      <c r="CK1582">
        <v>19395</v>
      </c>
      <c r="CL1582" t="s">
        <v>1521</v>
      </c>
      <c r="CM1582">
        <v>10.24</v>
      </c>
      <c r="CN1582">
        <v>6.88</v>
      </c>
      <c r="CO1582">
        <v>1.1000000000000001</v>
      </c>
      <c r="CP1582">
        <v>31.09</v>
      </c>
      <c r="CQ1582">
        <v>2.1</v>
      </c>
      <c r="CR1582">
        <v>1.1299999999999999</v>
      </c>
      <c r="CS1582" t="s">
        <v>170</v>
      </c>
      <c r="CT1582">
        <v>1.61</v>
      </c>
      <c r="CU1582">
        <v>0</v>
      </c>
      <c r="CV1582">
        <v>0.35</v>
      </c>
      <c r="CW1582">
        <v>0.22</v>
      </c>
      <c r="CX1582">
        <v>0.06</v>
      </c>
      <c r="CY1582">
        <v>46.7</v>
      </c>
      <c r="CZ1582" t="s">
        <v>8325</v>
      </c>
      <c r="DA1582">
        <v>25.78</v>
      </c>
      <c r="DB1582">
        <v>8.69</v>
      </c>
      <c r="DC1582">
        <v>6.24</v>
      </c>
      <c r="DD1582">
        <v>0.34</v>
      </c>
      <c r="DE1582">
        <v>3436</v>
      </c>
      <c r="DF1582">
        <v>300185</v>
      </c>
      <c r="DG1582" t="s">
        <v>116</v>
      </c>
      <c r="DH1582" t="s">
        <v>116</v>
      </c>
      <c r="DI1582" t="s">
        <v>116</v>
      </c>
    </row>
    <row r="1583" spans="1:113" x14ac:dyDescent="0.4">
      <c r="A1583" t="str">
        <f>"300187"</f>
        <v>300187</v>
      </c>
      <c r="B1583" t="s">
        <v>8326</v>
      </c>
      <c r="C1583">
        <v>-0.64</v>
      </c>
      <c r="D1583">
        <v>4.67</v>
      </c>
      <c r="E1583">
        <v>-0.03</v>
      </c>
      <c r="F1583">
        <v>4.67</v>
      </c>
      <c r="G1583">
        <v>4.68</v>
      </c>
      <c r="H1583">
        <v>40746</v>
      </c>
      <c r="I1583">
        <v>313</v>
      </c>
      <c r="J1583">
        <v>-0.2</v>
      </c>
      <c r="K1583">
        <v>0.64</v>
      </c>
      <c r="L1583">
        <v>4.71</v>
      </c>
      <c r="M1583">
        <v>4.75</v>
      </c>
      <c r="N1583">
        <v>4.6500000000000004</v>
      </c>
      <c r="O1583">
        <v>4.7</v>
      </c>
      <c r="P1583">
        <v>69.48</v>
      </c>
      <c r="Q1583">
        <v>19162768</v>
      </c>
      <c r="R1583">
        <v>1.59</v>
      </c>
      <c r="S1583" t="s">
        <v>140</v>
      </c>
      <c r="T1583" t="s">
        <v>599</v>
      </c>
      <c r="U1583">
        <v>2.13</v>
      </c>
      <c r="V1583">
        <v>4.7</v>
      </c>
      <c r="W1583">
        <v>26006</v>
      </c>
      <c r="X1583">
        <v>14740</v>
      </c>
      <c r="Y1583">
        <v>1.76</v>
      </c>
      <c r="Z1583">
        <v>684</v>
      </c>
      <c r="AA1583">
        <v>234</v>
      </c>
      <c r="AB1583" t="s">
        <v>116</v>
      </c>
      <c r="AC1583">
        <v>48000</v>
      </c>
      <c r="AD1583">
        <v>0</v>
      </c>
      <c r="AE1583" t="s">
        <v>116</v>
      </c>
      <c r="AF1583" t="s">
        <v>116</v>
      </c>
      <c r="AG1583">
        <v>6.34</v>
      </c>
      <c r="AH1583" t="s">
        <v>8327</v>
      </c>
      <c r="AI1583" t="s">
        <v>8328</v>
      </c>
      <c r="AJ1583">
        <v>0.04</v>
      </c>
      <c r="AK1583">
        <v>867</v>
      </c>
      <c r="AL1583">
        <v>47</v>
      </c>
      <c r="AM1583">
        <v>6.9999999999999999E-4</v>
      </c>
      <c r="AN1583">
        <v>-3</v>
      </c>
      <c r="AO1583">
        <v>-1.27</v>
      </c>
      <c r="AP1583">
        <v>1.97</v>
      </c>
      <c r="AQ1583">
        <v>-5.08</v>
      </c>
      <c r="AR1583">
        <v>-10.19</v>
      </c>
      <c r="AS1583">
        <v>1.9</v>
      </c>
      <c r="AT1583" t="s">
        <v>7287</v>
      </c>
      <c r="AU1583" t="s">
        <v>116</v>
      </c>
      <c r="AV1583" t="s">
        <v>116</v>
      </c>
      <c r="AW1583">
        <v>0.92</v>
      </c>
      <c r="BA1583">
        <v>0.21</v>
      </c>
      <c r="BB1583">
        <v>1.06</v>
      </c>
      <c r="BC1583">
        <v>-1.06</v>
      </c>
      <c r="BD1583">
        <v>0.06</v>
      </c>
      <c r="BE1583">
        <v>-0.85</v>
      </c>
      <c r="BF1583">
        <v>-1.68</v>
      </c>
      <c r="BG1583">
        <v>0.43</v>
      </c>
      <c r="BH1583">
        <v>-0.7</v>
      </c>
      <c r="BI1583">
        <v>20191107</v>
      </c>
      <c r="BJ1583">
        <v>20110308</v>
      </c>
      <c r="BK1583">
        <v>6.45</v>
      </c>
      <c r="BL1583" t="s">
        <v>116</v>
      </c>
      <c r="BM1583" t="s">
        <v>116</v>
      </c>
      <c r="BN1583">
        <v>29.06</v>
      </c>
      <c r="BO1583">
        <v>14.72</v>
      </c>
      <c r="BP1583">
        <v>0.97</v>
      </c>
      <c r="BQ1583">
        <v>45.98</v>
      </c>
      <c r="BR1583">
        <v>13.77</v>
      </c>
      <c r="BS1583">
        <v>4.63</v>
      </c>
      <c r="BT1583">
        <v>7.12</v>
      </c>
      <c r="BU1583">
        <v>11.56</v>
      </c>
      <c r="BV1583">
        <v>4.0599999999999996</v>
      </c>
      <c r="BW1583">
        <v>3.8</v>
      </c>
      <c r="BX1583">
        <v>3.75</v>
      </c>
      <c r="BY1583">
        <v>5.6</v>
      </c>
      <c r="BZ1583">
        <v>4.2</v>
      </c>
      <c r="CA1583">
        <v>0.43</v>
      </c>
      <c r="CB1583">
        <v>0.19</v>
      </c>
      <c r="CC1583">
        <v>0.41</v>
      </c>
      <c r="CD1583">
        <v>0.31</v>
      </c>
      <c r="CE1583">
        <v>0.32</v>
      </c>
      <c r="CF1583">
        <v>0.23</v>
      </c>
      <c r="CG1583">
        <v>3.86</v>
      </c>
      <c r="CH1583">
        <v>1.23</v>
      </c>
      <c r="CI1583">
        <v>-1.23</v>
      </c>
      <c r="CJ1583">
        <v>26588</v>
      </c>
      <c r="CK1583">
        <v>8058</v>
      </c>
      <c r="CL1583" t="s">
        <v>1408</v>
      </c>
      <c r="CM1583">
        <v>63.59</v>
      </c>
      <c r="CN1583">
        <v>-25.58</v>
      </c>
      <c r="CO1583">
        <v>2.04</v>
      </c>
      <c r="CP1583">
        <v>24.53</v>
      </c>
      <c r="CQ1583">
        <v>5.37</v>
      </c>
      <c r="CR1583">
        <v>0</v>
      </c>
      <c r="CS1583" t="s">
        <v>365</v>
      </c>
      <c r="CT1583">
        <v>2.2799999999999998</v>
      </c>
      <c r="CU1583">
        <v>0</v>
      </c>
      <c r="CV1583">
        <v>0.57999999999999996</v>
      </c>
      <c r="CW1583">
        <v>0.6</v>
      </c>
      <c r="CX1583">
        <v>0.19</v>
      </c>
      <c r="CY1583">
        <v>50.67</v>
      </c>
      <c r="CZ1583" t="s">
        <v>1585</v>
      </c>
      <c r="DA1583">
        <v>25.09</v>
      </c>
      <c r="DB1583">
        <v>7.61</v>
      </c>
      <c r="DC1583">
        <v>5.8</v>
      </c>
      <c r="DD1583">
        <v>0.17</v>
      </c>
      <c r="DE1583">
        <v>967</v>
      </c>
      <c r="DF1583">
        <v>300187</v>
      </c>
      <c r="DG1583" t="s">
        <v>116</v>
      </c>
      <c r="DH1583" t="s">
        <v>116</v>
      </c>
      <c r="DI1583" t="s">
        <v>116</v>
      </c>
    </row>
    <row r="1584" spans="1:113" x14ac:dyDescent="0.4">
      <c r="A1584" t="str">
        <f>"300188"</f>
        <v>300188</v>
      </c>
      <c r="B1584" t="s">
        <v>8329</v>
      </c>
      <c r="C1584">
        <v>-2.29</v>
      </c>
      <c r="D1584">
        <v>16.670000000000002</v>
      </c>
      <c r="E1584">
        <v>-0.39</v>
      </c>
      <c r="F1584">
        <v>16.66</v>
      </c>
      <c r="G1584">
        <v>16.670000000000002</v>
      </c>
      <c r="H1584">
        <v>106685</v>
      </c>
      <c r="I1584">
        <v>487</v>
      </c>
      <c r="J1584">
        <v>-0.05</v>
      </c>
      <c r="K1584">
        <v>2.02</v>
      </c>
      <c r="L1584">
        <v>17.059999999999999</v>
      </c>
      <c r="M1584">
        <v>17.2</v>
      </c>
      <c r="N1584">
        <v>16.62</v>
      </c>
      <c r="O1584">
        <v>17.059999999999999</v>
      </c>
      <c r="P1584" t="s">
        <v>116</v>
      </c>
      <c r="Q1584">
        <v>180168480</v>
      </c>
      <c r="R1584">
        <v>1.61</v>
      </c>
      <c r="S1584" t="s">
        <v>607</v>
      </c>
      <c r="T1584" t="s">
        <v>975</v>
      </c>
      <c r="U1584">
        <v>3.4</v>
      </c>
      <c r="V1584">
        <v>16.89</v>
      </c>
      <c r="W1584">
        <v>59432</v>
      </c>
      <c r="X1584">
        <v>47253</v>
      </c>
      <c r="Y1584">
        <v>1.26</v>
      </c>
      <c r="Z1584">
        <v>408</v>
      </c>
      <c r="AA1584">
        <v>270</v>
      </c>
      <c r="AB1584" t="s">
        <v>116</v>
      </c>
      <c r="AC1584">
        <v>561900</v>
      </c>
      <c r="AD1584">
        <v>0.01</v>
      </c>
      <c r="AE1584" t="s">
        <v>116</v>
      </c>
      <c r="AF1584" t="s">
        <v>116</v>
      </c>
      <c r="AG1584">
        <v>5.28</v>
      </c>
      <c r="AH1584" t="s">
        <v>8330</v>
      </c>
      <c r="AI1584" t="s">
        <v>8331</v>
      </c>
      <c r="AJ1584">
        <v>-1.61</v>
      </c>
      <c r="AK1584">
        <v>2919</v>
      </c>
      <c r="AL1584">
        <v>37</v>
      </c>
      <c r="AM1584">
        <v>6.9999999999999999E-4</v>
      </c>
      <c r="AN1584">
        <v>-1</v>
      </c>
      <c r="AO1584">
        <v>2.96</v>
      </c>
      <c r="AP1584">
        <v>10.54</v>
      </c>
      <c r="AQ1584">
        <v>-3.47</v>
      </c>
      <c r="AR1584">
        <v>28.83</v>
      </c>
      <c r="AS1584">
        <v>3.05</v>
      </c>
      <c r="AT1584" t="s">
        <v>8332</v>
      </c>
      <c r="AU1584">
        <v>60.46</v>
      </c>
      <c r="AV1584">
        <v>44.2</v>
      </c>
      <c r="AW1584">
        <v>1.35</v>
      </c>
      <c r="BA1584">
        <v>0</v>
      </c>
      <c r="BB1584">
        <v>0.82</v>
      </c>
      <c r="BC1584">
        <v>-2.58</v>
      </c>
      <c r="BD1584">
        <v>-1.01</v>
      </c>
      <c r="BE1584">
        <v>-2.29</v>
      </c>
      <c r="BF1584">
        <v>-3.08</v>
      </c>
      <c r="BG1584">
        <v>0.3</v>
      </c>
      <c r="BH1584">
        <v>-1.28</v>
      </c>
      <c r="BI1584">
        <v>20191226</v>
      </c>
      <c r="BJ1584">
        <v>20110316</v>
      </c>
      <c r="BK1584">
        <v>8.0399999999999991</v>
      </c>
      <c r="BL1584" t="s">
        <v>116</v>
      </c>
      <c r="BM1584" t="s">
        <v>116</v>
      </c>
      <c r="BN1584">
        <v>34.619999999999997</v>
      </c>
      <c r="BO1584">
        <v>25.4</v>
      </c>
      <c r="BP1584">
        <v>0.12</v>
      </c>
      <c r="BQ1584">
        <v>26.3</v>
      </c>
      <c r="BR1584">
        <v>19.97</v>
      </c>
      <c r="BS1584">
        <v>2.72</v>
      </c>
      <c r="BT1584">
        <v>0.65</v>
      </c>
      <c r="BU1584">
        <v>8.32</v>
      </c>
      <c r="BV1584">
        <v>5.19</v>
      </c>
      <c r="BW1584">
        <v>5.79</v>
      </c>
      <c r="BX1584">
        <v>6.87</v>
      </c>
      <c r="BY1584">
        <v>8.6300000000000008</v>
      </c>
      <c r="BZ1584">
        <v>3.87</v>
      </c>
      <c r="CA1584">
        <v>-0.45</v>
      </c>
      <c r="CB1584">
        <v>-0.02</v>
      </c>
      <c r="CC1584">
        <v>-0.47</v>
      </c>
      <c r="CD1584">
        <v>-0.48</v>
      </c>
      <c r="CE1584">
        <v>-0.34</v>
      </c>
      <c r="CF1584">
        <v>-0.48</v>
      </c>
      <c r="CG1584">
        <v>8.81</v>
      </c>
      <c r="CH1584">
        <v>-2.84</v>
      </c>
      <c r="CI1584">
        <v>0.85</v>
      </c>
      <c r="CJ1584">
        <v>29369</v>
      </c>
      <c r="CK1584">
        <v>11910</v>
      </c>
      <c r="CL1584" t="s">
        <v>8333</v>
      </c>
      <c r="CM1584">
        <v>-172.08</v>
      </c>
      <c r="CN1584">
        <v>19.25</v>
      </c>
      <c r="CO1584">
        <v>5.28</v>
      </c>
      <c r="CP1584">
        <v>-47.21</v>
      </c>
      <c r="CQ1584">
        <v>15.53</v>
      </c>
      <c r="CR1584">
        <v>0.47</v>
      </c>
      <c r="CS1584" t="s">
        <v>5602</v>
      </c>
      <c r="CT1584">
        <v>3.16</v>
      </c>
      <c r="CU1584">
        <v>0</v>
      </c>
      <c r="CV1584">
        <v>0.85</v>
      </c>
      <c r="CW1584">
        <v>1.1000000000000001</v>
      </c>
      <c r="CX1584">
        <v>-0.35</v>
      </c>
      <c r="CY1584">
        <v>73.349999999999994</v>
      </c>
      <c r="CZ1584" t="s">
        <v>8334</v>
      </c>
      <c r="DA1584">
        <v>55.15</v>
      </c>
      <c r="DB1584">
        <v>-5.23</v>
      </c>
      <c r="DC1584">
        <v>-3.96</v>
      </c>
      <c r="DD1584">
        <v>1.98</v>
      </c>
      <c r="DE1584">
        <v>2996</v>
      </c>
      <c r="DF1584">
        <v>300188</v>
      </c>
      <c r="DG1584" t="s">
        <v>116</v>
      </c>
      <c r="DH1584" t="s">
        <v>116</v>
      </c>
      <c r="DI1584" t="s">
        <v>116</v>
      </c>
    </row>
    <row r="1585" spans="1:113" x14ac:dyDescent="0.4">
      <c r="A1585" t="str">
        <f>"300189"</f>
        <v>300189</v>
      </c>
      <c r="B1585" t="s">
        <v>8335</v>
      </c>
      <c r="C1585">
        <v>0</v>
      </c>
      <c r="D1585">
        <v>3.54</v>
      </c>
      <c r="E1585">
        <v>0</v>
      </c>
      <c r="F1585">
        <v>3.53</v>
      </c>
      <c r="G1585">
        <v>3.54</v>
      </c>
      <c r="H1585">
        <v>47133</v>
      </c>
      <c r="I1585">
        <v>761</v>
      </c>
      <c r="J1585">
        <v>0</v>
      </c>
      <c r="K1585">
        <v>0.49</v>
      </c>
      <c r="L1585">
        <v>3.54</v>
      </c>
      <c r="M1585">
        <v>3.58</v>
      </c>
      <c r="N1585">
        <v>3.53</v>
      </c>
      <c r="O1585">
        <v>3.54</v>
      </c>
      <c r="P1585" t="s">
        <v>116</v>
      </c>
      <c r="Q1585">
        <v>16738054</v>
      </c>
      <c r="R1585">
        <v>0.78</v>
      </c>
      <c r="S1585" t="s">
        <v>1871</v>
      </c>
      <c r="T1585" t="s">
        <v>851</v>
      </c>
      <c r="U1585">
        <v>1.41</v>
      </c>
      <c r="V1585">
        <v>3.55</v>
      </c>
      <c r="W1585">
        <v>28982</v>
      </c>
      <c r="X1585">
        <v>18151</v>
      </c>
      <c r="Y1585">
        <v>1.6</v>
      </c>
      <c r="Z1585">
        <v>1177</v>
      </c>
      <c r="AA1585">
        <v>116</v>
      </c>
      <c r="AB1585" t="s">
        <v>116</v>
      </c>
      <c r="AC1585">
        <v>21600</v>
      </c>
      <c r="AD1585">
        <v>0</v>
      </c>
      <c r="AE1585" t="s">
        <v>116</v>
      </c>
      <c r="AF1585" t="s">
        <v>116</v>
      </c>
      <c r="AG1585">
        <v>9.56</v>
      </c>
      <c r="AH1585" t="s">
        <v>1132</v>
      </c>
      <c r="AI1585" t="s">
        <v>8336</v>
      </c>
      <c r="AJ1585">
        <v>0.68</v>
      </c>
      <c r="AK1585">
        <v>762</v>
      </c>
      <c r="AL1585">
        <v>62</v>
      </c>
      <c r="AM1585">
        <v>5.9999999999999995E-4</v>
      </c>
      <c r="AN1585">
        <v>0</v>
      </c>
      <c r="AO1585">
        <v>-3.02</v>
      </c>
      <c r="AP1585">
        <v>-11.06</v>
      </c>
      <c r="AQ1585">
        <v>6.95</v>
      </c>
      <c r="AR1585">
        <v>43.32</v>
      </c>
      <c r="AS1585">
        <v>0.78</v>
      </c>
      <c r="AT1585" t="s">
        <v>8337</v>
      </c>
      <c r="AU1585" t="s">
        <v>116</v>
      </c>
      <c r="AV1585">
        <v>177.56</v>
      </c>
      <c r="AW1585">
        <v>0.59</v>
      </c>
      <c r="BA1585">
        <v>0</v>
      </c>
      <c r="BB1585">
        <v>1.1299999999999999</v>
      </c>
      <c r="BC1585">
        <v>-0.28000000000000003</v>
      </c>
      <c r="BD1585">
        <v>0.32</v>
      </c>
      <c r="BE1585">
        <v>0</v>
      </c>
      <c r="BF1585">
        <v>-1.1200000000000001</v>
      </c>
      <c r="BG1585">
        <v>0.28000000000000003</v>
      </c>
      <c r="BH1585">
        <v>-0.32</v>
      </c>
      <c r="BI1585">
        <v>20191030</v>
      </c>
      <c r="BJ1585">
        <v>20110316</v>
      </c>
      <c r="BK1585">
        <v>10.24</v>
      </c>
      <c r="BL1585" t="s">
        <v>116</v>
      </c>
      <c r="BM1585" t="s">
        <v>116</v>
      </c>
      <c r="BN1585">
        <v>14.07</v>
      </c>
      <c r="BO1585">
        <v>13.1</v>
      </c>
      <c r="BP1585">
        <v>0.05</v>
      </c>
      <c r="BQ1585">
        <v>6.5</v>
      </c>
      <c r="BR1585">
        <v>4.18</v>
      </c>
      <c r="BS1585">
        <v>1.91</v>
      </c>
      <c r="BT1585">
        <v>1.6</v>
      </c>
      <c r="BU1585">
        <v>0.86</v>
      </c>
      <c r="BV1585">
        <v>1.03</v>
      </c>
      <c r="BW1585">
        <v>1.28</v>
      </c>
      <c r="BX1585">
        <v>2.44</v>
      </c>
      <c r="BY1585">
        <v>1.1100000000000001</v>
      </c>
      <c r="BZ1585">
        <v>1.07</v>
      </c>
      <c r="CA1585">
        <v>-0.91</v>
      </c>
      <c r="CB1585">
        <v>0</v>
      </c>
      <c r="CC1585">
        <v>-0.93</v>
      </c>
      <c r="CD1585">
        <v>-0.93</v>
      </c>
      <c r="CE1585">
        <v>-0.87</v>
      </c>
      <c r="CF1585">
        <v>-0.89</v>
      </c>
      <c r="CG1585">
        <v>0.21</v>
      </c>
      <c r="CH1585">
        <v>-0.42</v>
      </c>
      <c r="CI1585">
        <v>-0.56999999999999995</v>
      </c>
      <c r="CJ1585">
        <v>44674</v>
      </c>
      <c r="CK1585">
        <v>13447</v>
      </c>
      <c r="CL1585" t="s">
        <v>2315</v>
      </c>
      <c r="CM1585">
        <v>-356.84</v>
      </c>
      <c r="CN1585">
        <v>-20.47</v>
      </c>
      <c r="CO1585">
        <v>2.77</v>
      </c>
      <c r="CP1585">
        <v>-85.48</v>
      </c>
      <c r="CQ1585">
        <v>32.56</v>
      </c>
      <c r="CR1585">
        <v>0</v>
      </c>
      <c r="CS1585" t="s">
        <v>6586</v>
      </c>
      <c r="CT1585">
        <v>1.28</v>
      </c>
      <c r="CU1585">
        <v>0</v>
      </c>
      <c r="CV1585">
        <v>0.24</v>
      </c>
      <c r="CW1585">
        <v>0.02</v>
      </c>
      <c r="CX1585">
        <v>-0.04</v>
      </c>
      <c r="CY1585">
        <v>93.12</v>
      </c>
      <c r="CZ1585" t="s">
        <v>8338</v>
      </c>
      <c r="DA1585">
        <v>3.5</v>
      </c>
      <c r="DB1585">
        <v>-81.430000000000007</v>
      </c>
      <c r="DC1585">
        <v>-78.47</v>
      </c>
      <c r="DD1585">
        <v>0.11</v>
      </c>
      <c r="DE1585">
        <v>194</v>
      </c>
      <c r="DF1585">
        <v>300189</v>
      </c>
      <c r="DG1585" t="s">
        <v>116</v>
      </c>
      <c r="DH1585" t="s">
        <v>116</v>
      </c>
      <c r="DI1585" t="s">
        <v>116</v>
      </c>
    </row>
    <row r="1586" spans="1:113" x14ac:dyDescent="0.4">
      <c r="A1586" t="str">
        <f>"300190"</f>
        <v>300190</v>
      </c>
      <c r="B1586" t="s">
        <v>8339</v>
      </c>
      <c r="C1586">
        <v>-1.32</v>
      </c>
      <c r="D1586">
        <v>6.72</v>
      </c>
      <c r="E1586">
        <v>-0.09</v>
      </c>
      <c r="F1586">
        <v>6.72</v>
      </c>
      <c r="G1586">
        <v>6.73</v>
      </c>
      <c r="H1586">
        <v>52671</v>
      </c>
      <c r="I1586">
        <v>647</v>
      </c>
      <c r="J1586">
        <v>-0.14000000000000001</v>
      </c>
      <c r="K1586">
        <v>0.72</v>
      </c>
      <c r="L1586">
        <v>6.82</v>
      </c>
      <c r="M1586">
        <v>6.89</v>
      </c>
      <c r="N1586">
        <v>6.71</v>
      </c>
      <c r="O1586">
        <v>6.81</v>
      </c>
      <c r="P1586">
        <v>17.350000000000001</v>
      </c>
      <c r="Q1586">
        <v>35879552</v>
      </c>
      <c r="R1586">
        <v>0.64</v>
      </c>
      <c r="S1586" t="s">
        <v>140</v>
      </c>
      <c r="T1586" t="s">
        <v>323</v>
      </c>
      <c r="U1586">
        <v>2.64</v>
      </c>
      <c r="V1586">
        <v>6.81</v>
      </c>
      <c r="W1586">
        <v>30955</v>
      </c>
      <c r="X1586">
        <v>21716</v>
      </c>
      <c r="Y1586">
        <v>1.43</v>
      </c>
      <c r="Z1586">
        <v>160</v>
      </c>
      <c r="AA1586">
        <v>123</v>
      </c>
      <c r="AB1586" t="s">
        <v>116</v>
      </c>
      <c r="AC1586">
        <v>222300</v>
      </c>
      <c r="AD1586">
        <v>0.01</v>
      </c>
      <c r="AE1586" t="s">
        <v>116</v>
      </c>
      <c r="AF1586" t="s">
        <v>116</v>
      </c>
      <c r="AG1586">
        <v>7.29</v>
      </c>
      <c r="AH1586" t="s">
        <v>8340</v>
      </c>
      <c r="AI1586" t="s">
        <v>8341</v>
      </c>
      <c r="AJ1586">
        <v>-0.64</v>
      </c>
      <c r="AK1586">
        <v>1251</v>
      </c>
      <c r="AL1586">
        <v>42</v>
      </c>
      <c r="AM1586">
        <v>5.9999999999999995E-4</v>
      </c>
      <c r="AN1586">
        <v>-2</v>
      </c>
      <c r="AO1586">
        <v>-1.17</v>
      </c>
      <c r="AP1586">
        <v>5.99</v>
      </c>
      <c r="AQ1586">
        <v>-9.43</v>
      </c>
      <c r="AR1586">
        <v>37.99</v>
      </c>
      <c r="AS1586">
        <v>1.3</v>
      </c>
      <c r="AT1586" t="s">
        <v>6636</v>
      </c>
      <c r="AU1586">
        <v>17.45</v>
      </c>
      <c r="AV1586">
        <v>22.67</v>
      </c>
      <c r="AW1586">
        <v>1.1100000000000001</v>
      </c>
      <c r="BA1586">
        <v>0.15</v>
      </c>
      <c r="BB1586">
        <v>1.17</v>
      </c>
      <c r="BC1586">
        <v>-1.47</v>
      </c>
      <c r="BD1586">
        <v>0.03</v>
      </c>
      <c r="BE1586">
        <v>-1.47</v>
      </c>
      <c r="BF1586">
        <v>-2.4700000000000002</v>
      </c>
      <c r="BG1586">
        <v>0.15</v>
      </c>
      <c r="BH1586">
        <v>-1.35</v>
      </c>
      <c r="BI1586">
        <v>20191018</v>
      </c>
      <c r="BJ1586">
        <v>20110316</v>
      </c>
      <c r="BK1586">
        <v>7.84</v>
      </c>
      <c r="BL1586" t="s">
        <v>116</v>
      </c>
      <c r="BM1586" t="s">
        <v>116</v>
      </c>
      <c r="BN1586">
        <v>77.08</v>
      </c>
      <c r="BO1586">
        <v>38.06</v>
      </c>
      <c r="BP1586">
        <v>0.99</v>
      </c>
      <c r="BQ1586">
        <v>49.34</v>
      </c>
      <c r="BR1586">
        <v>41.88</v>
      </c>
      <c r="BS1586">
        <v>5.43</v>
      </c>
      <c r="BT1586">
        <v>13.38</v>
      </c>
      <c r="BU1586">
        <v>26.62</v>
      </c>
      <c r="BV1586">
        <v>15.52</v>
      </c>
      <c r="BW1586">
        <v>12.23</v>
      </c>
      <c r="BX1586">
        <v>21.36</v>
      </c>
      <c r="BY1586">
        <v>17.52</v>
      </c>
      <c r="BZ1586">
        <v>11.99</v>
      </c>
      <c r="CA1586">
        <v>2.5099999999999998</v>
      </c>
      <c r="CB1586">
        <v>0</v>
      </c>
      <c r="CC1586">
        <v>2.56</v>
      </c>
      <c r="CD1586">
        <v>2.2200000000000002</v>
      </c>
      <c r="CE1586">
        <v>2.2799999999999998</v>
      </c>
      <c r="CF1586">
        <v>2.16</v>
      </c>
      <c r="CG1586">
        <v>8.2899999999999991</v>
      </c>
      <c r="CH1586">
        <v>-1.7</v>
      </c>
      <c r="CI1586">
        <v>-3.6</v>
      </c>
      <c r="CJ1586">
        <v>22547</v>
      </c>
      <c r="CK1586">
        <v>17904</v>
      </c>
      <c r="CL1586" t="s">
        <v>8342</v>
      </c>
      <c r="CM1586">
        <v>43.91</v>
      </c>
      <c r="CN1586">
        <v>33.42</v>
      </c>
      <c r="CO1586">
        <v>1.38</v>
      </c>
      <c r="CP1586">
        <v>-30.98</v>
      </c>
      <c r="CQ1586">
        <v>3.01</v>
      </c>
      <c r="CR1586">
        <v>0.74</v>
      </c>
      <c r="CS1586" t="s">
        <v>8343</v>
      </c>
      <c r="CT1586">
        <v>4.8600000000000003</v>
      </c>
      <c r="CU1586">
        <v>0</v>
      </c>
      <c r="CV1586">
        <v>2.72</v>
      </c>
      <c r="CW1586">
        <v>1.06</v>
      </c>
      <c r="CX1586">
        <v>-0.22</v>
      </c>
      <c r="CY1586">
        <v>49.37</v>
      </c>
      <c r="CZ1586" t="s">
        <v>8344</v>
      </c>
      <c r="DA1586">
        <v>31.57</v>
      </c>
      <c r="DB1586">
        <v>14.35</v>
      </c>
      <c r="DC1586">
        <v>13</v>
      </c>
      <c r="DD1586">
        <v>0.49</v>
      </c>
      <c r="DE1586">
        <v>1865</v>
      </c>
      <c r="DF1586">
        <v>300190</v>
      </c>
      <c r="DG1586" t="s">
        <v>116</v>
      </c>
      <c r="DH1586" t="s">
        <v>116</v>
      </c>
      <c r="DI1586" t="s">
        <v>116</v>
      </c>
    </row>
    <row r="1587" spans="1:113" x14ac:dyDescent="0.4">
      <c r="A1587" t="str">
        <f>"300191"</f>
        <v>300191</v>
      </c>
      <c r="B1587" t="s">
        <v>8345</v>
      </c>
      <c r="C1587">
        <v>-1.21</v>
      </c>
      <c r="D1587">
        <v>22.01</v>
      </c>
      <c r="E1587">
        <v>-0.27</v>
      </c>
      <c r="F1587">
        <v>22.01</v>
      </c>
      <c r="G1587">
        <v>22.02</v>
      </c>
      <c r="H1587">
        <v>37081</v>
      </c>
      <c r="I1587">
        <v>728</v>
      </c>
      <c r="J1587">
        <v>0.05</v>
      </c>
      <c r="K1587">
        <v>1.79</v>
      </c>
      <c r="L1587">
        <v>22.23</v>
      </c>
      <c r="M1587">
        <v>22.5</v>
      </c>
      <c r="N1587">
        <v>21.94</v>
      </c>
      <c r="O1587">
        <v>22.28</v>
      </c>
      <c r="P1587">
        <v>622.34</v>
      </c>
      <c r="Q1587">
        <v>82510392</v>
      </c>
      <c r="R1587">
        <v>1.2</v>
      </c>
      <c r="S1587" t="s">
        <v>4171</v>
      </c>
      <c r="T1587" t="s">
        <v>165</v>
      </c>
      <c r="U1587">
        <v>2.5099999999999998</v>
      </c>
      <c r="V1587">
        <v>22.25</v>
      </c>
      <c r="W1587">
        <v>20880</v>
      </c>
      <c r="X1587">
        <v>16201</v>
      </c>
      <c r="Y1587">
        <v>1.29</v>
      </c>
      <c r="Z1587">
        <v>43</v>
      </c>
      <c r="AA1587">
        <v>129</v>
      </c>
      <c r="AB1587" t="s">
        <v>116</v>
      </c>
      <c r="AC1587">
        <v>949200</v>
      </c>
      <c r="AD1587">
        <v>0.03</v>
      </c>
      <c r="AE1587" t="s">
        <v>116</v>
      </c>
      <c r="AF1587" t="s">
        <v>116</v>
      </c>
      <c r="AG1587">
        <v>2.0699999999999998</v>
      </c>
      <c r="AH1587" t="s">
        <v>8346</v>
      </c>
      <c r="AI1587" t="s">
        <v>8347</v>
      </c>
      <c r="AJ1587">
        <v>-0.53</v>
      </c>
      <c r="AK1587">
        <v>2156</v>
      </c>
      <c r="AL1587">
        <v>17</v>
      </c>
      <c r="AM1587">
        <v>8.0000000000000004E-4</v>
      </c>
      <c r="AN1587">
        <v>-1</v>
      </c>
      <c r="AO1587">
        <v>0.91</v>
      </c>
      <c r="AP1587">
        <v>2.56</v>
      </c>
      <c r="AQ1587">
        <v>-5.25</v>
      </c>
      <c r="AR1587">
        <v>49.73</v>
      </c>
      <c r="AS1587">
        <v>2.97</v>
      </c>
      <c r="AT1587" t="s">
        <v>5460</v>
      </c>
      <c r="AU1587">
        <v>262.68</v>
      </c>
      <c r="AV1587">
        <v>242.88</v>
      </c>
      <c r="AW1587">
        <v>1</v>
      </c>
      <c r="BA1587">
        <v>-0.22</v>
      </c>
      <c r="BB1587">
        <v>0.99</v>
      </c>
      <c r="BC1587">
        <v>-1.53</v>
      </c>
      <c r="BD1587">
        <v>-0.13</v>
      </c>
      <c r="BE1587">
        <v>-0.99</v>
      </c>
      <c r="BF1587">
        <v>-2.1800000000000002</v>
      </c>
      <c r="BG1587">
        <v>0.32</v>
      </c>
      <c r="BH1587">
        <v>-1.08</v>
      </c>
      <c r="BI1587">
        <v>20191026</v>
      </c>
      <c r="BJ1587">
        <v>20110316</v>
      </c>
      <c r="BK1587">
        <v>3.2</v>
      </c>
      <c r="BL1587" t="s">
        <v>116</v>
      </c>
      <c r="BM1587" t="s">
        <v>116</v>
      </c>
      <c r="BN1587">
        <v>13.27</v>
      </c>
      <c r="BO1587">
        <v>11.84</v>
      </c>
      <c r="BP1587">
        <v>0.01</v>
      </c>
      <c r="BQ1587">
        <v>10.73</v>
      </c>
      <c r="BR1587">
        <v>7.51</v>
      </c>
      <c r="BS1587">
        <v>1.83</v>
      </c>
      <c r="BT1587">
        <v>0.28999999999999998</v>
      </c>
      <c r="BU1587">
        <v>1.07</v>
      </c>
      <c r="BV1587">
        <v>0</v>
      </c>
      <c r="BW1587">
        <v>1.0900000000000001</v>
      </c>
      <c r="BX1587">
        <v>5.5</v>
      </c>
      <c r="BY1587">
        <v>0.77</v>
      </c>
      <c r="BZ1587">
        <v>0.3</v>
      </c>
      <c r="CA1587">
        <v>0.16</v>
      </c>
      <c r="CB1587">
        <v>0.05</v>
      </c>
      <c r="CC1587">
        <v>0.17</v>
      </c>
      <c r="CD1587">
        <v>0.09</v>
      </c>
      <c r="CE1587">
        <v>0.08</v>
      </c>
      <c r="CF1587">
        <v>7.0000000000000007E-2</v>
      </c>
      <c r="CG1587">
        <v>2.37</v>
      </c>
      <c r="CH1587">
        <v>7.0000000000000007E-2</v>
      </c>
      <c r="CI1587">
        <v>0.22</v>
      </c>
      <c r="CJ1587">
        <v>20362</v>
      </c>
      <c r="CK1587">
        <v>6135</v>
      </c>
      <c r="CL1587" t="s">
        <v>8348</v>
      </c>
      <c r="CM1587">
        <v>-20.48</v>
      </c>
      <c r="CN1587">
        <v>-13.06</v>
      </c>
      <c r="CO1587">
        <v>5.95</v>
      </c>
      <c r="CP1587">
        <v>1074.97</v>
      </c>
      <c r="CQ1587">
        <v>90.91</v>
      </c>
      <c r="CR1587">
        <v>0.09</v>
      </c>
      <c r="CS1587" t="s">
        <v>2434</v>
      </c>
      <c r="CT1587">
        <v>3.7</v>
      </c>
      <c r="CU1587">
        <v>0</v>
      </c>
      <c r="CV1587">
        <v>1.72</v>
      </c>
      <c r="CW1587">
        <v>0.74</v>
      </c>
      <c r="CX1587">
        <v>0.02</v>
      </c>
      <c r="CY1587">
        <v>89.16</v>
      </c>
      <c r="CZ1587" t="s">
        <v>8349</v>
      </c>
      <c r="DA1587">
        <v>61.15</v>
      </c>
      <c r="DB1587">
        <v>21.28</v>
      </c>
      <c r="DC1587">
        <v>10.96</v>
      </c>
      <c r="DD1587">
        <v>0</v>
      </c>
      <c r="DE1587">
        <v>66</v>
      </c>
      <c r="DF1587">
        <v>300191</v>
      </c>
      <c r="DG1587" t="s">
        <v>116</v>
      </c>
      <c r="DH1587" t="s">
        <v>116</v>
      </c>
      <c r="DI1587" t="s">
        <v>116</v>
      </c>
    </row>
    <row r="1588" spans="1:113" x14ac:dyDescent="0.4">
      <c r="A1588" t="str">
        <f>"300192"</f>
        <v>300192</v>
      </c>
      <c r="B1588" t="s">
        <v>8350</v>
      </c>
      <c r="C1588">
        <v>-0.35</v>
      </c>
      <c r="D1588">
        <v>14.28</v>
      </c>
      <c r="E1588">
        <v>-0.05</v>
      </c>
      <c r="F1588">
        <v>14.27</v>
      </c>
      <c r="G1588">
        <v>14.28</v>
      </c>
      <c r="H1588">
        <v>71684</v>
      </c>
      <c r="I1588">
        <v>1052</v>
      </c>
      <c r="J1588">
        <v>0.49</v>
      </c>
      <c r="K1588">
        <v>4.16</v>
      </c>
      <c r="L1588">
        <v>14.41</v>
      </c>
      <c r="M1588">
        <v>14.48</v>
      </c>
      <c r="N1588">
        <v>14.11</v>
      </c>
      <c r="O1588">
        <v>14.33</v>
      </c>
      <c r="P1588">
        <v>38.409999999999997</v>
      </c>
      <c r="Q1588">
        <v>102105752</v>
      </c>
      <c r="R1588">
        <v>0.75</v>
      </c>
      <c r="S1588" t="s">
        <v>217</v>
      </c>
      <c r="T1588" t="s">
        <v>323</v>
      </c>
      <c r="U1588">
        <v>2.58</v>
      </c>
      <c r="V1588">
        <v>14.24</v>
      </c>
      <c r="W1588">
        <v>38319</v>
      </c>
      <c r="X1588">
        <v>33365</v>
      </c>
      <c r="Y1588">
        <v>1.1499999999999999</v>
      </c>
      <c r="Z1588">
        <v>97</v>
      </c>
      <c r="AA1588">
        <v>126</v>
      </c>
      <c r="AB1588" t="s">
        <v>116</v>
      </c>
      <c r="AC1588">
        <v>298300</v>
      </c>
      <c r="AD1588">
        <v>0.02</v>
      </c>
      <c r="AE1588" t="s">
        <v>116</v>
      </c>
      <c r="AF1588" t="s">
        <v>116</v>
      </c>
      <c r="AG1588">
        <v>1.72</v>
      </c>
      <c r="AH1588" t="s">
        <v>8351</v>
      </c>
      <c r="AI1588" t="s">
        <v>8352</v>
      </c>
      <c r="AJ1588">
        <v>0.33</v>
      </c>
      <c r="AK1588">
        <v>2518</v>
      </c>
      <c r="AL1588">
        <v>28</v>
      </c>
      <c r="AM1588">
        <v>1.6999999999999999E-3</v>
      </c>
      <c r="AN1588">
        <v>-3</v>
      </c>
      <c r="AO1588">
        <v>-2.6</v>
      </c>
      <c r="AP1588">
        <v>-4.42</v>
      </c>
      <c r="AQ1588">
        <v>54.21</v>
      </c>
      <c r="AR1588">
        <v>63.39</v>
      </c>
      <c r="AS1588">
        <v>5.51</v>
      </c>
      <c r="AT1588" t="s">
        <v>5886</v>
      </c>
      <c r="AU1588">
        <v>58.34</v>
      </c>
      <c r="AV1588">
        <v>123.69</v>
      </c>
      <c r="AW1588">
        <v>0.76</v>
      </c>
      <c r="BA1588">
        <v>0.56000000000000005</v>
      </c>
      <c r="BB1588">
        <v>1.05</v>
      </c>
      <c r="BC1588">
        <v>-1.54</v>
      </c>
      <c r="BD1588">
        <v>-0.6</v>
      </c>
      <c r="BE1588">
        <v>-0.9</v>
      </c>
      <c r="BF1588">
        <v>-1.38</v>
      </c>
      <c r="BG1588">
        <v>1.2</v>
      </c>
      <c r="BH1588">
        <v>0.25</v>
      </c>
      <c r="BI1588">
        <v>20191203</v>
      </c>
      <c r="BJ1588">
        <v>20110322</v>
      </c>
      <c r="BK1588">
        <v>2.4300000000000002</v>
      </c>
      <c r="BL1588" t="s">
        <v>116</v>
      </c>
      <c r="BM1588" t="s">
        <v>116</v>
      </c>
      <c r="BN1588">
        <v>16.45</v>
      </c>
      <c r="BO1588">
        <v>8.0299999999999994</v>
      </c>
      <c r="BP1588">
        <v>1.65</v>
      </c>
      <c r="BQ1588">
        <v>41.14</v>
      </c>
      <c r="BR1588">
        <v>6.92</v>
      </c>
      <c r="BS1588">
        <v>2.16</v>
      </c>
      <c r="BT1588">
        <v>0.37</v>
      </c>
      <c r="BU1588">
        <v>4.18</v>
      </c>
      <c r="BV1588">
        <v>0.56000000000000005</v>
      </c>
      <c r="BW1588">
        <v>1.18</v>
      </c>
      <c r="BX1588">
        <v>2.0099999999999998</v>
      </c>
      <c r="BY1588">
        <v>6.96</v>
      </c>
      <c r="BZ1588">
        <v>3.97</v>
      </c>
      <c r="CA1588">
        <v>1.57</v>
      </c>
      <c r="CB1588">
        <v>0.02</v>
      </c>
      <c r="CC1588">
        <v>1.57</v>
      </c>
      <c r="CD1588">
        <v>1.35</v>
      </c>
      <c r="CE1588">
        <v>0.68</v>
      </c>
      <c r="CF1588">
        <v>0.67</v>
      </c>
      <c r="CG1588">
        <v>3.27</v>
      </c>
      <c r="CH1588">
        <v>2.58</v>
      </c>
      <c r="CI1588">
        <v>0.3</v>
      </c>
      <c r="CJ1588">
        <v>14540</v>
      </c>
      <c r="CK1588">
        <v>8948</v>
      </c>
      <c r="CL1588" t="s">
        <v>8353</v>
      </c>
      <c r="CM1588">
        <v>86.5</v>
      </c>
      <c r="CN1588">
        <v>-2.04</v>
      </c>
      <c r="CO1588">
        <v>4.3099999999999996</v>
      </c>
      <c r="CP1588">
        <v>13.45</v>
      </c>
      <c r="CQ1588">
        <v>4.97</v>
      </c>
      <c r="CR1588">
        <v>0</v>
      </c>
      <c r="CS1588" t="s">
        <v>5434</v>
      </c>
      <c r="CT1588">
        <v>3.31</v>
      </c>
      <c r="CU1588">
        <v>0</v>
      </c>
      <c r="CV1588">
        <v>0.83</v>
      </c>
      <c r="CW1588">
        <v>1.35</v>
      </c>
      <c r="CX1588">
        <v>1.06</v>
      </c>
      <c r="CY1588">
        <v>48.84</v>
      </c>
      <c r="CZ1588" t="s">
        <v>8354</v>
      </c>
      <c r="DA1588">
        <v>42.94</v>
      </c>
      <c r="DB1588">
        <v>22.51</v>
      </c>
      <c r="DC1588">
        <v>9.7100000000000009</v>
      </c>
      <c r="DD1588">
        <v>0.16</v>
      </c>
      <c r="DE1588">
        <v>2128</v>
      </c>
      <c r="DF1588">
        <v>300192</v>
      </c>
      <c r="DG1588" t="s">
        <v>116</v>
      </c>
      <c r="DH1588" t="s">
        <v>116</v>
      </c>
      <c r="DI1588" t="s">
        <v>116</v>
      </c>
    </row>
    <row r="1589" spans="1:113" x14ac:dyDescent="0.4">
      <c r="A1589" t="str">
        <f>"300193"</f>
        <v>300193</v>
      </c>
      <c r="B1589" t="s">
        <v>8355</v>
      </c>
      <c r="C1589">
        <v>2.99</v>
      </c>
      <c r="D1589">
        <v>8.9499999999999993</v>
      </c>
      <c r="E1589">
        <v>0.26</v>
      </c>
      <c r="F1589">
        <v>8.9499999999999993</v>
      </c>
      <c r="G1589">
        <v>8.9600000000000009</v>
      </c>
      <c r="H1589">
        <v>115391</v>
      </c>
      <c r="I1589">
        <v>1951</v>
      </c>
      <c r="J1589">
        <v>0.45</v>
      </c>
      <c r="K1589">
        <v>2.52</v>
      </c>
      <c r="L1589">
        <v>8.64</v>
      </c>
      <c r="M1589">
        <v>9.0500000000000007</v>
      </c>
      <c r="N1589">
        <v>8.64</v>
      </c>
      <c r="O1589">
        <v>8.69</v>
      </c>
      <c r="P1589">
        <v>19.77</v>
      </c>
      <c r="Q1589">
        <v>103236792</v>
      </c>
      <c r="R1589">
        <v>2.5299999999999998</v>
      </c>
      <c r="S1589" t="s">
        <v>682</v>
      </c>
      <c r="T1589" t="s">
        <v>115</v>
      </c>
      <c r="U1589">
        <v>4.72</v>
      </c>
      <c r="V1589">
        <v>8.9499999999999993</v>
      </c>
      <c r="W1589">
        <v>53588</v>
      </c>
      <c r="X1589">
        <v>61803</v>
      </c>
      <c r="Y1589">
        <v>0.87</v>
      </c>
      <c r="Z1589">
        <v>56</v>
      </c>
      <c r="AA1589">
        <v>419</v>
      </c>
      <c r="AB1589" t="s">
        <v>116</v>
      </c>
      <c r="AC1589">
        <v>298100</v>
      </c>
      <c r="AD1589">
        <v>0.01</v>
      </c>
      <c r="AE1589" t="s">
        <v>116</v>
      </c>
      <c r="AF1589" t="s">
        <v>116</v>
      </c>
      <c r="AG1589">
        <v>4.57</v>
      </c>
      <c r="AH1589" t="s">
        <v>2410</v>
      </c>
      <c r="AI1589" t="s">
        <v>8356</v>
      </c>
      <c r="AJ1589">
        <v>3.67</v>
      </c>
      <c r="AK1589">
        <v>2369</v>
      </c>
      <c r="AL1589">
        <v>49</v>
      </c>
      <c r="AM1589">
        <v>1.1000000000000001E-3</v>
      </c>
      <c r="AN1589">
        <v>4</v>
      </c>
      <c r="AO1589">
        <v>8.48</v>
      </c>
      <c r="AP1589">
        <v>13.29</v>
      </c>
      <c r="AQ1589">
        <v>6.04</v>
      </c>
      <c r="AR1589">
        <v>28.22</v>
      </c>
      <c r="AS1589">
        <v>3.98</v>
      </c>
      <c r="AT1589" t="s">
        <v>775</v>
      </c>
      <c r="AU1589">
        <v>20.440000000000001</v>
      </c>
      <c r="AV1589">
        <v>23.78</v>
      </c>
      <c r="AW1589">
        <v>1.1200000000000001</v>
      </c>
      <c r="BA1589">
        <v>-0.57999999999999996</v>
      </c>
      <c r="BB1589">
        <v>4.1399999999999997</v>
      </c>
      <c r="BC1589">
        <v>-0.57999999999999996</v>
      </c>
      <c r="BD1589">
        <v>2.95</v>
      </c>
      <c r="BE1589">
        <v>3.59</v>
      </c>
      <c r="BF1589">
        <v>-1.1000000000000001</v>
      </c>
      <c r="BG1589">
        <v>3.59</v>
      </c>
      <c r="BH1589">
        <v>0.04</v>
      </c>
      <c r="BI1589">
        <v>20191030</v>
      </c>
      <c r="BJ1589">
        <v>20110322</v>
      </c>
      <c r="BK1589">
        <v>5.07</v>
      </c>
      <c r="BL1589" t="s">
        <v>116</v>
      </c>
      <c r="BM1589" t="s">
        <v>116</v>
      </c>
      <c r="BN1589">
        <v>26.61</v>
      </c>
      <c r="BO1589">
        <v>22.85</v>
      </c>
      <c r="BP1589">
        <v>0.19</v>
      </c>
      <c r="BQ1589">
        <v>13.38</v>
      </c>
      <c r="BR1589">
        <v>22.57</v>
      </c>
      <c r="BS1589">
        <v>3.31</v>
      </c>
      <c r="BT1589">
        <v>0.27</v>
      </c>
      <c r="BU1589">
        <v>3.4</v>
      </c>
      <c r="BV1589">
        <v>1.2</v>
      </c>
      <c r="BW1589">
        <v>1.56</v>
      </c>
      <c r="BX1589">
        <v>12.78</v>
      </c>
      <c r="BY1589">
        <v>6.91</v>
      </c>
      <c r="BZ1589">
        <v>4.6100000000000003</v>
      </c>
      <c r="CA1589">
        <v>2.0499999999999998</v>
      </c>
      <c r="CB1589">
        <v>0.14000000000000001</v>
      </c>
      <c r="CC1589">
        <v>2.0499999999999998</v>
      </c>
      <c r="CD1589">
        <v>1.77</v>
      </c>
      <c r="CE1589">
        <v>1.72</v>
      </c>
      <c r="CF1589">
        <v>1.39</v>
      </c>
      <c r="CG1589">
        <v>6.55</v>
      </c>
      <c r="CH1589">
        <v>1.27</v>
      </c>
      <c r="CI1589">
        <v>6.74</v>
      </c>
      <c r="CJ1589">
        <v>25885</v>
      </c>
      <c r="CK1589">
        <v>11201</v>
      </c>
      <c r="CL1589" t="s">
        <v>8357</v>
      </c>
      <c r="CM1589">
        <v>22.15</v>
      </c>
      <c r="CN1589">
        <v>3.71</v>
      </c>
      <c r="CO1589">
        <v>1.99</v>
      </c>
      <c r="CP1589">
        <v>35.68</v>
      </c>
      <c r="CQ1589">
        <v>6.57</v>
      </c>
      <c r="CR1589">
        <v>2.2000000000000002</v>
      </c>
      <c r="CS1589" t="s">
        <v>7376</v>
      </c>
      <c r="CT1589">
        <v>4.51</v>
      </c>
      <c r="CU1589">
        <v>0</v>
      </c>
      <c r="CV1589">
        <v>2.52</v>
      </c>
      <c r="CW1589">
        <v>1.29</v>
      </c>
      <c r="CX1589">
        <v>0.25</v>
      </c>
      <c r="CY1589">
        <v>85.89</v>
      </c>
      <c r="CZ1589" t="s">
        <v>8358</v>
      </c>
      <c r="DA1589">
        <v>33.299999999999997</v>
      </c>
      <c r="DB1589">
        <v>29.69</v>
      </c>
      <c r="DC1589">
        <v>24.92</v>
      </c>
      <c r="DD1589">
        <v>0.39</v>
      </c>
      <c r="DE1589">
        <v>950</v>
      </c>
      <c r="DF1589">
        <v>300193</v>
      </c>
      <c r="DG1589" t="s">
        <v>116</v>
      </c>
      <c r="DH1589" t="s">
        <v>116</v>
      </c>
      <c r="DI1589" t="s">
        <v>116</v>
      </c>
    </row>
    <row r="1590" spans="1:113" x14ac:dyDescent="0.4">
      <c r="A1590" t="str">
        <f>"300194"</f>
        <v>300194</v>
      </c>
      <c r="B1590" t="s">
        <v>8359</v>
      </c>
      <c r="C1590">
        <v>-2.73</v>
      </c>
      <c r="D1590">
        <v>5.35</v>
      </c>
      <c r="E1590">
        <v>-0.15</v>
      </c>
      <c r="F1590">
        <v>5.34</v>
      </c>
      <c r="G1590">
        <v>5.35</v>
      </c>
      <c r="H1590">
        <v>290776</v>
      </c>
      <c r="I1590">
        <v>6033</v>
      </c>
      <c r="J1590">
        <v>0</v>
      </c>
      <c r="K1590">
        <v>3.26</v>
      </c>
      <c r="L1590">
        <v>5.48</v>
      </c>
      <c r="M1590">
        <v>5.56</v>
      </c>
      <c r="N1590">
        <v>5.34</v>
      </c>
      <c r="O1590">
        <v>5.5</v>
      </c>
      <c r="P1590">
        <v>21.16</v>
      </c>
      <c r="Q1590">
        <v>158446144</v>
      </c>
      <c r="R1590">
        <v>0.63</v>
      </c>
      <c r="S1590" t="s">
        <v>574</v>
      </c>
      <c r="T1590" t="s">
        <v>906</v>
      </c>
      <c r="U1590">
        <v>4</v>
      </c>
      <c r="V1590">
        <v>5.45</v>
      </c>
      <c r="W1590">
        <v>184363</v>
      </c>
      <c r="X1590">
        <v>106413</v>
      </c>
      <c r="Y1590">
        <v>1.73</v>
      </c>
      <c r="Z1590">
        <v>1397</v>
      </c>
      <c r="AA1590">
        <v>3031</v>
      </c>
      <c r="AB1590" t="s">
        <v>116</v>
      </c>
      <c r="AC1590">
        <v>1277400</v>
      </c>
      <c r="AD1590">
        <v>0.03</v>
      </c>
      <c r="AE1590" t="s">
        <v>116</v>
      </c>
      <c r="AF1590" t="s">
        <v>116</v>
      </c>
      <c r="AG1590">
        <v>8.93</v>
      </c>
      <c r="AH1590" t="s">
        <v>8360</v>
      </c>
      <c r="AI1590" t="s">
        <v>5774</v>
      </c>
      <c r="AJ1590">
        <v>-2.0499999999999998</v>
      </c>
      <c r="AK1590">
        <v>2663</v>
      </c>
      <c r="AL1590">
        <v>109</v>
      </c>
      <c r="AM1590">
        <v>1.1999999999999999E-3</v>
      </c>
      <c r="AN1590">
        <v>-2</v>
      </c>
      <c r="AO1590">
        <v>0.56999999999999995</v>
      </c>
      <c r="AP1590">
        <v>8.08</v>
      </c>
      <c r="AQ1590">
        <v>5.52</v>
      </c>
      <c r="AR1590">
        <v>66.67</v>
      </c>
      <c r="AS1590">
        <v>4.01</v>
      </c>
      <c r="AT1590" t="s">
        <v>748</v>
      </c>
      <c r="AU1590" t="s">
        <v>116</v>
      </c>
      <c r="AV1590" t="s">
        <v>116</v>
      </c>
      <c r="AW1590">
        <v>1.33</v>
      </c>
      <c r="BA1590">
        <v>-0.36</v>
      </c>
      <c r="BB1590">
        <v>1.0900000000000001</v>
      </c>
      <c r="BC1590">
        <v>-2.91</v>
      </c>
      <c r="BD1590">
        <v>-0.93</v>
      </c>
      <c r="BE1590">
        <v>-2.37</v>
      </c>
      <c r="BF1590">
        <v>-3.78</v>
      </c>
      <c r="BG1590">
        <v>0.19</v>
      </c>
      <c r="BH1590">
        <v>-1.8</v>
      </c>
      <c r="BI1590">
        <v>20191026</v>
      </c>
      <c r="BJ1590">
        <v>20110322</v>
      </c>
      <c r="BK1590">
        <v>11.9</v>
      </c>
      <c r="BL1590" t="s">
        <v>116</v>
      </c>
      <c r="BM1590" t="s">
        <v>116</v>
      </c>
      <c r="BN1590">
        <v>45.57</v>
      </c>
      <c r="BO1590">
        <v>39.22</v>
      </c>
      <c r="BP1590">
        <v>0</v>
      </c>
      <c r="BQ1590">
        <v>13.92</v>
      </c>
      <c r="BR1590">
        <v>19.16</v>
      </c>
      <c r="BS1590">
        <v>8.7899999999999991</v>
      </c>
      <c r="BT1590">
        <v>3.71</v>
      </c>
      <c r="BU1590">
        <v>5.05</v>
      </c>
      <c r="BV1590">
        <v>5.33</v>
      </c>
      <c r="BW1590">
        <v>3.29</v>
      </c>
      <c r="BX1590">
        <v>22.31</v>
      </c>
      <c r="BY1590">
        <v>21.11</v>
      </c>
      <c r="BZ1590">
        <v>7.39</v>
      </c>
      <c r="CA1590">
        <v>2.63</v>
      </c>
      <c r="CB1590">
        <v>0.2</v>
      </c>
      <c r="CC1590">
        <v>2.63</v>
      </c>
      <c r="CD1590">
        <v>2.2599999999999998</v>
      </c>
      <c r="CE1590">
        <v>2.2599999999999998</v>
      </c>
      <c r="CF1590">
        <v>2.1</v>
      </c>
      <c r="CG1590">
        <v>4.3899999999999997</v>
      </c>
      <c r="CH1590">
        <v>2.16</v>
      </c>
      <c r="CI1590">
        <v>-0.39</v>
      </c>
      <c r="CJ1590">
        <v>49924</v>
      </c>
      <c r="CK1590">
        <v>14543</v>
      </c>
      <c r="CL1590" t="s">
        <v>4256</v>
      </c>
      <c r="CM1590">
        <v>-1.48</v>
      </c>
      <c r="CN1590">
        <v>2.9</v>
      </c>
      <c r="CO1590">
        <v>1.62</v>
      </c>
      <c r="CP1590">
        <v>29.5</v>
      </c>
      <c r="CQ1590">
        <v>3.01</v>
      </c>
      <c r="CR1590">
        <v>0</v>
      </c>
      <c r="CS1590" t="s">
        <v>702</v>
      </c>
      <c r="CT1590">
        <v>3.3</v>
      </c>
      <c r="CU1590">
        <v>0</v>
      </c>
      <c r="CV1590">
        <v>1.88</v>
      </c>
      <c r="CW1590">
        <v>0.37</v>
      </c>
      <c r="CX1590">
        <v>0.18</v>
      </c>
      <c r="CY1590">
        <v>86.08</v>
      </c>
      <c r="CZ1590" t="s">
        <v>262</v>
      </c>
      <c r="DA1590">
        <v>65.02</v>
      </c>
      <c r="DB1590">
        <v>12.47</v>
      </c>
      <c r="DC1590">
        <v>10.69</v>
      </c>
      <c r="DD1590">
        <v>0.66</v>
      </c>
      <c r="DE1590">
        <v>3030</v>
      </c>
      <c r="DF1590">
        <v>300194</v>
      </c>
      <c r="DG1590" t="s">
        <v>116</v>
      </c>
      <c r="DH1590" t="s">
        <v>116</v>
      </c>
      <c r="DI1590" t="s">
        <v>116</v>
      </c>
    </row>
    <row r="1591" spans="1:113" x14ac:dyDescent="0.4">
      <c r="A1591" t="str">
        <f>"300195"</f>
        <v>300195</v>
      </c>
      <c r="B1591" t="s">
        <v>8361</v>
      </c>
      <c r="C1591">
        <v>-1.8</v>
      </c>
      <c r="D1591">
        <v>7.08</v>
      </c>
      <c r="E1591">
        <v>-0.13</v>
      </c>
      <c r="F1591">
        <v>7.07</v>
      </c>
      <c r="G1591">
        <v>7.08</v>
      </c>
      <c r="H1591">
        <v>46788</v>
      </c>
      <c r="I1591">
        <v>526</v>
      </c>
      <c r="J1591">
        <v>0</v>
      </c>
      <c r="K1591">
        <v>1.55</v>
      </c>
      <c r="L1591">
        <v>7.2</v>
      </c>
      <c r="M1591">
        <v>7.24</v>
      </c>
      <c r="N1591">
        <v>7.07</v>
      </c>
      <c r="O1591">
        <v>7.21</v>
      </c>
      <c r="P1591">
        <v>45.01</v>
      </c>
      <c r="Q1591">
        <v>33439466</v>
      </c>
      <c r="R1591">
        <v>0.86</v>
      </c>
      <c r="S1591" t="s">
        <v>353</v>
      </c>
      <c r="T1591" t="s">
        <v>1035</v>
      </c>
      <c r="U1591">
        <v>2.36</v>
      </c>
      <c r="V1591">
        <v>7.15</v>
      </c>
      <c r="W1591">
        <v>27927</v>
      </c>
      <c r="X1591">
        <v>18861</v>
      </c>
      <c r="Y1591">
        <v>1.48</v>
      </c>
      <c r="Z1591">
        <v>488</v>
      </c>
      <c r="AA1591">
        <v>178</v>
      </c>
      <c r="AB1591" t="s">
        <v>116</v>
      </c>
      <c r="AC1591">
        <v>72700</v>
      </c>
      <c r="AD1591">
        <v>0</v>
      </c>
      <c r="AE1591" t="s">
        <v>116</v>
      </c>
      <c r="AF1591" t="s">
        <v>116</v>
      </c>
      <c r="AG1591">
        <v>3.03</v>
      </c>
      <c r="AH1591" t="s">
        <v>8362</v>
      </c>
      <c r="AI1591" t="s">
        <v>8363</v>
      </c>
      <c r="AJ1591">
        <v>-1.1200000000000001</v>
      </c>
      <c r="AK1591">
        <v>1109</v>
      </c>
      <c r="AL1591">
        <v>42</v>
      </c>
      <c r="AM1591">
        <v>1.4E-3</v>
      </c>
      <c r="AN1591">
        <v>-2</v>
      </c>
      <c r="AO1591">
        <v>-0.98</v>
      </c>
      <c r="AP1591">
        <v>7.11</v>
      </c>
      <c r="AQ1591">
        <v>-6.72</v>
      </c>
      <c r="AR1591">
        <v>-11.06</v>
      </c>
      <c r="AS1591">
        <v>1.8</v>
      </c>
      <c r="AT1591" t="s">
        <v>5559</v>
      </c>
      <c r="AU1591">
        <v>170.07</v>
      </c>
      <c r="AV1591">
        <v>35.74</v>
      </c>
      <c r="AW1591">
        <v>1.29</v>
      </c>
      <c r="BA1591">
        <v>-0.14000000000000001</v>
      </c>
      <c r="BB1591">
        <v>0.42</v>
      </c>
      <c r="BC1591">
        <v>-1.94</v>
      </c>
      <c r="BD1591">
        <v>-0.87</v>
      </c>
      <c r="BE1591">
        <v>-1.67</v>
      </c>
      <c r="BF1591">
        <v>-2.21</v>
      </c>
      <c r="BG1591">
        <v>0.14000000000000001</v>
      </c>
      <c r="BH1591">
        <v>-0.93</v>
      </c>
      <c r="BI1591">
        <v>20191206</v>
      </c>
      <c r="BJ1591">
        <v>20110329</v>
      </c>
      <c r="BK1591">
        <v>4.33</v>
      </c>
      <c r="BL1591" t="s">
        <v>116</v>
      </c>
      <c r="BM1591" t="s">
        <v>116</v>
      </c>
      <c r="BN1591">
        <v>60.85</v>
      </c>
      <c r="BO1591">
        <v>35.99</v>
      </c>
      <c r="BP1591">
        <v>1.08</v>
      </c>
      <c r="BQ1591">
        <v>39.090000000000003</v>
      </c>
      <c r="BR1591">
        <v>25.25</v>
      </c>
      <c r="BS1591">
        <v>7.7</v>
      </c>
      <c r="BT1591">
        <v>3.32</v>
      </c>
      <c r="BU1591">
        <v>17.68</v>
      </c>
      <c r="BV1591">
        <v>6.23</v>
      </c>
      <c r="BW1591">
        <v>3.93</v>
      </c>
      <c r="BX1591">
        <v>27.49</v>
      </c>
      <c r="BY1591">
        <v>8.56</v>
      </c>
      <c r="BZ1591">
        <v>5.26</v>
      </c>
      <c r="CA1591">
        <v>0.77</v>
      </c>
      <c r="CB1591">
        <v>0.56000000000000005</v>
      </c>
      <c r="CC1591">
        <v>0.75</v>
      </c>
      <c r="CD1591">
        <v>0.59</v>
      </c>
      <c r="CE1591">
        <v>0.51</v>
      </c>
      <c r="CF1591">
        <v>0.36</v>
      </c>
      <c r="CG1591">
        <v>4.07</v>
      </c>
      <c r="CH1591">
        <v>0.8</v>
      </c>
      <c r="CI1591">
        <v>-2.6</v>
      </c>
      <c r="CJ1591">
        <v>22614</v>
      </c>
      <c r="CK1591">
        <v>11469</v>
      </c>
      <c r="CL1591" t="s">
        <v>8364</v>
      </c>
      <c r="CM1591">
        <v>-57.01</v>
      </c>
      <c r="CN1591">
        <v>-11.69</v>
      </c>
      <c r="CO1591">
        <v>0.85</v>
      </c>
      <c r="CP1591">
        <v>38.58</v>
      </c>
      <c r="CQ1591">
        <v>3.59</v>
      </c>
      <c r="CR1591">
        <v>0</v>
      </c>
      <c r="CS1591" t="s">
        <v>7083</v>
      </c>
      <c r="CT1591">
        <v>8.3000000000000007</v>
      </c>
      <c r="CU1591">
        <v>0</v>
      </c>
      <c r="CV1591">
        <v>6.34</v>
      </c>
      <c r="CW1591">
        <v>0.94</v>
      </c>
      <c r="CX1591">
        <v>0.18</v>
      </c>
      <c r="CY1591">
        <v>59.14</v>
      </c>
      <c r="CZ1591" t="s">
        <v>7970</v>
      </c>
      <c r="DA1591">
        <v>38.5</v>
      </c>
      <c r="DB1591">
        <v>9.0500000000000007</v>
      </c>
      <c r="DC1591">
        <v>5.97</v>
      </c>
      <c r="DD1591">
        <v>0.57999999999999996</v>
      </c>
      <c r="DE1591">
        <v>1834</v>
      </c>
      <c r="DF1591">
        <v>300195</v>
      </c>
      <c r="DG1591" t="s">
        <v>116</v>
      </c>
      <c r="DH1591" t="s">
        <v>116</v>
      </c>
      <c r="DI1591" t="s">
        <v>116</v>
      </c>
    </row>
    <row r="1592" spans="1:113" x14ac:dyDescent="0.4">
      <c r="A1592" t="str">
        <f>"300196"</f>
        <v>300196</v>
      </c>
      <c r="B1592" t="s">
        <v>8365</v>
      </c>
      <c r="C1592">
        <v>0.37</v>
      </c>
      <c r="D1592">
        <v>10.98</v>
      </c>
      <c r="E1592">
        <v>0.04</v>
      </c>
      <c r="F1592">
        <v>10.98</v>
      </c>
      <c r="G1592">
        <v>10.99</v>
      </c>
      <c r="H1592">
        <v>42202</v>
      </c>
      <c r="I1592">
        <v>346</v>
      </c>
      <c r="J1592">
        <v>0.27</v>
      </c>
      <c r="K1592">
        <v>1.68</v>
      </c>
      <c r="L1592">
        <v>10.85</v>
      </c>
      <c r="M1592">
        <v>11.09</v>
      </c>
      <c r="N1592">
        <v>10.8</v>
      </c>
      <c r="O1592">
        <v>10.94</v>
      </c>
      <c r="P1592">
        <v>14.57</v>
      </c>
      <c r="Q1592">
        <v>46304280</v>
      </c>
      <c r="R1592">
        <v>0.79</v>
      </c>
      <c r="S1592" t="s">
        <v>195</v>
      </c>
      <c r="T1592" t="s">
        <v>323</v>
      </c>
      <c r="U1592">
        <v>2.65</v>
      </c>
      <c r="V1592">
        <v>10.97</v>
      </c>
      <c r="W1592">
        <v>17623</v>
      </c>
      <c r="X1592">
        <v>24579</v>
      </c>
      <c r="Y1592">
        <v>0.72</v>
      </c>
      <c r="Z1592">
        <v>192</v>
      </c>
      <c r="AA1592">
        <v>18</v>
      </c>
      <c r="AB1592" t="s">
        <v>116</v>
      </c>
      <c r="AC1592">
        <v>451200</v>
      </c>
      <c r="AD1592">
        <v>0.02</v>
      </c>
      <c r="AE1592" t="s">
        <v>116</v>
      </c>
      <c r="AF1592" t="s">
        <v>116</v>
      </c>
      <c r="AG1592">
        <v>2.52</v>
      </c>
      <c r="AH1592" t="s">
        <v>8084</v>
      </c>
      <c r="AI1592" t="s">
        <v>8366</v>
      </c>
      <c r="AJ1592">
        <v>1.04</v>
      </c>
      <c r="AK1592">
        <v>1468</v>
      </c>
      <c r="AL1592">
        <v>29</v>
      </c>
      <c r="AM1592">
        <v>1.1000000000000001E-3</v>
      </c>
      <c r="AN1592">
        <v>2</v>
      </c>
      <c r="AO1592">
        <v>1.1100000000000001</v>
      </c>
      <c r="AP1592">
        <v>19.739999999999998</v>
      </c>
      <c r="AQ1592">
        <v>22.82</v>
      </c>
      <c r="AR1592">
        <v>27.23</v>
      </c>
      <c r="AS1592">
        <v>2.13</v>
      </c>
      <c r="AT1592" t="s">
        <v>8206</v>
      </c>
      <c r="AU1592">
        <v>15.04</v>
      </c>
      <c r="AV1592">
        <v>17.329999999999998</v>
      </c>
      <c r="AW1592">
        <v>0.62</v>
      </c>
      <c r="BA1592">
        <v>-0.82</v>
      </c>
      <c r="BB1592">
        <v>1.37</v>
      </c>
      <c r="BC1592">
        <v>-1.28</v>
      </c>
      <c r="BD1592">
        <v>0.28999999999999998</v>
      </c>
      <c r="BE1592">
        <v>1.2</v>
      </c>
      <c r="BF1592">
        <v>-0.99</v>
      </c>
      <c r="BG1592">
        <v>1.67</v>
      </c>
      <c r="BH1592">
        <v>7.0000000000000007E-2</v>
      </c>
      <c r="BI1592">
        <v>20191026</v>
      </c>
      <c r="BJ1592">
        <v>20110329</v>
      </c>
      <c r="BK1592">
        <v>4.1500000000000004</v>
      </c>
      <c r="BL1592" t="s">
        <v>116</v>
      </c>
      <c r="BM1592" t="s">
        <v>116</v>
      </c>
      <c r="BN1592">
        <v>31.72</v>
      </c>
      <c r="BO1592">
        <v>26.24</v>
      </c>
      <c r="BP1592">
        <v>0.53</v>
      </c>
      <c r="BQ1592">
        <v>15.62</v>
      </c>
      <c r="BR1592">
        <v>15.43</v>
      </c>
      <c r="BS1592">
        <v>13.92</v>
      </c>
      <c r="BT1592">
        <v>1.65</v>
      </c>
      <c r="BU1592">
        <v>4.49</v>
      </c>
      <c r="BV1592">
        <v>1.84</v>
      </c>
      <c r="BW1592">
        <v>4.0199999999999996</v>
      </c>
      <c r="BX1592">
        <v>9.7200000000000006</v>
      </c>
      <c r="BY1592">
        <v>16.649999999999999</v>
      </c>
      <c r="BZ1592">
        <v>11.73</v>
      </c>
      <c r="CA1592">
        <v>2.72</v>
      </c>
      <c r="CB1592">
        <v>7.0000000000000007E-2</v>
      </c>
      <c r="CC1592">
        <v>2.72</v>
      </c>
      <c r="CD1592">
        <v>2.35</v>
      </c>
      <c r="CE1592">
        <v>2.35</v>
      </c>
      <c r="CF1592">
        <v>2.2200000000000002</v>
      </c>
      <c r="CG1592">
        <v>12.65</v>
      </c>
      <c r="CH1592">
        <v>2.2799999999999998</v>
      </c>
      <c r="CI1592">
        <v>-0.65</v>
      </c>
      <c r="CJ1592">
        <v>9228</v>
      </c>
      <c r="CK1592">
        <v>21502</v>
      </c>
      <c r="CL1592" t="s">
        <v>8367</v>
      </c>
      <c r="CM1592">
        <v>20.58</v>
      </c>
      <c r="CN1592">
        <v>5.32</v>
      </c>
      <c r="CO1592">
        <v>1.74</v>
      </c>
      <c r="CP1592">
        <v>19.96</v>
      </c>
      <c r="CQ1592">
        <v>2.74</v>
      </c>
      <c r="CR1592">
        <v>1.79</v>
      </c>
      <c r="CS1592" t="s">
        <v>8368</v>
      </c>
      <c r="CT1592">
        <v>6.32</v>
      </c>
      <c r="CU1592">
        <v>0</v>
      </c>
      <c r="CV1592">
        <v>2.34</v>
      </c>
      <c r="CW1592">
        <v>3.05</v>
      </c>
      <c r="CX1592">
        <v>0.55000000000000004</v>
      </c>
      <c r="CY1592">
        <v>82.7</v>
      </c>
      <c r="CZ1592" t="s">
        <v>8369</v>
      </c>
      <c r="DA1592">
        <v>29.57</v>
      </c>
      <c r="DB1592">
        <v>16.309999999999999</v>
      </c>
      <c r="DC1592">
        <v>14.09</v>
      </c>
      <c r="DD1592">
        <v>0.68</v>
      </c>
      <c r="DE1592">
        <v>2241</v>
      </c>
      <c r="DF1592">
        <v>300196</v>
      </c>
      <c r="DG1592" t="s">
        <v>116</v>
      </c>
      <c r="DH1592" t="s">
        <v>116</v>
      </c>
      <c r="DI1592" t="s">
        <v>116</v>
      </c>
    </row>
    <row r="1593" spans="1:113" x14ac:dyDescent="0.4">
      <c r="A1593" t="str">
        <f>"300197"</f>
        <v>300197</v>
      </c>
      <c r="B1593" t="s">
        <v>8370</v>
      </c>
      <c r="C1593">
        <v>-0.33</v>
      </c>
      <c r="D1593">
        <v>3.02</v>
      </c>
      <c r="E1593">
        <v>-0.01</v>
      </c>
      <c r="F1593">
        <v>3.02</v>
      </c>
      <c r="G1593">
        <v>3.03</v>
      </c>
      <c r="H1593">
        <v>144662</v>
      </c>
      <c r="I1593">
        <v>597</v>
      </c>
      <c r="J1593">
        <v>0</v>
      </c>
      <c r="K1593">
        <v>0.87</v>
      </c>
      <c r="L1593">
        <v>3.04</v>
      </c>
      <c r="M1593">
        <v>3.07</v>
      </c>
      <c r="N1593">
        <v>3.02</v>
      </c>
      <c r="O1593">
        <v>3.03</v>
      </c>
      <c r="P1593">
        <v>256.35000000000002</v>
      </c>
      <c r="Q1593">
        <v>44066640</v>
      </c>
      <c r="R1593">
        <v>0.97</v>
      </c>
      <c r="S1593" t="s">
        <v>140</v>
      </c>
      <c r="T1593" t="s">
        <v>115</v>
      </c>
      <c r="U1593">
        <v>1.65</v>
      </c>
      <c r="V1593">
        <v>3.05</v>
      </c>
      <c r="W1593">
        <v>76063</v>
      </c>
      <c r="X1593">
        <v>68599</v>
      </c>
      <c r="Y1593">
        <v>1.1100000000000001</v>
      </c>
      <c r="Z1593">
        <v>4292</v>
      </c>
      <c r="AA1593">
        <v>975</v>
      </c>
      <c r="AB1593" t="s">
        <v>116</v>
      </c>
      <c r="AC1593">
        <v>45600</v>
      </c>
      <c r="AD1593">
        <v>0</v>
      </c>
      <c r="AE1593" t="s">
        <v>116</v>
      </c>
      <c r="AF1593" t="s">
        <v>116</v>
      </c>
      <c r="AG1593">
        <v>16.670000000000002</v>
      </c>
      <c r="AH1593" t="s">
        <v>4352</v>
      </c>
      <c r="AI1593" t="s">
        <v>8371</v>
      </c>
      <c r="AJ1593">
        <v>0.35</v>
      </c>
      <c r="AK1593">
        <v>2052</v>
      </c>
      <c r="AL1593">
        <v>70</v>
      </c>
      <c r="AM1593">
        <v>4.0000000000000002E-4</v>
      </c>
      <c r="AN1593">
        <v>-1</v>
      </c>
      <c r="AO1593">
        <v>-0.99</v>
      </c>
      <c r="AP1593">
        <v>-4.7300000000000004</v>
      </c>
      <c r="AQ1593">
        <v>-5.33</v>
      </c>
      <c r="AR1593">
        <v>-20</v>
      </c>
      <c r="AS1593">
        <v>1.1200000000000001</v>
      </c>
      <c r="AT1593" t="s">
        <v>8372</v>
      </c>
      <c r="AU1593" t="s">
        <v>116</v>
      </c>
      <c r="AV1593">
        <v>23.29</v>
      </c>
      <c r="AW1593">
        <v>0.51</v>
      </c>
      <c r="BA1593">
        <v>0.33</v>
      </c>
      <c r="BB1593">
        <v>1.32</v>
      </c>
      <c r="BC1593">
        <v>-0.33</v>
      </c>
      <c r="BD1593">
        <v>0.53</v>
      </c>
      <c r="BE1593">
        <v>-0.66</v>
      </c>
      <c r="BF1593">
        <v>-1.63</v>
      </c>
      <c r="BG1593">
        <v>0</v>
      </c>
      <c r="BH1593">
        <v>-0.86</v>
      </c>
      <c r="BI1593">
        <v>20191029</v>
      </c>
      <c r="BJ1593">
        <v>20110329</v>
      </c>
      <c r="BK1593">
        <v>23.46</v>
      </c>
      <c r="BL1593" t="s">
        <v>116</v>
      </c>
      <c r="BM1593" t="s">
        <v>116</v>
      </c>
      <c r="BN1593">
        <v>291.12</v>
      </c>
      <c r="BO1593">
        <v>64.61</v>
      </c>
      <c r="BP1593">
        <v>5.82</v>
      </c>
      <c r="BQ1593">
        <v>75.81</v>
      </c>
      <c r="BR1593">
        <v>149.83000000000001</v>
      </c>
      <c r="BS1593">
        <v>6.83</v>
      </c>
      <c r="BT1593">
        <v>5.82</v>
      </c>
      <c r="BU1593">
        <v>158.86000000000001</v>
      </c>
      <c r="BV1593">
        <v>81.56</v>
      </c>
      <c r="BW1593">
        <v>8.6300000000000008</v>
      </c>
      <c r="BX1593">
        <v>17.02</v>
      </c>
      <c r="BY1593">
        <v>45.27</v>
      </c>
      <c r="BZ1593">
        <v>34.700000000000003</v>
      </c>
      <c r="CA1593">
        <v>0.15</v>
      </c>
      <c r="CB1593">
        <v>0.01</v>
      </c>
      <c r="CC1593">
        <v>0.16</v>
      </c>
      <c r="CD1593">
        <v>0.09</v>
      </c>
      <c r="CE1593">
        <v>0.21</v>
      </c>
      <c r="CF1593">
        <v>0.01</v>
      </c>
      <c r="CG1593">
        <v>21.83</v>
      </c>
      <c r="CH1593">
        <v>9.5299999999999994</v>
      </c>
      <c r="CI1593">
        <v>-0.15</v>
      </c>
      <c r="CJ1593">
        <v>53528</v>
      </c>
      <c r="CK1593">
        <v>24031</v>
      </c>
      <c r="CL1593" t="s">
        <v>7179</v>
      </c>
      <c r="CM1593">
        <v>-94.31</v>
      </c>
      <c r="CN1593">
        <v>-28.08</v>
      </c>
      <c r="CO1593">
        <v>1.1000000000000001</v>
      </c>
      <c r="CP1593">
        <v>7.44</v>
      </c>
      <c r="CQ1593">
        <v>1.57</v>
      </c>
      <c r="CR1593">
        <v>0.5</v>
      </c>
      <c r="CS1593" t="s">
        <v>930</v>
      </c>
      <c r="CT1593">
        <v>2.75</v>
      </c>
      <c r="CU1593">
        <v>0</v>
      </c>
      <c r="CV1593">
        <v>0.73</v>
      </c>
      <c r="CW1593">
        <v>0.93</v>
      </c>
      <c r="CX1593">
        <v>0.41</v>
      </c>
      <c r="CY1593">
        <v>22.19</v>
      </c>
      <c r="CZ1593" t="s">
        <v>8373</v>
      </c>
      <c r="DA1593">
        <v>23.35</v>
      </c>
      <c r="DB1593">
        <v>0.34</v>
      </c>
      <c r="DC1593">
        <v>0.46</v>
      </c>
      <c r="DD1593">
        <v>1.44</v>
      </c>
      <c r="DE1593">
        <v>4138</v>
      </c>
      <c r="DF1593">
        <v>300197</v>
      </c>
      <c r="DG1593" t="s">
        <v>116</v>
      </c>
      <c r="DH1593" t="s">
        <v>116</v>
      </c>
      <c r="DI1593" t="s">
        <v>116</v>
      </c>
    </row>
    <row r="1594" spans="1:113" x14ac:dyDescent="0.4">
      <c r="A1594" t="str">
        <f>"300198"</f>
        <v>300198</v>
      </c>
      <c r="B1594" t="s">
        <v>8374</v>
      </c>
      <c r="C1594">
        <v>-2.78</v>
      </c>
      <c r="D1594">
        <v>4.2</v>
      </c>
      <c r="E1594">
        <v>-0.12</v>
      </c>
      <c r="F1594">
        <v>4.2</v>
      </c>
      <c r="G1594">
        <v>4.21</v>
      </c>
      <c r="H1594">
        <v>183973</v>
      </c>
      <c r="I1594">
        <v>3411</v>
      </c>
      <c r="J1594">
        <v>0</v>
      </c>
      <c r="K1594">
        <v>2.21</v>
      </c>
      <c r="L1594">
        <v>4.3</v>
      </c>
      <c r="M1594">
        <v>4.32</v>
      </c>
      <c r="N1594">
        <v>4.1900000000000004</v>
      </c>
      <c r="O1594">
        <v>4.32</v>
      </c>
      <c r="P1594">
        <v>8.94</v>
      </c>
      <c r="Q1594">
        <v>78273400</v>
      </c>
      <c r="R1594">
        <v>0.92</v>
      </c>
      <c r="S1594" t="s">
        <v>2444</v>
      </c>
      <c r="T1594" t="s">
        <v>975</v>
      </c>
      <c r="U1594">
        <v>3.01</v>
      </c>
      <c r="V1594">
        <v>4.25</v>
      </c>
      <c r="W1594">
        <v>107193</v>
      </c>
      <c r="X1594">
        <v>76780</v>
      </c>
      <c r="Y1594">
        <v>1.4</v>
      </c>
      <c r="Z1594">
        <v>77</v>
      </c>
      <c r="AA1594">
        <v>585</v>
      </c>
      <c r="AB1594" t="s">
        <v>116</v>
      </c>
      <c r="AC1594">
        <v>547000</v>
      </c>
      <c r="AD1594">
        <v>0.02</v>
      </c>
      <c r="AE1594" t="s">
        <v>116</v>
      </c>
      <c r="AF1594" t="s">
        <v>116</v>
      </c>
      <c r="AG1594">
        <v>8.31</v>
      </c>
      <c r="AH1594" t="s">
        <v>881</v>
      </c>
      <c r="AI1594" t="s">
        <v>2080</v>
      </c>
      <c r="AJ1594">
        <v>-2.1</v>
      </c>
      <c r="AK1594">
        <v>2364</v>
      </c>
      <c r="AL1594">
        <v>78</v>
      </c>
      <c r="AM1594">
        <v>8.9999999999999998E-4</v>
      </c>
      <c r="AN1594">
        <v>-3</v>
      </c>
      <c r="AO1594">
        <v>-5.41</v>
      </c>
      <c r="AP1594">
        <v>-1.18</v>
      </c>
      <c r="AQ1594">
        <v>6.06</v>
      </c>
      <c r="AR1594">
        <v>47.89</v>
      </c>
      <c r="AS1594">
        <v>2.94</v>
      </c>
      <c r="AT1594" t="s">
        <v>2583</v>
      </c>
      <c r="AU1594" t="s">
        <v>116</v>
      </c>
      <c r="AV1594" t="s">
        <v>116</v>
      </c>
      <c r="AW1594">
        <v>0.69</v>
      </c>
      <c r="BA1594">
        <v>-0.46</v>
      </c>
      <c r="BB1594">
        <v>0</v>
      </c>
      <c r="BC1594">
        <v>-3.01</v>
      </c>
      <c r="BD1594">
        <v>-1.51</v>
      </c>
      <c r="BE1594">
        <v>-2.33</v>
      </c>
      <c r="BF1594">
        <v>-2.78</v>
      </c>
      <c r="BG1594">
        <v>0.24</v>
      </c>
      <c r="BH1594">
        <v>-1.26</v>
      </c>
      <c r="BI1594">
        <v>20191025</v>
      </c>
      <c r="BJ1594">
        <v>20110407</v>
      </c>
      <c r="BK1594">
        <v>10.32</v>
      </c>
      <c r="BL1594" t="s">
        <v>116</v>
      </c>
      <c r="BM1594" t="s">
        <v>116</v>
      </c>
      <c r="BN1594">
        <v>33.159999999999997</v>
      </c>
      <c r="BO1594">
        <v>15.26</v>
      </c>
      <c r="BP1594">
        <v>0.35</v>
      </c>
      <c r="BQ1594">
        <v>52.93</v>
      </c>
      <c r="BR1594">
        <v>12.34</v>
      </c>
      <c r="BS1594">
        <v>3.52</v>
      </c>
      <c r="BT1594">
        <v>0.54</v>
      </c>
      <c r="BU1594">
        <v>13.43</v>
      </c>
      <c r="BV1594">
        <v>1.84</v>
      </c>
      <c r="BW1594">
        <v>5.08</v>
      </c>
      <c r="BX1594">
        <v>0.62</v>
      </c>
      <c r="BY1594">
        <v>5.69</v>
      </c>
      <c r="BZ1594">
        <v>4.46</v>
      </c>
      <c r="CA1594">
        <v>4.84</v>
      </c>
      <c r="CB1594">
        <v>5.07</v>
      </c>
      <c r="CC1594">
        <v>4.87</v>
      </c>
      <c r="CD1594">
        <v>3.62</v>
      </c>
      <c r="CE1594">
        <v>3.63</v>
      </c>
      <c r="CF1594">
        <v>3.61</v>
      </c>
      <c r="CG1594">
        <v>3.94</v>
      </c>
      <c r="CH1594">
        <v>-0.43</v>
      </c>
      <c r="CI1594">
        <v>-0.82</v>
      </c>
      <c r="CJ1594">
        <v>29148</v>
      </c>
      <c r="CK1594">
        <v>21485</v>
      </c>
      <c r="CL1594" t="s">
        <v>8375</v>
      </c>
      <c r="CM1594">
        <v>6262.85</v>
      </c>
      <c r="CN1594">
        <v>-36.94</v>
      </c>
      <c r="CO1594">
        <v>2.84</v>
      </c>
      <c r="CP1594">
        <v>-101.71</v>
      </c>
      <c r="CQ1594">
        <v>7.61</v>
      </c>
      <c r="CR1594">
        <v>0</v>
      </c>
      <c r="CS1594" t="s">
        <v>8376</v>
      </c>
      <c r="CT1594">
        <v>1.48</v>
      </c>
      <c r="CU1594">
        <v>0</v>
      </c>
      <c r="CV1594">
        <v>0.06</v>
      </c>
      <c r="CW1594">
        <v>0.38</v>
      </c>
      <c r="CX1594">
        <v>-0.04</v>
      </c>
      <c r="CY1594">
        <v>46.03</v>
      </c>
      <c r="CZ1594" t="s">
        <v>8377</v>
      </c>
      <c r="DA1594">
        <v>21.63</v>
      </c>
      <c r="DB1594">
        <v>85.03</v>
      </c>
      <c r="DC1594">
        <v>63.83</v>
      </c>
      <c r="DD1594">
        <v>0.18</v>
      </c>
      <c r="DE1594">
        <v>850</v>
      </c>
      <c r="DF1594">
        <v>300198</v>
      </c>
      <c r="DG1594" t="s">
        <v>116</v>
      </c>
      <c r="DH1594" t="s">
        <v>116</v>
      </c>
      <c r="DI1594" t="s">
        <v>116</v>
      </c>
    </row>
    <row r="1595" spans="1:113" x14ac:dyDescent="0.4">
      <c r="A1595" t="str">
        <f>"300199"</f>
        <v>300199</v>
      </c>
      <c r="B1595" t="s">
        <v>8378</v>
      </c>
      <c r="C1595">
        <v>-1.05</v>
      </c>
      <c r="D1595">
        <v>5.66</v>
      </c>
      <c r="E1595">
        <v>-0.06</v>
      </c>
      <c r="F1595">
        <v>5.66</v>
      </c>
      <c r="G1595">
        <v>5.67</v>
      </c>
      <c r="H1595">
        <v>56253</v>
      </c>
      <c r="I1595">
        <v>1001</v>
      </c>
      <c r="J1595">
        <v>-0.17</v>
      </c>
      <c r="K1595">
        <v>0.94</v>
      </c>
      <c r="L1595">
        <v>5.73</v>
      </c>
      <c r="M1595">
        <v>5.76</v>
      </c>
      <c r="N1595">
        <v>5.66</v>
      </c>
      <c r="O1595">
        <v>5.72</v>
      </c>
      <c r="P1595" t="s">
        <v>116</v>
      </c>
      <c r="Q1595">
        <v>32085614</v>
      </c>
      <c r="R1595">
        <v>0.67</v>
      </c>
      <c r="S1595" t="s">
        <v>574</v>
      </c>
      <c r="T1595" t="s">
        <v>115</v>
      </c>
      <c r="U1595">
        <v>1.75</v>
      </c>
      <c r="V1595">
        <v>5.7</v>
      </c>
      <c r="W1595">
        <v>34713</v>
      </c>
      <c r="X1595">
        <v>21540</v>
      </c>
      <c r="Y1595">
        <v>1.61</v>
      </c>
      <c r="Z1595">
        <v>1200</v>
      </c>
      <c r="AA1595">
        <v>46</v>
      </c>
      <c r="AB1595" t="s">
        <v>116</v>
      </c>
      <c r="AC1595">
        <v>77900</v>
      </c>
      <c r="AD1595">
        <v>0</v>
      </c>
      <c r="AE1595" t="s">
        <v>116</v>
      </c>
      <c r="AF1595" t="s">
        <v>116</v>
      </c>
      <c r="AG1595">
        <v>5.99</v>
      </c>
      <c r="AH1595" t="s">
        <v>7199</v>
      </c>
      <c r="AI1595" t="s">
        <v>6548</v>
      </c>
      <c r="AJ1595">
        <v>-0.37</v>
      </c>
      <c r="AK1595">
        <v>1870</v>
      </c>
      <c r="AL1595">
        <v>30</v>
      </c>
      <c r="AM1595">
        <v>5.0000000000000001E-4</v>
      </c>
      <c r="AN1595">
        <v>-1</v>
      </c>
      <c r="AO1595">
        <v>-1.04</v>
      </c>
      <c r="AP1595">
        <v>0</v>
      </c>
      <c r="AQ1595">
        <v>-23.92</v>
      </c>
      <c r="AR1595">
        <v>-39.4</v>
      </c>
      <c r="AS1595">
        <v>1.18</v>
      </c>
      <c r="AT1595" t="s">
        <v>685</v>
      </c>
      <c r="AU1595" t="s">
        <v>116</v>
      </c>
      <c r="AV1595" t="s">
        <v>116</v>
      </c>
      <c r="AW1595">
        <v>1.32</v>
      </c>
      <c r="BA1595">
        <v>0.17</v>
      </c>
      <c r="BB1595">
        <v>0.7</v>
      </c>
      <c r="BC1595">
        <v>-1.05</v>
      </c>
      <c r="BD1595">
        <v>-0.28000000000000003</v>
      </c>
      <c r="BE1595">
        <v>-1.22</v>
      </c>
      <c r="BF1595">
        <v>-1.74</v>
      </c>
      <c r="BG1595">
        <v>0</v>
      </c>
      <c r="BH1595">
        <v>-0.77</v>
      </c>
      <c r="BI1595">
        <v>20191025</v>
      </c>
      <c r="BJ1595">
        <v>20110407</v>
      </c>
      <c r="BK1595">
        <v>9.17</v>
      </c>
      <c r="BL1595" t="s">
        <v>116</v>
      </c>
      <c r="BM1595" t="s">
        <v>116</v>
      </c>
      <c r="BN1595">
        <v>56.3</v>
      </c>
      <c r="BO1595">
        <v>30.57</v>
      </c>
      <c r="BP1595">
        <v>0</v>
      </c>
      <c r="BQ1595">
        <v>45.7</v>
      </c>
      <c r="BR1595">
        <v>26.24</v>
      </c>
      <c r="BS1595">
        <v>7.69</v>
      </c>
      <c r="BT1595">
        <v>3.04</v>
      </c>
      <c r="BU1595">
        <v>10.96</v>
      </c>
      <c r="BV1595">
        <v>1.88</v>
      </c>
      <c r="BW1595">
        <v>12.27</v>
      </c>
      <c r="BX1595">
        <v>17.13</v>
      </c>
      <c r="BY1595">
        <v>5.57</v>
      </c>
      <c r="BZ1595">
        <v>1.06</v>
      </c>
      <c r="CA1595">
        <v>-0.95</v>
      </c>
      <c r="CB1595">
        <v>0.11</v>
      </c>
      <c r="CC1595">
        <v>-0.77</v>
      </c>
      <c r="CD1595">
        <v>-0.8</v>
      </c>
      <c r="CE1595">
        <v>-0.8</v>
      </c>
      <c r="CF1595">
        <v>-1.1599999999999999</v>
      </c>
      <c r="CG1595">
        <v>5.85</v>
      </c>
      <c r="CH1595">
        <v>-1.51</v>
      </c>
      <c r="CI1595">
        <v>-4.9800000000000004</v>
      </c>
      <c r="CJ1595">
        <v>25222</v>
      </c>
      <c r="CK1595">
        <v>18960</v>
      </c>
      <c r="CL1595" t="s">
        <v>136</v>
      </c>
      <c r="CM1595">
        <v>-127.26</v>
      </c>
      <c r="CN1595">
        <v>-38.479999999999997</v>
      </c>
      <c r="CO1595">
        <v>1.7</v>
      </c>
      <c r="CP1595">
        <v>-34.299999999999997</v>
      </c>
      <c r="CQ1595">
        <v>9.32</v>
      </c>
      <c r="CR1595">
        <v>0</v>
      </c>
      <c r="CS1595" t="s">
        <v>8379</v>
      </c>
      <c r="CT1595">
        <v>3.33</v>
      </c>
      <c r="CU1595">
        <v>0</v>
      </c>
      <c r="CV1595">
        <v>1.87</v>
      </c>
      <c r="CW1595">
        <v>0.64</v>
      </c>
      <c r="CX1595">
        <v>-0.17</v>
      </c>
      <c r="CY1595">
        <v>54.3</v>
      </c>
      <c r="CZ1595" t="s">
        <v>8380</v>
      </c>
      <c r="DA1595">
        <v>81.05</v>
      </c>
      <c r="DB1595">
        <v>-17.079999999999998</v>
      </c>
      <c r="DC1595">
        <v>-14.38</v>
      </c>
      <c r="DD1595">
        <v>0.62</v>
      </c>
      <c r="DE1595">
        <v>1059</v>
      </c>
      <c r="DF1595">
        <v>300199</v>
      </c>
      <c r="DG1595" t="s">
        <v>116</v>
      </c>
      <c r="DH1595" t="s">
        <v>116</v>
      </c>
      <c r="DI1595" t="s">
        <v>116</v>
      </c>
    </row>
    <row r="1596" spans="1:113" x14ac:dyDescent="0.4">
      <c r="A1596" t="str">
        <f>"300200"</f>
        <v>300200</v>
      </c>
      <c r="B1596" t="s">
        <v>8381</v>
      </c>
      <c r="C1596">
        <v>-5.0999999999999996</v>
      </c>
      <c r="D1596">
        <v>12.46</v>
      </c>
      <c r="E1596">
        <v>-0.67</v>
      </c>
      <c r="F1596">
        <v>12.46</v>
      </c>
      <c r="G1596">
        <v>12.48</v>
      </c>
      <c r="H1596">
        <v>100397</v>
      </c>
      <c r="I1596">
        <v>1380</v>
      </c>
      <c r="J1596">
        <v>-0.31</v>
      </c>
      <c r="K1596">
        <v>4.96</v>
      </c>
      <c r="L1596">
        <v>13.17</v>
      </c>
      <c r="M1596">
        <v>13.17</v>
      </c>
      <c r="N1596">
        <v>12.4</v>
      </c>
      <c r="O1596">
        <v>13.13</v>
      </c>
      <c r="P1596">
        <v>17.82</v>
      </c>
      <c r="Q1596">
        <v>127962384</v>
      </c>
      <c r="R1596">
        <v>0.85</v>
      </c>
      <c r="S1596" t="s">
        <v>891</v>
      </c>
      <c r="T1596" t="s">
        <v>165</v>
      </c>
      <c r="U1596">
        <v>5.86</v>
      </c>
      <c r="V1596">
        <v>12.75</v>
      </c>
      <c r="W1596">
        <v>64853</v>
      </c>
      <c r="X1596">
        <v>35544</v>
      </c>
      <c r="Y1596">
        <v>1.82</v>
      </c>
      <c r="Z1596">
        <v>423</v>
      </c>
      <c r="AA1596">
        <v>273</v>
      </c>
      <c r="AB1596" t="s">
        <v>116</v>
      </c>
      <c r="AC1596">
        <v>784900</v>
      </c>
      <c r="AD1596">
        <v>0.05</v>
      </c>
      <c r="AE1596" t="s">
        <v>116</v>
      </c>
      <c r="AF1596" t="s">
        <v>116</v>
      </c>
      <c r="AG1596">
        <v>2.02</v>
      </c>
      <c r="AH1596" t="s">
        <v>8382</v>
      </c>
      <c r="AI1596" t="s">
        <v>4811</v>
      </c>
      <c r="AJ1596">
        <v>-4.42</v>
      </c>
      <c r="AK1596">
        <v>2628</v>
      </c>
      <c r="AL1596">
        <v>38</v>
      </c>
      <c r="AM1596">
        <v>1.9E-3</v>
      </c>
      <c r="AN1596">
        <v>-1</v>
      </c>
      <c r="AO1596">
        <v>-4.1500000000000004</v>
      </c>
      <c r="AP1596">
        <v>16.78</v>
      </c>
      <c r="AQ1596">
        <v>35.729999999999997</v>
      </c>
      <c r="AR1596">
        <v>82.16</v>
      </c>
      <c r="AS1596">
        <v>8.66</v>
      </c>
      <c r="AT1596" t="s">
        <v>8383</v>
      </c>
      <c r="AU1596">
        <v>21.18</v>
      </c>
      <c r="AV1596">
        <v>39.700000000000003</v>
      </c>
      <c r="AW1596">
        <v>1.41</v>
      </c>
      <c r="BA1596">
        <v>0.3</v>
      </c>
      <c r="BB1596">
        <v>0.3</v>
      </c>
      <c r="BC1596">
        <v>-5.56</v>
      </c>
      <c r="BD1596">
        <v>-2.93</v>
      </c>
      <c r="BE1596">
        <v>-5.39</v>
      </c>
      <c r="BF1596">
        <v>-5.39</v>
      </c>
      <c r="BG1596">
        <v>0.48</v>
      </c>
      <c r="BH1596">
        <v>-2.1800000000000002</v>
      </c>
      <c r="BI1596">
        <v>20191019</v>
      </c>
      <c r="BJ1596">
        <v>20110407</v>
      </c>
      <c r="BK1596">
        <v>2.67</v>
      </c>
      <c r="BL1596" t="s">
        <v>116</v>
      </c>
      <c r="BM1596" t="s">
        <v>116</v>
      </c>
      <c r="BN1596">
        <v>18.22</v>
      </c>
      <c r="BO1596">
        <v>16.07</v>
      </c>
      <c r="BP1596">
        <v>0</v>
      </c>
      <c r="BQ1596">
        <v>11.8</v>
      </c>
      <c r="BR1596">
        <v>8.61</v>
      </c>
      <c r="BS1596">
        <v>2.2599999999999998</v>
      </c>
      <c r="BT1596">
        <v>0.28999999999999998</v>
      </c>
      <c r="BU1596">
        <v>2.04</v>
      </c>
      <c r="BV1596">
        <v>0.88</v>
      </c>
      <c r="BW1596">
        <v>1.73</v>
      </c>
      <c r="BX1596">
        <v>10.73</v>
      </c>
      <c r="BY1596">
        <v>7.32</v>
      </c>
      <c r="BZ1596">
        <v>4.1900000000000004</v>
      </c>
      <c r="CA1596">
        <v>1.73</v>
      </c>
      <c r="CB1596">
        <v>7.0000000000000007E-2</v>
      </c>
      <c r="CC1596">
        <v>1.72</v>
      </c>
      <c r="CD1596">
        <v>1.4</v>
      </c>
      <c r="CE1596">
        <v>1.4</v>
      </c>
      <c r="CF1596">
        <v>1.39</v>
      </c>
      <c r="CG1596">
        <v>2.2799999999999998</v>
      </c>
      <c r="CH1596">
        <v>2.46</v>
      </c>
      <c r="CI1596">
        <v>-1.42</v>
      </c>
      <c r="CJ1596">
        <v>13525</v>
      </c>
      <c r="CK1596">
        <v>8569</v>
      </c>
      <c r="CL1596" t="s">
        <v>8384</v>
      </c>
      <c r="CM1596">
        <v>109.91</v>
      </c>
      <c r="CN1596">
        <v>-4.6399999999999997</v>
      </c>
      <c r="CO1596">
        <v>2.0699999999999998</v>
      </c>
      <c r="CP1596">
        <v>13.48</v>
      </c>
      <c r="CQ1596">
        <v>4.54</v>
      </c>
      <c r="CR1596">
        <v>1.69</v>
      </c>
      <c r="CS1596" t="s">
        <v>7258</v>
      </c>
      <c r="CT1596">
        <v>6.03</v>
      </c>
      <c r="CU1596">
        <v>0</v>
      </c>
      <c r="CV1596">
        <v>4.03</v>
      </c>
      <c r="CW1596">
        <v>0.85</v>
      </c>
      <c r="CX1596">
        <v>0.92</v>
      </c>
      <c r="CY1596">
        <v>88.2</v>
      </c>
      <c r="CZ1596" t="s">
        <v>987</v>
      </c>
      <c r="DA1596">
        <v>42.68</v>
      </c>
      <c r="DB1596">
        <v>23.65</v>
      </c>
      <c r="DC1596">
        <v>19.100000000000001</v>
      </c>
      <c r="DD1596">
        <v>0.41</v>
      </c>
      <c r="DE1596">
        <v>652</v>
      </c>
      <c r="DF1596">
        <v>300200</v>
      </c>
      <c r="DG1596" t="s">
        <v>116</v>
      </c>
      <c r="DH1596" t="s">
        <v>116</v>
      </c>
      <c r="DI1596" t="s">
        <v>116</v>
      </c>
    </row>
    <row r="1597" spans="1:113" x14ac:dyDescent="0.4">
      <c r="A1597" t="str">
        <f>"300201"</f>
        <v>300201</v>
      </c>
      <c r="B1597" t="s">
        <v>8385</v>
      </c>
      <c r="C1597">
        <v>0.23</v>
      </c>
      <c r="D1597">
        <v>4.3099999999999996</v>
      </c>
      <c r="E1597">
        <v>0.01</v>
      </c>
      <c r="F1597">
        <v>4.3</v>
      </c>
      <c r="G1597">
        <v>4.3099999999999996</v>
      </c>
      <c r="H1597">
        <v>312701</v>
      </c>
      <c r="I1597">
        <v>3241</v>
      </c>
      <c r="J1597">
        <v>-0.45</v>
      </c>
      <c r="K1597">
        <v>3.44</v>
      </c>
      <c r="L1597">
        <v>4.3499999999999996</v>
      </c>
      <c r="M1597">
        <v>4.38</v>
      </c>
      <c r="N1597">
        <v>4.2</v>
      </c>
      <c r="O1597">
        <v>4.3</v>
      </c>
      <c r="P1597">
        <v>126.8</v>
      </c>
      <c r="Q1597">
        <v>134097744</v>
      </c>
      <c r="R1597">
        <v>1.34</v>
      </c>
      <c r="S1597" t="s">
        <v>682</v>
      </c>
      <c r="T1597" t="s">
        <v>323</v>
      </c>
      <c r="U1597">
        <v>4.1900000000000004</v>
      </c>
      <c r="V1597">
        <v>4.29</v>
      </c>
      <c r="W1597">
        <v>173189</v>
      </c>
      <c r="X1597">
        <v>139512</v>
      </c>
      <c r="Y1597">
        <v>1.24</v>
      </c>
      <c r="Z1597">
        <v>3153</v>
      </c>
      <c r="AA1597">
        <v>446</v>
      </c>
      <c r="AB1597" t="s">
        <v>116</v>
      </c>
      <c r="AC1597">
        <v>2573000</v>
      </c>
      <c r="AD1597">
        <v>0.11</v>
      </c>
      <c r="AE1597" t="s">
        <v>116</v>
      </c>
      <c r="AF1597" t="s">
        <v>116</v>
      </c>
      <c r="AG1597">
        <v>9.09</v>
      </c>
      <c r="AH1597" t="s">
        <v>7858</v>
      </c>
      <c r="AI1597" t="s">
        <v>8386</v>
      </c>
      <c r="AJ1597">
        <v>0.91</v>
      </c>
      <c r="AK1597">
        <v>2490</v>
      </c>
      <c r="AL1597">
        <v>126</v>
      </c>
      <c r="AM1597">
        <v>1.4E-3</v>
      </c>
      <c r="AN1597">
        <v>4</v>
      </c>
      <c r="AO1597">
        <v>8.01</v>
      </c>
      <c r="AP1597">
        <v>22.1</v>
      </c>
      <c r="AQ1597">
        <v>-11.32</v>
      </c>
      <c r="AR1597">
        <v>7.08</v>
      </c>
      <c r="AS1597">
        <v>5.76</v>
      </c>
      <c r="AT1597" t="s">
        <v>4135</v>
      </c>
      <c r="AU1597">
        <v>63.09</v>
      </c>
      <c r="AV1597">
        <v>45.3</v>
      </c>
      <c r="AW1597">
        <v>1.1299999999999999</v>
      </c>
      <c r="BA1597">
        <v>1.1599999999999999</v>
      </c>
      <c r="BB1597">
        <v>1.86</v>
      </c>
      <c r="BC1597">
        <v>-2.33</v>
      </c>
      <c r="BD1597">
        <v>-0.27</v>
      </c>
      <c r="BE1597">
        <v>-0.92</v>
      </c>
      <c r="BF1597">
        <v>-1.6</v>
      </c>
      <c r="BG1597">
        <v>2.62</v>
      </c>
      <c r="BH1597">
        <v>0.5</v>
      </c>
      <c r="BI1597">
        <v>20191030</v>
      </c>
      <c r="BJ1597">
        <v>20110407</v>
      </c>
      <c r="BK1597">
        <v>10.41</v>
      </c>
      <c r="BL1597" t="s">
        <v>116</v>
      </c>
      <c r="BM1597" t="s">
        <v>116</v>
      </c>
      <c r="BN1597">
        <v>34.6</v>
      </c>
      <c r="BO1597">
        <v>16.09</v>
      </c>
      <c r="BP1597">
        <v>0.31</v>
      </c>
      <c r="BQ1597">
        <v>52.6</v>
      </c>
      <c r="BR1597">
        <v>22.03</v>
      </c>
      <c r="BS1597">
        <v>4.01</v>
      </c>
      <c r="BT1597">
        <v>1.56</v>
      </c>
      <c r="BU1597">
        <v>16.850000000000001</v>
      </c>
      <c r="BV1597">
        <v>5.48</v>
      </c>
      <c r="BW1597">
        <v>13.03</v>
      </c>
      <c r="BX1597">
        <v>0.98</v>
      </c>
      <c r="BY1597">
        <v>11.31</v>
      </c>
      <c r="BZ1597">
        <v>8.6999999999999993</v>
      </c>
      <c r="CA1597">
        <v>0.2</v>
      </c>
      <c r="CB1597">
        <v>-0.01</v>
      </c>
      <c r="CC1597">
        <v>0.27</v>
      </c>
      <c r="CD1597">
        <v>0.21</v>
      </c>
      <c r="CE1597">
        <v>0.27</v>
      </c>
      <c r="CF1597">
        <v>0.2</v>
      </c>
      <c r="CG1597">
        <v>4.37</v>
      </c>
      <c r="CH1597">
        <v>-1.01</v>
      </c>
      <c r="CI1597">
        <v>-1.1299999999999999</v>
      </c>
      <c r="CJ1597">
        <v>30832</v>
      </c>
      <c r="CK1597">
        <v>17622</v>
      </c>
      <c r="CL1597" t="s">
        <v>8387</v>
      </c>
      <c r="CM1597">
        <v>-51.27</v>
      </c>
      <c r="CN1597">
        <v>1.74</v>
      </c>
      <c r="CO1597">
        <v>2.79</v>
      </c>
      <c r="CP1597">
        <v>-44.36</v>
      </c>
      <c r="CQ1597">
        <v>3.97</v>
      </c>
      <c r="CR1597">
        <v>0.35</v>
      </c>
      <c r="CS1597" t="s">
        <v>3644</v>
      </c>
      <c r="CT1597">
        <v>1.55</v>
      </c>
      <c r="CU1597">
        <v>0</v>
      </c>
      <c r="CV1597">
        <v>0.09</v>
      </c>
      <c r="CW1597">
        <v>0.42</v>
      </c>
      <c r="CX1597">
        <v>-0.1</v>
      </c>
      <c r="CY1597">
        <v>46.51</v>
      </c>
      <c r="CZ1597" t="s">
        <v>2220</v>
      </c>
      <c r="DA1597">
        <v>23.08</v>
      </c>
      <c r="DB1597">
        <v>1.81</v>
      </c>
      <c r="DC1597">
        <v>2.35</v>
      </c>
      <c r="DD1597">
        <v>0.31</v>
      </c>
      <c r="DE1597">
        <v>1306</v>
      </c>
      <c r="DF1597">
        <v>300201</v>
      </c>
      <c r="DG1597" t="s">
        <v>116</v>
      </c>
      <c r="DH1597" t="s">
        <v>116</v>
      </c>
      <c r="DI1597" t="s">
        <v>116</v>
      </c>
    </row>
    <row r="1598" spans="1:113" x14ac:dyDescent="0.4">
      <c r="A1598" t="str">
        <f>"300202"</f>
        <v>300202</v>
      </c>
      <c r="B1598" t="s">
        <v>8388</v>
      </c>
      <c r="C1598">
        <v>-2.37</v>
      </c>
      <c r="D1598">
        <v>11.1</v>
      </c>
      <c r="E1598">
        <v>-0.27</v>
      </c>
      <c r="F1598">
        <v>11.09</v>
      </c>
      <c r="G1598">
        <v>11.1</v>
      </c>
      <c r="H1598">
        <v>178812</v>
      </c>
      <c r="I1598">
        <v>3628</v>
      </c>
      <c r="J1598">
        <v>0.36</v>
      </c>
      <c r="K1598">
        <v>4.21</v>
      </c>
      <c r="L1598">
        <v>11.38</v>
      </c>
      <c r="M1598">
        <v>11.53</v>
      </c>
      <c r="N1598">
        <v>11.04</v>
      </c>
      <c r="O1598">
        <v>11.37</v>
      </c>
      <c r="P1598">
        <v>101.89</v>
      </c>
      <c r="Q1598">
        <v>202466576</v>
      </c>
      <c r="R1598">
        <v>0.79</v>
      </c>
      <c r="S1598" t="s">
        <v>682</v>
      </c>
      <c r="T1598" t="s">
        <v>434</v>
      </c>
      <c r="U1598">
        <v>4.3099999999999996</v>
      </c>
      <c r="V1598">
        <v>11.32</v>
      </c>
      <c r="W1598">
        <v>100765</v>
      </c>
      <c r="X1598">
        <v>78047</v>
      </c>
      <c r="Y1598">
        <v>1.29</v>
      </c>
      <c r="Z1598">
        <v>84</v>
      </c>
      <c r="AA1598">
        <v>1219</v>
      </c>
      <c r="AB1598" t="s">
        <v>116</v>
      </c>
      <c r="AC1598">
        <v>327700</v>
      </c>
      <c r="AD1598">
        <v>0.01</v>
      </c>
      <c r="AE1598" t="s">
        <v>116</v>
      </c>
      <c r="AF1598" t="s">
        <v>116</v>
      </c>
      <c r="AG1598">
        <v>4.25</v>
      </c>
      <c r="AH1598" t="s">
        <v>8389</v>
      </c>
      <c r="AI1598" t="s">
        <v>168</v>
      </c>
      <c r="AJ1598">
        <v>-1.7</v>
      </c>
      <c r="AK1598">
        <v>3129</v>
      </c>
      <c r="AL1598">
        <v>57</v>
      </c>
      <c r="AM1598">
        <v>1.2999999999999999E-3</v>
      </c>
      <c r="AN1598">
        <v>-2</v>
      </c>
      <c r="AO1598">
        <v>-1.42</v>
      </c>
      <c r="AP1598">
        <v>-8.7200000000000006</v>
      </c>
      <c r="AQ1598">
        <v>8.82</v>
      </c>
      <c r="AR1598">
        <v>72.36</v>
      </c>
      <c r="AS1598">
        <v>7.68</v>
      </c>
      <c r="AT1598" t="s">
        <v>1431</v>
      </c>
      <c r="AU1598" t="s">
        <v>116</v>
      </c>
      <c r="AV1598" t="s">
        <v>116</v>
      </c>
      <c r="AW1598">
        <v>1.92</v>
      </c>
      <c r="BA1598">
        <v>0.09</v>
      </c>
      <c r="BB1598">
        <v>1.41</v>
      </c>
      <c r="BC1598">
        <v>-2.9</v>
      </c>
      <c r="BD1598">
        <v>-0.41</v>
      </c>
      <c r="BE1598">
        <v>-2.46</v>
      </c>
      <c r="BF1598">
        <v>-3.73</v>
      </c>
      <c r="BG1598">
        <v>0.54</v>
      </c>
      <c r="BH1598">
        <v>-1.96</v>
      </c>
      <c r="BI1598">
        <v>20191029</v>
      </c>
      <c r="BJ1598">
        <v>20110415</v>
      </c>
      <c r="BK1598">
        <v>5.5</v>
      </c>
      <c r="BL1598" t="s">
        <v>116</v>
      </c>
      <c r="BM1598" t="s">
        <v>116</v>
      </c>
      <c r="BN1598">
        <v>22.36</v>
      </c>
      <c r="BO1598">
        <v>16.48</v>
      </c>
      <c r="BP1598">
        <v>0</v>
      </c>
      <c r="BQ1598">
        <v>26.29</v>
      </c>
      <c r="BR1598">
        <v>16.57</v>
      </c>
      <c r="BS1598">
        <v>2.87</v>
      </c>
      <c r="BT1598">
        <v>0.31</v>
      </c>
      <c r="BU1598">
        <v>5.37</v>
      </c>
      <c r="BV1598">
        <v>3.02</v>
      </c>
      <c r="BW1598">
        <v>7.45</v>
      </c>
      <c r="BX1598">
        <v>1.41</v>
      </c>
      <c r="BY1598">
        <v>4.54</v>
      </c>
      <c r="BZ1598">
        <v>2.2000000000000002</v>
      </c>
      <c r="CA1598">
        <v>0.53</v>
      </c>
      <c r="CB1598">
        <v>0.04</v>
      </c>
      <c r="CC1598">
        <v>0.53</v>
      </c>
      <c r="CD1598">
        <v>0.42</v>
      </c>
      <c r="CE1598">
        <v>0.45</v>
      </c>
      <c r="CF1598">
        <v>0.41</v>
      </c>
      <c r="CG1598">
        <v>8.2799999999999994</v>
      </c>
      <c r="CH1598">
        <v>-2.14</v>
      </c>
      <c r="CI1598">
        <v>-3.81</v>
      </c>
      <c r="CJ1598">
        <v>27547</v>
      </c>
      <c r="CK1598">
        <v>8451</v>
      </c>
      <c r="CL1598" t="s">
        <v>6324</v>
      </c>
      <c r="CM1598">
        <v>24</v>
      </c>
      <c r="CN1598">
        <v>-5.44</v>
      </c>
      <c r="CO1598">
        <v>3.7</v>
      </c>
      <c r="CP1598">
        <v>-28.5</v>
      </c>
      <c r="CQ1598">
        <v>13.44</v>
      </c>
      <c r="CR1598">
        <v>0</v>
      </c>
      <c r="CS1598" t="s">
        <v>1272</v>
      </c>
      <c r="CT1598">
        <v>3</v>
      </c>
      <c r="CU1598">
        <v>0</v>
      </c>
      <c r="CV1598">
        <v>0.26</v>
      </c>
      <c r="CW1598">
        <v>1.51</v>
      </c>
      <c r="CX1598">
        <v>-0.39</v>
      </c>
      <c r="CY1598">
        <v>73.69</v>
      </c>
      <c r="CZ1598" t="s">
        <v>766</v>
      </c>
      <c r="DA1598">
        <v>51.56</v>
      </c>
      <c r="DB1598">
        <v>11.57</v>
      </c>
      <c r="DC1598">
        <v>9.89</v>
      </c>
      <c r="DD1598">
        <v>0.45</v>
      </c>
      <c r="DE1598">
        <v>2447</v>
      </c>
      <c r="DF1598">
        <v>300202</v>
      </c>
      <c r="DG1598" t="s">
        <v>116</v>
      </c>
      <c r="DH1598" t="s">
        <v>116</v>
      </c>
      <c r="DI1598" t="s">
        <v>116</v>
      </c>
    </row>
    <row r="1599" spans="1:113" x14ac:dyDescent="0.4">
      <c r="A1599" t="str">
        <f>"300203"</f>
        <v>300203</v>
      </c>
      <c r="B1599" t="s">
        <v>8390</v>
      </c>
      <c r="C1599">
        <v>2.93</v>
      </c>
      <c r="D1599">
        <v>16.52</v>
      </c>
      <c r="E1599">
        <v>0.47</v>
      </c>
      <c r="F1599">
        <v>16.52</v>
      </c>
      <c r="G1599">
        <v>16.53</v>
      </c>
      <c r="H1599">
        <v>223491</v>
      </c>
      <c r="I1599">
        <v>2016</v>
      </c>
      <c r="J1599">
        <v>-0.17</v>
      </c>
      <c r="K1599">
        <v>4.9400000000000004</v>
      </c>
      <c r="L1599">
        <v>16.399999999999999</v>
      </c>
      <c r="M1599">
        <v>17.16</v>
      </c>
      <c r="N1599">
        <v>16.399999999999999</v>
      </c>
      <c r="O1599">
        <v>16.05</v>
      </c>
      <c r="P1599">
        <v>16.73</v>
      </c>
      <c r="Q1599">
        <v>374812224</v>
      </c>
      <c r="R1599">
        <v>2.65</v>
      </c>
      <c r="S1599" t="s">
        <v>140</v>
      </c>
      <c r="T1599" t="s">
        <v>590</v>
      </c>
      <c r="U1599">
        <v>4.74</v>
      </c>
      <c r="V1599">
        <v>16.77</v>
      </c>
      <c r="W1599">
        <v>108763</v>
      </c>
      <c r="X1599">
        <v>114728</v>
      </c>
      <c r="Y1599">
        <v>0.95</v>
      </c>
      <c r="Z1599">
        <v>1061</v>
      </c>
      <c r="AA1599">
        <v>230</v>
      </c>
      <c r="AB1599" t="s">
        <v>116</v>
      </c>
      <c r="AC1599">
        <v>2264800</v>
      </c>
      <c r="AD1599">
        <v>0.05</v>
      </c>
      <c r="AE1599" t="s">
        <v>116</v>
      </c>
      <c r="AF1599" t="s">
        <v>116</v>
      </c>
      <c r="AG1599">
        <v>4.5199999999999996</v>
      </c>
      <c r="AH1599" t="s">
        <v>8391</v>
      </c>
      <c r="AI1599" t="s">
        <v>4574</v>
      </c>
      <c r="AJ1599">
        <v>3.61</v>
      </c>
      <c r="AK1599">
        <v>3605</v>
      </c>
      <c r="AL1599">
        <v>62</v>
      </c>
      <c r="AM1599">
        <v>1.4E-3</v>
      </c>
      <c r="AN1599">
        <v>2</v>
      </c>
      <c r="AO1599">
        <v>2.8</v>
      </c>
      <c r="AP1599">
        <v>19.190000000000001</v>
      </c>
      <c r="AQ1599">
        <v>-5.49</v>
      </c>
      <c r="AR1599">
        <v>-34.31</v>
      </c>
      <c r="AS1599">
        <v>7.82</v>
      </c>
      <c r="AT1599" t="s">
        <v>8392</v>
      </c>
      <c r="AU1599">
        <v>15.26</v>
      </c>
      <c r="AV1599">
        <v>12.43</v>
      </c>
      <c r="AW1599">
        <v>1.39</v>
      </c>
      <c r="BA1599">
        <v>2.1800000000000002</v>
      </c>
      <c r="BB1599">
        <v>6.92</v>
      </c>
      <c r="BC1599">
        <v>2.1800000000000002</v>
      </c>
      <c r="BD1599">
        <v>4.49</v>
      </c>
      <c r="BE1599">
        <v>0.73</v>
      </c>
      <c r="BF1599">
        <v>-3.73</v>
      </c>
      <c r="BG1599">
        <v>0.73</v>
      </c>
      <c r="BH1599">
        <v>-1.56</v>
      </c>
      <c r="BI1599">
        <v>20191227</v>
      </c>
      <c r="BJ1599">
        <v>20110415</v>
      </c>
      <c r="BK1599">
        <v>4.53</v>
      </c>
      <c r="BL1599" t="s">
        <v>116</v>
      </c>
      <c r="BM1599" t="s">
        <v>116</v>
      </c>
      <c r="BN1599">
        <v>94.51</v>
      </c>
      <c r="BO1599">
        <v>42.13</v>
      </c>
      <c r="BP1599">
        <v>5.58</v>
      </c>
      <c r="BQ1599">
        <v>49.52</v>
      </c>
      <c r="BR1599">
        <v>51.74</v>
      </c>
      <c r="BS1599">
        <v>6.08</v>
      </c>
      <c r="BT1599">
        <v>1.02</v>
      </c>
      <c r="BU1599">
        <v>31.33</v>
      </c>
      <c r="BV1599">
        <v>15.58</v>
      </c>
      <c r="BW1599">
        <v>20.47</v>
      </c>
      <c r="BX1599">
        <v>9.32</v>
      </c>
      <c r="BY1599">
        <v>25.9</v>
      </c>
      <c r="BZ1599">
        <v>13.47</v>
      </c>
      <c r="CA1599">
        <v>4.01</v>
      </c>
      <c r="CB1599">
        <v>0.02</v>
      </c>
      <c r="CC1599">
        <v>4</v>
      </c>
      <c r="CD1599">
        <v>3.65</v>
      </c>
      <c r="CE1599">
        <v>3.35</v>
      </c>
      <c r="CF1599">
        <v>2.82</v>
      </c>
      <c r="CG1599">
        <v>26.84</v>
      </c>
      <c r="CH1599">
        <v>-0.69</v>
      </c>
      <c r="CI1599">
        <v>-5.32</v>
      </c>
      <c r="CJ1599">
        <v>25578</v>
      </c>
      <c r="CK1599">
        <v>11170</v>
      </c>
      <c r="CL1599" t="s">
        <v>7295</v>
      </c>
      <c r="CM1599">
        <v>-24.94</v>
      </c>
      <c r="CN1599">
        <v>12.57</v>
      </c>
      <c r="CO1599">
        <v>1.77</v>
      </c>
      <c r="CP1599">
        <v>-109.12</v>
      </c>
      <c r="CQ1599">
        <v>2.89</v>
      </c>
      <c r="CR1599">
        <v>2.98</v>
      </c>
      <c r="CS1599" t="s">
        <v>1598</v>
      </c>
      <c r="CT1599">
        <v>9.31</v>
      </c>
      <c r="CU1599">
        <v>0</v>
      </c>
      <c r="CV1599">
        <v>2.06</v>
      </c>
      <c r="CW1599">
        <v>5.93</v>
      </c>
      <c r="CX1599">
        <v>-0.15</v>
      </c>
      <c r="CY1599">
        <v>44.58</v>
      </c>
      <c r="CZ1599" t="s">
        <v>2226</v>
      </c>
      <c r="DA1599">
        <v>48.02</v>
      </c>
      <c r="DB1599">
        <v>15.47</v>
      </c>
      <c r="DC1599">
        <v>12.93</v>
      </c>
      <c r="DD1599">
        <v>2.5099999999999998</v>
      </c>
      <c r="DE1599">
        <v>5235</v>
      </c>
      <c r="DF1599">
        <v>300203</v>
      </c>
      <c r="DG1599" t="s">
        <v>116</v>
      </c>
      <c r="DH1599" t="s">
        <v>116</v>
      </c>
      <c r="DI1599" t="s">
        <v>116</v>
      </c>
    </row>
    <row r="1600" spans="1:113" x14ac:dyDescent="0.4">
      <c r="A1600" t="str">
        <f>"300204"</f>
        <v>300204</v>
      </c>
      <c r="B1600" t="s">
        <v>8393</v>
      </c>
      <c r="C1600">
        <v>-2.2999999999999998</v>
      </c>
      <c r="D1600">
        <v>11.06</v>
      </c>
      <c r="E1600">
        <v>-0.26</v>
      </c>
      <c r="F1600">
        <v>11.06</v>
      </c>
      <c r="G1600">
        <v>11.07</v>
      </c>
      <c r="H1600">
        <v>9128</v>
      </c>
      <c r="I1600">
        <v>139</v>
      </c>
      <c r="J1600">
        <v>-0.44</v>
      </c>
      <c r="K1600">
        <v>0.2</v>
      </c>
      <c r="L1600">
        <v>11.32</v>
      </c>
      <c r="M1600">
        <v>11.42</v>
      </c>
      <c r="N1600">
        <v>11.06</v>
      </c>
      <c r="O1600">
        <v>11.32</v>
      </c>
      <c r="P1600">
        <v>96.07</v>
      </c>
      <c r="Q1600">
        <v>10218238</v>
      </c>
      <c r="R1600">
        <v>0.95</v>
      </c>
      <c r="S1600" t="s">
        <v>132</v>
      </c>
      <c r="T1600" t="s">
        <v>165</v>
      </c>
      <c r="U1600">
        <v>3.18</v>
      </c>
      <c r="V1600">
        <v>11.19</v>
      </c>
      <c r="W1600">
        <v>6496</v>
      </c>
      <c r="X1600">
        <v>2632</v>
      </c>
      <c r="Y1600">
        <v>2.4700000000000002</v>
      </c>
      <c r="Z1600">
        <v>29</v>
      </c>
      <c r="AA1600">
        <v>15</v>
      </c>
      <c r="AB1600" t="s">
        <v>116</v>
      </c>
      <c r="AC1600">
        <v>122300</v>
      </c>
      <c r="AD1600">
        <v>0.01</v>
      </c>
      <c r="AE1600" t="s">
        <v>116</v>
      </c>
      <c r="AF1600" t="s">
        <v>116</v>
      </c>
      <c r="AG1600">
        <v>4.67</v>
      </c>
      <c r="AH1600" t="s">
        <v>5193</v>
      </c>
      <c r="AI1600" t="s">
        <v>8394</v>
      </c>
      <c r="AJ1600">
        <v>-1.62</v>
      </c>
      <c r="AK1600">
        <v>434</v>
      </c>
      <c r="AL1600">
        <v>21</v>
      </c>
      <c r="AM1600">
        <v>5.0000000000000001E-4</v>
      </c>
      <c r="AN1600">
        <v>-1</v>
      </c>
      <c r="AO1600">
        <v>-0.36</v>
      </c>
      <c r="AP1600">
        <v>7.07</v>
      </c>
      <c r="AQ1600">
        <v>-9.1999999999999993</v>
      </c>
      <c r="AR1600">
        <v>6.22</v>
      </c>
      <c r="AS1600">
        <v>0.51</v>
      </c>
      <c r="AT1600" t="s">
        <v>1241</v>
      </c>
      <c r="AU1600">
        <v>93.5</v>
      </c>
      <c r="AV1600">
        <v>39.270000000000003</v>
      </c>
      <c r="AW1600">
        <v>0.96</v>
      </c>
      <c r="BA1600">
        <v>0</v>
      </c>
      <c r="BB1600">
        <v>0.88</v>
      </c>
      <c r="BC1600">
        <v>-2.2999999999999998</v>
      </c>
      <c r="BD1600">
        <v>-1.1100000000000001</v>
      </c>
      <c r="BE1600">
        <v>-2.2999999999999998</v>
      </c>
      <c r="BF1600">
        <v>-3.15</v>
      </c>
      <c r="BG1600">
        <v>0</v>
      </c>
      <c r="BH1600">
        <v>-1.18</v>
      </c>
      <c r="BI1600">
        <v>20191030</v>
      </c>
      <c r="BJ1600">
        <v>20110415</v>
      </c>
      <c r="BK1600">
        <v>4.76</v>
      </c>
      <c r="BL1600" t="s">
        <v>116</v>
      </c>
      <c r="BM1600" t="s">
        <v>116</v>
      </c>
      <c r="BN1600">
        <v>18.5</v>
      </c>
      <c r="BO1600">
        <v>16.3</v>
      </c>
      <c r="BP1600">
        <v>0</v>
      </c>
      <c r="BQ1600">
        <v>11.89</v>
      </c>
      <c r="BR1600">
        <v>10.75</v>
      </c>
      <c r="BS1600">
        <v>2.4900000000000002</v>
      </c>
      <c r="BT1600">
        <v>0.37</v>
      </c>
      <c r="BU1600">
        <v>1.74</v>
      </c>
      <c r="BV1600">
        <v>0.43</v>
      </c>
      <c r="BW1600">
        <v>1.1499999999999999</v>
      </c>
      <c r="BX1600">
        <v>5.2</v>
      </c>
      <c r="BY1600">
        <v>5.24</v>
      </c>
      <c r="BZ1600">
        <v>0.61</v>
      </c>
      <c r="CA1600">
        <v>0.52</v>
      </c>
      <c r="CB1600">
        <v>0.24</v>
      </c>
      <c r="CC1600">
        <v>0.52</v>
      </c>
      <c r="CD1600">
        <v>0.41</v>
      </c>
      <c r="CE1600">
        <v>0.41</v>
      </c>
      <c r="CF1600">
        <v>0.28000000000000003</v>
      </c>
      <c r="CG1600">
        <v>6.24</v>
      </c>
      <c r="CH1600">
        <v>0.66</v>
      </c>
      <c r="CI1600">
        <v>-2.29</v>
      </c>
      <c r="CJ1600">
        <v>12470</v>
      </c>
      <c r="CK1600">
        <v>14252</v>
      </c>
      <c r="CL1600" t="s">
        <v>4221</v>
      </c>
      <c r="CM1600">
        <v>-65.42</v>
      </c>
      <c r="CN1600">
        <v>-17.350000000000001</v>
      </c>
      <c r="CO1600">
        <v>3.23</v>
      </c>
      <c r="CP1600">
        <v>79.86</v>
      </c>
      <c r="CQ1600">
        <v>10.050000000000001</v>
      </c>
      <c r="CR1600">
        <v>5.98</v>
      </c>
      <c r="CS1600" t="s">
        <v>1469</v>
      </c>
      <c r="CT1600">
        <v>3.42</v>
      </c>
      <c r="CU1600">
        <v>0</v>
      </c>
      <c r="CV1600">
        <v>1.0900000000000001</v>
      </c>
      <c r="CW1600">
        <v>1.31</v>
      </c>
      <c r="CX1600">
        <v>0.14000000000000001</v>
      </c>
      <c r="CY1600">
        <v>88.11</v>
      </c>
      <c r="CZ1600" t="s">
        <v>8395</v>
      </c>
      <c r="DA1600">
        <v>88.28</v>
      </c>
      <c r="DB1600">
        <v>9.86</v>
      </c>
      <c r="DC1600">
        <v>7.84</v>
      </c>
      <c r="DD1600">
        <v>1.1000000000000001</v>
      </c>
      <c r="DE1600">
        <v>864</v>
      </c>
      <c r="DF1600">
        <v>300204</v>
      </c>
      <c r="DG1600" t="s">
        <v>116</v>
      </c>
      <c r="DH1600" t="s">
        <v>116</v>
      </c>
      <c r="DI1600" t="s">
        <v>116</v>
      </c>
    </row>
    <row r="1601" spans="1:113" x14ac:dyDescent="0.4">
      <c r="A1601" t="str">
        <f>"300205"</f>
        <v>300205</v>
      </c>
      <c r="B1601" t="s">
        <v>8396</v>
      </c>
      <c r="C1601">
        <v>-1.44</v>
      </c>
      <c r="D1601">
        <v>10.97</v>
      </c>
      <c r="E1601">
        <v>-0.16</v>
      </c>
      <c r="F1601">
        <v>10.97</v>
      </c>
      <c r="G1601">
        <v>10.98</v>
      </c>
      <c r="H1601">
        <v>86340</v>
      </c>
      <c r="I1601">
        <v>939</v>
      </c>
      <c r="J1601">
        <v>-0.17</v>
      </c>
      <c r="K1601">
        <v>2.0299999999999998</v>
      </c>
      <c r="L1601">
        <v>11.13</v>
      </c>
      <c r="M1601">
        <v>11.26</v>
      </c>
      <c r="N1601">
        <v>10.97</v>
      </c>
      <c r="O1601">
        <v>11.13</v>
      </c>
      <c r="P1601">
        <v>19.579999999999998</v>
      </c>
      <c r="Q1601">
        <v>96121208</v>
      </c>
      <c r="R1601">
        <v>1.1200000000000001</v>
      </c>
      <c r="S1601" t="s">
        <v>233</v>
      </c>
      <c r="T1601" t="s">
        <v>774</v>
      </c>
      <c r="U1601">
        <v>2.61</v>
      </c>
      <c r="V1601">
        <v>11.13</v>
      </c>
      <c r="W1601">
        <v>45738</v>
      </c>
      <c r="X1601">
        <v>40602</v>
      </c>
      <c r="Y1601">
        <v>1.1299999999999999</v>
      </c>
      <c r="Z1601">
        <v>56</v>
      </c>
      <c r="AA1601">
        <v>735</v>
      </c>
      <c r="AB1601" t="s">
        <v>116</v>
      </c>
      <c r="AC1601">
        <v>378400</v>
      </c>
      <c r="AD1601">
        <v>0.02</v>
      </c>
      <c r="AE1601" t="s">
        <v>116</v>
      </c>
      <c r="AF1601" t="s">
        <v>116</v>
      </c>
      <c r="AG1601">
        <v>4.26</v>
      </c>
      <c r="AH1601" t="s">
        <v>8397</v>
      </c>
      <c r="AI1601" t="s">
        <v>8398</v>
      </c>
      <c r="AJ1601">
        <v>-0.76</v>
      </c>
      <c r="AK1601">
        <v>2228</v>
      </c>
      <c r="AL1601">
        <v>39</v>
      </c>
      <c r="AM1601">
        <v>8.9999999999999998E-4</v>
      </c>
      <c r="AN1601">
        <v>-2</v>
      </c>
      <c r="AO1601">
        <v>-1.0900000000000001</v>
      </c>
      <c r="AP1601">
        <v>5.99</v>
      </c>
      <c r="AQ1601">
        <v>-5.43</v>
      </c>
      <c r="AR1601">
        <v>36.44</v>
      </c>
      <c r="AS1601">
        <v>3.88</v>
      </c>
      <c r="AT1601" t="s">
        <v>8399</v>
      </c>
      <c r="AU1601">
        <v>22.94</v>
      </c>
      <c r="AV1601">
        <v>46.7</v>
      </c>
      <c r="AW1601">
        <v>2.15</v>
      </c>
      <c r="BA1601">
        <v>0</v>
      </c>
      <c r="BB1601">
        <v>1.17</v>
      </c>
      <c r="BC1601">
        <v>-1.44</v>
      </c>
      <c r="BD1601">
        <v>0.03</v>
      </c>
      <c r="BE1601">
        <v>-1.44</v>
      </c>
      <c r="BF1601">
        <v>-2.58</v>
      </c>
      <c r="BG1601">
        <v>0</v>
      </c>
      <c r="BH1601">
        <v>-1.46</v>
      </c>
      <c r="BI1601">
        <v>20191029</v>
      </c>
      <c r="BJ1601">
        <v>20110421</v>
      </c>
      <c r="BK1601">
        <v>4.3</v>
      </c>
      <c r="BL1601" t="s">
        <v>116</v>
      </c>
      <c r="BM1601" t="s">
        <v>116</v>
      </c>
      <c r="BN1601">
        <v>23.63</v>
      </c>
      <c r="BO1601">
        <v>14.19</v>
      </c>
      <c r="BP1601">
        <v>-0.01</v>
      </c>
      <c r="BQ1601">
        <v>40.01</v>
      </c>
      <c r="BR1601">
        <v>19.61</v>
      </c>
      <c r="BS1601">
        <v>1.51</v>
      </c>
      <c r="BT1601">
        <v>0.53</v>
      </c>
      <c r="BU1601">
        <v>9.19</v>
      </c>
      <c r="BV1601">
        <v>2.98</v>
      </c>
      <c r="BW1601">
        <v>9.64</v>
      </c>
      <c r="BX1601">
        <v>4.08</v>
      </c>
      <c r="BY1601">
        <v>15.85</v>
      </c>
      <c r="BZ1601">
        <v>12.16</v>
      </c>
      <c r="CA1601">
        <v>2.11</v>
      </c>
      <c r="CB1601">
        <v>1.18</v>
      </c>
      <c r="CC1601">
        <v>2.09</v>
      </c>
      <c r="CD1601">
        <v>1.63</v>
      </c>
      <c r="CE1601">
        <v>1.81</v>
      </c>
      <c r="CF1601">
        <v>0.05</v>
      </c>
      <c r="CG1601">
        <v>4.9800000000000004</v>
      </c>
      <c r="CH1601">
        <v>-0.22</v>
      </c>
      <c r="CI1601">
        <v>-0.87</v>
      </c>
      <c r="CJ1601">
        <v>22462</v>
      </c>
      <c r="CK1601">
        <v>9894</v>
      </c>
      <c r="CL1601" t="s">
        <v>6607</v>
      </c>
      <c r="CM1601">
        <v>137.47</v>
      </c>
      <c r="CN1601">
        <v>-2.4</v>
      </c>
      <c r="CO1601">
        <v>3.33</v>
      </c>
      <c r="CP1601">
        <v>-217.24</v>
      </c>
      <c r="CQ1601">
        <v>2.98</v>
      </c>
      <c r="CR1601">
        <v>0.91</v>
      </c>
      <c r="CS1601" t="s">
        <v>2820</v>
      </c>
      <c r="CT1601">
        <v>3.3</v>
      </c>
      <c r="CU1601">
        <v>0</v>
      </c>
      <c r="CV1601">
        <v>0.95</v>
      </c>
      <c r="CW1601">
        <v>1.1599999999999999</v>
      </c>
      <c r="CX1601">
        <v>-0.05</v>
      </c>
      <c r="CY1601">
        <v>60.04</v>
      </c>
      <c r="CZ1601" t="s">
        <v>2625</v>
      </c>
      <c r="DA1601">
        <v>23.31</v>
      </c>
      <c r="DB1601">
        <v>13.29</v>
      </c>
      <c r="DC1601">
        <v>11.4</v>
      </c>
      <c r="DD1601">
        <v>1.41</v>
      </c>
      <c r="DE1601">
        <v>2780</v>
      </c>
      <c r="DF1601">
        <v>300205</v>
      </c>
      <c r="DG1601" t="s">
        <v>116</v>
      </c>
      <c r="DH1601" t="s">
        <v>116</v>
      </c>
      <c r="DI1601" t="s">
        <v>116</v>
      </c>
    </row>
    <row r="1602" spans="1:113" x14ac:dyDescent="0.4">
      <c r="A1602" t="str">
        <f>"300206"</f>
        <v>300206</v>
      </c>
      <c r="B1602" t="s">
        <v>8400</v>
      </c>
      <c r="C1602">
        <v>-1.38</v>
      </c>
      <c r="D1602">
        <v>7.17</v>
      </c>
      <c r="E1602">
        <v>-0.1</v>
      </c>
      <c r="F1602">
        <v>7.15</v>
      </c>
      <c r="G1602">
        <v>7.17</v>
      </c>
      <c r="H1602">
        <v>55551</v>
      </c>
      <c r="I1602">
        <v>1582</v>
      </c>
      <c r="J1602">
        <v>0.84</v>
      </c>
      <c r="K1602">
        <v>1.63</v>
      </c>
      <c r="L1602">
        <v>7.27</v>
      </c>
      <c r="M1602">
        <v>7.28</v>
      </c>
      <c r="N1602">
        <v>7.11</v>
      </c>
      <c r="O1602">
        <v>7.27</v>
      </c>
      <c r="P1602">
        <v>27.7</v>
      </c>
      <c r="Q1602">
        <v>39955416</v>
      </c>
      <c r="R1602">
        <v>1.24</v>
      </c>
      <c r="S1602" t="s">
        <v>559</v>
      </c>
      <c r="T1602" t="s">
        <v>115</v>
      </c>
      <c r="U1602">
        <v>2.34</v>
      </c>
      <c r="V1602">
        <v>7.19</v>
      </c>
      <c r="W1602">
        <v>36081</v>
      </c>
      <c r="X1602">
        <v>19470</v>
      </c>
      <c r="Y1602">
        <v>1.85</v>
      </c>
      <c r="Z1602">
        <v>25</v>
      </c>
      <c r="AA1602">
        <v>861</v>
      </c>
      <c r="AB1602" t="s">
        <v>116</v>
      </c>
      <c r="AC1602">
        <v>23300</v>
      </c>
      <c r="AD1602">
        <v>0</v>
      </c>
      <c r="AE1602" t="s">
        <v>116</v>
      </c>
      <c r="AF1602" t="s">
        <v>116</v>
      </c>
      <c r="AG1602">
        <v>3.4</v>
      </c>
      <c r="AH1602" t="s">
        <v>8401</v>
      </c>
      <c r="AI1602" t="s">
        <v>8402</v>
      </c>
      <c r="AJ1602">
        <v>-0.7</v>
      </c>
      <c r="AK1602">
        <v>1313</v>
      </c>
      <c r="AL1602">
        <v>42</v>
      </c>
      <c r="AM1602">
        <v>1.1999999999999999E-3</v>
      </c>
      <c r="AN1602">
        <v>-1</v>
      </c>
      <c r="AO1602">
        <v>-0.83</v>
      </c>
      <c r="AP1602">
        <v>2.87</v>
      </c>
      <c r="AQ1602">
        <v>3.76</v>
      </c>
      <c r="AR1602">
        <v>25.2</v>
      </c>
      <c r="AS1602">
        <v>2.14</v>
      </c>
      <c r="AT1602" t="s">
        <v>1220</v>
      </c>
      <c r="AU1602">
        <v>35.72</v>
      </c>
      <c r="AV1602">
        <v>45.02</v>
      </c>
      <c r="AW1602">
        <v>0.98</v>
      </c>
      <c r="BA1602">
        <v>0</v>
      </c>
      <c r="BB1602">
        <v>0.14000000000000001</v>
      </c>
      <c r="BC1602">
        <v>-2.2000000000000002</v>
      </c>
      <c r="BD1602">
        <v>-1.06</v>
      </c>
      <c r="BE1602">
        <v>-1.38</v>
      </c>
      <c r="BF1602">
        <v>-1.51</v>
      </c>
      <c r="BG1602">
        <v>0.84</v>
      </c>
      <c r="BH1602">
        <v>-0.31</v>
      </c>
      <c r="BI1602">
        <v>20191028</v>
      </c>
      <c r="BJ1602">
        <v>20110421</v>
      </c>
      <c r="BK1602">
        <v>5.82</v>
      </c>
      <c r="BL1602" t="s">
        <v>116</v>
      </c>
      <c r="BM1602" t="s">
        <v>116</v>
      </c>
      <c r="BN1602">
        <v>14.89</v>
      </c>
      <c r="BO1602">
        <v>12.84</v>
      </c>
      <c r="BP1602">
        <v>0.09</v>
      </c>
      <c r="BQ1602">
        <v>13.14</v>
      </c>
      <c r="BR1602">
        <v>8.35</v>
      </c>
      <c r="BS1602">
        <v>4.51</v>
      </c>
      <c r="BT1602">
        <v>0.78</v>
      </c>
      <c r="BU1602">
        <v>1.58</v>
      </c>
      <c r="BV1602">
        <v>2.0299999999999998</v>
      </c>
      <c r="BW1602">
        <v>1.1100000000000001</v>
      </c>
      <c r="BX1602">
        <v>4.1100000000000003</v>
      </c>
      <c r="BY1602">
        <v>8.1999999999999993</v>
      </c>
      <c r="BZ1602">
        <v>3.62</v>
      </c>
      <c r="CA1602">
        <v>1.1000000000000001</v>
      </c>
      <c r="CB1602">
        <v>0.08</v>
      </c>
      <c r="CC1602">
        <v>1.1100000000000001</v>
      </c>
      <c r="CD1602">
        <v>1.1000000000000001</v>
      </c>
      <c r="CE1602">
        <v>1.1299999999999999</v>
      </c>
      <c r="CF1602">
        <v>0.95</v>
      </c>
      <c r="CG1602">
        <v>2.4700000000000002</v>
      </c>
      <c r="CH1602">
        <v>0.94</v>
      </c>
      <c r="CI1602">
        <v>0.32</v>
      </c>
      <c r="CJ1602">
        <v>19159</v>
      </c>
      <c r="CK1602">
        <v>13571</v>
      </c>
      <c r="CL1602" t="s">
        <v>8403</v>
      </c>
      <c r="CM1602">
        <v>27.16</v>
      </c>
      <c r="CN1602">
        <v>12.53</v>
      </c>
      <c r="CO1602">
        <v>3.25</v>
      </c>
      <c r="CP1602">
        <v>44.5</v>
      </c>
      <c r="CQ1602">
        <v>5.09</v>
      </c>
      <c r="CR1602">
        <v>1.44</v>
      </c>
      <c r="CS1602" t="s">
        <v>7352</v>
      </c>
      <c r="CT1602">
        <v>2.21</v>
      </c>
      <c r="CU1602">
        <v>0</v>
      </c>
      <c r="CV1602">
        <v>0.71</v>
      </c>
      <c r="CW1602">
        <v>0.42</v>
      </c>
      <c r="CX1602">
        <v>0.16</v>
      </c>
      <c r="CY1602">
        <v>86.24</v>
      </c>
      <c r="CZ1602" t="s">
        <v>8404</v>
      </c>
      <c r="DA1602">
        <v>55.88</v>
      </c>
      <c r="DB1602">
        <v>13.38</v>
      </c>
      <c r="DC1602">
        <v>13.77</v>
      </c>
      <c r="DD1602">
        <v>1.37</v>
      </c>
      <c r="DE1602">
        <v>1847</v>
      </c>
      <c r="DF1602">
        <v>300206</v>
      </c>
      <c r="DG1602" t="s">
        <v>116</v>
      </c>
      <c r="DH1602" t="s">
        <v>116</v>
      </c>
      <c r="DI1602" t="s">
        <v>116</v>
      </c>
    </row>
    <row r="1603" spans="1:113" x14ac:dyDescent="0.4">
      <c r="A1603" t="str">
        <f>"300207"</f>
        <v>300207</v>
      </c>
      <c r="B1603" t="s">
        <v>8405</v>
      </c>
      <c r="C1603">
        <v>-4.66</v>
      </c>
      <c r="D1603">
        <v>19.440000000000001</v>
      </c>
      <c r="E1603">
        <v>-0.95</v>
      </c>
      <c r="F1603">
        <v>19.440000000000001</v>
      </c>
      <c r="G1603">
        <v>19.45</v>
      </c>
      <c r="H1603">
        <v>298177</v>
      </c>
      <c r="I1603">
        <v>2810</v>
      </c>
      <c r="J1603">
        <v>-0.3</v>
      </c>
      <c r="K1603">
        <v>2.16</v>
      </c>
      <c r="L1603">
        <v>20.23</v>
      </c>
      <c r="M1603">
        <v>20.88</v>
      </c>
      <c r="N1603">
        <v>19.399999999999999</v>
      </c>
      <c r="O1603">
        <v>20.39</v>
      </c>
      <c r="P1603">
        <v>44.95</v>
      </c>
      <c r="Q1603">
        <v>595664640</v>
      </c>
      <c r="R1603">
        <v>1.21</v>
      </c>
      <c r="S1603" t="s">
        <v>233</v>
      </c>
      <c r="T1603" t="s">
        <v>115</v>
      </c>
      <c r="U1603">
        <v>7.26</v>
      </c>
      <c r="V1603">
        <v>19.98</v>
      </c>
      <c r="W1603">
        <v>166304</v>
      </c>
      <c r="X1603">
        <v>131873</v>
      </c>
      <c r="Y1603">
        <v>1.26</v>
      </c>
      <c r="Z1603">
        <v>10</v>
      </c>
      <c r="AA1603">
        <v>328</v>
      </c>
      <c r="AB1603" t="s">
        <v>116</v>
      </c>
      <c r="AC1603">
        <v>2012900</v>
      </c>
      <c r="AD1603">
        <v>0.01</v>
      </c>
      <c r="AE1603" t="s">
        <v>116</v>
      </c>
      <c r="AF1603" t="s">
        <v>116</v>
      </c>
      <c r="AG1603">
        <v>13.83</v>
      </c>
      <c r="AH1603" t="s">
        <v>8406</v>
      </c>
      <c r="AI1603" t="s">
        <v>8407</v>
      </c>
      <c r="AJ1603">
        <v>-3.98</v>
      </c>
      <c r="AK1603">
        <v>4296</v>
      </c>
      <c r="AL1603">
        <v>69</v>
      </c>
      <c r="AM1603">
        <v>5.0000000000000001E-4</v>
      </c>
      <c r="AN1603">
        <v>-1</v>
      </c>
      <c r="AO1603">
        <v>-4.3899999999999997</v>
      </c>
      <c r="AP1603">
        <v>10.64</v>
      </c>
      <c r="AQ1603">
        <v>26.98</v>
      </c>
      <c r="AR1603">
        <v>129.79</v>
      </c>
      <c r="AS1603">
        <v>3.22</v>
      </c>
      <c r="AT1603" t="s">
        <v>8408</v>
      </c>
      <c r="AU1603">
        <v>38.86</v>
      </c>
      <c r="AV1603">
        <v>42.89</v>
      </c>
      <c r="AW1603">
        <v>1.65</v>
      </c>
      <c r="BA1603">
        <v>-0.78</v>
      </c>
      <c r="BB1603">
        <v>2.4</v>
      </c>
      <c r="BC1603">
        <v>-4.8600000000000003</v>
      </c>
      <c r="BD1603">
        <v>-2.0299999999999998</v>
      </c>
      <c r="BE1603">
        <v>-3.91</v>
      </c>
      <c r="BF1603">
        <v>-6.9</v>
      </c>
      <c r="BG1603">
        <v>0.21</v>
      </c>
      <c r="BH1603">
        <v>-2.63</v>
      </c>
      <c r="BI1603">
        <v>20191112</v>
      </c>
      <c r="BJ1603">
        <v>20110421</v>
      </c>
      <c r="BK1603">
        <v>15.48</v>
      </c>
      <c r="BL1603" t="s">
        <v>116</v>
      </c>
      <c r="BM1603" t="s">
        <v>116</v>
      </c>
      <c r="BN1603">
        <v>221.4</v>
      </c>
      <c r="BO1603">
        <v>55.16</v>
      </c>
      <c r="BP1603">
        <v>3.26</v>
      </c>
      <c r="BQ1603">
        <v>73.62</v>
      </c>
      <c r="BR1603">
        <v>140.94</v>
      </c>
      <c r="BS1603">
        <v>37.090000000000003</v>
      </c>
      <c r="BT1603">
        <v>6.47</v>
      </c>
      <c r="BU1603">
        <v>150.19</v>
      </c>
      <c r="BV1603">
        <v>39.880000000000003</v>
      </c>
      <c r="BW1603">
        <v>59.23</v>
      </c>
      <c r="BX1603">
        <v>18.04</v>
      </c>
      <c r="BY1603">
        <v>177.39</v>
      </c>
      <c r="BZ1603">
        <v>149.97</v>
      </c>
      <c r="CA1603">
        <v>6.74</v>
      </c>
      <c r="CB1603">
        <v>0.01</v>
      </c>
      <c r="CC1603">
        <v>6.86</v>
      </c>
      <c r="CD1603">
        <v>5.03</v>
      </c>
      <c r="CE1603">
        <v>5.0199999999999996</v>
      </c>
      <c r="CF1603">
        <v>3.5</v>
      </c>
      <c r="CG1603">
        <v>20.65</v>
      </c>
      <c r="CH1603">
        <v>9.66</v>
      </c>
      <c r="CI1603">
        <v>-9.9499999999999993</v>
      </c>
      <c r="CJ1603">
        <v>31586</v>
      </c>
      <c r="CK1603">
        <v>29354</v>
      </c>
      <c r="CL1603" t="s">
        <v>8409</v>
      </c>
      <c r="CM1603">
        <v>16.989999999999998</v>
      </c>
      <c r="CN1603">
        <v>35.36</v>
      </c>
      <c r="CO1603">
        <v>5.46</v>
      </c>
      <c r="CP1603">
        <v>31.14</v>
      </c>
      <c r="CQ1603">
        <v>1.7</v>
      </c>
      <c r="CR1603">
        <v>0.67</v>
      </c>
      <c r="CS1603" t="s">
        <v>2343</v>
      </c>
      <c r="CT1603">
        <v>3.56</v>
      </c>
      <c r="CU1603">
        <v>0</v>
      </c>
      <c r="CV1603">
        <v>1.17</v>
      </c>
      <c r="CW1603">
        <v>1.33</v>
      </c>
      <c r="CX1603">
        <v>0.62</v>
      </c>
      <c r="CY1603">
        <v>24.91</v>
      </c>
      <c r="CZ1603" t="s">
        <v>8410</v>
      </c>
      <c r="DA1603">
        <v>15.46</v>
      </c>
      <c r="DB1603">
        <v>3.8</v>
      </c>
      <c r="DC1603">
        <v>2.83</v>
      </c>
      <c r="DD1603">
        <v>10.08</v>
      </c>
      <c r="DE1603">
        <v>20676</v>
      </c>
      <c r="DF1603">
        <v>300207</v>
      </c>
      <c r="DG1603" t="s">
        <v>116</v>
      </c>
      <c r="DH1603" t="s">
        <v>116</v>
      </c>
      <c r="DI1603" t="s">
        <v>116</v>
      </c>
    </row>
    <row r="1604" spans="1:113" x14ac:dyDescent="0.4">
      <c r="A1604" t="str">
        <f>"300208"</f>
        <v>300208</v>
      </c>
      <c r="B1604" t="s">
        <v>8411</v>
      </c>
      <c r="C1604">
        <v>-2.36</v>
      </c>
      <c r="D1604">
        <v>7.03</v>
      </c>
      <c r="E1604">
        <v>-0.17</v>
      </c>
      <c r="F1604">
        <v>7.03</v>
      </c>
      <c r="G1604">
        <v>7.07</v>
      </c>
      <c r="H1604">
        <v>44736</v>
      </c>
      <c r="I1604">
        <v>3245</v>
      </c>
      <c r="J1604">
        <v>-0.98</v>
      </c>
      <c r="K1604">
        <v>0.7</v>
      </c>
      <c r="L1604">
        <v>7.2</v>
      </c>
      <c r="M1604">
        <v>7.3</v>
      </c>
      <c r="N1604">
        <v>7.03</v>
      </c>
      <c r="O1604">
        <v>7.2</v>
      </c>
      <c r="P1604" t="s">
        <v>116</v>
      </c>
      <c r="Q1604">
        <v>32171954</v>
      </c>
      <c r="R1604">
        <v>1.27</v>
      </c>
      <c r="S1604" t="s">
        <v>397</v>
      </c>
      <c r="T1604" t="s">
        <v>645</v>
      </c>
      <c r="U1604">
        <v>3.75</v>
      </c>
      <c r="V1604">
        <v>7.19</v>
      </c>
      <c r="W1604">
        <v>25784</v>
      </c>
      <c r="X1604">
        <v>18952</v>
      </c>
      <c r="Y1604">
        <v>1.36</v>
      </c>
      <c r="Z1604">
        <v>2474</v>
      </c>
      <c r="AA1604">
        <v>68</v>
      </c>
      <c r="AB1604" t="s">
        <v>116</v>
      </c>
      <c r="AC1604">
        <v>0</v>
      </c>
      <c r="AD1604">
        <v>0</v>
      </c>
      <c r="AE1604" t="s">
        <v>116</v>
      </c>
      <c r="AF1604" t="s">
        <v>116</v>
      </c>
      <c r="AG1604">
        <v>6.4</v>
      </c>
      <c r="AH1604" t="s">
        <v>8412</v>
      </c>
      <c r="AI1604" t="s">
        <v>8413</v>
      </c>
      <c r="AJ1604">
        <v>-1.68</v>
      </c>
      <c r="AK1604">
        <v>1073</v>
      </c>
      <c r="AL1604">
        <v>42</v>
      </c>
      <c r="AM1604">
        <v>6.9999999999999999E-4</v>
      </c>
      <c r="AN1604">
        <v>-1</v>
      </c>
      <c r="AO1604">
        <v>-2.36</v>
      </c>
      <c r="AP1604">
        <v>12.48</v>
      </c>
      <c r="AQ1604">
        <v>-10.1</v>
      </c>
      <c r="AR1604">
        <v>23.12</v>
      </c>
      <c r="AS1604">
        <v>1.44</v>
      </c>
      <c r="AT1604" t="s">
        <v>8414</v>
      </c>
      <c r="AU1604" t="s">
        <v>116</v>
      </c>
      <c r="AV1604">
        <v>28.02</v>
      </c>
      <c r="AW1604">
        <v>0.72</v>
      </c>
      <c r="BA1604">
        <v>0</v>
      </c>
      <c r="BB1604">
        <v>1.39</v>
      </c>
      <c r="BC1604">
        <v>-2.36</v>
      </c>
      <c r="BD1604">
        <v>-0.12</v>
      </c>
      <c r="BE1604">
        <v>-2.36</v>
      </c>
      <c r="BF1604">
        <v>-3.7</v>
      </c>
      <c r="BG1604">
        <v>0</v>
      </c>
      <c r="BH1604">
        <v>-2.2400000000000002</v>
      </c>
      <c r="BI1604">
        <v>20191114</v>
      </c>
      <c r="BJ1604">
        <v>20110426</v>
      </c>
      <c r="BK1604">
        <v>7.49</v>
      </c>
      <c r="BL1604" t="s">
        <v>116</v>
      </c>
      <c r="BM1604" t="s">
        <v>116</v>
      </c>
      <c r="BN1604">
        <v>54.79</v>
      </c>
      <c r="BO1604">
        <v>20.69</v>
      </c>
      <c r="BP1604">
        <v>0.19</v>
      </c>
      <c r="BQ1604">
        <v>61.89</v>
      </c>
      <c r="BR1604">
        <v>42.29</v>
      </c>
      <c r="BS1604">
        <v>1.26</v>
      </c>
      <c r="BT1604">
        <v>5.33</v>
      </c>
      <c r="BU1604">
        <v>33.85</v>
      </c>
      <c r="BV1604">
        <v>26.65</v>
      </c>
      <c r="BW1604">
        <v>8.9</v>
      </c>
      <c r="BX1604">
        <v>2.08</v>
      </c>
      <c r="BY1604">
        <v>6.87</v>
      </c>
      <c r="BZ1604">
        <v>6.05</v>
      </c>
      <c r="CA1604">
        <v>-0.79</v>
      </c>
      <c r="CB1604">
        <v>0</v>
      </c>
      <c r="CC1604">
        <v>-0.71</v>
      </c>
      <c r="CD1604">
        <v>-0.68</v>
      </c>
      <c r="CE1604">
        <v>-0.62</v>
      </c>
      <c r="CF1604">
        <v>-0.69</v>
      </c>
      <c r="CG1604">
        <v>10.050000000000001</v>
      </c>
      <c r="CH1604">
        <v>-6.93</v>
      </c>
      <c r="CI1604">
        <v>-0.3</v>
      </c>
      <c r="CJ1604">
        <v>26000</v>
      </c>
      <c r="CK1604">
        <v>11927</v>
      </c>
      <c r="CL1604" t="s">
        <v>6737</v>
      </c>
      <c r="CM1604">
        <v>-123.84</v>
      </c>
      <c r="CN1604">
        <v>-36.03</v>
      </c>
      <c r="CO1604">
        <v>2.5499999999999998</v>
      </c>
      <c r="CP1604">
        <v>-7.6</v>
      </c>
      <c r="CQ1604">
        <v>7.67</v>
      </c>
      <c r="CR1604">
        <v>0.43</v>
      </c>
      <c r="CS1604" t="s">
        <v>8415</v>
      </c>
      <c r="CT1604">
        <v>2.76</v>
      </c>
      <c r="CU1604">
        <v>0</v>
      </c>
      <c r="CV1604">
        <v>0.28000000000000003</v>
      </c>
      <c r="CW1604">
        <v>1.34</v>
      </c>
      <c r="CX1604">
        <v>-0.92</v>
      </c>
      <c r="CY1604">
        <v>37.76</v>
      </c>
      <c r="CZ1604" t="s">
        <v>8416</v>
      </c>
      <c r="DA1604">
        <v>11.83</v>
      </c>
      <c r="DB1604">
        <v>-11.57</v>
      </c>
      <c r="DC1604">
        <v>-9</v>
      </c>
      <c r="DD1604">
        <v>0.05</v>
      </c>
      <c r="DE1604">
        <v>528</v>
      </c>
      <c r="DF1604">
        <v>300208</v>
      </c>
      <c r="DG1604" t="s">
        <v>116</v>
      </c>
      <c r="DH1604" t="s">
        <v>116</v>
      </c>
      <c r="DI1604" t="s">
        <v>116</v>
      </c>
    </row>
    <row r="1605" spans="1:113" x14ac:dyDescent="0.4">
      <c r="A1605" t="str">
        <f>"300209"</f>
        <v>300209</v>
      </c>
      <c r="B1605" t="s">
        <v>8417</v>
      </c>
      <c r="C1605">
        <v>4.84</v>
      </c>
      <c r="D1605">
        <v>14.72</v>
      </c>
      <c r="E1605">
        <v>0.68</v>
      </c>
      <c r="F1605">
        <v>14.72</v>
      </c>
      <c r="G1605">
        <v>14.73</v>
      </c>
      <c r="H1605">
        <v>143089</v>
      </c>
      <c r="I1605">
        <v>3663</v>
      </c>
      <c r="J1605">
        <v>0.68</v>
      </c>
      <c r="K1605">
        <v>5.42</v>
      </c>
      <c r="L1605">
        <v>14.02</v>
      </c>
      <c r="M1605">
        <v>14.75</v>
      </c>
      <c r="N1605">
        <v>13.95</v>
      </c>
      <c r="O1605">
        <v>14.04</v>
      </c>
      <c r="P1605">
        <v>29.36</v>
      </c>
      <c r="Q1605">
        <v>206334496</v>
      </c>
      <c r="R1605">
        <v>2.17</v>
      </c>
      <c r="S1605" t="s">
        <v>607</v>
      </c>
      <c r="T1605" t="s">
        <v>323</v>
      </c>
      <c r="U1605">
        <v>5.7</v>
      </c>
      <c r="V1605">
        <v>14.42</v>
      </c>
      <c r="W1605">
        <v>60143</v>
      </c>
      <c r="X1605">
        <v>82946</v>
      </c>
      <c r="Y1605">
        <v>0.73</v>
      </c>
      <c r="Z1605">
        <v>861</v>
      </c>
      <c r="AA1605">
        <v>37</v>
      </c>
      <c r="AB1605" t="s">
        <v>116</v>
      </c>
      <c r="AC1605">
        <v>144400</v>
      </c>
      <c r="AD1605">
        <v>0.01</v>
      </c>
      <c r="AE1605" t="s">
        <v>116</v>
      </c>
      <c r="AF1605" t="s">
        <v>116</v>
      </c>
      <c r="AG1605">
        <v>2.64</v>
      </c>
      <c r="AH1605" t="s">
        <v>2833</v>
      </c>
      <c r="AI1605" t="s">
        <v>347</v>
      </c>
      <c r="AJ1605">
        <v>5.52</v>
      </c>
      <c r="AK1605">
        <v>3087</v>
      </c>
      <c r="AL1605">
        <v>46</v>
      </c>
      <c r="AM1605">
        <v>1.8E-3</v>
      </c>
      <c r="AN1605">
        <v>1</v>
      </c>
      <c r="AO1605">
        <v>3.73</v>
      </c>
      <c r="AP1605">
        <v>16.09</v>
      </c>
      <c r="AQ1605">
        <v>18.71</v>
      </c>
      <c r="AR1605">
        <v>36.340000000000003</v>
      </c>
      <c r="AS1605">
        <v>10.84</v>
      </c>
      <c r="AT1605" t="s">
        <v>1155</v>
      </c>
      <c r="AU1605">
        <v>30.47</v>
      </c>
      <c r="AV1605">
        <v>259.86</v>
      </c>
      <c r="AW1605">
        <v>1.74</v>
      </c>
      <c r="BA1605">
        <v>-0.14000000000000001</v>
      </c>
      <c r="BB1605">
        <v>5.0599999999999996</v>
      </c>
      <c r="BC1605">
        <v>-0.64</v>
      </c>
      <c r="BD1605">
        <v>2.71</v>
      </c>
      <c r="BE1605">
        <v>4.99</v>
      </c>
      <c r="BF1605">
        <v>-0.2</v>
      </c>
      <c r="BG1605">
        <v>5.52</v>
      </c>
      <c r="BH1605">
        <v>2.14</v>
      </c>
      <c r="BI1605">
        <v>20191105</v>
      </c>
      <c r="BJ1605">
        <v>20110426</v>
      </c>
      <c r="BK1605">
        <v>4.26</v>
      </c>
      <c r="BL1605" t="s">
        <v>116</v>
      </c>
      <c r="BM1605" t="s">
        <v>116</v>
      </c>
      <c r="BN1605">
        <v>54.94</v>
      </c>
      <c r="BO1605">
        <v>40.950000000000003</v>
      </c>
      <c r="BP1605">
        <v>0.03</v>
      </c>
      <c r="BQ1605">
        <v>25.39</v>
      </c>
      <c r="BR1605">
        <v>32.79</v>
      </c>
      <c r="BS1605">
        <v>1.05</v>
      </c>
      <c r="BT1605">
        <v>1.98</v>
      </c>
      <c r="BU1605">
        <v>9.4600000000000009</v>
      </c>
      <c r="BV1605">
        <v>9.52</v>
      </c>
      <c r="BW1605">
        <v>12.56</v>
      </c>
      <c r="BX1605">
        <v>32.78</v>
      </c>
      <c r="BY1605">
        <v>22.82</v>
      </c>
      <c r="BZ1605">
        <v>12.21</v>
      </c>
      <c r="CA1605">
        <v>1.94</v>
      </c>
      <c r="CB1605">
        <v>-0.04</v>
      </c>
      <c r="CC1605">
        <v>1.91</v>
      </c>
      <c r="CD1605">
        <v>1.59</v>
      </c>
      <c r="CE1605">
        <v>1.6</v>
      </c>
      <c r="CF1605">
        <v>1.58</v>
      </c>
      <c r="CG1605">
        <v>4.5599999999999996</v>
      </c>
      <c r="CH1605">
        <v>-0.75</v>
      </c>
      <c r="CI1605">
        <v>0.94</v>
      </c>
      <c r="CJ1605">
        <v>23000</v>
      </c>
      <c r="CK1605">
        <v>5740</v>
      </c>
      <c r="CL1605" t="s">
        <v>5554</v>
      </c>
      <c r="CM1605">
        <v>845.8</v>
      </c>
      <c r="CN1605">
        <v>329.71</v>
      </c>
      <c r="CO1605">
        <v>1.53</v>
      </c>
      <c r="CP1605">
        <v>-84.04</v>
      </c>
      <c r="CQ1605">
        <v>2.75</v>
      </c>
      <c r="CR1605">
        <v>0.09</v>
      </c>
      <c r="CS1605" t="s">
        <v>2820</v>
      </c>
      <c r="CT1605">
        <v>9.61</v>
      </c>
      <c r="CU1605">
        <v>0</v>
      </c>
      <c r="CV1605">
        <v>7.69</v>
      </c>
      <c r="CW1605">
        <v>1.07</v>
      </c>
      <c r="CX1605">
        <v>-0.18</v>
      </c>
      <c r="CY1605">
        <v>74.55</v>
      </c>
      <c r="CZ1605" t="s">
        <v>2488</v>
      </c>
      <c r="DA1605">
        <v>46.49</v>
      </c>
      <c r="DB1605">
        <v>8.51</v>
      </c>
      <c r="DC1605">
        <v>7.02</v>
      </c>
      <c r="DD1605">
        <v>0.31</v>
      </c>
      <c r="DE1605">
        <v>1163</v>
      </c>
      <c r="DF1605">
        <v>300209</v>
      </c>
      <c r="DG1605" t="s">
        <v>116</v>
      </c>
      <c r="DH1605" t="s">
        <v>116</v>
      </c>
      <c r="DI1605" t="s">
        <v>116</v>
      </c>
    </row>
    <row r="1606" spans="1:113" x14ac:dyDescent="0.4">
      <c r="A1606" t="str">
        <f>"300210"</f>
        <v>300210</v>
      </c>
      <c r="B1606" t="s">
        <v>8418</v>
      </c>
      <c r="C1606">
        <v>-1.42</v>
      </c>
      <c r="D1606">
        <v>3.46</v>
      </c>
      <c r="E1606">
        <v>-0.05</v>
      </c>
      <c r="F1606">
        <v>3.46</v>
      </c>
      <c r="G1606">
        <v>3.47</v>
      </c>
      <c r="H1606">
        <v>48233</v>
      </c>
      <c r="I1606">
        <v>1226</v>
      </c>
      <c r="J1606">
        <v>-0.28000000000000003</v>
      </c>
      <c r="K1606">
        <v>1.21</v>
      </c>
      <c r="L1606">
        <v>3.51</v>
      </c>
      <c r="M1606">
        <v>3.55</v>
      </c>
      <c r="N1606">
        <v>3.45</v>
      </c>
      <c r="O1606">
        <v>3.51</v>
      </c>
      <c r="P1606" t="s">
        <v>116</v>
      </c>
      <c r="Q1606">
        <v>16915178</v>
      </c>
      <c r="R1606">
        <v>0.75</v>
      </c>
      <c r="S1606" t="s">
        <v>682</v>
      </c>
      <c r="T1606" t="s">
        <v>434</v>
      </c>
      <c r="U1606">
        <v>2.85</v>
      </c>
      <c r="V1606">
        <v>3.51</v>
      </c>
      <c r="W1606">
        <v>28242</v>
      </c>
      <c r="X1606">
        <v>19991</v>
      </c>
      <c r="Y1606">
        <v>1.41</v>
      </c>
      <c r="Z1606">
        <v>1274</v>
      </c>
      <c r="AA1606">
        <v>3204</v>
      </c>
      <c r="AB1606" t="s">
        <v>116</v>
      </c>
      <c r="AC1606">
        <v>13000</v>
      </c>
      <c r="AD1606">
        <v>0</v>
      </c>
      <c r="AE1606" t="s">
        <v>116</v>
      </c>
      <c r="AF1606" t="s">
        <v>116</v>
      </c>
      <c r="AG1606">
        <v>4</v>
      </c>
      <c r="AH1606" t="s">
        <v>8419</v>
      </c>
      <c r="AI1606" t="s">
        <v>2514</v>
      </c>
      <c r="AJ1606">
        <v>-0.75</v>
      </c>
      <c r="AK1606">
        <v>830</v>
      </c>
      <c r="AL1606">
        <v>58</v>
      </c>
      <c r="AM1606">
        <v>1.5E-3</v>
      </c>
      <c r="AN1606">
        <v>-1</v>
      </c>
      <c r="AO1606">
        <v>0.57999999999999996</v>
      </c>
      <c r="AP1606">
        <v>0.28999999999999998</v>
      </c>
      <c r="AQ1606">
        <v>-8.7100000000000009</v>
      </c>
      <c r="AR1606">
        <v>-18.78</v>
      </c>
      <c r="AS1606">
        <v>2.4700000000000002</v>
      </c>
      <c r="AT1606" t="s">
        <v>8420</v>
      </c>
      <c r="AU1606" t="s">
        <v>116</v>
      </c>
      <c r="AV1606" t="s">
        <v>116</v>
      </c>
      <c r="AW1606">
        <v>1.1200000000000001</v>
      </c>
      <c r="BA1606">
        <v>0</v>
      </c>
      <c r="BB1606">
        <v>1.1399999999999999</v>
      </c>
      <c r="BC1606">
        <v>-1.71</v>
      </c>
      <c r="BD1606">
        <v>-0.09</v>
      </c>
      <c r="BE1606">
        <v>-1.42</v>
      </c>
      <c r="BF1606">
        <v>-2.54</v>
      </c>
      <c r="BG1606">
        <v>0.28999999999999998</v>
      </c>
      <c r="BH1606">
        <v>-1.34</v>
      </c>
      <c r="BI1606">
        <v>20191030</v>
      </c>
      <c r="BJ1606">
        <v>20110426</v>
      </c>
      <c r="BK1606">
        <v>4.84</v>
      </c>
      <c r="BL1606" t="s">
        <v>116</v>
      </c>
      <c r="BM1606" t="s">
        <v>116</v>
      </c>
      <c r="BN1606">
        <v>21.6</v>
      </c>
      <c r="BO1606">
        <v>11.34</v>
      </c>
      <c r="BP1606">
        <v>7.0000000000000007E-2</v>
      </c>
      <c r="BQ1606">
        <v>47.18</v>
      </c>
      <c r="BR1606">
        <v>11.35</v>
      </c>
      <c r="BS1606">
        <v>2.87</v>
      </c>
      <c r="BT1606">
        <v>0.92</v>
      </c>
      <c r="BU1606">
        <v>9.4499999999999993</v>
      </c>
      <c r="BV1606">
        <v>4.21</v>
      </c>
      <c r="BW1606">
        <v>4.08</v>
      </c>
      <c r="BX1606">
        <v>1.96</v>
      </c>
      <c r="BY1606">
        <v>1.67</v>
      </c>
      <c r="BZ1606">
        <v>1.31</v>
      </c>
      <c r="CA1606">
        <v>-0.6</v>
      </c>
      <c r="CB1606">
        <v>0</v>
      </c>
      <c r="CC1606">
        <v>-0.6</v>
      </c>
      <c r="CD1606">
        <v>-0.6</v>
      </c>
      <c r="CE1606">
        <v>-0.59</v>
      </c>
      <c r="CF1606">
        <v>-0.62</v>
      </c>
      <c r="CG1606">
        <v>4.07</v>
      </c>
      <c r="CH1606">
        <v>0.19</v>
      </c>
      <c r="CI1606">
        <v>-0.05</v>
      </c>
      <c r="CJ1606">
        <v>16589</v>
      </c>
      <c r="CK1606">
        <v>11776</v>
      </c>
      <c r="CL1606" t="s">
        <v>5689</v>
      </c>
      <c r="CM1606">
        <v>-335.33</v>
      </c>
      <c r="CN1606">
        <v>-50.14</v>
      </c>
      <c r="CO1606">
        <v>1.48</v>
      </c>
      <c r="CP1606">
        <v>88.81</v>
      </c>
      <c r="CQ1606">
        <v>10.029999999999999</v>
      </c>
      <c r="CR1606">
        <v>0</v>
      </c>
      <c r="CS1606" t="s">
        <v>7936</v>
      </c>
      <c r="CT1606">
        <v>2.34</v>
      </c>
      <c r="CU1606">
        <v>0</v>
      </c>
      <c r="CV1606">
        <v>0.4</v>
      </c>
      <c r="CW1606">
        <v>0.84</v>
      </c>
      <c r="CX1606">
        <v>0.04</v>
      </c>
      <c r="CY1606">
        <v>52.52</v>
      </c>
      <c r="CZ1606" t="s">
        <v>8421</v>
      </c>
      <c r="DA1606">
        <v>21.34</v>
      </c>
      <c r="DB1606">
        <v>-35.85</v>
      </c>
      <c r="DC1606">
        <v>-35.450000000000003</v>
      </c>
      <c r="DD1606">
        <v>0.18</v>
      </c>
      <c r="DE1606">
        <v>653</v>
      </c>
      <c r="DF1606">
        <v>300210</v>
      </c>
      <c r="DG1606" t="s">
        <v>116</v>
      </c>
      <c r="DH1606" t="s">
        <v>116</v>
      </c>
      <c r="DI1606" t="s">
        <v>116</v>
      </c>
    </row>
    <row r="1607" spans="1:113" x14ac:dyDescent="0.4">
      <c r="A1607" t="str">
        <f>"300211"</f>
        <v>300211</v>
      </c>
      <c r="B1607" t="s">
        <v>8422</v>
      </c>
      <c r="C1607">
        <v>-0.36</v>
      </c>
      <c r="D1607">
        <v>8.1999999999999993</v>
      </c>
      <c r="E1607">
        <v>-0.03</v>
      </c>
      <c r="F1607">
        <v>8.19</v>
      </c>
      <c r="G1607">
        <v>8.1999999999999993</v>
      </c>
      <c r="H1607">
        <v>48111</v>
      </c>
      <c r="I1607">
        <v>507</v>
      </c>
      <c r="J1607">
        <v>-0.23</v>
      </c>
      <c r="K1607">
        <v>3.22</v>
      </c>
      <c r="L1607">
        <v>8.3000000000000007</v>
      </c>
      <c r="M1607">
        <v>8.36</v>
      </c>
      <c r="N1607">
        <v>8.1300000000000008</v>
      </c>
      <c r="O1607">
        <v>8.23</v>
      </c>
      <c r="P1607">
        <v>532.35</v>
      </c>
      <c r="Q1607">
        <v>39706592</v>
      </c>
      <c r="R1607">
        <v>0.7</v>
      </c>
      <c r="S1607" t="s">
        <v>465</v>
      </c>
      <c r="T1607" t="s">
        <v>323</v>
      </c>
      <c r="U1607">
        <v>2.79</v>
      </c>
      <c r="V1607">
        <v>8.25</v>
      </c>
      <c r="W1607">
        <v>25691</v>
      </c>
      <c r="X1607">
        <v>22420</v>
      </c>
      <c r="Y1607">
        <v>1.1499999999999999</v>
      </c>
      <c r="Z1607">
        <v>7</v>
      </c>
      <c r="AA1607">
        <v>196</v>
      </c>
      <c r="AB1607" t="s">
        <v>116</v>
      </c>
      <c r="AC1607">
        <v>37400</v>
      </c>
      <c r="AD1607">
        <v>0</v>
      </c>
      <c r="AE1607" t="s">
        <v>116</v>
      </c>
      <c r="AF1607" t="s">
        <v>116</v>
      </c>
      <c r="AG1607">
        <v>1.49</v>
      </c>
      <c r="AH1607" t="s">
        <v>8423</v>
      </c>
      <c r="AI1607" t="s">
        <v>8424</v>
      </c>
      <c r="AJ1607">
        <v>0.31</v>
      </c>
      <c r="AK1607">
        <v>1414</v>
      </c>
      <c r="AL1607">
        <v>34</v>
      </c>
      <c r="AM1607">
        <v>2.3E-3</v>
      </c>
      <c r="AN1607">
        <v>-1</v>
      </c>
      <c r="AO1607">
        <v>-1.32</v>
      </c>
      <c r="AP1607">
        <v>13.73</v>
      </c>
      <c r="AQ1607">
        <v>7.75</v>
      </c>
      <c r="AR1607">
        <v>71.91</v>
      </c>
      <c r="AS1607">
        <v>3.22</v>
      </c>
      <c r="AT1607" t="s">
        <v>8423</v>
      </c>
      <c r="AU1607">
        <v>440</v>
      </c>
      <c r="AV1607">
        <v>498.48</v>
      </c>
      <c r="AW1607">
        <v>0</v>
      </c>
      <c r="BA1607">
        <v>0.85</v>
      </c>
      <c r="BB1607">
        <v>1.58</v>
      </c>
      <c r="BC1607">
        <v>-1.22</v>
      </c>
      <c r="BD1607">
        <v>0.28000000000000003</v>
      </c>
      <c r="BE1607">
        <v>-1.2</v>
      </c>
      <c r="BF1607">
        <v>-1.91</v>
      </c>
      <c r="BG1607">
        <v>0.86</v>
      </c>
      <c r="BH1607">
        <v>-0.65</v>
      </c>
      <c r="BI1607">
        <v>20191025</v>
      </c>
      <c r="BJ1607">
        <v>20110505</v>
      </c>
      <c r="BK1607">
        <v>3.03</v>
      </c>
      <c r="BL1607" t="s">
        <v>116</v>
      </c>
      <c r="BM1607" t="s">
        <v>116</v>
      </c>
      <c r="BN1607">
        <v>5.14</v>
      </c>
      <c r="BO1607">
        <v>4.76</v>
      </c>
      <c r="BP1607">
        <v>0</v>
      </c>
      <c r="BQ1607">
        <v>7.39</v>
      </c>
      <c r="BR1607">
        <v>3.3</v>
      </c>
      <c r="BS1607">
        <v>1.28</v>
      </c>
      <c r="BT1607">
        <v>0.15</v>
      </c>
      <c r="BU1607">
        <v>0.34</v>
      </c>
      <c r="BV1607">
        <v>0.09</v>
      </c>
      <c r="BW1607">
        <v>0.65</v>
      </c>
      <c r="BX1607">
        <v>0.37</v>
      </c>
      <c r="BY1607">
        <v>0.75</v>
      </c>
      <c r="BZ1607">
        <v>0.56000000000000005</v>
      </c>
      <c r="CA1607">
        <v>0.04</v>
      </c>
      <c r="CB1607">
        <v>0.02</v>
      </c>
      <c r="CC1607">
        <v>0.04</v>
      </c>
      <c r="CD1607">
        <v>0.03</v>
      </c>
      <c r="CE1607">
        <v>0.03</v>
      </c>
      <c r="CF1607">
        <v>0.03</v>
      </c>
      <c r="CG1607">
        <v>1.1499999999999999</v>
      </c>
      <c r="CH1607">
        <v>0.44</v>
      </c>
      <c r="CI1607">
        <v>-0.04</v>
      </c>
      <c r="CJ1607">
        <v>13139</v>
      </c>
      <c r="CK1607">
        <v>11359</v>
      </c>
      <c r="CL1607" t="s">
        <v>8425</v>
      </c>
      <c r="CM1607">
        <v>23.33</v>
      </c>
      <c r="CN1607">
        <v>-24.11</v>
      </c>
      <c r="CO1607">
        <v>5.21</v>
      </c>
      <c r="CP1607">
        <v>56</v>
      </c>
      <c r="CQ1607">
        <v>33.15</v>
      </c>
      <c r="CR1607">
        <v>0.73</v>
      </c>
      <c r="CS1607" t="s">
        <v>238</v>
      </c>
      <c r="CT1607">
        <v>1.57</v>
      </c>
      <c r="CU1607">
        <v>0</v>
      </c>
      <c r="CV1607">
        <v>0.12</v>
      </c>
      <c r="CW1607">
        <v>0.38</v>
      </c>
      <c r="CX1607">
        <v>0.15</v>
      </c>
      <c r="CY1607">
        <v>92.61</v>
      </c>
      <c r="CZ1607" t="s">
        <v>8426</v>
      </c>
      <c r="DA1607">
        <v>25.23</v>
      </c>
      <c r="DB1607">
        <v>5.18</v>
      </c>
      <c r="DC1607">
        <v>4.67</v>
      </c>
      <c r="DD1607">
        <v>0.06</v>
      </c>
      <c r="DE1607">
        <v>262</v>
      </c>
      <c r="DF1607">
        <v>300211</v>
      </c>
      <c r="DG1607" t="s">
        <v>116</v>
      </c>
      <c r="DH1607" t="s">
        <v>116</v>
      </c>
      <c r="DI1607" t="s">
        <v>116</v>
      </c>
    </row>
    <row r="1608" spans="1:113" x14ac:dyDescent="0.4">
      <c r="A1608" t="str">
        <f>"300212"</f>
        <v>300212</v>
      </c>
      <c r="B1608" t="s">
        <v>8427</v>
      </c>
      <c r="C1608">
        <v>-1</v>
      </c>
      <c r="D1608">
        <v>33.659999999999997</v>
      </c>
      <c r="E1608">
        <v>-0.34</v>
      </c>
      <c r="F1608">
        <v>33.659999999999997</v>
      </c>
      <c r="G1608">
        <v>33.67</v>
      </c>
      <c r="H1608">
        <v>76640</v>
      </c>
      <c r="I1608">
        <v>463</v>
      </c>
      <c r="J1608">
        <v>-0.17</v>
      </c>
      <c r="K1608">
        <v>1.51</v>
      </c>
      <c r="L1608">
        <v>34.1</v>
      </c>
      <c r="M1608">
        <v>34.25</v>
      </c>
      <c r="N1608">
        <v>33.6</v>
      </c>
      <c r="O1608">
        <v>34</v>
      </c>
      <c r="P1608">
        <v>67</v>
      </c>
      <c r="Q1608">
        <v>259775536</v>
      </c>
      <c r="R1608">
        <v>1.49</v>
      </c>
      <c r="S1608" t="s">
        <v>607</v>
      </c>
      <c r="T1608" t="s">
        <v>165</v>
      </c>
      <c r="U1608">
        <v>1.91</v>
      </c>
      <c r="V1608">
        <v>33.9</v>
      </c>
      <c r="W1608">
        <v>40401</v>
      </c>
      <c r="X1608">
        <v>36239</v>
      </c>
      <c r="Y1608">
        <v>1.1100000000000001</v>
      </c>
      <c r="Z1608">
        <v>104</v>
      </c>
      <c r="AA1608">
        <v>12</v>
      </c>
      <c r="AB1608" t="s">
        <v>116</v>
      </c>
      <c r="AC1608">
        <v>235300</v>
      </c>
      <c r="AD1608">
        <v>0</v>
      </c>
      <c r="AE1608" t="s">
        <v>116</v>
      </c>
      <c r="AF1608" t="s">
        <v>116</v>
      </c>
      <c r="AG1608">
        <v>5.09</v>
      </c>
      <c r="AH1608" t="s">
        <v>8428</v>
      </c>
      <c r="AI1608" t="s">
        <v>8429</v>
      </c>
      <c r="AJ1608">
        <v>-0.32</v>
      </c>
      <c r="AK1608">
        <v>3111</v>
      </c>
      <c r="AL1608">
        <v>25</v>
      </c>
      <c r="AM1608">
        <v>5.0000000000000001E-4</v>
      </c>
      <c r="AN1608">
        <v>-2</v>
      </c>
      <c r="AO1608">
        <v>-0.06</v>
      </c>
      <c r="AP1608">
        <v>8.76</v>
      </c>
      <c r="AQ1608">
        <v>4.21</v>
      </c>
      <c r="AR1608">
        <v>96.46</v>
      </c>
      <c r="AS1608">
        <v>2.5</v>
      </c>
      <c r="AT1608" t="s">
        <v>8430</v>
      </c>
      <c r="AU1608">
        <v>46.04</v>
      </c>
      <c r="AV1608">
        <v>60.29</v>
      </c>
      <c r="AW1608">
        <v>1.29</v>
      </c>
      <c r="BA1608">
        <v>0.28999999999999998</v>
      </c>
      <c r="BB1608">
        <v>0.74</v>
      </c>
      <c r="BC1608">
        <v>-1.18</v>
      </c>
      <c r="BD1608">
        <v>-0.31</v>
      </c>
      <c r="BE1608">
        <v>-1.29</v>
      </c>
      <c r="BF1608">
        <v>-1.72</v>
      </c>
      <c r="BG1608">
        <v>0.18</v>
      </c>
      <c r="BH1608">
        <v>-0.69</v>
      </c>
      <c r="BI1608">
        <v>20191226</v>
      </c>
      <c r="BJ1608">
        <v>20110505</v>
      </c>
      <c r="BK1608">
        <v>5.42</v>
      </c>
      <c r="BL1608" t="s">
        <v>116</v>
      </c>
      <c r="BM1608" t="s">
        <v>116</v>
      </c>
      <c r="BN1608">
        <v>120</v>
      </c>
      <c r="BO1608">
        <v>31.38</v>
      </c>
      <c r="BP1608">
        <v>6.02</v>
      </c>
      <c r="BQ1608">
        <v>68.84</v>
      </c>
      <c r="BR1608">
        <v>84.75</v>
      </c>
      <c r="BS1608">
        <v>3.32</v>
      </c>
      <c r="BT1608">
        <v>5.84</v>
      </c>
      <c r="BU1608">
        <v>56.44</v>
      </c>
      <c r="BV1608">
        <v>51.05</v>
      </c>
      <c r="BW1608">
        <v>23.87</v>
      </c>
      <c r="BX1608">
        <v>15.29</v>
      </c>
      <c r="BY1608">
        <v>24.37</v>
      </c>
      <c r="BZ1608">
        <v>17.23</v>
      </c>
      <c r="CA1608">
        <v>2.57</v>
      </c>
      <c r="CB1608">
        <v>0.82</v>
      </c>
      <c r="CC1608">
        <v>2.5499999999999998</v>
      </c>
      <c r="CD1608">
        <v>2.0699999999999998</v>
      </c>
      <c r="CE1608">
        <v>2.04</v>
      </c>
      <c r="CF1608">
        <v>1.1200000000000001</v>
      </c>
      <c r="CG1608">
        <v>10.63</v>
      </c>
      <c r="CH1608">
        <v>0.26</v>
      </c>
      <c r="CI1608">
        <v>-7.46</v>
      </c>
      <c r="CJ1608">
        <v>22467</v>
      </c>
      <c r="CK1608">
        <v>13642</v>
      </c>
      <c r="CL1608" t="s">
        <v>8431</v>
      </c>
      <c r="CM1608">
        <v>84.64</v>
      </c>
      <c r="CN1608">
        <v>27.35</v>
      </c>
      <c r="CO1608">
        <v>5.81</v>
      </c>
      <c r="CP1608">
        <v>709.8</v>
      </c>
      <c r="CQ1608">
        <v>7.48</v>
      </c>
      <c r="CR1608">
        <v>0.4</v>
      </c>
      <c r="CS1608" t="s">
        <v>3716</v>
      </c>
      <c r="CT1608">
        <v>5.79</v>
      </c>
      <c r="CU1608">
        <v>0</v>
      </c>
      <c r="CV1608">
        <v>2.82</v>
      </c>
      <c r="CW1608">
        <v>1.96</v>
      </c>
      <c r="CX1608">
        <v>0.05</v>
      </c>
      <c r="CY1608">
        <v>26.15</v>
      </c>
      <c r="CZ1608" t="s">
        <v>8182</v>
      </c>
      <c r="DA1608">
        <v>29.28</v>
      </c>
      <c r="DB1608">
        <v>10.57</v>
      </c>
      <c r="DC1608">
        <v>8.3800000000000008</v>
      </c>
      <c r="DD1608">
        <v>0.77</v>
      </c>
      <c r="DE1608">
        <v>1907</v>
      </c>
      <c r="DF1608">
        <v>300212</v>
      </c>
      <c r="DG1608" t="s">
        <v>116</v>
      </c>
      <c r="DH1608" t="s">
        <v>116</v>
      </c>
      <c r="DI1608" t="s">
        <v>116</v>
      </c>
    </row>
    <row r="1609" spans="1:113" x14ac:dyDescent="0.4">
      <c r="A1609" t="str">
        <f>"300213"</f>
        <v>300213</v>
      </c>
      <c r="B1609" t="s">
        <v>8432</v>
      </c>
      <c r="C1609">
        <v>-1.67</v>
      </c>
      <c r="D1609">
        <v>6.49</v>
      </c>
      <c r="E1609">
        <v>-0.11</v>
      </c>
      <c r="F1609">
        <v>6.48</v>
      </c>
      <c r="G1609">
        <v>6.49</v>
      </c>
      <c r="H1609">
        <v>65540</v>
      </c>
      <c r="I1609">
        <v>749</v>
      </c>
      <c r="J1609">
        <v>0</v>
      </c>
      <c r="K1609">
        <v>1.5</v>
      </c>
      <c r="L1609">
        <v>6.61</v>
      </c>
      <c r="M1609">
        <v>6.62</v>
      </c>
      <c r="N1609">
        <v>6.47</v>
      </c>
      <c r="O1609">
        <v>6.6</v>
      </c>
      <c r="P1609">
        <v>33.619999999999997</v>
      </c>
      <c r="Q1609">
        <v>42958328</v>
      </c>
      <c r="R1609">
        <v>0.88</v>
      </c>
      <c r="S1609" t="s">
        <v>465</v>
      </c>
      <c r="T1609" t="s">
        <v>165</v>
      </c>
      <c r="U1609">
        <v>2.27</v>
      </c>
      <c r="V1609">
        <v>6.55</v>
      </c>
      <c r="W1609">
        <v>38810</v>
      </c>
      <c r="X1609">
        <v>26730</v>
      </c>
      <c r="Y1609">
        <v>1.45</v>
      </c>
      <c r="Z1609">
        <v>495</v>
      </c>
      <c r="AA1609">
        <v>38</v>
      </c>
      <c r="AB1609" t="s">
        <v>116</v>
      </c>
      <c r="AC1609">
        <v>25800</v>
      </c>
      <c r="AD1609">
        <v>0</v>
      </c>
      <c r="AE1609" t="s">
        <v>116</v>
      </c>
      <c r="AF1609" t="s">
        <v>116</v>
      </c>
      <c r="AG1609">
        <v>4.38</v>
      </c>
      <c r="AH1609" t="s">
        <v>8433</v>
      </c>
      <c r="AI1609" t="s">
        <v>4867</v>
      </c>
      <c r="AJ1609">
        <v>-0.99</v>
      </c>
      <c r="AK1609">
        <v>1348</v>
      </c>
      <c r="AL1609">
        <v>49</v>
      </c>
      <c r="AM1609">
        <v>1.1000000000000001E-3</v>
      </c>
      <c r="AN1609">
        <v>-1</v>
      </c>
      <c r="AO1609">
        <v>-1.53</v>
      </c>
      <c r="AP1609">
        <v>5.53</v>
      </c>
      <c r="AQ1609">
        <v>-3.42</v>
      </c>
      <c r="AR1609">
        <v>17.149999999999999</v>
      </c>
      <c r="AS1609">
        <v>1.93</v>
      </c>
      <c r="AT1609" t="s">
        <v>8434</v>
      </c>
      <c r="AU1609">
        <v>25.94</v>
      </c>
      <c r="AV1609">
        <v>29.68</v>
      </c>
      <c r="AW1609">
        <v>1.31</v>
      </c>
      <c r="BA1609">
        <v>0.15</v>
      </c>
      <c r="BB1609">
        <v>0.3</v>
      </c>
      <c r="BC1609">
        <v>-1.97</v>
      </c>
      <c r="BD1609">
        <v>-0.69</v>
      </c>
      <c r="BE1609">
        <v>-1.82</v>
      </c>
      <c r="BF1609">
        <v>-1.96</v>
      </c>
      <c r="BG1609">
        <v>0.31</v>
      </c>
      <c r="BH1609">
        <v>-0.98</v>
      </c>
      <c r="BI1609">
        <v>20191107</v>
      </c>
      <c r="BJ1609">
        <v>20110505</v>
      </c>
      <c r="BK1609">
        <v>5.95</v>
      </c>
      <c r="BL1609" t="s">
        <v>116</v>
      </c>
      <c r="BM1609" t="s">
        <v>116</v>
      </c>
      <c r="BN1609">
        <v>31.49</v>
      </c>
      <c r="BO1609">
        <v>20.36</v>
      </c>
      <c r="BP1609">
        <v>0.03</v>
      </c>
      <c r="BQ1609">
        <v>35.229999999999997</v>
      </c>
      <c r="BR1609">
        <v>21.25</v>
      </c>
      <c r="BS1609">
        <v>1.83</v>
      </c>
      <c r="BT1609">
        <v>1.59</v>
      </c>
      <c r="BU1609">
        <v>9.77</v>
      </c>
      <c r="BV1609">
        <v>3.72</v>
      </c>
      <c r="BW1609">
        <v>8.67</v>
      </c>
      <c r="BX1609">
        <v>7.44</v>
      </c>
      <c r="BY1609">
        <v>8.36</v>
      </c>
      <c r="BZ1609">
        <v>5.17</v>
      </c>
      <c r="CA1609">
        <v>0.96</v>
      </c>
      <c r="CB1609">
        <v>-0.01</v>
      </c>
      <c r="CC1609">
        <v>1.02</v>
      </c>
      <c r="CD1609">
        <v>0.86</v>
      </c>
      <c r="CE1609">
        <v>0.86</v>
      </c>
      <c r="CF1609">
        <v>0.78</v>
      </c>
      <c r="CG1609">
        <v>6.42</v>
      </c>
      <c r="CH1609">
        <v>-0.37</v>
      </c>
      <c r="CI1609">
        <v>-0.79</v>
      </c>
      <c r="CJ1609">
        <v>32865</v>
      </c>
      <c r="CK1609">
        <v>10328</v>
      </c>
      <c r="CL1609" t="s">
        <v>1706</v>
      </c>
      <c r="CM1609">
        <v>27.78</v>
      </c>
      <c r="CN1609">
        <v>30.99</v>
      </c>
      <c r="CO1609">
        <v>1.9</v>
      </c>
      <c r="CP1609">
        <v>-103.51</v>
      </c>
      <c r="CQ1609">
        <v>4.62</v>
      </c>
      <c r="CR1609">
        <v>0.76</v>
      </c>
      <c r="CS1609" t="s">
        <v>4857</v>
      </c>
      <c r="CT1609">
        <v>3.42</v>
      </c>
      <c r="CU1609">
        <v>0</v>
      </c>
      <c r="CV1609">
        <v>1.25</v>
      </c>
      <c r="CW1609">
        <v>1.08</v>
      </c>
      <c r="CX1609">
        <v>-0.06</v>
      </c>
      <c r="CY1609">
        <v>64.680000000000007</v>
      </c>
      <c r="CZ1609" t="s">
        <v>4832</v>
      </c>
      <c r="DA1609">
        <v>38.130000000000003</v>
      </c>
      <c r="DB1609">
        <v>11.48</v>
      </c>
      <c r="DC1609">
        <v>10.3</v>
      </c>
      <c r="DD1609">
        <v>0.7</v>
      </c>
      <c r="DE1609">
        <v>847</v>
      </c>
      <c r="DF1609">
        <v>300213</v>
      </c>
      <c r="DG1609" t="s">
        <v>116</v>
      </c>
      <c r="DH1609" t="s">
        <v>116</v>
      </c>
      <c r="DI1609" t="s">
        <v>116</v>
      </c>
    </row>
    <row r="1610" spans="1:113" x14ac:dyDescent="0.4">
      <c r="A1610" t="str">
        <f>"300214"</f>
        <v>300214</v>
      </c>
      <c r="B1610" t="s">
        <v>8435</v>
      </c>
      <c r="C1610">
        <v>-2.0699999999999998</v>
      </c>
      <c r="D1610">
        <v>8.0500000000000007</v>
      </c>
      <c r="E1610">
        <v>-0.17</v>
      </c>
      <c r="F1610">
        <v>8.0399999999999991</v>
      </c>
      <c r="G1610">
        <v>8.0500000000000007</v>
      </c>
      <c r="H1610">
        <v>39515</v>
      </c>
      <c r="I1610">
        <v>473</v>
      </c>
      <c r="J1610">
        <v>0</v>
      </c>
      <c r="K1610">
        <v>1.1499999999999999</v>
      </c>
      <c r="L1610">
        <v>8.18</v>
      </c>
      <c r="M1610">
        <v>8.25</v>
      </c>
      <c r="N1610">
        <v>8.02</v>
      </c>
      <c r="O1610">
        <v>8.2200000000000006</v>
      </c>
      <c r="P1610">
        <v>21.9</v>
      </c>
      <c r="Q1610">
        <v>32102348</v>
      </c>
      <c r="R1610">
        <v>1.1000000000000001</v>
      </c>
      <c r="S1610" t="s">
        <v>891</v>
      </c>
      <c r="T1610" t="s">
        <v>645</v>
      </c>
      <c r="U1610">
        <v>2.8</v>
      </c>
      <c r="V1610">
        <v>8.1199999999999992</v>
      </c>
      <c r="W1610">
        <v>24329</v>
      </c>
      <c r="X1610">
        <v>15186</v>
      </c>
      <c r="Y1610">
        <v>1.6</v>
      </c>
      <c r="Z1610">
        <v>510</v>
      </c>
      <c r="AA1610">
        <v>44</v>
      </c>
      <c r="AB1610" t="s">
        <v>116</v>
      </c>
      <c r="AC1610">
        <v>70400</v>
      </c>
      <c r="AD1610">
        <v>0</v>
      </c>
      <c r="AE1610" t="s">
        <v>116</v>
      </c>
      <c r="AF1610" t="s">
        <v>116</v>
      </c>
      <c r="AG1610">
        <v>3.43</v>
      </c>
      <c r="AH1610" t="s">
        <v>1300</v>
      </c>
      <c r="AI1610" t="s">
        <v>375</v>
      </c>
      <c r="AJ1610">
        <v>-1.39</v>
      </c>
      <c r="AK1610">
        <v>1819</v>
      </c>
      <c r="AL1610">
        <v>22</v>
      </c>
      <c r="AM1610">
        <v>5.9999999999999995E-4</v>
      </c>
      <c r="AN1610">
        <v>-1</v>
      </c>
      <c r="AO1610">
        <v>-0.86</v>
      </c>
      <c r="AP1610">
        <v>-0.62</v>
      </c>
      <c r="AQ1610">
        <v>-4.7300000000000004</v>
      </c>
      <c r="AR1610">
        <v>47.7</v>
      </c>
      <c r="AS1610">
        <v>1.67</v>
      </c>
      <c r="AT1610" t="s">
        <v>7047</v>
      </c>
      <c r="AU1610">
        <v>25.52</v>
      </c>
      <c r="AV1610">
        <v>33.35</v>
      </c>
      <c r="AW1610">
        <v>1.1399999999999999</v>
      </c>
      <c r="BA1610">
        <v>-0.49</v>
      </c>
      <c r="BB1610">
        <v>0.36</v>
      </c>
      <c r="BC1610">
        <v>-2.4300000000000002</v>
      </c>
      <c r="BD1610">
        <v>-1.17</v>
      </c>
      <c r="BE1610">
        <v>-1.59</v>
      </c>
      <c r="BF1610">
        <v>-2.42</v>
      </c>
      <c r="BG1610">
        <v>0.37</v>
      </c>
      <c r="BH1610">
        <v>-0.9</v>
      </c>
      <c r="BI1610">
        <v>20191218</v>
      </c>
      <c r="BJ1610">
        <v>20110511</v>
      </c>
      <c r="BK1610">
        <v>4.26</v>
      </c>
      <c r="BL1610" t="s">
        <v>116</v>
      </c>
      <c r="BM1610" t="s">
        <v>116</v>
      </c>
      <c r="BN1610">
        <v>19.28</v>
      </c>
      <c r="BO1610">
        <v>16.98</v>
      </c>
      <c r="BP1610">
        <v>0</v>
      </c>
      <c r="BQ1610">
        <v>11.92</v>
      </c>
      <c r="BR1610">
        <v>11.75</v>
      </c>
      <c r="BS1610">
        <v>5.53</v>
      </c>
      <c r="BT1610">
        <v>0.81</v>
      </c>
      <c r="BU1610">
        <v>2.29</v>
      </c>
      <c r="BV1610">
        <v>2.41</v>
      </c>
      <c r="BW1610">
        <v>5.01</v>
      </c>
      <c r="BX1610">
        <v>5.83</v>
      </c>
      <c r="BY1610">
        <v>17.239999999999998</v>
      </c>
      <c r="BZ1610">
        <v>14.55</v>
      </c>
      <c r="CA1610">
        <v>1.56</v>
      </c>
      <c r="CB1610">
        <v>0</v>
      </c>
      <c r="CC1610">
        <v>1.56</v>
      </c>
      <c r="CD1610">
        <v>1.17</v>
      </c>
      <c r="CE1610">
        <v>1.17</v>
      </c>
      <c r="CF1610">
        <v>1.1599999999999999</v>
      </c>
      <c r="CG1610">
        <v>6.46</v>
      </c>
      <c r="CH1610">
        <v>-0.41</v>
      </c>
      <c r="CI1610">
        <v>-1.6</v>
      </c>
      <c r="CJ1610">
        <v>15166</v>
      </c>
      <c r="CK1610">
        <v>15629</v>
      </c>
      <c r="CL1610" t="s">
        <v>8436</v>
      </c>
      <c r="CM1610">
        <v>36.79</v>
      </c>
      <c r="CN1610">
        <v>67.92</v>
      </c>
      <c r="CO1610">
        <v>2.02</v>
      </c>
      <c r="CP1610">
        <v>-83.06</v>
      </c>
      <c r="CQ1610">
        <v>1.99</v>
      </c>
      <c r="CR1610">
        <v>0.62</v>
      </c>
      <c r="CS1610" t="s">
        <v>3370</v>
      </c>
      <c r="CT1610">
        <v>3.99</v>
      </c>
      <c r="CU1610">
        <v>0</v>
      </c>
      <c r="CV1610">
        <v>1.37</v>
      </c>
      <c r="CW1610">
        <v>1.52</v>
      </c>
      <c r="CX1610">
        <v>-0.1</v>
      </c>
      <c r="CY1610">
        <v>88.08</v>
      </c>
      <c r="CZ1610" t="s">
        <v>8437</v>
      </c>
      <c r="DA1610">
        <v>15.58</v>
      </c>
      <c r="DB1610">
        <v>9.0299999999999994</v>
      </c>
      <c r="DC1610">
        <v>6.81</v>
      </c>
      <c r="DD1610">
        <v>0.08</v>
      </c>
      <c r="DE1610">
        <v>811</v>
      </c>
      <c r="DF1610">
        <v>300214</v>
      </c>
      <c r="DG1610" t="s">
        <v>116</v>
      </c>
      <c r="DH1610" t="s">
        <v>116</v>
      </c>
      <c r="DI1610" t="s">
        <v>116</v>
      </c>
    </row>
    <row r="1611" spans="1:113" x14ac:dyDescent="0.4">
      <c r="A1611" t="str">
        <f>"300215"</f>
        <v>300215</v>
      </c>
      <c r="B1611" t="s">
        <v>8438</v>
      </c>
      <c r="C1611">
        <v>2.1800000000000002</v>
      </c>
      <c r="D1611">
        <v>6.56</v>
      </c>
      <c r="E1611">
        <v>0.14000000000000001</v>
      </c>
      <c r="F1611">
        <v>6.55</v>
      </c>
      <c r="G1611">
        <v>6.56</v>
      </c>
      <c r="H1611">
        <v>119545</v>
      </c>
      <c r="I1611">
        <v>1689</v>
      </c>
      <c r="J1611">
        <v>0.46</v>
      </c>
      <c r="K1611">
        <v>1.97</v>
      </c>
      <c r="L1611">
        <v>6.44</v>
      </c>
      <c r="M1611">
        <v>6.78</v>
      </c>
      <c r="N1611">
        <v>6.39</v>
      </c>
      <c r="O1611">
        <v>6.42</v>
      </c>
      <c r="P1611">
        <v>31.9</v>
      </c>
      <c r="Q1611">
        <v>79030256</v>
      </c>
      <c r="R1611">
        <v>3</v>
      </c>
      <c r="S1611" t="s">
        <v>397</v>
      </c>
      <c r="T1611" t="s">
        <v>323</v>
      </c>
      <c r="U1611">
        <v>6.07</v>
      </c>
      <c r="V1611">
        <v>6.61</v>
      </c>
      <c r="W1611">
        <v>56829</v>
      </c>
      <c r="X1611">
        <v>62716</v>
      </c>
      <c r="Y1611">
        <v>0.91</v>
      </c>
      <c r="Z1611">
        <v>148</v>
      </c>
      <c r="AA1611">
        <v>501</v>
      </c>
      <c r="AB1611" t="s">
        <v>116</v>
      </c>
      <c r="AC1611">
        <v>0</v>
      </c>
      <c r="AD1611">
        <v>0</v>
      </c>
      <c r="AE1611" t="s">
        <v>116</v>
      </c>
      <c r="AF1611" t="s">
        <v>116</v>
      </c>
      <c r="AG1611">
        <v>6.08</v>
      </c>
      <c r="AH1611" t="s">
        <v>2774</v>
      </c>
      <c r="AI1611" t="s">
        <v>8439</v>
      </c>
      <c r="AJ1611">
        <v>2.86</v>
      </c>
      <c r="AK1611">
        <v>1895</v>
      </c>
      <c r="AL1611">
        <v>63</v>
      </c>
      <c r="AM1611">
        <v>1E-3</v>
      </c>
      <c r="AN1611">
        <v>2</v>
      </c>
      <c r="AO1611">
        <v>2.98</v>
      </c>
      <c r="AP1611">
        <v>7.36</v>
      </c>
      <c r="AQ1611">
        <v>-3.39</v>
      </c>
      <c r="AR1611">
        <v>26.64</v>
      </c>
      <c r="AS1611">
        <v>3.93</v>
      </c>
      <c r="AT1611" t="s">
        <v>8440</v>
      </c>
      <c r="AU1611">
        <v>32.5</v>
      </c>
      <c r="AV1611">
        <v>38.880000000000003</v>
      </c>
      <c r="AW1611">
        <v>0.81</v>
      </c>
      <c r="BA1611">
        <v>0.31</v>
      </c>
      <c r="BB1611">
        <v>5.61</v>
      </c>
      <c r="BC1611">
        <v>-0.47</v>
      </c>
      <c r="BD1611">
        <v>2.97</v>
      </c>
      <c r="BE1611">
        <v>1.86</v>
      </c>
      <c r="BF1611">
        <v>-3.24</v>
      </c>
      <c r="BG1611">
        <v>2.66</v>
      </c>
      <c r="BH1611">
        <v>-0.79</v>
      </c>
      <c r="BI1611">
        <v>20191030</v>
      </c>
      <c r="BJ1611">
        <v>20110511</v>
      </c>
      <c r="BK1611">
        <v>7.58</v>
      </c>
      <c r="BL1611" t="s">
        <v>116</v>
      </c>
      <c r="BM1611" t="s">
        <v>116</v>
      </c>
      <c r="BN1611">
        <v>37.270000000000003</v>
      </c>
      <c r="BO1611">
        <v>20.54</v>
      </c>
      <c r="BP1611">
        <v>0.15</v>
      </c>
      <c r="BQ1611">
        <v>44.49</v>
      </c>
      <c r="BR1611">
        <v>7.22</v>
      </c>
      <c r="BS1611">
        <v>19.39</v>
      </c>
      <c r="BT1611">
        <v>0.56000000000000005</v>
      </c>
      <c r="BU1611">
        <v>6.59</v>
      </c>
      <c r="BV1611">
        <v>0.02</v>
      </c>
      <c r="BW1611">
        <v>0.65</v>
      </c>
      <c r="BX1611">
        <v>7.23</v>
      </c>
      <c r="BY1611">
        <v>5.81</v>
      </c>
      <c r="BZ1611">
        <v>2.84</v>
      </c>
      <c r="CA1611">
        <v>1.39</v>
      </c>
      <c r="CB1611">
        <v>0</v>
      </c>
      <c r="CC1611">
        <v>1.38</v>
      </c>
      <c r="CD1611">
        <v>1.17</v>
      </c>
      <c r="CE1611">
        <v>1.17</v>
      </c>
      <c r="CF1611">
        <v>1.0900000000000001</v>
      </c>
      <c r="CG1611">
        <v>4.91</v>
      </c>
      <c r="CH1611">
        <v>3.49</v>
      </c>
      <c r="CI1611">
        <v>0.28000000000000003</v>
      </c>
      <c r="CJ1611">
        <v>32454</v>
      </c>
      <c r="CK1611">
        <v>9363</v>
      </c>
      <c r="CL1611" t="s">
        <v>8085</v>
      </c>
      <c r="CM1611">
        <v>27.35</v>
      </c>
      <c r="CN1611">
        <v>12.02</v>
      </c>
      <c r="CO1611">
        <v>2.42</v>
      </c>
      <c r="CP1611">
        <v>14.26</v>
      </c>
      <c r="CQ1611">
        <v>8.57</v>
      </c>
      <c r="CR1611">
        <v>1.83</v>
      </c>
      <c r="CS1611" t="s">
        <v>4635</v>
      </c>
      <c r="CT1611">
        <v>2.71</v>
      </c>
      <c r="CU1611">
        <v>0</v>
      </c>
      <c r="CV1611">
        <v>0.95</v>
      </c>
      <c r="CW1611">
        <v>0.65</v>
      </c>
      <c r="CX1611">
        <v>0.46</v>
      </c>
      <c r="CY1611">
        <v>55.12</v>
      </c>
      <c r="CZ1611" t="s">
        <v>5334</v>
      </c>
      <c r="DA1611">
        <v>51.04</v>
      </c>
      <c r="DB1611">
        <v>23.87</v>
      </c>
      <c r="DC1611">
        <v>20.14</v>
      </c>
      <c r="DD1611">
        <v>0.54</v>
      </c>
      <c r="DE1611">
        <v>1322</v>
      </c>
      <c r="DF1611">
        <v>300215</v>
      </c>
      <c r="DG1611" t="s">
        <v>116</v>
      </c>
      <c r="DH1611" t="s">
        <v>116</v>
      </c>
      <c r="DI1611" t="s">
        <v>116</v>
      </c>
    </row>
    <row r="1612" spans="1:113" x14ac:dyDescent="0.4">
      <c r="A1612" t="str">
        <f>"300217"</f>
        <v>300217</v>
      </c>
      <c r="B1612" t="s">
        <v>8441</v>
      </c>
      <c r="C1612">
        <v>-1.64</v>
      </c>
      <c r="D1612">
        <v>2.4</v>
      </c>
      <c r="E1612">
        <v>-0.04</v>
      </c>
      <c r="F1612">
        <v>2.4</v>
      </c>
      <c r="G1612">
        <v>2.41</v>
      </c>
      <c r="H1612">
        <v>241371</v>
      </c>
      <c r="I1612">
        <v>2346</v>
      </c>
      <c r="J1612">
        <v>-0.4</v>
      </c>
      <c r="K1612">
        <v>2.75</v>
      </c>
      <c r="L1612">
        <v>2.42</v>
      </c>
      <c r="M1612">
        <v>2.46</v>
      </c>
      <c r="N1612">
        <v>2.4</v>
      </c>
      <c r="O1612">
        <v>2.44</v>
      </c>
      <c r="P1612">
        <v>33.65</v>
      </c>
      <c r="Q1612">
        <v>58719392</v>
      </c>
      <c r="R1612">
        <v>0.76</v>
      </c>
      <c r="S1612" t="s">
        <v>2977</v>
      </c>
      <c r="T1612" t="s">
        <v>323</v>
      </c>
      <c r="U1612">
        <v>2.46</v>
      </c>
      <c r="V1612">
        <v>2.4300000000000002</v>
      </c>
      <c r="W1612">
        <v>130537</v>
      </c>
      <c r="X1612">
        <v>110834</v>
      </c>
      <c r="Y1612">
        <v>1.18</v>
      </c>
      <c r="Z1612">
        <v>9624</v>
      </c>
      <c r="AA1612">
        <v>1095</v>
      </c>
      <c r="AB1612" t="s">
        <v>116</v>
      </c>
      <c r="AC1612">
        <v>1483700</v>
      </c>
      <c r="AD1612">
        <v>0.08</v>
      </c>
      <c r="AE1612" t="s">
        <v>116</v>
      </c>
      <c r="AF1612" t="s">
        <v>116</v>
      </c>
      <c r="AG1612">
        <v>8.7899999999999991</v>
      </c>
      <c r="AH1612" t="s">
        <v>4730</v>
      </c>
      <c r="AI1612" t="s">
        <v>8442</v>
      </c>
      <c r="AJ1612">
        <v>-0.96</v>
      </c>
      <c r="AK1612">
        <v>1640</v>
      </c>
      <c r="AL1612">
        <v>147</v>
      </c>
      <c r="AM1612">
        <v>1.6999999999999999E-3</v>
      </c>
      <c r="AN1612">
        <v>-2</v>
      </c>
      <c r="AO1612">
        <v>1.27</v>
      </c>
      <c r="AP1612">
        <v>2.56</v>
      </c>
      <c r="AQ1612">
        <v>-8.75</v>
      </c>
      <c r="AR1612">
        <v>3.9</v>
      </c>
      <c r="AS1612">
        <v>3.22</v>
      </c>
      <c r="AT1612" t="s">
        <v>8443</v>
      </c>
      <c r="AU1612">
        <v>37.85</v>
      </c>
      <c r="AV1612">
        <v>21.05</v>
      </c>
      <c r="AW1612">
        <v>1.08</v>
      </c>
      <c r="BA1612">
        <v>-0.82</v>
      </c>
      <c r="BB1612">
        <v>0.82</v>
      </c>
      <c r="BC1612">
        <v>-1.64</v>
      </c>
      <c r="BD1612">
        <v>-0.3</v>
      </c>
      <c r="BE1612">
        <v>-0.83</v>
      </c>
      <c r="BF1612">
        <v>-2.44</v>
      </c>
      <c r="BG1612">
        <v>0</v>
      </c>
      <c r="BH1612">
        <v>-1.34</v>
      </c>
      <c r="BI1612">
        <v>20191029</v>
      </c>
      <c r="BJ1612">
        <v>20110518</v>
      </c>
      <c r="BK1612">
        <v>12.73</v>
      </c>
      <c r="BL1612" t="s">
        <v>116</v>
      </c>
      <c r="BM1612" t="s">
        <v>116</v>
      </c>
      <c r="BN1612">
        <v>36.4</v>
      </c>
      <c r="BO1612">
        <v>20.49</v>
      </c>
      <c r="BP1612">
        <v>2.04</v>
      </c>
      <c r="BQ1612">
        <v>38.119999999999997</v>
      </c>
      <c r="BR1612">
        <v>24.67</v>
      </c>
      <c r="BS1612">
        <v>7.65</v>
      </c>
      <c r="BT1612">
        <v>1.74</v>
      </c>
      <c r="BU1612">
        <v>12.35</v>
      </c>
      <c r="BV1612">
        <v>6.13</v>
      </c>
      <c r="BW1612">
        <v>6.01</v>
      </c>
      <c r="BX1612">
        <v>0.39</v>
      </c>
      <c r="BY1612">
        <v>17.71</v>
      </c>
      <c r="BZ1612">
        <v>14.92</v>
      </c>
      <c r="CA1612">
        <v>0.56000000000000005</v>
      </c>
      <c r="CB1612">
        <v>0.12</v>
      </c>
      <c r="CC1612">
        <v>0.56999999999999995</v>
      </c>
      <c r="CD1612">
        <v>0.56000000000000005</v>
      </c>
      <c r="CE1612">
        <v>0.68</v>
      </c>
      <c r="CF1612">
        <v>0.59</v>
      </c>
      <c r="CG1612">
        <v>6.6</v>
      </c>
      <c r="CH1612">
        <v>-0.5</v>
      </c>
      <c r="CI1612">
        <v>-2.08</v>
      </c>
      <c r="CJ1612">
        <v>42098</v>
      </c>
      <c r="CK1612">
        <v>17807</v>
      </c>
      <c r="CL1612" t="s">
        <v>4052</v>
      </c>
      <c r="CM1612">
        <v>-48.6</v>
      </c>
      <c r="CN1612">
        <v>-2.5</v>
      </c>
      <c r="CO1612">
        <v>1.49</v>
      </c>
      <c r="CP1612">
        <v>-61.69</v>
      </c>
      <c r="CQ1612">
        <v>1.73</v>
      </c>
      <c r="CR1612">
        <v>0.83</v>
      </c>
      <c r="CS1612" t="s">
        <v>170</v>
      </c>
      <c r="CT1612">
        <v>1.61</v>
      </c>
      <c r="CU1612">
        <v>0</v>
      </c>
      <c r="CV1612">
        <v>0.03</v>
      </c>
      <c r="CW1612">
        <v>0.52</v>
      </c>
      <c r="CX1612">
        <v>-0.04</v>
      </c>
      <c r="CY1612">
        <v>56.29</v>
      </c>
      <c r="CZ1612" t="s">
        <v>2389</v>
      </c>
      <c r="DA1612">
        <v>15.75</v>
      </c>
      <c r="DB1612">
        <v>3.18</v>
      </c>
      <c r="DC1612">
        <v>3.85</v>
      </c>
      <c r="DD1612">
        <v>0.62</v>
      </c>
      <c r="DE1612">
        <v>3222</v>
      </c>
      <c r="DF1612">
        <v>300217</v>
      </c>
      <c r="DG1612" t="s">
        <v>116</v>
      </c>
      <c r="DH1612" t="s">
        <v>116</v>
      </c>
      <c r="DI1612" t="s">
        <v>116</v>
      </c>
    </row>
    <row r="1613" spans="1:113" x14ac:dyDescent="0.4">
      <c r="A1613" t="str">
        <f>"300218"</f>
        <v>300218</v>
      </c>
      <c r="B1613" t="s">
        <v>8444</v>
      </c>
      <c r="C1613">
        <v>-1.02</v>
      </c>
      <c r="D1613">
        <v>7.79</v>
      </c>
      <c r="E1613">
        <v>-0.08</v>
      </c>
      <c r="F1613">
        <v>7.79</v>
      </c>
      <c r="G1613">
        <v>7.8</v>
      </c>
      <c r="H1613">
        <v>23163</v>
      </c>
      <c r="I1613">
        <v>329</v>
      </c>
      <c r="J1613">
        <v>0.26</v>
      </c>
      <c r="K1613">
        <v>1.07</v>
      </c>
      <c r="L1613">
        <v>7.87</v>
      </c>
      <c r="M1613">
        <v>7.93</v>
      </c>
      <c r="N1613">
        <v>7.75</v>
      </c>
      <c r="O1613">
        <v>7.87</v>
      </c>
      <c r="P1613">
        <v>24.8</v>
      </c>
      <c r="Q1613">
        <v>18168482</v>
      </c>
      <c r="R1613">
        <v>0.89</v>
      </c>
      <c r="S1613" t="s">
        <v>2444</v>
      </c>
      <c r="T1613" t="s">
        <v>575</v>
      </c>
      <c r="U1613">
        <v>2.29</v>
      </c>
      <c r="V1613">
        <v>7.84</v>
      </c>
      <c r="W1613">
        <v>13604</v>
      </c>
      <c r="X1613">
        <v>9559</v>
      </c>
      <c r="Y1613">
        <v>1.42</v>
      </c>
      <c r="Z1613">
        <v>458</v>
      </c>
      <c r="AA1613">
        <v>462</v>
      </c>
      <c r="AB1613" t="s">
        <v>116</v>
      </c>
      <c r="AC1613">
        <v>44100</v>
      </c>
      <c r="AD1613">
        <v>0.01</v>
      </c>
      <c r="AE1613" t="s">
        <v>116</v>
      </c>
      <c r="AF1613" t="s">
        <v>116</v>
      </c>
      <c r="AG1613">
        <v>2.16</v>
      </c>
      <c r="AH1613" t="s">
        <v>8445</v>
      </c>
      <c r="AI1613" t="s">
        <v>5160</v>
      </c>
      <c r="AJ1613">
        <v>-0.34</v>
      </c>
      <c r="AK1613">
        <v>817</v>
      </c>
      <c r="AL1613">
        <v>28</v>
      </c>
      <c r="AM1613">
        <v>1.2999999999999999E-3</v>
      </c>
      <c r="AN1613">
        <v>-1</v>
      </c>
      <c r="AO1613">
        <v>0.13</v>
      </c>
      <c r="AP1613">
        <v>11.13</v>
      </c>
      <c r="AQ1613">
        <v>8.8000000000000007</v>
      </c>
      <c r="AR1613">
        <v>29.51</v>
      </c>
      <c r="AS1613">
        <v>2.69</v>
      </c>
      <c r="AT1613" t="s">
        <v>8446</v>
      </c>
      <c r="AU1613">
        <v>23.85</v>
      </c>
      <c r="AV1613">
        <v>73.36</v>
      </c>
      <c r="AW1613">
        <v>0.9</v>
      </c>
      <c r="BA1613">
        <v>0</v>
      </c>
      <c r="BB1613">
        <v>0.76</v>
      </c>
      <c r="BC1613">
        <v>-1.52</v>
      </c>
      <c r="BD1613">
        <v>-0.33</v>
      </c>
      <c r="BE1613">
        <v>-1.02</v>
      </c>
      <c r="BF1613">
        <v>-1.77</v>
      </c>
      <c r="BG1613">
        <v>0.52</v>
      </c>
      <c r="BH1613">
        <v>-0.68</v>
      </c>
      <c r="BI1613">
        <v>20191224</v>
      </c>
      <c r="BJ1613">
        <v>20110518</v>
      </c>
      <c r="BK1613">
        <v>2.17</v>
      </c>
      <c r="BL1613" t="s">
        <v>116</v>
      </c>
      <c r="BM1613" t="s">
        <v>116</v>
      </c>
      <c r="BN1613">
        <v>21.1</v>
      </c>
      <c r="BO1613">
        <v>10.34</v>
      </c>
      <c r="BP1613">
        <v>0.93</v>
      </c>
      <c r="BQ1613">
        <v>46.58</v>
      </c>
      <c r="BR1613">
        <v>10.24</v>
      </c>
      <c r="BS1613">
        <v>9.5</v>
      </c>
      <c r="BT1613">
        <v>0.53</v>
      </c>
      <c r="BU1613">
        <v>8.4499999999999993</v>
      </c>
      <c r="BV1613">
        <v>3.27</v>
      </c>
      <c r="BW1613">
        <v>2.04</v>
      </c>
      <c r="BX1613">
        <v>3.61</v>
      </c>
      <c r="BY1613">
        <v>12.35</v>
      </c>
      <c r="BZ1613">
        <v>9.86</v>
      </c>
      <c r="CA1613">
        <v>0.56000000000000005</v>
      </c>
      <c r="CB1613">
        <v>0.06</v>
      </c>
      <c r="CC1613">
        <v>0.55000000000000004</v>
      </c>
      <c r="CD1613">
        <v>0.53</v>
      </c>
      <c r="CE1613">
        <v>0.51</v>
      </c>
      <c r="CF1613">
        <v>0.22</v>
      </c>
      <c r="CG1613">
        <v>3.72</v>
      </c>
      <c r="CH1613">
        <v>0.1</v>
      </c>
      <c r="CI1613">
        <v>0.16</v>
      </c>
      <c r="CJ1613">
        <v>11853</v>
      </c>
      <c r="CK1613">
        <v>7271</v>
      </c>
      <c r="CL1613" t="s">
        <v>8447</v>
      </c>
      <c r="CM1613">
        <v>1459.83</v>
      </c>
      <c r="CN1613">
        <v>-0.24</v>
      </c>
      <c r="CO1613">
        <v>1.63</v>
      </c>
      <c r="CP1613">
        <v>170.99</v>
      </c>
      <c r="CQ1613">
        <v>1.37</v>
      </c>
      <c r="CR1613">
        <v>0.96</v>
      </c>
      <c r="CS1613" t="s">
        <v>2116</v>
      </c>
      <c r="CT1613">
        <v>4.76</v>
      </c>
      <c r="CU1613">
        <v>0</v>
      </c>
      <c r="CV1613">
        <v>1.67</v>
      </c>
      <c r="CW1613">
        <v>1.72</v>
      </c>
      <c r="CX1613">
        <v>0.05</v>
      </c>
      <c r="CY1613">
        <v>49</v>
      </c>
      <c r="CZ1613" t="s">
        <v>8448</v>
      </c>
      <c r="DA1613">
        <v>20.190000000000001</v>
      </c>
      <c r="DB1613">
        <v>4.5</v>
      </c>
      <c r="DC1613">
        <v>4.1399999999999997</v>
      </c>
      <c r="DD1613">
        <v>0.67</v>
      </c>
      <c r="DE1613">
        <v>2296</v>
      </c>
      <c r="DF1613">
        <v>300218</v>
      </c>
      <c r="DG1613" t="s">
        <v>116</v>
      </c>
      <c r="DH1613" t="s">
        <v>116</v>
      </c>
      <c r="DI1613" t="s">
        <v>116</v>
      </c>
    </row>
    <row r="1614" spans="1:113" x14ac:dyDescent="0.4">
      <c r="A1614" t="str">
        <f>"300219"</f>
        <v>300219</v>
      </c>
      <c r="B1614" t="s">
        <v>8449</v>
      </c>
      <c r="C1614">
        <v>-3.3</v>
      </c>
      <c r="D1614">
        <v>6.75</v>
      </c>
      <c r="E1614">
        <v>-0.23</v>
      </c>
      <c r="F1614">
        <v>6.75</v>
      </c>
      <c r="G1614">
        <v>6.76</v>
      </c>
      <c r="H1614">
        <v>39754</v>
      </c>
      <c r="I1614">
        <v>554</v>
      </c>
      <c r="J1614">
        <v>0</v>
      </c>
      <c r="K1614">
        <v>0.66</v>
      </c>
      <c r="L1614">
        <v>6.98</v>
      </c>
      <c r="M1614">
        <v>7.03</v>
      </c>
      <c r="N1614">
        <v>6.69</v>
      </c>
      <c r="O1614">
        <v>6.98</v>
      </c>
      <c r="P1614" t="s">
        <v>116</v>
      </c>
      <c r="Q1614">
        <v>27194998</v>
      </c>
      <c r="R1614">
        <v>0.95</v>
      </c>
      <c r="S1614" t="s">
        <v>233</v>
      </c>
      <c r="T1614" t="s">
        <v>551</v>
      </c>
      <c r="U1614">
        <v>4.87</v>
      </c>
      <c r="V1614">
        <v>6.84</v>
      </c>
      <c r="W1614">
        <v>24326</v>
      </c>
      <c r="X1614">
        <v>15428</v>
      </c>
      <c r="Y1614">
        <v>1.58</v>
      </c>
      <c r="Z1614">
        <v>74</v>
      </c>
      <c r="AA1614">
        <v>690</v>
      </c>
      <c r="AB1614" t="s">
        <v>116</v>
      </c>
      <c r="AC1614">
        <v>15400</v>
      </c>
      <c r="AD1614">
        <v>0</v>
      </c>
      <c r="AE1614" t="s">
        <v>116</v>
      </c>
      <c r="AF1614" t="s">
        <v>116</v>
      </c>
      <c r="AG1614">
        <v>6.06</v>
      </c>
      <c r="AH1614" t="s">
        <v>8450</v>
      </c>
      <c r="AI1614" t="s">
        <v>8451</v>
      </c>
      <c r="AJ1614">
        <v>-2.62</v>
      </c>
      <c r="AK1614">
        <v>1053</v>
      </c>
      <c r="AL1614">
        <v>38</v>
      </c>
      <c r="AM1614">
        <v>5.9999999999999995E-4</v>
      </c>
      <c r="AN1614">
        <v>-3</v>
      </c>
      <c r="AO1614">
        <v>-4.93</v>
      </c>
      <c r="AP1614">
        <v>11.2</v>
      </c>
      <c r="AQ1614">
        <v>10.11</v>
      </c>
      <c r="AR1614">
        <v>-8.2899999999999991</v>
      </c>
      <c r="AS1614">
        <v>1.33</v>
      </c>
      <c r="AT1614" t="s">
        <v>159</v>
      </c>
      <c r="AU1614" t="s">
        <v>116</v>
      </c>
      <c r="AV1614">
        <v>22.98</v>
      </c>
      <c r="AW1614">
        <v>1.61</v>
      </c>
      <c r="BA1614">
        <v>0</v>
      </c>
      <c r="BB1614">
        <v>0.72</v>
      </c>
      <c r="BC1614">
        <v>-4.1500000000000004</v>
      </c>
      <c r="BD1614">
        <v>-1.99</v>
      </c>
      <c r="BE1614">
        <v>-3.3</v>
      </c>
      <c r="BF1614">
        <v>-3.98</v>
      </c>
      <c r="BG1614">
        <v>0.9</v>
      </c>
      <c r="BH1614">
        <v>-1.3</v>
      </c>
      <c r="BI1614">
        <v>20191125</v>
      </c>
      <c r="BJ1614">
        <v>20110518</v>
      </c>
      <c r="BK1614">
        <v>7.11</v>
      </c>
      <c r="BL1614" t="s">
        <v>116</v>
      </c>
      <c r="BM1614" t="s">
        <v>116</v>
      </c>
      <c r="BN1614">
        <v>37.369999999999997</v>
      </c>
      <c r="BO1614">
        <v>18.93</v>
      </c>
      <c r="BP1614">
        <v>0.62</v>
      </c>
      <c r="BQ1614">
        <v>47.69</v>
      </c>
      <c r="BR1614">
        <v>22.23</v>
      </c>
      <c r="BS1614">
        <v>10.44</v>
      </c>
      <c r="BT1614">
        <v>0.9</v>
      </c>
      <c r="BU1614">
        <v>17.04</v>
      </c>
      <c r="BV1614">
        <v>4.53</v>
      </c>
      <c r="BW1614">
        <v>9.01</v>
      </c>
      <c r="BX1614">
        <v>10.99</v>
      </c>
      <c r="BY1614">
        <v>26.84</v>
      </c>
      <c r="BZ1614">
        <v>21.44</v>
      </c>
      <c r="CA1614">
        <v>-7.46</v>
      </c>
      <c r="CB1614">
        <v>0.03</v>
      </c>
      <c r="CC1614">
        <v>-7.09</v>
      </c>
      <c r="CD1614">
        <v>-7.41</v>
      </c>
      <c r="CE1614">
        <v>-7.23</v>
      </c>
      <c r="CF1614">
        <v>-6.95</v>
      </c>
      <c r="CG1614">
        <v>0.28999999999999998</v>
      </c>
      <c r="CH1614">
        <v>4.1500000000000004</v>
      </c>
      <c r="CI1614">
        <v>-1.1399999999999999</v>
      </c>
      <c r="CJ1614">
        <v>19989</v>
      </c>
      <c r="CK1614">
        <v>14950</v>
      </c>
      <c r="CL1614" t="s">
        <v>8452</v>
      </c>
      <c r="CM1614">
        <v>-305.08</v>
      </c>
      <c r="CN1614">
        <v>-8.66</v>
      </c>
      <c r="CO1614">
        <v>2.54</v>
      </c>
      <c r="CP1614">
        <v>11.57</v>
      </c>
      <c r="CQ1614">
        <v>1.79</v>
      </c>
      <c r="CR1614">
        <v>4.45</v>
      </c>
      <c r="CS1614" t="s">
        <v>8453</v>
      </c>
      <c r="CT1614">
        <v>2.66</v>
      </c>
      <c r="CU1614">
        <v>0</v>
      </c>
      <c r="CV1614">
        <v>1.55</v>
      </c>
      <c r="CW1614">
        <v>0.04</v>
      </c>
      <c r="CX1614">
        <v>0.57999999999999996</v>
      </c>
      <c r="CY1614">
        <v>50.65</v>
      </c>
      <c r="CZ1614" t="s">
        <v>8454</v>
      </c>
      <c r="DA1614">
        <v>20.12</v>
      </c>
      <c r="DB1614">
        <v>-27.8</v>
      </c>
      <c r="DC1614">
        <v>-26.95</v>
      </c>
      <c r="DD1614">
        <v>1.26</v>
      </c>
      <c r="DE1614">
        <v>4595</v>
      </c>
      <c r="DF1614">
        <v>300219</v>
      </c>
      <c r="DG1614" t="s">
        <v>116</v>
      </c>
      <c r="DH1614" t="s">
        <v>116</v>
      </c>
      <c r="DI1614" t="s">
        <v>116</v>
      </c>
    </row>
    <row r="1615" spans="1:113" x14ac:dyDescent="0.4">
      <c r="A1615" t="str">
        <f>"300220"</f>
        <v>300220</v>
      </c>
      <c r="B1615" t="s">
        <v>8455</v>
      </c>
      <c r="C1615">
        <v>-1.0900000000000001</v>
      </c>
      <c r="D1615">
        <v>38.119999999999997</v>
      </c>
      <c r="E1615">
        <v>-0.42</v>
      </c>
      <c r="F1615">
        <v>38.119999999999997</v>
      </c>
      <c r="G1615">
        <v>38.200000000000003</v>
      </c>
      <c r="H1615">
        <v>18921</v>
      </c>
      <c r="I1615">
        <v>647</v>
      </c>
      <c r="J1615">
        <v>-0.9</v>
      </c>
      <c r="K1615">
        <v>1.51</v>
      </c>
      <c r="L1615">
        <v>38.54</v>
      </c>
      <c r="M1615">
        <v>39.49</v>
      </c>
      <c r="N1615">
        <v>38</v>
      </c>
      <c r="O1615">
        <v>38.54</v>
      </c>
      <c r="P1615">
        <v>223.87</v>
      </c>
      <c r="Q1615">
        <v>73667272</v>
      </c>
      <c r="R1615">
        <v>1.01</v>
      </c>
      <c r="S1615" t="s">
        <v>233</v>
      </c>
      <c r="T1615" t="s">
        <v>774</v>
      </c>
      <c r="U1615">
        <v>3.87</v>
      </c>
      <c r="V1615">
        <v>38.93</v>
      </c>
      <c r="W1615">
        <v>7795</v>
      </c>
      <c r="X1615">
        <v>11126</v>
      </c>
      <c r="Y1615">
        <v>0.7</v>
      </c>
      <c r="Z1615">
        <v>83</v>
      </c>
      <c r="AA1615">
        <v>10</v>
      </c>
      <c r="AB1615" t="s">
        <v>116</v>
      </c>
      <c r="AC1615">
        <v>54000</v>
      </c>
      <c r="AD1615">
        <v>0</v>
      </c>
      <c r="AE1615" t="s">
        <v>116</v>
      </c>
      <c r="AF1615" t="s">
        <v>116</v>
      </c>
      <c r="AG1615">
        <v>1.25</v>
      </c>
      <c r="AH1615" t="s">
        <v>8456</v>
      </c>
      <c r="AI1615" t="s">
        <v>8457</v>
      </c>
      <c r="AJ1615">
        <v>-0.41</v>
      </c>
      <c r="AK1615">
        <v>1159</v>
      </c>
      <c r="AL1615">
        <v>16</v>
      </c>
      <c r="AM1615">
        <v>1.2999999999999999E-3</v>
      </c>
      <c r="AN1615">
        <v>-1</v>
      </c>
      <c r="AO1615">
        <v>-0.28999999999999998</v>
      </c>
      <c r="AP1615">
        <v>15.9</v>
      </c>
      <c r="AQ1615">
        <v>-3</v>
      </c>
      <c r="AR1615">
        <v>291.22000000000003</v>
      </c>
      <c r="AS1615">
        <v>3.02</v>
      </c>
      <c r="AT1615" t="s">
        <v>8458</v>
      </c>
      <c r="AU1615">
        <v>356.49</v>
      </c>
      <c r="AV1615">
        <v>672.51</v>
      </c>
      <c r="AW1615">
        <v>0.59</v>
      </c>
      <c r="BA1615">
        <v>0</v>
      </c>
      <c r="BB1615">
        <v>2.46</v>
      </c>
      <c r="BC1615">
        <v>-1.4</v>
      </c>
      <c r="BD1615">
        <v>1.02</v>
      </c>
      <c r="BE1615">
        <v>-1.0900000000000001</v>
      </c>
      <c r="BF1615">
        <v>-3.47</v>
      </c>
      <c r="BG1615">
        <v>0.32</v>
      </c>
      <c r="BH1615">
        <v>-2.11</v>
      </c>
      <c r="BI1615">
        <v>20191030</v>
      </c>
      <c r="BJ1615">
        <v>20110525</v>
      </c>
      <c r="BK1615">
        <v>1.26</v>
      </c>
      <c r="BL1615" t="s">
        <v>116</v>
      </c>
      <c r="BM1615" t="s">
        <v>116</v>
      </c>
      <c r="BN1615">
        <v>3.75</v>
      </c>
      <c r="BO1615">
        <v>2.66</v>
      </c>
      <c r="BP1615">
        <v>0.08</v>
      </c>
      <c r="BQ1615">
        <v>26.93</v>
      </c>
      <c r="BR1615">
        <v>2.12</v>
      </c>
      <c r="BS1615">
        <v>0.75</v>
      </c>
      <c r="BT1615">
        <v>0.1</v>
      </c>
      <c r="BU1615">
        <v>1</v>
      </c>
      <c r="BV1615">
        <v>0.8</v>
      </c>
      <c r="BW1615">
        <v>0.38</v>
      </c>
      <c r="BX1615">
        <v>0.85</v>
      </c>
      <c r="BY1615">
        <v>1.61</v>
      </c>
      <c r="BZ1615">
        <v>1.01</v>
      </c>
      <c r="CA1615">
        <v>0.2</v>
      </c>
      <c r="CB1615">
        <v>-0.01</v>
      </c>
      <c r="CC1615">
        <v>0.2</v>
      </c>
      <c r="CD1615">
        <v>0.17</v>
      </c>
      <c r="CE1615">
        <v>0.16</v>
      </c>
      <c r="CF1615">
        <v>0.15</v>
      </c>
      <c r="CG1615">
        <v>0.43</v>
      </c>
      <c r="CH1615">
        <v>0.04</v>
      </c>
      <c r="CI1615">
        <v>-0.17</v>
      </c>
      <c r="CJ1615">
        <v>6966</v>
      </c>
      <c r="CK1615">
        <v>9006</v>
      </c>
      <c r="CL1615" t="s">
        <v>8459</v>
      </c>
      <c r="CM1615">
        <v>64.87</v>
      </c>
      <c r="CN1615">
        <v>6.75</v>
      </c>
      <c r="CO1615">
        <v>18.059999999999999</v>
      </c>
      <c r="CP1615">
        <v>1134.3599999999999</v>
      </c>
      <c r="CQ1615">
        <v>29.86</v>
      </c>
      <c r="CR1615">
        <v>0.02</v>
      </c>
      <c r="CS1615" t="s">
        <v>5140</v>
      </c>
      <c r="CT1615">
        <v>2.11</v>
      </c>
      <c r="CU1615">
        <v>0</v>
      </c>
      <c r="CV1615">
        <v>0.68</v>
      </c>
      <c r="CW1615">
        <v>0.34</v>
      </c>
      <c r="CX1615">
        <v>0.03</v>
      </c>
      <c r="CY1615">
        <v>71</v>
      </c>
      <c r="CZ1615" t="s">
        <v>6672</v>
      </c>
      <c r="DA1615">
        <v>37.159999999999997</v>
      </c>
      <c r="DB1615">
        <v>12.38</v>
      </c>
      <c r="DC1615">
        <v>10</v>
      </c>
      <c r="DD1615">
        <v>0.03</v>
      </c>
      <c r="DE1615">
        <v>248</v>
      </c>
      <c r="DF1615">
        <v>300220</v>
      </c>
      <c r="DG1615" t="s">
        <v>116</v>
      </c>
      <c r="DH1615" t="s">
        <v>116</v>
      </c>
      <c r="DI1615" t="s">
        <v>116</v>
      </c>
    </row>
    <row r="1616" spans="1:113" x14ac:dyDescent="0.4">
      <c r="A1616" t="str">
        <f>"300221"</f>
        <v>300221</v>
      </c>
      <c r="B1616" t="s">
        <v>8460</v>
      </c>
      <c r="C1616">
        <v>-3.02</v>
      </c>
      <c r="D1616">
        <v>5.79</v>
      </c>
      <c r="E1616">
        <v>-0.18</v>
      </c>
      <c r="F1616">
        <v>5.79</v>
      </c>
      <c r="G1616">
        <v>5.8</v>
      </c>
      <c r="H1616">
        <v>218616</v>
      </c>
      <c r="I1616">
        <v>3042</v>
      </c>
      <c r="J1616">
        <v>-0.51</v>
      </c>
      <c r="K1616">
        <v>5.32</v>
      </c>
      <c r="L1616">
        <v>5.9</v>
      </c>
      <c r="M1616">
        <v>6.03</v>
      </c>
      <c r="N1616">
        <v>5.79</v>
      </c>
      <c r="O1616">
        <v>5.97</v>
      </c>
      <c r="P1616">
        <v>51.72</v>
      </c>
      <c r="Q1616">
        <v>128873312</v>
      </c>
      <c r="R1616">
        <v>0.76</v>
      </c>
      <c r="S1616" t="s">
        <v>2444</v>
      </c>
      <c r="T1616" t="s">
        <v>551</v>
      </c>
      <c r="U1616">
        <v>4.0199999999999996</v>
      </c>
      <c r="V1616">
        <v>5.89</v>
      </c>
      <c r="W1616">
        <v>124336</v>
      </c>
      <c r="X1616">
        <v>94280</v>
      </c>
      <c r="Y1616">
        <v>1.32</v>
      </c>
      <c r="Z1616">
        <v>263</v>
      </c>
      <c r="AA1616">
        <v>2766</v>
      </c>
      <c r="AB1616" t="s">
        <v>116</v>
      </c>
      <c r="AC1616">
        <v>1228400</v>
      </c>
      <c r="AD1616">
        <v>0.08</v>
      </c>
      <c r="AE1616" t="s">
        <v>116</v>
      </c>
      <c r="AF1616" t="s">
        <v>116</v>
      </c>
      <c r="AG1616">
        <v>4.1100000000000003</v>
      </c>
      <c r="AH1616" t="s">
        <v>3876</v>
      </c>
      <c r="AI1616" t="s">
        <v>4631</v>
      </c>
      <c r="AJ1616">
        <v>-2.34</v>
      </c>
      <c r="AK1616">
        <v>2639</v>
      </c>
      <c r="AL1616">
        <v>83</v>
      </c>
      <c r="AM1616">
        <v>2E-3</v>
      </c>
      <c r="AN1616">
        <v>-3</v>
      </c>
      <c r="AO1616">
        <v>-4.62</v>
      </c>
      <c r="AP1616">
        <v>-7.51</v>
      </c>
      <c r="AQ1616">
        <v>6.43</v>
      </c>
      <c r="AR1616">
        <v>12.43</v>
      </c>
      <c r="AS1616">
        <v>8.23</v>
      </c>
      <c r="AT1616" t="s">
        <v>1505</v>
      </c>
      <c r="AU1616" t="s">
        <v>116</v>
      </c>
      <c r="AV1616" t="s">
        <v>116</v>
      </c>
      <c r="AW1616">
        <v>0.73</v>
      </c>
      <c r="BA1616">
        <v>-1.17</v>
      </c>
      <c r="BB1616">
        <v>1.01</v>
      </c>
      <c r="BC1616">
        <v>-3.02</v>
      </c>
      <c r="BD1616">
        <v>-1.26</v>
      </c>
      <c r="BE1616">
        <v>-1.86</v>
      </c>
      <c r="BF1616">
        <v>-3.98</v>
      </c>
      <c r="BG1616">
        <v>0</v>
      </c>
      <c r="BH1616">
        <v>-1.76</v>
      </c>
      <c r="BI1616">
        <v>20191025</v>
      </c>
      <c r="BJ1616">
        <v>20110525</v>
      </c>
      <c r="BK1616">
        <v>4.5199999999999996</v>
      </c>
      <c r="BL1616" t="s">
        <v>116</v>
      </c>
      <c r="BM1616" t="s">
        <v>116</v>
      </c>
      <c r="BN1616">
        <v>16.399999999999999</v>
      </c>
      <c r="BO1616">
        <v>10.26</v>
      </c>
      <c r="BP1616">
        <v>0.2</v>
      </c>
      <c r="BQ1616">
        <v>36.25</v>
      </c>
      <c r="BR1616">
        <v>10.46</v>
      </c>
      <c r="BS1616">
        <v>4.21</v>
      </c>
      <c r="BT1616">
        <v>0.68</v>
      </c>
      <c r="BU1616">
        <v>4.4400000000000004</v>
      </c>
      <c r="BV1616">
        <v>2.8</v>
      </c>
      <c r="BW1616">
        <v>3.66</v>
      </c>
      <c r="BX1616">
        <v>8.93</v>
      </c>
      <c r="BY1616">
        <v>11.24</v>
      </c>
      <c r="BZ1616">
        <v>9.85</v>
      </c>
      <c r="CA1616">
        <v>0.23</v>
      </c>
      <c r="CB1616">
        <v>0.08</v>
      </c>
      <c r="CC1616">
        <v>0.25</v>
      </c>
      <c r="CD1616">
        <v>0.37</v>
      </c>
      <c r="CE1616">
        <v>0.38</v>
      </c>
      <c r="CF1616">
        <v>-0.3</v>
      </c>
      <c r="CG1616">
        <v>-3.33</v>
      </c>
      <c r="CH1616">
        <v>0.64</v>
      </c>
      <c r="CI1616">
        <v>-0.78</v>
      </c>
      <c r="CJ1616">
        <v>27963</v>
      </c>
      <c r="CK1616">
        <v>9499</v>
      </c>
      <c r="CL1616" t="s">
        <v>1424</v>
      </c>
      <c r="CM1616">
        <v>24.16</v>
      </c>
      <c r="CN1616">
        <v>-36.74</v>
      </c>
      <c r="CO1616">
        <v>2.5499999999999998</v>
      </c>
      <c r="CP1616">
        <v>41.12</v>
      </c>
      <c r="CQ1616">
        <v>2.33</v>
      </c>
      <c r="CR1616">
        <v>0</v>
      </c>
      <c r="CS1616" t="s">
        <v>2516</v>
      </c>
      <c r="CT1616">
        <v>2.27</v>
      </c>
      <c r="CU1616">
        <v>0</v>
      </c>
      <c r="CV1616">
        <v>1.98</v>
      </c>
      <c r="CW1616">
        <v>-0.74</v>
      </c>
      <c r="CX1616">
        <v>0.14000000000000001</v>
      </c>
      <c r="CY1616">
        <v>62.54</v>
      </c>
      <c r="CZ1616" t="s">
        <v>4308</v>
      </c>
      <c r="DA1616">
        <v>12.36</v>
      </c>
      <c r="DB1616">
        <v>2.09</v>
      </c>
      <c r="DC1616">
        <v>3.38</v>
      </c>
      <c r="DD1616">
        <v>0.62</v>
      </c>
      <c r="DE1616">
        <v>1421</v>
      </c>
      <c r="DF1616">
        <v>300221</v>
      </c>
      <c r="DG1616" t="s">
        <v>116</v>
      </c>
      <c r="DH1616" t="s">
        <v>116</v>
      </c>
      <c r="DI1616" t="s">
        <v>116</v>
      </c>
    </row>
    <row r="1617" spans="1:113" x14ac:dyDescent="0.4">
      <c r="A1617" t="str">
        <f>"300222"</f>
        <v>300222</v>
      </c>
      <c r="B1617" t="s">
        <v>8461</v>
      </c>
      <c r="C1617">
        <v>-1.68</v>
      </c>
      <c r="D1617">
        <v>9.35</v>
      </c>
      <c r="E1617">
        <v>-0.16</v>
      </c>
      <c r="F1617">
        <v>9.34</v>
      </c>
      <c r="G1617">
        <v>9.35</v>
      </c>
      <c r="H1617">
        <v>60903</v>
      </c>
      <c r="I1617">
        <v>175</v>
      </c>
      <c r="J1617">
        <v>0.21</v>
      </c>
      <c r="K1617">
        <v>1.31</v>
      </c>
      <c r="L1617">
        <v>9.49</v>
      </c>
      <c r="M1617">
        <v>9.56</v>
      </c>
      <c r="N1617">
        <v>9.3000000000000007</v>
      </c>
      <c r="O1617">
        <v>9.51</v>
      </c>
      <c r="P1617">
        <v>1108.95</v>
      </c>
      <c r="Q1617">
        <v>57418892</v>
      </c>
      <c r="R1617">
        <v>0.99</v>
      </c>
      <c r="S1617" t="s">
        <v>397</v>
      </c>
      <c r="T1617" t="s">
        <v>1653</v>
      </c>
      <c r="U1617">
        <v>2.73</v>
      </c>
      <c r="V1617">
        <v>9.43</v>
      </c>
      <c r="W1617">
        <v>37423</v>
      </c>
      <c r="X1617">
        <v>23480</v>
      </c>
      <c r="Y1617">
        <v>1.59</v>
      </c>
      <c r="Z1617">
        <v>38</v>
      </c>
      <c r="AA1617">
        <v>482</v>
      </c>
      <c r="AB1617" t="s">
        <v>116</v>
      </c>
      <c r="AC1617">
        <v>98700</v>
      </c>
      <c r="AD1617">
        <v>0</v>
      </c>
      <c r="AE1617" t="s">
        <v>116</v>
      </c>
      <c r="AF1617" t="s">
        <v>116</v>
      </c>
      <c r="AG1617">
        <v>4.66</v>
      </c>
      <c r="AH1617" t="s">
        <v>8462</v>
      </c>
      <c r="AI1617" t="s">
        <v>8463</v>
      </c>
      <c r="AJ1617">
        <v>-1</v>
      </c>
      <c r="AK1617">
        <v>1619</v>
      </c>
      <c r="AL1617">
        <v>38</v>
      </c>
      <c r="AM1617">
        <v>8.0000000000000004E-4</v>
      </c>
      <c r="AN1617">
        <v>-1</v>
      </c>
      <c r="AO1617">
        <v>0.64</v>
      </c>
      <c r="AP1617">
        <v>7.84</v>
      </c>
      <c r="AQ1617">
        <v>-14.85</v>
      </c>
      <c r="AR1617">
        <v>-39.36</v>
      </c>
      <c r="AS1617">
        <v>1.6</v>
      </c>
      <c r="AT1617" t="s">
        <v>8464</v>
      </c>
      <c r="AU1617">
        <v>38.96</v>
      </c>
      <c r="AV1617">
        <v>17.239999999999998</v>
      </c>
      <c r="AW1617">
        <v>1.46</v>
      </c>
      <c r="BA1617">
        <v>-0.21</v>
      </c>
      <c r="BB1617">
        <v>0.53</v>
      </c>
      <c r="BC1617">
        <v>-2.21</v>
      </c>
      <c r="BD1617">
        <v>-0.86</v>
      </c>
      <c r="BE1617">
        <v>-1.48</v>
      </c>
      <c r="BF1617">
        <v>-2.2000000000000002</v>
      </c>
      <c r="BG1617">
        <v>0.54</v>
      </c>
      <c r="BH1617">
        <v>-0.82</v>
      </c>
      <c r="BI1617">
        <v>20191030</v>
      </c>
      <c r="BJ1617">
        <v>20110525</v>
      </c>
      <c r="BK1617">
        <v>7.25</v>
      </c>
      <c r="BL1617" t="s">
        <v>116</v>
      </c>
      <c r="BM1617" t="s">
        <v>116</v>
      </c>
      <c r="BN1617">
        <v>85.74</v>
      </c>
      <c r="BO1617">
        <v>45.53</v>
      </c>
      <c r="BP1617">
        <v>0.82</v>
      </c>
      <c r="BQ1617">
        <v>45.94</v>
      </c>
      <c r="BR1617">
        <v>53.73</v>
      </c>
      <c r="BS1617">
        <v>5.36</v>
      </c>
      <c r="BT1617">
        <v>3.44</v>
      </c>
      <c r="BU1617">
        <v>33.1</v>
      </c>
      <c r="BV1617">
        <v>17.170000000000002</v>
      </c>
      <c r="BW1617">
        <v>18.64</v>
      </c>
      <c r="BX1617">
        <v>27.13</v>
      </c>
      <c r="BY1617">
        <v>18.100000000000001</v>
      </c>
      <c r="BZ1617">
        <v>11.52</v>
      </c>
      <c r="CA1617">
        <v>0.25</v>
      </c>
      <c r="CB1617">
        <v>0.19</v>
      </c>
      <c r="CC1617">
        <v>0.28000000000000003</v>
      </c>
      <c r="CD1617">
        <v>0.21</v>
      </c>
      <c r="CE1617">
        <v>0.05</v>
      </c>
      <c r="CF1617">
        <v>-0.26</v>
      </c>
      <c r="CG1617">
        <v>10.84</v>
      </c>
      <c r="CH1617">
        <v>-3.76</v>
      </c>
      <c r="CI1617">
        <v>0.89</v>
      </c>
      <c r="CJ1617">
        <v>44464</v>
      </c>
      <c r="CK1617">
        <v>8579</v>
      </c>
      <c r="CL1617" t="s">
        <v>6920</v>
      </c>
      <c r="CM1617">
        <v>-97.95</v>
      </c>
      <c r="CN1617">
        <v>-15.72</v>
      </c>
      <c r="CO1617">
        <v>1.49</v>
      </c>
      <c r="CP1617">
        <v>-18.02</v>
      </c>
      <c r="CQ1617">
        <v>3.74</v>
      </c>
      <c r="CR1617">
        <v>0.87</v>
      </c>
      <c r="CS1617" t="s">
        <v>1177</v>
      </c>
      <c r="CT1617">
        <v>6.28</v>
      </c>
      <c r="CU1617">
        <v>0</v>
      </c>
      <c r="CV1617">
        <v>3.74</v>
      </c>
      <c r="CW1617">
        <v>1.5</v>
      </c>
      <c r="CX1617">
        <v>-0.52</v>
      </c>
      <c r="CY1617">
        <v>53.11</v>
      </c>
      <c r="CZ1617" t="s">
        <v>8465</v>
      </c>
      <c r="DA1617">
        <v>36.36</v>
      </c>
      <c r="DB1617">
        <v>1.38</v>
      </c>
      <c r="DC1617">
        <v>0.25</v>
      </c>
      <c r="DD1617">
        <v>1.51</v>
      </c>
      <c r="DE1617">
        <v>3618</v>
      </c>
      <c r="DF1617">
        <v>300222</v>
      </c>
      <c r="DG1617" t="s">
        <v>116</v>
      </c>
      <c r="DH1617" t="s">
        <v>116</v>
      </c>
      <c r="DI1617" t="s">
        <v>116</v>
      </c>
    </row>
    <row r="1618" spans="1:113" x14ac:dyDescent="0.4">
      <c r="A1618" t="str">
        <f>"300223"</f>
        <v>300223</v>
      </c>
      <c r="B1618" t="s">
        <v>8466</v>
      </c>
      <c r="C1618">
        <v>-4.87</v>
      </c>
      <c r="D1618">
        <v>85.8</v>
      </c>
      <c r="E1618">
        <v>-4.3899999999999997</v>
      </c>
      <c r="F1618">
        <v>85.8</v>
      </c>
      <c r="G1618">
        <v>85.81</v>
      </c>
      <c r="H1618">
        <v>89997</v>
      </c>
      <c r="I1618">
        <v>1330</v>
      </c>
      <c r="J1618">
        <v>-0.34</v>
      </c>
      <c r="K1618">
        <v>7.06</v>
      </c>
      <c r="L1618">
        <v>90</v>
      </c>
      <c r="M1618">
        <v>90.26</v>
      </c>
      <c r="N1618">
        <v>85.5</v>
      </c>
      <c r="O1618">
        <v>90.19</v>
      </c>
      <c r="P1618">
        <v>199.57</v>
      </c>
      <c r="Q1618">
        <v>785972544</v>
      </c>
      <c r="R1618">
        <v>0.84</v>
      </c>
      <c r="S1618" t="s">
        <v>3507</v>
      </c>
      <c r="T1618" t="s">
        <v>165</v>
      </c>
      <c r="U1618">
        <v>5.28</v>
      </c>
      <c r="V1618">
        <v>87.33</v>
      </c>
      <c r="W1618">
        <v>51953</v>
      </c>
      <c r="X1618">
        <v>38044</v>
      </c>
      <c r="Y1618">
        <v>1.37</v>
      </c>
      <c r="Z1618">
        <v>587</v>
      </c>
      <c r="AA1618">
        <v>131</v>
      </c>
      <c r="AB1618" t="s">
        <v>116</v>
      </c>
      <c r="AC1618">
        <v>2952000</v>
      </c>
      <c r="AD1618">
        <v>0.03</v>
      </c>
      <c r="AE1618" t="s">
        <v>116</v>
      </c>
      <c r="AF1618" t="s">
        <v>116</v>
      </c>
      <c r="AG1618">
        <v>1.27</v>
      </c>
      <c r="AH1618" t="s">
        <v>8467</v>
      </c>
      <c r="AI1618" t="s">
        <v>8468</v>
      </c>
      <c r="AJ1618">
        <v>-4.1900000000000004</v>
      </c>
      <c r="AK1618">
        <v>4252</v>
      </c>
      <c r="AL1618">
        <v>21</v>
      </c>
      <c r="AM1618">
        <v>1.6999999999999999E-3</v>
      </c>
      <c r="AN1618">
        <v>-2</v>
      </c>
      <c r="AO1618">
        <v>-0.85</v>
      </c>
      <c r="AP1618">
        <v>35.93</v>
      </c>
      <c r="AQ1618">
        <v>67.319999999999993</v>
      </c>
      <c r="AR1618">
        <v>370.91</v>
      </c>
      <c r="AS1618">
        <v>8.5399999999999991</v>
      </c>
      <c r="AT1618" t="s">
        <v>8469</v>
      </c>
      <c r="AU1618">
        <v>299.69</v>
      </c>
      <c r="AV1618">
        <v>1278.0899999999999</v>
      </c>
      <c r="AW1618">
        <v>1.48</v>
      </c>
      <c r="BA1618">
        <v>-0.21</v>
      </c>
      <c r="BB1618">
        <v>0.08</v>
      </c>
      <c r="BC1618">
        <v>-5.2</v>
      </c>
      <c r="BD1618">
        <v>-3.17</v>
      </c>
      <c r="BE1618">
        <v>-4.67</v>
      </c>
      <c r="BF1618">
        <v>-4.9400000000000004</v>
      </c>
      <c r="BG1618">
        <v>0.35</v>
      </c>
      <c r="BH1618">
        <v>-1.7</v>
      </c>
      <c r="BI1618">
        <v>20191224</v>
      </c>
      <c r="BJ1618">
        <v>20110531</v>
      </c>
      <c r="BK1618">
        <v>2.0099999999999998</v>
      </c>
      <c r="BL1618" t="s">
        <v>116</v>
      </c>
      <c r="BM1618" t="s">
        <v>116</v>
      </c>
      <c r="BN1618">
        <v>12.86</v>
      </c>
      <c r="BO1618">
        <v>12.41</v>
      </c>
      <c r="BP1618">
        <v>0</v>
      </c>
      <c r="BQ1618">
        <v>3.47</v>
      </c>
      <c r="BR1618">
        <v>10.039999999999999</v>
      </c>
      <c r="BS1618">
        <v>0.36</v>
      </c>
      <c r="BT1618">
        <v>0.32</v>
      </c>
      <c r="BU1618">
        <v>0.15</v>
      </c>
      <c r="BV1618">
        <v>1</v>
      </c>
      <c r="BW1618">
        <v>0.22</v>
      </c>
      <c r="BX1618">
        <v>7.6</v>
      </c>
      <c r="BY1618">
        <v>2.41</v>
      </c>
      <c r="BZ1618">
        <v>1.46</v>
      </c>
      <c r="CA1618">
        <v>0.69</v>
      </c>
      <c r="CB1618">
        <v>0.16</v>
      </c>
      <c r="CC1618">
        <v>0.69</v>
      </c>
      <c r="CD1618">
        <v>0.65</v>
      </c>
      <c r="CE1618">
        <v>0.65</v>
      </c>
      <c r="CF1618">
        <v>0.23</v>
      </c>
      <c r="CG1618">
        <v>2.37</v>
      </c>
      <c r="CH1618">
        <v>0.11</v>
      </c>
      <c r="CI1618">
        <v>-0.93</v>
      </c>
      <c r="CJ1618">
        <v>39596</v>
      </c>
      <c r="CK1618">
        <v>2663</v>
      </c>
      <c r="CL1618" t="s">
        <v>8470</v>
      </c>
      <c r="CM1618">
        <v>212.2</v>
      </c>
      <c r="CN1618">
        <v>50.12</v>
      </c>
      <c r="CO1618">
        <v>13.92</v>
      </c>
      <c r="CP1618">
        <v>1569.53</v>
      </c>
      <c r="CQ1618">
        <v>71.7</v>
      </c>
      <c r="CR1618">
        <v>0.03</v>
      </c>
      <c r="CS1618" t="s">
        <v>6570</v>
      </c>
      <c r="CT1618">
        <v>6.16</v>
      </c>
      <c r="CU1618">
        <v>0</v>
      </c>
      <c r="CV1618">
        <v>3.78</v>
      </c>
      <c r="CW1618">
        <v>1.18</v>
      </c>
      <c r="CX1618">
        <v>0.05</v>
      </c>
      <c r="CY1618">
        <v>96.53</v>
      </c>
      <c r="CZ1618" t="s">
        <v>8471</v>
      </c>
      <c r="DA1618">
        <v>39.35</v>
      </c>
      <c r="DB1618">
        <v>28.75</v>
      </c>
      <c r="DC1618">
        <v>26.95</v>
      </c>
      <c r="DD1618">
        <v>0.43</v>
      </c>
      <c r="DE1618">
        <v>224</v>
      </c>
      <c r="DF1618">
        <v>300223</v>
      </c>
      <c r="DG1618" t="s">
        <v>116</v>
      </c>
      <c r="DH1618" t="s">
        <v>116</v>
      </c>
      <c r="DI1618" t="s">
        <v>116</v>
      </c>
    </row>
    <row r="1619" spans="1:113" x14ac:dyDescent="0.4">
      <c r="A1619" t="str">
        <f>"300224"</f>
        <v>300224</v>
      </c>
      <c r="B1619" t="s">
        <v>8472</v>
      </c>
      <c r="C1619">
        <v>-1.94</v>
      </c>
      <c r="D1619">
        <v>9.6199999999999992</v>
      </c>
      <c r="E1619">
        <v>-0.19</v>
      </c>
      <c r="F1619">
        <v>9.6199999999999992</v>
      </c>
      <c r="G1619">
        <v>9.6300000000000008</v>
      </c>
      <c r="H1619">
        <v>201316</v>
      </c>
      <c r="I1619">
        <v>2732</v>
      </c>
      <c r="J1619">
        <v>-0.61</v>
      </c>
      <c r="K1619">
        <v>2.74</v>
      </c>
      <c r="L1619">
        <v>9.68</v>
      </c>
      <c r="M1619">
        <v>10.029999999999999</v>
      </c>
      <c r="N1619">
        <v>9.5500000000000007</v>
      </c>
      <c r="O1619">
        <v>9.81</v>
      </c>
      <c r="P1619">
        <v>70.45</v>
      </c>
      <c r="Q1619">
        <v>197861072</v>
      </c>
      <c r="R1619">
        <v>0.88</v>
      </c>
      <c r="S1619" t="s">
        <v>233</v>
      </c>
      <c r="T1619" t="s">
        <v>645</v>
      </c>
      <c r="U1619">
        <v>4.8899999999999997</v>
      </c>
      <c r="V1619">
        <v>9.83</v>
      </c>
      <c r="W1619">
        <v>101833</v>
      </c>
      <c r="X1619">
        <v>99483</v>
      </c>
      <c r="Y1619">
        <v>1.02</v>
      </c>
      <c r="Z1619">
        <v>1110</v>
      </c>
      <c r="AA1619">
        <v>212</v>
      </c>
      <c r="AB1619" t="s">
        <v>116</v>
      </c>
      <c r="AC1619">
        <v>670800</v>
      </c>
      <c r="AD1619">
        <v>0.02</v>
      </c>
      <c r="AE1619" t="s">
        <v>116</v>
      </c>
      <c r="AF1619" t="s">
        <v>116</v>
      </c>
      <c r="AG1619">
        <v>7.36</v>
      </c>
      <c r="AH1619" t="s">
        <v>8473</v>
      </c>
      <c r="AI1619" t="s">
        <v>8474</v>
      </c>
      <c r="AJ1619">
        <v>-1.26</v>
      </c>
      <c r="AK1619">
        <v>3544</v>
      </c>
      <c r="AL1619">
        <v>57</v>
      </c>
      <c r="AM1619">
        <v>8.0000000000000004E-4</v>
      </c>
      <c r="AN1619">
        <v>-1</v>
      </c>
      <c r="AO1619">
        <v>7.48</v>
      </c>
      <c r="AP1619">
        <v>29.82</v>
      </c>
      <c r="AQ1619">
        <v>33.979999999999997</v>
      </c>
      <c r="AR1619">
        <v>63.33</v>
      </c>
      <c r="AS1619">
        <v>6.36</v>
      </c>
      <c r="AT1619" t="s">
        <v>8475</v>
      </c>
      <c r="AU1619" t="s">
        <v>116</v>
      </c>
      <c r="AV1619" t="s">
        <v>116</v>
      </c>
      <c r="AW1619">
        <v>0.7</v>
      </c>
      <c r="BA1619">
        <v>-1.33</v>
      </c>
      <c r="BB1619">
        <v>2.2400000000000002</v>
      </c>
      <c r="BC1619">
        <v>-2.65</v>
      </c>
      <c r="BD1619">
        <v>0.19</v>
      </c>
      <c r="BE1619">
        <v>-0.62</v>
      </c>
      <c r="BF1619">
        <v>-4.09</v>
      </c>
      <c r="BG1619">
        <v>0.73</v>
      </c>
      <c r="BH1619">
        <v>-2.12</v>
      </c>
      <c r="BI1619">
        <v>20191018</v>
      </c>
      <c r="BJ1619">
        <v>20110531</v>
      </c>
      <c r="BK1619">
        <v>8.1999999999999993</v>
      </c>
      <c r="BL1619" t="s">
        <v>116</v>
      </c>
      <c r="BM1619" t="s">
        <v>116</v>
      </c>
      <c r="BN1619">
        <v>37.409999999999997</v>
      </c>
      <c r="BO1619">
        <v>26.57</v>
      </c>
      <c r="BP1619">
        <v>0.44</v>
      </c>
      <c r="BQ1619">
        <v>27.79</v>
      </c>
      <c r="BR1619">
        <v>27.42</v>
      </c>
      <c r="BS1619">
        <v>5.32</v>
      </c>
      <c r="BT1619">
        <v>1.27</v>
      </c>
      <c r="BU1619">
        <v>9.77</v>
      </c>
      <c r="BV1619">
        <v>6.51</v>
      </c>
      <c r="BW1619">
        <v>4.9800000000000004</v>
      </c>
      <c r="BX1619">
        <v>12.42</v>
      </c>
      <c r="BY1619">
        <v>12.59</v>
      </c>
      <c r="BZ1619">
        <v>10.11</v>
      </c>
      <c r="CA1619">
        <v>0.79</v>
      </c>
      <c r="CB1619">
        <v>0.32</v>
      </c>
      <c r="CC1619">
        <v>0.79</v>
      </c>
      <c r="CD1619">
        <v>0.8</v>
      </c>
      <c r="CE1619">
        <v>0.84</v>
      </c>
      <c r="CF1619">
        <v>0.8</v>
      </c>
      <c r="CG1619">
        <v>5.55</v>
      </c>
      <c r="CH1619">
        <v>0.59</v>
      </c>
      <c r="CI1619">
        <v>0.69</v>
      </c>
      <c r="CJ1619">
        <v>49413</v>
      </c>
      <c r="CK1619">
        <v>6405</v>
      </c>
      <c r="CL1619" t="s">
        <v>1271</v>
      </c>
      <c r="CM1619">
        <v>45.97</v>
      </c>
      <c r="CN1619">
        <v>8</v>
      </c>
      <c r="CO1619">
        <v>2.97</v>
      </c>
      <c r="CP1619">
        <v>133.30000000000001</v>
      </c>
      <c r="CQ1619">
        <v>6.27</v>
      </c>
      <c r="CR1619">
        <v>0</v>
      </c>
      <c r="CS1619" t="s">
        <v>4514</v>
      </c>
      <c r="CT1619">
        <v>3.24</v>
      </c>
      <c r="CU1619">
        <v>0</v>
      </c>
      <c r="CV1619">
        <v>1.51</v>
      </c>
      <c r="CW1619">
        <v>0.68</v>
      </c>
      <c r="CX1619">
        <v>7.0000000000000007E-2</v>
      </c>
      <c r="CY1619">
        <v>71.02</v>
      </c>
      <c r="CZ1619" t="s">
        <v>193</v>
      </c>
      <c r="DA1619">
        <v>19.670000000000002</v>
      </c>
      <c r="DB1619">
        <v>6.3</v>
      </c>
      <c r="DC1619">
        <v>6.67</v>
      </c>
      <c r="DD1619">
        <v>0.87</v>
      </c>
      <c r="DE1619">
        <v>1807</v>
      </c>
      <c r="DF1619">
        <v>300224</v>
      </c>
      <c r="DG1619" t="s">
        <v>116</v>
      </c>
      <c r="DH1619" t="s">
        <v>116</v>
      </c>
      <c r="DI1619" t="s">
        <v>116</v>
      </c>
    </row>
    <row r="1620" spans="1:113" x14ac:dyDescent="0.4">
      <c r="A1620" t="str">
        <f>"300225"</f>
        <v>300225</v>
      </c>
      <c r="B1620" t="s">
        <v>8476</v>
      </c>
      <c r="C1620">
        <v>-0.34</v>
      </c>
      <c r="D1620">
        <v>5.83</v>
      </c>
      <c r="E1620">
        <v>-0.02</v>
      </c>
      <c r="F1620">
        <v>5.82</v>
      </c>
      <c r="G1620">
        <v>5.83</v>
      </c>
      <c r="H1620">
        <v>67380</v>
      </c>
      <c r="I1620">
        <v>9089</v>
      </c>
      <c r="J1620">
        <v>0.52</v>
      </c>
      <c r="K1620">
        <v>1.44</v>
      </c>
      <c r="L1620">
        <v>5.85</v>
      </c>
      <c r="M1620">
        <v>5.87</v>
      </c>
      <c r="N1620">
        <v>5.76</v>
      </c>
      <c r="O1620">
        <v>5.85</v>
      </c>
      <c r="P1620">
        <v>80.12</v>
      </c>
      <c r="Q1620">
        <v>39197152</v>
      </c>
      <c r="R1620">
        <v>0.73</v>
      </c>
      <c r="S1620" t="s">
        <v>1192</v>
      </c>
      <c r="T1620" t="s">
        <v>1653</v>
      </c>
      <c r="U1620">
        <v>1.88</v>
      </c>
      <c r="V1620">
        <v>5.82</v>
      </c>
      <c r="W1620">
        <v>39273</v>
      </c>
      <c r="X1620">
        <v>28107</v>
      </c>
      <c r="Y1620">
        <v>1.4</v>
      </c>
      <c r="Z1620">
        <v>9</v>
      </c>
      <c r="AA1620">
        <v>170</v>
      </c>
      <c r="AB1620" t="s">
        <v>116</v>
      </c>
      <c r="AC1620">
        <v>46800</v>
      </c>
      <c r="AD1620">
        <v>0</v>
      </c>
      <c r="AE1620" t="s">
        <v>116</v>
      </c>
      <c r="AF1620" t="s">
        <v>116</v>
      </c>
      <c r="AG1620">
        <v>4.6900000000000004</v>
      </c>
      <c r="AH1620" t="s">
        <v>4900</v>
      </c>
      <c r="AI1620" t="s">
        <v>7982</v>
      </c>
      <c r="AJ1620">
        <v>0.34</v>
      </c>
      <c r="AK1620">
        <v>1164</v>
      </c>
      <c r="AL1620">
        <v>58</v>
      </c>
      <c r="AM1620">
        <v>1.1999999999999999E-3</v>
      </c>
      <c r="AN1620">
        <v>-5</v>
      </c>
      <c r="AO1620">
        <v>-2.35</v>
      </c>
      <c r="AP1620">
        <v>-0.17</v>
      </c>
      <c r="AQ1620">
        <v>12.98</v>
      </c>
      <c r="AR1620">
        <v>29.56</v>
      </c>
      <c r="AS1620">
        <v>2.06</v>
      </c>
      <c r="AT1620" t="s">
        <v>4627</v>
      </c>
      <c r="AU1620">
        <v>94.22</v>
      </c>
      <c r="AV1620">
        <v>247.61</v>
      </c>
      <c r="AW1620">
        <v>1</v>
      </c>
      <c r="BA1620">
        <v>0</v>
      </c>
      <c r="BB1620">
        <v>0.34</v>
      </c>
      <c r="BC1620">
        <v>-1.54</v>
      </c>
      <c r="BD1620">
        <v>-0.56000000000000005</v>
      </c>
      <c r="BE1620">
        <v>-0.34</v>
      </c>
      <c r="BF1620">
        <v>-0.68</v>
      </c>
      <c r="BG1620">
        <v>1.22</v>
      </c>
      <c r="BH1620">
        <v>0.22</v>
      </c>
      <c r="BI1620">
        <v>20191028</v>
      </c>
      <c r="BJ1620">
        <v>20110531</v>
      </c>
      <c r="BK1620">
        <v>4.7</v>
      </c>
      <c r="BL1620" t="s">
        <v>116</v>
      </c>
      <c r="BM1620" t="s">
        <v>116</v>
      </c>
      <c r="BN1620">
        <v>11.34</v>
      </c>
      <c r="BO1620">
        <v>9.06</v>
      </c>
      <c r="BP1620">
        <v>0.28000000000000003</v>
      </c>
      <c r="BQ1620">
        <v>17.66</v>
      </c>
      <c r="BR1620">
        <v>7.47</v>
      </c>
      <c r="BS1620">
        <v>2.4900000000000002</v>
      </c>
      <c r="BT1620">
        <v>0.22</v>
      </c>
      <c r="BU1620">
        <v>1.91</v>
      </c>
      <c r="BV1620">
        <v>0.99</v>
      </c>
      <c r="BW1620">
        <v>3</v>
      </c>
      <c r="BX1620">
        <v>0.25</v>
      </c>
      <c r="BY1620">
        <v>5.62</v>
      </c>
      <c r="BZ1620">
        <v>4.28</v>
      </c>
      <c r="CA1620">
        <v>0.27</v>
      </c>
      <c r="CB1620">
        <v>0.05</v>
      </c>
      <c r="CC1620">
        <v>0.27</v>
      </c>
      <c r="CD1620">
        <v>0.24</v>
      </c>
      <c r="CE1620">
        <v>0.26</v>
      </c>
      <c r="CF1620">
        <v>0.17</v>
      </c>
      <c r="CG1620">
        <v>3.31</v>
      </c>
      <c r="CH1620">
        <v>0.16</v>
      </c>
      <c r="CI1620">
        <v>-0.83</v>
      </c>
      <c r="CJ1620">
        <v>21437</v>
      </c>
      <c r="CK1620">
        <v>15284</v>
      </c>
      <c r="CL1620" t="s">
        <v>213</v>
      </c>
      <c r="CM1620">
        <v>235.96</v>
      </c>
      <c r="CN1620">
        <v>1.57</v>
      </c>
      <c r="CO1620">
        <v>3.03</v>
      </c>
      <c r="CP1620">
        <v>169.8</v>
      </c>
      <c r="CQ1620">
        <v>4.88</v>
      </c>
      <c r="CR1620">
        <v>0</v>
      </c>
      <c r="CS1620" t="s">
        <v>2069</v>
      </c>
      <c r="CT1620">
        <v>1.93</v>
      </c>
      <c r="CU1620">
        <v>0</v>
      </c>
      <c r="CV1620">
        <v>0.05</v>
      </c>
      <c r="CW1620">
        <v>0.7</v>
      </c>
      <c r="CX1620">
        <v>0.03</v>
      </c>
      <c r="CY1620">
        <v>79.86</v>
      </c>
      <c r="CZ1620" t="s">
        <v>3240</v>
      </c>
      <c r="DA1620">
        <v>23.93</v>
      </c>
      <c r="DB1620">
        <v>4.82</v>
      </c>
      <c r="DC1620">
        <v>4.57</v>
      </c>
      <c r="DD1620">
        <v>0.22</v>
      </c>
      <c r="DE1620">
        <v>626</v>
      </c>
      <c r="DF1620">
        <v>300225</v>
      </c>
      <c r="DG1620" t="s">
        <v>116</v>
      </c>
      <c r="DH1620" t="s">
        <v>116</v>
      </c>
      <c r="DI1620" t="s">
        <v>116</v>
      </c>
    </row>
    <row r="1621" spans="1:113" x14ac:dyDescent="0.4">
      <c r="A1621" t="str">
        <f>"300226"</f>
        <v>300226</v>
      </c>
      <c r="B1621" t="s">
        <v>8477</v>
      </c>
      <c r="C1621">
        <v>-0.18</v>
      </c>
      <c r="D1621">
        <v>75.86</v>
      </c>
      <c r="E1621">
        <v>-0.14000000000000001</v>
      </c>
      <c r="F1621">
        <v>75.849999999999994</v>
      </c>
      <c r="G1621">
        <v>75.86</v>
      </c>
      <c r="H1621">
        <v>19197</v>
      </c>
      <c r="I1621">
        <v>152</v>
      </c>
      <c r="J1621">
        <v>-0.23</v>
      </c>
      <c r="K1621">
        <v>1.26</v>
      </c>
      <c r="L1621">
        <v>76.5</v>
      </c>
      <c r="M1621">
        <v>77.3</v>
      </c>
      <c r="N1621">
        <v>75.650000000000006</v>
      </c>
      <c r="O1621">
        <v>76</v>
      </c>
      <c r="P1621">
        <v>63.13</v>
      </c>
      <c r="Q1621">
        <v>146726816</v>
      </c>
      <c r="R1621">
        <v>0.78</v>
      </c>
      <c r="S1621" t="s">
        <v>1384</v>
      </c>
      <c r="T1621" t="s">
        <v>1653</v>
      </c>
      <c r="U1621">
        <v>2.17</v>
      </c>
      <c r="V1621">
        <v>76.430000000000007</v>
      </c>
      <c r="W1621">
        <v>10030</v>
      </c>
      <c r="X1621">
        <v>9167</v>
      </c>
      <c r="Y1621">
        <v>1.0900000000000001</v>
      </c>
      <c r="Z1621">
        <v>101</v>
      </c>
      <c r="AA1621">
        <v>66</v>
      </c>
      <c r="AB1621" t="s">
        <v>116</v>
      </c>
      <c r="AC1621">
        <v>252500</v>
      </c>
      <c r="AD1621">
        <v>0</v>
      </c>
      <c r="AE1621" t="s">
        <v>116</v>
      </c>
      <c r="AF1621" t="s">
        <v>116</v>
      </c>
      <c r="AG1621">
        <v>1.53</v>
      </c>
      <c r="AH1621" t="s">
        <v>8478</v>
      </c>
      <c r="AI1621" t="s">
        <v>8479</v>
      </c>
      <c r="AJ1621">
        <v>0.49</v>
      </c>
      <c r="AK1621">
        <v>1897</v>
      </c>
      <c r="AL1621">
        <v>10</v>
      </c>
      <c r="AM1621">
        <v>6.9999999999999999E-4</v>
      </c>
      <c r="AN1621">
        <v>-2</v>
      </c>
      <c r="AO1621">
        <v>1.07</v>
      </c>
      <c r="AP1621">
        <v>-2.84</v>
      </c>
      <c r="AQ1621">
        <v>2.86</v>
      </c>
      <c r="AR1621">
        <v>66.8</v>
      </c>
      <c r="AS1621">
        <v>1.7</v>
      </c>
      <c r="AT1621" t="s">
        <v>8480</v>
      </c>
      <c r="AU1621">
        <v>72.03</v>
      </c>
      <c r="AV1621">
        <v>99.81</v>
      </c>
      <c r="AW1621">
        <v>1.1000000000000001</v>
      </c>
      <c r="BA1621">
        <v>0.66</v>
      </c>
      <c r="BB1621">
        <v>1.71</v>
      </c>
      <c r="BC1621">
        <v>-0.46</v>
      </c>
      <c r="BD1621">
        <v>0.56999999999999995</v>
      </c>
      <c r="BE1621">
        <v>-0.84</v>
      </c>
      <c r="BF1621">
        <v>-1.86</v>
      </c>
      <c r="BG1621">
        <v>0.28000000000000003</v>
      </c>
      <c r="BH1621">
        <v>-0.75</v>
      </c>
      <c r="BI1621">
        <v>20191030</v>
      </c>
      <c r="BJ1621">
        <v>20110608</v>
      </c>
      <c r="BK1621">
        <v>1.59</v>
      </c>
      <c r="BL1621" t="s">
        <v>116</v>
      </c>
      <c r="BM1621" t="s">
        <v>116</v>
      </c>
      <c r="BN1621">
        <v>153.71</v>
      </c>
      <c r="BO1621">
        <v>11.01</v>
      </c>
      <c r="BP1621">
        <v>16.47</v>
      </c>
      <c r="BQ1621">
        <v>82.12</v>
      </c>
      <c r="BR1621">
        <v>149.47</v>
      </c>
      <c r="BS1621">
        <v>1.89</v>
      </c>
      <c r="BT1621">
        <v>0.28999999999999998</v>
      </c>
      <c r="BU1621">
        <v>125.86</v>
      </c>
      <c r="BV1621">
        <v>50.09</v>
      </c>
      <c r="BW1621">
        <v>21.36</v>
      </c>
      <c r="BX1621">
        <v>7.43</v>
      </c>
      <c r="BY1621">
        <v>810.83</v>
      </c>
      <c r="BZ1621">
        <v>804.38</v>
      </c>
      <c r="CA1621">
        <v>2.59</v>
      </c>
      <c r="CB1621">
        <v>-0.03</v>
      </c>
      <c r="CC1621">
        <v>2.59</v>
      </c>
      <c r="CD1621">
        <v>2.46</v>
      </c>
      <c r="CE1621">
        <v>1.43</v>
      </c>
      <c r="CF1621">
        <v>1.35</v>
      </c>
      <c r="CG1621">
        <v>1.71</v>
      </c>
      <c r="CH1621">
        <v>-2.52</v>
      </c>
      <c r="CI1621">
        <v>-0.12</v>
      </c>
      <c r="CJ1621">
        <v>11825</v>
      </c>
      <c r="CK1621">
        <v>9530</v>
      </c>
      <c r="CL1621" t="s">
        <v>8481</v>
      </c>
      <c r="CM1621">
        <v>48.2</v>
      </c>
      <c r="CN1621">
        <v>12.44</v>
      </c>
      <c r="CO1621">
        <v>10.96</v>
      </c>
      <c r="CP1621">
        <v>-47.95</v>
      </c>
      <c r="CQ1621">
        <v>0.15</v>
      </c>
      <c r="CR1621">
        <v>7.0000000000000007E-2</v>
      </c>
      <c r="CS1621" t="s">
        <v>8482</v>
      </c>
      <c r="CT1621">
        <v>6.92</v>
      </c>
      <c r="CU1621">
        <v>0</v>
      </c>
      <c r="CV1621">
        <v>4.67</v>
      </c>
      <c r="CW1621">
        <v>1.08</v>
      </c>
      <c r="CX1621">
        <v>-1.58</v>
      </c>
      <c r="CY1621">
        <v>7.16</v>
      </c>
      <c r="CZ1621" t="s">
        <v>8483</v>
      </c>
      <c r="DA1621">
        <v>0.8</v>
      </c>
      <c r="DB1621">
        <v>0.32</v>
      </c>
      <c r="DC1621">
        <v>0.18</v>
      </c>
      <c r="DD1621">
        <v>0.65</v>
      </c>
      <c r="DE1621">
        <v>2398</v>
      </c>
      <c r="DF1621">
        <v>300226</v>
      </c>
      <c r="DG1621" t="s">
        <v>116</v>
      </c>
      <c r="DH1621" t="s">
        <v>116</v>
      </c>
      <c r="DI1621" t="s">
        <v>116</v>
      </c>
    </row>
    <row r="1622" spans="1:113" x14ac:dyDescent="0.4">
      <c r="A1622" t="str">
        <f>"300227"</f>
        <v>300227</v>
      </c>
      <c r="B1622" t="s">
        <v>8484</v>
      </c>
      <c r="C1622">
        <v>-1.48</v>
      </c>
      <c r="D1622">
        <v>13.32</v>
      </c>
      <c r="E1622">
        <v>-0.2</v>
      </c>
      <c r="F1622">
        <v>13.32</v>
      </c>
      <c r="G1622">
        <v>13.33</v>
      </c>
      <c r="H1622">
        <v>60532</v>
      </c>
      <c r="I1622">
        <v>311</v>
      </c>
      <c r="J1622">
        <v>-0.14000000000000001</v>
      </c>
      <c r="K1622">
        <v>3.89</v>
      </c>
      <c r="L1622">
        <v>13.53</v>
      </c>
      <c r="M1622">
        <v>13.92</v>
      </c>
      <c r="N1622">
        <v>13.28</v>
      </c>
      <c r="O1622">
        <v>13.52</v>
      </c>
      <c r="P1622">
        <v>42.23</v>
      </c>
      <c r="Q1622">
        <v>81890088</v>
      </c>
      <c r="R1622">
        <v>1.24</v>
      </c>
      <c r="S1622" t="s">
        <v>233</v>
      </c>
      <c r="T1622" t="s">
        <v>115</v>
      </c>
      <c r="U1622">
        <v>4.7300000000000004</v>
      </c>
      <c r="V1622">
        <v>13.53</v>
      </c>
      <c r="W1622">
        <v>31243</v>
      </c>
      <c r="X1622">
        <v>29289</v>
      </c>
      <c r="Y1622">
        <v>1.07</v>
      </c>
      <c r="Z1622">
        <v>91</v>
      </c>
      <c r="AA1622">
        <v>16</v>
      </c>
      <c r="AB1622" t="s">
        <v>116</v>
      </c>
      <c r="AC1622">
        <v>238100</v>
      </c>
      <c r="AD1622">
        <v>0.01</v>
      </c>
      <c r="AE1622" t="s">
        <v>116</v>
      </c>
      <c r="AF1622" t="s">
        <v>116</v>
      </c>
      <c r="AG1622">
        <v>1.56</v>
      </c>
      <c r="AH1622" t="s">
        <v>8485</v>
      </c>
      <c r="AI1622" t="s">
        <v>3274</v>
      </c>
      <c r="AJ1622">
        <v>-0.8</v>
      </c>
      <c r="AK1622">
        <v>2337</v>
      </c>
      <c r="AL1622">
        <v>26</v>
      </c>
      <c r="AM1622">
        <v>1.6999999999999999E-3</v>
      </c>
      <c r="AN1622">
        <v>-1</v>
      </c>
      <c r="AO1622">
        <v>5.04</v>
      </c>
      <c r="AP1622">
        <v>9.6300000000000008</v>
      </c>
      <c r="AQ1622">
        <v>15.42</v>
      </c>
      <c r="AR1622">
        <v>40.880000000000003</v>
      </c>
      <c r="AS1622">
        <v>4.1900000000000004</v>
      </c>
      <c r="AT1622" t="s">
        <v>8486</v>
      </c>
      <c r="AU1622">
        <v>50.69</v>
      </c>
      <c r="AV1622">
        <v>48.8</v>
      </c>
      <c r="AW1622">
        <v>1.1200000000000001</v>
      </c>
      <c r="BA1622">
        <v>7.0000000000000007E-2</v>
      </c>
      <c r="BB1622">
        <v>2.96</v>
      </c>
      <c r="BC1622">
        <v>-1.78</v>
      </c>
      <c r="BD1622">
        <v>0.06</v>
      </c>
      <c r="BE1622">
        <v>-1.55</v>
      </c>
      <c r="BF1622">
        <v>-4.3099999999999996</v>
      </c>
      <c r="BG1622">
        <v>0.3</v>
      </c>
      <c r="BH1622">
        <v>-1.54</v>
      </c>
      <c r="BI1622">
        <v>20191226</v>
      </c>
      <c r="BJ1622">
        <v>20110608</v>
      </c>
      <c r="BK1622">
        <v>2.5</v>
      </c>
      <c r="BL1622" t="s">
        <v>116</v>
      </c>
      <c r="BM1622" t="s">
        <v>116</v>
      </c>
      <c r="BN1622">
        <v>16.399999999999999</v>
      </c>
      <c r="BO1622">
        <v>10.76</v>
      </c>
      <c r="BP1622">
        <v>0.14000000000000001</v>
      </c>
      <c r="BQ1622">
        <v>33.53</v>
      </c>
      <c r="BR1622">
        <v>7.03</v>
      </c>
      <c r="BS1622">
        <v>4.0999999999999996</v>
      </c>
      <c r="BT1622">
        <v>0.6</v>
      </c>
      <c r="BU1622">
        <v>3.32</v>
      </c>
      <c r="BV1622">
        <v>1.58</v>
      </c>
      <c r="BW1622">
        <v>2.74</v>
      </c>
      <c r="BX1622">
        <v>5.05</v>
      </c>
      <c r="BY1622">
        <v>5.41</v>
      </c>
      <c r="BZ1622">
        <v>3.13</v>
      </c>
      <c r="CA1622">
        <v>0.78</v>
      </c>
      <c r="CB1622">
        <v>0</v>
      </c>
      <c r="CC1622">
        <v>0.79</v>
      </c>
      <c r="CD1622">
        <v>0.67</v>
      </c>
      <c r="CE1622">
        <v>0.59</v>
      </c>
      <c r="CF1622">
        <v>0.5</v>
      </c>
      <c r="CG1622">
        <v>3.14</v>
      </c>
      <c r="CH1622">
        <v>0.34</v>
      </c>
      <c r="CI1622">
        <v>1.1299999999999999</v>
      </c>
      <c r="CJ1622">
        <v>13867</v>
      </c>
      <c r="CK1622">
        <v>10420</v>
      </c>
      <c r="CL1622" t="s">
        <v>8487</v>
      </c>
      <c r="CM1622">
        <v>-4.12</v>
      </c>
      <c r="CN1622">
        <v>25.04</v>
      </c>
      <c r="CO1622">
        <v>3.1</v>
      </c>
      <c r="CP1622">
        <v>97.41</v>
      </c>
      <c r="CQ1622">
        <v>6.16</v>
      </c>
      <c r="CR1622">
        <v>0.23</v>
      </c>
      <c r="CS1622" t="s">
        <v>2045</v>
      </c>
      <c r="CT1622">
        <v>4.3</v>
      </c>
      <c r="CU1622">
        <v>0</v>
      </c>
      <c r="CV1622">
        <v>2.02</v>
      </c>
      <c r="CW1622">
        <v>1.26</v>
      </c>
      <c r="CX1622">
        <v>0.14000000000000001</v>
      </c>
      <c r="CY1622">
        <v>65.599999999999994</v>
      </c>
      <c r="CZ1622" t="s">
        <v>8488</v>
      </c>
      <c r="DA1622">
        <v>42.05</v>
      </c>
      <c r="DB1622">
        <v>14.48</v>
      </c>
      <c r="DC1622">
        <v>10.94</v>
      </c>
      <c r="DD1622">
        <v>0.49</v>
      </c>
      <c r="DE1622">
        <v>1176</v>
      </c>
      <c r="DF1622">
        <v>300227</v>
      </c>
      <c r="DG1622" t="s">
        <v>116</v>
      </c>
      <c r="DH1622" t="s">
        <v>116</v>
      </c>
      <c r="DI1622" t="s">
        <v>116</v>
      </c>
    </row>
    <row r="1623" spans="1:113" x14ac:dyDescent="0.4">
      <c r="A1623" t="str">
        <f>"300228"</f>
        <v>300228</v>
      </c>
      <c r="B1623" t="s">
        <v>8489</v>
      </c>
      <c r="C1623">
        <v>-1.93</v>
      </c>
      <c r="D1623">
        <v>5.07</v>
      </c>
      <c r="E1623">
        <v>-0.1</v>
      </c>
      <c r="F1623">
        <v>5.0599999999999996</v>
      </c>
      <c r="G1623">
        <v>5.07</v>
      </c>
      <c r="H1623">
        <v>78848</v>
      </c>
      <c r="I1623">
        <v>1322</v>
      </c>
      <c r="J1623">
        <v>-0.19</v>
      </c>
      <c r="K1623">
        <v>1.91</v>
      </c>
      <c r="L1623">
        <v>5.19</v>
      </c>
      <c r="M1623">
        <v>5.21</v>
      </c>
      <c r="N1623">
        <v>5.0599999999999996</v>
      </c>
      <c r="O1623">
        <v>5.17</v>
      </c>
      <c r="P1623">
        <v>307.88</v>
      </c>
      <c r="Q1623">
        <v>40457404</v>
      </c>
      <c r="R1623">
        <v>0.89</v>
      </c>
      <c r="S1623" t="s">
        <v>2426</v>
      </c>
      <c r="T1623" t="s">
        <v>323</v>
      </c>
      <c r="U1623">
        <v>2.9</v>
      </c>
      <c r="V1623">
        <v>5.13</v>
      </c>
      <c r="W1623">
        <v>47093</v>
      </c>
      <c r="X1623">
        <v>31755</v>
      </c>
      <c r="Y1623">
        <v>1.48</v>
      </c>
      <c r="Z1623">
        <v>1700</v>
      </c>
      <c r="AA1623">
        <v>390</v>
      </c>
      <c r="AB1623" t="s">
        <v>116</v>
      </c>
      <c r="AC1623">
        <v>269400</v>
      </c>
      <c r="AD1623">
        <v>0.01</v>
      </c>
      <c r="AE1623" t="s">
        <v>116</v>
      </c>
      <c r="AF1623" t="s">
        <v>116</v>
      </c>
      <c r="AG1623">
        <v>4.1399999999999997</v>
      </c>
      <c r="AH1623" t="s">
        <v>8490</v>
      </c>
      <c r="AI1623" t="s">
        <v>1541</v>
      </c>
      <c r="AJ1623">
        <v>-1.26</v>
      </c>
      <c r="AK1623">
        <v>1209</v>
      </c>
      <c r="AL1623">
        <v>65</v>
      </c>
      <c r="AM1623">
        <v>1.6000000000000001E-3</v>
      </c>
      <c r="AN1623">
        <v>-1</v>
      </c>
      <c r="AO1623">
        <v>0.8</v>
      </c>
      <c r="AP1623">
        <v>4.1100000000000003</v>
      </c>
      <c r="AQ1623">
        <v>-2.5</v>
      </c>
      <c r="AR1623">
        <v>4.8600000000000003</v>
      </c>
      <c r="AS1623">
        <v>1.96</v>
      </c>
      <c r="AT1623" t="s">
        <v>8156</v>
      </c>
      <c r="AU1623">
        <v>40.89</v>
      </c>
      <c r="AV1623">
        <v>186.92</v>
      </c>
      <c r="AW1623">
        <v>1.26</v>
      </c>
      <c r="BA1623">
        <v>0.39</v>
      </c>
      <c r="BB1623">
        <v>0.77</v>
      </c>
      <c r="BC1623">
        <v>-2.13</v>
      </c>
      <c r="BD1623">
        <v>-0.75</v>
      </c>
      <c r="BE1623">
        <v>-2.31</v>
      </c>
      <c r="BF1623">
        <v>-2.69</v>
      </c>
      <c r="BG1623">
        <v>0.2</v>
      </c>
      <c r="BH1623">
        <v>-1.18</v>
      </c>
      <c r="BI1623">
        <v>20191219</v>
      </c>
      <c r="BJ1623">
        <v>20110608</v>
      </c>
      <c r="BK1623">
        <v>4.7300000000000004</v>
      </c>
      <c r="BL1623" t="s">
        <v>116</v>
      </c>
      <c r="BM1623" t="s">
        <v>116</v>
      </c>
      <c r="BN1623">
        <v>38.61</v>
      </c>
      <c r="BO1623">
        <v>18</v>
      </c>
      <c r="BP1623">
        <v>0.06</v>
      </c>
      <c r="BQ1623">
        <v>53.23</v>
      </c>
      <c r="BR1623">
        <v>23.21</v>
      </c>
      <c r="BS1623">
        <v>9.66</v>
      </c>
      <c r="BT1623">
        <v>1.92</v>
      </c>
      <c r="BU1623">
        <v>19.95</v>
      </c>
      <c r="BV1623">
        <v>8.68</v>
      </c>
      <c r="BW1623">
        <v>5.51</v>
      </c>
      <c r="BX1623">
        <v>8.7799999999999994</v>
      </c>
      <c r="BY1623">
        <v>11.76</v>
      </c>
      <c r="BZ1623">
        <v>9.1199999999999992</v>
      </c>
      <c r="CA1623">
        <v>0.04</v>
      </c>
      <c r="CB1623">
        <v>0.03</v>
      </c>
      <c r="CC1623">
        <v>0.02</v>
      </c>
      <c r="CD1623">
        <v>0.01</v>
      </c>
      <c r="CE1623">
        <v>0.06</v>
      </c>
      <c r="CF1623">
        <v>0.1</v>
      </c>
      <c r="CG1623">
        <v>3.74</v>
      </c>
      <c r="CH1623">
        <v>1.7</v>
      </c>
      <c r="CI1623">
        <v>-0.31</v>
      </c>
      <c r="CJ1623">
        <v>38594</v>
      </c>
      <c r="CK1623">
        <v>10442</v>
      </c>
      <c r="CL1623" t="s">
        <v>289</v>
      </c>
      <c r="CM1623">
        <v>114.61</v>
      </c>
      <c r="CN1623">
        <v>30.54</v>
      </c>
      <c r="CO1623">
        <v>1.33</v>
      </c>
      <c r="CP1623">
        <v>14.07</v>
      </c>
      <c r="CQ1623">
        <v>2.04</v>
      </c>
      <c r="CR1623">
        <v>0.1</v>
      </c>
      <c r="CS1623" t="s">
        <v>238</v>
      </c>
      <c r="CT1623">
        <v>3.81</v>
      </c>
      <c r="CU1623">
        <v>0</v>
      </c>
      <c r="CV1623">
        <v>1.86</v>
      </c>
      <c r="CW1623">
        <v>0.79</v>
      </c>
      <c r="CX1623">
        <v>0.36</v>
      </c>
      <c r="CY1623">
        <v>46.62</v>
      </c>
      <c r="CZ1623" t="s">
        <v>8373</v>
      </c>
      <c r="DA1623">
        <v>22.43</v>
      </c>
      <c r="DB1623">
        <v>0.33</v>
      </c>
      <c r="DC1623">
        <v>0.5</v>
      </c>
      <c r="DD1623">
        <v>0.4</v>
      </c>
      <c r="DE1623">
        <v>1458</v>
      </c>
      <c r="DF1623">
        <v>300228</v>
      </c>
      <c r="DG1623" t="s">
        <v>116</v>
      </c>
      <c r="DH1623" t="s">
        <v>116</v>
      </c>
      <c r="DI1623" t="s">
        <v>116</v>
      </c>
    </row>
    <row r="1624" spans="1:113" x14ac:dyDescent="0.4">
      <c r="A1624" t="str">
        <f>"300229"</f>
        <v>300229</v>
      </c>
      <c r="B1624" t="s">
        <v>8491</v>
      </c>
      <c r="C1624">
        <v>-1.35</v>
      </c>
      <c r="D1624">
        <v>13.19</v>
      </c>
      <c r="E1624">
        <v>-0.18</v>
      </c>
      <c r="F1624">
        <v>13.19</v>
      </c>
      <c r="G1624">
        <v>13.2</v>
      </c>
      <c r="H1624">
        <v>202403</v>
      </c>
      <c r="I1624">
        <v>2782</v>
      </c>
      <c r="J1624">
        <v>-0.37</v>
      </c>
      <c r="K1624">
        <v>4.3499999999999996</v>
      </c>
      <c r="L1624">
        <v>13.35</v>
      </c>
      <c r="M1624">
        <v>13.76</v>
      </c>
      <c r="N1624">
        <v>13.19</v>
      </c>
      <c r="O1624">
        <v>13.37</v>
      </c>
      <c r="P1624">
        <v>75.260000000000005</v>
      </c>
      <c r="Q1624">
        <v>272151392</v>
      </c>
      <c r="R1624">
        <v>1.58</v>
      </c>
      <c r="S1624" t="s">
        <v>607</v>
      </c>
      <c r="T1624" t="s">
        <v>165</v>
      </c>
      <c r="U1624">
        <v>4.26</v>
      </c>
      <c r="V1624">
        <v>13.45</v>
      </c>
      <c r="W1624">
        <v>99199</v>
      </c>
      <c r="X1624">
        <v>103204</v>
      </c>
      <c r="Y1624">
        <v>0.96</v>
      </c>
      <c r="Z1624">
        <v>204</v>
      </c>
      <c r="AA1624">
        <v>52</v>
      </c>
      <c r="AB1624" t="s">
        <v>116</v>
      </c>
      <c r="AC1624">
        <v>632800</v>
      </c>
      <c r="AD1624">
        <v>0.02</v>
      </c>
      <c r="AE1624" t="s">
        <v>116</v>
      </c>
      <c r="AF1624" t="s">
        <v>116</v>
      </c>
      <c r="AG1624">
        <v>4.6500000000000004</v>
      </c>
      <c r="AH1624" t="s">
        <v>8492</v>
      </c>
      <c r="AI1624" t="s">
        <v>8493</v>
      </c>
      <c r="AJ1624">
        <v>-0.67</v>
      </c>
      <c r="AK1624">
        <v>3815</v>
      </c>
      <c r="AL1624">
        <v>53</v>
      </c>
      <c r="AM1624">
        <v>1.1000000000000001E-3</v>
      </c>
      <c r="AN1624">
        <v>-1</v>
      </c>
      <c r="AO1624">
        <v>4.92</v>
      </c>
      <c r="AP1624">
        <v>14.9</v>
      </c>
      <c r="AQ1624">
        <v>10.84</v>
      </c>
      <c r="AR1624">
        <v>53.73</v>
      </c>
      <c r="AS1624">
        <v>8.64</v>
      </c>
      <c r="AT1624" t="s">
        <v>4891</v>
      </c>
      <c r="AU1624">
        <v>79.64</v>
      </c>
      <c r="AV1624">
        <v>103.48</v>
      </c>
      <c r="AW1624">
        <v>1.27</v>
      </c>
      <c r="BA1624">
        <v>-0.15</v>
      </c>
      <c r="BB1624">
        <v>2.92</v>
      </c>
      <c r="BC1624">
        <v>-1.35</v>
      </c>
      <c r="BD1624">
        <v>0.56999999999999995</v>
      </c>
      <c r="BE1624">
        <v>-1.2</v>
      </c>
      <c r="BF1624">
        <v>-4.1399999999999997</v>
      </c>
      <c r="BG1624">
        <v>0</v>
      </c>
      <c r="BH1624">
        <v>-1.91</v>
      </c>
      <c r="BI1624">
        <v>20191223</v>
      </c>
      <c r="BJ1624">
        <v>20110615</v>
      </c>
      <c r="BK1624">
        <v>4.78</v>
      </c>
      <c r="BL1624" t="s">
        <v>116</v>
      </c>
      <c r="BM1624" t="s">
        <v>116</v>
      </c>
      <c r="BN1624">
        <v>26.93</v>
      </c>
      <c r="BO1624">
        <v>19.41</v>
      </c>
      <c r="BP1624">
        <v>0.54</v>
      </c>
      <c r="BQ1624">
        <v>25.91</v>
      </c>
      <c r="BR1624">
        <v>15.08</v>
      </c>
      <c r="BS1624">
        <v>1.43</v>
      </c>
      <c r="BT1624">
        <v>0.78</v>
      </c>
      <c r="BU1624">
        <v>6.83</v>
      </c>
      <c r="BV1624">
        <v>3.51</v>
      </c>
      <c r="BW1624">
        <v>6.42</v>
      </c>
      <c r="BX1624">
        <v>6.37</v>
      </c>
      <c r="BY1624">
        <v>6.4</v>
      </c>
      <c r="BZ1624">
        <v>2.76</v>
      </c>
      <c r="CA1624">
        <v>0.79</v>
      </c>
      <c r="CB1624">
        <v>0.13</v>
      </c>
      <c r="CC1624">
        <v>0.8</v>
      </c>
      <c r="CD1624">
        <v>0.68</v>
      </c>
      <c r="CE1624">
        <v>0.63</v>
      </c>
      <c r="CF1624">
        <v>0.47</v>
      </c>
      <c r="CG1624">
        <v>7.39</v>
      </c>
      <c r="CH1624">
        <v>-0.86</v>
      </c>
      <c r="CI1624">
        <v>-0.55000000000000004</v>
      </c>
      <c r="CJ1624">
        <v>36749</v>
      </c>
      <c r="CK1624">
        <v>6371</v>
      </c>
      <c r="CL1624" t="s">
        <v>8494</v>
      </c>
      <c r="CM1624">
        <v>40.89</v>
      </c>
      <c r="CN1624">
        <v>19.46</v>
      </c>
      <c r="CO1624">
        <v>3.25</v>
      </c>
      <c r="CP1624">
        <v>-73</v>
      </c>
      <c r="CQ1624">
        <v>9.85</v>
      </c>
      <c r="CR1624">
        <v>0.38</v>
      </c>
      <c r="CS1624" t="s">
        <v>5815</v>
      </c>
      <c r="CT1624">
        <v>4.0599999999999996</v>
      </c>
      <c r="CU1624">
        <v>0</v>
      </c>
      <c r="CV1624">
        <v>1.33</v>
      </c>
      <c r="CW1624">
        <v>1.55</v>
      </c>
      <c r="CX1624">
        <v>-0.18</v>
      </c>
      <c r="CY1624">
        <v>72.069999999999993</v>
      </c>
      <c r="CZ1624" t="s">
        <v>8495</v>
      </c>
      <c r="DA1624">
        <v>56.86</v>
      </c>
      <c r="DB1624">
        <v>12.3</v>
      </c>
      <c r="DC1624">
        <v>9.81</v>
      </c>
      <c r="DD1624">
        <v>0.69</v>
      </c>
      <c r="DE1624">
        <v>1732</v>
      </c>
      <c r="DF1624">
        <v>300229</v>
      </c>
      <c r="DG1624" t="s">
        <v>116</v>
      </c>
      <c r="DH1624" t="s">
        <v>116</v>
      </c>
      <c r="DI1624" t="s">
        <v>116</v>
      </c>
    </row>
    <row r="1625" spans="1:113" x14ac:dyDescent="0.4">
      <c r="A1625" t="str">
        <f>"300230"</f>
        <v>300230</v>
      </c>
      <c r="B1625" t="s">
        <v>8496</v>
      </c>
      <c r="C1625">
        <v>-0.24</v>
      </c>
      <c r="D1625">
        <v>4.1399999999999997</v>
      </c>
      <c r="E1625">
        <v>-0.01</v>
      </c>
      <c r="F1625">
        <v>4.13</v>
      </c>
      <c r="G1625">
        <v>4.1399999999999997</v>
      </c>
      <c r="H1625">
        <v>104674</v>
      </c>
      <c r="I1625">
        <v>3381</v>
      </c>
      <c r="J1625">
        <v>0.24</v>
      </c>
      <c r="K1625">
        <v>1.93</v>
      </c>
      <c r="L1625">
        <v>4.1500000000000004</v>
      </c>
      <c r="M1625">
        <v>4.17</v>
      </c>
      <c r="N1625">
        <v>4.07</v>
      </c>
      <c r="O1625">
        <v>4.1500000000000004</v>
      </c>
      <c r="P1625">
        <v>10.89</v>
      </c>
      <c r="Q1625">
        <v>43153312</v>
      </c>
      <c r="R1625">
        <v>1.27</v>
      </c>
      <c r="S1625" t="s">
        <v>2444</v>
      </c>
      <c r="T1625" t="s">
        <v>1653</v>
      </c>
      <c r="U1625">
        <v>2.41</v>
      </c>
      <c r="V1625">
        <v>4.12</v>
      </c>
      <c r="W1625">
        <v>50996</v>
      </c>
      <c r="X1625">
        <v>53678</v>
      </c>
      <c r="Y1625">
        <v>0.95</v>
      </c>
      <c r="Z1625">
        <v>540</v>
      </c>
      <c r="AA1625">
        <v>549</v>
      </c>
      <c r="AB1625" t="s">
        <v>116</v>
      </c>
      <c r="AC1625">
        <v>33900</v>
      </c>
      <c r="AD1625">
        <v>0</v>
      </c>
      <c r="AE1625" t="s">
        <v>116</v>
      </c>
      <c r="AF1625" t="s">
        <v>116</v>
      </c>
      <c r="AG1625">
        <v>5.43</v>
      </c>
      <c r="AH1625" t="s">
        <v>5623</v>
      </c>
      <c r="AI1625" t="s">
        <v>7071</v>
      </c>
      <c r="AJ1625">
        <v>0.44</v>
      </c>
      <c r="AK1625">
        <v>1084</v>
      </c>
      <c r="AL1625">
        <v>97</v>
      </c>
      <c r="AM1625">
        <v>1.8E-3</v>
      </c>
      <c r="AN1625">
        <v>-1</v>
      </c>
      <c r="AO1625">
        <v>1.47</v>
      </c>
      <c r="AP1625">
        <v>8.9499999999999993</v>
      </c>
      <c r="AQ1625">
        <v>7.53</v>
      </c>
      <c r="AR1625">
        <v>-10.68</v>
      </c>
      <c r="AS1625">
        <v>2.31</v>
      </c>
      <c r="AT1625" t="s">
        <v>7355</v>
      </c>
      <c r="AU1625">
        <v>12.64</v>
      </c>
      <c r="AV1625">
        <v>8.7100000000000009</v>
      </c>
      <c r="AW1625">
        <v>1.1200000000000001</v>
      </c>
      <c r="BA1625">
        <v>0</v>
      </c>
      <c r="BB1625">
        <v>0.48</v>
      </c>
      <c r="BC1625">
        <v>-1.93</v>
      </c>
      <c r="BD1625">
        <v>-0.66</v>
      </c>
      <c r="BE1625">
        <v>-0.24</v>
      </c>
      <c r="BF1625">
        <v>-0.72</v>
      </c>
      <c r="BG1625">
        <v>1.72</v>
      </c>
      <c r="BH1625">
        <v>0.42</v>
      </c>
      <c r="BI1625">
        <v>20191112</v>
      </c>
      <c r="BJ1625">
        <v>20110615</v>
      </c>
      <c r="BK1625">
        <v>8.16</v>
      </c>
      <c r="BL1625" t="s">
        <v>116</v>
      </c>
      <c r="BM1625" t="s">
        <v>116</v>
      </c>
      <c r="BN1625">
        <v>45.78</v>
      </c>
      <c r="BO1625">
        <v>31.5</v>
      </c>
      <c r="BP1625">
        <v>1.04</v>
      </c>
      <c r="BQ1625">
        <v>28.94</v>
      </c>
      <c r="BR1625">
        <v>24.2</v>
      </c>
      <c r="BS1625">
        <v>7.66</v>
      </c>
      <c r="BT1625">
        <v>0.67</v>
      </c>
      <c r="BU1625">
        <v>12.43</v>
      </c>
      <c r="BV1625">
        <v>6.19</v>
      </c>
      <c r="BW1625">
        <v>7.41</v>
      </c>
      <c r="BX1625">
        <v>12.33</v>
      </c>
      <c r="BY1625">
        <v>23.97</v>
      </c>
      <c r="BZ1625">
        <v>17.21</v>
      </c>
      <c r="CA1625">
        <v>2.92</v>
      </c>
      <c r="CB1625">
        <v>0.16</v>
      </c>
      <c r="CC1625">
        <v>2.91</v>
      </c>
      <c r="CD1625">
        <v>2.4300000000000002</v>
      </c>
      <c r="CE1625">
        <v>2.33</v>
      </c>
      <c r="CF1625">
        <v>2.02</v>
      </c>
      <c r="CG1625">
        <v>10</v>
      </c>
      <c r="CH1625">
        <v>3.48</v>
      </c>
      <c r="CI1625">
        <v>0.25</v>
      </c>
      <c r="CJ1625">
        <v>20451</v>
      </c>
      <c r="CK1625">
        <v>22178</v>
      </c>
      <c r="CL1625" t="s">
        <v>1966</v>
      </c>
      <c r="CM1625">
        <v>-34.11</v>
      </c>
      <c r="CN1625">
        <v>-5.47</v>
      </c>
      <c r="CO1625">
        <v>1.07</v>
      </c>
      <c r="CP1625">
        <v>9.7100000000000009</v>
      </c>
      <c r="CQ1625">
        <v>1.41</v>
      </c>
      <c r="CR1625">
        <v>5.92</v>
      </c>
      <c r="CS1625" t="s">
        <v>6929</v>
      </c>
      <c r="CT1625">
        <v>3.86</v>
      </c>
      <c r="CU1625">
        <v>0</v>
      </c>
      <c r="CV1625">
        <v>1.51</v>
      </c>
      <c r="CW1625">
        <v>1.22</v>
      </c>
      <c r="CX1625">
        <v>0.43</v>
      </c>
      <c r="CY1625">
        <v>68.8</v>
      </c>
      <c r="CZ1625" t="s">
        <v>2506</v>
      </c>
      <c r="DA1625">
        <v>28.21</v>
      </c>
      <c r="DB1625">
        <v>12.17</v>
      </c>
      <c r="DC1625">
        <v>9.7100000000000009</v>
      </c>
      <c r="DD1625">
        <v>0.74</v>
      </c>
      <c r="DE1625">
        <v>6132</v>
      </c>
      <c r="DF1625">
        <v>300230</v>
      </c>
      <c r="DG1625" t="s">
        <v>116</v>
      </c>
      <c r="DH1625" t="s">
        <v>116</v>
      </c>
      <c r="DI1625" t="s">
        <v>116</v>
      </c>
    </row>
    <row r="1626" spans="1:113" x14ac:dyDescent="0.4">
      <c r="A1626" t="str">
        <f>"300231"</f>
        <v>300231</v>
      </c>
      <c r="B1626" t="s">
        <v>8497</v>
      </c>
      <c r="C1626">
        <v>-3.29</v>
      </c>
      <c r="D1626">
        <v>7.93</v>
      </c>
      <c r="E1626">
        <v>-0.27</v>
      </c>
      <c r="F1626">
        <v>7.93</v>
      </c>
      <c r="G1626">
        <v>7.94</v>
      </c>
      <c r="H1626">
        <v>150634</v>
      </c>
      <c r="I1626">
        <v>1420</v>
      </c>
      <c r="J1626">
        <v>-0.24</v>
      </c>
      <c r="K1626">
        <v>4.2</v>
      </c>
      <c r="L1626">
        <v>8.1999999999999993</v>
      </c>
      <c r="M1626">
        <v>8.2100000000000009</v>
      </c>
      <c r="N1626">
        <v>7.92</v>
      </c>
      <c r="O1626">
        <v>8.1999999999999993</v>
      </c>
      <c r="P1626">
        <v>22.75</v>
      </c>
      <c r="Q1626">
        <v>121645048</v>
      </c>
      <c r="R1626">
        <v>1.1000000000000001</v>
      </c>
      <c r="S1626" t="s">
        <v>607</v>
      </c>
      <c r="T1626" t="s">
        <v>165</v>
      </c>
      <c r="U1626">
        <v>3.54</v>
      </c>
      <c r="V1626">
        <v>8.08</v>
      </c>
      <c r="W1626">
        <v>97345</v>
      </c>
      <c r="X1626">
        <v>53289</v>
      </c>
      <c r="Y1626">
        <v>1.83</v>
      </c>
      <c r="Z1626">
        <v>502</v>
      </c>
      <c r="AA1626">
        <v>721</v>
      </c>
      <c r="AB1626" t="s">
        <v>116</v>
      </c>
      <c r="AC1626">
        <v>889700</v>
      </c>
      <c r="AD1626">
        <v>0.03</v>
      </c>
      <c r="AE1626" t="s">
        <v>116</v>
      </c>
      <c r="AF1626" t="s">
        <v>116</v>
      </c>
      <c r="AG1626">
        <v>3.59</v>
      </c>
      <c r="AH1626" t="s">
        <v>2659</v>
      </c>
      <c r="AI1626" t="s">
        <v>8498</v>
      </c>
      <c r="AJ1626">
        <v>-2.61</v>
      </c>
      <c r="AK1626">
        <v>2863</v>
      </c>
      <c r="AL1626">
        <v>53</v>
      </c>
      <c r="AM1626">
        <v>1.5E-3</v>
      </c>
      <c r="AN1626">
        <v>-1</v>
      </c>
      <c r="AO1626">
        <v>-0.62</v>
      </c>
      <c r="AP1626">
        <v>9.68</v>
      </c>
      <c r="AQ1626">
        <v>6.02</v>
      </c>
      <c r="AR1626">
        <v>24.88</v>
      </c>
      <c r="AS1626">
        <v>4.53</v>
      </c>
      <c r="AT1626" t="s">
        <v>8499</v>
      </c>
      <c r="AU1626">
        <v>27.43</v>
      </c>
      <c r="AV1626">
        <v>31.16</v>
      </c>
      <c r="AW1626">
        <v>1.75</v>
      </c>
      <c r="BA1626">
        <v>0</v>
      </c>
      <c r="BB1626">
        <v>0.12</v>
      </c>
      <c r="BC1626">
        <v>-3.41</v>
      </c>
      <c r="BD1626">
        <v>-1.52</v>
      </c>
      <c r="BE1626">
        <v>-3.29</v>
      </c>
      <c r="BF1626">
        <v>-3.41</v>
      </c>
      <c r="BG1626">
        <v>0.13</v>
      </c>
      <c r="BH1626">
        <v>-1.78</v>
      </c>
      <c r="BI1626">
        <v>20191226</v>
      </c>
      <c r="BJ1626">
        <v>20110615</v>
      </c>
      <c r="BK1626">
        <v>4.42</v>
      </c>
      <c r="BL1626" t="s">
        <v>116</v>
      </c>
      <c r="BM1626" t="s">
        <v>116</v>
      </c>
      <c r="BN1626">
        <v>23.34</v>
      </c>
      <c r="BO1626">
        <v>12.24</v>
      </c>
      <c r="BP1626">
        <v>0</v>
      </c>
      <c r="BQ1626">
        <v>47.58</v>
      </c>
      <c r="BR1626">
        <v>17.899999999999999</v>
      </c>
      <c r="BS1626">
        <v>1.62</v>
      </c>
      <c r="BT1626">
        <v>0.11</v>
      </c>
      <c r="BU1626">
        <v>10.83</v>
      </c>
      <c r="BV1626">
        <v>0.48</v>
      </c>
      <c r="BW1626">
        <v>7.79</v>
      </c>
      <c r="BX1626">
        <v>6.21</v>
      </c>
      <c r="BY1626">
        <v>9.89</v>
      </c>
      <c r="BZ1626">
        <v>7.21</v>
      </c>
      <c r="CA1626">
        <v>1.34</v>
      </c>
      <c r="CB1626">
        <v>0.02</v>
      </c>
      <c r="CC1626">
        <v>1.34</v>
      </c>
      <c r="CD1626">
        <v>1.1599999999999999</v>
      </c>
      <c r="CE1626">
        <v>1.1599999999999999</v>
      </c>
      <c r="CF1626">
        <v>1.1200000000000001</v>
      </c>
      <c r="CG1626">
        <v>3.1</v>
      </c>
      <c r="CH1626">
        <v>-3.25</v>
      </c>
      <c r="CI1626">
        <v>1.46</v>
      </c>
      <c r="CJ1626">
        <v>35316</v>
      </c>
      <c r="CK1626">
        <v>9413</v>
      </c>
      <c r="CL1626" t="s">
        <v>8500</v>
      </c>
      <c r="CM1626">
        <v>15.27</v>
      </c>
      <c r="CN1626">
        <v>19.239999999999998</v>
      </c>
      <c r="CO1626">
        <v>2.87</v>
      </c>
      <c r="CP1626">
        <v>-10.77</v>
      </c>
      <c r="CQ1626">
        <v>3.55</v>
      </c>
      <c r="CR1626">
        <v>1.84</v>
      </c>
      <c r="CS1626" t="s">
        <v>2326</v>
      </c>
      <c r="CT1626">
        <v>2.77</v>
      </c>
      <c r="CU1626">
        <v>0</v>
      </c>
      <c r="CV1626">
        <v>1.41</v>
      </c>
      <c r="CW1626">
        <v>0.7</v>
      </c>
      <c r="CX1626">
        <v>-0.74</v>
      </c>
      <c r="CY1626">
        <v>52.42</v>
      </c>
      <c r="CZ1626" t="s">
        <v>8501</v>
      </c>
      <c r="DA1626">
        <v>27.05</v>
      </c>
      <c r="DB1626">
        <v>13.6</v>
      </c>
      <c r="DC1626">
        <v>11.69</v>
      </c>
      <c r="DD1626">
        <v>0.23</v>
      </c>
      <c r="DE1626">
        <v>982</v>
      </c>
      <c r="DF1626">
        <v>300231</v>
      </c>
      <c r="DG1626" t="s">
        <v>116</v>
      </c>
      <c r="DH1626" t="s">
        <v>116</v>
      </c>
      <c r="DI1626" t="s">
        <v>116</v>
      </c>
    </row>
    <row r="1627" spans="1:113" x14ac:dyDescent="0.4">
      <c r="A1627" t="str">
        <f>"300232"</f>
        <v>300232</v>
      </c>
      <c r="B1627" t="s">
        <v>8502</v>
      </c>
      <c r="C1627">
        <v>-2.6</v>
      </c>
      <c r="D1627">
        <v>10.130000000000001</v>
      </c>
      <c r="E1627">
        <v>-0.27</v>
      </c>
      <c r="F1627">
        <v>10.11</v>
      </c>
      <c r="G1627">
        <v>10.130000000000001</v>
      </c>
      <c r="H1627">
        <v>280409</v>
      </c>
      <c r="I1627">
        <v>5647</v>
      </c>
      <c r="J1627">
        <v>1</v>
      </c>
      <c r="K1627">
        <v>4.54</v>
      </c>
      <c r="L1627">
        <v>10.41</v>
      </c>
      <c r="M1627">
        <v>10.53</v>
      </c>
      <c r="N1627">
        <v>10.01</v>
      </c>
      <c r="O1627">
        <v>10.4</v>
      </c>
      <c r="P1627">
        <v>17.399999999999999</v>
      </c>
      <c r="Q1627">
        <v>287315904</v>
      </c>
      <c r="R1627">
        <v>0.81</v>
      </c>
      <c r="S1627" t="s">
        <v>3507</v>
      </c>
      <c r="T1627" t="s">
        <v>115</v>
      </c>
      <c r="U1627">
        <v>5</v>
      </c>
      <c r="V1627">
        <v>10.25</v>
      </c>
      <c r="W1627">
        <v>146344</v>
      </c>
      <c r="X1627">
        <v>134065</v>
      </c>
      <c r="Y1627">
        <v>1.0900000000000001</v>
      </c>
      <c r="Z1627">
        <v>99</v>
      </c>
      <c r="AA1627">
        <v>58</v>
      </c>
      <c r="AB1627" t="s">
        <v>116</v>
      </c>
      <c r="AC1627">
        <v>1376200</v>
      </c>
      <c r="AD1627">
        <v>0.03</v>
      </c>
      <c r="AE1627" t="s">
        <v>116</v>
      </c>
      <c r="AF1627" t="s">
        <v>116</v>
      </c>
      <c r="AG1627">
        <v>6.17</v>
      </c>
      <c r="AH1627" t="s">
        <v>8503</v>
      </c>
      <c r="AI1627" t="s">
        <v>8504</v>
      </c>
      <c r="AJ1627">
        <v>-1.92</v>
      </c>
      <c r="AK1627">
        <v>3826</v>
      </c>
      <c r="AL1627">
        <v>73</v>
      </c>
      <c r="AM1627">
        <v>1.1999999999999999E-3</v>
      </c>
      <c r="AN1627">
        <v>-1</v>
      </c>
      <c r="AO1627">
        <v>0.89</v>
      </c>
      <c r="AP1627">
        <v>26</v>
      </c>
      <c r="AQ1627">
        <v>12.31</v>
      </c>
      <c r="AR1627">
        <v>28.24</v>
      </c>
      <c r="AS1627">
        <v>5.66</v>
      </c>
      <c r="AT1627" t="s">
        <v>8505</v>
      </c>
      <c r="AU1627">
        <v>19.02</v>
      </c>
      <c r="AV1627">
        <v>22.67</v>
      </c>
      <c r="AW1627">
        <v>1.41</v>
      </c>
      <c r="BA1627">
        <v>0.1</v>
      </c>
      <c r="BB1627">
        <v>1.25</v>
      </c>
      <c r="BC1627">
        <v>-3.75</v>
      </c>
      <c r="BD1627">
        <v>-1.48</v>
      </c>
      <c r="BE1627">
        <v>-2.69</v>
      </c>
      <c r="BF1627">
        <v>-3.8</v>
      </c>
      <c r="BG1627">
        <v>1.2</v>
      </c>
      <c r="BH1627">
        <v>-1.1200000000000001</v>
      </c>
      <c r="BI1627">
        <v>20191219</v>
      </c>
      <c r="BJ1627">
        <v>20110622</v>
      </c>
      <c r="BK1627">
        <v>9.23</v>
      </c>
      <c r="BL1627" t="s">
        <v>116</v>
      </c>
      <c r="BM1627" t="s">
        <v>116</v>
      </c>
      <c r="BN1627">
        <v>71.47</v>
      </c>
      <c r="BO1627">
        <v>28.14</v>
      </c>
      <c r="BP1627">
        <v>2.46</v>
      </c>
      <c r="BQ1627">
        <v>57.18</v>
      </c>
      <c r="BR1627">
        <v>46.66</v>
      </c>
      <c r="BS1627">
        <v>8.3800000000000008</v>
      </c>
      <c r="BT1627">
        <v>1.28</v>
      </c>
      <c r="BU1627">
        <v>35.770000000000003</v>
      </c>
      <c r="BV1627">
        <v>17.899999999999999</v>
      </c>
      <c r="BW1627">
        <v>17.29</v>
      </c>
      <c r="BX1627">
        <v>3.96</v>
      </c>
      <c r="BY1627">
        <v>40</v>
      </c>
      <c r="BZ1627">
        <v>27.67</v>
      </c>
      <c r="CA1627">
        <v>4.76</v>
      </c>
      <c r="CB1627">
        <v>-0.03</v>
      </c>
      <c r="CC1627">
        <v>4.7699999999999996</v>
      </c>
      <c r="CD1627">
        <v>4.04</v>
      </c>
      <c r="CE1627">
        <v>4.03</v>
      </c>
      <c r="CF1627">
        <v>3.77</v>
      </c>
      <c r="CG1627">
        <v>13.7</v>
      </c>
      <c r="CH1627">
        <v>2.09</v>
      </c>
      <c r="CI1627">
        <v>-2.87</v>
      </c>
      <c r="CJ1627">
        <v>22973</v>
      </c>
      <c r="CK1627">
        <v>21572</v>
      </c>
      <c r="CL1627" t="s">
        <v>8506</v>
      </c>
      <c r="CM1627">
        <v>24.49</v>
      </c>
      <c r="CN1627">
        <v>25.58</v>
      </c>
      <c r="CO1627">
        <v>3.49</v>
      </c>
      <c r="CP1627">
        <v>44.71</v>
      </c>
      <c r="CQ1627">
        <v>2.34</v>
      </c>
      <c r="CR1627">
        <v>0.49</v>
      </c>
      <c r="CS1627" t="s">
        <v>604</v>
      </c>
      <c r="CT1627">
        <v>2.9</v>
      </c>
      <c r="CU1627">
        <v>2.9</v>
      </c>
      <c r="CV1627">
        <v>0.43</v>
      </c>
      <c r="CW1627">
        <v>1.48</v>
      </c>
      <c r="CX1627">
        <v>0.23</v>
      </c>
      <c r="CY1627">
        <v>39.369999999999997</v>
      </c>
      <c r="CZ1627" t="s">
        <v>8507</v>
      </c>
      <c r="DA1627">
        <v>30.81</v>
      </c>
      <c r="DB1627">
        <v>11.9</v>
      </c>
      <c r="DC1627">
        <v>10.07</v>
      </c>
      <c r="DD1627">
        <v>1.59</v>
      </c>
      <c r="DE1627">
        <v>4261</v>
      </c>
      <c r="DF1627">
        <v>300232</v>
      </c>
      <c r="DG1627" t="s">
        <v>116</v>
      </c>
      <c r="DH1627" t="s">
        <v>116</v>
      </c>
      <c r="DI1627" t="s">
        <v>116</v>
      </c>
    </row>
    <row r="1628" spans="1:113" x14ac:dyDescent="0.4">
      <c r="A1628" t="str">
        <f>"300233"</f>
        <v>300233</v>
      </c>
      <c r="B1628" t="s">
        <v>8508</v>
      </c>
      <c r="C1628">
        <v>-1.47</v>
      </c>
      <c r="D1628">
        <v>19.38</v>
      </c>
      <c r="E1628">
        <v>-0.28999999999999998</v>
      </c>
      <c r="F1628">
        <v>19.38</v>
      </c>
      <c r="G1628">
        <v>19.39</v>
      </c>
      <c r="H1628">
        <v>9297</v>
      </c>
      <c r="I1628">
        <v>112</v>
      </c>
      <c r="J1628">
        <v>0</v>
      </c>
      <c r="K1628">
        <v>0.26</v>
      </c>
      <c r="L1628">
        <v>19.5</v>
      </c>
      <c r="M1628">
        <v>19.75</v>
      </c>
      <c r="N1628">
        <v>19.350000000000001</v>
      </c>
      <c r="O1628">
        <v>19.670000000000002</v>
      </c>
      <c r="P1628">
        <v>13.14</v>
      </c>
      <c r="Q1628">
        <v>18149492</v>
      </c>
      <c r="R1628">
        <v>0.9</v>
      </c>
      <c r="S1628" t="s">
        <v>574</v>
      </c>
      <c r="T1628" t="s">
        <v>645</v>
      </c>
      <c r="U1628">
        <v>2.0299999999999998</v>
      </c>
      <c r="V1628">
        <v>19.52</v>
      </c>
      <c r="W1628">
        <v>6779</v>
      </c>
      <c r="X1628">
        <v>2518</v>
      </c>
      <c r="Y1628">
        <v>2.69</v>
      </c>
      <c r="Z1628">
        <v>52</v>
      </c>
      <c r="AA1628">
        <v>24</v>
      </c>
      <c r="AB1628" t="s">
        <v>116</v>
      </c>
      <c r="AC1628">
        <v>23400</v>
      </c>
      <c r="AD1628">
        <v>0</v>
      </c>
      <c r="AE1628" t="s">
        <v>116</v>
      </c>
      <c r="AF1628" t="s">
        <v>116</v>
      </c>
      <c r="AG1628">
        <v>3.55</v>
      </c>
      <c r="AH1628" t="s">
        <v>7458</v>
      </c>
      <c r="AI1628" t="s">
        <v>8509</v>
      </c>
      <c r="AJ1628">
        <v>-0.8</v>
      </c>
      <c r="AK1628">
        <v>924</v>
      </c>
      <c r="AL1628">
        <v>10</v>
      </c>
      <c r="AM1628">
        <v>2.9999999999999997E-4</v>
      </c>
      <c r="AN1628">
        <v>-2</v>
      </c>
      <c r="AO1628">
        <v>-0.51</v>
      </c>
      <c r="AP1628">
        <v>-1.67</v>
      </c>
      <c r="AQ1628">
        <v>-1.47</v>
      </c>
      <c r="AR1628">
        <v>44.63</v>
      </c>
      <c r="AS1628">
        <v>0.54</v>
      </c>
      <c r="AT1628" t="s">
        <v>8510</v>
      </c>
      <c r="AU1628">
        <v>16.43</v>
      </c>
      <c r="AV1628">
        <v>28.88</v>
      </c>
      <c r="AW1628">
        <v>0.87</v>
      </c>
      <c r="BA1628">
        <v>-0.86</v>
      </c>
      <c r="BB1628">
        <v>0.41</v>
      </c>
      <c r="BC1628">
        <v>-1.63</v>
      </c>
      <c r="BD1628">
        <v>-0.76</v>
      </c>
      <c r="BE1628">
        <v>-0.62</v>
      </c>
      <c r="BF1628">
        <v>-1.87</v>
      </c>
      <c r="BG1628">
        <v>0.16</v>
      </c>
      <c r="BH1628">
        <v>-0.72</v>
      </c>
      <c r="BI1628">
        <v>20191030</v>
      </c>
      <c r="BJ1628">
        <v>20110622</v>
      </c>
      <c r="BK1628">
        <v>3.93</v>
      </c>
      <c r="BL1628" t="s">
        <v>116</v>
      </c>
      <c r="BM1628" t="s">
        <v>116</v>
      </c>
      <c r="BN1628">
        <v>54.87</v>
      </c>
      <c r="BO1628">
        <v>42.66</v>
      </c>
      <c r="BP1628">
        <v>0.19</v>
      </c>
      <c r="BQ1628">
        <v>21.92</v>
      </c>
      <c r="BR1628">
        <v>19.420000000000002</v>
      </c>
      <c r="BS1628">
        <v>12.91</v>
      </c>
      <c r="BT1628">
        <v>5.14</v>
      </c>
      <c r="BU1628">
        <v>9.0500000000000007</v>
      </c>
      <c r="BV1628">
        <v>2.94</v>
      </c>
      <c r="BW1628">
        <v>6.11</v>
      </c>
      <c r="BX1628">
        <v>24.95</v>
      </c>
      <c r="BY1628">
        <v>19.64</v>
      </c>
      <c r="BZ1628">
        <v>8.18</v>
      </c>
      <c r="CA1628">
        <v>3.72</v>
      </c>
      <c r="CB1628">
        <v>0</v>
      </c>
      <c r="CC1628">
        <v>5.33</v>
      </c>
      <c r="CD1628">
        <v>4.4400000000000004</v>
      </c>
      <c r="CE1628">
        <v>4.3499999999999996</v>
      </c>
      <c r="CF1628">
        <v>3.05</v>
      </c>
      <c r="CG1628">
        <v>13.43</v>
      </c>
      <c r="CH1628">
        <v>4.71</v>
      </c>
      <c r="CI1628">
        <v>0.33</v>
      </c>
      <c r="CJ1628">
        <v>9975</v>
      </c>
      <c r="CK1628">
        <v>17358</v>
      </c>
      <c r="CL1628" t="s">
        <v>8511</v>
      </c>
      <c r="CM1628">
        <v>85.06</v>
      </c>
      <c r="CN1628">
        <v>-9.18</v>
      </c>
      <c r="CO1628">
        <v>1.79</v>
      </c>
      <c r="CP1628">
        <v>16.190000000000001</v>
      </c>
      <c r="CQ1628">
        <v>3.88</v>
      </c>
      <c r="CR1628">
        <v>1.28</v>
      </c>
      <c r="CS1628" t="s">
        <v>8512</v>
      </c>
      <c r="CT1628">
        <v>10.85</v>
      </c>
      <c r="CU1628">
        <v>0</v>
      </c>
      <c r="CV1628">
        <v>6.35</v>
      </c>
      <c r="CW1628">
        <v>3.42</v>
      </c>
      <c r="CX1628">
        <v>1.2</v>
      </c>
      <c r="CY1628">
        <v>77.739999999999995</v>
      </c>
      <c r="CZ1628" t="s">
        <v>2155</v>
      </c>
      <c r="DA1628">
        <v>58.34</v>
      </c>
      <c r="DB1628">
        <v>18.93</v>
      </c>
      <c r="DC1628">
        <v>22.14</v>
      </c>
      <c r="DD1628">
        <v>1.85</v>
      </c>
      <c r="DE1628">
        <v>2926</v>
      </c>
      <c r="DF1628">
        <v>300233</v>
      </c>
      <c r="DG1628" t="s">
        <v>116</v>
      </c>
      <c r="DH1628" t="s">
        <v>116</v>
      </c>
      <c r="DI1628" t="s">
        <v>116</v>
      </c>
    </row>
    <row r="1629" spans="1:113" x14ac:dyDescent="0.4">
      <c r="A1629" t="str">
        <f>"300234"</f>
        <v>300234</v>
      </c>
      <c r="B1629" t="s">
        <v>8513</v>
      </c>
      <c r="C1629">
        <v>-2.36</v>
      </c>
      <c r="D1629">
        <v>11.19</v>
      </c>
      <c r="E1629">
        <v>-0.27</v>
      </c>
      <c r="F1629">
        <v>11.19</v>
      </c>
      <c r="G1629">
        <v>11.2</v>
      </c>
      <c r="H1629">
        <v>59773</v>
      </c>
      <c r="I1629">
        <v>754</v>
      </c>
      <c r="J1629">
        <v>-0.52</v>
      </c>
      <c r="K1629">
        <v>3.49</v>
      </c>
      <c r="L1629">
        <v>11.57</v>
      </c>
      <c r="M1629">
        <v>11.75</v>
      </c>
      <c r="N1629">
        <v>11.19</v>
      </c>
      <c r="O1629">
        <v>11.46</v>
      </c>
      <c r="P1629">
        <v>25.53</v>
      </c>
      <c r="Q1629">
        <v>68255128</v>
      </c>
      <c r="R1629">
        <v>0.73</v>
      </c>
      <c r="S1629" t="s">
        <v>8514</v>
      </c>
      <c r="T1629" t="s">
        <v>590</v>
      </c>
      <c r="U1629">
        <v>4.8899999999999997</v>
      </c>
      <c r="V1629">
        <v>11.42</v>
      </c>
      <c r="W1629">
        <v>35226</v>
      </c>
      <c r="X1629">
        <v>24547</v>
      </c>
      <c r="Y1629">
        <v>1.44</v>
      </c>
      <c r="Z1629">
        <v>69</v>
      </c>
      <c r="AA1629">
        <v>22</v>
      </c>
      <c r="AB1629" t="s">
        <v>116</v>
      </c>
      <c r="AC1629">
        <v>71700</v>
      </c>
      <c r="AD1629">
        <v>0</v>
      </c>
      <c r="AE1629" t="s">
        <v>116</v>
      </c>
      <c r="AF1629" t="s">
        <v>116</v>
      </c>
      <c r="AG1629">
        <v>1.71</v>
      </c>
      <c r="AH1629" t="s">
        <v>7062</v>
      </c>
      <c r="AI1629" t="s">
        <v>8515</v>
      </c>
      <c r="AJ1629">
        <v>-1.68</v>
      </c>
      <c r="AK1629">
        <v>1562</v>
      </c>
      <c r="AL1629">
        <v>38</v>
      </c>
      <c r="AM1629">
        <v>2.2000000000000001E-3</v>
      </c>
      <c r="AN1629">
        <v>-5</v>
      </c>
      <c r="AO1629">
        <v>-2.69</v>
      </c>
      <c r="AP1629">
        <v>21.9</v>
      </c>
      <c r="AQ1629">
        <v>8.75</v>
      </c>
      <c r="AR1629">
        <v>97.35</v>
      </c>
      <c r="AS1629">
        <v>4.24</v>
      </c>
      <c r="AT1629" t="s">
        <v>8516</v>
      </c>
      <c r="AU1629">
        <v>125.53</v>
      </c>
      <c r="AV1629" t="s">
        <v>116</v>
      </c>
      <c r="AW1629">
        <v>0.71</v>
      </c>
      <c r="BA1629">
        <v>0.96</v>
      </c>
      <c r="BB1629">
        <v>2.5299999999999998</v>
      </c>
      <c r="BC1629">
        <v>-2.36</v>
      </c>
      <c r="BD1629">
        <v>-0.36</v>
      </c>
      <c r="BE1629">
        <v>-3.28</v>
      </c>
      <c r="BF1629">
        <v>-4.7699999999999996</v>
      </c>
      <c r="BG1629">
        <v>0</v>
      </c>
      <c r="BH1629">
        <v>-2</v>
      </c>
      <c r="BI1629">
        <v>20191225</v>
      </c>
      <c r="BJ1629">
        <v>20110622</v>
      </c>
      <c r="BK1629">
        <v>2.9</v>
      </c>
      <c r="BL1629" t="s">
        <v>116</v>
      </c>
      <c r="BM1629" t="s">
        <v>116</v>
      </c>
      <c r="BN1629">
        <v>12.35</v>
      </c>
      <c r="BO1629">
        <v>9.24</v>
      </c>
      <c r="BP1629">
        <v>0.03</v>
      </c>
      <c r="BQ1629">
        <v>24.96</v>
      </c>
      <c r="BR1629">
        <v>7.01</v>
      </c>
      <c r="BS1629">
        <v>2.16</v>
      </c>
      <c r="BT1629">
        <v>0.51</v>
      </c>
      <c r="BU1629">
        <v>2.9</v>
      </c>
      <c r="BV1629">
        <v>2.2799999999999998</v>
      </c>
      <c r="BW1629">
        <v>2.39</v>
      </c>
      <c r="BX1629">
        <v>4.1500000000000004</v>
      </c>
      <c r="BY1629">
        <v>4.43</v>
      </c>
      <c r="BZ1629">
        <v>3.09</v>
      </c>
      <c r="CA1629">
        <v>1.0900000000000001</v>
      </c>
      <c r="CB1629">
        <v>0.47</v>
      </c>
      <c r="CC1629">
        <v>1.0900000000000001</v>
      </c>
      <c r="CD1629">
        <v>0.98</v>
      </c>
      <c r="CE1629">
        <v>0.95</v>
      </c>
      <c r="CF1629">
        <v>0.63</v>
      </c>
      <c r="CG1629">
        <v>2.72</v>
      </c>
      <c r="CH1629">
        <v>-0.42</v>
      </c>
      <c r="CI1629">
        <v>-0.44</v>
      </c>
      <c r="CJ1629">
        <v>13856</v>
      </c>
      <c r="CK1629">
        <v>10179</v>
      </c>
      <c r="CL1629" t="s">
        <v>8517</v>
      </c>
      <c r="CM1629">
        <v>4638.6000000000004</v>
      </c>
      <c r="CN1629">
        <v>254.64</v>
      </c>
      <c r="CO1629">
        <v>3.51</v>
      </c>
      <c r="CP1629">
        <v>-76.39</v>
      </c>
      <c r="CQ1629">
        <v>7.31</v>
      </c>
      <c r="CR1629">
        <v>0</v>
      </c>
      <c r="CS1629" t="s">
        <v>1696</v>
      </c>
      <c r="CT1629">
        <v>3.19</v>
      </c>
      <c r="CU1629">
        <v>0</v>
      </c>
      <c r="CV1629">
        <v>1.43</v>
      </c>
      <c r="CW1629">
        <v>0.94</v>
      </c>
      <c r="CX1629">
        <v>-0.15</v>
      </c>
      <c r="CY1629">
        <v>74.8</v>
      </c>
      <c r="CZ1629" t="s">
        <v>1933</v>
      </c>
      <c r="DA1629">
        <v>30.31</v>
      </c>
      <c r="DB1629">
        <v>24.57</v>
      </c>
      <c r="DC1629">
        <v>21.47</v>
      </c>
      <c r="DD1629">
        <v>0.14000000000000001</v>
      </c>
      <c r="DE1629">
        <v>621</v>
      </c>
      <c r="DF1629">
        <v>300234</v>
      </c>
      <c r="DG1629" t="s">
        <v>116</v>
      </c>
      <c r="DH1629" t="s">
        <v>116</v>
      </c>
      <c r="DI1629" t="s">
        <v>116</v>
      </c>
    </row>
    <row r="1630" spans="1:113" x14ac:dyDescent="0.4">
      <c r="A1630" t="str">
        <f>"300235"</f>
        <v>300235</v>
      </c>
      <c r="B1630" t="s">
        <v>8518</v>
      </c>
      <c r="C1630">
        <v>2.93</v>
      </c>
      <c r="D1630">
        <v>13.37</v>
      </c>
      <c r="E1630">
        <v>0.38</v>
      </c>
      <c r="F1630">
        <v>13.36</v>
      </c>
      <c r="G1630">
        <v>13.37</v>
      </c>
      <c r="H1630">
        <v>97576</v>
      </c>
      <c r="I1630">
        <v>1526</v>
      </c>
      <c r="J1630">
        <v>0.3</v>
      </c>
      <c r="K1630">
        <v>8.7899999999999991</v>
      </c>
      <c r="L1630">
        <v>13.07</v>
      </c>
      <c r="M1630">
        <v>13.54</v>
      </c>
      <c r="N1630">
        <v>12.9</v>
      </c>
      <c r="O1630">
        <v>12.99</v>
      </c>
      <c r="P1630">
        <v>42.71</v>
      </c>
      <c r="Q1630">
        <v>129696760</v>
      </c>
      <c r="R1630">
        <v>1.86</v>
      </c>
      <c r="S1630" t="s">
        <v>607</v>
      </c>
      <c r="T1630" t="s">
        <v>115</v>
      </c>
      <c r="U1630">
        <v>4.93</v>
      </c>
      <c r="V1630">
        <v>13.29</v>
      </c>
      <c r="W1630">
        <v>44860</v>
      </c>
      <c r="X1630">
        <v>52716</v>
      </c>
      <c r="Y1630">
        <v>0.85</v>
      </c>
      <c r="Z1630">
        <v>1218</v>
      </c>
      <c r="AA1630">
        <v>22</v>
      </c>
      <c r="AB1630" t="s">
        <v>116</v>
      </c>
      <c r="AC1630">
        <v>190800</v>
      </c>
      <c r="AD1630">
        <v>0.02</v>
      </c>
      <c r="AE1630" t="s">
        <v>116</v>
      </c>
      <c r="AF1630" t="s">
        <v>116</v>
      </c>
      <c r="AG1630">
        <v>1.1100000000000001</v>
      </c>
      <c r="AH1630" t="s">
        <v>8519</v>
      </c>
      <c r="AI1630" t="s">
        <v>8520</v>
      </c>
      <c r="AJ1630">
        <v>3.6</v>
      </c>
      <c r="AK1630">
        <v>2867</v>
      </c>
      <c r="AL1630">
        <v>34</v>
      </c>
      <c r="AM1630">
        <v>3.0999999999999999E-3</v>
      </c>
      <c r="AN1630">
        <v>4</v>
      </c>
      <c r="AO1630">
        <v>5.03</v>
      </c>
      <c r="AP1630">
        <v>6.45</v>
      </c>
      <c r="AQ1630">
        <v>28.31</v>
      </c>
      <c r="AR1630">
        <v>64.05</v>
      </c>
      <c r="AS1630">
        <v>10.53</v>
      </c>
      <c r="AT1630" t="s">
        <v>8521</v>
      </c>
      <c r="AU1630">
        <v>72.88</v>
      </c>
      <c r="AV1630">
        <v>182.19</v>
      </c>
      <c r="AW1630">
        <v>1.75</v>
      </c>
      <c r="BA1630">
        <v>0.62</v>
      </c>
      <c r="BB1630">
        <v>4.2300000000000004</v>
      </c>
      <c r="BC1630">
        <v>-0.69</v>
      </c>
      <c r="BD1630">
        <v>2.3199999999999998</v>
      </c>
      <c r="BE1630">
        <v>2.2999999999999998</v>
      </c>
      <c r="BF1630">
        <v>-1.26</v>
      </c>
      <c r="BG1630">
        <v>3.64</v>
      </c>
      <c r="BH1630">
        <v>0.6</v>
      </c>
      <c r="BI1630">
        <v>20191029</v>
      </c>
      <c r="BJ1630">
        <v>20110629</v>
      </c>
      <c r="BK1630">
        <v>1.68</v>
      </c>
      <c r="BL1630" t="s">
        <v>116</v>
      </c>
      <c r="BM1630" t="s">
        <v>116</v>
      </c>
      <c r="BN1630">
        <v>6.71</v>
      </c>
      <c r="BO1630">
        <v>6.34</v>
      </c>
      <c r="BP1630">
        <v>0</v>
      </c>
      <c r="BQ1630">
        <v>5.47</v>
      </c>
      <c r="BR1630">
        <v>4.78</v>
      </c>
      <c r="BS1630">
        <v>0.91</v>
      </c>
      <c r="BT1630">
        <v>0.03</v>
      </c>
      <c r="BU1630">
        <v>0.36</v>
      </c>
      <c r="BV1630">
        <v>0.19</v>
      </c>
      <c r="BW1630">
        <v>0.65</v>
      </c>
      <c r="BX1630">
        <v>2.82</v>
      </c>
      <c r="BY1630">
        <v>1.01</v>
      </c>
      <c r="BZ1630">
        <v>0.36</v>
      </c>
      <c r="CA1630">
        <v>0.44</v>
      </c>
      <c r="CB1630">
        <v>0.03</v>
      </c>
      <c r="CC1630">
        <v>0.44</v>
      </c>
      <c r="CD1630">
        <v>0.39</v>
      </c>
      <c r="CE1630">
        <v>0.39</v>
      </c>
      <c r="CF1630">
        <v>0.28000000000000003</v>
      </c>
      <c r="CG1630">
        <v>1.6</v>
      </c>
      <c r="CH1630">
        <v>-0.06</v>
      </c>
      <c r="CI1630">
        <v>-0.15</v>
      </c>
      <c r="CJ1630">
        <v>15421</v>
      </c>
      <c r="CK1630">
        <v>6009</v>
      </c>
      <c r="CL1630" t="s">
        <v>8522</v>
      </c>
      <c r="CM1630">
        <v>88.27</v>
      </c>
      <c r="CN1630">
        <v>8.49</v>
      </c>
      <c r="CO1630">
        <v>3.54</v>
      </c>
      <c r="CP1630">
        <v>-388.31</v>
      </c>
      <c r="CQ1630">
        <v>22.24</v>
      </c>
      <c r="CR1630">
        <v>0</v>
      </c>
      <c r="CS1630" t="s">
        <v>8523</v>
      </c>
      <c r="CT1630">
        <v>3.78</v>
      </c>
      <c r="CU1630">
        <v>0</v>
      </c>
      <c r="CV1630">
        <v>1.68</v>
      </c>
      <c r="CW1630">
        <v>0.95</v>
      </c>
      <c r="CX1630">
        <v>-0.03</v>
      </c>
      <c r="CY1630">
        <v>94.51</v>
      </c>
      <c r="CZ1630" t="s">
        <v>6687</v>
      </c>
      <c r="DA1630">
        <v>64.62</v>
      </c>
      <c r="DB1630">
        <v>43.44</v>
      </c>
      <c r="DC1630">
        <v>39.06</v>
      </c>
      <c r="DD1630">
        <v>0.17</v>
      </c>
      <c r="DE1630">
        <v>227</v>
      </c>
      <c r="DF1630">
        <v>300235</v>
      </c>
      <c r="DG1630" t="s">
        <v>116</v>
      </c>
      <c r="DH1630" t="s">
        <v>116</v>
      </c>
      <c r="DI1630" t="s">
        <v>116</v>
      </c>
    </row>
    <row r="1631" spans="1:113" x14ac:dyDescent="0.4">
      <c r="A1631" t="str">
        <f>"300236"</f>
        <v>300236</v>
      </c>
      <c r="B1631" t="s">
        <v>8524</v>
      </c>
      <c r="C1631">
        <v>-2.02</v>
      </c>
      <c r="D1631">
        <v>28.1</v>
      </c>
      <c r="E1631">
        <v>-0.57999999999999996</v>
      </c>
      <c r="F1631">
        <v>28.1</v>
      </c>
      <c r="G1631">
        <v>28.11</v>
      </c>
      <c r="H1631">
        <v>278512</v>
      </c>
      <c r="I1631">
        <v>2293</v>
      </c>
      <c r="J1631">
        <v>0.64</v>
      </c>
      <c r="K1631">
        <v>9.76</v>
      </c>
      <c r="L1631">
        <v>28.77</v>
      </c>
      <c r="M1631">
        <v>29.29</v>
      </c>
      <c r="N1631">
        <v>27.89</v>
      </c>
      <c r="O1631">
        <v>28.68</v>
      </c>
      <c r="P1631">
        <v>21.15</v>
      </c>
      <c r="Q1631">
        <v>794324416</v>
      </c>
      <c r="R1631">
        <v>1.23</v>
      </c>
      <c r="S1631" t="s">
        <v>3507</v>
      </c>
      <c r="T1631" t="s">
        <v>1653</v>
      </c>
      <c r="U1631">
        <v>4.88</v>
      </c>
      <c r="V1631">
        <v>28.52</v>
      </c>
      <c r="W1631">
        <v>148103</v>
      </c>
      <c r="X1631">
        <v>130409</v>
      </c>
      <c r="Y1631">
        <v>1.1399999999999999</v>
      </c>
      <c r="Z1631">
        <v>812</v>
      </c>
      <c r="AA1631">
        <v>22</v>
      </c>
      <c r="AB1631" t="s">
        <v>116</v>
      </c>
      <c r="AC1631">
        <v>9161300</v>
      </c>
      <c r="AD1631">
        <v>0.2</v>
      </c>
      <c r="AE1631" t="s">
        <v>116</v>
      </c>
      <c r="AF1631" t="s">
        <v>116</v>
      </c>
      <c r="AG1631">
        <v>2.85</v>
      </c>
      <c r="AH1631" t="s">
        <v>8525</v>
      </c>
      <c r="AI1631" t="s">
        <v>8526</v>
      </c>
      <c r="AJ1631">
        <v>-1.34</v>
      </c>
      <c r="AK1631">
        <v>4309</v>
      </c>
      <c r="AL1631">
        <v>65</v>
      </c>
      <c r="AM1631">
        <v>2.3E-3</v>
      </c>
      <c r="AN1631">
        <v>-1</v>
      </c>
      <c r="AO1631">
        <v>5.24</v>
      </c>
      <c r="AP1631">
        <v>26.24</v>
      </c>
      <c r="AQ1631">
        <v>11.95</v>
      </c>
      <c r="AR1631">
        <v>70.23</v>
      </c>
      <c r="AS1631">
        <v>17.920000000000002</v>
      </c>
      <c r="AT1631" t="s">
        <v>4751</v>
      </c>
      <c r="AU1631">
        <v>27.34</v>
      </c>
      <c r="AV1631">
        <v>1227.04</v>
      </c>
      <c r="AW1631">
        <v>1.61</v>
      </c>
      <c r="BA1631">
        <v>0.31</v>
      </c>
      <c r="BB1631">
        <v>2.13</v>
      </c>
      <c r="BC1631">
        <v>-2.75</v>
      </c>
      <c r="BD1631">
        <v>-0.56000000000000005</v>
      </c>
      <c r="BE1631">
        <v>-2.33</v>
      </c>
      <c r="BF1631">
        <v>-4.0599999999999996</v>
      </c>
      <c r="BG1631">
        <v>0.75</v>
      </c>
      <c r="BH1631">
        <v>-1.47</v>
      </c>
      <c r="BI1631">
        <v>20191213</v>
      </c>
      <c r="BJ1631">
        <v>20110629</v>
      </c>
      <c r="BK1631">
        <v>2.91</v>
      </c>
      <c r="BL1631" t="s">
        <v>116</v>
      </c>
      <c r="BM1631" t="s">
        <v>116</v>
      </c>
      <c r="BN1631">
        <v>19.399999999999999</v>
      </c>
      <c r="BO1631">
        <v>15.74</v>
      </c>
      <c r="BP1631">
        <v>0.13</v>
      </c>
      <c r="BQ1631">
        <v>18.18</v>
      </c>
      <c r="BR1631">
        <v>9.09</v>
      </c>
      <c r="BS1631">
        <v>2.12</v>
      </c>
      <c r="BT1631">
        <v>0.68</v>
      </c>
      <c r="BU1631">
        <v>3.45</v>
      </c>
      <c r="BV1631">
        <v>1.3</v>
      </c>
      <c r="BW1631">
        <v>3.19</v>
      </c>
      <c r="BX1631">
        <v>7.94</v>
      </c>
      <c r="BY1631">
        <v>4.5599999999999996</v>
      </c>
      <c r="BZ1631">
        <v>3.08</v>
      </c>
      <c r="CA1631">
        <v>3.45</v>
      </c>
      <c r="CB1631">
        <v>3.04</v>
      </c>
      <c r="CC1631">
        <v>3.45</v>
      </c>
      <c r="CD1631">
        <v>2.9</v>
      </c>
      <c r="CE1631">
        <v>2.9</v>
      </c>
      <c r="CF1631">
        <v>0.27</v>
      </c>
      <c r="CG1631">
        <v>5.41</v>
      </c>
      <c r="CH1631">
        <v>0.26</v>
      </c>
      <c r="CI1631">
        <v>1.55</v>
      </c>
      <c r="CJ1631">
        <v>33804</v>
      </c>
      <c r="CK1631">
        <v>4597</v>
      </c>
      <c r="CL1631" t="s">
        <v>8527</v>
      </c>
      <c r="CM1631">
        <v>11469.15</v>
      </c>
      <c r="CN1631">
        <v>15.73</v>
      </c>
      <c r="CO1631">
        <v>5.19</v>
      </c>
      <c r="CP1631">
        <v>318.02</v>
      </c>
      <c r="CQ1631">
        <v>17.93</v>
      </c>
      <c r="CR1631">
        <v>0.12</v>
      </c>
      <c r="CS1631" t="s">
        <v>8528</v>
      </c>
      <c r="CT1631">
        <v>5.42</v>
      </c>
      <c r="CU1631">
        <v>0</v>
      </c>
      <c r="CV1631">
        <v>2.73</v>
      </c>
      <c r="CW1631">
        <v>1.86</v>
      </c>
      <c r="CX1631">
        <v>0.09</v>
      </c>
      <c r="CY1631">
        <v>81.150000000000006</v>
      </c>
      <c r="CZ1631" t="s">
        <v>8529</v>
      </c>
      <c r="DA1631">
        <v>32.39</v>
      </c>
      <c r="DB1631">
        <v>75.760000000000005</v>
      </c>
      <c r="DC1631">
        <v>63.56</v>
      </c>
      <c r="DD1631">
        <v>0.35</v>
      </c>
      <c r="DE1631">
        <v>569</v>
      </c>
      <c r="DF1631">
        <v>300236</v>
      </c>
      <c r="DG1631" t="s">
        <v>116</v>
      </c>
      <c r="DH1631" t="s">
        <v>116</v>
      </c>
      <c r="DI1631" t="s">
        <v>116</v>
      </c>
    </row>
    <row r="1632" spans="1:113" x14ac:dyDescent="0.4">
      <c r="A1632" t="str">
        <f>"300237"</f>
        <v>300237</v>
      </c>
      <c r="B1632" t="s">
        <v>8530</v>
      </c>
      <c r="C1632">
        <v>-0.38</v>
      </c>
      <c r="D1632">
        <v>2.61</v>
      </c>
      <c r="E1632">
        <v>-0.01</v>
      </c>
      <c r="F1632">
        <v>2.61</v>
      </c>
      <c r="G1632">
        <v>2.62</v>
      </c>
      <c r="H1632">
        <v>265940</v>
      </c>
      <c r="I1632">
        <v>3951</v>
      </c>
      <c r="J1632">
        <v>0</v>
      </c>
      <c r="K1632">
        <v>1.85</v>
      </c>
      <c r="L1632">
        <v>2.63</v>
      </c>
      <c r="M1632">
        <v>2.68</v>
      </c>
      <c r="N1632">
        <v>2.61</v>
      </c>
      <c r="O1632">
        <v>2.62</v>
      </c>
      <c r="P1632">
        <v>21.97</v>
      </c>
      <c r="Q1632">
        <v>70345384</v>
      </c>
      <c r="R1632">
        <v>1.22</v>
      </c>
      <c r="S1632" t="s">
        <v>181</v>
      </c>
      <c r="T1632" t="s">
        <v>645</v>
      </c>
      <c r="U1632">
        <v>2.67</v>
      </c>
      <c r="V1632">
        <v>2.65</v>
      </c>
      <c r="W1632">
        <v>127759</v>
      </c>
      <c r="X1632">
        <v>138181</v>
      </c>
      <c r="Y1632">
        <v>0.92</v>
      </c>
      <c r="Z1632">
        <v>7078</v>
      </c>
      <c r="AA1632">
        <v>8331</v>
      </c>
      <c r="AB1632" t="s">
        <v>116</v>
      </c>
      <c r="AC1632">
        <v>525500</v>
      </c>
      <c r="AD1632">
        <v>0.02</v>
      </c>
      <c r="AE1632" t="s">
        <v>116</v>
      </c>
      <c r="AF1632" t="s">
        <v>116</v>
      </c>
      <c r="AG1632">
        <v>14.4</v>
      </c>
      <c r="AH1632" t="s">
        <v>4351</v>
      </c>
      <c r="AI1632" t="s">
        <v>8531</v>
      </c>
      <c r="AJ1632">
        <v>0.3</v>
      </c>
      <c r="AK1632">
        <v>1563</v>
      </c>
      <c r="AL1632">
        <v>170</v>
      </c>
      <c r="AM1632">
        <v>1.1999999999999999E-3</v>
      </c>
      <c r="AN1632">
        <v>-1</v>
      </c>
      <c r="AO1632">
        <v>0.39</v>
      </c>
      <c r="AP1632">
        <v>3.98</v>
      </c>
      <c r="AQ1632">
        <v>-14.14</v>
      </c>
      <c r="AR1632">
        <v>-28.1</v>
      </c>
      <c r="AS1632">
        <v>3.21</v>
      </c>
      <c r="AT1632" t="s">
        <v>8532</v>
      </c>
      <c r="AU1632">
        <v>33.1</v>
      </c>
      <c r="AV1632">
        <v>10.19</v>
      </c>
      <c r="AW1632">
        <v>1.04</v>
      </c>
      <c r="BA1632">
        <v>0.38</v>
      </c>
      <c r="BB1632">
        <v>2.29</v>
      </c>
      <c r="BC1632">
        <v>-0.38</v>
      </c>
      <c r="BD1632">
        <v>0.96</v>
      </c>
      <c r="BE1632">
        <v>-0.76</v>
      </c>
      <c r="BF1632">
        <v>-2.61</v>
      </c>
      <c r="BG1632">
        <v>0</v>
      </c>
      <c r="BH1632">
        <v>-1.34</v>
      </c>
      <c r="BI1632">
        <v>20191224</v>
      </c>
      <c r="BJ1632">
        <v>20110629</v>
      </c>
      <c r="BK1632">
        <v>14.53</v>
      </c>
      <c r="BL1632" t="s">
        <v>116</v>
      </c>
      <c r="BM1632" t="s">
        <v>116</v>
      </c>
      <c r="BN1632">
        <v>95.28</v>
      </c>
      <c r="BO1632">
        <v>35.96</v>
      </c>
      <c r="BP1632">
        <v>1.63</v>
      </c>
      <c r="BQ1632">
        <v>60.55</v>
      </c>
      <c r="BR1632">
        <v>72.47</v>
      </c>
      <c r="BS1632">
        <v>6.36</v>
      </c>
      <c r="BT1632">
        <v>1.41</v>
      </c>
      <c r="BU1632">
        <v>50.14</v>
      </c>
      <c r="BV1632">
        <v>52.06</v>
      </c>
      <c r="BW1632">
        <v>8.99</v>
      </c>
      <c r="BX1632">
        <v>2.92</v>
      </c>
      <c r="BY1632">
        <v>19.02</v>
      </c>
      <c r="BZ1632">
        <v>13.5</v>
      </c>
      <c r="CA1632">
        <v>1.71</v>
      </c>
      <c r="CB1632">
        <v>0.56000000000000005</v>
      </c>
      <c r="CC1632">
        <v>1.73</v>
      </c>
      <c r="CD1632">
        <v>1.31</v>
      </c>
      <c r="CE1632">
        <v>1.29</v>
      </c>
      <c r="CF1632">
        <v>0.56999999999999995</v>
      </c>
      <c r="CG1632">
        <v>18.170000000000002</v>
      </c>
      <c r="CH1632">
        <v>0.63</v>
      </c>
      <c r="CI1632">
        <v>-0.87</v>
      </c>
      <c r="CJ1632">
        <v>29135</v>
      </c>
      <c r="CK1632">
        <v>28419</v>
      </c>
      <c r="CL1632" t="s">
        <v>2715</v>
      </c>
      <c r="CM1632">
        <v>-66.55</v>
      </c>
      <c r="CN1632">
        <v>-27.53</v>
      </c>
      <c r="CO1632">
        <v>1.05</v>
      </c>
      <c r="CP1632">
        <v>59.73</v>
      </c>
      <c r="CQ1632">
        <v>1.99</v>
      </c>
      <c r="CR1632">
        <v>0</v>
      </c>
      <c r="CS1632" t="s">
        <v>431</v>
      </c>
      <c r="CT1632">
        <v>2.48</v>
      </c>
      <c r="CU1632">
        <v>0</v>
      </c>
      <c r="CV1632">
        <v>0.2</v>
      </c>
      <c r="CW1632">
        <v>1.25</v>
      </c>
      <c r="CX1632">
        <v>0.04</v>
      </c>
      <c r="CY1632">
        <v>37.75</v>
      </c>
      <c r="CZ1632" t="s">
        <v>5630</v>
      </c>
      <c r="DA1632">
        <v>29.01</v>
      </c>
      <c r="DB1632">
        <v>8.99</v>
      </c>
      <c r="DC1632">
        <v>6.81</v>
      </c>
      <c r="DD1632">
        <v>1.0900000000000001</v>
      </c>
      <c r="DE1632">
        <v>2684</v>
      </c>
      <c r="DF1632">
        <v>300237</v>
      </c>
      <c r="DG1632" t="s">
        <v>116</v>
      </c>
      <c r="DH1632" t="s">
        <v>116</v>
      </c>
      <c r="DI1632" t="s">
        <v>116</v>
      </c>
    </row>
    <row r="1633" spans="1:113" x14ac:dyDescent="0.4">
      <c r="A1633" t="str">
        <f>"300238"</f>
        <v>300238</v>
      </c>
      <c r="B1633" t="s">
        <v>8533</v>
      </c>
      <c r="C1633">
        <v>0.75</v>
      </c>
      <c r="D1633">
        <v>18.739999999999998</v>
      </c>
      <c r="E1633">
        <v>0.14000000000000001</v>
      </c>
      <c r="F1633">
        <v>18.73</v>
      </c>
      <c r="G1633">
        <v>18.739999999999998</v>
      </c>
      <c r="H1633">
        <v>40799</v>
      </c>
      <c r="I1633">
        <v>398</v>
      </c>
      <c r="J1633">
        <v>-0.2</v>
      </c>
      <c r="K1633">
        <v>1.56</v>
      </c>
      <c r="L1633">
        <v>18.55</v>
      </c>
      <c r="M1633">
        <v>19.149999999999999</v>
      </c>
      <c r="N1633">
        <v>18.55</v>
      </c>
      <c r="O1633">
        <v>18.600000000000001</v>
      </c>
      <c r="P1633">
        <v>265.45</v>
      </c>
      <c r="Q1633">
        <v>77163928</v>
      </c>
      <c r="R1633">
        <v>0.62</v>
      </c>
      <c r="S1633" t="s">
        <v>559</v>
      </c>
      <c r="T1633" t="s">
        <v>551</v>
      </c>
      <c r="U1633">
        <v>3.23</v>
      </c>
      <c r="V1633">
        <v>18.91</v>
      </c>
      <c r="W1633">
        <v>22501</v>
      </c>
      <c r="X1633">
        <v>18298</v>
      </c>
      <c r="Y1633">
        <v>1.23</v>
      </c>
      <c r="Z1633">
        <v>49</v>
      </c>
      <c r="AA1633">
        <v>273</v>
      </c>
      <c r="AB1633" t="s">
        <v>116</v>
      </c>
      <c r="AC1633">
        <v>586200</v>
      </c>
      <c r="AD1633">
        <v>0.02</v>
      </c>
      <c r="AE1633" t="s">
        <v>116</v>
      </c>
      <c r="AF1633" t="s">
        <v>116</v>
      </c>
      <c r="AG1633">
        <v>2.62</v>
      </c>
      <c r="AH1633" t="s">
        <v>8534</v>
      </c>
      <c r="AI1633" t="s">
        <v>8535</v>
      </c>
      <c r="AJ1633">
        <v>1.43</v>
      </c>
      <c r="AK1633">
        <v>1761</v>
      </c>
      <c r="AL1633">
        <v>23</v>
      </c>
      <c r="AM1633">
        <v>8.9999999999999998E-4</v>
      </c>
      <c r="AN1633">
        <v>1</v>
      </c>
      <c r="AO1633">
        <v>-0.96</v>
      </c>
      <c r="AP1633">
        <v>8.14</v>
      </c>
      <c r="AQ1633">
        <v>-8.85</v>
      </c>
      <c r="AR1633">
        <v>96.44</v>
      </c>
      <c r="AS1633">
        <v>2.1800000000000002</v>
      </c>
      <c r="AT1633" t="s">
        <v>8536</v>
      </c>
      <c r="AU1633">
        <v>143.94999999999999</v>
      </c>
      <c r="AV1633">
        <v>108.62</v>
      </c>
      <c r="AW1633">
        <v>1.33</v>
      </c>
      <c r="BA1633">
        <v>-0.27</v>
      </c>
      <c r="BB1633">
        <v>2.96</v>
      </c>
      <c r="BC1633">
        <v>-0.27</v>
      </c>
      <c r="BD1633">
        <v>1.68</v>
      </c>
      <c r="BE1633">
        <v>1.02</v>
      </c>
      <c r="BF1633">
        <v>-2.14</v>
      </c>
      <c r="BG1633">
        <v>1.02</v>
      </c>
      <c r="BH1633">
        <v>-0.93</v>
      </c>
      <c r="BI1633">
        <v>20191204</v>
      </c>
      <c r="BJ1633">
        <v>20110706</v>
      </c>
      <c r="BK1633">
        <v>2.65</v>
      </c>
      <c r="BL1633" t="s">
        <v>116</v>
      </c>
      <c r="BM1633" t="s">
        <v>116</v>
      </c>
      <c r="BN1633">
        <v>15.84</v>
      </c>
      <c r="BO1633">
        <v>11.63</v>
      </c>
      <c r="BP1633">
        <v>-7.0000000000000007E-2</v>
      </c>
      <c r="BQ1633">
        <v>27.03</v>
      </c>
      <c r="BR1633">
        <v>4.0599999999999996</v>
      </c>
      <c r="BS1633">
        <v>2.39</v>
      </c>
      <c r="BT1633">
        <v>0.9</v>
      </c>
      <c r="BU1633">
        <v>2.23</v>
      </c>
      <c r="BV1633">
        <v>1.06</v>
      </c>
      <c r="BW1633">
        <v>1.51</v>
      </c>
      <c r="BX1633">
        <v>5.71</v>
      </c>
      <c r="BY1633">
        <v>3.18</v>
      </c>
      <c r="BZ1633">
        <v>1.01</v>
      </c>
      <c r="CA1633">
        <v>0.13</v>
      </c>
      <c r="CB1633">
        <v>0.1</v>
      </c>
      <c r="CC1633">
        <v>0.13</v>
      </c>
      <c r="CD1633">
        <v>0.06</v>
      </c>
      <c r="CE1633">
        <v>0.14000000000000001</v>
      </c>
      <c r="CF1633">
        <v>0.11</v>
      </c>
      <c r="CG1633">
        <v>2.96</v>
      </c>
      <c r="CH1633">
        <v>0</v>
      </c>
      <c r="CI1633">
        <v>-0.01</v>
      </c>
      <c r="CJ1633">
        <v>25803</v>
      </c>
      <c r="CK1633">
        <v>7246</v>
      </c>
      <c r="CL1633" t="s">
        <v>8537</v>
      </c>
      <c r="CM1633">
        <v>-44.44</v>
      </c>
      <c r="CN1633">
        <v>3.82</v>
      </c>
      <c r="CO1633">
        <v>4.2699999999999996</v>
      </c>
      <c r="CP1633">
        <v>-18102.07</v>
      </c>
      <c r="CQ1633">
        <v>15.61</v>
      </c>
      <c r="CR1633">
        <v>0</v>
      </c>
      <c r="CS1633" t="s">
        <v>170</v>
      </c>
      <c r="CT1633">
        <v>4.3899999999999997</v>
      </c>
      <c r="CU1633">
        <v>0</v>
      </c>
      <c r="CV1633">
        <v>2.15</v>
      </c>
      <c r="CW1633">
        <v>1.1200000000000001</v>
      </c>
      <c r="CX1633">
        <v>0</v>
      </c>
      <c r="CY1633">
        <v>73.430000000000007</v>
      </c>
      <c r="CZ1633" t="s">
        <v>2361</v>
      </c>
      <c r="DA1633">
        <v>68.400000000000006</v>
      </c>
      <c r="DB1633">
        <v>4.0999999999999996</v>
      </c>
      <c r="DC1633">
        <v>4.41</v>
      </c>
      <c r="DD1633">
        <v>0.27</v>
      </c>
      <c r="DE1633">
        <v>482</v>
      </c>
      <c r="DF1633">
        <v>300238</v>
      </c>
      <c r="DG1633" t="s">
        <v>116</v>
      </c>
      <c r="DH1633" t="s">
        <v>116</v>
      </c>
      <c r="DI1633" t="s">
        <v>116</v>
      </c>
    </row>
    <row r="1634" spans="1:113" x14ac:dyDescent="0.4">
      <c r="A1634" t="str">
        <f>"300239"</f>
        <v>300239</v>
      </c>
      <c r="B1634" t="s">
        <v>8538</v>
      </c>
      <c r="C1634">
        <v>0.63</v>
      </c>
      <c r="D1634">
        <v>4.82</v>
      </c>
      <c r="E1634">
        <v>0.03</v>
      </c>
      <c r="F1634">
        <v>4.82</v>
      </c>
      <c r="G1634">
        <v>4.83</v>
      </c>
      <c r="H1634">
        <v>110128</v>
      </c>
      <c r="I1634">
        <v>1349</v>
      </c>
      <c r="J1634">
        <v>0.21</v>
      </c>
      <c r="K1634">
        <v>2.4700000000000002</v>
      </c>
      <c r="L1634">
        <v>4.8</v>
      </c>
      <c r="M1634">
        <v>4.91</v>
      </c>
      <c r="N1634">
        <v>4.7699999999999996</v>
      </c>
      <c r="O1634">
        <v>4.79</v>
      </c>
      <c r="P1634">
        <v>73.040000000000006</v>
      </c>
      <c r="Q1634">
        <v>53253092</v>
      </c>
      <c r="R1634">
        <v>1.46</v>
      </c>
      <c r="S1634" t="s">
        <v>132</v>
      </c>
      <c r="T1634" t="s">
        <v>796</v>
      </c>
      <c r="U1634">
        <v>2.92</v>
      </c>
      <c r="V1634">
        <v>4.84</v>
      </c>
      <c r="W1634">
        <v>54243</v>
      </c>
      <c r="X1634">
        <v>55885</v>
      </c>
      <c r="Y1634">
        <v>0.97</v>
      </c>
      <c r="Z1634">
        <v>172</v>
      </c>
      <c r="AA1634">
        <v>1668</v>
      </c>
      <c r="AB1634" t="s">
        <v>116</v>
      </c>
      <c r="AC1634">
        <v>67200</v>
      </c>
      <c r="AD1634">
        <v>0</v>
      </c>
      <c r="AE1634" t="s">
        <v>116</v>
      </c>
      <c r="AF1634" t="s">
        <v>116</v>
      </c>
      <c r="AG1634">
        <v>4.45</v>
      </c>
      <c r="AH1634" t="s">
        <v>1319</v>
      </c>
      <c r="AI1634" t="s">
        <v>6901</v>
      </c>
      <c r="AJ1634">
        <v>1.31</v>
      </c>
      <c r="AK1634">
        <v>1553</v>
      </c>
      <c r="AL1634">
        <v>71</v>
      </c>
      <c r="AM1634">
        <v>1.6000000000000001E-3</v>
      </c>
      <c r="AN1634">
        <v>1</v>
      </c>
      <c r="AO1634">
        <v>-0.62</v>
      </c>
      <c r="AP1634">
        <v>6.4</v>
      </c>
      <c r="AQ1634">
        <v>12.09</v>
      </c>
      <c r="AR1634">
        <v>31.34</v>
      </c>
      <c r="AS1634">
        <v>3.72</v>
      </c>
      <c r="AT1634" t="s">
        <v>8539</v>
      </c>
      <c r="AU1634">
        <v>67.98</v>
      </c>
      <c r="AV1634">
        <v>74.16</v>
      </c>
      <c r="AW1634">
        <v>0.94</v>
      </c>
      <c r="BA1634">
        <v>0.21</v>
      </c>
      <c r="BB1634">
        <v>2.5099999999999998</v>
      </c>
      <c r="BC1634">
        <v>-0.42</v>
      </c>
      <c r="BD1634">
        <v>0.95</v>
      </c>
      <c r="BE1634">
        <v>0.42</v>
      </c>
      <c r="BF1634">
        <v>-1.83</v>
      </c>
      <c r="BG1634">
        <v>1.05</v>
      </c>
      <c r="BH1634">
        <v>-0.33</v>
      </c>
      <c r="BI1634">
        <v>20191101</v>
      </c>
      <c r="BJ1634">
        <v>20110706</v>
      </c>
      <c r="BK1634">
        <v>5.23</v>
      </c>
      <c r="BL1634" t="s">
        <v>116</v>
      </c>
      <c r="BM1634" t="s">
        <v>116</v>
      </c>
      <c r="BN1634">
        <v>12.5</v>
      </c>
      <c r="BO1634">
        <v>9.83</v>
      </c>
      <c r="BP1634">
        <v>0</v>
      </c>
      <c r="BQ1634">
        <v>21.4</v>
      </c>
      <c r="BR1634">
        <v>4.67</v>
      </c>
      <c r="BS1634">
        <v>4.47</v>
      </c>
      <c r="BT1634">
        <v>0.64</v>
      </c>
      <c r="BU1634">
        <v>1.63</v>
      </c>
      <c r="BV1634">
        <v>2.37</v>
      </c>
      <c r="BW1634">
        <v>1.06</v>
      </c>
      <c r="BX1634">
        <v>3.18</v>
      </c>
      <c r="BY1634">
        <v>3.39</v>
      </c>
      <c r="BZ1634">
        <v>2.72</v>
      </c>
      <c r="CA1634">
        <v>0.28000000000000003</v>
      </c>
      <c r="CB1634">
        <v>0</v>
      </c>
      <c r="CC1634">
        <v>0.3</v>
      </c>
      <c r="CD1634">
        <v>0.26</v>
      </c>
      <c r="CE1634">
        <v>0.26</v>
      </c>
      <c r="CF1634">
        <v>0.2</v>
      </c>
      <c r="CG1634">
        <v>1.18</v>
      </c>
      <c r="CH1634">
        <v>-0.56000000000000005</v>
      </c>
      <c r="CI1634">
        <v>0</v>
      </c>
      <c r="CJ1634">
        <v>26001</v>
      </c>
      <c r="CK1634">
        <v>11378</v>
      </c>
      <c r="CL1634" t="s">
        <v>922</v>
      </c>
      <c r="CM1634">
        <v>13.55</v>
      </c>
      <c r="CN1634">
        <v>5.22</v>
      </c>
      <c r="CO1634">
        <v>2.56</v>
      </c>
      <c r="CP1634">
        <v>-45.3</v>
      </c>
      <c r="CQ1634">
        <v>7.43</v>
      </c>
      <c r="CR1634">
        <v>0.62</v>
      </c>
      <c r="CS1634" t="s">
        <v>5719</v>
      </c>
      <c r="CT1634">
        <v>1.88</v>
      </c>
      <c r="CU1634">
        <v>0</v>
      </c>
      <c r="CV1634">
        <v>0.61</v>
      </c>
      <c r="CW1634">
        <v>0.23</v>
      </c>
      <c r="CX1634">
        <v>-0.11</v>
      </c>
      <c r="CY1634">
        <v>78.599999999999994</v>
      </c>
      <c r="CZ1634" t="s">
        <v>1720</v>
      </c>
      <c r="DA1634">
        <v>19.850000000000001</v>
      </c>
      <c r="DB1634">
        <v>8.1300000000000008</v>
      </c>
      <c r="DC1634">
        <v>7.63</v>
      </c>
      <c r="DD1634">
        <v>0.08</v>
      </c>
      <c r="DE1634">
        <v>702</v>
      </c>
      <c r="DF1634">
        <v>300239</v>
      </c>
      <c r="DG1634" t="s">
        <v>116</v>
      </c>
      <c r="DH1634" t="s">
        <v>116</v>
      </c>
      <c r="DI1634" t="s">
        <v>116</v>
      </c>
    </row>
    <row r="1635" spans="1:113" x14ac:dyDescent="0.4">
      <c r="A1635" t="str">
        <f>"300240"</f>
        <v>300240</v>
      </c>
      <c r="B1635" t="s">
        <v>8540</v>
      </c>
      <c r="C1635">
        <v>-0.31</v>
      </c>
      <c r="D1635">
        <v>6.48</v>
      </c>
      <c r="E1635">
        <v>-0.02</v>
      </c>
      <c r="F1635">
        <v>6.48</v>
      </c>
      <c r="G1635">
        <v>6.49</v>
      </c>
      <c r="H1635">
        <v>58479</v>
      </c>
      <c r="I1635">
        <v>840</v>
      </c>
      <c r="J1635">
        <v>0</v>
      </c>
      <c r="K1635">
        <v>1.6</v>
      </c>
      <c r="L1635">
        <v>6.52</v>
      </c>
      <c r="M1635">
        <v>6.63</v>
      </c>
      <c r="N1635">
        <v>6.47</v>
      </c>
      <c r="O1635">
        <v>6.5</v>
      </c>
      <c r="P1635">
        <v>73.069999999999993</v>
      </c>
      <c r="Q1635">
        <v>38268624</v>
      </c>
      <c r="R1635">
        <v>1.43</v>
      </c>
      <c r="S1635" t="s">
        <v>3113</v>
      </c>
      <c r="T1635" t="s">
        <v>323</v>
      </c>
      <c r="U1635">
        <v>2.46</v>
      </c>
      <c r="V1635">
        <v>6.54</v>
      </c>
      <c r="W1635">
        <v>30130</v>
      </c>
      <c r="X1635">
        <v>28349</v>
      </c>
      <c r="Y1635">
        <v>1.06</v>
      </c>
      <c r="Z1635">
        <v>108</v>
      </c>
      <c r="AA1635">
        <v>497</v>
      </c>
      <c r="AB1635" t="s">
        <v>116</v>
      </c>
      <c r="AC1635">
        <v>20900</v>
      </c>
      <c r="AD1635">
        <v>0</v>
      </c>
      <c r="AE1635" t="s">
        <v>116</v>
      </c>
      <c r="AF1635" t="s">
        <v>116</v>
      </c>
      <c r="AG1635">
        <v>3.65</v>
      </c>
      <c r="AH1635" t="s">
        <v>5137</v>
      </c>
      <c r="AI1635" t="s">
        <v>8541</v>
      </c>
      <c r="AJ1635">
        <v>0.37</v>
      </c>
      <c r="AK1635">
        <v>1226</v>
      </c>
      <c r="AL1635">
        <v>48</v>
      </c>
      <c r="AM1635">
        <v>1.2999999999999999E-3</v>
      </c>
      <c r="AN1635">
        <v>-1</v>
      </c>
      <c r="AO1635">
        <v>1.25</v>
      </c>
      <c r="AP1635">
        <v>6.58</v>
      </c>
      <c r="AQ1635">
        <v>0</v>
      </c>
      <c r="AR1635">
        <v>-12.2</v>
      </c>
      <c r="AS1635">
        <v>3.4</v>
      </c>
      <c r="AT1635" t="s">
        <v>6552</v>
      </c>
      <c r="AU1635" t="s">
        <v>116</v>
      </c>
      <c r="AV1635">
        <v>160.22999999999999</v>
      </c>
      <c r="AW1635">
        <v>1.07</v>
      </c>
      <c r="BA1635">
        <v>0.31</v>
      </c>
      <c r="BB1635">
        <v>2</v>
      </c>
      <c r="BC1635">
        <v>-0.46</v>
      </c>
      <c r="BD1635">
        <v>0.68</v>
      </c>
      <c r="BE1635">
        <v>-0.61</v>
      </c>
      <c r="BF1635">
        <v>-2.2599999999999998</v>
      </c>
      <c r="BG1635">
        <v>0.15</v>
      </c>
      <c r="BH1635">
        <v>-0.98</v>
      </c>
      <c r="BI1635">
        <v>20191029</v>
      </c>
      <c r="BJ1635">
        <v>20110706</v>
      </c>
      <c r="BK1635">
        <v>3.66</v>
      </c>
      <c r="BL1635" t="s">
        <v>116</v>
      </c>
      <c r="BM1635" t="s">
        <v>116</v>
      </c>
      <c r="BN1635">
        <v>24.65</v>
      </c>
      <c r="BO1635">
        <v>11.01</v>
      </c>
      <c r="BP1635">
        <v>1.77</v>
      </c>
      <c r="BQ1635">
        <v>48.15</v>
      </c>
      <c r="BR1635">
        <v>14.71</v>
      </c>
      <c r="BS1635">
        <v>3.12</v>
      </c>
      <c r="BT1635">
        <v>2.2000000000000002</v>
      </c>
      <c r="BU1635">
        <v>11.67</v>
      </c>
      <c r="BV1635">
        <v>1.28</v>
      </c>
      <c r="BW1635">
        <v>6.05</v>
      </c>
      <c r="BX1635">
        <v>1.98</v>
      </c>
      <c r="BY1635">
        <v>23.69</v>
      </c>
      <c r="BZ1635">
        <v>21.34</v>
      </c>
      <c r="CA1635">
        <v>0.49</v>
      </c>
      <c r="CB1635">
        <v>0.02</v>
      </c>
      <c r="CC1635">
        <v>0.47</v>
      </c>
      <c r="CD1635">
        <v>0.35</v>
      </c>
      <c r="CE1635">
        <v>0.24</v>
      </c>
      <c r="CF1635">
        <v>0.05</v>
      </c>
      <c r="CG1635">
        <v>4.92</v>
      </c>
      <c r="CH1635">
        <v>0.18</v>
      </c>
      <c r="CI1635">
        <v>-1.61</v>
      </c>
      <c r="CJ1635">
        <v>16403</v>
      </c>
      <c r="CK1635">
        <v>10495</v>
      </c>
      <c r="CL1635" t="s">
        <v>8542</v>
      </c>
      <c r="CM1635">
        <v>-37.96</v>
      </c>
      <c r="CN1635">
        <v>0.3</v>
      </c>
      <c r="CO1635">
        <v>2.15</v>
      </c>
      <c r="CP1635">
        <v>130.5</v>
      </c>
      <c r="CQ1635">
        <v>1</v>
      </c>
      <c r="CR1635">
        <v>0.31</v>
      </c>
      <c r="CS1635" t="s">
        <v>1584</v>
      </c>
      <c r="CT1635">
        <v>3.01</v>
      </c>
      <c r="CU1635">
        <v>0</v>
      </c>
      <c r="CV1635">
        <v>0.54</v>
      </c>
      <c r="CW1635">
        <v>1.34</v>
      </c>
      <c r="CX1635">
        <v>0.05</v>
      </c>
      <c r="CY1635">
        <v>44.65</v>
      </c>
      <c r="CZ1635" t="s">
        <v>1585</v>
      </c>
      <c r="DA1635">
        <v>9.92</v>
      </c>
      <c r="DB1635">
        <v>2.0699999999999998</v>
      </c>
      <c r="DC1635">
        <v>1.03</v>
      </c>
      <c r="DD1635">
        <v>0.38</v>
      </c>
      <c r="DE1635">
        <v>3103</v>
      </c>
      <c r="DF1635">
        <v>300240</v>
      </c>
      <c r="DG1635" t="s">
        <v>116</v>
      </c>
      <c r="DH1635" t="s">
        <v>116</v>
      </c>
      <c r="DI1635" t="s">
        <v>116</v>
      </c>
    </row>
    <row r="1636" spans="1:113" x14ac:dyDescent="0.4">
      <c r="A1636" t="str">
        <f>"300241"</f>
        <v>300241</v>
      </c>
      <c r="B1636" t="s">
        <v>8543</v>
      </c>
      <c r="C1636">
        <v>-3.06</v>
      </c>
      <c r="D1636">
        <v>6.66</v>
      </c>
      <c r="E1636">
        <v>-0.21</v>
      </c>
      <c r="F1636">
        <v>6.66</v>
      </c>
      <c r="G1636">
        <v>6.67</v>
      </c>
      <c r="H1636">
        <v>326528</v>
      </c>
      <c r="I1636">
        <v>3053</v>
      </c>
      <c r="J1636">
        <v>-0.14000000000000001</v>
      </c>
      <c r="K1636">
        <v>7.82</v>
      </c>
      <c r="L1636">
        <v>6.97</v>
      </c>
      <c r="M1636">
        <v>7.06</v>
      </c>
      <c r="N1636">
        <v>6.63</v>
      </c>
      <c r="O1636">
        <v>6.87</v>
      </c>
      <c r="P1636">
        <v>79.8</v>
      </c>
      <c r="Q1636">
        <v>224187936</v>
      </c>
      <c r="R1636">
        <v>0.88</v>
      </c>
      <c r="S1636" t="s">
        <v>3507</v>
      </c>
      <c r="T1636" t="s">
        <v>115</v>
      </c>
      <c r="U1636">
        <v>6.26</v>
      </c>
      <c r="V1636">
        <v>6.87</v>
      </c>
      <c r="W1636">
        <v>187114</v>
      </c>
      <c r="X1636">
        <v>139414</v>
      </c>
      <c r="Y1636">
        <v>1.34</v>
      </c>
      <c r="Z1636">
        <v>262</v>
      </c>
      <c r="AA1636">
        <v>477</v>
      </c>
      <c r="AB1636" t="s">
        <v>116</v>
      </c>
      <c r="AC1636">
        <v>2598400</v>
      </c>
      <c r="AD1636">
        <v>0.11</v>
      </c>
      <c r="AE1636" t="s">
        <v>116</v>
      </c>
      <c r="AF1636" t="s">
        <v>116</v>
      </c>
      <c r="AG1636">
        <v>4.17</v>
      </c>
      <c r="AH1636" t="s">
        <v>4927</v>
      </c>
      <c r="AI1636" t="s">
        <v>8544</v>
      </c>
      <c r="AJ1636">
        <v>-2.38</v>
      </c>
      <c r="AK1636">
        <v>2916</v>
      </c>
      <c r="AL1636">
        <v>112</v>
      </c>
      <c r="AM1636">
        <v>2.7000000000000001E-3</v>
      </c>
      <c r="AN1636">
        <v>-1</v>
      </c>
      <c r="AO1636">
        <v>-1.04</v>
      </c>
      <c r="AP1636">
        <v>15.03</v>
      </c>
      <c r="AQ1636">
        <v>8.4700000000000006</v>
      </c>
      <c r="AR1636">
        <v>44.47</v>
      </c>
      <c r="AS1636">
        <v>9.2200000000000006</v>
      </c>
      <c r="AT1636" t="s">
        <v>970</v>
      </c>
      <c r="AU1636">
        <v>181.24</v>
      </c>
      <c r="AV1636">
        <v>41.3</v>
      </c>
      <c r="AW1636">
        <v>2</v>
      </c>
      <c r="BA1636">
        <v>1.46</v>
      </c>
      <c r="BB1636">
        <v>2.77</v>
      </c>
      <c r="BC1636">
        <v>-3.49</v>
      </c>
      <c r="BD1636">
        <v>-0.06</v>
      </c>
      <c r="BE1636">
        <v>-4.45</v>
      </c>
      <c r="BF1636">
        <v>-5.67</v>
      </c>
      <c r="BG1636">
        <v>0.45</v>
      </c>
      <c r="BH1636">
        <v>-3</v>
      </c>
      <c r="BI1636">
        <v>20191030</v>
      </c>
      <c r="BJ1636">
        <v>20110712</v>
      </c>
      <c r="BK1636">
        <v>5.35</v>
      </c>
      <c r="BL1636" t="s">
        <v>116</v>
      </c>
      <c r="BM1636" t="s">
        <v>116</v>
      </c>
      <c r="BN1636">
        <v>21.35</v>
      </c>
      <c r="BO1636">
        <v>13.54</v>
      </c>
      <c r="BP1636">
        <v>0.02</v>
      </c>
      <c r="BQ1636">
        <v>36.53</v>
      </c>
      <c r="BR1636">
        <v>9.76</v>
      </c>
      <c r="BS1636">
        <v>4.87</v>
      </c>
      <c r="BT1636">
        <v>0.8</v>
      </c>
      <c r="BU1636">
        <v>6.45</v>
      </c>
      <c r="BV1636">
        <v>1.85</v>
      </c>
      <c r="BW1636">
        <v>4.29</v>
      </c>
      <c r="BX1636">
        <v>3.5</v>
      </c>
      <c r="BY1636">
        <v>10.06</v>
      </c>
      <c r="BZ1636">
        <v>8.2100000000000009</v>
      </c>
      <c r="CA1636">
        <v>0.41</v>
      </c>
      <c r="CB1636">
        <v>0.22</v>
      </c>
      <c r="CC1636">
        <v>0.36</v>
      </c>
      <c r="CD1636">
        <v>0.33</v>
      </c>
      <c r="CE1636">
        <v>0.33</v>
      </c>
      <c r="CF1636">
        <v>0.09</v>
      </c>
      <c r="CG1636">
        <v>4.41</v>
      </c>
      <c r="CH1636">
        <v>1.49</v>
      </c>
      <c r="CI1636">
        <v>-0.54</v>
      </c>
      <c r="CJ1636">
        <v>24772</v>
      </c>
      <c r="CK1636">
        <v>14292</v>
      </c>
      <c r="CL1636" t="s">
        <v>8545</v>
      </c>
      <c r="CM1636">
        <v>-66.540000000000006</v>
      </c>
      <c r="CN1636">
        <v>-11.72</v>
      </c>
      <c r="CO1636">
        <v>2.63</v>
      </c>
      <c r="CP1636">
        <v>23.97</v>
      </c>
      <c r="CQ1636">
        <v>3.54</v>
      </c>
      <c r="CR1636">
        <v>0.16</v>
      </c>
      <c r="CS1636" t="s">
        <v>2373</v>
      </c>
      <c r="CT1636">
        <v>2.5299999999999998</v>
      </c>
      <c r="CU1636">
        <v>0</v>
      </c>
      <c r="CV1636">
        <v>0.65</v>
      </c>
      <c r="CW1636">
        <v>0.82</v>
      </c>
      <c r="CX1636">
        <v>0.28000000000000003</v>
      </c>
      <c r="CY1636">
        <v>63.39</v>
      </c>
      <c r="CZ1636" t="s">
        <v>4458</v>
      </c>
      <c r="DA1636">
        <v>18.41</v>
      </c>
      <c r="DB1636">
        <v>4.0999999999999996</v>
      </c>
      <c r="DC1636">
        <v>3.33</v>
      </c>
      <c r="DD1636">
        <v>0.67</v>
      </c>
      <c r="DE1636">
        <v>2572</v>
      </c>
      <c r="DF1636">
        <v>300241</v>
      </c>
      <c r="DG1636" t="s">
        <v>116</v>
      </c>
      <c r="DH1636" t="s">
        <v>116</v>
      </c>
      <c r="DI1636" t="s">
        <v>116</v>
      </c>
    </row>
    <row r="1637" spans="1:113" x14ac:dyDescent="0.4">
      <c r="A1637" t="str">
        <f>"300242"</f>
        <v>300242</v>
      </c>
      <c r="B1637" t="s">
        <v>8546</v>
      </c>
      <c r="C1637">
        <v>-2.82</v>
      </c>
      <c r="D1637">
        <v>4.13</v>
      </c>
      <c r="E1637">
        <v>-0.12</v>
      </c>
      <c r="F1637">
        <v>4.12</v>
      </c>
      <c r="G1637">
        <v>4.13</v>
      </c>
      <c r="H1637">
        <v>320086</v>
      </c>
      <c r="I1637">
        <v>4570</v>
      </c>
      <c r="J1637">
        <v>-0.71</v>
      </c>
      <c r="K1637">
        <v>5.52</v>
      </c>
      <c r="L1637">
        <v>4.2300000000000004</v>
      </c>
      <c r="M1637">
        <v>4.34</v>
      </c>
      <c r="N1637">
        <v>4.13</v>
      </c>
      <c r="O1637">
        <v>4.25</v>
      </c>
      <c r="P1637">
        <v>85.11</v>
      </c>
      <c r="Q1637">
        <v>134908400</v>
      </c>
      <c r="R1637">
        <v>1.49</v>
      </c>
      <c r="S1637" t="s">
        <v>1384</v>
      </c>
      <c r="T1637" t="s">
        <v>551</v>
      </c>
      <c r="U1637">
        <v>4.9400000000000004</v>
      </c>
      <c r="V1637">
        <v>4.21</v>
      </c>
      <c r="W1637">
        <v>179029</v>
      </c>
      <c r="X1637">
        <v>141057</v>
      </c>
      <c r="Y1637">
        <v>1.27</v>
      </c>
      <c r="Z1637">
        <v>462</v>
      </c>
      <c r="AA1637">
        <v>318</v>
      </c>
      <c r="AB1637" t="s">
        <v>116</v>
      </c>
      <c r="AC1637">
        <v>2125600</v>
      </c>
      <c r="AD1637">
        <v>0.13</v>
      </c>
      <c r="AE1637" t="s">
        <v>116</v>
      </c>
      <c r="AF1637" t="s">
        <v>116</v>
      </c>
      <c r="AG1637">
        <v>5.8</v>
      </c>
      <c r="AH1637" t="s">
        <v>8547</v>
      </c>
      <c r="AI1637" t="s">
        <v>8548</v>
      </c>
      <c r="AJ1637">
        <v>-2.14</v>
      </c>
      <c r="AK1637">
        <v>2460</v>
      </c>
      <c r="AL1637">
        <v>130</v>
      </c>
      <c r="AM1637">
        <v>2.2000000000000001E-3</v>
      </c>
      <c r="AN1637">
        <v>-1</v>
      </c>
      <c r="AO1637">
        <v>7.84</v>
      </c>
      <c r="AP1637">
        <v>16.34</v>
      </c>
      <c r="AQ1637">
        <v>12.53</v>
      </c>
      <c r="AR1637">
        <v>-3.95</v>
      </c>
      <c r="AS1637">
        <v>8.2799999999999994</v>
      </c>
      <c r="AT1637" t="s">
        <v>8549</v>
      </c>
      <c r="AU1637" t="s">
        <v>116</v>
      </c>
      <c r="AV1637" t="s">
        <v>116</v>
      </c>
      <c r="AW1637">
        <v>1.22</v>
      </c>
      <c r="BA1637">
        <v>-0.47</v>
      </c>
      <c r="BB1637">
        <v>2.12</v>
      </c>
      <c r="BC1637">
        <v>-2.82</v>
      </c>
      <c r="BD1637">
        <v>-0.83</v>
      </c>
      <c r="BE1637">
        <v>-2.36</v>
      </c>
      <c r="BF1637">
        <v>-4.84</v>
      </c>
      <c r="BG1637">
        <v>0</v>
      </c>
      <c r="BH1637">
        <v>-1.99</v>
      </c>
      <c r="BI1637">
        <v>20191025</v>
      </c>
      <c r="BJ1637">
        <v>20110712</v>
      </c>
      <c r="BK1637">
        <v>6.35</v>
      </c>
      <c r="BL1637" t="s">
        <v>116</v>
      </c>
      <c r="BM1637" t="s">
        <v>116</v>
      </c>
      <c r="BN1637">
        <v>23.93</v>
      </c>
      <c r="BO1637">
        <v>10.51</v>
      </c>
      <c r="BP1637">
        <v>0.09</v>
      </c>
      <c r="BQ1637">
        <v>55.7</v>
      </c>
      <c r="BR1637">
        <v>19.59</v>
      </c>
      <c r="BS1637">
        <v>0.05</v>
      </c>
      <c r="BT1637">
        <v>0.05</v>
      </c>
      <c r="BU1637">
        <v>13.32</v>
      </c>
      <c r="BV1637">
        <v>0</v>
      </c>
      <c r="BW1637">
        <v>10.7</v>
      </c>
      <c r="BX1637">
        <v>12.37</v>
      </c>
      <c r="BY1637">
        <v>37.299999999999997</v>
      </c>
      <c r="BZ1637">
        <v>35.07</v>
      </c>
      <c r="CA1637">
        <v>0.36</v>
      </c>
      <c r="CB1637">
        <v>0.01</v>
      </c>
      <c r="CC1637">
        <v>0.41</v>
      </c>
      <c r="CD1637">
        <v>0.31</v>
      </c>
      <c r="CE1637">
        <v>0.23</v>
      </c>
      <c r="CF1637">
        <v>0.19</v>
      </c>
      <c r="CG1637">
        <v>-8.27</v>
      </c>
      <c r="CH1637">
        <v>0.63</v>
      </c>
      <c r="CI1637">
        <v>-0.16</v>
      </c>
      <c r="CJ1637">
        <v>25316</v>
      </c>
      <c r="CK1637">
        <v>15279</v>
      </c>
      <c r="CL1637" t="s">
        <v>8550</v>
      </c>
      <c r="CM1637">
        <v>-30.42</v>
      </c>
      <c r="CN1637">
        <v>-3.8</v>
      </c>
      <c r="CO1637">
        <v>2.4900000000000002</v>
      </c>
      <c r="CP1637">
        <v>41.68</v>
      </c>
      <c r="CQ1637">
        <v>0.7</v>
      </c>
      <c r="CR1637">
        <v>0</v>
      </c>
      <c r="CS1637" t="s">
        <v>1223</v>
      </c>
      <c r="CT1637">
        <v>1.66</v>
      </c>
      <c r="CU1637">
        <v>0</v>
      </c>
      <c r="CV1637">
        <v>1.95</v>
      </c>
      <c r="CW1637">
        <v>-1.3</v>
      </c>
      <c r="CX1637">
        <v>0.1</v>
      </c>
      <c r="CY1637">
        <v>43.91</v>
      </c>
      <c r="CZ1637" t="s">
        <v>1637</v>
      </c>
      <c r="DA1637">
        <v>5.98</v>
      </c>
      <c r="DB1637">
        <v>0.97</v>
      </c>
      <c r="DC1637">
        <v>0.62</v>
      </c>
      <c r="DD1637">
        <v>0.31</v>
      </c>
      <c r="DE1637">
        <v>544</v>
      </c>
      <c r="DF1637">
        <v>300242</v>
      </c>
      <c r="DG1637" t="s">
        <v>116</v>
      </c>
      <c r="DH1637" t="s">
        <v>116</v>
      </c>
      <c r="DI1637" t="s">
        <v>116</v>
      </c>
    </row>
    <row r="1638" spans="1:113" x14ac:dyDescent="0.4">
      <c r="A1638" t="str">
        <f>"300243"</f>
        <v>300243</v>
      </c>
      <c r="B1638" t="s">
        <v>8551</v>
      </c>
      <c r="C1638">
        <v>-0.39</v>
      </c>
      <c r="D1638">
        <v>7.6</v>
      </c>
      <c r="E1638">
        <v>-0.03</v>
      </c>
      <c r="F1638">
        <v>7.6</v>
      </c>
      <c r="G1638">
        <v>7.62</v>
      </c>
      <c r="H1638">
        <v>14741</v>
      </c>
      <c r="I1638">
        <v>394</v>
      </c>
      <c r="J1638">
        <v>-0.25</v>
      </c>
      <c r="K1638">
        <v>0.79</v>
      </c>
      <c r="L1638">
        <v>7.66</v>
      </c>
      <c r="M1638">
        <v>7.8</v>
      </c>
      <c r="N1638">
        <v>7.59</v>
      </c>
      <c r="O1638">
        <v>7.63</v>
      </c>
      <c r="P1638">
        <v>22.94</v>
      </c>
      <c r="Q1638">
        <v>11370483</v>
      </c>
      <c r="R1638">
        <v>2.19</v>
      </c>
      <c r="S1638" t="s">
        <v>891</v>
      </c>
      <c r="T1638" t="s">
        <v>645</v>
      </c>
      <c r="U1638">
        <v>2.75</v>
      </c>
      <c r="V1638">
        <v>7.71</v>
      </c>
      <c r="W1638">
        <v>7127</v>
      </c>
      <c r="X1638">
        <v>7614</v>
      </c>
      <c r="Y1638">
        <v>0.94</v>
      </c>
      <c r="Z1638">
        <v>36</v>
      </c>
      <c r="AA1638">
        <v>50</v>
      </c>
      <c r="AB1638" t="s">
        <v>116</v>
      </c>
      <c r="AC1638">
        <v>98000</v>
      </c>
      <c r="AD1638">
        <v>0.01</v>
      </c>
      <c r="AE1638" t="s">
        <v>116</v>
      </c>
      <c r="AF1638" t="s">
        <v>116</v>
      </c>
      <c r="AG1638">
        <v>1.87</v>
      </c>
      <c r="AH1638" t="s">
        <v>8552</v>
      </c>
      <c r="AI1638" t="s">
        <v>250</v>
      </c>
      <c r="AJ1638">
        <v>0.28999999999999998</v>
      </c>
      <c r="AK1638">
        <v>622</v>
      </c>
      <c r="AL1638">
        <v>24</v>
      </c>
      <c r="AM1638">
        <v>1.2999999999999999E-3</v>
      </c>
      <c r="AN1638">
        <v>-1</v>
      </c>
      <c r="AO1638">
        <v>0.26</v>
      </c>
      <c r="AP1638">
        <v>4.54</v>
      </c>
      <c r="AQ1638">
        <v>-3.55</v>
      </c>
      <c r="AR1638">
        <v>8.15</v>
      </c>
      <c r="AS1638">
        <v>1.1399999999999999</v>
      </c>
      <c r="AT1638" t="s">
        <v>5963</v>
      </c>
      <c r="AU1638">
        <v>26.38</v>
      </c>
      <c r="AV1638">
        <v>19.579999999999998</v>
      </c>
      <c r="AW1638">
        <v>0.88</v>
      </c>
      <c r="BA1638">
        <v>0.39</v>
      </c>
      <c r="BB1638">
        <v>2.23</v>
      </c>
      <c r="BC1638">
        <v>-0.52</v>
      </c>
      <c r="BD1638">
        <v>1.0900000000000001</v>
      </c>
      <c r="BE1638">
        <v>-0.78</v>
      </c>
      <c r="BF1638">
        <v>-2.56</v>
      </c>
      <c r="BG1638">
        <v>0.13</v>
      </c>
      <c r="BH1638">
        <v>-1.49</v>
      </c>
      <c r="BI1638">
        <v>20191122</v>
      </c>
      <c r="BJ1638">
        <v>20110712</v>
      </c>
      <c r="BK1638">
        <v>2.3199999999999998</v>
      </c>
      <c r="BL1638" t="s">
        <v>116</v>
      </c>
      <c r="BM1638" t="s">
        <v>116</v>
      </c>
      <c r="BN1638">
        <v>10.18</v>
      </c>
      <c r="BO1638">
        <v>6.57</v>
      </c>
      <c r="BP1638">
        <v>0</v>
      </c>
      <c r="BQ1638">
        <v>35.479999999999997</v>
      </c>
      <c r="BR1638">
        <v>6.42</v>
      </c>
      <c r="BS1638">
        <v>1.96</v>
      </c>
      <c r="BT1638">
        <v>0.66</v>
      </c>
      <c r="BU1638">
        <v>3.49</v>
      </c>
      <c r="BV1638">
        <v>0.96</v>
      </c>
      <c r="BW1638">
        <v>2.1800000000000002</v>
      </c>
      <c r="BX1638">
        <v>0.6</v>
      </c>
      <c r="BY1638">
        <v>9.02</v>
      </c>
      <c r="BZ1638">
        <v>6.81</v>
      </c>
      <c r="CA1638">
        <v>0.73</v>
      </c>
      <c r="CB1638">
        <v>0</v>
      </c>
      <c r="CC1638">
        <v>0.69</v>
      </c>
      <c r="CD1638">
        <v>0.57999999999999996</v>
      </c>
      <c r="CE1638">
        <v>0.57999999999999996</v>
      </c>
      <c r="CF1638">
        <v>0.56000000000000005</v>
      </c>
      <c r="CG1638">
        <v>3.42</v>
      </c>
      <c r="CH1638">
        <v>1.05</v>
      </c>
      <c r="CI1638">
        <v>-0.43</v>
      </c>
      <c r="CJ1638">
        <v>9323</v>
      </c>
      <c r="CK1638">
        <v>13830</v>
      </c>
      <c r="CL1638" t="s">
        <v>8553</v>
      </c>
      <c r="CM1638">
        <v>-28.71</v>
      </c>
      <c r="CN1638">
        <v>-16.97</v>
      </c>
      <c r="CO1638">
        <v>2.69</v>
      </c>
      <c r="CP1638">
        <v>16.88</v>
      </c>
      <c r="CQ1638">
        <v>1.96</v>
      </c>
      <c r="CR1638">
        <v>1.2</v>
      </c>
      <c r="CS1638" t="s">
        <v>8554</v>
      </c>
      <c r="CT1638">
        <v>2.83</v>
      </c>
      <c r="CU1638">
        <v>0</v>
      </c>
      <c r="CV1638">
        <v>0.26</v>
      </c>
      <c r="CW1638">
        <v>1.47</v>
      </c>
      <c r="CX1638">
        <v>0.45</v>
      </c>
      <c r="CY1638">
        <v>64.52</v>
      </c>
      <c r="CZ1638" t="s">
        <v>8404</v>
      </c>
      <c r="DA1638">
        <v>24.52</v>
      </c>
      <c r="DB1638">
        <v>8.0500000000000007</v>
      </c>
      <c r="DC1638">
        <v>6.4</v>
      </c>
      <c r="DD1638">
        <v>0.04</v>
      </c>
      <c r="DE1638">
        <v>554</v>
      </c>
      <c r="DF1638">
        <v>300243</v>
      </c>
      <c r="DG1638" t="s">
        <v>116</v>
      </c>
      <c r="DH1638" t="s">
        <v>116</v>
      </c>
      <c r="DI1638" t="s">
        <v>116</v>
      </c>
    </row>
    <row r="1639" spans="1:113" x14ac:dyDescent="0.4">
      <c r="A1639" t="str">
        <f>"300244"</f>
        <v>300244</v>
      </c>
      <c r="B1639" t="s">
        <v>8555</v>
      </c>
      <c r="C1639">
        <v>-0.95</v>
      </c>
      <c r="D1639">
        <v>20.9</v>
      </c>
      <c r="E1639">
        <v>-0.2</v>
      </c>
      <c r="F1639">
        <v>20.89</v>
      </c>
      <c r="G1639">
        <v>20.9</v>
      </c>
      <c r="H1639">
        <v>41612</v>
      </c>
      <c r="I1639">
        <v>569</v>
      </c>
      <c r="J1639">
        <v>0</v>
      </c>
      <c r="K1639">
        <v>1.0900000000000001</v>
      </c>
      <c r="L1639">
        <v>21.13</v>
      </c>
      <c r="M1639">
        <v>21.29</v>
      </c>
      <c r="N1639">
        <v>20.88</v>
      </c>
      <c r="O1639">
        <v>21.1</v>
      </c>
      <c r="P1639">
        <v>27.65</v>
      </c>
      <c r="Q1639">
        <v>87572264</v>
      </c>
      <c r="R1639">
        <v>0.74</v>
      </c>
      <c r="S1639" t="s">
        <v>559</v>
      </c>
      <c r="T1639" t="s">
        <v>590</v>
      </c>
      <c r="U1639">
        <v>1.94</v>
      </c>
      <c r="V1639">
        <v>21.04</v>
      </c>
      <c r="W1639">
        <v>26275</v>
      </c>
      <c r="X1639">
        <v>15337</v>
      </c>
      <c r="Y1639">
        <v>1.71</v>
      </c>
      <c r="Z1639">
        <v>157</v>
      </c>
      <c r="AA1639">
        <v>62</v>
      </c>
      <c r="AB1639" t="s">
        <v>116</v>
      </c>
      <c r="AC1639">
        <v>103500</v>
      </c>
      <c r="AD1639">
        <v>0</v>
      </c>
      <c r="AE1639" t="s">
        <v>116</v>
      </c>
      <c r="AF1639" t="s">
        <v>116</v>
      </c>
      <c r="AG1639">
        <v>3.82</v>
      </c>
      <c r="AH1639" t="s">
        <v>8556</v>
      </c>
      <c r="AI1639" t="s">
        <v>8557</v>
      </c>
      <c r="AJ1639">
        <v>-0.27</v>
      </c>
      <c r="AK1639">
        <v>2071</v>
      </c>
      <c r="AL1639">
        <v>20</v>
      </c>
      <c r="AM1639">
        <v>5.0000000000000001E-4</v>
      </c>
      <c r="AN1639">
        <v>-1</v>
      </c>
      <c r="AO1639">
        <v>0.68</v>
      </c>
      <c r="AP1639">
        <v>-4.04</v>
      </c>
      <c r="AQ1639">
        <v>-19.920000000000002</v>
      </c>
      <c r="AR1639">
        <v>38</v>
      </c>
      <c r="AS1639">
        <v>1.29</v>
      </c>
      <c r="AT1639" t="s">
        <v>1525</v>
      </c>
      <c r="AU1639">
        <v>28.92</v>
      </c>
      <c r="AV1639">
        <v>33.369999999999997</v>
      </c>
      <c r="AW1639">
        <v>0.61</v>
      </c>
      <c r="BA1639">
        <v>0.14000000000000001</v>
      </c>
      <c r="BB1639">
        <v>0.9</v>
      </c>
      <c r="BC1639">
        <v>-1.04</v>
      </c>
      <c r="BD1639">
        <v>-0.26</v>
      </c>
      <c r="BE1639">
        <v>-1.0900000000000001</v>
      </c>
      <c r="BF1639">
        <v>-1.83</v>
      </c>
      <c r="BG1639">
        <v>0.1</v>
      </c>
      <c r="BH1639">
        <v>-0.69</v>
      </c>
      <c r="BI1639">
        <v>20191025</v>
      </c>
      <c r="BJ1639">
        <v>20110719</v>
      </c>
      <c r="BK1639">
        <v>6.2</v>
      </c>
      <c r="BL1639" t="s">
        <v>116</v>
      </c>
      <c r="BM1639" t="s">
        <v>116</v>
      </c>
      <c r="BN1639">
        <v>108.05</v>
      </c>
      <c r="BO1639">
        <v>39.96</v>
      </c>
      <c r="BP1639">
        <v>11.16</v>
      </c>
      <c r="BQ1639">
        <v>52.69</v>
      </c>
      <c r="BR1639">
        <v>65.77</v>
      </c>
      <c r="BS1639">
        <v>9.06</v>
      </c>
      <c r="BT1639">
        <v>0.79</v>
      </c>
      <c r="BU1639">
        <v>43.46</v>
      </c>
      <c r="BV1639">
        <v>13.47</v>
      </c>
      <c r="BW1639">
        <v>35.590000000000003</v>
      </c>
      <c r="BX1639">
        <v>16.09</v>
      </c>
      <c r="BY1639">
        <v>62.1</v>
      </c>
      <c r="BZ1639">
        <v>42.05</v>
      </c>
      <c r="CA1639">
        <v>6.56</v>
      </c>
      <c r="CB1639">
        <v>0.56000000000000005</v>
      </c>
      <c r="CC1639">
        <v>6.7</v>
      </c>
      <c r="CD1639">
        <v>5.29</v>
      </c>
      <c r="CE1639">
        <v>3.52</v>
      </c>
      <c r="CF1639">
        <v>3.18</v>
      </c>
      <c r="CG1639">
        <v>17.22</v>
      </c>
      <c r="CH1639">
        <v>1.33</v>
      </c>
      <c r="CI1639">
        <v>-9.08</v>
      </c>
      <c r="CJ1639">
        <v>27842</v>
      </c>
      <c r="CK1639">
        <v>11580</v>
      </c>
      <c r="CL1639" t="s">
        <v>8558</v>
      </c>
      <c r="CM1639">
        <v>20.47</v>
      </c>
      <c r="CN1639">
        <v>27.1</v>
      </c>
      <c r="CO1639">
        <v>3.25</v>
      </c>
      <c r="CP1639">
        <v>97.23</v>
      </c>
      <c r="CQ1639">
        <v>2.09</v>
      </c>
      <c r="CR1639">
        <v>0.12</v>
      </c>
      <c r="CS1639" t="s">
        <v>8559</v>
      </c>
      <c r="CT1639">
        <v>6.44</v>
      </c>
      <c r="CU1639">
        <v>0</v>
      </c>
      <c r="CV1639">
        <v>2.59</v>
      </c>
      <c r="CW1639">
        <v>2.78</v>
      </c>
      <c r="CX1639">
        <v>0.21</v>
      </c>
      <c r="CY1639">
        <v>36.979999999999997</v>
      </c>
      <c r="CZ1639" t="s">
        <v>3347</v>
      </c>
      <c r="DA1639">
        <v>32.28</v>
      </c>
      <c r="DB1639">
        <v>10.56</v>
      </c>
      <c r="DC1639">
        <v>5.66</v>
      </c>
      <c r="DD1639">
        <v>1.51</v>
      </c>
      <c r="DE1639">
        <v>8256</v>
      </c>
      <c r="DF1639">
        <v>300244</v>
      </c>
      <c r="DG1639" t="s">
        <v>116</v>
      </c>
      <c r="DH1639" t="s">
        <v>116</v>
      </c>
      <c r="DI1639" t="s">
        <v>116</v>
      </c>
    </row>
    <row r="1640" spans="1:113" x14ac:dyDescent="0.4">
      <c r="A1640" t="str">
        <f>"300245"</f>
        <v>300245</v>
      </c>
      <c r="B1640" t="s">
        <v>8560</v>
      </c>
      <c r="C1640">
        <v>0.21</v>
      </c>
      <c r="D1640">
        <v>9.6</v>
      </c>
      <c r="E1640">
        <v>0.02</v>
      </c>
      <c r="F1640">
        <v>9.59</v>
      </c>
      <c r="G1640">
        <v>9.6</v>
      </c>
      <c r="H1640">
        <v>52499</v>
      </c>
      <c r="I1640">
        <v>599</v>
      </c>
      <c r="J1640">
        <v>0.1</v>
      </c>
      <c r="K1640">
        <v>1.7</v>
      </c>
      <c r="L1640">
        <v>9.5500000000000007</v>
      </c>
      <c r="M1640">
        <v>9.7899999999999991</v>
      </c>
      <c r="N1640">
        <v>9.5299999999999994</v>
      </c>
      <c r="O1640">
        <v>9.58</v>
      </c>
      <c r="P1640">
        <v>77.56</v>
      </c>
      <c r="Q1640">
        <v>50767132</v>
      </c>
      <c r="R1640">
        <v>1.43</v>
      </c>
      <c r="S1640" t="s">
        <v>607</v>
      </c>
      <c r="T1640" t="s">
        <v>1653</v>
      </c>
      <c r="U1640">
        <v>2.71</v>
      </c>
      <c r="V1640">
        <v>9.67</v>
      </c>
      <c r="W1640">
        <v>27747</v>
      </c>
      <c r="X1640">
        <v>24752</v>
      </c>
      <c r="Y1640">
        <v>1.1200000000000001</v>
      </c>
      <c r="Z1640">
        <v>589</v>
      </c>
      <c r="AA1640">
        <v>674</v>
      </c>
      <c r="AB1640" t="s">
        <v>116</v>
      </c>
      <c r="AC1640">
        <v>54400</v>
      </c>
      <c r="AD1640">
        <v>0</v>
      </c>
      <c r="AE1640" t="s">
        <v>116</v>
      </c>
      <c r="AF1640" t="s">
        <v>116</v>
      </c>
      <c r="AG1640">
        <v>3.08</v>
      </c>
      <c r="AH1640" t="s">
        <v>6185</v>
      </c>
      <c r="AI1640" t="s">
        <v>8561</v>
      </c>
      <c r="AJ1640">
        <v>0.89</v>
      </c>
      <c r="AK1640">
        <v>1491</v>
      </c>
      <c r="AL1640">
        <v>35</v>
      </c>
      <c r="AM1640">
        <v>1.1000000000000001E-3</v>
      </c>
      <c r="AN1640">
        <v>1</v>
      </c>
      <c r="AO1640">
        <v>2.0299999999999998</v>
      </c>
      <c r="AP1640">
        <v>5.26</v>
      </c>
      <c r="AQ1640">
        <v>-5.23</v>
      </c>
      <c r="AR1640">
        <v>12.41</v>
      </c>
      <c r="AS1640">
        <v>1.96</v>
      </c>
      <c r="AT1640" t="s">
        <v>8562</v>
      </c>
      <c r="AU1640">
        <v>79.88</v>
      </c>
      <c r="AV1640">
        <v>51.32</v>
      </c>
      <c r="AW1640">
        <v>1.55</v>
      </c>
      <c r="BA1640">
        <v>-0.31</v>
      </c>
      <c r="BB1640">
        <v>2.19</v>
      </c>
      <c r="BC1640">
        <v>-0.52</v>
      </c>
      <c r="BD1640">
        <v>0.94</v>
      </c>
      <c r="BE1640">
        <v>0.52</v>
      </c>
      <c r="BF1640">
        <v>-1.94</v>
      </c>
      <c r="BG1640">
        <v>0.73</v>
      </c>
      <c r="BH1640">
        <v>-0.73</v>
      </c>
      <c r="BI1640">
        <v>20191025</v>
      </c>
      <c r="BJ1640">
        <v>20110719</v>
      </c>
      <c r="BK1640">
        <v>3.13</v>
      </c>
      <c r="BL1640" t="s">
        <v>116</v>
      </c>
      <c r="BM1640" t="s">
        <v>116</v>
      </c>
      <c r="BN1640">
        <v>15.06</v>
      </c>
      <c r="BO1640">
        <v>14.21</v>
      </c>
      <c r="BP1640">
        <v>0</v>
      </c>
      <c r="BQ1640">
        <v>5.66</v>
      </c>
      <c r="BR1640">
        <v>10.39</v>
      </c>
      <c r="BS1640">
        <v>2.67</v>
      </c>
      <c r="BT1640">
        <v>0.16</v>
      </c>
      <c r="BU1640">
        <v>0.82</v>
      </c>
      <c r="BV1640">
        <v>0.34</v>
      </c>
      <c r="BW1640">
        <v>1.92</v>
      </c>
      <c r="BX1640">
        <v>6.78</v>
      </c>
      <c r="BY1640">
        <v>2.57</v>
      </c>
      <c r="BZ1640">
        <v>1.67</v>
      </c>
      <c r="CA1640">
        <v>0.27</v>
      </c>
      <c r="CB1640">
        <v>0.04</v>
      </c>
      <c r="CC1640">
        <v>0.33</v>
      </c>
      <c r="CD1640">
        <v>0.28999999999999998</v>
      </c>
      <c r="CE1640">
        <v>0.28999999999999998</v>
      </c>
      <c r="CF1640">
        <v>0.18</v>
      </c>
      <c r="CG1640">
        <v>3.76</v>
      </c>
      <c r="CH1640">
        <v>-0.78</v>
      </c>
      <c r="CI1640">
        <v>-1.72</v>
      </c>
      <c r="CJ1640">
        <v>26527</v>
      </c>
      <c r="CK1640">
        <v>10079</v>
      </c>
      <c r="CL1640" t="s">
        <v>4623</v>
      </c>
      <c r="CM1640">
        <v>-41.87</v>
      </c>
      <c r="CN1640">
        <v>1.07</v>
      </c>
      <c r="CO1640">
        <v>2.12</v>
      </c>
      <c r="CP1640">
        <v>-38.69</v>
      </c>
      <c r="CQ1640">
        <v>11.71</v>
      </c>
      <c r="CR1640">
        <v>0.42</v>
      </c>
      <c r="CS1640" t="s">
        <v>2836</v>
      </c>
      <c r="CT1640">
        <v>4.53</v>
      </c>
      <c r="CU1640">
        <v>0</v>
      </c>
      <c r="CV1640">
        <v>2.16</v>
      </c>
      <c r="CW1640">
        <v>1.2</v>
      </c>
      <c r="CX1640">
        <v>-0.25</v>
      </c>
      <c r="CY1640">
        <v>94.34</v>
      </c>
      <c r="CZ1640" t="s">
        <v>6463</v>
      </c>
      <c r="DA1640">
        <v>34.97</v>
      </c>
      <c r="DB1640">
        <v>10.38</v>
      </c>
      <c r="DC1640">
        <v>11.32</v>
      </c>
      <c r="DD1640">
        <v>0.28000000000000003</v>
      </c>
      <c r="DE1640">
        <v>701</v>
      </c>
      <c r="DF1640">
        <v>300245</v>
      </c>
      <c r="DG1640" t="s">
        <v>116</v>
      </c>
      <c r="DH1640" t="s">
        <v>116</v>
      </c>
      <c r="DI1640" t="s">
        <v>116</v>
      </c>
    </row>
    <row r="1641" spans="1:113" x14ac:dyDescent="0.4">
      <c r="A1641" t="str">
        <f>"300246"</f>
        <v>300246</v>
      </c>
      <c r="B1641" t="s">
        <v>8563</v>
      </c>
      <c r="C1641">
        <v>-3.72</v>
      </c>
      <c r="D1641">
        <v>15.26</v>
      </c>
      <c r="E1641">
        <v>-0.59</v>
      </c>
      <c r="F1641">
        <v>15.26</v>
      </c>
      <c r="G1641">
        <v>15.27</v>
      </c>
      <c r="H1641">
        <v>51478</v>
      </c>
      <c r="I1641">
        <v>410</v>
      </c>
      <c r="J1641">
        <v>0</v>
      </c>
      <c r="K1641">
        <v>4.78</v>
      </c>
      <c r="L1641">
        <v>15.85</v>
      </c>
      <c r="M1641">
        <v>15.97</v>
      </c>
      <c r="N1641">
        <v>15.21</v>
      </c>
      <c r="O1641">
        <v>15.85</v>
      </c>
      <c r="P1641">
        <v>30.15</v>
      </c>
      <c r="Q1641">
        <v>80039000</v>
      </c>
      <c r="R1641">
        <v>0.68</v>
      </c>
      <c r="S1641" t="s">
        <v>559</v>
      </c>
      <c r="T1641" t="s">
        <v>551</v>
      </c>
      <c r="U1641">
        <v>4.79</v>
      </c>
      <c r="V1641">
        <v>15.55</v>
      </c>
      <c r="W1641">
        <v>31250</v>
      </c>
      <c r="X1641">
        <v>20228</v>
      </c>
      <c r="Y1641">
        <v>1.54</v>
      </c>
      <c r="Z1641">
        <v>77</v>
      </c>
      <c r="AA1641">
        <v>70</v>
      </c>
      <c r="AB1641" t="s">
        <v>116</v>
      </c>
      <c r="AC1641">
        <v>133100</v>
      </c>
      <c r="AD1641">
        <v>0.01</v>
      </c>
      <c r="AE1641" t="s">
        <v>116</v>
      </c>
      <c r="AF1641" t="s">
        <v>116</v>
      </c>
      <c r="AG1641">
        <v>1.08</v>
      </c>
      <c r="AH1641" t="s">
        <v>3961</v>
      </c>
      <c r="AI1641" t="s">
        <v>8564</v>
      </c>
      <c r="AJ1641">
        <v>-3.04</v>
      </c>
      <c r="AK1641">
        <v>2561</v>
      </c>
      <c r="AL1641">
        <v>20</v>
      </c>
      <c r="AM1641">
        <v>1.9E-3</v>
      </c>
      <c r="AN1641">
        <v>-3</v>
      </c>
      <c r="AO1641">
        <v>-8.6199999999999992</v>
      </c>
      <c r="AP1641">
        <v>8.77</v>
      </c>
      <c r="AQ1641">
        <v>22.08</v>
      </c>
      <c r="AR1641">
        <v>40.130000000000003</v>
      </c>
      <c r="AS1641">
        <v>5.65</v>
      </c>
      <c r="AT1641" t="s">
        <v>5249</v>
      </c>
      <c r="AU1641">
        <v>31.93</v>
      </c>
      <c r="AV1641">
        <v>34.729999999999997</v>
      </c>
      <c r="AW1641">
        <v>0.38</v>
      </c>
      <c r="BA1641">
        <v>0</v>
      </c>
      <c r="BB1641">
        <v>0.76</v>
      </c>
      <c r="BC1641">
        <v>-4.04</v>
      </c>
      <c r="BD1641">
        <v>-1.9</v>
      </c>
      <c r="BE1641">
        <v>-3.72</v>
      </c>
      <c r="BF1641">
        <v>-4.45</v>
      </c>
      <c r="BG1641">
        <v>0.33</v>
      </c>
      <c r="BH1641">
        <v>-1.82</v>
      </c>
      <c r="BI1641">
        <v>20191030</v>
      </c>
      <c r="BJ1641">
        <v>20110719</v>
      </c>
      <c r="BK1641">
        <v>1.46</v>
      </c>
      <c r="BL1641" t="s">
        <v>116</v>
      </c>
      <c r="BM1641" t="s">
        <v>116</v>
      </c>
      <c r="BN1641">
        <v>10.66</v>
      </c>
      <c r="BO1641">
        <v>5.38</v>
      </c>
      <c r="BP1641">
        <v>0.38</v>
      </c>
      <c r="BQ1641">
        <v>45.93</v>
      </c>
      <c r="BR1641">
        <v>5.95</v>
      </c>
      <c r="BS1641">
        <v>0.87</v>
      </c>
      <c r="BT1641">
        <v>0.56999999999999995</v>
      </c>
      <c r="BU1641">
        <v>3.64</v>
      </c>
      <c r="BV1641">
        <v>0.92</v>
      </c>
      <c r="BW1641">
        <v>2.0499999999999998</v>
      </c>
      <c r="BX1641">
        <v>0.17</v>
      </c>
      <c r="BY1641">
        <v>6.09</v>
      </c>
      <c r="BZ1641">
        <v>3.74</v>
      </c>
      <c r="CA1641">
        <v>0.75</v>
      </c>
      <c r="CB1641">
        <v>-0.02</v>
      </c>
      <c r="CC1641">
        <v>0.75</v>
      </c>
      <c r="CD1641">
        <v>0.63</v>
      </c>
      <c r="CE1641">
        <v>0.55000000000000004</v>
      </c>
      <c r="CF1641">
        <v>0.53</v>
      </c>
      <c r="CG1641">
        <v>3.44</v>
      </c>
      <c r="CH1641">
        <v>0.54</v>
      </c>
      <c r="CI1641">
        <v>0.57999999999999996</v>
      </c>
      <c r="CJ1641">
        <v>15585</v>
      </c>
      <c r="CK1641">
        <v>5850</v>
      </c>
      <c r="CL1641" t="s">
        <v>8565</v>
      </c>
      <c r="CM1641">
        <v>11.28</v>
      </c>
      <c r="CN1641">
        <v>2.04</v>
      </c>
      <c r="CO1641">
        <v>4.1399999999999997</v>
      </c>
      <c r="CP1641">
        <v>41.3</v>
      </c>
      <c r="CQ1641">
        <v>3.66</v>
      </c>
      <c r="CR1641">
        <v>0.66</v>
      </c>
      <c r="CS1641" t="s">
        <v>8566</v>
      </c>
      <c r="CT1641">
        <v>3.69</v>
      </c>
      <c r="CU1641">
        <v>0</v>
      </c>
      <c r="CV1641">
        <v>0.12</v>
      </c>
      <c r="CW1641">
        <v>2.36</v>
      </c>
      <c r="CX1641">
        <v>0.37</v>
      </c>
      <c r="CY1641">
        <v>50.51</v>
      </c>
      <c r="CZ1641" t="s">
        <v>1933</v>
      </c>
      <c r="DA1641">
        <v>38.659999999999997</v>
      </c>
      <c r="DB1641">
        <v>12.36</v>
      </c>
      <c r="DC1641">
        <v>9.1</v>
      </c>
      <c r="DD1641">
        <v>0.28000000000000003</v>
      </c>
      <c r="DE1641">
        <v>1019</v>
      </c>
      <c r="DF1641">
        <v>300246</v>
      </c>
      <c r="DG1641" t="s">
        <v>116</v>
      </c>
      <c r="DH1641" t="s">
        <v>116</v>
      </c>
      <c r="DI1641" t="s">
        <v>116</v>
      </c>
    </row>
    <row r="1642" spans="1:113" x14ac:dyDescent="0.4">
      <c r="A1642" t="str">
        <f>"300247"</f>
        <v>300247</v>
      </c>
      <c r="B1642" t="s">
        <v>8567</v>
      </c>
      <c r="C1642">
        <v>-0.35</v>
      </c>
      <c r="D1642">
        <v>2.83</v>
      </c>
      <c r="E1642">
        <v>-0.01</v>
      </c>
      <c r="F1642">
        <v>2.82</v>
      </c>
      <c r="G1642">
        <v>2.83</v>
      </c>
      <c r="H1642">
        <v>104653</v>
      </c>
      <c r="I1642">
        <v>734</v>
      </c>
      <c r="J1642">
        <v>0</v>
      </c>
      <c r="K1642">
        <v>1.59</v>
      </c>
      <c r="L1642">
        <v>2.84</v>
      </c>
      <c r="M1642">
        <v>2.86</v>
      </c>
      <c r="N1642">
        <v>2.8</v>
      </c>
      <c r="O1642">
        <v>2.84</v>
      </c>
      <c r="P1642" t="s">
        <v>116</v>
      </c>
      <c r="Q1642">
        <v>29661266</v>
      </c>
      <c r="R1642">
        <v>1.06</v>
      </c>
      <c r="S1642" t="s">
        <v>559</v>
      </c>
      <c r="T1642" t="s">
        <v>575</v>
      </c>
      <c r="U1642">
        <v>2.11</v>
      </c>
      <c r="V1642">
        <v>2.83</v>
      </c>
      <c r="W1642">
        <v>55825</v>
      </c>
      <c r="X1642">
        <v>48828</v>
      </c>
      <c r="Y1642">
        <v>1.1399999999999999</v>
      </c>
      <c r="Z1642">
        <v>339</v>
      </c>
      <c r="AA1642">
        <v>1146</v>
      </c>
      <c r="AB1642" t="s">
        <v>116</v>
      </c>
      <c r="AC1642">
        <v>93400</v>
      </c>
      <c r="AD1642">
        <v>0.01</v>
      </c>
      <c r="AE1642" t="s">
        <v>116</v>
      </c>
      <c r="AF1642" t="s">
        <v>116</v>
      </c>
      <c r="AG1642">
        <v>6.59</v>
      </c>
      <c r="AH1642" t="s">
        <v>1220</v>
      </c>
      <c r="AI1642" t="s">
        <v>4835</v>
      </c>
      <c r="AJ1642">
        <v>0.33</v>
      </c>
      <c r="AK1642">
        <v>901</v>
      </c>
      <c r="AL1642">
        <v>116</v>
      </c>
      <c r="AM1642">
        <v>1.8E-3</v>
      </c>
      <c r="AN1642">
        <v>-1</v>
      </c>
      <c r="AO1642">
        <v>1.8</v>
      </c>
      <c r="AP1642">
        <v>5.99</v>
      </c>
      <c r="AQ1642">
        <v>-1.39</v>
      </c>
      <c r="AR1642">
        <v>-17.489999999999998</v>
      </c>
      <c r="AS1642">
        <v>1.93</v>
      </c>
      <c r="AT1642" t="s">
        <v>1815</v>
      </c>
      <c r="AU1642" t="s">
        <v>116</v>
      </c>
      <c r="AV1642" t="s">
        <v>116</v>
      </c>
      <c r="AW1642">
        <v>0.86</v>
      </c>
      <c r="BA1642">
        <v>0</v>
      </c>
      <c r="BB1642">
        <v>0.7</v>
      </c>
      <c r="BC1642">
        <v>-1.41</v>
      </c>
      <c r="BD1642">
        <v>-0.2</v>
      </c>
      <c r="BE1642">
        <v>-0.35</v>
      </c>
      <c r="BF1642">
        <v>-1.05</v>
      </c>
      <c r="BG1642">
        <v>1.07</v>
      </c>
      <c r="BH1642">
        <v>-0.15</v>
      </c>
      <c r="BI1642">
        <v>20191205</v>
      </c>
      <c r="BJ1642">
        <v>20110729</v>
      </c>
      <c r="BK1642">
        <v>8.0399999999999991</v>
      </c>
      <c r="BL1642" t="s">
        <v>116</v>
      </c>
      <c r="BM1642" t="s">
        <v>116</v>
      </c>
      <c r="BN1642">
        <v>18.41</v>
      </c>
      <c r="BO1642">
        <v>15.73</v>
      </c>
      <c r="BP1642">
        <v>0.13</v>
      </c>
      <c r="BQ1642">
        <v>13.85</v>
      </c>
      <c r="BR1642">
        <v>7.5</v>
      </c>
      <c r="BS1642">
        <v>2.5</v>
      </c>
      <c r="BT1642">
        <v>0.81</v>
      </c>
      <c r="BU1642">
        <v>2.41</v>
      </c>
      <c r="BV1642">
        <v>2.39</v>
      </c>
      <c r="BW1642">
        <v>2.33</v>
      </c>
      <c r="BX1642">
        <v>13.45</v>
      </c>
      <c r="BY1642">
        <v>5.31</v>
      </c>
      <c r="BZ1642">
        <v>4.2699999999999996</v>
      </c>
      <c r="CA1642">
        <v>-0.19</v>
      </c>
      <c r="CB1642">
        <v>0.2</v>
      </c>
      <c r="CC1642">
        <v>-0.18</v>
      </c>
      <c r="CD1642">
        <v>-0.18</v>
      </c>
      <c r="CE1642">
        <v>-0.15</v>
      </c>
      <c r="CF1642">
        <v>-0.16</v>
      </c>
      <c r="CG1642">
        <v>-6.1</v>
      </c>
      <c r="CH1642">
        <v>1.1000000000000001</v>
      </c>
      <c r="CI1642">
        <v>-1.0900000000000001</v>
      </c>
      <c r="CJ1642">
        <v>45070</v>
      </c>
      <c r="CK1642">
        <v>12017</v>
      </c>
      <c r="CL1642" t="s">
        <v>1321</v>
      </c>
      <c r="CM1642">
        <v>-133.09</v>
      </c>
      <c r="CN1642">
        <v>-26.64</v>
      </c>
      <c r="CO1642">
        <v>1.45</v>
      </c>
      <c r="CP1642">
        <v>20.72</v>
      </c>
      <c r="CQ1642">
        <v>4.29</v>
      </c>
      <c r="CR1642">
        <v>0</v>
      </c>
      <c r="CS1642" t="s">
        <v>1417</v>
      </c>
      <c r="CT1642">
        <v>1.96</v>
      </c>
      <c r="CU1642">
        <v>0</v>
      </c>
      <c r="CV1642">
        <v>1.67</v>
      </c>
      <c r="CW1642">
        <v>-0.76</v>
      </c>
      <c r="CX1642">
        <v>0.14000000000000001</v>
      </c>
      <c r="CY1642">
        <v>85.45</v>
      </c>
      <c r="CZ1642" t="s">
        <v>8568</v>
      </c>
      <c r="DA1642">
        <v>19.5</v>
      </c>
      <c r="DB1642">
        <v>-3.62</v>
      </c>
      <c r="DC1642">
        <v>-2.84</v>
      </c>
      <c r="DD1642">
        <v>0.3</v>
      </c>
      <c r="DE1642">
        <v>1801</v>
      </c>
      <c r="DF1642">
        <v>300247</v>
      </c>
      <c r="DG1642" t="s">
        <v>116</v>
      </c>
      <c r="DH1642" t="s">
        <v>116</v>
      </c>
      <c r="DI1642" t="s">
        <v>116</v>
      </c>
    </row>
    <row r="1643" spans="1:113" x14ac:dyDescent="0.4">
      <c r="A1643" t="str">
        <f>"300248"</f>
        <v>300248</v>
      </c>
      <c r="B1643" t="s">
        <v>8569</v>
      </c>
      <c r="C1643">
        <v>-2.0699999999999998</v>
      </c>
      <c r="D1643">
        <v>8.0500000000000007</v>
      </c>
      <c r="E1643">
        <v>-0.17</v>
      </c>
      <c r="F1643">
        <v>8.0500000000000007</v>
      </c>
      <c r="G1643">
        <v>8.06</v>
      </c>
      <c r="H1643">
        <v>85195</v>
      </c>
      <c r="I1643">
        <v>1443</v>
      </c>
      <c r="J1643">
        <v>-0.11</v>
      </c>
      <c r="K1643">
        <v>2.66</v>
      </c>
      <c r="L1643">
        <v>8.1999999999999993</v>
      </c>
      <c r="M1643">
        <v>8.33</v>
      </c>
      <c r="N1643">
        <v>8.0299999999999994</v>
      </c>
      <c r="O1643">
        <v>8.2200000000000006</v>
      </c>
      <c r="P1643">
        <v>54.31</v>
      </c>
      <c r="Q1643">
        <v>69607736</v>
      </c>
      <c r="R1643">
        <v>1.02</v>
      </c>
      <c r="S1643" t="s">
        <v>607</v>
      </c>
      <c r="T1643" t="s">
        <v>652</v>
      </c>
      <c r="U1643">
        <v>3.65</v>
      </c>
      <c r="V1643">
        <v>8.17</v>
      </c>
      <c r="W1643">
        <v>50139</v>
      </c>
      <c r="X1643">
        <v>35056</v>
      </c>
      <c r="Y1643">
        <v>1.43</v>
      </c>
      <c r="Z1643">
        <v>207</v>
      </c>
      <c r="AA1643">
        <v>466</v>
      </c>
      <c r="AB1643" t="s">
        <v>116</v>
      </c>
      <c r="AC1643">
        <v>546900</v>
      </c>
      <c r="AD1643">
        <v>0.02</v>
      </c>
      <c r="AE1643" t="s">
        <v>116</v>
      </c>
      <c r="AF1643" t="s">
        <v>116</v>
      </c>
      <c r="AG1643">
        <v>3.2</v>
      </c>
      <c r="AH1643" t="s">
        <v>8570</v>
      </c>
      <c r="AI1643" t="s">
        <v>8571</v>
      </c>
      <c r="AJ1643">
        <v>-1.39</v>
      </c>
      <c r="AK1643">
        <v>2262</v>
      </c>
      <c r="AL1643">
        <v>38</v>
      </c>
      <c r="AM1643">
        <v>1.1999999999999999E-3</v>
      </c>
      <c r="AN1643">
        <v>-2</v>
      </c>
      <c r="AO1643">
        <v>0.5</v>
      </c>
      <c r="AP1643">
        <v>9.3800000000000008</v>
      </c>
      <c r="AQ1643">
        <v>-4.51</v>
      </c>
      <c r="AR1643">
        <v>19.260000000000002</v>
      </c>
      <c r="AS1643">
        <v>3.17</v>
      </c>
      <c r="AT1643" t="s">
        <v>1414</v>
      </c>
      <c r="AU1643">
        <v>29.73</v>
      </c>
      <c r="AV1643">
        <v>40.29</v>
      </c>
      <c r="AW1643">
        <v>1.75</v>
      </c>
      <c r="BA1643">
        <v>-0.24</v>
      </c>
      <c r="BB1643">
        <v>1.34</v>
      </c>
      <c r="BC1643">
        <v>-2.31</v>
      </c>
      <c r="BD1643">
        <v>-0.6</v>
      </c>
      <c r="BE1643">
        <v>-1.83</v>
      </c>
      <c r="BF1643">
        <v>-3.36</v>
      </c>
      <c r="BG1643">
        <v>0.25</v>
      </c>
      <c r="BH1643">
        <v>-1.47</v>
      </c>
      <c r="BI1643">
        <v>20191204</v>
      </c>
      <c r="BJ1643">
        <v>20110729</v>
      </c>
      <c r="BK1643">
        <v>4.8099999999999996</v>
      </c>
      <c r="BL1643" t="s">
        <v>116</v>
      </c>
      <c r="BM1643" t="s">
        <v>116</v>
      </c>
      <c r="BN1643">
        <v>21.74</v>
      </c>
      <c r="BO1643">
        <v>15.55</v>
      </c>
      <c r="BP1643">
        <v>0.88</v>
      </c>
      <c r="BQ1643">
        <v>24.39</v>
      </c>
      <c r="BR1643">
        <v>13.68</v>
      </c>
      <c r="BS1643">
        <v>1.35</v>
      </c>
      <c r="BT1643">
        <v>0.59</v>
      </c>
      <c r="BU1643">
        <v>4.8600000000000003</v>
      </c>
      <c r="BV1643">
        <v>2.91</v>
      </c>
      <c r="BW1643">
        <v>5.47</v>
      </c>
      <c r="BX1643">
        <v>5.58</v>
      </c>
      <c r="BY1643">
        <v>5.57</v>
      </c>
      <c r="BZ1643">
        <v>2.46</v>
      </c>
      <c r="CA1643">
        <v>0.59</v>
      </c>
      <c r="CB1643">
        <v>0.04</v>
      </c>
      <c r="CC1643">
        <v>0.59</v>
      </c>
      <c r="CD1643">
        <v>0.51</v>
      </c>
      <c r="CE1643">
        <v>0.53</v>
      </c>
      <c r="CF1643">
        <v>0.35</v>
      </c>
      <c r="CG1643">
        <v>4.71</v>
      </c>
      <c r="CH1643">
        <v>-1.79</v>
      </c>
      <c r="CI1643">
        <v>-0.44</v>
      </c>
      <c r="CJ1643">
        <v>27749</v>
      </c>
      <c r="CK1643">
        <v>9680</v>
      </c>
      <c r="CL1643" t="s">
        <v>8572</v>
      </c>
      <c r="CM1643">
        <v>176.43</v>
      </c>
      <c r="CN1643">
        <v>19.309999999999999</v>
      </c>
      <c r="CO1643">
        <v>2.4900000000000002</v>
      </c>
      <c r="CP1643">
        <v>-21.7</v>
      </c>
      <c r="CQ1643">
        <v>6.96</v>
      </c>
      <c r="CR1643">
        <v>0.5</v>
      </c>
      <c r="CS1643" t="s">
        <v>4424</v>
      </c>
      <c r="CT1643">
        <v>3.23</v>
      </c>
      <c r="CU1643">
        <v>0</v>
      </c>
      <c r="CV1643">
        <v>1.1599999999999999</v>
      </c>
      <c r="CW1643">
        <v>0.98</v>
      </c>
      <c r="CX1643">
        <v>-0.37</v>
      </c>
      <c r="CY1643">
        <v>71.55</v>
      </c>
      <c r="CZ1643" t="s">
        <v>2903</v>
      </c>
      <c r="DA1643">
        <v>55.77</v>
      </c>
      <c r="DB1643">
        <v>10.68</v>
      </c>
      <c r="DC1643">
        <v>9.6</v>
      </c>
      <c r="DD1643">
        <v>0.75</v>
      </c>
      <c r="DE1643">
        <v>2172</v>
      </c>
      <c r="DF1643">
        <v>300248</v>
      </c>
      <c r="DG1643" t="s">
        <v>116</v>
      </c>
      <c r="DH1643" t="s">
        <v>116</v>
      </c>
      <c r="DI1643" t="s">
        <v>116</v>
      </c>
    </row>
    <row r="1644" spans="1:113" x14ac:dyDescent="0.4">
      <c r="A1644" t="str">
        <f>"300249"</f>
        <v>300249</v>
      </c>
      <c r="B1644" t="s">
        <v>8573</v>
      </c>
      <c r="C1644">
        <v>-2.76</v>
      </c>
      <c r="D1644">
        <v>6.35</v>
      </c>
      <c r="E1644">
        <v>-0.18</v>
      </c>
      <c r="F1644">
        <v>6.35</v>
      </c>
      <c r="G1644">
        <v>6.36</v>
      </c>
      <c r="H1644">
        <v>90974</v>
      </c>
      <c r="I1644">
        <v>2619</v>
      </c>
      <c r="J1644">
        <v>-0.3</v>
      </c>
      <c r="K1644">
        <v>2.98</v>
      </c>
      <c r="L1644">
        <v>6.51</v>
      </c>
      <c r="M1644">
        <v>6.52</v>
      </c>
      <c r="N1644">
        <v>6.35</v>
      </c>
      <c r="O1644">
        <v>6.53</v>
      </c>
      <c r="P1644">
        <v>85.93</v>
      </c>
      <c r="Q1644">
        <v>58501888</v>
      </c>
      <c r="R1644">
        <v>0.68</v>
      </c>
      <c r="S1644" t="s">
        <v>607</v>
      </c>
      <c r="T1644" t="s">
        <v>582</v>
      </c>
      <c r="U1644">
        <v>2.6</v>
      </c>
      <c r="V1644">
        <v>6.43</v>
      </c>
      <c r="W1644">
        <v>56893</v>
      </c>
      <c r="X1644">
        <v>34081</v>
      </c>
      <c r="Y1644">
        <v>1.67</v>
      </c>
      <c r="Z1644">
        <v>373</v>
      </c>
      <c r="AA1644">
        <v>685</v>
      </c>
      <c r="AB1644" t="s">
        <v>116</v>
      </c>
      <c r="AC1644">
        <v>388000</v>
      </c>
      <c r="AD1644">
        <v>0.03</v>
      </c>
      <c r="AE1644" t="s">
        <v>116</v>
      </c>
      <c r="AF1644" t="s">
        <v>116</v>
      </c>
      <c r="AG1644">
        <v>3.05</v>
      </c>
      <c r="AH1644" t="s">
        <v>234</v>
      </c>
      <c r="AI1644" t="s">
        <v>4848</v>
      </c>
      <c r="AJ1644">
        <v>-2.08</v>
      </c>
      <c r="AK1644">
        <v>1427</v>
      </c>
      <c r="AL1644">
        <v>64</v>
      </c>
      <c r="AM1644">
        <v>2.0999999999999999E-3</v>
      </c>
      <c r="AN1644">
        <v>-3</v>
      </c>
      <c r="AO1644">
        <v>-4.08</v>
      </c>
      <c r="AP1644">
        <v>6.01</v>
      </c>
      <c r="AQ1644">
        <v>3.25</v>
      </c>
      <c r="AR1644">
        <v>-5.01</v>
      </c>
      <c r="AS1644">
        <v>3.96</v>
      </c>
      <c r="AT1644" t="s">
        <v>8217</v>
      </c>
      <c r="AU1644">
        <v>1170.9100000000001</v>
      </c>
      <c r="AV1644">
        <v>72.569999999999993</v>
      </c>
      <c r="AW1644">
        <v>1.24</v>
      </c>
      <c r="BA1644">
        <v>-0.31</v>
      </c>
      <c r="BB1644">
        <v>-0.15</v>
      </c>
      <c r="BC1644">
        <v>-2.76</v>
      </c>
      <c r="BD1644">
        <v>-1.52</v>
      </c>
      <c r="BE1644">
        <v>-2.46</v>
      </c>
      <c r="BF1644">
        <v>-2.61</v>
      </c>
      <c r="BG1644">
        <v>0</v>
      </c>
      <c r="BH1644">
        <v>-1.23</v>
      </c>
      <c r="BI1644">
        <v>20191224</v>
      </c>
      <c r="BJ1644">
        <v>20110803</v>
      </c>
      <c r="BK1644">
        <v>4.37</v>
      </c>
      <c r="BL1644" t="s">
        <v>116</v>
      </c>
      <c r="BM1644" t="s">
        <v>116</v>
      </c>
      <c r="BN1644">
        <v>28.84</v>
      </c>
      <c r="BO1644">
        <v>8.0500000000000007</v>
      </c>
      <c r="BP1644">
        <v>1.93</v>
      </c>
      <c r="BQ1644">
        <v>65.41</v>
      </c>
      <c r="BR1644">
        <v>20.350000000000001</v>
      </c>
      <c r="BS1644">
        <v>2.2200000000000002</v>
      </c>
      <c r="BT1644">
        <v>2.0499999999999998</v>
      </c>
      <c r="BU1644">
        <v>15.81</v>
      </c>
      <c r="BV1644">
        <v>4.8</v>
      </c>
      <c r="BW1644">
        <v>11.05</v>
      </c>
      <c r="BX1644">
        <v>0.64</v>
      </c>
      <c r="BY1644">
        <v>7.44</v>
      </c>
      <c r="BZ1644">
        <v>5.35</v>
      </c>
      <c r="CA1644">
        <v>0.3</v>
      </c>
      <c r="CB1644">
        <v>0.21</v>
      </c>
      <c r="CC1644">
        <v>0.3</v>
      </c>
      <c r="CD1644">
        <v>0.24</v>
      </c>
      <c r="CE1644">
        <v>0.24</v>
      </c>
      <c r="CF1644">
        <v>0.08</v>
      </c>
      <c r="CG1644">
        <v>2.75</v>
      </c>
      <c r="CH1644">
        <v>-0.7</v>
      </c>
      <c r="CI1644">
        <v>-1.31</v>
      </c>
      <c r="CJ1644">
        <v>22637</v>
      </c>
      <c r="CK1644">
        <v>10150</v>
      </c>
      <c r="CL1644" t="s">
        <v>7732</v>
      </c>
      <c r="CM1644">
        <v>-59.69</v>
      </c>
      <c r="CN1644">
        <v>-21.81</v>
      </c>
      <c r="CO1644">
        <v>3.45</v>
      </c>
      <c r="CP1644">
        <v>-39.53</v>
      </c>
      <c r="CQ1644">
        <v>3.74</v>
      </c>
      <c r="CR1644">
        <v>0.24</v>
      </c>
      <c r="CS1644" t="s">
        <v>2069</v>
      </c>
      <c r="CT1644">
        <v>1.84</v>
      </c>
      <c r="CU1644">
        <v>0</v>
      </c>
      <c r="CV1644">
        <v>0.15</v>
      </c>
      <c r="CW1644">
        <v>0.63</v>
      </c>
      <c r="CX1644">
        <v>-0.16</v>
      </c>
      <c r="CY1644">
        <v>27.91</v>
      </c>
      <c r="CZ1644" t="s">
        <v>8574</v>
      </c>
      <c r="DA1644">
        <v>28.11</v>
      </c>
      <c r="DB1644">
        <v>4.07</v>
      </c>
      <c r="DC1644">
        <v>3.26</v>
      </c>
      <c r="DD1644">
        <v>0.49</v>
      </c>
      <c r="DE1644">
        <v>1263</v>
      </c>
      <c r="DF1644">
        <v>300249</v>
      </c>
      <c r="DG1644" t="s">
        <v>116</v>
      </c>
      <c r="DH1644" t="s">
        <v>116</v>
      </c>
      <c r="DI1644" t="s">
        <v>116</v>
      </c>
    </row>
    <row r="1645" spans="1:113" x14ac:dyDescent="0.4">
      <c r="A1645" t="str">
        <f>"300250"</f>
        <v>300250</v>
      </c>
      <c r="B1645" t="s">
        <v>8575</v>
      </c>
      <c r="C1645">
        <v>-1.86</v>
      </c>
      <c r="D1645">
        <v>12.67</v>
      </c>
      <c r="E1645">
        <v>-0.24</v>
      </c>
      <c r="F1645">
        <v>12.67</v>
      </c>
      <c r="G1645">
        <v>12.68</v>
      </c>
      <c r="H1645">
        <v>30427</v>
      </c>
      <c r="I1645">
        <v>1328</v>
      </c>
      <c r="J1645">
        <v>-0.15</v>
      </c>
      <c r="K1645">
        <v>2.0099999999999998</v>
      </c>
      <c r="L1645">
        <v>12.99</v>
      </c>
      <c r="M1645">
        <v>13.04</v>
      </c>
      <c r="N1645">
        <v>12.66</v>
      </c>
      <c r="O1645">
        <v>12.91</v>
      </c>
      <c r="P1645">
        <v>48.6</v>
      </c>
      <c r="Q1645">
        <v>39046260</v>
      </c>
      <c r="R1645">
        <v>1.03</v>
      </c>
      <c r="S1645" t="s">
        <v>607</v>
      </c>
      <c r="T1645" t="s">
        <v>590</v>
      </c>
      <c r="U1645">
        <v>2.94</v>
      </c>
      <c r="V1645">
        <v>12.83</v>
      </c>
      <c r="W1645">
        <v>17752</v>
      </c>
      <c r="X1645">
        <v>12675</v>
      </c>
      <c r="Y1645">
        <v>1.4</v>
      </c>
      <c r="Z1645">
        <v>65</v>
      </c>
      <c r="AA1645">
        <v>280</v>
      </c>
      <c r="AB1645" t="s">
        <v>116</v>
      </c>
      <c r="AC1645">
        <v>394900</v>
      </c>
      <c r="AD1645">
        <v>0.02</v>
      </c>
      <c r="AE1645" t="s">
        <v>116</v>
      </c>
      <c r="AF1645" t="s">
        <v>116</v>
      </c>
      <c r="AG1645">
        <v>1.51</v>
      </c>
      <c r="AH1645" t="s">
        <v>4639</v>
      </c>
      <c r="AI1645" t="s">
        <v>8576</v>
      </c>
      <c r="AJ1645">
        <v>-1.18</v>
      </c>
      <c r="AK1645">
        <v>1606</v>
      </c>
      <c r="AL1645">
        <v>19</v>
      </c>
      <c r="AM1645">
        <v>1.2999999999999999E-3</v>
      </c>
      <c r="AN1645">
        <v>-2</v>
      </c>
      <c r="AO1645">
        <v>-0.16</v>
      </c>
      <c r="AP1645">
        <v>3.09</v>
      </c>
      <c r="AQ1645">
        <v>-4.88</v>
      </c>
      <c r="AR1645">
        <v>14.14</v>
      </c>
      <c r="AS1645">
        <v>2.2999999999999998</v>
      </c>
      <c r="AT1645" t="s">
        <v>4388</v>
      </c>
      <c r="AU1645" t="s">
        <v>116</v>
      </c>
      <c r="AV1645" t="s">
        <v>116</v>
      </c>
      <c r="AW1645">
        <v>1.9</v>
      </c>
      <c r="BA1645">
        <v>0.62</v>
      </c>
      <c r="BB1645">
        <v>1.01</v>
      </c>
      <c r="BC1645">
        <v>-1.94</v>
      </c>
      <c r="BD1645">
        <v>-0.6</v>
      </c>
      <c r="BE1645">
        <v>-2.46</v>
      </c>
      <c r="BF1645">
        <v>-2.84</v>
      </c>
      <c r="BG1645">
        <v>0.08</v>
      </c>
      <c r="BH1645">
        <v>-1.26</v>
      </c>
      <c r="BI1645">
        <v>20191211</v>
      </c>
      <c r="BJ1645">
        <v>20110803</v>
      </c>
      <c r="BK1645">
        <v>2.2000000000000002</v>
      </c>
      <c r="BL1645" t="s">
        <v>116</v>
      </c>
      <c r="BM1645" t="s">
        <v>116</v>
      </c>
      <c r="BN1645">
        <v>11.46</v>
      </c>
      <c r="BO1645">
        <v>10.23</v>
      </c>
      <c r="BP1645">
        <v>0.04</v>
      </c>
      <c r="BQ1645">
        <v>10.33</v>
      </c>
      <c r="BR1645">
        <v>5.72</v>
      </c>
      <c r="BS1645">
        <v>0.13</v>
      </c>
      <c r="BT1645">
        <v>0.48</v>
      </c>
      <c r="BU1645">
        <v>1.17</v>
      </c>
      <c r="BV1645">
        <v>0.93</v>
      </c>
      <c r="BW1645">
        <v>1.99</v>
      </c>
      <c r="BX1645">
        <v>8.1199999999999992</v>
      </c>
      <c r="BY1645">
        <v>3.22</v>
      </c>
      <c r="BZ1645">
        <v>1.56</v>
      </c>
      <c r="CA1645">
        <v>0.46</v>
      </c>
      <c r="CB1645">
        <v>0.01</v>
      </c>
      <c r="CC1645">
        <v>0.48</v>
      </c>
      <c r="CD1645">
        <v>0.46</v>
      </c>
      <c r="CE1645">
        <v>0.43</v>
      </c>
      <c r="CF1645">
        <v>0.42</v>
      </c>
      <c r="CG1645">
        <v>-0.05</v>
      </c>
      <c r="CH1645">
        <v>-0.17</v>
      </c>
      <c r="CI1645">
        <v>-0.8</v>
      </c>
      <c r="CJ1645">
        <v>22000</v>
      </c>
      <c r="CK1645">
        <v>6002</v>
      </c>
      <c r="CL1645" t="s">
        <v>8387</v>
      </c>
      <c r="CM1645">
        <v>-27.17</v>
      </c>
      <c r="CN1645">
        <v>16.2</v>
      </c>
      <c r="CO1645">
        <v>2.72</v>
      </c>
      <c r="CP1645">
        <v>-167.81</v>
      </c>
      <c r="CQ1645">
        <v>8.65</v>
      </c>
      <c r="CR1645">
        <v>0</v>
      </c>
      <c r="CS1645" t="s">
        <v>702</v>
      </c>
      <c r="CT1645">
        <v>4.6500000000000004</v>
      </c>
      <c r="CU1645">
        <v>0</v>
      </c>
      <c r="CV1645">
        <v>3.69</v>
      </c>
      <c r="CW1645">
        <v>-0.02</v>
      </c>
      <c r="CX1645">
        <v>-0.08</v>
      </c>
      <c r="CY1645">
        <v>89.3</v>
      </c>
      <c r="CZ1645" t="s">
        <v>7310</v>
      </c>
      <c r="DA1645">
        <v>51.7</v>
      </c>
      <c r="DB1645">
        <v>14.38</v>
      </c>
      <c r="DC1645">
        <v>13.35</v>
      </c>
      <c r="DD1645">
        <v>0.48</v>
      </c>
      <c r="DE1645">
        <v>813</v>
      </c>
      <c r="DF1645">
        <v>300250</v>
      </c>
      <c r="DG1645" t="s">
        <v>116</v>
      </c>
      <c r="DH1645" t="s">
        <v>116</v>
      </c>
      <c r="DI1645" t="s">
        <v>116</v>
      </c>
    </row>
    <row r="1646" spans="1:113" x14ac:dyDescent="0.4">
      <c r="A1646" t="str">
        <f>"300251"</f>
        <v>300251</v>
      </c>
      <c r="B1646" t="s">
        <v>8577</v>
      </c>
      <c r="C1646">
        <v>-3.02</v>
      </c>
      <c r="D1646">
        <v>11.57</v>
      </c>
      <c r="E1646">
        <v>-0.36</v>
      </c>
      <c r="F1646">
        <v>11.57</v>
      </c>
      <c r="G1646">
        <v>11.58</v>
      </c>
      <c r="H1646">
        <v>276492</v>
      </c>
      <c r="I1646">
        <v>6207</v>
      </c>
      <c r="J1646">
        <v>-0.51</v>
      </c>
      <c r="K1646">
        <v>0.99</v>
      </c>
      <c r="L1646">
        <v>11.88</v>
      </c>
      <c r="M1646">
        <v>12.01</v>
      </c>
      <c r="N1646">
        <v>11.56</v>
      </c>
      <c r="O1646">
        <v>11.93</v>
      </c>
      <c r="P1646">
        <v>22.95</v>
      </c>
      <c r="Q1646">
        <v>324696064</v>
      </c>
      <c r="R1646">
        <v>1.19</v>
      </c>
      <c r="S1646" t="s">
        <v>589</v>
      </c>
      <c r="T1646" t="s">
        <v>165</v>
      </c>
      <c r="U1646">
        <v>3.77</v>
      </c>
      <c r="V1646">
        <v>11.74</v>
      </c>
      <c r="W1646">
        <v>149151</v>
      </c>
      <c r="X1646">
        <v>127341</v>
      </c>
      <c r="Y1646">
        <v>1.17</v>
      </c>
      <c r="Z1646">
        <v>1111</v>
      </c>
      <c r="AA1646">
        <v>288</v>
      </c>
      <c r="AB1646" t="s">
        <v>116</v>
      </c>
      <c r="AC1646">
        <v>1760600</v>
      </c>
      <c r="AD1646">
        <v>0.02</v>
      </c>
      <c r="AE1646" t="s">
        <v>116</v>
      </c>
      <c r="AF1646" t="s">
        <v>116</v>
      </c>
      <c r="AG1646">
        <v>27.84</v>
      </c>
      <c r="AH1646" t="s">
        <v>8578</v>
      </c>
      <c r="AI1646" t="s">
        <v>8579</v>
      </c>
      <c r="AJ1646">
        <v>-2.34</v>
      </c>
      <c r="AK1646">
        <v>4140</v>
      </c>
      <c r="AL1646">
        <v>67</v>
      </c>
      <c r="AM1646">
        <v>2.0000000000000001E-4</v>
      </c>
      <c r="AN1646">
        <v>-1</v>
      </c>
      <c r="AO1646">
        <v>-2.4500000000000002</v>
      </c>
      <c r="AP1646">
        <v>16.28</v>
      </c>
      <c r="AQ1646">
        <v>21.79</v>
      </c>
      <c r="AR1646">
        <v>53.25</v>
      </c>
      <c r="AS1646">
        <v>3.15</v>
      </c>
      <c r="AT1646" t="s">
        <v>8580</v>
      </c>
      <c r="AU1646">
        <v>172.06</v>
      </c>
      <c r="AV1646">
        <v>24.72</v>
      </c>
      <c r="AW1646">
        <v>1.43</v>
      </c>
      <c r="BA1646">
        <v>-0.42</v>
      </c>
      <c r="BB1646">
        <v>0.67</v>
      </c>
      <c r="BC1646">
        <v>-3.1</v>
      </c>
      <c r="BD1646">
        <v>-1.56</v>
      </c>
      <c r="BE1646">
        <v>-2.61</v>
      </c>
      <c r="BF1646">
        <v>-3.66</v>
      </c>
      <c r="BG1646">
        <v>0.09</v>
      </c>
      <c r="BH1646">
        <v>-1.45</v>
      </c>
      <c r="BI1646">
        <v>20191025</v>
      </c>
      <c r="BJ1646">
        <v>20110803</v>
      </c>
      <c r="BK1646">
        <v>29.34</v>
      </c>
      <c r="BL1646" t="s">
        <v>116</v>
      </c>
      <c r="BM1646" t="s">
        <v>116</v>
      </c>
      <c r="BN1646">
        <v>117.77</v>
      </c>
      <c r="BO1646">
        <v>93.64</v>
      </c>
      <c r="BP1646">
        <v>0.44</v>
      </c>
      <c r="BQ1646">
        <v>20.12</v>
      </c>
      <c r="BR1646">
        <v>50.55</v>
      </c>
      <c r="BS1646">
        <v>0.35</v>
      </c>
      <c r="BT1646">
        <v>1.17</v>
      </c>
      <c r="BU1646">
        <v>13.18</v>
      </c>
      <c r="BV1646">
        <v>12.03</v>
      </c>
      <c r="BW1646">
        <v>6.81</v>
      </c>
      <c r="BX1646">
        <v>22.24</v>
      </c>
      <c r="BY1646">
        <v>24.61</v>
      </c>
      <c r="BZ1646">
        <v>13.5</v>
      </c>
      <c r="CA1646">
        <v>13.64</v>
      </c>
      <c r="CB1646">
        <v>3.38</v>
      </c>
      <c r="CC1646">
        <v>13.61</v>
      </c>
      <c r="CD1646">
        <v>11.09</v>
      </c>
      <c r="CE1646">
        <v>11.09</v>
      </c>
      <c r="CF1646">
        <v>10.73</v>
      </c>
      <c r="CG1646">
        <v>40.020000000000003</v>
      </c>
      <c r="CH1646">
        <v>11.66</v>
      </c>
      <c r="CI1646">
        <v>7.18</v>
      </c>
      <c r="CJ1646">
        <v>66434</v>
      </c>
      <c r="CK1646">
        <v>13224</v>
      </c>
      <c r="CL1646" t="s">
        <v>8581</v>
      </c>
      <c r="CM1646">
        <v>-51.46</v>
      </c>
      <c r="CN1646">
        <v>91.47</v>
      </c>
      <c r="CO1646">
        <v>3.62</v>
      </c>
      <c r="CP1646">
        <v>29.12</v>
      </c>
      <c r="CQ1646">
        <v>13.79</v>
      </c>
      <c r="CR1646">
        <v>0.43</v>
      </c>
      <c r="CS1646" t="s">
        <v>6423</v>
      </c>
      <c r="CT1646">
        <v>3.19</v>
      </c>
      <c r="CU1646">
        <v>0</v>
      </c>
      <c r="CV1646">
        <v>0.76</v>
      </c>
      <c r="CW1646">
        <v>1.36</v>
      </c>
      <c r="CX1646">
        <v>0.4</v>
      </c>
      <c r="CY1646">
        <v>79.510000000000005</v>
      </c>
      <c r="CZ1646" t="s">
        <v>5959</v>
      </c>
      <c r="DA1646">
        <v>45.14</v>
      </c>
      <c r="DB1646">
        <v>55.44</v>
      </c>
      <c r="DC1646">
        <v>45.08</v>
      </c>
      <c r="DD1646">
        <v>0.08</v>
      </c>
      <c r="DE1646">
        <v>376</v>
      </c>
      <c r="DF1646">
        <v>300251</v>
      </c>
      <c r="DG1646" t="s">
        <v>116</v>
      </c>
      <c r="DH1646" t="s">
        <v>116</v>
      </c>
      <c r="DI1646" t="s">
        <v>116</v>
      </c>
    </row>
    <row r="1647" spans="1:113" x14ac:dyDescent="0.4">
      <c r="A1647" t="str">
        <f>"300252"</f>
        <v>300252</v>
      </c>
      <c r="B1647" t="s">
        <v>8582</v>
      </c>
      <c r="C1647">
        <v>-0.11</v>
      </c>
      <c r="D1647">
        <v>9.16</v>
      </c>
      <c r="E1647">
        <v>-0.01</v>
      </c>
      <c r="F1647">
        <v>9.15</v>
      </c>
      <c r="G1647">
        <v>9.16</v>
      </c>
      <c r="H1647">
        <v>55871</v>
      </c>
      <c r="I1647">
        <v>1051</v>
      </c>
      <c r="J1647">
        <v>-0.1</v>
      </c>
      <c r="K1647">
        <v>1.48</v>
      </c>
      <c r="L1647">
        <v>9.19</v>
      </c>
      <c r="M1647">
        <v>9.3000000000000007</v>
      </c>
      <c r="N1647">
        <v>9.16</v>
      </c>
      <c r="O1647">
        <v>9.17</v>
      </c>
      <c r="P1647">
        <v>107.6</v>
      </c>
      <c r="Q1647">
        <v>51555816</v>
      </c>
      <c r="R1647">
        <v>1.02</v>
      </c>
      <c r="S1647" t="s">
        <v>465</v>
      </c>
      <c r="T1647" t="s">
        <v>115</v>
      </c>
      <c r="U1647">
        <v>1.53</v>
      </c>
      <c r="V1647">
        <v>9.23</v>
      </c>
      <c r="W1647">
        <v>27717</v>
      </c>
      <c r="X1647">
        <v>28154</v>
      </c>
      <c r="Y1647">
        <v>0.98</v>
      </c>
      <c r="Z1647">
        <v>248</v>
      </c>
      <c r="AA1647">
        <v>883</v>
      </c>
      <c r="AB1647" t="s">
        <v>116</v>
      </c>
      <c r="AC1647">
        <v>193900</v>
      </c>
      <c r="AD1647">
        <v>0.01</v>
      </c>
      <c r="AE1647" t="s">
        <v>116</v>
      </c>
      <c r="AF1647" t="s">
        <v>116</v>
      </c>
      <c r="AG1647">
        <v>3.79</v>
      </c>
      <c r="AH1647" t="s">
        <v>8583</v>
      </c>
      <c r="AI1647" t="s">
        <v>8584</v>
      </c>
      <c r="AJ1647">
        <v>0.56999999999999995</v>
      </c>
      <c r="AK1647">
        <v>1341</v>
      </c>
      <c r="AL1647">
        <v>42</v>
      </c>
      <c r="AM1647">
        <v>1.1000000000000001E-3</v>
      </c>
      <c r="AN1647">
        <v>-1</v>
      </c>
      <c r="AO1647">
        <v>0.66</v>
      </c>
      <c r="AP1647">
        <v>3.27</v>
      </c>
      <c r="AQ1647">
        <v>-14.63</v>
      </c>
      <c r="AR1647">
        <v>-15.58</v>
      </c>
      <c r="AS1647">
        <v>2.2200000000000002</v>
      </c>
      <c r="AT1647" t="s">
        <v>4541</v>
      </c>
      <c r="AU1647">
        <v>92.53</v>
      </c>
      <c r="AV1647">
        <v>40.229999999999997</v>
      </c>
      <c r="AW1647">
        <v>1.22</v>
      </c>
      <c r="BA1647">
        <v>0.22</v>
      </c>
      <c r="BB1647">
        <v>1.42</v>
      </c>
      <c r="BC1647">
        <v>-0.11</v>
      </c>
      <c r="BD1647">
        <v>0.63</v>
      </c>
      <c r="BE1647">
        <v>-0.33</v>
      </c>
      <c r="BF1647">
        <v>-1.51</v>
      </c>
      <c r="BG1647">
        <v>0</v>
      </c>
      <c r="BH1647">
        <v>-0.74</v>
      </c>
      <c r="BI1647">
        <v>20191210</v>
      </c>
      <c r="BJ1647">
        <v>20110818</v>
      </c>
      <c r="BK1647">
        <v>5.78</v>
      </c>
      <c r="BL1647" t="s">
        <v>116</v>
      </c>
      <c r="BM1647" t="s">
        <v>116</v>
      </c>
      <c r="BN1647">
        <v>55.25</v>
      </c>
      <c r="BO1647">
        <v>24.04</v>
      </c>
      <c r="BP1647">
        <v>1.51</v>
      </c>
      <c r="BQ1647">
        <v>53.75</v>
      </c>
      <c r="BR1647">
        <v>34.130000000000003</v>
      </c>
      <c r="BS1647">
        <v>6.77</v>
      </c>
      <c r="BT1647">
        <v>1.72</v>
      </c>
      <c r="BU1647">
        <v>27.62</v>
      </c>
      <c r="BV1647">
        <v>3.81</v>
      </c>
      <c r="BW1647">
        <v>13.48</v>
      </c>
      <c r="BX1647">
        <v>11.68</v>
      </c>
      <c r="BY1647">
        <v>19.91</v>
      </c>
      <c r="BZ1647">
        <v>17.07</v>
      </c>
      <c r="CA1647">
        <v>0.48</v>
      </c>
      <c r="CB1647">
        <v>0.72</v>
      </c>
      <c r="CC1647">
        <v>0.48</v>
      </c>
      <c r="CD1647">
        <v>0.51</v>
      </c>
      <c r="CE1647">
        <v>0.37</v>
      </c>
      <c r="CF1647">
        <v>-0.44</v>
      </c>
      <c r="CG1647">
        <v>6.42</v>
      </c>
      <c r="CH1647">
        <v>1.46</v>
      </c>
      <c r="CI1647">
        <v>-0.48</v>
      </c>
      <c r="CJ1647">
        <v>28981</v>
      </c>
      <c r="CK1647">
        <v>8666</v>
      </c>
      <c r="CL1647" t="s">
        <v>4735</v>
      </c>
      <c r="CM1647">
        <v>-66.849999999999994</v>
      </c>
      <c r="CN1647">
        <v>3.27</v>
      </c>
      <c r="CO1647">
        <v>2.2000000000000002</v>
      </c>
      <c r="CP1647">
        <v>36.18</v>
      </c>
      <c r="CQ1647">
        <v>2.66</v>
      </c>
      <c r="CR1647">
        <v>0.54</v>
      </c>
      <c r="CS1647" t="s">
        <v>1322</v>
      </c>
      <c r="CT1647">
        <v>4.16</v>
      </c>
      <c r="CU1647">
        <v>0</v>
      </c>
      <c r="CV1647">
        <v>2.02</v>
      </c>
      <c r="CW1647">
        <v>1.1100000000000001</v>
      </c>
      <c r="CX1647">
        <v>0.25</v>
      </c>
      <c r="CY1647">
        <v>43.51</v>
      </c>
      <c r="CZ1647" t="s">
        <v>1534</v>
      </c>
      <c r="DA1647">
        <v>14.27</v>
      </c>
      <c r="DB1647">
        <v>2.42</v>
      </c>
      <c r="DC1647">
        <v>1.85</v>
      </c>
      <c r="DD1647">
        <v>0.8</v>
      </c>
      <c r="DE1647">
        <v>3343</v>
      </c>
      <c r="DF1647">
        <v>300252</v>
      </c>
      <c r="DG1647" t="s">
        <v>116</v>
      </c>
      <c r="DH1647" t="s">
        <v>116</v>
      </c>
      <c r="DI1647" t="s">
        <v>116</v>
      </c>
    </row>
    <row r="1648" spans="1:113" x14ac:dyDescent="0.4">
      <c r="A1648" t="str">
        <f>"300253"</f>
        <v>300253</v>
      </c>
      <c r="B1648" t="s">
        <v>8585</v>
      </c>
      <c r="C1648">
        <v>-2.13</v>
      </c>
      <c r="D1648">
        <v>14.68</v>
      </c>
      <c r="E1648">
        <v>-0.32</v>
      </c>
      <c r="F1648">
        <v>14.67</v>
      </c>
      <c r="G1648">
        <v>14.68</v>
      </c>
      <c r="H1648">
        <v>201918</v>
      </c>
      <c r="I1648">
        <v>3042</v>
      </c>
      <c r="J1648">
        <v>-0.06</v>
      </c>
      <c r="K1648">
        <v>1.53</v>
      </c>
      <c r="L1648">
        <v>15.05</v>
      </c>
      <c r="M1648">
        <v>15.07</v>
      </c>
      <c r="N1648">
        <v>14.67</v>
      </c>
      <c r="O1648">
        <v>15</v>
      </c>
      <c r="P1648">
        <v>66.2</v>
      </c>
      <c r="Q1648">
        <v>300003488</v>
      </c>
      <c r="R1648">
        <v>1.18</v>
      </c>
      <c r="S1648" t="s">
        <v>607</v>
      </c>
      <c r="T1648" t="s">
        <v>1653</v>
      </c>
      <c r="U1648">
        <v>2.67</v>
      </c>
      <c r="V1648">
        <v>14.86</v>
      </c>
      <c r="W1648">
        <v>129152</v>
      </c>
      <c r="X1648">
        <v>72766</v>
      </c>
      <c r="Y1648">
        <v>1.77</v>
      </c>
      <c r="Z1648">
        <v>489</v>
      </c>
      <c r="AA1648">
        <v>1201</v>
      </c>
      <c r="AB1648" t="s">
        <v>116</v>
      </c>
      <c r="AC1648">
        <v>325100</v>
      </c>
      <c r="AD1648">
        <v>0</v>
      </c>
      <c r="AE1648" t="s">
        <v>116</v>
      </c>
      <c r="AF1648" t="s">
        <v>116</v>
      </c>
      <c r="AG1648">
        <v>13.2</v>
      </c>
      <c r="AH1648" t="s">
        <v>899</v>
      </c>
      <c r="AI1648" t="s">
        <v>8586</v>
      </c>
      <c r="AJ1648">
        <v>-1.45</v>
      </c>
      <c r="AK1648">
        <v>3909</v>
      </c>
      <c r="AL1648">
        <v>52</v>
      </c>
      <c r="AM1648">
        <v>4.0000000000000002E-4</v>
      </c>
      <c r="AN1648">
        <v>-3</v>
      </c>
      <c r="AO1648">
        <v>-3.1</v>
      </c>
      <c r="AP1648">
        <v>-3.61</v>
      </c>
      <c r="AQ1648">
        <v>-8.82</v>
      </c>
      <c r="AR1648">
        <v>18.010000000000002</v>
      </c>
      <c r="AS1648">
        <v>1.85</v>
      </c>
      <c r="AT1648" t="s">
        <v>8587</v>
      </c>
      <c r="AU1648">
        <v>62.79</v>
      </c>
      <c r="AV1648">
        <v>79.430000000000007</v>
      </c>
      <c r="AW1648">
        <v>1.34</v>
      </c>
      <c r="BA1648">
        <v>0.33</v>
      </c>
      <c r="BB1648">
        <v>0.47</v>
      </c>
      <c r="BC1648">
        <v>-2.2000000000000002</v>
      </c>
      <c r="BD1648">
        <v>-0.95</v>
      </c>
      <c r="BE1648">
        <v>-2.46</v>
      </c>
      <c r="BF1648">
        <v>-2.59</v>
      </c>
      <c r="BG1648">
        <v>7.0000000000000007E-2</v>
      </c>
      <c r="BH1648">
        <v>-1.18</v>
      </c>
      <c r="BI1648">
        <v>20191226</v>
      </c>
      <c r="BJ1648">
        <v>20110818</v>
      </c>
      <c r="BK1648">
        <v>16.41</v>
      </c>
      <c r="BL1648" t="s">
        <v>116</v>
      </c>
      <c r="BM1648" t="s">
        <v>116</v>
      </c>
      <c r="BN1648">
        <v>46.58</v>
      </c>
      <c r="BO1648">
        <v>35.229999999999997</v>
      </c>
      <c r="BP1648">
        <v>1.2</v>
      </c>
      <c r="BQ1648">
        <v>21.78</v>
      </c>
      <c r="BR1648">
        <v>22.46</v>
      </c>
      <c r="BS1648">
        <v>4.3099999999999996</v>
      </c>
      <c r="BT1648">
        <v>3.93</v>
      </c>
      <c r="BU1648">
        <v>9.27</v>
      </c>
      <c r="BV1648">
        <v>1.67</v>
      </c>
      <c r="BW1648">
        <v>15.72</v>
      </c>
      <c r="BX1648">
        <v>6.49</v>
      </c>
      <c r="BY1648">
        <v>11.98</v>
      </c>
      <c r="BZ1648">
        <v>5.89</v>
      </c>
      <c r="CA1648">
        <v>2.37</v>
      </c>
      <c r="CB1648">
        <v>-0.12</v>
      </c>
      <c r="CC1648">
        <v>2.38</v>
      </c>
      <c r="CD1648">
        <v>2.5299999999999998</v>
      </c>
      <c r="CE1648">
        <v>2.73</v>
      </c>
      <c r="CF1648">
        <v>2.36</v>
      </c>
      <c r="CG1648">
        <v>12.85</v>
      </c>
      <c r="CH1648">
        <v>-2.29</v>
      </c>
      <c r="CI1648">
        <v>-2.41</v>
      </c>
      <c r="CJ1648">
        <v>58840</v>
      </c>
      <c r="CK1648">
        <v>18576</v>
      </c>
      <c r="CL1648" t="s">
        <v>8588</v>
      </c>
      <c r="CM1648">
        <v>41.73</v>
      </c>
      <c r="CN1648">
        <v>29.5</v>
      </c>
      <c r="CO1648">
        <v>6.84</v>
      </c>
      <c r="CP1648">
        <v>-105.38</v>
      </c>
      <c r="CQ1648">
        <v>20.11</v>
      </c>
      <c r="CR1648">
        <v>0.13</v>
      </c>
      <c r="CS1648" t="s">
        <v>328</v>
      </c>
      <c r="CT1648">
        <v>2.15</v>
      </c>
      <c r="CU1648">
        <v>2.15</v>
      </c>
      <c r="CV1648">
        <v>0.4</v>
      </c>
      <c r="CW1648">
        <v>0.78</v>
      </c>
      <c r="CX1648">
        <v>-0.14000000000000001</v>
      </c>
      <c r="CY1648">
        <v>75.64</v>
      </c>
      <c r="CZ1648" t="s">
        <v>8589</v>
      </c>
      <c r="DA1648">
        <v>50.81</v>
      </c>
      <c r="DB1648">
        <v>19.82</v>
      </c>
      <c r="DC1648">
        <v>22.79</v>
      </c>
      <c r="DD1648">
        <v>1.4</v>
      </c>
      <c r="DE1648">
        <v>4241</v>
      </c>
      <c r="DF1648">
        <v>300253</v>
      </c>
      <c r="DG1648" t="s">
        <v>116</v>
      </c>
      <c r="DH1648" t="s">
        <v>116</v>
      </c>
      <c r="DI1648" t="s">
        <v>116</v>
      </c>
    </row>
    <row r="1649" spans="1:113" x14ac:dyDescent="0.4">
      <c r="A1649" t="str">
        <f>"300254"</f>
        <v>300254</v>
      </c>
      <c r="B1649" t="s">
        <v>8590</v>
      </c>
      <c r="C1649">
        <v>-1.1200000000000001</v>
      </c>
      <c r="D1649">
        <v>7.93</v>
      </c>
      <c r="E1649">
        <v>-0.09</v>
      </c>
      <c r="F1649">
        <v>7.92</v>
      </c>
      <c r="G1649">
        <v>7.93</v>
      </c>
      <c r="H1649">
        <v>21373</v>
      </c>
      <c r="I1649">
        <v>368</v>
      </c>
      <c r="J1649">
        <v>0</v>
      </c>
      <c r="K1649">
        <v>1.32</v>
      </c>
      <c r="L1649">
        <v>8.0299999999999994</v>
      </c>
      <c r="M1649">
        <v>8.06</v>
      </c>
      <c r="N1649">
        <v>7.92</v>
      </c>
      <c r="O1649">
        <v>8.02</v>
      </c>
      <c r="P1649">
        <v>28.41</v>
      </c>
      <c r="Q1649">
        <v>17121374</v>
      </c>
      <c r="R1649">
        <v>1.22</v>
      </c>
      <c r="S1649" t="s">
        <v>574</v>
      </c>
      <c r="T1649" t="s">
        <v>675</v>
      </c>
      <c r="U1649">
        <v>1.75</v>
      </c>
      <c r="V1649">
        <v>8.01</v>
      </c>
      <c r="W1649">
        <v>10979</v>
      </c>
      <c r="X1649">
        <v>10394</v>
      </c>
      <c r="Y1649">
        <v>1.06</v>
      </c>
      <c r="Z1649">
        <v>298</v>
      </c>
      <c r="AA1649">
        <v>762</v>
      </c>
      <c r="AB1649" t="s">
        <v>116</v>
      </c>
      <c r="AC1649">
        <v>6400</v>
      </c>
      <c r="AD1649">
        <v>0</v>
      </c>
      <c r="AE1649" t="s">
        <v>116</v>
      </c>
      <c r="AF1649" t="s">
        <v>116</v>
      </c>
      <c r="AG1649">
        <v>1.62</v>
      </c>
      <c r="AH1649" t="s">
        <v>7351</v>
      </c>
      <c r="AI1649" t="s">
        <v>8284</v>
      </c>
      <c r="AJ1649">
        <v>-0.44</v>
      </c>
      <c r="AK1649">
        <v>740</v>
      </c>
      <c r="AL1649">
        <v>29</v>
      </c>
      <c r="AM1649">
        <v>1.8E-3</v>
      </c>
      <c r="AN1649">
        <v>-1</v>
      </c>
      <c r="AO1649">
        <v>-0.24</v>
      </c>
      <c r="AP1649">
        <v>4.34</v>
      </c>
      <c r="AQ1649">
        <v>-1.1200000000000001</v>
      </c>
      <c r="AR1649">
        <v>22.76</v>
      </c>
      <c r="AS1649">
        <v>1.35</v>
      </c>
      <c r="AT1649" t="s">
        <v>8591</v>
      </c>
      <c r="AU1649">
        <v>56.97</v>
      </c>
      <c r="AV1649">
        <v>228.13</v>
      </c>
      <c r="AW1649">
        <v>1.06</v>
      </c>
      <c r="BA1649">
        <v>0.12</v>
      </c>
      <c r="BB1649">
        <v>0.5</v>
      </c>
      <c r="BC1649">
        <v>-1.25</v>
      </c>
      <c r="BD1649">
        <v>-0.12</v>
      </c>
      <c r="BE1649">
        <v>-1.25</v>
      </c>
      <c r="BF1649">
        <v>-1.61</v>
      </c>
      <c r="BG1649">
        <v>0.13</v>
      </c>
      <c r="BH1649">
        <v>-1.01</v>
      </c>
      <c r="BI1649">
        <v>20191125</v>
      </c>
      <c r="BJ1649">
        <v>20110819</v>
      </c>
      <c r="BK1649">
        <v>2.08</v>
      </c>
      <c r="BL1649" t="s">
        <v>116</v>
      </c>
      <c r="BM1649" t="s">
        <v>116</v>
      </c>
      <c r="BN1649">
        <v>15.6</v>
      </c>
      <c r="BO1649">
        <v>8.39</v>
      </c>
      <c r="BP1649">
        <v>1.24</v>
      </c>
      <c r="BQ1649">
        <v>38.270000000000003</v>
      </c>
      <c r="BR1649">
        <v>7.53</v>
      </c>
      <c r="BS1649">
        <v>2.97</v>
      </c>
      <c r="BT1649">
        <v>0.86</v>
      </c>
      <c r="BU1649">
        <v>3.56</v>
      </c>
      <c r="BV1649">
        <v>1.44</v>
      </c>
      <c r="BW1649">
        <v>2.6</v>
      </c>
      <c r="BX1649">
        <v>4.26</v>
      </c>
      <c r="BY1649">
        <v>8.6999999999999993</v>
      </c>
      <c r="BZ1649">
        <v>2.1</v>
      </c>
      <c r="CA1649">
        <v>0.13</v>
      </c>
      <c r="CB1649">
        <v>0.04</v>
      </c>
      <c r="CC1649">
        <v>0.5</v>
      </c>
      <c r="CD1649">
        <v>0.44</v>
      </c>
      <c r="CE1649">
        <v>0.44</v>
      </c>
      <c r="CF1649">
        <v>0.05</v>
      </c>
      <c r="CG1649">
        <v>1.89</v>
      </c>
      <c r="CH1649">
        <v>0.35</v>
      </c>
      <c r="CI1649">
        <v>0.78</v>
      </c>
      <c r="CJ1649">
        <v>13791</v>
      </c>
      <c r="CK1649">
        <v>11520</v>
      </c>
      <c r="CL1649" t="s">
        <v>8592</v>
      </c>
      <c r="CM1649">
        <v>99.58</v>
      </c>
      <c r="CN1649">
        <v>5.81</v>
      </c>
      <c r="CO1649">
        <v>1.97</v>
      </c>
      <c r="CP1649">
        <v>47.44</v>
      </c>
      <c r="CQ1649">
        <v>1.9</v>
      </c>
      <c r="CR1649">
        <v>0.25</v>
      </c>
      <c r="CS1649" t="s">
        <v>3899</v>
      </c>
      <c r="CT1649">
        <v>4.03</v>
      </c>
      <c r="CU1649">
        <v>0</v>
      </c>
      <c r="CV1649">
        <v>2.04</v>
      </c>
      <c r="CW1649">
        <v>0.91</v>
      </c>
      <c r="CX1649">
        <v>0.17</v>
      </c>
      <c r="CY1649">
        <v>53.75</v>
      </c>
      <c r="CZ1649" t="s">
        <v>3669</v>
      </c>
      <c r="DA1649">
        <v>75.91</v>
      </c>
      <c r="DB1649">
        <v>1.54</v>
      </c>
      <c r="DC1649">
        <v>5.01</v>
      </c>
      <c r="DD1649">
        <v>0.33</v>
      </c>
      <c r="DE1649">
        <v>1665</v>
      </c>
      <c r="DF1649">
        <v>300254</v>
      </c>
      <c r="DG1649" t="s">
        <v>116</v>
      </c>
      <c r="DH1649" t="s">
        <v>116</v>
      </c>
      <c r="DI1649" t="s">
        <v>116</v>
      </c>
    </row>
    <row r="1650" spans="1:113" x14ac:dyDescent="0.4">
      <c r="A1650" t="str">
        <f>"300255"</f>
        <v>300255</v>
      </c>
      <c r="B1650" t="s">
        <v>8593</v>
      </c>
      <c r="C1650">
        <v>-0.19</v>
      </c>
      <c r="D1650">
        <v>5.28</v>
      </c>
      <c r="E1650">
        <v>-0.01</v>
      </c>
      <c r="F1650">
        <v>5.28</v>
      </c>
      <c r="G1650">
        <v>5.29</v>
      </c>
      <c r="H1650">
        <v>73516</v>
      </c>
      <c r="I1650">
        <v>835</v>
      </c>
      <c r="J1650">
        <v>0</v>
      </c>
      <c r="K1650">
        <v>1.23</v>
      </c>
      <c r="L1650">
        <v>5.28</v>
      </c>
      <c r="M1650">
        <v>5.39</v>
      </c>
      <c r="N1650">
        <v>5.26</v>
      </c>
      <c r="O1650">
        <v>5.29</v>
      </c>
      <c r="P1650">
        <v>19.059999999999999</v>
      </c>
      <c r="Q1650">
        <v>39198888</v>
      </c>
      <c r="R1650">
        <v>0.89</v>
      </c>
      <c r="S1650" t="s">
        <v>132</v>
      </c>
      <c r="T1650" t="s">
        <v>608</v>
      </c>
      <c r="U1650">
        <v>2.46</v>
      </c>
      <c r="V1650">
        <v>5.33</v>
      </c>
      <c r="W1650">
        <v>36625</v>
      </c>
      <c r="X1650">
        <v>36891</v>
      </c>
      <c r="Y1650">
        <v>0.99</v>
      </c>
      <c r="Z1650">
        <v>114</v>
      </c>
      <c r="AA1650">
        <v>1210</v>
      </c>
      <c r="AB1650" t="s">
        <v>116</v>
      </c>
      <c r="AC1650">
        <v>5300</v>
      </c>
      <c r="AD1650">
        <v>0</v>
      </c>
      <c r="AE1650" t="s">
        <v>116</v>
      </c>
      <c r="AF1650" t="s">
        <v>116</v>
      </c>
      <c r="AG1650">
        <v>5.98</v>
      </c>
      <c r="AH1650" t="s">
        <v>5430</v>
      </c>
      <c r="AI1650" t="s">
        <v>8594</v>
      </c>
      <c r="AJ1650">
        <v>0.49</v>
      </c>
      <c r="AK1650">
        <v>1154</v>
      </c>
      <c r="AL1650">
        <v>64</v>
      </c>
      <c r="AM1650">
        <v>1.1000000000000001E-3</v>
      </c>
      <c r="AN1650">
        <v>-1</v>
      </c>
      <c r="AO1650">
        <v>-0.38</v>
      </c>
      <c r="AP1650">
        <v>3.73</v>
      </c>
      <c r="AQ1650">
        <v>-8.17</v>
      </c>
      <c r="AR1650">
        <v>29.99</v>
      </c>
      <c r="AS1650">
        <v>1.76</v>
      </c>
      <c r="AT1650" t="s">
        <v>5183</v>
      </c>
      <c r="AU1650">
        <v>28.5</v>
      </c>
      <c r="AV1650">
        <v>35.26</v>
      </c>
      <c r="AW1650">
        <v>1.34</v>
      </c>
      <c r="BA1650">
        <v>-0.19</v>
      </c>
      <c r="BB1650">
        <v>1.89</v>
      </c>
      <c r="BC1650">
        <v>-0.56999999999999995</v>
      </c>
      <c r="BD1650">
        <v>0.79</v>
      </c>
      <c r="BE1650">
        <v>0</v>
      </c>
      <c r="BF1650">
        <v>-2.04</v>
      </c>
      <c r="BG1650">
        <v>0.38</v>
      </c>
      <c r="BH1650">
        <v>-0.98</v>
      </c>
      <c r="BI1650">
        <v>20191030</v>
      </c>
      <c r="BJ1650">
        <v>20110819</v>
      </c>
      <c r="BK1650">
        <v>9.35</v>
      </c>
      <c r="BL1650" t="s">
        <v>116</v>
      </c>
      <c r="BM1650" t="s">
        <v>116</v>
      </c>
      <c r="BN1650">
        <v>40.36</v>
      </c>
      <c r="BO1650">
        <v>26.82</v>
      </c>
      <c r="BP1650">
        <v>0.08</v>
      </c>
      <c r="BQ1650">
        <v>33.35</v>
      </c>
      <c r="BR1650">
        <v>26.64</v>
      </c>
      <c r="BS1650">
        <v>7.51</v>
      </c>
      <c r="BT1650">
        <v>1.76</v>
      </c>
      <c r="BU1650">
        <v>11.12</v>
      </c>
      <c r="BV1650">
        <v>13.53</v>
      </c>
      <c r="BW1650">
        <v>2.89</v>
      </c>
      <c r="BX1650">
        <v>5.27</v>
      </c>
      <c r="BY1650">
        <v>14.29</v>
      </c>
      <c r="BZ1650">
        <v>3.7</v>
      </c>
      <c r="CA1650">
        <v>2.1800000000000002</v>
      </c>
      <c r="CB1650">
        <v>0</v>
      </c>
      <c r="CC1650">
        <v>2.1800000000000002</v>
      </c>
      <c r="CD1650">
        <v>1.92</v>
      </c>
      <c r="CE1650">
        <v>1.94</v>
      </c>
      <c r="CF1650">
        <v>1.88</v>
      </c>
      <c r="CG1650">
        <v>10.97</v>
      </c>
      <c r="CH1650">
        <v>-1.95</v>
      </c>
      <c r="CI1650">
        <v>-2.88</v>
      </c>
      <c r="CJ1650">
        <v>28086</v>
      </c>
      <c r="CK1650">
        <v>14897</v>
      </c>
      <c r="CL1650" t="s">
        <v>4790</v>
      </c>
      <c r="CM1650">
        <v>20.66</v>
      </c>
      <c r="CN1650">
        <v>24.11</v>
      </c>
      <c r="CO1650">
        <v>1.84</v>
      </c>
      <c r="CP1650">
        <v>-25.3</v>
      </c>
      <c r="CQ1650">
        <v>3.46</v>
      </c>
      <c r="CR1650">
        <v>0.53</v>
      </c>
      <c r="CS1650" t="s">
        <v>1959</v>
      </c>
      <c r="CT1650">
        <v>2.87</v>
      </c>
      <c r="CU1650">
        <v>0</v>
      </c>
      <c r="CV1650">
        <v>0.56000000000000005</v>
      </c>
      <c r="CW1650">
        <v>1.17</v>
      </c>
      <c r="CX1650">
        <v>-0.21</v>
      </c>
      <c r="CY1650">
        <v>66.459999999999994</v>
      </c>
      <c r="CZ1650" t="s">
        <v>8595</v>
      </c>
      <c r="DA1650">
        <v>74.12</v>
      </c>
      <c r="DB1650">
        <v>15.29</v>
      </c>
      <c r="DC1650">
        <v>13.59</v>
      </c>
      <c r="DD1650">
        <v>0.93</v>
      </c>
      <c r="DE1650">
        <v>938</v>
      </c>
      <c r="DF1650">
        <v>300255</v>
      </c>
      <c r="DG1650" t="s">
        <v>116</v>
      </c>
      <c r="DH1650" t="s">
        <v>116</v>
      </c>
      <c r="DI1650" t="s">
        <v>116</v>
      </c>
    </row>
    <row r="1651" spans="1:113" x14ac:dyDescent="0.4">
      <c r="A1651" t="str">
        <f>"300256"</f>
        <v>300256</v>
      </c>
      <c r="B1651" t="s">
        <v>8596</v>
      </c>
      <c r="C1651">
        <v>-7.16</v>
      </c>
      <c r="D1651">
        <v>6.22</v>
      </c>
      <c r="E1651">
        <v>-0.48</v>
      </c>
      <c r="F1651">
        <v>6.22</v>
      </c>
      <c r="G1651">
        <v>6.23</v>
      </c>
      <c r="H1651">
        <v>724411</v>
      </c>
      <c r="I1651">
        <v>14125</v>
      </c>
      <c r="J1651">
        <v>0</v>
      </c>
      <c r="K1651">
        <v>9.1199999999999992</v>
      </c>
      <c r="L1651">
        <v>6.67</v>
      </c>
      <c r="M1651">
        <v>6.75</v>
      </c>
      <c r="N1651">
        <v>6.15</v>
      </c>
      <c r="O1651">
        <v>6.7</v>
      </c>
      <c r="P1651">
        <v>200.04</v>
      </c>
      <c r="Q1651">
        <v>468212832</v>
      </c>
      <c r="R1651">
        <v>1.1200000000000001</v>
      </c>
      <c r="S1651" t="s">
        <v>233</v>
      </c>
      <c r="T1651" t="s">
        <v>590</v>
      </c>
      <c r="U1651">
        <v>8.9600000000000009</v>
      </c>
      <c r="V1651">
        <v>6.46</v>
      </c>
      <c r="W1651">
        <v>424686</v>
      </c>
      <c r="X1651">
        <v>299725</v>
      </c>
      <c r="Y1651">
        <v>1.42</v>
      </c>
      <c r="Z1651">
        <v>6195</v>
      </c>
      <c r="AA1651">
        <v>1907</v>
      </c>
      <c r="AB1651" t="s">
        <v>116</v>
      </c>
      <c r="AC1651">
        <v>5053900</v>
      </c>
      <c r="AD1651">
        <v>0.12</v>
      </c>
      <c r="AE1651" t="s">
        <v>116</v>
      </c>
      <c r="AF1651" t="s">
        <v>116</v>
      </c>
      <c r="AG1651">
        <v>7.94</v>
      </c>
      <c r="AH1651" t="s">
        <v>1729</v>
      </c>
      <c r="AI1651" t="s">
        <v>8597</v>
      </c>
      <c r="AJ1651">
        <v>-6.49</v>
      </c>
      <c r="AK1651">
        <v>4085</v>
      </c>
      <c r="AL1651">
        <v>177</v>
      </c>
      <c r="AM1651">
        <v>2.2000000000000001E-3</v>
      </c>
      <c r="AN1651">
        <v>-1</v>
      </c>
      <c r="AO1651">
        <v>-3.42</v>
      </c>
      <c r="AP1651">
        <v>14.34</v>
      </c>
      <c r="AQ1651">
        <v>59.08</v>
      </c>
      <c r="AR1651">
        <v>109.43</v>
      </c>
      <c r="AS1651">
        <v>11.6</v>
      </c>
      <c r="AT1651" t="s">
        <v>1289</v>
      </c>
      <c r="AU1651" t="s">
        <v>116</v>
      </c>
      <c r="AV1651" t="s">
        <v>116</v>
      </c>
      <c r="AW1651">
        <v>0.92</v>
      </c>
      <c r="BA1651">
        <v>-0.45</v>
      </c>
      <c r="BB1651">
        <v>0.75</v>
      </c>
      <c r="BC1651">
        <v>-8.2100000000000009</v>
      </c>
      <c r="BD1651">
        <v>-3.53</v>
      </c>
      <c r="BE1651">
        <v>-6.75</v>
      </c>
      <c r="BF1651">
        <v>-7.85</v>
      </c>
      <c r="BG1651">
        <v>1.1399999999999999</v>
      </c>
      <c r="BH1651">
        <v>-3.63</v>
      </c>
      <c r="BI1651">
        <v>20191113</v>
      </c>
      <c r="BJ1651">
        <v>20110819</v>
      </c>
      <c r="BK1651">
        <v>9.58</v>
      </c>
      <c r="BL1651" t="s">
        <v>116</v>
      </c>
      <c r="BM1651" t="s">
        <v>116</v>
      </c>
      <c r="BN1651">
        <v>92.7</v>
      </c>
      <c r="BO1651">
        <v>16.95</v>
      </c>
      <c r="BP1651">
        <v>10.56</v>
      </c>
      <c r="BQ1651">
        <v>70.33</v>
      </c>
      <c r="BR1651">
        <v>49.6</v>
      </c>
      <c r="BS1651">
        <v>24.06</v>
      </c>
      <c r="BT1651">
        <v>1.72</v>
      </c>
      <c r="BU1651">
        <v>55.08</v>
      </c>
      <c r="BV1651">
        <v>19.47</v>
      </c>
      <c r="BW1651">
        <v>18.62</v>
      </c>
      <c r="BX1651">
        <v>22.3</v>
      </c>
      <c r="BY1651">
        <v>36.4</v>
      </c>
      <c r="BZ1651">
        <v>30.58</v>
      </c>
      <c r="CA1651">
        <v>0.32</v>
      </c>
      <c r="CB1651">
        <v>-0.06</v>
      </c>
      <c r="CC1651">
        <v>0.36</v>
      </c>
      <c r="CD1651">
        <v>0.28000000000000003</v>
      </c>
      <c r="CE1651">
        <v>0.22</v>
      </c>
      <c r="CF1651">
        <v>-0.15</v>
      </c>
      <c r="CG1651">
        <v>-15.13</v>
      </c>
      <c r="CH1651">
        <v>-2.93</v>
      </c>
      <c r="CI1651">
        <v>2.42</v>
      </c>
      <c r="CJ1651">
        <v>47813</v>
      </c>
      <c r="CK1651">
        <v>13067</v>
      </c>
      <c r="CL1651" t="s">
        <v>6009</v>
      </c>
      <c r="CM1651">
        <v>-68.98</v>
      </c>
      <c r="CN1651">
        <v>4.9000000000000004</v>
      </c>
      <c r="CO1651">
        <v>3.52</v>
      </c>
      <c r="CP1651">
        <v>-20.350000000000001</v>
      </c>
      <c r="CQ1651">
        <v>1.64</v>
      </c>
      <c r="CR1651">
        <v>0</v>
      </c>
      <c r="CS1651" t="s">
        <v>1432</v>
      </c>
      <c r="CT1651">
        <v>1.77</v>
      </c>
      <c r="CU1651">
        <v>0</v>
      </c>
      <c r="CV1651">
        <v>2.33</v>
      </c>
      <c r="CW1651">
        <v>-1.58</v>
      </c>
      <c r="CX1651">
        <v>-0.31</v>
      </c>
      <c r="CY1651">
        <v>18.28</v>
      </c>
      <c r="CZ1651" t="s">
        <v>2517</v>
      </c>
      <c r="DA1651">
        <v>15.98</v>
      </c>
      <c r="DB1651">
        <v>0.88</v>
      </c>
      <c r="DC1651">
        <v>0.61</v>
      </c>
      <c r="DD1651">
        <v>1.3</v>
      </c>
      <c r="DE1651">
        <v>8257</v>
      </c>
      <c r="DF1651">
        <v>300256</v>
      </c>
      <c r="DG1651" t="s">
        <v>116</v>
      </c>
      <c r="DH1651" t="s">
        <v>116</v>
      </c>
      <c r="DI1651" t="s">
        <v>116</v>
      </c>
    </row>
    <row r="1652" spans="1:113" x14ac:dyDescent="0.4">
      <c r="A1652" t="str">
        <f>"300257"</f>
        <v>300257</v>
      </c>
      <c r="B1652" t="s">
        <v>8598</v>
      </c>
      <c r="C1652">
        <v>-1.26</v>
      </c>
      <c r="D1652">
        <v>10.99</v>
      </c>
      <c r="E1652">
        <v>-0.14000000000000001</v>
      </c>
      <c r="F1652">
        <v>10.97</v>
      </c>
      <c r="G1652">
        <v>10.99</v>
      </c>
      <c r="H1652">
        <v>29167</v>
      </c>
      <c r="I1652">
        <v>1247</v>
      </c>
      <c r="J1652">
        <v>0.64</v>
      </c>
      <c r="K1652">
        <v>0.36</v>
      </c>
      <c r="L1652">
        <v>11.17</v>
      </c>
      <c r="M1652">
        <v>11.3</v>
      </c>
      <c r="N1652">
        <v>10.86</v>
      </c>
      <c r="O1652">
        <v>11.13</v>
      </c>
      <c r="P1652">
        <v>77.34</v>
      </c>
      <c r="Q1652">
        <v>32309568</v>
      </c>
      <c r="R1652">
        <v>0.76</v>
      </c>
      <c r="S1652" t="s">
        <v>996</v>
      </c>
      <c r="T1652" t="s">
        <v>590</v>
      </c>
      <c r="U1652">
        <v>3.95</v>
      </c>
      <c r="V1652">
        <v>11.08</v>
      </c>
      <c r="W1652">
        <v>17577</v>
      </c>
      <c r="X1652">
        <v>11590</v>
      </c>
      <c r="Y1652">
        <v>1.52</v>
      </c>
      <c r="Z1652">
        <v>5</v>
      </c>
      <c r="AA1652">
        <v>133</v>
      </c>
      <c r="AB1652" t="s">
        <v>116</v>
      </c>
      <c r="AC1652">
        <v>55900</v>
      </c>
      <c r="AD1652">
        <v>0</v>
      </c>
      <c r="AE1652" t="s">
        <v>116</v>
      </c>
      <c r="AF1652" t="s">
        <v>116</v>
      </c>
      <c r="AG1652">
        <v>8.18</v>
      </c>
      <c r="AH1652" t="s">
        <v>8599</v>
      </c>
      <c r="AI1652" t="s">
        <v>4992</v>
      </c>
      <c r="AJ1652">
        <v>-0.57999999999999996</v>
      </c>
      <c r="AK1652">
        <v>1485</v>
      </c>
      <c r="AL1652">
        <v>20</v>
      </c>
      <c r="AM1652">
        <v>2.0000000000000001E-4</v>
      </c>
      <c r="AN1652">
        <v>-3</v>
      </c>
      <c r="AO1652">
        <v>-3.76</v>
      </c>
      <c r="AP1652">
        <v>12.83</v>
      </c>
      <c r="AQ1652">
        <v>-0.36</v>
      </c>
      <c r="AR1652">
        <v>11.12</v>
      </c>
      <c r="AS1652">
        <v>0.94</v>
      </c>
      <c r="AT1652" t="s">
        <v>8600</v>
      </c>
      <c r="AU1652">
        <v>77.33</v>
      </c>
      <c r="AV1652">
        <v>78.08</v>
      </c>
      <c r="AW1652">
        <v>0.91</v>
      </c>
      <c r="BA1652">
        <v>0.36</v>
      </c>
      <c r="BB1652">
        <v>1.53</v>
      </c>
      <c r="BC1652">
        <v>-2.4300000000000002</v>
      </c>
      <c r="BD1652">
        <v>-0.47</v>
      </c>
      <c r="BE1652">
        <v>-1.61</v>
      </c>
      <c r="BF1652">
        <v>-2.74</v>
      </c>
      <c r="BG1652">
        <v>1.2</v>
      </c>
      <c r="BH1652">
        <v>-0.79</v>
      </c>
      <c r="BI1652">
        <v>20191025</v>
      </c>
      <c r="BJ1652">
        <v>20110819</v>
      </c>
      <c r="BK1652">
        <v>8.58</v>
      </c>
      <c r="BL1652" t="s">
        <v>116</v>
      </c>
      <c r="BM1652" t="s">
        <v>116</v>
      </c>
      <c r="BN1652">
        <v>78.8</v>
      </c>
      <c r="BO1652">
        <v>35.5</v>
      </c>
      <c r="BP1652">
        <v>-0.05</v>
      </c>
      <c r="BQ1652">
        <v>55.02</v>
      </c>
      <c r="BR1652">
        <v>28.8</v>
      </c>
      <c r="BS1652">
        <v>9.6199999999999992</v>
      </c>
      <c r="BT1652">
        <v>2.4900000000000002</v>
      </c>
      <c r="BU1652">
        <v>27.14</v>
      </c>
      <c r="BV1652">
        <v>10.81</v>
      </c>
      <c r="BW1652">
        <v>5.65</v>
      </c>
      <c r="BX1652">
        <v>14.89</v>
      </c>
      <c r="BY1652">
        <v>18.62</v>
      </c>
      <c r="BZ1652">
        <v>13.77</v>
      </c>
      <c r="CA1652">
        <v>1.17</v>
      </c>
      <c r="CB1652">
        <v>0.06</v>
      </c>
      <c r="CC1652">
        <v>1.17</v>
      </c>
      <c r="CD1652">
        <v>0.91</v>
      </c>
      <c r="CE1652">
        <v>0.91</v>
      </c>
      <c r="CF1652">
        <v>0.79</v>
      </c>
      <c r="CG1652">
        <v>8.98</v>
      </c>
      <c r="CH1652">
        <v>-0.41</v>
      </c>
      <c r="CI1652">
        <v>-3.38</v>
      </c>
      <c r="CJ1652">
        <v>10631</v>
      </c>
      <c r="CK1652">
        <v>29162</v>
      </c>
      <c r="CL1652" t="s">
        <v>8601</v>
      </c>
      <c r="CM1652">
        <v>1.3</v>
      </c>
      <c r="CN1652">
        <v>-3.6</v>
      </c>
      <c r="CO1652">
        <v>2.66</v>
      </c>
      <c r="CP1652">
        <v>-232.78</v>
      </c>
      <c r="CQ1652">
        <v>5.0599999999999996</v>
      </c>
      <c r="CR1652">
        <v>0.91</v>
      </c>
      <c r="CS1652" t="s">
        <v>4957</v>
      </c>
      <c r="CT1652">
        <v>4.1399999999999997</v>
      </c>
      <c r="CU1652">
        <v>0</v>
      </c>
      <c r="CV1652">
        <v>1.74</v>
      </c>
      <c r="CW1652">
        <v>1.05</v>
      </c>
      <c r="CX1652">
        <v>-0.05</v>
      </c>
      <c r="CY1652">
        <v>45.05</v>
      </c>
      <c r="CZ1652" t="s">
        <v>2621</v>
      </c>
      <c r="DA1652">
        <v>26.05</v>
      </c>
      <c r="DB1652">
        <v>6.3</v>
      </c>
      <c r="DC1652">
        <v>4.91</v>
      </c>
      <c r="DD1652">
        <v>0.62</v>
      </c>
      <c r="DE1652">
        <v>3065</v>
      </c>
      <c r="DF1652">
        <v>300257</v>
      </c>
      <c r="DG1652" t="s">
        <v>116</v>
      </c>
      <c r="DH1652" t="s">
        <v>116</v>
      </c>
      <c r="DI1652" t="s">
        <v>116</v>
      </c>
    </row>
    <row r="1653" spans="1:113" x14ac:dyDescent="0.4">
      <c r="A1653" t="str">
        <f>"300258"</f>
        <v>300258</v>
      </c>
      <c r="B1653" t="s">
        <v>8602</v>
      </c>
      <c r="C1653">
        <v>-0.99</v>
      </c>
      <c r="D1653">
        <v>10.99</v>
      </c>
      <c r="E1653">
        <v>-0.11</v>
      </c>
      <c r="F1653">
        <v>10.92</v>
      </c>
      <c r="G1653">
        <v>10.99</v>
      </c>
      <c r="H1653">
        <v>20409</v>
      </c>
      <c r="I1653">
        <v>634</v>
      </c>
      <c r="J1653">
        <v>0.73</v>
      </c>
      <c r="K1653">
        <v>0.54</v>
      </c>
      <c r="L1653">
        <v>11.28</v>
      </c>
      <c r="M1653">
        <v>11.28</v>
      </c>
      <c r="N1653">
        <v>10.9</v>
      </c>
      <c r="O1653">
        <v>11.1</v>
      </c>
      <c r="P1653">
        <v>20.079999999999998</v>
      </c>
      <c r="Q1653">
        <v>22442472</v>
      </c>
      <c r="R1653">
        <v>0.96</v>
      </c>
      <c r="S1653" t="s">
        <v>293</v>
      </c>
      <c r="T1653" t="s">
        <v>323</v>
      </c>
      <c r="U1653">
        <v>3.42</v>
      </c>
      <c r="V1653">
        <v>11</v>
      </c>
      <c r="W1653">
        <v>15358</v>
      </c>
      <c r="X1653">
        <v>5051</v>
      </c>
      <c r="Y1653">
        <v>3.04</v>
      </c>
      <c r="Z1653">
        <v>26</v>
      </c>
      <c r="AA1653">
        <v>4</v>
      </c>
      <c r="AB1653" t="s">
        <v>116</v>
      </c>
      <c r="AC1653">
        <v>31600</v>
      </c>
      <c r="AD1653">
        <v>0</v>
      </c>
      <c r="AE1653" t="s">
        <v>116</v>
      </c>
      <c r="AF1653" t="s">
        <v>116</v>
      </c>
      <c r="AG1653">
        <v>3.77</v>
      </c>
      <c r="AH1653" t="s">
        <v>8603</v>
      </c>
      <c r="AI1653" t="s">
        <v>8604</v>
      </c>
      <c r="AJ1653">
        <v>-0.31</v>
      </c>
      <c r="AK1653">
        <v>1779</v>
      </c>
      <c r="AL1653">
        <v>11</v>
      </c>
      <c r="AM1653">
        <v>2.9999999999999997E-4</v>
      </c>
      <c r="AN1653">
        <v>-2</v>
      </c>
      <c r="AO1653">
        <v>2.14</v>
      </c>
      <c r="AP1653">
        <v>13.65</v>
      </c>
      <c r="AQ1653">
        <v>-2.74</v>
      </c>
      <c r="AR1653">
        <v>-9.02</v>
      </c>
      <c r="AS1653">
        <v>1.0900000000000001</v>
      </c>
      <c r="AT1653" t="s">
        <v>3546</v>
      </c>
      <c r="AU1653">
        <v>22.75</v>
      </c>
      <c r="AV1653">
        <v>17.21</v>
      </c>
      <c r="AW1653">
        <v>0.49</v>
      </c>
      <c r="BA1653">
        <v>1.62</v>
      </c>
      <c r="BB1653">
        <v>1.62</v>
      </c>
      <c r="BC1653">
        <v>-1.8</v>
      </c>
      <c r="BD1653">
        <v>-0.93</v>
      </c>
      <c r="BE1653">
        <v>-2.57</v>
      </c>
      <c r="BF1653">
        <v>-2.57</v>
      </c>
      <c r="BG1653">
        <v>0.83</v>
      </c>
      <c r="BH1653">
        <v>-0.06</v>
      </c>
      <c r="BI1653">
        <v>20191026</v>
      </c>
      <c r="BJ1653">
        <v>20110826</v>
      </c>
      <c r="BK1653">
        <v>4.05</v>
      </c>
      <c r="BL1653" t="s">
        <v>116</v>
      </c>
      <c r="BM1653" t="s">
        <v>116</v>
      </c>
      <c r="BN1653">
        <v>30.36</v>
      </c>
      <c r="BO1653">
        <v>19.86</v>
      </c>
      <c r="BP1653">
        <v>0</v>
      </c>
      <c r="BQ1653">
        <v>34.57</v>
      </c>
      <c r="BR1653">
        <v>8.1300000000000008</v>
      </c>
      <c r="BS1653">
        <v>14.91</v>
      </c>
      <c r="BT1653">
        <v>1.26</v>
      </c>
      <c r="BU1653">
        <v>6.58</v>
      </c>
      <c r="BV1653">
        <v>2.1800000000000002</v>
      </c>
      <c r="BW1653">
        <v>2.2799999999999998</v>
      </c>
      <c r="BX1653">
        <v>3.51</v>
      </c>
      <c r="BY1653">
        <v>8.9700000000000006</v>
      </c>
      <c r="BZ1653">
        <v>5.78</v>
      </c>
      <c r="CA1653">
        <v>2</v>
      </c>
      <c r="CB1653">
        <v>0</v>
      </c>
      <c r="CC1653">
        <v>2</v>
      </c>
      <c r="CD1653">
        <v>1.66</v>
      </c>
      <c r="CE1653">
        <v>1.66</v>
      </c>
      <c r="CF1653">
        <v>1.51</v>
      </c>
      <c r="CG1653">
        <v>11.17</v>
      </c>
      <c r="CH1653">
        <v>2.92</v>
      </c>
      <c r="CI1653">
        <v>-0.11</v>
      </c>
      <c r="CJ1653">
        <v>10837</v>
      </c>
      <c r="CK1653">
        <v>17233</v>
      </c>
      <c r="CL1653" t="s">
        <v>8605</v>
      </c>
      <c r="CM1653">
        <v>-27.5</v>
      </c>
      <c r="CN1653">
        <v>-5.88</v>
      </c>
      <c r="CO1653">
        <v>2.2400000000000002</v>
      </c>
      <c r="CP1653">
        <v>15.27</v>
      </c>
      <c r="CQ1653">
        <v>4.96</v>
      </c>
      <c r="CR1653">
        <v>1.36</v>
      </c>
      <c r="CS1653" t="s">
        <v>6519</v>
      </c>
      <c r="CT1653">
        <v>4.9000000000000004</v>
      </c>
      <c r="CU1653">
        <v>0</v>
      </c>
      <c r="CV1653">
        <v>0.87</v>
      </c>
      <c r="CW1653">
        <v>2.76</v>
      </c>
      <c r="CX1653">
        <v>0.72</v>
      </c>
      <c r="CY1653">
        <v>65.430000000000007</v>
      </c>
      <c r="CZ1653" t="s">
        <v>8073</v>
      </c>
      <c r="DA1653">
        <v>35.5</v>
      </c>
      <c r="DB1653">
        <v>22.31</v>
      </c>
      <c r="DC1653">
        <v>18.54</v>
      </c>
      <c r="DD1653">
        <v>0.42</v>
      </c>
      <c r="DE1653">
        <v>1690</v>
      </c>
      <c r="DF1653">
        <v>300258</v>
      </c>
      <c r="DG1653" t="s">
        <v>116</v>
      </c>
      <c r="DH1653" t="s">
        <v>116</v>
      </c>
      <c r="DI1653" t="s">
        <v>116</v>
      </c>
    </row>
    <row r="1654" spans="1:113" x14ac:dyDescent="0.4">
      <c r="A1654" t="str">
        <f>"300259"</f>
        <v>300259</v>
      </c>
      <c r="B1654" t="s">
        <v>8606</v>
      </c>
      <c r="C1654">
        <v>-0.88</v>
      </c>
      <c r="D1654">
        <v>4.5199999999999996</v>
      </c>
      <c r="E1654">
        <v>-0.04</v>
      </c>
      <c r="F1654">
        <v>4.5199999999999996</v>
      </c>
      <c r="G1654">
        <v>4.53</v>
      </c>
      <c r="H1654">
        <v>696560</v>
      </c>
      <c r="I1654">
        <v>4303</v>
      </c>
      <c r="J1654">
        <v>-0.65</v>
      </c>
      <c r="K1654">
        <v>9.61</v>
      </c>
      <c r="L1654">
        <v>4.5199999999999996</v>
      </c>
      <c r="M1654">
        <v>4.7</v>
      </c>
      <c r="N1654">
        <v>4.42</v>
      </c>
      <c r="O1654">
        <v>4.5599999999999996</v>
      </c>
      <c r="P1654">
        <v>23.87</v>
      </c>
      <c r="Q1654">
        <v>314946560</v>
      </c>
      <c r="R1654">
        <v>1.19</v>
      </c>
      <c r="S1654" t="s">
        <v>2977</v>
      </c>
      <c r="T1654" t="s">
        <v>652</v>
      </c>
      <c r="U1654">
        <v>6.14</v>
      </c>
      <c r="V1654">
        <v>4.5199999999999996</v>
      </c>
      <c r="W1654">
        <v>380784</v>
      </c>
      <c r="X1654">
        <v>315776</v>
      </c>
      <c r="Y1654">
        <v>1.21</v>
      </c>
      <c r="Z1654">
        <v>3359</v>
      </c>
      <c r="AA1654">
        <v>1459</v>
      </c>
      <c r="AB1654" t="s">
        <v>116</v>
      </c>
      <c r="AC1654">
        <v>4725200</v>
      </c>
      <c r="AD1654">
        <v>0.18</v>
      </c>
      <c r="AE1654" t="s">
        <v>116</v>
      </c>
      <c r="AF1654" t="s">
        <v>116</v>
      </c>
      <c r="AG1654">
        <v>7.25</v>
      </c>
      <c r="AH1654" t="s">
        <v>8607</v>
      </c>
      <c r="AI1654" t="s">
        <v>8608</v>
      </c>
      <c r="AJ1654">
        <v>-0.2</v>
      </c>
      <c r="AK1654">
        <v>3445</v>
      </c>
      <c r="AL1654">
        <v>202</v>
      </c>
      <c r="AM1654">
        <v>2.8E-3</v>
      </c>
      <c r="AN1654">
        <v>-1</v>
      </c>
      <c r="AO1654">
        <v>5.12</v>
      </c>
      <c r="AP1654">
        <v>26.26</v>
      </c>
      <c r="AQ1654">
        <v>29.14</v>
      </c>
      <c r="AR1654">
        <v>64.36</v>
      </c>
      <c r="AS1654">
        <v>12.03</v>
      </c>
      <c r="AT1654" t="s">
        <v>8609</v>
      </c>
      <c r="AU1654">
        <v>25.61</v>
      </c>
      <c r="AV1654">
        <v>35.64</v>
      </c>
      <c r="AW1654">
        <v>0.96</v>
      </c>
      <c r="BA1654">
        <v>-0.88</v>
      </c>
      <c r="BB1654">
        <v>3.07</v>
      </c>
      <c r="BC1654">
        <v>-3.07</v>
      </c>
      <c r="BD1654">
        <v>-0.85</v>
      </c>
      <c r="BE1654">
        <v>0</v>
      </c>
      <c r="BF1654">
        <v>-3.83</v>
      </c>
      <c r="BG1654">
        <v>2.2599999999999998</v>
      </c>
      <c r="BH1654">
        <v>-0.03</v>
      </c>
      <c r="BI1654">
        <v>20191026</v>
      </c>
      <c r="BJ1654">
        <v>20110831</v>
      </c>
      <c r="BK1654">
        <v>11.76</v>
      </c>
      <c r="BL1654" t="s">
        <v>116</v>
      </c>
      <c r="BM1654" t="s">
        <v>116</v>
      </c>
      <c r="BN1654">
        <v>26.75</v>
      </c>
      <c r="BO1654">
        <v>20.79</v>
      </c>
      <c r="BP1654">
        <v>0.61</v>
      </c>
      <c r="BQ1654">
        <v>19.989999999999998</v>
      </c>
      <c r="BR1654">
        <v>19.329999999999998</v>
      </c>
      <c r="BS1654">
        <v>3.1</v>
      </c>
      <c r="BT1654">
        <v>0.68</v>
      </c>
      <c r="BU1654">
        <v>5.01</v>
      </c>
      <c r="BV1654">
        <v>3.22</v>
      </c>
      <c r="BW1654">
        <v>4.26</v>
      </c>
      <c r="BX1654">
        <v>0.47</v>
      </c>
      <c r="BY1654">
        <v>7.45</v>
      </c>
      <c r="BZ1654">
        <v>3.82</v>
      </c>
      <c r="CA1654">
        <v>1.82</v>
      </c>
      <c r="CB1654">
        <v>0.23</v>
      </c>
      <c r="CC1654">
        <v>1.96</v>
      </c>
      <c r="CD1654">
        <v>1.7</v>
      </c>
      <c r="CE1654">
        <v>1.67</v>
      </c>
      <c r="CF1654">
        <v>1.3</v>
      </c>
      <c r="CG1654">
        <v>7.84</v>
      </c>
      <c r="CH1654">
        <v>0.82</v>
      </c>
      <c r="CI1654">
        <v>-1.35</v>
      </c>
      <c r="CJ1654">
        <v>34808</v>
      </c>
      <c r="CK1654">
        <v>16628</v>
      </c>
      <c r="CL1654" t="s">
        <v>7685</v>
      </c>
      <c r="CM1654">
        <v>53.84</v>
      </c>
      <c r="CN1654">
        <v>36.9</v>
      </c>
      <c r="CO1654">
        <v>2.56</v>
      </c>
      <c r="CP1654">
        <v>64.69</v>
      </c>
      <c r="CQ1654">
        <v>7.13</v>
      </c>
      <c r="CR1654">
        <v>0.22</v>
      </c>
      <c r="CS1654" t="s">
        <v>1388</v>
      </c>
      <c r="CT1654">
        <v>1.77</v>
      </c>
      <c r="CU1654">
        <v>0</v>
      </c>
      <c r="CV1654">
        <v>0.04</v>
      </c>
      <c r="CW1654">
        <v>0.67</v>
      </c>
      <c r="CX1654">
        <v>7.0000000000000007E-2</v>
      </c>
      <c r="CY1654">
        <v>77.73</v>
      </c>
      <c r="CZ1654" t="s">
        <v>2808</v>
      </c>
      <c r="DA1654">
        <v>48.8</v>
      </c>
      <c r="DB1654">
        <v>24.41</v>
      </c>
      <c r="DC1654">
        <v>22.4</v>
      </c>
      <c r="DD1654">
        <v>0.51</v>
      </c>
      <c r="DE1654">
        <v>1529</v>
      </c>
      <c r="DF1654">
        <v>300259</v>
      </c>
      <c r="DG1654" t="s">
        <v>116</v>
      </c>
      <c r="DH1654" t="s">
        <v>116</v>
      </c>
      <c r="DI1654" t="s">
        <v>116</v>
      </c>
    </row>
    <row r="1655" spans="1:113" x14ac:dyDescent="0.4">
      <c r="A1655" t="str">
        <f>"300260"</f>
        <v>300260</v>
      </c>
      <c r="B1655" t="s">
        <v>8610</v>
      </c>
      <c r="C1655">
        <v>-3.35</v>
      </c>
      <c r="D1655">
        <v>11.84</v>
      </c>
      <c r="E1655">
        <v>-0.41</v>
      </c>
      <c r="F1655">
        <v>11.84</v>
      </c>
      <c r="G1655">
        <v>11.85</v>
      </c>
      <c r="H1655">
        <v>38592</v>
      </c>
      <c r="I1655">
        <v>382</v>
      </c>
      <c r="J1655">
        <v>-7.0000000000000007E-2</v>
      </c>
      <c r="K1655">
        <v>3.05</v>
      </c>
      <c r="L1655">
        <v>12.22</v>
      </c>
      <c r="M1655">
        <v>12.22</v>
      </c>
      <c r="N1655">
        <v>11.8</v>
      </c>
      <c r="O1655">
        <v>12.25</v>
      </c>
      <c r="P1655">
        <v>37.409999999999997</v>
      </c>
      <c r="Q1655">
        <v>45999520</v>
      </c>
      <c r="R1655">
        <v>1.75</v>
      </c>
      <c r="S1655" t="s">
        <v>996</v>
      </c>
      <c r="T1655" t="s">
        <v>323</v>
      </c>
      <c r="U1655">
        <v>3.43</v>
      </c>
      <c r="V1655">
        <v>11.92</v>
      </c>
      <c r="W1655">
        <v>23672</v>
      </c>
      <c r="X1655">
        <v>14920</v>
      </c>
      <c r="Y1655">
        <v>1.59</v>
      </c>
      <c r="Z1655">
        <v>432</v>
      </c>
      <c r="AA1655">
        <v>20</v>
      </c>
      <c r="AB1655" t="s">
        <v>116</v>
      </c>
      <c r="AC1655">
        <v>333600</v>
      </c>
      <c r="AD1655">
        <v>0.05</v>
      </c>
      <c r="AE1655" t="s">
        <v>116</v>
      </c>
      <c r="AF1655" t="s">
        <v>116</v>
      </c>
      <c r="AG1655">
        <v>1.27</v>
      </c>
      <c r="AH1655" t="s">
        <v>6369</v>
      </c>
      <c r="AI1655" t="s">
        <v>8458</v>
      </c>
      <c r="AJ1655">
        <v>-2.67</v>
      </c>
      <c r="AK1655">
        <v>1614</v>
      </c>
      <c r="AL1655">
        <v>24</v>
      </c>
      <c r="AM1655">
        <v>1.9E-3</v>
      </c>
      <c r="AN1655">
        <v>-1</v>
      </c>
      <c r="AO1655">
        <v>2.77</v>
      </c>
      <c r="AP1655">
        <v>12.33</v>
      </c>
      <c r="AQ1655">
        <v>1.28</v>
      </c>
      <c r="AR1655">
        <v>34.24</v>
      </c>
      <c r="AS1655">
        <v>7.3</v>
      </c>
      <c r="AT1655" t="s">
        <v>8611</v>
      </c>
      <c r="AU1655">
        <v>44.86</v>
      </c>
      <c r="AV1655">
        <v>61.9</v>
      </c>
      <c r="AW1655">
        <v>1.31</v>
      </c>
      <c r="BA1655">
        <v>-0.24</v>
      </c>
      <c r="BB1655">
        <v>-0.24</v>
      </c>
      <c r="BC1655">
        <v>-3.67</v>
      </c>
      <c r="BD1655">
        <v>-2.7</v>
      </c>
      <c r="BE1655">
        <v>-3.11</v>
      </c>
      <c r="BF1655">
        <v>-3.11</v>
      </c>
      <c r="BG1655">
        <v>0.34</v>
      </c>
      <c r="BH1655">
        <v>-0.65</v>
      </c>
      <c r="BI1655">
        <v>20191022</v>
      </c>
      <c r="BJ1655">
        <v>20110906</v>
      </c>
      <c r="BK1655">
        <v>2.02</v>
      </c>
      <c r="BL1655" t="s">
        <v>116</v>
      </c>
      <c r="BM1655" t="s">
        <v>116</v>
      </c>
      <c r="BN1655">
        <v>20.65</v>
      </c>
      <c r="BO1655">
        <v>7.57</v>
      </c>
      <c r="BP1655">
        <v>0.08</v>
      </c>
      <c r="BQ1655">
        <v>62.97</v>
      </c>
      <c r="BR1655">
        <v>13.17</v>
      </c>
      <c r="BS1655">
        <v>4.78</v>
      </c>
      <c r="BT1655">
        <v>0.69</v>
      </c>
      <c r="BU1655">
        <v>11.65</v>
      </c>
      <c r="BV1655">
        <v>6.67</v>
      </c>
      <c r="BW1655">
        <v>3.86</v>
      </c>
      <c r="BX1655">
        <v>3.11</v>
      </c>
      <c r="BY1655">
        <v>9.9499999999999993</v>
      </c>
      <c r="BZ1655">
        <v>7.29</v>
      </c>
      <c r="CA1655">
        <v>0.56000000000000005</v>
      </c>
      <c r="CB1655">
        <v>0</v>
      </c>
      <c r="CC1655">
        <v>0.56000000000000005</v>
      </c>
      <c r="CD1655">
        <v>0.48</v>
      </c>
      <c r="CE1655">
        <v>0.48</v>
      </c>
      <c r="CF1655">
        <v>0.45</v>
      </c>
      <c r="CG1655">
        <v>2.25</v>
      </c>
      <c r="CH1655">
        <v>1.05</v>
      </c>
      <c r="CI1655">
        <v>0.12</v>
      </c>
      <c r="CJ1655">
        <v>8629</v>
      </c>
      <c r="CK1655">
        <v>6126</v>
      </c>
      <c r="CL1655" t="s">
        <v>1898</v>
      </c>
      <c r="CM1655">
        <v>44.13</v>
      </c>
      <c r="CN1655">
        <v>21.26</v>
      </c>
      <c r="CO1655">
        <v>3.16</v>
      </c>
      <c r="CP1655">
        <v>22.78</v>
      </c>
      <c r="CQ1655">
        <v>2.4</v>
      </c>
      <c r="CR1655">
        <v>0.84</v>
      </c>
      <c r="CS1655" t="s">
        <v>3553</v>
      </c>
      <c r="CT1655">
        <v>3.75</v>
      </c>
      <c r="CU1655">
        <v>0</v>
      </c>
      <c r="CV1655">
        <v>1.54</v>
      </c>
      <c r="CW1655">
        <v>1.1100000000000001</v>
      </c>
      <c r="CX1655">
        <v>0.52</v>
      </c>
      <c r="CY1655">
        <v>36.65</v>
      </c>
      <c r="CZ1655" t="s">
        <v>587</v>
      </c>
      <c r="DA1655">
        <v>26.77</v>
      </c>
      <c r="DB1655">
        <v>5.63</v>
      </c>
      <c r="DC1655">
        <v>4.82</v>
      </c>
      <c r="DD1655">
        <v>0.28999999999999998</v>
      </c>
      <c r="DE1655">
        <v>1909</v>
      </c>
      <c r="DF1655">
        <v>300260</v>
      </c>
      <c r="DG1655" t="s">
        <v>116</v>
      </c>
      <c r="DH1655" t="s">
        <v>116</v>
      </c>
      <c r="DI1655" t="s">
        <v>116</v>
      </c>
    </row>
    <row r="1656" spans="1:113" x14ac:dyDescent="0.4">
      <c r="A1656" t="str">
        <f>"300261"</f>
        <v>300261</v>
      </c>
      <c r="B1656" t="s">
        <v>8612</v>
      </c>
      <c r="C1656">
        <v>-0.47</v>
      </c>
      <c r="D1656">
        <v>4.2699999999999996</v>
      </c>
      <c r="E1656">
        <v>-0.02</v>
      </c>
      <c r="F1656">
        <v>4.26</v>
      </c>
      <c r="G1656">
        <v>4.2699999999999996</v>
      </c>
      <c r="H1656">
        <v>57112</v>
      </c>
      <c r="I1656">
        <v>1097</v>
      </c>
      <c r="J1656">
        <v>0</v>
      </c>
      <c r="K1656">
        <v>0.62</v>
      </c>
      <c r="L1656">
        <v>4.29</v>
      </c>
      <c r="M1656">
        <v>4.32</v>
      </c>
      <c r="N1656">
        <v>4.26</v>
      </c>
      <c r="O1656">
        <v>4.29</v>
      </c>
      <c r="P1656">
        <v>61.07</v>
      </c>
      <c r="Q1656">
        <v>24477840</v>
      </c>
      <c r="R1656">
        <v>0.55000000000000004</v>
      </c>
      <c r="S1656" t="s">
        <v>697</v>
      </c>
      <c r="T1656" t="s">
        <v>323</v>
      </c>
      <c r="U1656">
        <v>1.4</v>
      </c>
      <c r="V1656">
        <v>4.29</v>
      </c>
      <c r="W1656">
        <v>37002</v>
      </c>
      <c r="X1656">
        <v>20110</v>
      </c>
      <c r="Y1656">
        <v>1.84</v>
      </c>
      <c r="Z1656">
        <v>1601</v>
      </c>
      <c r="AA1656">
        <v>259</v>
      </c>
      <c r="AB1656" t="s">
        <v>116</v>
      </c>
      <c r="AC1656">
        <v>400</v>
      </c>
      <c r="AD1656">
        <v>0</v>
      </c>
      <c r="AE1656" t="s">
        <v>116</v>
      </c>
      <c r="AF1656" t="s">
        <v>116</v>
      </c>
      <c r="AG1656">
        <v>9.2799999999999994</v>
      </c>
      <c r="AH1656" t="s">
        <v>1731</v>
      </c>
      <c r="AI1656" t="s">
        <v>3334</v>
      </c>
      <c r="AJ1656">
        <v>0.21</v>
      </c>
      <c r="AK1656">
        <v>778</v>
      </c>
      <c r="AL1656">
        <v>73</v>
      </c>
      <c r="AM1656">
        <v>8.0000000000000004E-4</v>
      </c>
      <c r="AN1656">
        <v>-3</v>
      </c>
      <c r="AO1656">
        <v>-2.5099999999999998</v>
      </c>
      <c r="AP1656">
        <v>5.69</v>
      </c>
      <c r="AQ1656">
        <v>1.67</v>
      </c>
      <c r="AR1656">
        <v>-15.28</v>
      </c>
      <c r="AS1656">
        <v>1.17</v>
      </c>
      <c r="AT1656" t="s">
        <v>6143</v>
      </c>
      <c r="AU1656">
        <v>45.15</v>
      </c>
      <c r="AV1656">
        <v>25.61</v>
      </c>
      <c r="AW1656">
        <v>0.83</v>
      </c>
      <c r="BA1656">
        <v>0</v>
      </c>
      <c r="BB1656">
        <v>0.7</v>
      </c>
      <c r="BC1656">
        <v>-0.7</v>
      </c>
      <c r="BD1656">
        <v>-0.09</v>
      </c>
      <c r="BE1656">
        <v>-0.47</v>
      </c>
      <c r="BF1656">
        <v>-1.1599999999999999</v>
      </c>
      <c r="BG1656">
        <v>0.23</v>
      </c>
      <c r="BH1656">
        <v>-0.37</v>
      </c>
      <c r="BI1656">
        <v>20191025</v>
      </c>
      <c r="BJ1656">
        <v>20110906</v>
      </c>
      <c r="BK1656">
        <v>9.6300000000000008</v>
      </c>
      <c r="BL1656" t="s">
        <v>116</v>
      </c>
      <c r="BM1656" t="s">
        <v>116</v>
      </c>
      <c r="BN1656">
        <v>34.479999999999997</v>
      </c>
      <c r="BO1656">
        <v>19.29</v>
      </c>
      <c r="BP1656">
        <v>1.03</v>
      </c>
      <c r="BQ1656">
        <v>41.08</v>
      </c>
      <c r="BR1656">
        <v>14.19</v>
      </c>
      <c r="BS1656">
        <v>10.31</v>
      </c>
      <c r="BT1656">
        <v>1.81</v>
      </c>
      <c r="BU1656">
        <v>12.8</v>
      </c>
      <c r="BV1656">
        <v>3.47</v>
      </c>
      <c r="BW1656">
        <v>4.8099999999999996</v>
      </c>
      <c r="BX1656">
        <v>6.82</v>
      </c>
      <c r="BY1656">
        <v>11</v>
      </c>
      <c r="BZ1656">
        <v>8.02</v>
      </c>
      <c r="CA1656">
        <v>1.19</v>
      </c>
      <c r="CB1656">
        <v>0.05</v>
      </c>
      <c r="CC1656">
        <v>0.68</v>
      </c>
      <c r="CD1656">
        <v>0.63</v>
      </c>
      <c r="CE1656">
        <v>0.51</v>
      </c>
      <c r="CF1656">
        <v>0.85</v>
      </c>
      <c r="CG1656">
        <v>2.71</v>
      </c>
      <c r="CH1656">
        <v>0.61</v>
      </c>
      <c r="CI1656">
        <v>-1.34</v>
      </c>
      <c r="CJ1656">
        <v>13454</v>
      </c>
      <c r="CK1656">
        <v>36203</v>
      </c>
      <c r="CL1656" t="s">
        <v>8120</v>
      </c>
      <c r="CM1656">
        <v>-57.92</v>
      </c>
      <c r="CN1656">
        <v>-16.29</v>
      </c>
      <c r="CO1656">
        <v>2.13</v>
      </c>
      <c r="CP1656">
        <v>67.650000000000006</v>
      </c>
      <c r="CQ1656">
        <v>3.74</v>
      </c>
      <c r="CR1656">
        <v>2.34</v>
      </c>
      <c r="CS1656" t="s">
        <v>8613</v>
      </c>
      <c r="CT1656">
        <v>2</v>
      </c>
      <c r="CU1656">
        <v>0</v>
      </c>
      <c r="CV1656">
        <v>0.71</v>
      </c>
      <c r="CW1656">
        <v>0.28000000000000003</v>
      </c>
      <c r="CX1656">
        <v>0.06</v>
      </c>
      <c r="CY1656">
        <v>55.94</v>
      </c>
      <c r="CZ1656" t="s">
        <v>7237</v>
      </c>
      <c r="DA1656">
        <v>27.13</v>
      </c>
      <c r="DB1656">
        <v>10.86</v>
      </c>
      <c r="DC1656">
        <v>4.59</v>
      </c>
      <c r="DD1656">
        <v>0.63</v>
      </c>
      <c r="DE1656">
        <v>1233</v>
      </c>
      <c r="DF1656">
        <v>300261</v>
      </c>
      <c r="DG1656" t="s">
        <v>116</v>
      </c>
      <c r="DH1656" t="s">
        <v>116</v>
      </c>
      <c r="DI1656" t="s">
        <v>116</v>
      </c>
    </row>
    <row r="1657" spans="1:113" x14ac:dyDescent="0.4">
      <c r="A1657" t="str">
        <f>"300262"</f>
        <v>300262</v>
      </c>
      <c r="B1657" t="s">
        <v>8614</v>
      </c>
      <c r="C1657">
        <v>-0.42</v>
      </c>
      <c r="D1657">
        <v>4.7699999999999996</v>
      </c>
      <c r="E1657">
        <v>-0.02</v>
      </c>
      <c r="F1657">
        <v>4.76</v>
      </c>
      <c r="G1657">
        <v>4.7699999999999996</v>
      </c>
      <c r="H1657">
        <v>68079</v>
      </c>
      <c r="I1657">
        <v>540</v>
      </c>
      <c r="J1657">
        <v>0</v>
      </c>
      <c r="K1657">
        <v>1.49</v>
      </c>
      <c r="L1657">
        <v>4.8</v>
      </c>
      <c r="M1657">
        <v>4.8499999999999996</v>
      </c>
      <c r="N1657">
        <v>4.76</v>
      </c>
      <c r="O1657">
        <v>4.79</v>
      </c>
      <c r="P1657">
        <v>20.39</v>
      </c>
      <c r="Q1657">
        <v>32753908</v>
      </c>
      <c r="R1657">
        <v>1.07</v>
      </c>
      <c r="S1657" t="s">
        <v>140</v>
      </c>
      <c r="T1657" t="s">
        <v>1653</v>
      </c>
      <c r="U1657">
        <v>1.88</v>
      </c>
      <c r="V1657">
        <v>4.8099999999999996</v>
      </c>
      <c r="W1657">
        <v>37142</v>
      </c>
      <c r="X1657">
        <v>30937</v>
      </c>
      <c r="Y1657">
        <v>1.2</v>
      </c>
      <c r="Z1657">
        <v>2563</v>
      </c>
      <c r="AA1657">
        <v>557</v>
      </c>
      <c r="AB1657" t="s">
        <v>116</v>
      </c>
      <c r="AC1657">
        <v>69600</v>
      </c>
      <c r="AD1657">
        <v>0</v>
      </c>
      <c r="AE1657" t="s">
        <v>116</v>
      </c>
      <c r="AF1657" t="s">
        <v>116</v>
      </c>
      <c r="AG1657">
        <v>4.5599999999999996</v>
      </c>
      <c r="AH1657" t="s">
        <v>8615</v>
      </c>
      <c r="AI1657" t="s">
        <v>8616</v>
      </c>
      <c r="AJ1657">
        <v>0.26</v>
      </c>
      <c r="AK1657">
        <v>1217</v>
      </c>
      <c r="AL1657">
        <v>56</v>
      </c>
      <c r="AM1657">
        <v>1.1999999999999999E-3</v>
      </c>
      <c r="AN1657">
        <v>-3</v>
      </c>
      <c r="AO1657">
        <v>-1.85</v>
      </c>
      <c r="AP1657">
        <v>-1.24</v>
      </c>
      <c r="AQ1657">
        <v>-11.34</v>
      </c>
      <c r="AR1657">
        <v>-11.67</v>
      </c>
      <c r="AS1657">
        <v>2.0699999999999998</v>
      </c>
      <c r="AT1657" t="s">
        <v>3275</v>
      </c>
      <c r="AU1657">
        <v>38.24</v>
      </c>
      <c r="AV1657">
        <v>25.99</v>
      </c>
      <c r="AW1657">
        <v>1.45</v>
      </c>
      <c r="BA1657">
        <v>0.21</v>
      </c>
      <c r="BB1657">
        <v>1.25</v>
      </c>
      <c r="BC1657">
        <v>-0.63</v>
      </c>
      <c r="BD1657">
        <v>0.44</v>
      </c>
      <c r="BE1657">
        <v>-0.63</v>
      </c>
      <c r="BF1657">
        <v>-1.65</v>
      </c>
      <c r="BG1657">
        <v>0.21</v>
      </c>
      <c r="BH1657">
        <v>-0.86</v>
      </c>
      <c r="BI1657">
        <v>20191102</v>
      </c>
      <c r="BJ1657">
        <v>20110916</v>
      </c>
      <c r="BK1657">
        <v>6.7</v>
      </c>
      <c r="BL1657" t="s">
        <v>116</v>
      </c>
      <c r="BM1657" t="s">
        <v>116</v>
      </c>
      <c r="BN1657">
        <v>62.22</v>
      </c>
      <c r="BO1657">
        <v>24.05</v>
      </c>
      <c r="BP1657">
        <v>0.06</v>
      </c>
      <c r="BQ1657">
        <v>61.24</v>
      </c>
      <c r="BR1657">
        <v>26.07</v>
      </c>
      <c r="BS1657">
        <v>1.72</v>
      </c>
      <c r="BT1657">
        <v>0.88</v>
      </c>
      <c r="BU1657">
        <v>23.29</v>
      </c>
      <c r="BV1657">
        <v>6.56</v>
      </c>
      <c r="BW1657">
        <v>4.12</v>
      </c>
      <c r="BX1657">
        <v>9.49</v>
      </c>
      <c r="BY1657">
        <v>9.5500000000000007</v>
      </c>
      <c r="BZ1657">
        <v>6.2</v>
      </c>
      <c r="CA1657">
        <v>1.45</v>
      </c>
      <c r="CB1657">
        <v>0.55000000000000004</v>
      </c>
      <c r="CC1657">
        <v>1.46</v>
      </c>
      <c r="CD1657">
        <v>1.1499999999999999</v>
      </c>
      <c r="CE1657">
        <v>1.18</v>
      </c>
      <c r="CF1657">
        <v>1.1200000000000001</v>
      </c>
      <c r="CG1657">
        <v>7.16</v>
      </c>
      <c r="CH1657">
        <v>-2.08</v>
      </c>
      <c r="CI1657">
        <v>0.55000000000000004</v>
      </c>
      <c r="CJ1657">
        <v>23882</v>
      </c>
      <c r="CK1657">
        <v>13739</v>
      </c>
      <c r="CL1657" t="s">
        <v>8617</v>
      </c>
      <c r="CM1657">
        <v>-25.09</v>
      </c>
      <c r="CN1657">
        <v>9.43</v>
      </c>
      <c r="CO1657">
        <v>1.33</v>
      </c>
      <c r="CP1657">
        <v>-15.38</v>
      </c>
      <c r="CQ1657">
        <v>3.35</v>
      </c>
      <c r="CR1657">
        <v>0.84</v>
      </c>
      <c r="CS1657" t="s">
        <v>200</v>
      </c>
      <c r="CT1657">
        <v>3.59</v>
      </c>
      <c r="CU1657">
        <v>0</v>
      </c>
      <c r="CV1657">
        <v>1.42</v>
      </c>
      <c r="CW1657">
        <v>1.07</v>
      </c>
      <c r="CX1657">
        <v>-0.31</v>
      </c>
      <c r="CY1657">
        <v>38.659999999999997</v>
      </c>
      <c r="CZ1657" t="s">
        <v>2327</v>
      </c>
      <c r="DA1657">
        <v>35.090000000000003</v>
      </c>
      <c r="DB1657">
        <v>15.15</v>
      </c>
      <c r="DC1657">
        <v>12.31</v>
      </c>
      <c r="DD1657">
        <v>0.27</v>
      </c>
      <c r="DE1657">
        <v>640</v>
      </c>
      <c r="DF1657">
        <v>300262</v>
      </c>
      <c r="DG1657" t="s">
        <v>116</v>
      </c>
      <c r="DH1657" t="s">
        <v>116</v>
      </c>
      <c r="DI1657" t="s">
        <v>116</v>
      </c>
    </row>
    <row r="1658" spans="1:113" x14ac:dyDescent="0.4">
      <c r="A1658" t="str">
        <f>"300263"</f>
        <v>300263</v>
      </c>
      <c r="B1658" t="s">
        <v>8618</v>
      </c>
      <c r="C1658">
        <v>-2.36</v>
      </c>
      <c r="D1658">
        <v>5.39</v>
      </c>
      <c r="E1658">
        <v>-0.13</v>
      </c>
      <c r="F1658">
        <v>5.39</v>
      </c>
      <c r="G1658">
        <v>5.4</v>
      </c>
      <c r="H1658">
        <v>254371</v>
      </c>
      <c r="I1658">
        <v>1797</v>
      </c>
      <c r="J1658">
        <v>0</v>
      </c>
      <c r="K1658">
        <v>3.77</v>
      </c>
      <c r="L1658">
        <v>5.59</v>
      </c>
      <c r="M1658">
        <v>5.63</v>
      </c>
      <c r="N1658">
        <v>5.35</v>
      </c>
      <c r="O1658">
        <v>5.52</v>
      </c>
      <c r="P1658">
        <v>27.51</v>
      </c>
      <c r="Q1658">
        <v>139693808</v>
      </c>
      <c r="R1658">
        <v>0.78</v>
      </c>
      <c r="S1658" t="s">
        <v>682</v>
      </c>
      <c r="T1658" t="s">
        <v>652</v>
      </c>
      <c r="U1658">
        <v>5.07</v>
      </c>
      <c r="V1658">
        <v>5.49</v>
      </c>
      <c r="W1658">
        <v>149725</v>
      </c>
      <c r="X1658">
        <v>104646</v>
      </c>
      <c r="Y1658">
        <v>1.43</v>
      </c>
      <c r="Z1658">
        <v>447</v>
      </c>
      <c r="AA1658">
        <v>1671</v>
      </c>
      <c r="AB1658" t="s">
        <v>116</v>
      </c>
      <c r="AC1658">
        <v>2103000</v>
      </c>
      <c r="AD1658">
        <v>7.0000000000000007E-2</v>
      </c>
      <c r="AE1658" t="s">
        <v>116</v>
      </c>
      <c r="AF1658" t="s">
        <v>116</v>
      </c>
      <c r="AG1658">
        <v>6.74</v>
      </c>
      <c r="AH1658" t="s">
        <v>4324</v>
      </c>
      <c r="AI1658" t="s">
        <v>8619</v>
      </c>
      <c r="AJ1658">
        <v>-1.68</v>
      </c>
      <c r="AK1658">
        <v>2558</v>
      </c>
      <c r="AL1658">
        <v>99</v>
      </c>
      <c r="AM1658">
        <v>1.5E-3</v>
      </c>
      <c r="AN1658">
        <v>-1</v>
      </c>
      <c r="AO1658">
        <v>2.27</v>
      </c>
      <c r="AP1658">
        <v>23.06</v>
      </c>
      <c r="AQ1658">
        <v>20.309999999999999</v>
      </c>
      <c r="AR1658">
        <v>35.43</v>
      </c>
      <c r="AS1658">
        <v>4.66</v>
      </c>
      <c r="AT1658" t="s">
        <v>8620</v>
      </c>
      <c r="AU1658">
        <v>27.43</v>
      </c>
      <c r="AV1658">
        <v>36.299999999999997</v>
      </c>
      <c r="AW1658">
        <v>1.3</v>
      </c>
      <c r="BA1658">
        <v>1.27</v>
      </c>
      <c r="BB1658">
        <v>1.99</v>
      </c>
      <c r="BC1658">
        <v>-3.08</v>
      </c>
      <c r="BD1658">
        <v>-0.51</v>
      </c>
      <c r="BE1658">
        <v>-3.58</v>
      </c>
      <c r="BF1658">
        <v>-4.26</v>
      </c>
      <c r="BG1658">
        <v>0.75</v>
      </c>
      <c r="BH1658">
        <v>-1.84</v>
      </c>
      <c r="BI1658">
        <v>20191030</v>
      </c>
      <c r="BJ1658">
        <v>20110916</v>
      </c>
      <c r="BK1658">
        <v>9.15</v>
      </c>
      <c r="BL1658" t="s">
        <v>116</v>
      </c>
      <c r="BM1658" t="s">
        <v>116</v>
      </c>
      <c r="BN1658">
        <v>44.76</v>
      </c>
      <c r="BO1658">
        <v>26.96</v>
      </c>
      <c r="BP1658">
        <v>2.62</v>
      </c>
      <c r="BQ1658">
        <v>33.909999999999997</v>
      </c>
      <c r="BR1658">
        <v>23.08</v>
      </c>
      <c r="BS1658">
        <v>4.6500000000000004</v>
      </c>
      <c r="BT1658">
        <v>2.65</v>
      </c>
      <c r="BU1658">
        <v>13.47</v>
      </c>
      <c r="BV1658">
        <v>5.84</v>
      </c>
      <c r="BW1658">
        <v>11.25</v>
      </c>
      <c r="BX1658">
        <v>10.89</v>
      </c>
      <c r="BY1658">
        <v>12.95</v>
      </c>
      <c r="BZ1658">
        <v>9.0299999999999994</v>
      </c>
      <c r="CA1658">
        <v>1.76</v>
      </c>
      <c r="CB1658">
        <v>0.06</v>
      </c>
      <c r="CC1658">
        <v>1.85</v>
      </c>
      <c r="CD1658">
        <v>1.59</v>
      </c>
      <c r="CE1658">
        <v>1.34</v>
      </c>
      <c r="CF1658">
        <v>1.19</v>
      </c>
      <c r="CG1658">
        <v>7.58</v>
      </c>
      <c r="CH1658">
        <v>-0.64</v>
      </c>
      <c r="CI1658">
        <v>-3.55</v>
      </c>
      <c r="CJ1658">
        <v>35981</v>
      </c>
      <c r="CK1658">
        <v>15162</v>
      </c>
      <c r="CL1658" t="s">
        <v>5051</v>
      </c>
      <c r="CM1658">
        <v>48.51</v>
      </c>
      <c r="CN1658">
        <v>19.850000000000001</v>
      </c>
      <c r="CO1658">
        <v>1.83</v>
      </c>
      <c r="CP1658">
        <v>-77.540000000000006</v>
      </c>
      <c r="CQ1658">
        <v>3.81</v>
      </c>
      <c r="CR1658">
        <v>0.37</v>
      </c>
      <c r="CS1658" t="s">
        <v>2902</v>
      </c>
      <c r="CT1658">
        <v>2.95</v>
      </c>
      <c r="CU1658">
        <v>0</v>
      </c>
      <c r="CV1658">
        <v>1.19</v>
      </c>
      <c r="CW1658">
        <v>0.83</v>
      </c>
      <c r="CX1658">
        <v>-7.0000000000000007E-2</v>
      </c>
      <c r="CY1658">
        <v>60.23</v>
      </c>
      <c r="CZ1658" t="s">
        <v>5287</v>
      </c>
      <c r="DA1658">
        <v>30.26</v>
      </c>
      <c r="DB1658">
        <v>13.59</v>
      </c>
      <c r="DC1658">
        <v>10.38</v>
      </c>
      <c r="DD1658">
        <v>0.37</v>
      </c>
      <c r="DE1658">
        <v>1460</v>
      </c>
      <c r="DF1658">
        <v>300263</v>
      </c>
      <c r="DG1658" t="s">
        <v>116</v>
      </c>
      <c r="DH1658" t="s">
        <v>116</v>
      </c>
      <c r="DI1658" t="s">
        <v>116</v>
      </c>
    </row>
    <row r="1659" spans="1:113" x14ac:dyDescent="0.4">
      <c r="A1659" t="str">
        <f>"300264"</f>
        <v>300264</v>
      </c>
      <c r="B1659" t="s">
        <v>8621</v>
      </c>
      <c r="C1659">
        <v>-1.21</v>
      </c>
      <c r="D1659">
        <v>4.9000000000000004</v>
      </c>
      <c r="E1659">
        <v>-0.06</v>
      </c>
      <c r="F1659">
        <v>4.9000000000000004</v>
      </c>
      <c r="G1659">
        <v>4.91</v>
      </c>
      <c r="H1659">
        <v>79282</v>
      </c>
      <c r="I1659">
        <v>1415</v>
      </c>
      <c r="J1659">
        <v>-0.19</v>
      </c>
      <c r="K1659">
        <v>2.46</v>
      </c>
      <c r="L1659">
        <v>4.96</v>
      </c>
      <c r="M1659">
        <v>5.05</v>
      </c>
      <c r="N1659">
        <v>4.9000000000000004</v>
      </c>
      <c r="O1659">
        <v>4.96</v>
      </c>
      <c r="P1659" t="s">
        <v>116</v>
      </c>
      <c r="Q1659">
        <v>39442896</v>
      </c>
      <c r="R1659">
        <v>0.71</v>
      </c>
      <c r="S1659" t="s">
        <v>465</v>
      </c>
      <c r="T1659" t="s">
        <v>115</v>
      </c>
      <c r="U1659">
        <v>3.02</v>
      </c>
      <c r="V1659">
        <v>4.97</v>
      </c>
      <c r="W1659">
        <v>46899</v>
      </c>
      <c r="X1659">
        <v>32383</v>
      </c>
      <c r="Y1659">
        <v>1.45</v>
      </c>
      <c r="Z1659">
        <v>531</v>
      </c>
      <c r="AA1659">
        <v>484</v>
      </c>
      <c r="AB1659" t="s">
        <v>116</v>
      </c>
      <c r="AC1659">
        <v>151800</v>
      </c>
      <c r="AD1659">
        <v>0.01</v>
      </c>
      <c r="AE1659" t="s">
        <v>116</v>
      </c>
      <c r="AF1659" t="s">
        <v>116</v>
      </c>
      <c r="AG1659">
        <v>3.22</v>
      </c>
      <c r="AH1659" t="s">
        <v>8622</v>
      </c>
      <c r="AI1659" t="s">
        <v>1654</v>
      </c>
      <c r="AJ1659">
        <v>-0.53</v>
      </c>
      <c r="AK1659">
        <v>1020</v>
      </c>
      <c r="AL1659">
        <v>78</v>
      </c>
      <c r="AM1659">
        <v>2.3999999999999998E-3</v>
      </c>
      <c r="AN1659">
        <v>-1</v>
      </c>
      <c r="AO1659">
        <v>-1.61</v>
      </c>
      <c r="AP1659">
        <v>3.59</v>
      </c>
      <c r="AQ1659">
        <v>-15.95</v>
      </c>
      <c r="AR1659">
        <v>6.29</v>
      </c>
      <c r="AS1659">
        <v>2.62</v>
      </c>
      <c r="AT1659" t="s">
        <v>8623</v>
      </c>
      <c r="AU1659" t="s">
        <v>116</v>
      </c>
      <c r="AV1659">
        <v>191.02</v>
      </c>
      <c r="AW1659">
        <v>1.84</v>
      </c>
      <c r="BA1659">
        <v>0</v>
      </c>
      <c r="BB1659">
        <v>1.81</v>
      </c>
      <c r="BC1659">
        <v>-1.21</v>
      </c>
      <c r="BD1659">
        <v>0.3</v>
      </c>
      <c r="BE1659">
        <v>-1.21</v>
      </c>
      <c r="BF1659">
        <v>-2.97</v>
      </c>
      <c r="BG1659">
        <v>0</v>
      </c>
      <c r="BH1659">
        <v>-1.51</v>
      </c>
      <c r="BI1659">
        <v>20191225</v>
      </c>
      <c r="BJ1659">
        <v>20110916</v>
      </c>
      <c r="BK1659">
        <v>4.13</v>
      </c>
      <c r="BL1659" t="s">
        <v>116</v>
      </c>
      <c r="BM1659" t="s">
        <v>116</v>
      </c>
      <c r="BN1659">
        <v>7.31</v>
      </c>
      <c r="BO1659">
        <v>5.18</v>
      </c>
      <c r="BP1659">
        <v>0.02</v>
      </c>
      <c r="BQ1659">
        <v>28.96</v>
      </c>
      <c r="BR1659">
        <v>4.2699999999999996</v>
      </c>
      <c r="BS1659">
        <v>0.11</v>
      </c>
      <c r="BT1659">
        <v>0.23</v>
      </c>
      <c r="BU1659">
        <v>2.0699999999999998</v>
      </c>
      <c r="BV1659">
        <v>0.9</v>
      </c>
      <c r="BW1659">
        <v>3.04</v>
      </c>
      <c r="BX1659">
        <v>0.96</v>
      </c>
      <c r="BY1659">
        <v>1.06</v>
      </c>
      <c r="BZ1659">
        <v>0.77</v>
      </c>
      <c r="CA1659">
        <v>-0.31</v>
      </c>
      <c r="CB1659">
        <v>0</v>
      </c>
      <c r="CC1659">
        <v>-0.32</v>
      </c>
      <c r="CD1659">
        <v>-0.33</v>
      </c>
      <c r="CE1659">
        <v>-0.3</v>
      </c>
      <c r="CF1659">
        <v>-0.33</v>
      </c>
      <c r="CG1659">
        <v>-0.17</v>
      </c>
      <c r="CH1659">
        <v>-0.03</v>
      </c>
      <c r="CI1659">
        <v>-0.42</v>
      </c>
      <c r="CJ1659">
        <v>23243</v>
      </c>
      <c r="CK1659">
        <v>13015</v>
      </c>
      <c r="CL1659" t="s">
        <v>423</v>
      </c>
      <c r="CM1659">
        <v>-2239.4899999999998</v>
      </c>
      <c r="CN1659">
        <v>-43.85</v>
      </c>
      <c r="CO1659">
        <v>3.91</v>
      </c>
      <c r="CP1659">
        <v>-786.77</v>
      </c>
      <c r="CQ1659">
        <v>19.14</v>
      </c>
      <c r="CR1659">
        <v>0</v>
      </c>
      <c r="CS1659" t="s">
        <v>8624</v>
      </c>
      <c r="CT1659">
        <v>1.25</v>
      </c>
      <c r="CU1659">
        <v>0</v>
      </c>
      <c r="CV1659">
        <v>0.23</v>
      </c>
      <c r="CW1659">
        <v>-0.04</v>
      </c>
      <c r="CX1659">
        <v>-0.01</v>
      </c>
      <c r="CY1659">
        <v>70.83</v>
      </c>
      <c r="CZ1659" t="s">
        <v>8625</v>
      </c>
      <c r="DA1659">
        <v>27.6</v>
      </c>
      <c r="DB1659">
        <v>-29.13</v>
      </c>
      <c r="DC1659">
        <v>-28.34</v>
      </c>
      <c r="DD1659">
        <v>0.24</v>
      </c>
      <c r="DE1659">
        <v>317</v>
      </c>
      <c r="DF1659">
        <v>300264</v>
      </c>
      <c r="DG1659" t="s">
        <v>116</v>
      </c>
      <c r="DH1659" t="s">
        <v>116</v>
      </c>
      <c r="DI1659" t="s">
        <v>116</v>
      </c>
    </row>
    <row r="1660" spans="1:113" x14ac:dyDescent="0.4">
      <c r="A1660" t="str">
        <f>"300265"</f>
        <v>300265</v>
      </c>
      <c r="B1660" t="s">
        <v>8626</v>
      </c>
      <c r="C1660">
        <v>0.13</v>
      </c>
      <c r="D1660">
        <v>7.68</v>
      </c>
      <c r="E1660">
        <v>0.01</v>
      </c>
      <c r="F1660">
        <v>7.68</v>
      </c>
      <c r="G1660">
        <v>7.69</v>
      </c>
      <c r="H1660">
        <v>15013</v>
      </c>
      <c r="I1660">
        <v>848</v>
      </c>
      <c r="J1660">
        <v>0.39</v>
      </c>
      <c r="K1660">
        <v>0.45</v>
      </c>
      <c r="L1660">
        <v>7.7</v>
      </c>
      <c r="M1660">
        <v>7.74</v>
      </c>
      <c r="N1660">
        <v>7.63</v>
      </c>
      <c r="O1660">
        <v>7.67</v>
      </c>
      <c r="P1660">
        <v>56.86</v>
      </c>
      <c r="Q1660">
        <v>11552480</v>
      </c>
      <c r="R1660">
        <v>0.86</v>
      </c>
      <c r="S1660" t="s">
        <v>397</v>
      </c>
      <c r="T1660" t="s">
        <v>323</v>
      </c>
      <c r="U1660">
        <v>1.43</v>
      </c>
      <c r="V1660">
        <v>7.69</v>
      </c>
      <c r="W1660">
        <v>7932</v>
      </c>
      <c r="X1660">
        <v>7081</v>
      </c>
      <c r="Y1660">
        <v>1.1200000000000001</v>
      </c>
      <c r="Z1660">
        <v>9161</v>
      </c>
      <c r="AA1660">
        <v>227</v>
      </c>
      <c r="AB1660" t="s">
        <v>116</v>
      </c>
      <c r="AC1660">
        <v>58500</v>
      </c>
      <c r="AD1660">
        <v>0.01</v>
      </c>
      <c r="AE1660" t="s">
        <v>116</v>
      </c>
      <c r="AF1660" t="s">
        <v>116</v>
      </c>
      <c r="AG1660">
        <v>3.37</v>
      </c>
      <c r="AH1660" t="s">
        <v>1661</v>
      </c>
      <c r="AI1660" t="s">
        <v>6902</v>
      </c>
      <c r="AJ1660">
        <v>0.81</v>
      </c>
      <c r="AK1660">
        <v>744</v>
      </c>
      <c r="AL1660">
        <v>20</v>
      </c>
      <c r="AM1660">
        <v>5.9999999999999995E-4</v>
      </c>
      <c r="AN1660">
        <v>1</v>
      </c>
      <c r="AO1660">
        <v>0.52</v>
      </c>
      <c r="AP1660">
        <v>0.39</v>
      </c>
      <c r="AQ1660">
        <v>-3.64</v>
      </c>
      <c r="AR1660">
        <v>-4.3</v>
      </c>
      <c r="AS1660">
        <v>1.38</v>
      </c>
      <c r="AT1660" t="s">
        <v>3456</v>
      </c>
      <c r="AU1660">
        <v>63.59</v>
      </c>
      <c r="AV1660">
        <v>69.459999999999994</v>
      </c>
      <c r="AW1660">
        <v>0.75</v>
      </c>
      <c r="BA1660">
        <v>0.39</v>
      </c>
      <c r="BB1660">
        <v>0.91</v>
      </c>
      <c r="BC1660">
        <v>-0.52</v>
      </c>
      <c r="BD1660">
        <v>0.33</v>
      </c>
      <c r="BE1660">
        <v>-0.26</v>
      </c>
      <c r="BF1660">
        <v>-0.78</v>
      </c>
      <c r="BG1660">
        <v>0.66</v>
      </c>
      <c r="BH1660">
        <v>-0.2</v>
      </c>
      <c r="BI1660">
        <v>20191029</v>
      </c>
      <c r="BJ1660">
        <v>20110916</v>
      </c>
      <c r="BK1660">
        <v>3.38</v>
      </c>
      <c r="BL1660" t="s">
        <v>116</v>
      </c>
      <c r="BM1660" t="s">
        <v>116</v>
      </c>
      <c r="BN1660">
        <v>21.3</v>
      </c>
      <c r="BO1660">
        <v>10.25</v>
      </c>
      <c r="BP1660">
        <v>0.4</v>
      </c>
      <c r="BQ1660">
        <v>50</v>
      </c>
      <c r="BR1660">
        <v>14.15</v>
      </c>
      <c r="BS1660">
        <v>3.29</v>
      </c>
      <c r="BT1660">
        <v>1.1499999999999999</v>
      </c>
      <c r="BU1660">
        <v>9.6999999999999993</v>
      </c>
      <c r="BV1660">
        <v>2.1800000000000002</v>
      </c>
      <c r="BW1660">
        <v>8.52</v>
      </c>
      <c r="BX1660">
        <v>1.96</v>
      </c>
      <c r="BY1660">
        <v>10.3</v>
      </c>
      <c r="BZ1660">
        <v>7.68</v>
      </c>
      <c r="CA1660">
        <v>0.45</v>
      </c>
      <c r="CB1660">
        <v>-0.04</v>
      </c>
      <c r="CC1660">
        <v>0.43</v>
      </c>
      <c r="CD1660">
        <v>0.35</v>
      </c>
      <c r="CE1660">
        <v>0.34</v>
      </c>
      <c r="CF1660">
        <v>0.33</v>
      </c>
      <c r="CG1660">
        <v>4.5199999999999996</v>
      </c>
      <c r="CH1660">
        <v>1.01</v>
      </c>
      <c r="CI1660">
        <v>-0.85</v>
      </c>
      <c r="CJ1660">
        <v>21196</v>
      </c>
      <c r="CK1660">
        <v>5145</v>
      </c>
      <c r="CL1660" t="s">
        <v>895</v>
      </c>
      <c r="CM1660">
        <v>11.21</v>
      </c>
      <c r="CN1660">
        <v>-11.03</v>
      </c>
      <c r="CO1660">
        <v>2.5299999999999998</v>
      </c>
      <c r="CP1660">
        <v>25.7</v>
      </c>
      <c r="CQ1660">
        <v>2.52</v>
      </c>
      <c r="CR1660">
        <v>0.2</v>
      </c>
      <c r="CS1660" t="s">
        <v>3235</v>
      </c>
      <c r="CT1660">
        <v>3.04</v>
      </c>
      <c r="CU1660">
        <v>0</v>
      </c>
      <c r="CV1660">
        <v>0.57999999999999996</v>
      </c>
      <c r="CW1660">
        <v>1.34</v>
      </c>
      <c r="CX1660">
        <v>0.3</v>
      </c>
      <c r="CY1660">
        <v>48.11</v>
      </c>
      <c r="CZ1660" t="s">
        <v>658</v>
      </c>
      <c r="DA1660">
        <v>25.39</v>
      </c>
      <c r="DB1660">
        <v>4.34</v>
      </c>
      <c r="DC1660">
        <v>3.32</v>
      </c>
      <c r="DD1660">
        <v>0.39</v>
      </c>
      <c r="DE1660">
        <v>1279</v>
      </c>
      <c r="DF1660">
        <v>300265</v>
      </c>
      <c r="DG1660" t="s">
        <v>116</v>
      </c>
      <c r="DH1660" t="s">
        <v>116</v>
      </c>
      <c r="DI1660" t="s">
        <v>116</v>
      </c>
    </row>
    <row r="1661" spans="1:113" x14ac:dyDescent="0.4">
      <c r="A1661" t="str">
        <f>"300266"</f>
        <v>300266</v>
      </c>
      <c r="B1661" t="s">
        <v>8627</v>
      </c>
      <c r="C1661">
        <v>-0.85</v>
      </c>
      <c r="D1661">
        <v>3.51</v>
      </c>
      <c r="E1661">
        <v>-0.03</v>
      </c>
      <c r="F1661">
        <v>3.5</v>
      </c>
      <c r="G1661">
        <v>3.51</v>
      </c>
      <c r="H1661">
        <v>184539</v>
      </c>
      <c r="I1661">
        <v>1375</v>
      </c>
      <c r="J1661">
        <v>0</v>
      </c>
      <c r="K1661">
        <v>1.22</v>
      </c>
      <c r="L1661">
        <v>3.6</v>
      </c>
      <c r="M1661">
        <v>3.6</v>
      </c>
      <c r="N1661">
        <v>3.5</v>
      </c>
      <c r="O1661">
        <v>3.54</v>
      </c>
      <c r="P1661">
        <v>66.319999999999993</v>
      </c>
      <c r="Q1661">
        <v>65687316</v>
      </c>
      <c r="R1661">
        <v>1.19</v>
      </c>
      <c r="S1661" t="s">
        <v>140</v>
      </c>
      <c r="T1661" t="s">
        <v>590</v>
      </c>
      <c r="U1661">
        <v>2.82</v>
      </c>
      <c r="V1661">
        <v>3.56</v>
      </c>
      <c r="W1661">
        <v>106911</v>
      </c>
      <c r="X1661">
        <v>77628</v>
      </c>
      <c r="Y1661">
        <v>1.38</v>
      </c>
      <c r="Z1661">
        <v>3660</v>
      </c>
      <c r="AA1661">
        <v>1911</v>
      </c>
      <c r="AB1661" t="s">
        <v>116</v>
      </c>
      <c r="AC1661">
        <v>657000</v>
      </c>
      <c r="AD1661">
        <v>0.02</v>
      </c>
      <c r="AE1661" t="s">
        <v>116</v>
      </c>
      <c r="AF1661" t="s">
        <v>116</v>
      </c>
      <c r="AG1661">
        <v>15.08</v>
      </c>
      <c r="AH1661" t="s">
        <v>8584</v>
      </c>
      <c r="AI1661" t="s">
        <v>5934</v>
      </c>
      <c r="AJ1661">
        <v>-0.17</v>
      </c>
      <c r="AK1661">
        <v>1744</v>
      </c>
      <c r="AL1661">
        <v>106</v>
      </c>
      <c r="AM1661">
        <v>6.9999999999999999E-4</v>
      </c>
      <c r="AN1661">
        <v>-1</v>
      </c>
      <c r="AO1661">
        <v>0.28000000000000003</v>
      </c>
      <c r="AP1661">
        <v>0.86</v>
      </c>
      <c r="AQ1661">
        <v>-4.0999999999999996</v>
      </c>
      <c r="AR1661">
        <v>-0.56999999999999995</v>
      </c>
      <c r="AS1661">
        <v>1.99</v>
      </c>
      <c r="AT1661" t="s">
        <v>8628</v>
      </c>
      <c r="AU1661" t="s">
        <v>116</v>
      </c>
      <c r="AV1661" t="s">
        <v>116</v>
      </c>
      <c r="AW1661">
        <v>1.1100000000000001</v>
      </c>
      <c r="BA1661">
        <v>1.69</v>
      </c>
      <c r="BB1661">
        <v>1.69</v>
      </c>
      <c r="BC1661">
        <v>-1.1299999999999999</v>
      </c>
      <c r="BD1661">
        <v>0.55000000000000004</v>
      </c>
      <c r="BE1661">
        <v>-2.5</v>
      </c>
      <c r="BF1661">
        <v>-2.5</v>
      </c>
      <c r="BG1661">
        <v>0.28999999999999998</v>
      </c>
      <c r="BH1661">
        <v>-1.4</v>
      </c>
      <c r="BI1661">
        <v>20191115</v>
      </c>
      <c r="BJ1661">
        <v>20110927</v>
      </c>
      <c r="BK1661">
        <v>15.64</v>
      </c>
      <c r="BL1661" t="s">
        <v>116</v>
      </c>
      <c r="BM1661" t="s">
        <v>116</v>
      </c>
      <c r="BN1661">
        <v>100.15</v>
      </c>
      <c r="BO1661">
        <v>25.3</v>
      </c>
      <c r="BP1661">
        <v>3</v>
      </c>
      <c r="BQ1661">
        <v>71.739999999999995</v>
      </c>
      <c r="BR1661">
        <v>75.489999999999995</v>
      </c>
      <c r="BS1661">
        <v>3.27</v>
      </c>
      <c r="BT1661">
        <v>4.8899999999999997</v>
      </c>
      <c r="BU1661">
        <v>52.29</v>
      </c>
      <c r="BV1661">
        <v>51.39</v>
      </c>
      <c r="BW1661">
        <v>12.08</v>
      </c>
      <c r="BX1661">
        <v>13.8</v>
      </c>
      <c r="BY1661">
        <v>14.16</v>
      </c>
      <c r="BZ1661">
        <v>11.05</v>
      </c>
      <c r="CA1661">
        <v>0.83</v>
      </c>
      <c r="CB1661">
        <v>7.0000000000000007E-2</v>
      </c>
      <c r="CC1661">
        <v>0.84</v>
      </c>
      <c r="CD1661">
        <v>0.57999999999999996</v>
      </c>
      <c r="CE1661">
        <v>0.62</v>
      </c>
      <c r="CF1661">
        <v>0.35</v>
      </c>
      <c r="CG1661">
        <v>-4.58</v>
      </c>
      <c r="CH1661">
        <v>0.97</v>
      </c>
      <c r="CI1661">
        <v>-0.21</v>
      </c>
      <c r="CJ1661">
        <v>37141</v>
      </c>
      <c r="CK1661">
        <v>24939</v>
      </c>
      <c r="CL1661" t="s">
        <v>2213</v>
      </c>
      <c r="CM1661">
        <v>-52.09</v>
      </c>
      <c r="CN1661">
        <v>-33.28</v>
      </c>
      <c r="CO1661">
        <v>2.17</v>
      </c>
      <c r="CP1661">
        <v>56.32</v>
      </c>
      <c r="CQ1661">
        <v>3.88</v>
      </c>
      <c r="CR1661">
        <v>0</v>
      </c>
      <c r="CS1661" t="s">
        <v>778</v>
      </c>
      <c r="CT1661">
        <v>1.62</v>
      </c>
      <c r="CU1661">
        <v>0</v>
      </c>
      <c r="CV1661">
        <v>0.88</v>
      </c>
      <c r="CW1661">
        <v>-0.28999999999999998</v>
      </c>
      <c r="CX1661">
        <v>0.06</v>
      </c>
      <c r="CY1661">
        <v>25.27</v>
      </c>
      <c r="CZ1661" t="s">
        <v>3278</v>
      </c>
      <c r="DA1661">
        <v>21.94</v>
      </c>
      <c r="DB1661">
        <v>5.87</v>
      </c>
      <c r="DC1661">
        <v>4.3899999999999997</v>
      </c>
      <c r="DD1661">
        <v>0.47</v>
      </c>
      <c r="DE1661">
        <v>1418</v>
      </c>
      <c r="DF1661">
        <v>300266</v>
      </c>
      <c r="DG1661" t="s">
        <v>116</v>
      </c>
      <c r="DH1661" t="s">
        <v>116</v>
      </c>
      <c r="DI1661" t="s">
        <v>116</v>
      </c>
    </row>
    <row r="1662" spans="1:113" x14ac:dyDescent="0.4">
      <c r="A1662" t="str">
        <f>"300267"</f>
        <v>300267</v>
      </c>
      <c r="B1662" t="s">
        <v>8629</v>
      </c>
      <c r="C1662">
        <v>-3.39</v>
      </c>
      <c r="D1662">
        <v>5.13</v>
      </c>
      <c r="E1662">
        <v>-0.18</v>
      </c>
      <c r="F1662">
        <v>5.13</v>
      </c>
      <c r="G1662">
        <v>5.14</v>
      </c>
      <c r="H1662">
        <v>287308</v>
      </c>
      <c r="I1662">
        <v>3796</v>
      </c>
      <c r="J1662">
        <v>-0.18</v>
      </c>
      <c r="K1662">
        <v>2.0299999999999998</v>
      </c>
      <c r="L1662">
        <v>5.3</v>
      </c>
      <c r="M1662">
        <v>5.31</v>
      </c>
      <c r="N1662">
        <v>5.0999999999999996</v>
      </c>
      <c r="O1662">
        <v>5.31</v>
      </c>
      <c r="P1662">
        <v>47.56</v>
      </c>
      <c r="Q1662">
        <v>149563072</v>
      </c>
      <c r="R1662">
        <v>1.41</v>
      </c>
      <c r="S1662" t="s">
        <v>574</v>
      </c>
      <c r="T1662" t="s">
        <v>599</v>
      </c>
      <c r="U1662">
        <v>3.95</v>
      </c>
      <c r="V1662">
        <v>5.21</v>
      </c>
      <c r="W1662">
        <v>173703</v>
      </c>
      <c r="X1662">
        <v>113605</v>
      </c>
      <c r="Y1662">
        <v>1.53</v>
      </c>
      <c r="Z1662">
        <v>571</v>
      </c>
      <c r="AA1662">
        <v>2304</v>
      </c>
      <c r="AB1662" t="s">
        <v>116</v>
      </c>
      <c r="AC1662">
        <v>115500</v>
      </c>
      <c r="AD1662">
        <v>0</v>
      </c>
      <c r="AE1662" t="s">
        <v>116</v>
      </c>
      <c r="AF1662" t="s">
        <v>116</v>
      </c>
      <c r="AG1662">
        <v>14.15</v>
      </c>
      <c r="AH1662" t="s">
        <v>8630</v>
      </c>
      <c r="AI1662" t="s">
        <v>8631</v>
      </c>
      <c r="AJ1662">
        <v>-2.71</v>
      </c>
      <c r="AK1662">
        <v>2142</v>
      </c>
      <c r="AL1662">
        <v>134</v>
      </c>
      <c r="AM1662">
        <v>8.9999999999999998E-4</v>
      </c>
      <c r="AN1662">
        <v>-3</v>
      </c>
      <c r="AO1662">
        <v>-4.6399999999999997</v>
      </c>
      <c r="AP1662">
        <v>-16.989999999999998</v>
      </c>
      <c r="AQ1662">
        <v>-16.989999999999998</v>
      </c>
      <c r="AR1662">
        <v>33.25</v>
      </c>
      <c r="AS1662">
        <v>3.15</v>
      </c>
      <c r="AT1662" t="s">
        <v>8632</v>
      </c>
      <c r="AU1662">
        <v>123.5</v>
      </c>
      <c r="AV1662">
        <v>48.86</v>
      </c>
      <c r="AW1662">
        <v>0.96</v>
      </c>
      <c r="BA1662">
        <v>-0.19</v>
      </c>
      <c r="BB1662">
        <v>0</v>
      </c>
      <c r="BC1662">
        <v>-3.95</v>
      </c>
      <c r="BD1662">
        <v>-1.96</v>
      </c>
      <c r="BE1662">
        <v>-3.21</v>
      </c>
      <c r="BF1662">
        <v>-3.39</v>
      </c>
      <c r="BG1662">
        <v>0.59</v>
      </c>
      <c r="BH1662">
        <v>-1.43</v>
      </c>
      <c r="BI1662">
        <v>20191030</v>
      </c>
      <c r="BJ1662">
        <v>20110927</v>
      </c>
      <c r="BK1662">
        <v>20.63</v>
      </c>
      <c r="BL1662" t="s">
        <v>116</v>
      </c>
      <c r="BM1662" t="s">
        <v>116</v>
      </c>
      <c r="BN1662">
        <v>61.86</v>
      </c>
      <c r="BO1662">
        <v>57.81</v>
      </c>
      <c r="BP1662">
        <v>0.37</v>
      </c>
      <c r="BQ1662">
        <v>5.96</v>
      </c>
      <c r="BR1662">
        <v>29.75</v>
      </c>
      <c r="BS1662">
        <v>21.91</v>
      </c>
      <c r="BT1662">
        <v>3.5</v>
      </c>
      <c r="BU1662">
        <v>2.38</v>
      </c>
      <c r="BV1662">
        <v>10.35</v>
      </c>
      <c r="BW1662">
        <v>3.88</v>
      </c>
      <c r="BX1662">
        <v>9.56</v>
      </c>
      <c r="BY1662">
        <v>19.489999999999998</v>
      </c>
      <c r="BZ1662">
        <v>14.21</v>
      </c>
      <c r="CA1662">
        <v>1.94</v>
      </c>
      <c r="CB1662">
        <v>0</v>
      </c>
      <c r="CC1662">
        <v>1.88</v>
      </c>
      <c r="CD1662">
        <v>1.62</v>
      </c>
      <c r="CE1662">
        <v>1.67</v>
      </c>
      <c r="CF1662">
        <v>1.59</v>
      </c>
      <c r="CG1662">
        <v>25.64</v>
      </c>
      <c r="CH1662">
        <v>0.28999999999999998</v>
      </c>
      <c r="CI1662">
        <v>-5.52</v>
      </c>
      <c r="CJ1662">
        <v>30513</v>
      </c>
      <c r="CK1662">
        <v>29883</v>
      </c>
      <c r="CL1662" t="s">
        <v>8633</v>
      </c>
      <c r="CM1662">
        <v>-43.96</v>
      </c>
      <c r="CN1662">
        <v>26.06</v>
      </c>
      <c r="CO1662">
        <v>1.83</v>
      </c>
      <c r="CP1662">
        <v>361.1</v>
      </c>
      <c r="CQ1662">
        <v>5.43</v>
      </c>
      <c r="CR1662">
        <v>0.19</v>
      </c>
      <c r="CS1662" t="s">
        <v>1105</v>
      </c>
      <c r="CT1662">
        <v>2.8</v>
      </c>
      <c r="CU1662">
        <v>0</v>
      </c>
      <c r="CV1662">
        <v>0.46</v>
      </c>
      <c r="CW1662">
        <v>1.24</v>
      </c>
      <c r="CX1662">
        <v>0.01</v>
      </c>
      <c r="CY1662">
        <v>93.45</v>
      </c>
      <c r="CZ1662" t="s">
        <v>5949</v>
      </c>
      <c r="DA1662">
        <v>27.11</v>
      </c>
      <c r="DB1662">
        <v>9.9700000000000006</v>
      </c>
      <c r="DC1662">
        <v>8.56</v>
      </c>
      <c r="DD1662">
        <v>0.41</v>
      </c>
      <c r="DE1662">
        <v>1485</v>
      </c>
      <c r="DF1662">
        <v>300267</v>
      </c>
      <c r="DG1662" t="s">
        <v>116</v>
      </c>
      <c r="DH1662" t="s">
        <v>116</v>
      </c>
      <c r="DI1662" t="s">
        <v>116</v>
      </c>
    </row>
    <row r="1663" spans="1:113" x14ac:dyDescent="0.4">
      <c r="A1663" t="str">
        <f>"300268"</f>
        <v>300268</v>
      </c>
      <c r="B1663" t="s">
        <v>8634</v>
      </c>
      <c r="C1663">
        <v>10.02</v>
      </c>
      <c r="D1663">
        <v>14.27</v>
      </c>
      <c r="E1663">
        <v>1.3</v>
      </c>
      <c r="F1663">
        <v>14.27</v>
      </c>
      <c r="G1663" t="s">
        <v>116</v>
      </c>
      <c r="H1663">
        <v>39735</v>
      </c>
      <c r="I1663">
        <v>52</v>
      </c>
      <c r="J1663">
        <v>0</v>
      </c>
      <c r="K1663">
        <v>4.05</v>
      </c>
      <c r="L1663">
        <v>13</v>
      </c>
      <c r="M1663">
        <v>14.27</v>
      </c>
      <c r="N1663">
        <v>13</v>
      </c>
      <c r="O1663">
        <v>12.97</v>
      </c>
      <c r="P1663" t="s">
        <v>116</v>
      </c>
      <c r="Q1663">
        <v>55104592</v>
      </c>
      <c r="R1663">
        <v>3.52</v>
      </c>
      <c r="S1663" t="s">
        <v>449</v>
      </c>
      <c r="T1663" t="s">
        <v>599</v>
      </c>
      <c r="U1663">
        <v>9.7899999999999991</v>
      </c>
      <c r="V1663">
        <v>13.87</v>
      </c>
      <c r="W1663">
        <v>17976</v>
      </c>
      <c r="X1663">
        <v>21759</v>
      </c>
      <c r="Y1663">
        <v>0.83</v>
      </c>
      <c r="Z1663">
        <v>7006</v>
      </c>
      <c r="AA1663">
        <v>0</v>
      </c>
      <c r="AB1663" t="s">
        <v>116</v>
      </c>
      <c r="AC1663">
        <v>32500</v>
      </c>
      <c r="AD1663">
        <v>0</v>
      </c>
      <c r="AE1663">
        <v>0.18</v>
      </c>
      <c r="AF1663">
        <v>9997562</v>
      </c>
      <c r="AG1663">
        <v>0.98</v>
      </c>
      <c r="AH1663" t="s">
        <v>7040</v>
      </c>
      <c r="AI1663" t="s">
        <v>8635</v>
      </c>
      <c r="AJ1663">
        <v>10.7</v>
      </c>
      <c r="AK1663">
        <v>1021</v>
      </c>
      <c r="AL1663">
        <v>39</v>
      </c>
      <c r="AM1663">
        <v>4.0000000000000001E-3</v>
      </c>
      <c r="AN1663">
        <v>2</v>
      </c>
      <c r="AO1663">
        <v>8.93</v>
      </c>
      <c r="AP1663">
        <v>3.11</v>
      </c>
      <c r="AQ1663">
        <v>-6.24</v>
      </c>
      <c r="AR1663">
        <v>27.18</v>
      </c>
      <c r="AS1663">
        <v>4.24</v>
      </c>
      <c r="AT1663" t="s">
        <v>8636</v>
      </c>
      <c r="AU1663" t="s">
        <v>116</v>
      </c>
      <c r="AV1663">
        <v>77.95</v>
      </c>
      <c r="AW1663">
        <v>0.88</v>
      </c>
      <c r="BA1663">
        <v>0.23</v>
      </c>
      <c r="BB1663">
        <v>10.02</v>
      </c>
      <c r="BC1663">
        <v>0.23</v>
      </c>
      <c r="BD1663">
        <v>6.92</v>
      </c>
      <c r="BE1663">
        <v>9.77</v>
      </c>
      <c r="BF1663">
        <v>0</v>
      </c>
      <c r="BG1663">
        <v>9.77</v>
      </c>
      <c r="BH1663">
        <v>3.1</v>
      </c>
      <c r="BI1663">
        <v>20191029</v>
      </c>
      <c r="BJ1663">
        <v>20110927</v>
      </c>
      <c r="BK1663">
        <v>1.34</v>
      </c>
      <c r="BL1663" t="s">
        <v>116</v>
      </c>
      <c r="BM1663" t="s">
        <v>116</v>
      </c>
      <c r="BN1663">
        <v>117.18</v>
      </c>
      <c r="BO1663">
        <v>1.55</v>
      </c>
      <c r="BP1663">
        <v>6.59</v>
      </c>
      <c r="BQ1663">
        <v>93.06</v>
      </c>
      <c r="BR1663">
        <v>41.25</v>
      </c>
      <c r="BS1663">
        <v>13.33</v>
      </c>
      <c r="BT1663">
        <v>38.14</v>
      </c>
      <c r="BU1663">
        <v>45.48</v>
      </c>
      <c r="BV1663">
        <v>27.48</v>
      </c>
      <c r="BW1663">
        <v>6.41</v>
      </c>
      <c r="BX1663">
        <v>3.24</v>
      </c>
      <c r="BY1663">
        <v>21.23</v>
      </c>
      <c r="BZ1663">
        <v>18.84</v>
      </c>
      <c r="CA1663">
        <v>-1.06</v>
      </c>
      <c r="CB1663">
        <v>0.14000000000000001</v>
      </c>
      <c r="CC1663">
        <v>-1.1399999999999999</v>
      </c>
      <c r="CD1663">
        <v>-0.89</v>
      </c>
      <c r="CE1663">
        <v>-0.74</v>
      </c>
      <c r="CF1663">
        <v>-0.83</v>
      </c>
      <c r="CG1663">
        <v>-3.49</v>
      </c>
      <c r="CH1663">
        <v>-0.27</v>
      </c>
      <c r="CI1663">
        <v>2.66</v>
      </c>
      <c r="CJ1663">
        <v>7413</v>
      </c>
      <c r="CK1663">
        <v>12647</v>
      </c>
      <c r="CL1663" t="s">
        <v>8637</v>
      </c>
      <c r="CM1663">
        <v>-9118.82</v>
      </c>
      <c r="CN1663">
        <v>86.44</v>
      </c>
      <c r="CO1663">
        <v>12.35</v>
      </c>
      <c r="CP1663">
        <v>-70.28</v>
      </c>
      <c r="CQ1663">
        <v>0.9</v>
      </c>
      <c r="CR1663">
        <v>0</v>
      </c>
      <c r="CS1663" t="s">
        <v>8638</v>
      </c>
      <c r="CT1663">
        <v>1.1599999999999999</v>
      </c>
      <c r="CU1663">
        <v>0</v>
      </c>
      <c r="CV1663">
        <v>2.42</v>
      </c>
      <c r="CW1663">
        <v>-2.6</v>
      </c>
      <c r="CX1663">
        <v>-0.2</v>
      </c>
      <c r="CY1663">
        <v>1.32</v>
      </c>
      <c r="CZ1663" t="s">
        <v>8639</v>
      </c>
      <c r="DA1663">
        <v>11.26</v>
      </c>
      <c r="DB1663">
        <v>-4.99</v>
      </c>
      <c r="DC1663">
        <v>-3.49</v>
      </c>
      <c r="DD1663">
        <v>0</v>
      </c>
      <c r="DE1663">
        <v>2340</v>
      </c>
      <c r="DF1663">
        <v>300268</v>
      </c>
      <c r="DG1663" t="s">
        <v>116</v>
      </c>
      <c r="DH1663" t="s">
        <v>116</v>
      </c>
      <c r="DI1663" t="s">
        <v>116</v>
      </c>
    </row>
    <row r="1664" spans="1:113" x14ac:dyDescent="0.4">
      <c r="A1664" t="str">
        <f>"300269"</f>
        <v>300269</v>
      </c>
      <c r="B1664" t="s">
        <v>8640</v>
      </c>
      <c r="C1664">
        <v>-0.4</v>
      </c>
      <c r="D1664">
        <v>4.96</v>
      </c>
      <c r="E1664">
        <v>-0.02</v>
      </c>
      <c r="F1664">
        <v>4.95</v>
      </c>
      <c r="G1664">
        <v>4.96</v>
      </c>
      <c r="H1664">
        <v>244668</v>
      </c>
      <c r="I1664">
        <v>4347</v>
      </c>
      <c r="J1664">
        <v>0.2</v>
      </c>
      <c r="K1664">
        <v>6.01</v>
      </c>
      <c r="L1664">
        <v>4.9400000000000004</v>
      </c>
      <c r="M1664">
        <v>5.1100000000000003</v>
      </c>
      <c r="N1664">
        <v>4.9000000000000004</v>
      </c>
      <c r="O1664">
        <v>4.9800000000000004</v>
      </c>
      <c r="P1664">
        <v>123.4</v>
      </c>
      <c r="Q1664">
        <v>122543296</v>
      </c>
      <c r="R1664">
        <v>0.82</v>
      </c>
      <c r="S1664" t="s">
        <v>3507</v>
      </c>
      <c r="T1664" t="s">
        <v>115</v>
      </c>
      <c r="U1664">
        <v>4.22</v>
      </c>
      <c r="V1664">
        <v>5.01</v>
      </c>
      <c r="W1664">
        <v>132883</v>
      </c>
      <c r="X1664">
        <v>111785</v>
      </c>
      <c r="Y1664">
        <v>1.19</v>
      </c>
      <c r="Z1664">
        <v>881</v>
      </c>
      <c r="AA1664">
        <v>537</v>
      </c>
      <c r="AB1664" t="s">
        <v>116</v>
      </c>
      <c r="AC1664">
        <v>585400</v>
      </c>
      <c r="AD1664">
        <v>0.04</v>
      </c>
      <c r="AE1664" t="s">
        <v>116</v>
      </c>
      <c r="AF1664" t="s">
        <v>116</v>
      </c>
      <c r="AG1664">
        <v>4.07</v>
      </c>
      <c r="AH1664" t="s">
        <v>6661</v>
      </c>
      <c r="AI1664" t="s">
        <v>7385</v>
      </c>
      <c r="AJ1664">
        <v>0.28000000000000003</v>
      </c>
      <c r="AK1664">
        <v>2473</v>
      </c>
      <c r="AL1664">
        <v>99</v>
      </c>
      <c r="AM1664">
        <v>2.3999999999999998E-3</v>
      </c>
      <c r="AN1664">
        <v>-3</v>
      </c>
      <c r="AO1664">
        <v>-4.0599999999999996</v>
      </c>
      <c r="AP1664">
        <v>16.98</v>
      </c>
      <c r="AQ1664">
        <v>15.35</v>
      </c>
      <c r="AR1664">
        <v>-9.82</v>
      </c>
      <c r="AS1664">
        <v>7.72</v>
      </c>
      <c r="AT1664" t="s">
        <v>4892</v>
      </c>
      <c r="AU1664" t="s">
        <v>116</v>
      </c>
      <c r="AV1664" t="s">
        <v>116</v>
      </c>
      <c r="AW1664">
        <v>1.45</v>
      </c>
      <c r="BA1664">
        <v>-0.8</v>
      </c>
      <c r="BB1664">
        <v>2.61</v>
      </c>
      <c r="BC1664">
        <v>-1.61</v>
      </c>
      <c r="BD1664">
        <v>0.56999999999999995</v>
      </c>
      <c r="BE1664">
        <v>0.4</v>
      </c>
      <c r="BF1664">
        <v>-2.94</v>
      </c>
      <c r="BG1664">
        <v>1.22</v>
      </c>
      <c r="BH1664">
        <v>-0.97</v>
      </c>
      <c r="BI1664">
        <v>20191028</v>
      </c>
      <c r="BJ1664">
        <v>20111012</v>
      </c>
      <c r="BK1664">
        <v>5.92</v>
      </c>
      <c r="BL1664" t="s">
        <v>116</v>
      </c>
      <c r="BM1664" t="s">
        <v>116</v>
      </c>
      <c r="BN1664">
        <v>43.03</v>
      </c>
      <c r="BO1664">
        <v>20.11</v>
      </c>
      <c r="BP1664">
        <v>0.02</v>
      </c>
      <c r="BQ1664">
        <v>53.21</v>
      </c>
      <c r="BR1664">
        <v>20.76</v>
      </c>
      <c r="BS1664">
        <v>5.26</v>
      </c>
      <c r="BT1664">
        <v>0.2</v>
      </c>
      <c r="BU1664">
        <v>22.65</v>
      </c>
      <c r="BV1664">
        <v>3.58</v>
      </c>
      <c r="BW1664">
        <v>7.1</v>
      </c>
      <c r="BX1664">
        <v>37.36</v>
      </c>
      <c r="BY1664">
        <v>24.47</v>
      </c>
      <c r="BZ1664">
        <v>18.91</v>
      </c>
      <c r="CA1664">
        <v>0.28999999999999998</v>
      </c>
      <c r="CB1664">
        <v>0.7</v>
      </c>
      <c r="CC1664">
        <v>0.39</v>
      </c>
      <c r="CD1664">
        <v>0.18</v>
      </c>
      <c r="CE1664">
        <v>0.18</v>
      </c>
      <c r="CF1664">
        <v>-0.73</v>
      </c>
      <c r="CG1664">
        <v>-24.2</v>
      </c>
      <c r="CH1664">
        <v>0.24</v>
      </c>
      <c r="CI1664">
        <v>-0.15</v>
      </c>
      <c r="CJ1664">
        <v>24426</v>
      </c>
      <c r="CK1664">
        <v>12982</v>
      </c>
      <c r="CL1664" t="s">
        <v>8641</v>
      </c>
      <c r="CM1664">
        <v>-90.7</v>
      </c>
      <c r="CN1664">
        <v>-16.149999999999999</v>
      </c>
      <c r="CO1664">
        <v>1.46</v>
      </c>
      <c r="CP1664">
        <v>123.47</v>
      </c>
      <c r="CQ1664">
        <v>1.2</v>
      </c>
      <c r="CR1664">
        <v>0</v>
      </c>
      <c r="CS1664" t="s">
        <v>2913</v>
      </c>
      <c r="CT1664">
        <v>3.4</v>
      </c>
      <c r="CU1664">
        <v>0</v>
      </c>
      <c r="CV1664">
        <v>6.32</v>
      </c>
      <c r="CW1664">
        <v>-4.09</v>
      </c>
      <c r="CX1664">
        <v>0.04</v>
      </c>
      <c r="CY1664">
        <v>46.75</v>
      </c>
      <c r="CZ1664" t="s">
        <v>2405</v>
      </c>
      <c r="DA1664">
        <v>22.72</v>
      </c>
      <c r="DB1664">
        <v>1.19</v>
      </c>
      <c r="DC1664">
        <v>0.73</v>
      </c>
      <c r="DD1664">
        <v>0.94</v>
      </c>
      <c r="DE1664">
        <v>3576</v>
      </c>
      <c r="DF1664">
        <v>300269</v>
      </c>
      <c r="DG1664" t="s">
        <v>116</v>
      </c>
      <c r="DH1664" t="s">
        <v>116</v>
      </c>
      <c r="DI1664" t="s">
        <v>116</v>
      </c>
    </row>
    <row r="1665" spans="1:113" x14ac:dyDescent="0.4">
      <c r="A1665" t="str">
        <f>"300270"</f>
        <v>300270</v>
      </c>
      <c r="B1665" t="s">
        <v>8642</v>
      </c>
      <c r="C1665">
        <v>-2.2400000000000002</v>
      </c>
      <c r="D1665">
        <v>8.31</v>
      </c>
      <c r="E1665">
        <v>-0.19</v>
      </c>
      <c r="F1665">
        <v>8.3000000000000007</v>
      </c>
      <c r="G1665">
        <v>8.31</v>
      </c>
      <c r="H1665">
        <v>57787</v>
      </c>
      <c r="I1665">
        <v>462</v>
      </c>
      <c r="J1665">
        <v>0.12</v>
      </c>
      <c r="K1665">
        <v>3.13</v>
      </c>
      <c r="L1665">
        <v>8.5</v>
      </c>
      <c r="M1665">
        <v>8.5299999999999994</v>
      </c>
      <c r="N1665">
        <v>8.2799999999999994</v>
      </c>
      <c r="O1665">
        <v>8.5</v>
      </c>
      <c r="P1665">
        <v>451.15</v>
      </c>
      <c r="Q1665">
        <v>48601600</v>
      </c>
      <c r="R1665">
        <v>0.79</v>
      </c>
      <c r="S1665" t="s">
        <v>465</v>
      </c>
      <c r="T1665" t="s">
        <v>590</v>
      </c>
      <c r="U1665">
        <v>2.94</v>
      </c>
      <c r="V1665">
        <v>8.41</v>
      </c>
      <c r="W1665">
        <v>33007</v>
      </c>
      <c r="X1665">
        <v>24780</v>
      </c>
      <c r="Y1665">
        <v>1.33</v>
      </c>
      <c r="Z1665">
        <v>146</v>
      </c>
      <c r="AA1665">
        <v>398</v>
      </c>
      <c r="AB1665" t="s">
        <v>116</v>
      </c>
      <c r="AC1665">
        <v>311100</v>
      </c>
      <c r="AD1665">
        <v>0.02</v>
      </c>
      <c r="AE1665" t="s">
        <v>116</v>
      </c>
      <c r="AF1665" t="s">
        <v>116</v>
      </c>
      <c r="AG1665">
        <v>1.84</v>
      </c>
      <c r="AH1665" t="s">
        <v>1815</v>
      </c>
      <c r="AI1665" t="s">
        <v>8643</v>
      </c>
      <c r="AJ1665">
        <v>-1.56</v>
      </c>
      <c r="AK1665">
        <v>1814</v>
      </c>
      <c r="AL1665">
        <v>32</v>
      </c>
      <c r="AM1665">
        <v>1.6999999999999999E-3</v>
      </c>
      <c r="AN1665">
        <v>-1</v>
      </c>
      <c r="AO1665">
        <v>-0.84</v>
      </c>
      <c r="AP1665">
        <v>1.0900000000000001</v>
      </c>
      <c r="AQ1665">
        <v>-11.78</v>
      </c>
      <c r="AR1665">
        <v>30.25</v>
      </c>
      <c r="AS1665">
        <v>3.7</v>
      </c>
      <c r="AT1665" t="s">
        <v>8644</v>
      </c>
      <c r="AU1665" t="s">
        <v>116</v>
      </c>
      <c r="AV1665" t="s">
        <v>116</v>
      </c>
      <c r="AW1665">
        <v>1.28</v>
      </c>
      <c r="BA1665">
        <v>0</v>
      </c>
      <c r="BB1665">
        <v>0.35</v>
      </c>
      <c r="BC1665">
        <v>-2.59</v>
      </c>
      <c r="BD1665">
        <v>-1.05</v>
      </c>
      <c r="BE1665">
        <v>-2.2400000000000002</v>
      </c>
      <c r="BF1665">
        <v>-2.58</v>
      </c>
      <c r="BG1665">
        <v>0.36</v>
      </c>
      <c r="BH1665">
        <v>-1.18</v>
      </c>
      <c r="BI1665">
        <v>20191030</v>
      </c>
      <c r="BJ1665">
        <v>20111012</v>
      </c>
      <c r="BK1665">
        <v>3.03</v>
      </c>
      <c r="BL1665" t="s">
        <v>116</v>
      </c>
      <c r="BM1665" t="s">
        <v>116</v>
      </c>
      <c r="BN1665">
        <v>14.47</v>
      </c>
      <c r="BO1665">
        <v>10.34</v>
      </c>
      <c r="BP1665">
        <v>0</v>
      </c>
      <c r="BQ1665">
        <v>28.5</v>
      </c>
      <c r="BR1665">
        <v>9.07</v>
      </c>
      <c r="BS1665">
        <v>2.4900000000000002</v>
      </c>
      <c r="BT1665">
        <v>0.34</v>
      </c>
      <c r="BU1665">
        <v>3.82</v>
      </c>
      <c r="BV1665">
        <v>1.45</v>
      </c>
      <c r="BW1665">
        <v>4.88</v>
      </c>
      <c r="BX1665">
        <v>5.0599999999999996</v>
      </c>
      <c r="BY1665">
        <v>2.02</v>
      </c>
      <c r="BZ1665">
        <v>1.22</v>
      </c>
      <c r="CA1665">
        <v>0.03</v>
      </c>
      <c r="CB1665">
        <v>0.04</v>
      </c>
      <c r="CC1665">
        <v>0.03</v>
      </c>
      <c r="CD1665">
        <v>0.04</v>
      </c>
      <c r="CE1665">
        <v>0.04</v>
      </c>
      <c r="CF1665">
        <v>-0.05</v>
      </c>
      <c r="CG1665">
        <v>1.95</v>
      </c>
      <c r="CH1665">
        <v>-1</v>
      </c>
      <c r="CI1665">
        <v>0.32</v>
      </c>
      <c r="CJ1665">
        <v>24876</v>
      </c>
      <c r="CK1665">
        <v>6274</v>
      </c>
      <c r="CL1665" t="s">
        <v>2325</v>
      </c>
      <c r="CM1665">
        <v>145.34</v>
      </c>
      <c r="CN1665">
        <v>-6.23</v>
      </c>
      <c r="CO1665">
        <v>2.4300000000000002</v>
      </c>
      <c r="CP1665">
        <v>-25.05</v>
      </c>
      <c r="CQ1665">
        <v>12.45</v>
      </c>
      <c r="CR1665">
        <v>0</v>
      </c>
      <c r="CS1665" t="s">
        <v>342</v>
      </c>
      <c r="CT1665">
        <v>3.42</v>
      </c>
      <c r="CU1665">
        <v>0</v>
      </c>
      <c r="CV1665">
        <v>1.67</v>
      </c>
      <c r="CW1665">
        <v>0.64</v>
      </c>
      <c r="CX1665">
        <v>-0.33</v>
      </c>
      <c r="CY1665">
        <v>71.47</v>
      </c>
      <c r="CZ1665" t="s">
        <v>4554</v>
      </c>
      <c r="DA1665">
        <v>39.450000000000003</v>
      </c>
      <c r="DB1665">
        <v>1.72</v>
      </c>
      <c r="DC1665">
        <v>2.0699999999999998</v>
      </c>
      <c r="DD1665">
        <v>0.3</v>
      </c>
      <c r="DE1665">
        <v>361</v>
      </c>
      <c r="DF1665">
        <v>300270</v>
      </c>
      <c r="DG1665" t="s">
        <v>116</v>
      </c>
      <c r="DH1665" t="s">
        <v>116</v>
      </c>
      <c r="DI1665" t="s">
        <v>116</v>
      </c>
    </row>
    <row r="1666" spans="1:113" x14ac:dyDescent="0.4">
      <c r="A1666" t="str">
        <f>"300271"</f>
        <v>300271</v>
      </c>
      <c r="B1666" t="s">
        <v>8645</v>
      </c>
      <c r="C1666">
        <v>-3.16</v>
      </c>
      <c r="D1666">
        <v>25.47</v>
      </c>
      <c r="E1666">
        <v>-0.83</v>
      </c>
      <c r="F1666">
        <v>25.47</v>
      </c>
      <c r="G1666">
        <v>25.48</v>
      </c>
      <c r="H1666">
        <v>65558</v>
      </c>
      <c r="I1666">
        <v>690</v>
      </c>
      <c r="J1666">
        <v>0.08</v>
      </c>
      <c r="K1666">
        <v>1.1200000000000001</v>
      </c>
      <c r="L1666">
        <v>26.3</v>
      </c>
      <c r="M1666">
        <v>26.49</v>
      </c>
      <c r="N1666">
        <v>25.42</v>
      </c>
      <c r="O1666">
        <v>26.3</v>
      </c>
      <c r="P1666">
        <v>46.15</v>
      </c>
      <c r="Q1666">
        <v>169497024</v>
      </c>
      <c r="R1666">
        <v>0.82</v>
      </c>
      <c r="S1666" t="s">
        <v>607</v>
      </c>
      <c r="T1666" t="s">
        <v>165</v>
      </c>
      <c r="U1666">
        <v>4.07</v>
      </c>
      <c r="V1666">
        <v>25.85</v>
      </c>
      <c r="W1666">
        <v>40709</v>
      </c>
      <c r="X1666">
        <v>24849</v>
      </c>
      <c r="Y1666">
        <v>1.64</v>
      </c>
      <c r="Z1666">
        <v>303</v>
      </c>
      <c r="AA1666">
        <v>84</v>
      </c>
      <c r="AB1666" t="s">
        <v>116</v>
      </c>
      <c r="AC1666">
        <v>938900</v>
      </c>
      <c r="AD1666">
        <v>0.01</v>
      </c>
      <c r="AE1666" t="s">
        <v>116</v>
      </c>
      <c r="AF1666" t="s">
        <v>116</v>
      </c>
      <c r="AG1666">
        <v>5.83</v>
      </c>
      <c r="AH1666" t="s">
        <v>8646</v>
      </c>
      <c r="AI1666" t="s">
        <v>5272</v>
      </c>
      <c r="AJ1666">
        <v>-2.48</v>
      </c>
      <c r="AK1666">
        <v>3090</v>
      </c>
      <c r="AL1666">
        <v>21</v>
      </c>
      <c r="AM1666">
        <v>4.0000000000000002E-4</v>
      </c>
      <c r="AN1666">
        <v>-1</v>
      </c>
      <c r="AO1666">
        <v>0.47</v>
      </c>
      <c r="AP1666">
        <v>8.15</v>
      </c>
      <c r="AQ1666">
        <v>11.91</v>
      </c>
      <c r="AR1666">
        <v>70.38</v>
      </c>
      <c r="AS1666">
        <v>1.19</v>
      </c>
      <c r="AT1666" t="s">
        <v>8647</v>
      </c>
      <c r="AU1666">
        <v>39.11</v>
      </c>
      <c r="AV1666">
        <v>41.42</v>
      </c>
      <c r="AW1666">
        <v>1.44</v>
      </c>
      <c r="BA1666">
        <v>0</v>
      </c>
      <c r="BB1666">
        <v>0.72</v>
      </c>
      <c r="BC1666">
        <v>-3.35</v>
      </c>
      <c r="BD1666">
        <v>-1.69</v>
      </c>
      <c r="BE1666">
        <v>-3.16</v>
      </c>
      <c r="BF1666">
        <v>-3.85</v>
      </c>
      <c r="BG1666">
        <v>0.2</v>
      </c>
      <c r="BH1666">
        <v>-1.46</v>
      </c>
      <c r="BI1666">
        <v>20191226</v>
      </c>
      <c r="BJ1666">
        <v>20111026</v>
      </c>
      <c r="BK1666">
        <v>8.09</v>
      </c>
      <c r="BL1666" t="s">
        <v>116</v>
      </c>
      <c r="BM1666" t="s">
        <v>116</v>
      </c>
      <c r="BN1666">
        <v>66.81</v>
      </c>
      <c r="BO1666">
        <v>56.55</v>
      </c>
      <c r="BP1666">
        <v>0.46</v>
      </c>
      <c r="BQ1666">
        <v>14.66</v>
      </c>
      <c r="BR1666">
        <v>39.24</v>
      </c>
      <c r="BS1666">
        <v>2.61</v>
      </c>
      <c r="BT1666">
        <v>3.38</v>
      </c>
      <c r="BU1666">
        <v>9.59</v>
      </c>
      <c r="BV1666">
        <v>8.4</v>
      </c>
      <c r="BW1666">
        <v>13.63</v>
      </c>
      <c r="BX1666">
        <v>28.99</v>
      </c>
      <c r="BY1666">
        <v>22.01</v>
      </c>
      <c r="BZ1666">
        <v>12.86</v>
      </c>
      <c r="CA1666">
        <v>3.65</v>
      </c>
      <c r="CB1666">
        <v>0.01</v>
      </c>
      <c r="CC1666">
        <v>3.54</v>
      </c>
      <c r="CD1666">
        <v>3.31</v>
      </c>
      <c r="CE1666">
        <v>3.35</v>
      </c>
      <c r="CF1666">
        <v>3.24</v>
      </c>
      <c r="CG1666">
        <v>19.59</v>
      </c>
      <c r="CH1666">
        <v>-6.13</v>
      </c>
      <c r="CI1666">
        <v>-3.39</v>
      </c>
      <c r="CJ1666">
        <v>16010</v>
      </c>
      <c r="CK1666">
        <v>34349</v>
      </c>
      <c r="CL1666" t="s">
        <v>8648</v>
      </c>
      <c r="CM1666">
        <v>9.6300000000000008</v>
      </c>
      <c r="CN1666">
        <v>37.44</v>
      </c>
      <c r="CO1666">
        <v>3.65</v>
      </c>
      <c r="CP1666">
        <v>-33.619999999999997</v>
      </c>
      <c r="CQ1666">
        <v>9.3699999999999992</v>
      </c>
      <c r="CR1666">
        <v>0.24</v>
      </c>
      <c r="CS1666" t="s">
        <v>8649</v>
      </c>
      <c r="CT1666">
        <v>6.99</v>
      </c>
      <c r="CU1666">
        <v>0</v>
      </c>
      <c r="CV1666">
        <v>3.58</v>
      </c>
      <c r="CW1666">
        <v>2.42</v>
      </c>
      <c r="CX1666">
        <v>-0.76</v>
      </c>
      <c r="CY1666">
        <v>84.65</v>
      </c>
      <c r="CZ1666" t="s">
        <v>8650</v>
      </c>
      <c r="DA1666">
        <v>41.55</v>
      </c>
      <c r="DB1666">
        <v>16.579999999999998</v>
      </c>
      <c r="DC1666">
        <v>15.22</v>
      </c>
      <c r="DD1666">
        <v>2.58</v>
      </c>
      <c r="DE1666">
        <v>6034</v>
      </c>
      <c r="DF1666">
        <v>300271</v>
      </c>
      <c r="DG1666" t="s">
        <v>116</v>
      </c>
      <c r="DH1666" t="s">
        <v>116</v>
      </c>
      <c r="DI1666" t="s">
        <v>116</v>
      </c>
    </row>
    <row r="1667" spans="1:113" x14ac:dyDescent="0.4">
      <c r="A1667" t="str">
        <f>"300272"</f>
        <v>300272</v>
      </c>
      <c r="B1667" t="s">
        <v>8651</v>
      </c>
      <c r="C1667">
        <v>0.42</v>
      </c>
      <c r="D1667">
        <v>4.76</v>
      </c>
      <c r="E1667">
        <v>0.02</v>
      </c>
      <c r="F1667">
        <v>4.75</v>
      </c>
      <c r="G1667">
        <v>4.76</v>
      </c>
      <c r="H1667">
        <v>19812</v>
      </c>
      <c r="I1667">
        <v>153</v>
      </c>
      <c r="J1667">
        <v>0</v>
      </c>
      <c r="K1667">
        <v>0.53</v>
      </c>
      <c r="L1667">
        <v>4.7699999999999996</v>
      </c>
      <c r="M1667">
        <v>4.8</v>
      </c>
      <c r="N1667">
        <v>4.7300000000000004</v>
      </c>
      <c r="O1667">
        <v>4.74</v>
      </c>
      <c r="P1667">
        <v>29.62</v>
      </c>
      <c r="Q1667">
        <v>9444617</v>
      </c>
      <c r="R1667">
        <v>0.93</v>
      </c>
      <c r="S1667" t="s">
        <v>140</v>
      </c>
      <c r="T1667" t="s">
        <v>1653</v>
      </c>
      <c r="U1667">
        <v>1.48</v>
      </c>
      <c r="V1667">
        <v>4.7699999999999996</v>
      </c>
      <c r="W1667">
        <v>11541</v>
      </c>
      <c r="X1667">
        <v>8271</v>
      </c>
      <c r="Y1667">
        <v>1.4</v>
      </c>
      <c r="Z1667">
        <v>627</v>
      </c>
      <c r="AA1667">
        <v>111</v>
      </c>
      <c r="AB1667" t="s">
        <v>116</v>
      </c>
      <c r="AC1667">
        <v>46300</v>
      </c>
      <c r="AD1667">
        <v>0</v>
      </c>
      <c r="AE1667" t="s">
        <v>116</v>
      </c>
      <c r="AF1667" t="s">
        <v>116</v>
      </c>
      <c r="AG1667">
        <v>3.75</v>
      </c>
      <c r="AH1667" t="s">
        <v>3441</v>
      </c>
      <c r="AI1667" t="s">
        <v>6165</v>
      </c>
      <c r="AJ1667">
        <v>1.1000000000000001</v>
      </c>
      <c r="AK1667">
        <v>549</v>
      </c>
      <c r="AL1667">
        <v>36</v>
      </c>
      <c r="AM1667">
        <v>1E-3</v>
      </c>
      <c r="AN1667">
        <v>4</v>
      </c>
      <c r="AO1667">
        <v>1.92</v>
      </c>
      <c r="AP1667">
        <v>6.73</v>
      </c>
      <c r="AQ1667">
        <v>-5.18</v>
      </c>
      <c r="AR1667">
        <v>-11.03</v>
      </c>
      <c r="AS1667">
        <v>0.83</v>
      </c>
      <c r="AT1667" t="s">
        <v>3938</v>
      </c>
      <c r="AU1667">
        <v>29.56</v>
      </c>
      <c r="AV1667">
        <v>7.97</v>
      </c>
      <c r="AW1667">
        <v>0.94</v>
      </c>
      <c r="BA1667">
        <v>0.63</v>
      </c>
      <c r="BB1667">
        <v>1.27</v>
      </c>
      <c r="BC1667">
        <v>-0.21</v>
      </c>
      <c r="BD1667">
        <v>0.56999999999999995</v>
      </c>
      <c r="BE1667">
        <v>-0.21</v>
      </c>
      <c r="BF1667">
        <v>-0.83</v>
      </c>
      <c r="BG1667">
        <v>0.63</v>
      </c>
      <c r="BH1667">
        <v>-0.15</v>
      </c>
      <c r="BI1667">
        <v>20191121</v>
      </c>
      <c r="BJ1667">
        <v>20111102</v>
      </c>
      <c r="BK1667">
        <v>5.83</v>
      </c>
      <c r="BL1667" t="s">
        <v>116</v>
      </c>
      <c r="BM1667" t="s">
        <v>116</v>
      </c>
      <c r="BN1667">
        <v>17.57</v>
      </c>
      <c r="BO1667">
        <v>11.82</v>
      </c>
      <c r="BP1667">
        <v>0.4</v>
      </c>
      <c r="BQ1667">
        <v>30.45</v>
      </c>
      <c r="BR1667">
        <v>5.83</v>
      </c>
      <c r="BS1667">
        <v>3.01</v>
      </c>
      <c r="BT1667">
        <v>1.18</v>
      </c>
      <c r="BU1667">
        <v>4.91</v>
      </c>
      <c r="BV1667">
        <v>1.6</v>
      </c>
      <c r="BW1667">
        <v>1.45</v>
      </c>
      <c r="BX1667">
        <v>2.2200000000000002</v>
      </c>
      <c r="BY1667">
        <v>7.21</v>
      </c>
      <c r="BZ1667">
        <v>4.0599999999999996</v>
      </c>
      <c r="CA1667">
        <v>0.87</v>
      </c>
      <c r="CB1667">
        <v>-0.01</v>
      </c>
      <c r="CC1667">
        <v>0.87</v>
      </c>
      <c r="CD1667">
        <v>0.81</v>
      </c>
      <c r="CE1667">
        <v>0.7</v>
      </c>
      <c r="CF1667">
        <v>0.67</v>
      </c>
      <c r="CG1667">
        <v>3.3</v>
      </c>
      <c r="CH1667">
        <v>0.67</v>
      </c>
      <c r="CI1667">
        <v>-0.37</v>
      </c>
      <c r="CJ1667">
        <v>19678</v>
      </c>
      <c r="CK1667">
        <v>12141</v>
      </c>
      <c r="CL1667" t="s">
        <v>3650</v>
      </c>
      <c r="CM1667">
        <v>-78.34</v>
      </c>
      <c r="CN1667">
        <v>14.19</v>
      </c>
      <c r="CO1667">
        <v>2.35</v>
      </c>
      <c r="CP1667">
        <v>41.35</v>
      </c>
      <c r="CQ1667">
        <v>3.85</v>
      </c>
      <c r="CR1667">
        <v>2.79</v>
      </c>
      <c r="CS1667" t="s">
        <v>505</v>
      </c>
      <c r="CT1667">
        <v>2.0299999999999998</v>
      </c>
      <c r="CU1667">
        <v>2.0299999999999998</v>
      </c>
      <c r="CV1667">
        <v>0.38</v>
      </c>
      <c r="CW1667">
        <v>0.56999999999999995</v>
      </c>
      <c r="CX1667">
        <v>0.12</v>
      </c>
      <c r="CY1667">
        <v>67.27</v>
      </c>
      <c r="CZ1667" t="s">
        <v>4089</v>
      </c>
      <c r="DA1667">
        <v>43.64</v>
      </c>
      <c r="DB1667">
        <v>12.07</v>
      </c>
      <c r="DC1667">
        <v>9.74</v>
      </c>
      <c r="DD1667">
        <v>0.12</v>
      </c>
      <c r="DE1667">
        <v>1059</v>
      </c>
      <c r="DF1667">
        <v>300272</v>
      </c>
      <c r="DG1667" t="s">
        <v>116</v>
      </c>
      <c r="DH1667" t="s">
        <v>116</v>
      </c>
      <c r="DI1667" t="s">
        <v>116</v>
      </c>
    </row>
    <row r="1668" spans="1:113" x14ac:dyDescent="0.4">
      <c r="A1668" t="str">
        <f>"300273"</f>
        <v>300273</v>
      </c>
      <c r="B1668" t="s">
        <v>8652</v>
      </c>
      <c r="C1668">
        <v>1.44</v>
      </c>
      <c r="D1668">
        <v>4.9400000000000004</v>
      </c>
      <c r="E1668">
        <v>7.0000000000000007E-2</v>
      </c>
      <c r="F1668">
        <v>4.93</v>
      </c>
      <c r="G1668">
        <v>4.9400000000000004</v>
      </c>
      <c r="H1668">
        <v>171565</v>
      </c>
      <c r="I1668">
        <v>836</v>
      </c>
      <c r="J1668">
        <v>0.41</v>
      </c>
      <c r="K1668">
        <v>2.95</v>
      </c>
      <c r="L1668">
        <v>4.92</v>
      </c>
      <c r="M1668">
        <v>5.12</v>
      </c>
      <c r="N1668">
        <v>4.88</v>
      </c>
      <c r="O1668">
        <v>4.87</v>
      </c>
      <c r="P1668">
        <v>37.01</v>
      </c>
      <c r="Q1668">
        <v>85920128</v>
      </c>
      <c r="R1668">
        <v>2.0299999999999998</v>
      </c>
      <c r="S1668" t="s">
        <v>559</v>
      </c>
      <c r="T1668" t="s">
        <v>551</v>
      </c>
      <c r="U1668">
        <v>4.93</v>
      </c>
      <c r="V1668">
        <v>5.01</v>
      </c>
      <c r="W1668">
        <v>81989</v>
      </c>
      <c r="X1668">
        <v>89576</v>
      </c>
      <c r="Y1668">
        <v>0.92</v>
      </c>
      <c r="Z1668">
        <v>910</v>
      </c>
      <c r="AA1668">
        <v>1002</v>
      </c>
      <c r="AB1668" t="s">
        <v>116</v>
      </c>
      <c r="AC1668">
        <v>391100</v>
      </c>
      <c r="AD1668">
        <v>0.01</v>
      </c>
      <c r="AE1668" t="s">
        <v>116</v>
      </c>
      <c r="AF1668" t="s">
        <v>116</v>
      </c>
      <c r="AG1668">
        <v>5.81</v>
      </c>
      <c r="AH1668" t="s">
        <v>5746</v>
      </c>
      <c r="AI1668" t="s">
        <v>8653</v>
      </c>
      <c r="AJ1668">
        <v>2.12</v>
      </c>
      <c r="AK1668">
        <v>1751</v>
      </c>
      <c r="AL1668">
        <v>98</v>
      </c>
      <c r="AM1668">
        <v>1.6999999999999999E-3</v>
      </c>
      <c r="AN1668">
        <v>2</v>
      </c>
      <c r="AO1668">
        <v>1.03</v>
      </c>
      <c r="AP1668">
        <v>8.33</v>
      </c>
      <c r="AQ1668">
        <v>-1.2</v>
      </c>
      <c r="AR1668">
        <v>7.74</v>
      </c>
      <c r="AS1668">
        <v>3.23</v>
      </c>
      <c r="AT1668" t="s">
        <v>6777</v>
      </c>
      <c r="AU1668">
        <v>42.03</v>
      </c>
      <c r="AV1668">
        <v>38.96</v>
      </c>
      <c r="AW1668">
        <v>0.93</v>
      </c>
      <c r="BA1668">
        <v>1.03</v>
      </c>
      <c r="BB1668">
        <v>5.13</v>
      </c>
      <c r="BC1668">
        <v>0.21</v>
      </c>
      <c r="BD1668">
        <v>2.83</v>
      </c>
      <c r="BE1668">
        <v>0.41</v>
      </c>
      <c r="BF1668">
        <v>-3.52</v>
      </c>
      <c r="BG1668">
        <v>1.23</v>
      </c>
      <c r="BH1668">
        <v>-1.4</v>
      </c>
      <c r="BI1668">
        <v>20191119</v>
      </c>
      <c r="BJ1668">
        <v>20111026</v>
      </c>
      <c r="BK1668">
        <v>7.95</v>
      </c>
      <c r="BL1668" t="s">
        <v>116</v>
      </c>
      <c r="BM1668" t="s">
        <v>116</v>
      </c>
      <c r="BN1668">
        <v>62.79</v>
      </c>
      <c r="BO1668">
        <v>25.68</v>
      </c>
      <c r="BP1668">
        <v>1.96</v>
      </c>
      <c r="BQ1668">
        <v>55.98</v>
      </c>
      <c r="BR1668">
        <v>30.45</v>
      </c>
      <c r="BS1668">
        <v>1.96</v>
      </c>
      <c r="BT1668">
        <v>0.17</v>
      </c>
      <c r="BU1668">
        <v>17.34</v>
      </c>
      <c r="BV1668">
        <v>0.98</v>
      </c>
      <c r="BW1668">
        <v>11.7</v>
      </c>
      <c r="BX1668">
        <v>9.91</v>
      </c>
      <c r="BY1668">
        <v>8.3000000000000007</v>
      </c>
      <c r="BZ1668">
        <v>3.93</v>
      </c>
      <c r="CA1668">
        <v>0.97</v>
      </c>
      <c r="CB1668">
        <v>-0.03</v>
      </c>
      <c r="CC1668">
        <v>1.08</v>
      </c>
      <c r="CD1668">
        <v>0.83</v>
      </c>
      <c r="CE1668">
        <v>0.8</v>
      </c>
      <c r="CF1668">
        <v>0.6</v>
      </c>
      <c r="CG1668">
        <v>7.06</v>
      </c>
      <c r="CH1668">
        <v>2.04</v>
      </c>
      <c r="CI1668">
        <v>2.23</v>
      </c>
      <c r="CJ1668">
        <v>42878</v>
      </c>
      <c r="CK1668">
        <v>12402</v>
      </c>
      <c r="CL1668" t="s">
        <v>4564</v>
      </c>
      <c r="CM1668">
        <v>-8.48</v>
      </c>
      <c r="CN1668">
        <v>7.18</v>
      </c>
      <c r="CO1668">
        <v>1.53</v>
      </c>
      <c r="CP1668">
        <v>19.23</v>
      </c>
      <c r="CQ1668">
        <v>4.7300000000000004</v>
      </c>
      <c r="CR1668">
        <v>0.3</v>
      </c>
      <c r="CS1668" t="s">
        <v>2448</v>
      </c>
      <c r="CT1668">
        <v>3.23</v>
      </c>
      <c r="CU1668">
        <v>0</v>
      </c>
      <c r="CV1668">
        <v>1.25</v>
      </c>
      <c r="CW1668">
        <v>0.89</v>
      </c>
      <c r="CX1668">
        <v>0.26</v>
      </c>
      <c r="CY1668">
        <v>40.9</v>
      </c>
      <c r="CZ1668" t="s">
        <v>8654</v>
      </c>
      <c r="DA1668">
        <v>52.61</v>
      </c>
      <c r="DB1668">
        <v>11.67</v>
      </c>
      <c r="DC1668">
        <v>9.59</v>
      </c>
      <c r="DD1668">
        <v>0.41</v>
      </c>
      <c r="DE1668">
        <v>1210</v>
      </c>
      <c r="DF1668">
        <v>300273</v>
      </c>
      <c r="DG1668" t="s">
        <v>116</v>
      </c>
      <c r="DH1668" t="s">
        <v>116</v>
      </c>
      <c r="DI1668" t="s">
        <v>116</v>
      </c>
    </row>
    <row r="1669" spans="1:113" x14ac:dyDescent="0.4">
      <c r="A1669" t="str">
        <f>"300274"</f>
        <v>300274</v>
      </c>
      <c r="B1669" t="s">
        <v>8655</v>
      </c>
      <c r="C1669">
        <v>-1.78</v>
      </c>
      <c r="D1669">
        <v>10.48</v>
      </c>
      <c r="E1669">
        <v>-0.19</v>
      </c>
      <c r="F1669">
        <v>10.48</v>
      </c>
      <c r="G1669">
        <v>10.49</v>
      </c>
      <c r="H1669">
        <v>195315</v>
      </c>
      <c r="I1669">
        <v>2807</v>
      </c>
      <c r="J1669">
        <v>0</v>
      </c>
      <c r="K1669">
        <v>1.82</v>
      </c>
      <c r="L1669">
        <v>10.74</v>
      </c>
      <c r="M1669">
        <v>10.78</v>
      </c>
      <c r="N1669">
        <v>10.47</v>
      </c>
      <c r="O1669">
        <v>10.67</v>
      </c>
      <c r="P1669">
        <v>20.66</v>
      </c>
      <c r="Q1669">
        <v>207455840</v>
      </c>
      <c r="R1669">
        <v>1.1200000000000001</v>
      </c>
      <c r="S1669" t="s">
        <v>397</v>
      </c>
      <c r="T1669" t="s">
        <v>575</v>
      </c>
      <c r="U1669">
        <v>2.91</v>
      </c>
      <c r="V1669">
        <v>10.62</v>
      </c>
      <c r="W1669">
        <v>113475</v>
      </c>
      <c r="X1669">
        <v>81840</v>
      </c>
      <c r="Y1669">
        <v>1.39</v>
      </c>
      <c r="Z1669">
        <v>851</v>
      </c>
      <c r="AA1669">
        <v>92</v>
      </c>
      <c r="AB1669" t="s">
        <v>116</v>
      </c>
      <c r="AC1669">
        <v>862400</v>
      </c>
      <c r="AD1669">
        <v>0.01</v>
      </c>
      <c r="AE1669" t="s">
        <v>116</v>
      </c>
      <c r="AF1669" t="s">
        <v>116</v>
      </c>
      <c r="AG1669">
        <v>10.75</v>
      </c>
      <c r="AH1669" t="s">
        <v>8656</v>
      </c>
      <c r="AI1669" t="s">
        <v>8657</v>
      </c>
      <c r="AJ1669">
        <v>-1.1000000000000001</v>
      </c>
      <c r="AK1669">
        <v>3416</v>
      </c>
      <c r="AL1669">
        <v>57</v>
      </c>
      <c r="AM1669">
        <v>5.0000000000000001E-4</v>
      </c>
      <c r="AN1669">
        <v>-2</v>
      </c>
      <c r="AO1669">
        <v>-0.76</v>
      </c>
      <c r="AP1669">
        <v>2.54</v>
      </c>
      <c r="AQ1669">
        <v>-8.7100000000000009</v>
      </c>
      <c r="AR1669">
        <v>18.28</v>
      </c>
      <c r="AS1669">
        <v>2.2000000000000002</v>
      </c>
      <c r="AT1669" t="s">
        <v>8658</v>
      </c>
      <c r="AU1669">
        <v>20.18</v>
      </c>
      <c r="AV1669">
        <v>18.86</v>
      </c>
      <c r="AW1669">
        <v>1.24</v>
      </c>
      <c r="BA1669">
        <v>0.66</v>
      </c>
      <c r="BB1669">
        <v>1.03</v>
      </c>
      <c r="BC1669">
        <v>-1.87</v>
      </c>
      <c r="BD1669">
        <v>-0.45</v>
      </c>
      <c r="BE1669">
        <v>-2.42</v>
      </c>
      <c r="BF1669">
        <v>-2.78</v>
      </c>
      <c r="BG1669">
        <v>0.1</v>
      </c>
      <c r="BH1669">
        <v>-1.33</v>
      </c>
      <c r="BI1669">
        <v>20191219</v>
      </c>
      <c r="BJ1669">
        <v>20111102</v>
      </c>
      <c r="BK1669">
        <v>14.57</v>
      </c>
      <c r="BL1669" t="s">
        <v>116</v>
      </c>
      <c r="BM1669" t="s">
        <v>116</v>
      </c>
      <c r="BN1669">
        <v>185</v>
      </c>
      <c r="BO1669">
        <v>82.9</v>
      </c>
      <c r="BP1669">
        <v>1.61</v>
      </c>
      <c r="BQ1669">
        <v>54.32</v>
      </c>
      <c r="BR1669">
        <v>134.57</v>
      </c>
      <c r="BS1669">
        <v>25.31</v>
      </c>
      <c r="BT1669">
        <v>1.1000000000000001</v>
      </c>
      <c r="BU1669">
        <v>84.04</v>
      </c>
      <c r="BV1669">
        <v>32.43</v>
      </c>
      <c r="BW1669">
        <v>65.38</v>
      </c>
      <c r="BX1669">
        <v>32.32</v>
      </c>
      <c r="BY1669">
        <v>71.84</v>
      </c>
      <c r="BZ1669">
        <v>53.29</v>
      </c>
      <c r="CA1669">
        <v>6.34</v>
      </c>
      <c r="CB1669">
        <v>0.23</v>
      </c>
      <c r="CC1669">
        <v>6.26</v>
      </c>
      <c r="CD1669">
        <v>5.73</v>
      </c>
      <c r="CE1669">
        <v>5.54</v>
      </c>
      <c r="CF1669">
        <v>4.6399999999999997</v>
      </c>
      <c r="CG1669">
        <v>33.36</v>
      </c>
      <c r="CH1669">
        <v>-7.85</v>
      </c>
      <c r="CI1669">
        <v>-15.98</v>
      </c>
      <c r="CJ1669">
        <v>40461</v>
      </c>
      <c r="CK1669">
        <v>21892</v>
      </c>
      <c r="CL1669" t="s">
        <v>6085</v>
      </c>
      <c r="CM1669">
        <v>-8.69</v>
      </c>
      <c r="CN1669">
        <v>27.27</v>
      </c>
      <c r="CO1669">
        <v>1.84</v>
      </c>
      <c r="CP1669">
        <v>-19.45</v>
      </c>
      <c r="CQ1669">
        <v>2.13</v>
      </c>
      <c r="CR1669">
        <v>0.56999999999999995</v>
      </c>
      <c r="CS1669" t="s">
        <v>8566</v>
      </c>
      <c r="CT1669">
        <v>5.69</v>
      </c>
      <c r="CU1669">
        <v>0</v>
      </c>
      <c r="CV1669">
        <v>2.2200000000000002</v>
      </c>
      <c r="CW1669">
        <v>2.29</v>
      </c>
      <c r="CX1669">
        <v>-0.54</v>
      </c>
      <c r="CY1669">
        <v>44.81</v>
      </c>
      <c r="CZ1669" t="s">
        <v>8659</v>
      </c>
      <c r="DA1669">
        <v>25.83</v>
      </c>
      <c r="DB1669">
        <v>8.82</v>
      </c>
      <c r="DC1669">
        <v>7.72</v>
      </c>
      <c r="DD1669">
        <v>3.97</v>
      </c>
      <c r="DE1669">
        <v>3421</v>
      </c>
      <c r="DF1669">
        <v>300274</v>
      </c>
      <c r="DG1669" t="s">
        <v>116</v>
      </c>
      <c r="DH1669" t="s">
        <v>116</v>
      </c>
      <c r="DI1669" t="s">
        <v>116</v>
      </c>
    </row>
    <row r="1670" spans="1:113" x14ac:dyDescent="0.4">
      <c r="A1670" t="str">
        <f>"300275"</f>
        <v>300275</v>
      </c>
      <c r="B1670" t="s">
        <v>8660</v>
      </c>
      <c r="C1670">
        <v>-2.64</v>
      </c>
      <c r="D1670">
        <v>11.79</v>
      </c>
      <c r="E1670">
        <v>-0.32</v>
      </c>
      <c r="F1670">
        <v>11.78</v>
      </c>
      <c r="G1670">
        <v>11.79</v>
      </c>
      <c r="H1670">
        <v>59812</v>
      </c>
      <c r="I1670">
        <v>919</v>
      </c>
      <c r="J1670">
        <v>-0.24</v>
      </c>
      <c r="K1670">
        <v>5.09</v>
      </c>
      <c r="L1670">
        <v>12.12</v>
      </c>
      <c r="M1670">
        <v>12.15</v>
      </c>
      <c r="N1670">
        <v>11.79</v>
      </c>
      <c r="O1670">
        <v>12.11</v>
      </c>
      <c r="P1670">
        <v>80.19</v>
      </c>
      <c r="Q1670">
        <v>71402592</v>
      </c>
      <c r="R1670">
        <v>1.1100000000000001</v>
      </c>
      <c r="S1670" t="s">
        <v>607</v>
      </c>
      <c r="T1670" t="s">
        <v>906</v>
      </c>
      <c r="U1670">
        <v>2.97</v>
      </c>
      <c r="V1670">
        <v>11.94</v>
      </c>
      <c r="W1670">
        <v>35949</v>
      </c>
      <c r="X1670">
        <v>23863</v>
      </c>
      <c r="Y1670">
        <v>1.51</v>
      </c>
      <c r="Z1670">
        <v>475</v>
      </c>
      <c r="AA1670">
        <v>432</v>
      </c>
      <c r="AB1670" t="s">
        <v>116</v>
      </c>
      <c r="AC1670">
        <v>101800</v>
      </c>
      <c r="AD1670">
        <v>0.01</v>
      </c>
      <c r="AE1670" t="s">
        <v>116</v>
      </c>
      <c r="AF1670" t="s">
        <v>116</v>
      </c>
      <c r="AG1670">
        <v>1.18</v>
      </c>
      <c r="AH1670" t="s">
        <v>1301</v>
      </c>
      <c r="AI1670" t="s">
        <v>7538</v>
      </c>
      <c r="AJ1670">
        <v>-1.96</v>
      </c>
      <c r="AK1670">
        <v>1711</v>
      </c>
      <c r="AL1670">
        <v>35</v>
      </c>
      <c r="AM1670">
        <v>3.0000000000000001E-3</v>
      </c>
      <c r="AN1670">
        <v>-2</v>
      </c>
      <c r="AO1670">
        <v>-2.39</v>
      </c>
      <c r="AP1670">
        <v>10.91</v>
      </c>
      <c r="AQ1670">
        <v>22.18</v>
      </c>
      <c r="AR1670">
        <v>56.37</v>
      </c>
      <c r="AS1670">
        <v>5.83</v>
      </c>
      <c r="AT1670" t="s">
        <v>8661</v>
      </c>
      <c r="AU1670" t="s">
        <v>116</v>
      </c>
      <c r="AV1670" t="s">
        <v>116</v>
      </c>
      <c r="AW1670">
        <v>0.73</v>
      </c>
      <c r="BA1670">
        <v>0.08</v>
      </c>
      <c r="BB1670">
        <v>0.33</v>
      </c>
      <c r="BC1670">
        <v>-2.64</v>
      </c>
      <c r="BD1670">
        <v>-1.42</v>
      </c>
      <c r="BE1670">
        <v>-2.72</v>
      </c>
      <c r="BF1670">
        <v>-2.96</v>
      </c>
      <c r="BG1670">
        <v>0</v>
      </c>
      <c r="BH1670">
        <v>-1.22</v>
      </c>
      <c r="BI1670">
        <v>20191223</v>
      </c>
      <c r="BJ1670">
        <v>20111102</v>
      </c>
      <c r="BK1670">
        <v>1.68</v>
      </c>
      <c r="BL1670" t="s">
        <v>116</v>
      </c>
      <c r="BM1670" t="s">
        <v>116</v>
      </c>
      <c r="BN1670">
        <v>7.17</v>
      </c>
      <c r="BO1670">
        <v>5.19</v>
      </c>
      <c r="BP1670">
        <v>0.01</v>
      </c>
      <c r="BQ1670">
        <v>27.39</v>
      </c>
      <c r="BR1670">
        <v>3.14</v>
      </c>
      <c r="BS1670">
        <v>0.99</v>
      </c>
      <c r="BT1670">
        <v>0.3</v>
      </c>
      <c r="BU1670">
        <v>1.7</v>
      </c>
      <c r="BV1670">
        <v>0.77</v>
      </c>
      <c r="BW1670">
        <v>1.84</v>
      </c>
      <c r="BX1670">
        <v>2.4</v>
      </c>
      <c r="BY1670">
        <v>1.66</v>
      </c>
      <c r="BZ1670">
        <v>0.81</v>
      </c>
      <c r="CA1670">
        <v>0.24</v>
      </c>
      <c r="CB1670">
        <v>0.01</v>
      </c>
      <c r="CC1670">
        <v>0.19</v>
      </c>
      <c r="CD1670">
        <v>0.15</v>
      </c>
      <c r="CE1670">
        <v>0.19</v>
      </c>
      <c r="CF1670">
        <v>0.22</v>
      </c>
      <c r="CG1670">
        <v>0.73</v>
      </c>
      <c r="CH1670">
        <v>0.21</v>
      </c>
      <c r="CI1670">
        <v>-0.22</v>
      </c>
      <c r="CJ1670">
        <v>16100</v>
      </c>
      <c r="CK1670">
        <v>6377</v>
      </c>
      <c r="CL1670" t="s">
        <v>7685</v>
      </c>
      <c r="CM1670">
        <v>23.05</v>
      </c>
      <c r="CN1670">
        <v>21.4</v>
      </c>
      <c r="CO1670">
        <v>3.82</v>
      </c>
      <c r="CP1670">
        <v>93.29</v>
      </c>
      <c r="CQ1670">
        <v>11.96</v>
      </c>
      <c r="CR1670">
        <v>0</v>
      </c>
      <c r="CS1670" t="s">
        <v>424</v>
      </c>
      <c r="CT1670">
        <v>3.09</v>
      </c>
      <c r="CU1670">
        <v>0</v>
      </c>
      <c r="CV1670">
        <v>1.43</v>
      </c>
      <c r="CW1670">
        <v>0.44</v>
      </c>
      <c r="CX1670">
        <v>0.13</v>
      </c>
      <c r="CY1670">
        <v>72.44</v>
      </c>
      <c r="CZ1670" t="s">
        <v>4885</v>
      </c>
      <c r="DA1670">
        <v>51.1</v>
      </c>
      <c r="DB1670">
        <v>14.19</v>
      </c>
      <c r="DC1670">
        <v>11.19</v>
      </c>
      <c r="DD1670">
        <v>0.18</v>
      </c>
      <c r="DE1670">
        <v>394</v>
      </c>
      <c r="DF1670">
        <v>300275</v>
      </c>
      <c r="DG1670" t="s">
        <v>116</v>
      </c>
      <c r="DH1670" t="s">
        <v>116</v>
      </c>
      <c r="DI1670" t="s">
        <v>116</v>
      </c>
    </row>
    <row r="1671" spans="1:113" x14ac:dyDescent="0.4">
      <c r="A1671" t="str">
        <f>"300276"</f>
        <v>300276</v>
      </c>
      <c r="B1671" t="s">
        <v>8662</v>
      </c>
      <c r="C1671">
        <v>-3.86</v>
      </c>
      <c r="D1671">
        <v>7.98</v>
      </c>
      <c r="E1671">
        <v>-0.32</v>
      </c>
      <c r="F1671">
        <v>7.98</v>
      </c>
      <c r="G1671">
        <v>7.99</v>
      </c>
      <c r="H1671">
        <v>83291</v>
      </c>
      <c r="I1671">
        <v>1302</v>
      </c>
      <c r="J1671">
        <v>-0.12</v>
      </c>
      <c r="K1671">
        <v>2.29</v>
      </c>
      <c r="L1671">
        <v>8.2200000000000006</v>
      </c>
      <c r="M1671">
        <v>8.24</v>
      </c>
      <c r="N1671">
        <v>7.97</v>
      </c>
      <c r="O1671">
        <v>8.3000000000000007</v>
      </c>
      <c r="P1671">
        <v>25.86</v>
      </c>
      <c r="Q1671">
        <v>67571224</v>
      </c>
      <c r="R1671">
        <v>1.87</v>
      </c>
      <c r="S1671" t="s">
        <v>682</v>
      </c>
      <c r="T1671" t="s">
        <v>774</v>
      </c>
      <c r="U1671">
        <v>3.25</v>
      </c>
      <c r="V1671">
        <v>8.11</v>
      </c>
      <c r="W1671">
        <v>53329</v>
      </c>
      <c r="X1671">
        <v>29962</v>
      </c>
      <c r="Y1671">
        <v>1.78</v>
      </c>
      <c r="Z1671">
        <v>115</v>
      </c>
      <c r="AA1671">
        <v>1075</v>
      </c>
      <c r="AB1671" t="s">
        <v>116</v>
      </c>
      <c r="AC1671">
        <v>376500</v>
      </c>
      <c r="AD1671">
        <v>0.02</v>
      </c>
      <c r="AE1671" t="s">
        <v>116</v>
      </c>
      <c r="AF1671" t="s">
        <v>116</v>
      </c>
      <c r="AG1671">
        <v>3.63</v>
      </c>
      <c r="AH1671" t="s">
        <v>7440</v>
      </c>
      <c r="AI1671" t="s">
        <v>8663</v>
      </c>
      <c r="AJ1671">
        <v>-3.18</v>
      </c>
      <c r="AK1671">
        <v>2256</v>
      </c>
      <c r="AL1671">
        <v>37</v>
      </c>
      <c r="AM1671">
        <v>1E-3</v>
      </c>
      <c r="AN1671">
        <v>-1</v>
      </c>
      <c r="AO1671">
        <v>3.23</v>
      </c>
      <c r="AP1671">
        <v>8.1300000000000008</v>
      </c>
      <c r="AQ1671">
        <v>-15.64</v>
      </c>
      <c r="AR1671">
        <v>11.19</v>
      </c>
      <c r="AS1671">
        <v>3.11</v>
      </c>
      <c r="AT1671" t="s">
        <v>6408</v>
      </c>
      <c r="AU1671">
        <v>26.84</v>
      </c>
      <c r="AV1671">
        <v>26.95</v>
      </c>
      <c r="AW1671">
        <v>1.45</v>
      </c>
      <c r="BA1671">
        <v>-0.96</v>
      </c>
      <c r="BB1671">
        <v>-0.72</v>
      </c>
      <c r="BC1671">
        <v>-3.98</v>
      </c>
      <c r="BD1671">
        <v>-2.2599999999999998</v>
      </c>
      <c r="BE1671">
        <v>-2.92</v>
      </c>
      <c r="BF1671">
        <v>-3.16</v>
      </c>
      <c r="BG1671">
        <v>0.13</v>
      </c>
      <c r="BH1671">
        <v>-1.6</v>
      </c>
      <c r="BI1671">
        <v>20191019</v>
      </c>
      <c r="BJ1671">
        <v>20111115</v>
      </c>
      <c r="BK1671">
        <v>7.95</v>
      </c>
      <c r="BL1671" t="s">
        <v>116</v>
      </c>
      <c r="BM1671" t="s">
        <v>116</v>
      </c>
      <c r="BN1671">
        <v>53.76</v>
      </c>
      <c r="BO1671">
        <v>36.94</v>
      </c>
      <c r="BP1671">
        <v>0.32</v>
      </c>
      <c r="BQ1671">
        <v>30.69</v>
      </c>
      <c r="BR1671">
        <v>27.31</v>
      </c>
      <c r="BS1671">
        <v>2.59</v>
      </c>
      <c r="BT1671">
        <v>2.56</v>
      </c>
      <c r="BU1671">
        <v>15.97</v>
      </c>
      <c r="BV1671">
        <v>14.93</v>
      </c>
      <c r="BW1671">
        <v>6.17</v>
      </c>
      <c r="BX1671">
        <v>23.76</v>
      </c>
      <c r="BY1671">
        <v>13.24</v>
      </c>
      <c r="BZ1671">
        <v>9.76</v>
      </c>
      <c r="CA1671">
        <v>2.06</v>
      </c>
      <c r="CB1671">
        <v>0</v>
      </c>
      <c r="CC1671">
        <v>2.0499999999999998</v>
      </c>
      <c r="CD1671">
        <v>1.79</v>
      </c>
      <c r="CE1671">
        <v>1.84</v>
      </c>
      <c r="CF1671">
        <v>1.58</v>
      </c>
      <c r="CG1671">
        <v>4.88</v>
      </c>
      <c r="CH1671">
        <v>0.66</v>
      </c>
      <c r="CI1671">
        <v>0.94</v>
      </c>
      <c r="CJ1671">
        <v>34470</v>
      </c>
      <c r="CK1671">
        <v>7758</v>
      </c>
      <c r="CL1671" t="s">
        <v>8664</v>
      </c>
      <c r="CM1671">
        <v>0.49</v>
      </c>
      <c r="CN1671">
        <v>6.99</v>
      </c>
      <c r="CO1671">
        <v>1.72</v>
      </c>
      <c r="CP1671">
        <v>95.79</v>
      </c>
      <c r="CQ1671">
        <v>4.79</v>
      </c>
      <c r="CR1671">
        <v>2.2999999999999998</v>
      </c>
      <c r="CS1671" t="s">
        <v>4538</v>
      </c>
      <c r="CT1671">
        <v>4.6500000000000004</v>
      </c>
      <c r="CU1671">
        <v>0</v>
      </c>
      <c r="CV1671">
        <v>2.99</v>
      </c>
      <c r="CW1671">
        <v>0.61</v>
      </c>
      <c r="CX1671">
        <v>0.08</v>
      </c>
      <c r="CY1671">
        <v>68.709999999999994</v>
      </c>
      <c r="CZ1671" t="s">
        <v>6228</v>
      </c>
      <c r="DA1671">
        <v>26.24</v>
      </c>
      <c r="DB1671">
        <v>15.57</v>
      </c>
      <c r="DC1671">
        <v>13.9</v>
      </c>
      <c r="DD1671">
        <v>0.64</v>
      </c>
      <c r="DE1671">
        <v>1735</v>
      </c>
      <c r="DF1671">
        <v>300276</v>
      </c>
      <c r="DG1671" t="s">
        <v>116</v>
      </c>
      <c r="DH1671" t="s">
        <v>116</v>
      </c>
      <c r="DI1671" t="s">
        <v>116</v>
      </c>
    </row>
    <row r="1672" spans="1:113" x14ac:dyDescent="0.4">
      <c r="A1672" t="str">
        <f>"300277"</f>
        <v>300277</v>
      </c>
      <c r="B1672" t="s">
        <v>8665</v>
      </c>
      <c r="C1672">
        <v>-2.36</v>
      </c>
      <c r="D1672">
        <v>9.52</v>
      </c>
      <c r="E1672">
        <v>-0.23</v>
      </c>
      <c r="F1672">
        <v>9.52</v>
      </c>
      <c r="G1672">
        <v>9.5299999999999994</v>
      </c>
      <c r="H1672">
        <v>62511</v>
      </c>
      <c r="I1672">
        <v>984</v>
      </c>
      <c r="J1672">
        <v>-0.2</v>
      </c>
      <c r="K1672">
        <v>1.87</v>
      </c>
      <c r="L1672">
        <v>9.89</v>
      </c>
      <c r="M1672">
        <v>9.89</v>
      </c>
      <c r="N1672">
        <v>9.51</v>
      </c>
      <c r="O1672">
        <v>9.75</v>
      </c>
      <c r="P1672">
        <v>225.07</v>
      </c>
      <c r="Q1672">
        <v>60596108</v>
      </c>
      <c r="R1672">
        <v>0.61</v>
      </c>
      <c r="S1672" t="s">
        <v>607</v>
      </c>
      <c r="T1672" t="s">
        <v>115</v>
      </c>
      <c r="U1672">
        <v>3.9</v>
      </c>
      <c r="V1672">
        <v>9.69</v>
      </c>
      <c r="W1672">
        <v>33829</v>
      </c>
      <c r="X1672">
        <v>28682</v>
      </c>
      <c r="Y1672">
        <v>1.18</v>
      </c>
      <c r="Z1672">
        <v>653</v>
      </c>
      <c r="AA1672">
        <v>18</v>
      </c>
      <c r="AB1672" t="s">
        <v>116</v>
      </c>
      <c r="AC1672">
        <v>550900</v>
      </c>
      <c r="AD1672">
        <v>0.04</v>
      </c>
      <c r="AE1672" t="s">
        <v>116</v>
      </c>
      <c r="AF1672" t="s">
        <v>116</v>
      </c>
      <c r="AG1672">
        <v>3.34</v>
      </c>
      <c r="AH1672" t="s">
        <v>8666</v>
      </c>
      <c r="AI1672" t="s">
        <v>8667</v>
      </c>
      <c r="AJ1672">
        <v>-1.68</v>
      </c>
      <c r="AK1672">
        <v>1935</v>
      </c>
      <c r="AL1672">
        <v>32</v>
      </c>
      <c r="AM1672">
        <v>1E-3</v>
      </c>
      <c r="AN1672">
        <v>-3</v>
      </c>
      <c r="AO1672">
        <v>-4.9000000000000004</v>
      </c>
      <c r="AP1672">
        <v>-11.19</v>
      </c>
      <c r="AQ1672">
        <v>25.26</v>
      </c>
      <c r="AR1672">
        <v>56.32</v>
      </c>
      <c r="AS1672">
        <v>4.38</v>
      </c>
      <c r="AT1672" t="s">
        <v>8668</v>
      </c>
      <c r="AU1672">
        <v>158.66999999999999</v>
      </c>
      <c r="AV1672">
        <v>397.74</v>
      </c>
      <c r="AW1672">
        <v>0.87</v>
      </c>
      <c r="BA1672">
        <v>1.44</v>
      </c>
      <c r="BB1672">
        <v>1.44</v>
      </c>
      <c r="BC1672">
        <v>-2.46</v>
      </c>
      <c r="BD1672">
        <v>-0.57999999999999996</v>
      </c>
      <c r="BE1672">
        <v>-3.74</v>
      </c>
      <c r="BF1672">
        <v>-3.74</v>
      </c>
      <c r="BG1672">
        <v>0.11</v>
      </c>
      <c r="BH1672">
        <v>-1.78</v>
      </c>
      <c r="BI1672">
        <v>20191029</v>
      </c>
      <c r="BJ1672">
        <v>20111123</v>
      </c>
      <c r="BK1672">
        <v>3.35</v>
      </c>
      <c r="BL1672" t="s">
        <v>116</v>
      </c>
      <c r="BM1672" t="s">
        <v>116</v>
      </c>
      <c r="BN1672">
        <v>7.79</v>
      </c>
      <c r="BO1672">
        <v>4.68</v>
      </c>
      <c r="BP1672">
        <v>0.12</v>
      </c>
      <c r="BQ1672">
        <v>38.299999999999997</v>
      </c>
      <c r="BR1672">
        <v>7.39</v>
      </c>
      <c r="BS1672">
        <v>7.0000000000000007E-2</v>
      </c>
      <c r="BT1672">
        <v>0.01</v>
      </c>
      <c r="BU1672">
        <v>2.96</v>
      </c>
      <c r="BV1672">
        <v>2.19</v>
      </c>
      <c r="BW1672">
        <v>0.48</v>
      </c>
      <c r="BX1672">
        <v>0.83</v>
      </c>
      <c r="BY1672">
        <v>1.73</v>
      </c>
      <c r="BZ1672">
        <v>1.3</v>
      </c>
      <c r="CA1672">
        <v>0.14000000000000001</v>
      </c>
      <c r="CB1672">
        <v>0.05</v>
      </c>
      <c r="CC1672">
        <v>0.14000000000000001</v>
      </c>
      <c r="CD1672">
        <v>0.12</v>
      </c>
      <c r="CE1672">
        <v>0.11</v>
      </c>
      <c r="CF1672">
        <v>0.08</v>
      </c>
      <c r="CG1672">
        <v>0.33</v>
      </c>
      <c r="CH1672">
        <v>0.51</v>
      </c>
      <c r="CI1672">
        <v>-0.61</v>
      </c>
      <c r="CJ1672">
        <v>13352</v>
      </c>
      <c r="CK1672">
        <v>10694</v>
      </c>
      <c r="CL1672" t="s">
        <v>8669</v>
      </c>
      <c r="CM1672">
        <v>830.98</v>
      </c>
      <c r="CN1672">
        <v>49.41</v>
      </c>
      <c r="CO1672">
        <v>6.81</v>
      </c>
      <c r="CP1672">
        <v>62.48</v>
      </c>
      <c r="CQ1672">
        <v>18.39</v>
      </c>
      <c r="CR1672">
        <v>0.63</v>
      </c>
      <c r="CS1672" t="s">
        <v>1284</v>
      </c>
      <c r="CT1672">
        <v>1.4</v>
      </c>
      <c r="CU1672">
        <v>0</v>
      </c>
      <c r="CV1672">
        <v>0.25</v>
      </c>
      <c r="CW1672">
        <v>0.1</v>
      </c>
      <c r="CX1672">
        <v>0.15</v>
      </c>
      <c r="CY1672">
        <v>60.1</v>
      </c>
      <c r="CZ1672" t="s">
        <v>8670</v>
      </c>
      <c r="DA1672">
        <v>25.27</v>
      </c>
      <c r="DB1672">
        <v>7.97</v>
      </c>
      <c r="DC1672">
        <v>6.13</v>
      </c>
      <c r="DD1672">
        <v>0.17</v>
      </c>
      <c r="DE1672">
        <v>255</v>
      </c>
      <c r="DF1672">
        <v>300277</v>
      </c>
      <c r="DG1672" t="s">
        <v>116</v>
      </c>
      <c r="DH1672" t="s">
        <v>116</v>
      </c>
      <c r="DI1672" t="s">
        <v>116</v>
      </c>
    </row>
    <row r="1673" spans="1:113" x14ac:dyDescent="0.4">
      <c r="A1673" t="str">
        <f>"300278"</f>
        <v>300278</v>
      </c>
      <c r="B1673" t="s">
        <v>8671</v>
      </c>
      <c r="C1673">
        <v>-3.64</v>
      </c>
      <c r="D1673">
        <v>4.24</v>
      </c>
      <c r="E1673">
        <v>-0.16</v>
      </c>
      <c r="F1673">
        <v>4.24</v>
      </c>
      <c r="G1673">
        <v>4.25</v>
      </c>
      <c r="H1673">
        <v>182192</v>
      </c>
      <c r="I1673">
        <v>4708</v>
      </c>
      <c r="J1673">
        <v>-0.46</v>
      </c>
      <c r="K1673">
        <v>6.29</v>
      </c>
      <c r="L1673">
        <v>4.41</v>
      </c>
      <c r="M1673">
        <v>4.45</v>
      </c>
      <c r="N1673">
        <v>4.24</v>
      </c>
      <c r="O1673">
        <v>4.4000000000000004</v>
      </c>
      <c r="P1673" t="s">
        <v>116</v>
      </c>
      <c r="Q1673">
        <v>78978216</v>
      </c>
      <c r="R1673">
        <v>0.79</v>
      </c>
      <c r="S1673" t="s">
        <v>682</v>
      </c>
      <c r="T1673" t="s">
        <v>774</v>
      </c>
      <c r="U1673">
        <v>4.7699999999999996</v>
      </c>
      <c r="V1673">
        <v>4.33</v>
      </c>
      <c r="W1673">
        <v>116273</v>
      </c>
      <c r="X1673">
        <v>65919</v>
      </c>
      <c r="Y1673">
        <v>1.76</v>
      </c>
      <c r="Z1673">
        <v>424</v>
      </c>
      <c r="AA1673">
        <v>22</v>
      </c>
      <c r="AB1673" t="s">
        <v>116</v>
      </c>
      <c r="AC1673">
        <v>691900</v>
      </c>
      <c r="AD1673">
        <v>0.06</v>
      </c>
      <c r="AE1673" t="s">
        <v>116</v>
      </c>
      <c r="AF1673" t="s">
        <v>116</v>
      </c>
      <c r="AG1673">
        <v>2.9</v>
      </c>
      <c r="AH1673" t="s">
        <v>8672</v>
      </c>
      <c r="AI1673" t="s">
        <v>340</v>
      </c>
      <c r="AJ1673">
        <v>-2.96</v>
      </c>
      <c r="AK1673">
        <v>1960</v>
      </c>
      <c r="AL1673">
        <v>93</v>
      </c>
      <c r="AM1673">
        <v>3.2000000000000002E-3</v>
      </c>
      <c r="AN1673">
        <v>-1</v>
      </c>
      <c r="AO1673">
        <v>-3.2</v>
      </c>
      <c r="AP1673">
        <v>11.87</v>
      </c>
      <c r="AQ1673">
        <v>-4.29</v>
      </c>
      <c r="AR1673">
        <v>-25.74</v>
      </c>
      <c r="AS1673">
        <v>7.12</v>
      </c>
      <c r="AT1673" t="s">
        <v>8673</v>
      </c>
      <c r="AU1673" t="s">
        <v>116</v>
      </c>
      <c r="AV1673">
        <v>104.45</v>
      </c>
      <c r="AW1673">
        <v>1.49</v>
      </c>
      <c r="BA1673">
        <v>0.23</v>
      </c>
      <c r="BB1673">
        <v>1.1399999999999999</v>
      </c>
      <c r="BC1673">
        <v>-3.64</v>
      </c>
      <c r="BD1673">
        <v>-1.48</v>
      </c>
      <c r="BE1673">
        <v>-3.85</v>
      </c>
      <c r="BF1673">
        <v>-4.72</v>
      </c>
      <c r="BG1673">
        <v>0</v>
      </c>
      <c r="BH1673">
        <v>-2.16</v>
      </c>
      <c r="BI1673">
        <v>20191031</v>
      </c>
      <c r="BJ1673">
        <v>20111216</v>
      </c>
      <c r="BK1673">
        <v>5.97</v>
      </c>
      <c r="BL1673" t="s">
        <v>116</v>
      </c>
      <c r="BM1673" t="s">
        <v>116</v>
      </c>
      <c r="BN1673">
        <v>38.409999999999997</v>
      </c>
      <c r="BO1673">
        <v>10.35</v>
      </c>
      <c r="BP1673">
        <v>0.03</v>
      </c>
      <c r="BQ1673">
        <v>72.97</v>
      </c>
      <c r="BR1673">
        <v>23.35</v>
      </c>
      <c r="BS1673">
        <v>4.59</v>
      </c>
      <c r="BT1673">
        <v>1.1299999999999999</v>
      </c>
      <c r="BU1673">
        <v>21.2</v>
      </c>
      <c r="BV1673">
        <v>11.31</v>
      </c>
      <c r="BW1673">
        <v>8.09</v>
      </c>
      <c r="BX1673">
        <v>9.5299999999999994</v>
      </c>
      <c r="BY1673">
        <v>11.18</v>
      </c>
      <c r="BZ1673">
        <v>9.15</v>
      </c>
      <c r="CA1673">
        <v>-3.09</v>
      </c>
      <c r="CB1673">
        <v>7.0000000000000007E-2</v>
      </c>
      <c r="CC1673">
        <v>-6.55</v>
      </c>
      <c r="CD1673">
        <v>-6.73</v>
      </c>
      <c r="CE1673">
        <v>-6.71</v>
      </c>
      <c r="CF1673">
        <v>-3.31</v>
      </c>
      <c r="CG1673">
        <v>-2.66</v>
      </c>
      <c r="CH1673">
        <v>7.0000000000000007E-2</v>
      </c>
      <c r="CI1673">
        <v>0.13</v>
      </c>
      <c r="CJ1673">
        <v>27240</v>
      </c>
      <c r="CK1673">
        <v>9397</v>
      </c>
      <c r="CL1673" t="s">
        <v>1713</v>
      </c>
      <c r="CM1673">
        <v>-13666.49</v>
      </c>
      <c r="CN1673">
        <v>-42.67</v>
      </c>
      <c r="CO1673">
        <v>2.4500000000000002</v>
      </c>
      <c r="CP1673">
        <v>368.84</v>
      </c>
      <c r="CQ1673">
        <v>2.2599999999999998</v>
      </c>
      <c r="CR1673">
        <v>0</v>
      </c>
      <c r="CS1673" t="s">
        <v>8674</v>
      </c>
      <c r="CT1673">
        <v>1.73</v>
      </c>
      <c r="CU1673">
        <v>0</v>
      </c>
      <c r="CV1673">
        <v>1.6</v>
      </c>
      <c r="CW1673">
        <v>-0.45</v>
      </c>
      <c r="CX1673">
        <v>0.01</v>
      </c>
      <c r="CY1673">
        <v>26.95</v>
      </c>
      <c r="CZ1673" t="s">
        <v>8675</v>
      </c>
      <c r="DA1673">
        <v>18.2</v>
      </c>
      <c r="DB1673">
        <v>-27.61</v>
      </c>
      <c r="DC1673">
        <v>-60.06</v>
      </c>
      <c r="DD1673">
        <v>0.47</v>
      </c>
      <c r="DE1673">
        <v>1881</v>
      </c>
      <c r="DF1673">
        <v>300278</v>
      </c>
      <c r="DG1673" t="s">
        <v>116</v>
      </c>
      <c r="DH1673" t="s">
        <v>116</v>
      </c>
      <c r="DI1673" t="s">
        <v>116</v>
      </c>
    </row>
    <row r="1674" spans="1:113" x14ac:dyDescent="0.4">
      <c r="A1674" t="str">
        <f>"300279"</f>
        <v>300279</v>
      </c>
      <c r="B1674" t="s">
        <v>8676</v>
      </c>
      <c r="C1674">
        <v>-2.59</v>
      </c>
      <c r="D1674">
        <v>5.65</v>
      </c>
      <c r="E1674">
        <v>-0.15</v>
      </c>
      <c r="F1674">
        <v>5.64</v>
      </c>
      <c r="G1674">
        <v>5.65</v>
      </c>
      <c r="H1674">
        <v>224082</v>
      </c>
      <c r="I1674">
        <v>3267</v>
      </c>
      <c r="J1674">
        <v>0</v>
      </c>
      <c r="K1674">
        <v>5.13</v>
      </c>
      <c r="L1674">
        <v>5.69</v>
      </c>
      <c r="M1674">
        <v>5.79</v>
      </c>
      <c r="N1674">
        <v>5.6</v>
      </c>
      <c r="O1674">
        <v>5.8</v>
      </c>
      <c r="P1674">
        <v>71.41</v>
      </c>
      <c r="Q1674">
        <v>127924352</v>
      </c>
      <c r="R1674">
        <v>1.04</v>
      </c>
      <c r="S1674" t="s">
        <v>233</v>
      </c>
      <c r="T1674" t="s">
        <v>323</v>
      </c>
      <c r="U1674">
        <v>3.28</v>
      </c>
      <c r="V1674">
        <v>5.71</v>
      </c>
      <c r="W1674">
        <v>122697</v>
      </c>
      <c r="X1674">
        <v>101385</v>
      </c>
      <c r="Y1674">
        <v>1.21</v>
      </c>
      <c r="Z1674">
        <v>606</v>
      </c>
      <c r="AA1674">
        <v>1</v>
      </c>
      <c r="AB1674" t="s">
        <v>116</v>
      </c>
      <c r="AC1674">
        <v>794900</v>
      </c>
      <c r="AD1674">
        <v>0.05</v>
      </c>
      <c r="AE1674" t="s">
        <v>116</v>
      </c>
      <c r="AF1674" t="s">
        <v>116</v>
      </c>
      <c r="AG1674">
        <v>4.37</v>
      </c>
      <c r="AH1674" t="s">
        <v>4812</v>
      </c>
      <c r="AI1674" t="s">
        <v>4874</v>
      </c>
      <c r="AJ1674">
        <v>-1.91</v>
      </c>
      <c r="AK1674">
        <v>2787</v>
      </c>
      <c r="AL1674">
        <v>80</v>
      </c>
      <c r="AM1674">
        <v>1.8E-3</v>
      </c>
      <c r="AN1674">
        <v>-1</v>
      </c>
      <c r="AO1674">
        <v>0.9</v>
      </c>
      <c r="AP1674">
        <v>14.14</v>
      </c>
      <c r="AQ1674">
        <v>2.73</v>
      </c>
      <c r="AR1674">
        <v>15.31</v>
      </c>
      <c r="AS1674">
        <v>7.26</v>
      </c>
      <c r="AT1674" t="s">
        <v>8677</v>
      </c>
      <c r="AU1674" t="s">
        <v>116</v>
      </c>
      <c r="AV1674" t="s">
        <v>116</v>
      </c>
      <c r="AW1674">
        <v>1.66</v>
      </c>
      <c r="BA1674">
        <v>-1.9</v>
      </c>
      <c r="BB1674">
        <v>-0.17</v>
      </c>
      <c r="BC1674">
        <v>-3.45</v>
      </c>
      <c r="BD1674">
        <v>-1.57</v>
      </c>
      <c r="BE1674">
        <v>-0.7</v>
      </c>
      <c r="BF1674">
        <v>-2.42</v>
      </c>
      <c r="BG1674">
        <v>0.89</v>
      </c>
      <c r="BH1674">
        <v>-1.01</v>
      </c>
      <c r="BI1674">
        <v>20191205</v>
      </c>
      <c r="BJ1674">
        <v>20111229</v>
      </c>
      <c r="BK1674">
        <v>4.49</v>
      </c>
      <c r="BL1674" t="s">
        <v>116</v>
      </c>
      <c r="BM1674" t="s">
        <v>116</v>
      </c>
      <c r="BN1674">
        <v>24.16</v>
      </c>
      <c r="BO1674">
        <v>9.41</v>
      </c>
      <c r="BP1674">
        <v>-0.56000000000000005</v>
      </c>
      <c r="BQ1674">
        <v>63.37</v>
      </c>
      <c r="BR1674">
        <v>12.14</v>
      </c>
      <c r="BS1674">
        <v>3.45</v>
      </c>
      <c r="BT1674">
        <v>0.36</v>
      </c>
      <c r="BU1674">
        <v>14.87</v>
      </c>
      <c r="BV1674">
        <v>3.48</v>
      </c>
      <c r="BW1674">
        <v>3.75</v>
      </c>
      <c r="BX1674">
        <v>10</v>
      </c>
      <c r="BY1674">
        <v>10.61</v>
      </c>
      <c r="BZ1674">
        <v>8.6</v>
      </c>
      <c r="CA1674">
        <v>0.34</v>
      </c>
      <c r="CB1674">
        <v>-7.0000000000000007E-2</v>
      </c>
      <c r="CC1674">
        <v>0.35</v>
      </c>
      <c r="CD1674">
        <v>0.25</v>
      </c>
      <c r="CE1674">
        <v>0.27</v>
      </c>
      <c r="CF1674">
        <v>0.24</v>
      </c>
      <c r="CG1674">
        <v>-4.8600000000000003</v>
      </c>
      <c r="CH1674">
        <v>0.64</v>
      </c>
      <c r="CI1674">
        <v>-0.56999999999999995</v>
      </c>
      <c r="CJ1674">
        <v>23909</v>
      </c>
      <c r="CK1674">
        <v>12915</v>
      </c>
      <c r="CL1674" t="s">
        <v>4977</v>
      </c>
      <c r="CM1674">
        <v>166.46</v>
      </c>
      <c r="CN1674">
        <v>16.16</v>
      </c>
      <c r="CO1674">
        <v>2.7</v>
      </c>
      <c r="CP1674">
        <v>39.380000000000003</v>
      </c>
      <c r="CQ1674">
        <v>2.39</v>
      </c>
      <c r="CR1674">
        <v>0</v>
      </c>
      <c r="CS1674" t="s">
        <v>4234</v>
      </c>
      <c r="CT1674">
        <v>2.1</v>
      </c>
      <c r="CU1674">
        <v>0</v>
      </c>
      <c r="CV1674">
        <v>2.23</v>
      </c>
      <c r="CW1674">
        <v>-1.08</v>
      </c>
      <c r="CX1674">
        <v>0.14000000000000001</v>
      </c>
      <c r="CY1674">
        <v>38.94</v>
      </c>
      <c r="CZ1674" t="s">
        <v>3240</v>
      </c>
      <c r="DA1674">
        <v>18.96</v>
      </c>
      <c r="DB1674">
        <v>3.24</v>
      </c>
      <c r="DC1674">
        <v>2.5099999999999998</v>
      </c>
      <c r="DD1674">
        <v>0.41</v>
      </c>
      <c r="DE1674">
        <v>1502</v>
      </c>
      <c r="DF1674">
        <v>300279</v>
      </c>
      <c r="DG1674" t="s">
        <v>116</v>
      </c>
      <c r="DH1674" t="s">
        <v>116</v>
      </c>
      <c r="DI1674" t="s">
        <v>116</v>
      </c>
    </row>
    <row r="1675" spans="1:113" x14ac:dyDescent="0.4">
      <c r="A1675" t="str">
        <f>"300280"</f>
        <v>300280</v>
      </c>
      <c r="B1675" t="s">
        <v>8678</v>
      </c>
      <c r="C1675">
        <v>-1.97</v>
      </c>
      <c r="D1675">
        <v>16.43</v>
      </c>
      <c r="E1675">
        <v>-0.33</v>
      </c>
      <c r="F1675">
        <v>16.43</v>
      </c>
      <c r="G1675">
        <v>16.440000000000001</v>
      </c>
      <c r="H1675">
        <v>36898</v>
      </c>
      <c r="I1675">
        <v>525</v>
      </c>
      <c r="J1675">
        <v>-0.11</v>
      </c>
      <c r="K1675">
        <v>2.75</v>
      </c>
      <c r="L1675">
        <v>16.8</v>
      </c>
      <c r="M1675">
        <v>17.11</v>
      </c>
      <c r="N1675">
        <v>16.43</v>
      </c>
      <c r="O1675">
        <v>16.760000000000002</v>
      </c>
      <c r="P1675">
        <v>28.05</v>
      </c>
      <c r="Q1675">
        <v>61810032</v>
      </c>
      <c r="R1675">
        <v>1.08</v>
      </c>
      <c r="S1675" t="s">
        <v>682</v>
      </c>
      <c r="T1675" t="s">
        <v>323</v>
      </c>
      <c r="U1675">
        <v>4.0599999999999996</v>
      </c>
      <c r="V1675">
        <v>16.75</v>
      </c>
      <c r="W1675">
        <v>20734</v>
      </c>
      <c r="X1675">
        <v>16164</v>
      </c>
      <c r="Y1675">
        <v>1.28</v>
      </c>
      <c r="Z1675">
        <v>281</v>
      </c>
      <c r="AA1675">
        <v>104</v>
      </c>
      <c r="AB1675" t="s">
        <v>116</v>
      </c>
      <c r="AC1675">
        <v>203300</v>
      </c>
      <c r="AD1675">
        <v>0.01</v>
      </c>
      <c r="AE1675" t="s">
        <v>116</v>
      </c>
      <c r="AF1675" t="s">
        <v>116</v>
      </c>
      <c r="AG1675">
        <v>1.34</v>
      </c>
      <c r="AH1675" t="s">
        <v>6897</v>
      </c>
      <c r="AI1675" t="s">
        <v>8679</v>
      </c>
      <c r="AJ1675">
        <v>-1.29</v>
      </c>
      <c r="AK1675">
        <v>1886</v>
      </c>
      <c r="AL1675">
        <v>20</v>
      </c>
      <c r="AM1675">
        <v>1.5E-3</v>
      </c>
      <c r="AN1675">
        <v>-1</v>
      </c>
      <c r="AO1675">
        <v>-0.91</v>
      </c>
      <c r="AP1675">
        <v>6.69</v>
      </c>
      <c r="AQ1675">
        <v>1.99</v>
      </c>
      <c r="AR1675">
        <v>-48.75</v>
      </c>
      <c r="AS1675">
        <v>3.9</v>
      </c>
      <c r="AT1675" t="s">
        <v>6789</v>
      </c>
      <c r="AU1675">
        <v>28.42</v>
      </c>
      <c r="AV1675">
        <v>33.93</v>
      </c>
      <c r="AW1675">
        <v>1.03</v>
      </c>
      <c r="BA1675">
        <v>0.24</v>
      </c>
      <c r="BB1675">
        <v>2.09</v>
      </c>
      <c r="BC1675">
        <v>-1.97</v>
      </c>
      <c r="BD1675">
        <v>-0.05</v>
      </c>
      <c r="BE1675">
        <v>-2.2000000000000002</v>
      </c>
      <c r="BF1675">
        <v>-3.97</v>
      </c>
      <c r="BG1675">
        <v>0</v>
      </c>
      <c r="BH1675">
        <v>-1.92</v>
      </c>
      <c r="BI1675">
        <v>20191028</v>
      </c>
      <c r="BJ1675">
        <v>20111229</v>
      </c>
      <c r="BK1675">
        <v>1.62</v>
      </c>
      <c r="BL1675" t="s">
        <v>116</v>
      </c>
      <c r="BM1675" t="s">
        <v>116</v>
      </c>
      <c r="BN1675">
        <v>21.19</v>
      </c>
      <c r="BO1675">
        <v>17.11</v>
      </c>
      <c r="BP1675">
        <v>1.52</v>
      </c>
      <c r="BQ1675">
        <v>12.07</v>
      </c>
      <c r="BR1675">
        <v>7.32</v>
      </c>
      <c r="BS1675">
        <v>1.47</v>
      </c>
      <c r="BT1675">
        <v>0.32</v>
      </c>
      <c r="BU1675">
        <v>2.5</v>
      </c>
      <c r="BV1675">
        <v>1.64</v>
      </c>
      <c r="BW1675">
        <v>2.86</v>
      </c>
      <c r="BX1675">
        <v>13.12</v>
      </c>
      <c r="BY1675">
        <v>3.83</v>
      </c>
      <c r="BZ1675">
        <v>1.64</v>
      </c>
      <c r="CA1675">
        <v>1.53</v>
      </c>
      <c r="CB1675">
        <v>-0.03</v>
      </c>
      <c r="CC1675">
        <v>1.55</v>
      </c>
      <c r="CD1675">
        <v>1.1100000000000001</v>
      </c>
      <c r="CE1675">
        <v>0.71</v>
      </c>
      <c r="CF1675">
        <v>0.71</v>
      </c>
      <c r="CG1675">
        <v>2.2000000000000002</v>
      </c>
      <c r="CH1675">
        <v>1.59</v>
      </c>
      <c r="CI1675">
        <v>-0.05</v>
      </c>
      <c r="CJ1675">
        <v>23661</v>
      </c>
      <c r="CK1675">
        <v>3996</v>
      </c>
      <c r="CL1675" t="s">
        <v>8680</v>
      </c>
      <c r="CM1675">
        <v>27.15</v>
      </c>
      <c r="CN1675">
        <v>-21.89</v>
      </c>
      <c r="CO1675">
        <v>1.56</v>
      </c>
      <c r="CP1675">
        <v>16.7</v>
      </c>
      <c r="CQ1675">
        <v>6.95</v>
      </c>
      <c r="CR1675">
        <v>0</v>
      </c>
      <c r="CS1675" t="s">
        <v>8681</v>
      </c>
      <c r="CT1675">
        <v>10.56</v>
      </c>
      <c r="CU1675">
        <v>0</v>
      </c>
      <c r="CV1675">
        <v>8.09</v>
      </c>
      <c r="CW1675">
        <v>1.36</v>
      </c>
      <c r="CX1675">
        <v>0.98</v>
      </c>
      <c r="CY1675">
        <v>80.78</v>
      </c>
      <c r="CZ1675" t="s">
        <v>5787</v>
      </c>
      <c r="DA1675">
        <v>57.28</v>
      </c>
      <c r="DB1675">
        <v>39.82</v>
      </c>
      <c r="DC1675">
        <v>18.579999999999998</v>
      </c>
      <c r="DD1675">
        <v>0.11</v>
      </c>
      <c r="DE1675">
        <v>565</v>
      </c>
      <c r="DF1675">
        <v>300280</v>
      </c>
      <c r="DG1675" t="s">
        <v>116</v>
      </c>
      <c r="DH1675" t="s">
        <v>116</v>
      </c>
      <c r="DI1675" t="s">
        <v>116</v>
      </c>
    </row>
    <row r="1676" spans="1:113" x14ac:dyDescent="0.4">
      <c r="A1676" t="str">
        <f>"300281"</f>
        <v>300281</v>
      </c>
      <c r="B1676" t="s">
        <v>8682</v>
      </c>
      <c r="C1676">
        <v>0</v>
      </c>
      <c r="D1676">
        <v>6.07</v>
      </c>
      <c r="E1676">
        <v>0</v>
      </c>
      <c r="F1676">
        <v>6.06</v>
      </c>
      <c r="G1676">
        <v>6.07</v>
      </c>
      <c r="H1676">
        <v>25863</v>
      </c>
      <c r="I1676">
        <v>354</v>
      </c>
      <c r="J1676">
        <v>-0.15</v>
      </c>
      <c r="K1676">
        <v>0.87</v>
      </c>
      <c r="L1676">
        <v>6.04</v>
      </c>
      <c r="M1676">
        <v>6.11</v>
      </c>
      <c r="N1676">
        <v>6.03</v>
      </c>
      <c r="O1676">
        <v>6.07</v>
      </c>
      <c r="P1676">
        <v>313.08999999999997</v>
      </c>
      <c r="Q1676">
        <v>15703904</v>
      </c>
      <c r="R1676">
        <v>0.56000000000000005</v>
      </c>
      <c r="S1676" t="s">
        <v>682</v>
      </c>
      <c r="T1676" t="s">
        <v>551</v>
      </c>
      <c r="U1676">
        <v>1.32</v>
      </c>
      <c r="V1676">
        <v>6.07</v>
      </c>
      <c r="W1676">
        <v>13058</v>
      </c>
      <c r="X1676">
        <v>12805</v>
      </c>
      <c r="Y1676">
        <v>1.02</v>
      </c>
      <c r="Z1676">
        <v>416</v>
      </c>
      <c r="AA1676">
        <v>124</v>
      </c>
      <c r="AB1676" t="s">
        <v>116</v>
      </c>
      <c r="AC1676">
        <v>14500</v>
      </c>
      <c r="AD1676">
        <v>0</v>
      </c>
      <c r="AE1676" t="s">
        <v>116</v>
      </c>
      <c r="AF1676" t="s">
        <v>116</v>
      </c>
      <c r="AG1676">
        <v>2.98</v>
      </c>
      <c r="AH1676" t="s">
        <v>8683</v>
      </c>
      <c r="AI1676" t="s">
        <v>1221</v>
      </c>
      <c r="AJ1676">
        <v>0.68</v>
      </c>
      <c r="AK1676">
        <v>547</v>
      </c>
      <c r="AL1676">
        <v>47</v>
      </c>
      <c r="AM1676">
        <v>1.6000000000000001E-3</v>
      </c>
      <c r="AN1676">
        <v>0</v>
      </c>
      <c r="AO1676">
        <v>-0.98</v>
      </c>
      <c r="AP1676">
        <v>7.43</v>
      </c>
      <c r="AQ1676">
        <v>10.16</v>
      </c>
      <c r="AR1676">
        <v>35.340000000000003</v>
      </c>
      <c r="AS1676">
        <v>1.26</v>
      </c>
      <c r="AT1676" t="s">
        <v>8684</v>
      </c>
      <c r="AU1676" t="s">
        <v>116</v>
      </c>
      <c r="AV1676">
        <v>128.01</v>
      </c>
      <c r="AW1676">
        <v>0.54</v>
      </c>
      <c r="BA1676">
        <v>-0.49</v>
      </c>
      <c r="BB1676">
        <v>0.66</v>
      </c>
      <c r="BC1676">
        <v>-0.66</v>
      </c>
      <c r="BD1676">
        <v>0.03</v>
      </c>
      <c r="BE1676">
        <v>0.5</v>
      </c>
      <c r="BF1676">
        <v>-0.65</v>
      </c>
      <c r="BG1676">
        <v>0.66</v>
      </c>
      <c r="BH1676">
        <v>-0.03</v>
      </c>
      <c r="BI1676">
        <v>20191030</v>
      </c>
      <c r="BJ1676">
        <v>20111229</v>
      </c>
      <c r="BK1676">
        <v>4.1900000000000004</v>
      </c>
      <c r="BL1676" t="s">
        <v>116</v>
      </c>
      <c r="BM1676" t="s">
        <v>116</v>
      </c>
      <c r="BN1676">
        <v>15.29</v>
      </c>
      <c r="BO1676">
        <v>12.1</v>
      </c>
      <c r="BP1676">
        <v>0</v>
      </c>
      <c r="BQ1676">
        <v>20.82</v>
      </c>
      <c r="BR1676">
        <v>8.4499999999999993</v>
      </c>
      <c r="BS1676">
        <v>2.7</v>
      </c>
      <c r="BT1676">
        <v>1.21</v>
      </c>
      <c r="BU1676">
        <v>2.65</v>
      </c>
      <c r="BV1676">
        <v>3.73</v>
      </c>
      <c r="BW1676">
        <v>0.42</v>
      </c>
      <c r="BX1676">
        <v>4.95</v>
      </c>
      <c r="BY1676">
        <v>2.23</v>
      </c>
      <c r="BZ1676">
        <v>1.8</v>
      </c>
      <c r="CA1676">
        <v>0.06</v>
      </c>
      <c r="CB1676">
        <v>0.1</v>
      </c>
      <c r="CC1676">
        <v>0.06</v>
      </c>
      <c r="CD1676">
        <v>0.06</v>
      </c>
      <c r="CE1676">
        <v>0.06</v>
      </c>
      <c r="CF1676">
        <v>-0.08</v>
      </c>
      <c r="CG1676">
        <v>2.62</v>
      </c>
      <c r="CH1676">
        <v>0.02</v>
      </c>
      <c r="CI1676">
        <v>-0.49</v>
      </c>
      <c r="CJ1676">
        <v>11515</v>
      </c>
      <c r="CK1676">
        <v>17758</v>
      </c>
      <c r="CL1676" t="s">
        <v>8685</v>
      </c>
      <c r="CM1676">
        <v>-81.650000000000006</v>
      </c>
      <c r="CN1676">
        <v>-26.96</v>
      </c>
      <c r="CO1676">
        <v>2.1</v>
      </c>
      <c r="CP1676">
        <v>1191.54</v>
      </c>
      <c r="CQ1676">
        <v>11.39</v>
      </c>
      <c r="CR1676">
        <v>0.25</v>
      </c>
      <c r="CS1676" t="s">
        <v>3943</v>
      </c>
      <c r="CT1676">
        <v>2.89</v>
      </c>
      <c r="CU1676">
        <v>0</v>
      </c>
      <c r="CV1676">
        <v>1.18</v>
      </c>
      <c r="CW1676">
        <v>0.62</v>
      </c>
      <c r="CX1676">
        <v>0.01</v>
      </c>
      <c r="CY1676">
        <v>79.180000000000007</v>
      </c>
      <c r="CZ1676" t="s">
        <v>3760</v>
      </c>
      <c r="DA1676">
        <v>19.27</v>
      </c>
      <c r="DB1676">
        <v>2.9</v>
      </c>
      <c r="DC1676">
        <v>2.73</v>
      </c>
      <c r="DD1676">
        <v>0.15</v>
      </c>
      <c r="DE1676">
        <v>556</v>
      </c>
      <c r="DF1676">
        <v>300281</v>
      </c>
      <c r="DG1676" t="s">
        <v>116</v>
      </c>
      <c r="DH1676" t="s">
        <v>116</v>
      </c>
      <c r="DI1676" t="s">
        <v>116</v>
      </c>
    </row>
    <row r="1677" spans="1:113" x14ac:dyDescent="0.4">
      <c r="A1677" t="str">
        <f>"300282"</f>
        <v>300282</v>
      </c>
      <c r="B1677" t="s">
        <v>8686</v>
      </c>
      <c r="C1677">
        <v>-0.76</v>
      </c>
      <c r="D1677">
        <v>7.81</v>
      </c>
      <c r="E1677">
        <v>-0.06</v>
      </c>
      <c r="F1677">
        <v>7.81</v>
      </c>
      <c r="G1677">
        <v>7.82</v>
      </c>
      <c r="H1677">
        <v>153731</v>
      </c>
      <c r="I1677">
        <v>986</v>
      </c>
      <c r="J1677">
        <v>-0.12</v>
      </c>
      <c r="K1677">
        <v>4.21</v>
      </c>
      <c r="L1677">
        <v>7.89</v>
      </c>
      <c r="M1677">
        <v>7.99</v>
      </c>
      <c r="N1677">
        <v>7.8</v>
      </c>
      <c r="O1677">
        <v>7.87</v>
      </c>
      <c r="P1677">
        <v>32.21</v>
      </c>
      <c r="Q1677">
        <v>121405592</v>
      </c>
      <c r="R1677">
        <v>1.61</v>
      </c>
      <c r="S1677" t="s">
        <v>217</v>
      </c>
      <c r="T1677" t="s">
        <v>165</v>
      </c>
      <c r="U1677">
        <v>2.41</v>
      </c>
      <c r="V1677">
        <v>7.9</v>
      </c>
      <c r="W1677">
        <v>76004</v>
      </c>
      <c r="X1677">
        <v>77727</v>
      </c>
      <c r="Y1677">
        <v>0.98</v>
      </c>
      <c r="Z1677">
        <v>864</v>
      </c>
      <c r="AA1677">
        <v>231</v>
      </c>
      <c r="AB1677" t="s">
        <v>116</v>
      </c>
      <c r="AC1677">
        <v>33100</v>
      </c>
      <c r="AD1677">
        <v>0</v>
      </c>
      <c r="AE1677" t="s">
        <v>116</v>
      </c>
      <c r="AF1677" t="s">
        <v>116</v>
      </c>
      <c r="AG1677">
        <v>3.65</v>
      </c>
      <c r="AH1677" t="s">
        <v>3547</v>
      </c>
      <c r="AI1677" t="s">
        <v>8687</v>
      </c>
      <c r="AJ1677">
        <v>-0.08</v>
      </c>
      <c r="AK1677">
        <v>2285</v>
      </c>
      <c r="AL1677">
        <v>67</v>
      </c>
      <c r="AM1677">
        <v>1.8E-3</v>
      </c>
      <c r="AN1677">
        <v>-1</v>
      </c>
      <c r="AO1677">
        <v>-0.38</v>
      </c>
      <c r="AP1677">
        <v>-2.0099999999999998</v>
      </c>
      <c r="AQ1677">
        <v>-41.19</v>
      </c>
      <c r="AR1677">
        <v>-2.17</v>
      </c>
      <c r="AS1677">
        <v>6.42</v>
      </c>
      <c r="AT1677" t="s">
        <v>5439</v>
      </c>
      <c r="AU1677">
        <v>30.31</v>
      </c>
      <c r="AV1677">
        <v>25.88</v>
      </c>
      <c r="AW1677">
        <v>0.78</v>
      </c>
      <c r="BA1677">
        <v>0.25</v>
      </c>
      <c r="BB1677">
        <v>1.52</v>
      </c>
      <c r="BC1677">
        <v>-0.89</v>
      </c>
      <c r="BD1677">
        <v>0.35</v>
      </c>
      <c r="BE1677">
        <v>-1.01</v>
      </c>
      <c r="BF1677">
        <v>-2.25</v>
      </c>
      <c r="BG1677">
        <v>0.13</v>
      </c>
      <c r="BH1677">
        <v>-1.1100000000000001</v>
      </c>
      <c r="BI1677">
        <v>20191224</v>
      </c>
      <c r="BJ1677">
        <v>20111229</v>
      </c>
      <c r="BK1677">
        <v>3.77</v>
      </c>
      <c r="BL1677" t="s">
        <v>116</v>
      </c>
      <c r="BM1677" t="s">
        <v>116</v>
      </c>
      <c r="BN1677">
        <v>31.52</v>
      </c>
      <c r="BO1677">
        <v>25.39</v>
      </c>
      <c r="BP1677">
        <v>0.34</v>
      </c>
      <c r="BQ1677">
        <v>18.38</v>
      </c>
      <c r="BR1677">
        <v>19.22</v>
      </c>
      <c r="BS1677">
        <v>0.75</v>
      </c>
      <c r="BT1677">
        <v>1.02</v>
      </c>
      <c r="BU1677">
        <v>5.73</v>
      </c>
      <c r="BV1677">
        <v>0.82</v>
      </c>
      <c r="BW1677">
        <v>3.46</v>
      </c>
      <c r="BX1677">
        <v>18.88</v>
      </c>
      <c r="BY1677">
        <v>5.0199999999999996</v>
      </c>
      <c r="BZ1677">
        <v>3.46</v>
      </c>
      <c r="CA1677">
        <v>0.68</v>
      </c>
      <c r="CB1677">
        <v>-0.01</v>
      </c>
      <c r="CC1677">
        <v>0.84</v>
      </c>
      <c r="CD1677">
        <v>0.73</v>
      </c>
      <c r="CE1677">
        <v>0.69</v>
      </c>
      <c r="CF1677">
        <v>0.44</v>
      </c>
      <c r="CG1677">
        <v>2.68</v>
      </c>
      <c r="CH1677">
        <v>0.25</v>
      </c>
      <c r="CI1677">
        <v>4.32</v>
      </c>
      <c r="CJ1677">
        <v>18000</v>
      </c>
      <c r="CK1677">
        <v>13293</v>
      </c>
      <c r="CL1677" t="s">
        <v>4699</v>
      </c>
      <c r="CM1677">
        <v>-19.52</v>
      </c>
      <c r="CN1677">
        <v>-1.98</v>
      </c>
      <c r="CO1677">
        <v>1.1499999999999999</v>
      </c>
      <c r="CP1677">
        <v>117.1</v>
      </c>
      <c r="CQ1677">
        <v>5.87</v>
      </c>
      <c r="CR1677">
        <v>0.21</v>
      </c>
      <c r="CS1677" t="s">
        <v>1971</v>
      </c>
      <c r="CT1677">
        <v>6.78</v>
      </c>
      <c r="CU1677">
        <v>6.78</v>
      </c>
      <c r="CV1677">
        <v>5.01</v>
      </c>
      <c r="CW1677">
        <v>0.71</v>
      </c>
      <c r="CX1677">
        <v>7.0000000000000007E-2</v>
      </c>
      <c r="CY1677">
        <v>80.55</v>
      </c>
      <c r="CZ1677" t="s">
        <v>8688</v>
      </c>
      <c r="DA1677">
        <v>31.14</v>
      </c>
      <c r="DB1677">
        <v>13.63</v>
      </c>
      <c r="DC1677">
        <v>13.66</v>
      </c>
      <c r="DD1677">
        <v>0.14000000000000001</v>
      </c>
      <c r="DE1677">
        <v>448</v>
      </c>
      <c r="DF1677">
        <v>300282</v>
      </c>
      <c r="DG1677" t="s">
        <v>116</v>
      </c>
      <c r="DH1677" t="s">
        <v>116</v>
      </c>
      <c r="DI1677" t="s">
        <v>116</v>
      </c>
    </row>
    <row r="1678" spans="1:113" x14ac:dyDescent="0.4">
      <c r="A1678" t="str">
        <f>"300283"</f>
        <v>300283</v>
      </c>
      <c r="B1678" t="s">
        <v>8689</v>
      </c>
      <c r="C1678">
        <v>-0.88</v>
      </c>
      <c r="D1678">
        <v>4.4800000000000004</v>
      </c>
      <c r="E1678">
        <v>-0.04</v>
      </c>
      <c r="F1678">
        <v>4.47</v>
      </c>
      <c r="G1678">
        <v>4.4800000000000004</v>
      </c>
      <c r="H1678">
        <v>33554</v>
      </c>
      <c r="I1678">
        <v>127</v>
      </c>
      <c r="J1678">
        <v>0.22</v>
      </c>
      <c r="K1678">
        <v>1.49</v>
      </c>
      <c r="L1678">
        <v>4.5</v>
      </c>
      <c r="M1678">
        <v>4.57</v>
      </c>
      <c r="N1678">
        <v>4.46</v>
      </c>
      <c r="O1678">
        <v>4.5199999999999996</v>
      </c>
      <c r="P1678">
        <v>84.22</v>
      </c>
      <c r="Q1678">
        <v>15174317</v>
      </c>
      <c r="R1678">
        <v>1.18</v>
      </c>
      <c r="S1678" t="s">
        <v>397</v>
      </c>
      <c r="T1678" t="s">
        <v>590</v>
      </c>
      <c r="U1678">
        <v>2.4300000000000002</v>
      </c>
      <c r="V1678">
        <v>4.5199999999999996</v>
      </c>
      <c r="W1678">
        <v>19825</v>
      </c>
      <c r="X1678">
        <v>13729</v>
      </c>
      <c r="Y1678">
        <v>1.44</v>
      </c>
      <c r="Z1678">
        <v>73</v>
      </c>
      <c r="AA1678">
        <v>390</v>
      </c>
      <c r="AB1678" t="s">
        <v>116</v>
      </c>
      <c r="AC1678">
        <v>42800</v>
      </c>
      <c r="AD1678">
        <v>0.01</v>
      </c>
      <c r="AE1678" t="s">
        <v>116</v>
      </c>
      <c r="AF1678" t="s">
        <v>116</v>
      </c>
      <c r="AG1678">
        <v>2.2599999999999998</v>
      </c>
      <c r="AH1678" t="s">
        <v>7839</v>
      </c>
      <c r="AI1678" t="s">
        <v>8690</v>
      </c>
      <c r="AJ1678">
        <v>-0.21</v>
      </c>
      <c r="AK1678">
        <v>840</v>
      </c>
      <c r="AL1678">
        <v>40</v>
      </c>
      <c r="AM1678">
        <v>1.8E-3</v>
      </c>
      <c r="AN1678">
        <v>-1</v>
      </c>
      <c r="AO1678">
        <v>0.91</v>
      </c>
      <c r="AP1678">
        <v>6.41</v>
      </c>
      <c r="AQ1678">
        <v>-2.4</v>
      </c>
      <c r="AR1678">
        <v>0.9</v>
      </c>
      <c r="AS1678">
        <v>1.97</v>
      </c>
      <c r="AT1678" t="s">
        <v>8691</v>
      </c>
      <c r="AU1678">
        <v>94.93</v>
      </c>
      <c r="AV1678">
        <v>88.52</v>
      </c>
      <c r="AW1678">
        <v>1.24</v>
      </c>
      <c r="BA1678">
        <v>-0.44</v>
      </c>
      <c r="BB1678">
        <v>1.1100000000000001</v>
      </c>
      <c r="BC1678">
        <v>-1.33</v>
      </c>
      <c r="BD1678">
        <v>0.05</v>
      </c>
      <c r="BE1678">
        <v>-0.44</v>
      </c>
      <c r="BF1678">
        <v>-1.97</v>
      </c>
      <c r="BG1678">
        <v>0.45</v>
      </c>
      <c r="BH1678">
        <v>-0.94</v>
      </c>
      <c r="BI1678">
        <v>20191029</v>
      </c>
      <c r="BJ1678">
        <v>20120110</v>
      </c>
      <c r="BK1678">
        <v>4.1399999999999997</v>
      </c>
      <c r="BL1678" t="s">
        <v>116</v>
      </c>
      <c r="BM1678" t="s">
        <v>116</v>
      </c>
      <c r="BN1678">
        <v>14.81</v>
      </c>
      <c r="BO1678">
        <v>5.97</v>
      </c>
      <c r="BP1678">
        <v>0.03</v>
      </c>
      <c r="BQ1678">
        <v>59.48</v>
      </c>
      <c r="BR1678">
        <v>7.06</v>
      </c>
      <c r="BS1678">
        <v>4.74</v>
      </c>
      <c r="BT1678">
        <v>1</v>
      </c>
      <c r="BU1678">
        <v>7.66</v>
      </c>
      <c r="BV1678">
        <v>3.78</v>
      </c>
      <c r="BW1678">
        <v>2.33</v>
      </c>
      <c r="BX1678">
        <v>0.17</v>
      </c>
      <c r="BY1678">
        <v>13.14</v>
      </c>
      <c r="BZ1678">
        <v>11.89</v>
      </c>
      <c r="CA1678">
        <v>0.17</v>
      </c>
      <c r="CB1678">
        <v>0.01</v>
      </c>
      <c r="CC1678">
        <v>0.17</v>
      </c>
      <c r="CD1678">
        <v>0.15</v>
      </c>
      <c r="CE1678">
        <v>0.17</v>
      </c>
      <c r="CF1678">
        <v>0.1</v>
      </c>
      <c r="CG1678">
        <v>1.39</v>
      </c>
      <c r="CH1678">
        <v>0.64</v>
      </c>
      <c r="CI1678">
        <v>0.03</v>
      </c>
      <c r="CJ1678">
        <v>11620</v>
      </c>
      <c r="CK1678">
        <v>14687</v>
      </c>
      <c r="CL1678" t="s">
        <v>8692</v>
      </c>
      <c r="CM1678">
        <v>-7.9</v>
      </c>
      <c r="CN1678">
        <v>54.21</v>
      </c>
      <c r="CO1678">
        <v>3.11</v>
      </c>
      <c r="CP1678">
        <v>29.21</v>
      </c>
      <c r="CQ1678">
        <v>1.41</v>
      </c>
      <c r="CR1678">
        <v>0.22</v>
      </c>
      <c r="CS1678" t="s">
        <v>778</v>
      </c>
      <c r="CT1678">
        <v>1.44</v>
      </c>
      <c r="CU1678">
        <v>0</v>
      </c>
      <c r="CV1678">
        <v>0.04</v>
      </c>
      <c r="CW1678">
        <v>0.34</v>
      </c>
      <c r="CX1678">
        <v>0.15</v>
      </c>
      <c r="CY1678">
        <v>40.33</v>
      </c>
      <c r="CZ1678" t="s">
        <v>883</v>
      </c>
      <c r="DA1678">
        <v>9.52</v>
      </c>
      <c r="DB1678">
        <v>1.29</v>
      </c>
      <c r="DC1678">
        <v>1.26</v>
      </c>
      <c r="DD1678">
        <v>0.34</v>
      </c>
      <c r="DE1678">
        <v>1221</v>
      </c>
      <c r="DF1678">
        <v>300283</v>
      </c>
      <c r="DG1678" t="s">
        <v>116</v>
      </c>
      <c r="DH1678" t="s">
        <v>116</v>
      </c>
      <c r="DI1678" t="s">
        <v>116</v>
      </c>
    </row>
    <row r="1679" spans="1:113" x14ac:dyDescent="0.4">
      <c r="A1679" t="str">
        <f>"300284"</f>
        <v>300284</v>
      </c>
      <c r="B1679" t="s">
        <v>8693</v>
      </c>
      <c r="C1679">
        <v>0.87</v>
      </c>
      <c r="D1679">
        <v>8.1199999999999992</v>
      </c>
      <c r="E1679">
        <v>7.0000000000000007E-2</v>
      </c>
      <c r="F1679">
        <v>8.1199999999999992</v>
      </c>
      <c r="G1679">
        <v>8.1300000000000008</v>
      </c>
      <c r="H1679">
        <v>66593</v>
      </c>
      <c r="I1679">
        <v>211</v>
      </c>
      <c r="J1679">
        <v>-0.24</v>
      </c>
      <c r="K1679">
        <v>1</v>
      </c>
      <c r="L1679">
        <v>8.06</v>
      </c>
      <c r="M1679">
        <v>8.27</v>
      </c>
      <c r="N1679">
        <v>8.0299999999999994</v>
      </c>
      <c r="O1679">
        <v>8.0500000000000007</v>
      </c>
      <c r="P1679">
        <v>13.98</v>
      </c>
      <c r="Q1679">
        <v>54188540</v>
      </c>
      <c r="R1679">
        <v>1.83</v>
      </c>
      <c r="S1679" t="s">
        <v>181</v>
      </c>
      <c r="T1679" t="s">
        <v>323</v>
      </c>
      <c r="U1679">
        <v>2.98</v>
      </c>
      <c r="V1679">
        <v>8.14</v>
      </c>
      <c r="W1679">
        <v>33184</v>
      </c>
      <c r="X1679">
        <v>33409</v>
      </c>
      <c r="Y1679">
        <v>0.99</v>
      </c>
      <c r="Z1679">
        <v>598</v>
      </c>
      <c r="AA1679">
        <v>229</v>
      </c>
      <c r="AB1679" t="s">
        <v>116</v>
      </c>
      <c r="AC1679">
        <v>31400</v>
      </c>
      <c r="AD1679">
        <v>0</v>
      </c>
      <c r="AE1679" t="s">
        <v>116</v>
      </c>
      <c r="AF1679" t="s">
        <v>116</v>
      </c>
      <c r="AG1679">
        <v>6.63</v>
      </c>
      <c r="AH1679" t="s">
        <v>8694</v>
      </c>
      <c r="AI1679" t="s">
        <v>8695</v>
      </c>
      <c r="AJ1679">
        <v>1.55</v>
      </c>
      <c r="AK1679">
        <v>1429</v>
      </c>
      <c r="AL1679">
        <v>47</v>
      </c>
      <c r="AM1679">
        <v>6.9999999999999999E-4</v>
      </c>
      <c r="AN1679">
        <v>2</v>
      </c>
      <c r="AO1679">
        <v>1.25</v>
      </c>
      <c r="AP1679">
        <v>2.78</v>
      </c>
      <c r="AQ1679">
        <v>-6.99</v>
      </c>
      <c r="AR1679">
        <v>-4.75</v>
      </c>
      <c r="AS1679">
        <v>1.1299999999999999</v>
      </c>
      <c r="AT1679" t="s">
        <v>6748</v>
      </c>
      <c r="AU1679">
        <v>11.59</v>
      </c>
      <c r="AV1679">
        <v>12.66</v>
      </c>
      <c r="AW1679">
        <v>0.72</v>
      </c>
      <c r="BA1679">
        <v>0.12</v>
      </c>
      <c r="BB1679">
        <v>2.73</v>
      </c>
      <c r="BC1679">
        <v>-0.25</v>
      </c>
      <c r="BD1679">
        <v>1.08</v>
      </c>
      <c r="BE1679">
        <v>0.74</v>
      </c>
      <c r="BF1679">
        <v>-1.81</v>
      </c>
      <c r="BG1679">
        <v>1.1200000000000001</v>
      </c>
      <c r="BH1679">
        <v>-0.21</v>
      </c>
      <c r="BI1679">
        <v>20191029</v>
      </c>
      <c r="BJ1679">
        <v>20120110</v>
      </c>
      <c r="BK1679">
        <v>9.7100000000000009</v>
      </c>
      <c r="BL1679" t="s">
        <v>116</v>
      </c>
      <c r="BM1679" t="s">
        <v>116</v>
      </c>
      <c r="BN1679">
        <v>119.38</v>
      </c>
      <c r="BO1679">
        <v>45.23</v>
      </c>
      <c r="BP1679">
        <v>3.15</v>
      </c>
      <c r="BQ1679">
        <v>59.47</v>
      </c>
      <c r="BR1679">
        <v>90.72</v>
      </c>
      <c r="BS1679">
        <v>6.77</v>
      </c>
      <c r="BT1679">
        <v>2.2000000000000002</v>
      </c>
      <c r="BU1679">
        <v>63.07</v>
      </c>
      <c r="BV1679">
        <v>0.82</v>
      </c>
      <c r="BW1679">
        <v>65.31</v>
      </c>
      <c r="BX1679">
        <v>10.18</v>
      </c>
      <c r="BY1679">
        <v>35.18</v>
      </c>
      <c r="BZ1679">
        <v>21.54</v>
      </c>
      <c r="CA1679">
        <v>5.26</v>
      </c>
      <c r="CB1679">
        <v>0.03</v>
      </c>
      <c r="CC1679">
        <v>5.23</v>
      </c>
      <c r="CD1679">
        <v>4.28</v>
      </c>
      <c r="CE1679">
        <v>4.2300000000000004</v>
      </c>
      <c r="CF1679">
        <v>4.24</v>
      </c>
      <c r="CG1679">
        <v>23.84</v>
      </c>
      <c r="CH1679">
        <v>-5.85</v>
      </c>
      <c r="CI1679">
        <v>-15.48</v>
      </c>
      <c r="CJ1679">
        <v>24488</v>
      </c>
      <c r="CK1679">
        <v>23976</v>
      </c>
      <c r="CL1679" t="s">
        <v>8696</v>
      </c>
      <c r="CM1679">
        <v>15.64</v>
      </c>
      <c r="CN1679">
        <v>-25.17</v>
      </c>
      <c r="CO1679">
        <v>1.74</v>
      </c>
      <c r="CP1679">
        <v>-13.49</v>
      </c>
      <c r="CQ1679">
        <v>2.2400000000000002</v>
      </c>
      <c r="CR1679">
        <v>1.44</v>
      </c>
      <c r="CS1679" t="s">
        <v>8697</v>
      </c>
      <c r="CT1679">
        <v>4.66</v>
      </c>
      <c r="CU1679">
        <v>0</v>
      </c>
      <c r="CV1679">
        <v>1.05</v>
      </c>
      <c r="CW1679">
        <v>2.4500000000000002</v>
      </c>
      <c r="CX1679">
        <v>-0.6</v>
      </c>
      <c r="CY1679">
        <v>37.89</v>
      </c>
      <c r="CZ1679" t="s">
        <v>2310</v>
      </c>
      <c r="DA1679">
        <v>38.75</v>
      </c>
      <c r="DB1679">
        <v>14.95</v>
      </c>
      <c r="DC1679">
        <v>12.03</v>
      </c>
      <c r="DD1679">
        <v>1.29</v>
      </c>
      <c r="DE1679">
        <v>8239</v>
      </c>
      <c r="DF1679">
        <v>300284</v>
      </c>
      <c r="DG1679" t="s">
        <v>116</v>
      </c>
      <c r="DH1679" t="s">
        <v>116</v>
      </c>
      <c r="DI1679" t="s">
        <v>116</v>
      </c>
    </row>
    <row r="1680" spans="1:113" x14ac:dyDescent="0.4">
      <c r="A1680" t="str">
        <f>"300285"</f>
        <v>300285</v>
      </c>
      <c r="B1680" t="s">
        <v>8698</v>
      </c>
      <c r="C1680">
        <v>-1.31</v>
      </c>
      <c r="D1680">
        <v>22.6</v>
      </c>
      <c r="E1680">
        <v>-0.3</v>
      </c>
      <c r="F1680">
        <v>22.6</v>
      </c>
      <c r="G1680">
        <v>22.63</v>
      </c>
      <c r="H1680">
        <v>43940</v>
      </c>
      <c r="I1680">
        <v>389</v>
      </c>
      <c r="J1680">
        <v>0</v>
      </c>
      <c r="K1680">
        <v>0.62</v>
      </c>
      <c r="L1680">
        <v>23</v>
      </c>
      <c r="M1680">
        <v>23.08</v>
      </c>
      <c r="N1680">
        <v>22.52</v>
      </c>
      <c r="O1680">
        <v>22.9</v>
      </c>
      <c r="P1680">
        <v>45.52</v>
      </c>
      <c r="Q1680">
        <v>99874936</v>
      </c>
      <c r="R1680">
        <v>0.95</v>
      </c>
      <c r="S1680" t="s">
        <v>8514</v>
      </c>
      <c r="T1680" t="s">
        <v>645</v>
      </c>
      <c r="U1680">
        <v>2.4500000000000002</v>
      </c>
      <c r="V1680">
        <v>22.73</v>
      </c>
      <c r="W1680">
        <v>26363</v>
      </c>
      <c r="X1680">
        <v>17577</v>
      </c>
      <c r="Y1680">
        <v>1.5</v>
      </c>
      <c r="Z1680">
        <v>28</v>
      </c>
      <c r="AA1680">
        <v>30</v>
      </c>
      <c r="AB1680" t="s">
        <v>116</v>
      </c>
      <c r="AC1680">
        <v>340400</v>
      </c>
      <c r="AD1680">
        <v>0</v>
      </c>
      <c r="AE1680" t="s">
        <v>116</v>
      </c>
      <c r="AF1680" t="s">
        <v>116</v>
      </c>
      <c r="AG1680">
        <v>7.07</v>
      </c>
      <c r="AH1680" t="s">
        <v>8699</v>
      </c>
      <c r="AI1680" t="s">
        <v>8700</v>
      </c>
      <c r="AJ1680">
        <v>-0.63</v>
      </c>
      <c r="AK1680">
        <v>2919</v>
      </c>
      <c r="AL1680">
        <v>15</v>
      </c>
      <c r="AM1680">
        <v>2.0000000000000001E-4</v>
      </c>
      <c r="AN1680">
        <v>-2</v>
      </c>
      <c r="AO1680">
        <v>-2.17</v>
      </c>
      <c r="AP1680">
        <v>3.76</v>
      </c>
      <c r="AQ1680">
        <v>2.17</v>
      </c>
      <c r="AR1680">
        <v>104.59</v>
      </c>
      <c r="AS1680">
        <v>0.69</v>
      </c>
      <c r="AT1680" t="s">
        <v>8701</v>
      </c>
      <c r="AU1680">
        <v>42.96</v>
      </c>
      <c r="AV1680">
        <v>40.090000000000003</v>
      </c>
      <c r="AW1680">
        <v>0.71</v>
      </c>
      <c r="BA1680">
        <v>0.44</v>
      </c>
      <c r="BB1680">
        <v>0.79</v>
      </c>
      <c r="BC1680">
        <v>-1.66</v>
      </c>
      <c r="BD1680">
        <v>-0.74</v>
      </c>
      <c r="BE1680">
        <v>-1.74</v>
      </c>
      <c r="BF1680">
        <v>-2.08</v>
      </c>
      <c r="BG1680">
        <v>0.36</v>
      </c>
      <c r="BH1680">
        <v>-0.56999999999999995</v>
      </c>
      <c r="BI1680">
        <v>20191026</v>
      </c>
      <c r="BJ1680">
        <v>20120113</v>
      </c>
      <c r="BK1680">
        <v>9.6300000000000008</v>
      </c>
      <c r="BL1680" t="s">
        <v>116</v>
      </c>
      <c r="BM1680" t="s">
        <v>116</v>
      </c>
      <c r="BN1680">
        <v>47.5</v>
      </c>
      <c r="BO1680">
        <v>35.1</v>
      </c>
      <c r="BP1680">
        <v>2.93</v>
      </c>
      <c r="BQ1680">
        <v>19.93</v>
      </c>
      <c r="BR1680">
        <v>19.04</v>
      </c>
      <c r="BS1680">
        <v>8.74</v>
      </c>
      <c r="BT1680">
        <v>1.62</v>
      </c>
      <c r="BU1680">
        <v>8.5</v>
      </c>
      <c r="BV1680">
        <v>5.94</v>
      </c>
      <c r="BW1680">
        <v>8.4</v>
      </c>
      <c r="BX1680">
        <v>11.1</v>
      </c>
      <c r="BY1680">
        <v>15.37</v>
      </c>
      <c r="BZ1680">
        <v>8</v>
      </c>
      <c r="CA1680">
        <v>4.34</v>
      </c>
      <c r="CB1680">
        <v>0.01</v>
      </c>
      <c r="CC1680">
        <v>4.46</v>
      </c>
      <c r="CD1680">
        <v>3.92</v>
      </c>
      <c r="CE1680">
        <v>3.59</v>
      </c>
      <c r="CF1680">
        <v>3.46</v>
      </c>
      <c r="CG1680">
        <v>13.31</v>
      </c>
      <c r="CH1680">
        <v>2.98</v>
      </c>
      <c r="CI1680">
        <v>-0.42</v>
      </c>
      <c r="CJ1680">
        <v>11673</v>
      </c>
      <c r="CK1680">
        <v>54166</v>
      </c>
      <c r="CL1680" t="s">
        <v>8702</v>
      </c>
      <c r="CM1680">
        <v>-9.18</v>
      </c>
      <c r="CN1680">
        <v>21.11</v>
      </c>
      <c r="CO1680">
        <v>6.2</v>
      </c>
      <c r="CP1680">
        <v>73.17</v>
      </c>
      <c r="CQ1680">
        <v>14.16</v>
      </c>
      <c r="CR1680">
        <v>0.28999999999999998</v>
      </c>
      <c r="CS1680" t="s">
        <v>8703</v>
      </c>
      <c r="CT1680">
        <v>3.64</v>
      </c>
      <c r="CU1680">
        <v>0</v>
      </c>
      <c r="CV1680">
        <v>1.1499999999999999</v>
      </c>
      <c r="CW1680">
        <v>1.38</v>
      </c>
      <c r="CX1680">
        <v>0.31</v>
      </c>
      <c r="CY1680">
        <v>73.91</v>
      </c>
      <c r="CZ1680" t="s">
        <v>6286</v>
      </c>
      <c r="DA1680">
        <v>47.98</v>
      </c>
      <c r="DB1680">
        <v>28.25</v>
      </c>
      <c r="DC1680">
        <v>23.34</v>
      </c>
      <c r="DD1680">
        <v>0.99</v>
      </c>
      <c r="DE1680">
        <v>2526</v>
      </c>
      <c r="DF1680">
        <v>300285</v>
      </c>
      <c r="DG1680" t="s">
        <v>116</v>
      </c>
      <c r="DH1680" t="s">
        <v>116</v>
      </c>
      <c r="DI1680" t="s">
        <v>116</v>
      </c>
    </row>
    <row r="1681" spans="1:113" x14ac:dyDescent="0.4">
      <c r="A1681" t="str">
        <f>"300286"</f>
        <v>300286</v>
      </c>
      <c r="B1681" t="s">
        <v>8704</v>
      </c>
      <c r="C1681">
        <v>-0.94</v>
      </c>
      <c r="D1681">
        <v>11.56</v>
      </c>
      <c r="E1681">
        <v>-0.11</v>
      </c>
      <c r="F1681">
        <v>11.54</v>
      </c>
      <c r="G1681">
        <v>11.56</v>
      </c>
      <c r="H1681">
        <v>15937</v>
      </c>
      <c r="I1681">
        <v>64</v>
      </c>
      <c r="J1681">
        <v>0.26</v>
      </c>
      <c r="K1681">
        <v>0.93</v>
      </c>
      <c r="L1681">
        <v>11.67</v>
      </c>
      <c r="M1681">
        <v>11.71</v>
      </c>
      <c r="N1681">
        <v>11.49</v>
      </c>
      <c r="O1681">
        <v>11.67</v>
      </c>
      <c r="P1681">
        <v>20.14</v>
      </c>
      <c r="Q1681">
        <v>18454242</v>
      </c>
      <c r="R1681">
        <v>0.77</v>
      </c>
      <c r="S1681" t="s">
        <v>2977</v>
      </c>
      <c r="T1681" t="s">
        <v>1653</v>
      </c>
      <c r="U1681">
        <v>1.89</v>
      </c>
      <c r="V1681">
        <v>11.58</v>
      </c>
      <c r="W1681">
        <v>8346</v>
      </c>
      <c r="X1681">
        <v>7591</v>
      </c>
      <c r="Y1681">
        <v>1.1000000000000001</v>
      </c>
      <c r="Z1681">
        <v>13</v>
      </c>
      <c r="AA1681">
        <v>22</v>
      </c>
      <c r="AB1681" t="s">
        <v>116</v>
      </c>
      <c r="AC1681">
        <v>21000</v>
      </c>
      <c r="AD1681">
        <v>0</v>
      </c>
      <c r="AE1681" t="s">
        <v>116</v>
      </c>
      <c r="AF1681" t="s">
        <v>116</v>
      </c>
      <c r="AG1681">
        <v>1.71</v>
      </c>
      <c r="AH1681" t="s">
        <v>8705</v>
      </c>
      <c r="AI1681" t="s">
        <v>4965</v>
      </c>
      <c r="AJ1681">
        <v>-0.26</v>
      </c>
      <c r="AK1681">
        <v>1209</v>
      </c>
      <c r="AL1681">
        <v>13</v>
      </c>
      <c r="AM1681">
        <v>8.0000000000000004E-4</v>
      </c>
      <c r="AN1681">
        <v>-1</v>
      </c>
      <c r="AO1681">
        <v>-0.42</v>
      </c>
      <c r="AP1681">
        <v>14</v>
      </c>
      <c r="AQ1681">
        <v>9.57</v>
      </c>
      <c r="AR1681">
        <v>40.630000000000003</v>
      </c>
      <c r="AS1681">
        <v>1.73</v>
      </c>
      <c r="AT1681" t="s">
        <v>8706</v>
      </c>
      <c r="AU1681">
        <v>22.28</v>
      </c>
      <c r="AV1681">
        <v>25.6</v>
      </c>
      <c r="AW1681">
        <v>1.08</v>
      </c>
      <c r="BA1681">
        <v>0</v>
      </c>
      <c r="BB1681">
        <v>0.34</v>
      </c>
      <c r="BC1681">
        <v>-1.54</v>
      </c>
      <c r="BD1681">
        <v>-0.77</v>
      </c>
      <c r="BE1681">
        <v>-0.94</v>
      </c>
      <c r="BF1681">
        <v>-1.28</v>
      </c>
      <c r="BG1681">
        <v>0.61</v>
      </c>
      <c r="BH1681">
        <v>-0.17</v>
      </c>
      <c r="BI1681">
        <v>20191224</v>
      </c>
      <c r="BJ1681">
        <v>20120113</v>
      </c>
      <c r="BK1681">
        <v>2.15</v>
      </c>
      <c r="BL1681" t="s">
        <v>116</v>
      </c>
      <c r="BM1681" t="s">
        <v>116</v>
      </c>
      <c r="BN1681">
        <v>10.64</v>
      </c>
      <c r="BO1681">
        <v>7.83</v>
      </c>
      <c r="BP1681">
        <v>0</v>
      </c>
      <c r="BQ1681">
        <v>26.4</v>
      </c>
      <c r="BR1681">
        <v>7.81</v>
      </c>
      <c r="BS1681">
        <v>1.78</v>
      </c>
      <c r="BT1681">
        <v>0.26</v>
      </c>
      <c r="BU1681">
        <v>2.79</v>
      </c>
      <c r="BV1681">
        <v>0.72</v>
      </c>
      <c r="BW1681">
        <v>1.02</v>
      </c>
      <c r="BX1681">
        <v>1.1599999999999999</v>
      </c>
      <c r="BY1681">
        <v>4.29</v>
      </c>
      <c r="BZ1681">
        <v>2.2599999999999998</v>
      </c>
      <c r="CA1681">
        <v>0.98</v>
      </c>
      <c r="CB1681">
        <v>0.09</v>
      </c>
      <c r="CC1681">
        <v>0.99</v>
      </c>
      <c r="CD1681">
        <v>0.93</v>
      </c>
      <c r="CE1681">
        <v>0.93</v>
      </c>
      <c r="CF1681">
        <v>0.81</v>
      </c>
      <c r="CG1681">
        <v>4.1399999999999997</v>
      </c>
      <c r="CH1681">
        <v>0.88</v>
      </c>
      <c r="CI1681">
        <v>-0.15</v>
      </c>
      <c r="CJ1681">
        <v>9601</v>
      </c>
      <c r="CK1681">
        <v>9619</v>
      </c>
      <c r="CL1681" t="s">
        <v>8707</v>
      </c>
      <c r="CM1681">
        <v>18.52</v>
      </c>
      <c r="CN1681">
        <v>26.57</v>
      </c>
      <c r="CO1681">
        <v>3.17</v>
      </c>
      <c r="CP1681">
        <v>28.39</v>
      </c>
      <c r="CQ1681">
        <v>5.8</v>
      </c>
      <c r="CR1681">
        <v>1.7</v>
      </c>
      <c r="CS1681" t="s">
        <v>604</v>
      </c>
      <c r="CT1681">
        <v>3.64</v>
      </c>
      <c r="CU1681">
        <v>0</v>
      </c>
      <c r="CV1681">
        <v>0.54</v>
      </c>
      <c r="CW1681">
        <v>1.93</v>
      </c>
      <c r="CX1681">
        <v>0.41</v>
      </c>
      <c r="CY1681">
        <v>73.599999999999994</v>
      </c>
      <c r="CZ1681" t="s">
        <v>8708</v>
      </c>
      <c r="DA1681">
        <v>47.16</v>
      </c>
      <c r="DB1681">
        <v>22.97</v>
      </c>
      <c r="DC1681">
        <v>21.6</v>
      </c>
      <c r="DD1681">
        <v>0.32</v>
      </c>
      <c r="DE1681">
        <v>1053</v>
      </c>
      <c r="DF1681">
        <v>300286</v>
      </c>
      <c r="DG1681" t="s">
        <v>116</v>
      </c>
      <c r="DH1681" t="s">
        <v>116</v>
      </c>
      <c r="DI1681" t="s">
        <v>116</v>
      </c>
    </row>
    <row r="1682" spans="1:113" x14ac:dyDescent="0.4">
      <c r="A1682" t="str">
        <f>"300287"</f>
        <v>300287</v>
      </c>
      <c r="B1682" t="s">
        <v>8709</v>
      </c>
      <c r="C1682">
        <v>-2.0299999999999998</v>
      </c>
      <c r="D1682">
        <v>3.86</v>
      </c>
      <c r="E1682">
        <v>-0.08</v>
      </c>
      <c r="F1682">
        <v>3.86</v>
      </c>
      <c r="G1682">
        <v>3.87</v>
      </c>
      <c r="H1682">
        <v>310732</v>
      </c>
      <c r="I1682">
        <v>4285</v>
      </c>
      <c r="J1682">
        <v>-0.25</v>
      </c>
      <c r="K1682">
        <v>2.75</v>
      </c>
      <c r="L1682">
        <v>3.93</v>
      </c>
      <c r="M1682">
        <v>3.97</v>
      </c>
      <c r="N1682">
        <v>3.84</v>
      </c>
      <c r="O1682">
        <v>3.94</v>
      </c>
      <c r="P1682">
        <v>67.45</v>
      </c>
      <c r="Q1682">
        <v>121958824</v>
      </c>
      <c r="R1682">
        <v>1</v>
      </c>
      <c r="S1682" t="s">
        <v>607</v>
      </c>
      <c r="T1682" t="s">
        <v>165</v>
      </c>
      <c r="U1682">
        <v>3.3</v>
      </c>
      <c r="V1682">
        <v>3.92</v>
      </c>
      <c r="W1682">
        <v>192022</v>
      </c>
      <c r="X1682">
        <v>118710</v>
      </c>
      <c r="Y1682">
        <v>1.62</v>
      </c>
      <c r="Z1682">
        <v>1687</v>
      </c>
      <c r="AA1682">
        <v>1676</v>
      </c>
      <c r="AB1682" t="s">
        <v>116</v>
      </c>
      <c r="AC1682">
        <v>222000</v>
      </c>
      <c r="AD1682">
        <v>0.01</v>
      </c>
      <c r="AE1682" t="s">
        <v>116</v>
      </c>
      <c r="AF1682" t="s">
        <v>116</v>
      </c>
      <c r="AG1682">
        <v>11.32</v>
      </c>
      <c r="AH1682" t="s">
        <v>8710</v>
      </c>
      <c r="AI1682" t="s">
        <v>8711</v>
      </c>
      <c r="AJ1682">
        <v>-1.35</v>
      </c>
      <c r="AK1682">
        <v>2085</v>
      </c>
      <c r="AL1682">
        <v>149</v>
      </c>
      <c r="AM1682">
        <v>1.2999999999999999E-3</v>
      </c>
      <c r="AN1682">
        <v>-1</v>
      </c>
      <c r="AO1682">
        <v>-0.52</v>
      </c>
      <c r="AP1682">
        <v>2.12</v>
      </c>
      <c r="AQ1682">
        <v>-3.26</v>
      </c>
      <c r="AR1682">
        <v>2.12</v>
      </c>
      <c r="AS1682">
        <v>2.95</v>
      </c>
      <c r="AT1682" t="s">
        <v>8712</v>
      </c>
      <c r="AU1682" t="s">
        <v>116</v>
      </c>
      <c r="AV1682" t="s">
        <v>116</v>
      </c>
      <c r="AW1682">
        <v>1.76</v>
      </c>
      <c r="BA1682">
        <v>-0.25</v>
      </c>
      <c r="BB1682">
        <v>0.76</v>
      </c>
      <c r="BC1682">
        <v>-2.54</v>
      </c>
      <c r="BD1682">
        <v>-0.38</v>
      </c>
      <c r="BE1682">
        <v>-1.78</v>
      </c>
      <c r="BF1682">
        <v>-2.77</v>
      </c>
      <c r="BG1682">
        <v>0.52</v>
      </c>
      <c r="BH1682">
        <v>-1.65</v>
      </c>
      <c r="BI1682">
        <v>20191106</v>
      </c>
      <c r="BJ1682">
        <v>20120201</v>
      </c>
      <c r="BK1682">
        <v>14.35</v>
      </c>
      <c r="BL1682" t="s">
        <v>116</v>
      </c>
      <c r="BM1682" t="s">
        <v>116</v>
      </c>
      <c r="BN1682">
        <v>50.37</v>
      </c>
      <c r="BO1682">
        <v>38.369999999999997</v>
      </c>
      <c r="BP1682">
        <v>0.14000000000000001</v>
      </c>
      <c r="BQ1682">
        <v>23.53</v>
      </c>
      <c r="BR1682">
        <v>30.5</v>
      </c>
      <c r="BS1682">
        <v>1.41</v>
      </c>
      <c r="BT1682">
        <v>0.52</v>
      </c>
      <c r="BU1682">
        <v>11.22</v>
      </c>
      <c r="BV1682">
        <v>4.4800000000000004</v>
      </c>
      <c r="BW1682">
        <v>17.510000000000002</v>
      </c>
      <c r="BX1682">
        <v>33.11</v>
      </c>
      <c r="BY1682">
        <v>13.21</v>
      </c>
      <c r="BZ1682">
        <v>9.7200000000000006</v>
      </c>
      <c r="CA1682">
        <v>0.72</v>
      </c>
      <c r="CB1682">
        <v>0.02</v>
      </c>
      <c r="CC1682">
        <v>0.72</v>
      </c>
      <c r="CD1682">
        <v>0.6</v>
      </c>
      <c r="CE1682">
        <v>0.62</v>
      </c>
      <c r="CF1682">
        <v>0.55000000000000004</v>
      </c>
      <c r="CG1682">
        <v>-9.23</v>
      </c>
      <c r="CH1682">
        <v>1.38</v>
      </c>
      <c r="CI1682">
        <v>-1.54</v>
      </c>
      <c r="CJ1682">
        <v>77031</v>
      </c>
      <c r="CK1682">
        <v>13684</v>
      </c>
      <c r="CL1682" t="s">
        <v>3861</v>
      </c>
      <c r="CM1682">
        <v>-74.680000000000007</v>
      </c>
      <c r="CN1682">
        <v>-32.75</v>
      </c>
      <c r="CO1682">
        <v>1.44</v>
      </c>
      <c r="CP1682">
        <v>40.229999999999997</v>
      </c>
      <c r="CQ1682">
        <v>4.1900000000000004</v>
      </c>
      <c r="CR1682">
        <v>0</v>
      </c>
      <c r="CS1682" t="s">
        <v>1533</v>
      </c>
      <c r="CT1682">
        <v>2.67</v>
      </c>
      <c r="CU1682">
        <v>0</v>
      </c>
      <c r="CV1682">
        <v>2.31</v>
      </c>
      <c r="CW1682">
        <v>-0.64</v>
      </c>
      <c r="CX1682">
        <v>0.1</v>
      </c>
      <c r="CY1682">
        <v>76.180000000000007</v>
      </c>
      <c r="CZ1682" t="s">
        <v>951</v>
      </c>
      <c r="DA1682">
        <v>26.4</v>
      </c>
      <c r="DB1682">
        <v>5.44</v>
      </c>
      <c r="DC1682">
        <v>4.66</v>
      </c>
      <c r="DD1682">
        <v>0.63</v>
      </c>
      <c r="DE1682">
        <v>1553</v>
      </c>
      <c r="DF1682">
        <v>300287</v>
      </c>
      <c r="DG1682" t="s">
        <v>116</v>
      </c>
      <c r="DH1682" t="s">
        <v>116</v>
      </c>
      <c r="DI1682" t="s">
        <v>116</v>
      </c>
    </row>
    <row r="1683" spans="1:113" x14ac:dyDescent="0.4">
      <c r="A1683" t="str">
        <f>"300288"</f>
        <v>300288</v>
      </c>
      <c r="B1683" t="s">
        <v>8713</v>
      </c>
      <c r="C1683">
        <v>-2.94</v>
      </c>
      <c r="D1683">
        <v>12.21</v>
      </c>
      <c r="E1683">
        <v>-0.37</v>
      </c>
      <c r="F1683">
        <v>12.21</v>
      </c>
      <c r="G1683">
        <v>12.22</v>
      </c>
      <c r="H1683">
        <v>55822</v>
      </c>
      <c r="I1683">
        <v>1028</v>
      </c>
      <c r="J1683">
        <v>-0.15</v>
      </c>
      <c r="K1683">
        <v>2.68</v>
      </c>
      <c r="L1683">
        <v>12.71</v>
      </c>
      <c r="M1683">
        <v>12.76</v>
      </c>
      <c r="N1683">
        <v>12.2</v>
      </c>
      <c r="O1683">
        <v>12.58</v>
      </c>
      <c r="P1683">
        <v>46.58</v>
      </c>
      <c r="Q1683">
        <v>69516192</v>
      </c>
      <c r="R1683">
        <v>1.19</v>
      </c>
      <c r="S1683" t="s">
        <v>607</v>
      </c>
      <c r="T1683" t="s">
        <v>1056</v>
      </c>
      <c r="U1683">
        <v>4.45</v>
      </c>
      <c r="V1683">
        <v>12.45</v>
      </c>
      <c r="W1683">
        <v>36213</v>
      </c>
      <c r="X1683">
        <v>19609</v>
      </c>
      <c r="Y1683">
        <v>1.85</v>
      </c>
      <c r="Z1683">
        <v>313</v>
      </c>
      <c r="AA1683">
        <v>41</v>
      </c>
      <c r="AB1683" t="s">
        <v>116</v>
      </c>
      <c r="AC1683">
        <v>939300</v>
      </c>
      <c r="AD1683">
        <v>0.04</v>
      </c>
      <c r="AE1683" t="s">
        <v>116</v>
      </c>
      <c r="AF1683" t="s">
        <v>116</v>
      </c>
      <c r="AG1683">
        <v>2.08</v>
      </c>
      <c r="AH1683" t="s">
        <v>8714</v>
      </c>
      <c r="AI1683" t="s">
        <v>8715</v>
      </c>
      <c r="AJ1683">
        <v>-2.2599999999999998</v>
      </c>
      <c r="AK1683">
        <v>1691</v>
      </c>
      <c r="AL1683">
        <v>33</v>
      </c>
      <c r="AM1683">
        <v>1.6000000000000001E-3</v>
      </c>
      <c r="AN1683">
        <v>-1</v>
      </c>
      <c r="AO1683">
        <v>-1.54</v>
      </c>
      <c r="AP1683">
        <v>5.35</v>
      </c>
      <c r="AQ1683">
        <v>0.08</v>
      </c>
      <c r="AR1683">
        <v>-4.9800000000000004</v>
      </c>
      <c r="AS1683">
        <v>3.33</v>
      </c>
      <c r="AT1683" t="s">
        <v>8716</v>
      </c>
      <c r="AU1683">
        <v>44.32</v>
      </c>
      <c r="AV1683">
        <v>39.520000000000003</v>
      </c>
      <c r="AW1683">
        <v>1.77</v>
      </c>
      <c r="BA1683">
        <v>1.03</v>
      </c>
      <c r="BB1683">
        <v>1.43</v>
      </c>
      <c r="BC1683">
        <v>-3.02</v>
      </c>
      <c r="BD1683">
        <v>-1.01</v>
      </c>
      <c r="BE1683">
        <v>-3.93</v>
      </c>
      <c r="BF1683">
        <v>-4.3099999999999996</v>
      </c>
      <c r="BG1683">
        <v>0.08</v>
      </c>
      <c r="BH1683">
        <v>-1.93</v>
      </c>
      <c r="BI1683">
        <v>20191202</v>
      </c>
      <c r="BJ1683">
        <v>20120216</v>
      </c>
      <c r="BK1683">
        <v>3.38</v>
      </c>
      <c r="BL1683" t="s">
        <v>116</v>
      </c>
      <c r="BM1683" t="s">
        <v>116</v>
      </c>
      <c r="BN1683">
        <v>19.100000000000001</v>
      </c>
      <c r="BO1683">
        <v>13.68</v>
      </c>
      <c r="BP1683">
        <v>0.55000000000000004</v>
      </c>
      <c r="BQ1683">
        <v>25.52</v>
      </c>
      <c r="BR1683">
        <v>5.61</v>
      </c>
      <c r="BS1683">
        <v>1.5</v>
      </c>
      <c r="BT1683">
        <v>0.59</v>
      </c>
      <c r="BU1683">
        <v>2.72</v>
      </c>
      <c r="BV1683">
        <v>0.11</v>
      </c>
      <c r="BW1683">
        <v>0.87</v>
      </c>
      <c r="BX1683">
        <v>3.86</v>
      </c>
      <c r="BY1683">
        <v>3.49</v>
      </c>
      <c r="BZ1683">
        <v>1.88</v>
      </c>
      <c r="CA1683">
        <v>0.8</v>
      </c>
      <c r="CB1683">
        <v>0.17</v>
      </c>
      <c r="CC1683">
        <v>0.8</v>
      </c>
      <c r="CD1683">
        <v>0.66</v>
      </c>
      <c r="CE1683">
        <v>0.66</v>
      </c>
      <c r="CF1683">
        <v>0.62</v>
      </c>
      <c r="CG1683">
        <v>5.74</v>
      </c>
      <c r="CH1683">
        <v>0.63</v>
      </c>
      <c r="CI1683">
        <v>1.28</v>
      </c>
      <c r="CJ1683">
        <v>34409</v>
      </c>
      <c r="CK1683">
        <v>4878</v>
      </c>
      <c r="CL1683" t="s">
        <v>169</v>
      </c>
      <c r="CM1683">
        <v>-14.54</v>
      </c>
      <c r="CN1683">
        <v>-0.28000000000000003</v>
      </c>
      <c r="CO1683">
        <v>3.02</v>
      </c>
      <c r="CP1683">
        <v>65.58</v>
      </c>
      <c r="CQ1683">
        <v>11.83</v>
      </c>
      <c r="CR1683">
        <v>0.41</v>
      </c>
      <c r="CS1683" t="s">
        <v>4390</v>
      </c>
      <c r="CT1683">
        <v>4.05</v>
      </c>
      <c r="CU1683">
        <v>0</v>
      </c>
      <c r="CV1683">
        <v>1.1399999999999999</v>
      </c>
      <c r="CW1683">
        <v>1.7</v>
      </c>
      <c r="CX1683">
        <v>0.19</v>
      </c>
      <c r="CY1683">
        <v>71.599999999999994</v>
      </c>
      <c r="CZ1683" t="s">
        <v>8717</v>
      </c>
      <c r="DA1683">
        <v>45.95</v>
      </c>
      <c r="DB1683">
        <v>22.88</v>
      </c>
      <c r="DC1683">
        <v>19.059999999999999</v>
      </c>
      <c r="DD1683">
        <v>0.19</v>
      </c>
      <c r="DE1683">
        <v>1290</v>
      </c>
      <c r="DF1683">
        <v>300288</v>
      </c>
      <c r="DG1683" t="s">
        <v>116</v>
      </c>
      <c r="DH1683" t="s">
        <v>116</v>
      </c>
      <c r="DI1683" t="s">
        <v>116</v>
      </c>
    </row>
    <row r="1684" spans="1:113" x14ac:dyDescent="0.4">
      <c r="A1684" t="str">
        <f>"300289"</f>
        <v>300289</v>
      </c>
      <c r="B1684" t="s">
        <v>8718</v>
      </c>
      <c r="C1684">
        <v>-1.86</v>
      </c>
      <c r="D1684">
        <v>5.81</v>
      </c>
      <c r="E1684">
        <v>-0.11</v>
      </c>
      <c r="F1684">
        <v>5.81</v>
      </c>
      <c r="G1684">
        <v>5.82</v>
      </c>
      <c r="H1684">
        <v>36181</v>
      </c>
      <c r="I1684">
        <v>66</v>
      </c>
      <c r="J1684">
        <v>0</v>
      </c>
      <c r="K1684">
        <v>0.87</v>
      </c>
      <c r="L1684">
        <v>5.92</v>
      </c>
      <c r="M1684">
        <v>5.94</v>
      </c>
      <c r="N1684">
        <v>5.8</v>
      </c>
      <c r="O1684">
        <v>5.92</v>
      </c>
      <c r="P1684">
        <v>170.43</v>
      </c>
      <c r="Q1684">
        <v>21296606</v>
      </c>
      <c r="R1684">
        <v>1.77</v>
      </c>
      <c r="S1684" t="s">
        <v>132</v>
      </c>
      <c r="T1684" t="s">
        <v>165</v>
      </c>
      <c r="U1684">
        <v>2.36</v>
      </c>
      <c r="V1684">
        <v>5.89</v>
      </c>
      <c r="W1684">
        <v>21324</v>
      </c>
      <c r="X1684">
        <v>14857</v>
      </c>
      <c r="Y1684">
        <v>1.44</v>
      </c>
      <c r="Z1684">
        <v>145</v>
      </c>
      <c r="AA1684">
        <v>359</v>
      </c>
      <c r="AB1684" t="s">
        <v>116</v>
      </c>
      <c r="AC1684">
        <v>0</v>
      </c>
      <c r="AD1684">
        <v>0</v>
      </c>
      <c r="AE1684" t="s">
        <v>116</v>
      </c>
      <c r="AF1684" t="s">
        <v>116</v>
      </c>
      <c r="AG1684">
        <v>4.17</v>
      </c>
      <c r="AH1684" t="s">
        <v>2845</v>
      </c>
      <c r="AI1684" t="s">
        <v>4850</v>
      </c>
      <c r="AJ1684">
        <v>-1.18</v>
      </c>
      <c r="AK1684">
        <v>491</v>
      </c>
      <c r="AL1684">
        <v>74</v>
      </c>
      <c r="AM1684">
        <v>1.8E-3</v>
      </c>
      <c r="AN1684">
        <v>-1</v>
      </c>
      <c r="AO1684">
        <v>-1.53</v>
      </c>
      <c r="AP1684">
        <v>-3.97</v>
      </c>
      <c r="AQ1684">
        <v>5.83</v>
      </c>
      <c r="AR1684">
        <v>-11.84</v>
      </c>
      <c r="AS1684">
        <v>1.61</v>
      </c>
      <c r="AT1684" t="s">
        <v>8719</v>
      </c>
      <c r="AU1684" t="s">
        <v>116</v>
      </c>
      <c r="AV1684">
        <v>60.44</v>
      </c>
      <c r="AW1684">
        <v>0.22</v>
      </c>
      <c r="BA1684">
        <v>0</v>
      </c>
      <c r="BB1684">
        <v>0.34</v>
      </c>
      <c r="BC1684">
        <v>-2.0299999999999998</v>
      </c>
      <c r="BD1684">
        <v>-0.56999999999999995</v>
      </c>
      <c r="BE1684">
        <v>-1.86</v>
      </c>
      <c r="BF1684">
        <v>-2.19</v>
      </c>
      <c r="BG1684">
        <v>0.17</v>
      </c>
      <c r="BH1684">
        <v>-1.29</v>
      </c>
      <c r="BI1684">
        <v>20191223</v>
      </c>
      <c r="BJ1684">
        <v>20120216</v>
      </c>
      <c r="BK1684">
        <v>4.21</v>
      </c>
      <c r="BL1684" t="s">
        <v>116</v>
      </c>
      <c r="BM1684" t="s">
        <v>116</v>
      </c>
      <c r="BN1684">
        <v>16.64</v>
      </c>
      <c r="BO1684">
        <v>13.21</v>
      </c>
      <c r="BP1684">
        <v>1.22</v>
      </c>
      <c r="BQ1684">
        <v>13.26</v>
      </c>
      <c r="BR1684">
        <v>7.71</v>
      </c>
      <c r="BS1684">
        <v>6.13</v>
      </c>
      <c r="BT1684">
        <v>0.56000000000000005</v>
      </c>
      <c r="BU1684">
        <v>1.95</v>
      </c>
      <c r="BV1684">
        <v>0.89</v>
      </c>
      <c r="BW1684">
        <v>2.87</v>
      </c>
      <c r="BX1684">
        <v>2.4300000000000002</v>
      </c>
      <c r="BY1684">
        <v>3.62</v>
      </c>
      <c r="BZ1684">
        <v>1.63</v>
      </c>
      <c r="CA1684">
        <v>0.32</v>
      </c>
      <c r="CB1684">
        <v>-0.01</v>
      </c>
      <c r="CC1684">
        <v>0.32</v>
      </c>
      <c r="CD1684">
        <v>0.23</v>
      </c>
      <c r="CE1684">
        <v>0.11</v>
      </c>
      <c r="CF1684">
        <v>0.09</v>
      </c>
      <c r="CG1684">
        <v>6.08</v>
      </c>
      <c r="CH1684">
        <v>0.91</v>
      </c>
      <c r="CI1684">
        <v>0.04</v>
      </c>
      <c r="CJ1684">
        <v>15430</v>
      </c>
      <c r="CK1684">
        <v>14525</v>
      </c>
      <c r="CL1684" t="s">
        <v>6215</v>
      </c>
      <c r="CM1684">
        <v>-82.39</v>
      </c>
      <c r="CN1684">
        <v>-30.89</v>
      </c>
      <c r="CO1684">
        <v>1.85</v>
      </c>
      <c r="CP1684">
        <v>27</v>
      </c>
      <c r="CQ1684">
        <v>6.76</v>
      </c>
      <c r="CR1684">
        <v>0</v>
      </c>
      <c r="CS1684" t="s">
        <v>613</v>
      </c>
      <c r="CT1684">
        <v>3.14</v>
      </c>
      <c r="CU1684">
        <v>0</v>
      </c>
      <c r="CV1684">
        <v>0.57999999999999996</v>
      </c>
      <c r="CW1684">
        <v>1.44</v>
      </c>
      <c r="CX1684">
        <v>0.22</v>
      </c>
      <c r="CY1684">
        <v>79.400000000000006</v>
      </c>
      <c r="CZ1684" t="s">
        <v>8720</v>
      </c>
      <c r="DA1684">
        <v>54.91</v>
      </c>
      <c r="DB1684">
        <v>8.7200000000000006</v>
      </c>
      <c r="DC1684">
        <v>2.98</v>
      </c>
      <c r="DD1684">
        <v>0.37</v>
      </c>
      <c r="DE1684">
        <v>550</v>
      </c>
      <c r="DF1684">
        <v>300289</v>
      </c>
      <c r="DG1684" t="s">
        <v>116</v>
      </c>
      <c r="DH1684" t="s">
        <v>116</v>
      </c>
      <c r="DI1684" t="s">
        <v>116</v>
      </c>
    </row>
    <row r="1685" spans="1:113" x14ac:dyDescent="0.4">
      <c r="A1685" t="str">
        <f>"300290"</f>
        <v>300290</v>
      </c>
      <c r="B1685" t="s">
        <v>8721</v>
      </c>
      <c r="C1685">
        <v>-6.03</v>
      </c>
      <c r="D1685">
        <v>6.54</v>
      </c>
      <c r="E1685">
        <v>-0.42</v>
      </c>
      <c r="F1685">
        <v>6.53</v>
      </c>
      <c r="G1685">
        <v>6.54</v>
      </c>
      <c r="H1685">
        <v>128451</v>
      </c>
      <c r="I1685">
        <v>2173</v>
      </c>
      <c r="J1685">
        <v>-0.14000000000000001</v>
      </c>
      <c r="K1685">
        <v>2.66</v>
      </c>
      <c r="L1685">
        <v>7</v>
      </c>
      <c r="M1685">
        <v>7</v>
      </c>
      <c r="N1685">
        <v>6.48</v>
      </c>
      <c r="O1685">
        <v>6.96</v>
      </c>
      <c r="P1685">
        <v>235.93</v>
      </c>
      <c r="Q1685">
        <v>85835368</v>
      </c>
      <c r="R1685">
        <v>1.82</v>
      </c>
      <c r="S1685" t="s">
        <v>607</v>
      </c>
      <c r="T1685" t="s">
        <v>434</v>
      </c>
      <c r="U1685">
        <v>7.47</v>
      </c>
      <c r="V1685">
        <v>6.68</v>
      </c>
      <c r="W1685">
        <v>74435</v>
      </c>
      <c r="X1685">
        <v>54016</v>
      </c>
      <c r="Y1685">
        <v>1.38</v>
      </c>
      <c r="Z1685">
        <v>910</v>
      </c>
      <c r="AA1685">
        <v>906</v>
      </c>
      <c r="AB1685" t="s">
        <v>116</v>
      </c>
      <c r="AC1685">
        <v>1256500</v>
      </c>
      <c r="AD1685">
        <v>7.0000000000000007E-2</v>
      </c>
      <c r="AE1685" t="s">
        <v>116</v>
      </c>
      <c r="AF1685" t="s">
        <v>116</v>
      </c>
      <c r="AG1685">
        <v>4.83</v>
      </c>
      <c r="AH1685" t="s">
        <v>8722</v>
      </c>
      <c r="AI1685" t="s">
        <v>4877</v>
      </c>
      <c r="AJ1685">
        <v>-5.36</v>
      </c>
      <c r="AK1685">
        <v>1755</v>
      </c>
      <c r="AL1685">
        <v>73</v>
      </c>
      <c r="AM1685">
        <v>1.5E-3</v>
      </c>
      <c r="AN1685">
        <v>-1</v>
      </c>
      <c r="AO1685">
        <v>0.62</v>
      </c>
      <c r="AP1685">
        <v>21.79</v>
      </c>
      <c r="AQ1685">
        <v>-3.96</v>
      </c>
      <c r="AR1685">
        <v>66.61</v>
      </c>
      <c r="AS1685">
        <v>5.16</v>
      </c>
      <c r="AT1685" t="s">
        <v>1551</v>
      </c>
      <c r="AU1685">
        <v>156.96</v>
      </c>
      <c r="AV1685">
        <v>177.33</v>
      </c>
      <c r="AW1685">
        <v>1.75</v>
      </c>
      <c r="BA1685">
        <v>0.56999999999999995</v>
      </c>
      <c r="BB1685">
        <v>0.56999999999999995</v>
      </c>
      <c r="BC1685">
        <v>-6.9</v>
      </c>
      <c r="BD1685">
        <v>-3.99</v>
      </c>
      <c r="BE1685">
        <v>-6.57</v>
      </c>
      <c r="BF1685">
        <v>-6.57</v>
      </c>
      <c r="BG1685">
        <v>0.93</v>
      </c>
      <c r="BH1685">
        <v>-2.0499999999999998</v>
      </c>
      <c r="BI1685">
        <v>20191029</v>
      </c>
      <c r="BJ1685">
        <v>20120216</v>
      </c>
      <c r="BK1685">
        <v>5.54</v>
      </c>
      <c r="BL1685" t="s">
        <v>116</v>
      </c>
      <c r="BM1685" t="s">
        <v>116</v>
      </c>
      <c r="BN1685">
        <v>14.9</v>
      </c>
      <c r="BO1685">
        <v>10.68</v>
      </c>
      <c r="BP1685">
        <v>0.01</v>
      </c>
      <c r="BQ1685">
        <v>28.25</v>
      </c>
      <c r="BR1685">
        <v>8.3800000000000008</v>
      </c>
      <c r="BS1685">
        <v>1.22</v>
      </c>
      <c r="BT1685">
        <v>0.39</v>
      </c>
      <c r="BU1685">
        <v>3.54</v>
      </c>
      <c r="BV1685">
        <v>1.06</v>
      </c>
      <c r="BW1685">
        <v>5.73</v>
      </c>
      <c r="BX1685">
        <v>2.1800000000000002</v>
      </c>
      <c r="BY1685">
        <v>4.6100000000000003</v>
      </c>
      <c r="BZ1685">
        <v>2.95</v>
      </c>
      <c r="CA1685">
        <v>0.13</v>
      </c>
      <c r="CB1685">
        <v>0.01</v>
      </c>
      <c r="CC1685">
        <v>0.13</v>
      </c>
      <c r="CD1685">
        <v>0.12</v>
      </c>
      <c r="CE1685">
        <v>0.12</v>
      </c>
      <c r="CF1685">
        <v>0.11</v>
      </c>
      <c r="CG1685">
        <v>2.63</v>
      </c>
      <c r="CH1685">
        <v>-1.23</v>
      </c>
      <c r="CI1685">
        <v>-1.1499999999999999</v>
      </c>
      <c r="CJ1685">
        <v>18206</v>
      </c>
      <c r="CK1685">
        <v>13667</v>
      </c>
      <c r="CL1685" t="s">
        <v>8723</v>
      </c>
      <c r="CM1685">
        <v>29.9</v>
      </c>
      <c r="CN1685">
        <v>24.28</v>
      </c>
      <c r="CO1685">
        <v>3.39</v>
      </c>
      <c r="CP1685">
        <v>-29.52</v>
      </c>
      <c r="CQ1685">
        <v>7.86</v>
      </c>
      <c r="CR1685">
        <v>0.12</v>
      </c>
      <c r="CS1685" t="s">
        <v>2404</v>
      </c>
      <c r="CT1685">
        <v>1.93</v>
      </c>
      <c r="CU1685">
        <v>0</v>
      </c>
      <c r="CV1685">
        <v>0.39</v>
      </c>
      <c r="CW1685">
        <v>0.48</v>
      </c>
      <c r="CX1685">
        <v>-0.22</v>
      </c>
      <c r="CY1685">
        <v>71.69</v>
      </c>
      <c r="CZ1685" t="s">
        <v>2196</v>
      </c>
      <c r="DA1685">
        <v>35.869999999999997</v>
      </c>
      <c r="DB1685">
        <v>2.9</v>
      </c>
      <c r="DC1685">
        <v>2.5</v>
      </c>
      <c r="DD1685">
        <v>0.31</v>
      </c>
      <c r="DE1685">
        <v>783</v>
      </c>
      <c r="DF1685">
        <v>300290</v>
      </c>
      <c r="DG1685" t="s">
        <v>116</v>
      </c>
      <c r="DH1685" t="s">
        <v>116</v>
      </c>
      <c r="DI1685" t="s">
        <v>116</v>
      </c>
    </row>
    <row r="1686" spans="1:113" x14ac:dyDescent="0.4">
      <c r="A1686" t="str">
        <f>"300291"</f>
        <v>300291</v>
      </c>
      <c r="B1686" t="s">
        <v>8724</v>
      </c>
      <c r="C1686">
        <v>-2.2799999999999998</v>
      </c>
      <c r="D1686">
        <v>5.99</v>
      </c>
      <c r="E1686">
        <v>-0.14000000000000001</v>
      </c>
      <c r="F1686">
        <v>5.99</v>
      </c>
      <c r="G1686">
        <v>6</v>
      </c>
      <c r="H1686">
        <v>55157</v>
      </c>
      <c r="I1686">
        <v>735</v>
      </c>
      <c r="J1686">
        <v>0</v>
      </c>
      <c r="K1686">
        <v>0.78</v>
      </c>
      <c r="L1686">
        <v>6.16</v>
      </c>
      <c r="M1686">
        <v>6.17</v>
      </c>
      <c r="N1686">
        <v>5.99</v>
      </c>
      <c r="O1686">
        <v>6.13</v>
      </c>
      <c r="P1686">
        <v>40.25</v>
      </c>
      <c r="Q1686">
        <v>33550118</v>
      </c>
      <c r="R1686">
        <v>0.82</v>
      </c>
      <c r="S1686" t="s">
        <v>589</v>
      </c>
      <c r="T1686" t="s">
        <v>165</v>
      </c>
      <c r="U1686">
        <v>2.94</v>
      </c>
      <c r="V1686">
        <v>6.08</v>
      </c>
      <c r="W1686">
        <v>32242</v>
      </c>
      <c r="X1686">
        <v>22915</v>
      </c>
      <c r="Y1686">
        <v>1.41</v>
      </c>
      <c r="Z1686">
        <v>380</v>
      </c>
      <c r="AA1686">
        <v>1149</v>
      </c>
      <c r="AB1686" t="s">
        <v>116</v>
      </c>
      <c r="AC1686">
        <v>154000</v>
      </c>
      <c r="AD1686">
        <v>0.01</v>
      </c>
      <c r="AE1686" t="s">
        <v>116</v>
      </c>
      <c r="AF1686" t="s">
        <v>116</v>
      </c>
      <c r="AG1686">
        <v>7.08</v>
      </c>
      <c r="AH1686" t="s">
        <v>8725</v>
      </c>
      <c r="AI1686" t="s">
        <v>8726</v>
      </c>
      <c r="AJ1686">
        <v>-1.6</v>
      </c>
      <c r="AK1686">
        <v>1164</v>
      </c>
      <c r="AL1686">
        <v>47</v>
      </c>
      <c r="AM1686">
        <v>6.9999999999999999E-4</v>
      </c>
      <c r="AN1686">
        <v>-2</v>
      </c>
      <c r="AO1686">
        <v>-2.44</v>
      </c>
      <c r="AP1686">
        <v>10.52</v>
      </c>
      <c r="AQ1686">
        <v>4.3600000000000003</v>
      </c>
      <c r="AR1686">
        <v>34.61</v>
      </c>
      <c r="AS1686">
        <v>1.31</v>
      </c>
      <c r="AT1686" t="s">
        <v>414</v>
      </c>
      <c r="AU1686" t="s">
        <v>116</v>
      </c>
      <c r="AV1686" t="s">
        <v>116</v>
      </c>
      <c r="AW1686">
        <v>0.95</v>
      </c>
      <c r="BA1686">
        <v>0.49</v>
      </c>
      <c r="BB1686">
        <v>0.65</v>
      </c>
      <c r="BC1686">
        <v>-2.2799999999999998</v>
      </c>
      <c r="BD1686">
        <v>-0.77</v>
      </c>
      <c r="BE1686">
        <v>-2.76</v>
      </c>
      <c r="BF1686">
        <v>-2.92</v>
      </c>
      <c r="BG1686">
        <v>0</v>
      </c>
      <c r="BH1686">
        <v>-1.51</v>
      </c>
      <c r="BI1686">
        <v>20191225</v>
      </c>
      <c r="BJ1686">
        <v>20120209</v>
      </c>
      <c r="BK1686">
        <v>8.17</v>
      </c>
      <c r="BL1686" t="s">
        <v>116</v>
      </c>
      <c r="BM1686" t="s">
        <v>116</v>
      </c>
      <c r="BN1686">
        <v>35.18</v>
      </c>
      <c r="BO1686">
        <v>30.72</v>
      </c>
      <c r="BP1686">
        <v>0.18</v>
      </c>
      <c r="BQ1686">
        <v>12.15</v>
      </c>
      <c r="BR1686">
        <v>31.79</v>
      </c>
      <c r="BS1686">
        <v>0.02</v>
      </c>
      <c r="BT1686">
        <v>0</v>
      </c>
      <c r="BU1686">
        <v>4.1900000000000004</v>
      </c>
      <c r="BV1686">
        <v>3.08</v>
      </c>
      <c r="BW1686">
        <v>6.62</v>
      </c>
      <c r="BX1686">
        <v>45.38</v>
      </c>
      <c r="BY1686">
        <v>4.76</v>
      </c>
      <c r="BZ1686">
        <v>3.6</v>
      </c>
      <c r="CA1686">
        <v>1.1100000000000001</v>
      </c>
      <c r="CB1686">
        <v>0.23</v>
      </c>
      <c r="CC1686">
        <v>1.1499999999999999</v>
      </c>
      <c r="CD1686">
        <v>0.92</v>
      </c>
      <c r="CE1686">
        <v>0.91</v>
      </c>
      <c r="CF1686">
        <v>0.59</v>
      </c>
      <c r="CG1686">
        <v>-23.17</v>
      </c>
      <c r="CH1686">
        <v>-0.18</v>
      </c>
      <c r="CI1686">
        <v>-4.7300000000000004</v>
      </c>
      <c r="CJ1686">
        <v>24926</v>
      </c>
      <c r="CK1686">
        <v>16945</v>
      </c>
      <c r="CL1686" t="s">
        <v>8727</v>
      </c>
      <c r="CM1686">
        <v>126.39</v>
      </c>
      <c r="CN1686">
        <v>11.94</v>
      </c>
      <c r="CO1686">
        <v>1.59</v>
      </c>
      <c r="CP1686">
        <v>-268.04000000000002</v>
      </c>
      <c r="CQ1686">
        <v>10.28</v>
      </c>
      <c r="CR1686">
        <v>0</v>
      </c>
      <c r="CS1686" t="s">
        <v>2261</v>
      </c>
      <c r="CT1686">
        <v>3.76</v>
      </c>
      <c r="CU1686">
        <v>0</v>
      </c>
      <c r="CV1686">
        <v>5.55</v>
      </c>
      <c r="CW1686">
        <v>-2.83</v>
      </c>
      <c r="CX1686">
        <v>-0.02</v>
      </c>
      <c r="CY1686">
        <v>87.33</v>
      </c>
      <c r="CZ1686" t="s">
        <v>7158</v>
      </c>
      <c r="DA1686">
        <v>24.34</v>
      </c>
      <c r="DB1686">
        <v>23.35</v>
      </c>
      <c r="DC1686">
        <v>19.16</v>
      </c>
      <c r="DD1686">
        <v>0</v>
      </c>
      <c r="DE1686">
        <v>216</v>
      </c>
      <c r="DF1686">
        <v>300291</v>
      </c>
      <c r="DG1686" t="s">
        <v>116</v>
      </c>
      <c r="DH1686" t="s">
        <v>116</v>
      </c>
      <c r="DI1686" t="s">
        <v>116</v>
      </c>
    </row>
    <row r="1687" spans="1:113" x14ac:dyDescent="0.4">
      <c r="A1687" t="str">
        <f>"300292"</f>
        <v>300292</v>
      </c>
      <c r="B1687" t="s">
        <v>8728</v>
      </c>
      <c r="C1687">
        <v>-1.95</v>
      </c>
      <c r="D1687">
        <v>5.03</v>
      </c>
      <c r="E1687">
        <v>-0.1</v>
      </c>
      <c r="F1687">
        <v>5.03</v>
      </c>
      <c r="G1687">
        <v>5.04</v>
      </c>
      <c r="H1687">
        <v>269752</v>
      </c>
      <c r="I1687">
        <v>2603</v>
      </c>
      <c r="J1687">
        <v>0</v>
      </c>
      <c r="K1687">
        <v>2.62</v>
      </c>
      <c r="L1687">
        <v>5.12</v>
      </c>
      <c r="M1687">
        <v>5.16</v>
      </c>
      <c r="N1687">
        <v>5.01</v>
      </c>
      <c r="O1687">
        <v>5.13</v>
      </c>
      <c r="P1687">
        <v>45.32</v>
      </c>
      <c r="Q1687">
        <v>137484752</v>
      </c>
      <c r="R1687">
        <v>0.87</v>
      </c>
      <c r="S1687" t="s">
        <v>607</v>
      </c>
      <c r="T1687" t="s">
        <v>323</v>
      </c>
      <c r="U1687">
        <v>2.92</v>
      </c>
      <c r="V1687">
        <v>5.0999999999999996</v>
      </c>
      <c r="W1687">
        <v>170498</v>
      </c>
      <c r="X1687">
        <v>99254</v>
      </c>
      <c r="Y1687">
        <v>1.72</v>
      </c>
      <c r="Z1687">
        <v>1447</v>
      </c>
      <c r="AA1687">
        <v>1347</v>
      </c>
      <c r="AB1687" t="s">
        <v>116</v>
      </c>
      <c r="AC1687">
        <v>387100</v>
      </c>
      <c r="AD1687">
        <v>0.01</v>
      </c>
      <c r="AE1687" t="s">
        <v>116</v>
      </c>
      <c r="AF1687" t="s">
        <v>116</v>
      </c>
      <c r="AG1687">
        <v>10.3</v>
      </c>
      <c r="AH1687" t="s">
        <v>8729</v>
      </c>
      <c r="AI1687" t="s">
        <v>3976</v>
      </c>
      <c r="AJ1687">
        <v>-1.27</v>
      </c>
      <c r="AK1687">
        <v>2444</v>
      </c>
      <c r="AL1687">
        <v>110</v>
      </c>
      <c r="AM1687">
        <v>1.1000000000000001E-3</v>
      </c>
      <c r="AN1687">
        <v>-1</v>
      </c>
      <c r="AO1687">
        <v>-1.17</v>
      </c>
      <c r="AP1687">
        <v>2.44</v>
      </c>
      <c r="AQ1687">
        <v>-12.67</v>
      </c>
      <c r="AR1687">
        <v>31.68</v>
      </c>
      <c r="AS1687">
        <v>2.98</v>
      </c>
      <c r="AT1687" t="s">
        <v>8730</v>
      </c>
      <c r="AU1687" t="s">
        <v>116</v>
      </c>
      <c r="AV1687" t="s">
        <v>116</v>
      </c>
      <c r="AW1687">
        <v>1.95</v>
      </c>
      <c r="BA1687">
        <v>-0.19</v>
      </c>
      <c r="BB1687">
        <v>0.57999999999999996</v>
      </c>
      <c r="BC1687">
        <v>-2.34</v>
      </c>
      <c r="BD1687">
        <v>-0.65</v>
      </c>
      <c r="BE1687">
        <v>-1.76</v>
      </c>
      <c r="BF1687">
        <v>-2.52</v>
      </c>
      <c r="BG1687">
        <v>0.4</v>
      </c>
      <c r="BH1687">
        <v>-1.3</v>
      </c>
      <c r="BI1687">
        <v>20191030</v>
      </c>
      <c r="BJ1687">
        <v>20120229</v>
      </c>
      <c r="BK1687">
        <v>12.75</v>
      </c>
      <c r="BL1687" t="s">
        <v>116</v>
      </c>
      <c r="BM1687" t="s">
        <v>116</v>
      </c>
      <c r="BN1687">
        <v>26.66</v>
      </c>
      <c r="BO1687">
        <v>16.079999999999998</v>
      </c>
      <c r="BP1687">
        <v>0.08</v>
      </c>
      <c r="BQ1687">
        <v>39.380000000000003</v>
      </c>
      <c r="BR1687">
        <v>15.39</v>
      </c>
      <c r="BS1687">
        <v>2.63</v>
      </c>
      <c r="BT1687">
        <v>0.33</v>
      </c>
      <c r="BU1687">
        <v>10.49</v>
      </c>
      <c r="BV1687">
        <v>1.61</v>
      </c>
      <c r="BW1687">
        <v>6.84</v>
      </c>
      <c r="BX1687">
        <v>8.83</v>
      </c>
      <c r="BY1687">
        <v>27.59</v>
      </c>
      <c r="BZ1687">
        <v>23.09</v>
      </c>
      <c r="CA1687">
        <v>0.78</v>
      </c>
      <c r="CB1687">
        <v>7.0000000000000007E-2</v>
      </c>
      <c r="CC1687">
        <v>1.21</v>
      </c>
      <c r="CD1687">
        <v>1.02</v>
      </c>
      <c r="CE1687">
        <v>1.06</v>
      </c>
      <c r="CF1687">
        <v>0.63</v>
      </c>
      <c r="CG1687">
        <v>-5.86</v>
      </c>
      <c r="CH1687">
        <v>0.01</v>
      </c>
      <c r="CI1687">
        <v>0.63</v>
      </c>
      <c r="CJ1687">
        <v>101878</v>
      </c>
      <c r="CK1687">
        <v>8872</v>
      </c>
      <c r="CL1687" t="s">
        <v>8731</v>
      </c>
      <c r="CM1687">
        <v>-14.11</v>
      </c>
      <c r="CN1687">
        <v>28.4</v>
      </c>
      <c r="CO1687">
        <v>3.99</v>
      </c>
      <c r="CP1687">
        <v>5291.28</v>
      </c>
      <c r="CQ1687">
        <v>2.3199999999999998</v>
      </c>
      <c r="CR1687">
        <v>0</v>
      </c>
      <c r="CS1687" t="s">
        <v>6275</v>
      </c>
      <c r="CT1687">
        <v>1.26</v>
      </c>
      <c r="CU1687">
        <v>0</v>
      </c>
      <c r="CV1687">
        <v>0.69</v>
      </c>
      <c r="CW1687">
        <v>-0.46</v>
      </c>
      <c r="CX1687">
        <v>0</v>
      </c>
      <c r="CY1687">
        <v>60.31</v>
      </c>
      <c r="CZ1687" t="s">
        <v>8732</v>
      </c>
      <c r="DA1687">
        <v>16.32</v>
      </c>
      <c r="DB1687">
        <v>2.83</v>
      </c>
      <c r="DC1687">
        <v>3.85</v>
      </c>
      <c r="DD1687">
        <v>1</v>
      </c>
      <c r="DE1687">
        <v>1186</v>
      </c>
      <c r="DF1687">
        <v>300292</v>
      </c>
      <c r="DG1687" t="s">
        <v>116</v>
      </c>
      <c r="DH1687" t="s">
        <v>116</v>
      </c>
      <c r="DI1687" t="s">
        <v>116</v>
      </c>
    </row>
    <row r="1688" spans="1:113" x14ac:dyDescent="0.4">
      <c r="A1688" t="str">
        <f>"300293"</f>
        <v>300293</v>
      </c>
      <c r="B1688" t="s">
        <v>8733</v>
      </c>
      <c r="C1688">
        <v>-2.5099999999999998</v>
      </c>
      <c r="D1688">
        <v>8.5399999999999991</v>
      </c>
      <c r="E1688">
        <v>-0.22</v>
      </c>
      <c r="F1688">
        <v>8.5399999999999991</v>
      </c>
      <c r="G1688">
        <v>8.5500000000000007</v>
      </c>
      <c r="H1688">
        <v>319654</v>
      </c>
      <c r="I1688">
        <v>1475</v>
      </c>
      <c r="J1688">
        <v>0.35</v>
      </c>
      <c r="K1688">
        <v>11.84</v>
      </c>
      <c r="L1688">
        <v>9.07</v>
      </c>
      <c r="M1688">
        <v>9.58</v>
      </c>
      <c r="N1688">
        <v>8.48</v>
      </c>
      <c r="O1688">
        <v>8.76</v>
      </c>
      <c r="P1688">
        <v>130.44</v>
      </c>
      <c r="Q1688">
        <v>291670304</v>
      </c>
      <c r="R1688">
        <v>4.26</v>
      </c>
      <c r="S1688" t="s">
        <v>682</v>
      </c>
      <c r="T1688" t="s">
        <v>434</v>
      </c>
      <c r="U1688">
        <v>12.56</v>
      </c>
      <c r="V1688">
        <v>9.1199999999999992</v>
      </c>
      <c r="W1688">
        <v>164248</v>
      </c>
      <c r="X1688">
        <v>155406</v>
      </c>
      <c r="Y1688">
        <v>1.06</v>
      </c>
      <c r="Z1688">
        <v>133</v>
      </c>
      <c r="AA1688">
        <v>801</v>
      </c>
      <c r="AB1688" t="s">
        <v>116</v>
      </c>
      <c r="AC1688">
        <v>9024700</v>
      </c>
      <c r="AD1688">
        <v>1.03</v>
      </c>
      <c r="AE1688" t="s">
        <v>116</v>
      </c>
      <c r="AF1688" t="s">
        <v>116</v>
      </c>
      <c r="AG1688">
        <v>2.7</v>
      </c>
      <c r="AH1688" t="s">
        <v>693</v>
      </c>
      <c r="AI1688" t="s">
        <v>693</v>
      </c>
      <c r="AJ1688">
        <v>-1.83</v>
      </c>
      <c r="AK1688">
        <v>3370</v>
      </c>
      <c r="AL1688">
        <v>95</v>
      </c>
      <c r="AM1688">
        <v>3.5000000000000001E-3</v>
      </c>
      <c r="AN1688">
        <v>-1</v>
      </c>
      <c r="AO1688">
        <v>10.199999999999999</v>
      </c>
      <c r="AP1688">
        <v>14.17</v>
      </c>
      <c r="AQ1688">
        <v>-9.0500000000000007</v>
      </c>
      <c r="AR1688">
        <v>25.96</v>
      </c>
      <c r="AS1688">
        <v>33.130000000000003</v>
      </c>
      <c r="AT1688" t="s">
        <v>6606</v>
      </c>
      <c r="AU1688">
        <v>142.53</v>
      </c>
      <c r="AV1688">
        <v>142.66999999999999</v>
      </c>
      <c r="AW1688">
        <v>1.26</v>
      </c>
      <c r="BA1688">
        <v>3.54</v>
      </c>
      <c r="BB1688">
        <v>9.36</v>
      </c>
      <c r="BC1688">
        <v>-3.2</v>
      </c>
      <c r="BD1688">
        <v>4.16</v>
      </c>
      <c r="BE1688">
        <v>-5.84</v>
      </c>
      <c r="BF1688">
        <v>-10.86</v>
      </c>
      <c r="BG1688">
        <v>0.71</v>
      </c>
      <c r="BH1688">
        <v>-6.67</v>
      </c>
      <c r="BI1688">
        <v>20191028</v>
      </c>
      <c r="BJ1688">
        <v>20120308</v>
      </c>
      <c r="BK1688">
        <v>2.7</v>
      </c>
      <c r="BL1688" t="s">
        <v>116</v>
      </c>
      <c r="BM1688" t="s">
        <v>116</v>
      </c>
      <c r="BN1688">
        <v>22.89</v>
      </c>
      <c r="BO1688">
        <v>7.76</v>
      </c>
      <c r="BP1688">
        <v>1.72</v>
      </c>
      <c r="BQ1688">
        <v>58.59</v>
      </c>
      <c r="BR1688">
        <v>13.73</v>
      </c>
      <c r="BS1688">
        <v>2.58</v>
      </c>
      <c r="BT1688">
        <v>3.06</v>
      </c>
      <c r="BU1688">
        <v>8.16</v>
      </c>
      <c r="BV1688">
        <v>6.22</v>
      </c>
      <c r="BW1688">
        <v>4.25</v>
      </c>
      <c r="BX1688">
        <v>2.2200000000000002</v>
      </c>
      <c r="BY1688">
        <v>12.79</v>
      </c>
      <c r="BZ1688">
        <v>9.6300000000000008</v>
      </c>
      <c r="CA1688">
        <v>0.26</v>
      </c>
      <c r="CB1688">
        <v>-0.01</v>
      </c>
      <c r="CC1688">
        <v>0.3</v>
      </c>
      <c r="CD1688">
        <v>0.19</v>
      </c>
      <c r="CE1688">
        <v>0.13</v>
      </c>
      <c r="CF1688">
        <v>0.08</v>
      </c>
      <c r="CG1688">
        <v>2.09</v>
      </c>
      <c r="CH1688">
        <v>-1.25</v>
      </c>
      <c r="CI1688">
        <v>-2.5</v>
      </c>
      <c r="CJ1688">
        <v>20195</v>
      </c>
      <c r="CK1688">
        <v>4777</v>
      </c>
      <c r="CL1688" t="s">
        <v>8153</v>
      </c>
      <c r="CM1688">
        <v>0.12</v>
      </c>
      <c r="CN1688">
        <v>5.1100000000000003</v>
      </c>
      <c r="CO1688">
        <v>2.97</v>
      </c>
      <c r="CP1688">
        <v>-18.489999999999998</v>
      </c>
      <c r="CQ1688">
        <v>1.8</v>
      </c>
      <c r="CR1688">
        <v>0.23</v>
      </c>
      <c r="CS1688" t="s">
        <v>5719</v>
      </c>
      <c r="CT1688">
        <v>2.87</v>
      </c>
      <c r="CU1688">
        <v>0</v>
      </c>
      <c r="CV1688">
        <v>0.82</v>
      </c>
      <c r="CW1688">
        <v>0.78</v>
      </c>
      <c r="CX1688">
        <v>-0.46</v>
      </c>
      <c r="CY1688">
        <v>33.89</v>
      </c>
      <c r="CZ1688" t="s">
        <v>4434</v>
      </c>
      <c r="DA1688">
        <v>24.74</v>
      </c>
      <c r="DB1688">
        <v>2.06</v>
      </c>
      <c r="DC1688">
        <v>1.04</v>
      </c>
      <c r="DD1688">
        <v>0.36</v>
      </c>
      <c r="DE1688">
        <v>1249</v>
      </c>
      <c r="DF1688">
        <v>300293</v>
      </c>
      <c r="DG1688" t="s">
        <v>116</v>
      </c>
      <c r="DH1688" t="s">
        <v>116</v>
      </c>
      <c r="DI1688" t="s">
        <v>116</v>
      </c>
    </row>
    <row r="1689" spans="1:113" x14ac:dyDescent="0.4">
      <c r="A1689" t="str">
        <f>"300294"</f>
        <v>300294</v>
      </c>
      <c r="B1689" t="s">
        <v>8734</v>
      </c>
      <c r="C1689">
        <v>-2.81</v>
      </c>
      <c r="D1689">
        <v>31.46</v>
      </c>
      <c r="E1689">
        <v>-0.91</v>
      </c>
      <c r="F1689">
        <v>31.45</v>
      </c>
      <c r="G1689">
        <v>31.46</v>
      </c>
      <c r="H1689">
        <v>38925</v>
      </c>
      <c r="I1689">
        <v>462</v>
      </c>
      <c r="J1689">
        <v>0.19</v>
      </c>
      <c r="K1689">
        <v>0.9</v>
      </c>
      <c r="L1689">
        <v>32.369999999999997</v>
      </c>
      <c r="M1689">
        <v>32.72</v>
      </c>
      <c r="N1689">
        <v>31.4</v>
      </c>
      <c r="O1689">
        <v>32.369999999999997</v>
      </c>
      <c r="P1689">
        <v>32.11</v>
      </c>
      <c r="Q1689">
        <v>124911904</v>
      </c>
      <c r="R1689">
        <v>0.98</v>
      </c>
      <c r="S1689" t="s">
        <v>132</v>
      </c>
      <c r="T1689" t="s">
        <v>683</v>
      </c>
      <c r="U1689">
        <v>4.08</v>
      </c>
      <c r="V1689">
        <v>32.090000000000003</v>
      </c>
      <c r="W1689">
        <v>23248</v>
      </c>
      <c r="X1689">
        <v>15677</v>
      </c>
      <c r="Y1689">
        <v>1.48</v>
      </c>
      <c r="Z1689">
        <v>11</v>
      </c>
      <c r="AA1689">
        <v>285</v>
      </c>
      <c r="AB1689" t="s">
        <v>116</v>
      </c>
      <c r="AC1689">
        <v>158600</v>
      </c>
      <c r="AD1689">
        <v>0</v>
      </c>
      <c r="AE1689" t="s">
        <v>116</v>
      </c>
      <c r="AF1689" t="s">
        <v>116</v>
      </c>
      <c r="AG1689">
        <v>4.33</v>
      </c>
      <c r="AH1689" t="s">
        <v>8735</v>
      </c>
      <c r="AI1689" t="s">
        <v>8735</v>
      </c>
      <c r="AJ1689">
        <v>-2.13</v>
      </c>
      <c r="AK1689">
        <v>2137</v>
      </c>
      <c r="AL1689">
        <v>18</v>
      </c>
      <c r="AM1689">
        <v>4.0000000000000002E-4</v>
      </c>
      <c r="AN1689">
        <v>-1</v>
      </c>
      <c r="AO1689">
        <v>-4.3</v>
      </c>
      <c r="AP1689">
        <v>3.79</v>
      </c>
      <c r="AQ1689">
        <v>7.12</v>
      </c>
      <c r="AR1689">
        <v>17.22</v>
      </c>
      <c r="AS1689">
        <v>1.62</v>
      </c>
      <c r="AT1689" t="s">
        <v>8736</v>
      </c>
      <c r="AU1689">
        <v>27.2</v>
      </c>
      <c r="AV1689">
        <v>29.06</v>
      </c>
      <c r="AW1689">
        <v>0.94</v>
      </c>
      <c r="BA1689">
        <v>0</v>
      </c>
      <c r="BB1689">
        <v>1.08</v>
      </c>
      <c r="BC1689">
        <v>-3</v>
      </c>
      <c r="BD1689">
        <v>-0.86</v>
      </c>
      <c r="BE1689">
        <v>-2.81</v>
      </c>
      <c r="BF1689">
        <v>-3.85</v>
      </c>
      <c r="BG1689">
        <v>0.19</v>
      </c>
      <c r="BH1689">
        <v>-1.95</v>
      </c>
      <c r="BI1689">
        <v>20191025</v>
      </c>
      <c r="BJ1689">
        <v>20120308</v>
      </c>
      <c r="BK1689">
        <v>4.33</v>
      </c>
      <c r="BL1689" t="s">
        <v>116</v>
      </c>
      <c r="BM1689" t="s">
        <v>116</v>
      </c>
      <c r="BN1689">
        <v>51.77</v>
      </c>
      <c r="BO1689">
        <v>38.04</v>
      </c>
      <c r="BP1689">
        <v>0.74</v>
      </c>
      <c r="BQ1689">
        <v>25.09</v>
      </c>
      <c r="BR1689">
        <v>31.27</v>
      </c>
      <c r="BS1689">
        <v>7.34</v>
      </c>
      <c r="BT1689">
        <v>1.77</v>
      </c>
      <c r="BU1689">
        <v>9.23</v>
      </c>
      <c r="BV1689">
        <v>6.49</v>
      </c>
      <c r="BW1689">
        <v>7.05</v>
      </c>
      <c r="BX1689">
        <v>19.47</v>
      </c>
      <c r="BY1689">
        <v>21.02</v>
      </c>
      <c r="BZ1689">
        <v>8.27</v>
      </c>
      <c r="CA1689">
        <v>3.87</v>
      </c>
      <c r="CB1689">
        <v>0.02</v>
      </c>
      <c r="CC1689">
        <v>3.98</v>
      </c>
      <c r="CD1689">
        <v>3.31</v>
      </c>
      <c r="CE1689">
        <v>3.18</v>
      </c>
      <c r="CF1689">
        <v>3.01</v>
      </c>
      <c r="CG1689">
        <v>14.83</v>
      </c>
      <c r="CH1689">
        <v>-2.5499999999999998</v>
      </c>
      <c r="CI1689">
        <v>-6.05</v>
      </c>
      <c r="CJ1689">
        <v>16298</v>
      </c>
      <c r="CK1689">
        <v>14701</v>
      </c>
      <c r="CL1689" t="s">
        <v>8737</v>
      </c>
      <c r="CM1689">
        <v>11.2</v>
      </c>
      <c r="CN1689">
        <v>24.64</v>
      </c>
      <c r="CO1689">
        <v>3.58</v>
      </c>
      <c r="CP1689">
        <v>-53.56</v>
      </c>
      <c r="CQ1689">
        <v>6.48</v>
      </c>
      <c r="CR1689">
        <v>0.48</v>
      </c>
      <c r="CS1689" t="s">
        <v>1598</v>
      </c>
      <c r="CT1689">
        <v>8.7799999999999994</v>
      </c>
      <c r="CU1689">
        <v>0</v>
      </c>
      <c r="CV1689">
        <v>4.49</v>
      </c>
      <c r="CW1689">
        <v>3.42</v>
      </c>
      <c r="CX1689">
        <v>-0.59</v>
      </c>
      <c r="CY1689">
        <v>73.48</v>
      </c>
      <c r="CZ1689" t="s">
        <v>8073</v>
      </c>
      <c r="DA1689">
        <v>60.67</v>
      </c>
      <c r="DB1689">
        <v>18.41</v>
      </c>
      <c r="DC1689">
        <v>15.15</v>
      </c>
      <c r="DD1689">
        <v>0.46</v>
      </c>
      <c r="DE1689">
        <v>1626</v>
      </c>
      <c r="DF1689">
        <v>300294</v>
      </c>
      <c r="DG1689" t="s">
        <v>116</v>
      </c>
      <c r="DH1689" t="s">
        <v>116</v>
      </c>
      <c r="DI1689" t="s">
        <v>116</v>
      </c>
    </row>
    <row r="1690" spans="1:113" x14ac:dyDescent="0.4">
      <c r="A1690" t="str">
        <f>"300295"</f>
        <v>300295</v>
      </c>
      <c r="B1690" t="s">
        <v>8738</v>
      </c>
      <c r="C1690">
        <v>-1.78</v>
      </c>
      <c r="D1690">
        <v>13.27</v>
      </c>
      <c r="E1690">
        <v>-0.24</v>
      </c>
      <c r="F1690">
        <v>13.26</v>
      </c>
      <c r="G1690">
        <v>13.27</v>
      </c>
      <c r="H1690">
        <v>50516</v>
      </c>
      <c r="I1690">
        <v>774</v>
      </c>
      <c r="J1690">
        <v>-0.14000000000000001</v>
      </c>
      <c r="K1690">
        <v>3.37</v>
      </c>
      <c r="L1690">
        <v>13.46</v>
      </c>
      <c r="M1690">
        <v>13.65</v>
      </c>
      <c r="N1690">
        <v>13.26</v>
      </c>
      <c r="O1690">
        <v>13.51</v>
      </c>
      <c r="P1690">
        <v>25.19</v>
      </c>
      <c r="Q1690">
        <v>67981016</v>
      </c>
      <c r="R1690">
        <v>0.82</v>
      </c>
      <c r="S1690" t="s">
        <v>1384</v>
      </c>
      <c r="T1690" t="s">
        <v>323</v>
      </c>
      <c r="U1690">
        <v>2.89</v>
      </c>
      <c r="V1690">
        <v>13.46</v>
      </c>
      <c r="W1690">
        <v>29754</v>
      </c>
      <c r="X1690">
        <v>20762</v>
      </c>
      <c r="Y1690">
        <v>1.43</v>
      </c>
      <c r="Z1690">
        <v>565</v>
      </c>
      <c r="AA1690">
        <v>121</v>
      </c>
      <c r="AB1690" t="s">
        <v>116</v>
      </c>
      <c r="AC1690">
        <v>172300</v>
      </c>
      <c r="AD1690">
        <v>0.01</v>
      </c>
      <c r="AE1690" t="s">
        <v>116</v>
      </c>
      <c r="AF1690" t="s">
        <v>116</v>
      </c>
      <c r="AG1690">
        <v>1.5</v>
      </c>
      <c r="AH1690" t="s">
        <v>8739</v>
      </c>
      <c r="AI1690" t="s">
        <v>8740</v>
      </c>
      <c r="AJ1690">
        <v>-1.1000000000000001</v>
      </c>
      <c r="AK1690">
        <v>1975</v>
      </c>
      <c r="AL1690">
        <v>26</v>
      </c>
      <c r="AM1690">
        <v>1.6999999999999999E-3</v>
      </c>
      <c r="AN1690">
        <v>-3</v>
      </c>
      <c r="AO1690">
        <v>-2.71</v>
      </c>
      <c r="AP1690">
        <v>7.54</v>
      </c>
      <c r="AQ1690">
        <v>9.31</v>
      </c>
      <c r="AR1690">
        <v>14.99</v>
      </c>
      <c r="AS1690">
        <v>4.04</v>
      </c>
      <c r="AT1690" t="s">
        <v>3148</v>
      </c>
      <c r="AU1690">
        <v>28.49</v>
      </c>
      <c r="AV1690">
        <v>26.27</v>
      </c>
      <c r="AW1690">
        <v>1.42</v>
      </c>
      <c r="BA1690">
        <v>-0.37</v>
      </c>
      <c r="BB1690">
        <v>1.04</v>
      </c>
      <c r="BC1690">
        <v>-1.85</v>
      </c>
      <c r="BD1690">
        <v>-0.39</v>
      </c>
      <c r="BE1690">
        <v>-1.41</v>
      </c>
      <c r="BF1690">
        <v>-2.78</v>
      </c>
      <c r="BG1690">
        <v>0.08</v>
      </c>
      <c r="BH1690">
        <v>-1.39</v>
      </c>
      <c r="BI1690">
        <v>20191026</v>
      </c>
      <c r="BJ1690">
        <v>20120315</v>
      </c>
      <c r="BK1690">
        <v>1.93</v>
      </c>
      <c r="BL1690" t="s">
        <v>116</v>
      </c>
      <c r="BM1690" t="s">
        <v>116</v>
      </c>
      <c r="BN1690">
        <v>23.83</v>
      </c>
      <c r="BO1690">
        <v>12.23</v>
      </c>
      <c r="BP1690">
        <v>0.9</v>
      </c>
      <c r="BQ1690">
        <v>44.88</v>
      </c>
      <c r="BR1690">
        <v>20.98</v>
      </c>
      <c r="BS1690">
        <v>7.0000000000000007E-2</v>
      </c>
      <c r="BT1690">
        <v>0.04</v>
      </c>
      <c r="BU1690">
        <v>10.26</v>
      </c>
      <c r="BV1690">
        <v>0</v>
      </c>
      <c r="BW1690">
        <v>0.61</v>
      </c>
      <c r="BX1690">
        <v>2.86</v>
      </c>
      <c r="BY1690">
        <v>3.74</v>
      </c>
      <c r="BZ1690">
        <v>0.19</v>
      </c>
      <c r="CA1690">
        <v>0.96</v>
      </c>
      <c r="CB1690">
        <v>0.03</v>
      </c>
      <c r="CC1690">
        <v>1.03</v>
      </c>
      <c r="CD1690">
        <v>0.82</v>
      </c>
      <c r="CE1690">
        <v>0.76</v>
      </c>
      <c r="CF1690">
        <v>0.6</v>
      </c>
      <c r="CG1690">
        <v>6.83</v>
      </c>
      <c r="CH1690">
        <v>3</v>
      </c>
      <c r="CI1690">
        <v>1.98</v>
      </c>
      <c r="CJ1690">
        <v>27443</v>
      </c>
      <c r="CK1690">
        <v>4562</v>
      </c>
      <c r="CL1690" t="s">
        <v>1118</v>
      </c>
      <c r="CM1690">
        <v>-9.07</v>
      </c>
      <c r="CN1690">
        <v>3.77</v>
      </c>
      <c r="CO1690">
        <v>2.09</v>
      </c>
      <c r="CP1690">
        <v>8.51</v>
      </c>
      <c r="CQ1690">
        <v>6.84</v>
      </c>
      <c r="CR1690">
        <v>0.82</v>
      </c>
      <c r="CS1690" t="s">
        <v>1548</v>
      </c>
      <c r="CT1690">
        <v>6.35</v>
      </c>
      <c r="CU1690">
        <v>0</v>
      </c>
      <c r="CV1690">
        <v>1.49</v>
      </c>
      <c r="CW1690">
        <v>3.55</v>
      </c>
      <c r="CX1690">
        <v>1.56</v>
      </c>
      <c r="CY1690">
        <v>51.33</v>
      </c>
      <c r="CZ1690" t="s">
        <v>6687</v>
      </c>
      <c r="DA1690">
        <v>94.86</v>
      </c>
      <c r="DB1690">
        <v>25.59</v>
      </c>
      <c r="DC1690">
        <v>20.36</v>
      </c>
      <c r="DD1690">
        <v>0.21</v>
      </c>
      <c r="DE1690">
        <v>993</v>
      </c>
      <c r="DF1690">
        <v>300295</v>
      </c>
      <c r="DG1690" t="s">
        <v>116</v>
      </c>
      <c r="DH1690" t="s">
        <v>116</v>
      </c>
      <c r="DI1690" t="s">
        <v>116</v>
      </c>
    </row>
    <row r="1691" spans="1:113" x14ac:dyDescent="0.4">
      <c r="A1691" t="str">
        <f>"300296"</f>
        <v>300296</v>
      </c>
      <c r="B1691" t="s">
        <v>8741</v>
      </c>
      <c r="C1691">
        <v>-5.8</v>
      </c>
      <c r="D1691">
        <v>7.64</v>
      </c>
      <c r="E1691">
        <v>-0.47</v>
      </c>
      <c r="F1691">
        <v>7.63</v>
      </c>
      <c r="G1691">
        <v>7.64</v>
      </c>
      <c r="H1691">
        <v>1697369</v>
      </c>
      <c r="I1691">
        <v>16387</v>
      </c>
      <c r="J1691">
        <v>-0.25</v>
      </c>
      <c r="K1691">
        <v>9.1199999999999992</v>
      </c>
      <c r="L1691">
        <v>8.35</v>
      </c>
      <c r="M1691">
        <v>8.48</v>
      </c>
      <c r="N1691">
        <v>7.6</v>
      </c>
      <c r="O1691">
        <v>8.11</v>
      </c>
      <c r="P1691">
        <v>18.18</v>
      </c>
      <c r="Q1691">
        <v>1365109632</v>
      </c>
      <c r="R1691">
        <v>3.01</v>
      </c>
      <c r="S1691" t="s">
        <v>3507</v>
      </c>
      <c r="T1691" t="s">
        <v>165</v>
      </c>
      <c r="U1691">
        <v>10.85</v>
      </c>
      <c r="V1691">
        <v>8.0399999999999991</v>
      </c>
      <c r="W1691">
        <v>934135</v>
      </c>
      <c r="X1691">
        <v>763234</v>
      </c>
      <c r="Y1691">
        <v>1.22</v>
      </c>
      <c r="Z1691">
        <v>4209</v>
      </c>
      <c r="AA1691">
        <v>3095</v>
      </c>
      <c r="AB1691" t="s">
        <v>116</v>
      </c>
      <c r="AC1691">
        <v>27072400</v>
      </c>
      <c r="AD1691">
        <v>0.19</v>
      </c>
      <c r="AE1691" t="s">
        <v>116</v>
      </c>
      <c r="AF1691" t="s">
        <v>116</v>
      </c>
      <c r="AG1691">
        <v>18.600000000000001</v>
      </c>
      <c r="AH1691" t="s">
        <v>8742</v>
      </c>
      <c r="AI1691" t="s">
        <v>8743</v>
      </c>
      <c r="AJ1691">
        <v>-5.12</v>
      </c>
      <c r="AK1691">
        <v>4581</v>
      </c>
      <c r="AL1691">
        <v>371</v>
      </c>
      <c r="AM1691">
        <v>2E-3</v>
      </c>
      <c r="AN1691">
        <v>-1</v>
      </c>
      <c r="AO1691">
        <v>5.96</v>
      </c>
      <c r="AP1691">
        <v>22.04</v>
      </c>
      <c r="AQ1691">
        <v>7</v>
      </c>
      <c r="AR1691">
        <v>0.39</v>
      </c>
      <c r="AS1691">
        <v>10.18</v>
      </c>
      <c r="AT1691" t="s">
        <v>8744</v>
      </c>
      <c r="AU1691">
        <v>17.34</v>
      </c>
      <c r="AV1691">
        <v>15.36</v>
      </c>
      <c r="AW1691">
        <v>1.08</v>
      </c>
      <c r="BA1691">
        <v>2.96</v>
      </c>
      <c r="BB1691">
        <v>4.5599999999999996</v>
      </c>
      <c r="BC1691">
        <v>-6.29</v>
      </c>
      <c r="BD1691">
        <v>-0.83</v>
      </c>
      <c r="BE1691">
        <v>-8.5</v>
      </c>
      <c r="BF1691">
        <v>-9.91</v>
      </c>
      <c r="BG1691">
        <v>0.53</v>
      </c>
      <c r="BH1691">
        <v>-4.96</v>
      </c>
      <c r="BI1691">
        <v>20191029</v>
      </c>
      <c r="BJ1691">
        <v>20120315</v>
      </c>
      <c r="BK1691">
        <v>25.43</v>
      </c>
      <c r="BL1691" t="s">
        <v>116</v>
      </c>
      <c r="BM1691" t="s">
        <v>116</v>
      </c>
      <c r="BN1691">
        <v>151.94999999999999</v>
      </c>
      <c r="BO1691">
        <v>83.38</v>
      </c>
      <c r="BP1691">
        <v>0.11</v>
      </c>
      <c r="BQ1691">
        <v>45.06</v>
      </c>
      <c r="BR1691">
        <v>102.9</v>
      </c>
      <c r="BS1691">
        <v>9.23</v>
      </c>
      <c r="BT1691">
        <v>6.21</v>
      </c>
      <c r="BU1691">
        <v>63.46</v>
      </c>
      <c r="BV1691">
        <v>46.62</v>
      </c>
      <c r="BW1691">
        <v>30.75</v>
      </c>
      <c r="BX1691">
        <v>18.829999999999998</v>
      </c>
      <c r="BY1691">
        <v>63.14</v>
      </c>
      <c r="BZ1691">
        <v>41.58</v>
      </c>
      <c r="CA1691">
        <v>9.59</v>
      </c>
      <c r="CB1691">
        <v>0.05</v>
      </c>
      <c r="CC1691">
        <v>9.59</v>
      </c>
      <c r="CD1691">
        <v>8.01</v>
      </c>
      <c r="CE1691">
        <v>8.01</v>
      </c>
      <c r="CF1691">
        <v>7.58</v>
      </c>
      <c r="CG1691">
        <v>39.57</v>
      </c>
      <c r="CH1691">
        <v>3.25</v>
      </c>
      <c r="CI1691">
        <v>-5.83</v>
      </c>
      <c r="CJ1691">
        <v>51409</v>
      </c>
      <c r="CK1691">
        <v>32448</v>
      </c>
      <c r="CL1691" t="s">
        <v>8745</v>
      </c>
      <c r="CM1691">
        <v>-15.22</v>
      </c>
      <c r="CN1691">
        <v>16.21</v>
      </c>
      <c r="CO1691">
        <v>2.33</v>
      </c>
      <c r="CP1691">
        <v>59.86</v>
      </c>
      <c r="CQ1691">
        <v>3.08</v>
      </c>
      <c r="CR1691">
        <v>1.04</v>
      </c>
      <c r="CS1691" t="s">
        <v>8044</v>
      </c>
      <c r="CT1691">
        <v>3.28</v>
      </c>
      <c r="CU1691">
        <v>0</v>
      </c>
      <c r="CV1691">
        <v>0.74</v>
      </c>
      <c r="CW1691">
        <v>1.56</v>
      </c>
      <c r="CX1691">
        <v>0.13</v>
      </c>
      <c r="CY1691">
        <v>54.87</v>
      </c>
      <c r="CZ1691" t="s">
        <v>8746</v>
      </c>
      <c r="DA1691">
        <v>34.15</v>
      </c>
      <c r="DB1691">
        <v>15.19</v>
      </c>
      <c r="DC1691">
        <v>12.69</v>
      </c>
      <c r="DD1691">
        <v>2.46</v>
      </c>
      <c r="DE1691">
        <v>4392</v>
      </c>
      <c r="DF1691">
        <v>300296</v>
      </c>
      <c r="DG1691" t="s">
        <v>116</v>
      </c>
      <c r="DH1691" t="s">
        <v>116</v>
      </c>
      <c r="DI1691" t="s">
        <v>116</v>
      </c>
    </row>
    <row r="1692" spans="1:113" x14ac:dyDescent="0.4">
      <c r="A1692" t="str">
        <f>"300297"</f>
        <v>300297</v>
      </c>
      <c r="B1692" t="s">
        <v>8747</v>
      </c>
      <c r="C1692">
        <v>-2.74</v>
      </c>
      <c r="D1692">
        <v>5.69</v>
      </c>
      <c r="E1692">
        <v>-0.16</v>
      </c>
      <c r="F1692">
        <v>5.68</v>
      </c>
      <c r="G1692">
        <v>5.69</v>
      </c>
      <c r="H1692">
        <v>269239</v>
      </c>
      <c r="I1692">
        <v>2379</v>
      </c>
      <c r="J1692">
        <v>-0.17</v>
      </c>
      <c r="K1692">
        <v>2.77</v>
      </c>
      <c r="L1692">
        <v>5.87</v>
      </c>
      <c r="M1692">
        <v>5.88</v>
      </c>
      <c r="N1692">
        <v>5.67</v>
      </c>
      <c r="O1692">
        <v>5.85</v>
      </c>
      <c r="P1692">
        <v>30.37</v>
      </c>
      <c r="Q1692">
        <v>155914128</v>
      </c>
      <c r="R1692">
        <v>1.07</v>
      </c>
      <c r="S1692" t="s">
        <v>607</v>
      </c>
      <c r="T1692" t="s">
        <v>551</v>
      </c>
      <c r="U1692">
        <v>3.59</v>
      </c>
      <c r="V1692">
        <v>5.79</v>
      </c>
      <c r="W1692">
        <v>150466</v>
      </c>
      <c r="X1692">
        <v>118773</v>
      </c>
      <c r="Y1692">
        <v>1.27</v>
      </c>
      <c r="Z1692">
        <v>1351</v>
      </c>
      <c r="AA1692">
        <v>1482</v>
      </c>
      <c r="AB1692" t="s">
        <v>116</v>
      </c>
      <c r="AC1692">
        <v>1025500</v>
      </c>
      <c r="AD1692">
        <v>0.03</v>
      </c>
      <c r="AE1692" t="s">
        <v>116</v>
      </c>
      <c r="AF1692" t="s">
        <v>116</v>
      </c>
      <c r="AG1692">
        <v>9.7200000000000006</v>
      </c>
      <c r="AH1692" t="s">
        <v>8748</v>
      </c>
      <c r="AI1692" t="s">
        <v>8749</v>
      </c>
      <c r="AJ1692">
        <v>-2.06</v>
      </c>
      <c r="AK1692">
        <v>2975</v>
      </c>
      <c r="AL1692">
        <v>91</v>
      </c>
      <c r="AM1692">
        <v>8.9999999999999998E-4</v>
      </c>
      <c r="AN1692">
        <v>-1</v>
      </c>
      <c r="AO1692">
        <v>1.06</v>
      </c>
      <c r="AP1692">
        <v>8.59</v>
      </c>
      <c r="AQ1692">
        <v>-2.0699999999999998</v>
      </c>
      <c r="AR1692">
        <v>14.53</v>
      </c>
      <c r="AS1692">
        <v>3.93</v>
      </c>
      <c r="AT1692" t="s">
        <v>5353</v>
      </c>
      <c r="AU1692">
        <v>20.52</v>
      </c>
      <c r="AV1692">
        <v>17.87</v>
      </c>
      <c r="AW1692">
        <v>2.2400000000000002</v>
      </c>
      <c r="BA1692">
        <v>0.34</v>
      </c>
      <c r="BB1692">
        <v>0.51</v>
      </c>
      <c r="BC1692">
        <v>-3.08</v>
      </c>
      <c r="BD1692">
        <v>-1.01</v>
      </c>
      <c r="BE1692">
        <v>-3.07</v>
      </c>
      <c r="BF1692">
        <v>-3.23</v>
      </c>
      <c r="BG1692">
        <v>0.35</v>
      </c>
      <c r="BH1692">
        <v>-1.73</v>
      </c>
      <c r="BI1692">
        <v>20191030</v>
      </c>
      <c r="BJ1692">
        <v>20120315</v>
      </c>
      <c r="BK1692">
        <v>12.5</v>
      </c>
      <c r="BL1692" t="s">
        <v>116</v>
      </c>
      <c r="BM1692" t="s">
        <v>116</v>
      </c>
      <c r="BN1692">
        <v>98.45</v>
      </c>
      <c r="BO1692">
        <v>49.44</v>
      </c>
      <c r="BP1692">
        <v>1.51</v>
      </c>
      <c r="BQ1692">
        <v>48.25</v>
      </c>
      <c r="BR1692">
        <v>51.9</v>
      </c>
      <c r="BS1692">
        <v>10.029999999999999</v>
      </c>
      <c r="BT1692">
        <v>5.0599999999999996</v>
      </c>
      <c r="BU1692">
        <v>38.46</v>
      </c>
      <c r="BV1692">
        <v>3.44</v>
      </c>
      <c r="BW1692">
        <v>28.86</v>
      </c>
      <c r="BX1692">
        <v>22.43</v>
      </c>
      <c r="BY1692">
        <v>13.03</v>
      </c>
      <c r="BZ1692">
        <v>5.48</v>
      </c>
      <c r="CA1692">
        <v>2.56</v>
      </c>
      <c r="CB1692">
        <v>-0.01</v>
      </c>
      <c r="CC1692">
        <v>2.42</v>
      </c>
      <c r="CD1692">
        <v>1.97</v>
      </c>
      <c r="CE1692">
        <v>1.76</v>
      </c>
      <c r="CF1692">
        <v>1.59</v>
      </c>
      <c r="CG1692">
        <v>14.06</v>
      </c>
      <c r="CH1692">
        <v>-3.79</v>
      </c>
      <c r="CI1692">
        <v>-9.34</v>
      </c>
      <c r="CJ1692">
        <v>65486</v>
      </c>
      <c r="CK1692">
        <v>10456</v>
      </c>
      <c r="CL1692" t="s">
        <v>1162</v>
      </c>
      <c r="CM1692">
        <v>-22.65</v>
      </c>
      <c r="CN1692">
        <v>-3.64</v>
      </c>
      <c r="CO1692">
        <v>1.44</v>
      </c>
      <c r="CP1692">
        <v>-18.760000000000002</v>
      </c>
      <c r="CQ1692">
        <v>5.46</v>
      </c>
      <c r="CR1692">
        <v>0.56000000000000005</v>
      </c>
      <c r="CS1692" t="s">
        <v>358</v>
      </c>
      <c r="CT1692">
        <v>3.94</v>
      </c>
      <c r="CU1692">
        <v>3.94</v>
      </c>
      <c r="CV1692">
        <v>1.8</v>
      </c>
      <c r="CW1692">
        <v>1.1200000000000001</v>
      </c>
      <c r="CX1692">
        <v>-0.3</v>
      </c>
      <c r="CY1692">
        <v>50.22</v>
      </c>
      <c r="CZ1692" t="s">
        <v>506</v>
      </c>
      <c r="DA1692">
        <v>57.92</v>
      </c>
      <c r="DB1692">
        <v>19.68</v>
      </c>
      <c r="DC1692">
        <v>13.47</v>
      </c>
      <c r="DD1692">
        <v>1.53</v>
      </c>
      <c r="DE1692">
        <v>1941</v>
      </c>
      <c r="DF1692">
        <v>300297</v>
      </c>
      <c r="DG1692" t="s">
        <v>116</v>
      </c>
      <c r="DH1692" t="s">
        <v>116</v>
      </c>
      <c r="DI1692" t="s">
        <v>116</v>
      </c>
    </row>
    <row r="1693" spans="1:113" x14ac:dyDescent="0.4">
      <c r="A1693" t="str">
        <f>"300298"</f>
        <v>300298</v>
      </c>
      <c r="B1693" t="s">
        <v>8750</v>
      </c>
      <c r="C1693">
        <v>-0.34</v>
      </c>
      <c r="D1693">
        <v>14.55</v>
      </c>
      <c r="E1693">
        <v>-0.05</v>
      </c>
      <c r="F1693">
        <v>14.49</v>
      </c>
      <c r="G1693">
        <v>14.55</v>
      </c>
      <c r="H1693">
        <v>33068</v>
      </c>
      <c r="I1693">
        <v>356</v>
      </c>
      <c r="J1693">
        <v>0.76</v>
      </c>
      <c r="K1693">
        <v>0.75</v>
      </c>
      <c r="L1693">
        <v>14.6</v>
      </c>
      <c r="M1693">
        <v>14.89</v>
      </c>
      <c r="N1693">
        <v>14.42</v>
      </c>
      <c r="O1693">
        <v>14.6</v>
      </c>
      <c r="P1693">
        <v>28.94</v>
      </c>
      <c r="Q1693">
        <v>48537780</v>
      </c>
      <c r="R1693">
        <v>0.82</v>
      </c>
      <c r="S1693" t="s">
        <v>559</v>
      </c>
      <c r="T1693" t="s">
        <v>599</v>
      </c>
      <c r="U1693">
        <v>3.22</v>
      </c>
      <c r="V1693">
        <v>14.68</v>
      </c>
      <c r="W1693">
        <v>17828</v>
      </c>
      <c r="X1693">
        <v>15240</v>
      </c>
      <c r="Y1693">
        <v>1.17</v>
      </c>
      <c r="Z1693">
        <v>10</v>
      </c>
      <c r="AA1693">
        <v>79</v>
      </c>
      <c r="AB1693" t="s">
        <v>116</v>
      </c>
      <c r="AC1693">
        <v>257000</v>
      </c>
      <c r="AD1693">
        <v>0.01</v>
      </c>
      <c r="AE1693" t="s">
        <v>116</v>
      </c>
      <c r="AF1693" t="s">
        <v>116</v>
      </c>
      <c r="AG1693">
        <v>4.4000000000000004</v>
      </c>
      <c r="AH1693" t="s">
        <v>8751</v>
      </c>
      <c r="AI1693" t="s">
        <v>8752</v>
      </c>
      <c r="AJ1693">
        <v>0.34</v>
      </c>
      <c r="AK1693">
        <v>1830</v>
      </c>
      <c r="AL1693">
        <v>18</v>
      </c>
      <c r="AM1693">
        <v>4.0000000000000002E-4</v>
      </c>
      <c r="AN1693">
        <v>-1</v>
      </c>
      <c r="AO1693">
        <v>-2.02</v>
      </c>
      <c r="AP1693">
        <v>5.51</v>
      </c>
      <c r="AQ1693">
        <v>6.83</v>
      </c>
      <c r="AR1693">
        <v>41.26</v>
      </c>
      <c r="AS1693">
        <v>1.19</v>
      </c>
      <c r="AT1693" t="s">
        <v>8753</v>
      </c>
      <c r="AU1693">
        <v>28.79</v>
      </c>
      <c r="AV1693">
        <v>26.5</v>
      </c>
      <c r="AW1693">
        <v>1.17</v>
      </c>
      <c r="BA1693">
        <v>0</v>
      </c>
      <c r="BB1693">
        <v>1.99</v>
      </c>
      <c r="BC1693">
        <v>-1.23</v>
      </c>
      <c r="BD1693">
        <v>0.53</v>
      </c>
      <c r="BE1693">
        <v>-0.34</v>
      </c>
      <c r="BF1693">
        <v>-2.2799999999999998</v>
      </c>
      <c r="BG1693">
        <v>0.9</v>
      </c>
      <c r="BH1693">
        <v>-0.88</v>
      </c>
      <c r="BI1693">
        <v>20191030</v>
      </c>
      <c r="BJ1693">
        <v>20120319</v>
      </c>
      <c r="BK1693">
        <v>5.65</v>
      </c>
      <c r="BL1693" t="s">
        <v>116</v>
      </c>
      <c r="BM1693" t="s">
        <v>116</v>
      </c>
      <c r="BN1693">
        <v>32.06</v>
      </c>
      <c r="BO1693">
        <v>26.63</v>
      </c>
      <c r="BP1693">
        <v>0</v>
      </c>
      <c r="BQ1693">
        <v>16.940000000000001</v>
      </c>
      <c r="BR1693">
        <v>12.21</v>
      </c>
      <c r="BS1693">
        <v>5.41</v>
      </c>
      <c r="BT1693">
        <v>1.69</v>
      </c>
      <c r="BU1693">
        <v>3.77</v>
      </c>
      <c r="BV1693">
        <v>2.68</v>
      </c>
      <c r="BW1693">
        <v>3.08</v>
      </c>
      <c r="BX1693">
        <v>12.09</v>
      </c>
      <c r="BY1693">
        <v>12.58</v>
      </c>
      <c r="BZ1693">
        <v>4.29</v>
      </c>
      <c r="CA1693">
        <v>2.38</v>
      </c>
      <c r="CB1693">
        <v>-0.61</v>
      </c>
      <c r="CC1693">
        <v>2.5299999999999998</v>
      </c>
      <c r="CD1693">
        <v>2.13</v>
      </c>
      <c r="CE1693">
        <v>2.13</v>
      </c>
      <c r="CF1693">
        <v>1.99</v>
      </c>
      <c r="CG1693">
        <v>6.47</v>
      </c>
      <c r="CH1693">
        <v>2.87</v>
      </c>
      <c r="CI1693">
        <v>-1.65</v>
      </c>
      <c r="CJ1693">
        <v>11924</v>
      </c>
      <c r="CK1693">
        <v>23324</v>
      </c>
      <c r="CL1693" t="s">
        <v>8754</v>
      </c>
      <c r="CM1693">
        <v>-10.42</v>
      </c>
      <c r="CN1693">
        <v>8.6300000000000008</v>
      </c>
      <c r="CO1693">
        <v>3.09</v>
      </c>
      <c r="CP1693">
        <v>28.7</v>
      </c>
      <c r="CQ1693">
        <v>6.54</v>
      </c>
      <c r="CR1693">
        <v>2.06</v>
      </c>
      <c r="CS1693" t="s">
        <v>3716</v>
      </c>
      <c r="CT1693">
        <v>4.71</v>
      </c>
      <c r="CU1693">
        <v>0</v>
      </c>
      <c r="CV1693">
        <v>2.14</v>
      </c>
      <c r="CW1693">
        <v>1.1399999999999999</v>
      </c>
      <c r="CX1693">
        <v>0.51</v>
      </c>
      <c r="CY1693">
        <v>83.06</v>
      </c>
      <c r="CZ1693" t="s">
        <v>6912</v>
      </c>
      <c r="DA1693">
        <v>65.89</v>
      </c>
      <c r="DB1693">
        <v>18.920000000000002</v>
      </c>
      <c r="DC1693">
        <v>16.940000000000001</v>
      </c>
      <c r="DD1693">
        <v>1.07</v>
      </c>
      <c r="DE1693">
        <v>2329</v>
      </c>
      <c r="DF1693">
        <v>300298</v>
      </c>
      <c r="DG1693" t="s">
        <v>116</v>
      </c>
      <c r="DH1693" t="s">
        <v>116</v>
      </c>
      <c r="DI1693" t="s">
        <v>116</v>
      </c>
    </row>
    <row r="1694" spans="1:113" x14ac:dyDescent="0.4">
      <c r="A1694" t="str">
        <f>"300299"</f>
        <v>300299</v>
      </c>
      <c r="B1694" t="s">
        <v>8755</v>
      </c>
      <c r="C1694">
        <v>-1.19</v>
      </c>
      <c r="D1694">
        <v>5</v>
      </c>
      <c r="E1694">
        <v>-0.06</v>
      </c>
      <c r="F1694">
        <v>5</v>
      </c>
      <c r="G1694">
        <v>5.01</v>
      </c>
      <c r="H1694">
        <v>154322</v>
      </c>
      <c r="I1694">
        <v>1228</v>
      </c>
      <c r="J1694">
        <v>-0.19</v>
      </c>
      <c r="K1694">
        <v>2.4900000000000002</v>
      </c>
      <c r="L1694">
        <v>5.07</v>
      </c>
      <c r="M1694">
        <v>5.13</v>
      </c>
      <c r="N1694">
        <v>5</v>
      </c>
      <c r="O1694">
        <v>5.0599999999999996</v>
      </c>
      <c r="P1694">
        <v>110.27</v>
      </c>
      <c r="Q1694">
        <v>77964264</v>
      </c>
      <c r="R1694">
        <v>1.08</v>
      </c>
      <c r="S1694" t="s">
        <v>1384</v>
      </c>
      <c r="T1694" t="s">
        <v>975</v>
      </c>
      <c r="U1694">
        <v>2.57</v>
      </c>
      <c r="V1694">
        <v>5.05</v>
      </c>
      <c r="W1694">
        <v>94428</v>
      </c>
      <c r="X1694">
        <v>59894</v>
      </c>
      <c r="Y1694">
        <v>1.58</v>
      </c>
      <c r="Z1694">
        <v>2558</v>
      </c>
      <c r="AA1694">
        <v>884</v>
      </c>
      <c r="AB1694" t="s">
        <v>116</v>
      </c>
      <c r="AC1694">
        <v>64400</v>
      </c>
      <c r="AD1694">
        <v>0</v>
      </c>
      <c r="AE1694" t="s">
        <v>116</v>
      </c>
      <c r="AF1694" t="s">
        <v>116</v>
      </c>
      <c r="AG1694">
        <v>6.2</v>
      </c>
      <c r="AH1694" t="s">
        <v>8756</v>
      </c>
      <c r="AI1694" t="s">
        <v>8757</v>
      </c>
      <c r="AJ1694">
        <v>-0.51</v>
      </c>
      <c r="AK1694">
        <v>2280</v>
      </c>
      <c r="AL1694">
        <v>68</v>
      </c>
      <c r="AM1694">
        <v>1.1000000000000001E-3</v>
      </c>
      <c r="AN1694">
        <v>-2</v>
      </c>
      <c r="AO1694">
        <v>0.8</v>
      </c>
      <c r="AP1694">
        <v>6.84</v>
      </c>
      <c r="AQ1694">
        <v>-5.12</v>
      </c>
      <c r="AR1694">
        <v>3.73</v>
      </c>
      <c r="AS1694">
        <v>3.45</v>
      </c>
      <c r="AT1694" t="s">
        <v>6812</v>
      </c>
      <c r="AU1694">
        <v>75.459999999999994</v>
      </c>
      <c r="AV1694">
        <v>61.28</v>
      </c>
      <c r="AW1694">
        <v>1.92</v>
      </c>
      <c r="BA1694">
        <v>0.2</v>
      </c>
      <c r="BB1694">
        <v>1.38</v>
      </c>
      <c r="BC1694">
        <v>-1.19</v>
      </c>
      <c r="BD1694">
        <v>-0.16</v>
      </c>
      <c r="BE1694">
        <v>-1.38</v>
      </c>
      <c r="BF1694">
        <v>-2.5299999999999998</v>
      </c>
      <c r="BG1694">
        <v>0</v>
      </c>
      <c r="BH1694">
        <v>-1.03</v>
      </c>
      <c r="BI1694">
        <v>20191029</v>
      </c>
      <c r="BJ1694">
        <v>20120319</v>
      </c>
      <c r="BK1694">
        <v>7.11</v>
      </c>
      <c r="BL1694" t="s">
        <v>116</v>
      </c>
      <c r="BM1694" t="s">
        <v>116</v>
      </c>
      <c r="BN1694">
        <v>20.75</v>
      </c>
      <c r="BO1694">
        <v>10.92</v>
      </c>
      <c r="BP1694">
        <v>0.03</v>
      </c>
      <c r="BQ1694">
        <v>47.22</v>
      </c>
      <c r="BR1694">
        <v>6.75</v>
      </c>
      <c r="BS1694">
        <v>0.2</v>
      </c>
      <c r="BT1694">
        <v>0.12</v>
      </c>
      <c r="BU1694">
        <v>8.14</v>
      </c>
      <c r="BV1694">
        <v>0.02</v>
      </c>
      <c r="BW1694">
        <v>2.91</v>
      </c>
      <c r="BX1694">
        <v>2.75</v>
      </c>
      <c r="BY1694">
        <v>3.52</v>
      </c>
      <c r="BZ1694">
        <v>1.41</v>
      </c>
      <c r="CA1694">
        <v>0.26</v>
      </c>
      <c r="CB1694">
        <v>-0.03</v>
      </c>
      <c r="CC1694">
        <v>0.26</v>
      </c>
      <c r="CD1694">
        <v>0.24</v>
      </c>
      <c r="CE1694">
        <v>0.24</v>
      </c>
      <c r="CF1694">
        <v>0.23</v>
      </c>
      <c r="CG1694">
        <v>0.87</v>
      </c>
      <c r="CH1694">
        <v>0.47</v>
      </c>
      <c r="CI1694">
        <v>-0.91</v>
      </c>
      <c r="CJ1694">
        <v>49398</v>
      </c>
      <c r="CK1694">
        <v>9051</v>
      </c>
      <c r="CL1694" t="s">
        <v>5637</v>
      </c>
      <c r="CM1694">
        <v>-31.08</v>
      </c>
      <c r="CN1694">
        <v>-6.01</v>
      </c>
      <c r="CO1694">
        <v>3.25</v>
      </c>
      <c r="CP1694">
        <v>76.06</v>
      </c>
      <c r="CQ1694">
        <v>10.09</v>
      </c>
      <c r="CR1694">
        <v>0.2</v>
      </c>
      <c r="CS1694" t="s">
        <v>2388</v>
      </c>
      <c r="CT1694">
        <v>1.54</v>
      </c>
      <c r="CU1694">
        <v>0</v>
      </c>
      <c r="CV1694">
        <v>0.39</v>
      </c>
      <c r="CW1694">
        <v>0.12</v>
      </c>
      <c r="CX1694">
        <v>7.0000000000000007E-2</v>
      </c>
      <c r="CY1694">
        <v>52.64</v>
      </c>
      <c r="CZ1694" t="s">
        <v>1585</v>
      </c>
      <c r="DA1694">
        <v>60.07</v>
      </c>
      <c r="DB1694">
        <v>7.48</v>
      </c>
      <c r="DC1694">
        <v>6.86</v>
      </c>
      <c r="DD1694">
        <v>0.54</v>
      </c>
      <c r="DE1694">
        <v>831</v>
      </c>
      <c r="DF1694">
        <v>300299</v>
      </c>
      <c r="DG1694" t="s">
        <v>116</v>
      </c>
      <c r="DH1694" t="s">
        <v>116</v>
      </c>
      <c r="DI1694" t="s">
        <v>116</v>
      </c>
    </row>
    <row r="1695" spans="1:113" x14ac:dyDescent="0.4">
      <c r="A1695" t="str">
        <f>"300300"</f>
        <v>300300</v>
      </c>
      <c r="B1695" t="s">
        <v>8758</v>
      </c>
      <c r="C1695">
        <v>0.53</v>
      </c>
      <c r="D1695">
        <v>9.51</v>
      </c>
      <c r="E1695">
        <v>0.05</v>
      </c>
      <c r="F1695">
        <v>9.51</v>
      </c>
      <c r="G1695">
        <v>9.52</v>
      </c>
      <c r="H1695">
        <v>245940</v>
      </c>
      <c r="I1695">
        <v>5071</v>
      </c>
      <c r="J1695">
        <v>-0.1</v>
      </c>
      <c r="K1695">
        <v>3.66</v>
      </c>
      <c r="L1695">
        <v>9.42</v>
      </c>
      <c r="M1695">
        <v>9.68</v>
      </c>
      <c r="N1695">
        <v>9.3800000000000008</v>
      </c>
      <c r="O1695">
        <v>9.4600000000000009</v>
      </c>
      <c r="P1695">
        <v>36.4</v>
      </c>
      <c r="Q1695">
        <v>234408704</v>
      </c>
      <c r="R1695">
        <v>1.23</v>
      </c>
      <c r="S1695" t="s">
        <v>607</v>
      </c>
      <c r="T1695" t="s">
        <v>590</v>
      </c>
      <c r="U1695">
        <v>3.17</v>
      </c>
      <c r="V1695">
        <v>9.5299999999999994</v>
      </c>
      <c r="W1695">
        <v>122736</v>
      </c>
      <c r="X1695">
        <v>123204</v>
      </c>
      <c r="Y1695">
        <v>1</v>
      </c>
      <c r="Z1695">
        <v>2150</v>
      </c>
      <c r="AA1695">
        <v>1456</v>
      </c>
      <c r="AB1695" t="s">
        <v>116</v>
      </c>
      <c r="AC1695">
        <v>646200</v>
      </c>
      <c r="AD1695">
        <v>0.02</v>
      </c>
      <c r="AE1695" t="s">
        <v>116</v>
      </c>
      <c r="AF1695" t="s">
        <v>116</v>
      </c>
      <c r="AG1695">
        <v>6.71</v>
      </c>
      <c r="AH1695" t="s">
        <v>8759</v>
      </c>
      <c r="AI1695" t="s">
        <v>8760</v>
      </c>
      <c r="AJ1695">
        <v>1.21</v>
      </c>
      <c r="AK1695">
        <v>2475</v>
      </c>
      <c r="AL1695">
        <v>99</v>
      </c>
      <c r="AM1695">
        <v>1.5E-3</v>
      </c>
      <c r="AN1695">
        <v>2</v>
      </c>
      <c r="AO1695">
        <v>1.06</v>
      </c>
      <c r="AP1695">
        <v>-1.1399999999999999</v>
      </c>
      <c r="AQ1695">
        <v>-1.76</v>
      </c>
      <c r="AR1695">
        <v>-14.94</v>
      </c>
      <c r="AS1695">
        <v>6.77</v>
      </c>
      <c r="AT1695" t="s">
        <v>2397</v>
      </c>
      <c r="AU1695">
        <v>53.5</v>
      </c>
      <c r="AV1695">
        <v>51.88</v>
      </c>
      <c r="AW1695">
        <v>0.22</v>
      </c>
      <c r="BA1695">
        <v>-0.42</v>
      </c>
      <c r="BB1695">
        <v>2.33</v>
      </c>
      <c r="BC1695">
        <v>-0.85</v>
      </c>
      <c r="BD1695">
        <v>0.75</v>
      </c>
      <c r="BE1695">
        <v>0.96</v>
      </c>
      <c r="BF1695">
        <v>-1.76</v>
      </c>
      <c r="BG1695">
        <v>1.39</v>
      </c>
      <c r="BH1695">
        <v>-0.22</v>
      </c>
      <c r="BI1695">
        <v>20191030</v>
      </c>
      <c r="BJ1695">
        <v>20120319</v>
      </c>
      <c r="BK1695">
        <v>6.8</v>
      </c>
      <c r="BL1695" t="s">
        <v>116</v>
      </c>
      <c r="BM1695" t="s">
        <v>116</v>
      </c>
      <c r="BN1695">
        <v>34.85</v>
      </c>
      <c r="BO1695">
        <v>24.95</v>
      </c>
      <c r="BP1695">
        <v>-0.28999999999999998</v>
      </c>
      <c r="BQ1695">
        <v>29.23</v>
      </c>
      <c r="BR1695">
        <v>13.08</v>
      </c>
      <c r="BS1695">
        <v>2.06</v>
      </c>
      <c r="BT1695">
        <v>0.01</v>
      </c>
      <c r="BU1695">
        <v>10.19</v>
      </c>
      <c r="BV1695">
        <v>5.31</v>
      </c>
      <c r="BW1695">
        <v>2.12</v>
      </c>
      <c r="BX1695">
        <v>10.7</v>
      </c>
      <c r="BY1695">
        <v>4.13</v>
      </c>
      <c r="BZ1695">
        <v>3.37</v>
      </c>
      <c r="CA1695">
        <v>1.31</v>
      </c>
      <c r="CB1695">
        <v>0.56999999999999995</v>
      </c>
      <c r="CC1695">
        <v>1.27</v>
      </c>
      <c r="CD1695">
        <v>1.23</v>
      </c>
      <c r="CE1695">
        <v>1.33</v>
      </c>
      <c r="CF1695">
        <v>-0.12</v>
      </c>
      <c r="CG1695">
        <v>6.17</v>
      </c>
      <c r="CH1695">
        <v>-0.69</v>
      </c>
      <c r="CI1695">
        <v>-1.79</v>
      </c>
      <c r="CJ1695">
        <v>21914</v>
      </c>
      <c r="CK1695">
        <v>16577</v>
      </c>
      <c r="CL1695" t="s">
        <v>4221</v>
      </c>
      <c r="CM1695">
        <v>-2.76</v>
      </c>
      <c r="CN1695">
        <v>6.25</v>
      </c>
      <c r="CO1695">
        <v>2.59</v>
      </c>
      <c r="CP1695">
        <v>-93.93</v>
      </c>
      <c r="CQ1695">
        <v>15.65</v>
      </c>
      <c r="CR1695">
        <v>0.21</v>
      </c>
      <c r="CS1695" t="s">
        <v>8761</v>
      </c>
      <c r="CT1695">
        <v>3.67</v>
      </c>
      <c r="CU1695">
        <v>0</v>
      </c>
      <c r="CV1695">
        <v>1.57</v>
      </c>
      <c r="CW1695">
        <v>0.91</v>
      </c>
      <c r="CX1695">
        <v>-0.1</v>
      </c>
      <c r="CY1695">
        <v>71.59</v>
      </c>
      <c r="CZ1695" t="s">
        <v>4661</v>
      </c>
      <c r="DA1695">
        <v>18.5</v>
      </c>
      <c r="DB1695">
        <v>31.63</v>
      </c>
      <c r="DC1695">
        <v>32.229999999999997</v>
      </c>
      <c r="DD1695">
        <v>0.28000000000000003</v>
      </c>
      <c r="DE1695">
        <v>486</v>
      </c>
      <c r="DF1695">
        <v>300300</v>
      </c>
      <c r="DG1695" t="s">
        <v>116</v>
      </c>
      <c r="DH1695" t="s">
        <v>116</v>
      </c>
      <c r="DI1695" t="s">
        <v>116</v>
      </c>
    </row>
    <row r="1696" spans="1:113" x14ac:dyDescent="0.4">
      <c r="A1696" t="str">
        <f>"300301"</f>
        <v>300301</v>
      </c>
      <c r="B1696" t="s">
        <v>8762</v>
      </c>
      <c r="C1696">
        <v>-2.34</v>
      </c>
      <c r="D1696">
        <v>3.76</v>
      </c>
      <c r="E1696">
        <v>-0.09</v>
      </c>
      <c r="F1696">
        <v>3.76</v>
      </c>
      <c r="G1696">
        <v>3.77</v>
      </c>
      <c r="H1696">
        <v>104307</v>
      </c>
      <c r="I1696">
        <v>1097</v>
      </c>
      <c r="J1696">
        <v>-0.26</v>
      </c>
      <c r="K1696">
        <v>1.73</v>
      </c>
      <c r="L1696">
        <v>3.85</v>
      </c>
      <c r="M1696">
        <v>3.92</v>
      </c>
      <c r="N1696">
        <v>3.76</v>
      </c>
      <c r="O1696">
        <v>3.85</v>
      </c>
      <c r="P1696">
        <v>46.01</v>
      </c>
      <c r="Q1696">
        <v>39991100</v>
      </c>
      <c r="R1696">
        <v>0.97</v>
      </c>
      <c r="S1696" t="s">
        <v>3507</v>
      </c>
      <c r="T1696" t="s">
        <v>115</v>
      </c>
      <c r="U1696">
        <v>4.16</v>
      </c>
      <c r="V1696">
        <v>3.83</v>
      </c>
      <c r="W1696">
        <v>62639</v>
      </c>
      <c r="X1696">
        <v>41668</v>
      </c>
      <c r="Y1696">
        <v>1.5</v>
      </c>
      <c r="Z1696">
        <v>1084</v>
      </c>
      <c r="AA1696">
        <v>9</v>
      </c>
      <c r="AB1696" t="s">
        <v>116</v>
      </c>
      <c r="AC1696">
        <v>46600</v>
      </c>
      <c r="AD1696">
        <v>0</v>
      </c>
      <c r="AE1696" t="s">
        <v>116</v>
      </c>
      <c r="AF1696" t="s">
        <v>116</v>
      </c>
      <c r="AG1696">
        <v>6.01</v>
      </c>
      <c r="AH1696" t="s">
        <v>5651</v>
      </c>
      <c r="AI1696" t="s">
        <v>8241</v>
      </c>
      <c r="AJ1696">
        <v>-1.66</v>
      </c>
      <c r="AK1696">
        <v>1583</v>
      </c>
      <c r="AL1696">
        <v>66</v>
      </c>
      <c r="AM1696">
        <v>1.1000000000000001E-3</v>
      </c>
      <c r="AN1696">
        <v>-1</v>
      </c>
      <c r="AO1696">
        <v>-0.53</v>
      </c>
      <c r="AP1696">
        <v>7.12</v>
      </c>
      <c r="AQ1696">
        <v>-3.34</v>
      </c>
      <c r="AR1696">
        <v>3.3</v>
      </c>
      <c r="AS1696">
        <v>2.8</v>
      </c>
      <c r="AT1696" t="s">
        <v>1103</v>
      </c>
      <c r="AU1696" t="s">
        <v>116</v>
      </c>
      <c r="AV1696" t="s">
        <v>116</v>
      </c>
      <c r="AW1696">
        <v>1.31</v>
      </c>
      <c r="BA1696">
        <v>0</v>
      </c>
      <c r="BB1696">
        <v>1.82</v>
      </c>
      <c r="BC1696">
        <v>-2.34</v>
      </c>
      <c r="BD1696">
        <v>-0.42</v>
      </c>
      <c r="BE1696">
        <v>-2.34</v>
      </c>
      <c r="BF1696">
        <v>-4.08</v>
      </c>
      <c r="BG1696">
        <v>0</v>
      </c>
      <c r="BH1696">
        <v>-1.92</v>
      </c>
      <c r="BI1696">
        <v>20191225</v>
      </c>
      <c r="BJ1696">
        <v>20120321</v>
      </c>
      <c r="BK1696">
        <v>7.9</v>
      </c>
      <c r="BL1696" t="s">
        <v>116</v>
      </c>
      <c r="BM1696" t="s">
        <v>116</v>
      </c>
      <c r="BN1696">
        <v>36.24</v>
      </c>
      <c r="BO1696">
        <v>16.690000000000001</v>
      </c>
      <c r="BP1696">
        <v>0.01</v>
      </c>
      <c r="BQ1696">
        <v>53.92</v>
      </c>
      <c r="BR1696">
        <v>15.9</v>
      </c>
      <c r="BS1696">
        <v>10.11</v>
      </c>
      <c r="BT1696">
        <v>1.04</v>
      </c>
      <c r="BU1696">
        <v>15.54</v>
      </c>
      <c r="BV1696">
        <v>3.61</v>
      </c>
      <c r="BW1696">
        <v>8.4700000000000006</v>
      </c>
      <c r="BX1696">
        <v>7.53</v>
      </c>
      <c r="BY1696">
        <v>12.29</v>
      </c>
      <c r="BZ1696">
        <v>8.8000000000000007</v>
      </c>
      <c r="CA1696">
        <v>0.53</v>
      </c>
      <c r="CB1696">
        <v>0</v>
      </c>
      <c r="CC1696">
        <v>0.53</v>
      </c>
      <c r="CD1696">
        <v>0.48</v>
      </c>
      <c r="CE1696">
        <v>0.48</v>
      </c>
      <c r="CF1696">
        <v>0.33</v>
      </c>
      <c r="CG1696">
        <v>0.98</v>
      </c>
      <c r="CH1696">
        <v>-0.71</v>
      </c>
      <c r="CI1696">
        <v>-0.86</v>
      </c>
      <c r="CJ1696">
        <v>27712</v>
      </c>
      <c r="CK1696">
        <v>13424</v>
      </c>
      <c r="CL1696" t="s">
        <v>1863</v>
      </c>
      <c r="CM1696">
        <v>520.63</v>
      </c>
      <c r="CN1696">
        <v>4.3099999999999996</v>
      </c>
      <c r="CO1696">
        <v>1.78</v>
      </c>
      <c r="CP1696">
        <v>-42.03</v>
      </c>
      <c r="CQ1696">
        <v>2.42</v>
      </c>
      <c r="CR1696">
        <v>0</v>
      </c>
      <c r="CS1696" t="s">
        <v>6307</v>
      </c>
      <c r="CT1696">
        <v>2.11</v>
      </c>
      <c r="CU1696">
        <v>0</v>
      </c>
      <c r="CV1696">
        <v>0.95</v>
      </c>
      <c r="CW1696">
        <v>0.12</v>
      </c>
      <c r="CX1696">
        <v>-0.09</v>
      </c>
      <c r="CY1696">
        <v>46.06</v>
      </c>
      <c r="CZ1696" t="s">
        <v>146</v>
      </c>
      <c r="DA1696">
        <v>28.39</v>
      </c>
      <c r="DB1696">
        <v>4.29</v>
      </c>
      <c r="DC1696">
        <v>3.94</v>
      </c>
      <c r="DD1696">
        <v>0.84</v>
      </c>
      <c r="DE1696">
        <v>4487</v>
      </c>
      <c r="DF1696">
        <v>300301</v>
      </c>
      <c r="DG1696" t="s">
        <v>116</v>
      </c>
      <c r="DH1696" t="s">
        <v>116</v>
      </c>
      <c r="DI1696" t="s">
        <v>116</v>
      </c>
    </row>
    <row r="1697" spans="1:113" x14ac:dyDescent="0.4">
      <c r="A1697" t="str">
        <f>"300302"</f>
        <v>300302</v>
      </c>
      <c r="B1697" t="s">
        <v>8763</v>
      </c>
      <c r="C1697">
        <v>-2.56</v>
      </c>
      <c r="D1697">
        <v>12.2</v>
      </c>
      <c r="E1697">
        <v>-0.32</v>
      </c>
      <c r="F1697">
        <v>12.2</v>
      </c>
      <c r="G1697">
        <v>12.21</v>
      </c>
      <c r="H1697">
        <v>150392</v>
      </c>
      <c r="I1697">
        <v>1166</v>
      </c>
      <c r="J1697">
        <v>-0.15</v>
      </c>
      <c r="K1697">
        <v>6.1</v>
      </c>
      <c r="L1697">
        <v>12.58</v>
      </c>
      <c r="M1697">
        <v>12.6</v>
      </c>
      <c r="N1697">
        <v>12.14</v>
      </c>
      <c r="O1697">
        <v>12.52</v>
      </c>
      <c r="P1697">
        <v>1084.1300000000001</v>
      </c>
      <c r="Q1697">
        <v>185659360</v>
      </c>
      <c r="R1697">
        <v>0.86</v>
      </c>
      <c r="S1697" t="s">
        <v>607</v>
      </c>
      <c r="T1697" t="s">
        <v>165</v>
      </c>
      <c r="U1697">
        <v>3.67</v>
      </c>
      <c r="V1697">
        <v>12.35</v>
      </c>
      <c r="W1697">
        <v>75961</v>
      </c>
      <c r="X1697">
        <v>74431</v>
      </c>
      <c r="Y1697">
        <v>1.02</v>
      </c>
      <c r="Z1697">
        <v>209</v>
      </c>
      <c r="AA1697">
        <v>26</v>
      </c>
      <c r="AB1697" t="s">
        <v>116</v>
      </c>
      <c r="AC1697">
        <v>473000</v>
      </c>
      <c r="AD1697">
        <v>0.02</v>
      </c>
      <c r="AE1697" t="s">
        <v>116</v>
      </c>
      <c r="AF1697" t="s">
        <v>116</v>
      </c>
      <c r="AG1697">
        <v>2.4700000000000002</v>
      </c>
      <c r="AH1697" t="s">
        <v>8561</v>
      </c>
      <c r="AI1697" t="s">
        <v>8764</v>
      </c>
      <c r="AJ1697">
        <v>-1.88</v>
      </c>
      <c r="AK1697">
        <v>3097</v>
      </c>
      <c r="AL1697">
        <v>49</v>
      </c>
      <c r="AM1697">
        <v>2E-3</v>
      </c>
      <c r="AN1697">
        <v>-2</v>
      </c>
      <c r="AO1697">
        <v>-3.56</v>
      </c>
      <c r="AP1697">
        <v>18.79</v>
      </c>
      <c r="AQ1697">
        <v>29.1</v>
      </c>
      <c r="AR1697">
        <v>64.2</v>
      </c>
      <c r="AS1697">
        <v>7.37</v>
      </c>
      <c r="AT1697" t="s">
        <v>8765</v>
      </c>
      <c r="AU1697" t="s">
        <v>116</v>
      </c>
      <c r="AV1697">
        <v>275.25</v>
      </c>
      <c r="AW1697">
        <v>1.76</v>
      </c>
      <c r="BA1697">
        <v>0.48</v>
      </c>
      <c r="BB1697">
        <v>0.64</v>
      </c>
      <c r="BC1697">
        <v>-3.04</v>
      </c>
      <c r="BD1697">
        <v>-1.4</v>
      </c>
      <c r="BE1697">
        <v>-3.02</v>
      </c>
      <c r="BF1697">
        <v>-3.17</v>
      </c>
      <c r="BG1697">
        <v>0.49</v>
      </c>
      <c r="BH1697">
        <v>-1.1599999999999999</v>
      </c>
      <c r="BI1697">
        <v>20191030</v>
      </c>
      <c r="BJ1697">
        <v>20120321</v>
      </c>
      <c r="BK1697">
        <v>4.5599999999999996</v>
      </c>
      <c r="BL1697" t="s">
        <v>116</v>
      </c>
      <c r="BM1697" t="s">
        <v>116</v>
      </c>
      <c r="BN1697">
        <v>14.85</v>
      </c>
      <c r="BO1697">
        <v>11.64</v>
      </c>
      <c r="BP1697">
        <v>0</v>
      </c>
      <c r="BQ1697">
        <v>21.64</v>
      </c>
      <c r="BR1697">
        <v>5.3</v>
      </c>
      <c r="BS1697">
        <v>0.81</v>
      </c>
      <c r="BT1697">
        <v>0.47</v>
      </c>
      <c r="BU1697">
        <v>1.7</v>
      </c>
      <c r="BV1697">
        <v>0.86</v>
      </c>
      <c r="BW1697">
        <v>2.8</v>
      </c>
      <c r="BX1697">
        <v>3.99</v>
      </c>
      <c r="BY1697">
        <v>2.37</v>
      </c>
      <c r="BZ1697">
        <v>1.37</v>
      </c>
      <c r="CA1697">
        <v>0.01</v>
      </c>
      <c r="CB1697">
        <v>-0.01</v>
      </c>
      <c r="CC1697">
        <v>0.01</v>
      </c>
      <c r="CD1697">
        <v>0.04</v>
      </c>
      <c r="CE1697">
        <v>0.04</v>
      </c>
      <c r="CF1697">
        <v>0.03</v>
      </c>
      <c r="CG1697">
        <v>2.68</v>
      </c>
      <c r="CH1697">
        <v>-0.25</v>
      </c>
      <c r="CI1697">
        <v>-0.62</v>
      </c>
      <c r="CJ1697">
        <v>26442</v>
      </c>
      <c r="CK1697">
        <v>7719</v>
      </c>
      <c r="CL1697" t="s">
        <v>4093</v>
      </c>
      <c r="CM1697">
        <v>-84.5</v>
      </c>
      <c r="CN1697">
        <v>-24.23</v>
      </c>
      <c r="CO1697">
        <v>4.78</v>
      </c>
      <c r="CP1697">
        <v>-222.09</v>
      </c>
      <c r="CQ1697">
        <v>23.5</v>
      </c>
      <c r="CR1697">
        <v>0</v>
      </c>
      <c r="CS1697" t="s">
        <v>571</v>
      </c>
      <c r="CT1697">
        <v>2.5499999999999998</v>
      </c>
      <c r="CU1697">
        <v>0</v>
      </c>
      <c r="CV1697">
        <v>0.88</v>
      </c>
      <c r="CW1697">
        <v>0.59</v>
      </c>
      <c r="CX1697">
        <v>-0.05</v>
      </c>
      <c r="CY1697">
        <v>78.36</v>
      </c>
      <c r="CZ1697" t="s">
        <v>5180</v>
      </c>
      <c r="DA1697">
        <v>42.08</v>
      </c>
      <c r="DB1697">
        <v>0.45</v>
      </c>
      <c r="DC1697">
        <v>1.63</v>
      </c>
      <c r="DD1697">
        <v>0.32</v>
      </c>
      <c r="DE1697">
        <v>300</v>
      </c>
      <c r="DF1697">
        <v>300302</v>
      </c>
      <c r="DG1697" t="s">
        <v>116</v>
      </c>
      <c r="DH1697" t="s">
        <v>116</v>
      </c>
      <c r="DI1697" t="s">
        <v>116</v>
      </c>
    </row>
    <row r="1698" spans="1:113" x14ac:dyDescent="0.4">
      <c r="A1698" t="str">
        <f>"300303"</f>
        <v>300303</v>
      </c>
      <c r="B1698" t="s">
        <v>8766</v>
      </c>
      <c r="C1698">
        <v>-1.1599999999999999</v>
      </c>
      <c r="D1698">
        <v>5.97</v>
      </c>
      <c r="E1698">
        <v>-7.0000000000000007E-2</v>
      </c>
      <c r="F1698">
        <v>5.97</v>
      </c>
      <c r="G1698">
        <v>5.98</v>
      </c>
      <c r="H1698">
        <v>1510948</v>
      </c>
      <c r="I1698">
        <v>24805</v>
      </c>
      <c r="J1698">
        <v>-0.99</v>
      </c>
      <c r="K1698">
        <v>13.24</v>
      </c>
      <c r="L1698">
        <v>6.09</v>
      </c>
      <c r="M1698">
        <v>6.54</v>
      </c>
      <c r="N1698">
        <v>5.97</v>
      </c>
      <c r="O1698">
        <v>6.04</v>
      </c>
      <c r="P1698">
        <v>22.51</v>
      </c>
      <c r="Q1698">
        <v>940804608</v>
      </c>
      <c r="R1698">
        <v>0.97</v>
      </c>
      <c r="S1698" t="s">
        <v>3507</v>
      </c>
      <c r="T1698" t="s">
        <v>115</v>
      </c>
      <c r="U1698">
        <v>9.44</v>
      </c>
      <c r="V1698">
        <v>6.23</v>
      </c>
      <c r="W1698">
        <v>733485</v>
      </c>
      <c r="X1698">
        <v>777463</v>
      </c>
      <c r="Y1698">
        <v>0.94</v>
      </c>
      <c r="Z1698">
        <v>2396</v>
      </c>
      <c r="AA1698">
        <v>9429</v>
      </c>
      <c r="AB1698" t="s">
        <v>116</v>
      </c>
      <c r="AC1698">
        <v>5124100</v>
      </c>
      <c r="AD1698">
        <v>0.1</v>
      </c>
      <c r="AE1698" t="s">
        <v>116</v>
      </c>
      <c r="AF1698" t="s">
        <v>116</v>
      </c>
      <c r="AG1698">
        <v>11.41</v>
      </c>
      <c r="AH1698" t="s">
        <v>8767</v>
      </c>
      <c r="AI1698" t="s">
        <v>8768</v>
      </c>
      <c r="AJ1698">
        <v>-0.48</v>
      </c>
      <c r="AK1698">
        <v>4566</v>
      </c>
      <c r="AL1698">
        <v>331</v>
      </c>
      <c r="AM1698">
        <v>2.8999999999999998E-3</v>
      </c>
      <c r="AN1698">
        <v>-2</v>
      </c>
      <c r="AO1698">
        <v>1.01</v>
      </c>
      <c r="AP1698">
        <v>60.48</v>
      </c>
      <c r="AQ1698">
        <v>58.78</v>
      </c>
      <c r="AR1698">
        <v>150.31</v>
      </c>
      <c r="AS1698">
        <v>17.82</v>
      </c>
      <c r="AT1698" t="s">
        <v>1261</v>
      </c>
      <c r="AU1698">
        <v>27.52</v>
      </c>
      <c r="AV1698">
        <v>47.77</v>
      </c>
      <c r="AW1698">
        <v>1.71</v>
      </c>
      <c r="BA1698">
        <v>0.83</v>
      </c>
      <c r="BB1698">
        <v>8.2799999999999994</v>
      </c>
      <c r="BC1698">
        <v>-1.1599999999999999</v>
      </c>
      <c r="BD1698">
        <v>3.09</v>
      </c>
      <c r="BE1698">
        <v>-1.97</v>
      </c>
      <c r="BF1698">
        <v>-8.7200000000000006</v>
      </c>
      <c r="BG1698">
        <v>0</v>
      </c>
      <c r="BH1698">
        <v>-4.25</v>
      </c>
      <c r="BI1698">
        <v>20191211</v>
      </c>
      <c r="BJ1698">
        <v>20120319</v>
      </c>
      <c r="BK1698">
        <v>12.79</v>
      </c>
      <c r="BL1698" t="s">
        <v>116</v>
      </c>
      <c r="BM1698" t="s">
        <v>116</v>
      </c>
      <c r="BN1698">
        <v>39.89</v>
      </c>
      <c r="BO1698">
        <v>21.28</v>
      </c>
      <c r="BP1698">
        <v>0.18</v>
      </c>
      <c r="BQ1698">
        <v>46.2</v>
      </c>
      <c r="BR1698">
        <v>26.31</v>
      </c>
      <c r="BS1698">
        <v>8.57</v>
      </c>
      <c r="BT1698">
        <v>1.35</v>
      </c>
      <c r="BU1698">
        <v>17.7</v>
      </c>
      <c r="BV1698">
        <v>2.2799999999999998</v>
      </c>
      <c r="BW1698">
        <v>9.2100000000000009</v>
      </c>
      <c r="BX1698">
        <v>0.34</v>
      </c>
      <c r="BY1698">
        <v>18.5</v>
      </c>
      <c r="BZ1698">
        <v>13.38</v>
      </c>
      <c r="CA1698">
        <v>2.91</v>
      </c>
      <c r="CB1698">
        <v>7.0000000000000007E-2</v>
      </c>
      <c r="CC1698">
        <v>2.9</v>
      </c>
      <c r="CD1698">
        <v>2.5299999999999998</v>
      </c>
      <c r="CE1698">
        <v>2.54</v>
      </c>
      <c r="CF1698">
        <v>2.27</v>
      </c>
      <c r="CG1698">
        <v>7.18</v>
      </c>
      <c r="CH1698">
        <v>3.31</v>
      </c>
      <c r="CI1698">
        <v>-0.1</v>
      </c>
      <c r="CJ1698">
        <v>52262</v>
      </c>
      <c r="CK1698">
        <v>16226</v>
      </c>
      <c r="CL1698" t="s">
        <v>1905</v>
      </c>
      <c r="CM1698">
        <v>85.96</v>
      </c>
      <c r="CN1698">
        <v>7.41</v>
      </c>
      <c r="CO1698">
        <v>3.59</v>
      </c>
      <c r="CP1698">
        <v>23.03</v>
      </c>
      <c r="CQ1698">
        <v>4.13</v>
      </c>
      <c r="CR1698">
        <v>0.75</v>
      </c>
      <c r="CS1698" t="s">
        <v>1831</v>
      </c>
      <c r="CT1698">
        <v>1.66</v>
      </c>
      <c r="CU1698">
        <v>0</v>
      </c>
      <c r="CV1698">
        <v>0.03</v>
      </c>
      <c r="CW1698">
        <v>0.56000000000000005</v>
      </c>
      <c r="CX1698">
        <v>0.26</v>
      </c>
      <c r="CY1698">
        <v>53.34</v>
      </c>
      <c r="CZ1698" t="s">
        <v>2356</v>
      </c>
      <c r="DA1698">
        <v>27.68</v>
      </c>
      <c r="DB1698">
        <v>15.71</v>
      </c>
      <c r="DC1698">
        <v>13.75</v>
      </c>
      <c r="DD1698">
        <v>0.8</v>
      </c>
      <c r="DE1698">
        <v>2352</v>
      </c>
      <c r="DF1698">
        <v>300303</v>
      </c>
      <c r="DG1698" t="s">
        <v>116</v>
      </c>
      <c r="DH1698" t="s">
        <v>116</v>
      </c>
      <c r="DI1698" t="s">
        <v>116</v>
      </c>
    </row>
    <row r="1699" spans="1:113" x14ac:dyDescent="0.4">
      <c r="A1699" t="str">
        <f>"300304"</f>
        <v>300304</v>
      </c>
      <c r="B1699" t="s">
        <v>8769</v>
      </c>
      <c r="C1699">
        <v>-2.4</v>
      </c>
      <c r="D1699">
        <v>4.47</v>
      </c>
      <c r="E1699">
        <v>-0.11</v>
      </c>
      <c r="F1699">
        <v>4.46</v>
      </c>
      <c r="G1699">
        <v>4.47</v>
      </c>
      <c r="H1699">
        <v>196213</v>
      </c>
      <c r="I1699">
        <v>4146</v>
      </c>
      <c r="J1699">
        <v>-0.21</v>
      </c>
      <c r="K1699">
        <v>2.33</v>
      </c>
      <c r="L1699">
        <v>4.54</v>
      </c>
      <c r="M1699">
        <v>4.6100000000000003</v>
      </c>
      <c r="N1699">
        <v>4.47</v>
      </c>
      <c r="O1699">
        <v>4.58</v>
      </c>
      <c r="P1699">
        <v>28.97</v>
      </c>
      <c r="Q1699">
        <v>89101648</v>
      </c>
      <c r="R1699">
        <v>0.77</v>
      </c>
      <c r="S1699" t="s">
        <v>293</v>
      </c>
      <c r="T1699" t="s">
        <v>323</v>
      </c>
      <c r="U1699">
        <v>3.06</v>
      </c>
      <c r="V1699">
        <v>4.54</v>
      </c>
      <c r="W1699">
        <v>119191</v>
      </c>
      <c r="X1699">
        <v>77022</v>
      </c>
      <c r="Y1699">
        <v>1.55</v>
      </c>
      <c r="Z1699">
        <v>1174</v>
      </c>
      <c r="AA1699">
        <v>1310</v>
      </c>
      <c r="AB1699" t="s">
        <v>116</v>
      </c>
      <c r="AC1699">
        <v>750900</v>
      </c>
      <c r="AD1699">
        <v>0.03</v>
      </c>
      <c r="AE1699" t="s">
        <v>116</v>
      </c>
      <c r="AF1699" t="s">
        <v>116</v>
      </c>
      <c r="AG1699">
        <v>8.44</v>
      </c>
      <c r="AH1699" t="s">
        <v>3497</v>
      </c>
      <c r="AI1699" t="s">
        <v>8770</v>
      </c>
      <c r="AJ1699">
        <v>-1.72</v>
      </c>
      <c r="AK1699">
        <v>2093</v>
      </c>
      <c r="AL1699">
        <v>94</v>
      </c>
      <c r="AM1699">
        <v>1.1000000000000001E-3</v>
      </c>
      <c r="AN1699">
        <v>-1</v>
      </c>
      <c r="AO1699">
        <v>-3.25</v>
      </c>
      <c r="AP1699">
        <v>5.42</v>
      </c>
      <c r="AQ1699">
        <v>26.27</v>
      </c>
      <c r="AR1699">
        <v>31.86</v>
      </c>
      <c r="AS1699">
        <v>4.04</v>
      </c>
      <c r="AT1699" t="s">
        <v>5571</v>
      </c>
      <c r="AU1699">
        <v>28.8</v>
      </c>
      <c r="AV1699">
        <v>28.76</v>
      </c>
      <c r="AW1699">
        <v>0.28999999999999998</v>
      </c>
      <c r="BA1699">
        <v>-0.87</v>
      </c>
      <c r="BB1699">
        <v>0.66</v>
      </c>
      <c r="BC1699">
        <v>-2.4</v>
      </c>
      <c r="BD1699">
        <v>-0.85</v>
      </c>
      <c r="BE1699">
        <v>-1.54</v>
      </c>
      <c r="BF1699">
        <v>-3.04</v>
      </c>
      <c r="BG1699">
        <v>0</v>
      </c>
      <c r="BH1699">
        <v>-1.55</v>
      </c>
      <c r="BI1699">
        <v>20191030</v>
      </c>
      <c r="BJ1699">
        <v>20120321</v>
      </c>
      <c r="BK1699">
        <v>8.66</v>
      </c>
      <c r="BL1699" t="s">
        <v>116</v>
      </c>
      <c r="BM1699" t="s">
        <v>116</v>
      </c>
      <c r="BN1699">
        <v>25.73</v>
      </c>
      <c r="BO1699">
        <v>19.399999999999999</v>
      </c>
      <c r="BP1699">
        <v>0.88</v>
      </c>
      <c r="BQ1699">
        <v>21.17</v>
      </c>
      <c r="BR1699">
        <v>18.440000000000001</v>
      </c>
      <c r="BS1699">
        <v>5.21</v>
      </c>
      <c r="BT1699">
        <v>0.34</v>
      </c>
      <c r="BU1699">
        <v>5.05</v>
      </c>
      <c r="BV1699">
        <v>1.77</v>
      </c>
      <c r="BW1699">
        <v>2.2400000000000002</v>
      </c>
      <c r="BX1699">
        <v>3.74</v>
      </c>
      <c r="BY1699">
        <v>4.96</v>
      </c>
      <c r="BZ1699">
        <v>3.31</v>
      </c>
      <c r="CA1699">
        <v>1.04</v>
      </c>
      <c r="CB1699">
        <v>0.39</v>
      </c>
      <c r="CC1699">
        <v>1.05</v>
      </c>
      <c r="CD1699">
        <v>0.98</v>
      </c>
      <c r="CE1699">
        <v>1</v>
      </c>
      <c r="CF1699">
        <v>0.56999999999999995</v>
      </c>
      <c r="CG1699">
        <v>6.18</v>
      </c>
      <c r="CH1699">
        <v>1.24</v>
      </c>
      <c r="CI1699">
        <v>-2.62</v>
      </c>
      <c r="CJ1699">
        <v>54098</v>
      </c>
      <c r="CK1699">
        <v>8969</v>
      </c>
      <c r="CL1699" t="s">
        <v>8771</v>
      </c>
      <c r="CM1699">
        <v>-0.18</v>
      </c>
      <c r="CN1699">
        <v>3.35</v>
      </c>
      <c r="CO1699">
        <v>2</v>
      </c>
      <c r="CP1699">
        <v>31.17</v>
      </c>
      <c r="CQ1699">
        <v>7.8</v>
      </c>
      <c r="CR1699">
        <v>0.68</v>
      </c>
      <c r="CS1699" t="s">
        <v>1182</v>
      </c>
      <c r="CT1699">
        <v>2.2400000000000002</v>
      </c>
      <c r="CU1699">
        <v>0</v>
      </c>
      <c r="CV1699">
        <v>0.43</v>
      </c>
      <c r="CW1699">
        <v>0.71</v>
      </c>
      <c r="CX1699">
        <v>0.14000000000000001</v>
      </c>
      <c r="CY1699">
        <v>75.400000000000006</v>
      </c>
      <c r="CZ1699" t="s">
        <v>8772</v>
      </c>
      <c r="DA1699">
        <v>33.26</v>
      </c>
      <c r="DB1699">
        <v>21.03</v>
      </c>
      <c r="DC1699">
        <v>20.190000000000001</v>
      </c>
      <c r="DD1699">
        <v>0.59</v>
      </c>
      <c r="DE1699">
        <v>773</v>
      </c>
      <c r="DF1699">
        <v>300304</v>
      </c>
      <c r="DG1699" t="s">
        <v>116</v>
      </c>
      <c r="DH1699" t="s">
        <v>116</v>
      </c>
      <c r="DI1699" t="s">
        <v>116</v>
      </c>
    </row>
    <row r="1700" spans="1:113" x14ac:dyDescent="0.4">
      <c r="A1700" t="str">
        <f>"300305"</f>
        <v>300305</v>
      </c>
      <c r="B1700" t="s">
        <v>8773</v>
      </c>
      <c r="C1700">
        <v>0.24</v>
      </c>
      <c r="D1700">
        <v>8.33</v>
      </c>
      <c r="E1700">
        <v>0.02</v>
      </c>
      <c r="F1700">
        <v>8.32</v>
      </c>
      <c r="G1700">
        <v>8.33</v>
      </c>
      <c r="H1700">
        <v>8664</v>
      </c>
      <c r="I1700">
        <v>73</v>
      </c>
      <c r="J1700">
        <v>0.12</v>
      </c>
      <c r="K1700">
        <v>0.37</v>
      </c>
      <c r="L1700">
        <v>8.32</v>
      </c>
      <c r="M1700">
        <v>8.4</v>
      </c>
      <c r="N1700">
        <v>8.2799999999999994</v>
      </c>
      <c r="O1700">
        <v>8.31</v>
      </c>
      <c r="P1700">
        <v>24.24</v>
      </c>
      <c r="Q1700">
        <v>7221669</v>
      </c>
      <c r="R1700">
        <v>1.1299999999999999</v>
      </c>
      <c r="S1700" t="s">
        <v>2444</v>
      </c>
      <c r="T1700" t="s">
        <v>323</v>
      </c>
      <c r="U1700">
        <v>1.44</v>
      </c>
      <c r="V1700">
        <v>8.34</v>
      </c>
      <c r="W1700">
        <v>3704</v>
      </c>
      <c r="X1700">
        <v>4960</v>
      </c>
      <c r="Y1700">
        <v>0.75</v>
      </c>
      <c r="Z1700">
        <v>100</v>
      </c>
      <c r="AA1700">
        <v>134</v>
      </c>
      <c r="AB1700" t="s">
        <v>116</v>
      </c>
      <c r="AC1700">
        <v>64900</v>
      </c>
      <c r="AD1700">
        <v>0</v>
      </c>
      <c r="AE1700" t="s">
        <v>116</v>
      </c>
      <c r="AF1700" t="s">
        <v>116</v>
      </c>
      <c r="AG1700">
        <v>2.33</v>
      </c>
      <c r="AH1700" t="s">
        <v>2264</v>
      </c>
      <c r="AI1700" t="s">
        <v>1378</v>
      </c>
      <c r="AJ1700">
        <v>0.92</v>
      </c>
      <c r="AK1700">
        <v>325</v>
      </c>
      <c r="AL1700">
        <v>27</v>
      </c>
      <c r="AM1700">
        <v>1.1000000000000001E-3</v>
      </c>
      <c r="AN1700">
        <v>1</v>
      </c>
      <c r="AO1700">
        <v>-0.95</v>
      </c>
      <c r="AP1700">
        <v>3.48</v>
      </c>
      <c r="AQ1700">
        <v>-3.7</v>
      </c>
      <c r="AR1700">
        <v>6.05</v>
      </c>
      <c r="AS1700">
        <v>0.52</v>
      </c>
      <c r="AT1700" t="s">
        <v>7146</v>
      </c>
      <c r="AU1700">
        <v>25.15</v>
      </c>
      <c r="AV1700">
        <v>31.56</v>
      </c>
      <c r="AW1700">
        <v>0.37</v>
      </c>
      <c r="BA1700">
        <v>0.12</v>
      </c>
      <c r="BB1700">
        <v>1.08</v>
      </c>
      <c r="BC1700">
        <v>-0.36</v>
      </c>
      <c r="BD1700">
        <v>0.3</v>
      </c>
      <c r="BE1700">
        <v>0.12</v>
      </c>
      <c r="BF1700">
        <v>-0.83</v>
      </c>
      <c r="BG1700">
        <v>0.6</v>
      </c>
      <c r="BH1700">
        <v>-0.06</v>
      </c>
      <c r="BI1700">
        <v>20191030</v>
      </c>
      <c r="BJ1700">
        <v>20120329</v>
      </c>
      <c r="BK1700">
        <v>2.89</v>
      </c>
      <c r="BL1700" t="s">
        <v>116</v>
      </c>
      <c r="BM1700" t="s">
        <v>116</v>
      </c>
      <c r="BN1700">
        <v>17.41</v>
      </c>
      <c r="BO1700">
        <v>14.83</v>
      </c>
      <c r="BP1700">
        <v>0</v>
      </c>
      <c r="BQ1700">
        <v>14.83</v>
      </c>
      <c r="BR1700">
        <v>12.2</v>
      </c>
      <c r="BS1700">
        <v>3.18</v>
      </c>
      <c r="BT1700">
        <v>0.28000000000000003</v>
      </c>
      <c r="BU1700">
        <v>2.46</v>
      </c>
      <c r="BV1700">
        <v>0.4</v>
      </c>
      <c r="BW1700">
        <v>1.76</v>
      </c>
      <c r="BX1700">
        <v>5.83</v>
      </c>
      <c r="BY1700">
        <v>6.67</v>
      </c>
      <c r="BZ1700">
        <v>5.5</v>
      </c>
      <c r="CA1700">
        <v>0.87</v>
      </c>
      <c r="CB1700">
        <v>0.23</v>
      </c>
      <c r="CC1700">
        <v>0.87</v>
      </c>
      <c r="CD1700">
        <v>0.74</v>
      </c>
      <c r="CE1700">
        <v>0.74</v>
      </c>
      <c r="CF1700">
        <v>0.57999999999999996</v>
      </c>
      <c r="CG1700">
        <v>5.32</v>
      </c>
      <c r="CH1700">
        <v>1.38</v>
      </c>
      <c r="CI1700">
        <v>-0.23</v>
      </c>
      <c r="CJ1700">
        <v>7833</v>
      </c>
      <c r="CK1700">
        <v>21197</v>
      </c>
      <c r="CL1700" t="s">
        <v>8774</v>
      </c>
      <c r="CM1700">
        <v>35.32</v>
      </c>
      <c r="CN1700">
        <v>29.81</v>
      </c>
      <c r="CO1700">
        <v>1.62</v>
      </c>
      <c r="CP1700">
        <v>17.43</v>
      </c>
      <c r="CQ1700">
        <v>3.61</v>
      </c>
      <c r="CR1700">
        <v>0.76</v>
      </c>
      <c r="CS1700" t="s">
        <v>4342</v>
      </c>
      <c r="CT1700">
        <v>5.13</v>
      </c>
      <c r="CU1700">
        <v>0</v>
      </c>
      <c r="CV1700">
        <v>2.02</v>
      </c>
      <c r="CW1700">
        <v>1.84</v>
      </c>
      <c r="CX1700">
        <v>0.48</v>
      </c>
      <c r="CY1700">
        <v>85.17</v>
      </c>
      <c r="CZ1700" t="s">
        <v>4958</v>
      </c>
      <c r="DA1700">
        <v>17.57</v>
      </c>
      <c r="DB1700">
        <v>13.05</v>
      </c>
      <c r="DC1700">
        <v>11.16</v>
      </c>
      <c r="DD1700">
        <v>0.26</v>
      </c>
      <c r="DE1700">
        <v>298</v>
      </c>
      <c r="DF1700">
        <v>300305</v>
      </c>
      <c r="DG1700" t="s">
        <v>116</v>
      </c>
      <c r="DH1700" t="s">
        <v>116</v>
      </c>
      <c r="DI1700" t="s">
        <v>116</v>
      </c>
    </row>
    <row r="1701" spans="1:113" x14ac:dyDescent="0.4">
      <c r="A1701" t="str">
        <f>"300306"</f>
        <v>300306</v>
      </c>
      <c r="B1701" t="s">
        <v>8775</v>
      </c>
      <c r="C1701">
        <v>-3.4</v>
      </c>
      <c r="D1701">
        <v>12.23</v>
      </c>
      <c r="E1701">
        <v>-0.43</v>
      </c>
      <c r="F1701">
        <v>12.23</v>
      </c>
      <c r="G1701">
        <v>12.24</v>
      </c>
      <c r="H1701">
        <v>55983</v>
      </c>
      <c r="I1701">
        <v>705</v>
      </c>
      <c r="J1701">
        <v>-7.0000000000000007E-2</v>
      </c>
      <c r="K1701">
        <v>3.8</v>
      </c>
      <c r="L1701">
        <v>12.66</v>
      </c>
      <c r="M1701">
        <v>12.75</v>
      </c>
      <c r="N1701">
        <v>12.2</v>
      </c>
      <c r="O1701">
        <v>12.66</v>
      </c>
      <c r="P1701">
        <v>19.690000000000001</v>
      </c>
      <c r="Q1701">
        <v>69796856</v>
      </c>
      <c r="R1701">
        <v>0.87</v>
      </c>
      <c r="S1701" t="s">
        <v>2977</v>
      </c>
      <c r="T1701" t="s">
        <v>590</v>
      </c>
      <c r="U1701">
        <v>4.34</v>
      </c>
      <c r="V1701">
        <v>12.47</v>
      </c>
      <c r="W1701">
        <v>34753</v>
      </c>
      <c r="X1701">
        <v>21230</v>
      </c>
      <c r="Y1701">
        <v>1.64</v>
      </c>
      <c r="Z1701">
        <v>363</v>
      </c>
      <c r="AA1701">
        <v>111</v>
      </c>
      <c r="AB1701" t="s">
        <v>116</v>
      </c>
      <c r="AC1701">
        <v>140500</v>
      </c>
      <c r="AD1701">
        <v>0.01</v>
      </c>
      <c r="AE1701" t="s">
        <v>116</v>
      </c>
      <c r="AF1701" t="s">
        <v>116</v>
      </c>
      <c r="AG1701">
        <v>1.47</v>
      </c>
      <c r="AH1701" t="s">
        <v>8776</v>
      </c>
      <c r="AI1701" t="s">
        <v>8510</v>
      </c>
      <c r="AJ1701">
        <v>-2.72</v>
      </c>
      <c r="AK1701">
        <v>2205</v>
      </c>
      <c r="AL1701">
        <v>25</v>
      </c>
      <c r="AM1701">
        <v>1.6999999999999999E-3</v>
      </c>
      <c r="AN1701">
        <v>-1</v>
      </c>
      <c r="AO1701">
        <v>-0.41</v>
      </c>
      <c r="AP1701">
        <v>7.75</v>
      </c>
      <c r="AQ1701">
        <v>-6.14</v>
      </c>
      <c r="AR1701">
        <v>70.569999999999993</v>
      </c>
      <c r="AS1701">
        <v>5.12</v>
      </c>
      <c r="AT1701" t="s">
        <v>8636</v>
      </c>
      <c r="AU1701" t="s">
        <v>116</v>
      </c>
      <c r="AV1701" t="s">
        <v>116</v>
      </c>
      <c r="AW1701">
        <v>1.04</v>
      </c>
      <c r="BA1701">
        <v>0</v>
      </c>
      <c r="BB1701">
        <v>0.71</v>
      </c>
      <c r="BC1701">
        <v>-3.63</v>
      </c>
      <c r="BD1701">
        <v>-1.52</v>
      </c>
      <c r="BE1701">
        <v>-3.4</v>
      </c>
      <c r="BF1701">
        <v>-4.08</v>
      </c>
      <c r="BG1701">
        <v>0.25</v>
      </c>
      <c r="BH1701">
        <v>-1.88</v>
      </c>
      <c r="BI1701">
        <v>20191030</v>
      </c>
      <c r="BJ1701">
        <v>20120329</v>
      </c>
      <c r="BK1701">
        <v>2.74</v>
      </c>
      <c r="BL1701" t="s">
        <v>116</v>
      </c>
      <c r="BM1701" t="s">
        <v>116</v>
      </c>
      <c r="BN1701">
        <v>15.99</v>
      </c>
      <c r="BO1701">
        <v>14.29</v>
      </c>
      <c r="BP1701">
        <v>0.03</v>
      </c>
      <c r="BQ1701">
        <v>10.42</v>
      </c>
      <c r="BR1701">
        <v>9.44</v>
      </c>
      <c r="BS1701">
        <v>2.2799999999999998</v>
      </c>
      <c r="BT1701">
        <v>0.57999999999999996</v>
      </c>
      <c r="BU1701">
        <v>1.3</v>
      </c>
      <c r="BV1701">
        <v>1.32</v>
      </c>
      <c r="BW1701">
        <v>0.51</v>
      </c>
      <c r="BX1701">
        <v>10.23</v>
      </c>
      <c r="BY1701">
        <v>2.88</v>
      </c>
      <c r="BZ1701">
        <v>1.1200000000000001</v>
      </c>
      <c r="CA1701">
        <v>1.43</v>
      </c>
      <c r="CB1701">
        <v>7.0000000000000007E-2</v>
      </c>
      <c r="CC1701">
        <v>1.44</v>
      </c>
      <c r="CD1701">
        <v>1.28</v>
      </c>
      <c r="CE1701">
        <v>1.28</v>
      </c>
      <c r="CF1701">
        <v>0.53</v>
      </c>
      <c r="CG1701">
        <v>0.64</v>
      </c>
      <c r="CH1701">
        <v>1.1000000000000001</v>
      </c>
      <c r="CI1701">
        <v>0.1</v>
      </c>
      <c r="CJ1701">
        <v>18178</v>
      </c>
      <c r="CK1701">
        <v>6020</v>
      </c>
      <c r="CL1701" t="s">
        <v>3530</v>
      </c>
      <c r="CM1701">
        <v>10767.13</v>
      </c>
      <c r="CN1701">
        <v>-11.04</v>
      </c>
      <c r="CO1701">
        <v>2.35</v>
      </c>
      <c r="CP1701">
        <v>30.55</v>
      </c>
      <c r="CQ1701">
        <v>11.64</v>
      </c>
      <c r="CR1701">
        <v>0</v>
      </c>
      <c r="CS1701" t="s">
        <v>2279</v>
      </c>
      <c r="CT1701">
        <v>5.21</v>
      </c>
      <c r="CU1701">
        <v>0</v>
      </c>
      <c r="CV1701">
        <v>3.73</v>
      </c>
      <c r="CW1701">
        <v>0.23</v>
      </c>
      <c r="CX1701">
        <v>0.4</v>
      </c>
      <c r="CY1701">
        <v>89.39</v>
      </c>
      <c r="CZ1701" t="s">
        <v>3515</v>
      </c>
      <c r="DA1701">
        <v>61.03</v>
      </c>
      <c r="DB1701">
        <v>49.58</v>
      </c>
      <c r="DC1701">
        <v>44.36</v>
      </c>
      <c r="DD1701">
        <v>0.48</v>
      </c>
      <c r="DE1701">
        <v>968</v>
      </c>
      <c r="DF1701">
        <v>300306</v>
      </c>
      <c r="DG1701" t="s">
        <v>116</v>
      </c>
      <c r="DH1701" t="s">
        <v>116</v>
      </c>
      <c r="DI1701" t="s">
        <v>116</v>
      </c>
    </row>
    <row r="1702" spans="1:113" x14ac:dyDescent="0.4">
      <c r="A1702" t="str">
        <f>"300307"</f>
        <v>300307</v>
      </c>
      <c r="B1702" t="s">
        <v>8777</v>
      </c>
      <c r="C1702">
        <v>-0.82</v>
      </c>
      <c r="D1702">
        <v>4.84</v>
      </c>
      <c r="E1702">
        <v>-0.04</v>
      </c>
      <c r="F1702">
        <v>4.83</v>
      </c>
      <c r="G1702">
        <v>4.84</v>
      </c>
      <c r="H1702">
        <v>82996</v>
      </c>
      <c r="I1702">
        <v>1961</v>
      </c>
      <c r="J1702">
        <v>0</v>
      </c>
      <c r="K1702">
        <v>1.05</v>
      </c>
      <c r="L1702">
        <v>4.88</v>
      </c>
      <c r="M1702">
        <v>4.93</v>
      </c>
      <c r="N1702">
        <v>4.83</v>
      </c>
      <c r="O1702">
        <v>4.88</v>
      </c>
      <c r="P1702">
        <v>63.83</v>
      </c>
      <c r="Q1702">
        <v>40571664</v>
      </c>
      <c r="R1702">
        <v>0.56999999999999995</v>
      </c>
      <c r="S1702" t="s">
        <v>3176</v>
      </c>
      <c r="T1702" t="s">
        <v>590</v>
      </c>
      <c r="U1702">
        <v>2.0499999999999998</v>
      </c>
      <c r="V1702">
        <v>4.8899999999999997</v>
      </c>
      <c r="W1702">
        <v>47647</v>
      </c>
      <c r="X1702">
        <v>35349</v>
      </c>
      <c r="Y1702">
        <v>1.35</v>
      </c>
      <c r="Z1702">
        <v>675</v>
      </c>
      <c r="AA1702">
        <v>351</v>
      </c>
      <c r="AB1702" t="s">
        <v>116</v>
      </c>
      <c r="AC1702">
        <v>211300</v>
      </c>
      <c r="AD1702">
        <v>0.01</v>
      </c>
      <c r="AE1702" t="s">
        <v>116</v>
      </c>
      <c r="AF1702" t="s">
        <v>116</v>
      </c>
      <c r="AG1702">
        <v>7.93</v>
      </c>
      <c r="AH1702" t="s">
        <v>6060</v>
      </c>
      <c r="AI1702" t="s">
        <v>990</v>
      </c>
      <c r="AJ1702">
        <v>-0.14000000000000001</v>
      </c>
      <c r="AK1702">
        <v>1404</v>
      </c>
      <c r="AL1702">
        <v>59</v>
      </c>
      <c r="AM1702">
        <v>6.9999999999999999E-4</v>
      </c>
      <c r="AN1702">
        <v>-1</v>
      </c>
      <c r="AO1702">
        <v>-1.23</v>
      </c>
      <c r="AP1702">
        <v>6.84</v>
      </c>
      <c r="AQ1702">
        <v>-12.64</v>
      </c>
      <c r="AR1702">
        <v>1.68</v>
      </c>
      <c r="AS1702">
        <v>2.54</v>
      </c>
      <c r="AT1702" t="s">
        <v>1776</v>
      </c>
      <c r="AU1702">
        <v>129.38999999999999</v>
      </c>
      <c r="AV1702">
        <v>28.16</v>
      </c>
      <c r="AW1702">
        <v>1.34</v>
      </c>
      <c r="BA1702">
        <v>0</v>
      </c>
      <c r="BB1702">
        <v>1.02</v>
      </c>
      <c r="BC1702">
        <v>-1.02</v>
      </c>
      <c r="BD1702">
        <v>0.17</v>
      </c>
      <c r="BE1702">
        <v>-0.82</v>
      </c>
      <c r="BF1702">
        <v>-1.83</v>
      </c>
      <c r="BG1702">
        <v>0.21</v>
      </c>
      <c r="BH1702">
        <v>-0.99</v>
      </c>
      <c r="BI1702">
        <v>20191030</v>
      </c>
      <c r="BJ1702">
        <v>20120329</v>
      </c>
      <c r="BK1702">
        <v>8.02</v>
      </c>
      <c r="BL1702" t="s">
        <v>116</v>
      </c>
      <c r="BM1702" t="s">
        <v>116</v>
      </c>
      <c r="BN1702">
        <v>50.03</v>
      </c>
      <c r="BO1702">
        <v>40.86</v>
      </c>
      <c r="BP1702">
        <v>0.27</v>
      </c>
      <c r="BQ1702">
        <v>17.79</v>
      </c>
      <c r="BR1702">
        <v>27.27</v>
      </c>
      <c r="BS1702">
        <v>10.95</v>
      </c>
      <c r="BT1702">
        <v>2.39</v>
      </c>
      <c r="BU1702">
        <v>8.82</v>
      </c>
      <c r="BV1702">
        <v>6.74</v>
      </c>
      <c r="BW1702">
        <v>7.38</v>
      </c>
      <c r="BX1702">
        <v>19.28</v>
      </c>
      <c r="BY1702">
        <v>12.56</v>
      </c>
      <c r="BZ1702">
        <v>8.91</v>
      </c>
      <c r="CA1702">
        <v>0.57999999999999996</v>
      </c>
      <c r="CB1702">
        <v>0.28000000000000003</v>
      </c>
      <c r="CC1702">
        <v>0.61</v>
      </c>
      <c r="CD1702">
        <v>0.51</v>
      </c>
      <c r="CE1702">
        <v>0.46</v>
      </c>
      <c r="CF1702">
        <v>0.08</v>
      </c>
      <c r="CG1702">
        <v>10.96</v>
      </c>
      <c r="CH1702">
        <v>-0.47</v>
      </c>
      <c r="CI1702">
        <v>-1.51</v>
      </c>
      <c r="CJ1702">
        <v>41149</v>
      </c>
      <c r="CK1702">
        <v>7945</v>
      </c>
      <c r="CL1702" t="s">
        <v>7506</v>
      </c>
      <c r="CM1702">
        <v>-70.28</v>
      </c>
      <c r="CN1702">
        <v>-9.4600000000000009</v>
      </c>
      <c r="CO1702">
        <v>0.95</v>
      </c>
      <c r="CP1702">
        <v>-82.17</v>
      </c>
      <c r="CQ1702">
        <v>3.09</v>
      </c>
      <c r="CR1702">
        <v>0.41</v>
      </c>
      <c r="CS1702" t="s">
        <v>2039</v>
      </c>
      <c r="CT1702">
        <v>5.09</v>
      </c>
      <c r="CU1702">
        <v>0</v>
      </c>
      <c r="CV1702">
        <v>2.4</v>
      </c>
      <c r="CW1702">
        <v>1.37</v>
      </c>
      <c r="CX1702">
        <v>-0.06</v>
      </c>
      <c r="CY1702">
        <v>81.67</v>
      </c>
      <c r="CZ1702" t="s">
        <v>8778</v>
      </c>
      <c r="DA1702">
        <v>29.07</v>
      </c>
      <c r="DB1702">
        <v>4.59</v>
      </c>
      <c r="DC1702">
        <v>3.63</v>
      </c>
      <c r="DD1702">
        <v>0.7</v>
      </c>
      <c r="DE1702">
        <v>2206</v>
      </c>
      <c r="DF1702">
        <v>300307</v>
      </c>
      <c r="DG1702" t="s">
        <v>116</v>
      </c>
      <c r="DH1702" t="s">
        <v>116</v>
      </c>
      <c r="DI1702" t="s">
        <v>116</v>
      </c>
    </row>
    <row r="1703" spans="1:113" x14ac:dyDescent="0.4">
      <c r="A1703" t="str">
        <f>"300308"</f>
        <v>300308</v>
      </c>
      <c r="B1703" t="s">
        <v>8779</v>
      </c>
      <c r="C1703">
        <v>-3.73</v>
      </c>
      <c r="D1703">
        <v>49.58</v>
      </c>
      <c r="E1703">
        <v>-1.92</v>
      </c>
      <c r="F1703">
        <v>49.5</v>
      </c>
      <c r="G1703">
        <v>49.58</v>
      </c>
      <c r="H1703">
        <v>86084</v>
      </c>
      <c r="I1703">
        <v>903</v>
      </c>
      <c r="J1703">
        <v>0.24</v>
      </c>
      <c r="K1703">
        <v>2.46</v>
      </c>
      <c r="L1703">
        <v>52.18</v>
      </c>
      <c r="M1703">
        <v>53.36</v>
      </c>
      <c r="N1703">
        <v>49.3</v>
      </c>
      <c r="O1703">
        <v>51.5</v>
      </c>
      <c r="P1703">
        <v>74.16</v>
      </c>
      <c r="Q1703">
        <v>438409952</v>
      </c>
      <c r="R1703">
        <v>1.42</v>
      </c>
      <c r="S1703" t="s">
        <v>465</v>
      </c>
      <c r="T1703" t="s">
        <v>645</v>
      </c>
      <c r="U1703">
        <v>7.88</v>
      </c>
      <c r="V1703">
        <v>50.93</v>
      </c>
      <c r="W1703">
        <v>42734</v>
      </c>
      <c r="X1703">
        <v>43350</v>
      </c>
      <c r="Y1703">
        <v>0.99</v>
      </c>
      <c r="Z1703">
        <v>3</v>
      </c>
      <c r="AA1703">
        <v>133</v>
      </c>
      <c r="AB1703" t="s">
        <v>116</v>
      </c>
      <c r="AC1703">
        <v>1628000</v>
      </c>
      <c r="AD1703">
        <v>0.01</v>
      </c>
      <c r="AE1703" t="s">
        <v>116</v>
      </c>
      <c r="AF1703" t="s">
        <v>116</v>
      </c>
      <c r="AG1703">
        <v>3.51</v>
      </c>
      <c r="AH1703" t="s">
        <v>8780</v>
      </c>
      <c r="AI1703" t="s">
        <v>8781</v>
      </c>
      <c r="AJ1703">
        <v>-3.05</v>
      </c>
      <c r="AK1703">
        <v>3634</v>
      </c>
      <c r="AL1703">
        <v>24</v>
      </c>
      <c r="AM1703">
        <v>6.9999999999999999E-4</v>
      </c>
      <c r="AN1703">
        <v>-1</v>
      </c>
      <c r="AO1703">
        <v>-2.5499999999999998</v>
      </c>
      <c r="AP1703">
        <v>12.68</v>
      </c>
      <c r="AQ1703">
        <v>20.46</v>
      </c>
      <c r="AR1703">
        <v>71.099999999999994</v>
      </c>
      <c r="AS1703">
        <v>4.07</v>
      </c>
      <c r="AT1703" t="s">
        <v>8782</v>
      </c>
      <c r="AU1703">
        <v>70.84</v>
      </c>
      <c r="AV1703">
        <v>56.79</v>
      </c>
      <c r="AW1703">
        <v>1.23</v>
      </c>
      <c r="BA1703">
        <v>1.32</v>
      </c>
      <c r="BB1703">
        <v>3.61</v>
      </c>
      <c r="BC1703">
        <v>-4.2699999999999996</v>
      </c>
      <c r="BD1703">
        <v>-1.1100000000000001</v>
      </c>
      <c r="BE1703">
        <v>-4.9800000000000004</v>
      </c>
      <c r="BF1703">
        <v>-7.08</v>
      </c>
      <c r="BG1703">
        <v>0.56999999999999995</v>
      </c>
      <c r="BH1703">
        <v>-2.62</v>
      </c>
      <c r="BI1703">
        <v>20191030</v>
      </c>
      <c r="BJ1703">
        <v>20120410</v>
      </c>
      <c r="BK1703">
        <v>7.14</v>
      </c>
      <c r="BL1703" t="s">
        <v>116</v>
      </c>
      <c r="BM1703" t="s">
        <v>116</v>
      </c>
      <c r="BN1703">
        <v>98.09</v>
      </c>
      <c r="BO1703">
        <v>67.37</v>
      </c>
      <c r="BP1703">
        <v>0</v>
      </c>
      <c r="BQ1703">
        <v>31.32</v>
      </c>
      <c r="BR1703">
        <v>55.78</v>
      </c>
      <c r="BS1703">
        <v>16.82</v>
      </c>
      <c r="BT1703">
        <v>3.52</v>
      </c>
      <c r="BU1703">
        <v>21.76</v>
      </c>
      <c r="BV1703">
        <v>23.1</v>
      </c>
      <c r="BW1703">
        <v>11</v>
      </c>
      <c r="BX1703">
        <v>50.3</v>
      </c>
      <c r="BY1703">
        <v>32.840000000000003</v>
      </c>
      <c r="BZ1703">
        <v>23.55</v>
      </c>
      <c r="CA1703">
        <v>3.89</v>
      </c>
      <c r="CB1703">
        <v>0.08</v>
      </c>
      <c r="CC1703">
        <v>3.89</v>
      </c>
      <c r="CD1703">
        <v>3.58</v>
      </c>
      <c r="CE1703">
        <v>3.58</v>
      </c>
      <c r="CF1703">
        <v>3.29</v>
      </c>
      <c r="CG1703">
        <v>11.45</v>
      </c>
      <c r="CH1703">
        <v>2.46</v>
      </c>
      <c r="CI1703">
        <v>1.48</v>
      </c>
      <c r="CJ1703">
        <v>21413</v>
      </c>
      <c r="CK1703">
        <v>9871</v>
      </c>
      <c r="CL1703" t="s">
        <v>8783</v>
      </c>
      <c r="CM1703">
        <v>-25.67</v>
      </c>
      <c r="CN1703">
        <v>-21.86</v>
      </c>
      <c r="CO1703">
        <v>5.25</v>
      </c>
      <c r="CP1703">
        <v>143.71</v>
      </c>
      <c r="CQ1703">
        <v>10.78</v>
      </c>
      <c r="CR1703">
        <v>0.18</v>
      </c>
      <c r="CS1703" t="s">
        <v>972</v>
      </c>
      <c r="CT1703">
        <v>9.44</v>
      </c>
      <c r="CU1703">
        <v>0</v>
      </c>
      <c r="CV1703">
        <v>7.05</v>
      </c>
      <c r="CW1703">
        <v>1.6</v>
      </c>
      <c r="CX1703">
        <v>0.35</v>
      </c>
      <c r="CY1703">
        <v>68.680000000000007</v>
      </c>
      <c r="CZ1703" t="s">
        <v>7912</v>
      </c>
      <c r="DA1703">
        <v>28.3</v>
      </c>
      <c r="DB1703">
        <v>11.84</v>
      </c>
      <c r="DC1703">
        <v>10.9</v>
      </c>
      <c r="DD1703">
        <v>2.2400000000000002</v>
      </c>
      <c r="DE1703">
        <v>2418</v>
      </c>
      <c r="DF1703">
        <v>300308</v>
      </c>
      <c r="DG1703" t="s">
        <v>116</v>
      </c>
      <c r="DH1703" t="s">
        <v>116</v>
      </c>
      <c r="DI1703" t="s">
        <v>116</v>
      </c>
    </row>
    <row r="1704" spans="1:113" x14ac:dyDescent="0.4">
      <c r="A1704" t="str">
        <f>"300309"</f>
        <v>300309</v>
      </c>
      <c r="B1704" t="s">
        <v>8784</v>
      </c>
      <c r="C1704">
        <v>2.1800000000000002</v>
      </c>
      <c r="D1704">
        <v>4.6900000000000004</v>
      </c>
      <c r="E1704">
        <v>0.1</v>
      </c>
      <c r="F1704">
        <v>4.68</v>
      </c>
      <c r="G1704">
        <v>4.6900000000000004</v>
      </c>
      <c r="H1704">
        <v>320449</v>
      </c>
      <c r="I1704">
        <v>3988</v>
      </c>
      <c r="J1704">
        <v>-0.2</v>
      </c>
      <c r="K1704">
        <v>4.08</v>
      </c>
      <c r="L1704">
        <v>4.58</v>
      </c>
      <c r="M1704">
        <v>4.8499999999999996</v>
      </c>
      <c r="N1704">
        <v>4.57</v>
      </c>
      <c r="O1704">
        <v>4.59</v>
      </c>
      <c r="P1704">
        <v>14.99</v>
      </c>
      <c r="Q1704">
        <v>151273936</v>
      </c>
      <c r="R1704">
        <v>1.43</v>
      </c>
      <c r="S1704" t="s">
        <v>732</v>
      </c>
      <c r="T1704" t="s">
        <v>165</v>
      </c>
      <c r="U1704">
        <v>6.1</v>
      </c>
      <c r="V1704">
        <v>4.72</v>
      </c>
      <c r="W1704">
        <v>149078</v>
      </c>
      <c r="X1704">
        <v>171371</v>
      </c>
      <c r="Y1704">
        <v>0.87</v>
      </c>
      <c r="Z1704">
        <v>666</v>
      </c>
      <c r="AA1704">
        <v>540</v>
      </c>
      <c r="AB1704" t="s">
        <v>116</v>
      </c>
      <c r="AC1704">
        <v>396200</v>
      </c>
      <c r="AD1704">
        <v>0.02</v>
      </c>
      <c r="AE1704" t="s">
        <v>116</v>
      </c>
      <c r="AF1704" t="s">
        <v>116</v>
      </c>
      <c r="AG1704">
        <v>7.84</v>
      </c>
      <c r="AH1704" t="s">
        <v>8785</v>
      </c>
      <c r="AI1704" t="s">
        <v>8786</v>
      </c>
      <c r="AJ1704">
        <v>2.86</v>
      </c>
      <c r="AK1704">
        <v>2737</v>
      </c>
      <c r="AL1704">
        <v>117</v>
      </c>
      <c r="AM1704">
        <v>1.5E-3</v>
      </c>
      <c r="AN1704">
        <v>2</v>
      </c>
      <c r="AO1704">
        <v>1.74</v>
      </c>
      <c r="AP1704">
        <v>7.57</v>
      </c>
      <c r="AQ1704">
        <v>-15.19</v>
      </c>
      <c r="AR1704">
        <v>-41.81</v>
      </c>
      <c r="AS1704">
        <v>7.66</v>
      </c>
      <c r="AT1704" t="s">
        <v>8787</v>
      </c>
      <c r="AU1704">
        <v>42.84</v>
      </c>
      <c r="AV1704">
        <v>21.4</v>
      </c>
      <c r="AW1704">
        <v>1.51</v>
      </c>
      <c r="BA1704">
        <v>-0.22</v>
      </c>
      <c r="BB1704">
        <v>5.66</v>
      </c>
      <c r="BC1704">
        <v>-0.44</v>
      </c>
      <c r="BD1704">
        <v>2.85</v>
      </c>
      <c r="BE1704">
        <v>2.4</v>
      </c>
      <c r="BF1704">
        <v>-3.3</v>
      </c>
      <c r="BG1704">
        <v>2.63</v>
      </c>
      <c r="BH1704">
        <v>-0.67</v>
      </c>
      <c r="BI1704">
        <v>20191026</v>
      </c>
      <c r="BJ1704">
        <v>20120410</v>
      </c>
      <c r="BK1704">
        <v>8.86</v>
      </c>
      <c r="BL1704" t="s">
        <v>116</v>
      </c>
      <c r="BM1704" t="s">
        <v>116</v>
      </c>
      <c r="BN1704">
        <v>77.83</v>
      </c>
      <c r="BO1704">
        <v>20.88</v>
      </c>
      <c r="BP1704">
        <v>0.64</v>
      </c>
      <c r="BQ1704">
        <v>72.36</v>
      </c>
      <c r="BR1704">
        <v>59.48</v>
      </c>
      <c r="BS1704">
        <v>1.87</v>
      </c>
      <c r="BT1704">
        <v>0.13</v>
      </c>
      <c r="BU1704">
        <v>34.93</v>
      </c>
      <c r="BV1704">
        <v>22.52</v>
      </c>
      <c r="BW1704">
        <v>4.63</v>
      </c>
      <c r="BX1704">
        <v>6.76</v>
      </c>
      <c r="BY1704">
        <v>7.55</v>
      </c>
      <c r="BZ1704">
        <v>3.73</v>
      </c>
      <c r="CA1704">
        <v>2.56</v>
      </c>
      <c r="CB1704">
        <v>0</v>
      </c>
      <c r="CC1704">
        <v>2.62</v>
      </c>
      <c r="CD1704">
        <v>2.14</v>
      </c>
      <c r="CE1704">
        <v>2.08</v>
      </c>
      <c r="CF1704">
        <v>1.96</v>
      </c>
      <c r="CG1704">
        <v>5.37</v>
      </c>
      <c r="CH1704">
        <v>-0.11</v>
      </c>
      <c r="CI1704">
        <v>0.76</v>
      </c>
      <c r="CJ1704">
        <v>24142</v>
      </c>
      <c r="CK1704">
        <v>17330</v>
      </c>
      <c r="CL1704" t="s">
        <v>6009</v>
      </c>
      <c r="CM1704">
        <v>-31.86</v>
      </c>
      <c r="CN1704">
        <v>30.36</v>
      </c>
      <c r="CO1704">
        <v>1.99</v>
      </c>
      <c r="CP1704">
        <v>-395.4</v>
      </c>
      <c r="CQ1704">
        <v>5.5</v>
      </c>
      <c r="CR1704">
        <v>0</v>
      </c>
      <c r="CS1704" t="s">
        <v>5764</v>
      </c>
      <c r="CT1704">
        <v>2.36</v>
      </c>
      <c r="CU1704">
        <v>0</v>
      </c>
      <c r="CV1704">
        <v>0.76</v>
      </c>
      <c r="CW1704">
        <v>0.61</v>
      </c>
      <c r="CX1704">
        <v>-0.01</v>
      </c>
      <c r="CY1704">
        <v>26.82</v>
      </c>
      <c r="CZ1704" t="s">
        <v>8788</v>
      </c>
      <c r="DA1704">
        <v>50.62</v>
      </c>
      <c r="DB1704">
        <v>33.92</v>
      </c>
      <c r="DC1704">
        <v>27.55</v>
      </c>
      <c r="DD1704">
        <v>0.01</v>
      </c>
      <c r="DE1704">
        <v>253</v>
      </c>
      <c r="DF1704">
        <v>300309</v>
      </c>
      <c r="DG1704" t="s">
        <v>116</v>
      </c>
      <c r="DH1704" t="s">
        <v>116</v>
      </c>
      <c r="DI1704" t="s">
        <v>116</v>
      </c>
    </row>
    <row r="1705" spans="1:113" x14ac:dyDescent="0.4">
      <c r="A1705" t="str">
        <f>"300310"</f>
        <v>300310</v>
      </c>
      <c r="B1705" t="s">
        <v>8789</v>
      </c>
      <c r="C1705">
        <v>-1.71</v>
      </c>
      <c r="D1705">
        <v>5.18</v>
      </c>
      <c r="E1705">
        <v>-0.09</v>
      </c>
      <c r="F1705">
        <v>5.17</v>
      </c>
      <c r="G1705">
        <v>5.18</v>
      </c>
      <c r="H1705">
        <v>119112</v>
      </c>
      <c r="I1705">
        <v>2566</v>
      </c>
      <c r="J1705">
        <v>-0.18</v>
      </c>
      <c r="K1705">
        <v>1.75</v>
      </c>
      <c r="L1705">
        <v>5.27</v>
      </c>
      <c r="M1705">
        <v>5.29</v>
      </c>
      <c r="N1705">
        <v>5.18</v>
      </c>
      <c r="O1705">
        <v>5.27</v>
      </c>
      <c r="P1705">
        <v>112.81</v>
      </c>
      <c r="Q1705">
        <v>62361176</v>
      </c>
      <c r="R1705">
        <v>0.83</v>
      </c>
      <c r="S1705" t="s">
        <v>465</v>
      </c>
      <c r="T1705" t="s">
        <v>551</v>
      </c>
      <c r="U1705">
        <v>2.09</v>
      </c>
      <c r="V1705">
        <v>5.24</v>
      </c>
      <c r="W1705">
        <v>82642</v>
      </c>
      <c r="X1705">
        <v>36470</v>
      </c>
      <c r="Y1705">
        <v>2.27</v>
      </c>
      <c r="Z1705">
        <v>497</v>
      </c>
      <c r="AA1705">
        <v>86</v>
      </c>
      <c r="AB1705" t="s">
        <v>116</v>
      </c>
      <c r="AC1705">
        <v>51600</v>
      </c>
      <c r="AD1705">
        <v>0</v>
      </c>
      <c r="AE1705" t="s">
        <v>116</v>
      </c>
      <c r="AF1705" t="s">
        <v>116</v>
      </c>
      <c r="AG1705">
        <v>6.8</v>
      </c>
      <c r="AH1705" t="s">
        <v>8790</v>
      </c>
      <c r="AI1705" t="s">
        <v>8791</v>
      </c>
      <c r="AJ1705">
        <v>-1.03</v>
      </c>
      <c r="AK1705">
        <v>1794</v>
      </c>
      <c r="AL1705">
        <v>66</v>
      </c>
      <c r="AM1705">
        <v>1E-3</v>
      </c>
      <c r="AN1705">
        <v>-1</v>
      </c>
      <c r="AO1705">
        <v>-1.1499999999999999</v>
      </c>
      <c r="AP1705">
        <v>2.57</v>
      </c>
      <c r="AQ1705">
        <v>-9.44</v>
      </c>
      <c r="AR1705">
        <v>2.17</v>
      </c>
      <c r="AS1705">
        <v>2.0499999999999998</v>
      </c>
      <c r="AT1705" t="s">
        <v>5121</v>
      </c>
      <c r="AU1705" t="s">
        <v>116</v>
      </c>
      <c r="AV1705" t="s">
        <v>116</v>
      </c>
      <c r="AW1705">
        <v>1.64</v>
      </c>
      <c r="BA1705">
        <v>0</v>
      </c>
      <c r="BB1705">
        <v>0.38</v>
      </c>
      <c r="BC1705">
        <v>-1.71</v>
      </c>
      <c r="BD1705">
        <v>-0.65</v>
      </c>
      <c r="BE1705">
        <v>-1.71</v>
      </c>
      <c r="BF1705">
        <v>-2.08</v>
      </c>
      <c r="BG1705">
        <v>0</v>
      </c>
      <c r="BH1705">
        <v>-1.05</v>
      </c>
      <c r="BI1705">
        <v>20191129</v>
      </c>
      <c r="BJ1705">
        <v>20120425</v>
      </c>
      <c r="BK1705">
        <v>8.82</v>
      </c>
      <c r="BL1705" t="s">
        <v>116</v>
      </c>
      <c r="BM1705" t="s">
        <v>116</v>
      </c>
      <c r="BN1705">
        <v>24.39</v>
      </c>
      <c r="BO1705">
        <v>15.92</v>
      </c>
      <c r="BP1705">
        <v>-0.18</v>
      </c>
      <c r="BQ1705">
        <v>35.49</v>
      </c>
      <c r="BR1705">
        <v>18.600000000000001</v>
      </c>
      <c r="BS1705">
        <v>2.0499999999999998</v>
      </c>
      <c r="BT1705">
        <v>0.4</v>
      </c>
      <c r="BU1705">
        <v>8.4</v>
      </c>
      <c r="BV1705">
        <v>3.6</v>
      </c>
      <c r="BW1705">
        <v>8.9600000000000009</v>
      </c>
      <c r="BX1705">
        <v>20.74</v>
      </c>
      <c r="BY1705">
        <v>17.37</v>
      </c>
      <c r="BZ1705">
        <v>14.91</v>
      </c>
      <c r="CA1705">
        <v>0.38</v>
      </c>
      <c r="CB1705">
        <v>0.06</v>
      </c>
      <c r="CC1705">
        <v>0.34</v>
      </c>
      <c r="CD1705">
        <v>0.25</v>
      </c>
      <c r="CE1705">
        <v>0.3</v>
      </c>
      <c r="CF1705">
        <v>0.2</v>
      </c>
      <c r="CG1705">
        <v>-13.84</v>
      </c>
      <c r="CH1705">
        <v>-1.1399999999999999</v>
      </c>
      <c r="CI1705">
        <v>-0.38</v>
      </c>
      <c r="CJ1705">
        <v>52142</v>
      </c>
      <c r="CK1705">
        <v>11149</v>
      </c>
      <c r="CL1705" t="s">
        <v>3650</v>
      </c>
      <c r="CM1705">
        <v>105.33</v>
      </c>
      <c r="CN1705">
        <v>-5.71</v>
      </c>
      <c r="CO1705">
        <v>2.87</v>
      </c>
      <c r="CP1705">
        <v>-39.950000000000003</v>
      </c>
      <c r="CQ1705">
        <v>2.63</v>
      </c>
      <c r="CR1705">
        <v>0</v>
      </c>
      <c r="CS1705" t="s">
        <v>2388</v>
      </c>
      <c r="CT1705">
        <v>1.81</v>
      </c>
      <c r="CU1705">
        <v>0</v>
      </c>
      <c r="CV1705">
        <v>2.35</v>
      </c>
      <c r="CW1705">
        <v>-1.57</v>
      </c>
      <c r="CX1705">
        <v>-0.13</v>
      </c>
      <c r="CY1705">
        <v>65.27</v>
      </c>
      <c r="CZ1705" t="s">
        <v>2429</v>
      </c>
      <c r="DA1705">
        <v>14.16</v>
      </c>
      <c r="DB1705">
        <v>2.2000000000000002</v>
      </c>
      <c r="DC1705">
        <v>1.75</v>
      </c>
      <c r="DD1705">
        <v>0.59</v>
      </c>
      <c r="DE1705">
        <v>7917</v>
      </c>
      <c r="DF1705">
        <v>300310</v>
      </c>
      <c r="DG1705" t="s">
        <v>116</v>
      </c>
      <c r="DH1705" t="s">
        <v>116</v>
      </c>
      <c r="DI1705" t="s">
        <v>116</v>
      </c>
    </row>
    <row r="1706" spans="1:113" x14ac:dyDescent="0.4">
      <c r="A1706" t="str">
        <f>"300311"</f>
        <v>300311</v>
      </c>
      <c r="B1706" t="s">
        <v>8792</v>
      </c>
      <c r="C1706">
        <v>-4.82</v>
      </c>
      <c r="D1706">
        <v>9.68</v>
      </c>
      <c r="E1706">
        <v>-0.49</v>
      </c>
      <c r="F1706">
        <v>9.68</v>
      </c>
      <c r="G1706">
        <v>9.69</v>
      </c>
      <c r="H1706">
        <v>579160</v>
      </c>
      <c r="I1706">
        <v>12742</v>
      </c>
      <c r="J1706">
        <v>-0.4</v>
      </c>
      <c r="K1706">
        <v>12.48</v>
      </c>
      <c r="L1706">
        <v>10.18</v>
      </c>
      <c r="M1706">
        <v>10.220000000000001</v>
      </c>
      <c r="N1706">
        <v>9.67</v>
      </c>
      <c r="O1706">
        <v>10.17</v>
      </c>
      <c r="P1706">
        <v>92.87</v>
      </c>
      <c r="Q1706">
        <v>574737088</v>
      </c>
      <c r="R1706">
        <v>0.88</v>
      </c>
      <c r="S1706" t="s">
        <v>607</v>
      </c>
      <c r="T1706" t="s">
        <v>115</v>
      </c>
      <c r="U1706">
        <v>5.41</v>
      </c>
      <c r="V1706">
        <v>9.92</v>
      </c>
      <c r="W1706">
        <v>320737</v>
      </c>
      <c r="X1706">
        <v>258423</v>
      </c>
      <c r="Y1706">
        <v>1.24</v>
      </c>
      <c r="Z1706">
        <v>239</v>
      </c>
      <c r="AA1706">
        <v>2019</v>
      </c>
      <c r="AB1706" t="s">
        <v>116</v>
      </c>
      <c r="AC1706">
        <v>2654900</v>
      </c>
      <c r="AD1706">
        <v>7.0000000000000007E-2</v>
      </c>
      <c r="AE1706" t="s">
        <v>116</v>
      </c>
      <c r="AF1706" t="s">
        <v>116</v>
      </c>
      <c r="AG1706">
        <v>4.6399999999999997</v>
      </c>
      <c r="AH1706" t="s">
        <v>8093</v>
      </c>
      <c r="AI1706" t="s">
        <v>8793</v>
      </c>
      <c r="AJ1706">
        <v>-4.1399999999999997</v>
      </c>
      <c r="AK1706">
        <v>4332</v>
      </c>
      <c r="AL1706">
        <v>134</v>
      </c>
      <c r="AM1706">
        <v>2.8999999999999998E-3</v>
      </c>
      <c r="AN1706">
        <v>-1</v>
      </c>
      <c r="AO1706">
        <v>-1.93</v>
      </c>
      <c r="AP1706">
        <v>11.26</v>
      </c>
      <c r="AQ1706">
        <v>34.26</v>
      </c>
      <c r="AR1706">
        <v>67.47</v>
      </c>
      <c r="AS1706">
        <v>14.57</v>
      </c>
      <c r="AT1706" t="s">
        <v>8794</v>
      </c>
      <c r="AU1706">
        <v>80.430000000000007</v>
      </c>
      <c r="AV1706">
        <v>47.3</v>
      </c>
      <c r="AW1706">
        <v>2.86</v>
      </c>
      <c r="BA1706">
        <v>0.1</v>
      </c>
      <c r="BB1706">
        <v>0.49</v>
      </c>
      <c r="BC1706">
        <v>-4.92</v>
      </c>
      <c r="BD1706">
        <v>-2.42</v>
      </c>
      <c r="BE1706">
        <v>-4.91</v>
      </c>
      <c r="BF1706">
        <v>-5.28</v>
      </c>
      <c r="BG1706">
        <v>0.1</v>
      </c>
      <c r="BH1706">
        <v>-2.4</v>
      </c>
      <c r="BI1706">
        <v>20191028</v>
      </c>
      <c r="BJ1706">
        <v>20120425</v>
      </c>
      <c r="BK1706">
        <v>6.8</v>
      </c>
      <c r="BL1706" t="s">
        <v>116</v>
      </c>
      <c r="BM1706" t="s">
        <v>116</v>
      </c>
      <c r="BN1706">
        <v>23.45</v>
      </c>
      <c r="BO1706">
        <v>14.91</v>
      </c>
      <c r="BP1706">
        <v>0.57999999999999996</v>
      </c>
      <c r="BQ1706">
        <v>33.97</v>
      </c>
      <c r="BR1706">
        <v>13.43</v>
      </c>
      <c r="BS1706">
        <v>1.87</v>
      </c>
      <c r="BT1706">
        <v>0.12</v>
      </c>
      <c r="BU1706">
        <v>6.16</v>
      </c>
      <c r="BV1706">
        <v>1.78</v>
      </c>
      <c r="BW1706">
        <v>5.82</v>
      </c>
      <c r="BX1706">
        <v>2</v>
      </c>
      <c r="BY1706">
        <v>6.35</v>
      </c>
      <c r="BZ1706">
        <v>2.16</v>
      </c>
      <c r="CA1706">
        <v>0.6</v>
      </c>
      <c r="CB1706">
        <v>0.27</v>
      </c>
      <c r="CC1706">
        <v>0.64</v>
      </c>
      <c r="CD1706">
        <v>0.52</v>
      </c>
      <c r="CE1706">
        <v>0.53</v>
      </c>
      <c r="CF1706">
        <v>0.1</v>
      </c>
      <c r="CG1706">
        <v>5.9</v>
      </c>
      <c r="CH1706">
        <v>-1.88</v>
      </c>
      <c r="CI1706">
        <v>-1.1000000000000001</v>
      </c>
      <c r="CJ1706">
        <v>48030</v>
      </c>
      <c r="CK1706">
        <v>8274</v>
      </c>
      <c r="CL1706" t="s">
        <v>1532</v>
      </c>
      <c r="CM1706">
        <v>-51.89</v>
      </c>
      <c r="CN1706">
        <v>-24.83</v>
      </c>
      <c r="CO1706">
        <v>4.42</v>
      </c>
      <c r="CP1706">
        <v>-35.08</v>
      </c>
      <c r="CQ1706">
        <v>10.37</v>
      </c>
      <c r="CR1706">
        <v>0.31</v>
      </c>
      <c r="CS1706" t="s">
        <v>178</v>
      </c>
      <c r="CT1706">
        <v>2.19</v>
      </c>
      <c r="CU1706">
        <v>0</v>
      </c>
      <c r="CV1706">
        <v>0.28999999999999998</v>
      </c>
      <c r="CW1706">
        <v>0.87</v>
      </c>
      <c r="CX1706">
        <v>-0.28000000000000003</v>
      </c>
      <c r="CY1706">
        <v>63.58</v>
      </c>
      <c r="CZ1706" t="s">
        <v>4885</v>
      </c>
      <c r="DA1706">
        <v>66.010000000000005</v>
      </c>
      <c r="DB1706">
        <v>9.42</v>
      </c>
      <c r="DC1706">
        <v>8.3800000000000008</v>
      </c>
      <c r="DD1706">
        <v>1.22</v>
      </c>
      <c r="DE1706">
        <v>1995</v>
      </c>
      <c r="DF1706">
        <v>300311</v>
      </c>
      <c r="DG1706" t="s">
        <v>116</v>
      </c>
      <c r="DH1706" t="s">
        <v>116</v>
      </c>
      <c r="DI1706" t="s">
        <v>116</v>
      </c>
    </row>
    <row r="1707" spans="1:113" x14ac:dyDescent="0.4">
      <c r="A1707" t="str">
        <f>"300312"</f>
        <v>300312</v>
      </c>
      <c r="B1707" t="s">
        <v>8795</v>
      </c>
      <c r="C1707">
        <v>-2.19</v>
      </c>
      <c r="D1707">
        <v>5.36</v>
      </c>
      <c r="E1707">
        <v>-0.12</v>
      </c>
      <c r="F1707">
        <v>5.36</v>
      </c>
      <c r="G1707">
        <v>5.37</v>
      </c>
      <c r="H1707">
        <v>133097</v>
      </c>
      <c r="I1707">
        <v>2024</v>
      </c>
      <c r="J1707">
        <v>-0.36</v>
      </c>
      <c r="K1707">
        <v>6.96</v>
      </c>
      <c r="L1707">
        <v>5.47</v>
      </c>
      <c r="M1707">
        <v>5.58</v>
      </c>
      <c r="N1707">
        <v>5.36</v>
      </c>
      <c r="O1707">
        <v>5.48</v>
      </c>
      <c r="P1707" t="s">
        <v>116</v>
      </c>
      <c r="Q1707">
        <v>72597864</v>
      </c>
      <c r="R1707">
        <v>0.67</v>
      </c>
      <c r="S1707" t="s">
        <v>465</v>
      </c>
      <c r="T1707" t="s">
        <v>165</v>
      </c>
      <c r="U1707">
        <v>4.01</v>
      </c>
      <c r="V1707">
        <v>5.45</v>
      </c>
      <c r="W1707">
        <v>81354</v>
      </c>
      <c r="X1707">
        <v>51743</v>
      </c>
      <c r="Y1707">
        <v>1.57</v>
      </c>
      <c r="Z1707">
        <v>779</v>
      </c>
      <c r="AA1707">
        <v>261</v>
      </c>
      <c r="AB1707" t="s">
        <v>116</v>
      </c>
      <c r="AC1707">
        <v>446400</v>
      </c>
      <c r="AD1707">
        <v>0.05</v>
      </c>
      <c r="AE1707" t="s">
        <v>116</v>
      </c>
      <c r="AF1707" t="s">
        <v>116</v>
      </c>
      <c r="AG1707">
        <v>1.91</v>
      </c>
      <c r="AH1707" t="s">
        <v>8796</v>
      </c>
      <c r="AI1707" t="s">
        <v>817</v>
      </c>
      <c r="AJ1707">
        <v>-1.51</v>
      </c>
      <c r="AK1707">
        <v>1996</v>
      </c>
      <c r="AL1707">
        <v>67</v>
      </c>
      <c r="AM1707">
        <v>3.5000000000000001E-3</v>
      </c>
      <c r="AN1707">
        <v>-2</v>
      </c>
      <c r="AO1707">
        <v>-2.37</v>
      </c>
      <c r="AP1707">
        <v>4.4800000000000004</v>
      </c>
      <c r="AQ1707">
        <v>-6.13</v>
      </c>
      <c r="AR1707">
        <v>-38.32</v>
      </c>
      <c r="AS1707">
        <v>8.32</v>
      </c>
      <c r="AT1707" t="s">
        <v>8797</v>
      </c>
      <c r="AU1707" t="s">
        <v>116</v>
      </c>
      <c r="AV1707" t="s">
        <v>116</v>
      </c>
      <c r="AW1707">
        <v>1.2</v>
      </c>
      <c r="BA1707">
        <v>-0.18</v>
      </c>
      <c r="BB1707">
        <v>1.82</v>
      </c>
      <c r="BC1707">
        <v>-2.19</v>
      </c>
      <c r="BD1707">
        <v>-0.47</v>
      </c>
      <c r="BE1707">
        <v>-2.0099999999999998</v>
      </c>
      <c r="BF1707">
        <v>-3.94</v>
      </c>
      <c r="BG1707">
        <v>0</v>
      </c>
      <c r="BH1707">
        <v>-1.72</v>
      </c>
      <c r="BI1707">
        <v>20191030</v>
      </c>
      <c r="BJ1707">
        <v>20120508</v>
      </c>
      <c r="BK1707">
        <v>3.2</v>
      </c>
      <c r="BL1707" t="s">
        <v>116</v>
      </c>
      <c r="BM1707" t="s">
        <v>116</v>
      </c>
      <c r="BN1707">
        <v>6.78</v>
      </c>
      <c r="BO1707">
        <v>1.97</v>
      </c>
      <c r="BP1707">
        <v>0.22</v>
      </c>
      <c r="BQ1707">
        <v>67.78</v>
      </c>
      <c r="BR1707">
        <v>5.12</v>
      </c>
      <c r="BS1707">
        <v>7.0000000000000007E-2</v>
      </c>
      <c r="BT1707">
        <v>0.11</v>
      </c>
      <c r="BU1707">
        <v>4.58</v>
      </c>
      <c r="BV1707">
        <v>0.84</v>
      </c>
      <c r="BW1707">
        <v>3.08</v>
      </c>
      <c r="BX1707">
        <v>3.34</v>
      </c>
      <c r="BY1707">
        <v>0.51</v>
      </c>
      <c r="BZ1707">
        <v>0.38</v>
      </c>
      <c r="CA1707">
        <v>-0.03</v>
      </c>
      <c r="CB1707">
        <v>-0.03</v>
      </c>
      <c r="CC1707">
        <v>-0.04</v>
      </c>
      <c r="CD1707">
        <v>-7.0000000000000007E-2</v>
      </c>
      <c r="CE1707">
        <v>-0.06</v>
      </c>
      <c r="CF1707">
        <v>-0.05</v>
      </c>
      <c r="CG1707">
        <v>-4.82</v>
      </c>
      <c r="CH1707">
        <v>0.01</v>
      </c>
      <c r="CI1707">
        <v>0</v>
      </c>
      <c r="CJ1707">
        <v>29389</v>
      </c>
      <c r="CK1707">
        <v>5444</v>
      </c>
      <c r="CL1707" t="s">
        <v>8798</v>
      </c>
      <c r="CM1707">
        <v>49.28</v>
      </c>
      <c r="CN1707">
        <v>-72.56</v>
      </c>
      <c r="CO1707">
        <v>8.73</v>
      </c>
      <c r="CP1707">
        <v>1769.56</v>
      </c>
      <c r="CQ1707">
        <v>33.82</v>
      </c>
      <c r="CR1707">
        <v>0</v>
      </c>
      <c r="CS1707" t="s">
        <v>6197</v>
      </c>
      <c r="CT1707">
        <v>0.61</v>
      </c>
      <c r="CU1707">
        <v>0</v>
      </c>
      <c r="CV1707">
        <v>1.04</v>
      </c>
      <c r="CW1707">
        <v>-1.51</v>
      </c>
      <c r="CX1707">
        <v>0</v>
      </c>
      <c r="CY1707">
        <v>29</v>
      </c>
      <c r="CZ1707" t="s">
        <v>8799</v>
      </c>
      <c r="DA1707">
        <v>24.16</v>
      </c>
      <c r="DB1707">
        <v>-6.69</v>
      </c>
      <c r="DC1707">
        <v>-11.01</v>
      </c>
      <c r="DD1707">
        <v>0.06</v>
      </c>
      <c r="DE1707">
        <v>507</v>
      </c>
      <c r="DF1707">
        <v>300312</v>
      </c>
      <c r="DG1707" t="s">
        <v>116</v>
      </c>
      <c r="DH1707" t="s">
        <v>116</v>
      </c>
      <c r="DI1707" t="s">
        <v>116</v>
      </c>
    </row>
    <row r="1708" spans="1:113" x14ac:dyDescent="0.4">
      <c r="A1708" t="str">
        <f>"300313"</f>
        <v>300313</v>
      </c>
      <c r="B1708" t="s">
        <v>8800</v>
      </c>
      <c r="C1708">
        <v>-0.55000000000000004</v>
      </c>
      <c r="D1708">
        <v>5.38</v>
      </c>
      <c r="E1708">
        <v>-0.03</v>
      </c>
      <c r="F1708">
        <v>5.38</v>
      </c>
      <c r="G1708">
        <v>5.39</v>
      </c>
      <c r="H1708">
        <v>34082</v>
      </c>
      <c r="I1708">
        <v>95</v>
      </c>
      <c r="J1708">
        <v>0</v>
      </c>
      <c r="K1708">
        <v>1.85</v>
      </c>
      <c r="L1708">
        <v>5.41</v>
      </c>
      <c r="M1708">
        <v>5.46</v>
      </c>
      <c r="N1708">
        <v>5.37</v>
      </c>
      <c r="O1708">
        <v>5.41</v>
      </c>
      <c r="P1708" t="s">
        <v>116</v>
      </c>
      <c r="Q1708">
        <v>18478132</v>
      </c>
      <c r="R1708">
        <v>0.79</v>
      </c>
      <c r="S1708" t="s">
        <v>449</v>
      </c>
      <c r="T1708" t="s">
        <v>616</v>
      </c>
      <c r="U1708">
        <v>1.66</v>
      </c>
      <c r="V1708">
        <v>5.42</v>
      </c>
      <c r="W1708">
        <v>17516</v>
      </c>
      <c r="X1708">
        <v>16566</v>
      </c>
      <c r="Y1708">
        <v>1.06</v>
      </c>
      <c r="Z1708">
        <v>449</v>
      </c>
      <c r="AA1708">
        <v>332</v>
      </c>
      <c r="AB1708" t="s">
        <v>116</v>
      </c>
      <c r="AC1708">
        <v>6000</v>
      </c>
      <c r="AD1708">
        <v>0</v>
      </c>
      <c r="AE1708" t="s">
        <v>116</v>
      </c>
      <c r="AF1708" t="s">
        <v>116</v>
      </c>
      <c r="AG1708">
        <v>1.84</v>
      </c>
      <c r="AH1708" t="s">
        <v>8801</v>
      </c>
      <c r="AI1708" t="s">
        <v>8802</v>
      </c>
      <c r="AJ1708">
        <v>0.12</v>
      </c>
      <c r="AK1708">
        <v>956</v>
      </c>
      <c r="AL1708">
        <v>36</v>
      </c>
      <c r="AM1708">
        <v>1.9E-3</v>
      </c>
      <c r="AN1708">
        <v>-1</v>
      </c>
      <c r="AO1708">
        <v>0.19</v>
      </c>
      <c r="AP1708">
        <v>2.09</v>
      </c>
      <c r="AQ1708">
        <v>2.87</v>
      </c>
      <c r="AR1708">
        <v>-14.74</v>
      </c>
      <c r="AS1708">
        <v>3.59</v>
      </c>
      <c r="AT1708" t="s">
        <v>8803</v>
      </c>
      <c r="AU1708" t="s">
        <v>116</v>
      </c>
      <c r="AV1708" t="s">
        <v>116</v>
      </c>
      <c r="AW1708">
        <v>0.97</v>
      </c>
      <c r="BA1708">
        <v>0</v>
      </c>
      <c r="BB1708">
        <v>0.92</v>
      </c>
      <c r="BC1708">
        <v>-0.74</v>
      </c>
      <c r="BD1708">
        <v>0.22</v>
      </c>
      <c r="BE1708">
        <v>-0.55000000000000004</v>
      </c>
      <c r="BF1708">
        <v>-1.47</v>
      </c>
      <c r="BG1708">
        <v>0.19</v>
      </c>
      <c r="BH1708">
        <v>-0.77</v>
      </c>
      <c r="BI1708">
        <v>20191025</v>
      </c>
      <c r="BJ1708">
        <v>20120425</v>
      </c>
      <c r="BK1708">
        <v>3.13</v>
      </c>
      <c r="BL1708" t="s">
        <v>116</v>
      </c>
      <c r="BM1708" t="s">
        <v>116</v>
      </c>
      <c r="BN1708">
        <v>13.18</v>
      </c>
      <c r="BO1708">
        <v>1.8</v>
      </c>
      <c r="BP1708">
        <v>-0.03</v>
      </c>
      <c r="BQ1708">
        <v>86.53</v>
      </c>
      <c r="BR1708">
        <v>2.65</v>
      </c>
      <c r="BS1708">
        <v>3.19</v>
      </c>
      <c r="BT1708">
        <v>1.24</v>
      </c>
      <c r="BU1708">
        <v>10.210000000000001</v>
      </c>
      <c r="BV1708">
        <v>1.37</v>
      </c>
      <c r="BW1708">
        <v>0.16</v>
      </c>
      <c r="BX1708">
        <v>19.559999999999999</v>
      </c>
      <c r="BY1708">
        <v>0.8</v>
      </c>
      <c r="BZ1708">
        <v>0.64</v>
      </c>
      <c r="CA1708">
        <v>-0.28000000000000003</v>
      </c>
      <c r="CB1708">
        <v>0.01</v>
      </c>
      <c r="CC1708">
        <v>-0.26</v>
      </c>
      <c r="CD1708">
        <v>-0.27</v>
      </c>
      <c r="CE1708">
        <v>-0.28000000000000003</v>
      </c>
      <c r="CF1708">
        <v>-0.3</v>
      </c>
      <c r="CG1708">
        <v>-20.9</v>
      </c>
      <c r="CH1708">
        <v>-0.02</v>
      </c>
      <c r="CI1708">
        <v>-0.96</v>
      </c>
      <c r="CJ1708">
        <v>14995</v>
      </c>
      <c r="CK1708">
        <v>6337</v>
      </c>
      <c r="CL1708" t="s">
        <v>1700</v>
      </c>
      <c r="CM1708">
        <v>98.56</v>
      </c>
      <c r="CN1708">
        <v>15.6</v>
      </c>
      <c r="CO1708">
        <v>9.35</v>
      </c>
      <c r="CP1708">
        <v>-1050.94</v>
      </c>
      <c r="CQ1708">
        <v>21.12</v>
      </c>
      <c r="CR1708">
        <v>0</v>
      </c>
      <c r="CS1708" t="s">
        <v>8804</v>
      </c>
      <c r="CT1708">
        <v>0.57999999999999996</v>
      </c>
      <c r="CU1708">
        <v>0</v>
      </c>
      <c r="CV1708">
        <v>6.25</v>
      </c>
      <c r="CW1708">
        <v>-6.68</v>
      </c>
      <c r="CX1708">
        <v>-0.01</v>
      </c>
      <c r="CY1708">
        <v>13.66</v>
      </c>
      <c r="CZ1708" t="s">
        <v>8805</v>
      </c>
      <c r="DA1708">
        <v>20.239999999999998</v>
      </c>
      <c r="DB1708">
        <v>-35.380000000000003</v>
      </c>
      <c r="DC1708">
        <v>-34.659999999999997</v>
      </c>
      <c r="DD1708">
        <v>0.01</v>
      </c>
      <c r="DE1708">
        <v>186</v>
      </c>
      <c r="DF1708">
        <v>300313</v>
      </c>
      <c r="DG1708" t="s">
        <v>116</v>
      </c>
      <c r="DH1708" t="s">
        <v>116</v>
      </c>
      <c r="DI1708" t="s">
        <v>116</v>
      </c>
    </row>
    <row r="1709" spans="1:113" x14ac:dyDescent="0.4">
      <c r="A1709" t="str">
        <f>"300314"</f>
        <v>300314</v>
      </c>
      <c r="B1709" t="s">
        <v>8806</v>
      </c>
      <c r="C1709">
        <v>0.11</v>
      </c>
      <c r="D1709">
        <v>9.2799999999999994</v>
      </c>
      <c r="E1709">
        <v>0.01</v>
      </c>
      <c r="F1709">
        <v>9.27</v>
      </c>
      <c r="G1709">
        <v>9.2799999999999994</v>
      </c>
      <c r="H1709">
        <v>33090</v>
      </c>
      <c r="I1709">
        <v>891</v>
      </c>
      <c r="J1709">
        <v>0.22</v>
      </c>
      <c r="K1709">
        <v>1.75</v>
      </c>
      <c r="L1709">
        <v>9.27</v>
      </c>
      <c r="M1709">
        <v>9.4499999999999993</v>
      </c>
      <c r="N1709">
        <v>9.14</v>
      </c>
      <c r="O1709">
        <v>9.27</v>
      </c>
      <c r="P1709">
        <v>49.68</v>
      </c>
      <c r="Q1709">
        <v>30651338</v>
      </c>
      <c r="R1709">
        <v>0.71</v>
      </c>
      <c r="S1709" t="s">
        <v>559</v>
      </c>
      <c r="T1709" t="s">
        <v>590</v>
      </c>
      <c r="U1709">
        <v>3.34</v>
      </c>
      <c r="V1709">
        <v>9.26</v>
      </c>
      <c r="W1709">
        <v>17045</v>
      </c>
      <c r="X1709">
        <v>16045</v>
      </c>
      <c r="Y1709">
        <v>1.06</v>
      </c>
      <c r="Z1709">
        <v>236</v>
      </c>
      <c r="AA1709">
        <v>32</v>
      </c>
      <c r="AB1709" t="s">
        <v>116</v>
      </c>
      <c r="AC1709">
        <v>30600</v>
      </c>
      <c r="AD1709">
        <v>0</v>
      </c>
      <c r="AE1709" t="s">
        <v>116</v>
      </c>
      <c r="AF1709" t="s">
        <v>116</v>
      </c>
      <c r="AG1709">
        <v>1.89</v>
      </c>
      <c r="AH1709" t="s">
        <v>8807</v>
      </c>
      <c r="AI1709" t="s">
        <v>8808</v>
      </c>
      <c r="AJ1709">
        <v>0.79</v>
      </c>
      <c r="AK1709">
        <v>1167</v>
      </c>
      <c r="AL1709">
        <v>28</v>
      </c>
      <c r="AM1709">
        <v>1.5E-3</v>
      </c>
      <c r="AN1709">
        <v>1</v>
      </c>
      <c r="AO1709">
        <v>-1.69</v>
      </c>
      <c r="AP1709">
        <v>9.82</v>
      </c>
      <c r="AQ1709">
        <v>10.61</v>
      </c>
      <c r="AR1709">
        <v>12.35</v>
      </c>
      <c r="AS1709">
        <v>3.45</v>
      </c>
      <c r="AT1709" t="s">
        <v>8809</v>
      </c>
      <c r="AU1709">
        <v>84.44</v>
      </c>
      <c r="AV1709">
        <v>92.76</v>
      </c>
      <c r="AW1709">
        <v>1.03</v>
      </c>
      <c r="BA1709">
        <v>0</v>
      </c>
      <c r="BB1709">
        <v>1.94</v>
      </c>
      <c r="BC1709">
        <v>-1.4</v>
      </c>
      <c r="BD1709">
        <v>-0.08</v>
      </c>
      <c r="BE1709">
        <v>0.11</v>
      </c>
      <c r="BF1709">
        <v>-1.8</v>
      </c>
      <c r="BG1709">
        <v>1.53</v>
      </c>
      <c r="BH1709">
        <v>0.18</v>
      </c>
      <c r="BI1709">
        <v>20191212</v>
      </c>
      <c r="BJ1709">
        <v>20120508</v>
      </c>
      <c r="BK1709">
        <v>2.88</v>
      </c>
      <c r="BL1709" t="s">
        <v>116</v>
      </c>
      <c r="BM1709" t="s">
        <v>116</v>
      </c>
      <c r="BN1709">
        <v>9.01</v>
      </c>
      <c r="BO1709">
        <v>8.07</v>
      </c>
      <c r="BP1709">
        <v>0</v>
      </c>
      <c r="BQ1709">
        <v>10.38</v>
      </c>
      <c r="BR1709">
        <v>6.16</v>
      </c>
      <c r="BS1709">
        <v>2.15</v>
      </c>
      <c r="BT1709">
        <v>0.28999999999999998</v>
      </c>
      <c r="BU1709">
        <v>0.9</v>
      </c>
      <c r="BV1709">
        <v>0.91</v>
      </c>
      <c r="BW1709">
        <v>0.26</v>
      </c>
      <c r="BX1709">
        <v>1.76</v>
      </c>
      <c r="BY1709">
        <v>2.37</v>
      </c>
      <c r="BZ1709">
        <v>1.1499999999999999</v>
      </c>
      <c r="CA1709">
        <v>0.48</v>
      </c>
      <c r="CB1709">
        <v>0.09</v>
      </c>
      <c r="CC1709">
        <v>0.47</v>
      </c>
      <c r="CD1709">
        <v>0.4</v>
      </c>
      <c r="CE1709">
        <v>0.4</v>
      </c>
      <c r="CF1709">
        <v>0.31</v>
      </c>
      <c r="CG1709">
        <v>2.92</v>
      </c>
      <c r="CH1709">
        <v>7.0000000000000007E-2</v>
      </c>
      <c r="CI1709">
        <v>0.2</v>
      </c>
      <c r="CJ1709">
        <v>20800</v>
      </c>
      <c r="CK1709">
        <v>4613</v>
      </c>
      <c r="CL1709" t="s">
        <v>770</v>
      </c>
      <c r="CM1709">
        <v>7.57</v>
      </c>
      <c r="CN1709">
        <v>20.99</v>
      </c>
      <c r="CO1709">
        <v>3.31</v>
      </c>
      <c r="CP1709">
        <v>393.02</v>
      </c>
      <c r="CQ1709">
        <v>11.29</v>
      </c>
      <c r="CR1709">
        <v>0.97</v>
      </c>
      <c r="CS1709" t="s">
        <v>358</v>
      </c>
      <c r="CT1709">
        <v>2.8</v>
      </c>
      <c r="CU1709">
        <v>0</v>
      </c>
      <c r="CV1709">
        <v>0.61</v>
      </c>
      <c r="CW1709">
        <v>1.01</v>
      </c>
      <c r="CX1709">
        <v>0.02</v>
      </c>
      <c r="CY1709">
        <v>89.62</v>
      </c>
      <c r="CZ1709" t="s">
        <v>1501</v>
      </c>
      <c r="DA1709">
        <v>51.4</v>
      </c>
      <c r="DB1709">
        <v>20.23</v>
      </c>
      <c r="DC1709">
        <v>17.05</v>
      </c>
      <c r="DD1709">
        <v>0.26</v>
      </c>
      <c r="DE1709">
        <v>571</v>
      </c>
      <c r="DF1709">
        <v>300314</v>
      </c>
      <c r="DG1709" t="s">
        <v>116</v>
      </c>
      <c r="DH1709" t="s">
        <v>116</v>
      </c>
      <c r="DI1709" t="s">
        <v>116</v>
      </c>
    </row>
    <row r="1710" spans="1:113" x14ac:dyDescent="0.4">
      <c r="A1710" t="str">
        <f>"300315"</f>
        <v>300315</v>
      </c>
      <c r="B1710" t="s">
        <v>8810</v>
      </c>
      <c r="C1710">
        <v>-2.13</v>
      </c>
      <c r="D1710">
        <v>6.43</v>
      </c>
      <c r="E1710">
        <v>-0.14000000000000001</v>
      </c>
      <c r="F1710">
        <v>6.43</v>
      </c>
      <c r="G1710">
        <v>6.44</v>
      </c>
      <c r="H1710">
        <v>790741</v>
      </c>
      <c r="I1710">
        <v>6865</v>
      </c>
      <c r="J1710">
        <v>-0.45</v>
      </c>
      <c r="K1710">
        <v>3.04</v>
      </c>
      <c r="L1710">
        <v>6.55</v>
      </c>
      <c r="M1710">
        <v>6.66</v>
      </c>
      <c r="N1710">
        <v>6.35</v>
      </c>
      <c r="O1710">
        <v>6.57</v>
      </c>
      <c r="P1710">
        <v>38.549999999999997</v>
      </c>
      <c r="Q1710">
        <v>513868736</v>
      </c>
      <c r="R1710">
        <v>0.93</v>
      </c>
      <c r="S1710" t="s">
        <v>1384</v>
      </c>
      <c r="T1710" t="s">
        <v>165</v>
      </c>
      <c r="U1710">
        <v>4.72</v>
      </c>
      <c r="V1710">
        <v>6.5</v>
      </c>
      <c r="W1710">
        <v>449107</v>
      </c>
      <c r="X1710">
        <v>341634</v>
      </c>
      <c r="Y1710">
        <v>1.31</v>
      </c>
      <c r="Z1710">
        <v>180</v>
      </c>
      <c r="AA1710">
        <v>1438</v>
      </c>
      <c r="AB1710" t="s">
        <v>116</v>
      </c>
      <c r="AC1710">
        <v>926800</v>
      </c>
      <c r="AD1710">
        <v>0.01</v>
      </c>
      <c r="AE1710" t="s">
        <v>116</v>
      </c>
      <c r="AF1710" t="s">
        <v>116</v>
      </c>
      <c r="AG1710">
        <v>26</v>
      </c>
      <c r="AH1710" t="s">
        <v>8811</v>
      </c>
      <c r="AI1710" t="s">
        <v>8812</v>
      </c>
      <c r="AJ1710">
        <v>-1.45</v>
      </c>
      <c r="AK1710">
        <v>4143</v>
      </c>
      <c r="AL1710">
        <v>191</v>
      </c>
      <c r="AM1710">
        <v>6.9999999999999999E-4</v>
      </c>
      <c r="AN1710">
        <v>-2</v>
      </c>
      <c r="AO1710">
        <v>-3.02</v>
      </c>
      <c r="AP1710">
        <v>18.420000000000002</v>
      </c>
      <c r="AQ1710">
        <v>35.65</v>
      </c>
      <c r="AR1710">
        <v>82.15</v>
      </c>
      <c r="AS1710">
        <v>3.34</v>
      </c>
      <c r="AT1710" t="s">
        <v>8813</v>
      </c>
      <c r="AU1710" t="s">
        <v>116</v>
      </c>
      <c r="AV1710" t="s">
        <v>116</v>
      </c>
      <c r="AW1710">
        <v>1.46</v>
      </c>
      <c r="BA1710">
        <v>-0.3</v>
      </c>
      <c r="BB1710">
        <v>1.37</v>
      </c>
      <c r="BC1710">
        <v>-3.35</v>
      </c>
      <c r="BD1710">
        <v>-1.0900000000000001</v>
      </c>
      <c r="BE1710">
        <v>-1.83</v>
      </c>
      <c r="BF1710">
        <v>-3.45</v>
      </c>
      <c r="BG1710">
        <v>1.26</v>
      </c>
      <c r="BH1710">
        <v>-1.04</v>
      </c>
      <c r="BI1710">
        <v>20191029</v>
      </c>
      <c r="BJ1710">
        <v>20120511</v>
      </c>
      <c r="BK1710">
        <v>27.57</v>
      </c>
      <c r="BL1710" t="s">
        <v>116</v>
      </c>
      <c r="BM1710" t="s">
        <v>116</v>
      </c>
      <c r="BN1710">
        <v>62.04</v>
      </c>
      <c r="BO1710">
        <v>56.36</v>
      </c>
      <c r="BP1710">
        <v>-0.01</v>
      </c>
      <c r="BQ1710">
        <v>9.17</v>
      </c>
      <c r="BR1710">
        <v>18.37</v>
      </c>
      <c r="BS1710">
        <v>0.2</v>
      </c>
      <c r="BT1710">
        <v>1.21</v>
      </c>
      <c r="BU1710">
        <v>4.88</v>
      </c>
      <c r="BV1710">
        <v>0</v>
      </c>
      <c r="BW1710">
        <v>2.14</v>
      </c>
      <c r="BX1710">
        <v>38.36</v>
      </c>
      <c r="BY1710">
        <v>12.02</v>
      </c>
      <c r="BZ1710">
        <v>5.0199999999999996</v>
      </c>
      <c r="CA1710">
        <v>3.72</v>
      </c>
      <c r="CB1710">
        <v>0.79</v>
      </c>
      <c r="CC1710">
        <v>3.68</v>
      </c>
      <c r="CD1710">
        <v>3.42</v>
      </c>
      <c r="CE1710">
        <v>3.45</v>
      </c>
      <c r="CF1710">
        <v>4.2300000000000004</v>
      </c>
      <c r="CG1710">
        <v>-6.82</v>
      </c>
      <c r="CH1710">
        <v>3.18</v>
      </c>
      <c r="CI1710">
        <v>1.81</v>
      </c>
      <c r="CJ1710">
        <v>164824</v>
      </c>
      <c r="CK1710">
        <v>14356</v>
      </c>
      <c r="CL1710" t="s">
        <v>1201</v>
      </c>
      <c r="CM1710">
        <v>-33.19</v>
      </c>
      <c r="CN1710">
        <v>-24.03</v>
      </c>
      <c r="CO1710">
        <v>3.15</v>
      </c>
      <c r="CP1710">
        <v>55.79</v>
      </c>
      <c r="CQ1710">
        <v>14.75</v>
      </c>
      <c r="CR1710">
        <v>0</v>
      </c>
      <c r="CS1710" t="s">
        <v>1494</v>
      </c>
      <c r="CT1710">
        <v>2.04</v>
      </c>
      <c r="CU1710">
        <v>0</v>
      </c>
      <c r="CV1710">
        <v>1.39</v>
      </c>
      <c r="CW1710">
        <v>-0.25</v>
      </c>
      <c r="CX1710">
        <v>0.12</v>
      </c>
      <c r="CY1710">
        <v>90.85</v>
      </c>
      <c r="CZ1710" t="s">
        <v>8814</v>
      </c>
      <c r="DA1710">
        <v>58.21</v>
      </c>
      <c r="DB1710">
        <v>30.94</v>
      </c>
      <c r="DC1710">
        <v>28.7</v>
      </c>
      <c r="DD1710">
        <v>2.2999999999999998</v>
      </c>
      <c r="DE1710">
        <v>1286</v>
      </c>
      <c r="DF1710">
        <v>300315</v>
      </c>
      <c r="DG1710" t="s">
        <v>116</v>
      </c>
      <c r="DH1710" t="s">
        <v>116</v>
      </c>
      <c r="DI1710" t="s">
        <v>116</v>
      </c>
    </row>
    <row r="1711" spans="1:113" x14ac:dyDescent="0.4">
      <c r="A1711" t="str">
        <f>"300316"</f>
        <v>300316</v>
      </c>
      <c r="B1711" t="s">
        <v>8815</v>
      </c>
      <c r="C1711">
        <v>-5.29</v>
      </c>
      <c r="D1711">
        <v>15.74</v>
      </c>
      <c r="E1711">
        <v>-0.88</v>
      </c>
      <c r="F1711">
        <v>15.74</v>
      </c>
      <c r="G1711">
        <v>15.75</v>
      </c>
      <c r="H1711">
        <v>530728</v>
      </c>
      <c r="I1711">
        <v>4597</v>
      </c>
      <c r="J1711">
        <v>-0.18</v>
      </c>
      <c r="K1711">
        <v>4.41</v>
      </c>
      <c r="L1711">
        <v>16.55</v>
      </c>
      <c r="M1711">
        <v>16.55</v>
      </c>
      <c r="N1711">
        <v>15.65</v>
      </c>
      <c r="O1711">
        <v>16.62</v>
      </c>
      <c r="P1711">
        <v>32.14</v>
      </c>
      <c r="Q1711">
        <v>850794240</v>
      </c>
      <c r="R1711">
        <v>1.3</v>
      </c>
      <c r="S1711" t="s">
        <v>682</v>
      </c>
      <c r="T1711" t="s">
        <v>590</v>
      </c>
      <c r="U1711">
        <v>5.42</v>
      </c>
      <c r="V1711">
        <v>16.03</v>
      </c>
      <c r="W1711">
        <v>289054</v>
      </c>
      <c r="X1711">
        <v>241673</v>
      </c>
      <c r="Y1711">
        <v>1.2</v>
      </c>
      <c r="Z1711">
        <v>328</v>
      </c>
      <c r="AA1711">
        <v>304</v>
      </c>
      <c r="AB1711" t="s">
        <v>116</v>
      </c>
      <c r="AC1711">
        <v>4816100</v>
      </c>
      <c r="AD1711">
        <v>0.05</v>
      </c>
      <c r="AE1711" t="s">
        <v>116</v>
      </c>
      <c r="AF1711" t="s">
        <v>116</v>
      </c>
      <c r="AG1711">
        <v>12.04</v>
      </c>
      <c r="AH1711" t="s">
        <v>8816</v>
      </c>
      <c r="AI1711" t="s">
        <v>8817</v>
      </c>
      <c r="AJ1711">
        <v>-4.62</v>
      </c>
      <c r="AK1711">
        <v>4486</v>
      </c>
      <c r="AL1711">
        <v>118</v>
      </c>
      <c r="AM1711">
        <v>1E-3</v>
      </c>
      <c r="AN1711">
        <v>-1</v>
      </c>
      <c r="AO1711">
        <v>4.38</v>
      </c>
      <c r="AP1711">
        <v>16.25</v>
      </c>
      <c r="AQ1711">
        <v>3.01</v>
      </c>
      <c r="AR1711">
        <v>58.67</v>
      </c>
      <c r="AS1711">
        <v>9.39</v>
      </c>
      <c r="AT1711" t="s">
        <v>8818</v>
      </c>
      <c r="AU1711">
        <v>33.24</v>
      </c>
      <c r="AV1711">
        <v>34.729999999999997</v>
      </c>
      <c r="AW1711">
        <v>1.29</v>
      </c>
      <c r="BA1711">
        <v>-0.42</v>
      </c>
      <c r="BB1711">
        <v>-0.42</v>
      </c>
      <c r="BC1711">
        <v>-5.84</v>
      </c>
      <c r="BD1711">
        <v>-3.55</v>
      </c>
      <c r="BE1711">
        <v>-4.8899999999999997</v>
      </c>
      <c r="BF1711">
        <v>-4.8899999999999997</v>
      </c>
      <c r="BG1711">
        <v>0.57999999999999996</v>
      </c>
      <c r="BH1711">
        <v>-1.75</v>
      </c>
      <c r="BI1711">
        <v>20191216</v>
      </c>
      <c r="BJ1711">
        <v>20120511</v>
      </c>
      <c r="BK1711">
        <v>12.84</v>
      </c>
      <c r="BL1711" t="s">
        <v>116</v>
      </c>
      <c r="BM1711" t="s">
        <v>116</v>
      </c>
      <c r="BN1711">
        <v>71.88</v>
      </c>
      <c r="BO1711">
        <v>43.82</v>
      </c>
      <c r="BP1711">
        <v>1.75</v>
      </c>
      <c r="BQ1711">
        <v>36.6</v>
      </c>
      <c r="BR1711">
        <v>50.82</v>
      </c>
      <c r="BS1711">
        <v>9.19</v>
      </c>
      <c r="BT1711">
        <v>2.39</v>
      </c>
      <c r="BU1711">
        <v>25.68</v>
      </c>
      <c r="BV1711">
        <v>13.28</v>
      </c>
      <c r="BW1711">
        <v>11.17</v>
      </c>
      <c r="BX1711">
        <v>12.35</v>
      </c>
      <c r="BY1711">
        <v>20.07</v>
      </c>
      <c r="BZ1711">
        <v>12.4</v>
      </c>
      <c r="CA1711">
        <v>5.33</v>
      </c>
      <c r="CB1711">
        <v>0.18</v>
      </c>
      <c r="CC1711">
        <v>5.32</v>
      </c>
      <c r="CD1711">
        <v>4.6900000000000004</v>
      </c>
      <c r="CE1711">
        <v>4.72</v>
      </c>
      <c r="CF1711">
        <v>4.4800000000000004</v>
      </c>
      <c r="CG1711">
        <v>17.010000000000002</v>
      </c>
      <c r="CH1711">
        <v>4.28</v>
      </c>
      <c r="CI1711">
        <v>-1.67</v>
      </c>
      <c r="CJ1711">
        <v>36111</v>
      </c>
      <c r="CK1711">
        <v>15654</v>
      </c>
      <c r="CL1711" t="s">
        <v>8819</v>
      </c>
      <c r="CM1711">
        <v>5.85</v>
      </c>
      <c r="CN1711">
        <v>6.23</v>
      </c>
      <c r="CO1711">
        <v>4.6100000000000003</v>
      </c>
      <c r="CP1711">
        <v>47.24</v>
      </c>
      <c r="CQ1711">
        <v>10.07</v>
      </c>
      <c r="CR1711">
        <v>0.64</v>
      </c>
      <c r="CS1711" t="s">
        <v>3143</v>
      </c>
      <c r="CT1711">
        <v>3.41</v>
      </c>
      <c r="CU1711">
        <v>0</v>
      </c>
      <c r="CV1711">
        <v>0.96</v>
      </c>
      <c r="CW1711">
        <v>1.32</v>
      </c>
      <c r="CX1711">
        <v>0.33</v>
      </c>
      <c r="CY1711">
        <v>60.96</v>
      </c>
      <c r="CZ1711" t="s">
        <v>8820</v>
      </c>
      <c r="DA1711">
        <v>38.229999999999997</v>
      </c>
      <c r="DB1711">
        <v>26.53</v>
      </c>
      <c r="DC1711">
        <v>23.51</v>
      </c>
      <c r="DD1711">
        <v>1.31</v>
      </c>
      <c r="DE1711">
        <v>2045</v>
      </c>
      <c r="DF1711">
        <v>300316</v>
      </c>
      <c r="DG1711" t="s">
        <v>116</v>
      </c>
      <c r="DH1711" t="s">
        <v>116</v>
      </c>
      <c r="DI1711" t="s">
        <v>116</v>
      </c>
    </row>
    <row r="1712" spans="1:113" x14ac:dyDescent="0.4">
      <c r="A1712" t="str">
        <f>"300317"</f>
        <v>300317</v>
      </c>
      <c r="B1712" t="s">
        <v>8821</v>
      </c>
      <c r="C1712">
        <v>4.17</v>
      </c>
      <c r="D1712">
        <v>5</v>
      </c>
      <c r="E1712">
        <v>0.2</v>
      </c>
      <c r="F1712">
        <v>4.99</v>
      </c>
      <c r="G1712">
        <v>5</v>
      </c>
      <c r="H1712">
        <v>369951</v>
      </c>
      <c r="I1712">
        <v>9299</v>
      </c>
      <c r="J1712">
        <v>-0.39</v>
      </c>
      <c r="K1712">
        <v>5.64</v>
      </c>
      <c r="L1712">
        <v>4.75</v>
      </c>
      <c r="M1712">
        <v>5.05</v>
      </c>
      <c r="N1712">
        <v>4.7300000000000004</v>
      </c>
      <c r="O1712">
        <v>4.8</v>
      </c>
      <c r="P1712" t="s">
        <v>116</v>
      </c>
      <c r="Q1712">
        <v>180854112</v>
      </c>
      <c r="R1712">
        <v>2.4</v>
      </c>
      <c r="S1712" t="s">
        <v>3507</v>
      </c>
      <c r="T1712" t="s">
        <v>115</v>
      </c>
      <c r="U1712">
        <v>6.67</v>
      </c>
      <c r="V1712">
        <v>4.8899999999999997</v>
      </c>
      <c r="W1712">
        <v>167534</v>
      </c>
      <c r="X1712">
        <v>202417</v>
      </c>
      <c r="Y1712">
        <v>0.83</v>
      </c>
      <c r="Z1712">
        <v>7069</v>
      </c>
      <c r="AA1712">
        <v>875</v>
      </c>
      <c r="AB1712" t="s">
        <v>116</v>
      </c>
      <c r="AC1712">
        <v>371000</v>
      </c>
      <c r="AD1712">
        <v>0.03</v>
      </c>
      <c r="AE1712" t="s">
        <v>116</v>
      </c>
      <c r="AF1712" t="s">
        <v>116</v>
      </c>
      <c r="AG1712">
        <v>6.56</v>
      </c>
      <c r="AH1712" t="s">
        <v>6778</v>
      </c>
      <c r="AI1712" t="s">
        <v>8822</v>
      </c>
      <c r="AJ1712">
        <v>4.8499999999999996</v>
      </c>
      <c r="AK1712">
        <v>2661</v>
      </c>
      <c r="AL1712">
        <v>139</v>
      </c>
      <c r="AM1712">
        <v>2.0999999999999999E-3</v>
      </c>
      <c r="AN1712">
        <v>2</v>
      </c>
      <c r="AO1712">
        <v>4.5999999999999996</v>
      </c>
      <c r="AP1712">
        <v>25</v>
      </c>
      <c r="AQ1712">
        <v>11.86</v>
      </c>
      <c r="AR1712">
        <v>6.38</v>
      </c>
      <c r="AS1712">
        <v>14.47</v>
      </c>
      <c r="AT1712" t="s">
        <v>8823</v>
      </c>
      <c r="AU1712" t="s">
        <v>116</v>
      </c>
      <c r="AV1712" t="s">
        <v>116</v>
      </c>
      <c r="AW1712">
        <v>0.83</v>
      </c>
      <c r="BA1712">
        <v>-1.04</v>
      </c>
      <c r="BB1712">
        <v>5.21</v>
      </c>
      <c r="BC1712">
        <v>-1.46</v>
      </c>
      <c r="BD1712">
        <v>1.85</v>
      </c>
      <c r="BE1712">
        <v>5.26</v>
      </c>
      <c r="BF1712">
        <v>-0.99</v>
      </c>
      <c r="BG1712">
        <v>5.71</v>
      </c>
      <c r="BH1712">
        <v>2.3199999999999998</v>
      </c>
      <c r="BI1712">
        <v>20191216</v>
      </c>
      <c r="BJ1712">
        <v>20120511</v>
      </c>
      <c r="BK1712">
        <v>8.4</v>
      </c>
      <c r="BL1712" t="s">
        <v>116</v>
      </c>
      <c r="BM1712" t="s">
        <v>116</v>
      </c>
      <c r="BN1712">
        <v>54.18</v>
      </c>
      <c r="BO1712">
        <v>29.24</v>
      </c>
      <c r="BP1712">
        <v>0.13</v>
      </c>
      <c r="BQ1712">
        <v>45.78</v>
      </c>
      <c r="BR1712">
        <v>25.67</v>
      </c>
      <c r="BS1712">
        <v>16.52</v>
      </c>
      <c r="BT1712">
        <v>0.92</v>
      </c>
      <c r="BU1712">
        <v>18.38</v>
      </c>
      <c r="BV1712">
        <v>3.87</v>
      </c>
      <c r="BW1712">
        <v>14.7</v>
      </c>
      <c r="BX1712">
        <v>33.74</v>
      </c>
      <c r="BY1712">
        <v>6.63</v>
      </c>
      <c r="BZ1712">
        <v>4.41</v>
      </c>
      <c r="CA1712">
        <v>-0.31</v>
      </c>
      <c r="CB1712">
        <v>0.25</v>
      </c>
      <c r="CC1712">
        <v>-0.63</v>
      </c>
      <c r="CD1712">
        <v>-0.68</v>
      </c>
      <c r="CE1712">
        <v>-0.62</v>
      </c>
      <c r="CF1712">
        <v>-0.56000000000000005</v>
      </c>
      <c r="CG1712">
        <v>-13</v>
      </c>
      <c r="CH1712">
        <v>-1</v>
      </c>
      <c r="CI1712">
        <v>-0.9</v>
      </c>
      <c r="CJ1712">
        <v>33750</v>
      </c>
      <c r="CK1712">
        <v>7577</v>
      </c>
      <c r="CL1712" t="s">
        <v>5253</v>
      </c>
      <c r="CM1712">
        <v>-656.56</v>
      </c>
      <c r="CN1712">
        <v>-55.37</v>
      </c>
      <c r="CO1712">
        <v>1.44</v>
      </c>
      <c r="CP1712">
        <v>-41.86</v>
      </c>
      <c r="CQ1712">
        <v>6.33</v>
      </c>
      <c r="CR1712">
        <v>0</v>
      </c>
      <c r="CS1712" t="s">
        <v>8824</v>
      </c>
      <c r="CT1712">
        <v>3.48</v>
      </c>
      <c r="CU1712">
        <v>0</v>
      </c>
      <c r="CV1712">
        <v>4.0199999999999996</v>
      </c>
      <c r="CW1712">
        <v>-1.55</v>
      </c>
      <c r="CX1712">
        <v>-0.12</v>
      </c>
      <c r="CY1712">
        <v>53.97</v>
      </c>
      <c r="CZ1712" t="s">
        <v>8825</v>
      </c>
      <c r="DA1712">
        <v>33.51</v>
      </c>
      <c r="DB1712">
        <v>-4.7</v>
      </c>
      <c r="DC1712">
        <v>-9.33</v>
      </c>
      <c r="DD1712">
        <v>0.26</v>
      </c>
      <c r="DE1712">
        <v>1248</v>
      </c>
      <c r="DF1712">
        <v>300317</v>
      </c>
      <c r="DG1712" t="s">
        <v>116</v>
      </c>
      <c r="DH1712" t="s">
        <v>116</v>
      </c>
      <c r="DI1712" t="s">
        <v>116</v>
      </c>
    </row>
    <row r="1713" spans="1:113" x14ac:dyDescent="0.4">
      <c r="A1713" t="str">
        <f>"300318"</f>
        <v>300318</v>
      </c>
      <c r="B1713" t="s">
        <v>8826</v>
      </c>
      <c r="C1713">
        <v>-0.24</v>
      </c>
      <c r="D1713">
        <v>4.08</v>
      </c>
      <c r="E1713">
        <v>-0.01</v>
      </c>
      <c r="F1713">
        <v>4.07</v>
      </c>
      <c r="G1713">
        <v>4.08</v>
      </c>
      <c r="H1713">
        <v>12622</v>
      </c>
      <c r="I1713">
        <v>9</v>
      </c>
      <c r="J1713">
        <v>0.25</v>
      </c>
      <c r="K1713">
        <v>0.17</v>
      </c>
      <c r="L1713">
        <v>4.0999999999999996</v>
      </c>
      <c r="M1713">
        <v>4.13</v>
      </c>
      <c r="N1713">
        <v>4.0599999999999996</v>
      </c>
      <c r="O1713">
        <v>4.09</v>
      </c>
      <c r="P1713">
        <v>521.73</v>
      </c>
      <c r="Q1713">
        <v>5178519</v>
      </c>
      <c r="R1713">
        <v>0.81</v>
      </c>
      <c r="S1713" t="s">
        <v>559</v>
      </c>
      <c r="T1713" t="s">
        <v>165</v>
      </c>
      <c r="U1713">
        <v>1.71</v>
      </c>
      <c r="V1713">
        <v>4.0999999999999996</v>
      </c>
      <c r="W1713">
        <v>6824</v>
      </c>
      <c r="X1713">
        <v>5798</v>
      </c>
      <c r="Y1713">
        <v>1.18</v>
      </c>
      <c r="Z1713">
        <v>102</v>
      </c>
      <c r="AA1713">
        <v>111</v>
      </c>
      <c r="AB1713" t="s">
        <v>116</v>
      </c>
      <c r="AC1713">
        <v>0</v>
      </c>
      <c r="AD1713">
        <v>0</v>
      </c>
      <c r="AE1713" t="s">
        <v>116</v>
      </c>
      <c r="AF1713" t="s">
        <v>116</v>
      </c>
      <c r="AG1713">
        <v>7.25</v>
      </c>
      <c r="AH1713" t="s">
        <v>1083</v>
      </c>
      <c r="AI1713" t="s">
        <v>8827</v>
      </c>
      <c r="AJ1713">
        <v>0.43</v>
      </c>
      <c r="AK1713">
        <v>365</v>
      </c>
      <c r="AL1713">
        <v>35</v>
      </c>
      <c r="AM1713">
        <v>5.0000000000000001E-4</v>
      </c>
      <c r="AN1713">
        <v>-1</v>
      </c>
      <c r="AO1713">
        <v>0.5</v>
      </c>
      <c r="AP1713">
        <v>3.82</v>
      </c>
      <c r="AQ1713">
        <v>4.08</v>
      </c>
      <c r="AR1713">
        <v>2.5099999999999998</v>
      </c>
      <c r="AS1713">
        <v>0.45</v>
      </c>
      <c r="AT1713" t="s">
        <v>8828</v>
      </c>
      <c r="AU1713">
        <v>65.239999999999995</v>
      </c>
      <c r="AV1713">
        <v>48</v>
      </c>
      <c r="AW1713">
        <v>0.49</v>
      </c>
      <c r="BA1713">
        <v>0.24</v>
      </c>
      <c r="BB1713">
        <v>0.98</v>
      </c>
      <c r="BC1713">
        <v>-0.73</v>
      </c>
      <c r="BD1713">
        <v>0.31</v>
      </c>
      <c r="BE1713">
        <v>-0.49</v>
      </c>
      <c r="BF1713">
        <v>-1.21</v>
      </c>
      <c r="BG1713">
        <v>0.49</v>
      </c>
      <c r="BH1713">
        <v>-0.55000000000000004</v>
      </c>
      <c r="BI1713">
        <v>20191025</v>
      </c>
      <c r="BJ1713">
        <v>20120523</v>
      </c>
      <c r="BK1713">
        <v>8.17</v>
      </c>
      <c r="BL1713" t="s">
        <v>116</v>
      </c>
      <c r="BM1713" t="s">
        <v>116</v>
      </c>
      <c r="BN1713">
        <v>26.49</v>
      </c>
      <c r="BO1713">
        <v>10.199999999999999</v>
      </c>
      <c r="BP1713">
        <v>0.25</v>
      </c>
      <c r="BQ1713">
        <v>60.54</v>
      </c>
      <c r="BR1713">
        <v>9.73</v>
      </c>
      <c r="BS1713">
        <v>4.4800000000000004</v>
      </c>
      <c r="BT1713">
        <v>1.67</v>
      </c>
      <c r="BU1713">
        <v>12.65</v>
      </c>
      <c r="BV1713">
        <v>7.63</v>
      </c>
      <c r="BW1713">
        <v>1.18</v>
      </c>
      <c r="BX1713">
        <v>0</v>
      </c>
      <c r="BY1713">
        <v>4.62</v>
      </c>
      <c r="BZ1713">
        <v>2.36</v>
      </c>
      <c r="CA1713">
        <v>0.15</v>
      </c>
      <c r="CB1713">
        <v>1.57</v>
      </c>
      <c r="CC1713">
        <v>0.14000000000000001</v>
      </c>
      <c r="CD1713">
        <v>0.09</v>
      </c>
      <c r="CE1713">
        <v>0.05</v>
      </c>
      <c r="CF1713">
        <v>0.03</v>
      </c>
      <c r="CG1713">
        <v>2.0299999999999998</v>
      </c>
      <c r="CH1713">
        <v>-0.43</v>
      </c>
      <c r="CI1713">
        <v>-0.77</v>
      </c>
      <c r="CJ1713">
        <v>18987</v>
      </c>
      <c r="CK1713">
        <v>14738</v>
      </c>
      <c r="CL1713" t="s">
        <v>1506</v>
      </c>
      <c r="CM1713">
        <v>-79.3</v>
      </c>
      <c r="CN1713">
        <v>5.99</v>
      </c>
      <c r="CO1713">
        <v>3.27</v>
      </c>
      <c r="CP1713">
        <v>-77.239999999999995</v>
      </c>
      <c r="CQ1713">
        <v>7.22</v>
      </c>
      <c r="CR1713">
        <v>0</v>
      </c>
      <c r="CS1713" t="s">
        <v>1177</v>
      </c>
      <c r="CT1713">
        <v>1.25</v>
      </c>
      <c r="CU1713">
        <v>0</v>
      </c>
      <c r="CV1713">
        <v>0</v>
      </c>
      <c r="CW1713">
        <v>0.25</v>
      </c>
      <c r="CX1713">
        <v>-0.05</v>
      </c>
      <c r="CY1713">
        <v>38.5</v>
      </c>
      <c r="CZ1713" t="s">
        <v>4349</v>
      </c>
      <c r="DA1713">
        <v>48.98</v>
      </c>
      <c r="DB1713">
        <v>3.28</v>
      </c>
      <c r="DC1713">
        <v>1.04</v>
      </c>
      <c r="DD1713">
        <v>0.39</v>
      </c>
      <c r="DE1713">
        <v>1393</v>
      </c>
      <c r="DF1713">
        <v>300318</v>
      </c>
      <c r="DG1713" t="s">
        <v>116</v>
      </c>
      <c r="DH1713" t="s">
        <v>116</v>
      </c>
      <c r="DI1713" t="s">
        <v>116</v>
      </c>
    </row>
    <row r="1714" spans="1:113" x14ac:dyDescent="0.4">
      <c r="A1714" t="str">
        <f>"300319"</f>
        <v>300319</v>
      </c>
      <c r="B1714" t="s">
        <v>8829</v>
      </c>
      <c r="C1714">
        <v>-4.22</v>
      </c>
      <c r="D1714">
        <v>12.7</v>
      </c>
      <c r="E1714">
        <v>-0.56000000000000005</v>
      </c>
      <c r="F1714">
        <v>12.7</v>
      </c>
      <c r="G1714">
        <v>12.71</v>
      </c>
      <c r="H1714">
        <v>459325</v>
      </c>
      <c r="I1714">
        <v>8350</v>
      </c>
      <c r="J1714">
        <v>-0.46</v>
      </c>
      <c r="K1714">
        <v>7.21</v>
      </c>
      <c r="L1714">
        <v>13.45</v>
      </c>
      <c r="M1714">
        <v>13.7</v>
      </c>
      <c r="N1714">
        <v>12.7</v>
      </c>
      <c r="O1714">
        <v>13.26</v>
      </c>
      <c r="P1714">
        <v>88.33</v>
      </c>
      <c r="Q1714">
        <v>607288256</v>
      </c>
      <c r="R1714">
        <v>1.3</v>
      </c>
      <c r="S1714" t="s">
        <v>233</v>
      </c>
      <c r="T1714" t="s">
        <v>115</v>
      </c>
      <c r="U1714">
        <v>7.54</v>
      </c>
      <c r="V1714">
        <v>13.22</v>
      </c>
      <c r="W1714">
        <v>236277</v>
      </c>
      <c r="X1714">
        <v>223048</v>
      </c>
      <c r="Y1714">
        <v>1.06</v>
      </c>
      <c r="Z1714">
        <v>1019</v>
      </c>
      <c r="AA1714">
        <v>24</v>
      </c>
      <c r="AB1714" t="s">
        <v>116</v>
      </c>
      <c r="AC1714">
        <v>6146700</v>
      </c>
      <c r="AD1714">
        <v>0.11</v>
      </c>
      <c r="AE1714" t="s">
        <v>116</v>
      </c>
      <c r="AF1714" t="s">
        <v>116</v>
      </c>
      <c r="AG1714">
        <v>6.37</v>
      </c>
      <c r="AH1714" t="s">
        <v>8830</v>
      </c>
      <c r="AI1714" t="s">
        <v>8831</v>
      </c>
      <c r="AJ1714">
        <v>-3.54</v>
      </c>
      <c r="AK1714">
        <v>4117</v>
      </c>
      <c r="AL1714">
        <v>112</v>
      </c>
      <c r="AM1714">
        <v>1.8E-3</v>
      </c>
      <c r="AN1714">
        <v>-2</v>
      </c>
      <c r="AO1714">
        <v>4.78</v>
      </c>
      <c r="AP1714">
        <v>11.8</v>
      </c>
      <c r="AQ1714">
        <v>80.91</v>
      </c>
      <c r="AR1714">
        <v>119.72</v>
      </c>
      <c r="AS1714">
        <v>10.95</v>
      </c>
      <c r="AT1714" t="s">
        <v>8832</v>
      </c>
      <c r="AU1714">
        <v>79.540000000000006</v>
      </c>
      <c r="AV1714">
        <v>67.040000000000006</v>
      </c>
      <c r="AW1714">
        <v>0.94</v>
      </c>
      <c r="BA1714">
        <v>1.43</v>
      </c>
      <c r="BB1714">
        <v>3.32</v>
      </c>
      <c r="BC1714">
        <v>-4.22</v>
      </c>
      <c r="BD1714">
        <v>-0.28999999999999998</v>
      </c>
      <c r="BE1714">
        <v>-5.58</v>
      </c>
      <c r="BF1714">
        <v>-7.3</v>
      </c>
      <c r="BG1714">
        <v>0</v>
      </c>
      <c r="BH1714">
        <v>-3.93</v>
      </c>
      <c r="BI1714">
        <v>20191220</v>
      </c>
      <c r="BJ1714">
        <v>20120523</v>
      </c>
      <c r="BK1714">
        <v>6.95</v>
      </c>
      <c r="BL1714" t="s">
        <v>116</v>
      </c>
      <c r="BM1714" t="s">
        <v>116</v>
      </c>
      <c r="BN1714">
        <v>33.24</v>
      </c>
      <c r="BO1714">
        <v>20.93</v>
      </c>
      <c r="BP1714">
        <v>0.75</v>
      </c>
      <c r="BQ1714">
        <v>34.799999999999997</v>
      </c>
      <c r="BR1714">
        <v>17.850000000000001</v>
      </c>
      <c r="BS1714">
        <v>6.92</v>
      </c>
      <c r="BT1714">
        <v>0.87</v>
      </c>
      <c r="BU1714">
        <v>9.9600000000000009</v>
      </c>
      <c r="BV1714">
        <v>7.42</v>
      </c>
      <c r="BW1714">
        <v>6.7</v>
      </c>
      <c r="BX1714">
        <v>12.53</v>
      </c>
      <c r="BY1714">
        <v>12.32</v>
      </c>
      <c r="BZ1714">
        <v>10.38</v>
      </c>
      <c r="CA1714">
        <v>0.98</v>
      </c>
      <c r="CB1714">
        <v>0</v>
      </c>
      <c r="CC1714">
        <v>0.99</v>
      </c>
      <c r="CD1714">
        <v>0.86</v>
      </c>
      <c r="CE1714">
        <v>0.75</v>
      </c>
      <c r="CF1714">
        <v>0.5</v>
      </c>
      <c r="CG1714">
        <v>1.1299999999999999</v>
      </c>
      <c r="CH1714">
        <v>0.52</v>
      </c>
      <c r="CI1714">
        <v>-1.49</v>
      </c>
      <c r="CJ1714">
        <v>31125</v>
      </c>
      <c r="CK1714">
        <v>13476</v>
      </c>
      <c r="CL1714" t="s">
        <v>8833</v>
      </c>
      <c r="CM1714">
        <v>-21.63</v>
      </c>
      <c r="CN1714">
        <v>-1.01</v>
      </c>
      <c r="CO1714">
        <v>4.22</v>
      </c>
      <c r="CP1714">
        <v>170.63</v>
      </c>
      <c r="CQ1714">
        <v>7.16</v>
      </c>
      <c r="CR1714">
        <v>0</v>
      </c>
      <c r="CS1714" t="s">
        <v>1808</v>
      </c>
      <c r="CT1714">
        <v>3.01</v>
      </c>
      <c r="CU1714">
        <v>0</v>
      </c>
      <c r="CV1714">
        <v>1.8</v>
      </c>
      <c r="CW1714">
        <v>0.16</v>
      </c>
      <c r="CX1714">
        <v>7.0000000000000007E-2</v>
      </c>
      <c r="CY1714">
        <v>62.95</v>
      </c>
      <c r="CZ1714" t="s">
        <v>3111</v>
      </c>
      <c r="DA1714">
        <v>15.74</v>
      </c>
      <c r="DB1714">
        <v>7.97</v>
      </c>
      <c r="DC1714">
        <v>6.08</v>
      </c>
      <c r="DD1714">
        <v>0.43</v>
      </c>
      <c r="DE1714">
        <v>3089</v>
      </c>
      <c r="DF1714">
        <v>300319</v>
      </c>
      <c r="DG1714" t="s">
        <v>116</v>
      </c>
      <c r="DH1714" t="s">
        <v>116</v>
      </c>
      <c r="DI1714" t="s">
        <v>116</v>
      </c>
    </row>
    <row r="1715" spans="1:113" x14ac:dyDescent="0.4">
      <c r="A1715" t="str">
        <f>"300320"</f>
        <v>300320</v>
      </c>
      <c r="B1715" t="s">
        <v>8834</v>
      </c>
      <c r="C1715">
        <v>0.64</v>
      </c>
      <c r="D1715">
        <v>4.7300000000000004</v>
      </c>
      <c r="E1715">
        <v>0.03</v>
      </c>
      <c r="F1715">
        <v>4.7300000000000004</v>
      </c>
      <c r="G1715">
        <v>4.74</v>
      </c>
      <c r="H1715">
        <v>74277</v>
      </c>
      <c r="I1715">
        <v>363</v>
      </c>
      <c r="J1715">
        <v>-0.2</v>
      </c>
      <c r="K1715">
        <v>1.48</v>
      </c>
      <c r="L1715">
        <v>4.7</v>
      </c>
      <c r="M1715">
        <v>4.8099999999999996</v>
      </c>
      <c r="N1715">
        <v>4.68</v>
      </c>
      <c r="O1715">
        <v>4.7</v>
      </c>
      <c r="P1715">
        <v>13.88</v>
      </c>
      <c r="Q1715">
        <v>35331236</v>
      </c>
      <c r="R1715">
        <v>1.82</v>
      </c>
      <c r="S1715" t="s">
        <v>2541</v>
      </c>
      <c r="T1715" t="s">
        <v>323</v>
      </c>
      <c r="U1715">
        <v>2.77</v>
      </c>
      <c r="V1715">
        <v>4.76</v>
      </c>
      <c r="W1715">
        <v>31320</v>
      </c>
      <c r="X1715">
        <v>42957</v>
      </c>
      <c r="Y1715">
        <v>0.73</v>
      </c>
      <c r="Z1715">
        <v>213</v>
      </c>
      <c r="AA1715">
        <v>369</v>
      </c>
      <c r="AB1715" t="s">
        <v>116</v>
      </c>
      <c r="AC1715">
        <v>158900</v>
      </c>
      <c r="AD1715">
        <v>0.01</v>
      </c>
      <c r="AE1715" t="s">
        <v>116</v>
      </c>
      <c r="AF1715" t="s">
        <v>116</v>
      </c>
      <c r="AG1715">
        <v>5.03</v>
      </c>
      <c r="AH1715" t="s">
        <v>4784</v>
      </c>
      <c r="AI1715" t="s">
        <v>2659</v>
      </c>
      <c r="AJ1715">
        <v>1.32</v>
      </c>
      <c r="AK1715">
        <v>1251</v>
      </c>
      <c r="AL1715">
        <v>59</v>
      </c>
      <c r="AM1715">
        <v>1.1999999999999999E-3</v>
      </c>
      <c r="AN1715">
        <v>2</v>
      </c>
      <c r="AO1715">
        <v>0.64</v>
      </c>
      <c r="AP1715">
        <v>7.01</v>
      </c>
      <c r="AQ1715">
        <v>4.88</v>
      </c>
      <c r="AR1715">
        <v>9.14</v>
      </c>
      <c r="AS1715">
        <v>1.95</v>
      </c>
      <c r="AT1715" t="s">
        <v>6064</v>
      </c>
      <c r="AU1715">
        <v>14.32</v>
      </c>
      <c r="AV1715">
        <v>17.03</v>
      </c>
      <c r="AW1715">
        <v>0.97</v>
      </c>
      <c r="BA1715">
        <v>0</v>
      </c>
      <c r="BB1715">
        <v>2.34</v>
      </c>
      <c r="BC1715">
        <v>-0.43</v>
      </c>
      <c r="BD1715">
        <v>1.21</v>
      </c>
      <c r="BE1715">
        <v>0.64</v>
      </c>
      <c r="BF1715">
        <v>-1.66</v>
      </c>
      <c r="BG1715">
        <v>1.07</v>
      </c>
      <c r="BH1715">
        <v>-0.56999999999999995</v>
      </c>
      <c r="BI1715">
        <v>20191026</v>
      </c>
      <c r="BJ1715">
        <v>20120601</v>
      </c>
      <c r="BK1715">
        <v>6.01</v>
      </c>
      <c r="BL1715" t="s">
        <v>116</v>
      </c>
      <c r="BM1715" t="s">
        <v>116</v>
      </c>
      <c r="BN1715">
        <v>27.66</v>
      </c>
      <c r="BO1715">
        <v>16.190000000000001</v>
      </c>
      <c r="BP1715">
        <v>0.37</v>
      </c>
      <c r="BQ1715">
        <v>40.119999999999997</v>
      </c>
      <c r="BR1715">
        <v>18.22</v>
      </c>
      <c r="BS1715">
        <v>3.66</v>
      </c>
      <c r="BT1715">
        <v>0.93</v>
      </c>
      <c r="BU1715">
        <v>9.82</v>
      </c>
      <c r="BV1715">
        <v>3.53</v>
      </c>
      <c r="BW1715">
        <v>9.98</v>
      </c>
      <c r="BX1715">
        <v>3.63</v>
      </c>
      <c r="BY1715">
        <v>15.92</v>
      </c>
      <c r="BZ1715">
        <v>11.66</v>
      </c>
      <c r="CA1715">
        <v>1.86</v>
      </c>
      <c r="CB1715">
        <v>0</v>
      </c>
      <c r="CC1715">
        <v>1.85</v>
      </c>
      <c r="CD1715">
        <v>1.58</v>
      </c>
      <c r="CE1715">
        <v>1.54</v>
      </c>
      <c r="CF1715">
        <v>1.53</v>
      </c>
      <c r="CG1715">
        <v>5.81</v>
      </c>
      <c r="CH1715">
        <v>0.8</v>
      </c>
      <c r="CI1715">
        <v>-0.35</v>
      </c>
      <c r="CJ1715">
        <v>17282</v>
      </c>
      <c r="CK1715">
        <v>21995</v>
      </c>
      <c r="CL1715" t="s">
        <v>603</v>
      </c>
      <c r="CM1715">
        <v>25.93</v>
      </c>
      <c r="CN1715">
        <v>1.62</v>
      </c>
      <c r="CO1715">
        <v>1.76</v>
      </c>
      <c r="CP1715">
        <v>35.520000000000003</v>
      </c>
      <c r="CQ1715">
        <v>1.79</v>
      </c>
      <c r="CR1715">
        <v>1.18</v>
      </c>
      <c r="CS1715" t="s">
        <v>3081</v>
      </c>
      <c r="CT1715">
        <v>2.69</v>
      </c>
      <c r="CU1715">
        <v>0</v>
      </c>
      <c r="CV1715">
        <v>0.6</v>
      </c>
      <c r="CW1715">
        <v>0.97</v>
      </c>
      <c r="CX1715">
        <v>0.13</v>
      </c>
      <c r="CY1715">
        <v>58.53</v>
      </c>
      <c r="CZ1715" t="s">
        <v>3685</v>
      </c>
      <c r="DA1715">
        <v>26.77</v>
      </c>
      <c r="DB1715">
        <v>11.65</v>
      </c>
      <c r="DC1715">
        <v>9.65</v>
      </c>
      <c r="DD1715">
        <v>0.65</v>
      </c>
      <c r="DE1715">
        <v>2002</v>
      </c>
      <c r="DF1715">
        <v>300320</v>
      </c>
      <c r="DG1715" t="s">
        <v>116</v>
      </c>
      <c r="DH1715" t="s">
        <v>116</v>
      </c>
      <c r="DI1715" t="s">
        <v>116</v>
      </c>
    </row>
    <row r="1716" spans="1:113" x14ac:dyDescent="0.4">
      <c r="A1716" t="str">
        <f>"300321"</f>
        <v>300321</v>
      </c>
      <c r="B1716" t="s">
        <v>8835</v>
      </c>
      <c r="C1716">
        <v>1.06</v>
      </c>
      <c r="D1716">
        <v>16.170000000000002</v>
      </c>
      <c r="E1716">
        <v>0.17</v>
      </c>
      <c r="F1716">
        <v>16.170000000000002</v>
      </c>
      <c r="G1716">
        <v>16.18</v>
      </c>
      <c r="H1716">
        <v>23099</v>
      </c>
      <c r="I1716">
        <v>350</v>
      </c>
      <c r="J1716">
        <v>-0.11</v>
      </c>
      <c r="K1716">
        <v>2.79</v>
      </c>
      <c r="L1716">
        <v>16.059999999999999</v>
      </c>
      <c r="M1716">
        <v>16.7</v>
      </c>
      <c r="N1716">
        <v>15.82</v>
      </c>
      <c r="O1716">
        <v>16</v>
      </c>
      <c r="P1716">
        <v>41.24</v>
      </c>
      <c r="Q1716">
        <v>37419320</v>
      </c>
      <c r="R1716">
        <v>2.92</v>
      </c>
      <c r="S1716" t="s">
        <v>2444</v>
      </c>
      <c r="T1716" t="s">
        <v>645</v>
      </c>
      <c r="U1716">
        <v>5.5</v>
      </c>
      <c r="V1716">
        <v>16.2</v>
      </c>
      <c r="W1716">
        <v>10467</v>
      </c>
      <c r="X1716">
        <v>12632</v>
      </c>
      <c r="Y1716">
        <v>0.83</v>
      </c>
      <c r="Z1716">
        <v>87</v>
      </c>
      <c r="AA1716">
        <v>3</v>
      </c>
      <c r="AB1716" t="s">
        <v>116</v>
      </c>
      <c r="AC1716">
        <v>56200</v>
      </c>
      <c r="AD1716">
        <v>0.01</v>
      </c>
      <c r="AE1716" t="s">
        <v>116</v>
      </c>
      <c r="AF1716" t="s">
        <v>116</v>
      </c>
      <c r="AG1716">
        <v>0.83</v>
      </c>
      <c r="AH1716" t="s">
        <v>8636</v>
      </c>
      <c r="AI1716" t="s">
        <v>8836</v>
      </c>
      <c r="AJ1716">
        <v>1.74</v>
      </c>
      <c r="AK1716">
        <v>1095</v>
      </c>
      <c r="AL1716">
        <v>21</v>
      </c>
      <c r="AM1716">
        <v>2.5000000000000001E-3</v>
      </c>
      <c r="AN1716">
        <v>4</v>
      </c>
      <c r="AO1716">
        <v>2.8</v>
      </c>
      <c r="AP1716">
        <v>12.37</v>
      </c>
      <c r="AQ1716">
        <v>8.16</v>
      </c>
      <c r="AR1716">
        <v>28.44</v>
      </c>
      <c r="AS1716">
        <v>6.21</v>
      </c>
      <c r="AT1716" t="s">
        <v>8837</v>
      </c>
      <c r="AU1716">
        <v>38.93</v>
      </c>
      <c r="AV1716">
        <v>49.86</v>
      </c>
      <c r="AW1716">
        <v>0.89</v>
      </c>
      <c r="BA1716">
        <v>0.37</v>
      </c>
      <c r="BB1716">
        <v>4.38</v>
      </c>
      <c r="BC1716">
        <v>-1.1299999999999999</v>
      </c>
      <c r="BD1716">
        <v>1.25</v>
      </c>
      <c r="BE1716">
        <v>0.68</v>
      </c>
      <c r="BF1716">
        <v>-3.17</v>
      </c>
      <c r="BG1716">
        <v>2.21</v>
      </c>
      <c r="BH1716">
        <v>-0.18</v>
      </c>
      <c r="BI1716">
        <v>20191216</v>
      </c>
      <c r="BJ1716">
        <v>20120523</v>
      </c>
      <c r="BK1716">
        <v>0.89</v>
      </c>
      <c r="BL1716" t="s">
        <v>116</v>
      </c>
      <c r="BM1716" t="s">
        <v>116</v>
      </c>
      <c r="BN1716">
        <v>7.37</v>
      </c>
      <c r="BO1716">
        <v>6.37</v>
      </c>
      <c r="BP1716">
        <v>0</v>
      </c>
      <c r="BQ1716">
        <v>13.61</v>
      </c>
      <c r="BR1716">
        <v>3.96</v>
      </c>
      <c r="BS1716">
        <v>2.5</v>
      </c>
      <c r="BT1716">
        <v>0.75</v>
      </c>
      <c r="BU1716">
        <v>0.87</v>
      </c>
      <c r="BV1716">
        <v>0.77</v>
      </c>
      <c r="BW1716">
        <v>0.73</v>
      </c>
      <c r="BX1716">
        <v>2.38</v>
      </c>
      <c r="BY1716">
        <v>3.34</v>
      </c>
      <c r="BZ1716">
        <v>2.67</v>
      </c>
      <c r="CA1716">
        <v>0.3</v>
      </c>
      <c r="CB1716">
        <v>0.01</v>
      </c>
      <c r="CC1716">
        <v>0.31</v>
      </c>
      <c r="CD1716">
        <v>0.26</v>
      </c>
      <c r="CE1716">
        <v>0.26</v>
      </c>
      <c r="CF1716">
        <v>0.22</v>
      </c>
      <c r="CG1716">
        <v>2.75</v>
      </c>
      <c r="CH1716">
        <v>0.61</v>
      </c>
      <c r="CI1716">
        <v>0.72</v>
      </c>
      <c r="CJ1716">
        <v>7773</v>
      </c>
      <c r="CK1716">
        <v>4786</v>
      </c>
      <c r="CL1716" t="s">
        <v>4005</v>
      </c>
      <c r="CM1716">
        <v>44.89</v>
      </c>
      <c r="CN1716">
        <v>-1.76</v>
      </c>
      <c r="CO1716">
        <v>2.25</v>
      </c>
      <c r="CP1716">
        <v>23.58</v>
      </c>
      <c r="CQ1716">
        <v>4.3</v>
      </c>
      <c r="CR1716">
        <v>0.37</v>
      </c>
      <c r="CS1716" t="s">
        <v>7206</v>
      </c>
      <c r="CT1716">
        <v>7.17</v>
      </c>
      <c r="CU1716">
        <v>0</v>
      </c>
      <c r="CV1716">
        <v>2.68</v>
      </c>
      <c r="CW1716">
        <v>3.09</v>
      </c>
      <c r="CX1716">
        <v>0.69</v>
      </c>
      <c r="CY1716">
        <v>86.39</v>
      </c>
      <c r="CZ1716" t="s">
        <v>4488</v>
      </c>
      <c r="DA1716">
        <v>19.91</v>
      </c>
      <c r="DB1716">
        <v>9.11</v>
      </c>
      <c r="DC1716">
        <v>7.82</v>
      </c>
      <c r="DD1716">
        <v>0.17</v>
      </c>
      <c r="DE1716">
        <v>582</v>
      </c>
      <c r="DF1716">
        <v>300321</v>
      </c>
      <c r="DG1716" t="s">
        <v>116</v>
      </c>
      <c r="DH1716" t="s">
        <v>116</v>
      </c>
      <c r="DI1716" t="s">
        <v>116</v>
      </c>
    </row>
    <row r="1717" spans="1:113" x14ac:dyDescent="0.4">
      <c r="A1717" t="str">
        <f>"300322"</f>
        <v>300322</v>
      </c>
      <c r="B1717" t="s">
        <v>8838</v>
      </c>
      <c r="C1717">
        <v>-2.4</v>
      </c>
      <c r="D1717">
        <v>21.17</v>
      </c>
      <c r="E1717">
        <v>-0.52</v>
      </c>
      <c r="F1717">
        <v>21.16</v>
      </c>
      <c r="G1717">
        <v>21.17</v>
      </c>
      <c r="H1717">
        <v>178109</v>
      </c>
      <c r="I1717">
        <v>4999</v>
      </c>
      <c r="J1717">
        <v>-0.08</v>
      </c>
      <c r="K1717">
        <v>4.8</v>
      </c>
      <c r="L1717">
        <v>21.76</v>
      </c>
      <c r="M1717">
        <v>22.02</v>
      </c>
      <c r="N1717">
        <v>21.15</v>
      </c>
      <c r="O1717">
        <v>21.69</v>
      </c>
      <c r="P1717">
        <v>63.14</v>
      </c>
      <c r="Q1717">
        <v>384220672</v>
      </c>
      <c r="R1717">
        <v>0.8</v>
      </c>
      <c r="S1717" t="s">
        <v>465</v>
      </c>
      <c r="T1717" t="s">
        <v>551</v>
      </c>
      <c r="U1717">
        <v>4.01</v>
      </c>
      <c r="V1717">
        <v>21.57</v>
      </c>
      <c r="W1717">
        <v>97421</v>
      </c>
      <c r="X1717">
        <v>80688</v>
      </c>
      <c r="Y1717">
        <v>1.21</v>
      </c>
      <c r="Z1717">
        <v>175</v>
      </c>
      <c r="AA1717">
        <v>1080</v>
      </c>
      <c r="AB1717" t="s">
        <v>116</v>
      </c>
      <c r="AC1717">
        <v>1401300</v>
      </c>
      <c r="AD1717">
        <v>0.02</v>
      </c>
      <c r="AE1717" t="s">
        <v>116</v>
      </c>
      <c r="AF1717" t="s">
        <v>116</v>
      </c>
      <c r="AG1717">
        <v>3.71</v>
      </c>
      <c r="AH1717" t="s">
        <v>8839</v>
      </c>
      <c r="AI1717" t="s">
        <v>8840</v>
      </c>
      <c r="AJ1717">
        <v>-1.72</v>
      </c>
      <c r="AK1717">
        <v>3698</v>
      </c>
      <c r="AL1717">
        <v>48</v>
      </c>
      <c r="AM1717">
        <v>1.2999999999999999E-3</v>
      </c>
      <c r="AN1717">
        <v>-1</v>
      </c>
      <c r="AO1717">
        <v>0</v>
      </c>
      <c r="AP1717">
        <v>9.41</v>
      </c>
      <c r="AQ1717">
        <v>-12.88</v>
      </c>
      <c r="AR1717">
        <v>122.61</v>
      </c>
      <c r="AS1717">
        <v>6.2</v>
      </c>
      <c r="AT1717" t="s">
        <v>8841</v>
      </c>
      <c r="AU1717">
        <v>74.77</v>
      </c>
      <c r="AV1717">
        <v>138</v>
      </c>
      <c r="AW1717">
        <v>1.85</v>
      </c>
      <c r="BA1717">
        <v>0.32</v>
      </c>
      <c r="BB1717">
        <v>1.52</v>
      </c>
      <c r="BC1717">
        <v>-2.4900000000000002</v>
      </c>
      <c r="BD1717">
        <v>-0.54</v>
      </c>
      <c r="BE1717">
        <v>-2.71</v>
      </c>
      <c r="BF1717">
        <v>-3.86</v>
      </c>
      <c r="BG1717">
        <v>0.09</v>
      </c>
      <c r="BH1717">
        <v>-1.85</v>
      </c>
      <c r="BI1717">
        <v>20191107</v>
      </c>
      <c r="BJ1717">
        <v>20120608</v>
      </c>
      <c r="BK1717">
        <v>4.07</v>
      </c>
      <c r="BL1717" t="s">
        <v>116</v>
      </c>
      <c r="BM1717" t="s">
        <v>116</v>
      </c>
      <c r="BN1717">
        <v>17.7</v>
      </c>
      <c r="BO1717">
        <v>6.68</v>
      </c>
      <c r="BP1717">
        <v>0.41</v>
      </c>
      <c r="BQ1717">
        <v>59.97</v>
      </c>
      <c r="BR1717">
        <v>11.49</v>
      </c>
      <c r="BS1717">
        <v>3.47</v>
      </c>
      <c r="BT1717">
        <v>0.39</v>
      </c>
      <c r="BU1717">
        <v>9.74</v>
      </c>
      <c r="BV1717">
        <v>2.44</v>
      </c>
      <c r="BW1717">
        <v>4.43</v>
      </c>
      <c r="BX1717">
        <v>0.03</v>
      </c>
      <c r="BY1717">
        <v>12.9</v>
      </c>
      <c r="BZ1717">
        <v>10.11</v>
      </c>
      <c r="CA1717">
        <v>1.1499999999999999</v>
      </c>
      <c r="CB1717">
        <v>0.7</v>
      </c>
      <c r="CC1717">
        <v>1.1299999999999999</v>
      </c>
      <c r="CD1717">
        <v>1.06</v>
      </c>
      <c r="CE1717">
        <v>1.02</v>
      </c>
      <c r="CF1717">
        <v>0.41</v>
      </c>
      <c r="CG1717">
        <v>2.2000000000000002</v>
      </c>
      <c r="CH1717">
        <v>0.97</v>
      </c>
      <c r="CI1717">
        <v>1.52</v>
      </c>
      <c r="CJ1717">
        <v>48246</v>
      </c>
      <c r="CK1717">
        <v>5956</v>
      </c>
      <c r="CL1717" t="s">
        <v>8842</v>
      </c>
      <c r="CM1717">
        <v>106.54</v>
      </c>
      <c r="CN1717">
        <v>0.92</v>
      </c>
      <c r="CO1717">
        <v>12.9</v>
      </c>
      <c r="CP1717">
        <v>88.69</v>
      </c>
      <c r="CQ1717">
        <v>6.68</v>
      </c>
      <c r="CR1717">
        <v>0.14000000000000001</v>
      </c>
      <c r="CS1717" t="s">
        <v>5231</v>
      </c>
      <c r="CT1717">
        <v>1.64</v>
      </c>
      <c r="CU1717">
        <v>0</v>
      </c>
      <c r="CV1717">
        <v>0.01</v>
      </c>
      <c r="CW1717">
        <v>0.54</v>
      </c>
      <c r="CX1717">
        <v>0.24</v>
      </c>
      <c r="CY1717">
        <v>37.71</v>
      </c>
      <c r="CZ1717" t="s">
        <v>3734</v>
      </c>
      <c r="DA1717">
        <v>21.57</v>
      </c>
      <c r="DB1717">
        <v>8.94</v>
      </c>
      <c r="DC1717">
        <v>7.93</v>
      </c>
      <c r="DD1717">
        <v>0.82</v>
      </c>
      <c r="DE1717">
        <v>1911</v>
      </c>
      <c r="DF1717">
        <v>300322</v>
      </c>
      <c r="DG1717" t="s">
        <v>116</v>
      </c>
      <c r="DH1717" t="s">
        <v>116</v>
      </c>
      <c r="DI1717" t="s">
        <v>116</v>
      </c>
    </row>
    <row r="1718" spans="1:113" x14ac:dyDescent="0.4">
      <c r="A1718" t="str">
        <f>"300323"</f>
        <v>300323</v>
      </c>
      <c r="B1718" t="s">
        <v>8843</v>
      </c>
      <c r="C1718">
        <v>-5.0199999999999996</v>
      </c>
      <c r="D1718">
        <v>6.81</v>
      </c>
      <c r="E1718">
        <v>-0.36</v>
      </c>
      <c r="F1718">
        <v>6.8</v>
      </c>
      <c r="G1718">
        <v>6.81</v>
      </c>
      <c r="H1718">
        <v>335023</v>
      </c>
      <c r="I1718">
        <v>6346</v>
      </c>
      <c r="J1718">
        <v>-0.14000000000000001</v>
      </c>
      <c r="K1718">
        <v>4.03</v>
      </c>
      <c r="L1718">
        <v>7.24</v>
      </c>
      <c r="M1718">
        <v>7.35</v>
      </c>
      <c r="N1718">
        <v>6.8</v>
      </c>
      <c r="O1718">
        <v>7.17</v>
      </c>
      <c r="P1718" t="s">
        <v>116</v>
      </c>
      <c r="Q1718">
        <v>236574528</v>
      </c>
      <c r="R1718">
        <v>1.17</v>
      </c>
      <c r="S1718" t="s">
        <v>3507</v>
      </c>
      <c r="T1718" t="s">
        <v>774</v>
      </c>
      <c r="U1718">
        <v>7.67</v>
      </c>
      <c r="V1718">
        <v>7.06</v>
      </c>
      <c r="W1718">
        <v>196187</v>
      </c>
      <c r="X1718">
        <v>138836</v>
      </c>
      <c r="Y1718">
        <v>1.41</v>
      </c>
      <c r="Z1718">
        <v>1420</v>
      </c>
      <c r="AA1718">
        <v>1137</v>
      </c>
      <c r="AB1718" t="s">
        <v>116</v>
      </c>
      <c r="AC1718">
        <v>1358200</v>
      </c>
      <c r="AD1718">
        <v>0.04</v>
      </c>
      <c r="AE1718" t="s">
        <v>116</v>
      </c>
      <c r="AF1718" t="s">
        <v>116</v>
      </c>
      <c r="AG1718">
        <v>8.32</v>
      </c>
      <c r="AH1718" t="s">
        <v>8844</v>
      </c>
      <c r="AI1718" t="s">
        <v>8845</v>
      </c>
      <c r="AJ1718">
        <v>-4.34</v>
      </c>
      <c r="AK1718">
        <v>3046</v>
      </c>
      <c r="AL1718">
        <v>110</v>
      </c>
      <c r="AM1718">
        <v>1.2999999999999999E-3</v>
      </c>
      <c r="AN1718">
        <v>-1</v>
      </c>
      <c r="AO1718">
        <v>-1.1599999999999999</v>
      </c>
      <c r="AP1718">
        <v>38.409999999999997</v>
      </c>
      <c r="AQ1718">
        <v>27.53</v>
      </c>
      <c r="AR1718">
        <v>-5.22</v>
      </c>
      <c r="AS1718">
        <v>7.26</v>
      </c>
      <c r="AT1718" t="s">
        <v>1234</v>
      </c>
      <c r="AU1718" t="s">
        <v>116</v>
      </c>
      <c r="AV1718">
        <v>30.5</v>
      </c>
      <c r="AW1718">
        <v>1.18</v>
      </c>
      <c r="BA1718">
        <v>0.98</v>
      </c>
      <c r="BB1718">
        <v>2.5099999999999998</v>
      </c>
      <c r="BC1718">
        <v>-5.16</v>
      </c>
      <c r="BD1718">
        <v>-1.51</v>
      </c>
      <c r="BE1718">
        <v>-5.94</v>
      </c>
      <c r="BF1718">
        <v>-7.35</v>
      </c>
      <c r="BG1718">
        <v>0.15</v>
      </c>
      <c r="BH1718">
        <v>-3.51</v>
      </c>
      <c r="BI1718">
        <v>20191030</v>
      </c>
      <c r="BJ1718">
        <v>20120601</v>
      </c>
      <c r="BK1718">
        <v>10.92</v>
      </c>
      <c r="BL1718" t="s">
        <v>116</v>
      </c>
      <c r="BM1718" t="s">
        <v>116</v>
      </c>
      <c r="BN1718">
        <v>123.9</v>
      </c>
      <c r="BO1718">
        <v>51.65</v>
      </c>
      <c r="BP1718">
        <v>0</v>
      </c>
      <c r="BQ1718">
        <v>58.31</v>
      </c>
      <c r="BR1718">
        <v>44.98</v>
      </c>
      <c r="BS1718">
        <v>47.81</v>
      </c>
      <c r="BT1718">
        <v>7.77</v>
      </c>
      <c r="BU1718">
        <v>44.22</v>
      </c>
      <c r="BV1718">
        <v>12.71</v>
      </c>
      <c r="BW1718">
        <v>10.55</v>
      </c>
      <c r="BX1718">
        <v>37.75</v>
      </c>
      <c r="BY1718">
        <v>19.66</v>
      </c>
      <c r="BZ1718">
        <v>21.02</v>
      </c>
      <c r="CA1718">
        <v>-7.21</v>
      </c>
      <c r="CB1718">
        <v>0.01</v>
      </c>
      <c r="CC1718">
        <v>-7.45</v>
      </c>
      <c r="CD1718">
        <v>-7.14</v>
      </c>
      <c r="CE1718">
        <v>-7.14</v>
      </c>
      <c r="CF1718">
        <v>-8.35</v>
      </c>
      <c r="CG1718">
        <v>2.0099999999999998</v>
      </c>
      <c r="CH1718">
        <v>-0.02</v>
      </c>
      <c r="CI1718">
        <v>-0.28999999999999998</v>
      </c>
      <c r="CJ1718">
        <v>33881</v>
      </c>
      <c r="CK1718">
        <v>13612</v>
      </c>
      <c r="CL1718" t="s">
        <v>6907</v>
      </c>
      <c r="CM1718">
        <v>-243.51</v>
      </c>
      <c r="CN1718">
        <v>-15.81</v>
      </c>
      <c r="CO1718">
        <v>1.44</v>
      </c>
      <c r="CP1718">
        <v>-3311.79</v>
      </c>
      <c r="CQ1718">
        <v>3.78</v>
      </c>
      <c r="CR1718">
        <v>0.66</v>
      </c>
      <c r="CS1718" t="s">
        <v>8846</v>
      </c>
      <c r="CT1718">
        <v>4.7300000000000004</v>
      </c>
      <c r="CU1718">
        <v>0</v>
      </c>
      <c r="CV1718">
        <v>3.46</v>
      </c>
      <c r="CW1718">
        <v>0.18</v>
      </c>
      <c r="CX1718">
        <v>0</v>
      </c>
      <c r="CY1718">
        <v>41.69</v>
      </c>
      <c r="CZ1718" t="s">
        <v>8847</v>
      </c>
      <c r="DA1718">
        <v>-6.92</v>
      </c>
      <c r="DB1718">
        <v>-36.69</v>
      </c>
      <c r="DC1718">
        <v>-36.32</v>
      </c>
      <c r="DD1718">
        <v>1.02</v>
      </c>
      <c r="DE1718">
        <v>7045</v>
      </c>
      <c r="DF1718">
        <v>300323</v>
      </c>
      <c r="DG1718" t="s">
        <v>116</v>
      </c>
      <c r="DH1718" t="s">
        <v>116</v>
      </c>
      <c r="DI1718" t="s">
        <v>116</v>
      </c>
    </row>
    <row r="1719" spans="1:113" x14ac:dyDescent="0.4">
      <c r="A1719" t="str">
        <f>"300324"</f>
        <v>300324</v>
      </c>
      <c r="B1719" t="s">
        <v>8848</v>
      </c>
      <c r="C1719">
        <v>-1.96</v>
      </c>
      <c r="D1719">
        <v>5.49</v>
      </c>
      <c r="E1719">
        <v>-0.11</v>
      </c>
      <c r="F1719">
        <v>5.48</v>
      </c>
      <c r="G1719">
        <v>5.49</v>
      </c>
      <c r="H1719">
        <v>244528</v>
      </c>
      <c r="I1719">
        <v>3179</v>
      </c>
      <c r="J1719">
        <v>-0.17</v>
      </c>
      <c r="K1719">
        <v>2.13</v>
      </c>
      <c r="L1719">
        <v>5.58</v>
      </c>
      <c r="M1719">
        <v>5.68</v>
      </c>
      <c r="N1719">
        <v>5.46</v>
      </c>
      <c r="O1719">
        <v>5.6</v>
      </c>
      <c r="P1719">
        <v>31.84</v>
      </c>
      <c r="Q1719">
        <v>136377552</v>
      </c>
      <c r="R1719">
        <v>0.94</v>
      </c>
      <c r="S1719" t="s">
        <v>607</v>
      </c>
      <c r="T1719" t="s">
        <v>165</v>
      </c>
      <c r="U1719">
        <v>3.93</v>
      </c>
      <c r="V1719">
        <v>5.58</v>
      </c>
      <c r="W1719">
        <v>139752</v>
      </c>
      <c r="X1719">
        <v>104776</v>
      </c>
      <c r="Y1719">
        <v>1.33</v>
      </c>
      <c r="Z1719">
        <v>682</v>
      </c>
      <c r="AA1719">
        <v>2009</v>
      </c>
      <c r="AB1719" t="s">
        <v>116</v>
      </c>
      <c r="AC1719">
        <v>176900</v>
      </c>
      <c r="AD1719">
        <v>0</v>
      </c>
      <c r="AE1719" t="s">
        <v>116</v>
      </c>
      <c r="AF1719" t="s">
        <v>116</v>
      </c>
      <c r="AG1719">
        <v>11.49</v>
      </c>
      <c r="AH1719" t="s">
        <v>8849</v>
      </c>
      <c r="AI1719" t="s">
        <v>8850</v>
      </c>
      <c r="AJ1719">
        <v>-1.29</v>
      </c>
      <c r="AK1719">
        <v>2750</v>
      </c>
      <c r="AL1719">
        <v>89</v>
      </c>
      <c r="AM1719">
        <v>8.0000000000000004E-4</v>
      </c>
      <c r="AN1719">
        <v>-1</v>
      </c>
      <c r="AO1719">
        <v>0.18</v>
      </c>
      <c r="AP1719">
        <v>7.65</v>
      </c>
      <c r="AQ1719">
        <v>2.4300000000000002</v>
      </c>
      <c r="AR1719">
        <v>-2.14</v>
      </c>
      <c r="AS1719">
        <v>2.65</v>
      </c>
      <c r="AT1719" t="s">
        <v>2420</v>
      </c>
      <c r="AU1719" t="s">
        <v>116</v>
      </c>
      <c r="AV1719">
        <v>224.01</v>
      </c>
      <c r="AW1719">
        <v>1.94</v>
      </c>
      <c r="BA1719">
        <v>-0.36</v>
      </c>
      <c r="BB1719">
        <v>1.43</v>
      </c>
      <c r="BC1719">
        <v>-2.5</v>
      </c>
      <c r="BD1719">
        <v>-0.41</v>
      </c>
      <c r="BE1719">
        <v>-1.61</v>
      </c>
      <c r="BF1719">
        <v>-3.35</v>
      </c>
      <c r="BG1719">
        <v>0.55000000000000004</v>
      </c>
      <c r="BH1719">
        <v>-1.56</v>
      </c>
      <c r="BI1719">
        <v>20191225</v>
      </c>
      <c r="BJ1719">
        <v>20120608</v>
      </c>
      <c r="BK1719">
        <v>17.47</v>
      </c>
      <c r="BL1719" t="s">
        <v>116</v>
      </c>
      <c r="BM1719" t="s">
        <v>116</v>
      </c>
      <c r="BN1719">
        <v>78.319999999999993</v>
      </c>
      <c r="BO1719">
        <v>51.65</v>
      </c>
      <c r="BP1719">
        <v>1.06</v>
      </c>
      <c r="BQ1719">
        <v>32.700000000000003</v>
      </c>
      <c r="BR1719">
        <v>50.56</v>
      </c>
      <c r="BS1719">
        <v>3.51</v>
      </c>
      <c r="BT1719">
        <v>0.84</v>
      </c>
      <c r="BU1719">
        <v>24.94</v>
      </c>
      <c r="BV1719">
        <v>10.96</v>
      </c>
      <c r="BW1719">
        <v>10.74</v>
      </c>
      <c r="BX1719">
        <v>23.35</v>
      </c>
      <c r="BY1719">
        <v>24.04</v>
      </c>
      <c r="BZ1719">
        <v>15.79</v>
      </c>
      <c r="CA1719">
        <v>2.65</v>
      </c>
      <c r="CB1719">
        <v>0.04</v>
      </c>
      <c r="CC1719">
        <v>2.67</v>
      </c>
      <c r="CD1719">
        <v>2.36</v>
      </c>
      <c r="CE1719">
        <v>2.2599999999999998</v>
      </c>
      <c r="CF1719">
        <v>2.12</v>
      </c>
      <c r="CG1719">
        <v>10.85</v>
      </c>
      <c r="CH1719">
        <v>1.08</v>
      </c>
      <c r="CI1719">
        <v>-3.16</v>
      </c>
      <c r="CJ1719">
        <v>56172</v>
      </c>
      <c r="CK1719">
        <v>16429</v>
      </c>
      <c r="CL1719" t="s">
        <v>8375</v>
      </c>
      <c r="CM1719">
        <v>-34.4</v>
      </c>
      <c r="CN1719">
        <v>-4.99</v>
      </c>
      <c r="CO1719">
        <v>1.82</v>
      </c>
      <c r="CP1719">
        <v>89.11</v>
      </c>
      <c r="CQ1719">
        <v>3.99</v>
      </c>
      <c r="CR1719">
        <v>0</v>
      </c>
      <c r="CS1719" t="s">
        <v>2655</v>
      </c>
      <c r="CT1719">
        <v>3.02</v>
      </c>
      <c r="CU1719">
        <v>3.02</v>
      </c>
      <c r="CV1719">
        <v>1.34</v>
      </c>
      <c r="CW1719">
        <v>0.62</v>
      </c>
      <c r="CX1719">
        <v>0.06</v>
      </c>
      <c r="CY1719">
        <v>65.94</v>
      </c>
      <c r="CZ1719" t="s">
        <v>8243</v>
      </c>
      <c r="DA1719">
        <v>34.31</v>
      </c>
      <c r="DB1719">
        <v>11.02</v>
      </c>
      <c r="DC1719">
        <v>9.4</v>
      </c>
      <c r="DD1719">
        <v>1.62</v>
      </c>
      <c r="DE1719">
        <v>3619</v>
      </c>
      <c r="DF1719">
        <v>300324</v>
      </c>
      <c r="DG1719" t="s">
        <v>116</v>
      </c>
      <c r="DH1719" t="s">
        <v>116</v>
      </c>
      <c r="DI1719" t="s">
        <v>116</v>
      </c>
    </row>
    <row r="1720" spans="1:113" x14ac:dyDescent="0.4">
      <c r="A1720" t="str">
        <f>"300325"</f>
        <v>300325</v>
      </c>
      <c r="B1720" t="s">
        <v>8851</v>
      </c>
      <c r="C1720">
        <v>-2.88</v>
      </c>
      <c r="D1720">
        <v>3.37</v>
      </c>
      <c r="E1720">
        <v>-0.1</v>
      </c>
      <c r="F1720">
        <v>3.37</v>
      </c>
      <c r="G1720">
        <v>3.38</v>
      </c>
      <c r="H1720">
        <v>245391</v>
      </c>
      <c r="I1720">
        <v>6794</v>
      </c>
      <c r="J1720">
        <v>-0.28999999999999998</v>
      </c>
      <c r="K1720">
        <v>2.46</v>
      </c>
      <c r="L1720">
        <v>3.44</v>
      </c>
      <c r="M1720">
        <v>3.49</v>
      </c>
      <c r="N1720">
        <v>3.37</v>
      </c>
      <c r="O1720">
        <v>3.47</v>
      </c>
      <c r="P1720" t="s">
        <v>116</v>
      </c>
      <c r="Q1720">
        <v>84149168</v>
      </c>
      <c r="R1720">
        <v>0.62</v>
      </c>
      <c r="S1720" t="s">
        <v>2444</v>
      </c>
      <c r="T1720" t="s">
        <v>323</v>
      </c>
      <c r="U1720">
        <v>3.46</v>
      </c>
      <c r="V1720">
        <v>3.43</v>
      </c>
      <c r="W1720">
        <v>155654</v>
      </c>
      <c r="X1720">
        <v>89737</v>
      </c>
      <c r="Y1720">
        <v>1.73</v>
      </c>
      <c r="Z1720">
        <v>4732</v>
      </c>
      <c r="AA1720">
        <v>1482</v>
      </c>
      <c r="AB1720" t="s">
        <v>116</v>
      </c>
      <c r="AC1720">
        <v>378400</v>
      </c>
      <c r="AD1720">
        <v>0.02</v>
      </c>
      <c r="AE1720" t="s">
        <v>116</v>
      </c>
      <c r="AF1720" t="s">
        <v>116</v>
      </c>
      <c r="AG1720">
        <v>9.9600000000000009</v>
      </c>
      <c r="AH1720" t="s">
        <v>8852</v>
      </c>
      <c r="AI1720" t="s">
        <v>7199</v>
      </c>
      <c r="AJ1720">
        <v>-2.2000000000000002</v>
      </c>
      <c r="AK1720">
        <v>2075</v>
      </c>
      <c r="AL1720">
        <v>118</v>
      </c>
      <c r="AM1720">
        <v>1.1999999999999999E-3</v>
      </c>
      <c r="AN1720">
        <v>-1</v>
      </c>
      <c r="AO1720">
        <v>-2.0299999999999998</v>
      </c>
      <c r="AP1720">
        <v>-3.71</v>
      </c>
      <c r="AQ1720">
        <v>-11.08</v>
      </c>
      <c r="AR1720">
        <v>9.06</v>
      </c>
      <c r="AS1720">
        <v>4.2</v>
      </c>
      <c r="AT1720" t="s">
        <v>4133</v>
      </c>
      <c r="AU1720" t="s">
        <v>116</v>
      </c>
      <c r="AV1720" t="s">
        <v>116</v>
      </c>
      <c r="AW1720">
        <v>0.95</v>
      </c>
      <c r="BA1720">
        <v>-0.86</v>
      </c>
      <c r="BB1720">
        <v>0.57999999999999996</v>
      </c>
      <c r="BC1720">
        <v>-2.88</v>
      </c>
      <c r="BD1720">
        <v>-1.18</v>
      </c>
      <c r="BE1720">
        <v>-2.0299999999999998</v>
      </c>
      <c r="BF1720">
        <v>-3.44</v>
      </c>
      <c r="BG1720">
        <v>0</v>
      </c>
      <c r="BH1720">
        <v>-1.71</v>
      </c>
      <c r="BI1720">
        <v>20191029</v>
      </c>
      <c r="BJ1720">
        <v>20120601</v>
      </c>
      <c r="BK1720">
        <v>10.06</v>
      </c>
      <c r="BL1720" t="s">
        <v>116</v>
      </c>
      <c r="BM1720" t="s">
        <v>116</v>
      </c>
      <c r="BN1720">
        <v>39.340000000000003</v>
      </c>
      <c r="BO1720">
        <v>13.53</v>
      </c>
      <c r="BP1720">
        <v>2.5099999999999998</v>
      </c>
      <c r="BQ1720">
        <v>59.24</v>
      </c>
      <c r="BR1720">
        <v>25.69</v>
      </c>
      <c r="BS1720">
        <v>7.22</v>
      </c>
      <c r="BT1720">
        <v>1.02</v>
      </c>
      <c r="BU1720">
        <v>20.91</v>
      </c>
      <c r="BV1720">
        <v>3.66</v>
      </c>
      <c r="BW1720">
        <v>9.6199999999999992</v>
      </c>
      <c r="BX1720">
        <v>0.18</v>
      </c>
      <c r="BY1720">
        <v>8.61</v>
      </c>
      <c r="BZ1720">
        <v>7.41</v>
      </c>
      <c r="CA1720">
        <v>-0.14000000000000001</v>
      </c>
      <c r="CB1720">
        <v>0.01</v>
      </c>
      <c r="CC1720">
        <v>-0.02</v>
      </c>
      <c r="CD1720">
        <v>-0.08</v>
      </c>
      <c r="CE1720">
        <v>-0.08</v>
      </c>
      <c r="CF1720">
        <v>-0.91</v>
      </c>
      <c r="CG1720">
        <v>2.81</v>
      </c>
      <c r="CH1720">
        <v>-4.63</v>
      </c>
      <c r="CI1720">
        <v>-3.4</v>
      </c>
      <c r="CJ1720">
        <v>48090</v>
      </c>
      <c r="CK1720">
        <v>12139</v>
      </c>
      <c r="CL1720" t="s">
        <v>6968</v>
      </c>
      <c r="CM1720">
        <v>-132.93</v>
      </c>
      <c r="CN1720">
        <v>-53.7</v>
      </c>
      <c r="CO1720">
        <v>2.5099999999999998</v>
      </c>
      <c r="CP1720">
        <v>-7.33</v>
      </c>
      <c r="CQ1720">
        <v>3.94</v>
      </c>
      <c r="CR1720">
        <v>0</v>
      </c>
      <c r="CS1720" t="s">
        <v>2393</v>
      </c>
      <c r="CT1720">
        <v>1.35</v>
      </c>
      <c r="CU1720">
        <v>0</v>
      </c>
      <c r="CV1720">
        <v>0.02</v>
      </c>
      <c r="CW1720">
        <v>0.28000000000000003</v>
      </c>
      <c r="CX1720">
        <v>-0.46</v>
      </c>
      <c r="CY1720">
        <v>34.39</v>
      </c>
      <c r="CZ1720" t="s">
        <v>8853</v>
      </c>
      <c r="DA1720">
        <v>13.84</v>
      </c>
      <c r="DB1720">
        <v>-1.66</v>
      </c>
      <c r="DC1720">
        <v>-0.96</v>
      </c>
      <c r="DD1720">
        <v>0.44</v>
      </c>
      <c r="DE1720">
        <v>1181</v>
      </c>
      <c r="DF1720">
        <v>300325</v>
      </c>
      <c r="DG1720" t="s">
        <v>116</v>
      </c>
      <c r="DH1720" t="s">
        <v>116</v>
      </c>
      <c r="DI1720" t="s">
        <v>116</v>
      </c>
    </row>
    <row r="1721" spans="1:113" x14ac:dyDescent="0.4">
      <c r="A1721" t="str">
        <f>"300326"</f>
        <v>300326</v>
      </c>
      <c r="B1721" t="s">
        <v>8854</v>
      </c>
      <c r="C1721">
        <v>-1.4</v>
      </c>
      <c r="D1721">
        <v>13.36</v>
      </c>
      <c r="E1721">
        <v>-0.19</v>
      </c>
      <c r="F1721">
        <v>13.36</v>
      </c>
      <c r="G1721">
        <v>13.37</v>
      </c>
      <c r="H1721">
        <v>94788</v>
      </c>
      <c r="I1721">
        <v>588</v>
      </c>
      <c r="J1721">
        <v>0.15</v>
      </c>
      <c r="K1721">
        <v>1.35</v>
      </c>
      <c r="L1721">
        <v>13.54</v>
      </c>
      <c r="M1721">
        <v>13.68</v>
      </c>
      <c r="N1721">
        <v>13.28</v>
      </c>
      <c r="O1721">
        <v>13.55</v>
      </c>
      <c r="P1721">
        <v>32.630000000000003</v>
      </c>
      <c r="Q1721">
        <v>127452824</v>
      </c>
      <c r="R1721">
        <v>0.94</v>
      </c>
      <c r="S1721" t="s">
        <v>559</v>
      </c>
      <c r="T1721" t="s">
        <v>1653</v>
      </c>
      <c r="U1721">
        <v>2.95</v>
      </c>
      <c r="V1721">
        <v>13.45</v>
      </c>
      <c r="W1721">
        <v>49886</v>
      </c>
      <c r="X1721">
        <v>44902</v>
      </c>
      <c r="Y1721">
        <v>1.1100000000000001</v>
      </c>
      <c r="Z1721">
        <v>78</v>
      </c>
      <c r="AA1721">
        <v>44</v>
      </c>
      <c r="AB1721" t="s">
        <v>116</v>
      </c>
      <c r="AC1721">
        <v>610700</v>
      </c>
      <c r="AD1721">
        <v>0.01</v>
      </c>
      <c r="AE1721" t="s">
        <v>116</v>
      </c>
      <c r="AF1721" t="s">
        <v>116</v>
      </c>
      <c r="AG1721">
        <v>7.05</v>
      </c>
      <c r="AH1721" t="s">
        <v>8855</v>
      </c>
      <c r="AI1721" t="s">
        <v>8856</v>
      </c>
      <c r="AJ1721">
        <v>-0.72</v>
      </c>
      <c r="AK1721">
        <v>2834</v>
      </c>
      <c r="AL1721">
        <v>33</v>
      </c>
      <c r="AM1721">
        <v>5.0000000000000001E-4</v>
      </c>
      <c r="AN1721">
        <v>-1</v>
      </c>
      <c r="AO1721">
        <v>1.6</v>
      </c>
      <c r="AP1721">
        <v>1.52</v>
      </c>
      <c r="AQ1721">
        <v>-10.52</v>
      </c>
      <c r="AR1721">
        <v>58.5</v>
      </c>
      <c r="AS1721">
        <v>1.67</v>
      </c>
      <c r="AT1721" t="s">
        <v>8857</v>
      </c>
      <c r="AU1721">
        <v>18.37</v>
      </c>
      <c r="AV1721">
        <v>20.86</v>
      </c>
      <c r="AW1721">
        <v>1.8</v>
      </c>
      <c r="BA1721">
        <v>-7.0000000000000007E-2</v>
      </c>
      <c r="BB1721">
        <v>0.96</v>
      </c>
      <c r="BC1721">
        <v>-1.99</v>
      </c>
      <c r="BD1721">
        <v>-0.77</v>
      </c>
      <c r="BE1721">
        <v>-1.33</v>
      </c>
      <c r="BF1721">
        <v>-2.34</v>
      </c>
      <c r="BG1721">
        <v>0.6</v>
      </c>
      <c r="BH1721">
        <v>-0.64</v>
      </c>
      <c r="BI1721">
        <v>20191219</v>
      </c>
      <c r="BJ1721">
        <v>20120613</v>
      </c>
      <c r="BK1721">
        <v>7.22</v>
      </c>
      <c r="BL1721" t="s">
        <v>116</v>
      </c>
      <c r="BM1721" t="s">
        <v>116</v>
      </c>
      <c r="BN1721">
        <v>35.15</v>
      </c>
      <c r="BO1721">
        <v>26.3</v>
      </c>
      <c r="BP1721">
        <v>0.05</v>
      </c>
      <c r="BQ1721">
        <v>25.02</v>
      </c>
      <c r="BR1721">
        <v>17.2</v>
      </c>
      <c r="BS1721">
        <v>2.4</v>
      </c>
      <c r="BT1721">
        <v>0.55000000000000004</v>
      </c>
      <c r="BU1721">
        <v>5.27</v>
      </c>
      <c r="BV1721">
        <v>2.0299999999999998</v>
      </c>
      <c r="BW1721">
        <v>5.14</v>
      </c>
      <c r="BX1721">
        <v>7.61</v>
      </c>
      <c r="BY1721">
        <v>8.6</v>
      </c>
      <c r="BZ1721">
        <v>3.06</v>
      </c>
      <c r="CA1721">
        <v>2.68</v>
      </c>
      <c r="CB1721">
        <v>0.01</v>
      </c>
      <c r="CC1721">
        <v>2.69</v>
      </c>
      <c r="CD1721">
        <v>2.23</v>
      </c>
      <c r="CE1721">
        <v>2.2200000000000002</v>
      </c>
      <c r="CF1721">
        <v>2.1</v>
      </c>
      <c r="CG1721">
        <v>11.5</v>
      </c>
      <c r="CH1721">
        <v>0.63</v>
      </c>
      <c r="CI1721">
        <v>-4.45</v>
      </c>
      <c r="CJ1721">
        <v>22842</v>
      </c>
      <c r="CK1721">
        <v>24914</v>
      </c>
      <c r="CL1721" t="s">
        <v>8858</v>
      </c>
      <c r="CM1721">
        <v>39.53</v>
      </c>
      <c r="CN1721">
        <v>25.12</v>
      </c>
      <c r="CO1721">
        <v>3.67</v>
      </c>
      <c r="CP1721">
        <v>152.93</v>
      </c>
      <c r="CQ1721">
        <v>11.22</v>
      </c>
      <c r="CR1721">
        <v>0.52</v>
      </c>
      <c r="CS1721" t="s">
        <v>1726</v>
      </c>
      <c r="CT1721">
        <v>3.64</v>
      </c>
      <c r="CU1721">
        <v>0</v>
      </c>
      <c r="CV1721">
        <v>1.05</v>
      </c>
      <c r="CW1721">
        <v>1.59</v>
      </c>
      <c r="CX1721">
        <v>0.09</v>
      </c>
      <c r="CY1721">
        <v>74.84</v>
      </c>
      <c r="CZ1721" t="s">
        <v>8859</v>
      </c>
      <c r="DA1721">
        <v>64.400000000000006</v>
      </c>
      <c r="DB1721">
        <v>31.17</v>
      </c>
      <c r="DC1721">
        <v>25.8</v>
      </c>
      <c r="DD1721">
        <v>0.33</v>
      </c>
      <c r="DE1721">
        <v>711</v>
      </c>
      <c r="DF1721">
        <v>300326</v>
      </c>
      <c r="DG1721" t="s">
        <v>116</v>
      </c>
      <c r="DH1721" t="s">
        <v>116</v>
      </c>
      <c r="DI1721" t="s">
        <v>116</v>
      </c>
    </row>
    <row r="1722" spans="1:113" x14ac:dyDescent="0.4">
      <c r="A1722" t="str">
        <f>"300327"</f>
        <v>300327</v>
      </c>
      <c r="B1722" t="s">
        <v>8860</v>
      </c>
      <c r="C1722">
        <v>-4.4000000000000004</v>
      </c>
      <c r="D1722">
        <v>25.88</v>
      </c>
      <c r="E1722">
        <v>-1.19</v>
      </c>
      <c r="F1722">
        <v>25.87</v>
      </c>
      <c r="G1722">
        <v>25.88</v>
      </c>
      <c r="H1722">
        <v>89290</v>
      </c>
      <c r="I1722">
        <v>1291</v>
      </c>
      <c r="J1722">
        <v>-0.26</v>
      </c>
      <c r="K1722">
        <v>3.53</v>
      </c>
      <c r="L1722">
        <v>27.25</v>
      </c>
      <c r="M1722">
        <v>27.39</v>
      </c>
      <c r="N1722">
        <v>25.78</v>
      </c>
      <c r="O1722">
        <v>27.07</v>
      </c>
      <c r="P1722">
        <v>37.9</v>
      </c>
      <c r="Q1722">
        <v>236941584</v>
      </c>
      <c r="R1722">
        <v>1.24</v>
      </c>
      <c r="S1722" t="s">
        <v>3507</v>
      </c>
      <c r="T1722" t="s">
        <v>1653</v>
      </c>
      <c r="U1722">
        <v>5.95</v>
      </c>
      <c r="V1722">
        <v>26.54</v>
      </c>
      <c r="W1722">
        <v>55996</v>
      </c>
      <c r="X1722">
        <v>33294</v>
      </c>
      <c r="Y1722">
        <v>1.68</v>
      </c>
      <c r="Z1722">
        <v>124</v>
      </c>
      <c r="AA1722">
        <v>594</v>
      </c>
      <c r="AB1722" t="s">
        <v>116</v>
      </c>
      <c r="AC1722">
        <v>1744000</v>
      </c>
      <c r="AD1722">
        <v>0.04</v>
      </c>
      <c r="AE1722" t="s">
        <v>116</v>
      </c>
      <c r="AF1722" t="s">
        <v>116</v>
      </c>
      <c r="AG1722">
        <v>2.5299999999999998</v>
      </c>
      <c r="AH1722" t="s">
        <v>8861</v>
      </c>
      <c r="AI1722" t="s">
        <v>8862</v>
      </c>
      <c r="AJ1722">
        <v>-3.72</v>
      </c>
      <c r="AK1722">
        <v>2888</v>
      </c>
      <c r="AL1722">
        <v>31</v>
      </c>
      <c r="AM1722">
        <v>1.1999999999999999E-3</v>
      </c>
      <c r="AN1722">
        <v>-2</v>
      </c>
      <c r="AO1722">
        <v>-2.6</v>
      </c>
      <c r="AP1722">
        <v>10.220000000000001</v>
      </c>
      <c r="AQ1722">
        <v>-5.37</v>
      </c>
      <c r="AR1722">
        <v>60.11</v>
      </c>
      <c r="AS1722">
        <v>5.24</v>
      </c>
      <c r="AT1722" t="s">
        <v>8863</v>
      </c>
      <c r="AU1722">
        <v>37.11</v>
      </c>
      <c r="AV1722">
        <v>39.07</v>
      </c>
      <c r="AW1722">
        <v>1.67</v>
      </c>
      <c r="BA1722">
        <v>0.66</v>
      </c>
      <c r="BB1722">
        <v>1.18</v>
      </c>
      <c r="BC1722">
        <v>-4.7699999999999996</v>
      </c>
      <c r="BD1722">
        <v>-1.97</v>
      </c>
      <c r="BE1722">
        <v>-5.03</v>
      </c>
      <c r="BF1722">
        <v>-5.51</v>
      </c>
      <c r="BG1722">
        <v>0.39</v>
      </c>
      <c r="BH1722">
        <v>-2.42</v>
      </c>
      <c r="BI1722">
        <v>20191226</v>
      </c>
      <c r="BJ1722">
        <v>20120613</v>
      </c>
      <c r="BK1722">
        <v>2.54</v>
      </c>
      <c r="BL1722" t="s">
        <v>116</v>
      </c>
      <c r="BM1722" t="s">
        <v>116</v>
      </c>
      <c r="BN1722">
        <v>10.89</v>
      </c>
      <c r="BO1722">
        <v>8.8800000000000008</v>
      </c>
      <c r="BP1722">
        <v>0.03</v>
      </c>
      <c r="BQ1722">
        <v>18.22</v>
      </c>
      <c r="BR1722">
        <v>10.33</v>
      </c>
      <c r="BS1722">
        <v>0.25</v>
      </c>
      <c r="BT1722">
        <v>0.22</v>
      </c>
      <c r="BU1722">
        <v>1.92</v>
      </c>
      <c r="BV1722">
        <v>1.44</v>
      </c>
      <c r="BW1722">
        <v>1.22</v>
      </c>
      <c r="BX1722">
        <v>3.14</v>
      </c>
      <c r="BY1722">
        <v>5.97</v>
      </c>
      <c r="BZ1722">
        <v>3.43</v>
      </c>
      <c r="CA1722">
        <v>1.38</v>
      </c>
      <c r="CB1722">
        <v>0.19</v>
      </c>
      <c r="CC1722">
        <v>1.38</v>
      </c>
      <c r="CD1722">
        <v>1.24</v>
      </c>
      <c r="CE1722">
        <v>1.3</v>
      </c>
      <c r="CF1722">
        <v>1.22</v>
      </c>
      <c r="CG1722">
        <v>2.68</v>
      </c>
      <c r="CH1722">
        <v>1.42</v>
      </c>
      <c r="CI1722">
        <v>0.4</v>
      </c>
      <c r="CJ1722">
        <v>26000</v>
      </c>
      <c r="CK1722">
        <v>6548</v>
      </c>
      <c r="CL1722" t="s">
        <v>8864</v>
      </c>
      <c r="CM1722">
        <v>7.32</v>
      </c>
      <c r="CN1722">
        <v>5.47</v>
      </c>
      <c r="CO1722">
        <v>7.4</v>
      </c>
      <c r="CP1722">
        <v>46.43</v>
      </c>
      <c r="CQ1722">
        <v>11</v>
      </c>
      <c r="CR1722">
        <v>1.58</v>
      </c>
      <c r="CS1722" t="s">
        <v>7441</v>
      </c>
      <c r="CT1722">
        <v>3.5</v>
      </c>
      <c r="CU1722">
        <v>0</v>
      </c>
      <c r="CV1722">
        <v>1.24</v>
      </c>
      <c r="CW1722">
        <v>1.05</v>
      </c>
      <c r="CX1722">
        <v>0.56000000000000005</v>
      </c>
      <c r="CY1722">
        <v>81.53</v>
      </c>
      <c r="CZ1722" t="s">
        <v>8865</v>
      </c>
      <c r="DA1722">
        <v>42.65</v>
      </c>
      <c r="DB1722">
        <v>23.07</v>
      </c>
      <c r="DC1722">
        <v>21.77</v>
      </c>
      <c r="DD1722">
        <v>1.02</v>
      </c>
      <c r="DE1722">
        <v>334</v>
      </c>
      <c r="DF1722">
        <v>300327</v>
      </c>
      <c r="DG1722" t="s">
        <v>116</v>
      </c>
      <c r="DH1722" t="s">
        <v>116</v>
      </c>
      <c r="DI1722" t="s">
        <v>116</v>
      </c>
    </row>
    <row r="1723" spans="1:113" x14ac:dyDescent="0.4">
      <c r="A1723" t="str">
        <f>"300328"</f>
        <v>300328</v>
      </c>
      <c r="B1723" t="s">
        <v>8866</v>
      </c>
      <c r="C1723">
        <v>-5.66</v>
      </c>
      <c r="D1723">
        <v>14.83</v>
      </c>
      <c r="E1723">
        <v>-0.89</v>
      </c>
      <c r="F1723">
        <v>14.82</v>
      </c>
      <c r="G1723">
        <v>14.83</v>
      </c>
      <c r="H1723">
        <v>194718</v>
      </c>
      <c r="I1723">
        <v>2790</v>
      </c>
      <c r="J1723">
        <v>-0.59</v>
      </c>
      <c r="K1723">
        <v>4.2300000000000004</v>
      </c>
      <c r="L1723">
        <v>15.57</v>
      </c>
      <c r="M1723">
        <v>15.85</v>
      </c>
      <c r="N1723">
        <v>14.8</v>
      </c>
      <c r="O1723">
        <v>15.72</v>
      </c>
      <c r="P1723">
        <v>98.33</v>
      </c>
      <c r="Q1723">
        <v>297457920</v>
      </c>
      <c r="R1723">
        <v>0.98</v>
      </c>
      <c r="S1723" t="s">
        <v>1428</v>
      </c>
      <c r="T1723" t="s">
        <v>551</v>
      </c>
      <c r="U1723">
        <v>6.68</v>
      </c>
      <c r="V1723">
        <v>15.28</v>
      </c>
      <c r="W1723">
        <v>117026</v>
      </c>
      <c r="X1723">
        <v>77692</v>
      </c>
      <c r="Y1723">
        <v>1.51</v>
      </c>
      <c r="Z1723">
        <v>150</v>
      </c>
      <c r="AA1723">
        <v>1954</v>
      </c>
      <c r="AB1723" t="s">
        <v>116</v>
      </c>
      <c r="AC1723">
        <v>1617700</v>
      </c>
      <c r="AD1723">
        <v>0.05</v>
      </c>
      <c r="AE1723" t="s">
        <v>116</v>
      </c>
      <c r="AF1723" t="s">
        <v>116</v>
      </c>
      <c r="AG1723">
        <v>4.5999999999999996</v>
      </c>
      <c r="AH1723" t="s">
        <v>8867</v>
      </c>
      <c r="AI1723" t="s">
        <v>8867</v>
      </c>
      <c r="AJ1723">
        <v>-4.9800000000000004</v>
      </c>
      <c r="AK1723">
        <v>3172</v>
      </c>
      <c r="AL1723">
        <v>61</v>
      </c>
      <c r="AM1723">
        <v>1.2999999999999999E-3</v>
      </c>
      <c r="AN1723">
        <v>-3</v>
      </c>
      <c r="AO1723">
        <v>-7.25</v>
      </c>
      <c r="AP1723">
        <v>22.26</v>
      </c>
      <c r="AQ1723">
        <v>10.01</v>
      </c>
      <c r="AR1723">
        <v>143.51</v>
      </c>
      <c r="AS1723">
        <v>8.6999999999999993</v>
      </c>
      <c r="AT1723" t="s">
        <v>8868</v>
      </c>
      <c r="AU1723">
        <v>123.8</v>
      </c>
      <c r="AV1723">
        <v>125.93</v>
      </c>
      <c r="AW1723">
        <v>1.47</v>
      </c>
      <c r="BA1723">
        <v>-0.95</v>
      </c>
      <c r="BB1723">
        <v>0.83</v>
      </c>
      <c r="BC1723">
        <v>-5.85</v>
      </c>
      <c r="BD1723">
        <v>-2.82</v>
      </c>
      <c r="BE1723">
        <v>-4.75</v>
      </c>
      <c r="BF1723">
        <v>-6.44</v>
      </c>
      <c r="BG1723">
        <v>0.2</v>
      </c>
      <c r="BH1723">
        <v>-2.84</v>
      </c>
      <c r="BI1723">
        <v>20191030</v>
      </c>
      <c r="BJ1723">
        <v>20120619</v>
      </c>
      <c r="BK1723">
        <v>4.5999999999999996</v>
      </c>
      <c r="BL1723" t="s">
        <v>116</v>
      </c>
      <c r="BM1723" t="s">
        <v>116</v>
      </c>
      <c r="BN1723">
        <v>19.55</v>
      </c>
      <c r="BO1723">
        <v>12.65</v>
      </c>
      <c r="BP1723">
        <v>1.55</v>
      </c>
      <c r="BQ1723">
        <v>27.4</v>
      </c>
      <c r="BR1723">
        <v>10.029999999999999</v>
      </c>
      <c r="BS1723">
        <v>5.89</v>
      </c>
      <c r="BT1723">
        <v>0.35</v>
      </c>
      <c r="BU1723">
        <v>4.08</v>
      </c>
      <c r="BV1723">
        <v>2.2200000000000002</v>
      </c>
      <c r="BW1723">
        <v>3.02</v>
      </c>
      <c r="BX1723">
        <v>4.62</v>
      </c>
      <c r="BY1723">
        <v>7.92</v>
      </c>
      <c r="BZ1723">
        <v>6.27</v>
      </c>
      <c r="CA1723">
        <v>0.28999999999999998</v>
      </c>
      <c r="CB1723">
        <v>0.01</v>
      </c>
      <c r="CC1723">
        <v>0.41</v>
      </c>
      <c r="CD1723">
        <v>0.41</v>
      </c>
      <c r="CE1723">
        <v>0.52</v>
      </c>
      <c r="CF1723">
        <v>0.37</v>
      </c>
      <c r="CG1723">
        <v>3.03</v>
      </c>
      <c r="CH1723">
        <v>0.69</v>
      </c>
      <c r="CI1723">
        <v>-0.33</v>
      </c>
      <c r="CJ1723">
        <v>29700</v>
      </c>
      <c r="CK1723">
        <v>7540</v>
      </c>
      <c r="CL1723" t="s">
        <v>8869</v>
      </c>
      <c r="CM1723">
        <v>1.83</v>
      </c>
      <c r="CN1723">
        <v>14.01</v>
      </c>
      <c r="CO1723">
        <v>5.4</v>
      </c>
      <c r="CP1723">
        <v>98.34</v>
      </c>
      <c r="CQ1723">
        <v>8.6199999999999992</v>
      </c>
      <c r="CR1723">
        <v>0.34</v>
      </c>
      <c r="CS1723" t="s">
        <v>7492</v>
      </c>
      <c r="CT1723">
        <v>2.75</v>
      </c>
      <c r="CU1723">
        <v>0</v>
      </c>
      <c r="CV1723">
        <v>1</v>
      </c>
      <c r="CW1723">
        <v>0.66</v>
      </c>
      <c r="CX1723">
        <v>0.15</v>
      </c>
      <c r="CY1723">
        <v>64.680000000000007</v>
      </c>
      <c r="CZ1723" t="s">
        <v>1361</v>
      </c>
      <c r="DA1723">
        <v>20.81</v>
      </c>
      <c r="DB1723">
        <v>3.61</v>
      </c>
      <c r="DC1723">
        <v>6.57</v>
      </c>
      <c r="DD1723">
        <v>0.44</v>
      </c>
      <c r="DE1723">
        <v>2345</v>
      </c>
      <c r="DF1723">
        <v>300328</v>
      </c>
      <c r="DG1723" t="s">
        <v>116</v>
      </c>
      <c r="DH1723" t="s">
        <v>116</v>
      </c>
      <c r="DI1723" t="s">
        <v>116</v>
      </c>
    </row>
    <row r="1724" spans="1:113" x14ac:dyDescent="0.4">
      <c r="A1724" t="str">
        <f>"300329"</f>
        <v>300329</v>
      </c>
      <c r="B1724" t="s">
        <v>8870</v>
      </c>
      <c r="C1724">
        <v>-1.38</v>
      </c>
      <c r="D1724">
        <v>7.87</v>
      </c>
      <c r="E1724">
        <v>-0.11</v>
      </c>
      <c r="F1724">
        <v>7.87</v>
      </c>
      <c r="G1724">
        <v>7.88</v>
      </c>
      <c r="H1724">
        <v>15047</v>
      </c>
      <c r="I1724">
        <v>204</v>
      </c>
      <c r="J1724">
        <v>0.13</v>
      </c>
      <c r="K1724">
        <v>0.6</v>
      </c>
      <c r="L1724">
        <v>7.93</v>
      </c>
      <c r="M1724">
        <v>8</v>
      </c>
      <c r="N1724">
        <v>7.86</v>
      </c>
      <c r="O1724">
        <v>7.98</v>
      </c>
      <c r="P1724">
        <v>38.69</v>
      </c>
      <c r="Q1724">
        <v>11942513</v>
      </c>
      <c r="R1724">
        <v>0.78</v>
      </c>
      <c r="S1724" t="s">
        <v>217</v>
      </c>
      <c r="T1724" t="s">
        <v>590</v>
      </c>
      <c r="U1724">
        <v>1.75</v>
      </c>
      <c r="V1724">
        <v>7.94</v>
      </c>
      <c r="W1724">
        <v>8685</v>
      </c>
      <c r="X1724">
        <v>6362</v>
      </c>
      <c r="Y1724">
        <v>1.37</v>
      </c>
      <c r="Z1724">
        <v>47</v>
      </c>
      <c r="AA1724">
        <v>313</v>
      </c>
      <c r="AB1724" t="s">
        <v>116</v>
      </c>
      <c r="AC1724">
        <v>272000</v>
      </c>
      <c r="AD1724">
        <v>0.02</v>
      </c>
      <c r="AE1724" t="s">
        <v>116</v>
      </c>
      <c r="AF1724" t="s">
        <v>116</v>
      </c>
      <c r="AG1724">
        <v>2.52</v>
      </c>
      <c r="AH1724" t="s">
        <v>7538</v>
      </c>
      <c r="AI1724" t="s">
        <v>8871</v>
      </c>
      <c r="AJ1724">
        <v>-0.7</v>
      </c>
      <c r="AK1724">
        <v>769</v>
      </c>
      <c r="AL1724">
        <v>20</v>
      </c>
      <c r="AM1724">
        <v>8.0000000000000004E-4</v>
      </c>
      <c r="AN1724">
        <v>-2</v>
      </c>
      <c r="AO1724">
        <v>-1.75</v>
      </c>
      <c r="AP1724">
        <v>4.79</v>
      </c>
      <c r="AQ1724">
        <v>4.93</v>
      </c>
      <c r="AR1724">
        <v>11.87</v>
      </c>
      <c r="AS1724">
        <v>1.08</v>
      </c>
      <c r="AT1724" t="s">
        <v>8872</v>
      </c>
      <c r="AU1724">
        <v>38.6</v>
      </c>
      <c r="AV1724">
        <v>36.61</v>
      </c>
      <c r="AW1724">
        <v>0.94</v>
      </c>
      <c r="BA1724">
        <v>-0.63</v>
      </c>
      <c r="BB1724">
        <v>0.25</v>
      </c>
      <c r="BC1724">
        <v>-1.5</v>
      </c>
      <c r="BD1724">
        <v>-0.54</v>
      </c>
      <c r="BE1724">
        <v>-0.76</v>
      </c>
      <c r="BF1724">
        <v>-1.63</v>
      </c>
      <c r="BG1724">
        <v>0.13</v>
      </c>
      <c r="BH1724">
        <v>-0.84</v>
      </c>
      <c r="BI1724">
        <v>20191029</v>
      </c>
      <c r="BJ1724">
        <v>20120619</v>
      </c>
      <c r="BK1724">
        <v>2.54</v>
      </c>
      <c r="BL1724" t="s">
        <v>116</v>
      </c>
      <c r="BM1724" t="s">
        <v>116</v>
      </c>
      <c r="BN1724">
        <v>11.69</v>
      </c>
      <c r="BO1724">
        <v>9.43</v>
      </c>
      <c r="BP1724">
        <v>0.04</v>
      </c>
      <c r="BQ1724">
        <v>18.989999999999998</v>
      </c>
      <c r="BR1724">
        <v>5.94</v>
      </c>
      <c r="BS1724">
        <v>1.8</v>
      </c>
      <c r="BT1724">
        <v>0.32</v>
      </c>
      <c r="BU1724">
        <v>2.2200000000000002</v>
      </c>
      <c r="BV1724">
        <v>2.73</v>
      </c>
      <c r="BW1724">
        <v>1.34</v>
      </c>
      <c r="BX1724">
        <v>3.62</v>
      </c>
      <c r="BY1724">
        <v>4</v>
      </c>
      <c r="BZ1724">
        <v>2.85</v>
      </c>
      <c r="CA1724">
        <v>0.42</v>
      </c>
      <c r="CB1724">
        <v>0.13</v>
      </c>
      <c r="CC1724">
        <v>0.43</v>
      </c>
      <c r="CD1724">
        <v>0.39</v>
      </c>
      <c r="CE1724">
        <v>0.39</v>
      </c>
      <c r="CF1724">
        <v>0.37</v>
      </c>
      <c r="CG1724">
        <v>2.74</v>
      </c>
      <c r="CH1724">
        <v>-0.56999999999999995</v>
      </c>
      <c r="CI1724">
        <v>-1.67</v>
      </c>
      <c r="CJ1724">
        <v>25659</v>
      </c>
      <c r="CK1724">
        <v>5439</v>
      </c>
      <c r="CL1724" t="s">
        <v>770</v>
      </c>
      <c r="CM1724">
        <v>-6.76</v>
      </c>
      <c r="CN1724">
        <v>3.88</v>
      </c>
      <c r="CO1724">
        <v>2.12</v>
      </c>
      <c r="CP1724">
        <v>-34.74</v>
      </c>
      <c r="CQ1724">
        <v>4.99</v>
      </c>
      <c r="CR1724">
        <v>0.44</v>
      </c>
      <c r="CS1724" t="s">
        <v>2716</v>
      </c>
      <c r="CT1724">
        <v>3.72</v>
      </c>
      <c r="CU1724">
        <v>0</v>
      </c>
      <c r="CV1724">
        <v>1.43</v>
      </c>
      <c r="CW1724">
        <v>1.08</v>
      </c>
      <c r="CX1724">
        <v>-0.23</v>
      </c>
      <c r="CY1724">
        <v>80.64</v>
      </c>
      <c r="CZ1724" t="s">
        <v>542</v>
      </c>
      <c r="DA1724">
        <v>28.68</v>
      </c>
      <c r="DB1724">
        <v>10.52</v>
      </c>
      <c r="DC1724">
        <v>9.67</v>
      </c>
      <c r="DD1724">
        <v>0.16</v>
      </c>
      <c r="DE1724">
        <v>1325</v>
      </c>
      <c r="DF1724">
        <v>300329</v>
      </c>
      <c r="DG1724" t="s">
        <v>116</v>
      </c>
      <c r="DH1724" t="s">
        <v>116</v>
      </c>
      <c r="DI1724" t="s">
        <v>116</v>
      </c>
    </row>
    <row r="1725" spans="1:113" x14ac:dyDescent="0.4">
      <c r="A1725" t="str">
        <f>"300330"</f>
        <v>300330</v>
      </c>
      <c r="B1725" t="s">
        <v>8873</v>
      </c>
      <c r="C1725">
        <v>-1.42</v>
      </c>
      <c r="D1725">
        <v>9.74</v>
      </c>
      <c r="E1725">
        <v>-0.14000000000000001</v>
      </c>
      <c r="F1725">
        <v>9.74</v>
      </c>
      <c r="G1725">
        <v>9.75</v>
      </c>
      <c r="H1725">
        <v>25927</v>
      </c>
      <c r="I1725">
        <v>306</v>
      </c>
      <c r="J1725">
        <v>0.41</v>
      </c>
      <c r="K1725">
        <v>1.55</v>
      </c>
      <c r="L1725">
        <v>9.89</v>
      </c>
      <c r="M1725">
        <v>9.93</v>
      </c>
      <c r="N1725">
        <v>9.65</v>
      </c>
      <c r="O1725">
        <v>9.8800000000000008</v>
      </c>
      <c r="P1725">
        <v>1160.18</v>
      </c>
      <c r="Q1725">
        <v>25448128</v>
      </c>
      <c r="R1725">
        <v>0.99</v>
      </c>
      <c r="S1725" t="s">
        <v>607</v>
      </c>
      <c r="T1725" t="s">
        <v>1653</v>
      </c>
      <c r="U1725">
        <v>2.83</v>
      </c>
      <c r="V1725">
        <v>9.82</v>
      </c>
      <c r="W1725">
        <v>14065</v>
      </c>
      <c r="X1725">
        <v>11862</v>
      </c>
      <c r="Y1725">
        <v>1.19</v>
      </c>
      <c r="Z1725">
        <v>101</v>
      </c>
      <c r="AA1725">
        <v>95</v>
      </c>
      <c r="AB1725" t="s">
        <v>116</v>
      </c>
      <c r="AC1725">
        <v>69200</v>
      </c>
      <c r="AD1725">
        <v>0.01</v>
      </c>
      <c r="AE1725" t="s">
        <v>116</v>
      </c>
      <c r="AF1725" t="s">
        <v>116</v>
      </c>
      <c r="AG1725">
        <v>1.68</v>
      </c>
      <c r="AH1725" t="s">
        <v>228</v>
      </c>
      <c r="AI1725" t="s">
        <v>3450</v>
      </c>
      <c r="AJ1725">
        <v>-0.74</v>
      </c>
      <c r="AK1725">
        <v>1260</v>
      </c>
      <c r="AL1725">
        <v>21</v>
      </c>
      <c r="AM1725">
        <v>1.1999999999999999E-3</v>
      </c>
      <c r="AN1725">
        <v>-1</v>
      </c>
      <c r="AO1725">
        <v>0.73</v>
      </c>
      <c r="AP1725">
        <v>7.62</v>
      </c>
      <c r="AQ1725">
        <v>-5.98</v>
      </c>
      <c r="AR1725">
        <v>39.340000000000003</v>
      </c>
      <c r="AS1725">
        <v>2.08</v>
      </c>
      <c r="AT1725" t="s">
        <v>2127</v>
      </c>
      <c r="AU1725" t="s">
        <v>116</v>
      </c>
      <c r="AV1725" t="s">
        <v>116</v>
      </c>
      <c r="AW1725">
        <v>1.41</v>
      </c>
      <c r="BA1725">
        <v>0.1</v>
      </c>
      <c r="BB1725">
        <v>0.51</v>
      </c>
      <c r="BC1725">
        <v>-2.33</v>
      </c>
      <c r="BD1725">
        <v>-0.65</v>
      </c>
      <c r="BE1725">
        <v>-1.52</v>
      </c>
      <c r="BF1725">
        <v>-1.91</v>
      </c>
      <c r="BG1725">
        <v>0.93</v>
      </c>
      <c r="BH1725">
        <v>-0.76</v>
      </c>
      <c r="BI1725">
        <v>20191111</v>
      </c>
      <c r="BJ1725">
        <v>20120619</v>
      </c>
      <c r="BK1725">
        <v>1.68</v>
      </c>
      <c r="BL1725" t="s">
        <v>116</v>
      </c>
      <c r="BM1725" t="s">
        <v>116</v>
      </c>
      <c r="BN1725">
        <v>5.52</v>
      </c>
      <c r="BO1725">
        <v>3.7</v>
      </c>
      <c r="BP1725">
        <v>0</v>
      </c>
      <c r="BQ1725">
        <v>33.049999999999997</v>
      </c>
      <c r="BR1725">
        <v>4.45</v>
      </c>
      <c r="BS1725">
        <v>0.99</v>
      </c>
      <c r="BT1725">
        <v>0.01</v>
      </c>
      <c r="BU1725">
        <v>1.8</v>
      </c>
      <c r="BV1725">
        <v>0.62</v>
      </c>
      <c r="BW1725">
        <v>2.46</v>
      </c>
      <c r="BX1725">
        <v>1.9</v>
      </c>
      <c r="BY1725">
        <v>1.86</v>
      </c>
      <c r="BZ1725">
        <v>1.48</v>
      </c>
      <c r="CA1725">
        <v>-0.01</v>
      </c>
      <c r="CB1725">
        <v>0.02</v>
      </c>
      <c r="CC1725">
        <v>-0.01</v>
      </c>
      <c r="CD1725">
        <v>0.01</v>
      </c>
      <c r="CE1725">
        <v>0.01</v>
      </c>
      <c r="CF1725">
        <v>0</v>
      </c>
      <c r="CG1725">
        <v>-0.01</v>
      </c>
      <c r="CH1725">
        <v>-0.28999999999999998</v>
      </c>
      <c r="CI1725">
        <v>-0.27</v>
      </c>
      <c r="CJ1725">
        <v>12864</v>
      </c>
      <c r="CK1725">
        <v>9687</v>
      </c>
      <c r="CL1725" t="s">
        <v>4868</v>
      </c>
      <c r="CM1725">
        <v>106.18</v>
      </c>
      <c r="CN1725">
        <v>72.02</v>
      </c>
      <c r="CO1725">
        <v>4.43</v>
      </c>
      <c r="CP1725">
        <v>-56.73</v>
      </c>
      <c r="CQ1725">
        <v>8.82</v>
      </c>
      <c r="CR1725">
        <v>0</v>
      </c>
      <c r="CS1725" t="s">
        <v>1177</v>
      </c>
      <c r="CT1725">
        <v>2.2000000000000002</v>
      </c>
      <c r="CU1725">
        <v>0</v>
      </c>
      <c r="CV1725">
        <v>1.1299999999999999</v>
      </c>
      <c r="CW1725">
        <v>-0.01</v>
      </c>
      <c r="CX1725">
        <v>-0.17</v>
      </c>
      <c r="CY1725">
        <v>66.95</v>
      </c>
      <c r="CZ1725" t="s">
        <v>8874</v>
      </c>
      <c r="DA1725">
        <v>20.04</v>
      </c>
      <c r="DB1725">
        <v>-0.28000000000000003</v>
      </c>
      <c r="DC1725">
        <v>0.56999999999999995</v>
      </c>
      <c r="DD1725">
        <v>0.05</v>
      </c>
      <c r="DE1725">
        <v>189</v>
      </c>
      <c r="DF1725">
        <v>300330</v>
      </c>
      <c r="DG1725" t="s">
        <v>116</v>
      </c>
      <c r="DH1725" t="s">
        <v>116</v>
      </c>
      <c r="DI1725" t="s">
        <v>116</v>
      </c>
    </row>
    <row r="1726" spans="1:113" x14ac:dyDescent="0.4">
      <c r="A1726" t="str">
        <f>"300331"</f>
        <v>300331</v>
      </c>
      <c r="B1726" t="s">
        <v>8875</v>
      </c>
      <c r="C1726">
        <v>-1.92</v>
      </c>
      <c r="D1726">
        <v>21.95</v>
      </c>
      <c r="E1726">
        <v>-0.43</v>
      </c>
      <c r="F1726">
        <v>21.94</v>
      </c>
      <c r="G1726">
        <v>21.95</v>
      </c>
      <c r="H1726">
        <v>65197</v>
      </c>
      <c r="I1726">
        <v>437</v>
      </c>
      <c r="J1726">
        <v>-0.35</v>
      </c>
      <c r="K1726">
        <v>4.9000000000000004</v>
      </c>
      <c r="L1726">
        <v>22.4</v>
      </c>
      <c r="M1726">
        <v>22.72</v>
      </c>
      <c r="N1726">
        <v>21.95</v>
      </c>
      <c r="O1726">
        <v>22.38</v>
      </c>
      <c r="P1726">
        <v>61.77</v>
      </c>
      <c r="Q1726">
        <v>145371808</v>
      </c>
      <c r="R1726">
        <v>1.25</v>
      </c>
      <c r="S1726" t="s">
        <v>233</v>
      </c>
      <c r="T1726" t="s">
        <v>323</v>
      </c>
      <c r="U1726">
        <v>3.44</v>
      </c>
      <c r="V1726">
        <v>22.3</v>
      </c>
      <c r="W1726">
        <v>36239</v>
      </c>
      <c r="X1726">
        <v>28958</v>
      </c>
      <c r="Y1726">
        <v>1.25</v>
      </c>
      <c r="Z1726">
        <v>106</v>
      </c>
      <c r="AA1726">
        <v>127</v>
      </c>
      <c r="AB1726" t="s">
        <v>116</v>
      </c>
      <c r="AC1726">
        <v>1120000</v>
      </c>
      <c r="AD1726">
        <v>0.04</v>
      </c>
      <c r="AE1726" t="s">
        <v>116</v>
      </c>
      <c r="AF1726" t="s">
        <v>116</v>
      </c>
      <c r="AG1726">
        <v>1.33</v>
      </c>
      <c r="AH1726" t="s">
        <v>4766</v>
      </c>
      <c r="AI1726" t="s">
        <v>8876</v>
      </c>
      <c r="AJ1726">
        <v>-1.24</v>
      </c>
      <c r="AK1726">
        <v>2718</v>
      </c>
      <c r="AL1726">
        <v>24</v>
      </c>
      <c r="AM1726">
        <v>1.8E-3</v>
      </c>
      <c r="AN1726">
        <v>-1</v>
      </c>
      <c r="AO1726">
        <v>3.44</v>
      </c>
      <c r="AP1726">
        <v>12.68</v>
      </c>
      <c r="AQ1726">
        <v>-5.55</v>
      </c>
      <c r="AR1726">
        <v>99.55</v>
      </c>
      <c r="AS1726">
        <v>5.66</v>
      </c>
      <c r="AT1726" t="s">
        <v>2567</v>
      </c>
      <c r="AU1726">
        <v>82.97</v>
      </c>
      <c r="AV1726">
        <v>79.989999999999995</v>
      </c>
      <c r="AW1726">
        <v>2.25</v>
      </c>
      <c r="BA1726">
        <v>0.09</v>
      </c>
      <c r="BB1726">
        <v>1.52</v>
      </c>
      <c r="BC1726">
        <v>-1.92</v>
      </c>
      <c r="BD1726">
        <v>-0.37</v>
      </c>
      <c r="BE1726">
        <v>-2.0099999999999998</v>
      </c>
      <c r="BF1726">
        <v>-3.39</v>
      </c>
      <c r="BG1726">
        <v>0</v>
      </c>
      <c r="BH1726">
        <v>-1.55</v>
      </c>
      <c r="BI1726">
        <v>20191029</v>
      </c>
      <c r="BJ1726">
        <v>20120628</v>
      </c>
      <c r="BK1726">
        <v>2.2599999999999998</v>
      </c>
      <c r="BL1726" t="s">
        <v>116</v>
      </c>
      <c r="BM1726" t="s">
        <v>116</v>
      </c>
      <c r="BN1726">
        <v>22.01</v>
      </c>
      <c r="BO1726">
        <v>14.77</v>
      </c>
      <c r="BP1726">
        <v>0</v>
      </c>
      <c r="BQ1726">
        <v>32.869999999999997</v>
      </c>
      <c r="BR1726">
        <v>11.51</v>
      </c>
      <c r="BS1726">
        <v>2.87</v>
      </c>
      <c r="BT1726">
        <v>0.62</v>
      </c>
      <c r="BU1726">
        <v>7.04</v>
      </c>
      <c r="BV1726">
        <v>3.41</v>
      </c>
      <c r="BW1726">
        <v>5.0999999999999996</v>
      </c>
      <c r="BX1726">
        <v>9.39</v>
      </c>
      <c r="BY1726">
        <v>8.1300000000000008</v>
      </c>
      <c r="BZ1726">
        <v>5.89</v>
      </c>
      <c r="CA1726">
        <v>0.69</v>
      </c>
      <c r="CB1726">
        <v>0.01</v>
      </c>
      <c r="CC1726">
        <v>0.69</v>
      </c>
      <c r="CD1726">
        <v>0.6</v>
      </c>
      <c r="CE1726">
        <v>0.6</v>
      </c>
      <c r="CF1726">
        <v>0.54</v>
      </c>
      <c r="CG1726">
        <v>2.73</v>
      </c>
      <c r="CH1726">
        <v>0</v>
      </c>
      <c r="CI1726">
        <v>-1.57</v>
      </c>
      <c r="CJ1726">
        <v>14389</v>
      </c>
      <c r="CK1726">
        <v>8006</v>
      </c>
      <c r="CL1726" t="s">
        <v>8877</v>
      </c>
      <c r="CM1726">
        <v>-3.56</v>
      </c>
      <c r="CN1726">
        <v>1.37</v>
      </c>
      <c r="CO1726">
        <v>3.36</v>
      </c>
      <c r="CP1726">
        <v>-21974.19</v>
      </c>
      <c r="CQ1726">
        <v>6.11</v>
      </c>
      <c r="CR1726">
        <v>0.46</v>
      </c>
      <c r="CS1726" t="s">
        <v>8878</v>
      </c>
      <c r="CT1726">
        <v>6.53</v>
      </c>
      <c r="CU1726">
        <v>0</v>
      </c>
      <c r="CV1726">
        <v>4.1500000000000004</v>
      </c>
      <c r="CW1726">
        <v>1.21</v>
      </c>
      <c r="CX1726">
        <v>0</v>
      </c>
      <c r="CY1726">
        <v>67.11</v>
      </c>
      <c r="CZ1726" t="s">
        <v>8879</v>
      </c>
      <c r="DA1726">
        <v>27.56</v>
      </c>
      <c r="DB1726">
        <v>8.48</v>
      </c>
      <c r="DC1726">
        <v>7.41</v>
      </c>
      <c r="DD1726">
        <v>0.42</v>
      </c>
      <c r="DE1726">
        <v>1760</v>
      </c>
      <c r="DF1726">
        <v>300331</v>
      </c>
      <c r="DG1726" t="s">
        <v>116</v>
      </c>
      <c r="DH1726" t="s">
        <v>116</v>
      </c>
      <c r="DI1726" t="s">
        <v>116</v>
      </c>
    </row>
    <row r="1727" spans="1:113" x14ac:dyDescent="0.4">
      <c r="A1727" t="str">
        <f>"300332"</f>
        <v>300332</v>
      </c>
      <c r="B1727" t="s">
        <v>8880</v>
      </c>
      <c r="C1727">
        <v>5.91</v>
      </c>
      <c r="D1727">
        <v>4.12</v>
      </c>
      <c r="E1727">
        <v>0.23</v>
      </c>
      <c r="F1727">
        <v>4.1100000000000003</v>
      </c>
      <c r="G1727">
        <v>4.12</v>
      </c>
      <c r="H1727">
        <v>336319</v>
      </c>
      <c r="I1727">
        <v>8888</v>
      </c>
      <c r="J1727">
        <v>1.23</v>
      </c>
      <c r="K1727">
        <v>4.72</v>
      </c>
      <c r="L1727">
        <v>3.91</v>
      </c>
      <c r="M1727">
        <v>4.28</v>
      </c>
      <c r="N1727">
        <v>3.9</v>
      </c>
      <c r="O1727">
        <v>3.89</v>
      </c>
      <c r="P1727">
        <v>57.04</v>
      </c>
      <c r="Q1727">
        <v>138182192</v>
      </c>
      <c r="R1727">
        <v>4.82</v>
      </c>
      <c r="S1727" t="s">
        <v>140</v>
      </c>
      <c r="T1727" t="s">
        <v>165</v>
      </c>
      <c r="U1727">
        <v>9.77</v>
      </c>
      <c r="V1727">
        <v>4.1100000000000003</v>
      </c>
      <c r="W1727">
        <v>152764</v>
      </c>
      <c r="X1727">
        <v>183555</v>
      </c>
      <c r="Y1727">
        <v>0.83</v>
      </c>
      <c r="Z1727">
        <v>15</v>
      </c>
      <c r="AA1727">
        <v>365</v>
      </c>
      <c r="AB1727" t="s">
        <v>116</v>
      </c>
      <c r="AC1727">
        <v>153300</v>
      </c>
      <c r="AD1727">
        <v>0.01</v>
      </c>
      <c r="AE1727" t="s">
        <v>116</v>
      </c>
      <c r="AF1727" t="s">
        <v>116</v>
      </c>
      <c r="AG1727">
        <v>7.12</v>
      </c>
      <c r="AH1727" t="s">
        <v>5372</v>
      </c>
      <c r="AI1727" t="s">
        <v>8881</v>
      </c>
      <c r="AJ1727">
        <v>6.59</v>
      </c>
      <c r="AK1727">
        <v>2214</v>
      </c>
      <c r="AL1727">
        <v>152</v>
      </c>
      <c r="AM1727">
        <v>2.0999999999999999E-3</v>
      </c>
      <c r="AN1727">
        <v>2</v>
      </c>
      <c r="AO1727">
        <v>5.0999999999999996</v>
      </c>
      <c r="AP1727">
        <v>10.16</v>
      </c>
      <c r="AQ1727">
        <v>-2.14</v>
      </c>
      <c r="AR1727">
        <v>12.26</v>
      </c>
      <c r="AS1727">
        <v>6.27</v>
      </c>
      <c r="AT1727" t="s">
        <v>5901</v>
      </c>
      <c r="AU1727">
        <v>35.909999999999997</v>
      </c>
      <c r="AV1727">
        <v>42.97</v>
      </c>
      <c r="AW1727">
        <v>0.87</v>
      </c>
      <c r="BA1727">
        <v>0.51</v>
      </c>
      <c r="BB1727">
        <v>10.029999999999999</v>
      </c>
      <c r="BC1727">
        <v>0.26</v>
      </c>
      <c r="BD1727">
        <v>5.62</v>
      </c>
      <c r="BE1727">
        <v>5.37</v>
      </c>
      <c r="BF1727">
        <v>-3.74</v>
      </c>
      <c r="BG1727">
        <v>5.64</v>
      </c>
      <c r="BH1727">
        <v>0.28999999999999998</v>
      </c>
      <c r="BI1727">
        <v>20191026</v>
      </c>
      <c r="BJ1727">
        <v>20120628</v>
      </c>
      <c r="BK1727">
        <v>8.8000000000000007</v>
      </c>
      <c r="BL1727" t="s">
        <v>116</v>
      </c>
      <c r="BM1727" t="s">
        <v>116</v>
      </c>
      <c r="BN1727">
        <v>81.41</v>
      </c>
      <c r="BO1727">
        <v>35.01</v>
      </c>
      <c r="BP1727">
        <v>1.04</v>
      </c>
      <c r="BQ1727">
        <v>55.71</v>
      </c>
      <c r="BR1727">
        <v>20.95</v>
      </c>
      <c r="BS1727">
        <v>31.37</v>
      </c>
      <c r="BT1727">
        <v>10.52</v>
      </c>
      <c r="BU1727">
        <v>37.380000000000003</v>
      </c>
      <c r="BV1727">
        <v>6.6</v>
      </c>
      <c r="BW1727">
        <v>5.14</v>
      </c>
      <c r="BX1727">
        <v>19.14</v>
      </c>
      <c r="BY1727">
        <v>11.6</v>
      </c>
      <c r="BZ1727">
        <v>8.91</v>
      </c>
      <c r="CA1727">
        <v>0.31</v>
      </c>
      <c r="CB1727">
        <v>0.03</v>
      </c>
      <c r="CC1727">
        <v>0.52</v>
      </c>
      <c r="CD1727">
        <v>0.23</v>
      </c>
      <c r="CE1727">
        <v>0.48</v>
      </c>
      <c r="CF1727">
        <v>0.23</v>
      </c>
      <c r="CG1727">
        <v>6.51</v>
      </c>
      <c r="CH1727">
        <v>2.75</v>
      </c>
      <c r="CI1727">
        <v>-0.66</v>
      </c>
      <c r="CJ1727">
        <v>38511</v>
      </c>
      <c r="CK1727">
        <v>13933</v>
      </c>
      <c r="CL1727" t="s">
        <v>2654</v>
      </c>
      <c r="CM1727">
        <v>53.42</v>
      </c>
      <c r="CN1727">
        <v>-6.01</v>
      </c>
      <c r="CO1727">
        <v>1.04</v>
      </c>
      <c r="CP1727">
        <v>13.19</v>
      </c>
      <c r="CQ1727">
        <v>3.13</v>
      </c>
      <c r="CR1727">
        <v>0.49</v>
      </c>
      <c r="CS1727" t="s">
        <v>8882</v>
      </c>
      <c r="CT1727">
        <v>3.98</v>
      </c>
      <c r="CU1727">
        <v>0</v>
      </c>
      <c r="CV1727">
        <v>2.17</v>
      </c>
      <c r="CW1727">
        <v>0.74</v>
      </c>
      <c r="CX1727">
        <v>0.31</v>
      </c>
      <c r="CY1727">
        <v>43</v>
      </c>
      <c r="CZ1727" t="s">
        <v>8883</v>
      </c>
      <c r="DA1727">
        <v>23.16</v>
      </c>
      <c r="DB1727">
        <v>2.65</v>
      </c>
      <c r="DC1727">
        <v>4.1100000000000003</v>
      </c>
      <c r="DD1727">
        <v>0.26</v>
      </c>
      <c r="DE1727">
        <v>1780</v>
      </c>
      <c r="DF1727">
        <v>300332</v>
      </c>
      <c r="DG1727" t="s">
        <v>116</v>
      </c>
      <c r="DH1727" t="s">
        <v>116</v>
      </c>
      <c r="DI1727" t="s">
        <v>116</v>
      </c>
    </row>
    <row r="1728" spans="1:113" x14ac:dyDescent="0.4">
      <c r="A1728" t="str">
        <f>"300333"</f>
        <v>300333</v>
      </c>
      <c r="B1728" t="s">
        <v>8884</v>
      </c>
      <c r="C1728">
        <v>-2.21</v>
      </c>
      <c r="D1728">
        <v>10.62</v>
      </c>
      <c r="E1728">
        <v>-0.24</v>
      </c>
      <c r="F1728">
        <v>10.62</v>
      </c>
      <c r="G1728">
        <v>10.63</v>
      </c>
      <c r="H1728">
        <v>134155</v>
      </c>
      <c r="I1728">
        <v>3067</v>
      </c>
      <c r="J1728">
        <v>-0.37</v>
      </c>
      <c r="K1728">
        <v>4.05</v>
      </c>
      <c r="L1728">
        <v>10.9</v>
      </c>
      <c r="M1728">
        <v>10.95</v>
      </c>
      <c r="N1728">
        <v>10.62</v>
      </c>
      <c r="O1728">
        <v>10.86</v>
      </c>
      <c r="P1728">
        <v>213.92</v>
      </c>
      <c r="Q1728">
        <v>144312832</v>
      </c>
      <c r="R1728">
        <v>1.05</v>
      </c>
      <c r="S1728" t="s">
        <v>233</v>
      </c>
      <c r="T1728" t="s">
        <v>115</v>
      </c>
      <c r="U1728">
        <v>3.04</v>
      </c>
      <c r="V1728">
        <v>10.76</v>
      </c>
      <c r="W1728">
        <v>74572</v>
      </c>
      <c r="X1728">
        <v>59583</v>
      </c>
      <c r="Y1728">
        <v>1.25</v>
      </c>
      <c r="Z1728">
        <v>417</v>
      </c>
      <c r="AA1728">
        <v>1038</v>
      </c>
      <c r="AB1728" t="s">
        <v>116</v>
      </c>
      <c r="AC1728">
        <v>399200</v>
      </c>
      <c r="AD1728">
        <v>0.01</v>
      </c>
      <c r="AE1728" t="s">
        <v>116</v>
      </c>
      <c r="AF1728" t="s">
        <v>116</v>
      </c>
      <c r="AG1728">
        <v>3.31</v>
      </c>
      <c r="AH1728" t="s">
        <v>3496</v>
      </c>
      <c r="AI1728" t="s">
        <v>8885</v>
      </c>
      <c r="AJ1728">
        <v>-1.53</v>
      </c>
      <c r="AK1728">
        <v>2986</v>
      </c>
      <c r="AL1728">
        <v>45</v>
      </c>
      <c r="AM1728">
        <v>1.4E-3</v>
      </c>
      <c r="AN1728">
        <v>-1</v>
      </c>
      <c r="AO1728">
        <v>3.2</v>
      </c>
      <c r="AP1728">
        <v>8.81</v>
      </c>
      <c r="AQ1728">
        <v>1.43</v>
      </c>
      <c r="AR1728">
        <v>58.04</v>
      </c>
      <c r="AS1728">
        <v>5.08</v>
      </c>
      <c r="AT1728" t="s">
        <v>3107</v>
      </c>
      <c r="AU1728">
        <v>440.42</v>
      </c>
      <c r="AV1728">
        <v>291.99</v>
      </c>
      <c r="AW1728">
        <v>1.78</v>
      </c>
      <c r="BA1728">
        <v>0.37</v>
      </c>
      <c r="BB1728">
        <v>0.83</v>
      </c>
      <c r="BC1728">
        <v>-2.21</v>
      </c>
      <c r="BD1728">
        <v>-0.95</v>
      </c>
      <c r="BE1728">
        <v>-2.57</v>
      </c>
      <c r="BF1728">
        <v>-3.01</v>
      </c>
      <c r="BG1728">
        <v>0</v>
      </c>
      <c r="BH1728">
        <v>-1.26</v>
      </c>
      <c r="BI1728">
        <v>20191218</v>
      </c>
      <c r="BJ1728">
        <v>20120628</v>
      </c>
      <c r="BK1728">
        <v>3.36</v>
      </c>
      <c r="BL1728" t="s">
        <v>116</v>
      </c>
      <c r="BM1728" t="s">
        <v>116</v>
      </c>
      <c r="BN1728">
        <v>8.64</v>
      </c>
      <c r="BO1728">
        <v>8.19</v>
      </c>
      <c r="BP1728">
        <v>0.22</v>
      </c>
      <c r="BQ1728">
        <v>2.62</v>
      </c>
      <c r="BR1728">
        <v>5.31</v>
      </c>
      <c r="BS1728">
        <v>1.08</v>
      </c>
      <c r="BT1728">
        <v>0.72</v>
      </c>
      <c r="BU1728">
        <v>0.23</v>
      </c>
      <c r="BV1728">
        <v>0.76</v>
      </c>
      <c r="BW1728">
        <v>0.28999999999999998</v>
      </c>
      <c r="BX1728">
        <v>3.88</v>
      </c>
      <c r="BY1728">
        <v>1.71</v>
      </c>
      <c r="BZ1728">
        <v>0.64</v>
      </c>
      <c r="CA1728">
        <v>0.4</v>
      </c>
      <c r="CB1728">
        <v>0.03</v>
      </c>
      <c r="CC1728">
        <v>0.4</v>
      </c>
      <c r="CD1728">
        <v>0.28999999999999998</v>
      </c>
      <c r="CE1728">
        <v>0.13</v>
      </c>
      <c r="CF1728">
        <v>0.08</v>
      </c>
      <c r="CG1728">
        <v>0.62</v>
      </c>
      <c r="CH1728">
        <v>-0.16</v>
      </c>
      <c r="CI1728">
        <v>0.64</v>
      </c>
      <c r="CJ1728">
        <v>46886</v>
      </c>
      <c r="CK1728">
        <v>5633</v>
      </c>
      <c r="CL1728" t="s">
        <v>5998</v>
      </c>
      <c r="CM1728">
        <v>-24.77</v>
      </c>
      <c r="CN1728">
        <v>7.83</v>
      </c>
      <c r="CO1728">
        <v>4.3600000000000003</v>
      </c>
      <c r="CP1728">
        <v>-227.93</v>
      </c>
      <c r="CQ1728">
        <v>20.87</v>
      </c>
      <c r="CR1728">
        <v>0.56000000000000005</v>
      </c>
      <c r="CS1728" t="s">
        <v>6004</v>
      </c>
      <c r="CT1728">
        <v>2.44</v>
      </c>
      <c r="CU1728">
        <v>0</v>
      </c>
      <c r="CV1728">
        <v>1.1499999999999999</v>
      </c>
      <c r="CW1728">
        <v>0.18</v>
      </c>
      <c r="CX1728">
        <v>-0.05</v>
      </c>
      <c r="CY1728">
        <v>94.83</v>
      </c>
      <c r="CZ1728" t="s">
        <v>1534</v>
      </c>
      <c r="DA1728">
        <v>62.56</v>
      </c>
      <c r="DB1728">
        <v>23.24</v>
      </c>
      <c r="DC1728">
        <v>7.32</v>
      </c>
      <c r="DD1728">
        <v>0.36</v>
      </c>
      <c r="DE1728">
        <v>270</v>
      </c>
      <c r="DF1728">
        <v>300333</v>
      </c>
      <c r="DG1728" t="s">
        <v>116</v>
      </c>
      <c r="DH1728" t="s">
        <v>116</v>
      </c>
      <c r="DI1728" t="s">
        <v>116</v>
      </c>
    </row>
    <row r="1729" spans="1:113" x14ac:dyDescent="0.4">
      <c r="A1729" t="str">
        <f>"300334"</f>
        <v>300334</v>
      </c>
      <c r="B1729" t="s">
        <v>8886</v>
      </c>
      <c r="C1729">
        <v>-1.29</v>
      </c>
      <c r="D1729">
        <v>6.86</v>
      </c>
      <c r="E1729">
        <v>-0.09</v>
      </c>
      <c r="F1729">
        <v>6.86</v>
      </c>
      <c r="G1729">
        <v>6.87</v>
      </c>
      <c r="H1729">
        <v>24951</v>
      </c>
      <c r="I1729">
        <v>498</v>
      </c>
      <c r="J1729">
        <v>-0.28000000000000003</v>
      </c>
      <c r="K1729">
        <v>0.85</v>
      </c>
      <c r="L1729">
        <v>6.96</v>
      </c>
      <c r="M1729">
        <v>6.99</v>
      </c>
      <c r="N1729">
        <v>6.85</v>
      </c>
      <c r="O1729">
        <v>6.95</v>
      </c>
      <c r="P1729" t="s">
        <v>116</v>
      </c>
      <c r="Q1729">
        <v>17301394</v>
      </c>
      <c r="R1729">
        <v>0.98</v>
      </c>
      <c r="S1729" t="s">
        <v>682</v>
      </c>
      <c r="T1729" t="s">
        <v>1035</v>
      </c>
      <c r="U1729">
        <v>2.0099999999999998</v>
      </c>
      <c r="V1729">
        <v>6.93</v>
      </c>
      <c r="W1729">
        <v>14122</v>
      </c>
      <c r="X1729">
        <v>10829</v>
      </c>
      <c r="Y1729">
        <v>1.3</v>
      </c>
      <c r="Z1729">
        <v>283</v>
      </c>
      <c r="AA1729">
        <v>136</v>
      </c>
      <c r="AB1729" t="s">
        <v>116</v>
      </c>
      <c r="AC1729">
        <v>167700</v>
      </c>
      <c r="AD1729">
        <v>0.02</v>
      </c>
      <c r="AE1729" t="s">
        <v>116</v>
      </c>
      <c r="AF1729" t="s">
        <v>116</v>
      </c>
      <c r="AG1729">
        <v>2.92</v>
      </c>
      <c r="AH1729" t="s">
        <v>618</v>
      </c>
      <c r="AI1729" t="s">
        <v>2550</v>
      </c>
      <c r="AJ1729">
        <v>-0.62</v>
      </c>
      <c r="AK1729">
        <v>624</v>
      </c>
      <c r="AL1729">
        <v>40</v>
      </c>
      <c r="AM1729">
        <v>1.4E-3</v>
      </c>
      <c r="AN1729">
        <v>-3</v>
      </c>
      <c r="AO1729">
        <v>-2.56</v>
      </c>
      <c r="AP1729">
        <v>-4.0599999999999996</v>
      </c>
      <c r="AQ1729">
        <v>-8.66</v>
      </c>
      <c r="AR1729">
        <v>-10.33</v>
      </c>
      <c r="AS1729">
        <v>1.58</v>
      </c>
      <c r="AT1729" t="s">
        <v>804</v>
      </c>
      <c r="AU1729" t="s">
        <v>116</v>
      </c>
      <c r="AV1729">
        <v>174.76</v>
      </c>
      <c r="AW1729">
        <v>0.23</v>
      </c>
      <c r="BA1729">
        <v>0.14000000000000001</v>
      </c>
      <c r="BB1729">
        <v>0.57999999999999996</v>
      </c>
      <c r="BC1729">
        <v>-1.44</v>
      </c>
      <c r="BD1729">
        <v>-0.23</v>
      </c>
      <c r="BE1729">
        <v>-1.44</v>
      </c>
      <c r="BF1729">
        <v>-1.86</v>
      </c>
      <c r="BG1729">
        <v>0.15</v>
      </c>
      <c r="BH1729">
        <v>-1.07</v>
      </c>
      <c r="BI1729">
        <v>20191223</v>
      </c>
      <c r="BJ1729">
        <v>20120705</v>
      </c>
      <c r="BK1729">
        <v>3.02</v>
      </c>
      <c r="BL1729" t="s">
        <v>116</v>
      </c>
      <c r="BM1729" t="s">
        <v>116</v>
      </c>
      <c r="BN1729">
        <v>27.07</v>
      </c>
      <c r="BO1729">
        <v>15.63</v>
      </c>
      <c r="BP1729">
        <v>0.87</v>
      </c>
      <c r="BQ1729">
        <v>39.020000000000003</v>
      </c>
      <c r="BR1729">
        <v>13.42</v>
      </c>
      <c r="BS1729">
        <v>2.79</v>
      </c>
      <c r="BT1729">
        <v>6.61</v>
      </c>
      <c r="BU1729">
        <v>8.82</v>
      </c>
      <c r="BV1729">
        <v>6.02</v>
      </c>
      <c r="BW1729">
        <v>3.73</v>
      </c>
      <c r="BX1729">
        <v>10.65</v>
      </c>
      <c r="BY1729">
        <v>3.69</v>
      </c>
      <c r="BZ1729">
        <v>2.52</v>
      </c>
      <c r="CA1729">
        <v>-1.05</v>
      </c>
      <c r="CB1729">
        <v>0.11</v>
      </c>
      <c r="CC1729">
        <v>-1.01</v>
      </c>
      <c r="CD1729">
        <v>-1.03</v>
      </c>
      <c r="CE1729">
        <v>-1.04</v>
      </c>
      <c r="CF1729">
        <v>-1.08</v>
      </c>
      <c r="CG1729">
        <v>1.56</v>
      </c>
      <c r="CH1729">
        <v>0.39</v>
      </c>
      <c r="CI1729">
        <v>-0.59</v>
      </c>
      <c r="CJ1729">
        <v>20177</v>
      </c>
      <c r="CK1729">
        <v>7849</v>
      </c>
      <c r="CL1729" t="s">
        <v>2630</v>
      </c>
      <c r="CM1729">
        <v>-2117.0500000000002</v>
      </c>
      <c r="CN1729">
        <v>-21.08</v>
      </c>
      <c r="CO1729">
        <v>1.33</v>
      </c>
      <c r="CP1729">
        <v>53.82</v>
      </c>
      <c r="CQ1729">
        <v>5.61</v>
      </c>
      <c r="CR1729">
        <v>0</v>
      </c>
      <c r="CS1729" t="s">
        <v>8887</v>
      </c>
      <c r="CT1729">
        <v>5.17</v>
      </c>
      <c r="CU1729">
        <v>0</v>
      </c>
      <c r="CV1729">
        <v>3.53</v>
      </c>
      <c r="CW1729">
        <v>0.52</v>
      </c>
      <c r="CX1729">
        <v>0.13</v>
      </c>
      <c r="CY1729">
        <v>57.75</v>
      </c>
      <c r="CZ1729" t="s">
        <v>8888</v>
      </c>
      <c r="DA1729">
        <v>31.62</v>
      </c>
      <c r="DB1729">
        <v>-28.43</v>
      </c>
      <c r="DC1729">
        <v>-28.19</v>
      </c>
      <c r="DD1729">
        <v>0.4</v>
      </c>
      <c r="DE1729">
        <v>685</v>
      </c>
      <c r="DF1729">
        <v>300334</v>
      </c>
      <c r="DG1729" t="s">
        <v>116</v>
      </c>
      <c r="DH1729" t="s">
        <v>116</v>
      </c>
      <c r="DI1729" t="s">
        <v>116</v>
      </c>
    </row>
    <row r="1730" spans="1:113" x14ac:dyDescent="0.4">
      <c r="A1730" t="str">
        <f>"300335"</f>
        <v>300335</v>
      </c>
      <c r="B1730" t="s">
        <v>8889</v>
      </c>
      <c r="C1730">
        <v>-0.17</v>
      </c>
      <c r="D1730">
        <v>5.79</v>
      </c>
      <c r="E1730">
        <v>-0.01</v>
      </c>
      <c r="F1730">
        <v>5.78</v>
      </c>
      <c r="G1730">
        <v>5.79</v>
      </c>
      <c r="H1730">
        <v>67370</v>
      </c>
      <c r="I1730">
        <v>930</v>
      </c>
      <c r="J1730">
        <v>0.35</v>
      </c>
      <c r="K1730">
        <v>2.48</v>
      </c>
      <c r="L1730">
        <v>5.8</v>
      </c>
      <c r="M1730">
        <v>5.87</v>
      </c>
      <c r="N1730">
        <v>5.77</v>
      </c>
      <c r="O1730">
        <v>5.8</v>
      </c>
      <c r="P1730">
        <v>17.32</v>
      </c>
      <c r="Q1730">
        <v>39268568</v>
      </c>
      <c r="R1730">
        <v>0.87</v>
      </c>
      <c r="S1730" t="s">
        <v>690</v>
      </c>
      <c r="T1730" t="s">
        <v>551</v>
      </c>
      <c r="U1730">
        <v>1.72</v>
      </c>
      <c r="V1730">
        <v>5.83</v>
      </c>
      <c r="W1730">
        <v>35729</v>
      </c>
      <c r="X1730">
        <v>31641</v>
      </c>
      <c r="Y1730">
        <v>1.1299999999999999</v>
      </c>
      <c r="Z1730">
        <v>765</v>
      </c>
      <c r="AA1730">
        <v>358</v>
      </c>
      <c r="AB1730" t="s">
        <v>116</v>
      </c>
      <c r="AC1730">
        <v>45200</v>
      </c>
      <c r="AD1730">
        <v>0</v>
      </c>
      <c r="AE1730" t="s">
        <v>116</v>
      </c>
      <c r="AF1730" t="s">
        <v>116</v>
      </c>
      <c r="AG1730">
        <v>2.72</v>
      </c>
      <c r="AH1730" t="s">
        <v>2381</v>
      </c>
      <c r="AI1730" t="s">
        <v>8890</v>
      </c>
      <c r="AJ1730">
        <v>0.51</v>
      </c>
      <c r="AK1730">
        <v>949</v>
      </c>
      <c r="AL1730">
        <v>71</v>
      </c>
      <c r="AM1730">
        <v>2.5999999999999999E-3</v>
      </c>
      <c r="AN1730">
        <v>-1</v>
      </c>
      <c r="AO1730">
        <v>0.17</v>
      </c>
      <c r="AP1730">
        <v>4.32</v>
      </c>
      <c r="AQ1730">
        <v>1.22</v>
      </c>
      <c r="AR1730">
        <v>-4.6100000000000003</v>
      </c>
      <c r="AS1730">
        <v>2.82</v>
      </c>
      <c r="AT1730" t="s">
        <v>4173</v>
      </c>
      <c r="AU1730">
        <v>20.27</v>
      </c>
      <c r="AV1730">
        <v>13</v>
      </c>
      <c r="AW1730">
        <v>1.18</v>
      </c>
      <c r="BA1730">
        <v>0</v>
      </c>
      <c r="BB1730">
        <v>1.21</v>
      </c>
      <c r="BC1730">
        <v>-0.52</v>
      </c>
      <c r="BD1730">
        <v>0.5</v>
      </c>
      <c r="BE1730">
        <v>-0.17</v>
      </c>
      <c r="BF1730">
        <v>-1.36</v>
      </c>
      <c r="BG1730">
        <v>0.35</v>
      </c>
      <c r="BH1730">
        <v>-0.67</v>
      </c>
      <c r="BI1730">
        <v>20191030</v>
      </c>
      <c r="BJ1730">
        <v>20120710</v>
      </c>
      <c r="BK1730">
        <v>3.63</v>
      </c>
      <c r="BL1730" t="s">
        <v>116</v>
      </c>
      <c r="BM1730" t="s">
        <v>116</v>
      </c>
      <c r="BN1730">
        <v>34.590000000000003</v>
      </c>
      <c r="BO1730">
        <v>15.58</v>
      </c>
      <c r="BP1730">
        <v>2.68</v>
      </c>
      <c r="BQ1730">
        <v>47.2</v>
      </c>
      <c r="BR1730">
        <v>14.62</v>
      </c>
      <c r="BS1730">
        <v>7.63</v>
      </c>
      <c r="BT1730">
        <v>1.18</v>
      </c>
      <c r="BU1730">
        <v>10.1</v>
      </c>
      <c r="BV1730">
        <v>2.34</v>
      </c>
      <c r="BW1730">
        <v>3.74</v>
      </c>
      <c r="BX1730">
        <v>3.16</v>
      </c>
      <c r="BY1730">
        <v>9.76</v>
      </c>
      <c r="BZ1730">
        <v>6.97</v>
      </c>
      <c r="CA1730">
        <v>1.43</v>
      </c>
      <c r="CB1730">
        <v>0.28000000000000003</v>
      </c>
      <c r="CC1730">
        <v>1.45</v>
      </c>
      <c r="CD1730">
        <v>1.32</v>
      </c>
      <c r="CE1730">
        <v>0.91</v>
      </c>
      <c r="CF1730">
        <v>0.56999999999999995</v>
      </c>
      <c r="CG1730">
        <v>6.58</v>
      </c>
      <c r="CH1730">
        <v>2.4900000000000002</v>
      </c>
      <c r="CI1730">
        <v>-2.2200000000000002</v>
      </c>
      <c r="CJ1730">
        <v>20394</v>
      </c>
      <c r="CK1730">
        <v>11703</v>
      </c>
      <c r="CL1730" t="s">
        <v>1991</v>
      </c>
      <c r="CM1730">
        <v>-38.909999999999997</v>
      </c>
      <c r="CN1730">
        <v>-24.62</v>
      </c>
      <c r="CO1730">
        <v>1.53</v>
      </c>
      <c r="CP1730">
        <v>8.44</v>
      </c>
      <c r="CQ1730">
        <v>2.15</v>
      </c>
      <c r="CR1730">
        <v>3.45</v>
      </c>
      <c r="CS1730" t="s">
        <v>5231</v>
      </c>
      <c r="CT1730">
        <v>3.78</v>
      </c>
      <c r="CU1730">
        <v>3.78</v>
      </c>
      <c r="CV1730">
        <v>0.87</v>
      </c>
      <c r="CW1730">
        <v>1.81</v>
      </c>
      <c r="CX1730">
        <v>0.69</v>
      </c>
      <c r="CY1730">
        <v>45.06</v>
      </c>
      <c r="CZ1730" t="s">
        <v>2468</v>
      </c>
      <c r="DA1730">
        <v>28.55</v>
      </c>
      <c r="DB1730">
        <v>14.69</v>
      </c>
      <c r="DC1730">
        <v>9.32</v>
      </c>
      <c r="DD1730">
        <v>0.24</v>
      </c>
      <c r="DE1730">
        <v>1260</v>
      </c>
      <c r="DF1730">
        <v>300335</v>
      </c>
      <c r="DG1730" t="s">
        <v>116</v>
      </c>
      <c r="DH1730" t="s">
        <v>116</v>
      </c>
      <c r="DI1730" t="s">
        <v>116</v>
      </c>
    </row>
    <row r="1731" spans="1:113" x14ac:dyDescent="0.4">
      <c r="A1731" t="str">
        <f>"300336"</f>
        <v>300336</v>
      </c>
      <c r="B1731" t="s">
        <v>8891</v>
      </c>
      <c r="C1731">
        <v>1.46</v>
      </c>
      <c r="D1731">
        <v>4.17</v>
      </c>
      <c r="E1731">
        <v>0.06</v>
      </c>
      <c r="F1731">
        <v>4.17</v>
      </c>
      <c r="G1731">
        <v>4.18</v>
      </c>
      <c r="H1731">
        <v>301837</v>
      </c>
      <c r="I1731">
        <v>4431</v>
      </c>
      <c r="J1731">
        <v>-0.47</v>
      </c>
      <c r="K1731">
        <v>4.28</v>
      </c>
      <c r="L1731">
        <v>4.1100000000000003</v>
      </c>
      <c r="M1731">
        <v>4.33</v>
      </c>
      <c r="N1731">
        <v>4.09</v>
      </c>
      <c r="O1731">
        <v>4.1100000000000003</v>
      </c>
      <c r="P1731">
        <v>29.93</v>
      </c>
      <c r="Q1731">
        <v>127457144</v>
      </c>
      <c r="R1731">
        <v>2.1</v>
      </c>
      <c r="S1731" t="s">
        <v>589</v>
      </c>
      <c r="T1731" t="s">
        <v>1653</v>
      </c>
      <c r="U1731">
        <v>5.84</v>
      </c>
      <c r="V1731">
        <v>4.22</v>
      </c>
      <c r="W1731">
        <v>126036</v>
      </c>
      <c r="X1731">
        <v>175801</v>
      </c>
      <c r="Y1731">
        <v>0.72</v>
      </c>
      <c r="Z1731">
        <v>911</v>
      </c>
      <c r="AA1731">
        <v>2046</v>
      </c>
      <c r="AB1731" t="s">
        <v>116</v>
      </c>
      <c r="AC1731">
        <v>70300</v>
      </c>
      <c r="AD1731">
        <v>0</v>
      </c>
      <c r="AE1731" t="s">
        <v>116</v>
      </c>
      <c r="AF1731" t="s">
        <v>116</v>
      </c>
      <c r="AG1731">
        <v>7.05</v>
      </c>
      <c r="AH1731" t="s">
        <v>8620</v>
      </c>
      <c r="AI1731" t="s">
        <v>8892</v>
      </c>
      <c r="AJ1731">
        <v>2.14</v>
      </c>
      <c r="AK1731">
        <v>2086</v>
      </c>
      <c r="AL1731">
        <v>145</v>
      </c>
      <c r="AM1731">
        <v>2.0999999999999999E-3</v>
      </c>
      <c r="AN1731">
        <v>4</v>
      </c>
      <c r="AO1731">
        <v>2.4700000000000002</v>
      </c>
      <c r="AP1731">
        <v>5.84</v>
      </c>
      <c r="AQ1731">
        <v>10.029999999999999</v>
      </c>
      <c r="AR1731">
        <v>-5.16</v>
      </c>
      <c r="AS1731">
        <v>5.59</v>
      </c>
      <c r="AT1731" t="s">
        <v>8893</v>
      </c>
      <c r="AU1731" t="s">
        <v>116</v>
      </c>
      <c r="AV1731">
        <v>106.33</v>
      </c>
      <c r="AW1731">
        <v>1.1200000000000001</v>
      </c>
      <c r="BA1731">
        <v>0</v>
      </c>
      <c r="BB1731">
        <v>5.35</v>
      </c>
      <c r="BC1731">
        <v>-0.49</v>
      </c>
      <c r="BD1731">
        <v>2.74</v>
      </c>
      <c r="BE1731">
        <v>1.46</v>
      </c>
      <c r="BF1731">
        <v>-3.7</v>
      </c>
      <c r="BG1731">
        <v>1.96</v>
      </c>
      <c r="BH1731">
        <v>-1.28</v>
      </c>
      <c r="BI1731">
        <v>20191225</v>
      </c>
      <c r="BJ1731">
        <v>20120710</v>
      </c>
      <c r="BK1731">
        <v>8.06</v>
      </c>
      <c r="BL1731" t="s">
        <v>116</v>
      </c>
      <c r="BM1731" t="s">
        <v>116</v>
      </c>
      <c r="BN1731">
        <v>45.82</v>
      </c>
      <c r="BO1731">
        <v>31.12</v>
      </c>
      <c r="BP1731">
        <v>0.14000000000000001</v>
      </c>
      <c r="BQ1731">
        <v>31.76</v>
      </c>
      <c r="BR1731">
        <v>20.329999999999998</v>
      </c>
      <c r="BS1731">
        <v>0.56999999999999995</v>
      </c>
      <c r="BT1731">
        <v>0.02</v>
      </c>
      <c r="BU1731">
        <v>7.84</v>
      </c>
      <c r="BV1731">
        <v>5.88</v>
      </c>
      <c r="BW1731">
        <v>4.2699999999999996</v>
      </c>
      <c r="BX1731">
        <v>12.21</v>
      </c>
      <c r="BY1731">
        <v>4.49</v>
      </c>
      <c r="BZ1731">
        <v>3.43</v>
      </c>
      <c r="CA1731">
        <v>0.89</v>
      </c>
      <c r="CB1731">
        <v>1.1299999999999999</v>
      </c>
      <c r="CC1731">
        <v>0.89</v>
      </c>
      <c r="CD1731">
        <v>0.83</v>
      </c>
      <c r="CE1731">
        <v>0.84</v>
      </c>
      <c r="CF1731">
        <v>0.65</v>
      </c>
      <c r="CG1731">
        <v>9.91</v>
      </c>
      <c r="CH1731">
        <v>-1.18</v>
      </c>
      <c r="CI1731">
        <v>-3.13</v>
      </c>
      <c r="CJ1731">
        <v>37954</v>
      </c>
      <c r="CK1731">
        <v>14225</v>
      </c>
      <c r="CL1731" t="s">
        <v>1060</v>
      </c>
      <c r="CM1731">
        <v>-62.46</v>
      </c>
      <c r="CN1731">
        <v>-19.05</v>
      </c>
      <c r="CO1731">
        <v>1.08</v>
      </c>
      <c r="CP1731">
        <v>-28.56</v>
      </c>
      <c r="CQ1731">
        <v>7.49</v>
      </c>
      <c r="CR1731">
        <v>7.0000000000000007E-2</v>
      </c>
      <c r="CS1731" t="s">
        <v>3672</v>
      </c>
      <c r="CT1731">
        <v>3.86</v>
      </c>
      <c r="CU1731">
        <v>0</v>
      </c>
      <c r="CV1731">
        <v>1.51</v>
      </c>
      <c r="CW1731">
        <v>1.23</v>
      </c>
      <c r="CX1731">
        <v>-0.15</v>
      </c>
      <c r="CY1731">
        <v>67.92</v>
      </c>
      <c r="CZ1731" t="s">
        <v>3405</v>
      </c>
      <c r="DA1731">
        <v>23.62</v>
      </c>
      <c r="DB1731">
        <v>19.86</v>
      </c>
      <c r="DC1731">
        <v>18.760000000000002</v>
      </c>
      <c r="DD1731">
        <v>0</v>
      </c>
      <c r="DE1731">
        <v>314</v>
      </c>
      <c r="DF1731">
        <v>300336</v>
      </c>
      <c r="DG1731" t="s">
        <v>116</v>
      </c>
      <c r="DH1731" t="s">
        <v>116</v>
      </c>
      <c r="DI1731" t="s">
        <v>116</v>
      </c>
    </row>
    <row r="1732" spans="1:113" x14ac:dyDescent="0.4">
      <c r="A1732" t="str">
        <f>"300337"</f>
        <v>300337</v>
      </c>
      <c r="B1732" t="s">
        <v>8894</v>
      </c>
      <c r="C1732">
        <v>-0.31</v>
      </c>
      <c r="D1732">
        <v>3.17</v>
      </c>
      <c r="E1732">
        <v>-0.01</v>
      </c>
      <c r="F1732">
        <v>3.17</v>
      </c>
      <c r="G1732">
        <v>3.18</v>
      </c>
      <c r="H1732">
        <v>60372</v>
      </c>
      <c r="I1732">
        <v>1544</v>
      </c>
      <c r="J1732">
        <v>0</v>
      </c>
      <c r="K1732">
        <v>0.85</v>
      </c>
      <c r="L1732">
        <v>3.19</v>
      </c>
      <c r="M1732">
        <v>3.25</v>
      </c>
      <c r="N1732">
        <v>3.16</v>
      </c>
      <c r="O1732">
        <v>3.18</v>
      </c>
      <c r="P1732" t="s">
        <v>116</v>
      </c>
      <c r="Q1732">
        <v>19289000</v>
      </c>
      <c r="R1732">
        <v>0.62</v>
      </c>
      <c r="S1732" t="s">
        <v>1428</v>
      </c>
      <c r="T1732" t="s">
        <v>323</v>
      </c>
      <c r="U1732">
        <v>2.83</v>
      </c>
      <c r="V1732">
        <v>3.2</v>
      </c>
      <c r="W1732">
        <v>30013</v>
      </c>
      <c r="X1732">
        <v>30359</v>
      </c>
      <c r="Y1732">
        <v>0.99</v>
      </c>
      <c r="Z1732">
        <v>1467</v>
      </c>
      <c r="AA1732">
        <v>728</v>
      </c>
      <c r="AB1732" t="s">
        <v>116</v>
      </c>
      <c r="AC1732">
        <v>300</v>
      </c>
      <c r="AD1732">
        <v>0</v>
      </c>
      <c r="AE1732" t="s">
        <v>116</v>
      </c>
      <c r="AF1732" t="s">
        <v>116</v>
      </c>
      <c r="AG1732">
        <v>7.08</v>
      </c>
      <c r="AH1732" t="s">
        <v>8520</v>
      </c>
      <c r="AI1732" t="s">
        <v>6976</v>
      </c>
      <c r="AJ1732">
        <v>0.36</v>
      </c>
      <c r="AK1732">
        <v>935</v>
      </c>
      <c r="AL1732">
        <v>65</v>
      </c>
      <c r="AM1732">
        <v>8.9999999999999998E-4</v>
      </c>
      <c r="AN1732">
        <v>-3</v>
      </c>
      <c r="AO1732">
        <v>-3.05</v>
      </c>
      <c r="AP1732">
        <v>5.32</v>
      </c>
      <c r="AQ1732">
        <v>-5.93</v>
      </c>
      <c r="AR1732">
        <v>-9.43</v>
      </c>
      <c r="AS1732">
        <v>1.56</v>
      </c>
      <c r="AT1732" t="s">
        <v>8245</v>
      </c>
      <c r="AU1732" t="s">
        <v>116</v>
      </c>
      <c r="AV1732" t="s">
        <v>116</v>
      </c>
      <c r="AW1732">
        <v>1.02</v>
      </c>
      <c r="BA1732">
        <v>0.31</v>
      </c>
      <c r="BB1732">
        <v>2.2000000000000002</v>
      </c>
      <c r="BC1732">
        <v>-0.63</v>
      </c>
      <c r="BD1732">
        <v>0.47</v>
      </c>
      <c r="BE1732">
        <v>-0.63</v>
      </c>
      <c r="BF1732">
        <v>-2.46</v>
      </c>
      <c r="BG1732">
        <v>0.32</v>
      </c>
      <c r="BH1732">
        <v>-0.79</v>
      </c>
      <c r="BI1732">
        <v>20191028</v>
      </c>
      <c r="BJ1732">
        <v>20120718</v>
      </c>
      <c r="BK1732">
        <v>8.2200000000000006</v>
      </c>
      <c r="BL1732" t="s">
        <v>116</v>
      </c>
      <c r="BM1732" t="s">
        <v>116</v>
      </c>
      <c r="BN1732">
        <v>28.73</v>
      </c>
      <c r="BO1732">
        <v>13.92</v>
      </c>
      <c r="BP1732">
        <v>-0.21</v>
      </c>
      <c r="BQ1732">
        <v>52.29</v>
      </c>
      <c r="BR1732">
        <v>11.81</v>
      </c>
      <c r="BS1732">
        <v>12.67</v>
      </c>
      <c r="BT1732">
        <v>0.91</v>
      </c>
      <c r="BU1732">
        <v>14.32</v>
      </c>
      <c r="BV1732">
        <v>5.6</v>
      </c>
      <c r="BW1732">
        <v>4.75</v>
      </c>
      <c r="BX1732">
        <v>5.71</v>
      </c>
      <c r="BY1732">
        <v>13.85</v>
      </c>
      <c r="BZ1732">
        <v>12.7</v>
      </c>
      <c r="CA1732">
        <v>-0.59</v>
      </c>
      <c r="CB1732">
        <v>-0.05</v>
      </c>
      <c r="CC1732">
        <v>-0.59</v>
      </c>
      <c r="CD1732">
        <v>-0.61</v>
      </c>
      <c r="CE1732">
        <v>-0.68</v>
      </c>
      <c r="CF1732">
        <v>-0.86</v>
      </c>
      <c r="CG1732">
        <v>-0.42</v>
      </c>
      <c r="CH1732">
        <v>0.89</v>
      </c>
      <c r="CI1732">
        <v>-0.05</v>
      </c>
      <c r="CJ1732">
        <v>24664</v>
      </c>
      <c r="CK1732">
        <v>15729</v>
      </c>
      <c r="CL1732" t="s">
        <v>3310</v>
      </c>
      <c r="CM1732">
        <v>-415.93</v>
      </c>
      <c r="CN1732">
        <v>-5.2</v>
      </c>
      <c r="CO1732">
        <v>1.87</v>
      </c>
      <c r="CP1732">
        <v>29.21</v>
      </c>
      <c r="CQ1732">
        <v>1.88</v>
      </c>
      <c r="CR1732">
        <v>0</v>
      </c>
      <c r="CS1732" t="s">
        <v>8415</v>
      </c>
      <c r="CT1732">
        <v>1.69</v>
      </c>
      <c r="CU1732">
        <v>0</v>
      </c>
      <c r="CV1732">
        <v>0.7</v>
      </c>
      <c r="CW1732">
        <v>-0.05</v>
      </c>
      <c r="CX1732">
        <v>0.11</v>
      </c>
      <c r="CY1732">
        <v>48.45</v>
      </c>
      <c r="CZ1732" t="s">
        <v>8895</v>
      </c>
      <c r="DA1732">
        <v>8.31</v>
      </c>
      <c r="DB1732">
        <v>-4.26</v>
      </c>
      <c r="DC1732">
        <v>-4.8899999999999997</v>
      </c>
      <c r="DD1732">
        <v>0.46</v>
      </c>
      <c r="DE1732">
        <v>1068</v>
      </c>
      <c r="DF1732">
        <v>300337</v>
      </c>
      <c r="DG1732" t="s">
        <v>116</v>
      </c>
      <c r="DH1732" t="s">
        <v>116</v>
      </c>
      <c r="DI1732" t="s">
        <v>116</v>
      </c>
    </row>
    <row r="1733" spans="1:113" x14ac:dyDescent="0.4">
      <c r="A1733" t="str">
        <f>"300338"</f>
        <v>300338</v>
      </c>
      <c r="B1733" t="s">
        <v>8896</v>
      </c>
      <c r="C1733">
        <v>-2.5099999999999998</v>
      </c>
      <c r="D1733">
        <v>10.47</v>
      </c>
      <c r="E1733">
        <v>-0.27</v>
      </c>
      <c r="F1733">
        <v>10.46</v>
      </c>
      <c r="G1733">
        <v>10.47</v>
      </c>
      <c r="H1733">
        <v>39716</v>
      </c>
      <c r="I1733">
        <v>653</v>
      </c>
      <c r="J1733">
        <v>-0.18</v>
      </c>
      <c r="K1733">
        <v>2</v>
      </c>
      <c r="L1733">
        <v>10.71</v>
      </c>
      <c r="M1733">
        <v>10.87</v>
      </c>
      <c r="N1733">
        <v>10.46</v>
      </c>
      <c r="O1733">
        <v>10.74</v>
      </c>
      <c r="P1733">
        <v>57.44</v>
      </c>
      <c r="Q1733">
        <v>42206304</v>
      </c>
      <c r="R1733">
        <v>0.83</v>
      </c>
      <c r="S1733" t="s">
        <v>217</v>
      </c>
      <c r="T1733" t="s">
        <v>599</v>
      </c>
      <c r="U1733">
        <v>3.82</v>
      </c>
      <c r="V1733">
        <v>10.63</v>
      </c>
      <c r="W1733">
        <v>27971</v>
      </c>
      <c r="X1733">
        <v>11745</v>
      </c>
      <c r="Y1733">
        <v>2.38</v>
      </c>
      <c r="Z1733">
        <v>543</v>
      </c>
      <c r="AA1733">
        <v>4</v>
      </c>
      <c r="AB1733" t="s">
        <v>116</v>
      </c>
      <c r="AC1733">
        <v>138200</v>
      </c>
      <c r="AD1733">
        <v>0.01</v>
      </c>
      <c r="AE1733" t="s">
        <v>116</v>
      </c>
      <c r="AF1733" t="s">
        <v>116</v>
      </c>
      <c r="AG1733">
        <v>1.99</v>
      </c>
      <c r="AH1733" t="s">
        <v>8897</v>
      </c>
      <c r="AI1733" t="s">
        <v>8898</v>
      </c>
      <c r="AJ1733">
        <v>-1.84</v>
      </c>
      <c r="AK1733">
        <v>1223</v>
      </c>
      <c r="AL1733">
        <v>32</v>
      </c>
      <c r="AM1733">
        <v>1.6000000000000001E-3</v>
      </c>
      <c r="AN1733">
        <v>-2</v>
      </c>
      <c r="AO1733">
        <v>-1.78</v>
      </c>
      <c r="AP1733">
        <v>-9.59</v>
      </c>
      <c r="AQ1733">
        <v>-5.93</v>
      </c>
      <c r="AR1733">
        <v>51.85</v>
      </c>
      <c r="AS1733">
        <v>2.16</v>
      </c>
      <c r="AT1733" t="s">
        <v>2294</v>
      </c>
      <c r="AU1733">
        <v>82.43</v>
      </c>
      <c r="AV1733">
        <v>36.450000000000003</v>
      </c>
      <c r="AW1733">
        <v>1.1499999999999999</v>
      </c>
      <c r="BA1733">
        <v>-0.28000000000000003</v>
      </c>
      <c r="BB1733">
        <v>1.21</v>
      </c>
      <c r="BC1733">
        <v>-2.61</v>
      </c>
      <c r="BD1733">
        <v>-1.05</v>
      </c>
      <c r="BE1733">
        <v>-2.2400000000000002</v>
      </c>
      <c r="BF1733">
        <v>-3.68</v>
      </c>
      <c r="BG1733">
        <v>0.1</v>
      </c>
      <c r="BH1733">
        <v>-1.46</v>
      </c>
      <c r="BI1733">
        <v>20191029</v>
      </c>
      <c r="BJ1733">
        <v>20120726</v>
      </c>
      <c r="BK1733">
        <v>3.43</v>
      </c>
      <c r="BL1733" t="s">
        <v>116</v>
      </c>
      <c r="BM1733" t="s">
        <v>116</v>
      </c>
      <c r="BN1733">
        <v>28.72</v>
      </c>
      <c r="BO1733">
        <v>21.32</v>
      </c>
      <c r="BP1733">
        <v>0.3</v>
      </c>
      <c r="BQ1733">
        <v>24.73</v>
      </c>
      <c r="BR1733">
        <v>9.58</v>
      </c>
      <c r="BS1733">
        <v>1.91</v>
      </c>
      <c r="BT1733">
        <v>0.89</v>
      </c>
      <c r="BU1733">
        <v>6.94</v>
      </c>
      <c r="BV1733">
        <v>0.56000000000000005</v>
      </c>
      <c r="BW1733">
        <v>1.78</v>
      </c>
      <c r="BX1733">
        <v>13.12</v>
      </c>
      <c r="BY1733">
        <v>12.08</v>
      </c>
      <c r="BZ1733">
        <v>2.93</v>
      </c>
      <c r="CA1733">
        <v>0.98</v>
      </c>
      <c r="CB1733">
        <v>0</v>
      </c>
      <c r="CC1733">
        <v>0.84</v>
      </c>
      <c r="CD1733">
        <v>0.61</v>
      </c>
      <c r="CE1733">
        <v>0.47</v>
      </c>
      <c r="CF1733">
        <v>0.56999999999999995</v>
      </c>
      <c r="CG1733">
        <v>4.7</v>
      </c>
      <c r="CH1733">
        <v>1.1399999999999999</v>
      </c>
      <c r="CI1733">
        <v>-0.83</v>
      </c>
      <c r="CJ1733">
        <v>8421</v>
      </c>
      <c r="CK1733">
        <v>21787</v>
      </c>
      <c r="CL1733" t="s">
        <v>8899</v>
      </c>
      <c r="CM1733">
        <v>-53.95</v>
      </c>
      <c r="CN1733">
        <v>23.16</v>
      </c>
      <c r="CO1733">
        <v>1.69</v>
      </c>
      <c r="CP1733">
        <v>31.43</v>
      </c>
      <c r="CQ1733">
        <v>2.98</v>
      </c>
      <c r="CR1733">
        <v>0.14000000000000001</v>
      </c>
      <c r="CS1733" t="s">
        <v>519</v>
      </c>
      <c r="CT1733">
        <v>6.21</v>
      </c>
      <c r="CU1733">
        <v>0</v>
      </c>
      <c r="CV1733">
        <v>3.82</v>
      </c>
      <c r="CW1733">
        <v>1.37</v>
      </c>
      <c r="CX1733">
        <v>0.33</v>
      </c>
      <c r="CY1733">
        <v>74.22</v>
      </c>
      <c r="CZ1733" t="s">
        <v>1637</v>
      </c>
      <c r="DA1733">
        <v>75.75</v>
      </c>
      <c r="DB1733">
        <v>8.15</v>
      </c>
      <c r="DC1733">
        <v>3.89</v>
      </c>
      <c r="DD1733">
        <v>0.34</v>
      </c>
      <c r="DE1733">
        <v>5775</v>
      </c>
      <c r="DF1733">
        <v>300338</v>
      </c>
      <c r="DG1733" t="s">
        <v>116</v>
      </c>
      <c r="DH1733" t="s">
        <v>116</v>
      </c>
      <c r="DI1733" t="s">
        <v>116</v>
      </c>
    </row>
    <row r="1734" spans="1:113" x14ac:dyDescent="0.4">
      <c r="A1734" t="str">
        <f>"300339"</f>
        <v>300339</v>
      </c>
      <c r="B1734" t="s">
        <v>8900</v>
      </c>
      <c r="C1734">
        <v>-3.19</v>
      </c>
      <c r="D1734">
        <v>13.35</v>
      </c>
      <c r="E1734">
        <v>-0.44</v>
      </c>
      <c r="F1734">
        <v>13.35</v>
      </c>
      <c r="G1734">
        <v>13.38</v>
      </c>
      <c r="H1734">
        <v>182372</v>
      </c>
      <c r="I1734">
        <v>8281</v>
      </c>
      <c r="J1734">
        <v>-0.36</v>
      </c>
      <c r="K1734">
        <v>2.4500000000000002</v>
      </c>
      <c r="L1734">
        <v>13.75</v>
      </c>
      <c r="M1734">
        <v>13.91</v>
      </c>
      <c r="N1734">
        <v>13.35</v>
      </c>
      <c r="O1734">
        <v>13.79</v>
      </c>
      <c r="P1734">
        <v>47.49</v>
      </c>
      <c r="Q1734">
        <v>248834736</v>
      </c>
      <c r="R1734">
        <v>0.98</v>
      </c>
      <c r="S1734" t="s">
        <v>607</v>
      </c>
      <c r="T1734" t="s">
        <v>323</v>
      </c>
      <c r="U1734">
        <v>4.0599999999999996</v>
      </c>
      <c r="V1734">
        <v>13.64</v>
      </c>
      <c r="W1734">
        <v>108328</v>
      </c>
      <c r="X1734">
        <v>74044</v>
      </c>
      <c r="Y1734">
        <v>1.46</v>
      </c>
      <c r="Z1734">
        <v>2395</v>
      </c>
      <c r="AA1734">
        <v>83</v>
      </c>
      <c r="AB1734" t="s">
        <v>116</v>
      </c>
      <c r="AC1734">
        <v>504600</v>
      </c>
      <c r="AD1734">
        <v>0.01</v>
      </c>
      <c r="AE1734" t="s">
        <v>116</v>
      </c>
      <c r="AF1734" t="s">
        <v>116</v>
      </c>
      <c r="AG1734">
        <v>7.43</v>
      </c>
      <c r="AH1734" t="s">
        <v>8901</v>
      </c>
      <c r="AI1734" t="s">
        <v>3019</v>
      </c>
      <c r="AJ1734">
        <v>-2.5099999999999998</v>
      </c>
      <c r="AK1734">
        <v>3235</v>
      </c>
      <c r="AL1734">
        <v>56</v>
      </c>
      <c r="AM1734">
        <v>8.0000000000000004E-4</v>
      </c>
      <c r="AN1734">
        <v>-1</v>
      </c>
      <c r="AO1734">
        <v>0.23</v>
      </c>
      <c r="AP1734">
        <v>7.49</v>
      </c>
      <c r="AQ1734">
        <v>-12.46</v>
      </c>
      <c r="AR1734">
        <v>46.38</v>
      </c>
      <c r="AS1734">
        <v>3.43</v>
      </c>
      <c r="AT1734" t="s">
        <v>8902</v>
      </c>
      <c r="AU1734">
        <v>35.049999999999997</v>
      </c>
      <c r="AV1734">
        <v>33.82</v>
      </c>
      <c r="AW1734">
        <v>2.08</v>
      </c>
      <c r="BA1734">
        <v>-0.28999999999999998</v>
      </c>
      <c r="BB1734">
        <v>0.87</v>
      </c>
      <c r="BC1734">
        <v>-3.19</v>
      </c>
      <c r="BD1734">
        <v>-1.06</v>
      </c>
      <c r="BE1734">
        <v>-2.91</v>
      </c>
      <c r="BF1734">
        <v>-4.03</v>
      </c>
      <c r="BG1734">
        <v>0</v>
      </c>
      <c r="BH1734">
        <v>-2.13</v>
      </c>
      <c r="BI1734">
        <v>20191028</v>
      </c>
      <c r="BJ1734">
        <v>20120718</v>
      </c>
      <c r="BK1734">
        <v>7.96</v>
      </c>
      <c r="BL1734" t="s">
        <v>116</v>
      </c>
      <c r="BM1734" t="s">
        <v>116</v>
      </c>
      <c r="BN1734">
        <v>65.11</v>
      </c>
      <c r="BO1734">
        <v>47.82</v>
      </c>
      <c r="BP1734">
        <v>0.02</v>
      </c>
      <c r="BQ1734">
        <v>26.53</v>
      </c>
      <c r="BR1734">
        <v>26.97</v>
      </c>
      <c r="BS1734">
        <v>6.16</v>
      </c>
      <c r="BT1734">
        <v>1.49</v>
      </c>
      <c r="BU1734">
        <v>12.59</v>
      </c>
      <c r="BV1734">
        <v>0</v>
      </c>
      <c r="BW1734">
        <v>17.21</v>
      </c>
      <c r="BX1734">
        <v>28.78</v>
      </c>
      <c r="BY1734">
        <v>16.47</v>
      </c>
      <c r="BZ1734">
        <v>10.84</v>
      </c>
      <c r="CA1734">
        <v>1.61</v>
      </c>
      <c r="CB1734">
        <v>0.18</v>
      </c>
      <c r="CC1734">
        <v>1.66</v>
      </c>
      <c r="CD1734">
        <v>1.62</v>
      </c>
      <c r="CE1734">
        <v>1.68</v>
      </c>
      <c r="CF1734">
        <v>1.53</v>
      </c>
      <c r="CG1734">
        <v>11.91</v>
      </c>
      <c r="CH1734">
        <v>-2.38</v>
      </c>
      <c r="CI1734">
        <v>-7.88</v>
      </c>
      <c r="CJ1734">
        <v>60052</v>
      </c>
      <c r="CK1734">
        <v>8852</v>
      </c>
      <c r="CL1734" t="s">
        <v>357</v>
      </c>
      <c r="CM1734">
        <v>-6.18</v>
      </c>
      <c r="CN1734">
        <v>8.0500000000000007</v>
      </c>
      <c r="CO1734">
        <v>2.2200000000000002</v>
      </c>
      <c r="CP1734">
        <v>-44.63</v>
      </c>
      <c r="CQ1734">
        <v>6.45</v>
      </c>
      <c r="CR1734">
        <v>0</v>
      </c>
      <c r="CS1734" t="s">
        <v>2744</v>
      </c>
      <c r="CT1734">
        <v>6</v>
      </c>
      <c r="CU1734">
        <v>0</v>
      </c>
      <c r="CV1734">
        <v>3.61</v>
      </c>
      <c r="CW1734">
        <v>1.49</v>
      </c>
      <c r="CX1734">
        <v>-0.3</v>
      </c>
      <c r="CY1734">
        <v>73.44</v>
      </c>
      <c r="CZ1734" t="s">
        <v>938</v>
      </c>
      <c r="DA1734">
        <v>34.22</v>
      </c>
      <c r="DB1734">
        <v>9.7899999999999991</v>
      </c>
      <c r="DC1734">
        <v>10.19</v>
      </c>
      <c r="DD1734">
        <v>1.47</v>
      </c>
      <c r="DE1734">
        <v>8644</v>
      </c>
      <c r="DF1734">
        <v>300339</v>
      </c>
      <c r="DG1734" t="s">
        <v>116</v>
      </c>
      <c r="DH1734" t="s">
        <v>116</v>
      </c>
      <c r="DI1734" t="s">
        <v>116</v>
      </c>
    </row>
    <row r="1735" spans="1:113" x14ac:dyDescent="0.4">
      <c r="A1735" t="str">
        <f>"300340"</f>
        <v>300340</v>
      </c>
      <c r="B1735" t="s">
        <v>8903</v>
      </c>
      <c r="C1735">
        <v>-1</v>
      </c>
      <c r="D1735">
        <v>12.87</v>
      </c>
      <c r="E1735">
        <v>-0.13</v>
      </c>
      <c r="F1735">
        <v>12.86</v>
      </c>
      <c r="G1735">
        <v>12.87</v>
      </c>
      <c r="H1735">
        <v>163158</v>
      </c>
      <c r="I1735">
        <v>1416</v>
      </c>
      <c r="J1735">
        <v>-0.22</v>
      </c>
      <c r="K1735">
        <v>9.4600000000000009</v>
      </c>
      <c r="L1735">
        <v>13.01</v>
      </c>
      <c r="M1735">
        <v>13.59</v>
      </c>
      <c r="N1735">
        <v>12.81</v>
      </c>
      <c r="O1735">
        <v>13</v>
      </c>
      <c r="P1735">
        <v>100.4</v>
      </c>
      <c r="Q1735">
        <v>213970000</v>
      </c>
      <c r="R1735">
        <v>1.48</v>
      </c>
      <c r="S1735" t="s">
        <v>233</v>
      </c>
      <c r="T1735" t="s">
        <v>551</v>
      </c>
      <c r="U1735">
        <v>6</v>
      </c>
      <c r="V1735">
        <v>13.11</v>
      </c>
      <c r="W1735">
        <v>77869</v>
      </c>
      <c r="X1735">
        <v>85289</v>
      </c>
      <c r="Y1735">
        <v>0.91</v>
      </c>
      <c r="Z1735">
        <v>115</v>
      </c>
      <c r="AA1735">
        <v>571</v>
      </c>
      <c r="AB1735" t="s">
        <v>116</v>
      </c>
      <c r="AC1735">
        <v>702800</v>
      </c>
      <c r="AD1735">
        <v>0.04</v>
      </c>
      <c r="AE1735" t="s">
        <v>116</v>
      </c>
      <c r="AF1735" t="s">
        <v>116</v>
      </c>
      <c r="AG1735">
        <v>1.72</v>
      </c>
      <c r="AH1735" t="s">
        <v>1288</v>
      </c>
      <c r="AI1735" t="s">
        <v>8904</v>
      </c>
      <c r="AJ1735">
        <v>-0.32</v>
      </c>
      <c r="AK1735">
        <v>3258</v>
      </c>
      <c r="AL1735">
        <v>50</v>
      </c>
      <c r="AM1735">
        <v>2.8999999999999998E-3</v>
      </c>
      <c r="AN1735">
        <v>-1</v>
      </c>
      <c r="AO1735">
        <v>2.8</v>
      </c>
      <c r="AP1735">
        <v>14.91</v>
      </c>
      <c r="AQ1735">
        <v>-2.94</v>
      </c>
      <c r="AR1735">
        <v>-7.61</v>
      </c>
      <c r="AS1735">
        <v>11.11</v>
      </c>
      <c r="AT1735" t="s">
        <v>833</v>
      </c>
      <c r="AU1735">
        <v>99.65</v>
      </c>
      <c r="AV1735">
        <v>47.15</v>
      </c>
      <c r="AW1735">
        <v>1.1000000000000001</v>
      </c>
      <c r="BA1735">
        <v>0.08</v>
      </c>
      <c r="BB1735">
        <v>4.54</v>
      </c>
      <c r="BC1735">
        <v>-1.46</v>
      </c>
      <c r="BD1735">
        <v>0.88</v>
      </c>
      <c r="BE1735">
        <v>-1.08</v>
      </c>
      <c r="BF1735">
        <v>-5.3</v>
      </c>
      <c r="BG1735">
        <v>0.47</v>
      </c>
      <c r="BH1735">
        <v>-1.88</v>
      </c>
      <c r="BI1735">
        <v>20191220</v>
      </c>
      <c r="BJ1735">
        <v>20120726</v>
      </c>
      <c r="BK1735">
        <v>2.12</v>
      </c>
      <c r="BL1735" t="s">
        <v>116</v>
      </c>
      <c r="BM1735" t="s">
        <v>116</v>
      </c>
      <c r="BN1735">
        <v>34.869999999999997</v>
      </c>
      <c r="BO1735">
        <v>14.45</v>
      </c>
      <c r="BP1735">
        <v>0.02</v>
      </c>
      <c r="BQ1735">
        <v>58.5</v>
      </c>
      <c r="BR1735">
        <v>21.29</v>
      </c>
      <c r="BS1735">
        <v>3.33</v>
      </c>
      <c r="BT1735">
        <v>0.88</v>
      </c>
      <c r="BU1735">
        <v>18.04</v>
      </c>
      <c r="BV1735">
        <v>8.3800000000000008</v>
      </c>
      <c r="BW1735">
        <v>8.57</v>
      </c>
      <c r="BX1735">
        <v>8.7799999999999994</v>
      </c>
      <c r="BY1735">
        <v>12.8</v>
      </c>
      <c r="BZ1735">
        <v>10.99</v>
      </c>
      <c r="CA1735">
        <v>0.24</v>
      </c>
      <c r="CB1735">
        <v>-0.02</v>
      </c>
      <c r="CC1735">
        <v>0.24</v>
      </c>
      <c r="CD1735">
        <v>0.2</v>
      </c>
      <c r="CE1735">
        <v>0.2</v>
      </c>
      <c r="CF1735">
        <v>0.04</v>
      </c>
      <c r="CG1735">
        <v>3.32</v>
      </c>
      <c r="CH1735">
        <v>1.84</v>
      </c>
      <c r="CI1735">
        <v>-0.66</v>
      </c>
      <c r="CJ1735">
        <v>26210</v>
      </c>
      <c r="CK1735">
        <v>5604</v>
      </c>
      <c r="CL1735" t="s">
        <v>4983</v>
      </c>
      <c r="CM1735">
        <v>-59.93</v>
      </c>
      <c r="CN1735">
        <v>-22.21</v>
      </c>
      <c r="CO1735">
        <v>1.89</v>
      </c>
      <c r="CP1735">
        <v>14.84</v>
      </c>
      <c r="CQ1735">
        <v>2.13</v>
      </c>
      <c r="CR1735">
        <v>0.78</v>
      </c>
      <c r="CS1735" t="s">
        <v>2025</v>
      </c>
      <c r="CT1735">
        <v>6.81</v>
      </c>
      <c r="CU1735">
        <v>0</v>
      </c>
      <c r="CV1735">
        <v>4.1399999999999997</v>
      </c>
      <c r="CW1735">
        <v>1.57</v>
      </c>
      <c r="CX1735">
        <v>0.87</v>
      </c>
      <c r="CY1735">
        <v>41.45</v>
      </c>
      <c r="CZ1735" t="s">
        <v>3191</v>
      </c>
      <c r="DA1735">
        <v>14.16</v>
      </c>
      <c r="DB1735">
        <v>1.91</v>
      </c>
      <c r="DC1735">
        <v>1.59</v>
      </c>
      <c r="DD1735">
        <v>0.66</v>
      </c>
      <c r="DE1735">
        <v>1430</v>
      </c>
      <c r="DF1735">
        <v>300340</v>
      </c>
      <c r="DG1735" t="s">
        <v>116</v>
      </c>
      <c r="DH1735" t="s">
        <v>116</v>
      </c>
      <c r="DI1735" t="s">
        <v>116</v>
      </c>
    </row>
    <row r="1736" spans="1:113" x14ac:dyDescent="0.4">
      <c r="A1736" t="str">
        <f>"300341"</f>
        <v>300341</v>
      </c>
      <c r="B1736" t="s">
        <v>8905</v>
      </c>
      <c r="C1736">
        <v>-6.11</v>
      </c>
      <c r="D1736">
        <v>15.21</v>
      </c>
      <c r="E1736">
        <v>-0.99</v>
      </c>
      <c r="F1736">
        <v>15.21</v>
      </c>
      <c r="G1736">
        <v>15.22</v>
      </c>
      <c r="H1736">
        <v>379646</v>
      </c>
      <c r="I1736">
        <v>7805</v>
      </c>
      <c r="J1736">
        <v>-0.57999999999999996</v>
      </c>
      <c r="K1736">
        <v>7.45</v>
      </c>
      <c r="L1736">
        <v>15.88</v>
      </c>
      <c r="M1736">
        <v>16.350000000000001</v>
      </c>
      <c r="N1736">
        <v>15.05</v>
      </c>
      <c r="O1736">
        <v>16.2</v>
      </c>
      <c r="P1736">
        <v>55.45</v>
      </c>
      <c r="Q1736">
        <v>594868224</v>
      </c>
      <c r="R1736">
        <v>1.08</v>
      </c>
      <c r="S1736" t="s">
        <v>397</v>
      </c>
      <c r="T1736" t="s">
        <v>975</v>
      </c>
      <c r="U1736">
        <v>8.02</v>
      </c>
      <c r="V1736">
        <v>15.67</v>
      </c>
      <c r="W1736">
        <v>217370</v>
      </c>
      <c r="X1736">
        <v>162276</v>
      </c>
      <c r="Y1736">
        <v>1.34</v>
      </c>
      <c r="Z1736">
        <v>656</v>
      </c>
      <c r="AA1736">
        <v>481</v>
      </c>
      <c r="AB1736" t="s">
        <v>116</v>
      </c>
      <c r="AC1736">
        <v>10542700</v>
      </c>
      <c r="AD1736">
        <v>0.38</v>
      </c>
      <c r="AE1736" t="s">
        <v>116</v>
      </c>
      <c r="AF1736" t="s">
        <v>116</v>
      </c>
      <c r="AG1736">
        <v>5.0999999999999996</v>
      </c>
      <c r="AH1736" t="s">
        <v>8906</v>
      </c>
      <c r="AI1736" t="s">
        <v>8907</v>
      </c>
      <c r="AJ1736">
        <v>-5.43</v>
      </c>
      <c r="AK1736">
        <v>4194</v>
      </c>
      <c r="AL1736">
        <v>91</v>
      </c>
      <c r="AM1736">
        <v>1.8E-3</v>
      </c>
      <c r="AN1736">
        <v>-1</v>
      </c>
      <c r="AO1736">
        <v>-5.12</v>
      </c>
      <c r="AP1736">
        <v>0.4</v>
      </c>
      <c r="AQ1736">
        <v>182.19</v>
      </c>
      <c r="AR1736">
        <v>227.66</v>
      </c>
      <c r="AS1736">
        <v>21.78</v>
      </c>
      <c r="AT1736" t="s">
        <v>7790</v>
      </c>
      <c r="AU1736">
        <v>49.27</v>
      </c>
      <c r="AV1736">
        <v>52.51</v>
      </c>
      <c r="AW1736">
        <v>0.87</v>
      </c>
      <c r="BA1736">
        <v>-1.98</v>
      </c>
      <c r="BB1736">
        <v>0.93</v>
      </c>
      <c r="BC1736">
        <v>-7.1</v>
      </c>
      <c r="BD1736">
        <v>-3.28</v>
      </c>
      <c r="BE1736">
        <v>-4.22</v>
      </c>
      <c r="BF1736">
        <v>-6.97</v>
      </c>
      <c r="BG1736">
        <v>1.06</v>
      </c>
      <c r="BH1736">
        <v>-2.83</v>
      </c>
      <c r="BI1736">
        <v>20191029</v>
      </c>
      <c r="BJ1736">
        <v>20120726</v>
      </c>
      <c r="BK1736">
        <v>5.0999999999999996</v>
      </c>
      <c r="BL1736" t="s">
        <v>116</v>
      </c>
      <c r="BM1736" t="s">
        <v>116</v>
      </c>
      <c r="BN1736">
        <v>15.95</v>
      </c>
      <c r="BO1736">
        <v>9.49</v>
      </c>
      <c r="BP1736">
        <v>0.78</v>
      </c>
      <c r="BQ1736">
        <v>35.619999999999997</v>
      </c>
      <c r="BR1736">
        <v>10.87</v>
      </c>
      <c r="BS1736">
        <v>2.86</v>
      </c>
      <c r="BT1736">
        <v>0.65</v>
      </c>
      <c r="BU1736">
        <v>2.77</v>
      </c>
      <c r="BV1736">
        <v>2.8</v>
      </c>
      <c r="BW1736">
        <v>2.94</v>
      </c>
      <c r="BX1736">
        <v>0</v>
      </c>
      <c r="BY1736">
        <v>7.95</v>
      </c>
      <c r="BZ1736">
        <v>4.43</v>
      </c>
      <c r="CA1736">
        <v>1.28</v>
      </c>
      <c r="CB1736">
        <v>0</v>
      </c>
      <c r="CC1736">
        <v>1.27</v>
      </c>
      <c r="CD1736">
        <v>1.06</v>
      </c>
      <c r="CE1736">
        <v>1.05</v>
      </c>
      <c r="CF1736">
        <v>1</v>
      </c>
      <c r="CG1736">
        <v>4.05</v>
      </c>
      <c r="CH1736">
        <v>0.74</v>
      </c>
      <c r="CI1736">
        <v>-0.32</v>
      </c>
      <c r="CJ1736">
        <v>13949</v>
      </c>
      <c r="CK1736">
        <v>12498</v>
      </c>
      <c r="CL1736" t="s">
        <v>8908</v>
      </c>
      <c r="CM1736">
        <v>10.199999999999999</v>
      </c>
      <c r="CN1736">
        <v>14.7</v>
      </c>
      <c r="CO1736">
        <v>8.18</v>
      </c>
      <c r="CP1736">
        <v>105.19</v>
      </c>
      <c r="CQ1736">
        <v>9.76</v>
      </c>
      <c r="CR1736">
        <v>0.38</v>
      </c>
      <c r="CS1736" t="s">
        <v>751</v>
      </c>
      <c r="CT1736">
        <v>1.86</v>
      </c>
      <c r="CU1736">
        <v>0</v>
      </c>
      <c r="CV1736">
        <v>0</v>
      </c>
      <c r="CW1736">
        <v>0.79</v>
      </c>
      <c r="CX1736">
        <v>0.14000000000000001</v>
      </c>
      <c r="CY1736">
        <v>59.51</v>
      </c>
      <c r="CZ1736" t="s">
        <v>6040</v>
      </c>
      <c r="DA1736">
        <v>44.23</v>
      </c>
      <c r="DB1736">
        <v>16.11</v>
      </c>
      <c r="DC1736">
        <v>13.21</v>
      </c>
      <c r="DD1736">
        <v>0.4</v>
      </c>
      <c r="DE1736">
        <v>2106</v>
      </c>
      <c r="DF1736">
        <v>300341</v>
      </c>
      <c r="DG1736" t="s">
        <v>116</v>
      </c>
      <c r="DH1736" t="s">
        <v>116</v>
      </c>
      <c r="DI1736" t="s">
        <v>116</v>
      </c>
    </row>
    <row r="1737" spans="1:113" x14ac:dyDescent="0.4">
      <c r="A1737" t="str">
        <f>"300342"</f>
        <v>300342</v>
      </c>
      <c r="B1737" t="s">
        <v>8909</v>
      </c>
      <c r="C1737">
        <v>-1.51</v>
      </c>
      <c r="D1737">
        <v>9.7799999999999994</v>
      </c>
      <c r="E1737">
        <v>-0.15</v>
      </c>
      <c r="F1737">
        <v>9.7799999999999994</v>
      </c>
      <c r="G1737">
        <v>9.7899999999999991</v>
      </c>
      <c r="H1737">
        <v>140239</v>
      </c>
      <c r="I1737">
        <v>2051</v>
      </c>
      <c r="J1737">
        <v>-0.09</v>
      </c>
      <c r="K1737">
        <v>3.49</v>
      </c>
      <c r="L1737">
        <v>9.9700000000000006</v>
      </c>
      <c r="M1737">
        <v>10.32</v>
      </c>
      <c r="N1737">
        <v>9.73</v>
      </c>
      <c r="O1737">
        <v>9.93</v>
      </c>
      <c r="P1737">
        <v>29.59</v>
      </c>
      <c r="Q1737">
        <v>139891472</v>
      </c>
      <c r="R1737">
        <v>1.59</v>
      </c>
      <c r="S1737" t="s">
        <v>233</v>
      </c>
      <c r="T1737" t="s">
        <v>323</v>
      </c>
      <c r="U1737">
        <v>5.94</v>
      </c>
      <c r="V1737">
        <v>9.98</v>
      </c>
      <c r="W1737">
        <v>76302</v>
      </c>
      <c r="X1737">
        <v>63937</v>
      </c>
      <c r="Y1737">
        <v>1.19</v>
      </c>
      <c r="Z1737">
        <v>162</v>
      </c>
      <c r="AA1737">
        <v>138</v>
      </c>
      <c r="AB1737" t="s">
        <v>116</v>
      </c>
      <c r="AC1737">
        <v>748700</v>
      </c>
      <c r="AD1737">
        <v>0.03</v>
      </c>
      <c r="AE1737" t="s">
        <v>116</v>
      </c>
      <c r="AF1737" t="s">
        <v>116</v>
      </c>
      <c r="AG1737">
        <v>4.0199999999999996</v>
      </c>
      <c r="AH1737" t="s">
        <v>8910</v>
      </c>
      <c r="AI1737" t="s">
        <v>6951</v>
      </c>
      <c r="AJ1737">
        <v>-0.83</v>
      </c>
      <c r="AK1737">
        <v>2120</v>
      </c>
      <c r="AL1737">
        <v>66</v>
      </c>
      <c r="AM1737">
        <v>1.6000000000000001E-3</v>
      </c>
      <c r="AN1737">
        <v>-1</v>
      </c>
      <c r="AO1737">
        <v>3.83</v>
      </c>
      <c r="AP1737">
        <v>12.8</v>
      </c>
      <c r="AQ1737">
        <v>-5.96</v>
      </c>
      <c r="AR1737">
        <v>41.13</v>
      </c>
      <c r="AS1737">
        <v>6.3</v>
      </c>
      <c r="AT1737" t="s">
        <v>6622</v>
      </c>
      <c r="AU1737">
        <v>40.01</v>
      </c>
      <c r="AV1737">
        <v>43.4</v>
      </c>
      <c r="AW1737">
        <v>0.69</v>
      </c>
      <c r="BA1737">
        <v>0.4</v>
      </c>
      <c r="BB1737">
        <v>3.93</v>
      </c>
      <c r="BC1737">
        <v>-2.0099999999999998</v>
      </c>
      <c r="BD1737">
        <v>0.46</v>
      </c>
      <c r="BE1737">
        <v>-1.91</v>
      </c>
      <c r="BF1737">
        <v>-5.23</v>
      </c>
      <c r="BG1737">
        <v>0.51</v>
      </c>
      <c r="BH1737">
        <v>-1.97</v>
      </c>
      <c r="BI1737">
        <v>20191107</v>
      </c>
      <c r="BJ1737">
        <v>20120726</v>
      </c>
      <c r="BK1737">
        <v>4.32</v>
      </c>
      <c r="BL1737" t="s">
        <v>116</v>
      </c>
      <c r="BM1737" t="s">
        <v>116</v>
      </c>
      <c r="BN1737">
        <v>19.03</v>
      </c>
      <c r="BO1737">
        <v>13.72</v>
      </c>
      <c r="BP1737">
        <v>0.15</v>
      </c>
      <c r="BQ1737">
        <v>27.14</v>
      </c>
      <c r="BR1737">
        <v>11.51</v>
      </c>
      <c r="BS1737">
        <v>1.79</v>
      </c>
      <c r="BT1737">
        <v>0.83</v>
      </c>
      <c r="BU1737">
        <v>5.0199999999999996</v>
      </c>
      <c r="BV1737">
        <v>2.8</v>
      </c>
      <c r="BW1737">
        <v>3.9</v>
      </c>
      <c r="BX1737">
        <v>4.26</v>
      </c>
      <c r="BY1737">
        <v>6.36</v>
      </c>
      <c r="BZ1737">
        <v>4.2</v>
      </c>
      <c r="CA1737">
        <v>1.22</v>
      </c>
      <c r="CB1737">
        <v>0</v>
      </c>
      <c r="CC1737">
        <v>1.22</v>
      </c>
      <c r="CD1737">
        <v>1.07</v>
      </c>
      <c r="CE1737">
        <v>1.07</v>
      </c>
      <c r="CF1737">
        <v>0.87</v>
      </c>
      <c r="CG1737">
        <v>5.35</v>
      </c>
      <c r="CH1737">
        <v>-0.93</v>
      </c>
      <c r="CI1737">
        <v>-2.71</v>
      </c>
      <c r="CJ1737">
        <v>17200</v>
      </c>
      <c r="CK1737">
        <v>12947</v>
      </c>
      <c r="CL1737" t="s">
        <v>8911</v>
      </c>
      <c r="CM1737">
        <v>8.35</v>
      </c>
      <c r="CN1737">
        <v>10.25</v>
      </c>
      <c r="CO1737">
        <v>3.08</v>
      </c>
      <c r="CP1737">
        <v>-45.33</v>
      </c>
      <c r="CQ1737">
        <v>6.64</v>
      </c>
      <c r="CR1737">
        <v>1.51</v>
      </c>
      <c r="CS1737" t="s">
        <v>6884</v>
      </c>
      <c r="CT1737">
        <v>3.18</v>
      </c>
      <c r="CU1737">
        <v>0</v>
      </c>
      <c r="CV1737">
        <v>0.99</v>
      </c>
      <c r="CW1737">
        <v>1.24</v>
      </c>
      <c r="CX1737">
        <v>-0.22</v>
      </c>
      <c r="CY1737">
        <v>72.069999999999993</v>
      </c>
      <c r="CZ1737" t="s">
        <v>6295</v>
      </c>
      <c r="DA1737">
        <v>34.049999999999997</v>
      </c>
      <c r="DB1737">
        <v>19.23</v>
      </c>
      <c r="DC1737">
        <v>16.82</v>
      </c>
      <c r="DD1737">
        <v>0.49</v>
      </c>
      <c r="DE1737">
        <v>1148</v>
      </c>
      <c r="DF1737">
        <v>300342</v>
      </c>
      <c r="DG1737" t="s">
        <v>116</v>
      </c>
      <c r="DH1737" t="s">
        <v>116</v>
      </c>
      <c r="DI1737" t="s">
        <v>116</v>
      </c>
    </row>
    <row r="1738" spans="1:113" x14ac:dyDescent="0.4">
      <c r="A1738" t="str">
        <f>"300343"</f>
        <v>300343</v>
      </c>
      <c r="B1738" t="s">
        <v>8912</v>
      </c>
      <c r="C1738">
        <v>-1.68</v>
      </c>
      <c r="D1738">
        <v>2.92</v>
      </c>
      <c r="E1738">
        <v>-0.05</v>
      </c>
      <c r="F1738">
        <v>2.92</v>
      </c>
      <c r="G1738">
        <v>2.93</v>
      </c>
      <c r="H1738">
        <v>418147</v>
      </c>
      <c r="I1738">
        <v>2345</v>
      </c>
      <c r="J1738">
        <v>0</v>
      </c>
      <c r="K1738">
        <v>5.27</v>
      </c>
      <c r="L1738">
        <v>2.97</v>
      </c>
      <c r="M1738">
        <v>3.08</v>
      </c>
      <c r="N1738">
        <v>2.92</v>
      </c>
      <c r="O1738">
        <v>2.97</v>
      </c>
      <c r="P1738">
        <v>20.059999999999999</v>
      </c>
      <c r="Q1738">
        <v>124613768</v>
      </c>
      <c r="R1738">
        <v>1.6</v>
      </c>
      <c r="S1738" t="s">
        <v>1384</v>
      </c>
      <c r="T1738" t="s">
        <v>645</v>
      </c>
      <c r="U1738">
        <v>5.39</v>
      </c>
      <c r="V1738">
        <v>2.98</v>
      </c>
      <c r="W1738">
        <v>226460</v>
      </c>
      <c r="X1738">
        <v>191687</v>
      </c>
      <c r="Y1738">
        <v>1.18</v>
      </c>
      <c r="Z1738">
        <v>2692</v>
      </c>
      <c r="AA1738">
        <v>1956</v>
      </c>
      <c r="AB1738" t="s">
        <v>116</v>
      </c>
      <c r="AC1738">
        <v>671200</v>
      </c>
      <c r="AD1738">
        <v>0.03</v>
      </c>
      <c r="AE1738" t="s">
        <v>116</v>
      </c>
      <c r="AF1738" t="s">
        <v>116</v>
      </c>
      <c r="AG1738">
        <v>7.93</v>
      </c>
      <c r="AH1738" t="s">
        <v>6773</v>
      </c>
      <c r="AI1738" t="s">
        <v>8913</v>
      </c>
      <c r="AJ1738">
        <v>-1</v>
      </c>
      <c r="AK1738">
        <v>2466</v>
      </c>
      <c r="AL1738">
        <v>170</v>
      </c>
      <c r="AM1738">
        <v>2.0999999999999999E-3</v>
      </c>
      <c r="AN1738">
        <v>-1</v>
      </c>
      <c r="AO1738">
        <v>0.69</v>
      </c>
      <c r="AP1738">
        <v>7.75</v>
      </c>
      <c r="AQ1738">
        <v>-8.4600000000000009</v>
      </c>
      <c r="AR1738">
        <v>-21.29</v>
      </c>
      <c r="AS1738">
        <v>5.63</v>
      </c>
      <c r="AT1738" t="s">
        <v>5571</v>
      </c>
      <c r="AU1738" t="s">
        <v>116</v>
      </c>
      <c r="AV1738" t="s">
        <v>116</v>
      </c>
      <c r="AW1738">
        <v>1.5</v>
      </c>
      <c r="BA1738">
        <v>0</v>
      </c>
      <c r="BB1738">
        <v>3.7</v>
      </c>
      <c r="BC1738">
        <v>-1.68</v>
      </c>
      <c r="BD1738">
        <v>0.34</v>
      </c>
      <c r="BE1738">
        <v>-1.68</v>
      </c>
      <c r="BF1738">
        <v>-5.19</v>
      </c>
      <c r="BG1738">
        <v>0</v>
      </c>
      <c r="BH1738">
        <v>-2.02</v>
      </c>
      <c r="BI1738">
        <v>20191213</v>
      </c>
      <c r="BJ1738">
        <v>20120801</v>
      </c>
      <c r="BK1738">
        <v>11.76</v>
      </c>
      <c r="BL1738" t="s">
        <v>116</v>
      </c>
      <c r="BM1738" t="s">
        <v>116</v>
      </c>
      <c r="BN1738">
        <v>50.07</v>
      </c>
      <c r="BO1738">
        <v>24.72</v>
      </c>
      <c r="BP1738">
        <v>0.92</v>
      </c>
      <c r="BQ1738">
        <v>48.81</v>
      </c>
      <c r="BR1738">
        <v>29.37</v>
      </c>
      <c r="BS1738">
        <v>4.88</v>
      </c>
      <c r="BT1738">
        <v>1.69</v>
      </c>
      <c r="BU1738">
        <v>23.29</v>
      </c>
      <c r="BV1738">
        <v>1.33</v>
      </c>
      <c r="BW1738">
        <v>21.96</v>
      </c>
      <c r="BX1738">
        <v>25.31</v>
      </c>
      <c r="BY1738">
        <v>27.71</v>
      </c>
      <c r="BZ1738">
        <v>23.58</v>
      </c>
      <c r="CA1738">
        <v>1.35</v>
      </c>
      <c r="CB1738">
        <v>0.03</v>
      </c>
      <c r="CC1738">
        <v>1.48</v>
      </c>
      <c r="CD1738">
        <v>1.24</v>
      </c>
      <c r="CE1738">
        <v>1.28</v>
      </c>
      <c r="CF1738">
        <v>1.1399999999999999</v>
      </c>
      <c r="CG1738">
        <v>-11.93</v>
      </c>
      <c r="CH1738">
        <v>0.46</v>
      </c>
      <c r="CI1738">
        <v>0.64</v>
      </c>
      <c r="CJ1738">
        <v>39170</v>
      </c>
      <c r="CK1738">
        <v>18964</v>
      </c>
      <c r="CL1738" t="s">
        <v>8914</v>
      </c>
      <c r="CM1738">
        <v>-19.98</v>
      </c>
      <c r="CN1738">
        <v>8.92</v>
      </c>
      <c r="CO1738">
        <v>1.39</v>
      </c>
      <c r="CP1738">
        <v>74.260000000000005</v>
      </c>
      <c r="CQ1738">
        <v>1.24</v>
      </c>
      <c r="CR1738">
        <v>0</v>
      </c>
      <c r="CS1738" t="s">
        <v>3966</v>
      </c>
      <c r="CT1738">
        <v>2.1</v>
      </c>
      <c r="CU1738">
        <v>0</v>
      </c>
      <c r="CV1738">
        <v>2.15</v>
      </c>
      <c r="CW1738">
        <v>-1.01</v>
      </c>
      <c r="CX1738">
        <v>0.04</v>
      </c>
      <c r="CY1738">
        <v>49.37</v>
      </c>
      <c r="CZ1738" t="s">
        <v>8915</v>
      </c>
      <c r="DA1738">
        <v>14.89</v>
      </c>
      <c r="DB1738">
        <v>4.8600000000000003</v>
      </c>
      <c r="DC1738">
        <v>4.63</v>
      </c>
      <c r="DD1738">
        <v>0.36</v>
      </c>
      <c r="DE1738">
        <v>1018</v>
      </c>
      <c r="DF1738">
        <v>300343</v>
      </c>
      <c r="DG1738" t="s">
        <v>116</v>
      </c>
      <c r="DH1738" t="s">
        <v>116</v>
      </c>
      <c r="DI1738" t="s">
        <v>116</v>
      </c>
    </row>
    <row r="1739" spans="1:113" x14ac:dyDescent="0.4">
      <c r="A1739" t="str">
        <f>"300344"</f>
        <v>300344</v>
      </c>
      <c r="B1739" t="s">
        <v>8916</v>
      </c>
      <c r="C1739">
        <v>0.83</v>
      </c>
      <c r="D1739">
        <v>6.05</v>
      </c>
      <c r="E1739">
        <v>0.05</v>
      </c>
      <c r="F1739">
        <v>6.05</v>
      </c>
      <c r="G1739">
        <v>6.06</v>
      </c>
      <c r="H1739">
        <v>772139</v>
      </c>
      <c r="I1739">
        <v>4204</v>
      </c>
      <c r="J1739">
        <v>-0.65</v>
      </c>
      <c r="K1739">
        <v>26.02</v>
      </c>
      <c r="L1739">
        <v>6.03</v>
      </c>
      <c r="M1739">
        <v>6.59</v>
      </c>
      <c r="N1739">
        <v>5.9</v>
      </c>
      <c r="O1739">
        <v>6</v>
      </c>
      <c r="P1739">
        <v>168.49</v>
      </c>
      <c r="Q1739">
        <v>482178944</v>
      </c>
      <c r="R1739">
        <v>2.62</v>
      </c>
      <c r="S1739" t="s">
        <v>607</v>
      </c>
      <c r="T1739" t="s">
        <v>165</v>
      </c>
      <c r="U1739">
        <v>11.5</v>
      </c>
      <c r="V1739">
        <v>6.24</v>
      </c>
      <c r="W1739">
        <v>357339</v>
      </c>
      <c r="X1739">
        <v>414800</v>
      </c>
      <c r="Y1739">
        <v>0.86</v>
      </c>
      <c r="Z1739">
        <v>2538</v>
      </c>
      <c r="AA1739">
        <v>29</v>
      </c>
      <c r="AB1739" t="s">
        <v>116</v>
      </c>
      <c r="AC1739">
        <v>10462000</v>
      </c>
      <c r="AD1739">
        <v>0.75</v>
      </c>
      <c r="AE1739" t="s">
        <v>116</v>
      </c>
      <c r="AF1739" t="s">
        <v>116</v>
      </c>
      <c r="AG1739">
        <v>2.97</v>
      </c>
      <c r="AH1739" t="s">
        <v>8917</v>
      </c>
      <c r="AI1739" t="s">
        <v>976</v>
      </c>
      <c r="AJ1739">
        <v>1.51</v>
      </c>
      <c r="AK1739">
        <v>3948</v>
      </c>
      <c r="AL1739">
        <v>196</v>
      </c>
      <c r="AM1739">
        <v>6.6E-3</v>
      </c>
      <c r="AN1739">
        <v>2</v>
      </c>
      <c r="AO1739">
        <v>3.06</v>
      </c>
      <c r="AP1739">
        <v>37.5</v>
      </c>
      <c r="AQ1739">
        <v>38.44</v>
      </c>
      <c r="AR1739">
        <v>21</v>
      </c>
      <c r="AS1739">
        <v>33.369999999999997</v>
      </c>
      <c r="AT1739" t="s">
        <v>5962</v>
      </c>
      <c r="AU1739" t="s">
        <v>116</v>
      </c>
      <c r="AV1739">
        <v>86.75</v>
      </c>
      <c r="AW1739">
        <v>1.55</v>
      </c>
      <c r="BA1739">
        <v>0.5</v>
      </c>
      <c r="BB1739">
        <v>9.83</v>
      </c>
      <c r="BC1739">
        <v>-1.67</v>
      </c>
      <c r="BD1739">
        <v>4.08</v>
      </c>
      <c r="BE1739">
        <v>0.33</v>
      </c>
      <c r="BF1739">
        <v>-8.19</v>
      </c>
      <c r="BG1739">
        <v>2.54</v>
      </c>
      <c r="BH1739">
        <v>-3.25</v>
      </c>
      <c r="BI1739">
        <v>20191026</v>
      </c>
      <c r="BJ1739">
        <v>20120801</v>
      </c>
      <c r="BK1739">
        <v>4.96</v>
      </c>
      <c r="BL1739" t="s">
        <v>116</v>
      </c>
      <c r="BM1739" t="s">
        <v>116</v>
      </c>
      <c r="BN1739">
        <v>10.210000000000001</v>
      </c>
      <c r="BO1739">
        <v>5.97</v>
      </c>
      <c r="BP1739">
        <v>0.03</v>
      </c>
      <c r="BQ1739">
        <v>41.25</v>
      </c>
      <c r="BR1739">
        <v>4.22</v>
      </c>
      <c r="BS1739">
        <v>0.04</v>
      </c>
      <c r="BT1739">
        <v>0.24</v>
      </c>
      <c r="BU1739">
        <v>4.21</v>
      </c>
      <c r="BV1739">
        <v>1.1299999999999999</v>
      </c>
      <c r="BW1739">
        <v>2.41</v>
      </c>
      <c r="BX1739">
        <v>0.72</v>
      </c>
      <c r="BY1739">
        <v>3.23</v>
      </c>
      <c r="BZ1739">
        <v>2</v>
      </c>
      <c r="CA1739">
        <v>0.21</v>
      </c>
      <c r="CB1739">
        <v>0</v>
      </c>
      <c r="CC1739">
        <v>0.21</v>
      </c>
      <c r="CD1739">
        <v>0.13</v>
      </c>
      <c r="CE1739">
        <v>0.13</v>
      </c>
      <c r="CF1739">
        <v>0.12</v>
      </c>
      <c r="CG1739">
        <v>0.63</v>
      </c>
      <c r="CH1739">
        <v>0.53</v>
      </c>
      <c r="CI1739">
        <v>-0.31</v>
      </c>
      <c r="CJ1739">
        <v>24174</v>
      </c>
      <c r="CK1739">
        <v>9571</v>
      </c>
      <c r="CL1739" t="s">
        <v>6903</v>
      </c>
      <c r="CM1739">
        <v>-72.66</v>
      </c>
      <c r="CN1739">
        <v>-16.309999999999999</v>
      </c>
      <c r="CO1739">
        <v>5.03</v>
      </c>
      <c r="CP1739">
        <v>56.9</v>
      </c>
      <c r="CQ1739">
        <v>9.31</v>
      </c>
      <c r="CR1739">
        <v>0</v>
      </c>
      <c r="CS1739" t="s">
        <v>2434</v>
      </c>
      <c r="CT1739">
        <v>1.2</v>
      </c>
      <c r="CU1739">
        <v>0</v>
      </c>
      <c r="CV1739">
        <v>0.15</v>
      </c>
      <c r="CW1739">
        <v>0.13</v>
      </c>
      <c r="CX1739">
        <v>0.11</v>
      </c>
      <c r="CY1739">
        <v>58.5</v>
      </c>
      <c r="CZ1739" t="s">
        <v>1470</v>
      </c>
      <c r="DA1739">
        <v>38.090000000000003</v>
      </c>
      <c r="DB1739">
        <v>6.4</v>
      </c>
      <c r="DC1739">
        <v>4.1399999999999997</v>
      </c>
      <c r="DD1739">
        <v>0.08</v>
      </c>
      <c r="DE1739">
        <v>316</v>
      </c>
      <c r="DF1739">
        <v>300344</v>
      </c>
      <c r="DG1739" t="s">
        <v>116</v>
      </c>
      <c r="DH1739" t="s">
        <v>116</v>
      </c>
      <c r="DI1739" t="s">
        <v>116</v>
      </c>
    </row>
    <row r="1740" spans="1:113" x14ac:dyDescent="0.4">
      <c r="A1740" t="str">
        <f>"300345"</f>
        <v>300345</v>
      </c>
      <c r="B1740" t="s">
        <v>8918</v>
      </c>
      <c r="C1740">
        <v>0.38</v>
      </c>
      <c r="D1740">
        <v>7.97</v>
      </c>
      <c r="E1740">
        <v>0.03</v>
      </c>
      <c r="F1740">
        <v>7.97</v>
      </c>
      <c r="G1740">
        <v>7.98</v>
      </c>
      <c r="H1740">
        <v>177181</v>
      </c>
      <c r="I1740">
        <v>1864</v>
      </c>
      <c r="J1740">
        <v>-0.24</v>
      </c>
      <c r="K1740">
        <v>5.54</v>
      </c>
      <c r="L1740">
        <v>8.26</v>
      </c>
      <c r="M1740">
        <v>8.4600000000000009</v>
      </c>
      <c r="N1740">
        <v>7.94</v>
      </c>
      <c r="O1740">
        <v>7.94</v>
      </c>
      <c r="P1740">
        <v>58.77</v>
      </c>
      <c r="Q1740">
        <v>144625360</v>
      </c>
      <c r="R1740">
        <v>0.88</v>
      </c>
      <c r="S1740" t="s">
        <v>2118</v>
      </c>
      <c r="T1740" t="s">
        <v>599</v>
      </c>
      <c r="U1740">
        <v>6.55</v>
      </c>
      <c r="V1740">
        <v>8.16</v>
      </c>
      <c r="W1740">
        <v>98651</v>
      </c>
      <c r="X1740">
        <v>78530</v>
      </c>
      <c r="Y1740">
        <v>1.26</v>
      </c>
      <c r="Z1740">
        <v>261</v>
      </c>
      <c r="AA1740">
        <v>1323</v>
      </c>
      <c r="AB1740" t="s">
        <v>116</v>
      </c>
      <c r="AC1740">
        <v>3940800</v>
      </c>
      <c r="AD1740">
        <v>0.16</v>
      </c>
      <c r="AE1740" t="s">
        <v>116</v>
      </c>
      <c r="AF1740" t="s">
        <v>116</v>
      </c>
      <c r="AG1740">
        <v>3.2</v>
      </c>
      <c r="AH1740" t="s">
        <v>8919</v>
      </c>
      <c r="AI1740" t="s">
        <v>517</v>
      </c>
      <c r="AJ1740">
        <v>1.06</v>
      </c>
      <c r="AK1740">
        <v>2457</v>
      </c>
      <c r="AL1740">
        <v>72</v>
      </c>
      <c r="AM1740">
        <v>2.3E-3</v>
      </c>
      <c r="AN1740">
        <v>2</v>
      </c>
      <c r="AO1740">
        <v>-4.21</v>
      </c>
      <c r="AP1740">
        <v>16.350000000000001</v>
      </c>
      <c r="AQ1740">
        <v>-5.01</v>
      </c>
      <c r="AR1740">
        <v>129.02000000000001</v>
      </c>
      <c r="AS1740">
        <v>6.03</v>
      </c>
      <c r="AT1740" t="s">
        <v>8920</v>
      </c>
      <c r="AU1740" t="s">
        <v>116</v>
      </c>
      <c r="AV1740" t="s">
        <v>116</v>
      </c>
      <c r="AW1740">
        <v>2.0499999999999998</v>
      </c>
      <c r="BA1740">
        <v>4.03</v>
      </c>
      <c r="BB1740">
        <v>6.55</v>
      </c>
      <c r="BC1740">
        <v>0</v>
      </c>
      <c r="BD1740">
        <v>2.8</v>
      </c>
      <c r="BE1740">
        <v>-3.51</v>
      </c>
      <c r="BF1740">
        <v>-5.79</v>
      </c>
      <c r="BG1740">
        <v>0.38</v>
      </c>
      <c r="BH1740">
        <v>-2.4300000000000002</v>
      </c>
      <c r="BI1740">
        <v>20191120</v>
      </c>
      <c r="BJ1740">
        <v>20120801</v>
      </c>
      <c r="BK1740">
        <v>4.41</v>
      </c>
      <c r="BL1740" t="s">
        <v>116</v>
      </c>
      <c r="BM1740" t="s">
        <v>116</v>
      </c>
      <c r="BN1740">
        <v>5.82</v>
      </c>
      <c r="BO1740">
        <v>4.91</v>
      </c>
      <c r="BP1740">
        <v>0.08</v>
      </c>
      <c r="BQ1740">
        <v>14.27</v>
      </c>
      <c r="BR1740">
        <v>3.03</v>
      </c>
      <c r="BS1740">
        <v>1.24</v>
      </c>
      <c r="BT1740">
        <v>0.23</v>
      </c>
      <c r="BU1740">
        <v>0.74</v>
      </c>
      <c r="BV1740">
        <v>0.64</v>
      </c>
      <c r="BW1740">
        <v>0.79</v>
      </c>
      <c r="BX1740">
        <v>2.4700000000000002</v>
      </c>
      <c r="BY1740">
        <v>0.96</v>
      </c>
      <c r="BZ1740">
        <v>0.72</v>
      </c>
      <c r="CA1740">
        <v>0.43</v>
      </c>
      <c r="CB1740">
        <v>0.03</v>
      </c>
      <c r="CC1740">
        <v>0.46</v>
      </c>
      <c r="CD1740">
        <v>0.45</v>
      </c>
      <c r="CE1740">
        <v>0.45</v>
      </c>
      <c r="CF1740">
        <v>0.39</v>
      </c>
      <c r="CG1740">
        <v>-2.19</v>
      </c>
      <c r="CH1740">
        <v>0.28999999999999998</v>
      </c>
      <c r="CI1740">
        <v>-0.39</v>
      </c>
      <c r="CJ1740">
        <v>21218</v>
      </c>
      <c r="CK1740">
        <v>13839</v>
      </c>
      <c r="CL1740" t="s">
        <v>6178</v>
      </c>
      <c r="CM1740">
        <v>174.92</v>
      </c>
      <c r="CN1740">
        <v>8.4700000000000006</v>
      </c>
      <c r="CO1740">
        <v>7.16</v>
      </c>
      <c r="CP1740">
        <v>123.35</v>
      </c>
      <c r="CQ1740">
        <v>36.67</v>
      </c>
      <c r="CR1740">
        <v>0</v>
      </c>
      <c r="CS1740" t="s">
        <v>4514</v>
      </c>
      <c r="CT1740">
        <v>1.1100000000000001</v>
      </c>
      <c r="CU1740">
        <v>0</v>
      </c>
      <c r="CV1740">
        <v>0.56000000000000005</v>
      </c>
      <c r="CW1740">
        <v>-0.5</v>
      </c>
      <c r="CX1740">
        <v>0.06</v>
      </c>
      <c r="CY1740">
        <v>84.4</v>
      </c>
      <c r="CZ1740" t="s">
        <v>8921</v>
      </c>
      <c r="DA1740">
        <v>24.44</v>
      </c>
      <c r="DB1740">
        <v>45.16</v>
      </c>
      <c r="DC1740">
        <v>46.8</v>
      </c>
      <c r="DD1740">
        <v>0.05</v>
      </c>
      <c r="DE1740">
        <v>263</v>
      </c>
      <c r="DF1740">
        <v>300345</v>
      </c>
      <c r="DG1740" t="s">
        <v>116</v>
      </c>
      <c r="DH1740" t="s">
        <v>116</v>
      </c>
      <c r="DI1740" t="s">
        <v>116</v>
      </c>
    </row>
    <row r="1741" spans="1:113" x14ac:dyDescent="0.4">
      <c r="A1741" t="str">
        <f>"300346"</f>
        <v>300346</v>
      </c>
      <c r="B1741" t="s">
        <v>8922</v>
      </c>
      <c r="C1741">
        <v>2.11</v>
      </c>
      <c r="D1741">
        <v>18.39</v>
      </c>
      <c r="E1741">
        <v>0.38</v>
      </c>
      <c r="F1741">
        <v>18.39</v>
      </c>
      <c r="G1741">
        <v>18.399999999999999</v>
      </c>
      <c r="H1741">
        <v>985028</v>
      </c>
      <c r="I1741">
        <v>12726</v>
      </c>
      <c r="J1741">
        <v>0.71</v>
      </c>
      <c r="K1741">
        <v>26.75</v>
      </c>
      <c r="L1741">
        <v>17.79</v>
      </c>
      <c r="M1741">
        <v>18.88</v>
      </c>
      <c r="N1741">
        <v>17.399999999999999</v>
      </c>
      <c r="O1741">
        <v>18.010000000000002</v>
      </c>
      <c r="P1741">
        <v>123.57</v>
      </c>
      <c r="Q1741">
        <v>1776917376</v>
      </c>
      <c r="R1741">
        <v>2.69</v>
      </c>
      <c r="S1741" t="s">
        <v>233</v>
      </c>
      <c r="T1741" t="s">
        <v>323</v>
      </c>
      <c r="U1741">
        <v>8.2200000000000006</v>
      </c>
      <c r="V1741">
        <v>18.04</v>
      </c>
      <c r="W1741">
        <v>483742</v>
      </c>
      <c r="X1741">
        <v>501286</v>
      </c>
      <c r="Y1741">
        <v>0.97</v>
      </c>
      <c r="Z1741">
        <v>883</v>
      </c>
      <c r="AA1741">
        <v>2126</v>
      </c>
      <c r="AB1741" t="s">
        <v>116</v>
      </c>
      <c r="AC1741">
        <v>36361000</v>
      </c>
      <c r="AD1741">
        <v>0.89</v>
      </c>
      <c r="AE1741" t="s">
        <v>116</v>
      </c>
      <c r="AF1741" t="s">
        <v>116</v>
      </c>
      <c r="AG1741">
        <v>3.68</v>
      </c>
      <c r="AH1741" t="s">
        <v>8923</v>
      </c>
      <c r="AI1741" t="s">
        <v>8924</v>
      </c>
      <c r="AJ1741">
        <v>2.79</v>
      </c>
      <c r="AK1741">
        <v>4626</v>
      </c>
      <c r="AL1741">
        <v>213</v>
      </c>
      <c r="AM1741">
        <v>5.7999999999999996E-3</v>
      </c>
      <c r="AN1741">
        <v>4</v>
      </c>
      <c r="AO1741">
        <v>23.59</v>
      </c>
      <c r="AP1741">
        <v>54.15</v>
      </c>
      <c r="AQ1741">
        <v>34.82</v>
      </c>
      <c r="AR1741">
        <v>212.76</v>
      </c>
      <c r="AS1741">
        <v>42.72</v>
      </c>
      <c r="AT1741" t="s">
        <v>2598</v>
      </c>
      <c r="AU1741">
        <v>160.61000000000001</v>
      </c>
      <c r="AV1741">
        <v>146.03</v>
      </c>
      <c r="AW1741">
        <v>2.2400000000000002</v>
      </c>
      <c r="BA1741">
        <v>-1.22</v>
      </c>
      <c r="BB1741">
        <v>4.83</v>
      </c>
      <c r="BC1741">
        <v>-3.39</v>
      </c>
      <c r="BD1741">
        <v>0.16</v>
      </c>
      <c r="BE1741">
        <v>3.37</v>
      </c>
      <c r="BF1741">
        <v>-2.6</v>
      </c>
      <c r="BG1741">
        <v>5.69</v>
      </c>
      <c r="BH1741">
        <v>1.95</v>
      </c>
      <c r="BI1741">
        <v>20191126</v>
      </c>
      <c r="BJ1741">
        <v>20120807</v>
      </c>
      <c r="BK1741">
        <v>4.07</v>
      </c>
      <c r="BL1741" t="s">
        <v>116</v>
      </c>
      <c r="BM1741" t="s">
        <v>116</v>
      </c>
      <c r="BN1741">
        <v>20.12</v>
      </c>
      <c r="BO1741">
        <v>12.12</v>
      </c>
      <c r="BP1741">
        <v>1.5</v>
      </c>
      <c r="BQ1741">
        <v>32.28</v>
      </c>
      <c r="BR1741">
        <v>11.11</v>
      </c>
      <c r="BS1741">
        <v>4.26</v>
      </c>
      <c r="BT1741">
        <v>1.23</v>
      </c>
      <c r="BU1741">
        <v>3.33</v>
      </c>
      <c r="BV1741">
        <v>1.22</v>
      </c>
      <c r="BW1741">
        <v>1.83</v>
      </c>
      <c r="BX1741">
        <v>4.1500000000000004</v>
      </c>
      <c r="BY1741">
        <v>2.19</v>
      </c>
      <c r="BZ1741">
        <v>1.24</v>
      </c>
      <c r="CA1741">
        <v>0.52</v>
      </c>
      <c r="CB1741">
        <v>0.17</v>
      </c>
      <c r="CC1741">
        <v>0.55000000000000004</v>
      </c>
      <c r="CD1741">
        <v>0.5</v>
      </c>
      <c r="CE1741">
        <v>0.45</v>
      </c>
      <c r="CF1741">
        <v>0.27</v>
      </c>
      <c r="CG1741">
        <v>4.09</v>
      </c>
      <c r="CH1741">
        <v>0.48</v>
      </c>
      <c r="CI1741">
        <v>-0.15</v>
      </c>
      <c r="CJ1741">
        <v>21922</v>
      </c>
      <c r="CK1741">
        <v>10518</v>
      </c>
      <c r="CL1741" t="s">
        <v>8925</v>
      </c>
      <c r="CM1741">
        <v>-9.3000000000000007</v>
      </c>
      <c r="CN1741">
        <v>19.96</v>
      </c>
      <c r="CO1741">
        <v>6.17</v>
      </c>
      <c r="CP1741">
        <v>154.54</v>
      </c>
      <c r="CQ1741">
        <v>34.19</v>
      </c>
      <c r="CR1741">
        <v>0.14000000000000001</v>
      </c>
      <c r="CS1741" t="s">
        <v>2261</v>
      </c>
      <c r="CT1741">
        <v>2.98</v>
      </c>
      <c r="CU1741">
        <v>0</v>
      </c>
      <c r="CV1741">
        <v>1.02</v>
      </c>
      <c r="CW1741">
        <v>1</v>
      </c>
      <c r="CX1741">
        <v>0.12</v>
      </c>
      <c r="CY1741">
        <v>60.27</v>
      </c>
      <c r="CZ1741" t="s">
        <v>1389</v>
      </c>
      <c r="DA1741">
        <v>43.57</v>
      </c>
      <c r="DB1741">
        <v>23.97</v>
      </c>
      <c r="DC1741">
        <v>20.75</v>
      </c>
      <c r="DD1741">
        <v>0.37</v>
      </c>
      <c r="DE1741">
        <v>269</v>
      </c>
      <c r="DF1741">
        <v>300346</v>
      </c>
      <c r="DG1741" t="s">
        <v>116</v>
      </c>
      <c r="DH1741" t="s">
        <v>116</v>
      </c>
      <c r="DI1741" t="s">
        <v>116</v>
      </c>
    </row>
    <row r="1742" spans="1:113" x14ac:dyDescent="0.4">
      <c r="A1742" t="str">
        <f>"300347"</f>
        <v>300347</v>
      </c>
      <c r="B1742" t="s">
        <v>8926</v>
      </c>
      <c r="C1742">
        <v>-1.45</v>
      </c>
      <c r="D1742">
        <v>61.1</v>
      </c>
      <c r="E1742">
        <v>-0.9</v>
      </c>
      <c r="F1742">
        <v>61.1</v>
      </c>
      <c r="G1742">
        <v>61.12</v>
      </c>
      <c r="H1742">
        <v>66887</v>
      </c>
      <c r="I1742">
        <v>796</v>
      </c>
      <c r="J1742">
        <v>0.03</v>
      </c>
      <c r="K1742">
        <v>1.26</v>
      </c>
      <c r="L1742">
        <v>62</v>
      </c>
      <c r="M1742">
        <v>62.19</v>
      </c>
      <c r="N1742">
        <v>60.43</v>
      </c>
      <c r="O1742">
        <v>62</v>
      </c>
      <c r="P1742">
        <v>65.040000000000006</v>
      </c>
      <c r="Q1742">
        <v>409196768</v>
      </c>
      <c r="R1742">
        <v>1.82</v>
      </c>
      <c r="S1742" t="s">
        <v>559</v>
      </c>
      <c r="T1742" t="s">
        <v>590</v>
      </c>
      <c r="U1742">
        <v>2.84</v>
      </c>
      <c r="V1742">
        <v>61.18</v>
      </c>
      <c r="W1742">
        <v>40519</v>
      </c>
      <c r="X1742">
        <v>26368</v>
      </c>
      <c r="Y1742">
        <v>1.54</v>
      </c>
      <c r="Z1742">
        <v>871</v>
      </c>
      <c r="AA1742">
        <v>11</v>
      </c>
      <c r="AB1742" t="s">
        <v>116</v>
      </c>
      <c r="AC1742">
        <v>1582000</v>
      </c>
      <c r="AD1742">
        <v>0.01</v>
      </c>
      <c r="AE1742" t="s">
        <v>116</v>
      </c>
      <c r="AF1742" t="s">
        <v>116</v>
      </c>
      <c r="AG1742">
        <v>5.29</v>
      </c>
      <c r="AH1742" t="s">
        <v>8927</v>
      </c>
      <c r="AI1742" t="s">
        <v>8928</v>
      </c>
      <c r="AJ1742">
        <v>-0.77</v>
      </c>
      <c r="AK1742">
        <v>4163</v>
      </c>
      <c r="AL1742">
        <v>16</v>
      </c>
      <c r="AM1742">
        <v>2.9999999999999997E-4</v>
      </c>
      <c r="AN1742">
        <v>-1</v>
      </c>
      <c r="AO1742">
        <v>-1.1100000000000001</v>
      </c>
      <c r="AP1742">
        <v>-2.71</v>
      </c>
      <c r="AQ1742">
        <v>-1.66</v>
      </c>
      <c r="AR1742">
        <v>116.16</v>
      </c>
      <c r="AS1742">
        <v>1.41</v>
      </c>
      <c r="AT1742" t="s">
        <v>8929</v>
      </c>
      <c r="AU1742">
        <v>67.11</v>
      </c>
      <c r="AV1742">
        <v>96.99</v>
      </c>
      <c r="AW1742">
        <v>0.85</v>
      </c>
      <c r="BA1742">
        <v>0</v>
      </c>
      <c r="BB1742">
        <v>0.31</v>
      </c>
      <c r="BC1742">
        <v>-2.5299999999999998</v>
      </c>
      <c r="BD1742">
        <v>-1.33</v>
      </c>
      <c r="BE1742">
        <v>-1.45</v>
      </c>
      <c r="BF1742">
        <v>-1.75</v>
      </c>
      <c r="BG1742">
        <v>1.1100000000000001</v>
      </c>
      <c r="BH1742">
        <v>-0.12</v>
      </c>
      <c r="BI1742">
        <v>20191105</v>
      </c>
      <c r="BJ1742">
        <v>20120817</v>
      </c>
      <c r="BK1742">
        <v>7.5</v>
      </c>
      <c r="BL1742" t="s">
        <v>116</v>
      </c>
      <c r="BM1742" t="s">
        <v>116</v>
      </c>
      <c r="BN1742">
        <v>63.1</v>
      </c>
      <c r="BO1742">
        <v>38.64</v>
      </c>
      <c r="BP1742">
        <v>11.35</v>
      </c>
      <c r="BQ1742">
        <v>20.77</v>
      </c>
      <c r="BR1742">
        <v>32.520000000000003</v>
      </c>
      <c r="BS1742">
        <v>2.35</v>
      </c>
      <c r="BT1742">
        <v>0.33</v>
      </c>
      <c r="BU1742">
        <v>11.25</v>
      </c>
      <c r="BV1742">
        <v>0.01</v>
      </c>
      <c r="BW1742">
        <v>10.57</v>
      </c>
      <c r="BX1742">
        <v>17.11</v>
      </c>
      <c r="BY1742">
        <v>20.309999999999999</v>
      </c>
      <c r="BZ1742">
        <v>10.78</v>
      </c>
      <c r="CA1742">
        <v>6.6</v>
      </c>
      <c r="CB1742">
        <v>1.1100000000000001</v>
      </c>
      <c r="CC1742">
        <v>6.64</v>
      </c>
      <c r="CD1742">
        <v>5.77</v>
      </c>
      <c r="CE1742">
        <v>5.28</v>
      </c>
      <c r="CF1742">
        <v>4.38</v>
      </c>
      <c r="CG1742">
        <v>13.65</v>
      </c>
      <c r="CH1742">
        <v>3.4</v>
      </c>
      <c r="CI1742">
        <v>13.54</v>
      </c>
      <c r="CJ1742">
        <v>22523</v>
      </c>
      <c r="CK1742">
        <v>21075</v>
      </c>
      <c r="CL1742" t="s">
        <v>8930</v>
      </c>
      <c r="CM1742">
        <v>66.12</v>
      </c>
      <c r="CN1742">
        <v>27.38</v>
      </c>
      <c r="CO1742">
        <v>11.85</v>
      </c>
      <c r="CP1742">
        <v>134.58000000000001</v>
      </c>
      <c r="CQ1742">
        <v>22.55</v>
      </c>
      <c r="CR1742">
        <v>0.38</v>
      </c>
      <c r="CS1742" t="s">
        <v>8931</v>
      </c>
      <c r="CT1742">
        <v>5.16</v>
      </c>
      <c r="CU1742">
        <v>0</v>
      </c>
      <c r="CV1742">
        <v>2.2799999999999998</v>
      </c>
      <c r="CW1742">
        <v>1.82</v>
      </c>
      <c r="CX1742">
        <v>0.45</v>
      </c>
      <c r="CY1742">
        <v>61.24</v>
      </c>
      <c r="CZ1742" t="s">
        <v>8932</v>
      </c>
      <c r="DA1742">
        <v>46.9</v>
      </c>
      <c r="DB1742">
        <v>32.5</v>
      </c>
      <c r="DC1742">
        <v>26</v>
      </c>
      <c r="DD1742">
        <v>0.9</v>
      </c>
      <c r="DE1742">
        <v>3898</v>
      </c>
      <c r="DF1742">
        <v>300347</v>
      </c>
      <c r="DG1742" t="s">
        <v>116</v>
      </c>
      <c r="DH1742" t="s">
        <v>116</v>
      </c>
      <c r="DI1742" t="s">
        <v>116</v>
      </c>
    </row>
    <row r="1743" spans="1:113" x14ac:dyDescent="0.4">
      <c r="A1743" t="str">
        <f>"300348"</f>
        <v>300348</v>
      </c>
      <c r="B1743" t="s">
        <v>8933</v>
      </c>
      <c r="C1743">
        <v>3.95</v>
      </c>
      <c r="D1743">
        <v>20.8</v>
      </c>
      <c r="E1743">
        <v>0.79</v>
      </c>
      <c r="F1743">
        <v>20.8</v>
      </c>
      <c r="G1743">
        <v>20.81</v>
      </c>
      <c r="H1743">
        <v>504906</v>
      </c>
      <c r="I1743">
        <v>6426</v>
      </c>
      <c r="J1743">
        <v>-0.09</v>
      </c>
      <c r="K1743">
        <v>14.62</v>
      </c>
      <c r="L1743">
        <v>20.010000000000002</v>
      </c>
      <c r="M1743">
        <v>21.72</v>
      </c>
      <c r="N1743">
        <v>19.920000000000002</v>
      </c>
      <c r="O1743">
        <v>20.010000000000002</v>
      </c>
      <c r="P1743">
        <v>314.82</v>
      </c>
      <c r="Q1743">
        <v>1058467264</v>
      </c>
      <c r="R1743">
        <v>2</v>
      </c>
      <c r="S1743" t="s">
        <v>607</v>
      </c>
      <c r="T1743" t="s">
        <v>115</v>
      </c>
      <c r="U1743">
        <v>9</v>
      </c>
      <c r="V1743">
        <v>20.96</v>
      </c>
      <c r="W1743">
        <v>208884</v>
      </c>
      <c r="X1743">
        <v>296022</v>
      </c>
      <c r="Y1743">
        <v>0.71</v>
      </c>
      <c r="Z1743">
        <v>1849</v>
      </c>
      <c r="AA1743">
        <v>559</v>
      </c>
      <c r="AB1743" t="s">
        <v>116</v>
      </c>
      <c r="AC1743">
        <v>1242600</v>
      </c>
      <c r="AD1743">
        <v>0.02</v>
      </c>
      <c r="AE1743" t="s">
        <v>116</v>
      </c>
      <c r="AF1743" t="s">
        <v>116</v>
      </c>
      <c r="AG1743">
        <v>3.45</v>
      </c>
      <c r="AH1743" t="s">
        <v>8934</v>
      </c>
      <c r="AI1743" t="s">
        <v>8935</v>
      </c>
      <c r="AJ1743">
        <v>4.63</v>
      </c>
      <c r="AK1743">
        <v>4389</v>
      </c>
      <c r="AL1743">
        <v>115</v>
      </c>
      <c r="AM1743">
        <v>3.3E-3</v>
      </c>
      <c r="AN1743">
        <v>1</v>
      </c>
      <c r="AO1743">
        <v>0.92</v>
      </c>
      <c r="AP1743">
        <v>21.28</v>
      </c>
      <c r="AQ1743">
        <v>13.48</v>
      </c>
      <c r="AR1743">
        <v>91.65</v>
      </c>
      <c r="AS1743">
        <v>16.97</v>
      </c>
      <c r="AT1743" t="s">
        <v>8936</v>
      </c>
      <c r="AU1743">
        <v>200.24</v>
      </c>
      <c r="AV1743">
        <v>177.52</v>
      </c>
      <c r="AW1743">
        <v>1.8</v>
      </c>
      <c r="BA1743">
        <v>0</v>
      </c>
      <c r="BB1743">
        <v>8.5500000000000007</v>
      </c>
      <c r="BC1743">
        <v>-0.45</v>
      </c>
      <c r="BD1743">
        <v>4.7699999999999996</v>
      </c>
      <c r="BE1743">
        <v>3.95</v>
      </c>
      <c r="BF1743">
        <v>-4.24</v>
      </c>
      <c r="BG1743">
        <v>4.42</v>
      </c>
      <c r="BH1743">
        <v>-0.82</v>
      </c>
      <c r="BI1743">
        <v>20191016</v>
      </c>
      <c r="BJ1743">
        <v>20120817</v>
      </c>
      <c r="BK1743">
        <v>4.82</v>
      </c>
      <c r="BL1743" t="s">
        <v>116</v>
      </c>
      <c r="BM1743" t="s">
        <v>116</v>
      </c>
      <c r="BN1743">
        <v>25.22</v>
      </c>
      <c r="BO1743">
        <v>13.52</v>
      </c>
      <c r="BP1743">
        <v>0.09</v>
      </c>
      <c r="BQ1743">
        <v>46.03</v>
      </c>
      <c r="BR1743">
        <v>19.18</v>
      </c>
      <c r="BS1743">
        <v>2.58</v>
      </c>
      <c r="BT1743">
        <v>0.84</v>
      </c>
      <c r="BU1743">
        <v>9.8000000000000007</v>
      </c>
      <c r="BV1743">
        <v>0.02</v>
      </c>
      <c r="BW1743">
        <v>9.25</v>
      </c>
      <c r="BX1743">
        <v>6.38</v>
      </c>
      <c r="BY1743">
        <v>7.34</v>
      </c>
      <c r="BZ1743">
        <v>3.92</v>
      </c>
      <c r="CA1743">
        <v>0.26</v>
      </c>
      <c r="CB1743">
        <v>0.02</v>
      </c>
      <c r="CC1743">
        <v>0.26</v>
      </c>
      <c r="CD1743">
        <v>0.25</v>
      </c>
      <c r="CE1743">
        <v>0.24</v>
      </c>
      <c r="CF1743">
        <v>0.2</v>
      </c>
      <c r="CG1743">
        <v>3.22</v>
      </c>
      <c r="CH1743">
        <v>-2.25</v>
      </c>
      <c r="CI1743">
        <v>0.54</v>
      </c>
      <c r="CJ1743">
        <v>36102</v>
      </c>
      <c r="CK1743">
        <v>8241</v>
      </c>
      <c r="CL1743" t="s">
        <v>8937</v>
      </c>
      <c r="CM1743">
        <v>-21.16</v>
      </c>
      <c r="CN1743">
        <v>18.489999999999998</v>
      </c>
      <c r="CO1743">
        <v>7.41</v>
      </c>
      <c r="CP1743">
        <v>-44.63</v>
      </c>
      <c r="CQ1743">
        <v>13.65</v>
      </c>
      <c r="CR1743">
        <v>0.48</v>
      </c>
      <c r="CS1743" t="s">
        <v>484</v>
      </c>
      <c r="CT1743">
        <v>2.81</v>
      </c>
      <c r="CU1743">
        <v>0</v>
      </c>
      <c r="CV1743">
        <v>1.33</v>
      </c>
      <c r="CW1743">
        <v>0.67</v>
      </c>
      <c r="CX1743">
        <v>-0.47</v>
      </c>
      <c r="CY1743">
        <v>53.61</v>
      </c>
      <c r="CZ1743" t="s">
        <v>7638</v>
      </c>
      <c r="DA1743">
        <v>46.58</v>
      </c>
      <c r="DB1743">
        <v>3.61</v>
      </c>
      <c r="DC1743">
        <v>3.25</v>
      </c>
      <c r="DD1743">
        <v>1</v>
      </c>
      <c r="DE1743">
        <v>4125</v>
      </c>
      <c r="DF1743">
        <v>300348</v>
      </c>
      <c r="DG1743" t="s">
        <v>116</v>
      </c>
      <c r="DH1743" t="s">
        <v>116</v>
      </c>
      <c r="DI1743" t="s">
        <v>116</v>
      </c>
    </row>
    <row r="1744" spans="1:113" x14ac:dyDescent="0.4">
      <c r="A1744" t="str">
        <f>"300349"</f>
        <v>300349</v>
      </c>
      <c r="B1744" t="s">
        <v>8938</v>
      </c>
      <c r="C1744">
        <v>-2.14</v>
      </c>
      <c r="D1744">
        <v>15.11</v>
      </c>
      <c r="E1744">
        <v>-0.33</v>
      </c>
      <c r="F1744">
        <v>15.11</v>
      </c>
      <c r="G1744">
        <v>15.12</v>
      </c>
      <c r="H1744">
        <v>48671</v>
      </c>
      <c r="I1744">
        <v>391</v>
      </c>
      <c r="J1744">
        <v>7.0000000000000007E-2</v>
      </c>
      <c r="K1744">
        <v>1.31</v>
      </c>
      <c r="L1744">
        <v>15.41</v>
      </c>
      <c r="M1744">
        <v>15.44</v>
      </c>
      <c r="N1744">
        <v>15.09</v>
      </c>
      <c r="O1744">
        <v>15.44</v>
      </c>
      <c r="P1744">
        <v>16.41</v>
      </c>
      <c r="Q1744">
        <v>74296224</v>
      </c>
      <c r="R1744">
        <v>0.91</v>
      </c>
      <c r="S1744" t="s">
        <v>607</v>
      </c>
      <c r="T1744" t="s">
        <v>590</v>
      </c>
      <c r="U1744">
        <v>2.27</v>
      </c>
      <c r="V1744">
        <v>15.26</v>
      </c>
      <c r="W1744">
        <v>33372</v>
      </c>
      <c r="X1744">
        <v>15299</v>
      </c>
      <c r="Y1744">
        <v>2.1800000000000002</v>
      </c>
      <c r="Z1744">
        <v>317</v>
      </c>
      <c r="AA1744">
        <v>142</v>
      </c>
      <c r="AB1744" t="s">
        <v>116</v>
      </c>
      <c r="AC1744">
        <v>209600</v>
      </c>
      <c r="AD1744">
        <v>0.01</v>
      </c>
      <c r="AE1744" t="s">
        <v>116</v>
      </c>
      <c r="AF1744" t="s">
        <v>116</v>
      </c>
      <c r="AG1744">
        <v>3.72</v>
      </c>
      <c r="AH1744" t="s">
        <v>8939</v>
      </c>
      <c r="AI1744" t="s">
        <v>5348</v>
      </c>
      <c r="AJ1744">
        <v>-1.46</v>
      </c>
      <c r="AK1744">
        <v>1868</v>
      </c>
      <c r="AL1744">
        <v>26</v>
      </c>
      <c r="AM1744">
        <v>6.9999999999999999E-4</v>
      </c>
      <c r="AN1744">
        <v>-1</v>
      </c>
      <c r="AO1744">
        <v>-1.82</v>
      </c>
      <c r="AP1744">
        <v>7.85</v>
      </c>
      <c r="AQ1744">
        <v>2.86</v>
      </c>
      <c r="AR1744">
        <v>-3.14</v>
      </c>
      <c r="AS1744">
        <v>1.89</v>
      </c>
      <c r="AT1744" t="s">
        <v>990</v>
      </c>
      <c r="AU1744">
        <v>14.47</v>
      </c>
      <c r="AV1744">
        <v>13.02</v>
      </c>
      <c r="AW1744">
        <v>1.06</v>
      </c>
      <c r="BA1744">
        <v>-0.19</v>
      </c>
      <c r="BB1744">
        <v>0</v>
      </c>
      <c r="BC1744">
        <v>-2.27</v>
      </c>
      <c r="BD1744">
        <v>-1.1299999999999999</v>
      </c>
      <c r="BE1744">
        <v>-1.95</v>
      </c>
      <c r="BF1744">
        <v>-2.14</v>
      </c>
      <c r="BG1744">
        <v>0.13</v>
      </c>
      <c r="BH1744">
        <v>-1</v>
      </c>
      <c r="BI1744">
        <v>20191209</v>
      </c>
      <c r="BJ1744">
        <v>20120817</v>
      </c>
      <c r="BK1744">
        <v>4.29</v>
      </c>
      <c r="BL1744" t="s">
        <v>116</v>
      </c>
      <c r="BM1744" t="s">
        <v>116</v>
      </c>
      <c r="BN1744">
        <v>46.83</v>
      </c>
      <c r="BO1744">
        <v>35.799999999999997</v>
      </c>
      <c r="BP1744">
        <v>0.32</v>
      </c>
      <c r="BQ1744">
        <v>22.86</v>
      </c>
      <c r="BR1744">
        <v>27.24</v>
      </c>
      <c r="BS1744">
        <v>2.65</v>
      </c>
      <c r="BT1744">
        <v>1.07</v>
      </c>
      <c r="BU1744">
        <v>9.0399999999999991</v>
      </c>
      <c r="BV1744">
        <v>2.2599999999999998</v>
      </c>
      <c r="BW1744">
        <v>10.08</v>
      </c>
      <c r="BX1744">
        <v>17.93</v>
      </c>
      <c r="BY1744">
        <v>13.28</v>
      </c>
      <c r="BZ1744">
        <v>6.99</v>
      </c>
      <c r="CA1744">
        <v>3.29</v>
      </c>
      <c r="CB1744">
        <v>0.48</v>
      </c>
      <c r="CC1744">
        <v>3.34</v>
      </c>
      <c r="CD1744">
        <v>2.97</v>
      </c>
      <c r="CE1744">
        <v>2.96</v>
      </c>
      <c r="CF1744">
        <v>2.6</v>
      </c>
      <c r="CG1744">
        <v>12.76</v>
      </c>
      <c r="CH1744">
        <v>0.82</v>
      </c>
      <c r="CI1744">
        <v>-0.87</v>
      </c>
      <c r="CJ1744">
        <v>17833</v>
      </c>
      <c r="CK1744">
        <v>14409</v>
      </c>
      <c r="CL1744" t="s">
        <v>8940</v>
      </c>
      <c r="CM1744">
        <v>-14.43</v>
      </c>
      <c r="CN1744">
        <v>-3.65</v>
      </c>
      <c r="CO1744">
        <v>1.81</v>
      </c>
      <c r="CP1744">
        <v>79.430000000000007</v>
      </c>
      <c r="CQ1744">
        <v>4.88</v>
      </c>
      <c r="CR1744">
        <v>3.31</v>
      </c>
      <c r="CS1744" t="s">
        <v>8941</v>
      </c>
      <c r="CT1744">
        <v>8.34</v>
      </c>
      <c r="CU1744">
        <v>0</v>
      </c>
      <c r="CV1744">
        <v>4.18</v>
      </c>
      <c r="CW1744">
        <v>2.97</v>
      </c>
      <c r="CX1744">
        <v>0.19</v>
      </c>
      <c r="CY1744">
        <v>76.45</v>
      </c>
      <c r="CZ1744" t="s">
        <v>724</v>
      </c>
      <c r="DA1744">
        <v>47.34</v>
      </c>
      <c r="DB1744">
        <v>24.77</v>
      </c>
      <c r="DC1744">
        <v>22.31</v>
      </c>
      <c r="DD1744">
        <v>1.1599999999999999</v>
      </c>
      <c r="DE1744">
        <v>1796</v>
      </c>
      <c r="DF1744">
        <v>300349</v>
      </c>
      <c r="DG1744" t="s">
        <v>116</v>
      </c>
      <c r="DH1744" t="s">
        <v>116</v>
      </c>
      <c r="DI1744" t="s">
        <v>116</v>
      </c>
    </row>
    <row r="1745" spans="1:113" x14ac:dyDescent="0.4">
      <c r="A1745" t="str">
        <f>"300350"</f>
        <v>300350</v>
      </c>
      <c r="B1745" t="s">
        <v>8942</v>
      </c>
      <c r="C1745">
        <v>-0.19</v>
      </c>
      <c r="D1745">
        <v>5.25</v>
      </c>
      <c r="E1745">
        <v>-0.01</v>
      </c>
      <c r="F1745">
        <v>5.24</v>
      </c>
      <c r="G1745">
        <v>5.25</v>
      </c>
      <c r="H1745">
        <v>62588</v>
      </c>
      <c r="I1745">
        <v>427</v>
      </c>
      <c r="J1745">
        <v>0</v>
      </c>
      <c r="K1745">
        <v>2.02</v>
      </c>
      <c r="L1745">
        <v>5.26</v>
      </c>
      <c r="M1745">
        <v>5.33</v>
      </c>
      <c r="N1745">
        <v>5.24</v>
      </c>
      <c r="O1745">
        <v>5.26</v>
      </c>
      <c r="P1745">
        <v>92.04</v>
      </c>
      <c r="Q1745">
        <v>33054870</v>
      </c>
      <c r="R1745">
        <v>1.21</v>
      </c>
      <c r="S1745" t="s">
        <v>3113</v>
      </c>
      <c r="T1745" t="s">
        <v>115</v>
      </c>
      <c r="U1745">
        <v>1.71</v>
      </c>
      <c r="V1745">
        <v>5.28</v>
      </c>
      <c r="W1745">
        <v>32612</v>
      </c>
      <c r="X1745">
        <v>29976</v>
      </c>
      <c r="Y1745">
        <v>1.0900000000000001</v>
      </c>
      <c r="Z1745">
        <v>571</v>
      </c>
      <c r="AA1745">
        <v>192</v>
      </c>
      <c r="AB1745" t="s">
        <v>116</v>
      </c>
      <c r="AC1745">
        <v>83600</v>
      </c>
      <c r="AD1745">
        <v>0.01</v>
      </c>
      <c r="AE1745" t="s">
        <v>116</v>
      </c>
      <c r="AF1745" t="s">
        <v>116</v>
      </c>
      <c r="AG1745">
        <v>3.1</v>
      </c>
      <c r="AH1745" t="s">
        <v>5263</v>
      </c>
      <c r="AI1745" t="s">
        <v>1878</v>
      </c>
      <c r="AJ1745">
        <v>0.49</v>
      </c>
      <c r="AK1745">
        <v>1344</v>
      </c>
      <c r="AL1745">
        <v>47</v>
      </c>
      <c r="AM1745">
        <v>1.5E-3</v>
      </c>
      <c r="AN1745">
        <v>-1</v>
      </c>
      <c r="AO1745">
        <v>-0.19</v>
      </c>
      <c r="AP1745">
        <v>5</v>
      </c>
      <c r="AQ1745">
        <v>-11.91</v>
      </c>
      <c r="AR1745">
        <v>-7.41</v>
      </c>
      <c r="AS1745">
        <v>2.52</v>
      </c>
      <c r="AT1745" t="s">
        <v>6997</v>
      </c>
      <c r="AU1745" t="s">
        <v>116</v>
      </c>
      <c r="AV1745" t="s">
        <v>116</v>
      </c>
      <c r="AW1745">
        <v>1.7</v>
      </c>
      <c r="BA1745">
        <v>0</v>
      </c>
      <c r="BB1745">
        <v>1.33</v>
      </c>
      <c r="BC1745">
        <v>-0.38</v>
      </c>
      <c r="BD1745">
        <v>0.41</v>
      </c>
      <c r="BE1745">
        <v>-0.19</v>
      </c>
      <c r="BF1745">
        <v>-1.5</v>
      </c>
      <c r="BG1745">
        <v>0.19</v>
      </c>
      <c r="BH1745">
        <v>-0.6</v>
      </c>
      <c r="BI1745">
        <v>20191030</v>
      </c>
      <c r="BJ1745">
        <v>20120821</v>
      </c>
      <c r="BK1745">
        <v>4.7699999999999996</v>
      </c>
      <c r="BL1745" t="s">
        <v>116</v>
      </c>
      <c r="BM1745" t="s">
        <v>116</v>
      </c>
      <c r="BN1745">
        <v>19.8</v>
      </c>
      <c r="BO1745">
        <v>9.9600000000000009</v>
      </c>
      <c r="BP1745">
        <v>1.77</v>
      </c>
      <c r="BQ1745">
        <v>40.770000000000003</v>
      </c>
      <c r="BR1745">
        <v>12.38</v>
      </c>
      <c r="BS1745">
        <v>1.73</v>
      </c>
      <c r="BT1745">
        <v>0.45</v>
      </c>
      <c r="BU1745">
        <v>7.26</v>
      </c>
      <c r="BV1745">
        <v>3.33</v>
      </c>
      <c r="BW1745">
        <v>7.11</v>
      </c>
      <c r="BX1745">
        <v>7.11</v>
      </c>
      <c r="BY1745">
        <v>4.82</v>
      </c>
      <c r="BZ1745">
        <v>3.36</v>
      </c>
      <c r="CA1745">
        <v>0.49</v>
      </c>
      <c r="CB1745">
        <v>0</v>
      </c>
      <c r="CC1745">
        <v>0.51</v>
      </c>
      <c r="CD1745">
        <v>0.42</v>
      </c>
      <c r="CE1745">
        <v>0.2</v>
      </c>
      <c r="CF1745">
        <v>0.14000000000000001</v>
      </c>
      <c r="CG1745">
        <v>-2.36</v>
      </c>
      <c r="CH1745">
        <v>0.56000000000000005</v>
      </c>
      <c r="CI1745">
        <v>0.12</v>
      </c>
      <c r="CJ1745">
        <v>21406</v>
      </c>
      <c r="CK1745">
        <v>11619</v>
      </c>
      <c r="CL1745" t="s">
        <v>2605</v>
      </c>
      <c r="CM1745">
        <v>-71.47</v>
      </c>
      <c r="CN1745">
        <v>-31.8</v>
      </c>
      <c r="CO1745">
        <v>2.5099999999999998</v>
      </c>
      <c r="CP1745">
        <v>44.72</v>
      </c>
      <c r="CQ1745">
        <v>5.19</v>
      </c>
      <c r="CR1745">
        <v>0</v>
      </c>
      <c r="CS1745" t="s">
        <v>1533</v>
      </c>
      <c r="CT1745">
        <v>2.09</v>
      </c>
      <c r="CU1745">
        <v>0</v>
      </c>
      <c r="CV1745">
        <v>1.49</v>
      </c>
      <c r="CW1745">
        <v>-0.49</v>
      </c>
      <c r="CX1745">
        <v>0.12</v>
      </c>
      <c r="CY1745">
        <v>50.3</v>
      </c>
      <c r="CZ1745" t="s">
        <v>6463</v>
      </c>
      <c r="DA1745">
        <v>30.26</v>
      </c>
      <c r="DB1745">
        <v>10.11</v>
      </c>
      <c r="DC1745">
        <v>4.2300000000000004</v>
      </c>
      <c r="DD1745">
        <v>0.31</v>
      </c>
      <c r="DE1745">
        <v>1536</v>
      </c>
      <c r="DF1745">
        <v>300350</v>
      </c>
      <c r="DG1745" t="s">
        <v>116</v>
      </c>
      <c r="DH1745" t="s">
        <v>116</v>
      </c>
      <c r="DI1745" t="s">
        <v>116</v>
      </c>
    </row>
    <row r="1746" spans="1:113" x14ac:dyDescent="0.4">
      <c r="A1746" t="str">
        <f>"300351"</f>
        <v>300351</v>
      </c>
      <c r="B1746" t="s">
        <v>8943</v>
      </c>
      <c r="C1746">
        <v>-0.68</v>
      </c>
      <c r="D1746">
        <v>8.7799999999999994</v>
      </c>
      <c r="E1746">
        <v>-0.06</v>
      </c>
      <c r="F1746">
        <v>8.77</v>
      </c>
      <c r="G1746">
        <v>8.7799999999999994</v>
      </c>
      <c r="H1746">
        <v>47045</v>
      </c>
      <c r="I1746">
        <v>1086</v>
      </c>
      <c r="J1746">
        <v>0.34</v>
      </c>
      <c r="K1746">
        <v>1.97</v>
      </c>
      <c r="L1746">
        <v>8.85</v>
      </c>
      <c r="M1746">
        <v>8.93</v>
      </c>
      <c r="N1746">
        <v>8.6999999999999993</v>
      </c>
      <c r="O1746">
        <v>8.84</v>
      </c>
      <c r="P1746">
        <v>29.3</v>
      </c>
      <c r="Q1746">
        <v>41574260</v>
      </c>
      <c r="R1746">
        <v>1.02</v>
      </c>
      <c r="S1746" t="s">
        <v>233</v>
      </c>
      <c r="T1746" t="s">
        <v>590</v>
      </c>
      <c r="U1746">
        <v>2.6</v>
      </c>
      <c r="V1746">
        <v>8.84</v>
      </c>
      <c r="W1746">
        <v>26006</v>
      </c>
      <c r="X1746">
        <v>21039</v>
      </c>
      <c r="Y1746">
        <v>1.24</v>
      </c>
      <c r="Z1746">
        <v>8</v>
      </c>
      <c r="AA1746">
        <v>999</v>
      </c>
      <c r="AB1746" t="s">
        <v>116</v>
      </c>
      <c r="AC1746">
        <v>133600</v>
      </c>
      <c r="AD1746">
        <v>0.01</v>
      </c>
      <c r="AE1746" t="s">
        <v>116</v>
      </c>
      <c r="AF1746" t="s">
        <v>116</v>
      </c>
      <c r="AG1746">
        <v>2.39</v>
      </c>
      <c r="AH1746" t="s">
        <v>8890</v>
      </c>
      <c r="AI1746" t="s">
        <v>7904</v>
      </c>
      <c r="AJ1746">
        <v>0</v>
      </c>
      <c r="AK1746">
        <v>1520</v>
      </c>
      <c r="AL1746">
        <v>31</v>
      </c>
      <c r="AM1746">
        <v>1.2999999999999999E-3</v>
      </c>
      <c r="AN1746">
        <v>-1</v>
      </c>
      <c r="AO1746">
        <v>0.46</v>
      </c>
      <c r="AP1746">
        <v>3.91</v>
      </c>
      <c r="AQ1746">
        <v>-13.84</v>
      </c>
      <c r="AR1746">
        <v>7.2</v>
      </c>
      <c r="AS1746">
        <v>3.01</v>
      </c>
      <c r="AT1746" t="s">
        <v>4172</v>
      </c>
      <c r="AU1746" t="s">
        <v>116</v>
      </c>
      <c r="AV1746" t="s">
        <v>116</v>
      </c>
      <c r="AW1746">
        <v>1.47</v>
      </c>
      <c r="BA1746">
        <v>0.11</v>
      </c>
      <c r="BB1746">
        <v>1.02</v>
      </c>
      <c r="BC1746">
        <v>-1.58</v>
      </c>
      <c r="BD1746">
        <v>-0.03</v>
      </c>
      <c r="BE1746">
        <v>-0.79</v>
      </c>
      <c r="BF1746">
        <v>-1.68</v>
      </c>
      <c r="BG1746">
        <v>0.92</v>
      </c>
      <c r="BH1746">
        <v>-0.65</v>
      </c>
      <c r="BI1746">
        <v>20191226</v>
      </c>
      <c r="BJ1746">
        <v>20120920</v>
      </c>
      <c r="BK1746">
        <v>3.84</v>
      </c>
      <c r="BL1746" t="s">
        <v>116</v>
      </c>
      <c r="BM1746" t="s">
        <v>116</v>
      </c>
      <c r="BN1746">
        <v>28.68</v>
      </c>
      <c r="BO1746">
        <v>24.03</v>
      </c>
      <c r="BP1746">
        <v>0.55000000000000004</v>
      </c>
      <c r="BQ1746">
        <v>14.28</v>
      </c>
      <c r="BR1746">
        <v>17.489999999999998</v>
      </c>
      <c r="BS1746">
        <v>5.47</v>
      </c>
      <c r="BT1746">
        <v>1.4</v>
      </c>
      <c r="BU1746">
        <v>3.75</v>
      </c>
      <c r="BV1746">
        <v>3.63</v>
      </c>
      <c r="BW1746">
        <v>7.33</v>
      </c>
      <c r="BX1746">
        <v>18.05</v>
      </c>
      <c r="BY1746">
        <v>7.97</v>
      </c>
      <c r="BZ1746">
        <v>5.33</v>
      </c>
      <c r="CA1746">
        <v>0.91</v>
      </c>
      <c r="CB1746">
        <v>0.31</v>
      </c>
      <c r="CC1746">
        <v>0.91</v>
      </c>
      <c r="CD1746">
        <v>0.76</v>
      </c>
      <c r="CE1746">
        <v>0.86</v>
      </c>
      <c r="CF1746">
        <v>0.55000000000000004</v>
      </c>
      <c r="CG1746">
        <v>1.72</v>
      </c>
      <c r="CH1746">
        <v>-1.1100000000000001</v>
      </c>
      <c r="CI1746">
        <v>0.03</v>
      </c>
      <c r="CJ1746">
        <v>23152</v>
      </c>
      <c r="CK1746">
        <v>6750</v>
      </c>
      <c r="CL1746" t="s">
        <v>1060</v>
      </c>
      <c r="CM1746">
        <v>-25.92</v>
      </c>
      <c r="CN1746">
        <v>-12.18</v>
      </c>
      <c r="CO1746">
        <v>1.4</v>
      </c>
      <c r="CP1746">
        <v>-30.29</v>
      </c>
      <c r="CQ1746">
        <v>4.2300000000000004</v>
      </c>
      <c r="CR1746">
        <v>0</v>
      </c>
      <c r="CS1746" t="s">
        <v>8944</v>
      </c>
      <c r="CT1746">
        <v>6.26</v>
      </c>
      <c r="CU1746">
        <v>0</v>
      </c>
      <c r="CV1746">
        <v>4.71</v>
      </c>
      <c r="CW1746">
        <v>0.45</v>
      </c>
      <c r="CX1746">
        <v>-0.28999999999999998</v>
      </c>
      <c r="CY1746">
        <v>83.79</v>
      </c>
      <c r="CZ1746" t="s">
        <v>1210</v>
      </c>
      <c r="DA1746">
        <v>33.04</v>
      </c>
      <c r="DB1746">
        <v>11.48</v>
      </c>
      <c r="DC1746">
        <v>10.82</v>
      </c>
      <c r="DD1746">
        <v>0.72</v>
      </c>
      <c r="DE1746">
        <v>2664</v>
      </c>
      <c r="DF1746">
        <v>300351</v>
      </c>
      <c r="DG1746" t="s">
        <v>116</v>
      </c>
      <c r="DH1746" t="s">
        <v>116</v>
      </c>
      <c r="DI1746" t="s">
        <v>116</v>
      </c>
    </row>
    <row r="1747" spans="1:113" x14ac:dyDescent="0.4">
      <c r="A1747" t="str">
        <f>"300352"</f>
        <v>300352</v>
      </c>
      <c r="B1747" t="s">
        <v>8945</v>
      </c>
      <c r="C1747">
        <v>-4.9400000000000004</v>
      </c>
      <c r="D1747">
        <v>7.51</v>
      </c>
      <c r="E1747">
        <v>-0.39</v>
      </c>
      <c r="F1747">
        <v>7.51</v>
      </c>
      <c r="G1747">
        <v>7.52</v>
      </c>
      <c r="H1747">
        <v>962761</v>
      </c>
      <c r="I1747">
        <v>10825</v>
      </c>
      <c r="J1747">
        <v>0.13</v>
      </c>
      <c r="K1747">
        <v>8.77</v>
      </c>
      <c r="L1747">
        <v>7.81</v>
      </c>
      <c r="M1747">
        <v>7.91</v>
      </c>
      <c r="N1747">
        <v>7.48</v>
      </c>
      <c r="O1747">
        <v>7.9</v>
      </c>
      <c r="P1747">
        <v>133.44</v>
      </c>
      <c r="Q1747">
        <v>735159168</v>
      </c>
      <c r="R1747">
        <v>1.1399999999999999</v>
      </c>
      <c r="S1747" t="s">
        <v>607</v>
      </c>
      <c r="T1747" t="s">
        <v>165</v>
      </c>
      <c r="U1747">
        <v>5.44</v>
      </c>
      <c r="V1747">
        <v>7.64</v>
      </c>
      <c r="W1747">
        <v>555291</v>
      </c>
      <c r="X1747">
        <v>407470</v>
      </c>
      <c r="Y1747">
        <v>1.36</v>
      </c>
      <c r="Z1747">
        <v>2426</v>
      </c>
      <c r="AA1747">
        <v>1510</v>
      </c>
      <c r="AB1747" t="s">
        <v>116</v>
      </c>
      <c r="AC1747">
        <v>4014400</v>
      </c>
      <c r="AD1747">
        <v>0.05</v>
      </c>
      <c r="AE1747" t="s">
        <v>116</v>
      </c>
      <c r="AF1747" t="s">
        <v>116</v>
      </c>
      <c r="AG1747">
        <v>10.97</v>
      </c>
      <c r="AH1747" t="s">
        <v>8946</v>
      </c>
      <c r="AI1747" t="s">
        <v>8947</v>
      </c>
      <c r="AJ1747">
        <v>-4.26</v>
      </c>
      <c r="AK1747">
        <v>4252</v>
      </c>
      <c r="AL1747">
        <v>226</v>
      </c>
      <c r="AM1747">
        <v>2.0999999999999999E-3</v>
      </c>
      <c r="AN1747">
        <v>-1</v>
      </c>
      <c r="AO1747">
        <v>-1.18</v>
      </c>
      <c r="AP1747">
        <v>-8.19</v>
      </c>
      <c r="AQ1747">
        <v>18.27</v>
      </c>
      <c r="AR1747">
        <v>128.96</v>
      </c>
      <c r="AS1747">
        <v>9.07</v>
      </c>
      <c r="AT1747" t="s">
        <v>8948</v>
      </c>
      <c r="AU1747">
        <v>89.45</v>
      </c>
      <c r="AV1747">
        <v>115.72</v>
      </c>
      <c r="AW1747">
        <v>2.08</v>
      </c>
      <c r="BA1747">
        <v>-1.1399999999999999</v>
      </c>
      <c r="BB1747">
        <v>0.13</v>
      </c>
      <c r="BC1747">
        <v>-5.32</v>
      </c>
      <c r="BD1747">
        <v>-3.34</v>
      </c>
      <c r="BE1747">
        <v>-3.84</v>
      </c>
      <c r="BF1747">
        <v>-5.0599999999999996</v>
      </c>
      <c r="BG1747">
        <v>0.4</v>
      </c>
      <c r="BH1747">
        <v>-1.59</v>
      </c>
      <c r="BI1747">
        <v>20191029</v>
      </c>
      <c r="BJ1747">
        <v>20120912</v>
      </c>
      <c r="BK1747">
        <v>14.5</v>
      </c>
      <c r="BL1747" t="s">
        <v>116</v>
      </c>
      <c r="BM1747" t="s">
        <v>116</v>
      </c>
      <c r="BN1747">
        <v>28.12</v>
      </c>
      <c r="BO1747">
        <v>23.36</v>
      </c>
      <c r="BP1747">
        <v>0.03</v>
      </c>
      <c r="BQ1747">
        <v>16.809999999999999</v>
      </c>
      <c r="BR1747">
        <v>20.53</v>
      </c>
      <c r="BS1747">
        <v>0.88</v>
      </c>
      <c r="BT1747">
        <v>1.81</v>
      </c>
      <c r="BU1747">
        <v>4.66</v>
      </c>
      <c r="BV1747">
        <v>1.08</v>
      </c>
      <c r="BW1747">
        <v>11.55</v>
      </c>
      <c r="BX1747">
        <v>3.16</v>
      </c>
      <c r="BY1747">
        <v>5.21</v>
      </c>
      <c r="BZ1747">
        <v>1.73</v>
      </c>
      <c r="CA1747">
        <v>0.6</v>
      </c>
      <c r="CB1747">
        <v>-0.01</v>
      </c>
      <c r="CC1747">
        <v>0.6</v>
      </c>
      <c r="CD1747">
        <v>0.61</v>
      </c>
      <c r="CE1747">
        <v>0.61</v>
      </c>
      <c r="CF1747">
        <v>0.53</v>
      </c>
      <c r="CG1747">
        <v>5.12</v>
      </c>
      <c r="CH1747">
        <v>-1.81</v>
      </c>
      <c r="CI1747">
        <v>-4.54</v>
      </c>
      <c r="CJ1747">
        <v>73276</v>
      </c>
      <c r="CK1747">
        <v>14488</v>
      </c>
      <c r="CL1747" t="s">
        <v>8949</v>
      </c>
      <c r="CM1747">
        <v>82.32</v>
      </c>
      <c r="CN1747">
        <v>70.94</v>
      </c>
      <c r="CO1747">
        <v>4.66</v>
      </c>
      <c r="CP1747">
        <v>-60.17</v>
      </c>
      <c r="CQ1747">
        <v>20.89</v>
      </c>
      <c r="CR1747">
        <v>0.13</v>
      </c>
      <c r="CS1747" t="s">
        <v>145</v>
      </c>
      <c r="CT1747">
        <v>1.61</v>
      </c>
      <c r="CU1747">
        <v>0</v>
      </c>
      <c r="CV1747">
        <v>0.22</v>
      </c>
      <c r="CW1747">
        <v>0.35</v>
      </c>
      <c r="CX1747">
        <v>-0.12</v>
      </c>
      <c r="CY1747">
        <v>83.1</v>
      </c>
      <c r="CZ1747" t="s">
        <v>7237</v>
      </c>
      <c r="DA1747">
        <v>66.83</v>
      </c>
      <c r="DB1747">
        <v>11.5</v>
      </c>
      <c r="DC1747">
        <v>11.74</v>
      </c>
      <c r="DD1747">
        <v>0.71</v>
      </c>
      <c r="DE1747">
        <v>1293</v>
      </c>
      <c r="DF1747">
        <v>300352</v>
      </c>
      <c r="DG1747" t="s">
        <v>116</v>
      </c>
      <c r="DH1747" t="s">
        <v>116</v>
      </c>
      <c r="DI1747" t="s">
        <v>116</v>
      </c>
    </row>
    <row r="1748" spans="1:113" x14ac:dyDescent="0.4">
      <c r="A1748" t="str">
        <f>"300353"</f>
        <v>300353</v>
      </c>
      <c r="B1748" t="s">
        <v>8950</v>
      </c>
      <c r="C1748">
        <v>-2.21</v>
      </c>
      <c r="D1748">
        <v>12.81</v>
      </c>
      <c r="E1748">
        <v>-0.28999999999999998</v>
      </c>
      <c r="F1748">
        <v>12.8</v>
      </c>
      <c r="G1748">
        <v>12.81</v>
      </c>
      <c r="H1748">
        <v>135986</v>
      </c>
      <c r="I1748">
        <v>1400</v>
      </c>
      <c r="J1748">
        <v>0</v>
      </c>
      <c r="K1748">
        <v>3.7</v>
      </c>
      <c r="L1748">
        <v>13.18</v>
      </c>
      <c r="M1748">
        <v>13.23</v>
      </c>
      <c r="N1748">
        <v>12.76</v>
      </c>
      <c r="O1748">
        <v>13.1</v>
      </c>
      <c r="P1748">
        <v>40.479999999999997</v>
      </c>
      <c r="Q1748">
        <v>176642672</v>
      </c>
      <c r="R1748">
        <v>0.96</v>
      </c>
      <c r="S1748" t="s">
        <v>465</v>
      </c>
      <c r="T1748" t="s">
        <v>165</v>
      </c>
      <c r="U1748">
        <v>3.59</v>
      </c>
      <c r="V1748">
        <v>12.99</v>
      </c>
      <c r="W1748">
        <v>81388</v>
      </c>
      <c r="X1748">
        <v>54598</v>
      </c>
      <c r="Y1748">
        <v>1.49</v>
      </c>
      <c r="Z1748">
        <v>930</v>
      </c>
      <c r="AA1748">
        <v>201</v>
      </c>
      <c r="AB1748" t="s">
        <v>116</v>
      </c>
      <c r="AC1748">
        <v>371700</v>
      </c>
      <c r="AD1748">
        <v>0.01</v>
      </c>
      <c r="AE1748" t="s">
        <v>116</v>
      </c>
      <c r="AF1748" t="s">
        <v>116</v>
      </c>
      <c r="AG1748">
        <v>3.67</v>
      </c>
      <c r="AH1748" t="s">
        <v>8951</v>
      </c>
      <c r="AI1748" t="s">
        <v>8952</v>
      </c>
      <c r="AJ1748">
        <v>-1.53</v>
      </c>
      <c r="AK1748">
        <v>2859</v>
      </c>
      <c r="AL1748">
        <v>48</v>
      </c>
      <c r="AM1748">
        <v>1.2999999999999999E-3</v>
      </c>
      <c r="AN1748">
        <v>-1</v>
      </c>
      <c r="AO1748">
        <v>0.08</v>
      </c>
      <c r="AP1748">
        <v>8.56</v>
      </c>
      <c r="AQ1748">
        <v>-4.9000000000000004</v>
      </c>
      <c r="AR1748">
        <v>47.38</v>
      </c>
      <c r="AS1748">
        <v>4.03</v>
      </c>
      <c r="AT1748" t="s">
        <v>8953</v>
      </c>
      <c r="AU1748">
        <v>38.340000000000003</v>
      </c>
      <c r="AV1748">
        <v>68.97</v>
      </c>
      <c r="AW1748">
        <v>1.6</v>
      </c>
      <c r="BA1748">
        <v>0.61</v>
      </c>
      <c r="BB1748">
        <v>0.99</v>
      </c>
      <c r="BC1748">
        <v>-2.6</v>
      </c>
      <c r="BD1748">
        <v>-0.84</v>
      </c>
      <c r="BE1748">
        <v>-2.81</v>
      </c>
      <c r="BF1748">
        <v>-3.17</v>
      </c>
      <c r="BG1748">
        <v>0.39</v>
      </c>
      <c r="BH1748">
        <v>-1.37</v>
      </c>
      <c r="BI1748">
        <v>20191029</v>
      </c>
      <c r="BJ1748">
        <v>20120927</v>
      </c>
      <c r="BK1748">
        <v>5.1100000000000003</v>
      </c>
      <c r="BL1748" t="s">
        <v>116</v>
      </c>
      <c r="BM1748" t="s">
        <v>116</v>
      </c>
      <c r="BN1748">
        <v>36.21</v>
      </c>
      <c r="BO1748">
        <v>23.49</v>
      </c>
      <c r="BP1748">
        <v>1.55</v>
      </c>
      <c r="BQ1748">
        <v>30.87</v>
      </c>
      <c r="BR1748">
        <v>17.46</v>
      </c>
      <c r="BS1748">
        <v>1.48</v>
      </c>
      <c r="BT1748">
        <v>1.56</v>
      </c>
      <c r="BU1748">
        <v>7.52</v>
      </c>
      <c r="BV1748">
        <v>1.94</v>
      </c>
      <c r="BW1748">
        <v>7.92</v>
      </c>
      <c r="BX1748">
        <v>13.02</v>
      </c>
      <c r="BY1748">
        <v>4.79</v>
      </c>
      <c r="BZ1748">
        <v>2.59</v>
      </c>
      <c r="CA1748">
        <v>0.3</v>
      </c>
      <c r="CB1748">
        <v>-0.06</v>
      </c>
      <c r="CC1748">
        <v>1.33</v>
      </c>
      <c r="CD1748">
        <v>1.1100000000000001</v>
      </c>
      <c r="CE1748">
        <v>1.21</v>
      </c>
      <c r="CF1748">
        <v>-0.98</v>
      </c>
      <c r="CG1748">
        <v>4.9400000000000004</v>
      </c>
      <c r="CH1748">
        <v>-1.08</v>
      </c>
      <c r="CI1748">
        <v>-0.12</v>
      </c>
      <c r="CJ1748">
        <v>66933</v>
      </c>
      <c r="CK1748">
        <v>5044</v>
      </c>
      <c r="CL1748" t="s">
        <v>8954</v>
      </c>
      <c r="CM1748">
        <v>166.93</v>
      </c>
      <c r="CN1748">
        <v>-13.71</v>
      </c>
      <c r="CO1748">
        <v>2.79</v>
      </c>
      <c r="CP1748">
        <v>-60.82</v>
      </c>
      <c r="CQ1748">
        <v>13.67</v>
      </c>
      <c r="CR1748">
        <v>0.3</v>
      </c>
      <c r="CS1748" t="s">
        <v>2045</v>
      </c>
      <c r="CT1748">
        <v>4.5999999999999996</v>
      </c>
      <c r="CU1748">
        <v>0</v>
      </c>
      <c r="CV1748">
        <v>2.5499999999999998</v>
      </c>
      <c r="CW1748">
        <v>0.97</v>
      </c>
      <c r="CX1748">
        <v>-0.21</v>
      </c>
      <c r="CY1748">
        <v>64.86</v>
      </c>
      <c r="CZ1748" t="s">
        <v>7851</v>
      </c>
      <c r="DA1748">
        <v>45.81</v>
      </c>
      <c r="DB1748">
        <v>6.19</v>
      </c>
      <c r="DC1748">
        <v>25.33</v>
      </c>
      <c r="DD1748">
        <v>1.1299999999999999</v>
      </c>
      <c r="DE1748">
        <v>1615</v>
      </c>
      <c r="DF1748">
        <v>300353</v>
      </c>
      <c r="DG1748" t="s">
        <v>116</v>
      </c>
      <c r="DH1748" t="s">
        <v>116</v>
      </c>
      <c r="DI1748" t="s">
        <v>116</v>
      </c>
    </row>
    <row r="1749" spans="1:113" x14ac:dyDescent="0.4">
      <c r="A1749" t="str">
        <f>"300354"</f>
        <v>300354</v>
      </c>
      <c r="B1749" t="s">
        <v>8955</v>
      </c>
      <c r="C1749">
        <v>-2.87</v>
      </c>
      <c r="D1749">
        <v>12.52</v>
      </c>
      <c r="E1749">
        <v>-0.37</v>
      </c>
      <c r="F1749">
        <v>12.52</v>
      </c>
      <c r="G1749">
        <v>12.53</v>
      </c>
      <c r="H1749">
        <v>43051</v>
      </c>
      <c r="I1749">
        <v>468</v>
      </c>
      <c r="J1749">
        <v>-0.23</v>
      </c>
      <c r="K1749">
        <v>5.6</v>
      </c>
      <c r="L1749">
        <v>12.89</v>
      </c>
      <c r="M1749">
        <v>12.91</v>
      </c>
      <c r="N1749">
        <v>12.48</v>
      </c>
      <c r="O1749">
        <v>12.89</v>
      </c>
      <c r="P1749">
        <v>244.05</v>
      </c>
      <c r="Q1749">
        <v>54464764</v>
      </c>
      <c r="R1749">
        <v>1.06</v>
      </c>
      <c r="S1749" t="s">
        <v>2977</v>
      </c>
      <c r="T1749" t="s">
        <v>323</v>
      </c>
      <c r="U1749">
        <v>3.34</v>
      </c>
      <c r="V1749">
        <v>12.65</v>
      </c>
      <c r="W1749">
        <v>26942</v>
      </c>
      <c r="X1749">
        <v>16109</v>
      </c>
      <c r="Y1749">
        <v>1.67</v>
      </c>
      <c r="Z1749">
        <v>151</v>
      </c>
      <c r="AA1749">
        <v>96</v>
      </c>
      <c r="AB1749" t="s">
        <v>116</v>
      </c>
      <c r="AC1749">
        <v>388000</v>
      </c>
      <c r="AD1749">
        <v>0.05</v>
      </c>
      <c r="AE1749" t="s">
        <v>116</v>
      </c>
      <c r="AF1749" t="s">
        <v>116</v>
      </c>
      <c r="AG1749">
        <v>0.77</v>
      </c>
      <c r="AH1749" t="s">
        <v>8956</v>
      </c>
      <c r="AI1749" t="s">
        <v>8957</v>
      </c>
      <c r="AJ1749">
        <v>-2.19</v>
      </c>
      <c r="AK1749">
        <v>2287</v>
      </c>
      <c r="AL1749">
        <v>19</v>
      </c>
      <c r="AM1749">
        <v>2.3999999999999998E-3</v>
      </c>
      <c r="AN1749">
        <v>-1</v>
      </c>
      <c r="AO1749">
        <v>-1.26</v>
      </c>
      <c r="AP1749">
        <v>10.7</v>
      </c>
      <c r="AQ1749">
        <v>-7.05</v>
      </c>
      <c r="AR1749">
        <v>54.19</v>
      </c>
      <c r="AS1749">
        <v>7.31</v>
      </c>
      <c r="AT1749" t="s">
        <v>7317</v>
      </c>
      <c r="AU1749">
        <v>84.62</v>
      </c>
      <c r="AV1749">
        <v>98.26</v>
      </c>
      <c r="AW1749">
        <v>1.76</v>
      </c>
      <c r="BA1749">
        <v>0</v>
      </c>
      <c r="BB1749">
        <v>0.16</v>
      </c>
      <c r="BC1749">
        <v>-3.18</v>
      </c>
      <c r="BD1749">
        <v>-1.85</v>
      </c>
      <c r="BE1749">
        <v>-2.87</v>
      </c>
      <c r="BF1749">
        <v>-3.02</v>
      </c>
      <c r="BG1749">
        <v>0.32</v>
      </c>
      <c r="BH1749">
        <v>-1.02</v>
      </c>
      <c r="BI1749">
        <v>20191022</v>
      </c>
      <c r="BJ1749">
        <v>20120920</v>
      </c>
      <c r="BK1749">
        <v>1.38</v>
      </c>
      <c r="BL1749" t="s">
        <v>116</v>
      </c>
      <c r="BM1749" t="s">
        <v>116</v>
      </c>
      <c r="BN1749">
        <v>4</v>
      </c>
      <c r="BO1749">
        <v>3.59</v>
      </c>
      <c r="BP1749">
        <v>0</v>
      </c>
      <c r="BQ1749">
        <v>10.24</v>
      </c>
      <c r="BR1749">
        <v>2.4900000000000002</v>
      </c>
      <c r="BS1749">
        <v>1.1499999999999999</v>
      </c>
      <c r="BT1749">
        <v>0.17</v>
      </c>
      <c r="BU1749">
        <v>0.31</v>
      </c>
      <c r="BV1749">
        <v>0.84</v>
      </c>
      <c r="BW1749">
        <v>0.6</v>
      </c>
      <c r="BX1749">
        <v>1.04</v>
      </c>
      <c r="BY1749">
        <v>0.98</v>
      </c>
      <c r="BZ1749">
        <v>0.37</v>
      </c>
      <c r="CA1749">
        <v>0.06</v>
      </c>
      <c r="CB1749">
        <v>0.01</v>
      </c>
      <c r="CC1749">
        <v>0.06</v>
      </c>
      <c r="CD1749">
        <v>0.05</v>
      </c>
      <c r="CE1749">
        <v>0.05</v>
      </c>
      <c r="CF1749">
        <v>0.02</v>
      </c>
      <c r="CG1749">
        <v>1</v>
      </c>
      <c r="CH1749">
        <v>-0.13</v>
      </c>
      <c r="CI1749">
        <v>-0.31</v>
      </c>
      <c r="CJ1749">
        <v>14242</v>
      </c>
      <c r="CK1749">
        <v>4137</v>
      </c>
      <c r="CL1749" t="s">
        <v>6831</v>
      </c>
      <c r="CM1749">
        <v>114.44</v>
      </c>
      <c r="CN1749">
        <v>17.5</v>
      </c>
      <c r="CO1749">
        <v>4.82</v>
      </c>
      <c r="CP1749">
        <v>-132.44</v>
      </c>
      <c r="CQ1749">
        <v>17.68</v>
      </c>
      <c r="CR1749">
        <v>0.24</v>
      </c>
      <c r="CS1749" t="s">
        <v>2865</v>
      </c>
      <c r="CT1749">
        <v>2.59</v>
      </c>
      <c r="CU1749">
        <v>0</v>
      </c>
      <c r="CV1749">
        <v>0.75</v>
      </c>
      <c r="CW1749">
        <v>0.72</v>
      </c>
      <c r="CX1749">
        <v>-0.09</v>
      </c>
      <c r="CY1749">
        <v>89.76</v>
      </c>
      <c r="CZ1749" t="s">
        <v>8958</v>
      </c>
      <c r="DA1749">
        <v>62.02</v>
      </c>
      <c r="DB1749">
        <v>6.41</v>
      </c>
      <c r="DC1749">
        <v>5.43</v>
      </c>
      <c r="DD1749">
        <v>0.14000000000000001</v>
      </c>
      <c r="DE1749">
        <v>509</v>
      </c>
      <c r="DF1749">
        <v>300354</v>
      </c>
      <c r="DG1749" t="s">
        <v>116</v>
      </c>
      <c r="DH1749" t="s">
        <v>116</v>
      </c>
      <c r="DI1749" t="s">
        <v>116</v>
      </c>
    </row>
    <row r="1750" spans="1:113" x14ac:dyDescent="0.4">
      <c r="A1750" t="str">
        <f>"300355"</f>
        <v>300355</v>
      </c>
      <c r="B1750" t="s">
        <v>8959</v>
      </c>
      <c r="C1750">
        <v>-0.59</v>
      </c>
      <c r="D1750">
        <v>3.35</v>
      </c>
      <c r="E1750">
        <v>-0.02</v>
      </c>
      <c r="F1750">
        <v>3.35</v>
      </c>
      <c r="G1750">
        <v>3.36</v>
      </c>
      <c r="H1750">
        <v>136919</v>
      </c>
      <c r="I1750">
        <v>1830</v>
      </c>
      <c r="J1750">
        <v>0</v>
      </c>
      <c r="K1750">
        <v>1.1000000000000001</v>
      </c>
      <c r="L1750">
        <v>3.38</v>
      </c>
      <c r="M1750">
        <v>3.39</v>
      </c>
      <c r="N1750">
        <v>3.34</v>
      </c>
      <c r="O1750">
        <v>3.37</v>
      </c>
      <c r="P1750">
        <v>33.04</v>
      </c>
      <c r="Q1750">
        <v>46082604</v>
      </c>
      <c r="R1750">
        <v>0.94</v>
      </c>
      <c r="S1750" t="s">
        <v>140</v>
      </c>
      <c r="T1750" t="s">
        <v>796</v>
      </c>
      <c r="U1750">
        <v>1.48</v>
      </c>
      <c r="V1750">
        <v>3.37</v>
      </c>
      <c r="W1750">
        <v>73643</v>
      </c>
      <c r="X1750">
        <v>63276</v>
      </c>
      <c r="Y1750">
        <v>1.1599999999999999</v>
      </c>
      <c r="Z1750">
        <v>106</v>
      </c>
      <c r="AA1750">
        <v>4245</v>
      </c>
      <c r="AB1750" t="s">
        <v>116</v>
      </c>
      <c r="AC1750">
        <v>94600</v>
      </c>
      <c r="AD1750">
        <v>0</v>
      </c>
      <c r="AE1750" t="s">
        <v>116</v>
      </c>
      <c r="AF1750" t="s">
        <v>116</v>
      </c>
      <c r="AG1750">
        <v>12.4</v>
      </c>
      <c r="AH1750" t="s">
        <v>8960</v>
      </c>
      <c r="AI1750" t="s">
        <v>5828</v>
      </c>
      <c r="AJ1750">
        <v>0.09</v>
      </c>
      <c r="AK1750">
        <v>1509</v>
      </c>
      <c r="AL1750">
        <v>91</v>
      </c>
      <c r="AM1750">
        <v>6.9999999999999999E-4</v>
      </c>
      <c r="AN1750">
        <v>-1</v>
      </c>
      <c r="AO1750">
        <v>-0.89</v>
      </c>
      <c r="AP1750">
        <v>8.06</v>
      </c>
      <c r="AQ1750">
        <v>-3.74</v>
      </c>
      <c r="AR1750">
        <v>-13.48</v>
      </c>
      <c r="AS1750">
        <v>1.19</v>
      </c>
      <c r="AT1750" t="s">
        <v>2096</v>
      </c>
      <c r="AU1750">
        <v>11359.47</v>
      </c>
      <c r="AV1750">
        <v>26.37</v>
      </c>
      <c r="AW1750">
        <v>1.1299999999999999</v>
      </c>
      <c r="BA1750">
        <v>0.3</v>
      </c>
      <c r="BB1750">
        <v>0.59</v>
      </c>
      <c r="BC1750">
        <v>-0.89</v>
      </c>
      <c r="BD1750">
        <v>-0.13</v>
      </c>
      <c r="BE1750">
        <v>-0.89</v>
      </c>
      <c r="BF1750">
        <v>-1.18</v>
      </c>
      <c r="BG1750">
        <v>0.3</v>
      </c>
      <c r="BH1750">
        <v>-0.47</v>
      </c>
      <c r="BI1750">
        <v>20191209</v>
      </c>
      <c r="BJ1750">
        <v>20120927</v>
      </c>
      <c r="BK1750">
        <v>16.04</v>
      </c>
      <c r="BL1750" t="s">
        <v>116</v>
      </c>
      <c r="BM1750" t="s">
        <v>116</v>
      </c>
      <c r="BN1750">
        <v>148.16999999999999</v>
      </c>
      <c r="BO1750">
        <v>37.61</v>
      </c>
      <c r="BP1750">
        <v>9.86</v>
      </c>
      <c r="BQ1750">
        <v>67.959999999999994</v>
      </c>
      <c r="BR1750">
        <v>59.86</v>
      </c>
      <c r="BS1750">
        <v>3.76</v>
      </c>
      <c r="BT1750">
        <v>1.77</v>
      </c>
      <c r="BU1750">
        <v>72.48</v>
      </c>
      <c r="BV1750">
        <v>8.0299999999999994</v>
      </c>
      <c r="BW1750">
        <v>40.61</v>
      </c>
      <c r="BX1750">
        <v>2.85</v>
      </c>
      <c r="BY1750">
        <v>19.86</v>
      </c>
      <c r="BZ1750">
        <v>13.62</v>
      </c>
      <c r="CA1750">
        <v>1.44</v>
      </c>
      <c r="CB1750">
        <v>-0.08</v>
      </c>
      <c r="CC1750">
        <v>1.4</v>
      </c>
      <c r="CD1750">
        <v>1.18</v>
      </c>
      <c r="CE1750">
        <v>1.22</v>
      </c>
      <c r="CF1750">
        <v>0.84</v>
      </c>
      <c r="CG1750">
        <v>14.79</v>
      </c>
      <c r="CH1750">
        <v>-6.26</v>
      </c>
      <c r="CI1750">
        <v>-4.7</v>
      </c>
      <c r="CJ1750">
        <v>72146</v>
      </c>
      <c r="CK1750">
        <v>15944</v>
      </c>
      <c r="CL1750" t="s">
        <v>757</v>
      </c>
      <c r="CM1750">
        <v>-62.5</v>
      </c>
      <c r="CN1750">
        <v>-26.28</v>
      </c>
      <c r="CO1750">
        <v>1.43</v>
      </c>
      <c r="CP1750">
        <v>-8.59</v>
      </c>
      <c r="CQ1750">
        <v>2.71</v>
      </c>
      <c r="CR1750">
        <v>0.54</v>
      </c>
      <c r="CS1750" t="s">
        <v>3475</v>
      </c>
      <c r="CT1750">
        <v>2.34</v>
      </c>
      <c r="CU1750">
        <v>0</v>
      </c>
      <c r="CV1750">
        <v>0.18</v>
      </c>
      <c r="CW1750">
        <v>0.92</v>
      </c>
      <c r="CX1750">
        <v>-0.39</v>
      </c>
      <c r="CY1750">
        <v>25.38</v>
      </c>
      <c r="CZ1750" t="s">
        <v>8495</v>
      </c>
      <c r="DA1750">
        <v>31.41</v>
      </c>
      <c r="DB1750">
        <v>7.24</v>
      </c>
      <c r="DC1750">
        <v>6.14</v>
      </c>
      <c r="DD1750">
        <v>0.36</v>
      </c>
      <c r="DE1750">
        <v>1558</v>
      </c>
      <c r="DF1750">
        <v>300355</v>
      </c>
      <c r="DG1750" t="s">
        <v>116</v>
      </c>
      <c r="DH1750" t="s">
        <v>116</v>
      </c>
      <c r="DI1750" t="s">
        <v>116</v>
      </c>
    </row>
    <row r="1751" spans="1:113" x14ac:dyDescent="0.4">
      <c r="A1751" t="str">
        <f>"300356"</f>
        <v>300356</v>
      </c>
      <c r="B1751" t="s">
        <v>8961</v>
      </c>
      <c r="C1751">
        <v>0.37</v>
      </c>
      <c r="D1751">
        <v>8.2200000000000006</v>
      </c>
      <c r="E1751">
        <v>0.03</v>
      </c>
      <c r="F1751">
        <v>8.2200000000000006</v>
      </c>
      <c r="G1751">
        <v>8.23</v>
      </c>
      <c r="H1751">
        <v>241008</v>
      </c>
      <c r="I1751">
        <v>3026</v>
      </c>
      <c r="J1751">
        <v>0.37</v>
      </c>
      <c r="K1751">
        <v>6.54</v>
      </c>
      <c r="L1751">
        <v>8.1999999999999993</v>
      </c>
      <c r="M1751">
        <v>8.43</v>
      </c>
      <c r="N1751">
        <v>8.1199999999999992</v>
      </c>
      <c r="O1751">
        <v>8.19</v>
      </c>
      <c r="P1751">
        <v>618.51</v>
      </c>
      <c r="Q1751">
        <v>199054160</v>
      </c>
      <c r="R1751">
        <v>0.95</v>
      </c>
      <c r="S1751" t="s">
        <v>397</v>
      </c>
      <c r="T1751" t="s">
        <v>323</v>
      </c>
      <c r="U1751">
        <v>3.79</v>
      </c>
      <c r="V1751">
        <v>8.26</v>
      </c>
      <c r="W1751">
        <v>129208</v>
      </c>
      <c r="X1751">
        <v>111800</v>
      </c>
      <c r="Y1751">
        <v>1.1599999999999999</v>
      </c>
      <c r="Z1751">
        <v>860</v>
      </c>
      <c r="AA1751">
        <v>589</v>
      </c>
      <c r="AB1751" t="s">
        <v>116</v>
      </c>
      <c r="AC1751">
        <v>389500</v>
      </c>
      <c r="AD1751">
        <v>0.02</v>
      </c>
      <c r="AE1751" t="s">
        <v>116</v>
      </c>
      <c r="AF1751" t="s">
        <v>116</v>
      </c>
      <c r="AG1751">
        <v>3.69</v>
      </c>
      <c r="AH1751" t="s">
        <v>5172</v>
      </c>
      <c r="AI1751" t="s">
        <v>7071</v>
      </c>
      <c r="AJ1751">
        <v>1.05</v>
      </c>
      <c r="AK1751">
        <v>3194</v>
      </c>
      <c r="AL1751">
        <v>75</v>
      </c>
      <c r="AM1751">
        <v>2E-3</v>
      </c>
      <c r="AN1751">
        <v>1</v>
      </c>
      <c r="AO1751">
        <v>-0.11</v>
      </c>
      <c r="AP1751">
        <v>3.27</v>
      </c>
      <c r="AQ1751">
        <v>34.979999999999997</v>
      </c>
      <c r="AR1751">
        <v>42.21</v>
      </c>
      <c r="AS1751">
        <v>10.43</v>
      </c>
      <c r="AT1751" t="s">
        <v>8962</v>
      </c>
      <c r="AU1751">
        <v>676.1</v>
      </c>
      <c r="AV1751">
        <v>144.4</v>
      </c>
      <c r="AW1751">
        <v>2.0099999999999998</v>
      </c>
      <c r="BA1751">
        <v>0.12</v>
      </c>
      <c r="BB1751">
        <v>2.93</v>
      </c>
      <c r="BC1751">
        <v>-0.85</v>
      </c>
      <c r="BD1751">
        <v>0.85</v>
      </c>
      <c r="BE1751">
        <v>0.24</v>
      </c>
      <c r="BF1751">
        <v>-2.4900000000000002</v>
      </c>
      <c r="BG1751">
        <v>1.23</v>
      </c>
      <c r="BH1751">
        <v>-0.48</v>
      </c>
      <c r="BI1751">
        <v>20191030</v>
      </c>
      <c r="BJ1751">
        <v>20121009</v>
      </c>
      <c r="BK1751">
        <v>4.1100000000000003</v>
      </c>
      <c r="BL1751" t="s">
        <v>116</v>
      </c>
      <c r="BM1751" t="s">
        <v>116</v>
      </c>
      <c r="BN1751">
        <v>16.66</v>
      </c>
      <c r="BO1751">
        <v>10.57</v>
      </c>
      <c r="BP1751">
        <v>0.04</v>
      </c>
      <c r="BQ1751">
        <v>36.33</v>
      </c>
      <c r="BR1751">
        <v>6.85</v>
      </c>
      <c r="BS1751">
        <v>2.89</v>
      </c>
      <c r="BT1751">
        <v>0.56999999999999995</v>
      </c>
      <c r="BU1751">
        <v>2.82</v>
      </c>
      <c r="BV1751">
        <v>1.31</v>
      </c>
      <c r="BW1751">
        <v>3.66</v>
      </c>
      <c r="BX1751">
        <v>7.39</v>
      </c>
      <c r="BY1751">
        <v>2.31</v>
      </c>
      <c r="BZ1751">
        <v>1.57</v>
      </c>
      <c r="CA1751">
        <v>0.05</v>
      </c>
      <c r="CB1751">
        <v>0.11</v>
      </c>
      <c r="CC1751">
        <v>0.05</v>
      </c>
      <c r="CD1751">
        <v>0.04</v>
      </c>
      <c r="CE1751">
        <v>0.04</v>
      </c>
      <c r="CF1751">
        <v>0.03</v>
      </c>
      <c r="CG1751">
        <v>-0.9</v>
      </c>
      <c r="CH1751">
        <v>0.73</v>
      </c>
      <c r="CI1751">
        <v>-0.53</v>
      </c>
      <c r="CJ1751">
        <v>28996</v>
      </c>
      <c r="CK1751">
        <v>7968</v>
      </c>
      <c r="CL1751" t="s">
        <v>8617</v>
      </c>
      <c r="CM1751">
        <v>-81.790000000000006</v>
      </c>
      <c r="CN1751">
        <v>-15.8</v>
      </c>
      <c r="CO1751">
        <v>3.2</v>
      </c>
      <c r="CP1751">
        <v>46.35</v>
      </c>
      <c r="CQ1751">
        <v>14.63</v>
      </c>
      <c r="CR1751">
        <v>0</v>
      </c>
      <c r="CS1751" t="s">
        <v>888</v>
      </c>
      <c r="CT1751">
        <v>2.57</v>
      </c>
      <c r="CU1751">
        <v>0</v>
      </c>
      <c r="CV1751">
        <v>1.8</v>
      </c>
      <c r="CW1751">
        <v>-0.22</v>
      </c>
      <c r="CX1751">
        <v>0.18</v>
      </c>
      <c r="CY1751">
        <v>63.46</v>
      </c>
      <c r="CZ1751" t="s">
        <v>3944</v>
      </c>
      <c r="DA1751">
        <v>31.88</v>
      </c>
      <c r="DB1751">
        <v>2.31</v>
      </c>
      <c r="DC1751">
        <v>1.77</v>
      </c>
      <c r="DD1751">
        <v>0.22</v>
      </c>
      <c r="DE1751">
        <v>925</v>
      </c>
      <c r="DF1751">
        <v>300356</v>
      </c>
      <c r="DG1751" t="s">
        <v>116</v>
      </c>
      <c r="DH1751" t="s">
        <v>116</v>
      </c>
      <c r="DI1751" t="s">
        <v>116</v>
      </c>
    </row>
    <row r="1752" spans="1:113" x14ac:dyDescent="0.4">
      <c r="A1752" t="str">
        <f>"300357"</f>
        <v>300357</v>
      </c>
      <c r="B1752" t="s">
        <v>8963</v>
      </c>
      <c r="C1752">
        <v>-0.12</v>
      </c>
      <c r="D1752">
        <v>43.37</v>
      </c>
      <c r="E1752">
        <v>-0.05</v>
      </c>
      <c r="F1752">
        <v>43.16</v>
      </c>
      <c r="G1752">
        <v>43.37</v>
      </c>
      <c r="H1752">
        <v>67587</v>
      </c>
      <c r="I1752">
        <v>1023</v>
      </c>
      <c r="J1752">
        <v>0.7</v>
      </c>
      <c r="K1752">
        <v>1.48</v>
      </c>
      <c r="L1752">
        <v>43.89</v>
      </c>
      <c r="M1752">
        <v>44.28</v>
      </c>
      <c r="N1752">
        <v>42.81</v>
      </c>
      <c r="O1752">
        <v>43.42</v>
      </c>
      <c r="P1752">
        <v>69.069999999999993</v>
      </c>
      <c r="Q1752">
        <v>293231872</v>
      </c>
      <c r="R1752">
        <v>1.1299999999999999</v>
      </c>
      <c r="S1752" t="s">
        <v>132</v>
      </c>
      <c r="T1752" t="s">
        <v>590</v>
      </c>
      <c r="U1752">
        <v>3.39</v>
      </c>
      <c r="V1752">
        <v>43.39</v>
      </c>
      <c r="W1752">
        <v>41349</v>
      </c>
      <c r="X1752">
        <v>26238</v>
      </c>
      <c r="Y1752">
        <v>1.58</v>
      </c>
      <c r="Z1752">
        <v>3</v>
      </c>
      <c r="AA1752">
        <v>447</v>
      </c>
      <c r="AB1752" t="s">
        <v>116</v>
      </c>
      <c r="AC1752">
        <v>1400100</v>
      </c>
      <c r="AD1752">
        <v>0.01</v>
      </c>
      <c r="AE1752" t="s">
        <v>116</v>
      </c>
      <c r="AF1752" t="s">
        <v>116</v>
      </c>
      <c r="AG1752">
        <v>4.57</v>
      </c>
      <c r="AH1752" t="s">
        <v>8964</v>
      </c>
      <c r="AI1752" t="s">
        <v>8965</v>
      </c>
      <c r="AJ1752">
        <v>0.56000000000000005</v>
      </c>
      <c r="AK1752">
        <v>3466</v>
      </c>
      <c r="AL1752">
        <v>20</v>
      </c>
      <c r="AM1752">
        <v>4.0000000000000002E-4</v>
      </c>
      <c r="AN1752">
        <v>-3</v>
      </c>
      <c r="AO1752">
        <v>-1.59</v>
      </c>
      <c r="AP1752">
        <v>-5.55</v>
      </c>
      <c r="AQ1752">
        <v>12.36</v>
      </c>
      <c r="AR1752">
        <v>112.48</v>
      </c>
      <c r="AS1752">
        <v>2.73</v>
      </c>
      <c r="AT1752" t="s">
        <v>5342</v>
      </c>
      <c r="AU1752">
        <v>78.27</v>
      </c>
      <c r="AV1752">
        <v>97.51</v>
      </c>
      <c r="AW1752">
        <v>0.99</v>
      </c>
      <c r="BA1752">
        <v>1.08</v>
      </c>
      <c r="BB1752">
        <v>1.98</v>
      </c>
      <c r="BC1752">
        <v>-1.4</v>
      </c>
      <c r="BD1752">
        <v>-0.08</v>
      </c>
      <c r="BE1752">
        <v>-1.18</v>
      </c>
      <c r="BF1752">
        <v>-2.06</v>
      </c>
      <c r="BG1752">
        <v>1.31</v>
      </c>
      <c r="BH1752">
        <v>-0.04</v>
      </c>
      <c r="BI1752">
        <v>20191022</v>
      </c>
      <c r="BJ1752">
        <v>20140121</v>
      </c>
      <c r="BK1752">
        <v>5.24</v>
      </c>
      <c r="BL1752" t="s">
        <v>116</v>
      </c>
      <c r="BM1752" t="s">
        <v>116</v>
      </c>
      <c r="BN1752">
        <v>13.74</v>
      </c>
      <c r="BO1752">
        <v>12.19</v>
      </c>
      <c r="BP1752">
        <v>0.83</v>
      </c>
      <c r="BQ1752">
        <v>5.25</v>
      </c>
      <c r="BR1752">
        <v>10.28</v>
      </c>
      <c r="BS1752">
        <v>1.31</v>
      </c>
      <c r="BT1752">
        <v>0.66</v>
      </c>
      <c r="BU1752">
        <v>0.61</v>
      </c>
      <c r="BV1752">
        <v>0.31</v>
      </c>
      <c r="BW1752">
        <v>1.98</v>
      </c>
      <c r="BX1752">
        <v>1.28</v>
      </c>
      <c r="BY1752">
        <v>5</v>
      </c>
      <c r="BZ1752">
        <v>0.17</v>
      </c>
      <c r="CA1752">
        <v>2.83</v>
      </c>
      <c r="CB1752">
        <v>0.01</v>
      </c>
      <c r="CC1752">
        <v>2.87</v>
      </c>
      <c r="CD1752">
        <v>2.4300000000000002</v>
      </c>
      <c r="CE1752">
        <v>2.4700000000000002</v>
      </c>
      <c r="CF1752">
        <v>2.42</v>
      </c>
      <c r="CG1752">
        <v>4.74</v>
      </c>
      <c r="CH1752">
        <v>1.58</v>
      </c>
      <c r="CI1752">
        <v>1.66</v>
      </c>
      <c r="CJ1752">
        <v>14676</v>
      </c>
      <c r="CK1752">
        <v>16862</v>
      </c>
      <c r="CL1752" t="s">
        <v>8966</v>
      </c>
      <c r="CM1752">
        <v>30.23</v>
      </c>
      <c r="CN1752">
        <v>29.64</v>
      </c>
      <c r="CO1752">
        <v>18.63</v>
      </c>
      <c r="CP1752">
        <v>144.13</v>
      </c>
      <c r="CQ1752">
        <v>45.42</v>
      </c>
      <c r="CR1752">
        <v>0.32</v>
      </c>
      <c r="CS1752" t="s">
        <v>6445</v>
      </c>
      <c r="CT1752">
        <v>2.33</v>
      </c>
      <c r="CU1752">
        <v>0</v>
      </c>
      <c r="CV1752">
        <v>0.24</v>
      </c>
      <c r="CW1752">
        <v>0.9</v>
      </c>
      <c r="CX1752">
        <v>0.3</v>
      </c>
      <c r="CY1752">
        <v>88.72</v>
      </c>
      <c r="CZ1752" t="s">
        <v>8967</v>
      </c>
      <c r="DA1752">
        <v>96.51</v>
      </c>
      <c r="DB1752">
        <v>56.62</v>
      </c>
      <c r="DC1752">
        <v>49.32</v>
      </c>
      <c r="DD1752">
        <v>0.26</v>
      </c>
      <c r="DE1752">
        <v>901</v>
      </c>
      <c r="DF1752">
        <v>300357</v>
      </c>
      <c r="DG1752" t="s">
        <v>116</v>
      </c>
      <c r="DH1752" t="s">
        <v>116</v>
      </c>
      <c r="DI1752" t="s">
        <v>116</v>
      </c>
    </row>
    <row r="1753" spans="1:113" x14ac:dyDescent="0.4">
      <c r="A1753" t="str">
        <f>"300358"</f>
        <v>300358</v>
      </c>
      <c r="B1753" t="s">
        <v>8968</v>
      </c>
      <c r="C1753">
        <v>-1.26</v>
      </c>
      <c r="D1753">
        <v>7.06</v>
      </c>
      <c r="E1753">
        <v>-0.09</v>
      </c>
      <c r="F1753">
        <v>7.05</v>
      </c>
      <c r="G1753">
        <v>7.06</v>
      </c>
      <c r="H1753">
        <v>105229</v>
      </c>
      <c r="I1753">
        <v>2570</v>
      </c>
      <c r="J1753">
        <v>0.14000000000000001</v>
      </c>
      <c r="K1753">
        <v>2.38</v>
      </c>
      <c r="L1753">
        <v>7.09</v>
      </c>
      <c r="M1753">
        <v>7.15</v>
      </c>
      <c r="N1753">
        <v>6.95</v>
      </c>
      <c r="O1753">
        <v>7.15</v>
      </c>
      <c r="P1753">
        <v>110.19</v>
      </c>
      <c r="Q1753">
        <v>74022624</v>
      </c>
      <c r="R1753">
        <v>0.99</v>
      </c>
      <c r="S1753" t="s">
        <v>559</v>
      </c>
      <c r="T1753" t="s">
        <v>599</v>
      </c>
      <c r="U1753">
        <v>2.8</v>
      </c>
      <c r="V1753">
        <v>7.03</v>
      </c>
      <c r="W1753">
        <v>62280</v>
      </c>
      <c r="X1753">
        <v>42949</v>
      </c>
      <c r="Y1753">
        <v>1.45</v>
      </c>
      <c r="Z1753">
        <v>202</v>
      </c>
      <c r="AA1753">
        <v>15</v>
      </c>
      <c r="AB1753" t="s">
        <v>116</v>
      </c>
      <c r="AC1753">
        <v>1311700</v>
      </c>
      <c r="AD1753">
        <v>0.09</v>
      </c>
      <c r="AE1753" t="s">
        <v>116</v>
      </c>
      <c r="AF1753" t="s">
        <v>116</v>
      </c>
      <c r="AG1753">
        <v>4.42</v>
      </c>
      <c r="AH1753" t="s">
        <v>8969</v>
      </c>
      <c r="AI1753" t="s">
        <v>8970</v>
      </c>
      <c r="AJ1753">
        <v>-0.57999999999999996</v>
      </c>
      <c r="AK1753">
        <v>1717</v>
      </c>
      <c r="AL1753">
        <v>61</v>
      </c>
      <c r="AM1753">
        <v>1.4E-3</v>
      </c>
      <c r="AN1753">
        <v>-2</v>
      </c>
      <c r="AO1753">
        <v>-0.28999999999999998</v>
      </c>
      <c r="AP1753">
        <v>12.06</v>
      </c>
      <c r="AQ1753">
        <v>2.02</v>
      </c>
      <c r="AR1753">
        <v>-8.2899999999999991</v>
      </c>
      <c r="AS1753">
        <v>4.8600000000000003</v>
      </c>
      <c r="AT1753" t="s">
        <v>2689</v>
      </c>
      <c r="AU1753" t="s">
        <v>116</v>
      </c>
      <c r="AV1753">
        <v>79.95</v>
      </c>
      <c r="AW1753">
        <v>1.37</v>
      </c>
      <c r="BA1753">
        <v>-0.84</v>
      </c>
      <c r="BB1753">
        <v>0</v>
      </c>
      <c r="BC1753">
        <v>-2.8</v>
      </c>
      <c r="BD1753">
        <v>-1.62</v>
      </c>
      <c r="BE1753">
        <v>-0.42</v>
      </c>
      <c r="BF1753">
        <v>-1.26</v>
      </c>
      <c r="BG1753">
        <v>1.58</v>
      </c>
      <c r="BH1753">
        <v>0.36</v>
      </c>
      <c r="BI1753">
        <v>20191224</v>
      </c>
      <c r="BJ1753">
        <v>20140121</v>
      </c>
      <c r="BK1753">
        <v>4.68</v>
      </c>
      <c r="BL1753" t="s">
        <v>116</v>
      </c>
      <c r="BM1753" t="s">
        <v>116</v>
      </c>
      <c r="BN1753">
        <v>40.61</v>
      </c>
      <c r="BO1753">
        <v>23.64</v>
      </c>
      <c r="BP1753">
        <v>0.32</v>
      </c>
      <c r="BQ1753">
        <v>41.01</v>
      </c>
      <c r="BR1753">
        <v>25.56</v>
      </c>
      <c r="BS1753">
        <v>7.21</v>
      </c>
      <c r="BT1753">
        <v>1.23</v>
      </c>
      <c r="BU1753">
        <v>15.36</v>
      </c>
      <c r="BV1753">
        <v>10.47</v>
      </c>
      <c r="BW1753">
        <v>7.58</v>
      </c>
      <c r="BX1753">
        <v>10.91</v>
      </c>
      <c r="BY1753">
        <v>13.21</v>
      </c>
      <c r="BZ1753">
        <v>9.2899999999999991</v>
      </c>
      <c r="CA1753">
        <v>0.15</v>
      </c>
      <c r="CB1753">
        <v>0.08</v>
      </c>
      <c r="CC1753">
        <v>0.14000000000000001</v>
      </c>
      <c r="CD1753">
        <v>0.23</v>
      </c>
      <c r="CE1753">
        <v>0.22</v>
      </c>
      <c r="CF1753">
        <v>0.06</v>
      </c>
      <c r="CG1753">
        <v>7.23</v>
      </c>
      <c r="CH1753">
        <v>0.3</v>
      </c>
      <c r="CI1753">
        <v>-3.48</v>
      </c>
      <c r="CJ1753">
        <v>16780</v>
      </c>
      <c r="CK1753">
        <v>12893</v>
      </c>
      <c r="CL1753" t="s">
        <v>7668</v>
      </c>
      <c r="CM1753">
        <v>-65.56</v>
      </c>
      <c r="CN1753">
        <v>15.08</v>
      </c>
      <c r="CO1753">
        <v>1.4</v>
      </c>
      <c r="CP1753">
        <v>111.62</v>
      </c>
      <c r="CQ1753">
        <v>2.5</v>
      </c>
      <c r="CR1753">
        <v>0.32</v>
      </c>
      <c r="CS1753" t="s">
        <v>2674</v>
      </c>
      <c r="CT1753">
        <v>5.05</v>
      </c>
      <c r="CU1753">
        <v>0</v>
      </c>
      <c r="CV1753">
        <v>2.33</v>
      </c>
      <c r="CW1753">
        <v>1.55</v>
      </c>
      <c r="CX1753">
        <v>0.06</v>
      </c>
      <c r="CY1753">
        <v>58.21</v>
      </c>
      <c r="CZ1753" t="s">
        <v>8971</v>
      </c>
      <c r="DA1753">
        <v>29.68</v>
      </c>
      <c r="DB1753">
        <v>1.1200000000000001</v>
      </c>
      <c r="DC1753">
        <v>1.7</v>
      </c>
      <c r="DD1753">
        <v>1.35</v>
      </c>
      <c r="DE1753">
        <v>2982</v>
      </c>
      <c r="DF1753">
        <v>300358</v>
      </c>
      <c r="DG1753" t="s">
        <v>116</v>
      </c>
      <c r="DH1753" t="s">
        <v>116</v>
      </c>
      <c r="DI1753" t="s">
        <v>116</v>
      </c>
    </row>
    <row r="1754" spans="1:113" x14ac:dyDescent="0.4">
      <c r="A1754" t="str">
        <f>"300359"</f>
        <v>300359</v>
      </c>
      <c r="B1754" t="s">
        <v>8972</v>
      </c>
      <c r="C1754">
        <v>-2.0699999999999998</v>
      </c>
      <c r="D1754">
        <v>5.68</v>
      </c>
      <c r="E1754">
        <v>-0.12</v>
      </c>
      <c r="F1754">
        <v>5.67</v>
      </c>
      <c r="G1754">
        <v>5.68</v>
      </c>
      <c r="H1754">
        <v>50677</v>
      </c>
      <c r="I1754">
        <v>1122</v>
      </c>
      <c r="J1754">
        <v>-0.34</v>
      </c>
      <c r="K1754">
        <v>1.01</v>
      </c>
      <c r="L1754">
        <v>5.78</v>
      </c>
      <c r="M1754">
        <v>5.83</v>
      </c>
      <c r="N1754">
        <v>5.68</v>
      </c>
      <c r="O1754">
        <v>5.8</v>
      </c>
      <c r="P1754" t="s">
        <v>116</v>
      </c>
      <c r="Q1754">
        <v>29213274</v>
      </c>
      <c r="R1754">
        <v>0.76</v>
      </c>
      <c r="S1754" t="s">
        <v>217</v>
      </c>
      <c r="T1754" t="s">
        <v>551</v>
      </c>
      <c r="U1754">
        <v>2.59</v>
      </c>
      <c r="V1754">
        <v>5.76</v>
      </c>
      <c r="W1754">
        <v>30484</v>
      </c>
      <c r="X1754">
        <v>20193</v>
      </c>
      <c r="Y1754">
        <v>1.51</v>
      </c>
      <c r="Z1754">
        <v>260</v>
      </c>
      <c r="AA1754">
        <v>191</v>
      </c>
      <c r="AB1754" t="s">
        <v>116</v>
      </c>
      <c r="AC1754">
        <v>320200</v>
      </c>
      <c r="AD1754">
        <v>0.02</v>
      </c>
      <c r="AE1754" t="s">
        <v>116</v>
      </c>
      <c r="AF1754" t="s">
        <v>116</v>
      </c>
      <c r="AG1754">
        <v>5</v>
      </c>
      <c r="AH1754" t="s">
        <v>8433</v>
      </c>
      <c r="AI1754" t="s">
        <v>8973</v>
      </c>
      <c r="AJ1754">
        <v>-1.39</v>
      </c>
      <c r="AK1754">
        <v>1364</v>
      </c>
      <c r="AL1754">
        <v>37</v>
      </c>
      <c r="AM1754">
        <v>6.9999999999999999E-4</v>
      </c>
      <c r="AN1754">
        <v>-1</v>
      </c>
      <c r="AO1754">
        <v>-1.04</v>
      </c>
      <c r="AP1754">
        <v>5.38</v>
      </c>
      <c r="AQ1754">
        <v>3.84</v>
      </c>
      <c r="AR1754">
        <v>-2.91</v>
      </c>
      <c r="AS1754">
        <v>1.39</v>
      </c>
      <c r="AT1754" t="s">
        <v>2550</v>
      </c>
      <c r="AU1754" t="s">
        <v>116</v>
      </c>
      <c r="AV1754" t="s">
        <v>116</v>
      </c>
      <c r="AW1754">
        <v>0.84</v>
      </c>
      <c r="BA1754">
        <v>-0.34</v>
      </c>
      <c r="BB1754">
        <v>0.52</v>
      </c>
      <c r="BC1754">
        <v>-2.0699999999999998</v>
      </c>
      <c r="BD1754">
        <v>-0.61</v>
      </c>
      <c r="BE1754">
        <v>-1.73</v>
      </c>
      <c r="BF1754">
        <v>-2.57</v>
      </c>
      <c r="BG1754">
        <v>0</v>
      </c>
      <c r="BH1754">
        <v>-1.46</v>
      </c>
      <c r="BI1754">
        <v>20191019</v>
      </c>
      <c r="BJ1754">
        <v>20140121</v>
      </c>
      <c r="BK1754">
        <v>6.34</v>
      </c>
      <c r="BL1754" t="s">
        <v>116</v>
      </c>
      <c r="BM1754" t="s">
        <v>116</v>
      </c>
      <c r="BN1754">
        <v>19.989999999999998</v>
      </c>
      <c r="BO1754">
        <v>13.36</v>
      </c>
      <c r="BP1754">
        <v>1.05</v>
      </c>
      <c r="BQ1754">
        <v>27.89</v>
      </c>
      <c r="BR1754">
        <v>8.3000000000000007</v>
      </c>
      <c r="BS1754">
        <v>0.37</v>
      </c>
      <c r="BT1754">
        <v>0.99</v>
      </c>
      <c r="BU1754">
        <v>4.7699999999999996</v>
      </c>
      <c r="BV1754">
        <v>0.22</v>
      </c>
      <c r="BW1754">
        <v>4.0599999999999996</v>
      </c>
      <c r="BX1754">
        <v>10.17</v>
      </c>
      <c r="BY1754">
        <v>4.47</v>
      </c>
      <c r="BZ1754">
        <v>3.06</v>
      </c>
      <c r="CA1754">
        <v>-0.11</v>
      </c>
      <c r="CB1754">
        <v>0.08</v>
      </c>
      <c r="CC1754">
        <v>-0.11</v>
      </c>
      <c r="CD1754">
        <v>-0.09</v>
      </c>
      <c r="CE1754">
        <v>-0.17</v>
      </c>
      <c r="CF1754">
        <v>-0.26</v>
      </c>
      <c r="CG1754">
        <v>-3.4</v>
      </c>
      <c r="CH1754">
        <v>-0.45</v>
      </c>
      <c r="CI1754">
        <v>-1.51</v>
      </c>
      <c r="CJ1754">
        <v>48917</v>
      </c>
      <c r="CK1754">
        <v>7457</v>
      </c>
      <c r="CL1754" t="s">
        <v>4549</v>
      </c>
      <c r="CM1754">
        <v>-392.27</v>
      </c>
      <c r="CN1754">
        <v>-3.5</v>
      </c>
      <c r="CO1754">
        <v>2.7</v>
      </c>
      <c r="CP1754">
        <v>-79.48</v>
      </c>
      <c r="CQ1754">
        <v>8.06</v>
      </c>
      <c r="CR1754">
        <v>0</v>
      </c>
      <c r="CS1754" t="s">
        <v>8974</v>
      </c>
      <c r="CT1754">
        <v>2.11</v>
      </c>
      <c r="CU1754">
        <v>0</v>
      </c>
      <c r="CV1754">
        <v>1.6</v>
      </c>
      <c r="CW1754">
        <v>-0.54</v>
      </c>
      <c r="CX1754">
        <v>-7.0000000000000007E-2</v>
      </c>
      <c r="CY1754">
        <v>66.84</v>
      </c>
      <c r="CZ1754" t="s">
        <v>8975</v>
      </c>
      <c r="DA1754">
        <v>31.45</v>
      </c>
      <c r="DB1754">
        <v>-2.38</v>
      </c>
      <c r="DC1754">
        <v>-3.89</v>
      </c>
      <c r="DD1754">
        <v>0.23</v>
      </c>
      <c r="DE1754">
        <v>1777</v>
      </c>
      <c r="DF1754">
        <v>300359</v>
      </c>
      <c r="DG1754" t="s">
        <v>116</v>
      </c>
      <c r="DH1754" t="s">
        <v>116</v>
      </c>
      <c r="DI1754" t="s">
        <v>116</v>
      </c>
    </row>
    <row r="1755" spans="1:113" x14ac:dyDescent="0.4">
      <c r="A1755" t="str">
        <f>"300360"</f>
        <v>300360</v>
      </c>
      <c r="B1755" t="s">
        <v>8976</v>
      </c>
      <c r="C1755">
        <v>-2.81</v>
      </c>
      <c r="D1755">
        <v>12.43</v>
      </c>
      <c r="E1755">
        <v>-0.36</v>
      </c>
      <c r="F1755">
        <v>12.43</v>
      </c>
      <c r="G1755">
        <v>12.44</v>
      </c>
      <c r="H1755">
        <v>72992</v>
      </c>
      <c r="I1755">
        <v>2140</v>
      </c>
      <c r="J1755">
        <v>0.24</v>
      </c>
      <c r="K1755">
        <v>2.2000000000000002</v>
      </c>
      <c r="L1755">
        <v>12.86</v>
      </c>
      <c r="M1755">
        <v>12.92</v>
      </c>
      <c r="N1755">
        <v>12.4</v>
      </c>
      <c r="O1755">
        <v>12.79</v>
      </c>
      <c r="P1755">
        <v>25.31</v>
      </c>
      <c r="Q1755">
        <v>92543272</v>
      </c>
      <c r="R1755">
        <v>0.7</v>
      </c>
      <c r="S1755" t="s">
        <v>2977</v>
      </c>
      <c r="T1755" t="s">
        <v>590</v>
      </c>
      <c r="U1755">
        <v>4.07</v>
      </c>
      <c r="V1755">
        <v>12.68</v>
      </c>
      <c r="W1755">
        <v>39879</v>
      </c>
      <c r="X1755">
        <v>33113</v>
      </c>
      <c r="Y1755">
        <v>1.2</v>
      </c>
      <c r="Z1755">
        <v>257</v>
      </c>
      <c r="AA1755">
        <v>62</v>
      </c>
      <c r="AB1755" t="s">
        <v>116</v>
      </c>
      <c r="AC1755">
        <v>327900</v>
      </c>
      <c r="AD1755">
        <v>0.01</v>
      </c>
      <c r="AE1755" t="s">
        <v>116</v>
      </c>
      <c r="AF1755" t="s">
        <v>116</v>
      </c>
      <c r="AG1755">
        <v>3.32</v>
      </c>
      <c r="AH1755" t="s">
        <v>8977</v>
      </c>
      <c r="AI1755" t="s">
        <v>8978</v>
      </c>
      <c r="AJ1755">
        <v>-2.14</v>
      </c>
      <c r="AK1755">
        <v>2608</v>
      </c>
      <c r="AL1755">
        <v>28</v>
      </c>
      <c r="AM1755">
        <v>8.0000000000000004E-4</v>
      </c>
      <c r="AN1755">
        <v>-3</v>
      </c>
      <c r="AO1755">
        <v>-7.92</v>
      </c>
      <c r="AP1755">
        <v>1.64</v>
      </c>
      <c r="AQ1755">
        <v>38.880000000000003</v>
      </c>
      <c r="AR1755">
        <v>92.71</v>
      </c>
      <c r="AS1755">
        <v>3.22</v>
      </c>
      <c r="AT1755" t="s">
        <v>8979</v>
      </c>
      <c r="AU1755">
        <v>32.159999999999997</v>
      </c>
      <c r="AV1755">
        <v>37.49</v>
      </c>
      <c r="AW1755">
        <v>1.27</v>
      </c>
      <c r="BA1755">
        <v>0.55000000000000004</v>
      </c>
      <c r="BB1755">
        <v>1.02</v>
      </c>
      <c r="BC1755">
        <v>-3.05</v>
      </c>
      <c r="BD1755">
        <v>-0.87</v>
      </c>
      <c r="BE1755">
        <v>-3.34</v>
      </c>
      <c r="BF1755">
        <v>-3.79</v>
      </c>
      <c r="BG1755">
        <v>0.24</v>
      </c>
      <c r="BH1755">
        <v>-1.94</v>
      </c>
      <c r="BI1755">
        <v>20191026</v>
      </c>
      <c r="BJ1755">
        <v>20140121</v>
      </c>
      <c r="BK1755">
        <v>4.0999999999999996</v>
      </c>
      <c r="BL1755" t="s">
        <v>116</v>
      </c>
      <c r="BM1755" t="s">
        <v>116</v>
      </c>
      <c r="BN1755">
        <v>25.15</v>
      </c>
      <c r="BO1755">
        <v>21.48</v>
      </c>
      <c r="BP1755">
        <v>0.02</v>
      </c>
      <c r="BQ1755">
        <v>14.51</v>
      </c>
      <c r="BR1755">
        <v>21.68</v>
      </c>
      <c r="BS1755">
        <v>0.66</v>
      </c>
      <c r="BT1755">
        <v>0.42</v>
      </c>
      <c r="BU1755">
        <v>3.54</v>
      </c>
      <c r="BV1755">
        <v>1.92</v>
      </c>
      <c r="BW1755">
        <v>3.57</v>
      </c>
      <c r="BX1755">
        <v>6.39</v>
      </c>
      <c r="BY1755">
        <v>5.79</v>
      </c>
      <c r="BZ1755">
        <v>3.55</v>
      </c>
      <c r="CA1755">
        <v>1.77</v>
      </c>
      <c r="CB1755">
        <v>0.05</v>
      </c>
      <c r="CC1755">
        <v>1.78</v>
      </c>
      <c r="CD1755">
        <v>1.51</v>
      </c>
      <c r="CE1755">
        <v>1.51</v>
      </c>
      <c r="CF1755">
        <v>1.4</v>
      </c>
      <c r="CG1755">
        <v>10.82</v>
      </c>
      <c r="CH1755">
        <v>0.6</v>
      </c>
      <c r="CI1755">
        <v>-1.88</v>
      </c>
      <c r="CJ1755">
        <v>14440</v>
      </c>
      <c r="CK1755">
        <v>15720</v>
      </c>
      <c r="CL1755" t="s">
        <v>6668</v>
      </c>
      <c r="CM1755">
        <v>17.53</v>
      </c>
      <c r="CN1755">
        <v>-9.31</v>
      </c>
      <c r="CO1755">
        <v>2.37</v>
      </c>
      <c r="CP1755">
        <v>84.43</v>
      </c>
      <c r="CQ1755">
        <v>8.8000000000000007</v>
      </c>
      <c r="CR1755">
        <v>0.79</v>
      </c>
      <c r="CS1755" t="s">
        <v>3828</v>
      </c>
      <c r="CT1755">
        <v>5.24</v>
      </c>
      <c r="CU1755">
        <v>0</v>
      </c>
      <c r="CV1755">
        <v>1.56</v>
      </c>
      <c r="CW1755">
        <v>2.64</v>
      </c>
      <c r="CX1755">
        <v>0.15</v>
      </c>
      <c r="CY1755">
        <v>85.41</v>
      </c>
      <c r="CZ1755" t="s">
        <v>1566</v>
      </c>
      <c r="DA1755">
        <v>38.71</v>
      </c>
      <c r="DB1755">
        <v>30.59</v>
      </c>
      <c r="DC1755">
        <v>26.07</v>
      </c>
      <c r="DD1755">
        <v>0.36</v>
      </c>
      <c r="DE1755">
        <v>1049</v>
      </c>
      <c r="DF1755">
        <v>300360</v>
      </c>
      <c r="DG1755" t="s">
        <v>116</v>
      </c>
      <c r="DH1755" t="s">
        <v>116</v>
      </c>
      <c r="DI1755" t="s">
        <v>116</v>
      </c>
    </row>
    <row r="1756" spans="1:113" x14ac:dyDescent="0.4">
      <c r="A1756" t="str">
        <f>"300362"</f>
        <v>300362</v>
      </c>
      <c r="B1756" t="s">
        <v>8980</v>
      </c>
      <c r="C1756">
        <v>-1.0900000000000001</v>
      </c>
      <c r="D1756">
        <v>2.71</v>
      </c>
      <c r="E1756">
        <v>-0.03</v>
      </c>
      <c r="F1756">
        <v>2.71</v>
      </c>
      <c r="G1756">
        <v>2.72</v>
      </c>
      <c r="H1756">
        <v>87387</v>
      </c>
      <c r="I1756">
        <v>1335</v>
      </c>
      <c r="J1756">
        <v>-0.36</v>
      </c>
      <c r="K1756">
        <v>2.77</v>
      </c>
      <c r="L1756">
        <v>2.75</v>
      </c>
      <c r="M1756">
        <v>2.78</v>
      </c>
      <c r="N1756">
        <v>2.71</v>
      </c>
      <c r="O1756">
        <v>2.74</v>
      </c>
      <c r="P1756" t="s">
        <v>116</v>
      </c>
      <c r="Q1756">
        <v>24008038</v>
      </c>
      <c r="R1756">
        <v>0.63</v>
      </c>
      <c r="S1756" t="s">
        <v>140</v>
      </c>
      <c r="T1756" t="s">
        <v>582</v>
      </c>
      <c r="U1756">
        <v>2.5499999999999998</v>
      </c>
      <c r="V1756">
        <v>2.75</v>
      </c>
      <c r="W1756">
        <v>52578</v>
      </c>
      <c r="X1756">
        <v>34809</v>
      </c>
      <c r="Y1756">
        <v>1.51</v>
      </c>
      <c r="Z1756">
        <v>915</v>
      </c>
      <c r="AA1756">
        <v>1271</v>
      </c>
      <c r="AB1756" t="s">
        <v>116</v>
      </c>
      <c r="AC1756">
        <v>193100</v>
      </c>
      <c r="AD1756">
        <v>0.03</v>
      </c>
      <c r="AE1756" t="s">
        <v>116</v>
      </c>
      <c r="AF1756" t="s">
        <v>116</v>
      </c>
      <c r="AG1756">
        <v>3.15</v>
      </c>
      <c r="AH1756" t="s">
        <v>8981</v>
      </c>
      <c r="AI1756" t="s">
        <v>8982</v>
      </c>
      <c r="AJ1756">
        <v>-0.42</v>
      </c>
      <c r="AK1756">
        <v>1119</v>
      </c>
      <c r="AL1756">
        <v>78</v>
      </c>
      <c r="AM1756">
        <v>2.5000000000000001E-3</v>
      </c>
      <c r="AN1756">
        <v>-2</v>
      </c>
      <c r="AO1756">
        <v>-2.16</v>
      </c>
      <c r="AP1756">
        <v>0</v>
      </c>
      <c r="AQ1756">
        <v>-15.05</v>
      </c>
      <c r="AR1756">
        <v>-48.18</v>
      </c>
      <c r="AS1756">
        <v>4.2</v>
      </c>
      <c r="AT1756" t="s">
        <v>8983</v>
      </c>
      <c r="AU1756" t="s">
        <v>116</v>
      </c>
      <c r="AV1756" t="s">
        <v>116</v>
      </c>
      <c r="AW1756">
        <v>0.56000000000000005</v>
      </c>
      <c r="BA1756">
        <v>0.36</v>
      </c>
      <c r="BB1756">
        <v>1.46</v>
      </c>
      <c r="BC1756">
        <v>-1.0900000000000001</v>
      </c>
      <c r="BD1756">
        <v>0.27</v>
      </c>
      <c r="BE1756">
        <v>-1.45</v>
      </c>
      <c r="BF1756">
        <v>-2.52</v>
      </c>
      <c r="BG1756">
        <v>0</v>
      </c>
      <c r="BH1756">
        <v>-1.36</v>
      </c>
      <c r="BI1756">
        <v>20191026</v>
      </c>
      <c r="BJ1756">
        <v>20140121</v>
      </c>
      <c r="BK1756">
        <v>4.37</v>
      </c>
      <c r="BL1756" t="s">
        <v>116</v>
      </c>
      <c r="BM1756" t="s">
        <v>116</v>
      </c>
      <c r="BN1756">
        <v>48.31</v>
      </c>
      <c r="BO1756">
        <v>-8.08</v>
      </c>
      <c r="BP1756">
        <v>0.31</v>
      </c>
      <c r="BQ1756">
        <v>116.08</v>
      </c>
      <c r="BR1756">
        <v>32.630000000000003</v>
      </c>
      <c r="BS1756">
        <v>5.77</v>
      </c>
      <c r="BT1756">
        <v>3.78</v>
      </c>
      <c r="BU1756">
        <v>49.21</v>
      </c>
      <c r="BV1756">
        <v>4.38</v>
      </c>
      <c r="BW1756">
        <v>3.16</v>
      </c>
      <c r="BX1756">
        <v>12.14</v>
      </c>
      <c r="BY1756">
        <v>1.87</v>
      </c>
      <c r="BZ1756">
        <v>1.95</v>
      </c>
      <c r="CA1756">
        <v>-8.39</v>
      </c>
      <c r="CB1756">
        <v>0.01</v>
      </c>
      <c r="CC1756">
        <v>-9.41</v>
      </c>
      <c r="CD1756">
        <v>-9.4</v>
      </c>
      <c r="CE1756">
        <v>-9.32</v>
      </c>
      <c r="CF1756">
        <v>-7.62</v>
      </c>
      <c r="CG1756">
        <v>-23.77</v>
      </c>
      <c r="CH1756">
        <v>-0.34</v>
      </c>
      <c r="CI1756">
        <v>-0.11</v>
      </c>
      <c r="CJ1756">
        <v>24056</v>
      </c>
      <c r="CK1756">
        <v>8650</v>
      </c>
      <c r="CL1756" t="s">
        <v>4944</v>
      </c>
      <c r="CM1756">
        <v>-284.23</v>
      </c>
      <c r="CN1756">
        <v>-40.49</v>
      </c>
      <c r="CO1756">
        <v>-1.47</v>
      </c>
      <c r="CP1756">
        <v>-35.270000000000003</v>
      </c>
      <c r="CQ1756">
        <v>6.32</v>
      </c>
      <c r="CR1756">
        <v>0</v>
      </c>
      <c r="CS1756" t="s">
        <v>8984</v>
      </c>
      <c r="CT1756">
        <v>-1.85</v>
      </c>
      <c r="CU1756">
        <v>0</v>
      </c>
      <c r="CV1756">
        <v>2.78</v>
      </c>
      <c r="CW1756">
        <v>-5.44</v>
      </c>
      <c r="CX1756">
        <v>-0.08</v>
      </c>
      <c r="CY1756">
        <v>-16.72</v>
      </c>
      <c r="CZ1756" t="s">
        <v>116</v>
      </c>
      <c r="DA1756">
        <v>-4.08</v>
      </c>
      <c r="DB1756">
        <v>-447.69</v>
      </c>
      <c r="DC1756">
        <v>-497.35</v>
      </c>
      <c r="DD1756">
        <v>0</v>
      </c>
      <c r="DE1756">
        <v>891</v>
      </c>
      <c r="DF1756">
        <v>300362</v>
      </c>
      <c r="DG1756" t="s">
        <v>116</v>
      </c>
      <c r="DH1756" t="s">
        <v>116</v>
      </c>
      <c r="DI1756" t="s">
        <v>116</v>
      </c>
    </row>
    <row r="1757" spans="1:113" x14ac:dyDescent="0.4">
      <c r="A1757" t="str">
        <f>"300363"</f>
        <v>300363</v>
      </c>
      <c r="B1757" t="s">
        <v>8985</v>
      </c>
      <c r="C1757">
        <v>-3.44</v>
      </c>
      <c r="D1757">
        <v>13.19</v>
      </c>
      <c r="E1757">
        <v>-0.47</v>
      </c>
      <c r="F1757">
        <v>13.19</v>
      </c>
      <c r="G1757">
        <v>13.22</v>
      </c>
      <c r="H1757">
        <v>55879</v>
      </c>
      <c r="I1757">
        <v>251</v>
      </c>
      <c r="J1757">
        <v>0.08</v>
      </c>
      <c r="K1757">
        <v>1.31</v>
      </c>
      <c r="L1757">
        <v>13.66</v>
      </c>
      <c r="M1757">
        <v>13.78</v>
      </c>
      <c r="N1757">
        <v>13.1</v>
      </c>
      <c r="O1757">
        <v>13.66</v>
      </c>
      <c r="P1757">
        <v>39.56</v>
      </c>
      <c r="Q1757">
        <v>74508152</v>
      </c>
      <c r="R1757">
        <v>1.39</v>
      </c>
      <c r="S1757" t="s">
        <v>574</v>
      </c>
      <c r="T1757" t="s">
        <v>906</v>
      </c>
      <c r="U1757">
        <v>4.9800000000000004</v>
      </c>
      <c r="V1757">
        <v>13.33</v>
      </c>
      <c r="W1757">
        <v>34093</v>
      </c>
      <c r="X1757">
        <v>21786</v>
      </c>
      <c r="Y1757">
        <v>1.56</v>
      </c>
      <c r="Z1757">
        <v>251</v>
      </c>
      <c r="AA1757">
        <v>27</v>
      </c>
      <c r="AB1757" t="s">
        <v>116</v>
      </c>
      <c r="AC1757">
        <v>107900</v>
      </c>
      <c r="AD1757">
        <v>0</v>
      </c>
      <c r="AE1757" t="s">
        <v>116</v>
      </c>
      <c r="AF1757" t="s">
        <v>116</v>
      </c>
      <c r="AG1757">
        <v>4.28</v>
      </c>
      <c r="AH1757" t="s">
        <v>1861</v>
      </c>
      <c r="AI1757" t="s">
        <v>8986</v>
      </c>
      <c r="AJ1757">
        <v>-2.76</v>
      </c>
      <c r="AK1757">
        <v>2334</v>
      </c>
      <c r="AL1757">
        <v>24</v>
      </c>
      <c r="AM1757">
        <v>5.9999999999999995E-4</v>
      </c>
      <c r="AN1757">
        <v>-3</v>
      </c>
      <c r="AO1757">
        <v>-6.25</v>
      </c>
      <c r="AP1757">
        <v>6.11</v>
      </c>
      <c r="AQ1757">
        <v>-6.92</v>
      </c>
      <c r="AR1757">
        <v>49.65</v>
      </c>
      <c r="AS1757">
        <v>2.35</v>
      </c>
      <c r="AT1757" t="s">
        <v>8987</v>
      </c>
      <c r="AU1757">
        <v>44.04</v>
      </c>
      <c r="AV1757">
        <v>57.5</v>
      </c>
      <c r="AW1757">
        <v>1.17</v>
      </c>
      <c r="BA1757">
        <v>0</v>
      </c>
      <c r="BB1757">
        <v>0.88</v>
      </c>
      <c r="BC1757">
        <v>-4.0999999999999996</v>
      </c>
      <c r="BD1757">
        <v>-2.39</v>
      </c>
      <c r="BE1757">
        <v>-3.44</v>
      </c>
      <c r="BF1757">
        <v>-4.28</v>
      </c>
      <c r="BG1757">
        <v>0.69</v>
      </c>
      <c r="BH1757">
        <v>-1.05</v>
      </c>
      <c r="BI1757">
        <v>20191202</v>
      </c>
      <c r="BJ1757">
        <v>20140129</v>
      </c>
      <c r="BK1757">
        <v>5.43</v>
      </c>
      <c r="BL1757" t="s">
        <v>116</v>
      </c>
      <c r="BM1757" t="s">
        <v>116</v>
      </c>
      <c r="BN1757">
        <v>40.49</v>
      </c>
      <c r="BO1757">
        <v>30.02</v>
      </c>
      <c r="BP1757">
        <v>0</v>
      </c>
      <c r="BQ1757">
        <v>25.86</v>
      </c>
      <c r="BR1757">
        <v>20.81</v>
      </c>
      <c r="BS1757">
        <v>12.08</v>
      </c>
      <c r="BT1757">
        <v>0.85</v>
      </c>
      <c r="BU1757">
        <v>8.85</v>
      </c>
      <c r="BV1757">
        <v>3.7</v>
      </c>
      <c r="BW1757">
        <v>3.63</v>
      </c>
      <c r="BX1757">
        <v>15.82</v>
      </c>
      <c r="BY1757">
        <v>10.81</v>
      </c>
      <c r="BZ1757">
        <v>6.76</v>
      </c>
      <c r="CA1757">
        <v>1.6</v>
      </c>
      <c r="CB1757">
        <v>0.02</v>
      </c>
      <c r="CC1757">
        <v>1.6</v>
      </c>
      <c r="CD1757">
        <v>1.36</v>
      </c>
      <c r="CE1757">
        <v>1.36</v>
      </c>
      <c r="CF1757">
        <v>1.24</v>
      </c>
      <c r="CG1757">
        <v>8.6300000000000008</v>
      </c>
      <c r="CH1757">
        <v>1.67</v>
      </c>
      <c r="CI1757">
        <v>-2.14</v>
      </c>
      <c r="CJ1757">
        <v>17126</v>
      </c>
      <c r="CK1757">
        <v>13868</v>
      </c>
      <c r="CL1757" t="s">
        <v>8988</v>
      </c>
      <c r="CM1757">
        <v>38.979999999999997</v>
      </c>
      <c r="CN1757">
        <v>29.26</v>
      </c>
      <c r="CO1757">
        <v>2.39</v>
      </c>
      <c r="CP1757">
        <v>42.8</v>
      </c>
      <c r="CQ1757">
        <v>6.62</v>
      </c>
      <c r="CR1757">
        <v>0.35</v>
      </c>
      <c r="CS1757" t="s">
        <v>3553</v>
      </c>
      <c r="CT1757">
        <v>5.53</v>
      </c>
      <c r="CU1757">
        <v>0</v>
      </c>
      <c r="CV1757">
        <v>2.92</v>
      </c>
      <c r="CW1757">
        <v>1.59</v>
      </c>
      <c r="CX1757">
        <v>0.31</v>
      </c>
      <c r="CY1757">
        <v>74.14</v>
      </c>
      <c r="CZ1757" t="s">
        <v>2449</v>
      </c>
      <c r="DA1757">
        <v>37.53</v>
      </c>
      <c r="DB1757">
        <v>14.79</v>
      </c>
      <c r="DC1757">
        <v>12.55</v>
      </c>
      <c r="DD1757">
        <v>0.9</v>
      </c>
      <c r="DE1757">
        <v>1642</v>
      </c>
      <c r="DF1757">
        <v>300363</v>
      </c>
      <c r="DG1757" t="s">
        <v>116</v>
      </c>
      <c r="DH1757" t="s">
        <v>116</v>
      </c>
      <c r="DI1757" t="s">
        <v>116</v>
      </c>
    </row>
    <row r="1758" spans="1:113" x14ac:dyDescent="0.4">
      <c r="A1758" t="str">
        <f>"300364"</f>
        <v>300364</v>
      </c>
      <c r="B1758" t="s">
        <v>8989</v>
      </c>
      <c r="C1758">
        <v>-2.14</v>
      </c>
      <c r="D1758">
        <v>4.1100000000000003</v>
      </c>
      <c r="E1758">
        <v>-0.09</v>
      </c>
      <c r="F1758">
        <v>4.08</v>
      </c>
      <c r="G1758">
        <v>4.1100000000000003</v>
      </c>
      <c r="H1758">
        <v>234103</v>
      </c>
      <c r="I1758">
        <v>5492</v>
      </c>
      <c r="J1758">
        <v>0.98</v>
      </c>
      <c r="K1758">
        <v>4.3600000000000003</v>
      </c>
      <c r="L1758">
        <v>4.1399999999999997</v>
      </c>
      <c r="M1758">
        <v>4.24</v>
      </c>
      <c r="N1758">
        <v>4.04</v>
      </c>
      <c r="O1758">
        <v>4.2</v>
      </c>
      <c r="P1758" t="s">
        <v>116</v>
      </c>
      <c r="Q1758">
        <v>96912280</v>
      </c>
      <c r="R1758">
        <v>0.57999999999999996</v>
      </c>
      <c r="S1758" t="s">
        <v>1902</v>
      </c>
      <c r="T1758" t="s">
        <v>165</v>
      </c>
      <c r="U1758">
        <v>4.76</v>
      </c>
      <c r="V1758">
        <v>4.1399999999999997</v>
      </c>
      <c r="W1758">
        <v>141443</v>
      </c>
      <c r="X1758">
        <v>92660</v>
      </c>
      <c r="Y1758">
        <v>1.53</v>
      </c>
      <c r="Z1758">
        <v>285</v>
      </c>
      <c r="AA1758">
        <v>260</v>
      </c>
      <c r="AB1758" t="s">
        <v>116</v>
      </c>
      <c r="AC1758">
        <v>502200</v>
      </c>
      <c r="AD1758">
        <v>0.03</v>
      </c>
      <c r="AE1758" t="s">
        <v>116</v>
      </c>
      <c r="AF1758" t="s">
        <v>116</v>
      </c>
      <c r="AG1758">
        <v>5.36</v>
      </c>
      <c r="AH1758" t="s">
        <v>8990</v>
      </c>
      <c r="AI1758" t="s">
        <v>8991</v>
      </c>
      <c r="AJ1758">
        <v>-1.46</v>
      </c>
      <c r="AK1758">
        <v>1957</v>
      </c>
      <c r="AL1758">
        <v>120</v>
      </c>
      <c r="AM1758">
        <v>2.2000000000000001E-3</v>
      </c>
      <c r="AN1758">
        <v>-1</v>
      </c>
      <c r="AO1758">
        <v>-1.2</v>
      </c>
      <c r="AP1758">
        <v>11.68</v>
      </c>
      <c r="AQ1758">
        <v>10.78</v>
      </c>
      <c r="AR1758">
        <v>-15.08</v>
      </c>
      <c r="AS1758">
        <v>4.99</v>
      </c>
      <c r="AT1758" t="s">
        <v>6061</v>
      </c>
      <c r="AU1758" t="s">
        <v>116</v>
      </c>
      <c r="AV1758" t="s">
        <v>116</v>
      </c>
      <c r="AW1758">
        <v>0.85</v>
      </c>
      <c r="BA1758">
        <v>-1.43</v>
      </c>
      <c r="BB1758">
        <v>0.95</v>
      </c>
      <c r="BC1758">
        <v>-3.81</v>
      </c>
      <c r="BD1758">
        <v>-1.44</v>
      </c>
      <c r="BE1758">
        <v>-0.72</v>
      </c>
      <c r="BF1758">
        <v>-3.07</v>
      </c>
      <c r="BG1758">
        <v>1.73</v>
      </c>
      <c r="BH1758">
        <v>-0.71</v>
      </c>
      <c r="BI1758">
        <v>20191125</v>
      </c>
      <c r="BJ1758">
        <v>20150121</v>
      </c>
      <c r="BK1758">
        <v>7.27</v>
      </c>
      <c r="BL1758" t="s">
        <v>116</v>
      </c>
      <c r="BM1758" t="s">
        <v>116</v>
      </c>
      <c r="BN1758">
        <v>23.39</v>
      </c>
      <c r="BO1758">
        <v>20.07</v>
      </c>
      <c r="BP1758">
        <v>0.02</v>
      </c>
      <c r="BQ1758">
        <v>14.09</v>
      </c>
      <c r="BR1758">
        <v>12.57</v>
      </c>
      <c r="BS1758">
        <v>0.48</v>
      </c>
      <c r="BT1758">
        <v>4.09</v>
      </c>
      <c r="BU1758">
        <v>2.74</v>
      </c>
      <c r="BV1758">
        <v>0.21</v>
      </c>
      <c r="BW1758">
        <v>1.88</v>
      </c>
      <c r="BX1758">
        <v>26.44</v>
      </c>
      <c r="BY1758">
        <v>5.01</v>
      </c>
      <c r="BZ1758">
        <v>2.62</v>
      </c>
      <c r="CA1758">
        <v>-1.86</v>
      </c>
      <c r="CB1758">
        <v>-0.11</v>
      </c>
      <c r="CC1758">
        <v>-1.85</v>
      </c>
      <c r="CD1758">
        <v>-1.87</v>
      </c>
      <c r="CE1758">
        <v>-1.92</v>
      </c>
      <c r="CF1758">
        <v>-2.06</v>
      </c>
      <c r="CG1758">
        <v>-14.41</v>
      </c>
      <c r="CH1758">
        <v>-0.32</v>
      </c>
      <c r="CI1758">
        <v>-1.27</v>
      </c>
      <c r="CJ1758">
        <v>39617</v>
      </c>
      <c r="CK1758">
        <v>11840</v>
      </c>
      <c r="CL1758" t="s">
        <v>4706</v>
      </c>
      <c r="CM1758">
        <v>-598.79</v>
      </c>
      <c r="CN1758">
        <v>-29.46</v>
      </c>
      <c r="CO1758">
        <v>1.49</v>
      </c>
      <c r="CP1758">
        <v>-92.65</v>
      </c>
      <c r="CQ1758">
        <v>5.97</v>
      </c>
      <c r="CR1758">
        <v>0</v>
      </c>
      <c r="CS1758" t="s">
        <v>8992</v>
      </c>
      <c r="CT1758">
        <v>2.76</v>
      </c>
      <c r="CU1758">
        <v>0</v>
      </c>
      <c r="CV1758">
        <v>3.64</v>
      </c>
      <c r="CW1758">
        <v>-1.98</v>
      </c>
      <c r="CX1758">
        <v>-0.04</v>
      </c>
      <c r="CY1758">
        <v>85.81</v>
      </c>
      <c r="CZ1758" t="s">
        <v>8993</v>
      </c>
      <c r="DA1758">
        <v>47.6</v>
      </c>
      <c r="DB1758">
        <v>-37.14</v>
      </c>
      <c r="DC1758">
        <v>-38.42</v>
      </c>
      <c r="DD1758">
        <v>0.5</v>
      </c>
      <c r="DE1758">
        <v>769</v>
      </c>
      <c r="DF1758">
        <v>300364</v>
      </c>
      <c r="DG1758" t="s">
        <v>116</v>
      </c>
      <c r="DH1758" t="s">
        <v>116</v>
      </c>
      <c r="DI1758" t="s">
        <v>116</v>
      </c>
    </row>
    <row r="1759" spans="1:113" x14ac:dyDescent="0.4">
      <c r="A1759" t="str">
        <f>"300365"</f>
        <v>300365</v>
      </c>
      <c r="B1759" t="s">
        <v>8994</v>
      </c>
      <c r="C1759">
        <v>-1.39</v>
      </c>
      <c r="D1759">
        <v>12.77</v>
      </c>
      <c r="E1759">
        <v>-0.18</v>
      </c>
      <c r="F1759">
        <v>12.77</v>
      </c>
      <c r="G1759">
        <v>12.78</v>
      </c>
      <c r="H1759">
        <v>55860</v>
      </c>
      <c r="I1759">
        <v>414</v>
      </c>
      <c r="J1759">
        <v>-0.15</v>
      </c>
      <c r="K1759">
        <v>1.63</v>
      </c>
      <c r="L1759">
        <v>12.97</v>
      </c>
      <c r="M1759">
        <v>13.15</v>
      </c>
      <c r="N1759">
        <v>12.76</v>
      </c>
      <c r="O1759">
        <v>12.95</v>
      </c>
      <c r="P1759">
        <v>44.78</v>
      </c>
      <c r="Q1759">
        <v>72171072</v>
      </c>
      <c r="R1759">
        <v>1.32</v>
      </c>
      <c r="S1759" t="s">
        <v>607</v>
      </c>
      <c r="T1759" t="s">
        <v>165</v>
      </c>
      <c r="U1759">
        <v>3.01</v>
      </c>
      <c r="V1759">
        <v>12.92</v>
      </c>
      <c r="W1759">
        <v>33794</v>
      </c>
      <c r="X1759">
        <v>22066</v>
      </c>
      <c r="Y1759">
        <v>1.53</v>
      </c>
      <c r="Z1759">
        <v>309</v>
      </c>
      <c r="AA1759">
        <v>292</v>
      </c>
      <c r="AB1759" t="s">
        <v>116</v>
      </c>
      <c r="AC1759">
        <v>77500</v>
      </c>
      <c r="AD1759">
        <v>0</v>
      </c>
      <c r="AE1759" t="s">
        <v>116</v>
      </c>
      <c r="AF1759" t="s">
        <v>116</v>
      </c>
      <c r="AG1759">
        <v>3.44</v>
      </c>
      <c r="AH1759" t="s">
        <v>8104</v>
      </c>
      <c r="AI1759" t="s">
        <v>8995</v>
      </c>
      <c r="AJ1759">
        <v>-0.71</v>
      </c>
      <c r="AK1759">
        <v>2067</v>
      </c>
      <c r="AL1759">
        <v>27</v>
      </c>
      <c r="AM1759">
        <v>8.0000000000000004E-4</v>
      </c>
      <c r="AN1759">
        <v>-1</v>
      </c>
      <c r="AO1759">
        <v>-2.59</v>
      </c>
      <c r="AP1759">
        <v>-3.4</v>
      </c>
      <c r="AQ1759">
        <v>-6.58</v>
      </c>
      <c r="AR1759">
        <v>-8.0399999999999991</v>
      </c>
      <c r="AS1759">
        <v>2.13</v>
      </c>
      <c r="AT1759" t="s">
        <v>8996</v>
      </c>
      <c r="AU1759">
        <v>26.57</v>
      </c>
      <c r="AV1759">
        <v>28.48</v>
      </c>
      <c r="AW1759">
        <v>0.67</v>
      </c>
      <c r="BA1759">
        <v>0.15</v>
      </c>
      <c r="BB1759">
        <v>1.54</v>
      </c>
      <c r="BC1759">
        <v>-1.47</v>
      </c>
      <c r="BD1759">
        <v>-0.23</v>
      </c>
      <c r="BE1759">
        <v>-1.54</v>
      </c>
      <c r="BF1759">
        <v>-2.89</v>
      </c>
      <c r="BG1759">
        <v>0.08</v>
      </c>
      <c r="BH1759">
        <v>-1.1599999999999999</v>
      </c>
      <c r="BI1759">
        <v>20191028</v>
      </c>
      <c r="BJ1759">
        <v>20140123</v>
      </c>
      <c r="BK1759">
        <v>6.06</v>
      </c>
      <c r="BL1759" t="s">
        <v>116</v>
      </c>
      <c r="BM1759" t="s">
        <v>116</v>
      </c>
      <c r="BN1759">
        <v>26.64</v>
      </c>
      <c r="BO1759">
        <v>19.41</v>
      </c>
      <c r="BP1759">
        <v>0.02</v>
      </c>
      <c r="BQ1759">
        <v>27.06</v>
      </c>
      <c r="BR1759">
        <v>23.37</v>
      </c>
      <c r="BS1759">
        <v>0.7</v>
      </c>
      <c r="BT1759">
        <v>0.12</v>
      </c>
      <c r="BU1759">
        <v>7.18</v>
      </c>
      <c r="BV1759">
        <v>1.69</v>
      </c>
      <c r="BW1759">
        <v>12.63</v>
      </c>
      <c r="BX1759">
        <v>5.0599999999999996</v>
      </c>
      <c r="BY1759">
        <v>6.6</v>
      </c>
      <c r="BZ1759">
        <v>3.77</v>
      </c>
      <c r="CA1759">
        <v>1.53</v>
      </c>
      <c r="CB1759">
        <v>0.18</v>
      </c>
      <c r="CC1759">
        <v>1.52</v>
      </c>
      <c r="CD1759">
        <v>1.29</v>
      </c>
      <c r="CE1759">
        <v>1.3</v>
      </c>
      <c r="CF1759">
        <v>1.26</v>
      </c>
      <c r="CG1759">
        <v>8.26</v>
      </c>
      <c r="CH1759">
        <v>-2.27</v>
      </c>
      <c r="CI1759">
        <v>-2.27</v>
      </c>
      <c r="CJ1759">
        <v>15076</v>
      </c>
      <c r="CK1759">
        <v>17359</v>
      </c>
      <c r="CL1759" t="s">
        <v>8997</v>
      </c>
      <c r="CM1759">
        <v>17.78</v>
      </c>
      <c r="CN1759">
        <v>-4.59</v>
      </c>
      <c r="CO1759">
        <v>3.99</v>
      </c>
      <c r="CP1759">
        <v>-34.07</v>
      </c>
      <c r="CQ1759">
        <v>11.73</v>
      </c>
      <c r="CR1759">
        <v>0.36</v>
      </c>
      <c r="CS1759" t="s">
        <v>1061</v>
      </c>
      <c r="CT1759">
        <v>3.2</v>
      </c>
      <c r="CU1759">
        <v>0</v>
      </c>
      <c r="CV1759">
        <v>0.83</v>
      </c>
      <c r="CW1759">
        <v>1.36</v>
      </c>
      <c r="CX1759">
        <v>-0.37</v>
      </c>
      <c r="CY1759">
        <v>72.86</v>
      </c>
      <c r="CZ1759" t="s">
        <v>3055</v>
      </c>
      <c r="DA1759">
        <v>42.8</v>
      </c>
      <c r="DB1759">
        <v>23.13</v>
      </c>
      <c r="DC1759">
        <v>19.649999999999999</v>
      </c>
      <c r="DD1759">
        <v>0.66</v>
      </c>
      <c r="DE1759">
        <v>1136</v>
      </c>
      <c r="DF1759">
        <v>300365</v>
      </c>
      <c r="DG1759" t="s">
        <v>116</v>
      </c>
      <c r="DH1759" t="s">
        <v>116</v>
      </c>
      <c r="DI1759" t="s">
        <v>116</v>
      </c>
    </row>
    <row r="1760" spans="1:113" x14ac:dyDescent="0.4">
      <c r="A1760" t="str">
        <f>"300366"</f>
        <v>300366</v>
      </c>
      <c r="B1760" t="s">
        <v>8998</v>
      </c>
      <c r="C1760">
        <v>-2.5</v>
      </c>
      <c r="D1760">
        <v>10.52</v>
      </c>
      <c r="E1760">
        <v>-0.27</v>
      </c>
      <c r="F1760">
        <v>10.52</v>
      </c>
      <c r="G1760">
        <v>10.53</v>
      </c>
      <c r="H1760">
        <v>89448</v>
      </c>
      <c r="I1760">
        <v>1616</v>
      </c>
      <c r="J1760">
        <v>0.1</v>
      </c>
      <c r="K1760">
        <v>3.04</v>
      </c>
      <c r="L1760">
        <v>10.8</v>
      </c>
      <c r="M1760">
        <v>10.9</v>
      </c>
      <c r="N1760">
        <v>10.47</v>
      </c>
      <c r="O1760">
        <v>10.79</v>
      </c>
      <c r="P1760">
        <v>45.08</v>
      </c>
      <c r="Q1760">
        <v>95434432</v>
      </c>
      <c r="R1760">
        <v>0.87</v>
      </c>
      <c r="S1760" t="s">
        <v>607</v>
      </c>
      <c r="T1760" t="s">
        <v>582</v>
      </c>
      <c r="U1760">
        <v>3.99</v>
      </c>
      <c r="V1760">
        <v>10.67</v>
      </c>
      <c r="W1760">
        <v>52944</v>
      </c>
      <c r="X1760">
        <v>36504</v>
      </c>
      <c r="Y1760">
        <v>1.45</v>
      </c>
      <c r="Z1760">
        <v>320</v>
      </c>
      <c r="AA1760">
        <v>184</v>
      </c>
      <c r="AB1760" t="s">
        <v>116</v>
      </c>
      <c r="AC1760">
        <v>87500</v>
      </c>
      <c r="AD1760">
        <v>0</v>
      </c>
      <c r="AE1760" t="s">
        <v>116</v>
      </c>
      <c r="AF1760" t="s">
        <v>116</v>
      </c>
      <c r="AG1760">
        <v>2.94</v>
      </c>
      <c r="AH1760" t="s">
        <v>5083</v>
      </c>
      <c r="AI1760" t="s">
        <v>8999</v>
      </c>
      <c r="AJ1760">
        <v>-1.82</v>
      </c>
      <c r="AK1760">
        <v>2599</v>
      </c>
      <c r="AL1760">
        <v>34</v>
      </c>
      <c r="AM1760">
        <v>1.1999999999999999E-3</v>
      </c>
      <c r="AN1760">
        <v>-1</v>
      </c>
      <c r="AO1760">
        <v>-0.75</v>
      </c>
      <c r="AP1760">
        <v>9.93</v>
      </c>
      <c r="AQ1760">
        <v>-1.31</v>
      </c>
      <c r="AR1760">
        <v>43.72</v>
      </c>
      <c r="AS1760">
        <v>3.59</v>
      </c>
      <c r="AT1760" t="s">
        <v>9000</v>
      </c>
      <c r="AU1760" t="s">
        <v>116</v>
      </c>
      <c r="AV1760" t="s">
        <v>116</v>
      </c>
      <c r="AW1760">
        <v>1.57</v>
      </c>
      <c r="BA1760">
        <v>0.09</v>
      </c>
      <c r="BB1760">
        <v>1.02</v>
      </c>
      <c r="BC1760">
        <v>-2.97</v>
      </c>
      <c r="BD1760">
        <v>-1.1200000000000001</v>
      </c>
      <c r="BE1760">
        <v>-2.59</v>
      </c>
      <c r="BF1760">
        <v>-3.49</v>
      </c>
      <c r="BG1760">
        <v>0.48</v>
      </c>
      <c r="BH1760">
        <v>-1.38</v>
      </c>
      <c r="BI1760">
        <v>20191101</v>
      </c>
      <c r="BJ1760">
        <v>20140127</v>
      </c>
      <c r="BK1760">
        <v>5.26</v>
      </c>
      <c r="BL1760" t="s">
        <v>116</v>
      </c>
      <c r="BM1760" t="s">
        <v>116</v>
      </c>
      <c r="BN1760">
        <v>37.67</v>
      </c>
      <c r="BO1760">
        <v>24.4</v>
      </c>
      <c r="BP1760">
        <v>-0.28999999999999998</v>
      </c>
      <c r="BQ1760">
        <v>36</v>
      </c>
      <c r="BR1760">
        <v>25.07</v>
      </c>
      <c r="BS1760">
        <v>0.75</v>
      </c>
      <c r="BT1760">
        <v>1.07</v>
      </c>
      <c r="BU1760">
        <v>12.36</v>
      </c>
      <c r="BV1760">
        <v>8.11</v>
      </c>
      <c r="BW1760">
        <v>10.71</v>
      </c>
      <c r="BX1760">
        <v>17.399999999999999</v>
      </c>
      <c r="BY1760">
        <v>9.36</v>
      </c>
      <c r="BZ1760">
        <v>6.92</v>
      </c>
      <c r="CA1760">
        <v>0.89</v>
      </c>
      <c r="CB1760">
        <v>0</v>
      </c>
      <c r="CC1760">
        <v>0.95</v>
      </c>
      <c r="CD1760">
        <v>0.8</v>
      </c>
      <c r="CE1760">
        <v>0.92</v>
      </c>
      <c r="CF1760">
        <v>0.84</v>
      </c>
      <c r="CG1760">
        <v>1.8</v>
      </c>
      <c r="CH1760">
        <v>-2.6</v>
      </c>
      <c r="CI1760">
        <v>-1.81</v>
      </c>
      <c r="CJ1760">
        <v>32744</v>
      </c>
      <c r="CK1760">
        <v>7617</v>
      </c>
      <c r="CL1760" t="s">
        <v>1532</v>
      </c>
      <c r="CM1760">
        <v>10.75</v>
      </c>
      <c r="CN1760">
        <v>19.78</v>
      </c>
      <c r="CO1760">
        <v>2.27</v>
      </c>
      <c r="CP1760">
        <v>-21.25</v>
      </c>
      <c r="CQ1760">
        <v>5.91</v>
      </c>
      <c r="CR1760">
        <v>0</v>
      </c>
      <c r="CS1760" t="s">
        <v>200</v>
      </c>
      <c r="CT1760">
        <v>4.6399999999999997</v>
      </c>
      <c r="CU1760">
        <v>0</v>
      </c>
      <c r="CV1760">
        <v>3.31</v>
      </c>
      <c r="CW1760">
        <v>0.34</v>
      </c>
      <c r="CX1760">
        <v>-0.5</v>
      </c>
      <c r="CY1760">
        <v>64.78</v>
      </c>
      <c r="CZ1760" t="s">
        <v>3410</v>
      </c>
      <c r="DA1760">
        <v>26.04</v>
      </c>
      <c r="DB1760">
        <v>9.52</v>
      </c>
      <c r="DC1760">
        <v>9.83</v>
      </c>
      <c r="DD1760">
        <v>0.49</v>
      </c>
      <c r="DE1760">
        <v>1381</v>
      </c>
      <c r="DF1760">
        <v>300366</v>
      </c>
      <c r="DG1760" t="s">
        <v>116</v>
      </c>
      <c r="DH1760" t="s">
        <v>116</v>
      </c>
      <c r="DI1760" t="s">
        <v>116</v>
      </c>
    </row>
    <row r="1761" spans="1:113" x14ac:dyDescent="0.4">
      <c r="A1761" t="str">
        <f>"300367"</f>
        <v>300367</v>
      </c>
      <c r="B1761" t="s">
        <v>9001</v>
      </c>
      <c r="C1761">
        <v>0</v>
      </c>
      <c r="D1761">
        <v>4.45</v>
      </c>
      <c r="E1761">
        <v>0</v>
      </c>
      <c r="F1761">
        <v>4.4400000000000004</v>
      </c>
      <c r="G1761">
        <v>4.45</v>
      </c>
      <c r="H1761">
        <v>299809</v>
      </c>
      <c r="I1761">
        <v>1881</v>
      </c>
      <c r="J1761">
        <v>0</v>
      </c>
      <c r="K1761">
        <v>3.59</v>
      </c>
      <c r="L1761">
        <v>4.46</v>
      </c>
      <c r="M1761">
        <v>4.57</v>
      </c>
      <c r="N1761">
        <v>4.43</v>
      </c>
      <c r="O1761">
        <v>4.45</v>
      </c>
      <c r="P1761" t="s">
        <v>116</v>
      </c>
      <c r="Q1761">
        <v>134517120</v>
      </c>
      <c r="R1761">
        <v>1.07</v>
      </c>
      <c r="S1761" t="s">
        <v>241</v>
      </c>
      <c r="T1761" t="s">
        <v>165</v>
      </c>
      <c r="U1761">
        <v>3.15</v>
      </c>
      <c r="V1761">
        <v>4.49</v>
      </c>
      <c r="W1761">
        <v>155919</v>
      </c>
      <c r="X1761">
        <v>143890</v>
      </c>
      <c r="Y1761">
        <v>1.08</v>
      </c>
      <c r="Z1761">
        <v>1588</v>
      </c>
      <c r="AA1761">
        <v>1097</v>
      </c>
      <c r="AB1761" t="s">
        <v>116</v>
      </c>
      <c r="AC1761">
        <v>302800</v>
      </c>
      <c r="AD1761">
        <v>0.01</v>
      </c>
      <c r="AE1761" t="s">
        <v>116</v>
      </c>
      <c r="AF1761" t="s">
        <v>116</v>
      </c>
      <c r="AG1761">
        <v>8.35</v>
      </c>
      <c r="AH1761" t="s">
        <v>9002</v>
      </c>
      <c r="AI1761" t="s">
        <v>9003</v>
      </c>
      <c r="AJ1761">
        <v>0.68</v>
      </c>
      <c r="AK1761">
        <v>2174</v>
      </c>
      <c r="AL1761">
        <v>138</v>
      </c>
      <c r="AM1761">
        <v>1.6999999999999999E-3</v>
      </c>
      <c r="AN1761">
        <v>0</v>
      </c>
      <c r="AO1761">
        <v>0</v>
      </c>
      <c r="AP1761">
        <v>8.5399999999999991</v>
      </c>
      <c r="AQ1761">
        <v>-22.47</v>
      </c>
      <c r="AR1761">
        <v>-29.45</v>
      </c>
      <c r="AS1761">
        <v>4.1900000000000004</v>
      </c>
      <c r="AT1761" t="s">
        <v>8666</v>
      </c>
      <c r="AU1761" t="s">
        <v>116</v>
      </c>
      <c r="AV1761">
        <v>16.91</v>
      </c>
      <c r="AW1761">
        <v>1.84</v>
      </c>
      <c r="BA1761">
        <v>0.22</v>
      </c>
      <c r="BB1761">
        <v>2.7</v>
      </c>
      <c r="BC1761">
        <v>-0.45</v>
      </c>
      <c r="BD1761">
        <v>0.83</v>
      </c>
      <c r="BE1761">
        <v>-0.22</v>
      </c>
      <c r="BF1761">
        <v>-2.63</v>
      </c>
      <c r="BG1761">
        <v>0.45</v>
      </c>
      <c r="BH1761">
        <v>-0.83</v>
      </c>
      <c r="BI1761">
        <v>20191029</v>
      </c>
      <c r="BJ1761">
        <v>20140129</v>
      </c>
      <c r="BK1761">
        <v>11.96</v>
      </c>
      <c r="BL1761" t="s">
        <v>116</v>
      </c>
      <c r="BM1761" t="s">
        <v>116</v>
      </c>
      <c r="BN1761">
        <v>69.8</v>
      </c>
      <c r="BO1761">
        <v>37.119999999999997</v>
      </c>
      <c r="BP1761">
        <v>0.2</v>
      </c>
      <c r="BQ1761">
        <v>46.53</v>
      </c>
      <c r="BR1761">
        <v>46.37</v>
      </c>
      <c r="BS1761">
        <v>3</v>
      </c>
      <c r="BT1761">
        <v>0.54</v>
      </c>
      <c r="BU1761">
        <v>30.17</v>
      </c>
      <c r="BV1761">
        <v>1.7</v>
      </c>
      <c r="BW1761">
        <v>25.66</v>
      </c>
      <c r="BX1761">
        <v>12.74</v>
      </c>
      <c r="BY1761">
        <v>6.47</v>
      </c>
      <c r="BZ1761">
        <v>2.48</v>
      </c>
      <c r="CA1761">
        <v>-2.29</v>
      </c>
      <c r="CB1761">
        <v>1.38</v>
      </c>
      <c r="CC1761">
        <v>-2.21</v>
      </c>
      <c r="CD1761">
        <v>-2.67</v>
      </c>
      <c r="CE1761">
        <v>-2.67</v>
      </c>
      <c r="CF1761">
        <v>-3.24</v>
      </c>
      <c r="CG1761">
        <v>10.88</v>
      </c>
      <c r="CH1761">
        <v>-6.89</v>
      </c>
      <c r="CI1761">
        <v>-5.4</v>
      </c>
      <c r="CJ1761">
        <v>56437</v>
      </c>
      <c r="CK1761">
        <v>12674</v>
      </c>
      <c r="CL1761" t="s">
        <v>1970</v>
      </c>
      <c r="CM1761">
        <v>-239.09</v>
      </c>
      <c r="CN1761">
        <v>-52.55</v>
      </c>
      <c r="CO1761">
        <v>1.43</v>
      </c>
      <c r="CP1761">
        <v>-7.72</v>
      </c>
      <c r="CQ1761">
        <v>8.2200000000000006</v>
      </c>
      <c r="CR1761">
        <v>0.59</v>
      </c>
      <c r="CS1761" t="s">
        <v>9004</v>
      </c>
      <c r="CT1761">
        <v>3.1</v>
      </c>
      <c r="CU1761">
        <v>0</v>
      </c>
      <c r="CV1761">
        <v>1.07</v>
      </c>
      <c r="CW1761">
        <v>0.91</v>
      </c>
      <c r="CX1761">
        <v>-0.57999999999999996</v>
      </c>
      <c r="CY1761">
        <v>53.18</v>
      </c>
      <c r="CZ1761" t="s">
        <v>9005</v>
      </c>
      <c r="DA1761">
        <v>61.71</v>
      </c>
      <c r="DB1761">
        <v>-35.42</v>
      </c>
      <c r="DC1761">
        <v>-41.24</v>
      </c>
      <c r="DD1761">
        <v>2.11</v>
      </c>
      <c r="DE1761">
        <v>1645</v>
      </c>
      <c r="DF1761">
        <v>300367</v>
      </c>
      <c r="DG1761" t="s">
        <v>116</v>
      </c>
      <c r="DH1761" t="s">
        <v>116</v>
      </c>
      <c r="DI1761" t="s">
        <v>116</v>
      </c>
    </row>
    <row r="1762" spans="1:113" x14ac:dyDescent="0.4">
      <c r="A1762" t="str">
        <f>"300368"</f>
        <v>300368</v>
      </c>
      <c r="B1762" t="s">
        <v>9006</v>
      </c>
      <c r="C1762">
        <v>-2.99</v>
      </c>
      <c r="D1762">
        <v>8.1</v>
      </c>
      <c r="E1762">
        <v>-0.25</v>
      </c>
      <c r="F1762">
        <v>8.1</v>
      </c>
      <c r="G1762">
        <v>8.11</v>
      </c>
      <c r="H1762">
        <v>101083</v>
      </c>
      <c r="I1762">
        <v>1689</v>
      </c>
      <c r="J1762">
        <v>-0.11</v>
      </c>
      <c r="K1762">
        <v>2.2000000000000002</v>
      </c>
      <c r="L1762">
        <v>8.36</v>
      </c>
      <c r="M1762">
        <v>8.39</v>
      </c>
      <c r="N1762">
        <v>8.08</v>
      </c>
      <c r="O1762">
        <v>8.35</v>
      </c>
      <c r="P1762">
        <v>124.7</v>
      </c>
      <c r="Q1762">
        <v>83405176</v>
      </c>
      <c r="R1762">
        <v>0.91</v>
      </c>
      <c r="S1762" t="s">
        <v>241</v>
      </c>
      <c r="T1762" t="s">
        <v>608</v>
      </c>
      <c r="U1762">
        <v>3.71</v>
      </c>
      <c r="V1762">
        <v>8.25</v>
      </c>
      <c r="W1762">
        <v>57096</v>
      </c>
      <c r="X1762">
        <v>43987</v>
      </c>
      <c r="Y1762">
        <v>1.3</v>
      </c>
      <c r="Z1762">
        <v>188</v>
      </c>
      <c r="AA1762">
        <v>645</v>
      </c>
      <c r="AB1762" t="s">
        <v>116</v>
      </c>
      <c r="AC1762">
        <v>859400</v>
      </c>
      <c r="AD1762">
        <v>0.04</v>
      </c>
      <c r="AE1762" t="s">
        <v>116</v>
      </c>
      <c r="AF1762" t="s">
        <v>116</v>
      </c>
      <c r="AG1762">
        <v>4.59</v>
      </c>
      <c r="AH1762" t="s">
        <v>2415</v>
      </c>
      <c r="AI1762" t="s">
        <v>9007</v>
      </c>
      <c r="AJ1762">
        <v>-2.3199999999999998</v>
      </c>
      <c r="AK1762">
        <v>2586</v>
      </c>
      <c r="AL1762">
        <v>39</v>
      </c>
      <c r="AM1762">
        <v>8.9999999999999998E-4</v>
      </c>
      <c r="AN1762">
        <v>-1</v>
      </c>
      <c r="AO1762">
        <v>-0.49</v>
      </c>
      <c r="AP1762">
        <v>7.28</v>
      </c>
      <c r="AQ1762">
        <v>-16.84</v>
      </c>
      <c r="AR1762">
        <v>42.86</v>
      </c>
      <c r="AS1762">
        <v>4.26</v>
      </c>
      <c r="AT1762" t="s">
        <v>9008</v>
      </c>
      <c r="AU1762">
        <v>194.01</v>
      </c>
      <c r="AV1762">
        <v>90.16</v>
      </c>
      <c r="AW1762">
        <v>2.36</v>
      </c>
      <c r="BA1762">
        <v>0.12</v>
      </c>
      <c r="BB1762">
        <v>0.48</v>
      </c>
      <c r="BC1762">
        <v>-3.23</v>
      </c>
      <c r="BD1762">
        <v>-1.18</v>
      </c>
      <c r="BE1762">
        <v>-3.11</v>
      </c>
      <c r="BF1762">
        <v>-3.46</v>
      </c>
      <c r="BG1762">
        <v>0.25</v>
      </c>
      <c r="BH1762">
        <v>-1.81</v>
      </c>
      <c r="BI1762">
        <v>20191025</v>
      </c>
      <c r="BJ1762">
        <v>20140123</v>
      </c>
      <c r="BK1762">
        <v>5.32</v>
      </c>
      <c r="BL1762" t="s">
        <v>116</v>
      </c>
      <c r="BM1762" t="s">
        <v>116</v>
      </c>
      <c r="BN1762">
        <v>20.05</v>
      </c>
      <c r="BO1762">
        <v>8.5500000000000007</v>
      </c>
      <c r="BP1762">
        <v>0.82</v>
      </c>
      <c r="BQ1762">
        <v>53.25</v>
      </c>
      <c r="BR1762">
        <v>11.69</v>
      </c>
      <c r="BS1762">
        <v>1.86</v>
      </c>
      <c r="BT1762">
        <v>0.38</v>
      </c>
      <c r="BU1762">
        <v>9.52</v>
      </c>
      <c r="BV1762">
        <v>2.15</v>
      </c>
      <c r="BW1762">
        <v>4.16</v>
      </c>
      <c r="BX1762">
        <v>1.3</v>
      </c>
      <c r="BY1762">
        <v>4.67</v>
      </c>
      <c r="BZ1762">
        <v>3.34</v>
      </c>
      <c r="CA1762">
        <v>0.41</v>
      </c>
      <c r="CB1762">
        <v>0.05</v>
      </c>
      <c r="CC1762">
        <v>0.4</v>
      </c>
      <c r="CD1762">
        <v>0.33</v>
      </c>
      <c r="CE1762">
        <v>0.26</v>
      </c>
      <c r="CF1762">
        <v>0.15</v>
      </c>
      <c r="CG1762">
        <v>1.63</v>
      </c>
      <c r="CH1762">
        <v>-1.3</v>
      </c>
      <c r="CI1762">
        <v>-0.56000000000000005</v>
      </c>
      <c r="CJ1762">
        <v>41207</v>
      </c>
      <c r="CK1762">
        <v>5754</v>
      </c>
      <c r="CL1762" t="s">
        <v>547</v>
      </c>
      <c r="CM1762">
        <v>-49.68</v>
      </c>
      <c r="CN1762">
        <v>-25.94</v>
      </c>
      <c r="CO1762">
        <v>5.04</v>
      </c>
      <c r="CP1762">
        <v>-33.119999999999997</v>
      </c>
      <c r="CQ1762">
        <v>9.23</v>
      </c>
      <c r="CR1762">
        <v>0</v>
      </c>
      <c r="CS1762" t="s">
        <v>5719</v>
      </c>
      <c r="CT1762">
        <v>1.61</v>
      </c>
      <c r="CU1762">
        <v>0</v>
      </c>
      <c r="CV1762">
        <v>0.24</v>
      </c>
      <c r="CW1762">
        <v>0.31</v>
      </c>
      <c r="CX1762">
        <v>-0.24</v>
      </c>
      <c r="CY1762">
        <v>42.66</v>
      </c>
      <c r="CZ1762" t="s">
        <v>8314</v>
      </c>
      <c r="DA1762">
        <v>28.39</v>
      </c>
      <c r="DB1762">
        <v>8.68</v>
      </c>
      <c r="DC1762">
        <v>5.55</v>
      </c>
      <c r="DD1762">
        <v>0.19</v>
      </c>
      <c r="DE1762">
        <v>962</v>
      </c>
      <c r="DF1762">
        <v>300368</v>
      </c>
      <c r="DG1762" t="s">
        <v>116</v>
      </c>
      <c r="DH1762" t="s">
        <v>116</v>
      </c>
      <c r="DI1762" t="s">
        <v>116</v>
      </c>
    </row>
    <row r="1763" spans="1:113" x14ac:dyDescent="0.4">
      <c r="A1763" t="str">
        <f>"300369"</f>
        <v>300369</v>
      </c>
      <c r="B1763" t="s">
        <v>9009</v>
      </c>
      <c r="C1763">
        <v>-1.74</v>
      </c>
      <c r="D1763">
        <v>18.600000000000001</v>
      </c>
      <c r="E1763">
        <v>-0.33</v>
      </c>
      <c r="F1763">
        <v>18.59</v>
      </c>
      <c r="G1763">
        <v>18.600000000000001</v>
      </c>
      <c r="H1763">
        <v>39498</v>
      </c>
      <c r="I1763">
        <v>271</v>
      </c>
      <c r="J1763">
        <v>0.05</v>
      </c>
      <c r="K1763">
        <v>0.54</v>
      </c>
      <c r="L1763">
        <v>18.75</v>
      </c>
      <c r="M1763">
        <v>19.02</v>
      </c>
      <c r="N1763">
        <v>18.559999999999999</v>
      </c>
      <c r="O1763">
        <v>18.93</v>
      </c>
      <c r="P1763" t="s">
        <v>116</v>
      </c>
      <c r="Q1763">
        <v>74157192</v>
      </c>
      <c r="R1763">
        <v>0.88</v>
      </c>
      <c r="S1763" t="s">
        <v>607</v>
      </c>
      <c r="T1763" t="s">
        <v>165</v>
      </c>
      <c r="U1763">
        <v>2.4300000000000002</v>
      </c>
      <c r="V1763">
        <v>18.77</v>
      </c>
      <c r="W1763">
        <v>21807</v>
      </c>
      <c r="X1763">
        <v>17691</v>
      </c>
      <c r="Y1763">
        <v>1.23</v>
      </c>
      <c r="Z1763">
        <v>43</v>
      </c>
      <c r="AA1763">
        <v>41</v>
      </c>
      <c r="AB1763" t="s">
        <v>116</v>
      </c>
      <c r="AC1763">
        <v>654800</v>
      </c>
      <c r="AD1763">
        <v>0.01</v>
      </c>
      <c r="AE1763" t="s">
        <v>116</v>
      </c>
      <c r="AF1763" t="s">
        <v>116</v>
      </c>
      <c r="AG1763">
        <v>7.26</v>
      </c>
      <c r="AH1763" t="s">
        <v>9010</v>
      </c>
      <c r="AI1763" t="s">
        <v>9011</v>
      </c>
      <c r="AJ1763">
        <v>-1.06</v>
      </c>
      <c r="AK1763">
        <v>2368</v>
      </c>
      <c r="AL1763">
        <v>17</v>
      </c>
      <c r="AM1763">
        <v>2.0000000000000001E-4</v>
      </c>
      <c r="AN1763">
        <v>-2</v>
      </c>
      <c r="AO1763">
        <v>0.44</v>
      </c>
      <c r="AP1763">
        <v>7.02</v>
      </c>
      <c r="AQ1763">
        <v>11.91</v>
      </c>
      <c r="AR1763">
        <v>116.28</v>
      </c>
      <c r="AS1763">
        <v>0.92</v>
      </c>
      <c r="AT1763" t="s">
        <v>9012</v>
      </c>
      <c r="AU1763">
        <v>70.489999999999995</v>
      </c>
      <c r="AV1763">
        <v>88.33</v>
      </c>
      <c r="AW1763">
        <v>1.06</v>
      </c>
      <c r="BA1763">
        <v>-0.95</v>
      </c>
      <c r="BB1763">
        <v>0.48</v>
      </c>
      <c r="BC1763">
        <v>-1.95</v>
      </c>
      <c r="BD1763">
        <v>-0.82</v>
      </c>
      <c r="BE1763">
        <v>-0.8</v>
      </c>
      <c r="BF1763">
        <v>-2.21</v>
      </c>
      <c r="BG1763">
        <v>0.22</v>
      </c>
      <c r="BH1763">
        <v>-0.92</v>
      </c>
      <c r="BI1763">
        <v>20191213</v>
      </c>
      <c r="BJ1763">
        <v>20140129</v>
      </c>
      <c r="BK1763">
        <v>7.98</v>
      </c>
      <c r="BL1763" t="s">
        <v>116</v>
      </c>
      <c r="BM1763" t="s">
        <v>116</v>
      </c>
      <c r="BN1763">
        <v>36.56</v>
      </c>
      <c r="BO1763">
        <v>31.14</v>
      </c>
      <c r="BP1763">
        <v>-0.01</v>
      </c>
      <c r="BQ1763">
        <v>14.84</v>
      </c>
      <c r="BR1763">
        <v>26.79</v>
      </c>
      <c r="BS1763">
        <v>1.1000000000000001</v>
      </c>
      <c r="BT1763">
        <v>1.75</v>
      </c>
      <c r="BU1763">
        <v>5.23</v>
      </c>
      <c r="BV1763">
        <v>1.07</v>
      </c>
      <c r="BW1763">
        <v>7.83</v>
      </c>
      <c r="BX1763">
        <v>13.83</v>
      </c>
      <c r="BY1763">
        <v>8.66</v>
      </c>
      <c r="BZ1763">
        <v>2.42</v>
      </c>
      <c r="CA1763">
        <v>-0.04</v>
      </c>
      <c r="CB1763">
        <v>0.2</v>
      </c>
      <c r="CC1763">
        <v>-0.04</v>
      </c>
      <c r="CD1763">
        <v>-0.01</v>
      </c>
      <c r="CE1763">
        <v>-0.01</v>
      </c>
      <c r="CF1763">
        <v>-0.24</v>
      </c>
      <c r="CG1763">
        <v>8.73</v>
      </c>
      <c r="CH1763">
        <v>0.21</v>
      </c>
      <c r="CI1763">
        <v>-5.85</v>
      </c>
      <c r="CJ1763">
        <v>19833</v>
      </c>
      <c r="CK1763">
        <v>21658</v>
      </c>
      <c r="CL1763" t="s">
        <v>3020</v>
      </c>
      <c r="CM1763">
        <v>97.66</v>
      </c>
      <c r="CN1763">
        <v>30.07</v>
      </c>
      <c r="CO1763">
        <v>4.79</v>
      </c>
      <c r="CP1763">
        <v>723.34</v>
      </c>
      <c r="CQ1763">
        <v>17.149999999999999</v>
      </c>
      <c r="CR1763">
        <v>0.32</v>
      </c>
      <c r="CS1763" t="s">
        <v>1439</v>
      </c>
      <c r="CT1763">
        <v>3.89</v>
      </c>
      <c r="CU1763">
        <v>3.89</v>
      </c>
      <c r="CV1763">
        <v>1.73</v>
      </c>
      <c r="CW1763">
        <v>1.0900000000000001</v>
      </c>
      <c r="CX1763">
        <v>0.03</v>
      </c>
      <c r="CY1763">
        <v>85.18</v>
      </c>
      <c r="CZ1763" t="s">
        <v>9013</v>
      </c>
      <c r="DA1763">
        <v>72</v>
      </c>
      <c r="DB1763">
        <v>-0.46</v>
      </c>
      <c r="DC1763">
        <v>-0.12</v>
      </c>
      <c r="DD1763">
        <v>2.2000000000000002</v>
      </c>
      <c r="DE1763">
        <v>2722</v>
      </c>
      <c r="DF1763">
        <v>300369</v>
      </c>
      <c r="DG1763" t="s">
        <v>116</v>
      </c>
      <c r="DH1763" t="s">
        <v>116</v>
      </c>
      <c r="DI1763" t="s">
        <v>116</v>
      </c>
    </row>
    <row r="1764" spans="1:113" x14ac:dyDescent="0.4">
      <c r="A1764" t="str">
        <f>"300370"</f>
        <v>300370</v>
      </c>
      <c r="B1764" t="s">
        <v>9014</v>
      </c>
      <c r="C1764">
        <v>-2.74</v>
      </c>
      <c r="D1764">
        <v>3.55</v>
      </c>
      <c r="E1764">
        <v>-0.1</v>
      </c>
      <c r="F1764">
        <v>3.54</v>
      </c>
      <c r="G1764">
        <v>3.55</v>
      </c>
      <c r="H1764">
        <v>442896</v>
      </c>
      <c r="I1764">
        <v>5580</v>
      </c>
      <c r="J1764">
        <v>0</v>
      </c>
      <c r="K1764">
        <v>6.13</v>
      </c>
      <c r="L1764">
        <v>3.63</v>
      </c>
      <c r="M1764">
        <v>3.66</v>
      </c>
      <c r="N1764">
        <v>3.54</v>
      </c>
      <c r="O1764">
        <v>3.65</v>
      </c>
      <c r="P1764">
        <v>505.21</v>
      </c>
      <c r="Q1764">
        <v>159763360</v>
      </c>
      <c r="R1764">
        <v>0.53</v>
      </c>
      <c r="S1764" t="s">
        <v>2977</v>
      </c>
      <c r="T1764" t="s">
        <v>165</v>
      </c>
      <c r="U1764">
        <v>3.29</v>
      </c>
      <c r="V1764">
        <v>3.61</v>
      </c>
      <c r="W1764">
        <v>263470</v>
      </c>
      <c r="X1764">
        <v>179426</v>
      </c>
      <c r="Y1764">
        <v>1.47</v>
      </c>
      <c r="Z1764">
        <v>1534</v>
      </c>
      <c r="AA1764">
        <v>7539</v>
      </c>
      <c r="AB1764" t="s">
        <v>116</v>
      </c>
      <c r="AC1764">
        <v>579300</v>
      </c>
      <c r="AD1764">
        <v>0.02</v>
      </c>
      <c r="AE1764" t="s">
        <v>116</v>
      </c>
      <c r="AF1764" t="s">
        <v>116</v>
      </c>
      <c r="AG1764">
        <v>7.22</v>
      </c>
      <c r="AH1764" t="s">
        <v>6986</v>
      </c>
      <c r="AI1764" t="s">
        <v>927</v>
      </c>
      <c r="AJ1764">
        <v>-2.06</v>
      </c>
      <c r="AK1764">
        <v>2931</v>
      </c>
      <c r="AL1764">
        <v>151</v>
      </c>
      <c r="AM1764">
        <v>2.0999999999999999E-3</v>
      </c>
      <c r="AN1764">
        <v>-3</v>
      </c>
      <c r="AO1764">
        <v>-5.33</v>
      </c>
      <c r="AP1764">
        <v>16.010000000000002</v>
      </c>
      <c r="AQ1764">
        <v>5.03</v>
      </c>
      <c r="AR1764">
        <v>34.47</v>
      </c>
      <c r="AS1764">
        <v>6.38</v>
      </c>
      <c r="AT1764" t="s">
        <v>5745</v>
      </c>
      <c r="AU1764" t="s">
        <v>116</v>
      </c>
      <c r="AV1764" t="s">
        <v>116</v>
      </c>
      <c r="AW1764">
        <v>1.44</v>
      </c>
      <c r="BA1764">
        <v>-0.55000000000000004</v>
      </c>
      <c r="BB1764">
        <v>0.27</v>
      </c>
      <c r="BC1764">
        <v>-3.01</v>
      </c>
      <c r="BD1764">
        <v>-1.17</v>
      </c>
      <c r="BE1764">
        <v>-2.2000000000000002</v>
      </c>
      <c r="BF1764">
        <v>-3.01</v>
      </c>
      <c r="BG1764">
        <v>0.28000000000000003</v>
      </c>
      <c r="BH1764">
        <v>-1.57</v>
      </c>
      <c r="BI1764">
        <v>20191026</v>
      </c>
      <c r="BJ1764">
        <v>20140123</v>
      </c>
      <c r="BK1764">
        <v>9.57</v>
      </c>
      <c r="BL1764" t="s">
        <v>116</v>
      </c>
      <c r="BM1764" t="s">
        <v>116</v>
      </c>
      <c r="BN1764">
        <v>38.9</v>
      </c>
      <c r="BO1764">
        <v>8.57</v>
      </c>
      <c r="BP1764">
        <v>1.85</v>
      </c>
      <c r="BQ1764">
        <v>73.209999999999994</v>
      </c>
      <c r="BR1764">
        <v>24.4</v>
      </c>
      <c r="BS1764">
        <v>3.23</v>
      </c>
      <c r="BT1764">
        <v>0.84</v>
      </c>
      <c r="BU1764">
        <v>25.17</v>
      </c>
      <c r="BV1764">
        <v>7.7</v>
      </c>
      <c r="BW1764">
        <v>10.33</v>
      </c>
      <c r="BX1764">
        <v>1.45</v>
      </c>
      <c r="BY1764">
        <v>7.01</v>
      </c>
      <c r="BZ1764">
        <v>4.92</v>
      </c>
      <c r="CA1764">
        <v>-0.03</v>
      </c>
      <c r="CB1764">
        <v>-0.01</v>
      </c>
      <c r="CC1764">
        <v>0</v>
      </c>
      <c r="CD1764">
        <v>0.01</v>
      </c>
      <c r="CE1764">
        <v>0.05</v>
      </c>
      <c r="CF1764">
        <v>-0.06</v>
      </c>
      <c r="CG1764">
        <v>-2.41</v>
      </c>
      <c r="CH1764">
        <v>2.0099999999999998</v>
      </c>
      <c r="CI1764">
        <v>-1.01</v>
      </c>
      <c r="CJ1764">
        <v>54603</v>
      </c>
      <c r="CK1764">
        <v>12715</v>
      </c>
      <c r="CL1764" t="s">
        <v>1283</v>
      </c>
      <c r="CM1764">
        <v>159.16</v>
      </c>
      <c r="CN1764">
        <v>-6.92</v>
      </c>
      <c r="CO1764">
        <v>3.97</v>
      </c>
      <c r="CP1764">
        <v>16.89</v>
      </c>
      <c r="CQ1764">
        <v>4.84</v>
      </c>
      <c r="CR1764">
        <v>0</v>
      </c>
      <c r="CS1764" t="s">
        <v>1701</v>
      </c>
      <c r="CT1764">
        <v>0.9</v>
      </c>
      <c r="CU1764">
        <v>0</v>
      </c>
      <c r="CV1764">
        <v>0.15</v>
      </c>
      <c r="CW1764">
        <v>-0.25</v>
      </c>
      <c r="CX1764">
        <v>0.21</v>
      </c>
      <c r="CY1764">
        <v>22.03</v>
      </c>
      <c r="CZ1764" t="s">
        <v>9015</v>
      </c>
      <c r="DA1764">
        <v>29.85</v>
      </c>
      <c r="DB1764">
        <v>-0.42</v>
      </c>
      <c r="DC1764">
        <v>0.72</v>
      </c>
      <c r="DD1764">
        <v>0.24</v>
      </c>
      <c r="DE1764">
        <v>1450</v>
      </c>
      <c r="DF1764">
        <v>300370</v>
      </c>
      <c r="DG1764" t="s">
        <v>116</v>
      </c>
      <c r="DH1764" t="s">
        <v>116</v>
      </c>
      <c r="DI1764" t="s">
        <v>116</v>
      </c>
    </row>
    <row r="1765" spans="1:113" x14ac:dyDescent="0.4">
      <c r="A1765" t="str">
        <f>"300371"</f>
        <v>300371</v>
      </c>
      <c r="B1765" t="s">
        <v>9016</v>
      </c>
      <c r="C1765">
        <v>-2.54</v>
      </c>
      <c r="D1765">
        <v>13.06</v>
      </c>
      <c r="E1765">
        <v>-0.34</v>
      </c>
      <c r="F1765">
        <v>13.05</v>
      </c>
      <c r="G1765">
        <v>13.06</v>
      </c>
      <c r="H1765">
        <v>38964</v>
      </c>
      <c r="I1765">
        <v>338</v>
      </c>
      <c r="J1765">
        <v>-0.3</v>
      </c>
      <c r="K1765">
        <v>3.58</v>
      </c>
      <c r="L1765">
        <v>13.3</v>
      </c>
      <c r="M1765">
        <v>13.5</v>
      </c>
      <c r="N1765">
        <v>13</v>
      </c>
      <c r="O1765">
        <v>13.4</v>
      </c>
      <c r="P1765">
        <v>25.4</v>
      </c>
      <c r="Q1765">
        <v>51613440</v>
      </c>
      <c r="R1765">
        <v>1.18</v>
      </c>
      <c r="S1765" t="s">
        <v>2977</v>
      </c>
      <c r="T1765" t="s">
        <v>608</v>
      </c>
      <c r="U1765">
        <v>3.73</v>
      </c>
      <c r="V1765">
        <v>13.25</v>
      </c>
      <c r="W1765">
        <v>23810</v>
      </c>
      <c r="X1765">
        <v>15154</v>
      </c>
      <c r="Y1765">
        <v>1.57</v>
      </c>
      <c r="Z1765">
        <v>10</v>
      </c>
      <c r="AA1765">
        <v>107</v>
      </c>
      <c r="AB1765" t="s">
        <v>116</v>
      </c>
      <c r="AC1765">
        <v>912400</v>
      </c>
      <c r="AD1765">
        <v>0.1</v>
      </c>
      <c r="AE1765" t="s">
        <v>116</v>
      </c>
      <c r="AF1765" t="s">
        <v>116</v>
      </c>
      <c r="AG1765">
        <v>1.0900000000000001</v>
      </c>
      <c r="AH1765" t="s">
        <v>9017</v>
      </c>
      <c r="AI1765" t="s">
        <v>2282</v>
      </c>
      <c r="AJ1765">
        <v>-1.86</v>
      </c>
      <c r="AK1765">
        <v>2009</v>
      </c>
      <c r="AL1765">
        <v>19</v>
      </c>
      <c r="AM1765">
        <v>1.8E-3</v>
      </c>
      <c r="AN1765">
        <v>-1</v>
      </c>
      <c r="AO1765">
        <v>3.64</v>
      </c>
      <c r="AP1765">
        <v>9.1999999999999993</v>
      </c>
      <c r="AQ1765">
        <v>4.4000000000000004</v>
      </c>
      <c r="AR1765">
        <v>50.24</v>
      </c>
      <c r="AS1765">
        <v>5.55</v>
      </c>
      <c r="AT1765" t="s">
        <v>9018</v>
      </c>
      <c r="AU1765">
        <v>22.67</v>
      </c>
      <c r="AV1765">
        <v>26.87</v>
      </c>
      <c r="AW1765">
        <v>1.04</v>
      </c>
      <c r="BA1765">
        <v>-0.75</v>
      </c>
      <c r="BB1765">
        <v>0.75</v>
      </c>
      <c r="BC1765">
        <v>-2.99</v>
      </c>
      <c r="BD1765">
        <v>-1.1499999999999999</v>
      </c>
      <c r="BE1765">
        <v>-1.8</v>
      </c>
      <c r="BF1765">
        <v>-3.26</v>
      </c>
      <c r="BG1765">
        <v>0.46</v>
      </c>
      <c r="BH1765">
        <v>-1.39</v>
      </c>
      <c r="BI1765">
        <v>20191226</v>
      </c>
      <c r="BJ1765">
        <v>20140123</v>
      </c>
      <c r="BK1765">
        <v>1.68</v>
      </c>
      <c r="BL1765" t="s">
        <v>116</v>
      </c>
      <c r="BM1765" t="s">
        <v>116</v>
      </c>
      <c r="BN1765">
        <v>7.59</v>
      </c>
      <c r="BO1765">
        <v>6.78</v>
      </c>
      <c r="BP1765">
        <v>0</v>
      </c>
      <c r="BQ1765">
        <v>10.68</v>
      </c>
      <c r="BR1765">
        <v>4.22</v>
      </c>
      <c r="BS1765">
        <v>1.68</v>
      </c>
      <c r="BT1765">
        <v>0.62</v>
      </c>
      <c r="BU1765">
        <v>0.68</v>
      </c>
      <c r="BV1765">
        <v>0.67</v>
      </c>
      <c r="BW1765">
        <v>1.44</v>
      </c>
      <c r="BX1765">
        <v>1.23</v>
      </c>
      <c r="BY1765">
        <v>2.06</v>
      </c>
      <c r="BZ1765">
        <v>0.87</v>
      </c>
      <c r="CA1765">
        <v>0.74</v>
      </c>
      <c r="CB1765">
        <v>0.05</v>
      </c>
      <c r="CC1765">
        <v>0.74</v>
      </c>
      <c r="CD1765">
        <v>0.65</v>
      </c>
      <c r="CE1765">
        <v>0.65</v>
      </c>
      <c r="CF1765">
        <v>0.57999999999999996</v>
      </c>
      <c r="CG1765">
        <v>3.49</v>
      </c>
      <c r="CH1765">
        <v>0.31</v>
      </c>
      <c r="CI1765">
        <v>-0.43</v>
      </c>
      <c r="CJ1765">
        <v>10003</v>
      </c>
      <c r="CK1765">
        <v>7013</v>
      </c>
      <c r="CL1765" t="s">
        <v>9019</v>
      </c>
      <c r="CM1765">
        <v>30.52</v>
      </c>
      <c r="CN1765">
        <v>26.46</v>
      </c>
      <c r="CO1765">
        <v>3.23</v>
      </c>
      <c r="CP1765">
        <v>71.11</v>
      </c>
      <c r="CQ1765">
        <v>10.66</v>
      </c>
      <c r="CR1765">
        <v>1.0900000000000001</v>
      </c>
      <c r="CS1765" t="s">
        <v>6158</v>
      </c>
      <c r="CT1765">
        <v>4.04</v>
      </c>
      <c r="CU1765">
        <v>0</v>
      </c>
      <c r="CV1765">
        <v>0.73</v>
      </c>
      <c r="CW1765">
        <v>2.08</v>
      </c>
      <c r="CX1765">
        <v>0.18</v>
      </c>
      <c r="CY1765">
        <v>89.32</v>
      </c>
      <c r="CZ1765" t="s">
        <v>9020</v>
      </c>
      <c r="DA1765">
        <v>57.76</v>
      </c>
      <c r="DB1765">
        <v>36.17</v>
      </c>
      <c r="DC1765">
        <v>31.49</v>
      </c>
      <c r="DD1765">
        <v>0.1</v>
      </c>
      <c r="DE1765">
        <v>404</v>
      </c>
      <c r="DF1765">
        <v>300371</v>
      </c>
      <c r="DG1765" t="s">
        <v>116</v>
      </c>
      <c r="DH1765" t="s">
        <v>116</v>
      </c>
      <c r="DI1765" t="s">
        <v>116</v>
      </c>
    </row>
    <row r="1766" spans="1:113" x14ac:dyDescent="0.4">
      <c r="A1766" t="str">
        <f>"300373"</f>
        <v>300373</v>
      </c>
      <c r="B1766" t="s">
        <v>9021</v>
      </c>
      <c r="C1766">
        <v>-5.14</v>
      </c>
      <c r="D1766">
        <v>17.34</v>
      </c>
      <c r="E1766">
        <v>-0.94</v>
      </c>
      <c r="F1766">
        <v>17.329999999999998</v>
      </c>
      <c r="G1766">
        <v>17.34</v>
      </c>
      <c r="H1766">
        <v>147179</v>
      </c>
      <c r="I1766">
        <v>1820</v>
      </c>
      <c r="J1766">
        <v>-0.11</v>
      </c>
      <c r="K1766">
        <v>5.0199999999999996</v>
      </c>
      <c r="L1766">
        <v>18.239999999999998</v>
      </c>
      <c r="M1766">
        <v>18.36</v>
      </c>
      <c r="N1766">
        <v>17.3</v>
      </c>
      <c r="O1766">
        <v>18.28</v>
      </c>
      <c r="P1766">
        <v>41.39</v>
      </c>
      <c r="Q1766">
        <v>261820128</v>
      </c>
      <c r="R1766">
        <v>0.97</v>
      </c>
      <c r="S1766" t="s">
        <v>3507</v>
      </c>
      <c r="T1766" t="s">
        <v>323</v>
      </c>
      <c r="U1766">
        <v>5.8</v>
      </c>
      <c r="V1766">
        <v>17.79</v>
      </c>
      <c r="W1766">
        <v>88119</v>
      </c>
      <c r="X1766">
        <v>59060</v>
      </c>
      <c r="Y1766">
        <v>1.49</v>
      </c>
      <c r="Z1766">
        <v>80</v>
      </c>
      <c r="AA1766">
        <v>724</v>
      </c>
      <c r="AB1766" t="s">
        <v>116</v>
      </c>
      <c r="AC1766">
        <v>1244000</v>
      </c>
      <c r="AD1766">
        <v>0.04</v>
      </c>
      <c r="AE1766" t="s">
        <v>116</v>
      </c>
      <c r="AF1766" t="s">
        <v>116</v>
      </c>
      <c r="AG1766">
        <v>2.93</v>
      </c>
      <c r="AH1766" t="s">
        <v>9022</v>
      </c>
      <c r="AI1766" t="s">
        <v>9023</v>
      </c>
      <c r="AJ1766">
        <v>-4.46</v>
      </c>
      <c r="AK1766">
        <v>3321</v>
      </c>
      <c r="AL1766">
        <v>44</v>
      </c>
      <c r="AM1766">
        <v>1.5E-3</v>
      </c>
      <c r="AN1766">
        <v>-2</v>
      </c>
      <c r="AO1766">
        <v>-2.2599999999999998</v>
      </c>
      <c r="AP1766">
        <v>14.15</v>
      </c>
      <c r="AQ1766">
        <v>9.4</v>
      </c>
      <c r="AR1766">
        <v>22.25</v>
      </c>
      <c r="AS1766">
        <v>7.97</v>
      </c>
      <c r="AT1766" t="s">
        <v>3534</v>
      </c>
      <c r="AU1766">
        <v>81.03</v>
      </c>
      <c r="AV1766">
        <v>43.69</v>
      </c>
      <c r="AW1766">
        <v>1.61</v>
      </c>
      <c r="BA1766">
        <v>-0.22</v>
      </c>
      <c r="BB1766">
        <v>0.44</v>
      </c>
      <c r="BC1766">
        <v>-5.36</v>
      </c>
      <c r="BD1766">
        <v>-2.68</v>
      </c>
      <c r="BE1766">
        <v>-4.93</v>
      </c>
      <c r="BF1766">
        <v>-5.56</v>
      </c>
      <c r="BG1766">
        <v>0.23</v>
      </c>
      <c r="BH1766">
        <v>-2.46</v>
      </c>
      <c r="BI1766">
        <v>20191225</v>
      </c>
      <c r="BJ1766">
        <v>20140123</v>
      </c>
      <c r="BK1766">
        <v>4.72</v>
      </c>
      <c r="BL1766" t="s">
        <v>116</v>
      </c>
      <c r="BM1766" t="s">
        <v>116</v>
      </c>
      <c r="BN1766">
        <v>33.450000000000003</v>
      </c>
      <c r="BO1766">
        <v>24.5</v>
      </c>
      <c r="BP1766">
        <v>0.97</v>
      </c>
      <c r="BQ1766">
        <v>23.87</v>
      </c>
      <c r="BR1766">
        <v>16.670000000000002</v>
      </c>
      <c r="BS1766">
        <v>9.6</v>
      </c>
      <c r="BT1766">
        <v>1.07</v>
      </c>
      <c r="BU1766">
        <v>7.34</v>
      </c>
      <c r="BV1766">
        <v>3.24</v>
      </c>
      <c r="BW1766">
        <v>5.72</v>
      </c>
      <c r="BX1766">
        <v>10.6</v>
      </c>
      <c r="BY1766">
        <v>14.1</v>
      </c>
      <c r="BZ1766">
        <v>10.09</v>
      </c>
      <c r="CA1766">
        <v>1.71</v>
      </c>
      <c r="CB1766">
        <v>0.11</v>
      </c>
      <c r="CC1766">
        <v>1.7</v>
      </c>
      <c r="CD1766">
        <v>1.47</v>
      </c>
      <c r="CE1766">
        <v>1.48</v>
      </c>
      <c r="CF1766">
        <v>1.4</v>
      </c>
      <c r="CG1766">
        <v>8.9</v>
      </c>
      <c r="CH1766">
        <v>1.96</v>
      </c>
      <c r="CI1766">
        <v>1.2</v>
      </c>
      <c r="CJ1766">
        <v>29000</v>
      </c>
      <c r="CK1766">
        <v>6364</v>
      </c>
      <c r="CL1766" t="s">
        <v>4463</v>
      </c>
      <c r="CM1766">
        <v>-36.79</v>
      </c>
      <c r="CN1766">
        <v>3</v>
      </c>
      <c r="CO1766">
        <v>3.34</v>
      </c>
      <c r="CP1766">
        <v>41.79</v>
      </c>
      <c r="CQ1766">
        <v>5.81</v>
      </c>
      <c r="CR1766">
        <v>1.47</v>
      </c>
      <c r="CS1766" t="s">
        <v>3311</v>
      </c>
      <c r="CT1766">
        <v>5.19</v>
      </c>
      <c r="CU1766">
        <v>0</v>
      </c>
      <c r="CV1766">
        <v>2.2400000000000002</v>
      </c>
      <c r="CW1766">
        <v>1.89</v>
      </c>
      <c r="CX1766">
        <v>0.41</v>
      </c>
      <c r="CY1766">
        <v>73.23</v>
      </c>
      <c r="CZ1766" t="s">
        <v>7453</v>
      </c>
      <c r="DA1766">
        <v>28.44</v>
      </c>
      <c r="DB1766">
        <v>12.13</v>
      </c>
      <c r="DC1766">
        <v>10.52</v>
      </c>
      <c r="DD1766">
        <v>0.72</v>
      </c>
      <c r="DE1766">
        <v>2554</v>
      </c>
      <c r="DF1766">
        <v>300373</v>
      </c>
      <c r="DG1766" t="s">
        <v>116</v>
      </c>
      <c r="DH1766" t="s">
        <v>116</v>
      </c>
      <c r="DI1766" t="s">
        <v>116</v>
      </c>
    </row>
    <row r="1767" spans="1:113" x14ac:dyDescent="0.4">
      <c r="A1767" t="str">
        <f>"300374"</f>
        <v>300374</v>
      </c>
      <c r="B1767" t="s">
        <v>9024</v>
      </c>
      <c r="C1767">
        <v>6.52</v>
      </c>
      <c r="D1767">
        <v>9.9700000000000006</v>
      </c>
      <c r="E1767">
        <v>0.61</v>
      </c>
      <c r="F1767">
        <v>9.94</v>
      </c>
      <c r="G1767">
        <v>9.9700000000000006</v>
      </c>
      <c r="H1767">
        <v>108077</v>
      </c>
      <c r="I1767">
        <v>1003</v>
      </c>
      <c r="J1767">
        <v>1.01</v>
      </c>
      <c r="K1767">
        <v>6.34</v>
      </c>
      <c r="L1767">
        <v>9.36</v>
      </c>
      <c r="M1767">
        <v>10.3</v>
      </c>
      <c r="N1767">
        <v>9.34</v>
      </c>
      <c r="O1767">
        <v>9.36</v>
      </c>
      <c r="P1767">
        <v>37.380000000000003</v>
      </c>
      <c r="Q1767">
        <v>108744928</v>
      </c>
      <c r="R1767">
        <v>8.0399999999999991</v>
      </c>
      <c r="S1767" t="s">
        <v>249</v>
      </c>
      <c r="T1767" t="s">
        <v>165</v>
      </c>
      <c r="U1767">
        <v>10.26</v>
      </c>
      <c r="V1767">
        <v>10.06</v>
      </c>
      <c r="W1767">
        <v>70402</v>
      </c>
      <c r="X1767">
        <v>37675</v>
      </c>
      <c r="Y1767">
        <v>1.87</v>
      </c>
      <c r="Z1767">
        <v>67</v>
      </c>
      <c r="AA1767">
        <v>206</v>
      </c>
      <c r="AB1767" t="s">
        <v>116</v>
      </c>
      <c r="AC1767">
        <v>44000</v>
      </c>
      <c r="AD1767">
        <v>0.01</v>
      </c>
      <c r="AE1767" t="s">
        <v>116</v>
      </c>
      <c r="AF1767" t="s">
        <v>116</v>
      </c>
      <c r="AG1767">
        <v>1.7</v>
      </c>
      <c r="AH1767" t="s">
        <v>2382</v>
      </c>
      <c r="AI1767" t="s">
        <v>9025</v>
      </c>
      <c r="AJ1767">
        <v>7.2</v>
      </c>
      <c r="AK1767">
        <v>1654</v>
      </c>
      <c r="AL1767">
        <v>65</v>
      </c>
      <c r="AM1767">
        <v>3.8E-3</v>
      </c>
      <c r="AN1767">
        <v>4</v>
      </c>
      <c r="AO1767">
        <v>8.25</v>
      </c>
      <c r="AP1767">
        <v>10.78</v>
      </c>
      <c r="AQ1767">
        <v>1.73</v>
      </c>
      <c r="AR1767">
        <v>3.1</v>
      </c>
      <c r="AS1767">
        <v>12.06</v>
      </c>
      <c r="AT1767" t="s">
        <v>7261</v>
      </c>
      <c r="AU1767">
        <v>36.6</v>
      </c>
      <c r="AV1767">
        <v>34.590000000000003</v>
      </c>
      <c r="AW1767">
        <v>0.82</v>
      </c>
      <c r="BA1767">
        <v>0</v>
      </c>
      <c r="BB1767">
        <v>10.039999999999999</v>
      </c>
      <c r="BC1767">
        <v>-0.21</v>
      </c>
      <c r="BD1767">
        <v>7.5</v>
      </c>
      <c r="BE1767">
        <v>6.52</v>
      </c>
      <c r="BF1767">
        <v>-3.2</v>
      </c>
      <c r="BG1767">
        <v>6.75</v>
      </c>
      <c r="BH1767">
        <v>-0.98</v>
      </c>
      <c r="BI1767">
        <v>20191029</v>
      </c>
      <c r="BJ1767">
        <v>20150319</v>
      </c>
      <c r="BK1767">
        <v>2.46</v>
      </c>
      <c r="BL1767" t="s">
        <v>116</v>
      </c>
      <c r="BM1767" t="s">
        <v>116</v>
      </c>
      <c r="BN1767">
        <v>28.14</v>
      </c>
      <c r="BO1767">
        <v>15.1</v>
      </c>
      <c r="BP1767">
        <v>0</v>
      </c>
      <c r="BQ1767">
        <v>46.34</v>
      </c>
      <c r="BR1767">
        <v>13.16</v>
      </c>
      <c r="BS1767">
        <v>5.22</v>
      </c>
      <c r="BT1767">
        <v>1.37</v>
      </c>
      <c r="BU1767">
        <v>10.42</v>
      </c>
      <c r="BV1767">
        <v>2.31</v>
      </c>
      <c r="BW1767">
        <v>8.8800000000000008</v>
      </c>
      <c r="BX1767">
        <v>7.6</v>
      </c>
      <c r="BY1767">
        <v>5.26</v>
      </c>
      <c r="BZ1767">
        <v>3.7</v>
      </c>
      <c r="CA1767">
        <v>0.57999999999999996</v>
      </c>
      <c r="CB1767">
        <v>0.01</v>
      </c>
      <c r="CC1767">
        <v>0.6</v>
      </c>
      <c r="CD1767">
        <v>0.49</v>
      </c>
      <c r="CE1767">
        <v>0.49</v>
      </c>
      <c r="CF1767">
        <v>0.37</v>
      </c>
      <c r="CG1767">
        <v>4.8499999999999996</v>
      </c>
      <c r="CH1767">
        <v>1</v>
      </c>
      <c r="CI1767">
        <v>-0.17</v>
      </c>
      <c r="CJ1767">
        <v>14430</v>
      </c>
      <c r="CK1767">
        <v>6209</v>
      </c>
      <c r="CL1767" t="s">
        <v>8664</v>
      </c>
      <c r="CM1767">
        <v>-7.33</v>
      </c>
      <c r="CN1767">
        <v>0.56000000000000005</v>
      </c>
      <c r="CO1767">
        <v>1.62</v>
      </c>
      <c r="CP1767">
        <v>24.41</v>
      </c>
      <c r="CQ1767">
        <v>4.66</v>
      </c>
      <c r="CR1767">
        <v>0.3</v>
      </c>
      <c r="CS1767" t="s">
        <v>541</v>
      </c>
      <c r="CT1767">
        <v>6.14</v>
      </c>
      <c r="CU1767">
        <v>0</v>
      </c>
      <c r="CV1767">
        <v>3.09</v>
      </c>
      <c r="CW1767">
        <v>1.97</v>
      </c>
      <c r="CX1767">
        <v>0.41</v>
      </c>
      <c r="CY1767">
        <v>53.66</v>
      </c>
      <c r="CZ1767" t="s">
        <v>6350</v>
      </c>
      <c r="DA1767">
        <v>29.7</v>
      </c>
      <c r="DB1767">
        <v>10.99</v>
      </c>
      <c r="DC1767">
        <v>9.36</v>
      </c>
      <c r="DD1767">
        <v>0.13</v>
      </c>
      <c r="DE1767">
        <v>554</v>
      </c>
      <c r="DF1767">
        <v>300374</v>
      </c>
      <c r="DG1767" t="s">
        <v>116</v>
      </c>
      <c r="DH1767" t="s">
        <v>116</v>
      </c>
      <c r="DI1767" t="s">
        <v>116</v>
      </c>
    </row>
    <row r="1768" spans="1:113" x14ac:dyDescent="0.4">
      <c r="A1768" t="str">
        <f>"300375"</f>
        <v>300375</v>
      </c>
      <c r="B1768" t="s">
        <v>9026</v>
      </c>
      <c r="C1768">
        <v>-0.84</v>
      </c>
      <c r="D1768">
        <v>3.54</v>
      </c>
      <c r="E1768">
        <v>-0.03</v>
      </c>
      <c r="F1768">
        <v>3.53</v>
      </c>
      <c r="G1768">
        <v>3.54</v>
      </c>
      <c r="H1768">
        <v>77953</v>
      </c>
      <c r="I1768">
        <v>794</v>
      </c>
      <c r="J1768">
        <v>0</v>
      </c>
      <c r="K1768">
        <v>1.78</v>
      </c>
      <c r="L1768">
        <v>3.57</v>
      </c>
      <c r="M1768">
        <v>3.61</v>
      </c>
      <c r="N1768">
        <v>3.52</v>
      </c>
      <c r="O1768">
        <v>3.57</v>
      </c>
      <c r="P1768">
        <v>29.76</v>
      </c>
      <c r="Q1768">
        <v>27873360</v>
      </c>
      <c r="R1768">
        <v>0.94</v>
      </c>
      <c r="S1768" t="s">
        <v>293</v>
      </c>
      <c r="T1768" t="s">
        <v>1035</v>
      </c>
      <c r="U1768">
        <v>2.52</v>
      </c>
      <c r="V1768">
        <v>3.58</v>
      </c>
      <c r="W1768">
        <v>40968</v>
      </c>
      <c r="X1768">
        <v>36985</v>
      </c>
      <c r="Y1768">
        <v>1.1100000000000001</v>
      </c>
      <c r="Z1768">
        <v>1165</v>
      </c>
      <c r="AA1768">
        <v>2693</v>
      </c>
      <c r="AB1768" t="s">
        <v>116</v>
      </c>
      <c r="AC1768">
        <v>5400</v>
      </c>
      <c r="AD1768">
        <v>0</v>
      </c>
      <c r="AE1768" t="s">
        <v>116</v>
      </c>
      <c r="AF1768" t="s">
        <v>116</v>
      </c>
      <c r="AG1768">
        <v>4.38</v>
      </c>
      <c r="AH1768" t="s">
        <v>9027</v>
      </c>
      <c r="AI1768" t="s">
        <v>8106</v>
      </c>
      <c r="AJ1768">
        <v>-0.16</v>
      </c>
      <c r="AK1768">
        <v>910</v>
      </c>
      <c r="AL1768">
        <v>86</v>
      </c>
      <c r="AM1768">
        <v>2E-3</v>
      </c>
      <c r="AN1768">
        <v>-1</v>
      </c>
      <c r="AO1768">
        <v>-1.1200000000000001</v>
      </c>
      <c r="AP1768">
        <v>4.7300000000000004</v>
      </c>
      <c r="AQ1768">
        <v>-7.81</v>
      </c>
      <c r="AR1768">
        <v>12.63</v>
      </c>
      <c r="AS1768">
        <v>2.04</v>
      </c>
      <c r="AT1768" t="s">
        <v>190</v>
      </c>
      <c r="AU1768">
        <v>25.91</v>
      </c>
      <c r="AV1768">
        <v>22.4</v>
      </c>
      <c r="AW1768">
        <v>0.99</v>
      </c>
      <c r="BA1768">
        <v>0</v>
      </c>
      <c r="BB1768">
        <v>1.1200000000000001</v>
      </c>
      <c r="BC1768">
        <v>-1.4</v>
      </c>
      <c r="BD1768">
        <v>0.16</v>
      </c>
      <c r="BE1768">
        <v>-0.84</v>
      </c>
      <c r="BF1768">
        <v>-1.94</v>
      </c>
      <c r="BG1768">
        <v>0.56999999999999995</v>
      </c>
      <c r="BH1768">
        <v>-1</v>
      </c>
      <c r="BI1768">
        <v>20191119</v>
      </c>
      <c r="BJ1768">
        <v>20140127</v>
      </c>
      <c r="BK1768">
        <v>7.49</v>
      </c>
      <c r="BL1768" t="s">
        <v>116</v>
      </c>
      <c r="BM1768" t="s">
        <v>116</v>
      </c>
      <c r="BN1768">
        <v>30.08</v>
      </c>
      <c r="BO1768">
        <v>21.25</v>
      </c>
      <c r="BP1768">
        <v>0</v>
      </c>
      <c r="BQ1768">
        <v>29.34</v>
      </c>
      <c r="BR1768">
        <v>13.07</v>
      </c>
      <c r="BS1768">
        <v>6.45</v>
      </c>
      <c r="BT1768">
        <v>1.29</v>
      </c>
      <c r="BU1768">
        <v>7.17</v>
      </c>
      <c r="BV1768">
        <v>3.51</v>
      </c>
      <c r="BW1768">
        <v>3.25</v>
      </c>
      <c r="BX1768">
        <v>4.8</v>
      </c>
      <c r="BY1768">
        <v>11.15</v>
      </c>
      <c r="BZ1768">
        <v>8.57</v>
      </c>
      <c r="CA1768">
        <v>0.9</v>
      </c>
      <c r="CB1768">
        <v>0</v>
      </c>
      <c r="CC1768">
        <v>0.9</v>
      </c>
      <c r="CD1768">
        <v>0.76</v>
      </c>
      <c r="CE1768">
        <v>0.67</v>
      </c>
      <c r="CF1768">
        <v>0.62</v>
      </c>
      <c r="CG1768">
        <v>7.9</v>
      </c>
      <c r="CH1768">
        <v>1.74</v>
      </c>
      <c r="CI1768">
        <v>-0.21</v>
      </c>
      <c r="CJ1768">
        <v>22397</v>
      </c>
      <c r="CK1768">
        <v>17091</v>
      </c>
      <c r="CL1768" t="s">
        <v>1118</v>
      </c>
      <c r="CM1768">
        <v>-19.350000000000001</v>
      </c>
      <c r="CN1768">
        <v>20.52</v>
      </c>
      <c r="CO1768">
        <v>1.22</v>
      </c>
      <c r="CP1768">
        <v>15.21</v>
      </c>
      <c r="CQ1768">
        <v>2.38</v>
      </c>
      <c r="CR1768">
        <v>0.91</v>
      </c>
      <c r="CS1768" t="s">
        <v>2448</v>
      </c>
      <c r="CT1768">
        <v>2.91</v>
      </c>
      <c r="CU1768">
        <v>2.91</v>
      </c>
      <c r="CV1768">
        <v>0.64</v>
      </c>
      <c r="CW1768">
        <v>1.05</v>
      </c>
      <c r="CX1768">
        <v>0.23</v>
      </c>
      <c r="CY1768">
        <v>70.66</v>
      </c>
      <c r="CZ1768" t="s">
        <v>9028</v>
      </c>
      <c r="DA1768">
        <v>23.11</v>
      </c>
      <c r="DB1768">
        <v>8.0299999999999994</v>
      </c>
      <c r="DC1768">
        <v>5.99</v>
      </c>
      <c r="DD1768">
        <v>0.46</v>
      </c>
      <c r="DE1768">
        <v>3369</v>
      </c>
      <c r="DF1768">
        <v>300375</v>
      </c>
      <c r="DG1768" t="s">
        <v>116</v>
      </c>
      <c r="DH1768" t="s">
        <v>116</v>
      </c>
      <c r="DI1768" t="s">
        <v>116</v>
      </c>
    </row>
    <row r="1769" spans="1:113" x14ac:dyDescent="0.4">
      <c r="A1769" t="str">
        <f>"300376"</f>
        <v>300376</v>
      </c>
      <c r="B1769" t="s">
        <v>9029</v>
      </c>
      <c r="C1769">
        <v>-1.08</v>
      </c>
      <c r="D1769">
        <v>4.59</v>
      </c>
      <c r="E1769">
        <v>-0.05</v>
      </c>
      <c r="F1769">
        <v>4.58</v>
      </c>
      <c r="G1769">
        <v>4.59</v>
      </c>
      <c r="H1769">
        <v>121116</v>
      </c>
      <c r="I1769">
        <v>1377</v>
      </c>
      <c r="J1769">
        <v>0.66</v>
      </c>
      <c r="K1769">
        <v>0.52</v>
      </c>
      <c r="L1769">
        <v>4.6100000000000003</v>
      </c>
      <c r="M1769">
        <v>4.6500000000000004</v>
      </c>
      <c r="N1769">
        <v>4.55</v>
      </c>
      <c r="O1769">
        <v>4.6399999999999997</v>
      </c>
      <c r="P1769">
        <v>19.98</v>
      </c>
      <c r="Q1769">
        <v>55718924</v>
      </c>
      <c r="R1769">
        <v>0.55000000000000004</v>
      </c>
      <c r="S1769" t="s">
        <v>397</v>
      </c>
      <c r="T1769" t="s">
        <v>551</v>
      </c>
      <c r="U1769">
        <v>2.16</v>
      </c>
      <c r="V1769">
        <v>4.5999999999999996</v>
      </c>
      <c r="W1769">
        <v>75853</v>
      </c>
      <c r="X1769">
        <v>45263</v>
      </c>
      <c r="Y1769">
        <v>1.68</v>
      </c>
      <c r="Z1769">
        <v>133</v>
      </c>
      <c r="AA1769">
        <v>1249</v>
      </c>
      <c r="AB1769" t="s">
        <v>116</v>
      </c>
      <c r="AC1769">
        <v>484100</v>
      </c>
      <c r="AD1769">
        <v>0.01</v>
      </c>
      <c r="AE1769" t="s">
        <v>116</v>
      </c>
      <c r="AF1769" t="s">
        <v>116</v>
      </c>
      <c r="AG1769">
        <v>23.08</v>
      </c>
      <c r="AH1769" t="s">
        <v>9030</v>
      </c>
      <c r="AI1769" t="s">
        <v>9031</v>
      </c>
      <c r="AJ1769">
        <v>-0.4</v>
      </c>
      <c r="AK1769">
        <v>1475</v>
      </c>
      <c r="AL1769">
        <v>82</v>
      </c>
      <c r="AM1769">
        <v>4.0000000000000002E-4</v>
      </c>
      <c r="AN1769">
        <v>-1</v>
      </c>
      <c r="AO1769">
        <v>-2.14</v>
      </c>
      <c r="AP1769">
        <v>6.99</v>
      </c>
      <c r="AQ1769">
        <v>2.23</v>
      </c>
      <c r="AR1769">
        <v>9.68</v>
      </c>
      <c r="AS1769">
        <v>1.45</v>
      </c>
      <c r="AT1769" t="s">
        <v>9032</v>
      </c>
      <c r="AU1769">
        <v>26.08</v>
      </c>
      <c r="AV1769">
        <v>18.86</v>
      </c>
      <c r="AW1769">
        <v>0.31</v>
      </c>
      <c r="BA1769">
        <v>-0.65</v>
      </c>
      <c r="BB1769">
        <v>0.22</v>
      </c>
      <c r="BC1769">
        <v>-1.94</v>
      </c>
      <c r="BD1769">
        <v>-0.85</v>
      </c>
      <c r="BE1769">
        <v>-0.43</v>
      </c>
      <c r="BF1769">
        <v>-1.29</v>
      </c>
      <c r="BG1769">
        <v>0.88</v>
      </c>
      <c r="BH1769">
        <v>-0.23</v>
      </c>
      <c r="BI1769">
        <v>20191101</v>
      </c>
      <c r="BJ1769">
        <v>20140127</v>
      </c>
      <c r="BK1769">
        <v>23.2</v>
      </c>
      <c r="BL1769" t="s">
        <v>116</v>
      </c>
      <c r="BM1769" t="s">
        <v>116</v>
      </c>
      <c r="BN1769">
        <v>131.58000000000001</v>
      </c>
      <c r="BO1769">
        <v>51.91</v>
      </c>
      <c r="BP1769">
        <v>2.82</v>
      </c>
      <c r="BQ1769">
        <v>58.4</v>
      </c>
      <c r="BR1769">
        <v>67.13</v>
      </c>
      <c r="BS1769">
        <v>41.82</v>
      </c>
      <c r="BT1769">
        <v>1.58</v>
      </c>
      <c r="BU1769">
        <v>57.31</v>
      </c>
      <c r="BV1769">
        <v>6.07</v>
      </c>
      <c r="BW1769">
        <v>35.090000000000003</v>
      </c>
      <c r="BX1769">
        <v>3.32</v>
      </c>
      <c r="BY1769">
        <v>27.01</v>
      </c>
      <c r="BZ1769">
        <v>18.53</v>
      </c>
      <c r="CA1769">
        <v>4.1399999999999997</v>
      </c>
      <c r="CB1769">
        <v>0.12</v>
      </c>
      <c r="CC1769">
        <v>4.66</v>
      </c>
      <c r="CD1769">
        <v>4.1900000000000004</v>
      </c>
      <c r="CE1769">
        <v>4</v>
      </c>
      <c r="CF1769">
        <v>3.33</v>
      </c>
      <c r="CG1769">
        <v>24.5</v>
      </c>
      <c r="CH1769">
        <v>-6.6</v>
      </c>
      <c r="CI1769">
        <v>-1.62</v>
      </c>
      <c r="CJ1769">
        <v>46000</v>
      </c>
      <c r="CK1769">
        <v>18163</v>
      </c>
      <c r="CL1769" t="s">
        <v>3525</v>
      </c>
      <c r="CM1769">
        <v>-28.12</v>
      </c>
      <c r="CN1769">
        <v>-34.53</v>
      </c>
      <c r="CO1769">
        <v>2.06</v>
      </c>
      <c r="CP1769">
        <v>-16.13</v>
      </c>
      <c r="CQ1769">
        <v>3.94</v>
      </c>
      <c r="CR1769">
        <v>0.55000000000000004</v>
      </c>
      <c r="CS1769" t="s">
        <v>5990</v>
      </c>
      <c r="CT1769">
        <v>2.23</v>
      </c>
      <c r="CU1769">
        <v>2.23</v>
      </c>
      <c r="CV1769">
        <v>0.14000000000000001</v>
      </c>
      <c r="CW1769">
        <v>1.06</v>
      </c>
      <c r="CX1769">
        <v>-0.28000000000000003</v>
      </c>
      <c r="CY1769">
        <v>39.46</v>
      </c>
      <c r="CZ1769" t="s">
        <v>7621</v>
      </c>
      <c r="DA1769">
        <v>31.39</v>
      </c>
      <c r="DB1769">
        <v>15.34</v>
      </c>
      <c r="DC1769">
        <v>14.79</v>
      </c>
      <c r="DD1769">
        <v>0.96</v>
      </c>
      <c r="DE1769">
        <v>1626</v>
      </c>
      <c r="DF1769">
        <v>300376</v>
      </c>
      <c r="DG1769" t="s">
        <v>116</v>
      </c>
      <c r="DH1769" t="s">
        <v>116</v>
      </c>
      <c r="DI1769" t="s">
        <v>116</v>
      </c>
    </row>
    <row r="1770" spans="1:113" x14ac:dyDescent="0.4">
      <c r="A1770" t="str">
        <f>"300377"</f>
        <v>300377</v>
      </c>
      <c r="B1770" t="s">
        <v>9033</v>
      </c>
      <c r="C1770">
        <v>-3.34</v>
      </c>
      <c r="D1770">
        <v>11.29</v>
      </c>
      <c r="E1770">
        <v>-0.39</v>
      </c>
      <c r="F1770">
        <v>11.29</v>
      </c>
      <c r="G1770">
        <v>11.3</v>
      </c>
      <c r="H1770">
        <v>215780</v>
      </c>
      <c r="I1770">
        <v>2328</v>
      </c>
      <c r="J1770">
        <v>0.09</v>
      </c>
      <c r="K1770">
        <v>3.81</v>
      </c>
      <c r="L1770">
        <v>11.67</v>
      </c>
      <c r="M1770">
        <v>11.72</v>
      </c>
      <c r="N1770">
        <v>11.2</v>
      </c>
      <c r="O1770">
        <v>11.68</v>
      </c>
      <c r="P1770">
        <v>50.26</v>
      </c>
      <c r="Q1770">
        <v>248253392</v>
      </c>
      <c r="R1770">
        <v>1.1599999999999999</v>
      </c>
      <c r="S1770" t="s">
        <v>607</v>
      </c>
      <c r="T1770" t="s">
        <v>115</v>
      </c>
      <c r="U1770">
        <v>4.45</v>
      </c>
      <c r="V1770">
        <v>11.5</v>
      </c>
      <c r="W1770">
        <v>140169</v>
      </c>
      <c r="X1770">
        <v>75611</v>
      </c>
      <c r="Y1770">
        <v>1.85</v>
      </c>
      <c r="Z1770">
        <v>71</v>
      </c>
      <c r="AA1770">
        <v>380</v>
      </c>
      <c r="AB1770" t="s">
        <v>116</v>
      </c>
      <c r="AC1770">
        <v>280100</v>
      </c>
      <c r="AD1770">
        <v>0.01</v>
      </c>
      <c r="AE1770" t="s">
        <v>116</v>
      </c>
      <c r="AF1770" t="s">
        <v>116</v>
      </c>
      <c r="AG1770">
        <v>5.67</v>
      </c>
      <c r="AH1770" t="s">
        <v>9034</v>
      </c>
      <c r="AI1770" t="s">
        <v>9035</v>
      </c>
      <c r="AJ1770">
        <v>-2.66</v>
      </c>
      <c r="AK1770">
        <v>3351</v>
      </c>
      <c r="AL1770">
        <v>64</v>
      </c>
      <c r="AM1770">
        <v>1.1000000000000001E-3</v>
      </c>
      <c r="AN1770">
        <v>-1</v>
      </c>
      <c r="AO1770">
        <v>0.09</v>
      </c>
      <c r="AP1770">
        <v>5.91</v>
      </c>
      <c r="AQ1770">
        <v>-1.4</v>
      </c>
      <c r="AR1770">
        <v>3.2</v>
      </c>
      <c r="AS1770">
        <v>4.51</v>
      </c>
      <c r="AT1770" t="s">
        <v>9036</v>
      </c>
      <c r="AU1770">
        <v>45.3</v>
      </c>
      <c r="AV1770">
        <v>47.13</v>
      </c>
      <c r="AW1770">
        <v>1.89</v>
      </c>
      <c r="BA1770">
        <v>-0.09</v>
      </c>
      <c r="BB1770">
        <v>0.34</v>
      </c>
      <c r="BC1770">
        <v>-4.1100000000000003</v>
      </c>
      <c r="BD1770">
        <v>-1.5</v>
      </c>
      <c r="BE1770">
        <v>-3.26</v>
      </c>
      <c r="BF1770">
        <v>-3.67</v>
      </c>
      <c r="BG1770">
        <v>0.8</v>
      </c>
      <c r="BH1770">
        <v>-1.84</v>
      </c>
      <c r="BI1770">
        <v>20191213</v>
      </c>
      <c r="BJ1770">
        <v>20140127</v>
      </c>
      <c r="BK1770">
        <v>7.42</v>
      </c>
      <c r="BL1770" t="s">
        <v>116</v>
      </c>
      <c r="BM1770" t="s">
        <v>116</v>
      </c>
      <c r="BN1770">
        <v>32.06</v>
      </c>
      <c r="BO1770">
        <v>27.69</v>
      </c>
      <c r="BP1770">
        <v>1.23</v>
      </c>
      <c r="BQ1770">
        <v>9.7799999999999994</v>
      </c>
      <c r="BR1770">
        <v>16.03</v>
      </c>
      <c r="BS1770">
        <v>8.0299999999999994</v>
      </c>
      <c r="BT1770">
        <v>0.02</v>
      </c>
      <c r="BU1770">
        <v>3.07</v>
      </c>
      <c r="BV1770">
        <v>0</v>
      </c>
      <c r="BW1770">
        <v>9.0500000000000007</v>
      </c>
      <c r="BX1770">
        <v>15.42</v>
      </c>
      <c r="BY1770">
        <v>5.48</v>
      </c>
      <c r="BZ1770">
        <v>1.22</v>
      </c>
      <c r="CA1770">
        <v>1.42</v>
      </c>
      <c r="CB1770">
        <v>0.05</v>
      </c>
      <c r="CC1770">
        <v>1.43</v>
      </c>
      <c r="CD1770">
        <v>1.27</v>
      </c>
      <c r="CE1770">
        <v>1.25</v>
      </c>
      <c r="CF1770">
        <v>1.2</v>
      </c>
      <c r="CG1770">
        <v>4.5</v>
      </c>
      <c r="CH1770">
        <v>-0.48</v>
      </c>
      <c r="CI1770">
        <v>0.1</v>
      </c>
      <c r="CJ1770">
        <v>55749</v>
      </c>
      <c r="CK1770">
        <v>8578</v>
      </c>
      <c r="CL1770" t="s">
        <v>4623</v>
      </c>
      <c r="CM1770">
        <v>6.07</v>
      </c>
      <c r="CN1770">
        <v>15.87</v>
      </c>
      <c r="CO1770">
        <v>3.03</v>
      </c>
      <c r="CP1770">
        <v>-175.77</v>
      </c>
      <c r="CQ1770">
        <v>15.29</v>
      </c>
      <c r="CR1770">
        <v>0.89</v>
      </c>
      <c r="CS1770" t="s">
        <v>1127</v>
      </c>
      <c r="CT1770">
        <v>3.73</v>
      </c>
      <c r="CU1770">
        <v>0</v>
      </c>
      <c r="CV1770">
        <v>2.08</v>
      </c>
      <c r="CW1770">
        <v>0.61</v>
      </c>
      <c r="CX1770">
        <v>-0.06</v>
      </c>
      <c r="CY1770">
        <v>86.38</v>
      </c>
      <c r="CZ1770" t="s">
        <v>2449</v>
      </c>
      <c r="DA1770">
        <v>77.709999999999994</v>
      </c>
      <c r="DB1770">
        <v>26</v>
      </c>
      <c r="DC1770">
        <v>22.82</v>
      </c>
      <c r="DD1770">
        <v>2.12</v>
      </c>
      <c r="DE1770">
        <v>2480</v>
      </c>
      <c r="DF1770">
        <v>300377</v>
      </c>
      <c r="DG1770" t="s">
        <v>116</v>
      </c>
      <c r="DH1770" t="s">
        <v>116</v>
      </c>
      <c r="DI1770" t="s">
        <v>116</v>
      </c>
    </row>
    <row r="1771" spans="1:113" x14ac:dyDescent="0.4">
      <c r="A1771" t="str">
        <f>"300378"</f>
        <v>300378</v>
      </c>
      <c r="B1771" t="s">
        <v>9037</v>
      </c>
      <c r="C1771">
        <v>-1.93</v>
      </c>
      <c r="D1771">
        <v>14.71</v>
      </c>
      <c r="E1771">
        <v>-0.28999999999999998</v>
      </c>
      <c r="F1771">
        <v>14.71</v>
      </c>
      <c r="G1771">
        <v>14.72</v>
      </c>
      <c r="H1771">
        <v>66507</v>
      </c>
      <c r="I1771">
        <v>503</v>
      </c>
      <c r="J1771">
        <v>-0.06</v>
      </c>
      <c r="K1771">
        <v>2.5099999999999998</v>
      </c>
      <c r="L1771">
        <v>15.13</v>
      </c>
      <c r="M1771">
        <v>15.13</v>
      </c>
      <c r="N1771">
        <v>14.69</v>
      </c>
      <c r="O1771">
        <v>15</v>
      </c>
      <c r="P1771">
        <v>47.6</v>
      </c>
      <c r="Q1771">
        <v>99124848</v>
      </c>
      <c r="R1771">
        <v>1</v>
      </c>
      <c r="S1771" t="s">
        <v>607</v>
      </c>
      <c r="T1771" t="s">
        <v>1653</v>
      </c>
      <c r="U1771">
        <v>2.93</v>
      </c>
      <c r="V1771">
        <v>14.9</v>
      </c>
      <c r="W1771">
        <v>36162</v>
      </c>
      <c r="X1771">
        <v>30345</v>
      </c>
      <c r="Y1771">
        <v>1.19</v>
      </c>
      <c r="Z1771">
        <v>47</v>
      </c>
      <c r="AA1771">
        <v>29</v>
      </c>
      <c r="AB1771" t="s">
        <v>116</v>
      </c>
      <c r="AC1771">
        <v>585500</v>
      </c>
      <c r="AD1771">
        <v>0.02</v>
      </c>
      <c r="AE1771" t="s">
        <v>116</v>
      </c>
      <c r="AF1771" t="s">
        <v>116</v>
      </c>
      <c r="AG1771">
        <v>2.65</v>
      </c>
      <c r="AH1771" t="s">
        <v>9038</v>
      </c>
      <c r="AI1771" t="s">
        <v>5516</v>
      </c>
      <c r="AJ1771">
        <v>-1.25</v>
      </c>
      <c r="AK1771">
        <v>2613</v>
      </c>
      <c r="AL1771">
        <v>25</v>
      </c>
      <c r="AM1771">
        <v>1E-3</v>
      </c>
      <c r="AN1771">
        <v>-1</v>
      </c>
      <c r="AO1771">
        <v>1.24</v>
      </c>
      <c r="AP1771">
        <v>8.16</v>
      </c>
      <c r="AQ1771">
        <v>-9.81</v>
      </c>
      <c r="AR1771">
        <v>51.81</v>
      </c>
      <c r="AS1771">
        <v>4.04</v>
      </c>
      <c r="AT1771" t="s">
        <v>9039</v>
      </c>
      <c r="AU1771">
        <v>46.38</v>
      </c>
      <c r="AV1771">
        <v>49.37</v>
      </c>
      <c r="AW1771">
        <v>1.58</v>
      </c>
      <c r="BA1771">
        <v>0.87</v>
      </c>
      <c r="BB1771">
        <v>0.87</v>
      </c>
      <c r="BC1771">
        <v>-2.0699999999999998</v>
      </c>
      <c r="BD1771">
        <v>-0.64</v>
      </c>
      <c r="BE1771">
        <v>-2.78</v>
      </c>
      <c r="BF1771">
        <v>-2.78</v>
      </c>
      <c r="BG1771">
        <v>0.14000000000000001</v>
      </c>
      <c r="BH1771">
        <v>-1.3</v>
      </c>
      <c r="BI1771">
        <v>20191218</v>
      </c>
      <c r="BJ1771">
        <v>20140127</v>
      </c>
      <c r="BK1771">
        <v>2.66</v>
      </c>
      <c r="BL1771" t="s">
        <v>116</v>
      </c>
      <c r="BM1771" t="s">
        <v>116</v>
      </c>
      <c r="BN1771">
        <v>20.47</v>
      </c>
      <c r="BO1771">
        <v>13.47</v>
      </c>
      <c r="BP1771">
        <v>0.06</v>
      </c>
      <c r="BQ1771">
        <v>33.94</v>
      </c>
      <c r="BR1771">
        <v>9.94</v>
      </c>
      <c r="BS1771">
        <v>7.86</v>
      </c>
      <c r="BT1771">
        <v>1.24</v>
      </c>
      <c r="BU1771">
        <v>6.95</v>
      </c>
      <c r="BV1771">
        <v>0.09</v>
      </c>
      <c r="BW1771">
        <v>1.44</v>
      </c>
      <c r="BX1771">
        <v>6.5</v>
      </c>
      <c r="BY1771">
        <v>10.08</v>
      </c>
      <c r="BZ1771">
        <v>1.66</v>
      </c>
      <c r="CA1771">
        <v>0.84</v>
      </c>
      <c r="CB1771">
        <v>0.05</v>
      </c>
      <c r="CC1771">
        <v>0.85</v>
      </c>
      <c r="CD1771">
        <v>0.62</v>
      </c>
      <c r="CE1771">
        <v>0.62</v>
      </c>
      <c r="CF1771">
        <v>0.53</v>
      </c>
      <c r="CG1771">
        <v>4.26</v>
      </c>
      <c r="CH1771">
        <v>0.25</v>
      </c>
      <c r="CI1771">
        <v>-4.57</v>
      </c>
      <c r="CJ1771">
        <v>29000</v>
      </c>
      <c r="CK1771">
        <v>5670</v>
      </c>
      <c r="CL1771" t="s">
        <v>3525</v>
      </c>
      <c r="CM1771">
        <v>9.06</v>
      </c>
      <c r="CN1771">
        <v>4.7300000000000004</v>
      </c>
      <c r="CO1771">
        <v>2.9</v>
      </c>
      <c r="CP1771">
        <v>157.15</v>
      </c>
      <c r="CQ1771">
        <v>3.88</v>
      </c>
      <c r="CR1771">
        <v>0.68</v>
      </c>
      <c r="CS1771" t="s">
        <v>5786</v>
      </c>
      <c r="CT1771">
        <v>5.0599999999999996</v>
      </c>
      <c r="CU1771">
        <v>0</v>
      </c>
      <c r="CV1771">
        <v>2.44</v>
      </c>
      <c r="CW1771">
        <v>1.6</v>
      </c>
      <c r="CX1771">
        <v>0.09</v>
      </c>
      <c r="CY1771">
        <v>65.790000000000006</v>
      </c>
      <c r="CZ1771" t="s">
        <v>5505</v>
      </c>
      <c r="DA1771">
        <v>83.54</v>
      </c>
      <c r="DB1771">
        <v>8.36</v>
      </c>
      <c r="DC1771">
        <v>6.11</v>
      </c>
      <c r="DD1771">
        <v>1.18</v>
      </c>
      <c r="DE1771">
        <v>3608</v>
      </c>
      <c r="DF1771">
        <v>300378</v>
      </c>
      <c r="DG1771" t="s">
        <v>116</v>
      </c>
      <c r="DH1771" t="s">
        <v>116</v>
      </c>
      <c r="DI1771" t="s">
        <v>116</v>
      </c>
    </row>
    <row r="1772" spans="1:113" x14ac:dyDescent="0.4">
      <c r="A1772" t="str">
        <f>"300379"</f>
        <v>300379</v>
      </c>
      <c r="B1772" t="s">
        <v>9040</v>
      </c>
      <c r="C1772">
        <v>-4.3899999999999997</v>
      </c>
      <c r="D1772">
        <v>47</v>
      </c>
      <c r="E1772">
        <v>-2.16</v>
      </c>
      <c r="F1772">
        <v>47</v>
      </c>
      <c r="G1772">
        <v>47.03</v>
      </c>
      <c r="H1772">
        <v>223806</v>
      </c>
      <c r="I1772">
        <v>5994</v>
      </c>
      <c r="J1772">
        <v>-0.37</v>
      </c>
      <c r="K1772">
        <v>9.5399999999999991</v>
      </c>
      <c r="L1772">
        <v>49.1</v>
      </c>
      <c r="M1772">
        <v>49.4</v>
      </c>
      <c r="N1772">
        <v>46.73</v>
      </c>
      <c r="O1772">
        <v>49.16</v>
      </c>
      <c r="P1772">
        <v>204.66</v>
      </c>
      <c r="Q1772">
        <v>1084441984</v>
      </c>
      <c r="R1772">
        <v>0.92</v>
      </c>
      <c r="S1772" t="s">
        <v>607</v>
      </c>
      <c r="T1772" t="s">
        <v>165</v>
      </c>
      <c r="U1772">
        <v>5.43</v>
      </c>
      <c r="V1772">
        <v>48.45</v>
      </c>
      <c r="W1772">
        <v>113850</v>
      </c>
      <c r="X1772">
        <v>109956</v>
      </c>
      <c r="Y1772">
        <v>1.04</v>
      </c>
      <c r="Z1772">
        <v>26</v>
      </c>
      <c r="AA1772">
        <v>1</v>
      </c>
      <c r="AB1772" t="s">
        <v>116</v>
      </c>
      <c r="AC1772">
        <v>3422300</v>
      </c>
      <c r="AD1772">
        <v>0.03</v>
      </c>
      <c r="AE1772" t="s">
        <v>116</v>
      </c>
      <c r="AF1772" t="s">
        <v>116</v>
      </c>
      <c r="AG1772">
        <v>2.35</v>
      </c>
      <c r="AH1772" t="s">
        <v>9041</v>
      </c>
      <c r="AI1772" t="s">
        <v>9042</v>
      </c>
      <c r="AJ1772">
        <v>-3.71</v>
      </c>
      <c r="AK1772">
        <v>4419</v>
      </c>
      <c r="AL1772">
        <v>51</v>
      </c>
      <c r="AM1772">
        <v>2.2000000000000001E-3</v>
      </c>
      <c r="AN1772">
        <v>-1</v>
      </c>
      <c r="AO1772">
        <v>-3.96</v>
      </c>
      <c r="AP1772">
        <v>19.62</v>
      </c>
      <c r="AQ1772">
        <v>22.24</v>
      </c>
      <c r="AR1772">
        <v>234.52</v>
      </c>
      <c r="AS1772">
        <v>10.33</v>
      </c>
      <c r="AT1772" t="s">
        <v>9043</v>
      </c>
      <c r="AU1772">
        <v>87.91</v>
      </c>
      <c r="AV1772">
        <v>106.58</v>
      </c>
      <c r="AW1772">
        <v>1.76</v>
      </c>
      <c r="BA1772">
        <v>-0.12</v>
      </c>
      <c r="BB1772">
        <v>0.49</v>
      </c>
      <c r="BC1772">
        <v>-4.9400000000000004</v>
      </c>
      <c r="BD1772">
        <v>-1.44</v>
      </c>
      <c r="BE1772">
        <v>-4.28</v>
      </c>
      <c r="BF1772">
        <v>-4.8600000000000003</v>
      </c>
      <c r="BG1772">
        <v>0.57999999999999996</v>
      </c>
      <c r="BH1772">
        <v>-2.96</v>
      </c>
      <c r="BI1772">
        <v>20191225</v>
      </c>
      <c r="BJ1772">
        <v>20140128</v>
      </c>
      <c r="BK1772">
        <v>2.81</v>
      </c>
      <c r="BL1772" t="s">
        <v>116</v>
      </c>
      <c r="BM1772" t="s">
        <v>116</v>
      </c>
      <c r="BN1772">
        <v>20.18</v>
      </c>
      <c r="BO1772">
        <v>15.32</v>
      </c>
      <c r="BP1772">
        <v>0</v>
      </c>
      <c r="BQ1772">
        <v>24.08</v>
      </c>
      <c r="BR1772">
        <v>7.41</v>
      </c>
      <c r="BS1772">
        <v>0.81</v>
      </c>
      <c r="BT1772">
        <v>0.18</v>
      </c>
      <c r="BU1772">
        <v>3.98</v>
      </c>
      <c r="BV1772">
        <v>0.32</v>
      </c>
      <c r="BW1772">
        <v>4.05</v>
      </c>
      <c r="BX1772">
        <v>12.41</v>
      </c>
      <c r="BY1772">
        <v>2.52</v>
      </c>
      <c r="BZ1772">
        <v>0.52</v>
      </c>
      <c r="CA1772">
        <v>0.59</v>
      </c>
      <c r="CB1772">
        <v>-0.01</v>
      </c>
      <c r="CC1772">
        <v>0.59</v>
      </c>
      <c r="CD1772">
        <v>0.48</v>
      </c>
      <c r="CE1772">
        <v>0.48</v>
      </c>
      <c r="CF1772">
        <v>0.34</v>
      </c>
      <c r="CG1772">
        <v>1.33</v>
      </c>
      <c r="CH1772">
        <v>-0.59</v>
      </c>
      <c r="CI1772">
        <v>-2.0099999999999998</v>
      </c>
      <c r="CJ1772">
        <v>29735</v>
      </c>
      <c r="CK1772">
        <v>7289</v>
      </c>
      <c r="CL1772" t="s">
        <v>9044</v>
      </c>
      <c r="CM1772">
        <v>115.5</v>
      </c>
      <c r="CN1772">
        <v>31.64</v>
      </c>
      <c r="CO1772">
        <v>8.6199999999999992</v>
      </c>
      <c r="CP1772">
        <v>-223.01</v>
      </c>
      <c r="CQ1772">
        <v>52.4</v>
      </c>
      <c r="CR1772">
        <v>0</v>
      </c>
      <c r="CS1772" t="s">
        <v>1971</v>
      </c>
      <c r="CT1772">
        <v>5.45</v>
      </c>
      <c r="CU1772">
        <v>5.45</v>
      </c>
      <c r="CV1772">
        <v>4.42</v>
      </c>
      <c r="CW1772">
        <v>0.47</v>
      </c>
      <c r="CX1772">
        <v>-0.21</v>
      </c>
      <c r="CY1772">
        <v>75.92</v>
      </c>
      <c r="CZ1772" t="s">
        <v>193</v>
      </c>
      <c r="DA1772">
        <v>79.5</v>
      </c>
      <c r="DB1772">
        <v>23.47</v>
      </c>
      <c r="DC1772">
        <v>19.2</v>
      </c>
      <c r="DD1772">
        <v>0.68</v>
      </c>
      <c r="DE1772">
        <v>584</v>
      </c>
      <c r="DF1772">
        <v>300379</v>
      </c>
      <c r="DG1772" t="s">
        <v>116</v>
      </c>
      <c r="DH1772" t="s">
        <v>116</v>
      </c>
      <c r="DI1772" t="s">
        <v>116</v>
      </c>
    </row>
    <row r="1773" spans="1:113" x14ac:dyDescent="0.4">
      <c r="A1773" t="str">
        <f>"300380"</f>
        <v>300380</v>
      </c>
      <c r="B1773" t="s">
        <v>9045</v>
      </c>
      <c r="C1773">
        <v>-1.65</v>
      </c>
      <c r="D1773">
        <v>19.73</v>
      </c>
      <c r="E1773">
        <v>-0.33</v>
      </c>
      <c r="F1773">
        <v>19.73</v>
      </c>
      <c r="G1773">
        <v>19.739999999999998</v>
      </c>
      <c r="H1773">
        <v>18216</v>
      </c>
      <c r="I1773">
        <v>343</v>
      </c>
      <c r="J1773">
        <v>0.15</v>
      </c>
      <c r="K1773">
        <v>1.5</v>
      </c>
      <c r="L1773">
        <v>20.16</v>
      </c>
      <c r="M1773">
        <v>20.3</v>
      </c>
      <c r="N1773">
        <v>19.600000000000001</v>
      </c>
      <c r="O1773">
        <v>20.059999999999999</v>
      </c>
      <c r="P1773">
        <v>120.32</v>
      </c>
      <c r="Q1773">
        <v>36395484</v>
      </c>
      <c r="R1773">
        <v>0.93</v>
      </c>
      <c r="S1773" t="s">
        <v>607</v>
      </c>
      <c r="T1773" t="s">
        <v>1653</v>
      </c>
      <c r="U1773">
        <v>3.49</v>
      </c>
      <c r="V1773">
        <v>19.98</v>
      </c>
      <c r="W1773">
        <v>10173</v>
      </c>
      <c r="X1773">
        <v>8043</v>
      </c>
      <c r="Y1773">
        <v>1.26</v>
      </c>
      <c r="Z1773">
        <v>74</v>
      </c>
      <c r="AA1773">
        <v>52</v>
      </c>
      <c r="AB1773" t="s">
        <v>116</v>
      </c>
      <c r="AC1773">
        <v>94800</v>
      </c>
      <c r="AD1773">
        <v>0.01</v>
      </c>
      <c r="AE1773" t="s">
        <v>116</v>
      </c>
      <c r="AF1773" t="s">
        <v>116</v>
      </c>
      <c r="AG1773">
        <v>1.21</v>
      </c>
      <c r="AH1773" t="s">
        <v>8458</v>
      </c>
      <c r="AI1773" t="s">
        <v>9046</v>
      </c>
      <c r="AJ1773">
        <v>-0.97</v>
      </c>
      <c r="AK1773">
        <v>1466</v>
      </c>
      <c r="AL1773">
        <v>12</v>
      </c>
      <c r="AM1773">
        <v>1E-3</v>
      </c>
      <c r="AN1773">
        <v>-2</v>
      </c>
      <c r="AO1773">
        <v>-1.26</v>
      </c>
      <c r="AP1773">
        <v>9.1300000000000008</v>
      </c>
      <c r="AQ1773">
        <v>-8.32</v>
      </c>
      <c r="AR1773">
        <v>28.03</v>
      </c>
      <c r="AS1773">
        <v>2.81</v>
      </c>
      <c r="AT1773" t="s">
        <v>7320</v>
      </c>
      <c r="AU1773">
        <v>83.03</v>
      </c>
      <c r="AV1773">
        <v>92.81</v>
      </c>
      <c r="AW1773">
        <v>1.64</v>
      </c>
      <c r="BA1773">
        <v>0.5</v>
      </c>
      <c r="BB1773">
        <v>1.2</v>
      </c>
      <c r="BC1773">
        <v>-2.29</v>
      </c>
      <c r="BD1773">
        <v>-0.4</v>
      </c>
      <c r="BE1773">
        <v>-2.13</v>
      </c>
      <c r="BF1773">
        <v>-2.81</v>
      </c>
      <c r="BG1773">
        <v>0.66</v>
      </c>
      <c r="BH1773">
        <v>-1.24</v>
      </c>
      <c r="BI1773">
        <v>20191026</v>
      </c>
      <c r="BJ1773">
        <v>20140128</v>
      </c>
      <c r="BK1773">
        <v>1.37</v>
      </c>
      <c r="BL1773" t="s">
        <v>116</v>
      </c>
      <c r="BM1773" t="s">
        <v>116</v>
      </c>
      <c r="BN1773">
        <v>6.27</v>
      </c>
      <c r="BO1773">
        <v>4.34</v>
      </c>
      <c r="BP1773">
        <v>0.22</v>
      </c>
      <c r="BQ1773">
        <v>27.27</v>
      </c>
      <c r="BR1773">
        <v>5.17</v>
      </c>
      <c r="BS1773">
        <v>0.24</v>
      </c>
      <c r="BT1773">
        <v>0.01</v>
      </c>
      <c r="BU1773">
        <v>1.71</v>
      </c>
      <c r="BV1773">
        <v>1.99</v>
      </c>
      <c r="BW1773">
        <v>1.91</v>
      </c>
      <c r="BX1773">
        <v>1.43</v>
      </c>
      <c r="BY1773">
        <v>3.85</v>
      </c>
      <c r="BZ1773">
        <v>2.3199999999999998</v>
      </c>
      <c r="CA1773">
        <v>0.12</v>
      </c>
      <c r="CB1773">
        <v>-0.01</v>
      </c>
      <c r="CC1773">
        <v>0.13</v>
      </c>
      <c r="CD1773">
        <v>0.1</v>
      </c>
      <c r="CE1773">
        <v>0.17</v>
      </c>
      <c r="CF1773">
        <v>0.16</v>
      </c>
      <c r="CG1773">
        <v>1.28</v>
      </c>
      <c r="CH1773">
        <v>-1.36</v>
      </c>
      <c r="CI1773">
        <v>-1.66</v>
      </c>
      <c r="CJ1773">
        <v>22042</v>
      </c>
      <c r="CK1773">
        <v>2944</v>
      </c>
      <c r="CL1773" t="s">
        <v>1527</v>
      </c>
      <c r="CM1773">
        <v>25.58</v>
      </c>
      <c r="CN1773">
        <v>14.59</v>
      </c>
      <c r="CO1773">
        <v>6.25</v>
      </c>
      <c r="CP1773">
        <v>-19.940000000000001</v>
      </c>
      <c r="CQ1773">
        <v>7.04</v>
      </c>
      <c r="CR1773">
        <v>0.51</v>
      </c>
      <c r="CS1773" t="s">
        <v>1605</v>
      </c>
      <c r="CT1773">
        <v>3.15</v>
      </c>
      <c r="CU1773">
        <v>0</v>
      </c>
      <c r="CV1773">
        <v>1.04</v>
      </c>
      <c r="CW1773">
        <v>0.93</v>
      </c>
      <c r="CX1773">
        <v>-0.99</v>
      </c>
      <c r="CY1773">
        <v>69.180000000000007</v>
      </c>
      <c r="CZ1773" t="s">
        <v>3754</v>
      </c>
      <c r="DA1773">
        <v>39.630000000000003</v>
      </c>
      <c r="DB1773">
        <v>3.01</v>
      </c>
      <c r="DC1773">
        <v>4.3899999999999997</v>
      </c>
      <c r="DD1773">
        <v>0.76</v>
      </c>
      <c r="DE1773">
        <v>2400</v>
      </c>
      <c r="DF1773">
        <v>300380</v>
      </c>
      <c r="DG1773" t="s">
        <v>116</v>
      </c>
      <c r="DH1773" t="s">
        <v>116</v>
      </c>
      <c r="DI1773" t="s">
        <v>116</v>
      </c>
    </row>
    <row r="1774" spans="1:113" x14ac:dyDescent="0.4">
      <c r="A1774" t="str">
        <f>"300381"</f>
        <v>300381</v>
      </c>
      <c r="B1774" t="s">
        <v>9047</v>
      </c>
      <c r="C1774">
        <v>-2.16</v>
      </c>
      <c r="D1774">
        <v>9.98</v>
      </c>
      <c r="E1774">
        <v>-0.22</v>
      </c>
      <c r="F1774">
        <v>9.98</v>
      </c>
      <c r="G1774">
        <v>10</v>
      </c>
      <c r="H1774">
        <v>74429</v>
      </c>
      <c r="I1774">
        <v>618</v>
      </c>
      <c r="J1774">
        <v>-0.19</v>
      </c>
      <c r="K1774">
        <v>1.73</v>
      </c>
      <c r="L1774">
        <v>10.220000000000001</v>
      </c>
      <c r="M1774">
        <v>10.26</v>
      </c>
      <c r="N1774">
        <v>9.9700000000000006</v>
      </c>
      <c r="O1774">
        <v>10.199999999999999</v>
      </c>
      <c r="P1774">
        <v>38.590000000000003</v>
      </c>
      <c r="Q1774">
        <v>75041232</v>
      </c>
      <c r="R1774">
        <v>0.65</v>
      </c>
      <c r="S1774" t="s">
        <v>132</v>
      </c>
      <c r="T1774" t="s">
        <v>551</v>
      </c>
      <c r="U1774">
        <v>2.84</v>
      </c>
      <c r="V1774">
        <v>10.08</v>
      </c>
      <c r="W1774">
        <v>39800</v>
      </c>
      <c r="X1774">
        <v>34629</v>
      </c>
      <c r="Y1774">
        <v>1.1499999999999999</v>
      </c>
      <c r="Z1774">
        <v>189</v>
      </c>
      <c r="AA1774">
        <v>67</v>
      </c>
      <c r="AB1774" t="s">
        <v>116</v>
      </c>
      <c r="AC1774">
        <v>16400</v>
      </c>
      <c r="AD1774">
        <v>0</v>
      </c>
      <c r="AE1774" t="s">
        <v>116</v>
      </c>
      <c r="AF1774" t="s">
        <v>116</v>
      </c>
      <c r="AG1774">
        <v>4.29</v>
      </c>
      <c r="AH1774" t="s">
        <v>5927</v>
      </c>
      <c r="AI1774" t="s">
        <v>5927</v>
      </c>
      <c r="AJ1774">
        <v>-1.48</v>
      </c>
      <c r="AK1774">
        <v>1740</v>
      </c>
      <c r="AL1774">
        <v>43</v>
      </c>
      <c r="AM1774">
        <v>1E-3</v>
      </c>
      <c r="AN1774">
        <v>-1</v>
      </c>
      <c r="AO1774">
        <v>-3.67</v>
      </c>
      <c r="AP1774">
        <v>16.05</v>
      </c>
      <c r="AQ1774">
        <v>7.31</v>
      </c>
      <c r="AR1774">
        <v>22</v>
      </c>
      <c r="AS1774">
        <v>3.24</v>
      </c>
      <c r="AT1774" t="s">
        <v>9048</v>
      </c>
      <c r="AU1774">
        <v>35.01</v>
      </c>
      <c r="AV1774">
        <v>37.75</v>
      </c>
      <c r="AW1774">
        <v>0.64</v>
      </c>
      <c r="BA1774">
        <v>0.2</v>
      </c>
      <c r="BB1774">
        <v>0.59</v>
      </c>
      <c r="BC1774">
        <v>-2.25</v>
      </c>
      <c r="BD1774">
        <v>-1.1499999999999999</v>
      </c>
      <c r="BE1774">
        <v>-2.35</v>
      </c>
      <c r="BF1774">
        <v>-2.73</v>
      </c>
      <c r="BG1774">
        <v>0.1</v>
      </c>
      <c r="BH1774">
        <v>-1</v>
      </c>
      <c r="BI1774">
        <v>20191227</v>
      </c>
      <c r="BJ1774">
        <v>20140128</v>
      </c>
      <c r="BK1774">
        <v>4.29</v>
      </c>
      <c r="BL1774" t="s">
        <v>116</v>
      </c>
      <c r="BM1774" t="s">
        <v>116</v>
      </c>
      <c r="BN1774">
        <v>45.58</v>
      </c>
      <c r="BO1774">
        <v>23.55</v>
      </c>
      <c r="BP1774">
        <v>2.72</v>
      </c>
      <c r="BQ1774">
        <v>42.35</v>
      </c>
      <c r="BR1774">
        <v>21.28</v>
      </c>
      <c r="BS1774">
        <v>12.73</v>
      </c>
      <c r="BT1774">
        <v>3.55</v>
      </c>
      <c r="BU1774">
        <v>11.99</v>
      </c>
      <c r="BV1774">
        <v>11.08</v>
      </c>
      <c r="BW1774">
        <v>6</v>
      </c>
      <c r="BX1774">
        <v>11.92</v>
      </c>
      <c r="BY1774">
        <v>14.02</v>
      </c>
      <c r="BZ1774">
        <v>9.07</v>
      </c>
      <c r="CA1774">
        <v>1.24</v>
      </c>
      <c r="CB1774">
        <v>-0.01</v>
      </c>
      <c r="CC1774">
        <v>1.22</v>
      </c>
      <c r="CD1774">
        <v>1.08</v>
      </c>
      <c r="CE1774">
        <v>0.83</v>
      </c>
      <c r="CF1774">
        <v>0.65</v>
      </c>
      <c r="CG1774">
        <v>6.2</v>
      </c>
      <c r="CH1774">
        <v>2.4500000000000002</v>
      </c>
      <c r="CI1774">
        <v>-7.12</v>
      </c>
      <c r="CJ1774">
        <v>15295</v>
      </c>
      <c r="CK1774">
        <v>15031</v>
      </c>
      <c r="CL1774" t="s">
        <v>9049</v>
      </c>
      <c r="CM1774">
        <v>11.93</v>
      </c>
      <c r="CN1774">
        <v>13.08</v>
      </c>
      <c r="CO1774">
        <v>1.88</v>
      </c>
      <c r="CP1774">
        <v>17.48</v>
      </c>
      <c r="CQ1774">
        <v>3.06</v>
      </c>
      <c r="CR1774">
        <v>0.56999999999999995</v>
      </c>
      <c r="CS1774" t="s">
        <v>541</v>
      </c>
      <c r="CT1774">
        <v>5.31</v>
      </c>
      <c r="CU1774">
        <v>5.31</v>
      </c>
      <c r="CV1774">
        <v>2.78</v>
      </c>
      <c r="CW1774">
        <v>1.44</v>
      </c>
      <c r="CX1774">
        <v>0.56999999999999995</v>
      </c>
      <c r="CY1774">
        <v>51.68</v>
      </c>
      <c r="CZ1774" t="s">
        <v>5395</v>
      </c>
      <c r="DA1774">
        <v>35.340000000000003</v>
      </c>
      <c r="DB1774">
        <v>8.8699999999999992</v>
      </c>
      <c r="DC1774">
        <v>5.94</v>
      </c>
      <c r="DD1774">
        <v>0.73</v>
      </c>
      <c r="DE1774">
        <v>2611</v>
      </c>
      <c r="DF1774">
        <v>300381</v>
      </c>
      <c r="DG1774" t="s">
        <v>116</v>
      </c>
      <c r="DH1774" t="s">
        <v>116</v>
      </c>
      <c r="DI1774" t="s">
        <v>116</v>
      </c>
    </row>
    <row r="1775" spans="1:113" x14ac:dyDescent="0.4">
      <c r="A1775" t="str">
        <f>"300382"</f>
        <v>300382</v>
      </c>
      <c r="B1775" t="s">
        <v>9050</v>
      </c>
      <c r="C1775">
        <v>-2.64</v>
      </c>
      <c r="D1775">
        <v>5.54</v>
      </c>
      <c r="E1775">
        <v>-0.15</v>
      </c>
      <c r="F1775">
        <v>5.53</v>
      </c>
      <c r="G1775">
        <v>5.54</v>
      </c>
      <c r="H1775">
        <v>53736</v>
      </c>
      <c r="I1775">
        <v>3820</v>
      </c>
      <c r="J1775">
        <v>-0.71</v>
      </c>
      <c r="K1775">
        <v>0.95</v>
      </c>
      <c r="L1775">
        <v>5.67</v>
      </c>
      <c r="M1775">
        <v>5.75</v>
      </c>
      <c r="N1775">
        <v>5.54</v>
      </c>
      <c r="O1775">
        <v>5.69</v>
      </c>
      <c r="P1775">
        <v>26.39</v>
      </c>
      <c r="Q1775">
        <v>30215896</v>
      </c>
      <c r="R1775">
        <v>0.61</v>
      </c>
      <c r="S1775" t="s">
        <v>682</v>
      </c>
      <c r="T1775" t="s">
        <v>323</v>
      </c>
      <c r="U1775">
        <v>3.69</v>
      </c>
      <c r="V1775">
        <v>5.62</v>
      </c>
      <c r="W1775">
        <v>33925</v>
      </c>
      <c r="X1775">
        <v>19811</v>
      </c>
      <c r="Y1775">
        <v>1.71</v>
      </c>
      <c r="Z1775">
        <v>790</v>
      </c>
      <c r="AA1775">
        <v>314</v>
      </c>
      <c r="AB1775" t="s">
        <v>116</v>
      </c>
      <c r="AC1775">
        <v>11300</v>
      </c>
      <c r="AD1775">
        <v>0</v>
      </c>
      <c r="AE1775" t="s">
        <v>116</v>
      </c>
      <c r="AF1775" t="s">
        <v>116</v>
      </c>
      <c r="AG1775">
        <v>5.65</v>
      </c>
      <c r="AH1775" t="s">
        <v>9051</v>
      </c>
      <c r="AI1775" t="s">
        <v>7409</v>
      </c>
      <c r="AJ1775">
        <v>-1.96</v>
      </c>
      <c r="AK1775">
        <v>592</v>
      </c>
      <c r="AL1775">
        <v>91</v>
      </c>
      <c r="AM1775">
        <v>1.6000000000000001E-3</v>
      </c>
      <c r="AN1775">
        <v>-1</v>
      </c>
      <c r="AO1775">
        <v>-4.82</v>
      </c>
      <c r="AP1775">
        <v>9.49</v>
      </c>
      <c r="AQ1775">
        <v>-7.2</v>
      </c>
      <c r="AR1775">
        <v>4.33</v>
      </c>
      <c r="AS1775">
        <v>2.2400000000000002</v>
      </c>
      <c r="AT1775" t="s">
        <v>1194</v>
      </c>
      <c r="AU1775">
        <v>22</v>
      </c>
      <c r="AV1775">
        <v>22.81</v>
      </c>
      <c r="AW1775">
        <v>0.54</v>
      </c>
      <c r="BA1775">
        <v>-0.35</v>
      </c>
      <c r="BB1775">
        <v>1.05</v>
      </c>
      <c r="BC1775">
        <v>-2.64</v>
      </c>
      <c r="BD1775">
        <v>-1.18</v>
      </c>
      <c r="BE1775">
        <v>-2.29</v>
      </c>
      <c r="BF1775">
        <v>-3.65</v>
      </c>
      <c r="BG1775">
        <v>0</v>
      </c>
      <c r="BH1775">
        <v>-1.46</v>
      </c>
      <c r="BI1775">
        <v>20191022</v>
      </c>
      <c r="BJ1775">
        <v>20140129</v>
      </c>
      <c r="BK1775">
        <v>5.65</v>
      </c>
      <c r="BL1775" t="s">
        <v>116</v>
      </c>
      <c r="BM1775" t="s">
        <v>116</v>
      </c>
      <c r="BN1775">
        <v>18.989999999999998</v>
      </c>
      <c r="BO1775">
        <v>9.9700000000000006</v>
      </c>
      <c r="BP1775">
        <v>0.21</v>
      </c>
      <c r="BQ1775">
        <v>46.41</v>
      </c>
      <c r="BR1775">
        <v>14.07</v>
      </c>
      <c r="BS1775">
        <v>2.73</v>
      </c>
      <c r="BT1775">
        <v>0.56999999999999995</v>
      </c>
      <c r="BU1775">
        <v>8.57</v>
      </c>
      <c r="BV1775">
        <v>5.89</v>
      </c>
      <c r="BW1775">
        <v>3.93</v>
      </c>
      <c r="BX1775">
        <v>0.96</v>
      </c>
      <c r="BY1775">
        <v>5.71</v>
      </c>
      <c r="BZ1775">
        <v>3.33</v>
      </c>
      <c r="CA1775">
        <v>1.1000000000000001</v>
      </c>
      <c r="CB1775">
        <v>0</v>
      </c>
      <c r="CC1775">
        <v>1.05</v>
      </c>
      <c r="CD1775">
        <v>0.85</v>
      </c>
      <c r="CE1775">
        <v>0.89</v>
      </c>
      <c r="CF1775">
        <v>0.86</v>
      </c>
      <c r="CG1775">
        <v>2.77</v>
      </c>
      <c r="CH1775">
        <v>0.71</v>
      </c>
      <c r="CI1775">
        <v>1.37</v>
      </c>
      <c r="CJ1775">
        <v>7617</v>
      </c>
      <c r="CK1775">
        <v>31524</v>
      </c>
      <c r="CL1775" t="s">
        <v>9052</v>
      </c>
      <c r="CM1775">
        <v>6.01</v>
      </c>
      <c r="CN1775">
        <v>40.340000000000003</v>
      </c>
      <c r="CO1775">
        <v>3.14</v>
      </c>
      <c r="CP1775">
        <v>43.76</v>
      </c>
      <c r="CQ1775">
        <v>5.48</v>
      </c>
      <c r="CR1775">
        <v>3.57</v>
      </c>
      <c r="CS1775" t="s">
        <v>3137</v>
      </c>
      <c r="CT1775">
        <v>1.77</v>
      </c>
      <c r="CU1775">
        <v>0</v>
      </c>
      <c r="CV1775">
        <v>0.17</v>
      </c>
      <c r="CW1775">
        <v>0.49</v>
      </c>
      <c r="CX1775">
        <v>0.13</v>
      </c>
      <c r="CY1775">
        <v>52.5</v>
      </c>
      <c r="CZ1775" t="s">
        <v>9053</v>
      </c>
      <c r="DA1775">
        <v>41.73</v>
      </c>
      <c r="DB1775">
        <v>19.18</v>
      </c>
      <c r="DC1775">
        <v>15.56</v>
      </c>
      <c r="DD1775">
        <v>0.23</v>
      </c>
      <c r="DE1775">
        <v>852</v>
      </c>
      <c r="DF1775">
        <v>300382</v>
      </c>
      <c r="DG1775" t="s">
        <v>116</v>
      </c>
      <c r="DH1775" t="s">
        <v>116</v>
      </c>
      <c r="DI1775" t="s">
        <v>116</v>
      </c>
    </row>
    <row r="1776" spans="1:113" x14ac:dyDescent="0.4">
      <c r="A1776" t="str">
        <f>"300383"</f>
        <v>300383</v>
      </c>
      <c r="B1776" t="s">
        <v>9054</v>
      </c>
      <c r="C1776">
        <v>-2.0699999999999998</v>
      </c>
      <c r="D1776">
        <v>19.440000000000001</v>
      </c>
      <c r="E1776">
        <v>-0.41</v>
      </c>
      <c r="F1776">
        <v>19.43</v>
      </c>
      <c r="G1776">
        <v>19.440000000000001</v>
      </c>
      <c r="H1776">
        <v>244970</v>
      </c>
      <c r="I1776">
        <v>3932</v>
      </c>
      <c r="J1776">
        <v>-0.04</v>
      </c>
      <c r="K1776">
        <v>1.65</v>
      </c>
      <c r="L1776">
        <v>19.89</v>
      </c>
      <c r="M1776">
        <v>20.07</v>
      </c>
      <c r="N1776">
        <v>19.440000000000001</v>
      </c>
      <c r="O1776">
        <v>19.850000000000001</v>
      </c>
      <c r="P1776">
        <v>36.79</v>
      </c>
      <c r="Q1776">
        <v>483163456</v>
      </c>
      <c r="R1776">
        <v>0.81</v>
      </c>
      <c r="S1776" t="s">
        <v>3586</v>
      </c>
      <c r="T1776" t="s">
        <v>165</v>
      </c>
      <c r="U1776">
        <v>3.17</v>
      </c>
      <c r="V1776">
        <v>19.72</v>
      </c>
      <c r="W1776">
        <v>144072</v>
      </c>
      <c r="X1776">
        <v>100898</v>
      </c>
      <c r="Y1776">
        <v>1.43</v>
      </c>
      <c r="Z1776">
        <v>193</v>
      </c>
      <c r="AA1776">
        <v>881</v>
      </c>
      <c r="AB1776" t="s">
        <v>116</v>
      </c>
      <c r="AC1776">
        <v>966700</v>
      </c>
      <c r="AD1776">
        <v>0</v>
      </c>
      <c r="AE1776" t="s">
        <v>116</v>
      </c>
      <c r="AF1776" t="s">
        <v>116</v>
      </c>
      <c r="AG1776">
        <v>14.87</v>
      </c>
      <c r="AH1776" t="s">
        <v>9055</v>
      </c>
      <c r="AI1776" t="s">
        <v>9056</v>
      </c>
      <c r="AJ1776">
        <v>-1.39</v>
      </c>
      <c r="AK1776">
        <v>3986</v>
      </c>
      <c r="AL1776">
        <v>61</v>
      </c>
      <c r="AM1776">
        <v>4.0000000000000002E-4</v>
      </c>
      <c r="AN1776">
        <v>-1</v>
      </c>
      <c r="AO1776">
        <v>-0.26</v>
      </c>
      <c r="AP1776">
        <v>1.51</v>
      </c>
      <c r="AQ1776">
        <v>1.0900000000000001</v>
      </c>
      <c r="AR1776">
        <v>53.68</v>
      </c>
      <c r="AS1776">
        <v>2.4700000000000002</v>
      </c>
      <c r="AT1776" t="s">
        <v>9057</v>
      </c>
      <c r="AU1776">
        <v>37.31</v>
      </c>
      <c r="AV1776">
        <v>44.92</v>
      </c>
      <c r="AW1776">
        <v>1.33</v>
      </c>
      <c r="BA1776">
        <v>0.2</v>
      </c>
      <c r="BB1776">
        <v>1.1100000000000001</v>
      </c>
      <c r="BC1776">
        <v>-2.0699999999999998</v>
      </c>
      <c r="BD1776">
        <v>-0.64</v>
      </c>
      <c r="BE1776">
        <v>-2.2599999999999998</v>
      </c>
      <c r="BF1776">
        <v>-3.14</v>
      </c>
      <c r="BG1776">
        <v>0</v>
      </c>
      <c r="BH1776">
        <v>-1.43</v>
      </c>
      <c r="BI1776">
        <v>20191224</v>
      </c>
      <c r="BJ1776">
        <v>20140129</v>
      </c>
      <c r="BK1776">
        <v>15.42</v>
      </c>
      <c r="BL1776" t="s">
        <v>116</v>
      </c>
      <c r="BM1776" t="s">
        <v>116</v>
      </c>
      <c r="BN1776">
        <v>122.44</v>
      </c>
      <c r="BO1776">
        <v>81.3</v>
      </c>
      <c r="BP1776">
        <v>-0.08</v>
      </c>
      <c r="BQ1776">
        <v>33.67</v>
      </c>
      <c r="BR1776">
        <v>38.42</v>
      </c>
      <c r="BS1776">
        <v>44.15</v>
      </c>
      <c r="BT1776">
        <v>4.92</v>
      </c>
      <c r="BU1776">
        <v>22.29</v>
      </c>
      <c r="BV1776">
        <v>0.1</v>
      </c>
      <c r="BW1776">
        <v>22.02</v>
      </c>
      <c r="BX1776">
        <v>44.75</v>
      </c>
      <c r="BY1776">
        <v>53.82</v>
      </c>
      <c r="BZ1776">
        <v>42.44</v>
      </c>
      <c r="CA1776">
        <v>6.99</v>
      </c>
      <c r="CB1776">
        <v>0.11</v>
      </c>
      <c r="CC1776">
        <v>6.98</v>
      </c>
      <c r="CD1776">
        <v>5.89</v>
      </c>
      <c r="CE1776">
        <v>6.11</v>
      </c>
      <c r="CF1776">
        <v>6.11</v>
      </c>
      <c r="CG1776">
        <v>20.34</v>
      </c>
      <c r="CH1776">
        <v>2.08</v>
      </c>
      <c r="CI1776">
        <v>-1.45</v>
      </c>
      <c r="CJ1776">
        <v>71438</v>
      </c>
      <c r="CK1776">
        <v>13867</v>
      </c>
      <c r="CL1776" t="s">
        <v>9058</v>
      </c>
      <c r="CM1776">
        <v>28.65</v>
      </c>
      <c r="CN1776">
        <v>20.07</v>
      </c>
      <c r="CO1776">
        <v>3.69</v>
      </c>
      <c r="CP1776">
        <v>144</v>
      </c>
      <c r="CQ1776">
        <v>5.57</v>
      </c>
      <c r="CR1776">
        <v>0.1</v>
      </c>
      <c r="CS1776" t="s">
        <v>5370</v>
      </c>
      <c r="CT1776">
        <v>5.27</v>
      </c>
      <c r="CU1776">
        <v>5.27</v>
      </c>
      <c r="CV1776">
        <v>2.9</v>
      </c>
      <c r="CW1776">
        <v>1.32</v>
      </c>
      <c r="CX1776">
        <v>0.14000000000000001</v>
      </c>
      <c r="CY1776">
        <v>66.39</v>
      </c>
      <c r="CZ1776" t="s">
        <v>1266</v>
      </c>
      <c r="DA1776">
        <v>21.14</v>
      </c>
      <c r="DB1776">
        <v>12.98</v>
      </c>
      <c r="DC1776">
        <v>11.36</v>
      </c>
      <c r="DD1776">
        <v>1.55</v>
      </c>
      <c r="DE1776">
        <v>1140</v>
      </c>
      <c r="DF1776">
        <v>300383</v>
      </c>
      <c r="DG1776" t="s">
        <v>116</v>
      </c>
      <c r="DH1776" t="s">
        <v>116</v>
      </c>
      <c r="DI1776" t="s">
        <v>116</v>
      </c>
    </row>
    <row r="1777" spans="1:113" x14ac:dyDescent="0.4">
      <c r="A1777" t="str">
        <f>"300384"</f>
        <v>300384</v>
      </c>
      <c r="B1777" t="s">
        <v>9059</v>
      </c>
      <c r="C1777">
        <v>-2.27</v>
      </c>
      <c r="D1777">
        <v>17.2</v>
      </c>
      <c r="E1777">
        <v>-0.4</v>
      </c>
      <c r="F1777">
        <v>17.190000000000001</v>
      </c>
      <c r="G1777">
        <v>17.2</v>
      </c>
      <c r="H1777">
        <v>60687</v>
      </c>
      <c r="I1777">
        <v>1066</v>
      </c>
      <c r="J1777">
        <v>0.47</v>
      </c>
      <c r="K1777">
        <v>3.3</v>
      </c>
      <c r="L1777">
        <v>17.47</v>
      </c>
      <c r="M1777">
        <v>17.739999999999998</v>
      </c>
      <c r="N1777">
        <v>17.05</v>
      </c>
      <c r="O1777">
        <v>17.600000000000001</v>
      </c>
      <c r="P1777">
        <v>27.43</v>
      </c>
      <c r="Q1777">
        <v>105662464</v>
      </c>
      <c r="R1777">
        <v>0.82</v>
      </c>
      <c r="S1777" t="s">
        <v>3176</v>
      </c>
      <c r="T1777" t="s">
        <v>165</v>
      </c>
      <c r="U1777">
        <v>3.92</v>
      </c>
      <c r="V1777">
        <v>17.41</v>
      </c>
      <c r="W1777">
        <v>34494</v>
      </c>
      <c r="X1777">
        <v>26193</v>
      </c>
      <c r="Y1777">
        <v>1.32</v>
      </c>
      <c r="Z1777">
        <v>376</v>
      </c>
      <c r="AA1777">
        <v>986</v>
      </c>
      <c r="AB1777" t="s">
        <v>116</v>
      </c>
      <c r="AC1777">
        <v>104900</v>
      </c>
      <c r="AD1777">
        <v>0</v>
      </c>
      <c r="AE1777" t="s">
        <v>116</v>
      </c>
      <c r="AF1777" t="s">
        <v>116</v>
      </c>
      <c r="AG1777">
        <v>1.84</v>
      </c>
      <c r="AH1777" t="s">
        <v>7972</v>
      </c>
      <c r="AI1777" t="s">
        <v>9060</v>
      </c>
      <c r="AJ1777">
        <v>-1.59</v>
      </c>
      <c r="AK1777">
        <v>2280</v>
      </c>
      <c r="AL1777">
        <v>27</v>
      </c>
      <c r="AM1777">
        <v>1.4E-3</v>
      </c>
      <c r="AN1777">
        <v>-2</v>
      </c>
      <c r="AO1777">
        <v>-2.6</v>
      </c>
      <c r="AP1777">
        <v>8.11</v>
      </c>
      <c r="AQ1777">
        <v>-0.92</v>
      </c>
      <c r="AR1777">
        <v>45.76</v>
      </c>
      <c r="AS1777">
        <v>4.3099999999999996</v>
      </c>
      <c r="AT1777" t="s">
        <v>9061</v>
      </c>
      <c r="AU1777">
        <v>36.1</v>
      </c>
      <c r="AV1777">
        <v>48.55</v>
      </c>
      <c r="AW1777">
        <v>1.88</v>
      </c>
      <c r="BA1777">
        <v>-0.74</v>
      </c>
      <c r="BB1777">
        <v>0.8</v>
      </c>
      <c r="BC1777">
        <v>-3.12</v>
      </c>
      <c r="BD1777">
        <v>-1.07</v>
      </c>
      <c r="BE1777">
        <v>-1.55</v>
      </c>
      <c r="BF1777">
        <v>-3.04</v>
      </c>
      <c r="BG1777">
        <v>0.88</v>
      </c>
      <c r="BH1777">
        <v>-1.2</v>
      </c>
      <c r="BI1777">
        <v>20191028</v>
      </c>
      <c r="BJ1777">
        <v>20140801</v>
      </c>
      <c r="BK1777">
        <v>3.19</v>
      </c>
      <c r="BL1777" t="s">
        <v>116</v>
      </c>
      <c r="BM1777" t="s">
        <v>116</v>
      </c>
      <c r="BN1777">
        <v>29.57</v>
      </c>
      <c r="BO1777">
        <v>18.05</v>
      </c>
      <c r="BP1777">
        <v>0.24</v>
      </c>
      <c r="BQ1777">
        <v>38.159999999999997</v>
      </c>
      <c r="BR1777">
        <v>17.89</v>
      </c>
      <c r="BS1777">
        <v>1.89</v>
      </c>
      <c r="BT1777">
        <v>1.02</v>
      </c>
      <c r="BU1777">
        <v>9.1300000000000008</v>
      </c>
      <c r="BV1777">
        <v>2.0099999999999998</v>
      </c>
      <c r="BW1777">
        <v>1.03</v>
      </c>
      <c r="BX1777">
        <v>8.41</v>
      </c>
      <c r="BY1777">
        <v>6.75</v>
      </c>
      <c r="BZ1777">
        <v>4.17</v>
      </c>
      <c r="CA1777">
        <v>1.73</v>
      </c>
      <c r="CB1777">
        <v>0.27</v>
      </c>
      <c r="CC1777">
        <v>1.75</v>
      </c>
      <c r="CD1777">
        <v>1.52</v>
      </c>
      <c r="CE1777">
        <v>1.5</v>
      </c>
      <c r="CF1777">
        <v>1.4</v>
      </c>
      <c r="CG1777">
        <v>5.84</v>
      </c>
      <c r="CH1777">
        <v>1.78</v>
      </c>
      <c r="CI1777">
        <v>-6.38</v>
      </c>
      <c r="CJ1777">
        <v>15853</v>
      </c>
      <c r="CK1777">
        <v>8877</v>
      </c>
      <c r="CL1777" t="s">
        <v>9062</v>
      </c>
      <c r="CM1777">
        <v>35.08</v>
      </c>
      <c r="CN1777">
        <v>47.23</v>
      </c>
      <c r="CO1777">
        <v>3.04</v>
      </c>
      <c r="CP1777">
        <v>30.84</v>
      </c>
      <c r="CQ1777">
        <v>8.1300000000000008</v>
      </c>
      <c r="CR1777">
        <v>0.23</v>
      </c>
      <c r="CS1777" t="s">
        <v>7005</v>
      </c>
      <c r="CT1777">
        <v>5.65</v>
      </c>
      <c r="CU1777">
        <v>0</v>
      </c>
      <c r="CV1777">
        <v>2.64</v>
      </c>
      <c r="CW1777">
        <v>1.83</v>
      </c>
      <c r="CX1777">
        <v>0.56000000000000005</v>
      </c>
      <c r="CY1777">
        <v>61.03</v>
      </c>
      <c r="CZ1777" t="s">
        <v>7322</v>
      </c>
      <c r="DA1777">
        <v>38.29</v>
      </c>
      <c r="DB1777">
        <v>25.7</v>
      </c>
      <c r="DC1777">
        <v>22.24</v>
      </c>
      <c r="DD1777">
        <v>0.32</v>
      </c>
      <c r="DE1777">
        <v>208</v>
      </c>
      <c r="DF1777">
        <v>300384</v>
      </c>
      <c r="DG1777" t="s">
        <v>116</v>
      </c>
      <c r="DH1777" t="s">
        <v>116</v>
      </c>
      <c r="DI1777" t="s">
        <v>116</v>
      </c>
    </row>
    <row r="1778" spans="1:113" x14ac:dyDescent="0.4">
      <c r="A1778" t="str">
        <f>"300385"</f>
        <v>300385</v>
      </c>
      <c r="B1778" t="s">
        <v>9063</v>
      </c>
      <c r="C1778">
        <v>0.42</v>
      </c>
      <c r="D1778">
        <v>11.88</v>
      </c>
      <c r="E1778">
        <v>0.05</v>
      </c>
      <c r="F1778">
        <v>11.88</v>
      </c>
      <c r="G1778">
        <v>11.9</v>
      </c>
      <c r="H1778">
        <v>10666</v>
      </c>
      <c r="I1778">
        <v>161</v>
      </c>
      <c r="J1778">
        <v>0.68</v>
      </c>
      <c r="K1778">
        <v>0.91</v>
      </c>
      <c r="L1778">
        <v>11.87</v>
      </c>
      <c r="M1778">
        <v>12</v>
      </c>
      <c r="N1778">
        <v>11.78</v>
      </c>
      <c r="O1778">
        <v>11.83</v>
      </c>
      <c r="P1778">
        <v>22.46</v>
      </c>
      <c r="Q1778">
        <v>12685177</v>
      </c>
      <c r="R1778">
        <v>0.84</v>
      </c>
      <c r="S1778" t="s">
        <v>140</v>
      </c>
      <c r="T1778" t="s">
        <v>323</v>
      </c>
      <c r="U1778">
        <v>1.86</v>
      </c>
      <c r="V1778">
        <v>11.89</v>
      </c>
      <c r="W1778">
        <v>6317</v>
      </c>
      <c r="X1778">
        <v>4349</v>
      </c>
      <c r="Y1778">
        <v>1.45</v>
      </c>
      <c r="Z1778">
        <v>39</v>
      </c>
      <c r="AA1778">
        <v>5</v>
      </c>
      <c r="AB1778" t="s">
        <v>116</v>
      </c>
      <c r="AC1778">
        <v>35600</v>
      </c>
      <c r="AD1778">
        <v>0</v>
      </c>
      <c r="AE1778" t="s">
        <v>116</v>
      </c>
      <c r="AF1778" t="s">
        <v>116</v>
      </c>
      <c r="AG1778">
        <v>1.18</v>
      </c>
      <c r="AH1778" t="s">
        <v>9064</v>
      </c>
      <c r="AI1778" t="s">
        <v>3562</v>
      </c>
      <c r="AJ1778">
        <v>1.1000000000000001</v>
      </c>
      <c r="AK1778">
        <v>617</v>
      </c>
      <c r="AL1778">
        <v>17</v>
      </c>
      <c r="AM1778">
        <v>1.5E-3</v>
      </c>
      <c r="AN1778">
        <v>2</v>
      </c>
      <c r="AO1778">
        <v>0.51</v>
      </c>
      <c r="AP1778">
        <v>6.36</v>
      </c>
      <c r="AQ1778">
        <v>-5.41</v>
      </c>
      <c r="AR1778">
        <v>35.380000000000003</v>
      </c>
      <c r="AS1778">
        <v>1.43</v>
      </c>
      <c r="AT1778" t="s">
        <v>9065</v>
      </c>
      <c r="AU1778">
        <v>32.28</v>
      </c>
      <c r="AV1778">
        <v>57.1</v>
      </c>
      <c r="AW1778">
        <v>0.87</v>
      </c>
      <c r="BA1778">
        <v>0.34</v>
      </c>
      <c r="BB1778">
        <v>1.44</v>
      </c>
      <c r="BC1778">
        <v>-0.42</v>
      </c>
      <c r="BD1778">
        <v>0.54</v>
      </c>
      <c r="BE1778">
        <v>0.08</v>
      </c>
      <c r="BF1778">
        <v>-1</v>
      </c>
      <c r="BG1778">
        <v>0.85</v>
      </c>
      <c r="BH1778">
        <v>-0.11</v>
      </c>
      <c r="BI1778">
        <v>20191030</v>
      </c>
      <c r="BJ1778">
        <v>20140626</v>
      </c>
      <c r="BK1778">
        <v>2.08</v>
      </c>
      <c r="BL1778" t="s">
        <v>116</v>
      </c>
      <c r="BM1778" t="s">
        <v>116</v>
      </c>
      <c r="BN1778">
        <v>31.51</v>
      </c>
      <c r="BO1778">
        <v>12.12</v>
      </c>
      <c r="BP1778">
        <v>1.38</v>
      </c>
      <c r="BQ1778">
        <v>57.14</v>
      </c>
      <c r="BR1778">
        <v>16.84</v>
      </c>
      <c r="BS1778">
        <v>5.7</v>
      </c>
      <c r="BT1778">
        <v>1.1000000000000001</v>
      </c>
      <c r="BU1778">
        <v>13.05</v>
      </c>
      <c r="BV1778">
        <v>5.07</v>
      </c>
      <c r="BW1778">
        <v>6.73</v>
      </c>
      <c r="BX1778">
        <v>5.13</v>
      </c>
      <c r="BY1778">
        <v>8.7200000000000006</v>
      </c>
      <c r="BZ1778">
        <v>6.73</v>
      </c>
      <c r="CA1778">
        <v>0.9</v>
      </c>
      <c r="CB1778">
        <v>0.33</v>
      </c>
      <c r="CC1778">
        <v>0.9</v>
      </c>
      <c r="CD1778">
        <v>0.79</v>
      </c>
      <c r="CE1778">
        <v>0.83</v>
      </c>
      <c r="CF1778">
        <v>0.51</v>
      </c>
      <c r="CG1778">
        <v>4.3600000000000003</v>
      </c>
      <c r="CH1778">
        <v>-1.1200000000000001</v>
      </c>
      <c r="CI1778">
        <v>-1.23</v>
      </c>
      <c r="CJ1778">
        <v>10407</v>
      </c>
      <c r="CK1778">
        <v>7156</v>
      </c>
      <c r="CL1778" t="s">
        <v>3357</v>
      </c>
      <c r="CM1778">
        <v>67.55</v>
      </c>
      <c r="CN1778">
        <v>35.39</v>
      </c>
      <c r="CO1778">
        <v>2.04</v>
      </c>
      <c r="CP1778">
        <v>-22.12</v>
      </c>
      <c r="CQ1778">
        <v>2.84</v>
      </c>
      <c r="CR1778">
        <v>0.37</v>
      </c>
      <c r="CS1778" t="s">
        <v>7662</v>
      </c>
      <c r="CT1778">
        <v>5.82</v>
      </c>
      <c r="CU1778">
        <v>0</v>
      </c>
      <c r="CV1778">
        <v>2.46</v>
      </c>
      <c r="CW1778">
        <v>2.09</v>
      </c>
      <c r="CX1778">
        <v>-0.54</v>
      </c>
      <c r="CY1778">
        <v>38.47</v>
      </c>
      <c r="CZ1778" t="s">
        <v>9066</v>
      </c>
      <c r="DA1778">
        <v>22.84</v>
      </c>
      <c r="DB1778">
        <v>10.38</v>
      </c>
      <c r="DC1778">
        <v>9.4700000000000006</v>
      </c>
      <c r="DD1778">
        <v>0.37</v>
      </c>
      <c r="DE1778">
        <v>581</v>
      </c>
      <c r="DF1778">
        <v>300385</v>
      </c>
      <c r="DG1778" t="s">
        <v>116</v>
      </c>
      <c r="DH1778" t="s">
        <v>116</v>
      </c>
      <c r="DI1778" t="s">
        <v>116</v>
      </c>
    </row>
    <row r="1779" spans="1:113" x14ac:dyDescent="0.4">
      <c r="A1779" t="str">
        <f>"300386"</f>
        <v>300386</v>
      </c>
      <c r="B1779" t="s">
        <v>9067</v>
      </c>
      <c r="C1779">
        <v>-5.21</v>
      </c>
      <c r="D1779">
        <v>14.74</v>
      </c>
      <c r="E1779">
        <v>-0.81</v>
      </c>
      <c r="F1779">
        <v>14.74</v>
      </c>
      <c r="G1779">
        <v>14.75</v>
      </c>
      <c r="H1779">
        <v>223592</v>
      </c>
      <c r="I1779">
        <v>3387</v>
      </c>
      <c r="J1779">
        <v>-0.26</v>
      </c>
      <c r="K1779">
        <v>10.199999999999999</v>
      </c>
      <c r="L1779">
        <v>15.75</v>
      </c>
      <c r="M1779">
        <v>15.8</v>
      </c>
      <c r="N1779">
        <v>14.69</v>
      </c>
      <c r="O1779">
        <v>15.55</v>
      </c>
      <c r="P1779">
        <v>156.69999999999999</v>
      </c>
      <c r="Q1779">
        <v>342917760</v>
      </c>
      <c r="R1779">
        <v>1.66</v>
      </c>
      <c r="S1779" t="s">
        <v>607</v>
      </c>
      <c r="T1779" t="s">
        <v>165</v>
      </c>
      <c r="U1779">
        <v>7.14</v>
      </c>
      <c r="V1779">
        <v>15.34</v>
      </c>
      <c r="W1779">
        <v>122734</v>
      </c>
      <c r="X1779">
        <v>100858</v>
      </c>
      <c r="Y1779">
        <v>1.22</v>
      </c>
      <c r="Z1779">
        <v>288</v>
      </c>
      <c r="AA1779">
        <v>101</v>
      </c>
      <c r="AB1779" t="s">
        <v>116</v>
      </c>
      <c r="AC1779">
        <v>9390200</v>
      </c>
      <c r="AD1779">
        <v>0.37</v>
      </c>
      <c r="AE1779" t="s">
        <v>116</v>
      </c>
      <c r="AF1779" t="s">
        <v>116</v>
      </c>
      <c r="AG1779">
        <v>2.19</v>
      </c>
      <c r="AH1779" t="s">
        <v>6736</v>
      </c>
      <c r="AI1779" t="s">
        <v>2840</v>
      </c>
      <c r="AJ1779">
        <v>-4.53</v>
      </c>
      <c r="AK1779">
        <v>3698</v>
      </c>
      <c r="AL1779">
        <v>60</v>
      </c>
      <c r="AM1779">
        <v>2.8E-3</v>
      </c>
      <c r="AN1779">
        <v>-1</v>
      </c>
      <c r="AO1779">
        <v>8.23</v>
      </c>
      <c r="AP1779">
        <v>11.25</v>
      </c>
      <c r="AQ1779">
        <v>-0.67</v>
      </c>
      <c r="AR1779">
        <v>46.81</v>
      </c>
      <c r="AS1779">
        <v>13.74</v>
      </c>
      <c r="AT1779" t="s">
        <v>9068</v>
      </c>
      <c r="AU1779">
        <v>71.900000000000006</v>
      </c>
      <c r="AV1779">
        <v>46.24</v>
      </c>
      <c r="AW1779">
        <v>2.2000000000000002</v>
      </c>
      <c r="BA1779">
        <v>1.29</v>
      </c>
      <c r="BB1779">
        <v>1.61</v>
      </c>
      <c r="BC1779">
        <v>-5.53</v>
      </c>
      <c r="BD1779">
        <v>-1.37</v>
      </c>
      <c r="BE1779">
        <v>-6.41</v>
      </c>
      <c r="BF1779">
        <v>-6.71</v>
      </c>
      <c r="BG1779">
        <v>0.34</v>
      </c>
      <c r="BH1779">
        <v>-3.84</v>
      </c>
      <c r="BI1779">
        <v>20191029</v>
      </c>
      <c r="BJ1779">
        <v>20140626</v>
      </c>
      <c r="BK1779">
        <v>4.18</v>
      </c>
      <c r="BL1779" t="s">
        <v>116</v>
      </c>
      <c r="BM1779" t="s">
        <v>116</v>
      </c>
      <c r="BN1779">
        <v>19.05</v>
      </c>
      <c r="BO1779">
        <v>17.63</v>
      </c>
      <c r="BP1779">
        <v>0.12</v>
      </c>
      <c r="BQ1779">
        <v>6.83</v>
      </c>
      <c r="BR1779">
        <v>16.62</v>
      </c>
      <c r="BS1779">
        <v>0.23</v>
      </c>
      <c r="BT1779">
        <v>0.19</v>
      </c>
      <c r="BU1779">
        <v>1.21</v>
      </c>
      <c r="BV1779">
        <v>3.93</v>
      </c>
      <c r="BW1779">
        <v>1.92</v>
      </c>
      <c r="BX1779">
        <v>3.46</v>
      </c>
      <c r="BY1779">
        <v>5.95</v>
      </c>
      <c r="BZ1779">
        <v>3.72</v>
      </c>
      <c r="CA1779">
        <v>0.2</v>
      </c>
      <c r="CB1779">
        <v>0.2</v>
      </c>
      <c r="CC1779">
        <v>0.32</v>
      </c>
      <c r="CD1779">
        <v>0.31</v>
      </c>
      <c r="CE1779">
        <v>0.28999999999999998</v>
      </c>
      <c r="CF1779">
        <v>0.02</v>
      </c>
      <c r="CG1779">
        <v>8.85</v>
      </c>
      <c r="CH1779">
        <v>-0.8</v>
      </c>
      <c r="CI1779">
        <v>-2.98</v>
      </c>
      <c r="CJ1779">
        <v>34808</v>
      </c>
      <c r="CK1779">
        <v>4676</v>
      </c>
      <c r="CL1779" t="s">
        <v>9069</v>
      </c>
      <c r="CM1779">
        <v>-61.73</v>
      </c>
      <c r="CN1779">
        <v>-13.64</v>
      </c>
      <c r="CO1779">
        <v>3.49</v>
      </c>
      <c r="CP1779">
        <v>-77.400000000000006</v>
      </c>
      <c r="CQ1779">
        <v>10.35</v>
      </c>
      <c r="CR1779">
        <v>0.34</v>
      </c>
      <c r="CS1779" t="s">
        <v>9070</v>
      </c>
      <c r="CT1779">
        <v>4.22</v>
      </c>
      <c r="CU1779">
        <v>0</v>
      </c>
      <c r="CV1779">
        <v>0.83</v>
      </c>
      <c r="CW1779">
        <v>2.12</v>
      </c>
      <c r="CX1779">
        <v>-0.19</v>
      </c>
      <c r="CY1779">
        <v>92.56</v>
      </c>
      <c r="CZ1779" t="s">
        <v>359</v>
      </c>
      <c r="DA1779">
        <v>37.49</v>
      </c>
      <c r="DB1779">
        <v>3.44</v>
      </c>
      <c r="DC1779">
        <v>4.95</v>
      </c>
      <c r="DD1779">
        <v>0.67</v>
      </c>
      <c r="DE1779">
        <v>915</v>
      </c>
      <c r="DF1779">
        <v>300386</v>
      </c>
      <c r="DG1779" t="s">
        <v>116</v>
      </c>
      <c r="DH1779" t="s">
        <v>116</v>
      </c>
      <c r="DI1779" t="s">
        <v>116</v>
      </c>
    </row>
    <row r="1780" spans="1:113" x14ac:dyDescent="0.4">
      <c r="A1780" t="str">
        <f>"300387"</f>
        <v>300387</v>
      </c>
      <c r="B1780" t="s">
        <v>9071</v>
      </c>
      <c r="C1780">
        <v>0</v>
      </c>
      <c r="D1780">
        <v>9.75</v>
      </c>
      <c r="E1780">
        <v>0</v>
      </c>
      <c r="F1780">
        <v>9.75</v>
      </c>
      <c r="G1780">
        <v>9.76</v>
      </c>
      <c r="H1780">
        <v>8099</v>
      </c>
      <c r="I1780">
        <v>250</v>
      </c>
      <c r="J1780">
        <v>0.1</v>
      </c>
      <c r="K1780">
        <v>0.28000000000000003</v>
      </c>
      <c r="L1780">
        <v>9.7899999999999991</v>
      </c>
      <c r="M1780">
        <v>9.8000000000000007</v>
      </c>
      <c r="N1780">
        <v>9.7200000000000006</v>
      </c>
      <c r="O1780">
        <v>9.75</v>
      </c>
      <c r="P1780">
        <v>30.86</v>
      </c>
      <c r="Q1780">
        <v>7903398</v>
      </c>
      <c r="R1780">
        <v>0.46</v>
      </c>
      <c r="S1780" t="s">
        <v>891</v>
      </c>
      <c r="T1780" t="s">
        <v>774</v>
      </c>
      <c r="U1780">
        <v>0.82</v>
      </c>
      <c r="V1780">
        <v>9.76</v>
      </c>
      <c r="W1780">
        <v>3629</v>
      </c>
      <c r="X1780">
        <v>4470</v>
      </c>
      <c r="Y1780">
        <v>0.81</v>
      </c>
      <c r="Z1780">
        <v>14</v>
      </c>
      <c r="AA1780">
        <v>288</v>
      </c>
      <c r="AB1780" t="s">
        <v>116</v>
      </c>
      <c r="AC1780">
        <v>40100</v>
      </c>
      <c r="AD1780">
        <v>0</v>
      </c>
      <c r="AE1780" t="s">
        <v>116</v>
      </c>
      <c r="AF1780" t="s">
        <v>116</v>
      </c>
      <c r="AG1780">
        <v>2.89</v>
      </c>
      <c r="AH1780" t="s">
        <v>9072</v>
      </c>
      <c r="AI1780" t="s">
        <v>9073</v>
      </c>
      <c r="AJ1780">
        <v>0.68</v>
      </c>
      <c r="AK1780">
        <v>388</v>
      </c>
      <c r="AL1780">
        <v>21</v>
      </c>
      <c r="AM1780">
        <v>6.9999999999999999E-4</v>
      </c>
      <c r="AN1780">
        <v>0</v>
      </c>
      <c r="AO1780">
        <v>-0.51</v>
      </c>
      <c r="AP1780">
        <v>2.63</v>
      </c>
      <c r="AQ1780">
        <v>0.1</v>
      </c>
      <c r="AR1780">
        <v>74.73</v>
      </c>
      <c r="AS1780">
        <v>0.64</v>
      </c>
      <c r="AT1780" t="s">
        <v>9074</v>
      </c>
      <c r="AU1780">
        <v>41.12</v>
      </c>
      <c r="AV1780">
        <v>43.5</v>
      </c>
      <c r="AW1780">
        <v>0.54</v>
      </c>
      <c r="BA1780">
        <v>0.41</v>
      </c>
      <c r="BB1780">
        <v>0.51</v>
      </c>
      <c r="BC1780">
        <v>-0.31</v>
      </c>
      <c r="BD1780">
        <v>0.09</v>
      </c>
      <c r="BE1780">
        <v>-0.41</v>
      </c>
      <c r="BF1780">
        <v>-0.51</v>
      </c>
      <c r="BG1780">
        <v>0.31</v>
      </c>
      <c r="BH1780">
        <v>-0.09</v>
      </c>
      <c r="BI1780">
        <v>20191113</v>
      </c>
      <c r="BJ1780">
        <v>20140702</v>
      </c>
      <c r="BK1780">
        <v>2.92</v>
      </c>
      <c r="BL1780" t="s">
        <v>116</v>
      </c>
      <c r="BM1780" t="s">
        <v>116</v>
      </c>
      <c r="BN1780">
        <v>14.06</v>
      </c>
      <c r="BO1780">
        <v>11.75</v>
      </c>
      <c r="BP1780">
        <v>0.11</v>
      </c>
      <c r="BQ1780">
        <v>15.66</v>
      </c>
      <c r="BR1780">
        <v>5.89</v>
      </c>
      <c r="BS1780">
        <v>1.72</v>
      </c>
      <c r="BT1780">
        <v>0.53</v>
      </c>
      <c r="BU1780">
        <v>2.17</v>
      </c>
      <c r="BV1780">
        <v>1.19</v>
      </c>
      <c r="BW1780">
        <v>2.0299999999999998</v>
      </c>
      <c r="BX1780">
        <v>3.69</v>
      </c>
      <c r="BY1780">
        <v>4.97</v>
      </c>
      <c r="BZ1780">
        <v>3.25</v>
      </c>
      <c r="CA1780">
        <v>0.75</v>
      </c>
      <c r="CB1780">
        <v>0.01</v>
      </c>
      <c r="CC1780">
        <v>0.75</v>
      </c>
      <c r="CD1780">
        <v>0.66</v>
      </c>
      <c r="CE1780">
        <v>0.69</v>
      </c>
      <c r="CF1780">
        <v>0.67</v>
      </c>
      <c r="CG1780">
        <v>4.72</v>
      </c>
      <c r="CH1780">
        <v>0.11</v>
      </c>
      <c r="CI1780">
        <v>-1.1299999999999999</v>
      </c>
      <c r="CJ1780">
        <v>6256</v>
      </c>
      <c r="CK1780">
        <v>20227</v>
      </c>
      <c r="CL1780" t="s">
        <v>9075</v>
      </c>
      <c r="CM1780">
        <v>5.79</v>
      </c>
      <c r="CN1780">
        <v>0.42</v>
      </c>
      <c r="CO1780">
        <v>2.4</v>
      </c>
      <c r="CP1780">
        <v>267.52</v>
      </c>
      <c r="CQ1780">
        <v>5.72</v>
      </c>
      <c r="CR1780">
        <v>0.51</v>
      </c>
      <c r="CS1780" t="s">
        <v>5764</v>
      </c>
      <c r="CT1780">
        <v>4.07</v>
      </c>
      <c r="CU1780">
        <v>4.07</v>
      </c>
      <c r="CV1780">
        <v>1.26</v>
      </c>
      <c r="CW1780">
        <v>1.62</v>
      </c>
      <c r="CX1780">
        <v>0.04</v>
      </c>
      <c r="CY1780">
        <v>83.57</v>
      </c>
      <c r="CZ1780" t="s">
        <v>7493</v>
      </c>
      <c r="DA1780">
        <v>34.6</v>
      </c>
      <c r="DB1780">
        <v>15.08</v>
      </c>
      <c r="DC1780">
        <v>13.91</v>
      </c>
      <c r="DD1780">
        <v>0.12</v>
      </c>
      <c r="DE1780">
        <v>256</v>
      </c>
      <c r="DF1780">
        <v>300387</v>
      </c>
      <c r="DG1780" t="s">
        <v>116</v>
      </c>
      <c r="DH1780" t="s">
        <v>116</v>
      </c>
      <c r="DI1780" t="s">
        <v>116</v>
      </c>
    </row>
    <row r="1781" spans="1:113" x14ac:dyDescent="0.4">
      <c r="A1781" t="str">
        <f>"300388"</f>
        <v>300388</v>
      </c>
      <c r="B1781" t="s">
        <v>9076</v>
      </c>
      <c r="C1781">
        <v>-0.85</v>
      </c>
      <c r="D1781">
        <v>10.53</v>
      </c>
      <c r="E1781">
        <v>-0.09</v>
      </c>
      <c r="F1781">
        <v>10.53</v>
      </c>
      <c r="G1781">
        <v>10.54</v>
      </c>
      <c r="H1781">
        <v>40252</v>
      </c>
      <c r="I1781">
        <v>1451</v>
      </c>
      <c r="J1781">
        <v>0.38</v>
      </c>
      <c r="K1781">
        <v>0.73</v>
      </c>
      <c r="L1781">
        <v>10.64</v>
      </c>
      <c r="M1781">
        <v>10.64</v>
      </c>
      <c r="N1781">
        <v>10.46</v>
      </c>
      <c r="O1781">
        <v>10.62</v>
      </c>
      <c r="P1781">
        <v>20.9</v>
      </c>
      <c r="Q1781">
        <v>42511828</v>
      </c>
      <c r="R1781">
        <v>0.49</v>
      </c>
      <c r="S1781" t="s">
        <v>140</v>
      </c>
      <c r="T1781" t="s">
        <v>575</v>
      </c>
      <c r="U1781">
        <v>1.69</v>
      </c>
      <c r="V1781">
        <v>10.56</v>
      </c>
      <c r="W1781">
        <v>29924</v>
      </c>
      <c r="X1781">
        <v>10328</v>
      </c>
      <c r="Y1781">
        <v>2.9</v>
      </c>
      <c r="Z1781">
        <v>66</v>
      </c>
      <c r="AA1781">
        <v>281</v>
      </c>
      <c r="AB1781" t="s">
        <v>116</v>
      </c>
      <c r="AC1781">
        <v>41500</v>
      </c>
      <c r="AD1781">
        <v>0</v>
      </c>
      <c r="AE1781" t="s">
        <v>116</v>
      </c>
      <c r="AF1781" t="s">
        <v>116</v>
      </c>
      <c r="AG1781">
        <v>5.49</v>
      </c>
      <c r="AH1781" t="s">
        <v>9077</v>
      </c>
      <c r="AI1781" t="s">
        <v>9078</v>
      </c>
      <c r="AJ1781">
        <v>-0.17</v>
      </c>
      <c r="AK1781">
        <v>892</v>
      </c>
      <c r="AL1781">
        <v>45</v>
      </c>
      <c r="AM1781">
        <v>8.0000000000000004E-4</v>
      </c>
      <c r="AN1781">
        <v>-1</v>
      </c>
      <c r="AO1781">
        <v>-2.5099999999999998</v>
      </c>
      <c r="AP1781">
        <v>4.78</v>
      </c>
      <c r="AQ1781">
        <v>2.13</v>
      </c>
      <c r="AR1781">
        <v>20.59</v>
      </c>
      <c r="AS1781">
        <v>1.72</v>
      </c>
      <c r="AT1781" t="s">
        <v>4812</v>
      </c>
      <c r="AU1781">
        <v>23.08</v>
      </c>
      <c r="AV1781">
        <v>25.14</v>
      </c>
      <c r="AW1781">
        <v>0.17</v>
      </c>
      <c r="BA1781">
        <v>0.19</v>
      </c>
      <c r="BB1781">
        <v>0.19</v>
      </c>
      <c r="BC1781">
        <v>-1.51</v>
      </c>
      <c r="BD1781">
        <v>-0.55000000000000004</v>
      </c>
      <c r="BE1781">
        <v>-1.03</v>
      </c>
      <c r="BF1781">
        <v>-1.03</v>
      </c>
      <c r="BG1781">
        <v>0.67</v>
      </c>
      <c r="BH1781">
        <v>-0.3</v>
      </c>
      <c r="BI1781">
        <v>20191029</v>
      </c>
      <c r="BJ1781">
        <v>20140801</v>
      </c>
      <c r="BK1781">
        <v>6.7</v>
      </c>
      <c r="BL1781" t="s">
        <v>116</v>
      </c>
      <c r="BM1781" t="s">
        <v>116</v>
      </c>
      <c r="BN1781">
        <v>135.22999999999999</v>
      </c>
      <c r="BO1781">
        <v>33.96</v>
      </c>
      <c r="BP1781">
        <v>3.8</v>
      </c>
      <c r="BQ1781">
        <v>72.08</v>
      </c>
      <c r="BR1781">
        <v>40.9</v>
      </c>
      <c r="BS1781">
        <v>2.76</v>
      </c>
      <c r="BT1781">
        <v>7.65</v>
      </c>
      <c r="BU1781">
        <v>39.549999999999997</v>
      </c>
      <c r="BV1781">
        <v>7.33</v>
      </c>
      <c r="BW1781">
        <v>11.1</v>
      </c>
      <c r="BX1781">
        <v>14.72</v>
      </c>
      <c r="BY1781">
        <v>25.81</v>
      </c>
      <c r="BZ1781">
        <v>18.739999999999998</v>
      </c>
      <c r="CA1781">
        <v>3.12</v>
      </c>
      <c r="CB1781">
        <v>0.11</v>
      </c>
      <c r="CC1781">
        <v>3.16</v>
      </c>
      <c r="CD1781">
        <v>2.7</v>
      </c>
      <c r="CE1781">
        <v>2.5299999999999998</v>
      </c>
      <c r="CF1781">
        <v>2.5</v>
      </c>
      <c r="CG1781">
        <v>11.05</v>
      </c>
      <c r="CH1781">
        <v>-18.05</v>
      </c>
      <c r="CI1781">
        <v>8.9600000000000009</v>
      </c>
      <c r="CJ1781">
        <v>23439</v>
      </c>
      <c r="CK1781">
        <v>10002</v>
      </c>
      <c r="CL1781" t="s">
        <v>9079</v>
      </c>
      <c r="CM1781">
        <v>10.99</v>
      </c>
      <c r="CN1781">
        <v>3.65</v>
      </c>
      <c r="CO1781">
        <v>2.14</v>
      </c>
      <c r="CP1781">
        <v>-3.91</v>
      </c>
      <c r="CQ1781">
        <v>2.74</v>
      </c>
      <c r="CR1781">
        <v>0.93</v>
      </c>
      <c r="CS1781" t="s">
        <v>604</v>
      </c>
      <c r="CT1781">
        <v>4.92</v>
      </c>
      <c r="CU1781">
        <v>4.92</v>
      </c>
      <c r="CV1781">
        <v>2.2000000000000002</v>
      </c>
      <c r="CW1781">
        <v>1.65</v>
      </c>
      <c r="CX1781">
        <v>-2.69</v>
      </c>
      <c r="CY1781">
        <v>25.11</v>
      </c>
      <c r="CZ1781" t="s">
        <v>6326</v>
      </c>
      <c r="DA1781">
        <v>27.39</v>
      </c>
      <c r="DB1781">
        <v>12.11</v>
      </c>
      <c r="DC1781">
        <v>9.82</v>
      </c>
      <c r="DD1781">
        <v>0.39</v>
      </c>
      <c r="DE1781">
        <v>2809</v>
      </c>
      <c r="DF1781">
        <v>300388</v>
      </c>
      <c r="DG1781" t="s">
        <v>116</v>
      </c>
      <c r="DH1781" t="s">
        <v>116</v>
      </c>
      <c r="DI1781" t="s">
        <v>116</v>
      </c>
    </row>
    <row r="1782" spans="1:113" x14ac:dyDescent="0.4">
      <c r="A1782" t="str">
        <f>"300389"</f>
        <v>300389</v>
      </c>
      <c r="B1782" t="s">
        <v>9080</v>
      </c>
      <c r="C1782">
        <v>-3.45</v>
      </c>
      <c r="D1782">
        <v>11.18</v>
      </c>
      <c r="E1782">
        <v>-0.4</v>
      </c>
      <c r="F1782">
        <v>11.18</v>
      </c>
      <c r="G1782">
        <v>11.19</v>
      </c>
      <c r="H1782">
        <v>44182</v>
      </c>
      <c r="I1782">
        <v>342</v>
      </c>
      <c r="J1782">
        <v>-0.08</v>
      </c>
      <c r="K1782">
        <v>2.72</v>
      </c>
      <c r="L1782">
        <v>11.55</v>
      </c>
      <c r="M1782">
        <v>11.64</v>
      </c>
      <c r="N1782">
        <v>11.14</v>
      </c>
      <c r="O1782">
        <v>11.58</v>
      </c>
      <c r="P1782">
        <v>21.37</v>
      </c>
      <c r="Q1782">
        <v>50311928</v>
      </c>
      <c r="R1782">
        <v>0.96</v>
      </c>
      <c r="S1782" t="s">
        <v>3507</v>
      </c>
      <c r="T1782" t="s">
        <v>115</v>
      </c>
      <c r="U1782">
        <v>4.32</v>
      </c>
      <c r="V1782">
        <v>11.39</v>
      </c>
      <c r="W1782">
        <v>26505</v>
      </c>
      <c r="X1782">
        <v>17677</v>
      </c>
      <c r="Y1782">
        <v>1.5</v>
      </c>
      <c r="Z1782">
        <v>234</v>
      </c>
      <c r="AA1782">
        <v>187</v>
      </c>
      <c r="AB1782" t="s">
        <v>116</v>
      </c>
      <c r="AC1782">
        <v>176700</v>
      </c>
      <c r="AD1782">
        <v>0.01</v>
      </c>
      <c r="AE1782" t="s">
        <v>116</v>
      </c>
      <c r="AF1782" t="s">
        <v>116</v>
      </c>
      <c r="AG1782">
        <v>1.62</v>
      </c>
      <c r="AH1782" t="s">
        <v>9081</v>
      </c>
      <c r="AI1782" t="s">
        <v>4167</v>
      </c>
      <c r="AJ1782">
        <v>-2.78</v>
      </c>
      <c r="AK1782">
        <v>1735</v>
      </c>
      <c r="AL1782">
        <v>25</v>
      </c>
      <c r="AM1782">
        <v>1.6000000000000001E-3</v>
      </c>
      <c r="AN1782">
        <v>-1</v>
      </c>
      <c r="AO1782">
        <v>1</v>
      </c>
      <c r="AP1782">
        <v>11.47</v>
      </c>
      <c r="AQ1782">
        <v>-0.89</v>
      </c>
      <c r="AR1782">
        <v>-27.75</v>
      </c>
      <c r="AS1782">
        <v>3.98</v>
      </c>
      <c r="AT1782" t="s">
        <v>9082</v>
      </c>
      <c r="AU1782">
        <v>18.91</v>
      </c>
      <c r="AV1782">
        <v>14.86</v>
      </c>
      <c r="AW1782">
        <v>1.48</v>
      </c>
      <c r="BA1782">
        <v>-0.26</v>
      </c>
      <c r="BB1782">
        <v>0.52</v>
      </c>
      <c r="BC1782">
        <v>-3.8</v>
      </c>
      <c r="BD1782">
        <v>-1.66</v>
      </c>
      <c r="BE1782">
        <v>-3.2</v>
      </c>
      <c r="BF1782">
        <v>-3.95</v>
      </c>
      <c r="BG1782">
        <v>0.36</v>
      </c>
      <c r="BH1782">
        <v>-1.79</v>
      </c>
      <c r="BI1782">
        <v>20191129</v>
      </c>
      <c r="BJ1782">
        <v>20140801</v>
      </c>
      <c r="BK1782">
        <v>3.2</v>
      </c>
      <c r="BL1782" t="s">
        <v>116</v>
      </c>
      <c r="BM1782" t="s">
        <v>116</v>
      </c>
      <c r="BN1782">
        <v>21.74</v>
      </c>
      <c r="BO1782">
        <v>13.57</v>
      </c>
      <c r="BP1782">
        <v>-0.03</v>
      </c>
      <c r="BQ1782">
        <v>37.69</v>
      </c>
      <c r="BR1782">
        <v>15.87</v>
      </c>
      <c r="BS1782">
        <v>3.57</v>
      </c>
      <c r="BT1782">
        <v>0.35</v>
      </c>
      <c r="BU1782">
        <v>8.11</v>
      </c>
      <c r="BV1782">
        <v>3.86</v>
      </c>
      <c r="BW1782">
        <v>5.56</v>
      </c>
      <c r="BX1782">
        <v>0.99</v>
      </c>
      <c r="BY1782">
        <v>14.67</v>
      </c>
      <c r="BZ1782">
        <v>9.82</v>
      </c>
      <c r="CA1782">
        <v>1.37</v>
      </c>
      <c r="CB1782">
        <v>0.01</v>
      </c>
      <c r="CC1782">
        <v>1.37</v>
      </c>
      <c r="CD1782">
        <v>1.22</v>
      </c>
      <c r="CE1782">
        <v>1.25</v>
      </c>
      <c r="CF1782">
        <v>1.1100000000000001</v>
      </c>
      <c r="CG1782">
        <v>8.4600000000000009</v>
      </c>
      <c r="CH1782">
        <v>1.37</v>
      </c>
      <c r="CI1782">
        <v>0.08</v>
      </c>
      <c r="CJ1782">
        <v>14660</v>
      </c>
      <c r="CK1782">
        <v>7579</v>
      </c>
      <c r="CL1782" t="s">
        <v>1635</v>
      </c>
      <c r="CM1782">
        <v>-29.12</v>
      </c>
      <c r="CN1782">
        <v>9.99</v>
      </c>
      <c r="CO1782">
        <v>2.63</v>
      </c>
      <c r="CP1782">
        <v>26.12</v>
      </c>
      <c r="CQ1782">
        <v>2.44</v>
      </c>
      <c r="CR1782">
        <v>1.39</v>
      </c>
      <c r="CS1782" t="s">
        <v>9083</v>
      </c>
      <c r="CT1782">
        <v>4.24</v>
      </c>
      <c r="CU1782">
        <v>0</v>
      </c>
      <c r="CV1782">
        <v>0.31</v>
      </c>
      <c r="CW1782">
        <v>2.65</v>
      </c>
      <c r="CX1782">
        <v>0.43</v>
      </c>
      <c r="CY1782">
        <v>62.45</v>
      </c>
      <c r="CZ1782" t="s">
        <v>4618</v>
      </c>
      <c r="DA1782">
        <v>33.07</v>
      </c>
      <c r="DB1782">
        <v>9.36</v>
      </c>
      <c r="DC1782">
        <v>8.5500000000000007</v>
      </c>
      <c r="DD1782">
        <v>0.67</v>
      </c>
      <c r="DE1782">
        <v>1925</v>
      </c>
      <c r="DF1782">
        <v>300389</v>
      </c>
      <c r="DG1782" t="s">
        <v>116</v>
      </c>
      <c r="DH1782" t="s">
        <v>116</v>
      </c>
      <c r="DI1782" t="s">
        <v>116</v>
      </c>
    </row>
    <row r="1783" spans="1:113" x14ac:dyDescent="0.4">
      <c r="A1783" t="str">
        <f>"300390"</f>
        <v>300390</v>
      </c>
      <c r="B1783" t="s">
        <v>9084</v>
      </c>
      <c r="C1783">
        <v>-0.32</v>
      </c>
      <c r="D1783">
        <v>6.28</v>
      </c>
      <c r="E1783">
        <v>-0.02</v>
      </c>
      <c r="F1783">
        <v>6.28</v>
      </c>
      <c r="G1783">
        <v>6.29</v>
      </c>
      <c r="H1783">
        <v>407487</v>
      </c>
      <c r="I1783">
        <v>4392</v>
      </c>
      <c r="J1783">
        <v>0.16</v>
      </c>
      <c r="K1783">
        <v>12.03</v>
      </c>
      <c r="L1783">
        <v>6.31</v>
      </c>
      <c r="M1783">
        <v>6.58</v>
      </c>
      <c r="N1783">
        <v>6.24</v>
      </c>
      <c r="O1783">
        <v>6.3</v>
      </c>
      <c r="P1783">
        <v>51.85</v>
      </c>
      <c r="Q1783">
        <v>260388192</v>
      </c>
      <c r="R1783">
        <v>1.35</v>
      </c>
      <c r="S1783" t="s">
        <v>233</v>
      </c>
      <c r="T1783" t="s">
        <v>323</v>
      </c>
      <c r="U1783">
        <v>5.4</v>
      </c>
      <c r="V1783">
        <v>6.39</v>
      </c>
      <c r="W1783">
        <v>215196</v>
      </c>
      <c r="X1783">
        <v>192291</v>
      </c>
      <c r="Y1783">
        <v>1.1200000000000001</v>
      </c>
      <c r="Z1783">
        <v>807</v>
      </c>
      <c r="AA1783">
        <v>1882</v>
      </c>
      <c r="AB1783" t="s">
        <v>116</v>
      </c>
      <c r="AC1783">
        <v>1666500</v>
      </c>
      <c r="AD1783">
        <v>0.1</v>
      </c>
      <c r="AE1783" t="s">
        <v>116</v>
      </c>
      <c r="AF1783" t="s">
        <v>116</v>
      </c>
      <c r="AG1783">
        <v>3.39</v>
      </c>
      <c r="AH1783" t="s">
        <v>8337</v>
      </c>
      <c r="AI1783" t="s">
        <v>3668</v>
      </c>
      <c r="AJ1783">
        <v>0.36</v>
      </c>
      <c r="AK1783">
        <v>3674</v>
      </c>
      <c r="AL1783">
        <v>111</v>
      </c>
      <c r="AM1783">
        <v>3.3E-3</v>
      </c>
      <c r="AN1783">
        <v>-2</v>
      </c>
      <c r="AO1783">
        <v>4.49</v>
      </c>
      <c r="AP1783">
        <v>15.23</v>
      </c>
      <c r="AQ1783">
        <v>16.079999999999998</v>
      </c>
      <c r="AR1783">
        <v>39.75</v>
      </c>
      <c r="AS1783">
        <v>14.67</v>
      </c>
      <c r="AT1783" t="s">
        <v>8677</v>
      </c>
      <c r="AU1783">
        <v>55.01</v>
      </c>
      <c r="AV1783">
        <v>68.86</v>
      </c>
      <c r="AW1783">
        <v>1.23</v>
      </c>
      <c r="BA1783">
        <v>0.16</v>
      </c>
      <c r="BB1783">
        <v>4.4400000000000004</v>
      </c>
      <c r="BC1783">
        <v>-0.95</v>
      </c>
      <c r="BD1783">
        <v>1.43</v>
      </c>
      <c r="BE1783">
        <v>-0.48</v>
      </c>
      <c r="BF1783">
        <v>-4.5599999999999996</v>
      </c>
      <c r="BG1783">
        <v>0.64</v>
      </c>
      <c r="BH1783">
        <v>-1.75</v>
      </c>
      <c r="BI1783">
        <v>20191225</v>
      </c>
      <c r="BJ1783">
        <v>20140731</v>
      </c>
      <c r="BK1783">
        <v>5.51</v>
      </c>
      <c r="BL1783" t="s">
        <v>116</v>
      </c>
      <c r="BM1783" t="s">
        <v>116</v>
      </c>
      <c r="BN1783">
        <v>10.99</v>
      </c>
      <c r="BO1783">
        <v>8.69</v>
      </c>
      <c r="BP1783">
        <v>0.15</v>
      </c>
      <c r="BQ1783">
        <v>19.52</v>
      </c>
      <c r="BR1783">
        <v>3.87</v>
      </c>
      <c r="BS1783">
        <v>1.95</v>
      </c>
      <c r="BT1783">
        <v>0.35</v>
      </c>
      <c r="BU1783">
        <v>1.98</v>
      </c>
      <c r="BV1783">
        <v>1.1499999999999999</v>
      </c>
      <c r="BW1783">
        <v>1.54</v>
      </c>
      <c r="BX1783">
        <v>0.72</v>
      </c>
      <c r="BY1783">
        <v>5.4</v>
      </c>
      <c r="BZ1783">
        <v>3.8</v>
      </c>
      <c r="CA1783">
        <v>0.61</v>
      </c>
      <c r="CB1783">
        <v>0.01</v>
      </c>
      <c r="CC1783">
        <v>0.61</v>
      </c>
      <c r="CD1783">
        <v>0.52</v>
      </c>
      <c r="CE1783">
        <v>0.5</v>
      </c>
      <c r="CF1783">
        <v>0.47</v>
      </c>
      <c r="CG1783">
        <v>2.25</v>
      </c>
      <c r="CH1783">
        <v>1.06</v>
      </c>
      <c r="CI1783">
        <v>-0.99</v>
      </c>
      <c r="CJ1783">
        <v>27091</v>
      </c>
      <c r="CK1783">
        <v>10254</v>
      </c>
      <c r="CL1783" t="s">
        <v>8641</v>
      </c>
      <c r="CM1783">
        <v>33.840000000000003</v>
      </c>
      <c r="CN1783">
        <v>-7.25</v>
      </c>
      <c r="CO1783">
        <v>3.98</v>
      </c>
      <c r="CP1783">
        <v>32.520000000000003</v>
      </c>
      <c r="CQ1783">
        <v>6.41</v>
      </c>
      <c r="CR1783">
        <v>1.49</v>
      </c>
      <c r="CS1783" t="s">
        <v>1381</v>
      </c>
      <c r="CT1783">
        <v>1.58</v>
      </c>
      <c r="CU1783">
        <v>0</v>
      </c>
      <c r="CV1783">
        <v>0.13</v>
      </c>
      <c r="CW1783">
        <v>0.41</v>
      </c>
      <c r="CX1783">
        <v>0.19</v>
      </c>
      <c r="CY1783">
        <v>79.09</v>
      </c>
      <c r="CZ1783" t="s">
        <v>9085</v>
      </c>
      <c r="DA1783">
        <v>29.71</v>
      </c>
      <c r="DB1783">
        <v>11.22</v>
      </c>
      <c r="DC1783">
        <v>9.27</v>
      </c>
      <c r="DD1783">
        <v>0.22</v>
      </c>
      <c r="DE1783">
        <v>1317</v>
      </c>
      <c r="DF1783">
        <v>300390</v>
      </c>
      <c r="DG1783" t="s">
        <v>116</v>
      </c>
      <c r="DH1783" t="s">
        <v>116</v>
      </c>
      <c r="DI1783" t="s">
        <v>116</v>
      </c>
    </row>
    <row r="1784" spans="1:113" x14ac:dyDescent="0.4">
      <c r="A1784" t="str">
        <f>"300391"</f>
        <v>300391</v>
      </c>
      <c r="B1784" t="s">
        <v>9086</v>
      </c>
      <c r="C1784">
        <v>-1.0900000000000001</v>
      </c>
      <c r="D1784">
        <v>7.27</v>
      </c>
      <c r="E1784">
        <v>-0.08</v>
      </c>
      <c r="F1784">
        <v>7.26</v>
      </c>
      <c r="G1784">
        <v>7.27</v>
      </c>
      <c r="H1784">
        <v>123136</v>
      </c>
      <c r="I1784">
        <v>948</v>
      </c>
      <c r="J1784">
        <v>-0.13</v>
      </c>
      <c r="K1784">
        <v>3.77</v>
      </c>
      <c r="L1784">
        <v>7.36</v>
      </c>
      <c r="M1784">
        <v>7.63</v>
      </c>
      <c r="N1784">
        <v>7.17</v>
      </c>
      <c r="O1784">
        <v>7.35</v>
      </c>
      <c r="P1784">
        <v>69.98</v>
      </c>
      <c r="Q1784">
        <v>90936376</v>
      </c>
      <c r="R1784">
        <v>1.1499999999999999</v>
      </c>
      <c r="S1784" t="s">
        <v>996</v>
      </c>
      <c r="T1784" t="s">
        <v>645</v>
      </c>
      <c r="U1784">
        <v>6.26</v>
      </c>
      <c r="V1784">
        <v>7.39</v>
      </c>
      <c r="W1784">
        <v>66709</v>
      </c>
      <c r="X1784">
        <v>56427</v>
      </c>
      <c r="Y1784">
        <v>1.18</v>
      </c>
      <c r="Z1784">
        <v>285</v>
      </c>
      <c r="AA1784">
        <v>927</v>
      </c>
      <c r="AB1784" t="s">
        <v>116</v>
      </c>
      <c r="AC1784">
        <v>69900</v>
      </c>
      <c r="AD1784">
        <v>0.01</v>
      </c>
      <c r="AE1784" t="s">
        <v>116</v>
      </c>
      <c r="AF1784" t="s">
        <v>116</v>
      </c>
      <c r="AG1784">
        <v>3.27</v>
      </c>
      <c r="AH1784" t="s">
        <v>9087</v>
      </c>
      <c r="AI1784" t="s">
        <v>8919</v>
      </c>
      <c r="AJ1784">
        <v>-0.41</v>
      </c>
      <c r="AK1784">
        <v>2258</v>
      </c>
      <c r="AL1784">
        <v>55</v>
      </c>
      <c r="AM1784">
        <v>1.6999999999999999E-3</v>
      </c>
      <c r="AN1784">
        <v>-1</v>
      </c>
      <c r="AO1784">
        <v>3.7</v>
      </c>
      <c r="AP1784">
        <v>17.45</v>
      </c>
      <c r="AQ1784">
        <v>21.37</v>
      </c>
      <c r="AR1784">
        <v>12.77</v>
      </c>
      <c r="AS1784">
        <v>8.26</v>
      </c>
      <c r="AT1784" t="s">
        <v>9088</v>
      </c>
      <c r="AU1784">
        <v>114.54</v>
      </c>
      <c r="AV1784">
        <v>24.97</v>
      </c>
      <c r="AW1784">
        <v>0.85</v>
      </c>
      <c r="BA1784">
        <v>0.14000000000000001</v>
      </c>
      <c r="BB1784">
        <v>3.81</v>
      </c>
      <c r="BC1784">
        <v>-2.4500000000000002</v>
      </c>
      <c r="BD1784">
        <v>0.48</v>
      </c>
      <c r="BE1784">
        <v>-1.22</v>
      </c>
      <c r="BF1784">
        <v>-4.72</v>
      </c>
      <c r="BG1784">
        <v>1.39</v>
      </c>
      <c r="BH1784">
        <v>-1.56</v>
      </c>
      <c r="BI1784">
        <v>20191028</v>
      </c>
      <c r="BJ1784">
        <v>20140801</v>
      </c>
      <c r="BK1784">
        <v>3.5</v>
      </c>
      <c r="BL1784" t="s">
        <v>116</v>
      </c>
      <c r="BM1784" t="s">
        <v>116</v>
      </c>
      <c r="BN1784">
        <v>21.27</v>
      </c>
      <c r="BO1784">
        <v>14.6</v>
      </c>
      <c r="BP1784">
        <v>-0.05</v>
      </c>
      <c r="BQ1784">
        <v>31.63</v>
      </c>
      <c r="BR1784">
        <v>11.06</v>
      </c>
      <c r="BS1784">
        <v>3.15</v>
      </c>
      <c r="BT1784">
        <v>0.66</v>
      </c>
      <c r="BU1784">
        <v>6.46</v>
      </c>
      <c r="BV1784">
        <v>2.0499999999999998</v>
      </c>
      <c r="BW1784">
        <v>3.32</v>
      </c>
      <c r="BX1784">
        <v>7.9</v>
      </c>
      <c r="BY1784">
        <v>5.86</v>
      </c>
      <c r="BZ1784">
        <v>4.17</v>
      </c>
      <c r="CA1784">
        <v>0.3</v>
      </c>
      <c r="CB1784">
        <v>0</v>
      </c>
      <c r="CC1784">
        <v>0.3</v>
      </c>
      <c r="CD1784">
        <v>0.26</v>
      </c>
      <c r="CE1784">
        <v>0.27</v>
      </c>
      <c r="CF1784">
        <v>0.23</v>
      </c>
      <c r="CG1784">
        <v>2.9</v>
      </c>
      <c r="CH1784">
        <v>0.64</v>
      </c>
      <c r="CI1784">
        <v>0.65</v>
      </c>
      <c r="CJ1784">
        <v>14887</v>
      </c>
      <c r="CK1784">
        <v>10015</v>
      </c>
      <c r="CL1784" t="s">
        <v>1623</v>
      </c>
      <c r="CM1784">
        <v>-74.5</v>
      </c>
      <c r="CN1784">
        <v>-16.73</v>
      </c>
      <c r="CO1784">
        <v>1.74</v>
      </c>
      <c r="CP1784">
        <v>40.06</v>
      </c>
      <c r="CQ1784">
        <v>4.34</v>
      </c>
      <c r="CR1784">
        <v>0.46</v>
      </c>
      <c r="CS1784" t="s">
        <v>178</v>
      </c>
      <c r="CT1784">
        <v>4.17</v>
      </c>
      <c r="CU1784">
        <v>0</v>
      </c>
      <c r="CV1784">
        <v>2.2599999999999998</v>
      </c>
      <c r="CW1784">
        <v>0.83</v>
      </c>
      <c r="CX1784">
        <v>0.18</v>
      </c>
      <c r="CY1784">
        <v>68.62</v>
      </c>
      <c r="CZ1784" t="s">
        <v>2379</v>
      </c>
      <c r="DA1784">
        <v>28.97</v>
      </c>
      <c r="DB1784">
        <v>5.15</v>
      </c>
      <c r="DC1784">
        <v>4.6500000000000004</v>
      </c>
      <c r="DD1784">
        <v>0.31</v>
      </c>
      <c r="DE1784">
        <v>1165</v>
      </c>
      <c r="DF1784">
        <v>300391</v>
      </c>
      <c r="DG1784" t="s">
        <v>116</v>
      </c>
      <c r="DH1784" t="s">
        <v>116</v>
      </c>
      <c r="DI1784" t="s">
        <v>116</v>
      </c>
    </row>
    <row r="1785" spans="1:113" x14ac:dyDescent="0.4">
      <c r="A1785" t="str">
        <f>"300392"</f>
        <v>300392</v>
      </c>
      <c r="B1785" t="s">
        <v>9089</v>
      </c>
      <c r="C1785">
        <v>0.64</v>
      </c>
      <c r="D1785">
        <v>7.86</v>
      </c>
      <c r="E1785">
        <v>0.05</v>
      </c>
      <c r="F1785">
        <v>7.85</v>
      </c>
      <c r="G1785">
        <v>7.86</v>
      </c>
      <c r="H1785">
        <v>162399</v>
      </c>
      <c r="I1785">
        <v>2704</v>
      </c>
      <c r="J1785">
        <v>-0.24</v>
      </c>
      <c r="K1785">
        <v>6.27</v>
      </c>
      <c r="L1785">
        <v>7.9</v>
      </c>
      <c r="M1785">
        <v>8.17</v>
      </c>
      <c r="N1785">
        <v>7.7</v>
      </c>
      <c r="O1785">
        <v>7.81</v>
      </c>
      <c r="P1785">
        <v>267.81</v>
      </c>
      <c r="Q1785">
        <v>128744624</v>
      </c>
      <c r="R1785">
        <v>2.4900000000000002</v>
      </c>
      <c r="S1785" t="s">
        <v>1384</v>
      </c>
      <c r="T1785" t="s">
        <v>165</v>
      </c>
      <c r="U1785">
        <v>6.02</v>
      </c>
      <c r="V1785">
        <v>7.93</v>
      </c>
      <c r="W1785">
        <v>77072</v>
      </c>
      <c r="X1785">
        <v>85327</v>
      </c>
      <c r="Y1785">
        <v>0.9</v>
      </c>
      <c r="Z1785">
        <v>322</v>
      </c>
      <c r="AA1785">
        <v>258</v>
      </c>
      <c r="AB1785" t="s">
        <v>116</v>
      </c>
      <c r="AC1785">
        <v>775000</v>
      </c>
      <c r="AD1785">
        <v>0.06</v>
      </c>
      <c r="AE1785" t="s">
        <v>116</v>
      </c>
      <c r="AF1785" t="s">
        <v>116</v>
      </c>
      <c r="AG1785">
        <v>2.59</v>
      </c>
      <c r="AH1785" t="s">
        <v>9090</v>
      </c>
      <c r="AI1785" t="s">
        <v>7835</v>
      </c>
      <c r="AJ1785">
        <v>1.32</v>
      </c>
      <c r="AK1785">
        <v>2427</v>
      </c>
      <c r="AL1785">
        <v>67</v>
      </c>
      <c r="AM1785">
        <v>2.5999999999999999E-3</v>
      </c>
      <c r="AN1785">
        <v>4</v>
      </c>
      <c r="AO1785">
        <v>8.7100000000000009</v>
      </c>
      <c r="AP1785">
        <v>14.74</v>
      </c>
      <c r="AQ1785">
        <v>13.42</v>
      </c>
      <c r="AR1785">
        <v>-0.13</v>
      </c>
      <c r="AS1785">
        <v>9.86</v>
      </c>
      <c r="AT1785" t="s">
        <v>6033</v>
      </c>
      <c r="AU1785">
        <v>32.03</v>
      </c>
      <c r="AV1785">
        <v>148.86000000000001</v>
      </c>
      <c r="AW1785">
        <v>1.36</v>
      </c>
      <c r="BA1785">
        <v>1.1499999999999999</v>
      </c>
      <c r="BB1785">
        <v>4.6100000000000003</v>
      </c>
      <c r="BC1785">
        <v>-1.41</v>
      </c>
      <c r="BD1785">
        <v>1.51</v>
      </c>
      <c r="BE1785">
        <v>-0.51</v>
      </c>
      <c r="BF1785">
        <v>-3.79</v>
      </c>
      <c r="BG1785">
        <v>2.08</v>
      </c>
      <c r="BH1785">
        <v>-0.87</v>
      </c>
      <c r="BI1785">
        <v>20191210</v>
      </c>
      <c r="BJ1785">
        <v>20140910</v>
      </c>
      <c r="BK1785">
        <v>3.84</v>
      </c>
      <c r="BL1785" t="s">
        <v>116</v>
      </c>
      <c r="BM1785" t="s">
        <v>116</v>
      </c>
      <c r="BN1785">
        <v>14.88</v>
      </c>
      <c r="BO1785">
        <v>5.03</v>
      </c>
      <c r="BP1785">
        <v>0.01</v>
      </c>
      <c r="BQ1785">
        <v>66.17</v>
      </c>
      <c r="BR1785">
        <v>11.17</v>
      </c>
      <c r="BS1785">
        <v>1.26</v>
      </c>
      <c r="BT1785">
        <v>0.18</v>
      </c>
      <c r="BU1785">
        <v>9</v>
      </c>
      <c r="BV1785">
        <v>0</v>
      </c>
      <c r="BW1785">
        <v>6.53</v>
      </c>
      <c r="BX1785">
        <v>0.82</v>
      </c>
      <c r="BY1785">
        <v>10.050000000000001</v>
      </c>
      <c r="BZ1785">
        <v>8.84</v>
      </c>
      <c r="CA1785">
        <v>0.11</v>
      </c>
      <c r="CB1785">
        <v>0</v>
      </c>
      <c r="CC1785">
        <v>0.1</v>
      </c>
      <c r="CD1785">
        <v>0.08</v>
      </c>
      <c r="CE1785">
        <v>0.08</v>
      </c>
      <c r="CF1785">
        <v>0.09</v>
      </c>
      <c r="CG1785">
        <v>-0.1</v>
      </c>
      <c r="CH1785">
        <v>-2.38</v>
      </c>
      <c r="CI1785">
        <v>-1.19</v>
      </c>
      <c r="CJ1785">
        <v>23365</v>
      </c>
      <c r="CK1785">
        <v>7052</v>
      </c>
      <c r="CL1785" t="s">
        <v>8914</v>
      </c>
      <c r="CM1785">
        <v>112.9</v>
      </c>
      <c r="CN1785">
        <v>-8.67</v>
      </c>
      <c r="CO1785">
        <v>6.01</v>
      </c>
      <c r="CP1785">
        <v>-12.7</v>
      </c>
      <c r="CQ1785">
        <v>3</v>
      </c>
      <c r="CR1785">
        <v>0</v>
      </c>
      <c r="CS1785" t="s">
        <v>3988</v>
      </c>
      <c r="CT1785">
        <v>1.31</v>
      </c>
      <c r="CU1785">
        <v>0</v>
      </c>
      <c r="CV1785">
        <v>0.21</v>
      </c>
      <c r="CW1785">
        <v>-0.02</v>
      </c>
      <c r="CX1785">
        <v>-0.62</v>
      </c>
      <c r="CY1785">
        <v>33.78</v>
      </c>
      <c r="CZ1785" t="s">
        <v>9091</v>
      </c>
      <c r="DA1785">
        <v>12.13</v>
      </c>
      <c r="DB1785">
        <v>1.0900000000000001</v>
      </c>
      <c r="DC1785">
        <v>0.84</v>
      </c>
      <c r="DD1785">
        <v>0.14000000000000001</v>
      </c>
      <c r="DE1785">
        <v>190</v>
      </c>
      <c r="DF1785">
        <v>300392</v>
      </c>
      <c r="DG1785" t="s">
        <v>116</v>
      </c>
      <c r="DH1785" t="s">
        <v>116</v>
      </c>
      <c r="DI1785" t="s">
        <v>116</v>
      </c>
    </row>
    <row r="1786" spans="1:113" x14ac:dyDescent="0.4">
      <c r="A1786" t="str">
        <f>"300393"</f>
        <v>300393</v>
      </c>
      <c r="B1786" t="s">
        <v>9092</v>
      </c>
      <c r="C1786">
        <v>0.76</v>
      </c>
      <c r="D1786">
        <v>14.64</v>
      </c>
      <c r="E1786">
        <v>0.11</v>
      </c>
      <c r="F1786">
        <v>14.63</v>
      </c>
      <c r="G1786">
        <v>14.64</v>
      </c>
      <c r="H1786">
        <v>53265</v>
      </c>
      <c r="I1786">
        <v>963</v>
      </c>
      <c r="J1786">
        <v>7.0000000000000007E-2</v>
      </c>
      <c r="K1786">
        <v>3.06</v>
      </c>
      <c r="L1786">
        <v>14.55</v>
      </c>
      <c r="M1786">
        <v>14.88</v>
      </c>
      <c r="N1786">
        <v>14.46</v>
      </c>
      <c r="O1786">
        <v>14.53</v>
      </c>
      <c r="P1786">
        <v>17.32</v>
      </c>
      <c r="Q1786">
        <v>78173208</v>
      </c>
      <c r="R1786">
        <v>1.2</v>
      </c>
      <c r="S1786" t="s">
        <v>2444</v>
      </c>
      <c r="T1786" t="s">
        <v>323</v>
      </c>
      <c r="U1786">
        <v>2.89</v>
      </c>
      <c r="V1786">
        <v>14.68</v>
      </c>
      <c r="W1786">
        <v>25502</v>
      </c>
      <c r="X1786">
        <v>27763</v>
      </c>
      <c r="Y1786">
        <v>0.92</v>
      </c>
      <c r="Z1786">
        <v>42</v>
      </c>
      <c r="AA1786">
        <v>55</v>
      </c>
      <c r="AB1786" t="s">
        <v>116</v>
      </c>
      <c r="AC1786">
        <v>192100</v>
      </c>
      <c r="AD1786">
        <v>0.01</v>
      </c>
      <c r="AE1786" t="s">
        <v>116</v>
      </c>
      <c r="AF1786" t="s">
        <v>116</v>
      </c>
      <c r="AG1786">
        <v>1.74</v>
      </c>
      <c r="AH1786" t="s">
        <v>8714</v>
      </c>
      <c r="AI1786" t="s">
        <v>9093</v>
      </c>
      <c r="AJ1786">
        <v>1.44</v>
      </c>
      <c r="AK1786">
        <v>2053</v>
      </c>
      <c r="AL1786">
        <v>26</v>
      </c>
      <c r="AM1786">
        <v>1.5E-3</v>
      </c>
      <c r="AN1786">
        <v>4</v>
      </c>
      <c r="AO1786">
        <v>1.81</v>
      </c>
      <c r="AP1786">
        <v>4.42</v>
      </c>
      <c r="AQ1786">
        <v>11.08</v>
      </c>
      <c r="AR1786">
        <v>50.84</v>
      </c>
      <c r="AS1786">
        <v>4.01</v>
      </c>
      <c r="AT1786" t="s">
        <v>7085</v>
      </c>
      <c r="AU1786">
        <v>24.62</v>
      </c>
      <c r="AV1786">
        <v>41.81</v>
      </c>
      <c r="AW1786">
        <v>0.68</v>
      </c>
      <c r="BA1786">
        <v>0.14000000000000001</v>
      </c>
      <c r="BB1786">
        <v>2.41</v>
      </c>
      <c r="BC1786">
        <v>-0.48</v>
      </c>
      <c r="BD1786">
        <v>1.01</v>
      </c>
      <c r="BE1786">
        <v>0.62</v>
      </c>
      <c r="BF1786">
        <v>-1.61</v>
      </c>
      <c r="BG1786">
        <v>1.24</v>
      </c>
      <c r="BH1786">
        <v>-0.25</v>
      </c>
      <c r="BI1786">
        <v>20191028</v>
      </c>
      <c r="BJ1786">
        <v>20140912</v>
      </c>
      <c r="BK1786">
        <v>3.59</v>
      </c>
      <c r="BL1786" t="s">
        <v>116</v>
      </c>
      <c r="BM1786" t="s">
        <v>116</v>
      </c>
      <c r="BN1786">
        <v>77.900000000000006</v>
      </c>
      <c r="BO1786">
        <v>28.18</v>
      </c>
      <c r="BP1786">
        <v>0.75</v>
      </c>
      <c r="BQ1786">
        <v>62.87</v>
      </c>
      <c r="BR1786">
        <v>38.11</v>
      </c>
      <c r="BS1786">
        <v>21.43</v>
      </c>
      <c r="BT1786">
        <v>1.32</v>
      </c>
      <c r="BU1786">
        <v>26.4</v>
      </c>
      <c r="BV1786">
        <v>6.76</v>
      </c>
      <c r="BW1786">
        <v>6.2</v>
      </c>
      <c r="BX1786">
        <v>15.73</v>
      </c>
      <c r="BY1786">
        <v>25</v>
      </c>
      <c r="BZ1786">
        <v>17.54</v>
      </c>
      <c r="CA1786">
        <v>3.52</v>
      </c>
      <c r="CB1786">
        <v>-0.06</v>
      </c>
      <c r="CC1786">
        <v>3.5</v>
      </c>
      <c r="CD1786">
        <v>2.4500000000000002</v>
      </c>
      <c r="CE1786">
        <v>2.2799999999999998</v>
      </c>
      <c r="CF1786">
        <v>2.08</v>
      </c>
      <c r="CG1786">
        <v>7.15</v>
      </c>
      <c r="CH1786">
        <v>-2</v>
      </c>
      <c r="CI1786">
        <v>3.1</v>
      </c>
      <c r="CJ1786">
        <v>11844</v>
      </c>
      <c r="CK1786">
        <v>11201</v>
      </c>
      <c r="CL1786" t="s">
        <v>3520</v>
      </c>
      <c r="CM1786">
        <v>62.78</v>
      </c>
      <c r="CN1786">
        <v>37.04</v>
      </c>
      <c r="CO1786">
        <v>1.98</v>
      </c>
      <c r="CP1786">
        <v>-26.34</v>
      </c>
      <c r="CQ1786">
        <v>2.1</v>
      </c>
      <c r="CR1786">
        <v>1.83</v>
      </c>
      <c r="CS1786" t="s">
        <v>2129</v>
      </c>
      <c r="CT1786">
        <v>7.39</v>
      </c>
      <c r="CU1786">
        <v>7.39</v>
      </c>
      <c r="CV1786">
        <v>4.38</v>
      </c>
      <c r="CW1786">
        <v>1.99</v>
      </c>
      <c r="CX1786">
        <v>-0.56000000000000005</v>
      </c>
      <c r="CY1786">
        <v>36.17</v>
      </c>
      <c r="CZ1786" t="s">
        <v>7800</v>
      </c>
      <c r="DA1786">
        <v>29.83</v>
      </c>
      <c r="DB1786">
        <v>14.07</v>
      </c>
      <c r="DC1786">
        <v>9.1</v>
      </c>
      <c r="DD1786">
        <v>0.87</v>
      </c>
      <c r="DE1786">
        <v>1720</v>
      </c>
      <c r="DF1786">
        <v>300393</v>
      </c>
      <c r="DG1786" t="s">
        <v>116</v>
      </c>
      <c r="DH1786" t="s">
        <v>116</v>
      </c>
      <c r="DI1786" t="s">
        <v>116</v>
      </c>
    </row>
    <row r="1787" spans="1:113" x14ac:dyDescent="0.4">
      <c r="A1787" t="str">
        <f>"300394"</f>
        <v>300394</v>
      </c>
      <c r="B1787" t="s">
        <v>9094</v>
      </c>
      <c r="C1787">
        <v>-2.59</v>
      </c>
      <c r="D1787">
        <v>36.520000000000003</v>
      </c>
      <c r="E1787">
        <v>-0.97</v>
      </c>
      <c r="F1787">
        <v>36.520000000000003</v>
      </c>
      <c r="G1787">
        <v>36.54</v>
      </c>
      <c r="H1787">
        <v>24076</v>
      </c>
      <c r="I1787">
        <v>261</v>
      </c>
      <c r="J1787">
        <v>0</v>
      </c>
      <c r="K1787">
        <v>1.37</v>
      </c>
      <c r="L1787">
        <v>37.799999999999997</v>
      </c>
      <c r="M1787">
        <v>37.97</v>
      </c>
      <c r="N1787">
        <v>36.299999999999997</v>
      </c>
      <c r="O1787">
        <v>37.49</v>
      </c>
      <c r="P1787">
        <v>43.16</v>
      </c>
      <c r="Q1787">
        <v>89429840</v>
      </c>
      <c r="R1787">
        <v>1.1499999999999999</v>
      </c>
      <c r="S1787" t="s">
        <v>465</v>
      </c>
      <c r="T1787" t="s">
        <v>323</v>
      </c>
      <c r="U1787">
        <v>4.45</v>
      </c>
      <c r="V1787">
        <v>37.14</v>
      </c>
      <c r="W1787">
        <v>14235</v>
      </c>
      <c r="X1787">
        <v>9841</v>
      </c>
      <c r="Y1787">
        <v>1.45</v>
      </c>
      <c r="Z1787">
        <v>76</v>
      </c>
      <c r="AA1787">
        <v>8</v>
      </c>
      <c r="AB1787" t="s">
        <v>116</v>
      </c>
      <c r="AC1787">
        <v>249500</v>
      </c>
      <c r="AD1787">
        <v>0.01</v>
      </c>
      <c r="AE1787" t="s">
        <v>116</v>
      </c>
      <c r="AF1787" t="s">
        <v>116</v>
      </c>
      <c r="AG1787">
        <v>1.76</v>
      </c>
      <c r="AH1787" t="s">
        <v>9095</v>
      </c>
      <c r="AI1787" t="s">
        <v>3339</v>
      </c>
      <c r="AJ1787">
        <v>-1.91</v>
      </c>
      <c r="AK1787">
        <v>2428</v>
      </c>
      <c r="AL1787">
        <v>10</v>
      </c>
      <c r="AM1787">
        <v>5.9999999999999995E-4</v>
      </c>
      <c r="AN1787">
        <v>-1</v>
      </c>
      <c r="AO1787">
        <v>-1.94</v>
      </c>
      <c r="AP1787">
        <v>11.65</v>
      </c>
      <c r="AQ1787">
        <v>3.31</v>
      </c>
      <c r="AR1787">
        <v>53.38</v>
      </c>
      <c r="AS1787">
        <v>3.06</v>
      </c>
      <c r="AT1787" t="s">
        <v>1082</v>
      </c>
      <c r="AU1787">
        <v>42.58</v>
      </c>
      <c r="AV1787">
        <v>53.6</v>
      </c>
      <c r="AW1787">
        <v>1.48</v>
      </c>
      <c r="BA1787">
        <v>0.83</v>
      </c>
      <c r="BB1787">
        <v>1.28</v>
      </c>
      <c r="BC1787">
        <v>-3.17</v>
      </c>
      <c r="BD1787">
        <v>-0.92</v>
      </c>
      <c r="BE1787">
        <v>-3.39</v>
      </c>
      <c r="BF1787">
        <v>-3.82</v>
      </c>
      <c r="BG1787">
        <v>0.61</v>
      </c>
      <c r="BH1787">
        <v>-1.66</v>
      </c>
      <c r="BI1787">
        <v>20191223</v>
      </c>
      <c r="BJ1787">
        <v>20150217</v>
      </c>
      <c r="BK1787">
        <v>1.99</v>
      </c>
      <c r="BL1787" t="s">
        <v>116</v>
      </c>
      <c r="BM1787" t="s">
        <v>116</v>
      </c>
      <c r="BN1787">
        <v>12.89</v>
      </c>
      <c r="BO1787">
        <v>11.31</v>
      </c>
      <c r="BP1787">
        <v>0.02</v>
      </c>
      <c r="BQ1787">
        <v>12.17</v>
      </c>
      <c r="BR1787">
        <v>8.33</v>
      </c>
      <c r="BS1787">
        <v>2.5099999999999998</v>
      </c>
      <c r="BT1787">
        <v>0.4</v>
      </c>
      <c r="BU1787">
        <v>1.36</v>
      </c>
      <c r="BV1787">
        <v>0.63</v>
      </c>
      <c r="BW1787">
        <v>1.53</v>
      </c>
      <c r="BX1787">
        <v>4.09</v>
      </c>
      <c r="BY1787">
        <v>3.84</v>
      </c>
      <c r="BZ1787">
        <v>1.75</v>
      </c>
      <c r="CA1787">
        <v>1.5</v>
      </c>
      <c r="CB1787">
        <v>0.13</v>
      </c>
      <c r="CC1787">
        <v>1.5</v>
      </c>
      <c r="CD1787">
        <v>1.27</v>
      </c>
      <c r="CE1787">
        <v>1.26</v>
      </c>
      <c r="CF1787">
        <v>1.1399999999999999</v>
      </c>
      <c r="CG1787">
        <v>4.6900000000000004</v>
      </c>
      <c r="CH1787">
        <v>1.5</v>
      </c>
      <c r="CI1787">
        <v>-0.7</v>
      </c>
      <c r="CJ1787">
        <v>13507</v>
      </c>
      <c r="CK1787">
        <v>5835</v>
      </c>
      <c r="CL1787" t="s">
        <v>9096</v>
      </c>
      <c r="CM1787">
        <v>38.47</v>
      </c>
      <c r="CN1787">
        <v>18.18</v>
      </c>
      <c r="CO1787">
        <v>6.42</v>
      </c>
      <c r="CP1787">
        <v>48.54</v>
      </c>
      <c r="CQ1787">
        <v>18.940000000000001</v>
      </c>
      <c r="CR1787">
        <v>0.99</v>
      </c>
      <c r="CS1787" t="s">
        <v>5274</v>
      </c>
      <c r="CT1787">
        <v>5.68</v>
      </c>
      <c r="CU1787">
        <v>0</v>
      </c>
      <c r="CV1787">
        <v>2.06</v>
      </c>
      <c r="CW1787">
        <v>2.36</v>
      </c>
      <c r="CX1787">
        <v>0.75</v>
      </c>
      <c r="CY1787">
        <v>87.71</v>
      </c>
      <c r="CZ1787" t="s">
        <v>9097</v>
      </c>
      <c r="DA1787">
        <v>54.44</v>
      </c>
      <c r="DB1787">
        <v>39.130000000000003</v>
      </c>
      <c r="DC1787">
        <v>32.92</v>
      </c>
      <c r="DD1787">
        <v>0.42</v>
      </c>
      <c r="DE1787">
        <v>1490</v>
      </c>
      <c r="DF1787">
        <v>300394</v>
      </c>
      <c r="DG1787" t="s">
        <v>116</v>
      </c>
      <c r="DH1787" t="s">
        <v>116</v>
      </c>
      <c r="DI1787" t="s">
        <v>116</v>
      </c>
    </row>
    <row r="1788" spans="1:113" x14ac:dyDescent="0.4">
      <c r="A1788" t="str">
        <f>"300395"</f>
        <v>300395</v>
      </c>
      <c r="B1788" t="s">
        <v>9098</v>
      </c>
      <c r="C1788">
        <v>-1.04</v>
      </c>
      <c r="D1788">
        <v>21.81</v>
      </c>
      <c r="E1788">
        <v>-0.23</v>
      </c>
      <c r="F1788">
        <v>21.8</v>
      </c>
      <c r="G1788">
        <v>21.81</v>
      </c>
      <c r="H1788">
        <v>42259</v>
      </c>
      <c r="I1788">
        <v>588</v>
      </c>
      <c r="J1788">
        <v>-0.13</v>
      </c>
      <c r="K1788">
        <v>1.56</v>
      </c>
      <c r="L1788">
        <v>22.04</v>
      </c>
      <c r="M1788">
        <v>22.2</v>
      </c>
      <c r="N1788">
        <v>21.25</v>
      </c>
      <c r="O1788">
        <v>22.04</v>
      </c>
      <c r="P1788">
        <v>39.39</v>
      </c>
      <c r="Q1788">
        <v>91865360</v>
      </c>
      <c r="R1788">
        <v>1.17</v>
      </c>
      <c r="S1788" t="s">
        <v>195</v>
      </c>
      <c r="T1788" t="s">
        <v>774</v>
      </c>
      <c r="U1788">
        <v>4.3099999999999996</v>
      </c>
      <c r="V1788">
        <v>21.74</v>
      </c>
      <c r="W1788">
        <v>21202</v>
      </c>
      <c r="X1788">
        <v>21057</v>
      </c>
      <c r="Y1788">
        <v>1.01</v>
      </c>
      <c r="Z1788">
        <v>60</v>
      </c>
      <c r="AA1788">
        <v>559</v>
      </c>
      <c r="AB1788" t="s">
        <v>116</v>
      </c>
      <c r="AC1788">
        <v>424400</v>
      </c>
      <c r="AD1788">
        <v>0.01</v>
      </c>
      <c r="AE1788" t="s">
        <v>116</v>
      </c>
      <c r="AF1788" t="s">
        <v>116</v>
      </c>
      <c r="AG1788">
        <v>2.7</v>
      </c>
      <c r="AH1788" t="s">
        <v>9099</v>
      </c>
      <c r="AI1788" t="s">
        <v>5782</v>
      </c>
      <c r="AJ1788">
        <v>-0.36</v>
      </c>
      <c r="AK1788">
        <v>2429</v>
      </c>
      <c r="AL1788">
        <v>17</v>
      </c>
      <c r="AM1788">
        <v>5.9999999999999995E-4</v>
      </c>
      <c r="AN1788">
        <v>-1</v>
      </c>
      <c r="AO1788">
        <v>5.51</v>
      </c>
      <c r="AP1788">
        <v>7.17</v>
      </c>
      <c r="AQ1788">
        <v>-0.73</v>
      </c>
      <c r="AR1788">
        <v>54.13</v>
      </c>
      <c r="AS1788">
        <v>2.06</v>
      </c>
      <c r="AT1788" t="s">
        <v>9100</v>
      </c>
      <c r="AU1788">
        <v>39.869999999999997</v>
      </c>
      <c r="AV1788">
        <v>45.75</v>
      </c>
      <c r="AW1788">
        <v>1.18</v>
      </c>
      <c r="BA1788">
        <v>0</v>
      </c>
      <c r="BB1788">
        <v>0.73</v>
      </c>
      <c r="BC1788">
        <v>-3.58</v>
      </c>
      <c r="BD1788">
        <v>-1.37</v>
      </c>
      <c r="BE1788">
        <v>-1.04</v>
      </c>
      <c r="BF1788">
        <v>-1.76</v>
      </c>
      <c r="BG1788">
        <v>2.64</v>
      </c>
      <c r="BH1788">
        <v>0.32</v>
      </c>
      <c r="BI1788">
        <v>20191206</v>
      </c>
      <c r="BJ1788">
        <v>20140910</v>
      </c>
      <c r="BK1788">
        <v>3.38</v>
      </c>
      <c r="BL1788" t="s">
        <v>116</v>
      </c>
      <c r="BM1788" t="s">
        <v>116</v>
      </c>
      <c r="BN1788">
        <v>21.27</v>
      </c>
      <c r="BO1788">
        <v>18.309999999999999</v>
      </c>
      <c r="BP1788">
        <v>0.08</v>
      </c>
      <c r="BQ1788">
        <v>13.55</v>
      </c>
      <c r="BR1788">
        <v>14.77</v>
      </c>
      <c r="BS1788">
        <v>4.4000000000000004</v>
      </c>
      <c r="BT1788">
        <v>0.25</v>
      </c>
      <c r="BU1788">
        <v>2.5299999999999998</v>
      </c>
      <c r="BV1788">
        <v>1.52</v>
      </c>
      <c r="BW1788">
        <v>2.6</v>
      </c>
      <c r="BX1788">
        <v>8.16</v>
      </c>
      <c r="BY1788">
        <v>5.71</v>
      </c>
      <c r="BZ1788">
        <v>2.93</v>
      </c>
      <c r="CA1788">
        <v>1.62</v>
      </c>
      <c r="CB1788">
        <v>0</v>
      </c>
      <c r="CC1788">
        <v>1.62</v>
      </c>
      <c r="CD1788">
        <v>1.41</v>
      </c>
      <c r="CE1788">
        <v>1.4</v>
      </c>
      <c r="CF1788">
        <v>1.35</v>
      </c>
      <c r="CG1788">
        <v>6.22</v>
      </c>
      <c r="CH1788">
        <v>1.3</v>
      </c>
      <c r="CI1788">
        <v>6.05</v>
      </c>
      <c r="CJ1788">
        <v>8979</v>
      </c>
      <c r="CK1788">
        <v>22805</v>
      </c>
      <c r="CL1788" t="s">
        <v>9101</v>
      </c>
      <c r="CM1788">
        <v>20.36</v>
      </c>
      <c r="CN1788">
        <v>9.0399999999999991</v>
      </c>
      <c r="CO1788">
        <v>4.03</v>
      </c>
      <c r="CP1788">
        <v>56.91</v>
      </c>
      <c r="CQ1788">
        <v>12.93</v>
      </c>
      <c r="CR1788">
        <v>0.81</v>
      </c>
      <c r="CS1788" t="s">
        <v>7005</v>
      </c>
      <c r="CT1788">
        <v>5.42</v>
      </c>
      <c r="CU1788">
        <v>0</v>
      </c>
      <c r="CV1788">
        <v>2.41</v>
      </c>
      <c r="CW1788">
        <v>1.84</v>
      </c>
      <c r="CX1788">
        <v>0.38</v>
      </c>
      <c r="CY1788">
        <v>86.08</v>
      </c>
      <c r="CZ1788" t="s">
        <v>6943</v>
      </c>
      <c r="DA1788">
        <v>48.7</v>
      </c>
      <c r="DB1788">
        <v>28.46</v>
      </c>
      <c r="DC1788">
        <v>24.62</v>
      </c>
      <c r="DD1788">
        <v>0.41</v>
      </c>
      <c r="DE1788">
        <v>1222</v>
      </c>
      <c r="DF1788">
        <v>300395</v>
      </c>
      <c r="DG1788" t="s">
        <v>116</v>
      </c>
      <c r="DH1788" t="s">
        <v>116</v>
      </c>
      <c r="DI1788" t="s">
        <v>116</v>
      </c>
    </row>
    <row r="1789" spans="1:113" x14ac:dyDescent="0.4">
      <c r="A1789" t="str">
        <f>"300396"</f>
        <v>300396</v>
      </c>
      <c r="B1789" t="s">
        <v>9102</v>
      </c>
      <c r="C1789">
        <v>-1.91</v>
      </c>
      <c r="D1789">
        <v>17.45</v>
      </c>
      <c r="E1789">
        <v>-0.34</v>
      </c>
      <c r="F1789">
        <v>17.45</v>
      </c>
      <c r="G1789">
        <v>17.46</v>
      </c>
      <c r="H1789">
        <v>29820</v>
      </c>
      <c r="I1789">
        <v>913</v>
      </c>
      <c r="J1789">
        <v>0.06</v>
      </c>
      <c r="K1789">
        <v>1.19</v>
      </c>
      <c r="L1789">
        <v>17.760000000000002</v>
      </c>
      <c r="M1789">
        <v>17.97</v>
      </c>
      <c r="N1789">
        <v>17.38</v>
      </c>
      <c r="O1789">
        <v>17.79</v>
      </c>
      <c r="P1789">
        <v>19.059999999999999</v>
      </c>
      <c r="Q1789">
        <v>52724096</v>
      </c>
      <c r="R1789">
        <v>1.07</v>
      </c>
      <c r="S1789" t="s">
        <v>559</v>
      </c>
      <c r="T1789" t="s">
        <v>294</v>
      </c>
      <c r="U1789">
        <v>3.32</v>
      </c>
      <c r="V1789">
        <v>17.68</v>
      </c>
      <c r="W1789">
        <v>19900</v>
      </c>
      <c r="X1789">
        <v>9920</v>
      </c>
      <c r="Y1789">
        <v>2.0099999999999998</v>
      </c>
      <c r="Z1789">
        <v>9</v>
      </c>
      <c r="AA1789">
        <v>184</v>
      </c>
      <c r="AB1789" t="s">
        <v>116</v>
      </c>
      <c r="AC1789">
        <v>136800</v>
      </c>
      <c r="AD1789">
        <v>0.01</v>
      </c>
      <c r="AE1789" t="s">
        <v>116</v>
      </c>
      <c r="AF1789" t="s">
        <v>116</v>
      </c>
      <c r="AG1789">
        <v>2.5</v>
      </c>
      <c r="AH1789" t="s">
        <v>9103</v>
      </c>
      <c r="AI1789" t="s">
        <v>3779</v>
      </c>
      <c r="AJ1789">
        <v>-1.23</v>
      </c>
      <c r="AK1789">
        <v>1372</v>
      </c>
      <c r="AL1789">
        <v>22</v>
      </c>
      <c r="AM1789">
        <v>8.9999999999999998E-4</v>
      </c>
      <c r="AN1789">
        <v>-1</v>
      </c>
      <c r="AO1789">
        <v>-1.91</v>
      </c>
      <c r="AP1789">
        <v>6.86</v>
      </c>
      <c r="AQ1789">
        <v>9.5399999999999991</v>
      </c>
      <c r="AR1789">
        <v>50.43</v>
      </c>
      <c r="AS1789">
        <v>3.21</v>
      </c>
      <c r="AT1789" t="s">
        <v>6092</v>
      </c>
      <c r="AU1789">
        <v>20.98</v>
      </c>
      <c r="AV1789">
        <v>24.36</v>
      </c>
      <c r="AW1789">
        <v>1.08</v>
      </c>
      <c r="BA1789">
        <v>-0.17</v>
      </c>
      <c r="BB1789">
        <v>1.01</v>
      </c>
      <c r="BC1789">
        <v>-2.2999999999999998</v>
      </c>
      <c r="BD1789">
        <v>-0.61</v>
      </c>
      <c r="BE1789">
        <v>-1.75</v>
      </c>
      <c r="BF1789">
        <v>-2.89</v>
      </c>
      <c r="BG1789">
        <v>0.4</v>
      </c>
      <c r="BH1789">
        <v>-1.3</v>
      </c>
      <c r="BI1789">
        <v>20191026</v>
      </c>
      <c r="BJ1789">
        <v>20140910</v>
      </c>
      <c r="BK1789">
        <v>2.76</v>
      </c>
      <c r="BL1789" t="s">
        <v>116</v>
      </c>
      <c r="BM1789" t="s">
        <v>116</v>
      </c>
      <c r="BN1789">
        <v>20.46</v>
      </c>
      <c r="BO1789">
        <v>14.83</v>
      </c>
      <c r="BP1789">
        <v>1.98</v>
      </c>
      <c r="BQ1789">
        <v>17.86</v>
      </c>
      <c r="BR1789">
        <v>9.61</v>
      </c>
      <c r="BS1789">
        <v>2.84</v>
      </c>
      <c r="BT1789">
        <v>2.5299999999999998</v>
      </c>
      <c r="BU1789">
        <v>3.04</v>
      </c>
      <c r="BV1789">
        <v>2.37</v>
      </c>
      <c r="BW1789">
        <v>1.64</v>
      </c>
      <c r="BX1789">
        <v>2.87</v>
      </c>
      <c r="BY1789">
        <v>7.33</v>
      </c>
      <c r="BZ1789">
        <v>2.5499999999999998</v>
      </c>
      <c r="CA1789">
        <v>2.44</v>
      </c>
      <c r="CB1789">
        <v>0</v>
      </c>
      <c r="CC1789">
        <v>2.4700000000000002</v>
      </c>
      <c r="CD1789">
        <v>2.19</v>
      </c>
      <c r="CE1789">
        <v>1.9</v>
      </c>
      <c r="CF1789">
        <v>1.82</v>
      </c>
      <c r="CG1789">
        <v>8.49</v>
      </c>
      <c r="CH1789">
        <v>2.0099999999999998</v>
      </c>
      <c r="CI1789">
        <v>-0.06</v>
      </c>
      <c r="CJ1789">
        <v>9496</v>
      </c>
      <c r="CK1789">
        <v>9788</v>
      </c>
      <c r="CL1789" t="s">
        <v>1487</v>
      </c>
      <c r="CM1789">
        <v>20.18</v>
      </c>
      <c r="CN1789">
        <v>9.75</v>
      </c>
      <c r="CO1789">
        <v>3.25</v>
      </c>
      <c r="CP1789">
        <v>23.96</v>
      </c>
      <c r="CQ1789">
        <v>6.58</v>
      </c>
      <c r="CR1789">
        <v>1.59</v>
      </c>
      <c r="CS1789" t="s">
        <v>3098</v>
      </c>
      <c r="CT1789">
        <v>5.37</v>
      </c>
      <c r="CU1789">
        <v>0</v>
      </c>
      <c r="CV1789">
        <v>1.04</v>
      </c>
      <c r="CW1789">
        <v>3.08</v>
      </c>
      <c r="CX1789">
        <v>0.73</v>
      </c>
      <c r="CY1789">
        <v>72.459999999999994</v>
      </c>
      <c r="CZ1789" t="s">
        <v>9104</v>
      </c>
      <c r="DA1789">
        <v>65.239999999999995</v>
      </c>
      <c r="DB1789">
        <v>33.340000000000003</v>
      </c>
      <c r="DC1789">
        <v>25.88</v>
      </c>
      <c r="DD1789">
        <v>0.71</v>
      </c>
      <c r="DE1789">
        <v>1788</v>
      </c>
      <c r="DF1789">
        <v>300396</v>
      </c>
      <c r="DG1789" t="s">
        <v>116</v>
      </c>
      <c r="DH1789" t="s">
        <v>116</v>
      </c>
      <c r="DI1789" t="s">
        <v>116</v>
      </c>
    </row>
    <row r="1790" spans="1:113" x14ac:dyDescent="0.4">
      <c r="A1790" t="str">
        <f>"300397"</f>
        <v>300397</v>
      </c>
      <c r="B1790" t="s">
        <v>9105</v>
      </c>
      <c r="C1790">
        <v>-3.15</v>
      </c>
      <c r="D1790">
        <v>29.2</v>
      </c>
      <c r="E1790">
        <v>-0.95</v>
      </c>
      <c r="F1790">
        <v>29.19</v>
      </c>
      <c r="G1790">
        <v>29.2</v>
      </c>
      <c r="H1790">
        <v>116719</v>
      </c>
      <c r="I1790">
        <v>1263</v>
      </c>
      <c r="J1790">
        <v>-0.5</v>
      </c>
      <c r="K1790">
        <v>7.56</v>
      </c>
      <c r="L1790">
        <v>30.08</v>
      </c>
      <c r="M1790">
        <v>30.49</v>
      </c>
      <c r="N1790">
        <v>29</v>
      </c>
      <c r="O1790">
        <v>30.15</v>
      </c>
      <c r="P1790">
        <v>96.7</v>
      </c>
      <c r="Q1790">
        <v>345585824</v>
      </c>
      <c r="R1790">
        <v>1.01</v>
      </c>
      <c r="S1790" t="s">
        <v>465</v>
      </c>
      <c r="T1790" t="s">
        <v>913</v>
      </c>
      <c r="U1790">
        <v>4.9400000000000004</v>
      </c>
      <c r="V1790">
        <v>29.61</v>
      </c>
      <c r="W1790">
        <v>63624</v>
      </c>
      <c r="X1790">
        <v>53095</v>
      </c>
      <c r="Y1790">
        <v>1.2</v>
      </c>
      <c r="Z1790">
        <v>15</v>
      </c>
      <c r="AA1790">
        <v>270</v>
      </c>
      <c r="AB1790" t="s">
        <v>116</v>
      </c>
      <c r="AC1790">
        <v>571500</v>
      </c>
      <c r="AD1790">
        <v>0.01</v>
      </c>
      <c r="AE1790" t="s">
        <v>116</v>
      </c>
      <c r="AF1790" t="s">
        <v>116</v>
      </c>
      <c r="AG1790">
        <v>1.54</v>
      </c>
      <c r="AH1790" t="s">
        <v>9106</v>
      </c>
      <c r="AI1790" t="s">
        <v>9107</v>
      </c>
      <c r="AJ1790">
        <v>-2.4700000000000002</v>
      </c>
      <c r="AK1790">
        <v>3200</v>
      </c>
      <c r="AL1790">
        <v>36</v>
      </c>
      <c r="AM1790">
        <v>2.3999999999999998E-3</v>
      </c>
      <c r="AN1790">
        <v>-2</v>
      </c>
      <c r="AO1790">
        <v>0.35</v>
      </c>
      <c r="AP1790">
        <v>23.52</v>
      </c>
      <c r="AQ1790">
        <v>27.62</v>
      </c>
      <c r="AR1790">
        <v>209.65</v>
      </c>
      <c r="AS1790">
        <v>8.57</v>
      </c>
      <c r="AT1790" t="s">
        <v>9108</v>
      </c>
      <c r="AU1790" t="s">
        <v>116</v>
      </c>
      <c r="AV1790" t="s">
        <v>116</v>
      </c>
      <c r="AW1790">
        <v>1.1399999999999999</v>
      </c>
      <c r="BA1790">
        <v>-0.23</v>
      </c>
      <c r="BB1790">
        <v>1.1299999999999999</v>
      </c>
      <c r="BC1790">
        <v>-3.81</v>
      </c>
      <c r="BD1790">
        <v>-1.8</v>
      </c>
      <c r="BE1790">
        <v>-2.93</v>
      </c>
      <c r="BF1790">
        <v>-4.2300000000000004</v>
      </c>
      <c r="BG1790">
        <v>0.69</v>
      </c>
      <c r="BH1790">
        <v>-1.35</v>
      </c>
      <c r="BI1790">
        <v>20191223</v>
      </c>
      <c r="BJ1790">
        <v>20140910</v>
      </c>
      <c r="BK1790">
        <v>2.4</v>
      </c>
      <c r="BL1790" t="s">
        <v>116</v>
      </c>
      <c r="BM1790" t="s">
        <v>116</v>
      </c>
      <c r="BN1790">
        <v>16.05</v>
      </c>
      <c r="BO1790">
        <v>11.04</v>
      </c>
      <c r="BP1790">
        <v>1.08</v>
      </c>
      <c r="BQ1790">
        <v>24.5</v>
      </c>
      <c r="BR1790">
        <v>7.89</v>
      </c>
      <c r="BS1790">
        <v>3.66</v>
      </c>
      <c r="BT1790">
        <v>0.94</v>
      </c>
      <c r="BU1790">
        <v>3.62</v>
      </c>
      <c r="BV1790">
        <v>2.46</v>
      </c>
      <c r="BW1790">
        <v>3.21</v>
      </c>
      <c r="BX1790">
        <v>5.23</v>
      </c>
      <c r="BY1790">
        <v>5.73</v>
      </c>
      <c r="BZ1790">
        <v>3.33</v>
      </c>
      <c r="CA1790">
        <v>1.1100000000000001</v>
      </c>
      <c r="CB1790">
        <v>0.01</v>
      </c>
      <c r="CC1790">
        <v>1.1100000000000001</v>
      </c>
      <c r="CD1790">
        <v>0.94</v>
      </c>
      <c r="CE1790">
        <v>0.54</v>
      </c>
      <c r="CF1790">
        <v>0.4</v>
      </c>
      <c r="CG1790">
        <v>2.99</v>
      </c>
      <c r="CH1790">
        <v>0.01</v>
      </c>
      <c r="CI1790">
        <v>-1.05</v>
      </c>
      <c r="CJ1790">
        <v>21610</v>
      </c>
      <c r="CK1790">
        <v>6303</v>
      </c>
      <c r="CL1790" t="s">
        <v>9109</v>
      </c>
      <c r="CM1790">
        <v>174</v>
      </c>
      <c r="CN1790">
        <v>305.98</v>
      </c>
      <c r="CO1790">
        <v>6.35</v>
      </c>
      <c r="CP1790">
        <v>5167</v>
      </c>
      <c r="CQ1790">
        <v>12.23</v>
      </c>
      <c r="CR1790">
        <v>0</v>
      </c>
      <c r="CS1790" t="s">
        <v>3375</v>
      </c>
      <c r="CT1790">
        <v>4.5999999999999996</v>
      </c>
      <c r="CU1790">
        <v>0</v>
      </c>
      <c r="CV1790">
        <v>2.1800000000000002</v>
      </c>
      <c r="CW1790">
        <v>1.25</v>
      </c>
      <c r="CX1790">
        <v>0.01</v>
      </c>
      <c r="CY1790">
        <v>68.77</v>
      </c>
      <c r="CZ1790" t="s">
        <v>3632</v>
      </c>
      <c r="DA1790">
        <v>41.87</v>
      </c>
      <c r="DB1790">
        <v>19.34</v>
      </c>
      <c r="DC1790">
        <v>9.49</v>
      </c>
      <c r="DD1790">
        <v>0.44</v>
      </c>
      <c r="DE1790">
        <v>1544</v>
      </c>
      <c r="DF1790">
        <v>300397</v>
      </c>
      <c r="DG1790" t="s">
        <v>116</v>
      </c>
      <c r="DH1790" t="s">
        <v>116</v>
      </c>
      <c r="DI1790" t="s">
        <v>116</v>
      </c>
    </row>
    <row r="1791" spans="1:113" x14ac:dyDescent="0.4">
      <c r="A1791" t="str">
        <f>"300398"</f>
        <v>300398</v>
      </c>
      <c r="B1791" t="s">
        <v>9110</v>
      </c>
      <c r="C1791">
        <v>-2.95</v>
      </c>
      <c r="D1791">
        <v>15.12</v>
      </c>
      <c r="E1791">
        <v>-0.46</v>
      </c>
      <c r="F1791">
        <v>15.12</v>
      </c>
      <c r="G1791">
        <v>15.13</v>
      </c>
      <c r="H1791">
        <v>205687</v>
      </c>
      <c r="I1791">
        <v>2446</v>
      </c>
      <c r="J1791">
        <v>0.13</v>
      </c>
      <c r="K1791">
        <v>4.79</v>
      </c>
      <c r="L1791">
        <v>15.45</v>
      </c>
      <c r="M1791">
        <v>15.54</v>
      </c>
      <c r="N1791">
        <v>15.03</v>
      </c>
      <c r="O1791">
        <v>15.58</v>
      </c>
      <c r="P1791">
        <v>31.79</v>
      </c>
      <c r="Q1791">
        <v>314351200</v>
      </c>
      <c r="R1791">
        <v>1.07</v>
      </c>
      <c r="S1791" t="s">
        <v>1192</v>
      </c>
      <c r="T1791" t="s">
        <v>1653</v>
      </c>
      <c r="U1791">
        <v>3.27</v>
      </c>
      <c r="V1791">
        <v>15.28</v>
      </c>
      <c r="W1791">
        <v>119640</v>
      </c>
      <c r="X1791">
        <v>86047</v>
      </c>
      <c r="Y1791">
        <v>1.39</v>
      </c>
      <c r="Z1791">
        <v>156</v>
      </c>
      <c r="AA1791">
        <v>62</v>
      </c>
      <c r="AB1791" t="s">
        <v>116</v>
      </c>
      <c r="AC1791">
        <v>5472400</v>
      </c>
      <c r="AD1791">
        <v>0.18</v>
      </c>
      <c r="AE1791" t="s">
        <v>116</v>
      </c>
      <c r="AF1791" t="s">
        <v>116</v>
      </c>
      <c r="AG1791">
        <v>4.29</v>
      </c>
      <c r="AH1791" t="s">
        <v>9111</v>
      </c>
      <c r="AI1791" t="s">
        <v>9112</v>
      </c>
      <c r="AJ1791">
        <v>-2.27</v>
      </c>
      <c r="AK1791">
        <v>3258</v>
      </c>
      <c r="AL1791">
        <v>63</v>
      </c>
      <c r="AM1791">
        <v>1.5E-3</v>
      </c>
      <c r="AN1791">
        <v>-1</v>
      </c>
      <c r="AO1791">
        <v>3.08</v>
      </c>
      <c r="AP1791">
        <v>16.04</v>
      </c>
      <c r="AQ1791">
        <v>1.82</v>
      </c>
      <c r="AR1791">
        <v>16.309999999999999</v>
      </c>
      <c r="AS1791">
        <v>10.58</v>
      </c>
      <c r="AT1791" t="s">
        <v>8620</v>
      </c>
      <c r="AU1791">
        <v>36.54</v>
      </c>
      <c r="AV1791">
        <v>27.52</v>
      </c>
      <c r="AW1791">
        <v>1.28</v>
      </c>
      <c r="BA1791">
        <v>-0.83</v>
      </c>
      <c r="BB1791">
        <v>-0.26</v>
      </c>
      <c r="BC1791">
        <v>-3.53</v>
      </c>
      <c r="BD1791">
        <v>-1.91</v>
      </c>
      <c r="BE1791">
        <v>-2.14</v>
      </c>
      <c r="BF1791">
        <v>-2.7</v>
      </c>
      <c r="BG1791">
        <v>0.6</v>
      </c>
      <c r="BH1791">
        <v>-1.05</v>
      </c>
      <c r="BI1791">
        <v>20191224</v>
      </c>
      <c r="BJ1791">
        <v>20141009</v>
      </c>
      <c r="BK1791">
        <v>5.18</v>
      </c>
      <c r="BL1791" t="s">
        <v>116</v>
      </c>
      <c r="BM1791" t="s">
        <v>116</v>
      </c>
      <c r="BN1791">
        <v>37.79</v>
      </c>
      <c r="BO1791">
        <v>23.29</v>
      </c>
      <c r="BP1791">
        <v>0.6</v>
      </c>
      <c r="BQ1791">
        <v>36.799999999999997</v>
      </c>
      <c r="BR1791">
        <v>15.41</v>
      </c>
      <c r="BS1791">
        <v>6.95</v>
      </c>
      <c r="BT1791">
        <v>2.97</v>
      </c>
      <c r="BU1791">
        <v>10.5</v>
      </c>
      <c r="BV1791">
        <v>4.22</v>
      </c>
      <c r="BW1791">
        <v>4.8099999999999996</v>
      </c>
      <c r="BX1791">
        <v>9.82</v>
      </c>
      <c r="BY1791">
        <v>11.12</v>
      </c>
      <c r="BZ1791">
        <v>6.39</v>
      </c>
      <c r="CA1791">
        <v>2.19</v>
      </c>
      <c r="CB1791">
        <v>0.02</v>
      </c>
      <c r="CC1791">
        <v>2.19</v>
      </c>
      <c r="CD1791">
        <v>1.9</v>
      </c>
      <c r="CE1791">
        <v>1.85</v>
      </c>
      <c r="CF1791">
        <v>1.6</v>
      </c>
      <c r="CG1791">
        <v>8.41</v>
      </c>
      <c r="CH1791">
        <v>1.48</v>
      </c>
      <c r="CI1791">
        <v>0.14000000000000001</v>
      </c>
      <c r="CJ1791">
        <v>21068</v>
      </c>
      <c r="CK1791">
        <v>9232</v>
      </c>
      <c r="CL1791" t="s">
        <v>9113</v>
      </c>
      <c r="CM1791">
        <v>-27.55</v>
      </c>
      <c r="CN1791">
        <v>1.02</v>
      </c>
      <c r="CO1791">
        <v>3.36</v>
      </c>
      <c r="CP1791">
        <v>52.73</v>
      </c>
      <c r="CQ1791">
        <v>7.04</v>
      </c>
      <c r="CR1791">
        <v>0.55000000000000004</v>
      </c>
      <c r="CS1791" t="s">
        <v>6948</v>
      </c>
      <c r="CT1791">
        <v>4.5</v>
      </c>
      <c r="CU1791">
        <v>0</v>
      </c>
      <c r="CV1791">
        <v>1.9</v>
      </c>
      <c r="CW1791">
        <v>1.63</v>
      </c>
      <c r="CX1791">
        <v>0.28999999999999998</v>
      </c>
      <c r="CY1791">
        <v>61.63</v>
      </c>
      <c r="CZ1791" t="s">
        <v>9114</v>
      </c>
      <c r="DA1791">
        <v>42.55</v>
      </c>
      <c r="DB1791">
        <v>19.7</v>
      </c>
      <c r="DC1791">
        <v>16.61</v>
      </c>
      <c r="DD1791">
        <v>0.83</v>
      </c>
      <c r="DE1791">
        <v>1508</v>
      </c>
      <c r="DF1791">
        <v>300398</v>
      </c>
      <c r="DG1791" t="s">
        <v>116</v>
      </c>
      <c r="DH1791" t="s">
        <v>116</v>
      </c>
      <c r="DI1791" t="s">
        <v>116</v>
      </c>
    </row>
    <row r="1792" spans="1:113" x14ac:dyDescent="0.4">
      <c r="A1792" t="str">
        <f>"300399"</f>
        <v>300399</v>
      </c>
      <c r="B1792" t="s">
        <v>9115</v>
      </c>
      <c r="C1792">
        <v>-0.56999999999999995</v>
      </c>
      <c r="D1792">
        <v>13.84</v>
      </c>
      <c r="E1792">
        <v>-0.08</v>
      </c>
      <c r="F1792">
        <v>13.83</v>
      </c>
      <c r="G1792">
        <v>13.84</v>
      </c>
      <c r="H1792">
        <v>48509</v>
      </c>
      <c r="I1792">
        <v>516</v>
      </c>
      <c r="J1792">
        <v>-0.13</v>
      </c>
      <c r="K1792">
        <v>3.62</v>
      </c>
      <c r="L1792">
        <v>14.07</v>
      </c>
      <c r="M1792">
        <v>14.29</v>
      </c>
      <c r="N1792">
        <v>13.84</v>
      </c>
      <c r="O1792">
        <v>13.92</v>
      </c>
      <c r="P1792" t="s">
        <v>116</v>
      </c>
      <c r="Q1792">
        <v>68122008</v>
      </c>
      <c r="R1792">
        <v>0.91</v>
      </c>
      <c r="S1792" t="s">
        <v>1384</v>
      </c>
      <c r="T1792" t="s">
        <v>165</v>
      </c>
      <c r="U1792">
        <v>3.23</v>
      </c>
      <c r="V1792">
        <v>14.04</v>
      </c>
      <c r="W1792">
        <v>26857</v>
      </c>
      <c r="X1792">
        <v>21652</v>
      </c>
      <c r="Y1792">
        <v>1.24</v>
      </c>
      <c r="Z1792">
        <v>2</v>
      </c>
      <c r="AA1792">
        <v>209</v>
      </c>
      <c r="AB1792" t="s">
        <v>116</v>
      </c>
      <c r="AC1792">
        <v>322200</v>
      </c>
      <c r="AD1792">
        <v>0.03</v>
      </c>
      <c r="AE1792" t="s">
        <v>116</v>
      </c>
      <c r="AF1792" t="s">
        <v>116</v>
      </c>
      <c r="AG1792">
        <v>1.34</v>
      </c>
      <c r="AH1792" t="s">
        <v>1827</v>
      </c>
      <c r="AI1792" t="s">
        <v>567</v>
      </c>
      <c r="AJ1792">
        <v>0.1</v>
      </c>
      <c r="AK1792">
        <v>1973</v>
      </c>
      <c r="AL1792">
        <v>25</v>
      </c>
      <c r="AM1792">
        <v>1.8E-3</v>
      </c>
      <c r="AN1792">
        <v>-2</v>
      </c>
      <c r="AO1792">
        <v>-1.21</v>
      </c>
      <c r="AP1792">
        <v>21.08</v>
      </c>
      <c r="AQ1792">
        <v>9.58</v>
      </c>
      <c r="AR1792">
        <v>58.57</v>
      </c>
      <c r="AS1792">
        <v>7.21</v>
      </c>
      <c r="AT1792" t="s">
        <v>9116</v>
      </c>
      <c r="AU1792">
        <v>100.36</v>
      </c>
      <c r="AV1792">
        <v>108.94</v>
      </c>
      <c r="AW1792">
        <v>1.96</v>
      </c>
      <c r="BA1792">
        <v>1.08</v>
      </c>
      <c r="BB1792">
        <v>2.66</v>
      </c>
      <c r="BC1792">
        <v>-0.56999999999999995</v>
      </c>
      <c r="BD1792">
        <v>0.88</v>
      </c>
      <c r="BE1792">
        <v>-1.63</v>
      </c>
      <c r="BF1792">
        <v>-3.15</v>
      </c>
      <c r="BG1792">
        <v>0</v>
      </c>
      <c r="BH1792">
        <v>-1.46</v>
      </c>
      <c r="BI1792">
        <v>20191223</v>
      </c>
      <c r="BJ1792">
        <v>20141009</v>
      </c>
      <c r="BK1792">
        <v>1.98</v>
      </c>
      <c r="BL1792" t="s">
        <v>116</v>
      </c>
      <c r="BM1792" t="s">
        <v>116</v>
      </c>
      <c r="BN1792">
        <v>5.19</v>
      </c>
      <c r="BO1792">
        <v>4.26</v>
      </c>
      <c r="BP1792">
        <v>0.11</v>
      </c>
      <c r="BQ1792">
        <v>15.86</v>
      </c>
      <c r="BR1792">
        <v>4.46</v>
      </c>
      <c r="BS1792">
        <v>0.16</v>
      </c>
      <c r="BT1792">
        <v>0.17</v>
      </c>
      <c r="BU1792">
        <v>0.22</v>
      </c>
      <c r="BV1792">
        <v>0.02</v>
      </c>
      <c r="BW1792">
        <v>0.63</v>
      </c>
      <c r="BX1792">
        <v>0.21</v>
      </c>
      <c r="BY1792">
        <v>4.26</v>
      </c>
      <c r="BZ1792">
        <v>3.55</v>
      </c>
      <c r="CA1792">
        <v>0.41</v>
      </c>
      <c r="CB1792">
        <v>0.04</v>
      </c>
      <c r="CC1792">
        <v>-0.02</v>
      </c>
      <c r="CD1792">
        <v>-0.01</v>
      </c>
      <c r="CE1792">
        <v>-0.03</v>
      </c>
      <c r="CF1792">
        <v>0.25</v>
      </c>
      <c r="CG1792">
        <v>1.8</v>
      </c>
      <c r="CH1792">
        <v>-0.25</v>
      </c>
      <c r="CI1792">
        <v>-0.27</v>
      </c>
      <c r="CJ1792">
        <v>17253</v>
      </c>
      <c r="CK1792">
        <v>3900</v>
      </c>
      <c r="CL1792" t="s">
        <v>2738</v>
      </c>
      <c r="CM1792">
        <v>44.58</v>
      </c>
      <c r="CN1792">
        <v>61.63</v>
      </c>
      <c r="CO1792">
        <v>6.42</v>
      </c>
      <c r="CP1792">
        <v>-107.8</v>
      </c>
      <c r="CQ1792">
        <v>6.42</v>
      </c>
      <c r="CR1792">
        <v>0.16</v>
      </c>
      <c r="CS1792" t="s">
        <v>9117</v>
      </c>
      <c r="CT1792">
        <v>2.15</v>
      </c>
      <c r="CU1792">
        <v>0</v>
      </c>
      <c r="CV1792">
        <v>0.11</v>
      </c>
      <c r="CW1792">
        <v>0.91</v>
      </c>
      <c r="CX1792">
        <v>-0.13</v>
      </c>
      <c r="CY1792">
        <v>82.02</v>
      </c>
      <c r="CZ1792" t="s">
        <v>9118</v>
      </c>
      <c r="DA1792">
        <v>16.670000000000002</v>
      </c>
      <c r="DB1792">
        <v>9.57</v>
      </c>
      <c r="DC1792">
        <v>-0.63</v>
      </c>
      <c r="DD1792">
        <v>0.1</v>
      </c>
      <c r="DE1792">
        <v>360</v>
      </c>
      <c r="DF1792">
        <v>300399</v>
      </c>
      <c r="DG1792" t="s">
        <v>116</v>
      </c>
      <c r="DH1792" t="s">
        <v>116</v>
      </c>
      <c r="DI1792" t="s">
        <v>116</v>
      </c>
    </row>
    <row r="1793" spans="1:113" x14ac:dyDescent="0.4">
      <c r="A1793" t="str">
        <f>"300400"</f>
        <v>300400</v>
      </c>
      <c r="B1793" t="s">
        <v>9119</v>
      </c>
      <c r="C1793">
        <v>-4.96</v>
      </c>
      <c r="D1793">
        <v>13.81</v>
      </c>
      <c r="E1793">
        <v>-0.72</v>
      </c>
      <c r="F1793">
        <v>13.8</v>
      </c>
      <c r="G1793">
        <v>13.81</v>
      </c>
      <c r="H1793">
        <v>130184</v>
      </c>
      <c r="I1793">
        <v>3578</v>
      </c>
      <c r="J1793">
        <v>-0.64</v>
      </c>
      <c r="K1793">
        <v>7.59</v>
      </c>
      <c r="L1793">
        <v>14.35</v>
      </c>
      <c r="M1793">
        <v>14.75</v>
      </c>
      <c r="N1793">
        <v>13.81</v>
      </c>
      <c r="O1793">
        <v>14.53</v>
      </c>
      <c r="P1793">
        <v>137.46</v>
      </c>
      <c r="Q1793">
        <v>185111824</v>
      </c>
      <c r="R1793">
        <v>0.93</v>
      </c>
      <c r="S1793" t="s">
        <v>682</v>
      </c>
      <c r="T1793" t="s">
        <v>115</v>
      </c>
      <c r="U1793">
        <v>6.47</v>
      </c>
      <c r="V1793">
        <v>14.22</v>
      </c>
      <c r="W1793">
        <v>76717</v>
      </c>
      <c r="X1793">
        <v>53467</v>
      </c>
      <c r="Y1793">
        <v>1.43</v>
      </c>
      <c r="Z1793">
        <v>1125</v>
      </c>
      <c r="AA1793">
        <v>298</v>
      </c>
      <c r="AB1793" t="s">
        <v>116</v>
      </c>
      <c r="AC1793">
        <v>641600</v>
      </c>
      <c r="AD1793">
        <v>0.03</v>
      </c>
      <c r="AE1793" t="s">
        <v>116</v>
      </c>
      <c r="AF1793" t="s">
        <v>116</v>
      </c>
      <c r="AG1793">
        <v>1.72</v>
      </c>
      <c r="AH1793" t="s">
        <v>8541</v>
      </c>
      <c r="AI1793" t="s">
        <v>4177</v>
      </c>
      <c r="AJ1793">
        <v>-4.28</v>
      </c>
      <c r="AK1793">
        <v>2843</v>
      </c>
      <c r="AL1793">
        <v>46</v>
      </c>
      <c r="AM1793">
        <v>2.7000000000000001E-3</v>
      </c>
      <c r="AN1793">
        <v>-1</v>
      </c>
      <c r="AO1793">
        <v>-2.89</v>
      </c>
      <c r="AP1793">
        <v>22.65</v>
      </c>
      <c r="AQ1793">
        <v>0.44</v>
      </c>
      <c r="AR1793">
        <v>-7.32</v>
      </c>
      <c r="AS1793">
        <v>8.59</v>
      </c>
      <c r="AT1793" t="s">
        <v>9120</v>
      </c>
      <c r="AU1793">
        <v>91.9</v>
      </c>
      <c r="AV1793">
        <v>37.04</v>
      </c>
      <c r="AW1793">
        <v>1.05</v>
      </c>
      <c r="BA1793">
        <v>-1.24</v>
      </c>
      <c r="BB1793">
        <v>1.51</v>
      </c>
      <c r="BC1793">
        <v>-4.96</v>
      </c>
      <c r="BD1793">
        <v>-2.14</v>
      </c>
      <c r="BE1793">
        <v>-3.76</v>
      </c>
      <c r="BF1793">
        <v>-6.37</v>
      </c>
      <c r="BG1793">
        <v>0</v>
      </c>
      <c r="BH1793">
        <v>-2.82</v>
      </c>
      <c r="BI1793">
        <v>20191210</v>
      </c>
      <c r="BJ1793">
        <v>20141010</v>
      </c>
      <c r="BK1793">
        <v>2.44</v>
      </c>
      <c r="BL1793" t="s">
        <v>116</v>
      </c>
      <c r="BM1793" t="s">
        <v>116</v>
      </c>
      <c r="BN1793">
        <v>9.9600000000000009</v>
      </c>
      <c r="BO1793">
        <v>5.4</v>
      </c>
      <c r="BP1793">
        <v>0.06</v>
      </c>
      <c r="BQ1793">
        <v>45.19</v>
      </c>
      <c r="BR1793">
        <v>6.22</v>
      </c>
      <c r="BS1793">
        <v>2.96</v>
      </c>
      <c r="BT1793">
        <v>0.15</v>
      </c>
      <c r="BU1793">
        <v>3.84</v>
      </c>
      <c r="BV1793">
        <v>2.2999999999999998</v>
      </c>
      <c r="BW1793">
        <v>2.42</v>
      </c>
      <c r="BX1793">
        <v>0.72</v>
      </c>
      <c r="BY1793">
        <v>3.79</v>
      </c>
      <c r="BZ1793">
        <v>2.38</v>
      </c>
      <c r="CA1793">
        <v>0.21</v>
      </c>
      <c r="CB1793">
        <v>0.03</v>
      </c>
      <c r="CC1793">
        <v>0.21</v>
      </c>
      <c r="CD1793">
        <v>0.17</v>
      </c>
      <c r="CE1793">
        <v>0.18</v>
      </c>
      <c r="CF1793">
        <v>0.12</v>
      </c>
      <c r="CG1793">
        <v>2.97</v>
      </c>
      <c r="CH1793">
        <v>-0.09</v>
      </c>
      <c r="CI1793">
        <v>0.21</v>
      </c>
      <c r="CJ1793">
        <v>10900</v>
      </c>
      <c r="CK1793">
        <v>13911</v>
      </c>
      <c r="CL1793" t="s">
        <v>3287</v>
      </c>
      <c r="CM1793">
        <v>-74.709999999999994</v>
      </c>
      <c r="CN1793">
        <v>-18.41</v>
      </c>
      <c r="CO1793">
        <v>6.24</v>
      </c>
      <c r="CP1793">
        <v>-384.04</v>
      </c>
      <c r="CQ1793">
        <v>8.89</v>
      </c>
      <c r="CR1793">
        <v>0</v>
      </c>
      <c r="CS1793" t="s">
        <v>3695</v>
      </c>
      <c r="CT1793">
        <v>2.21</v>
      </c>
      <c r="CU1793">
        <v>0</v>
      </c>
      <c r="CV1793">
        <v>0.28999999999999998</v>
      </c>
      <c r="CW1793">
        <v>1.22</v>
      </c>
      <c r="CX1793">
        <v>-0.04</v>
      </c>
      <c r="CY1793">
        <v>54.26</v>
      </c>
      <c r="CZ1793" t="s">
        <v>2262</v>
      </c>
      <c r="DA1793">
        <v>37.19</v>
      </c>
      <c r="DB1793">
        <v>5.63</v>
      </c>
      <c r="DC1793">
        <v>4.8499999999999996</v>
      </c>
      <c r="DD1793">
        <v>0.4</v>
      </c>
      <c r="DE1793">
        <v>991</v>
      </c>
      <c r="DF1793">
        <v>300400</v>
      </c>
      <c r="DG1793" t="s">
        <v>116</v>
      </c>
      <c r="DH1793" t="s">
        <v>116</v>
      </c>
      <c r="DI1793" t="s">
        <v>116</v>
      </c>
    </row>
    <row r="1794" spans="1:113" x14ac:dyDescent="0.4">
      <c r="A1794" t="str">
        <f>"300401"</f>
        <v>300401</v>
      </c>
      <c r="B1794" t="s">
        <v>9121</v>
      </c>
      <c r="C1794">
        <v>-0.65</v>
      </c>
      <c r="D1794">
        <v>12.22</v>
      </c>
      <c r="E1794">
        <v>-0.08</v>
      </c>
      <c r="F1794">
        <v>12.21</v>
      </c>
      <c r="G1794">
        <v>12.22</v>
      </c>
      <c r="H1794">
        <v>69666</v>
      </c>
      <c r="I1794">
        <v>489</v>
      </c>
      <c r="J1794">
        <v>0.16</v>
      </c>
      <c r="K1794">
        <v>1.52</v>
      </c>
      <c r="L1794">
        <v>12.29</v>
      </c>
      <c r="M1794">
        <v>12.39</v>
      </c>
      <c r="N1794">
        <v>12.19</v>
      </c>
      <c r="O1794">
        <v>12.3</v>
      </c>
      <c r="P1794">
        <v>14.22</v>
      </c>
      <c r="Q1794">
        <v>85536472</v>
      </c>
      <c r="R1794">
        <v>0.87</v>
      </c>
      <c r="S1794" t="s">
        <v>863</v>
      </c>
      <c r="T1794" t="s">
        <v>590</v>
      </c>
      <c r="U1794">
        <v>1.63</v>
      </c>
      <c r="V1794">
        <v>12.28</v>
      </c>
      <c r="W1794">
        <v>43914</v>
      </c>
      <c r="X1794">
        <v>25752</v>
      </c>
      <c r="Y1794">
        <v>1.71</v>
      </c>
      <c r="Z1794">
        <v>278</v>
      </c>
      <c r="AA1794">
        <v>144</v>
      </c>
      <c r="AB1794" t="s">
        <v>116</v>
      </c>
      <c r="AC1794">
        <v>137600</v>
      </c>
      <c r="AD1794">
        <v>0</v>
      </c>
      <c r="AE1794" t="s">
        <v>116</v>
      </c>
      <c r="AF1794" t="s">
        <v>116</v>
      </c>
      <c r="AG1794">
        <v>4.59</v>
      </c>
      <c r="AH1794" t="s">
        <v>9122</v>
      </c>
      <c r="AI1794" t="s">
        <v>9123</v>
      </c>
      <c r="AJ1794">
        <v>0.03</v>
      </c>
      <c r="AK1794">
        <v>1687</v>
      </c>
      <c r="AL1794">
        <v>41</v>
      </c>
      <c r="AM1794">
        <v>8.9999999999999998E-4</v>
      </c>
      <c r="AN1794">
        <v>-1</v>
      </c>
      <c r="AO1794">
        <v>-0.56999999999999995</v>
      </c>
      <c r="AP1794">
        <v>2.69</v>
      </c>
      <c r="AQ1794">
        <v>0.16</v>
      </c>
      <c r="AR1794">
        <v>1.92</v>
      </c>
      <c r="AS1794">
        <v>2.4700000000000002</v>
      </c>
      <c r="AT1794" t="s">
        <v>9124</v>
      </c>
      <c r="AU1794">
        <v>14.96</v>
      </c>
      <c r="AV1794">
        <v>19.05</v>
      </c>
      <c r="AW1794">
        <v>0.91</v>
      </c>
      <c r="BA1794">
        <v>-0.08</v>
      </c>
      <c r="BB1794">
        <v>0.73</v>
      </c>
      <c r="BC1794">
        <v>-0.89</v>
      </c>
      <c r="BD1794">
        <v>-0.18</v>
      </c>
      <c r="BE1794">
        <v>-0.56999999999999995</v>
      </c>
      <c r="BF1794">
        <v>-1.37</v>
      </c>
      <c r="BG1794">
        <v>0.25</v>
      </c>
      <c r="BH1794">
        <v>-0.47</v>
      </c>
      <c r="BI1794">
        <v>20191028</v>
      </c>
      <c r="BJ1794">
        <v>20141009</v>
      </c>
      <c r="BK1794">
        <v>4.79</v>
      </c>
      <c r="BL1794" t="s">
        <v>116</v>
      </c>
      <c r="BM1794" t="s">
        <v>116</v>
      </c>
      <c r="BN1794">
        <v>20.3</v>
      </c>
      <c r="BO1794">
        <v>17.079999999999998</v>
      </c>
      <c r="BP1794">
        <v>0</v>
      </c>
      <c r="BQ1794">
        <v>15.86</v>
      </c>
      <c r="BR1794">
        <v>11.75</v>
      </c>
      <c r="BS1794">
        <v>3.89</v>
      </c>
      <c r="BT1794">
        <v>1.72</v>
      </c>
      <c r="BU1794">
        <v>3.19</v>
      </c>
      <c r="BV1794">
        <v>3.05</v>
      </c>
      <c r="BW1794">
        <v>0.68</v>
      </c>
      <c r="BX1794">
        <v>1.59</v>
      </c>
      <c r="BY1794">
        <v>5.78</v>
      </c>
      <c r="BZ1794">
        <v>1.52</v>
      </c>
      <c r="CA1794">
        <v>3.57</v>
      </c>
      <c r="CB1794">
        <v>0.1</v>
      </c>
      <c r="CC1794">
        <v>3.59</v>
      </c>
      <c r="CD1794">
        <v>3.09</v>
      </c>
      <c r="CE1794">
        <v>3.09</v>
      </c>
      <c r="CF1794">
        <v>2.95</v>
      </c>
      <c r="CG1794">
        <v>10.86</v>
      </c>
      <c r="CH1794">
        <v>3.26</v>
      </c>
      <c r="CI1794">
        <v>2.19</v>
      </c>
      <c r="CJ1794">
        <v>30446</v>
      </c>
      <c r="CK1794">
        <v>9248</v>
      </c>
      <c r="CL1794" t="s">
        <v>7924</v>
      </c>
      <c r="CM1794">
        <v>37.47</v>
      </c>
      <c r="CN1794">
        <v>21.56</v>
      </c>
      <c r="CO1794">
        <v>3.43</v>
      </c>
      <c r="CP1794">
        <v>17.96</v>
      </c>
      <c r="CQ1794">
        <v>10.130000000000001</v>
      </c>
      <c r="CR1794">
        <v>1.06</v>
      </c>
      <c r="CS1794" t="s">
        <v>9125</v>
      </c>
      <c r="CT1794">
        <v>3.56</v>
      </c>
      <c r="CU1794">
        <v>0</v>
      </c>
      <c r="CV1794">
        <v>0.33</v>
      </c>
      <c r="CW1794">
        <v>2.27</v>
      </c>
      <c r="CX1794">
        <v>0.68</v>
      </c>
      <c r="CY1794">
        <v>84.14</v>
      </c>
      <c r="CZ1794" t="s">
        <v>9126</v>
      </c>
      <c r="DA1794">
        <v>73.72</v>
      </c>
      <c r="DB1794">
        <v>61.74</v>
      </c>
      <c r="DC1794">
        <v>53.42</v>
      </c>
      <c r="DD1794">
        <v>0.33</v>
      </c>
      <c r="DE1794">
        <v>493</v>
      </c>
      <c r="DF1794">
        <v>300401</v>
      </c>
      <c r="DG1794" t="s">
        <v>116</v>
      </c>
      <c r="DH1794" t="s">
        <v>116</v>
      </c>
      <c r="DI1794" t="s">
        <v>116</v>
      </c>
    </row>
    <row r="1795" spans="1:113" x14ac:dyDescent="0.4">
      <c r="A1795" t="str">
        <f>"300402"</f>
        <v>300402</v>
      </c>
      <c r="B1795" t="s">
        <v>9127</v>
      </c>
      <c r="C1795">
        <v>0.76</v>
      </c>
      <c r="D1795">
        <v>9.24</v>
      </c>
      <c r="E1795">
        <v>7.0000000000000007E-2</v>
      </c>
      <c r="F1795">
        <v>9.24</v>
      </c>
      <c r="G1795">
        <v>9.25</v>
      </c>
      <c r="H1795">
        <v>24081</v>
      </c>
      <c r="I1795">
        <v>527</v>
      </c>
      <c r="J1795">
        <v>0.22</v>
      </c>
      <c r="K1795">
        <v>1.19</v>
      </c>
      <c r="L1795">
        <v>9.1300000000000008</v>
      </c>
      <c r="M1795">
        <v>9.3800000000000008</v>
      </c>
      <c r="N1795">
        <v>9.1300000000000008</v>
      </c>
      <c r="O1795">
        <v>9.17</v>
      </c>
      <c r="P1795">
        <v>92.4</v>
      </c>
      <c r="Q1795">
        <v>22291934</v>
      </c>
      <c r="R1795">
        <v>1.73</v>
      </c>
      <c r="S1795" t="s">
        <v>682</v>
      </c>
      <c r="T1795" t="s">
        <v>323</v>
      </c>
      <c r="U1795">
        <v>2.73</v>
      </c>
      <c r="V1795">
        <v>9.26</v>
      </c>
      <c r="W1795">
        <v>12508</v>
      </c>
      <c r="X1795">
        <v>11573</v>
      </c>
      <c r="Y1795">
        <v>1.08</v>
      </c>
      <c r="Z1795">
        <v>288</v>
      </c>
      <c r="AA1795">
        <v>192</v>
      </c>
      <c r="AB1795" t="s">
        <v>116</v>
      </c>
      <c r="AC1795">
        <v>21900</v>
      </c>
      <c r="AD1795">
        <v>0</v>
      </c>
      <c r="AE1795" t="s">
        <v>116</v>
      </c>
      <c r="AF1795" t="s">
        <v>116</v>
      </c>
      <c r="AG1795">
        <v>2.02</v>
      </c>
      <c r="AH1795" t="s">
        <v>4399</v>
      </c>
      <c r="AI1795" t="s">
        <v>4399</v>
      </c>
      <c r="AJ1795">
        <v>1.44</v>
      </c>
      <c r="AK1795">
        <v>1046</v>
      </c>
      <c r="AL1795">
        <v>23</v>
      </c>
      <c r="AM1795">
        <v>1.1000000000000001E-3</v>
      </c>
      <c r="AN1795">
        <v>1</v>
      </c>
      <c r="AO1795">
        <v>0.44</v>
      </c>
      <c r="AP1795">
        <v>6.82</v>
      </c>
      <c r="AQ1795">
        <v>-5.33</v>
      </c>
      <c r="AR1795">
        <v>20.39</v>
      </c>
      <c r="AS1795">
        <v>3.7</v>
      </c>
      <c r="AT1795" t="s">
        <v>8837</v>
      </c>
      <c r="AU1795">
        <v>69.92</v>
      </c>
      <c r="AV1795">
        <v>127.51</v>
      </c>
      <c r="AW1795">
        <v>1.3</v>
      </c>
      <c r="BA1795">
        <v>-0.44</v>
      </c>
      <c r="BB1795">
        <v>2.29</v>
      </c>
      <c r="BC1795">
        <v>-0.44</v>
      </c>
      <c r="BD1795">
        <v>0.95</v>
      </c>
      <c r="BE1795">
        <v>1.2</v>
      </c>
      <c r="BF1795">
        <v>-1.49</v>
      </c>
      <c r="BG1795">
        <v>1.2</v>
      </c>
      <c r="BH1795">
        <v>-0.19</v>
      </c>
      <c r="BI1795">
        <v>20191227</v>
      </c>
      <c r="BJ1795">
        <v>20141010</v>
      </c>
      <c r="BK1795">
        <v>2.02</v>
      </c>
      <c r="BL1795" t="s">
        <v>116</v>
      </c>
      <c r="BM1795" t="s">
        <v>116</v>
      </c>
      <c r="BN1795">
        <v>19.91</v>
      </c>
      <c r="BO1795">
        <v>6.28</v>
      </c>
      <c r="BP1795">
        <v>0</v>
      </c>
      <c r="BQ1795">
        <v>68.45</v>
      </c>
      <c r="BR1795">
        <v>14.43</v>
      </c>
      <c r="BS1795">
        <v>4.25</v>
      </c>
      <c r="BT1795">
        <v>0.93</v>
      </c>
      <c r="BU1795">
        <v>13.43</v>
      </c>
      <c r="BV1795">
        <v>6.37</v>
      </c>
      <c r="BW1795">
        <v>4.17</v>
      </c>
      <c r="BX1795">
        <v>2.2400000000000002</v>
      </c>
      <c r="BY1795">
        <v>5.9</v>
      </c>
      <c r="BZ1795">
        <v>4.6500000000000004</v>
      </c>
      <c r="CA1795">
        <v>0.13</v>
      </c>
      <c r="CB1795">
        <v>0</v>
      </c>
      <c r="CC1795">
        <v>0.15</v>
      </c>
      <c r="CD1795">
        <v>0.15</v>
      </c>
      <c r="CE1795">
        <v>0.15</v>
      </c>
      <c r="CF1795">
        <v>0.11</v>
      </c>
      <c r="CG1795">
        <v>1.68</v>
      </c>
      <c r="CH1795">
        <v>2.2999999999999998</v>
      </c>
      <c r="CI1795">
        <v>0.02</v>
      </c>
      <c r="CJ1795">
        <v>13550</v>
      </c>
      <c r="CK1795">
        <v>4808</v>
      </c>
      <c r="CL1795" t="s">
        <v>5775</v>
      </c>
      <c r="CM1795">
        <v>389.91</v>
      </c>
      <c r="CN1795">
        <v>35.090000000000003</v>
      </c>
      <c r="CO1795">
        <v>2.97</v>
      </c>
      <c r="CP1795">
        <v>8.1</v>
      </c>
      <c r="CQ1795">
        <v>3.16</v>
      </c>
      <c r="CR1795">
        <v>0.27</v>
      </c>
      <c r="CS1795" t="s">
        <v>3695</v>
      </c>
      <c r="CT1795">
        <v>3.11</v>
      </c>
      <c r="CU1795">
        <v>0</v>
      </c>
      <c r="CV1795">
        <v>1.1100000000000001</v>
      </c>
      <c r="CW1795">
        <v>0.83</v>
      </c>
      <c r="CX1795">
        <v>1.1399999999999999</v>
      </c>
      <c r="CY1795">
        <v>31.55</v>
      </c>
      <c r="CZ1795" t="s">
        <v>9128</v>
      </c>
      <c r="DA1795">
        <v>21.08</v>
      </c>
      <c r="DB1795">
        <v>2.15</v>
      </c>
      <c r="DC1795">
        <v>2.57</v>
      </c>
      <c r="DD1795">
        <v>0.32</v>
      </c>
      <c r="DE1795">
        <v>703</v>
      </c>
      <c r="DF1795">
        <v>300402</v>
      </c>
      <c r="DG1795" t="s">
        <v>116</v>
      </c>
      <c r="DH1795" t="s">
        <v>116</v>
      </c>
      <c r="DI1795" t="s">
        <v>116</v>
      </c>
    </row>
    <row r="1796" spans="1:113" x14ac:dyDescent="0.4">
      <c r="A1796" t="str">
        <f>"300403"</f>
        <v>300403</v>
      </c>
      <c r="B1796" t="s">
        <v>9129</v>
      </c>
      <c r="C1796">
        <v>-1.17</v>
      </c>
      <c r="D1796">
        <v>5.08</v>
      </c>
      <c r="E1796">
        <v>-0.06</v>
      </c>
      <c r="F1796">
        <v>5.07</v>
      </c>
      <c r="G1796">
        <v>5.08</v>
      </c>
      <c r="H1796">
        <v>44356</v>
      </c>
      <c r="I1796">
        <v>136</v>
      </c>
      <c r="J1796">
        <v>-0.19</v>
      </c>
      <c r="K1796">
        <v>1.1599999999999999</v>
      </c>
      <c r="L1796">
        <v>5.14</v>
      </c>
      <c r="M1796">
        <v>5.16</v>
      </c>
      <c r="N1796">
        <v>5.0599999999999996</v>
      </c>
      <c r="O1796">
        <v>5.14</v>
      </c>
      <c r="P1796">
        <v>20.73</v>
      </c>
      <c r="Q1796">
        <v>22703026</v>
      </c>
      <c r="R1796">
        <v>1.07</v>
      </c>
      <c r="S1796" t="s">
        <v>209</v>
      </c>
      <c r="T1796" t="s">
        <v>551</v>
      </c>
      <c r="U1796">
        <v>1.95</v>
      </c>
      <c r="V1796">
        <v>5.12</v>
      </c>
      <c r="W1796">
        <v>32683</v>
      </c>
      <c r="X1796">
        <v>11673</v>
      </c>
      <c r="Y1796">
        <v>2.8</v>
      </c>
      <c r="Z1796">
        <v>422</v>
      </c>
      <c r="AA1796">
        <v>208</v>
      </c>
      <c r="AB1796" t="s">
        <v>116</v>
      </c>
      <c r="AC1796">
        <v>6700</v>
      </c>
      <c r="AD1796">
        <v>0</v>
      </c>
      <c r="AE1796" t="s">
        <v>116</v>
      </c>
      <c r="AF1796" t="s">
        <v>116</v>
      </c>
      <c r="AG1796">
        <v>3.81</v>
      </c>
      <c r="AH1796" t="s">
        <v>3460</v>
      </c>
      <c r="AI1796" t="s">
        <v>9130</v>
      </c>
      <c r="AJ1796">
        <v>-0.49</v>
      </c>
      <c r="AK1796">
        <v>953</v>
      </c>
      <c r="AL1796">
        <v>47</v>
      </c>
      <c r="AM1796">
        <v>1.1999999999999999E-3</v>
      </c>
      <c r="AN1796">
        <v>-3</v>
      </c>
      <c r="AO1796">
        <v>-2.31</v>
      </c>
      <c r="AP1796">
        <v>3.89</v>
      </c>
      <c r="AQ1796">
        <v>-2.87</v>
      </c>
      <c r="AR1796">
        <v>5.39</v>
      </c>
      <c r="AS1796">
        <v>2.06</v>
      </c>
      <c r="AT1796" t="s">
        <v>8159</v>
      </c>
      <c r="AU1796">
        <v>19.95</v>
      </c>
      <c r="AV1796">
        <v>18.82</v>
      </c>
      <c r="AW1796">
        <v>0.7</v>
      </c>
      <c r="BA1796">
        <v>0</v>
      </c>
      <c r="BB1796">
        <v>0.39</v>
      </c>
      <c r="BC1796">
        <v>-1.56</v>
      </c>
      <c r="BD1796">
        <v>-0.42</v>
      </c>
      <c r="BE1796">
        <v>-1.17</v>
      </c>
      <c r="BF1796">
        <v>-1.55</v>
      </c>
      <c r="BG1796">
        <v>0.4</v>
      </c>
      <c r="BH1796">
        <v>-0.75</v>
      </c>
      <c r="BI1796">
        <v>20191223</v>
      </c>
      <c r="BJ1796">
        <v>20141030</v>
      </c>
      <c r="BK1796">
        <v>6.03</v>
      </c>
      <c r="BL1796" t="s">
        <v>116</v>
      </c>
      <c r="BM1796" t="s">
        <v>116</v>
      </c>
      <c r="BN1796">
        <v>16.260000000000002</v>
      </c>
      <c r="BO1796">
        <v>13.22</v>
      </c>
      <c r="BP1796">
        <v>0.02</v>
      </c>
      <c r="BQ1796">
        <v>18.559999999999999</v>
      </c>
      <c r="BR1796">
        <v>7.14</v>
      </c>
      <c r="BS1796">
        <v>2.52</v>
      </c>
      <c r="BT1796">
        <v>1.19</v>
      </c>
      <c r="BU1796">
        <v>2.8</v>
      </c>
      <c r="BV1796">
        <v>1.67</v>
      </c>
      <c r="BW1796">
        <v>1.98</v>
      </c>
      <c r="BX1796">
        <v>1.78</v>
      </c>
      <c r="BY1796">
        <v>6.23</v>
      </c>
      <c r="BZ1796">
        <v>3.96</v>
      </c>
      <c r="CA1796">
        <v>1.24</v>
      </c>
      <c r="CB1796">
        <v>0.02</v>
      </c>
      <c r="CC1796">
        <v>1.24</v>
      </c>
      <c r="CD1796">
        <v>1.07</v>
      </c>
      <c r="CE1796">
        <v>1.1100000000000001</v>
      </c>
      <c r="CF1796">
        <v>1.06</v>
      </c>
      <c r="CG1796">
        <v>4.3</v>
      </c>
      <c r="CH1796">
        <v>1.53</v>
      </c>
      <c r="CI1796">
        <v>-0.9</v>
      </c>
      <c r="CJ1796">
        <v>16807</v>
      </c>
      <c r="CK1796">
        <v>12801</v>
      </c>
      <c r="CL1796" t="s">
        <v>7229</v>
      </c>
      <c r="CM1796">
        <v>-7.7</v>
      </c>
      <c r="CN1796">
        <v>5.52</v>
      </c>
      <c r="CO1796">
        <v>2.3199999999999998</v>
      </c>
      <c r="CP1796">
        <v>19.96</v>
      </c>
      <c r="CQ1796">
        <v>4.92</v>
      </c>
      <c r="CR1796">
        <v>3.94</v>
      </c>
      <c r="CS1796" t="s">
        <v>2474</v>
      </c>
      <c r="CT1796">
        <v>2.19</v>
      </c>
      <c r="CU1796">
        <v>0</v>
      </c>
      <c r="CV1796">
        <v>0.3</v>
      </c>
      <c r="CW1796">
        <v>0.71</v>
      </c>
      <c r="CX1796">
        <v>0.25</v>
      </c>
      <c r="CY1796">
        <v>81.290000000000006</v>
      </c>
      <c r="CZ1796" t="s">
        <v>9131</v>
      </c>
      <c r="DA1796">
        <v>36.380000000000003</v>
      </c>
      <c r="DB1796">
        <v>19.89</v>
      </c>
      <c r="DC1796">
        <v>17.79</v>
      </c>
      <c r="DD1796">
        <v>0.38</v>
      </c>
      <c r="DE1796">
        <v>1720</v>
      </c>
      <c r="DF1796">
        <v>300403</v>
      </c>
      <c r="DG1796" t="s">
        <v>116</v>
      </c>
      <c r="DH1796" t="s">
        <v>116</v>
      </c>
      <c r="DI1796" t="s">
        <v>116</v>
      </c>
    </row>
    <row r="1797" spans="1:113" x14ac:dyDescent="0.4">
      <c r="A1797" t="str">
        <f>"300404"</f>
        <v>300404</v>
      </c>
      <c r="B1797" t="s">
        <v>9132</v>
      </c>
      <c r="C1797">
        <v>1.1499999999999999</v>
      </c>
      <c r="D1797">
        <v>14.92</v>
      </c>
      <c r="E1797">
        <v>0.17</v>
      </c>
      <c r="F1797">
        <v>14.92</v>
      </c>
      <c r="G1797">
        <v>14.93</v>
      </c>
      <c r="H1797">
        <v>39143</v>
      </c>
      <c r="I1797">
        <v>880</v>
      </c>
      <c r="J1797">
        <v>-0.06</v>
      </c>
      <c r="K1797">
        <v>3.54</v>
      </c>
      <c r="L1797">
        <v>14.82</v>
      </c>
      <c r="M1797">
        <v>15.34</v>
      </c>
      <c r="N1797">
        <v>14.6</v>
      </c>
      <c r="O1797">
        <v>14.75</v>
      </c>
      <c r="P1797">
        <v>346.18</v>
      </c>
      <c r="Q1797">
        <v>58204864</v>
      </c>
      <c r="R1797">
        <v>1.1399999999999999</v>
      </c>
      <c r="S1797" t="s">
        <v>559</v>
      </c>
      <c r="T1797" t="s">
        <v>551</v>
      </c>
      <c r="U1797">
        <v>5.0199999999999996</v>
      </c>
      <c r="V1797">
        <v>14.87</v>
      </c>
      <c r="W1797">
        <v>16365</v>
      </c>
      <c r="X1797">
        <v>22778</v>
      </c>
      <c r="Y1797">
        <v>0.72</v>
      </c>
      <c r="Z1797">
        <v>101</v>
      </c>
      <c r="AA1797">
        <v>20</v>
      </c>
      <c r="AB1797" t="s">
        <v>116</v>
      </c>
      <c r="AC1797">
        <v>186700</v>
      </c>
      <c r="AD1797">
        <v>0.01</v>
      </c>
      <c r="AE1797" t="s">
        <v>116</v>
      </c>
      <c r="AF1797" t="s">
        <v>116</v>
      </c>
      <c r="AG1797">
        <v>1.1100000000000001</v>
      </c>
      <c r="AH1797" t="s">
        <v>4192</v>
      </c>
      <c r="AI1797" t="s">
        <v>1661</v>
      </c>
      <c r="AJ1797">
        <v>1.83</v>
      </c>
      <c r="AK1797">
        <v>1897</v>
      </c>
      <c r="AL1797">
        <v>21</v>
      </c>
      <c r="AM1797">
        <v>1.9E-3</v>
      </c>
      <c r="AN1797">
        <v>4</v>
      </c>
      <c r="AO1797">
        <v>7.18</v>
      </c>
      <c r="AP1797">
        <v>13.2</v>
      </c>
      <c r="AQ1797">
        <v>-22.17</v>
      </c>
      <c r="AR1797">
        <v>70.36</v>
      </c>
      <c r="AS1797">
        <v>4.12</v>
      </c>
      <c r="AT1797" t="s">
        <v>4473</v>
      </c>
      <c r="AU1797">
        <v>376.08</v>
      </c>
      <c r="AV1797">
        <v>349.5</v>
      </c>
      <c r="AW1797">
        <v>1.0900000000000001</v>
      </c>
      <c r="BA1797">
        <v>0.47</v>
      </c>
      <c r="BB1797">
        <v>4</v>
      </c>
      <c r="BC1797">
        <v>-1.02</v>
      </c>
      <c r="BD1797">
        <v>0.81</v>
      </c>
      <c r="BE1797">
        <v>0.67</v>
      </c>
      <c r="BF1797">
        <v>-2.74</v>
      </c>
      <c r="BG1797">
        <v>2.19</v>
      </c>
      <c r="BH1797">
        <v>0.34</v>
      </c>
      <c r="BI1797">
        <v>20191206</v>
      </c>
      <c r="BJ1797">
        <v>20150424</v>
      </c>
      <c r="BK1797">
        <v>1.73</v>
      </c>
      <c r="BL1797" t="s">
        <v>116</v>
      </c>
      <c r="BM1797" t="s">
        <v>116</v>
      </c>
      <c r="BN1797">
        <v>6.05</v>
      </c>
      <c r="BO1797">
        <v>4.1900000000000004</v>
      </c>
      <c r="BP1797">
        <v>0.13</v>
      </c>
      <c r="BQ1797">
        <v>28.71</v>
      </c>
      <c r="BR1797">
        <v>2.68</v>
      </c>
      <c r="BS1797">
        <v>1.92</v>
      </c>
      <c r="BT1797">
        <v>0.23</v>
      </c>
      <c r="BU1797">
        <v>1.56</v>
      </c>
      <c r="BV1797">
        <v>1.01</v>
      </c>
      <c r="BW1797">
        <v>0.61</v>
      </c>
      <c r="BX1797">
        <v>1.22</v>
      </c>
      <c r="BY1797">
        <v>1.42</v>
      </c>
      <c r="BZ1797">
        <v>0.79</v>
      </c>
      <c r="CA1797">
        <v>0.08</v>
      </c>
      <c r="CB1797">
        <v>0.01</v>
      </c>
      <c r="CC1797">
        <v>0.08</v>
      </c>
      <c r="CD1797">
        <v>7.0000000000000007E-2</v>
      </c>
      <c r="CE1797">
        <v>0.06</v>
      </c>
      <c r="CF1797">
        <v>0.03</v>
      </c>
      <c r="CG1797">
        <v>1.04</v>
      </c>
      <c r="CH1797">
        <v>-0.01</v>
      </c>
      <c r="CI1797">
        <v>0.05</v>
      </c>
      <c r="CJ1797">
        <v>11843</v>
      </c>
      <c r="CK1797">
        <v>8029</v>
      </c>
      <c r="CL1797" t="s">
        <v>4319</v>
      </c>
      <c r="CM1797">
        <v>-8.5399999999999991</v>
      </c>
      <c r="CN1797">
        <v>25.94</v>
      </c>
      <c r="CO1797">
        <v>6.18</v>
      </c>
      <c r="CP1797">
        <v>-3152.44</v>
      </c>
      <c r="CQ1797">
        <v>18.2</v>
      </c>
      <c r="CR1797">
        <v>0.08</v>
      </c>
      <c r="CS1797" t="s">
        <v>1284</v>
      </c>
      <c r="CT1797">
        <v>2.41</v>
      </c>
      <c r="CU1797">
        <v>0</v>
      </c>
      <c r="CV1797">
        <v>0.7</v>
      </c>
      <c r="CW1797">
        <v>0.6</v>
      </c>
      <c r="CX1797">
        <v>0</v>
      </c>
      <c r="CY1797">
        <v>69.180000000000007</v>
      </c>
      <c r="CZ1797" t="s">
        <v>3645</v>
      </c>
      <c r="DA1797">
        <v>44.3</v>
      </c>
      <c r="DB1797">
        <v>5.39</v>
      </c>
      <c r="DC1797">
        <v>3.94</v>
      </c>
      <c r="DD1797">
        <v>0.12</v>
      </c>
      <c r="DE1797">
        <v>616</v>
      </c>
      <c r="DF1797">
        <v>300404</v>
      </c>
      <c r="DG1797" t="s">
        <v>116</v>
      </c>
      <c r="DH1797" t="s">
        <v>116</v>
      </c>
      <c r="DI1797" t="s">
        <v>116</v>
      </c>
    </row>
    <row r="1798" spans="1:113" x14ac:dyDescent="0.4">
      <c r="A1798" t="str">
        <f>"300405"</f>
        <v>300405</v>
      </c>
      <c r="B1798" t="s">
        <v>9133</v>
      </c>
      <c r="C1798">
        <v>-1.1599999999999999</v>
      </c>
      <c r="D1798">
        <v>6.82</v>
      </c>
      <c r="E1798">
        <v>-0.08</v>
      </c>
      <c r="F1798">
        <v>6.81</v>
      </c>
      <c r="G1798">
        <v>6.82</v>
      </c>
      <c r="H1798">
        <v>41755</v>
      </c>
      <c r="I1798">
        <v>1581</v>
      </c>
      <c r="J1798">
        <v>-0.28000000000000003</v>
      </c>
      <c r="K1798">
        <v>3.19</v>
      </c>
      <c r="L1798">
        <v>6.84</v>
      </c>
      <c r="M1798">
        <v>6.95</v>
      </c>
      <c r="N1798">
        <v>6.82</v>
      </c>
      <c r="O1798">
        <v>6.9</v>
      </c>
      <c r="P1798">
        <v>111.69</v>
      </c>
      <c r="Q1798">
        <v>28726782</v>
      </c>
      <c r="R1798">
        <v>0.76</v>
      </c>
      <c r="S1798" t="s">
        <v>891</v>
      </c>
      <c r="T1798" t="s">
        <v>434</v>
      </c>
      <c r="U1798">
        <v>1.88</v>
      </c>
      <c r="V1798">
        <v>6.88</v>
      </c>
      <c r="W1798">
        <v>21734</v>
      </c>
      <c r="X1798">
        <v>20021</v>
      </c>
      <c r="Y1798">
        <v>1.0900000000000001</v>
      </c>
      <c r="Z1798">
        <v>550</v>
      </c>
      <c r="AA1798">
        <v>81</v>
      </c>
      <c r="AB1798" t="s">
        <v>116</v>
      </c>
      <c r="AC1798">
        <v>0</v>
      </c>
      <c r="AD1798">
        <v>0</v>
      </c>
      <c r="AE1798" t="s">
        <v>116</v>
      </c>
      <c r="AF1798" t="s">
        <v>116</v>
      </c>
      <c r="AG1798">
        <v>1.31</v>
      </c>
      <c r="AH1798" t="s">
        <v>7261</v>
      </c>
      <c r="AI1798" t="s">
        <v>9134</v>
      </c>
      <c r="AJ1798">
        <v>-0.48</v>
      </c>
      <c r="AK1798">
        <v>1110</v>
      </c>
      <c r="AL1798">
        <v>38</v>
      </c>
      <c r="AM1798">
        <v>2.8999999999999998E-3</v>
      </c>
      <c r="AN1798">
        <v>-1</v>
      </c>
      <c r="AO1798">
        <v>-0.15</v>
      </c>
      <c r="AP1798">
        <v>2.87</v>
      </c>
      <c r="AQ1798">
        <v>-6.7</v>
      </c>
      <c r="AR1798">
        <v>36.04</v>
      </c>
      <c r="AS1798">
        <v>4.0199999999999996</v>
      </c>
      <c r="AT1798" t="s">
        <v>9135</v>
      </c>
      <c r="AU1798" t="s">
        <v>116</v>
      </c>
      <c r="AV1798" t="s">
        <v>116</v>
      </c>
      <c r="AW1798">
        <v>1.28</v>
      </c>
      <c r="BA1798">
        <v>-0.87</v>
      </c>
      <c r="BB1798">
        <v>0.72</v>
      </c>
      <c r="BC1798">
        <v>-1.1599999999999999</v>
      </c>
      <c r="BD1798">
        <v>-0.28999999999999998</v>
      </c>
      <c r="BE1798">
        <v>-0.28999999999999998</v>
      </c>
      <c r="BF1798">
        <v>-1.87</v>
      </c>
      <c r="BG1798">
        <v>0</v>
      </c>
      <c r="BH1798">
        <v>-0.87</v>
      </c>
      <c r="BI1798">
        <v>20191029</v>
      </c>
      <c r="BJ1798">
        <v>20141030</v>
      </c>
      <c r="BK1798">
        <v>2.2200000000000002</v>
      </c>
      <c r="BL1798" t="s">
        <v>116</v>
      </c>
      <c r="BM1798" t="s">
        <v>116</v>
      </c>
      <c r="BN1798">
        <v>17.48</v>
      </c>
      <c r="BO1798">
        <v>8.49</v>
      </c>
      <c r="BP1798">
        <v>0.1</v>
      </c>
      <c r="BQ1798">
        <v>50.89</v>
      </c>
      <c r="BR1798">
        <v>11.78</v>
      </c>
      <c r="BS1798">
        <v>3.51</v>
      </c>
      <c r="BT1798">
        <v>1.06</v>
      </c>
      <c r="BU1798">
        <v>8.56</v>
      </c>
      <c r="BV1798">
        <v>1.68</v>
      </c>
      <c r="BW1798">
        <v>4.71</v>
      </c>
      <c r="BX1798">
        <v>4.49</v>
      </c>
      <c r="BY1798">
        <v>6.56</v>
      </c>
      <c r="BZ1798">
        <v>5.38</v>
      </c>
      <c r="CA1798">
        <v>0.08</v>
      </c>
      <c r="CB1798">
        <v>-0.01</v>
      </c>
      <c r="CC1798">
        <v>0.1</v>
      </c>
      <c r="CD1798">
        <v>0.1</v>
      </c>
      <c r="CE1798">
        <v>0.1</v>
      </c>
      <c r="CF1798">
        <v>-0.08</v>
      </c>
      <c r="CG1798">
        <v>1.33</v>
      </c>
      <c r="CH1798">
        <v>-0.05</v>
      </c>
      <c r="CI1798">
        <v>-0.36</v>
      </c>
      <c r="CJ1798">
        <v>18379</v>
      </c>
      <c r="CK1798">
        <v>5648</v>
      </c>
      <c r="CL1798" t="s">
        <v>7506</v>
      </c>
      <c r="CM1798">
        <v>-2.7</v>
      </c>
      <c r="CN1798">
        <v>-25.54</v>
      </c>
      <c r="CO1798">
        <v>1.83</v>
      </c>
      <c r="CP1798">
        <v>-330.77</v>
      </c>
      <c r="CQ1798">
        <v>2.31</v>
      </c>
      <c r="CR1798">
        <v>0</v>
      </c>
      <c r="CS1798" t="s">
        <v>3798</v>
      </c>
      <c r="CT1798">
        <v>3.72</v>
      </c>
      <c r="CU1798">
        <v>3.72</v>
      </c>
      <c r="CV1798">
        <v>2.02</v>
      </c>
      <c r="CW1798">
        <v>0.6</v>
      </c>
      <c r="CX1798">
        <v>-0.02</v>
      </c>
      <c r="CY1798">
        <v>48.55</v>
      </c>
      <c r="CZ1798" t="s">
        <v>6239</v>
      </c>
      <c r="DA1798">
        <v>17.96</v>
      </c>
      <c r="DB1798">
        <v>1.25</v>
      </c>
      <c r="DC1798">
        <v>1.55</v>
      </c>
      <c r="DD1798">
        <v>0.05</v>
      </c>
      <c r="DE1798">
        <v>707</v>
      </c>
      <c r="DF1798">
        <v>300405</v>
      </c>
      <c r="DG1798" t="s">
        <v>116</v>
      </c>
      <c r="DH1798" t="s">
        <v>116</v>
      </c>
      <c r="DI1798" t="s">
        <v>116</v>
      </c>
    </row>
    <row r="1799" spans="1:113" x14ac:dyDescent="0.4">
      <c r="A1799" t="str">
        <f>"300406"</f>
        <v>300406</v>
      </c>
      <c r="B1799" t="s">
        <v>9136</v>
      </c>
      <c r="C1799">
        <v>-1.5</v>
      </c>
      <c r="D1799">
        <v>15.79</v>
      </c>
      <c r="E1799">
        <v>-0.24</v>
      </c>
      <c r="F1799">
        <v>15.79</v>
      </c>
      <c r="G1799">
        <v>15.8</v>
      </c>
      <c r="H1799">
        <v>31305</v>
      </c>
      <c r="I1799">
        <v>240</v>
      </c>
      <c r="J1799">
        <v>0</v>
      </c>
      <c r="K1799">
        <v>0.95</v>
      </c>
      <c r="L1799">
        <v>16.03</v>
      </c>
      <c r="M1799">
        <v>16.09</v>
      </c>
      <c r="N1799">
        <v>15.77</v>
      </c>
      <c r="O1799">
        <v>16.03</v>
      </c>
      <c r="P1799">
        <v>27.3</v>
      </c>
      <c r="Q1799">
        <v>49707872</v>
      </c>
      <c r="R1799">
        <v>0.8</v>
      </c>
      <c r="S1799" t="s">
        <v>132</v>
      </c>
      <c r="T1799" t="s">
        <v>165</v>
      </c>
      <c r="U1799">
        <v>2</v>
      </c>
      <c r="V1799">
        <v>15.88</v>
      </c>
      <c r="W1799">
        <v>20018</v>
      </c>
      <c r="X1799">
        <v>11287</v>
      </c>
      <c r="Y1799">
        <v>1.77</v>
      </c>
      <c r="Z1799">
        <v>32</v>
      </c>
      <c r="AA1799">
        <v>54</v>
      </c>
      <c r="AB1799" t="s">
        <v>116</v>
      </c>
      <c r="AC1799">
        <v>128200</v>
      </c>
      <c r="AD1799">
        <v>0</v>
      </c>
      <c r="AE1799" t="s">
        <v>116</v>
      </c>
      <c r="AF1799" t="s">
        <v>116</v>
      </c>
      <c r="AG1799">
        <v>3.3</v>
      </c>
      <c r="AH1799" t="s">
        <v>9137</v>
      </c>
      <c r="AI1799" t="s">
        <v>9138</v>
      </c>
      <c r="AJ1799">
        <v>-0.82</v>
      </c>
      <c r="AK1799">
        <v>1801</v>
      </c>
      <c r="AL1799">
        <v>17</v>
      </c>
      <c r="AM1799">
        <v>5.0000000000000001E-4</v>
      </c>
      <c r="AN1799">
        <v>-1</v>
      </c>
      <c r="AO1799">
        <v>0.13</v>
      </c>
      <c r="AP1799">
        <v>-8.1999999999999993</v>
      </c>
      <c r="AQ1799">
        <v>-3.31</v>
      </c>
      <c r="AR1799">
        <v>63.12</v>
      </c>
      <c r="AS1799">
        <v>1.5</v>
      </c>
      <c r="AT1799" t="s">
        <v>8970</v>
      </c>
      <c r="AU1799">
        <v>24.49</v>
      </c>
      <c r="AV1799">
        <v>26.35</v>
      </c>
      <c r="AW1799">
        <v>0.93</v>
      </c>
      <c r="BA1799">
        <v>0</v>
      </c>
      <c r="BB1799">
        <v>0.37</v>
      </c>
      <c r="BC1799">
        <v>-1.62</v>
      </c>
      <c r="BD1799">
        <v>-0.95</v>
      </c>
      <c r="BE1799">
        <v>-1.5</v>
      </c>
      <c r="BF1799">
        <v>-1.86</v>
      </c>
      <c r="BG1799">
        <v>0.13</v>
      </c>
      <c r="BH1799">
        <v>-0.55000000000000004</v>
      </c>
      <c r="BI1799">
        <v>20191114</v>
      </c>
      <c r="BJ1799">
        <v>20141030</v>
      </c>
      <c r="BK1799">
        <v>5.0199999999999996</v>
      </c>
      <c r="BL1799" t="s">
        <v>116</v>
      </c>
      <c r="BM1799" t="s">
        <v>116</v>
      </c>
      <c r="BN1799">
        <v>19.53</v>
      </c>
      <c r="BO1799">
        <v>18.52</v>
      </c>
      <c r="BP1799">
        <v>0</v>
      </c>
      <c r="BQ1799">
        <v>5.17</v>
      </c>
      <c r="BR1799">
        <v>13.4</v>
      </c>
      <c r="BS1799">
        <v>2.34</v>
      </c>
      <c r="BT1799">
        <v>0.06</v>
      </c>
      <c r="BU1799">
        <v>0.86</v>
      </c>
      <c r="BV1799">
        <v>1.55</v>
      </c>
      <c r="BW1799">
        <v>5.59</v>
      </c>
      <c r="BX1799">
        <v>0.63</v>
      </c>
      <c r="BY1799">
        <v>5.71</v>
      </c>
      <c r="BZ1799">
        <v>1.81</v>
      </c>
      <c r="CA1799">
        <v>2.56</v>
      </c>
      <c r="CB1799">
        <v>0</v>
      </c>
      <c r="CC1799">
        <v>2.56</v>
      </c>
      <c r="CD1799">
        <v>2.1800000000000002</v>
      </c>
      <c r="CE1799">
        <v>2.1800000000000002</v>
      </c>
      <c r="CF1799">
        <v>2.06</v>
      </c>
      <c r="CG1799">
        <v>11.91</v>
      </c>
      <c r="CH1799">
        <v>0.89</v>
      </c>
      <c r="CI1799">
        <v>-0.16</v>
      </c>
      <c r="CJ1799">
        <v>14385</v>
      </c>
      <c r="CK1799">
        <v>14540</v>
      </c>
      <c r="CL1799" t="s">
        <v>9139</v>
      </c>
      <c r="CM1799">
        <v>11.73</v>
      </c>
      <c r="CN1799">
        <v>7.31</v>
      </c>
      <c r="CO1799">
        <v>4.28</v>
      </c>
      <c r="CP1799">
        <v>88.54</v>
      </c>
      <c r="CQ1799">
        <v>13.87</v>
      </c>
      <c r="CR1799">
        <v>0.94</v>
      </c>
      <c r="CS1799" t="s">
        <v>290</v>
      </c>
      <c r="CT1799">
        <v>3.69</v>
      </c>
      <c r="CU1799">
        <v>0</v>
      </c>
      <c r="CV1799">
        <v>0.13</v>
      </c>
      <c r="CW1799">
        <v>2.37</v>
      </c>
      <c r="CX1799">
        <v>0.18</v>
      </c>
      <c r="CY1799">
        <v>94.83</v>
      </c>
      <c r="CZ1799" t="s">
        <v>8045</v>
      </c>
      <c r="DA1799">
        <v>68.3</v>
      </c>
      <c r="DB1799">
        <v>44.75</v>
      </c>
      <c r="DC1799">
        <v>38.1</v>
      </c>
      <c r="DD1799">
        <v>0.49</v>
      </c>
      <c r="DE1799">
        <v>429</v>
      </c>
      <c r="DF1799">
        <v>300406</v>
      </c>
      <c r="DG1799" t="s">
        <v>116</v>
      </c>
      <c r="DH1799" t="s">
        <v>116</v>
      </c>
      <c r="DI1799" t="s">
        <v>116</v>
      </c>
    </row>
    <row r="1800" spans="1:113" x14ac:dyDescent="0.4">
      <c r="A1800" t="str">
        <f>"300407"</f>
        <v>300407</v>
      </c>
      <c r="B1800" t="s">
        <v>9140</v>
      </c>
      <c r="C1800">
        <v>-1.52</v>
      </c>
      <c r="D1800">
        <v>7.75</v>
      </c>
      <c r="E1800">
        <v>-0.12</v>
      </c>
      <c r="F1800">
        <v>7.75</v>
      </c>
      <c r="G1800">
        <v>7.76</v>
      </c>
      <c r="H1800">
        <v>29571</v>
      </c>
      <c r="I1800">
        <v>222</v>
      </c>
      <c r="J1800">
        <v>-0.12</v>
      </c>
      <c r="K1800">
        <v>1.49</v>
      </c>
      <c r="L1800">
        <v>7.89</v>
      </c>
      <c r="M1800">
        <v>7.94</v>
      </c>
      <c r="N1800">
        <v>7.73</v>
      </c>
      <c r="O1800">
        <v>7.87</v>
      </c>
      <c r="P1800">
        <v>73.88</v>
      </c>
      <c r="Q1800">
        <v>23179674</v>
      </c>
      <c r="R1800">
        <v>1.2</v>
      </c>
      <c r="S1800" t="s">
        <v>397</v>
      </c>
      <c r="T1800" t="s">
        <v>1035</v>
      </c>
      <c r="U1800">
        <v>2.67</v>
      </c>
      <c r="V1800">
        <v>7.84</v>
      </c>
      <c r="W1800">
        <v>18730</v>
      </c>
      <c r="X1800">
        <v>10841</v>
      </c>
      <c r="Y1800">
        <v>1.73</v>
      </c>
      <c r="Z1800">
        <v>52</v>
      </c>
      <c r="AA1800">
        <v>513</v>
      </c>
      <c r="AB1800" t="s">
        <v>116</v>
      </c>
      <c r="AC1800">
        <v>0</v>
      </c>
      <c r="AD1800">
        <v>0</v>
      </c>
      <c r="AE1800" t="s">
        <v>116</v>
      </c>
      <c r="AF1800" t="s">
        <v>116</v>
      </c>
      <c r="AG1800">
        <v>1.98</v>
      </c>
      <c r="AH1800" t="s">
        <v>1815</v>
      </c>
      <c r="AI1800" t="s">
        <v>9141</v>
      </c>
      <c r="AJ1800">
        <v>-0.85</v>
      </c>
      <c r="AK1800">
        <v>1104</v>
      </c>
      <c r="AL1800">
        <v>27</v>
      </c>
      <c r="AM1800">
        <v>1.4E-3</v>
      </c>
      <c r="AN1800">
        <v>-1</v>
      </c>
      <c r="AO1800">
        <v>-2.14</v>
      </c>
      <c r="AP1800">
        <v>5.44</v>
      </c>
      <c r="AQ1800">
        <v>-3.73</v>
      </c>
      <c r="AR1800">
        <v>3.34</v>
      </c>
      <c r="AS1800">
        <v>1.93</v>
      </c>
      <c r="AT1800" t="s">
        <v>2043</v>
      </c>
      <c r="AU1800">
        <v>70.239999999999995</v>
      </c>
      <c r="AV1800">
        <v>159.47999999999999</v>
      </c>
      <c r="AW1800">
        <v>1.1000000000000001</v>
      </c>
      <c r="BA1800">
        <v>0.25</v>
      </c>
      <c r="BB1800">
        <v>0.89</v>
      </c>
      <c r="BC1800">
        <v>-1.78</v>
      </c>
      <c r="BD1800">
        <v>-0.4</v>
      </c>
      <c r="BE1800">
        <v>-1.77</v>
      </c>
      <c r="BF1800">
        <v>-2.39</v>
      </c>
      <c r="BG1800">
        <v>0.26</v>
      </c>
      <c r="BH1800">
        <v>-1.1299999999999999</v>
      </c>
      <c r="BI1800">
        <v>20191224</v>
      </c>
      <c r="BJ1800">
        <v>20141203</v>
      </c>
      <c r="BK1800">
        <v>3.05</v>
      </c>
      <c r="BL1800" t="s">
        <v>116</v>
      </c>
      <c r="BM1800" t="s">
        <v>116</v>
      </c>
      <c r="BN1800">
        <v>24.2</v>
      </c>
      <c r="BO1800">
        <v>12.94</v>
      </c>
      <c r="BP1800">
        <v>0.1</v>
      </c>
      <c r="BQ1800">
        <v>46.1</v>
      </c>
      <c r="BR1800">
        <v>20.57</v>
      </c>
      <c r="BS1800">
        <v>2.1</v>
      </c>
      <c r="BT1800">
        <v>0.23</v>
      </c>
      <c r="BU1800">
        <v>8.5299999999999994</v>
      </c>
      <c r="BV1800">
        <v>8.2799999999999994</v>
      </c>
      <c r="BW1800">
        <v>5.0999999999999996</v>
      </c>
      <c r="BX1800">
        <v>3.89</v>
      </c>
      <c r="BY1800">
        <v>11.87</v>
      </c>
      <c r="BZ1800">
        <v>9.5</v>
      </c>
      <c r="CA1800">
        <v>0.31</v>
      </c>
      <c r="CB1800">
        <v>0.03</v>
      </c>
      <c r="CC1800">
        <v>0.31</v>
      </c>
      <c r="CD1800">
        <v>0.24</v>
      </c>
      <c r="CE1800">
        <v>0.24</v>
      </c>
      <c r="CF1800">
        <v>0.15</v>
      </c>
      <c r="CG1800">
        <v>5.38</v>
      </c>
      <c r="CH1800">
        <v>-0.04</v>
      </c>
      <c r="CI1800">
        <v>-0.14000000000000001</v>
      </c>
      <c r="CJ1800">
        <v>17574</v>
      </c>
      <c r="CK1800">
        <v>8741</v>
      </c>
      <c r="CL1800" t="s">
        <v>6247</v>
      </c>
      <c r="CM1800">
        <v>364.63</v>
      </c>
      <c r="CN1800">
        <v>13.49</v>
      </c>
      <c r="CO1800">
        <v>1.87</v>
      </c>
      <c r="CP1800">
        <v>-544.24</v>
      </c>
      <c r="CQ1800">
        <v>1.99</v>
      </c>
      <c r="CR1800">
        <v>0.13</v>
      </c>
      <c r="CS1800" t="s">
        <v>2739</v>
      </c>
      <c r="CT1800">
        <v>4.1399999999999997</v>
      </c>
      <c r="CU1800">
        <v>4.1399999999999997</v>
      </c>
      <c r="CV1800">
        <v>1.28</v>
      </c>
      <c r="CW1800">
        <v>1.76</v>
      </c>
      <c r="CX1800">
        <v>-0.01</v>
      </c>
      <c r="CY1800">
        <v>53.49</v>
      </c>
      <c r="CZ1800" t="s">
        <v>6718</v>
      </c>
      <c r="DA1800">
        <v>19.93</v>
      </c>
      <c r="DB1800">
        <v>2.64</v>
      </c>
      <c r="DC1800">
        <v>2.02</v>
      </c>
      <c r="DD1800">
        <v>0.57999999999999996</v>
      </c>
      <c r="DE1800">
        <v>1388</v>
      </c>
      <c r="DF1800">
        <v>300407</v>
      </c>
      <c r="DG1800" t="s">
        <v>116</v>
      </c>
      <c r="DH1800" t="s">
        <v>116</v>
      </c>
      <c r="DI1800" t="s">
        <v>116</v>
      </c>
    </row>
    <row r="1801" spans="1:113" x14ac:dyDescent="0.4">
      <c r="A1801" t="str">
        <f>"300408"</f>
        <v>300408</v>
      </c>
      <c r="B1801" t="s">
        <v>9142</v>
      </c>
      <c r="C1801">
        <v>-2.29</v>
      </c>
      <c r="D1801">
        <v>21.77</v>
      </c>
      <c r="E1801">
        <v>-0.51</v>
      </c>
      <c r="F1801">
        <v>21.76</v>
      </c>
      <c r="G1801">
        <v>21.77</v>
      </c>
      <c r="H1801">
        <v>103142</v>
      </c>
      <c r="I1801">
        <v>1447</v>
      </c>
      <c r="J1801">
        <v>-0.26</v>
      </c>
      <c r="K1801">
        <v>0.62</v>
      </c>
      <c r="L1801">
        <v>22.36</v>
      </c>
      <c r="M1801">
        <v>22.36</v>
      </c>
      <c r="N1801">
        <v>21.77</v>
      </c>
      <c r="O1801">
        <v>22.28</v>
      </c>
      <c r="P1801">
        <v>42.64</v>
      </c>
      <c r="Q1801">
        <v>227048832</v>
      </c>
      <c r="R1801">
        <v>0.83</v>
      </c>
      <c r="S1801" t="s">
        <v>233</v>
      </c>
      <c r="T1801" t="s">
        <v>551</v>
      </c>
      <c r="U1801">
        <v>2.65</v>
      </c>
      <c r="V1801">
        <v>22.01</v>
      </c>
      <c r="W1801">
        <v>55831</v>
      </c>
      <c r="X1801">
        <v>47311</v>
      </c>
      <c r="Y1801">
        <v>1.18</v>
      </c>
      <c r="Z1801">
        <v>39</v>
      </c>
      <c r="AA1801">
        <v>282</v>
      </c>
      <c r="AB1801" t="s">
        <v>116</v>
      </c>
      <c r="AC1801">
        <v>543300</v>
      </c>
      <c r="AD1801">
        <v>0</v>
      </c>
      <c r="AE1801" t="s">
        <v>116</v>
      </c>
      <c r="AF1801" t="s">
        <v>116</v>
      </c>
      <c r="AG1801">
        <v>16.510000000000002</v>
      </c>
      <c r="AH1801" t="s">
        <v>9143</v>
      </c>
      <c r="AI1801" t="s">
        <v>9144</v>
      </c>
      <c r="AJ1801">
        <v>-1.61</v>
      </c>
      <c r="AK1801">
        <v>3256</v>
      </c>
      <c r="AL1801">
        <v>32</v>
      </c>
      <c r="AM1801">
        <v>2.0000000000000001E-4</v>
      </c>
      <c r="AN1801">
        <v>-2</v>
      </c>
      <c r="AO1801">
        <v>-1.85</v>
      </c>
      <c r="AP1801">
        <v>16.29</v>
      </c>
      <c r="AQ1801">
        <v>8.4700000000000006</v>
      </c>
      <c r="AR1801">
        <v>30.59</v>
      </c>
      <c r="AS1801">
        <v>1.04</v>
      </c>
      <c r="AT1801" t="s">
        <v>9145</v>
      </c>
      <c r="AU1801">
        <v>36</v>
      </c>
      <c r="AV1801">
        <v>28.78</v>
      </c>
      <c r="AW1801">
        <v>0.63</v>
      </c>
      <c r="BA1801">
        <v>0.36</v>
      </c>
      <c r="BB1801">
        <v>0.36</v>
      </c>
      <c r="BC1801">
        <v>-2.29</v>
      </c>
      <c r="BD1801">
        <v>-1.2</v>
      </c>
      <c r="BE1801">
        <v>-2.64</v>
      </c>
      <c r="BF1801">
        <v>-2.64</v>
      </c>
      <c r="BG1801">
        <v>0</v>
      </c>
      <c r="BH1801">
        <v>-1.0900000000000001</v>
      </c>
      <c r="BI1801">
        <v>20191030</v>
      </c>
      <c r="BJ1801">
        <v>20141203</v>
      </c>
      <c r="BK1801">
        <v>17.43</v>
      </c>
      <c r="BL1801" t="s">
        <v>116</v>
      </c>
      <c r="BM1801" t="s">
        <v>116</v>
      </c>
      <c r="BN1801">
        <v>82.96</v>
      </c>
      <c r="BO1801">
        <v>73.010000000000005</v>
      </c>
      <c r="BP1801">
        <v>0</v>
      </c>
      <c r="BQ1801">
        <v>11.99</v>
      </c>
      <c r="BR1801">
        <v>50.8</v>
      </c>
      <c r="BS1801">
        <v>18.82</v>
      </c>
      <c r="BT1801">
        <v>2.74</v>
      </c>
      <c r="BU1801">
        <v>4.43</v>
      </c>
      <c r="BV1801">
        <v>6.78</v>
      </c>
      <c r="BW1801">
        <v>6.01</v>
      </c>
      <c r="BX1801">
        <v>3.8</v>
      </c>
      <c r="BY1801">
        <v>19.97</v>
      </c>
      <c r="BZ1801">
        <v>9.98</v>
      </c>
      <c r="CA1801">
        <v>7.89</v>
      </c>
      <c r="CB1801">
        <v>0.6</v>
      </c>
      <c r="CC1801">
        <v>7.94</v>
      </c>
      <c r="CD1801">
        <v>6.69</v>
      </c>
      <c r="CE1801">
        <v>6.67</v>
      </c>
      <c r="CF1801">
        <v>6.14</v>
      </c>
      <c r="CG1801">
        <v>45.43</v>
      </c>
      <c r="CH1801">
        <v>15.01</v>
      </c>
      <c r="CI1801">
        <v>3.32</v>
      </c>
      <c r="CJ1801">
        <v>23381</v>
      </c>
      <c r="CK1801">
        <v>42448</v>
      </c>
      <c r="CL1801" t="s">
        <v>9146</v>
      </c>
      <c r="CM1801">
        <v>-28.38</v>
      </c>
      <c r="CN1801">
        <v>-29.58</v>
      </c>
      <c r="CO1801">
        <v>5.2</v>
      </c>
      <c r="CP1801">
        <v>25.28</v>
      </c>
      <c r="CQ1801">
        <v>19</v>
      </c>
      <c r="CR1801">
        <v>1.1499999999999999</v>
      </c>
      <c r="CS1801" t="s">
        <v>6158</v>
      </c>
      <c r="CT1801">
        <v>4.1900000000000004</v>
      </c>
      <c r="CU1801">
        <v>0</v>
      </c>
      <c r="CV1801">
        <v>0.22</v>
      </c>
      <c r="CW1801">
        <v>2.61</v>
      </c>
      <c r="CX1801">
        <v>0.86</v>
      </c>
      <c r="CY1801">
        <v>88.01</v>
      </c>
      <c r="CZ1801" t="s">
        <v>9147</v>
      </c>
      <c r="DA1801">
        <v>50.02</v>
      </c>
      <c r="DB1801">
        <v>39.53</v>
      </c>
      <c r="DC1801">
        <v>33.42</v>
      </c>
      <c r="DD1801">
        <v>1.29</v>
      </c>
      <c r="DE1801">
        <v>9903</v>
      </c>
      <c r="DF1801">
        <v>300408</v>
      </c>
      <c r="DG1801" t="s">
        <v>116</v>
      </c>
      <c r="DH1801" t="s">
        <v>116</v>
      </c>
      <c r="DI1801" t="s">
        <v>116</v>
      </c>
    </row>
    <row r="1802" spans="1:113" x14ac:dyDescent="0.4">
      <c r="A1802" t="str">
        <f>"300409"</f>
        <v>300409</v>
      </c>
      <c r="B1802" t="s">
        <v>9148</v>
      </c>
      <c r="C1802">
        <v>4.0199999999999996</v>
      </c>
      <c r="D1802">
        <v>12.93</v>
      </c>
      <c r="E1802">
        <v>0.5</v>
      </c>
      <c r="F1802">
        <v>12.93</v>
      </c>
      <c r="G1802">
        <v>12.94</v>
      </c>
      <c r="H1802">
        <v>264891</v>
      </c>
      <c r="I1802">
        <v>1735</v>
      </c>
      <c r="J1802">
        <v>0.54</v>
      </c>
      <c r="K1802">
        <v>8.4</v>
      </c>
      <c r="L1802">
        <v>12.39</v>
      </c>
      <c r="M1802">
        <v>13.6</v>
      </c>
      <c r="N1802">
        <v>12.37</v>
      </c>
      <c r="O1802">
        <v>12.43</v>
      </c>
      <c r="P1802" t="s">
        <v>116</v>
      </c>
      <c r="Q1802">
        <v>343834624</v>
      </c>
      <c r="R1802">
        <v>1.83</v>
      </c>
      <c r="S1802" t="s">
        <v>8514</v>
      </c>
      <c r="T1802" t="s">
        <v>551</v>
      </c>
      <c r="U1802">
        <v>9.9</v>
      </c>
      <c r="V1802">
        <v>12.98</v>
      </c>
      <c r="W1802">
        <v>124025</v>
      </c>
      <c r="X1802">
        <v>140866</v>
      </c>
      <c r="Y1802">
        <v>0.88</v>
      </c>
      <c r="Z1802">
        <v>773</v>
      </c>
      <c r="AA1802">
        <v>521</v>
      </c>
      <c r="AB1802" t="s">
        <v>116</v>
      </c>
      <c r="AC1802">
        <v>1068000</v>
      </c>
      <c r="AD1802">
        <v>0.04</v>
      </c>
      <c r="AE1802" t="s">
        <v>116</v>
      </c>
      <c r="AF1802" t="s">
        <v>116</v>
      </c>
      <c r="AG1802">
        <v>3.15</v>
      </c>
      <c r="AH1802" t="s">
        <v>6817</v>
      </c>
      <c r="AI1802" t="s">
        <v>9149</v>
      </c>
      <c r="AJ1802">
        <v>4.7</v>
      </c>
      <c r="AK1802">
        <v>3600</v>
      </c>
      <c r="AL1802">
        <v>74</v>
      </c>
      <c r="AM1802">
        <v>2.3E-3</v>
      </c>
      <c r="AN1802">
        <v>2</v>
      </c>
      <c r="AO1802">
        <v>5.37</v>
      </c>
      <c r="AP1802">
        <v>18.62</v>
      </c>
      <c r="AQ1802">
        <v>4.1900000000000004</v>
      </c>
      <c r="AR1802">
        <v>-0.23</v>
      </c>
      <c r="AS1802">
        <v>11.41</v>
      </c>
      <c r="AT1802" t="s">
        <v>976</v>
      </c>
      <c r="AU1802" t="s">
        <v>116</v>
      </c>
      <c r="AV1802">
        <v>27.03</v>
      </c>
      <c r="AW1802">
        <v>1.0900000000000001</v>
      </c>
      <c r="BA1802">
        <v>-0.32</v>
      </c>
      <c r="BB1802">
        <v>9.41</v>
      </c>
      <c r="BC1802">
        <v>-0.48</v>
      </c>
      <c r="BD1802">
        <v>4.43</v>
      </c>
      <c r="BE1802">
        <v>4.3600000000000003</v>
      </c>
      <c r="BF1802">
        <v>-4.93</v>
      </c>
      <c r="BG1802">
        <v>4.53</v>
      </c>
      <c r="BH1802">
        <v>-0.4</v>
      </c>
      <c r="BI1802">
        <v>20191205</v>
      </c>
      <c r="BJ1802">
        <v>20141203</v>
      </c>
      <c r="BK1802">
        <v>4.5999999999999996</v>
      </c>
      <c r="BL1802" t="s">
        <v>116</v>
      </c>
      <c r="BM1802" t="s">
        <v>116</v>
      </c>
      <c r="BN1802">
        <v>45.35</v>
      </c>
      <c r="BO1802">
        <v>24.09</v>
      </c>
      <c r="BP1802">
        <v>-0.05</v>
      </c>
      <c r="BQ1802">
        <v>46.99</v>
      </c>
      <c r="BR1802">
        <v>24.61</v>
      </c>
      <c r="BS1802">
        <v>7.88</v>
      </c>
      <c r="BT1802">
        <v>2.11</v>
      </c>
      <c r="BU1802">
        <v>16.21</v>
      </c>
      <c r="BV1802">
        <v>8.8800000000000008</v>
      </c>
      <c r="BW1802">
        <v>5.12</v>
      </c>
      <c r="BX1802">
        <v>13.39</v>
      </c>
      <c r="BY1802">
        <v>24.41</v>
      </c>
      <c r="BZ1802">
        <v>19.760000000000002</v>
      </c>
      <c r="CA1802">
        <v>-0.01</v>
      </c>
      <c r="CB1802">
        <v>-0.06</v>
      </c>
      <c r="CC1802">
        <v>-0.02</v>
      </c>
      <c r="CD1802">
        <v>-0.15</v>
      </c>
      <c r="CE1802">
        <v>-0.13</v>
      </c>
      <c r="CF1802">
        <v>-0.16</v>
      </c>
      <c r="CG1802">
        <v>4.97</v>
      </c>
      <c r="CH1802">
        <v>5.37</v>
      </c>
      <c r="CI1802">
        <v>-1.93</v>
      </c>
      <c r="CJ1802">
        <v>25243</v>
      </c>
      <c r="CK1802">
        <v>9196</v>
      </c>
      <c r="CL1802" t="s">
        <v>9150</v>
      </c>
      <c r="CM1802">
        <v>-105.96</v>
      </c>
      <c r="CN1802">
        <v>-6.57</v>
      </c>
      <c r="CO1802">
        <v>2.54</v>
      </c>
      <c r="CP1802">
        <v>11.08</v>
      </c>
      <c r="CQ1802">
        <v>2.44</v>
      </c>
      <c r="CR1802">
        <v>1.1599999999999999</v>
      </c>
      <c r="CS1802" t="s">
        <v>9151</v>
      </c>
      <c r="CT1802">
        <v>5.09</v>
      </c>
      <c r="CU1802">
        <v>5.09</v>
      </c>
      <c r="CV1802">
        <v>2.91</v>
      </c>
      <c r="CW1802">
        <v>1.08</v>
      </c>
      <c r="CX1802">
        <v>1.17</v>
      </c>
      <c r="CY1802">
        <v>53.11</v>
      </c>
      <c r="CZ1802" t="s">
        <v>621</v>
      </c>
      <c r="DA1802">
        <v>19.059999999999999</v>
      </c>
      <c r="DB1802">
        <v>-0.05</v>
      </c>
      <c r="DC1802">
        <v>-0.52</v>
      </c>
      <c r="DD1802">
        <v>0.89</v>
      </c>
      <c r="DE1802">
        <v>1668</v>
      </c>
      <c r="DF1802">
        <v>300409</v>
      </c>
      <c r="DG1802" t="s">
        <v>116</v>
      </c>
      <c r="DH1802" t="s">
        <v>116</v>
      </c>
      <c r="DI1802" t="s">
        <v>116</v>
      </c>
    </row>
    <row r="1803" spans="1:113" x14ac:dyDescent="0.4">
      <c r="A1803" t="str">
        <f>"300410"</f>
        <v>300410</v>
      </c>
      <c r="B1803" t="s">
        <v>9152</v>
      </c>
      <c r="C1803">
        <v>3.81</v>
      </c>
      <c r="D1803">
        <v>8.44</v>
      </c>
      <c r="E1803">
        <v>0.31</v>
      </c>
      <c r="F1803">
        <v>8.43</v>
      </c>
      <c r="G1803">
        <v>8.44</v>
      </c>
      <c r="H1803">
        <v>321678</v>
      </c>
      <c r="I1803">
        <v>2594</v>
      </c>
      <c r="J1803">
        <v>-0.23</v>
      </c>
      <c r="K1803">
        <v>9.01</v>
      </c>
      <c r="L1803">
        <v>8.24</v>
      </c>
      <c r="M1803">
        <v>8.94</v>
      </c>
      <c r="N1803">
        <v>8.2200000000000006</v>
      </c>
      <c r="O1803">
        <v>8.1300000000000008</v>
      </c>
      <c r="P1803">
        <v>45.37</v>
      </c>
      <c r="Q1803">
        <v>278742816</v>
      </c>
      <c r="R1803">
        <v>3.8</v>
      </c>
      <c r="S1803" t="s">
        <v>2977</v>
      </c>
      <c r="T1803" t="s">
        <v>551</v>
      </c>
      <c r="U1803">
        <v>8.86</v>
      </c>
      <c r="V1803">
        <v>8.67</v>
      </c>
      <c r="W1803">
        <v>192257</v>
      </c>
      <c r="X1803">
        <v>129421</v>
      </c>
      <c r="Y1803">
        <v>1.49</v>
      </c>
      <c r="Z1803">
        <v>261</v>
      </c>
      <c r="AA1803">
        <v>728</v>
      </c>
      <c r="AB1803" t="s">
        <v>116</v>
      </c>
      <c r="AC1803">
        <v>1576300</v>
      </c>
      <c r="AD1803">
        <v>0.1</v>
      </c>
      <c r="AE1803" t="s">
        <v>116</v>
      </c>
      <c r="AF1803" t="s">
        <v>116</v>
      </c>
      <c r="AG1803">
        <v>3.57</v>
      </c>
      <c r="AH1803" t="s">
        <v>5542</v>
      </c>
      <c r="AI1803" t="s">
        <v>7777</v>
      </c>
      <c r="AJ1803">
        <v>4.49</v>
      </c>
      <c r="AK1803">
        <v>3139</v>
      </c>
      <c r="AL1803">
        <v>102</v>
      </c>
      <c r="AM1803">
        <v>2.8999999999999998E-3</v>
      </c>
      <c r="AN1803">
        <v>4</v>
      </c>
      <c r="AO1803">
        <v>6.29</v>
      </c>
      <c r="AP1803">
        <v>19.21</v>
      </c>
      <c r="AQ1803">
        <v>-13.52</v>
      </c>
      <c r="AR1803">
        <v>-27.3</v>
      </c>
      <c r="AS1803">
        <v>17.04</v>
      </c>
      <c r="AT1803" t="s">
        <v>9153</v>
      </c>
      <c r="AU1803" t="s">
        <v>116</v>
      </c>
      <c r="AV1803">
        <v>190.19</v>
      </c>
      <c r="AW1803">
        <v>1.44</v>
      </c>
      <c r="BA1803">
        <v>1.35</v>
      </c>
      <c r="BB1803">
        <v>9.9600000000000009</v>
      </c>
      <c r="BC1803">
        <v>1.1100000000000001</v>
      </c>
      <c r="BD1803">
        <v>6.58</v>
      </c>
      <c r="BE1803">
        <v>2.4300000000000002</v>
      </c>
      <c r="BF1803">
        <v>-5.59</v>
      </c>
      <c r="BG1803">
        <v>2.68</v>
      </c>
      <c r="BH1803">
        <v>-2.77</v>
      </c>
      <c r="BI1803">
        <v>20191218</v>
      </c>
      <c r="BJ1803">
        <v>20141231</v>
      </c>
      <c r="BK1803">
        <v>3.81</v>
      </c>
      <c r="BL1803" t="s">
        <v>116</v>
      </c>
      <c r="BM1803" t="s">
        <v>116</v>
      </c>
      <c r="BN1803">
        <v>32.24</v>
      </c>
      <c r="BO1803">
        <v>19.010000000000002</v>
      </c>
      <c r="BP1803">
        <v>0.11</v>
      </c>
      <c r="BQ1803">
        <v>40.71</v>
      </c>
      <c r="BR1803">
        <v>17.75</v>
      </c>
      <c r="BS1803">
        <v>3.15</v>
      </c>
      <c r="BT1803">
        <v>0.86</v>
      </c>
      <c r="BU1803">
        <v>11.07</v>
      </c>
      <c r="BV1803">
        <v>4.51</v>
      </c>
      <c r="BW1803">
        <v>10.029999999999999</v>
      </c>
      <c r="BX1803">
        <v>11.89</v>
      </c>
      <c r="BY1803">
        <v>9.14</v>
      </c>
      <c r="BZ1803">
        <v>6</v>
      </c>
      <c r="CA1803">
        <v>0.42</v>
      </c>
      <c r="CB1803">
        <v>1.2</v>
      </c>
      <c r="CC1803">
        <v>0.46</v>
      </c>
      <c r="CD1803">
        <v>0.54</v>
      </c>
      <c r="CE1803">
        <v>0.53</v>
      </c>
      <c r="CF1803">
        <v>0.42</v>
      </c>
      <c r="CG1803">
        <v>4.0199999999999996</v>
      </c>
      <c r="CH1803">
        <v>-0.08</v>
      </c>
      <c r="CI1803">
        <v>-0.67</v>
      </c>
      <c r="CJ1803">
        <v>25925</v>
      </c>
      <c r="CK1803">
        <v>7283</v>
      </c>
      <c r="CL1803" t="s">
        <v>4325</v>
      </c>
      <c r="CM1803">
        <v>-67.61</v>
      </c>
      <c r="CN1803">
        <v>-14.56</v>
      </c>
      <c r="CO1803">
        <v>1.69</v>
      </c>
      <c r="CP1803">
        <v>-390.84</v>
      </c>
      <c r="CQ1803">
        <v>3.52</v>
      </c>
      <c r="CR1803">
        <v>2.56</v>
      </c>
      <c r="CS1803" t="s">
        <v>2655</v>
      </c>
      <c r="CT1803">
        <v>4.9800000000000004</v>
      </c>
      <c r="CU1803">
        <v>0</v>
      </c>
      <c r="CV1803">
        <v>3.12</v>
      </c>
      <c r="CW1803">
        <v>1.05</v>
      </c>
      <c r="CX1803">
        <v>-0.02</v>
      </c>
      <c r="CY1803">
        <v>58.95</v>
      </c>
      <c r="CZ1803" t="s">
        <v>9154</v>
      </c>
      <c r="DA1803">
        <v>34.299999999999997</v>
      </c>
      <c r="DB1803">
        <v>4.6399999999999997</v>
      </c>
      <c r="DC1803">
        <v>5.82</v>
      </c>
      <c r="DD1803">
        <v>0.86</v>
      </c>
      <c r="DE1803">
        <v>2001</v>
      </c>
      <c r="DF1803">
        <v>300410</v>
      </c>
      <c r="DG1803" t="s">
        <v>116</v>
      </c>
      <c r="DH1803" t="s">
        <v>116</v>
      </c>
      <c r="DI1803" t="s">
        <v>116</v>
      </c>
    </row>
    <row r="1804" spans="1:113" x14ac:dyDescent="0.4">
      <c r="A1804" t="str">
        <f>"300411"</f>
        <v>300411</v>
      </c>
      <c r="B1804" t="s">
        <v>9155</v>
      </c>
      <c r="C1804">
        <v>-1.22</v>
      </c>
      <c r="D1804">
        <v>7.28</v>
      </c>
      <c r="E1804">
        <v>-0.09</v>
      </c>
      <c r="F1804">
        <v>7.28</v>
      </c>
      <c r="G1804">
        <v>7.3</v>
      </c>
      <c r="H1804">
        <v>22966</v>
      </c>
      <c r="I1804">
        <v>406</v>
      </c>
      <c r="J1804">
        <v>-0.26</v>
      </c>
      <c r="K1804">
        <v>1.55</v>
      </c>
      <c r="L1804">
        <v>7.37</v>
      </c>
      <c r="M1804">
        <v>7.43</v>
      </c>
      <c r="N1804">
        <v>7.28</v>
      </c>
      <c r="O1804">
        <v>7.37</v>
      </c>
      <c r="P1804">
        <v>17.809999999999999</v>
      </c>
      <c r="Q1804">
        <v>16885122</v>
      </c>
      <c r="R1804">
        <v>1.06</v>
      </c>
      <c r="S1804" t="s">
        <v>682</v>
      </c>
      <c r="T1804" t="s">
        <v>590</v>
      </c>
      <c r="U1804">
        <v>2.04</v>
      </c>
      <c r="V1804">
        <v>7.35</v>
      </c>
      <c r="W1804">
        <v>12065</v>
      </c>
      <c r="X1804">
        <v>10901</v>
      </c>
      <c r="Y1804">
        <v>1.1100000000000001</v>
      </c>
      <c r="Z1804">
        <v>23</v>
      </c>
      <c r="AA1804">
        <v>17</v>
      </c>
      <c r="AB1804" t="s">
        <v>116</v>
      </c>
      <c r="AC1804">
        <v>23600</v>
      </c>
      <c r="AD1804">
        <v>0</v>
      </c>
      <c r="AE1804" t="s">
        <v>116</v>
      </c>
      <c r="AF1804" t="s">
        <v>116</v>
      </c>
      <c r="AG1804">
        <v>1.48</v>
      </c>
      <c r="AH1804" t="s">
        <v>3461</v>
      </c>
      <c r="AI1804" t="s">
        <v>4811</v>
      </c>
      <c r="AJ1804">
        <v>-0.54</v>
      </c>
      <c r="AK1804">
        <v>960</v>
      </c>
      <c r="AL1804">
        <v>24</v>
      </c>
      <c r="AM1804">
        <v>1.6000000000000001E-3</v>
      </c>
      <c r="AN1804">
        <v>-1</v>
      </c>
      <c r="AO1804">
        <v>0.42</v>
      </c>
      <c r="AP1804">
        <v>4</v>
      </c>
      <c r="AQ1804">
        <v>-5.58</v>
      </c>
      <c r="AR1804">
        <v>-4.21</v>
      </c>
      <c r="AS1804">
        <v>1.84</v>
      </c>
      <c r="AT1804" t="s">
        <v>9156</v>
      </c>
      <c r="AU1804" t="s">
        <v>116</v>
      </c>
      <c r="AV1804" t="s">
        <v>116</v>
      </c>
      <c r="AW1804">
        <v>0.98</v>
      </c>
      <c r="BA1804">
        <v>0</v>
      </c>
      <c r="BB1804">
        <v>0.81</v>
      </c>
      <c r="BC1804">
        <v>-1.22</v>
      </c>
      <c r="BD1804">
        <v>-0.24</v>
      </c>
      <c r="BE1804">
        <v>-1.22</v>
      </c>
      <c r="BF1804">
        <v>-2.02</v>
      </c>
      <c r="BG1804">
        <v>0</v>
      </c>
      <c r="BH1804">
        <v>-0.98</v>
      </c>
      <c r="BI1804">
        <v>20191030</v>
      </c>
      <c r="BJ1804">
        <v>20141231</v>
      </c>
      <c r="BK1804">
        <v>4.5599999999999996</v>
      </c>
      <c r="BL1804" t="s">
        <v>116</v>
      </c>
      <c r="BM1804" t="s">
        <v>116</v>
      </c>
      <c r="BN1804">
        <v>19.23</v>
      </c>
      <c r="BO1804">
        <v>16.14</v>
      </c>
      <c r="BP1804">
        <v>0.17</v>
      </c>
      <c r="BQ1804">
        <v>15.2</v>
      </c>
      <c r="BR1804">
        <v>13.27</v>
      </c>
      <c r="BS1804">
        <v>2.21</v>
      </c>
      <c r="BT1804">
        <v>0.72</v>
      </c>
      <c r="BU1804">
        <v>2.17</v>
      </c>
      <c r="BV1804">
        <v>2.1</v>
      </c>
      <c r="BW1804">
        <v>6.37</v>
      </c>
      <c r="BX1804">
        <v>25.03</v>
      </c>
      <c r="BY1804">
        <v>3.21</v>
      </c>
      <c r="BZ1804">
        <v>2.25</v>
      </c>
      <c r="CA1804">
        <v>1.36</v>
      </c>
      <c r="CB1804">
        <v>1.59</v>
      </c>
      <c r="CC1804">
        <v>1.37</v>
      </c>
      <c r="CD1804">
        <v>1.42</v>
      </c>
      <c r="CE1804">
        <v>1.4</v>
      </c>
      <c r="CF1804">
        <v>-0.28000000000000003</v>
      </c>
      <c r="CG1804">
        <v>-13.73</v>
      </c>
      <c r="CH1804">
        <v>-1.52</v>
      </c>
      <c r="CI1804">
        <v>-0.2</v>
      </c>
      <c r="CJ1804">
        <v>15196</v>
      </c>
      <c r="CK1804">
        <v>8210</v>
      </c>
      <c r="CL1804" t="s">
        <v>5998</v>
      </c>
      <c r="CM1804">
        <v>119.51</v>
      </c>
      <c r="CN1804">
        <v>-18.54</v>
      </c>
      <c r="CO1804">
        <v>2.06</v>
      </c>
      <c r="CP1804">
        <v>-21.81</v>
      </c>
      <c r="CQ1804">
        <v>10.34</v>
      </c>
      <c r="CR1804">
        <v>0</v>
      </c>
      <c r="CS1804" t="s">
        <v>4088</v>
      </c>
      <c r="CT1804">
        <v>3.54</v>
      </c>
      <c r="CU1804">
        <v>0</v>
      </c>
      <c r="CV1804">
        <v>5.49</v>
      </c>
      <c r="CW1804">
        <v>-3.01</v>
      </c>
      <c r="CX1804">
        <v>-0.33</v>
      </c>
      <c r="CY1804">
        <v>83.9</v>
      </c>
      <c r="CZ1804" t="s">
        <v>9157</v>
      </c>
      <c r="DA1804">
        <v>30.08</v>
      </c>
      <c r="DB1804">
        <v>42.39</v>
      </c>
      <c r="DC1804">
        <v>43.55</v>
      </c>
      <c r="DD1804">
        <v>0.33</v>
      </c>
      <c r="DE1804">
        <v>665</v>
      </c>
      <c r="DF1804">
        <v>300411</v>
      </c>
      <c r="DG1804" t="s">
        <v>116</v>
      </c>
      <c r="DH1804" t="s">
        <v>116</v>
      </c>
      <c r="DI1804" t="s">
        <v>116</v>
      </c>
    </row>
    <row r="1805" spans="1:113" x14ac:dyDescent="0.4">
      <c r="A1805" t="str">
        <f>"300412"</f>
        <v>300412</v>
      </c>
      <c r="B1805" t="s">
        <v>9158</v>
      </c>
      <c r="C1805">
        <v>-1.37</v>
      </c>
      <c r="D1805">
        <v>6.5</v>
      </c>
      <c r="E1805">
        <v>-0.09</v>
      </c>
      <c r="F1805">
        <v>6.49</v>
      </c>
      <c r="G1805">
        <v>6.5</v>
      </c>
      <c r="H1805">
        <v>18427</v>
      </c>
      <c r="I1805">
        <v>121</v>
      </c>
      <c r="J1805">
        <v>0.15</v>
      </c>
      <c r="K1805">
        <v>0.83</v>
      </c>
      <c r="L1805">
        <v>6.59</v>
      </c>
      <c r="M1805">
        <v>6.61</v>
      </c>
      <c r="N1805">
        <v>6.47</v>
      </c>
      <c r="O1805">
        <v>6.59</v>
      </c>
      <c r="P1805">
        <v>37.869999999999997</v>
      </c>
      <c r="Q1805">
        <v>12057026</v>
      </c>
      <c r="R1805">
        <v>0.79</v>
      </c>
      <c r="S1805" t="s">
        <v>559</v>
      </c>
      <c r="T1805" t="s">
        <v>590</v>
      </c>
      <c r="U1805">
        <v>2.12</v>
      </c>
      <c r="V1805">
        <v>6.54</v>
      </c>
      <c r="W1805">
        <v>11900</v>
      </c>
      <c r="X1805">
        <v>6527</v>
      </c>
      <c r="Y1805">
        <v>1.82</v>
      </c>
      <c r="Z1805">
        <v>63</v>
      </c>
      <c r="AA1805">
        <v>287</v>
      </c>
      <c r="AB1805" t="s">
        <v>116</v>
      </c>
      <c r="AC1805">
        <v>5900</v>
      </c>
      <c r="AD1805">
        <v>0</v>
      </c>
      <c r="AE1805" t="s">
        <v>116</v>
      </c>
      <c r="AF1805" t="s">
        <v>116</v>
      </c>
      <c r="AG1805">
        <v>2.2200000000000002</v>
      </c>
      <c r="AH1805" t="s">
        <v>7090</v>
      </c>
      <c r="AI1805" t="s">
        <v>707</v>
      </c>
      <c r="AJ1805">
        <v>-0.69</v>
      </c>
      <c r="AK1805">
        <v>937</v>
      </c>
      <c r="AL1805">
        <v>20</v>
      </c>
      <c r="AM1805">
        <v>8.9999999999999998E-4</v>
      </c>
      <c r="AN1805">
        <v>-1</v>
      </c>
      <c r="AO1805">
        <v>0.61</v>
      </c>
      <c r="AP1805">
        <v>4.5</v>
      </c>
      <c r="AQ1805">
        <v>-0.91</v>
      </c>
      <c r="AR1805">
        <v>1.4</v>
      </c>
      <c r="AS1805">
        <v>1.38</v>
      </c>
      <c r="AT1805" t="s">
        <v>9159</v>
      </c>
      <c r="AU1805">
        <v>41.54</v>
      </c>
      <c r="AV1805">
        <v>49.92</v>
      </c>
      <c r="AW1805">
        <v>0.94</v>
      </c>
      <c r="BA1805">
        <v>0</v>
      </c>
      <c r="BB1805">
        <v>0.3</v>
      </c>
      <c r="BC1805">
        <v>-1.82</v>
      </c>
      <c r="BD1805">
        <v>-0.71</v>
      </c>
      <c r="BE1805">
        <v>-1.37</v>
      </c>
      <c r="BF1805">
        <v>-1.66</v>
      </c>
      <c r="BG1805">
        <v>0.46</v>
      </c>
      <c r="BH1805">
        <v>-0.65</v>
      </c>
      <c r="BI1805">
        <v>20191030</v>
      </c>
      <c r="BJ1805">
        <v>20141231</v>
      </c>
      <c r="BK1805">
        <v>2.58</v>
      </c>
      <c r="BL1805" t="s">
        <v>116</v>
      </c>
      <c r="BM1805" t="s">
        <v>116</v>
      </c>
      <c r="BN1805">
        <v>15.82</v>
      </c>
      <c r="BO1805">
        <v>7.89</v>
      </c>
      <c r="BP1805">
        <v>0.53</v>
      </c>
      <c r="BQ1805">
        <v>46.75</v>
      </c>
      <c r="BR1805">
        <v>12.08</v>
      </c>
      <c r="BS1805">
        <v>2.09</v>
      </c>
      <c r="BT1805">
        <v>0.28999999999999998</v>
      </c>
      <c r="BU1805">
        <v>7.29</v>
      </c>
      <c r="BV1805">
        <v>5.35</v>
      </c>
      <c r="BW1805">
        <v>2.41</v>
      </c>
      <c r="BX1805">
        <v>3.45</v>
      </c>
      <c r="BY1805">
        <v>3.59</v>
      </c>
      <c r="BZ1805">
        <v>2.11</v>
      </c>
      <c r="CA1805">
        <v>0.36</v>
      </c>
      <c r="CB1805">
        <v>0.01</v>
      </c>
      <c r="CC1805">
        <v>0.37</v>
      </c>
      <c r="CD1805">
        <v>0.32</v>
      </c>
      <c r="CE1805">
        <v>0.33</v>
      </c>
      <c r="CF1805">
        <v>0.28000000000000003</v>
      </c>
      <c r="CG1805">
        <v>1.77</v>
      </c>
      <c r="CH1805">
        <v>0.05</v>
      </c>
      <c r="CI1805">
        <v>-1.1399999999999999</v>
      </c>
      <c r="CJ1805">
        <v>14788</v>
      </c>
      <c r="CK1805">
        <v>9032</v>
      </c>
      <c r="CL1805" t="s">
        <v>1011</v>
      </c>
      <c r="CM1805">
        <v>25.64</v>
      </c>
      <c r="CN1805">
        <v>13.37</v>
      </c>
      <c r="CO1805">
        <v>2.13</v>
      </c>
      <c r="CP1805">
        <v>354.27</v>
      </c>
      <c r="CQ1805">
        <v>4.68</v>
      </c>
      <c r="CR1805">
        <v>1.7</v>
      </c>
      <c r="CS1805" t="s">
        <v>8209</v>
      </c>
      <c r="CT1805">
        <v>3.05</v>
      </c>
      <c r="CU1805">
        <v>0</v>
      </c>
      <c r="CV1805">
        <v>1.34</v>
      </c>
      <c r="CW1805">
        <v>0.69</v>
      </c>
      <c r="CX1805">
        <v>0.02</v>
      </c>
      <c r="CY1805">
        <v>49.88</v>
      </c>
      <c r="CZ1805" t="s">
        <v>9160</v>
      </c>
      <c r="DA1805">
        <v>41.12</v>
      </c>
      <c r="DB1805">
        <v>10.15</v>
      </c>
      <c r="DC1805">
        <v>9.26</v>
      </c>
      <c r="DD1805">
        <v>0.31</v>
      </c>
      <c r="DE1805">
        <v>1321</v>
      </c>
      <c r="DF1805">
        <v>300412</v>
      </c>
      <c r="DG1805" t="s">
        <v>116</v>
      </c>
      <c r="DH1805" t="s">
        <v>116</v>
      </c>
      <c r="DI1805" t="s">
        <v>116</v>
      </c>
    </row>
    <row r="1806" spans="1:113" x14ac:dyDescent="0.4">
      <c r="A1806" t="str">
        <f>"300413"</f>
        <v>300413</v>
      </c>
      <c r="B1806" t="s">
        <v>9161</v>
      </c>
      <c r="C1806">
        <v>-2.67</v>
      </c>
      <c r="D1806">
        <v>33.840000000000003</v>
      </c>
      <c r="E1806">
        <v>-0.93</v>
      </c>
      <c r="F1806">
        <v>33.840000000000003</v>
      </c>
      <c r="G1806">
        <v>33.85</v>
      </c>
      <c r="H1806">
        <v>96361</v>
      </c>
      <c r="I1806">
        <v>1085</v>
      </c>
      <c r="J1806">
        <v>-0.46</v>
      </c>
      <c r="K1806">
        <v>1.1599999999999999</v>
      </c>
      <c r="L1806">
        <v>34.729999999999997</v>
      </c>
      <c r="M1806">
        <v>36.15</v>
      </c>
      <c r="N1806">
        <v>33.840000000000003</v>
      </c>
      <c r="O1806">
        <v>34.770000000000003</v>
      </c>
      <c r="P1806">
        <v>46.36</v>
      </c>
      <c r="Q1806">
        <v>337972960</v>
      </c>
      <c r="R1806">
        <v>1.39</v>
      </c>
      <c r="S1806" t="s">
        <v>589</v>
      </c>
      <c r="T1806" t="s">
        <v>599</v>
      </c>
      <c r="U1806">
        <v>6.64</v>
      </c>
      <c r="V1806">
        <v>35.07</v>
      </c>
      <c r="W1806">
        <v>47358</v>
      </c>
      <c r="X1806">
        <v>49003</v>
      </c>
      <c r="Y1806">
        <v>0.97</v>
      </c>
      <c r="Z1806">
        <v>213</v>
      </c>
      <c r="AA1806">
        <v>80</v>
      </c>
      <c r="AB1806" t="s">
        <v>116</v>
      </c>
      <c r="AC1806">
        <v>309100</v>
      </c>
      <c r="AD1806">
        <v>0</v>
      </c>
      <c r="AE1806" t="s">
        <v>116</v>
      </c>
      <c r="AF1806" t="s">
        <v>116</v>
      </c>
      <c r="AG1806">
        <v>8.34</v>
      </c>
      <c r="AH1806" t="s">
        <v>9162</v>
      </c>
      <c r="AI1806" t="s">
        <v>9163</v>
      </c>
      <c r="AJ1806">
        <v>-2</v>
      </c>
      <c r="AK1806">
        <v>3560</v>
      </c>
      <c r="AL1806">
        <v>27</v>
      </c>
      <c r="AM1806">
        <v>2.9999999999999997E-4</v>
      </c>
      <c r="AN1806">
        <v>-1</v>
      </c>
      <c r="AO1806">
        <v>-0.79</v>
      </c>
      <c r="AP1806">
        <v>11.1</v>
      </c>
      <c r="AQ1806">
        <v>23.64</v>
      </c>
      <c r="AR1806">
        <v>55.44</v>
      </c>
      <c r="AS1806">
        <v>1.86</v>
      </c>
      <c r="AT1806" t="s">
        <v>9164</v>
      </c>
      <c r="AU1806">
        <v>58.64</v>
      </c>
      <c r="AV1806">
        <v>69.61</v>
      </c>
      <c r="AW1806">
        <v>1.27</v>
      </c>
      <c r="BA1806">
        <v>-0.12</v>
      </c>
      <c r="BB1806">
        <v>3.97</v>
      </c>
      <c r="BC1806">
        <v>-2.67</v>
      </c>
      <c r="BD1806">
        <v>0.87</v>
      </c>
      <c r="BE1806">
        <v>-2.56</v>
      </c>
      <c r="BF1806">
        <v>-6.39</v>
      </c>
      <c r="BG1806">
        <v>0</v>
      </c>
      <c r="BH1806">
        <v>-3.55</v>
      </c>
      <c r="BI1806">
        <v>20191029</v>
      </c>
      <c r="BJ1806">
        <v>20150121</v>
      </c>
      <c r="BK1806">
        <v>17.8</v>
      </c>
      <c r="BL1806" t="s">
        <v>116</v>
      </c>
      <c r="BM1806" t="s">
        <v>116</v>
      </c>
      <c r="BN1806">
        <v>166.86</v>
      </c>
      <c r="BO1806">
        <v>86.02</v>
      </c>
      <c r="BP1806">
        <v>0.36</v>
      </c>
      <c r="BQ1806">
        <v>48.23</v>
      </c>
      <c r="BR1806">
        <v>119.77</v>
      </c>
      <c r="BS1806">
        <v>1.81</v>
      </c>
      <c r="BT1806">
        <v>42.26</v>
      </c>
      <c r="BU1806">
        <v>77.87</v>
      </c>
      <c r="BV1806">
        <v>24.52</v>
      </c>
      <c r="BW1806">
        <v>28.09</v>
      </c>
      <c r="BX1806">
        <v>55.72</v>
      </c>
      <c r="BY1806">
        <v>82.32</v>
      </c>
      <c r="BZ1806">
        <v>51.38</v>
      </c>
      <c r="CA1806">
        <v>10.02</v>
      </c>
      <c r="CB1806">
        <v>0.15</v>
      </c>
      <c r="CC1806">
        <v>9.91</v>
      </c>
      <c r="CD1806">
        <v>9.75</v>
      </c>
      <c r="CE1806">
        <v>9.75</v>
      </c>
      <c r="CF1806">
        <v>9.5500000000000007</v>
      </c>
      <c r="CG1806">
        <v>18.98</v>
      </c>
      <c r="CH1806">
        <v>-4.08</v>
      </c>
      <c r="CI1806">
        <v>20.38</v>
      </c>
      <c r="CJ1806">
        <v>15449</v>
      </c>
      <c r="CK1806">
        <v>33508</v>
      </c>
      <c r="CL1806" t="s">
        <v>9165</v>
      </c>
      <c r="CM1806">
        <v>19.920000000000002</v>
      </c>
      <c r="CN1806">
        <v>14.63</v>
      </c>
      <c r="CO1806">
        <v>7</v>
      </c>
      <c r="CP1806">
        <v>-147.69</v>
      </c>
      <c r="CQ1806">
        <v>7.32</v>
      </c>
      <c r="CR1806">
        <v>0</v>
      </c>
      <c r="CS1806" t="s">
        <v>9166</v>
      </c>
      <c r="CT1806">
        <v>4.83</v>
      </c>
      <c r="CU1806">
        <v>0</v>
      </c>
      <c r="CV1806">
        <v>3.13</v>
      </c>
      <c r="CW1806">
        <v>1.07</v>
      </c>
      <c r="CX1806">
        <v>-0.23</v>
      </c>
      <c r="CY1806">
        <v>51.55</v>
      </c>
      <c r="CZ1806" t="s">
        <v>6957</v>
      </c>
      <c r="DA1806">
        <v>37.58</v>
      </c>
      <c r="DB1806">
        <v>12.17</v>
      </c>
      <c r="DC1806">
        <v>11.84</v>
      </c>
      <c r="DD1806">
        <v>1.36</v>
      </c>
      <c r="DE1806">
        <v>4163</v>
      </c>
      <c r="DF1806">
        <v>300413</v>
      </c>
      <c r="DG1806" t="s">
        <v>116</v>
      </c>
      <c r="DH1806" t="s">
        <v>116</v>
      </c>
      <c r="DI1806" t="s">
        <v>116</v>
      </c>
    </row>
    <row r="1807" spans="1:113" x14ac:dyDescent="0.4">
      <c r="A1807" t="str">
        <f>"300414"</f>
        <v>300414</v>
      </c>
      <c r="B1807" t="s">
        <v>9167</v>
      </c>
      <c r="C1807">
        <v>-2.1800000000000002</v>
      </c>
      <c r="D1807">
        <v>12.09</v>
      </c>
      <c r="E1807">
        <v>-0.27</v>
      </c>
      <c r="F1807">
        <v>12.08</v>
      </c>
      <c r="G1807">
        <v>12.09</v>
      </c>
      <c r="H1807">
        <v>49074</v>
      </c>
      <c r="I1807">
        <v>1256</v>
      </c>
      <c r="J1807">
        <v>0.33</v>
      </c>
      <c r="K1807">
        <v>1.63</v>
      </c>
      <c r="L1807">
        <v>12.42</v>
      </c>
      <c r="M1807">
        <v>12.42</v>
      </c>
      <c r="N1807">
        <v>12.04</v>
      </c>
      <c r="O1807">
        <v>12.36</v>
      </c>
      <c r="P1807">
        <v>67.64</v>
      </c>
      <c r="Q1807">
        <v>60133516</v>
      </c>
      <c r="R1807">
        <v>1.1200000000000001</v>
      </c>
      <c r="S1807" t="s">
        <v>233</v>
      </c>
      <c r="T1807" t="s">
        <v>582</v>
      </c>
      <c r="U1807">
        <v>3.07</v>
      </c>
      <c r="V1807">
        <v>12.25</v>
      </c>
      <c r="W1807">
        <v>26971</v>
      </c>
      <c r="X1807">
        <v>22103</v>
      </c>
      <c r="Y1807">
        <v>1.22</v>
      </c>
      <c r="Z1807">
        <v>39</v>
      </c>
      <c r="AA1807">
        <v>299</v>
      </c>
      <c r="AB1807" t="s">
        <v>116</v>
      </c>
      <c r="AC1807">
        <v>195000</v>
      </c>
      <c r="AD1807">
        <v>0.01</v>
      </c>
      <c r="AE1807" t="s">
        <v>116</v>
      </c>
      <c r="AF1807" t="s">
        <v>116</v>
      </c>
      <c r="AG1807">
        <v>3.01</v>
      </c>
      <c r="AH1807" t="s">
        <v>1187</v>
      </c>
      <c r="AI1807" t="s">
        <v>9168</v>
      </c>
      <c r="AJ1807">
        <v>-1.51</v>
      </c>
      <c r="AK1807">
        <v>2136</v>
      </c>
      <c r="AL1807">
        <v>23</v>
      </c>
      <c r="AM1807">
        <v>8.0000000000000004E-4</v>
      </c>
      <c r="AN1807">
        <v>-1</v>
      </c>
      <c r="AO1807">
        <v>-0.48</v>
      </c>
      <c r="AP1807">
        <v>2.63</v>
      </c>
      <c r="AQ1807">
        <v>-4.5</v>
      </c>
      <c r="AR1807">
        <v>51.22</v>
      </c>
      <c r="AS1807">
        <v>4.42</v>
      </c>
      <c r="AT1807" t="s">
        <v>5661</v>
      </c>
      <c r="AU1807">
        <v>60.98</v>
      </c>
      <c r="AV1807">
        <v>73.27</v>
      </c>
      <c r="AW1807">
        <v>1.32</v>
      </c>
      <c r="BA1807">
        <v>0.49</v>
      </c>
      <c r="BB1807">
        <v>0.49</v>
      </c>
      <c r="BC1807">
        <v>-2.59</v>
      </c>
      <c r="BD1807">
        <v>-0.86</v>
      </c>
      <c r="BE1807">
        <v>-2.66</v>
      </c>
      <c r="BF1807">
        <v>-2.66</v>
      </c>
      <c r="BG1807">
        <v>0.42</v>
      </c>
      <c r="BH1807">
        <v>-1.32</v>
      </c>
      <c r="BI1807">
        <v>20191025</v>
      </c>
      <c r="BJ1807">
        <v>20150513</v>
      </c>
      <c r="BK1807">
        <v>3.25</v>
      </c>
      <c r="BL1807" t="s">
        <v>116</v>
      </c>
      <c r="BM1807" t="s">
        <v>116</v>
      </c>
      <c r="BN1807">
        <v>10.050000000000001</v>
      </c>
      <c r="BO1807">
        <v>8.75</v>
      </c>
      <c r="BP1807">
        <v>-0.02</v>
      </c>
      <c r="BQ1807">
        <v>13.2</v>
      </c>
      <c r="BR1807">
        <v>8.5399999999999991</v>
      </c>
      <c r="BS1807">
        <v>0.72</v>
      </c>
      <c r="BT1807">
        <v>0.13</v>
      </c>
      <c r="BU1807">
        <v>1.19</v>
      </c>
      <c r="BV1807">
        <v>0.87</v>
      </c>
      <c r="BW1807">
        <v>2.09</v>
      </c>
      <c r="BX1807">
        <v>1.18</v>
      </c>
      <c r="BY1807">
        <v>2.97</v>
      </c>
      <c r="BZ1807">
        <v>1.92</v>
      </c>
      <c r="CA1807">
        <v>0.47</v>
      </c>
      <c r="CB1807">
        <v>0.1</v>
      </c>
      <c r="CC1807">
        <v>0.48</v>
      </c>
      <c r="CD1807">
        <v>0.41</v>
      </c>
      <c r="CE1807">
        <v>0.44</v>
      </c>
      <c r="CF1807">
        <v>0.4</v>
      </c>
      <c r="CG1807">
        <v>3.87</v>
      </c>
      <c r="CH1807">
        <v>0.08</v>
      </c>
      <c r="CI1807">
        <v>-0.2</v>
      </c>
      <c r="CJ1807">
        <v>23640</v>
      </c>
      <c r="CK1807">
        <v>4700</v>
      </c>
      <c r="CL1807" t="s">
        <v>6080</v>
      </c>
      <c r="CM1807">
        <v>32.979999999999997</v>
      </c>
      <c r="CN1807">
        <v>15.39</v>
      </c>
      <c r="CO1807">
        <v>4.49</v>
      </c>
      <c r="CP1807">
        <v>467.21</v>
      </c>
      <c r="CQ1807">
        <v>13.2</v>
      </c>
      <c r="CR1807">
        <v>0.35</v>
      </c>
      <c r="CS1807" t="s">
        <v>328</v>
      </c>
      <c r="CT1807">
        <v>2.69</v>
      </c>
      <c r="CU1807">
        <v>0</v>
      </c>
      <c r="CV1807">
        <v>0.36</v>
      </c>
      <c r="CW1807">
        <v>1.19</v>
      </c>
      <c r="CX1807">
        <v>0.03</v>
      </c>
      <c r="CY1807">
        <v>87.03</v>
      </c>
      <c r="CZ1807" t="s">
        <v>6228</v>
      </c>
      <c r="DA1807">
        <v>35.46</v>
      </c>
      <c r="DB1807">
        <v>15.97</v>
      </c>
      <c r="DC1807">
        <v>14.64</v>
      </c>
      <c r="DD1807">
        <v>0.26</v>
      </c>
      <c r="DE1807">
        <v>707</v>
      </c>
      <c r="DF1807">
        <v>300414</v>
      </c>
      <c r="DG1807" t="s">
        <v>116</v>
      </c>
      <c r="DH1807" t="s">
        <v>116</v>
      </c>
      <c r="DI1807" t="s">
        <v>116</v>
      </c>
    </row>
    <row r="1808" spans="1:113" x14ac:dyDescent="0.4">
      <c r="A1808" t="str">
        <f>"300415"</f>
        <v>300415</v>
      </c>
      <c r="B1808" t="s">
        <v>9169</v>
      </c>
      <c r="C1808">
        <v>-1.94</v>
      </c>
      <c r="D1808">
        <v>10.119999999999999</v>
      </c>
      <c r="E1808">
        <v>-0.2</v>
      </c>
      <c r="F1808">
        <v>10.119999999999999</v>
      </c>
      <c r="G1808">
        <v>10.130000000000001</v>
      </c>
      <c r="H1808">
        <v>66101</v>
      </c>
      <c r="I1808">
        <v>438</v>
      </c>
      <c r="J1808">
        <v>-0.19</v>
      </c>
      <c r="K1808">
        <v>2.38</v>
      </c>
      <c r="L1808">
        <v>10.28</v>
      </c>
      <c r="M1808">
        <v>10.28</v>
      </c>
      <c r="N1808">
        <v>9.92</v>
      </c>
      <c r="O1808">
        <v>10.32</v>
      </c>
      <c r="P1808">
        <v>18.41</v>
      </c>
      <c r="Q1808">
        <v>66870780</v>
      </c>
      <c r="R1808">
        <v>1.08</v>
      </c>
      <c r="S1808" t="s">
        <v>682</v>
      </c>
      <c r="T1808" t="s">
        <v>551</v>
      </c>
      <c r="U1808">
        <v>3.49</v>
      </c>
      <c r="V1808">
        <v>10.119999999999999</v>
      </c>
      <c r="W1808">
        <v>42131</v>
      </c>
      <c r="X1808">
        <v>23970</v>
      </c>
      <c r="Y1808">
        <v>1.76</v>
      </c>
      <c r="Z1808">
        <v>54</v>
      </c>
      <c r="AA1808">
        <v>10</v>
      </c>
      <c r="AB1808" t="s">
        <v>116</v>
      </c>
      <c r="AC1808">
        <v>52400</v>
      </c>
      <c r="AD1808">
        <v>0</v>
      </c>
      <c r="AE1808" t="s">
        <v>116</v>
      </c>
      <c r="AF1808" t="s">
        <v>116</v>
      </c>
      <c r="AG1808">
        <v>2.78</v>
      </c>
      <c r="AH1808" t="s">
        <v>7624</v>
      </c>
      <c r="AI1808" t="s">
        <v>9170</v>
      </c>
      <c r="AJ1808">
        <v>-1.26</v>
      </c>
      <c r="AK1808">
        <v>1625</v>
      </c>
      <c r="AL1808">
        <v>41</v>
      </c>
      <c r="AM1808">
        <v>1.5E-3</v>
      </c>
      <c r="AN1808">
        <v>-1</v>
      </c>
      <c r="AO1808">
        <v>-2.2200000000000002</v>
      </c>
      <c r="AP1808">
        <v>27.46</v>
      </c>
      <c r="AQ1808">
        <v>46.45</v>
      </c>
      <c r="AR1808">
        <v>69.77</v>
      </c>
      <c r="AS1808">
        <v>2.71</v>
      </c>
      <c r="AT1808" t="s">
        <v>9171</v>
      </c>
      <c r="AU1808">
        <v>22.54</v>
      </c>
      <c r="AV1808">
        <v>24.93</v>
      </c>
      <c r="AW1808">
        <v>0.96</v>
      </c>
      <c r="BA1808">
        <v>-0.39</v>
      </c>
      <c r="BB1808">
        <v>-0.39</v>
      </c>
      <c r="BC1808">
        <v>-3.88</v>
      </c>
      <c r="BD1808">
        <v>-1.97</v>
      </c>
      <c r="BE1808">
        <v>-1.56</v>
      </c>
      <c r="BF1808">
        <v>-1.56</v>
      </c>
      <c r="BG1808">
        <v>2.02</v>
      </c>
      <c r="BH1808">
        <v>0.03</v>
      </c>
      <c r="BI1808">
        <v>20191030</v>
      </c>
      <c r="BJ1808">
        <v>20150123</v>
      </c>
      <c r="BK1808">
        <v>4.32</v>
      </c>
      <c r="BL1808" t="s">
        <v>116</v>
      </c>
      <c r="BM1808" t="s">
        <v>116</v>
      </c>
      <c r="BN1808">
        <v>28.24</v>
      </c>
      <c r="BO1808">
        <v>12.63</v>
      </c>
      <c r="BP1808">
        <v>0.25</v>
      </c>
      <c r="BQ1808">
        <v>54.41</v>
      </c>
      <c r="BR1808">
        <v>16.96</v>
      </c>
      <c r="BS1808">
        <v>4.4400000000000004</v>
      </c>
      <c r="BT1808">
        <v>1.8</v>
      </c>
      <c r="BU1808">
        <v>11.64</v>
      </c>
      <c r="BV1808">
        <v>8.11</v>
      </c>
      <c r="BW1808">
        <v>4.79</v>
      </c>
      <c r="BX1808">
        <v>0.28000000000000003</v>
      </c>
      <c r="BY1808">
        <v>16.21</v>
      </c>
      <c r="BZ1808">
        <v>10.54</v>
      </c>
      <c r="CA1808">
        <v>2.0299999999999998</v>
      </c>
      <c r="CB1808">
        <v>0.16</v>
      </c>
      <c r="CC1808">
        <v>2.04</v>
      </c>
      <c r="CD1808">
        <v>1.8</v>
      </c>
      <c r="CE1808">
        <v>1.78</v>
      </c>
      <c r="CF1808">
        <v>1.64</v>
      </c>
      <c r="CG1808">
        <v>7.44</v>
      </c>
      <c r="CH1808">
        <v>0.98</v>
      </c>
      <c r="CI1808">
        <v>-0.09</v>
      </c>
      <c r="CJ1808">
        <v>15763</v>
      </c>
      <c r="CK1808">
        <v>15448</v>
      </c>
      <c r="CL1808" t="s">
        <v>9172</v>
      </c>
      <c r="CM1808">
        <v>11.7</v>
      </c>
      <c r="CN1808">
        <v>6.15</v>
      </c>
      <c r="CO1808">
        <v>3.46</v>
      </c>
      <c r="CP1808">
        <v>44.82</v>
      </c>
      <c r="CQ1808">
        <v>2.7</v>
      </c>
      <c r="CR1808">
        <v>0.98</v>
      </c>
      <c r="CS1808" t="s">
        <v>2820</v>
      </c>
      <c r="CT1808">
        <v>2.92</v>
      </c>
      <c r="CU1808">
        <v>0</v>
      </c>
      <c r="CV1808">
        <v>0.06</v>
      </c>
      <c r="CW1808">
        <v>1.72</v>
      </c>
      <c r="CX1808">
        <v>0.23</v>
      </c>
      <c r="CY1808">
        <v>44.71</v>
      </c>
      <c r="CZ1808" t="s">
        <v>9173</v>
      </c>
      <c r="DA1808">
        <v>34.979999999999997</v>
      </c>
      <c r="DB1808">
        <v>12.53</v>
      </c>
      <c r="DC1808">
        <v>10.99</v>
      </c>
      <c r="DD1808">
        <v>0.72</v>
      </c>
      <c r="DE1808">
        <v>2773</v>
      </c>
      <c r="DF1808">
        <v>300415</v>
      </c>
      <c r="DG1808" t="s">
        <v>116</v>
      </c>
      <c r="DH1808" t="s">
        <v>116</v>
      </c>
      <c r="DI1808" t="s">
        <v>116</v>
      </c>
    </row>
    <row r="1809" spans="1:113" x14ac:dyDescent="0.4">
      <c r="A1809" t="str">
        <f>"300416"</f>
        <v>300416</v>
      </c>
      <c r="B1809" t="s">
        <v>9174</v>
      </c>
      <c r="C1809">
        <v>6.2</v>
      </c>
      <c r="D1809">
        <v>32.35</v>
      </c>
      <c r="E1809">
        <v>1.89</v>
      </c>
      <c r="F1809">
        <v>32.24</v>
      </c>
      <c r="G1809">
        <v>32.35</v>
      </c>
      <c r="H1809">
        <v>63575</v>
      </c>
      <c r="I1809">
        <v>1133</v>
      </c>
      <c r="J1809">
        <v>0</v>
      </c>
      <c r="K1809">
        <v>7.34</v>
      </c>
      <c r="L1809">
        <v>30.9</v>
      </c>
      <c r="M1809">
        <v>33.51</v>
      </c>
      <c r="N1809">
        <v>30.9</v>
      </c>
      <c r="O1809">
        <v>30.46</v>
      </c>
      <c r="P1809">
        <v>60.44</v>
      </c>
      <c r="Q1809">
        <v>203652592</v>
      </c>
      <c r="R1809">
        <v>2.7</v>
      </c>
      <c r="S1809" t="s">
        <v>2977</v>
      </c>
      <c r="T1809" t="s">
        <v>323</v>
      </c>
      <c r="U1809">
        <v>8.57</v>
      </c>
      <c r="V1809">
        <v>32.03</v>
      </c>
      <c r="W1809">
        <v>30196</v>
      </c>
      <c r="X1809">
        <v>33379</v>
      </c>
      <c r="Y1809">
        <v>0.9</v>
      </c>
      <c r="Z1809">
        <v>75</v>
      </c>
      <c r="AA1809">
        <v>132</v>
      </c>
      <c r="AB1809" t="s">
        <v>116</v>
      </c>
      <c r="AC1809">
        <v>1164900</v>
      </c>
      <c r="AD1809">
        <v>0.05</v>
      </c>
      <c r="AE1809" t="s">
        <v>116</v>
      </c>
      <c r="AF1809" t="s">
        <v>116</v>
      </c>
      <c r="AG1809">
        <v>0.87</v>
      </c>
      <c r="AH1809" t="s">
        <v>2687</v>
      </c>
      <c r="AI1809" t="s">
        <v>9175</v>
      </c>
      <c r="AJ1809">
        <v>6.88</v>
      </c>
      <c r="AK1809">
        <v>2399</v>
      </c>
      <c r="AL1809">
        <v>27</v>
      </c>
      <c r="AM1809">
        <v>3.0999999999999999E-3</v>
      </c>
      <c r="AN1809">
        <v>4</v>
      </c>
      <c r="AO1809">
        <v>15.74</v>
      </c>
      <c r="AP1809">
        <v>24.61</v>
      </c>
      <c r="AQ1809">
        <v>33.130000000000003</v>
      </c>
      <c r="AR1809">
        <v>75.819999999999993</v>
      </c>
      <c r="AS1809">
        <v>8.24</v>
      </c>
      <c r="AT1809" t="s">
        <v>9176</v>
      </c>
      <c r="AU1809">
        <v>54.41</v>
      </c>
      <c r="AV1809">
        <v>60.95</v>
      </c>
      <c r="AW1809">
        <v>0.39</v>
      </c>
      <c r="BA1809">
        <v>1.44</v>
      </c>
      <c r="BB1809">
        <v>10.01</v>
      </c>
      <c r="BC1809">
        <v>1.44</v>
      </c>
      <c r="BD1809">
        <v>5.17</v>
      </c>
      <c r="BE1809">
        <v>4.6900000000000004</v>
      </c>
      <c r="BF1809">
        <v>-3.46</v>
      </c>
      <c r="BG1809">
        <v>4.6900000000000004</v>
      </c>
      <c r="BH1809">
        <v>1.04</v>
      </c>
      <c r="BI1809">
        <v>20191029</v>
      </c>
      <c r="BJ1809">
        <v>20150122</v>
      </c>
      <c r="BK1809">
        <v>1.36</v>
      </c>
      <c r="BL1809" t="s">
        <v>116</v>
      </c>
      <c r="BM1809" t="s">
        <v>116</v>
      </c>
      <c r="BN1809">
        <v>17.2</v>
      </c>
      <c r="BO1809">
        <v>7.76</v>
      </c>
      <c r="BP1809">
        <v>0.92</v>
      </c>
      <c r="BQ1809">
        <v>49.51</v>
      </c>
      <c r="BR1809">
        <v>11.37</v>
      </c>
      <c r="BS1809">
        <v>3.73</v>
      </c>
      <c r="BT1809">
        <v>0.9</v>
      </c>
      <c r="BU1809">
        <v>8.02</v>
      </c>
      <c r="BV1809">
        <v>2.73</v>
      </c>
      <c r="BW1809">
        <v>4.24</v>
      </c>
      <c r="BX1809">
        <v>3.36</v>
      </c>
      <c r="BY1809">
        <v>4.93</v>
      </c>
      <c r="BZ1809">
        <v>2.65</v>
      </c>
      <c r="CA1809">
        <v>0.71</v>
      </c>
      <c r="CB1809">
        <v>0</v>
      </c>
      <c r="CC1809">
        <v>0.71</v>
      </c>
      <c r="CD1809">
        <v>0.59</v>
      </c>
      <c r="CE1809">
        <v>0.54</v>
      </c>
      <c r="CF1809">
        <v>0.47</v>
      </c>
      <c r="CG1809">
        <v>3.44</v>
      </c>
      <c r="CH1809">
        <v>-0.44</v>
      </c>
      <c r="CI1809">
        <v>-1.21</v>
      </c>
      <c r="CJ1809">
        <v>7424</v>
      </c>
      <c r="CK1809">
        <v>10395</v>
      </c>
      <c r="CL1809" t="s">
        <v>9177</v>
      </c>
      <c r="CM1809">
        <v>18.899999999999999</v>
      </c>
      <c r="CN1809">
        <v>21.48</v>
      </c>
      <c r="CO1809">
        <v>5.65</v>
      </c>
      <c r="CP1809">
        <v>-99.19</v>
      </c>
      <c r="CQ1809">
        <v>8.9</v>
      </c>
      <c r="CR1809">
        <v>0.3</v>
      </c>
      <c r="CS1809" t="s">
        <v>335</v>
      </c>
      <c r="CT1809">
        <v>5.73</v>
      </c>
      <c r="CU1809">
        <v>0</v>
      </c>
      <c r="CV1809">
        <v>2.48</v>
      </c>
      <c r="CW1809">
        <v>2.54</v>
      </c>
      <c r="CX1809">
        <v>-0.33</v>
      </c>
      <c r="CY1809">
        <v>45.13</v>
      </c>
      <c r="CZ1809" t="s">
        <v>7195</v>
      </c>
      <c r="DA1809">
        <v>46.15</v>
      </c>
      <c r="DB1809">
        <v>14.51</v>
      </c>
      <c r="DC1809">
        <v>11.05</v>
      </c>
      <c r="DD1809">
        <v>0.33</v>
      </c>
      <c r="DE1809">
        <v>908</v>
      </c>
      <c r="DF1809">
        <v>300416</v>
      </c>
      <c r="DG1809" t="s">
        <v>116</v>
      </c>
      <c r="DH1809" t="s">
        <v>116</v>
      </c>
      <c r="DI1809" t="s">
        <v>116</v>
      </c>
    </row>
    <row r="1810" spans="1:113" x14ac:dyDescent="0.4">
      <c r="A1810" t="str">
        <f>"300417"</f>
        <v>300417</v>
      </c>
      <c r="B1810" t="s">
        <v>9178</v>
      </c>
      <c r="C1810">
        <v>-3.91</v>
      </c>
      <c r="D1810">
        <v>43.31</v>
      </c>
      <c r="E1810">
        <v>-1.76</v>
      </c>
      <c r="F1810">
        <v>43.3</v>
      </c>
      <c r="G1810">
        <v>43.31</v>
      </c>
      <c r="H1810">
        <v>28728</v>
      </c>
      <c r="I1810">
        <v>332</v>
      </c>
      <c r="J1810">
        <v>0.12</v>
      </c>
      <c r="K1810">
        <v>6.98</v>
      </c>
      <c r="L1810">
        <v>44.68</v>
      </c>
      <c r="M1810">
        <v>44.96</v>
      </c>
      <c r="N1810">
        <v>43.16</v>
      </c>
      <c r="O1810">
        <v>45.07</v>
      </c>
      <c r="P1810">
        <v>17.32</v>
      </c>
      <c r="Q1810">
        <v>126265552</v>
      </c>
      <c r="R1810">
        <v>0.79</v>
      </c>
      <c r="S1810" t="s">
        <v>2977</v>
      </c>
      <c r="T1810" t="s">
        <v>551</v>
      </c>
      <c r="U1810">
        <v>3.99</v>
      </c>
      <c r="V1810">
        <v>43.95</v>
      </c>
      <c r="W1810">
        <v>17922</v>
      </c>
      <c r="X1810">
        <v>10806</v>
      </c>
      <c r="Y1810">
        <v>1.66</v>
      </c>
      <c r="Z1810">
        <v>50</v>
      </c>
      <c r="AA1810">
        <v>196</v>
      </c>
      <c r="AB1810" t="s">
        <v>116</v>
      </c>
      <c r="AC1810">
        <v>969600</v>
      </c>
      <c r="AD1810">
        <v>7.0000000000000007E-2</v>
      </c>
      <c r="AE1810" t="s">
        <v>116</v>
      </c>
      <c r="AF1810" t="s">
        <v>116</v>
      </c>
      <c r="AG1810">
        <v>0.41</v>
      </c>
      <c r="AH1810" t="s">
        <v>9179</v>
      </c>
      <c r="AI1810" t="s">
        <v>460</v>
      </c>
      <c r="AJ1810">
        <v>-3.23</v>
      </c>
      <c r="AK1810">
        <v>2392</v>
      </c>
      <c r="AL1810">
        <v>12</v>
      </c>
      <c r="AM1810">
        <v>2.8999999999999998E-3</v>
      </c>
      <c r="AN1810">
        <v>-1</v>
      </c>
      <c r="AO1810">
        <v>-3.33</v>
      </c>
      <c r="AP1810">
        <v>6.54</v>
      </c>
      <c r="AQ1810">
        <v>-18.45</v>
      </c>
      <c r="AR1810">
        <v>201.81</v>
      </c>
      <c r="AS1810">
        <v>9.25</v>
      </c>
      <c r="AT1810" t="s">
        <v>845</v>
      </c>
      <c r="AU1810">
        <v>21.77</v>
      </c>
      <c r="AV1810">
        <v>126.75</v>
      </c>
      <c r="AW1810">
        <v>0.69</v>
      </c>
      <c r="BA1810">
        <v>-0.87</v>
      </c>
      <c r="BB1810">
        <v>-0.24</v>
      </c>
      <c r="BC1810">
        <v>-4.24</v>
      </c>
      <c r="BD1810">
        <v>-2.48</v>
      </c>
      <c r="BE1810">
        <v>-3.07</v>
      </c>
      <c r="BF1810">
        <v>-3.67</v>
      </c>
      <c r="BG1810">
        <v>0.35</v>
      </c>
      <c r="BH1810">
        <v>-1.43</v>
      </c>
      <c r="BI1810">
        <v>20191106</v>
      </c>
      <c r="BJ1810">
        <v>20150123</v>
      </c>
      <c r="BK1810">
        <v>0.82</v>
      </c>
      <c r="BL1810" t="s">
        <v>116</v>
      </c>
      <c r="BM1810" t="s">
        <v>116</v>
      </c>
      <c r="BN1810">
        <v>6.76</v>
      </c>
      <c r="BO1810">
        <v>4.5</v>
      </c>
      <c r="BP1810">
        <v>0</v>
      </c>
      <c r="BQ1810">
        <v>33.51</v>
      </c>
      <c r="BR1810">
        <v>4.91</v>
      </c>
      <c r="BS1810">
        <v>1.5</v>
      </c>
      <c r="BT1810">
        <v>0.17</v>
      </c>
      <c r="BU1810">
        <v>2.27</v>
      </c>
      <c r="BV1810">
        <v>1.34</v>
      </c>
      <c r="BW1810">
        <v>0.45</v>
      </c>
      <c r="BX1810">
        <v>1.2</v>
      </c>
      <c r="BY1810">
        <v>4.1500000000000004</v>
      </c>
      <c r="BZ1810">
        <v>1.47</v>
      </c>
      <c r="CA1810">
        <v>1.77</v>
      </c>
      <c r="CB1810">
        <v>0.03</v>
      </c>
      <c r="CC1810">
        <v>1.77</v>
      </c>
      <c r="CD1810">
        <v>1.53</v>
      </c>
      <c r="CE1810">
        <v>1.53</v>
      </c>
      <c r="CF1810">
        <v>1.53</v>
      </c>
      <c r="CG1810">
        <v>2.75</v>
      </c>
      <c r="CH1810">
        <v>2.4500000000000002</v>
      </c>
      <c r="CI1810">
        <v>0.54</v>
      </c>
      <c r="CJ1810">
        <v>7065</v>
      </c>
      <c r="CK1810">
        <v>4396</v>
      </c>
      <c r="CL1810" t="s">
        <v>9180</v>
      </c>
      <c r="CM1810">
        <v>725.98</v>
      </c>
      <c r="CN1810">
        <v>293.83999999999997</v>
      </c>
      <c r="CO1810">
        <v>7.86</v>
      </c>
      <c r="CP1810">
        <v>14.41</v>
      </c>
      <c r="CQ1810">
        <v>8.52</v>
      </c>
      <c r="CR1810">
        <v>1.68</v>
      </c>
      <c r="CS1810" t="s">
        <v>9181</v>
      </c>
      <c r="CT1810">
        <v>5.51</v>
      </c>
      <c r="CU1810">
        <v>0</v>
      </c>
      <c r="CV1810">
        <v>1.47</v>
      </c>
      <c r="CW1810">
        <v>3.38</v>
      </c>
      <c r="CX1810">
        <v>3.01</v>
      </c>
      <c r="CY1810">
        <v>66.489999999999995</v>
      </c>
      <c r="CZ1810" t="s">
        <v>9182</v>
      </c>
      <c r="DA1810">
        <v>64.53</v>
      </c>
      <c r="DB1810">
        <v>42.73</v>
      </c>
      <c r="DC1810">
        <v>36.880000000000003</v>
      </c>
      <c r="DD1810">
        <v>0.37</v>
      </c>
      <c r="DE1810">
        <v>401</v>
      </c>
      <c r="DF1810">
        <v>300417</v>
      </c>
      <c r="DG1810" t="s">
        <v>116</v>
      </c>
      <c r="DH1810" t="s">
        <v>116</v>
      </c>
      <c r="DI1810" t="s">
        <v>116</v>
      </c>
    </row>
    <row r="1811" spans="1:113" x14ac:dyDescent="0.4">
      <c r="A1811" t="str">
        <f>"300418"</f>
        <v>300418</v>
      </c>
      <c r="B1811" t="s">
        <v>9183</v>
      </c>
      <c r="C1811">
        <v>-2.2999999999999998</v>
      </c>
      <c r="D1811">
        <v>17</v>
      </c>
      <c r="E1811">
        <v>-0.4</v>
      </c>
      <c r="F1811">
        <v>16.989999999999998</v>
      </c>
      <c r="G1811">
        <v>17</v>
      </c>
      <c r="H1811">
        <v>313372</v>
      </c>
      <c r="I1811">
        <v>7731</v>
      </c>
      <c r="J1811">
        <v>0</v>
      </c>
      <c r="K1811">
        <v>4.9800000000000004</v>
      </c>
      <c r="L1811">
        <v>17.399999999999999</v>
      </c>
      <c r="M1811">
        <v>17.559999999999999</v>
      </c>
      <c r="N1811">
        <v>16.95</v>
      </c>
      <c r="O1811">
        <v>17.399999999999999</v>
      </c>
      <c r="P1811">
        <v>15.49</v>
      </c>
      <c r="Q1811">
        <v>540759040</v>
      </c>
      <c r="R1811">
        <v>0.76</v>
      </c>
      <c r="S1811" t="s">
        <v>1384</v>
      </c>
      <c r="T1811" t="s">
        <v>165</v>
      </c>
      <c r="U1811">
        <v>3.51</v>
      </c>
      <c r="V1811">
        <v>17.260000000000002</v>
      </c>
      <c r="W1811">
        <v>163533</v>
      </c>
      <c r="X1811">
        <v>149839</v>
      </c>
      <c r="Y1811">
        <v>1.0900000000000001</v>
      </c>
      <c r="Z1811">
        <v>337</v>
      </c>
      <c r="AA1811">
        <v>1322</v>
      </c>
      <c r="AB1811" t="s">
        <v>116</v>
      </c>
      <c r="AC1811">
        <v>1787100</v>
      </c>
      <c r="AD1811">
        <v>0.02</v>
      </c>
      <c r="AE1811" t="s">
        <v>116</v>
      </c>
      <c r="AF1811" t="s">
        <v>116</v>
      </c>
      <c r="AG1811">
        <v>6.29</v>
      </c>
      <c r="AH1811" t="s">
        <v>9184</v>
      </c>
      <c r="AI1811" t="s">
        <v>9185</v>
      </c>
      <c r="AJ1811">
        <v>-1.62</v>
      </c>
      <c r="AK1811">
        <v>4169</v>
      </c>
      <c r="AL1811">
        <v>75</v>
      </c>
      <c r="AM1811">
        <v>1.1999999999999999E-3</v>
      </c>
      <c r="AN1811">
        <v>-1</v>
      </c>
      <c r="AO1811">
        <v>-1.84</v>
      </c>
      <c r="AP1811">
        <v>18.14</v>
      </c>
      <c r="AQ1811">
        <v>35.14</v>
      </c>
      <c r="AR1811">
        <v>32.19</v>
      </c>
      <c r="AS1811">
        <v>5.83</v>
      </c>
      <c r="AT1811" t="s">
        <v>9186</v>
      </c>
      <c r="AU1811">
        <v>16.11</v>
      </c>
      <c r="AV1811">
        <v>19.399999999999999</v>
      </c>
      <c r="AW1811">
        <v>1.63</v>
      </c>
      <c r="BA1811">
        <v>0</v>
      </c>
      <c r="BB1811">
        <v>0.92</v>
      </c>
      <c r="BC1811">
        <v>-2.59</v>
      </c>
      <c r="BD1811">
        <v>-0.83</v>
      </c>
      <c r="BE1811">
        <v>-2.2999999999999998</v>
      </c>
      <c r="BF1811">
        <v>-3.19</v>
      </c>
      <c r="BG1811">
        <v>0.28999999999999998</v>
      </c>
      <c r="BH1811">
        <v>-1.47</v>
      </c>
      <c r="BI1811">
        <v>20191210</v>
      </c>
      <c r="BJ1811">
        <v>20150121</v>
      </c>
      <c r="BK1811">
        <v>11.48</v>
      </c>
      <c r="BL1811" t="s">
        <v>116</v>
      </c>
      <c r="BM1811" t="s">
        <v>116</v>
      </c>
      <c r="BN1811">
        <v>101.07</v>
      </c>
      <c r="BO1811">
        <v>44.39</v>
      </c>
      <c r="BP1811">
        <v>-0.1</v>
      </c>
      <c r="BQ1811">
        <v>56.18</v>
      </c>
      <c r="BR1811">
        <v>52.9</v>
      </c>
      <c r="BS1811">
        <v>0.16</v>
      </c>
      <c r="BT1811">
        <v>0.22</v>
      </c>
      <c r="BU1811">
        <v>54.03</v>
      </c>
      <c r="BV1811">
        <v>0</v>
      </c>
      <c r="BW1811">
        <v>4.3899999999999997</v>
      </c>
      <c r="BX1811">
        <v>1.68</v>
      </c>
      <c r="BY1811">
        <v>26.98</v>
      </c>
      <c r="BZ1811">
        <v>5.55</v>
      </c>
      <c r="CA1811">
        <v>11.4</v>
      </c>
      <c r="CB1811">
        <v>4.6100000000000003</v>
      </c>
      <c r="CC1811">
        <v>11.5</v>
      </c>
      <c r="CD1811">
        <v>10.38</v>
      </c>
      <c r="CE1811">
        <v>9.4499999999999993</v>
      </c>
      <c r="CF1811">
        <v>9.23</v>
      </c>
      <c r="CG1811">
        <v>33.82</v>
      </c>
      <c r="CH1811">
        <v>8.2100000000000009</v>
      </c>
      <c r="CI1811">
        <v>-3.64</v>
      </c>
      <c r="CJ1811">
        <v>78223</v>
      </c>
      <c r="CK1811">
        <v>6868</v>
      </c>
      <c r="CL1811" t="s">
        <v>9187</v>
      </c>
      <c r="CM1811">
        <v>27.8</v>
      </c>
      <c r="CN1811">
        <v>1.0900000000000001</v>
      </c>
      <c r="CO1811">
        <v>4.4000000000000004</v>
      </c>
      <c r="CP1811">
        <v>23.77</v>
      </c>
      <c r="CQ1811">
        <v>7.24</v>
      </c>
      <c r="CR1811">
        <v>0</v>
      </c>
      <c r="CS1811" t="s">
        <v>9188</v>
      </c>
      <c r="CT1811">
        <v>3.87</v>
      </c>
      <c r="CU1811">
        <v>0</v>
      </c>
      <c r="CV1811">
        <v>0.15</v>
      </c>
      <c r="CW1811">
        <v>2.95</v>
      </c>
      <c r="CX1811">
        <v>0.72</v>
      </c>
      <c r="CY1811">
        <v>43.92</v>
      </c>
      <c r="CZ1811" t="s">
        <v>9189</v>
      </c>
      <c r="DA1811">
        <v>79.430000000000007</v>
      </c>
      <c r="DB1811">
        <v>42.26</v>
      </c>
      <c r="DC1811">
        <v>35.04</v>
      </c>
      <c r="DD1811">
        <v>2.02</v>
      </c>
      <c r="DE1811">
        <v>1241</v>
      </c>
      <c r="DF1811">
        <v>300418</v>
      </c>
      <c r="DG1811" t="s">
        <v>116</v>
      </c>
      <c r="DH1811" t="s">
        <v>116</v>
      </c>
      <c r="DI1811" t="s">
        <v>116</v>
      </c>
    </row>
    <row r="1812" spans="1:113" x14ac:dyDescent="0.4">
      <c r="A1812" t="str">
        <f>"300419"</f>
        <v>300419</v>
      </c>
      <c r="B1812" t="s">
        <v>9190</v>
      </c>
      <c r="C1812">
        <v>-2.0699999999999998</v>
      </c>
      <c r="D1812">
        <v>6.16</v>
      </c>
      <c r="E1812">
        <v>-0.13</v>
      </c>
      <c r="F1812">
        <v>6.16</v>
      </c>
      <c r="G1812">
        <v>6.17</v>
      </c>
      <c r="H1812">
        <v>55181</v>
      </c>
      <c r="I1812">
        <v>491</v>
      </c>
      <c r="J1812">
        <v>0</v>
      </c>
      <c r="K1812">
        <v>2.27</v>
      </c>
      <c r="L1812">
        <v>6.29</v>
      </c>
      <c r="M1812">
        <v>6.32</v>
      </c>
      <c r="N1812">
        <v>6.14</v>
      </c>
      <c r="O1812">
        <v>6.29</v>
      </c>
      <c r="P1812">
        <v>81.319999999999993</v>
      </c>
      <c r="Q1812">
        <v>34471232</v>
      </c>
      <c r="R1812">
        <v>0.89</v>
      </c>
      <c r="S1812" t="s">
        <v>607</v>
      </c>
      <c r="T1812" t="s">
        <v>165</v>
      </c>
      <c r="U1812">
        <v>2.86</v>
      </c>
      <c r="V1812">
        <v>6.25</v>
      </c>
      <c r="W1812">
        <v>29942</v>
      </c>
      <c r="X1812">
        <v>25239</v>
      </c>
      <c r="Y1812">
        <v>1.19</v>
      </c>
      <c r="Z1812">
        <v>59</v>
      </c>
      <c r="AA1812">
        <v>127</v>
      </c>
      <c r="AB1812" t="s">
        <v>116</v>
      </c>
      <c r="AC1812">
        <v>109400</v>
      </c>
      <c r="AD1812">
        <v>0.01</v>
      </c>
      <c r="AE1812" t="s">
        <v>116</v>
      </c>
      <c r="AF1812" t="s">
        <v>116</v>
      </c>
      <c r="AG1812">
        <v>2.4300000000000002</v>
      </c>
      <c r="AH1812" t="s">
        <v>6369</v>
      </c>
      <c r="AI1812" t="s">
        <v>6008</v>
      </c>
      <c r="AJ1812">
        <v>-1.39</v>
      </c>
      <c r="AK1812">
        <v>1952</v>
      </c>
      <c r="AL1812">
        <v>28</v>
      </c>
      <c r="AM1812">
        <v>1.1999999999999999E-3</v>
      </c>
      <c r="AN1812">
        <v>-1</v>
      </c>
      <c r="AO1812">
        <v>1.48</v>
      </c>
      <c r="AP1812">
        <v>6.21</v>
      </c>
      <c r="AQ1812">
        <v>0.98</v>
      </c>
      <c r="AR1812">
        <v>18.690000000000001</v>
      </c>
      <c r="AS1812">
        <v>2.4500000000000002</v>
      </c>
      <c r="AT1812" t="s">
        <v>9191</v>
      </c>
      <c r="AU1812" t="s">
        <v>116</v>
      </c>
      <c r="AV1812" t="s">
        <v>116</v>
      </c>
      <c r="AW1812">
        <v>1.4</v>
      </c>
      <c r="BA1812">
        <v>0</v>
      </c>
      <c r="BB1812">
        <v>0.48</v>
      </c>
      <c r="BC1812">
        <v>-2.38</v>
      </c>
      <c r="BD1812">
        <v>-0.68</v>
      </c>
      <c r="BE1812">
        <v>-2.0699999999999998</v>
      </c>
      <c r="BF1812">
        <v>-2.5299999999999998</v>
      </c>
      <c r="BG1812">
        <v>0.33</v>
      </c>
      <c r="BH1812">
        <v>-1.38</v>
      </c>
      <c r="BI1812">
        <v>20191029</v>
      </c>
      <c r="BJ1812">
        <v>20150122</v>
      </c>
      <c r="BK1812">
        <v>3.68</v>
      </c>
      <c r="BL1812" t="s">
        <v>116</v>
      </c>
      <c r="BM1812" t="s">
        <v>116</v>
      </c>
      <c r="BN1812">
        <v>12.96</v>
      </c>
      <c r="BO1812">
        <v>8.68</v>
      </c>
      <c r="BP1812">
        <v>0.04</v>
      </c>
      <c r="BQ1812">
        <v>32.72</v>
      </c>
      <c r="BR1812">
        <v>10.19</v>
      </c>
      <c r="BS1812">
        <v>1.34</v>
      </c>
      <c r="BT1812">
        <v>0.13</v>
      </c>
      <c r="BU1812">
        <v>4.24</v>
      </c>
      <c r="BV1812">
        <v>2.66</v>
      </c>
      <c r="BW1812">
        <v>1.21</v>
      </c>
      <c r="BX1812">
        <v>8.01</v>
      </c>
      <c r="BY1812">
        <v>4.3499999999999996</v>
      </c>
      <c r="BZ1812">
        <v>3.51</v>
      </c>
      <c r="CA1812">
        <v>0.21</v>
      </c>
      <c r="CB1812">
        <v>0.08</v>
      </c>
      <c r="CC1812">
        <v>0.21</v>
      </c>
      <c r="CD1812">
        <v>0.21</v>
      </c>
      <c r="CE1812">
        <v>0.21</v>
      </c>
      <c r="CF1812">
        <v>0.14000000000000001</v>
      </c>
      <c r="CG1812">
        <v>-3.24</v>
      </c>
      <c r="CH1812">
        <v>0.28999999999999998</v>
      </c>
      <c r="CI1812">
        <v>-0.22</v>
      </c>
      <c r="CJ1812">
        <v>25331</v>
      </c>
      <c r="CK1812">
        <v>8886</v>
      </c>
      <c r="CL1812" t="s">
        <v>260</v>
      </c>
      <c r="CM1812">
        <v>29.33</v>
      </c>
      <c r="CN1812">
        <v>33.06</v>
      </c>
      <c r="CO1812">
        <v>2.61</v>
      </c>
      <c r="CP1812">
        <v>78.25</v>
      </c>
      <c r="CQ1812">
        <v>5.21</v>
      </c>
      <c r="CR1812">
        <v>0</v>
      </c>
      <c r="CS1812" t="s">
        <v>2039</v>
      </c>
      <c r="CT1812">
        <v>2.36</v>
      </c>
      <c r="CU1812">
        <v>0</v>
      </c>
      <c r="CV1812">
        <v>2.1800000000000002</v>
      </c>
      <c r="CW1812">
        <v>-0.88</v>
      </c>
      <c r="CX1812">
        <v>0.08</v>
      </c>
      <c r="CY1812">
        <v>66.94</v>
      </c>
      <c r="CZ1812" t="s">
        <v>9128</v>
      </c>
      <c r="DA1812">
        <v>19.420000000000002</v>
      </c>
      <c r="DB1812">
        <v>4.88</v>
      </c>
      <c r="DC1812">
        <v>4.8</v>
      </c>
      <c r="DD1812">
        <v>0.27</v>
      </c>
      <c r="DE1812">
        <v>372</v>
      </c>
      <c r="DF1812">
        <v>300419</v>
      </c>
      <c r="DG1812" t="s">
        <v>116</v>
      </c>
      <c r="DH1812" t="s">
        <v>116</v>
      </c>
      <c r="DI1812" t="s">
        <v>116</v>
      </c>
    </row>
    <row r="1813" spans="1:113" x14ac:dyDescent="0.4">
      <c r="A1813" t="str">
        <f>"300420"</f>
        <v>300420</v>
      </c>
      <c r="B1813" t="s">
        <v>9192</v>
      </c>
      <c r="C1813">
        <v>-1.64</v>
      </c>
      <c r="D1813">
        <v>5.41</v>
      </c>
      <c r="E1813">
        <v>-0.09</v>
      </c>
      <c r="F1813">
        <v>5.41</v>
      </c>
      <c r="G1813">
        <v>5.42</v>
      </c>
      <c r="H1813">
        <v>97458</v>
      </c>
      <c r="I1813">
        <v>1774</v>
      </c>
      <c r="J1813">
        <v>0</v>
      </c>
      <c r="K1813">
        <v>2.08</v>
      </c>
      <c r="L1813">
        <v>5.53</v>
      </c>
      <c r="M1813">
        <v>5.53</v>
      </c>
      <c r="N1813">
        <v>5.4</v>
      </c>
      <c r="O1813">
        <v>5.5</v>
      </c>
      <c r="P1813">
        <v>24.08</v>
      </c>
      <c r="Q1813">
        <v>53245708</v>
      </c>
      <c r="R1813">
        <v>0.94</v>
      </c>
      <c r="S1813" t="s">
        <v>996</v>
      </c>
      <c r="T1813" t="s">
        <v>323</v>
      </c>
      <c r="U1813">
        <v>2.36</v>
      </c>
      <c r="V1813">
        <v>5.46</v>
      </c>
      <c r="W1813">
        <v>58998</v>
      </c>
      <c r="X1813">
        <v>38460</v>
      </c>
      <c r="Y1813">
        <v>1.53</v>
      </c>
      <c r="Z1813">
        <v>926</v>
      </c>
      <c r="AA1813">
        <v>350</v>
      </c>
      <c r="AB1813" t="s">
        <v>116</v>
      </c>
      <c r="AC1813">
        <v>231700</v>
      </c>
      <c r="AD1813">
        <v>0.01</v>
      </c>
      <c r="AE1813" t="s">
        <v>116</v>
      </c>
      <c r="AF1813" t="s">
        <v>116</v>
      </c>
      <c r="AG1813">
        <v>4.6900000000000004</v>
      </c>
      <c r="AH1813" t="s">
        <v>2353</v>
      </c>
      <c r="AI1813" t="s">
        <v>9193</v>
      </c>
      <c r="AJ1813">
        <v>-0.96</v>
      </c>
      <c r="AK1813">
        <v>1748</v>
      </c>
      <c r="AL1813">
        <v>56</v>
      </c>
      <c r="AM1813">
        <v>1.1999999999999999E-3</v>
      </c>
      <c r="AN1813">
        <v>-1</v>
      </c>
      <c r="AO1813">
        <v>-0.74</v>
      </c>
      <c r="AP1813">
        <v>0.19</v>
      </c>
      <c r="AQ1813">
        <v>-22.05</v>
      </c>
      <c r="AR1813">
        <v>9.4499999999999993</v>
      </c>
      <c r="AS1813">
        <v>2.46</v>
      </c>
      <c r="AT1813" t="s">
        <v>9194</v>
      </c>
      <c r="AU1813">
        <v>23.85</v>
      </c>
      <c r="AV1813">
        <v>29.56</v>
      </c>
      <c r="AW1813">
        <v>1.56</v>
      </c>
      <c r="BA1813">
        <v>0.55000000000000004</v>
      </c>
      <c r="BB1813">
        <v>0.55000000000000004</v>
      </c>
      <c r="BC1813">
        <v>-1.82</v>
      </c>
      <c r="BD1813">
        <v>-0.66</v>
      </c>
      <c r="BE1813">
        <v>-2.17</v>
      </c>
      <c r="BF1813">
        <v>-2.17</v>
      </c>
      <c r="BG1813">
        <v>0.19</v>
      </c>
      <c r="BH1813">
        <v>-0.97</v>
      </c>
      <c r="BI1813">
        <v>20191029</v>
      </c>
      <c r="BJ1813">
        <v>20150217</v>
      </c>
      <c r="BK1813">
        <v>7.16</v>
      </c>
      <c r="BL1813" t="s">
        <v>116</v>
      </c>
      <c r="BM1813" t="s">
        <v>116</v>
      </c>
      <c r="BN1813">
        <v>26.47</v>
      </c>
      <c r="BO1813">
        <v>16.420000000000002</v>
      </c>
      <c r="BP1813">
        <v>1.1100000000000001</v>
      </c>
      <c r="BQ1813">
        <v>33.76</v>
      </c>
      <c r="BR1813">
        <v>14.86</v>
      </c>
      <c r="BS1813">
        <v>2.65</v>
      </c>
      <c r="BT1813">
        <v>1.06</v>
      </c>
      <c r="BU1813">
        <v>8.74</v>
      </c>
      <c r="BV1813">
        <v>3.89</v>
      </c>
      <c r="BW1813">
        <v>7.2</v>
      </c>
      <c r="BX1813">
        <v>4.71</v>
      </c>
      <c r="BY1813">
        <v>8.76</v>
      </c>
      <c r="BZ1813">
        <v>5.64</v>
      </c>
      <c r="CA1813">
        <v>1.35</v>
      </c>
      <c r="CB1813">
        <v>0.01</v>
      </c>
      <c r="CC1813">
        <v>1.35</v>
      </c>
      <c r="CD1813">
        <v>1.19</v>
      </c>
      <c r="CE1813">
        <v>1.21</v>
      </c>
      <c r="CF1813">
        <v>1.1399999999999999</v>
      </c>
      <c r="CG1813">
        <v>4.3899999999999997</v>
      </c>
      <c r="CH1813">
        <v>-0.1</v>
      </c>
      <c r="CI1813">
        <v>0.25</v>
      </c>
      <c r="CJ1813">
        <v>24524</v>
      </c>
      <c r="CK1813">
        <v>16180</v>
      </c>
      <c r="CL1813" t="s">
        <v>2213</v>
      </c>
      <c r="CM1813">
        <v>35.159999999999997</v>
      </c>
      <c r="CN1813">
        <v>33.840000000000003</v>
      </c>
      <c r="CO1813">
        <v>2.36</v>
      </c>
      <c r="CP1813">
        <v>-403.55</v>
      </c>
      <c r="CQ1813">
        <v>4.42</v>
      </c>
      <c r="CR1813">
        <v>0.68</v>
      </c>
      <c r="CS1813" t="s">
        <v>1127</v>
      </c>
      <c r="CT1813">
        <v>2.2999999999999998</v>
      </c>
      <c r="CU1813">
        <v>0</v>
      </c>
      <c r="CV1813">
        <v>0.66</v>
      </c>
      <c r="CW1813">
        <v>0.61</v>
      </c>
      <c r="CX1813">
        <v>-0.01</v>
      </c>
      <c r="CY1813">
        <v>62.04</v>
      </c>
      <c r="CZ1813" t="s">
        <v>1459</v>
      </c>
      <c r="DA1813">
        <v>35.6</v>
      </c>
      <c r="DB1813">
        <v>15.37</v>
      </c>
      <c r="DC1813">
        <v>13.76</v>
      </c>
      <c r="DD1813">
        <v>0.46</v>
      </c>
      <c r="DE1813">
        <v>1490</v>
      </c>
      <c r="DF1813">
        <v>300420</v>
      </c>
      <c r="DG1813" t="s">
        <v>116</v>
      </c>
      <c r="DH1813" t="s">
        <v>116</v>
      </c>
      <c r="DI1813" t="s">
        <v>116</v>
      </c>
    </row>
    <row r="1814" spans="1:113" x14ac:dyDescent="0.4">
      <c r="A1814" t="str">
        <f>"300421"</f>
        <v>300421</v>
      </c>
      <c r="B1814" t="s">
        <v>9195</v>
      </c>
      <c r="C1814">
        <v>-1.46</v>
      </c>
      <c r="D1814">
        <v>6.73</v>
      </c>
      <c r="E1814">
        <v>-0.1</v>
      </c>
      <c r="F1814">
        <v>6.73</v>
      </c>
      <c r="G1814">
        <v>6.74</v>
      </c>
      <c r="H1814">
        <v>36404</v>
      </c>
      <c r="I1814">
        <v>398</v>
      </c>
      <c r="J1814">
        <v>-0.14000000000000001</v>
      </c>
      <c r="K1814">
        <v>1.98</v>
      </c>
      <c r="L1814">
        <v>6.86</v>
      </c>
      <c r="M1814">
        <v>6.88</v>
      </c>
      <c r="N1814">
        <v>6.73</v>
      </c>
      <c r="O1814">
        <v>6.83</v>
      </c>
      <c r="P1814">
        <v>31.92</v>
      </c>
      <c r="Q1814">
        <v>24777880</v>
      </c>
      <c r="R1814">
        <v>1.07</v>
      </c>
      <c r="S1814" t="s">
        <v>996</v>
      </c>
      <c r="T1814" t="s">
        <v>323</v>
      </c>
      <c r="U1814">
        <v>2.2000000000000002</v>
      </c>
      <c r="V1814">
        <v>6.81</v>
      </c>
      <c r="W1814">
        <v>20042</v>
      </c>
      <c r="X1814">
        <v>16362</v>
      </c>
      <c r="Y1814">
        <v>1.22</v>
      </c>
      <c r="Z1814">
        <v>268</v>
      </c>
      <c r="AA1814">
        <v>87</v>
      </c>
      <c r="AB1814" t="s">
        <v>116</v>
      </c>
      <c r="AC1814">
        <v>61700</v>
      </c>
      <c r="AD1814">
        <v>0.01</v>
      </c>
      <c r="AE1814" t="s">
        <v>116</v>
      </c>
      <c r="AF1814" t="s">
        <v>116</v>
      </c>
      <c r="AG1814">
        <v>1.84</v>
      </c>
      <c r="AH1814" t="s">
        <v>9196</v>
      </c>
      <c r="AI1814" t="s">
        <v>1783</v>
      </c>
      <c r="AJ1814">
        <v>-0.79</v>
      </c>
      <c r="AK1814">
        <v>843</v>
      </c>
      <c r="AL1814">
        <v>43</v>
      </c>
      <c r="AM1814">
        <v>2.3999999999999998E-3</v>
      </c>
      <c r="AN1814">
        <v>-1</v>
      </c>
      <c r="AO1814">
        <v>0.15</v>
      </c>
      <c r="AP1814">
        <v>4.83</v>
      </c>
      <c r="AQ1814">
        <v>-11.68</v>
      </c>
      <c r="AR1814">
        <v>3.22</v>
      </c>
      <c r="AS1814">
        <v>2.3199999999999998</v>
      </c>
      <c r="AT1814" t="s">
        <v>6761</v>
      </c>
      <c r="AU1814">
        <v>28.68</v>
      </c>
      <c r="AV1814">
        <v>22.63</v>
      </c>
      <c r="AW1814">
        <v>1.25</v>
      </c>
      <c r="BA1814">
        <v>0.44</v>
      </c>
      <c r="BB1814">
        <v>0.73</v>
      </c>
      <c r="BC1814">
        <v>-1.46</v>
      </c>
      <c r="BD1814">
        <v>-0.34</v>
      </c>
      <c r="BE1814">
        <v>-1.9</v>
      </c>
      <c r="BF1814">
        <v>-2.1800000000000002</v>
      </c>
      <c r="BG1814">
        <v>0</v>
      </c>
      <c r="BH1814">
        <v>-1.1200000000000001</v>
      </c>
      <c r="BI1814">
        <v>20191129</v>
      </c>
      <c r="BJ1814">
        <v>20150217</v>
      </c>
      <c r="BK1814">
        <v>2.46</v>
      </c>
      <c r="BL1814" t="s">
        <v>116</v>
      </c>
      <c r="BM1814" t="s">
        <v>116</v>
      </c>
      <c r="BN1814">
        <v>13.55</v>
      </c>
      <c r="BO1814">
        <v>11.2</v>
      </c>
      <c r="BP1814">
        <v>0</v>
      </c>
      <c r="BQ1814">
        <v>17.32</v>
      </c>
      <c r="BR1814">
        <v>6.83</v>
      </c>
      <c r="BS1814">
        <v>4.62</v>
      </c>
      <c r="BT1814">
        <v>0.87</v>
      </c>
      <c r="BU1814">
        <v>2.08</v>
      </c>
      <c r="BV1814">
        <v>2.02</v>
      </c>
      <c r="BW1814">
        <v>2.59</v>
      </c>
      <c r="BX1814">
        <v>7.25</v>
      </c>
      <c r="BY1814">
        <v>5.42</v>
      </c>
      <c r="BZ1814">
        <v>4.21</v>
      </c>
      <c r="CA1814">
        <v>0.49</v>
      </c>
      <c r="CB1814">
        <v>0.03</v>
      </c>
      <c r="CC1814">
        <v>0.49</v>
      </c>
      <c r="CD1814">
        <v>0.39</v>
      </c>
      <c r="CE1814">
        <v>0.39</v>
      </c>
      <c r="CF1814">
        <v>0.34</v>
      </c>
      <c r="CG1814">
        <v>1.22</v>
      </c>
      <c r="CH1814">
        <v>-0.13</v>
      </c>
      <c r="CI1814">
        <v>-0.28000000000000003</v>
      </c>
      <c r="CJ1814">
        <v>16564</v>
      </c>
      <c r="CK1814">
        <v>9482</v>
      </c>
      <c r="CL1814" t="s">
        <v>423</v>
      </c>
      <c r="CM1814">
        <v>-28.38</v>
      </c>
      <c r="CN1814">
        <v>-0.05</v>
      </c>
      <c r="CO1814">
        <v>1.48</v>
      </c>
      <c r="CP1814">
        <v>-124.11</v>
      </c>
      <c r="CQ1814">
        <v>3.05</v>
      </c>
      <c r="CR1814">
        <v>3.16</v>
      </c>
      <c r="CS1814" t="s">
        <v>3427</v>
      </c>
      <c r="CT1814">
        <v>4.5599999999999996</v>
      </c>
      <c r="CU1814">
        <v>0</v>
      </c>
      <c r="CV1814">
        <v>2.95</v>
      </c>
      <c r="CW1814">
        <v>0.5</v>
      </c>
      <c r="CX1814">
        <v>-0.05</v>
      </c>
      <c r="CY1814">
        <v>82.68</v>
      </c>
      <c r="CZ1814" t="s">
        <v>4846</v>
      </c>
      <c r="DA1814">
        <v>22.36</v>
      </c>
      <c r="DB1814">
        <v>9.1199999999999992</v>
      </c>
      <c r="DC1814">
        <v>7.17</v>
      </c>
      <c r="DD1814">
        <v>0.23</v>
      </c>
      <c r="DE1814">
        <v>940</v>
      </c>
      <c r="DF1814">
        <v>300421</v>
      </c>
      <c r="DG1814" t="s">
        <v>116</v>
      </c>
      <c r="DH1814" t="s">
        <v>116</v>
      </c>
      <c r="DI1814" t="s">
        <v>116</v>
      </c>
    </row>
    <row r="1815" spans="1:113" x14ac:dyDescent="0.4">
      <c r="A1815" t="str">
        <f>"300422"</f>
        <v>300422</v>
      </c>
      <c r="B1815" t="s">
        <v>9197</v>
      </c>
      <c r="C1815">
        <v>-0.1</v>
      </c>
      <c r="D1815">
        <v>10.28</v>
      </c>
      <c r="E1815">
        <v>-0.01</v>
      </c>
      <c r="F1815">
        <v>10.27</v>
      </c>
      <c r="G1815">
        <v>10.28</v>
      </c>
      <c r="H1815">
        <v>51614</v>
      </c>
      <c r="I1815">
        <v>661</v>
      </c>
      <c r="J1815">
        <v>-0.18</v>
      </c>
      <c r="K1815">
        <v>2.04</v>
      </c>
      <c r="L1815">
        <v>10.3</v>
      </c>
      <c r="M1815">
        <v>10.36</v>
      </c>
      <c r="N1815">
        <v>10.25</v>
      </c>
      <c r="O1815">
        <v>10.29</v>
      </c>
      <c r="P1815">
        <v>11.25</v>
      </c>
      <c r="Q1815">
        <v>53174868</v>
      </c>
      <c r="R1815">
        <v>1.18</v>
      </c>
      <c r="S1815" t="s">
        <v>140</v>
      </c>
      <c r="T1815" t="s">
        <v>982</v>
      </c>
      <c r="U1815">
        <v>1.07</v>
      </c>
      <c r="V1815">
        <v>10.3</v>
      </c>
      <c r="W1815">
        <v>25954</v>
      </c>
      <c r="X1815">
        <v>25660</v>
      </c>
      <c r="Y1815">
        <v>1.01</v>
      </c>
      <c r="Z1815">
        <v>198</v>
      </c>
      <c r="AA1815">
        <v>15</v>
      </c>
      <c r="AB1815" t="s">
        <v>116</v>
      </c>
      <c r="AC1815">
        <v>460400</v>
      </c>
      <c r="AD1815">
        <v>0.02</v>
      </c>
      <c r="AE1815" t="s">
        <v>116</v>
      </c>
      <c r="AF1815" t="s">
        <v>116</v>
      </c>
      <c r="AG1815">
        <v>2.5299999999999998</v>
      </c>
      <c r="AH1815" t="s">
        <v>7350</v>
      </c>
      <c r="AI1815" t="s">
        <v>9198</v>
      </c>
      <c r="AJ1815">
        <v>0.57999999999999996</v>
      </c>
      <c r="AK1815">
        <v>2181</v>
      </c>
      <c r="AL1815">
        <v>24</v>
      </c>
      <c r="AM1815">
        <v>8.9999999999999998E-4</v>
      </c>
      <c r="AN1815">
        <v>-1</v>
      </c>
      <c r="AO1815">
        <v>1.68</v>
      </c>
      <c r="AP1815">
        <v>3.84</v>
      </c>
      <c r="AQ1815">
        <v>2.4900000000000002</v>
      </c>
      <c r="AR1815">
        <v>4.45</v>
      </c>
      <c r="AS1815">
        <v>2.27</v>
      </c>
      <c r="AT1815" t="s">
        <v>4975</v>
      </c>
      <c r="AU1815">
        <v>12.03</v>
      </c>
      <c r="AV1815">
        <v>15.55</v>
      </c>
      <c r="AW1815">
        <v>0.67</v>
      </c>
      <c r="BA1815">
        <v>0.1</v>
      </c>
      <c r="BB1815">
        <v>0.68</v>
      </c>
      <c r="BC1815">
        <v>-0.39</v>
      </c>
      <c r="BD1815">
        <v>0.12</v>
      </c>
      <c r="BE1815">
        <v>-0.19</v>
      </c>
      <c r="BF1815">
        <v>-0.77</v>
      </c>
      <c r="BG1815">
        <v>0.28999999999999998</v>
      </c>
      <c r="BH1815">
        <v>-0.22</v>
      </c>
      <c r="BI1815">
        <v>20191225</v>
      </c>
      <c r="BJ1815">
        <v>20150217</v>
      </c>
      <c r="BK1815">
        <v>3.56</v>
      </c>
      <c r="BL1815" t="s">
        <v>116</v>
      </c>
      <c r="BM1815" t="s">
        <v>116</v>
      </c>
      <c r="BN1815">
        <v>85.89</v>
      </c>
      <c r="BO1815">
        <v>17.5</v>
      </c>
      <c r="BP1815">
        <v>2.04</v>
      </c>
      <c r="BQ1815">
        <v>77.25</v>
      </c>
      <c r="BR1815">
        <v>38.4</v>
      </c>
      <c r="BS1815">
        <v>5.32</v>
      </c>
      <c r="BT1815">
        <v>8.07</v>
      </c>
      <c r="BU1815">
        <v>42.94</v>
      </c>
      <c r="BV1815">
        <v>2.19</v>
      </c>
      <c r="BW1815">
        <v>22.43</v>
      </c>
      <c r="BX1815">
        <v>4.6500000000000004</v>
      </c>
      <c r="BY1815">
        <v>24.28</v>
      </c>
      <c r="BZ1815">
        <v>16.64</v>
      </c>
      <c r="CA1815">
        <v>2.81</v>
      </c>
      <c r="CB1815">
        <v>0</v>
      </c>
      <c r="CC1815">
        <v>2.78</v>
      </c>
      <c r="CD1815">
        <v>2.41</v>
      </c>
      <c r="CE1815">
        <v>2.44</v>
      </c>
      <c r="CF1815">
        <v>2.4</v>
      </c>
      <c r="CG1815">
        <v>7.48</v>
      </c>
      <c r="CH1815">
        <v>-2.3199999999999998</v>
      </c>
      <c r="CI1815">
        <v>-0.94</v>
      </c>
      <c r="CJ1815">
        <v>24898</v>
      </c>
      <c r="CK1815">
        <v>9119</v>
      </c>
      <c r="CL1815" t="s">
        <v>971</v>
      </c>
      <c r="CM1815">
        <v>39.24</v>
      </c>
      <c r="CN1815">
        <v>28.36</v>
      </c>
      <c r="CO1815">
        <v>2.2599999999999998</v>
      </c>
      <c r="CP1815">
        <v>-15.76</v>
      </c>
      <c r="CQ1815">
        <v>1.51</v>
      </c>
      <c r="CR1815">
        <v>0.66</v>
      </c>
      <c r="CS1815" t="s">
        <v>4624</v>
      </c>
      <c r="CT1815">
        <v>4.5599999999999996</v>
      </c>
      <c r="CU1815">
        <v>4.5599999999999996</v>
      </c>
      <c r="CV1815">
        <v>1.31</v>
      </c>
      <c r="CW1815">
        <v>2.1</v>
      </c>
      <c r="CX1815">
        <v>-0.65</v>
      </c>
      <c r="CY1815">
        <v>20.38</v>
      </c>
      <c r="CZ1815" t="s">
        <v>9199</v>
      </c>
      <c r="DA1815">
        <v>31.49</v>
      </c>
      <c r="DB1815">
        <v>11.58</v>
      </c>
      <c r="DC1815">
        <v>10.039999999999999</v>
      </c>
      <c r="DD1815">
        <v>1.0900000000000001</v>
      </c>
      <c r="DE1815">
        <v>2858</v>
      </c>
      <c r="DF1815">
        <v>300422</v>
      </c>
      <c r="DG1815" t="s">
        <v>116</v>
      </c>
      <c r="DH1815" t="s">
        <v>116</v>
      </c>
      <c r="DI1815" t="s">
        <v>116</v>
      </c>
    </row>
    <row r="1816" spans="1:113" x14ac:dyDescent="0.4">
      <c r="A1816" t="str">
        <f>"300423"</f>
        <v>300423</v>
      </c>
      <c r="B1816" t="s">
        <v>9200</v>
      </c>
      <c r="C1816">
        <v>-2.09</v>
      </c>
      <c r="D1816">
        <v>13.13</v>
      </c>
      <c r="E1816">
        <v>-0.28000000000000003</v>
      </c>
      <c r="F1816">
        <v>13.13</v>
      </c>
      <c r="G1816">
        <v>13.14</v>
      </c>
      <c r="H1816">
        <v>38144</v>
      </c>
      <c r="I1816">
        <v>330</v>
      </c>
      <c r="J1816">
        <v>-7.0000000000000007E-2</v>
      </c>
      <c r="K1816">
        <v>1.52</v>
      </c>
      <c r="L1816">
        <v>13.3</v>
      </c>
      <c r="M1816">
        <v>13.65</v>
      </c>
      <c r="N1816">
        <v>13.13</v>
      </c>
      <c r="O1816">
        <v>13.41</v>
      </c>
      <c r="P1816">
        <v>11.29</v>
      </c>
      <c r="Q1816">
        <v>50918400</v>
      </c>
      <c r="R1816">
        <v>1.47</v>
      </c>
      <c r="S1816" t="s">
        <v>397</v>
      </c>
      <c r="T1816" t="s">
        <v>645</v>
      </c>
      <c r="U1816">
        <v>3.88</v>
      </c>
      <c r="V1816">
        <v>13.35</v>
      </c>
      <c r="W1816">
        <v>22670</v>
      </c>
      <c r="X1816">
        <v>15474</v>
      </c>
      <c r="Y1816">
        <v>1.47</v>
      </c>
      <c r="Z1816">
        <v>170</v>
      </c>
      <c r="AA1816">
        <v>75</v>
      </c>
      <c r="AB1816" t="s">
        <v>116</v>
      </c>
      <c r="AC1816">
        <v>623800</v>
      </c>
      <c r="AD1816">
        <v>0.02</v>
      </c>
      <c r="AE1816" t="s">
        <v>116</v>
      </c>
      <c r="AF1816" t="s">
        <v>116</v>
      </c>
      <c r="AG1816">
        <v>2.52</v>
      </c>
      <c r="AH1816" t="s">
        <v>9201</v>
      </c>
      <c r="AI1816" t="s">
        <v>9202</v>
      </c>
      <c r="AJ1816">
        <v>-1.41</v>
      </c>
      <c r="AK1816">
        <v>1916</v>
      </c>
      <c r="AL1816">
        <v>20</v>
      </c>
      <c r="AM1816">
        <v>8.0000000000000004E-4</v>
      </c>
      <c r="AN1816">
        <v>-1</v>
      </c>
      <c r="AO1816">
        <v>2.1</v>
      </c>
      <c r="AP1816">
        <v>9.9700000000000006</v>
      </c>
      <c r="AQ1816">
        <v>-4.37</v>
      </c>
      <c r="AR1816">
        <v>28.27</v>
      </c>
      <c r="AS1816">
        <v>1.92</v>
      </c>
      <c r="AT1816" t="s">
        <v>6671</v>
      </c>
      <c r="AU1816">
        <v>11.89</v>
      </c>
      <c r="AV1816">
        <v>14.55</v>
      </c>
      <c r="AW1816">
        <v>1.5</v>
      </c>
      <c r="BA1816">
        <v>-0.82</v>
      </c>
      <c r="BB1816">
        <v>1.79</v>
      </c>
      <c r="BC1816">
        <v>-2.09</v>
      </c>
      <c r="BD1816">
        <v>-0.45</v>
      </c>
      <c r="BE1816">
        <v>-1.28</v>
      </c>
      <c r="BF1816">
        <v>-3.81</v>
      </c>
      <c r="BG1816">
        <v>0</v>
      </c>
      <c r="BH1816">
        <v>-1.63</v>
      </c>
      <c r="BI1816">
        <v>20191030</v>
      </c>
      <c r="BJ1816">
        <v>20150217</v>
      </c>
      <c r="BK1816">
        <v>4.99</v>
      </c>
      <c r="BL1816" t="s">
        <v>116</v>
      </c>
      <c r="BM1816" t="s">
        <v>116</v>
      </c>
      <c r="BN1816">
        <v>76</v>
      </c>
      <c r="BO1816">
        <v>33.020000000000003</v>
      </c>
      <c r="BP1816">
        <v>0</v>
      </c>
      <c r="BQ1816">
        <v>56.55</v>
      </c>
      <c r="BR1816">
        <v>55.61</v>
      </c>
      <c r="BS1816">
        <v>1.8</v>
      </c>
      <c r="BT1816">
        <v>0.69</v>
      </c>
      <c r="BU1816">
        <v>36.020000000000003</v>
      </c>
      <c r="BV1816">
        <v>13.52</v>
      </c>
      <c r="BW1816">
        <v>12.78</v>
      </c>
      <c r="BX1816">
        <v>18.28</v>
      </c>
      <c r="BY1816">
        <v>28.3</v>
      </c>
      <c r="BZ1816">
        <v>17.059999999999999</v>
      </c>
      <c r="CA1816">
        <v>4.9800000000000004</v>
      </c>
      <c r="CB1816">
        <v>0.06</v>
      </c>
      <c r="CC1816">
        <v>4.9800000000000004</v>
      </c>
      <c r="CD1816">
        <v>4.3600000000000003</v>
      </c>
      <c r="CE1816">
        <v>4.3600000000000003</v>
      </c>
      <c r="CF1816">
        <v>4.3</v>
      </c>
      <c r="CG1816">
        <v>10.050000000000001</v>
      </c>
      <c r="CH1816">
        <v>-6.84</v>
      </c>
      <c r="CI1816">
        <v>-3.34</v>
      </c>
      <c r="CJ1816">
        <v>12667</v>
      </c>
      <c r="CK1816">
        <v>15714</v>
      </c>
      <c r="CL1816" t="s">
        <v>9203</v>
      </c>
      <c r="CM1816">
        <v>30.11</v>
      </c>
      <c r="CN1816">
        <v>30.32</v>
      </c>
      <c r="CO1816">
        <v>1.99</v>
      </c>
      <c r="CP1816">
        <v>-9.58</v>
      </c>
      <c r="CQ1816">
        <v>2.3199999999999998</v>
      </c>
      <c r="CR1816">
        <v>1.01</v>
      </c>
      <c r="CS1816" t="s">
        <v>4714</v>
      </c>
      <c r="CT1816">
        <v>6.61</v>
      </c>
      <c r="CU1816">
        <v>0</v>
      </c>
      <c r="CV1816">
        <v>3.66</v>
      </c>
      <c r="CW1816">
        <v>2.0099999999999998</v>
      </c>
      <c r="CX1816">
        <v>-1.37</v>
      </c>
      <c r="CY1816">
        <v>43.45</v>
      </c>
      <c r="CZ1816" t="s">
        <v>9204</v>
      </c>
      <c r="DA1816">
        <v>39.72</v>
      </c>
      <c r="DB1816">
        <v>17.600000000000001</v>
      </c>
      <c r="DC1816">
        <v>15.39</v>
      </c>
      <c r="DD1816">
        <v>1.1299999999999999</v>
      </c>
      <c r="DE1816">
        <v>1628</v>
      </c>
      <c r="DF1816">
        <v>300423</v>
      </c>
      <c r="DG1816" t="s">
        <v>116</v>
      </c>
      <c r="DH1816" t="s">
        <v>116</v>
      </c>
      <c r="DI1816" t="s">
        <v>116</v>
      </c>
    </row>
    <row r="1817" spans="1:113" x14ac:dyDescent="0.4">
      <c r="A1817" t="str">
        <f>"300424"</f>
        <v>300424</v>
      </c>
      <c r="B1817" t="s">
        <v>9205</v>
      </c>
      <c r="C1817">
        <v>-1.36</v>
      </c>
      <c r="D1817">
        <v>15.92</v>
      </c>
      <c r="E1817">
        <v>-0.22</v>
      </c>
      <c r="F1817">
        <v>15.91</v>
      </c>
      <c r="G1817">
        <v>15.92</v>
      </c>
      <c r="H1817">
        <v>32190</v>
      </c>
      <c r="I1817">
        <v>234</v>
      </c>
      <c r="J1817">
        <v>0.19</v>
      </c>
      <c r="K1817">
        <v>1.68</v>
      </c>
      <c r="L1817">
        <v>16.16</v>
      </c>
      <c r="M1817">
        <v>16.22</v>
      </c>
      <c r="N1817">
        <v>15.75</v>
      </c>
      <c r="O1817">
        <v>16.14</v>
      </c>
      <c r="P1817">
        <v>54.2</v>
      </c>
      <c r="Q1817">
        <v>51523064</v>
      </c>
      <c r="R1817">
        <v>1.54</v>
      </c>
      <c r="S1817" t="s">
        <v>1789</v>
      </c>
      <c r="T1817" t="s">
        <v>551</v>
      </c>
      <c r="U1817">
        <v>2.91</v>
      </c>
      <c r="V1817">
        <v>16.010000000000002</v>
      </c>
      <c r="W1817">
        <v>16308</v>
      </c>
      <c r="X1817">
        <v>15882</v>
      </c>
      <c r="Y1817">
        <v>1.03</v>
      </c>
      <c r="Z1817">
        <v>236</v>
      </c>
      <c r="AA1817">
        <v>25</v>
      </c>
      <c r="AB1817" t="s">
        <v>116</v>
      </c>
      <c r="AC1817">
        <v>11300</v>
      </c>
      <c r="AD1817">
        <v>0</v>
      </c>
      <c r="AE1817" t="s">
        <v>116</v>
      </c>
      <c r="AF1817" t="s">
        <v>116</v>
      </c>
      <c r="AG1817">
        <v>1.92</v>
      </c>
      <c r="AH1817" t="s">
        <v>2712</v>
      </c>
      <c r="AI1817" t="s">
        <v>376</v>
      </c>
      <c r="AJ1817">
        <v>-0.68</v>
      </c>
      <c r="AK1817">
        <v>1854</v>
      </c>
      <c r="AL1817">
        <v>17</v>
      </c>
      <c r="AM1817">
        <v>8.9999999999999998E-4</v>
      </c>
      <c r="AN1817">
        <v>-1</v>
      </c>
      <c r="AO1817">
        <v>-0.43</v>
      </c>
      <c r="AP1817">
        <v>8.23</v>
      </c>
      <c r="AQ1817">
        <v>-4.78</v>
      </c>
      <c r="AR1817">
        <v>14.31</v>
      </c>
      <c r="AS1817">
        <v>2.42</v>
      </c>
      <c r="AT1817" t="s">
        <v>9206</v>
      </c>
      <c r="AU1817">
        <v>64.5</v>
      </c>
      <c r="AV1817">
        <v>75.94</v>
      </c>
      <c r="AW1817">
        <v>1.03</v>
      </c>
      <c r="BA1817">
        <v>0.12</v>
      </c>
      <c r="BB1817">
        <v>0.5</v>
      </c>
      <c r="BC1817">
        <v>-2.42</v>
      </c>
      <c r="BD1817">
        <v>-0.83</v>
      </c>
      <c r="BE1817">
        <v>-1.49</v>
      </c>
      <c r="BF1817">
        <v>-1.85</v>
      </c>
      <c r="BG1817">
        <v>1.08</v>
      </c>
      <c r="BH1817">
        <v>-0.53</v>
      </c>
      <c r="BI1817">
        <v>20191030</v>
      </c>
      <c r="BJ1817">
        <v>20150422</v>
      </c>
      <c r="BK1817">
        <v>2.4</v>
      </c>
      <c r="BL1817" t="s">
        <v>116</v>
      </c>
      <c r="BM1817" t="s">
        <v>116</v>
      </c>
      <c r="BN1817">
        <v>23.81</v>
      </c>
      <c r="BO1817">
        <v>10.11</v>
      </c>
      <c r="BP1817">
        <v>0</v>
      </c>
      <c r="BQ1817">
        <v>57.55</v>
      </c>
      <c r="BR1817">
        <v>13.52</v>
      </c>
      <c r="BS1817">
        <v>3.16</v>
      </c>
      <c r="BT1817">
        <v>1.1299999999999999</v>
      </c>
      <c r="BU1817">
        <v>8.44</v>
      </c>
      <c r="BV1817">
        <v>5.38</v>
      </c>
      <c r="BW1817">
        <v>4.92</v>
      </c>
      <c r="BX1817">
        <v>2.13</v>
      </c>
      <c r="BY1817">
        <v>9.7100000000000009</v>
      </c>
      <c r="BZ1817">
        <v>7.17</v>
      </c>
      <c r="CA1817">
        <v>0.56000000000000005</v>
      </c>
      <c r="CB1817">
        <v>0.04</v>
      </c>
      <c r="CC1817">
        <v>0.56999999999999995</v>
      </c>
      <c r="CD1817">
        <v>0.52</v>
      </c>
      <c r="CE1817">
        <v>0.53</v>
      </c>
      <c r="CF1817">
        <v>0.41</v>
      </c>
      <c r="CG1817">
        <v>5.18</v>
      </c>
      <c r="CH1817">
        <v>-0.14000000000000001</v>
      </c>
      <c r="CI1817">
        <v>-0.68</v>
      </c>
      <c r="CJ1817">
        <v>22347</v>
      </c>
      <c r="CK1817">
        <v>5954</v>
      </c>
      <c r="CL1817" t="s">
        <v>5067</v>
      </c>
      <c r="CM1817">
        <v>20.32</v>
      </c>
      <c r="CN1817">
        <v>95.95</v>
      </c>
      <c r="CO1817">
        <v>3.78</v>
      </c>
      <c r="CP1817">
        <v>-267.63</v>
      </c>
      <c r="CQ1817">
        <v>3.93</v>
      </c>
      <c r="CR1817">
        <v>0.08</v>
      </c>
      <c r="CS1817" t="s">
        <v>1244</v>
      </c>
      <c r="CT1817">
        <v>4.21</v>
      </c>
      <c r="CU1817">
        <v>0</v>
      </c>
      <c r="CV1817">
        <v>0.89</v>
      </c>
      <c r="CW1817">
        <v>2.16</v>
      </c>
      <c r="CX1817">
        <v>-0.06</v>
      </c>
      <c r="CY1817">
        <v>42.45</v>
      </c>
      <c r="CZ1817" t="s">
        <v>8471</v>
      </c>
      <c r="DA1817">
        <v>26.1</v>
      </c>
      <c r="DB1817">
        <v>5.8</v>
      </c>
      <c r="DC1817">
        <v>5.45</v>
      </c>
      <c r="DD1817">
        <v>0.27</v>
      </c>
      <c r="DE1817">
        <v>1048</v>
      </c>
      <c r="DF1817">
        <v>300424</v>
      </c>
      <c r="DG1817" t="s">
        <v>116</v>
      </c>
      <c r="DH1817" t="s">
        <v>116</v>
      </c>
      <c r="DI1817" t="s">
        <v>116</v>
      </c>
    </row>
    <row r="1818" spans="1:113" x14ac:dyDescent="0.4">
      <c r="A1818" t="str">
        <f>"300425"</f>
        <v>300425</v>
      </c>
      <c r="B1818" t="s">
        <v>9207</v>
      </c>
      <c r="C1818">
        <v>-0.46</v>
      </c>
      <c r="D1818">
        <v>4.3600000000000003</v>
      </c>
      <c r="E1818">
        <v>-0.02</v>
      </c>
      <c r="F1818">
        <v>4.3499999999999996</v>
      </c>
      <c r="G1818">
        <v>4.3600000000000003</v>
      </c>
      <c r="H1818">
        <v>21010</v>
      </c>
      <c r="I1818">
        <v>147</v>
      </c>
      <c r="J1818">
        <v>0.23</v>
      </c>
      <c r="K1818">
        <v>0.33</v>
      </c>
      <c r="L1818">
        <v>4.3899999999999997</v>
      </c>
      <c r="M1818">
        <v>4.4000000000000004</v>
      </c>
      <c r="N1818">
        <v>4.3499999999999996</v>
      </c>
      <c r="O1818">
        <v>4.38</v>
      </c>
      <c r="P1818">
        <v>35.89</v>
      </c>
      <c r="Q1818">
        <v>9170769</v>
      </c>
      <c r="R1818">
        <v>0.82</v>
      </c>
      <c r="S1818" t="s">
        <v>140</v>
      </c>
      <c r="T1818" t="s">
        <v>582</v>
      </c>
      <c r="U1818">
        <v>1.1399999999999999</v>
      </c>
      <c r="V1818">
        <v>4.37</v>
      </c>
      <c r="W1818">
        <v>13208</v>
      </c>
      <c r="X1818">
        <v>7802</v>
      </c>
      <c r="Y1818">
        <v>1.69</v>
      </c>
      <c r="Z1818">
        <v>556</v>
      </c>
      <c r="AA1818">
        <v>727</v>
      </c>
      <c r="AB1818" t="s">
        <v>116</v>
      </c>
      <c r="AC1818">
        <v>900</v>
      </c>
      <c r="AD1818">
        <v>0</v>
      </c>
      <c r="AE1818" t="s">
        <v>116</v>
      </c>
      <c r="AF1818" t="s">
        <v>116</v>
      </c>
      <c r="AG1818">
        <v>6.39</v>
      </c>
      <c r="AH1818" t="s">
        <v>9208</v>
      </c>
      <c r="AI1818" t="s">
        <v>8035</v>
      </c>
      <c r="AJ1818">
        <v>0.22</v>
      </c>
      <c r="AK1818">
        <v>497</v>
      </c>
      <c r="AL1818">
        <v>42</v>
      </c>
      <c r="AM1818">
        <v>6.9999999999999999E-4</v>
      </c>
      <c r="AN1818">
        <v>-1</v>
      </c>
      <c r="AO1818">
        <v>0.7</v>
      </c>
      <c r="AP1818">
        <v>0.46</v>
      </c>
      <c r="AQ1818">
        <v>-10.47</v>
      </c>
      <c r="AR1818">
        <v>-0.68</v>
      </c>
      <c r="AS1818">
        <v>0.61</v>
      </c>
      <c r="AT1818" t="s">
        <v>6369</v>
      </c>
      <c r="AU1818">
        <v>26.34</v>
      </c>
      <c r="AV1818">
        <v>21.46</v>
      </c>
      <c r="AW1818">
        <v>1.05</v>
      </c>
      <c r="BA1818">
        <v>0.23</v>
      </c>
      <c r="BB1818">
        <v>0.46</v>
      </c>
      <c r="BC1818">
        <v>-0.68</v>
      </c>
      <c r="BD1818">
        <v>-0.34</v>
      </c>
      <c r="BE1818">
        <v>-0.68</v>
      </c>
      <c r="BF1818">
        <v>-0.91</v>
      </c>
      <c r="BG1818">
        <v>0.23</v>
      </c>
      <c r="BH1818">
        <v>-0.12</v>
      </c>
      <c r="BI1818">
        <v>20191212</v>
      </c>
      <c r="BJ1818">
        <v>20150216</v>
      </c>
      <c r="BK1818">
        <v>6.76</v>
      </c>
      <c r="BL1818" t="s">
        <v>116</v>
      </c>
      <c r="BM1818" t="s">
        <v>116</v>
      </c>
      <c r="BN1818">
        <v>31.2</v>
      </c>
      <c r="BO1818">
        <v>16.059999999999999</v>
      </c>
      <c r="BP1818">
        <v>1.5</v>
      </c>
      <c r="BQ1818">
        <v>43.71</v>
      </c>
      <c r="BR1818">
        <v>17.100000000000001</v>
      </c>
      <c r="BS1818">
        <v>3.08</v>
      </c>
      <c r="BT1818">
        <v>5.18</v>
      </c>
      <c r="BU1818">
        <v>12</v>
      </c>
      <c r="BV1818">
        <v>5.22</v>
      </c>
      <c r="BW1818">
        <v>8.1999999999999993</v>
      </c>
      <c r="BX1818">
        <v>4.87</v>
      </c>
      <c r="BY1818">
        <v>6.52</v>
      </c>
      <c r="BZ1818">
        <v>3.76</v>
      </c>
      <c r="CA1818">
        <v>0.71</v>
      </c>
      <c r="CB1818">
        <v>0.03</v>
      </c>
      <c r="CC1818">
        <v>0.77</v>
      </c>
      <c r="CD1818">
        <v>0.63</v>
      </c>
      <c r="CE1818">
        <v>0.62</v>
      </c>
      <c r="CF1818">
        <v>0.56000000000000005</v>
      </c>
      <c r="CG1818">
        <v>3.98</v>
      </c>
      <c r="CH1818">
        <v>0.28999999999999998</v>
      </c>
      <c r="CI1818">
        <v>-1.75</v>
      </c>
      <c r="CJ1818">
        <v>19768</v>
      </c>
      <c r="CK1818">
        <v>17402</v>
      </c>
      <c r="CL1818" t="s">
        <v>4073</v>
      </c>
      <c r="CM1818">
        <v>-29.25</v>
      </c>
      <c r="CN1818">
        <v>7</v>
      </c>
      <c r="CO1818">
        <v>1.83</v>
      </c>
      <c r="CP1818">
        <v>101.44</v>
      </c>
      <c r="CQ1818">
        <v>4.5199999999999996</v>
      </c>
      <c r="CR1818">
        <v>1.1499999999999999</v>
      </c>
      <c r="CS1818" t="s">
        <v>1381</v>
      </c>
      <c r="CT1818">
        <v>2.38</v>
      </c>
      <c r="CU1818">
        <v>0</v>
      </c>
      <c r="CV1818">
        <v>0.72</v>
      </c>
      <c r="CW1818">
        <v>0.59</v>
      </c>
      <c r="CX1818">
        <v>0.04</v>
      </c>
      <c r="CY1818">
        <v>51.5</v>
      </c>
      <c r="CZ1818" t="s">
        <v>1523</v>
      </c>
      <c r="DA1818">
        <v>42.23</v>
      </c>
      <c r="DB1818">
        <v>10.96</v>
      </c>
      <c r="DC1818">
        <v>9.4499999999999993</v>
      </c>
      <c r="DD1818">
        <v>0.18</v>
      </c>
      <c r="DE1818">
        <v>1570</v>
      </c>
      <c r="DF1818">
        <v>300425</v>
      </c>
      <c r="DG1818" t="s">
        <v>116</v>
      </c>
      <c r="DH1818" t="s">
        <v>116</v>
      </c>
      <c r="DI1818" t="s">
        <v>116</v>
      </c>
    </row>
    <row r="1819" spans="1:113" x14ac:dyDescent="0.4">
      <c r="A1819" t="str">
        <f>"300426"</f>
        <v>300426</v>
      </c>
      <c r="B1819" t="s">
        <v>9209</v>
      </c>
      <c r="C1819">
        <v>-3.62</v>
      </c>
      <c r="D1819">
        <v>6.39</v>
      </c>
      <c r="E1819">
        <v>-0.24</v>
      </c>
      <c r="F1819">
        <v>6.38</v>
      </c>
      <c r="G1819">
        <v>6.39</v>
      </c>
      <c r="H1819">
        <v>104600</v>
      </c>
      <c r="I1819">
        <v>1557</v>
      </c>
      <c r="J1819">
        <v>0.31</v>
      </c>
      <c r="K1819">
        <v>4.24</v>
      </c>
      <c r="L1819">
        <v>6.6</v>
      </c>
      <c r="M1819">
        <v>6.77</v>
      </c>
      <c r="N1819">
        <v>6.33</v>
      </c>
      <c r="O1819">
        <v>6.63</v>
      </c>
      <c r="P1819" t="s">
        <v>116</v>
      </c>
      <c r="Q1819">
        <v>67985712</v>
      </c>
      <c r="R1819">
        <v>1.27</v>
      </c>
      <c r="S1819" t="s">
        <v>589</v>
      </c>
      <c r="T1819" t="s">
        <v>590</v>
      </c>
      <c r="U1819">
        <v>6.64</v>
      </c>
      <c r="V1819">
        <v>6.5</v>
      </c>
      <c r="W1819">
        <v>62685</v>
      </c>
      <c r="X1819">
        <v>41915</v>
      </c>
      <c r="Y1819">
        <v>1.5</v>
      </c>
      <c r="Z1819">
        <v>30</v>
      </c>
      <c r="AA1819">
        <v>259</v>
      </c>
      <c r="AB1819" t="s">
        <v>116</v>
      </c>
      <c r="AC1819">
        <v>196700</v>
      </c>
      <c r="AD1819">
        <v>0.01</v>
      </c>
      <c r="AE1819" t="s">
        <v>116</v>
      </c>
      <c r="AF1819" t="s">
        <v>116</v>
      </c>
      <c r="AG1819">
        <v>2.4700000000000002</v>
      </c>
      <c r="AH1819" t="s">
        <v>8516</v>
      </c>
      <c r="AI1819" t="s">
        <v>9210</v>
      </c>
      <c r="AJ1819">
        <v>-2.94</v>
      </c>
      <c r="AK1819">
        <v>1439</v>
      </c>
      <c r="AL1819">
        <v>73</v>
      </c>
      <c r="AM1819">
        <v>2.8999999999999998E-3</v>
      </c>
      <c r="AN1819">
        <v>-1</v>
      </c>
      <c r="AO1819">
        <v>-1.24</v>
      </c>
      <c r="AP1819">
        <v>17.899999999999999</v>
      </c>
      <c r="AQ1819">
        <v>4.24</v>
      </c>
      <c r="AR1819">
        <v>-6.3</v>
      </c>
      <c r="AS1819">
        <v>5.01</v>
      </c>
      <c r="AT1819" t="s">
        <v>844</v>
      </c>
      <c r="AU1819" t="s">
        <v>116</v>
      </c>
      <c r="AV1819" t="s">
        <v>116</v>
      </c>
      <c r="AW1819">
        <v>0.83</v>
      </c>
      <c r="BA1819">
        <v>-0.45</v>
      </c>
      <c r="BB1819">
        <v>2.11</v>
      </c>
      <c r="BC1819">
        <v>-4.5199999999999996</v>
      </c>
      <c r="BD1819">
        <v>-1.97</v>
      </c>
      <c r="BE1819">
        <v>-3.18</v>
      </c>
      <c r="BF1819">
        <v>-5.61</v>
      </c>
      <c r="BG1819">
        <v>0.95</v>
      </c>
      <c r="BH1819">
        <v>-1.65</v>
      </c>
      <c r="BI1819">
        <v>20191205</v>
      </c>
      <c r="BJ1819">
        <v>20150217</v>
      </c>
      <c r="BK1819">
        <v>4.21</v>
      </c>
      <c r="BL1819" t="s">
        <v>116</v>
      </c>
      <c r="BM1819" t="s">
        <v>116</v>
      </c>
      <c r="BN1819">
        <v>27.04</v>
      </c>
      <c r="BO1819">
        <v>2.2000000000000002</v>
      </c>
      <c r="BP1819">
        <v>-0.17</v>
      </c>
      <c r="BQ1819">
        <v>92.53</v>
      </c>
      <c r="BR1819">
        <v>25.19</v>
      </c>
      <c r="BS1819">
        <v>0.17</v>
      </c>
      <c r="BT1819">
        <v>0</v>
      </c>
      <c r="BU1819">
        <v>21.99</v>
      </c>
      <c r="BV1819">
        <v>14.38</v>
      </c>
      <c r="BW1819">
        <v>4.57</v>
      </c>
      <c r="BX1819">
        <v>1.43</v>
      </c>
      <c r="BY1819">
        <v>-3.61</v>
      </c>
      <c r="BZ1819">
        <v>-0.9</v>
      </c>
      <c r="CA1819">
        <v>-0.53</v>
      </c>
      <c r="CB1819">
        <v>0</v>
      </c>
      <c r="CC1819">
        <v>-0.53</v>
      </c>
      <c r="CD1819">
        <v>-0.55000000000000004</v>
      </c>
      <c r="CE1819">
        <v>-0.43</v>
      </c>
      <c r="CF1819">
        <v>-0.43</v>
      </c>
      <c r="CG1819">
        <v>-3.24</v>
      </c>
      <c r="CH1819">
        <v>-0.27</v>
      </c>
      <c r="CI1819">
        <v>0.69</v>
      </c>
      <c r="CJ1819">
        <v>15810</v>
      </c>
      <c r="CK1819">
        <v>13211</v>
      </c>
      <c r="CL1819" t="s">
        <v>6215</v>
      </c>
      <c r="CM1819">
        <v>-142.81</v>
      </c>
      <c r="CN1819">
        <v>-158.77000000000001</v>
      </c>
      <c r="CO1819">
        <v>12.03</v>
      </c>
      <c r="CP1819">
        <v>-100.66</v>
      </c>
      <c r="CQ1819">
        <v>-7.45</v>
      </c>
      <c r="CR1819">
        <v>0</v>
      </c>
      <c r="CS1819" t="s">
        <v>5970</v>
      </c>
      <c r="CT1819">
        <v>0.53</v>
      </c>
      <c r="CU1819">
        <v>0.53</v>
      </c>
      <c r="CV1819">
        <v>0.34</v>
      </c>
      <c r="CW1819">
        <v>-0.77</v>
      </c>
      <c r="CX1819">
        <v>-0.06</v>
      </c>
      <c r="CY1819">
        <v>8.1199999999999992</v>
      </c>
      <c r="CZ1819" t="s">
        <v>9211</v>
      </c>
      <c r="DA1819" t="s">
        <v>116</v>
      </c>
      <c r="DB1819" t="s">
        <v>116</v>
      </c>
      <c r="DC1819" t="s">
        <v>116</v>
      </c>
      <c r="DD1819">
        <v>0</v>
      </c>
      <c r="DE1819">
        <v>343</v>
      </c>
      <c r="DF1819">
        <v>300426</v>
      </c>
      <c r="DG1819" t="s">
        <v>116</v>
      </c>
      <c r="DH1819" t="s">
        <v>116</v>
      </c>
      <c r="DI1819" t="s">
        <v>116</v>
      </c>
    </row>
    <row r="1820" spans="1:113" x14ac:dyDescent="0.4">
      <c r="A1820" t="str">
        <f>"300427"</f>
        <v>300427</v>
      </c>
      <c r="B1820" t="s">
        <v>9212</v>
      </c>
      <c r="C1820">
        <v>-1.9</v>
      </c>
      <c r="D1820">
        <v>13.95</v>
      </c>
      <c r="E1820">
        <v>-0.27</v>
      </c>
      <c r="F1820">
        <v>13.94</v>
      </c>
      <c r="G1820">
        <v>13.95</v>
      </c>
      <c r="H1820">
        <v>42157</v>
      </c>
      <c r="I1820">
        <v>368</v>
      </c>
      <c r="J1820">
        <v>-0.35</v>
      </c>
      <c r="K1820">
        <v>1.7</v>
      </c>
      <c r="L1820">
        <v>14.3</v>
      </c>
      <c r="M1820">
        <v>14.32</v>
      </c>
      <c r="N1820">
        <v>13.93</v>
      </c>
      <c r="O1820">
        <v>14.22</v>
      </c>
      <c r="P1820">
        <v>18.91</v>
      </c>
      <c r="Q1820">
        <v>59511892</v>
      </c>
      <c r="R1820">
        <v>0.93</v>
      </c>
      <c r="S1820" t="s">
        <v>397</v>
      </c>
      <c r="T1820" t="s">
        <v>975</v>
      </c>
      <c r="U1820">
        <v>2.74</v>
      </c>
      <c r="V1820">
        <v>14.12</v>
      </c>
      <c r="W1820">
        <v>22172</v>
      </c>
      <c r="X1820">
        <v>19985</v>
      </c>
      <c r="Y1820">
        <v>1.1100000000000001</v>
      </c>
      <c r="Z1820">
        <v>15</v>
      </c>
      <c r="AA1820">
        <v>142</v>
      </c>
      <c r="AB1820" t="s">
        <v>116</v>
      </c>
      <c r="AC1820">
        <v>52900</v>
      </c>
      <c r="AD1820">
        <v>0</v>
      </c>
      <c r="AE1820" t="s">
        <v>116</v>
      </c>
      <c r="AF1820" t="s">
        <v>116</v>
      </c>
      <c r="AG1820">
        <v>2.48</v>
      </c>
      <c r="AH1820" t="s">
        <v>5294</v>
      </c>
      <c r="AI1820" t="s">
        <v>2991</v>
      </c>
      <c r="AJ1820">
        <v>-1.22</v>
      </c>
      <c r="AK1820">
        <v>2259</v>
      </c>
      <c r="AL1820">
        <v>19</v>
      </c>
      <c r="AM1820">
        <v>8.0000000000000004E-4</v>
      </c>
      <c r="AN1820">
        <v>-3</v>
      </c>
      <c r="AO1820">
        <v>-2.79</v>
      </c>
      <c r="AP1820">
        <v>15.67</v>
      </c>
      <c r="AQ1820">
        <v>1.23</v>
      </c>
      <c r="AR1820">
        <v>27.85</v>
      </c>
      <c r="AS1820">
        <v>3.44</v>
      </c>
      <c r="AT1820" t="s">
        <v>7792</v>
      </c>
      <c r="AU1820">
        <v>19.329999999999998</v>
      </c>
      <c r="AV1820">
        <v>21.79</v>
      </c>
      <c r="AW1820">
        <v>1.28</v>
      </c>
      <c r="BA1820">
        <v>0.56000000000000005</v>
      </c>
      <c r="BB1820">
        <v>0.7</v>
      </c>
      <c r="BC1820">
        <v>-2.04</v>
      </c>
      <c r="BD1820">
        <v>-0.73</v>
      </c>
      <c r="BE1820">
        <v>-2.4500000000000002</v>
      </c>
      <c r="BF1820">
        <v>-2.58</v>
      </c>
      <c r="BG1820">
        <v>0.14000000000000001</v>
      </c>
      <c r="BH1820">
        <v>-1.17</v>
      </c>
      <c r="BI1820">
        <v>20191029</v>
      </c>
      <c r="BJ1820">
        <v>20150217</v>
      </c>
      <c r="BK1820">
        <v>3.58</v>
      </c>
      <c r="BL1820" t="s">
        <v>116</v>
      </c>
      <c r="BM1820" t="s">
        <v>116</v>
      </c>
      <c r="BN1820">
        <v>43.32</v>
      </c>
      <c r="BO1820">
        <v>21.29</v>
      </c>
      <c r="BP1820">
        <v>1.08</v>
      </c>
      <c r="BQ1820">
        <v>48.36</v>
      </c>
      <c r="BR1820">
        <v>18.149999999999999</v>
      </c>
      <c r="BS1820">
        <v>3.51</v>
      </c>
      <c r="BT1820">
        <v>0.77</v>
      </c>
      <c r="BU1820">
        <v>19.739999999999998</v>
      </c>
      <c r="BV1820">
        <v>2.44</v>
      </c>
      <c r="BW1820">
        <v>11.05</v>
      </c>
      <c r="BX1820">
        <v>9.73</v>
      </c>
      <c r="BY1820">
        <v>9.57</v>
      </c>
      <c r="BZ1820">
        <v>5.25</v>
      </c>
      <c r="CA1820">
        <v>2.5099999999999998</v>
      </c>
      <c r="CB1820">
        <v>0</v>
      </c>
      <c r="CC1820">
        <v>2.5099999999999998</v>
      </c>
      <c r="CD1820">
        <v>2.13</v>
      </c>
      <c r="CE1820">
        <v>1.98</v>
      </c>
      <c r="CF1820">
        <v>1.87</v>
      </c>
      <c r="CG1820">
        <v>7.49</v>
      </c>
      <c r="CH1820">
        <v>-0.09</v>
      </c>
      <c r="CI1820">
        <v>-2.2000000000000002</v>
      </c>
      <c r="CJ1820">
        <v>16271</v>
      </c>
      <c r="CK1820">
        <v>7542</v>
      </c>
      <c r="CL1820" t="s">
        <v>9213</v>
      </c>
      <c r="CM1820">
        <v>17.239999999999998</v>
      </c>
      <c r="CN1820">
        <v>8.4</v>
      </c>
      <c r="CO1820">
        <v>2.35</v>
      </c>
      <c r="CP1820">
        <v>-527.66999999999996</v>
      </c>
      <c r="CQ1820">
        <v>5.22</v>
      </c>
      <c r="CR1820">
        <v>0.92</v>
      </c>
      <c r="CS1820" t="s">
        <v>5074</v>
      </c>
      <c r="CT1820">
        <v>5.94</v>
      </c>
      <c r="CU1820">
        <v>0</v>
      </c>
      <c r="CV1820">
        <v>2.71</v>
      </c>
      <c r="CW1820">
        <v>2.09</v>
      </c>
      <c r="CX1820">
        <v>-0.03</v>
      </c>
      <c r="CY1820">
        <v>49.14</v>
      </c>
      <c r="CZ1820" t="s">
        <v>7522</v>
      </c>
      <c r="DA1820">
        <v>45.15</v>
      </c>
      <c r="DB1820">
        <v>26.21</v>
      </c>
      <c r="DC1820">
        <v>20.71</v>
      </c>
      <c r="DD1820">
        <v>0.45</v>
      </c>
      <c r="DE1820">
        <v>1176</v>
      </c>
      <c r="DF1820">
        <v>300427</v>
      </c>
      <c r="DG1820" t="s">
        <v>116</v>
      </c>
      <c r="DH1820" t="s">
        <v>116</v>
      </c>
      <c r="DI1820" t="s">
        <v>116</v>
      </c>
    </row>
    <row r="1821" spans="1:113" x14ac:dyDescent="0.4">
      <c r="A1821" t="str">
        <f>"300428"</f>
        <v>300428</v>
      </c>
      <c r="B1821" t="s">
        <v>9214</v>
      </c>
      <c r="C1821">
        <v>-1.31</v>
      </c>
      <c r="D1821">
        <v>14.33</v>
      </c>
      <c r="E1821">
        <v>-0.19</v>
      </c>
      <c r="F1821">
        <v>14.31</v>
      </c>
      <c r="G1821">
        <v>14.33</v>
      </c>
      <c r="H1821">
        <v>62741</v>
      </c>
      <c r="I1821">
        <v>1408</v>
      </c>
      <c r="J1821">
        <v>0.42</v>
      </c>
      <c r="K1821">
        <v>4.54</v>
      </c>
      <c r="L1821">
        <v>14.65</v>
      </c>
      <c r="M1821">
        <v>14.7</v>
      </c>
      <c r="N1821">
        <v>14.2</v>
      </c>
      <c r="O1821">
        <v>14.52</v>
      </c>
      <c r="P1821">
        <v>18.5</v>
      </c>
      <c r="Q1821">
        <v>90323920</v>
      </c>
      <c r="R1821">
        <v>1.35</v>
      </c>
      <c r="S1821" t="s">
        <v>1428</v>
      </c>
      <c r="T1821" t="s">
        <v>608</v>
      </c>
      <c r="U1821">
        <v>3.44</v>
      </c>
      <c r="V1821">
        <v>14.4</v>
      </c>
      <c r="W1821">
        <v>32850</v>
      </c>
      <c r="X1821">
        <v>29891</v>
      </c>
      <c r="Y1821">
        <v>1.1000000000000001</v>
      </c>
      <c r="Z1821">
        <v>325</v>
      </c>
      <c r="AA1821">
        <v>131</v>
      </c>
      <c r="AB1821" t="s">
        <v>116</v>
      </c>
      <c r="AC1821">
        <v>2112500</v>
      </c>
      <c r="AD1821">
        <v>0.17</v>
      </c>
      <c r="AE1821" t="s">
        <v>116</v>
      </c>
      <c r="AF1821" t="s">
        <v>116</v>
      </c>
      <c r="AG1821">
        <v>1.38</v>
      </c>
      <c r="AH1821" t="s">
        <v>9215</v>
      </c>
      <c r="AI1821" t="s">
        <v>9216</v>
      </c>
      <c r="AJ1821">
        <v>-0.63</v>
      </c>
      <c r="AK1821">
        <v>2316</v>
      </c>
      <c r="AL1821">
        <v>27</v>
      </c>
      <c r="AM1821">
        <v>2E-3</v>
      </c>
      <c r="AN1821">
        <v>-1</v>
      </c>
      <c r="AO1821">
        <v>3.99</v>
      </c>
      <c r="AP1821">
        <v>17.46</v>
      </c>
      <c r="AQ1821">
        <v>10.23</v>
      </c>
      <c r="AR1821">
        <v>31.35</v>
      </c>
      <c r="AS1821">
        <v>7.2</v>
      </c>
      <c r="AT1821" t="s">
        <v>7012</v>
      </c>
      <c r="AU1821">
        <v>18.96</v>
      </c>
      <c r="AV1821">
        <v>21.24</v>
      </c>
      <c r="AW1821">
        <v>1.45</v>
      </c>
      <c r="BA1821">
        <v>0.9</v>
      </c>
      <c r="BB1821">
        <v>1.24</v>
      </c>
      <c r="BC1821">
        <v>-2.2000000000000002</v>
      </c>
      <c r="BD1821">
        <v>-0.85</v>
      </c>
      <c r="BE1821">
        <v>-2.1800000000000002</v>
      </c>
      <c r="BF1821">
        <v>-2.52</v>
      </c>
      <c r="BG1821">
        <v>0.92</v>
      </c>
      <c r="BH1821">
        <v>-0.46</v>
      </c>
      <c r="BI1821">
        <v>20191101</v>
      </c>
      <c r="BJ1821">
        <v>20150319</v>
      </c>
      <c r="BK1821">
        <v>5.78</v>
      </c>
      <c r="BL1821" t="s">
        <v>116</v>
      </c>
      <c r="BM1821" t="s">
        <v>116</v>
      </c>
      <c r="BN1821">
        <v>67.98</v>
      </c>
      <c r="BO1821">
        <v>37.200000000000003</v>
      </c>
      <c r="BP1821">
        <v>0.22</v>
      </c>
      <c r="BQ1821">
        <v>44.96</v>
      </c>
      <c r="BR1821">
        <v>41.3</v>
      </c>
      <c r="BS1821">
        <v>17.28</v>
      </c>
      <c r="BT1821">
        <v>3.96</v>
      </c>
      <c r="BU1821">
        <v>24.71</v>
      </c>
      <c r="BV1821">
        <v>11.39</v>
      </c>
      <c r="BW1821">
        <v>10.029999999999999</v>
      </c>
      <c r="BX1821">
        <v>14.52</v>
      </c>
      <c r="BY1821">
        <v>47.69</v>
      </c>
      <c r="BZ1821">
        <v>38.03</v>
      </c>
      <c r="CA1821">
        <v>3.86</v>
      </c>
      <c r="CB1821">
        <v>0.05</v>
      </c>
      <c r="CC1821">
        <v>3.86</v>
      </c>
      <c r="CD1821">
        <v>3.38</v>
      </c>
      <c r="CE1821">
        <v>3.36</v>
      </c>
      <c r="CF1821">
        <v>3.22</v>
      </c>
      <c r="CG1821">
        <v>15.18</v>
      </c>
      <c r="CH1821">
        <v>4.7699999999999996</v>
      </c>
      <c r="CI1821">
        <v>-1.49</v>
      </c>
      <c r="CJ1821">
        <v>15378</v>
      </c>
      <c r="CK1821">
        <v>5664</v>
      </c>
      <c r="CL1821" t="s">
        <v>8364</v>
      </c>
      <c r="CM1821">
        <v>16.27</v>
      </c>
      <c r="CN1821">
        <v>-5.51</v>
      </c>
      <c r="CO1821">
        <v>2.23</v>
      </c>
      <c r="CP1821">
        <v>17.36</v>
      </c>
      <c r="CQ1821">
        <v>1.74</v>
      </c>
      <c r="CR1821">
        <v>0.77</v>
      </c>
      <c r="CS1821" t="s">
        <v>986</v>
      </c>
      <c r="CT1821">
        <v>6.43</v>
      </c>
      <c r="CU1821">
        <v>0</v>
      </c>
      <c r="CV1821">
        <v>2.5099999999999998</v>
      </c>
      <c r="CW1821">
        <v>2.62</v>
      </c>
      <c r="CX1821">
        <v>0.83</v>
      </c>
      <c r="CY1821">
        <v>54.72</v>
      </c>
      <c r="CZ1821" t="s">
        <v>6154</v>
      </c>
      <c r="DA1821">
        <v>20.25</v>
      </c>
      <c r="DB1821">
        <v>8.09</v>
      </c>
      <c r="DC1821">
        <v>7.05</v>
      </c>
      <c r="DD1821">
        <v>1.94</v>
      </c>
      <c r="DE1821">
        <v>7536</v>
      </c>
      <c r="DF1821">
        <v>300428</v>
      </c>
      <c r="DG1821" t="s">
        <v>116</v>
      </c>
      <c r="DH1821" t="s">
        <v>116</v>
      </c>
      <c r="DI1821" t="s">
        <v>116</v>
      </c>
    </row>
    <row r="1822" spans="1:113" x14ac:dyDescent="0.4">
      <c r="A1822" t="str">
        <f>"300429"</f>
        <v>300429</v>
      </c>
      <c r="B1822" t="s">
        <v>9217</v>
      </c>
      <c r="C1822">
        <v>-2.68</v>
      </c>
      <c r="D1822">
        <v>17.399999999999999</v>
      </c>
      <c r="E1822">
        <v>-0.48</v>
      </c>
      <c r="F1822">
        <v>17.39</v>
      </c>
      <c r="G1822">
        <v>17.399999999999999</v>
      </c>
      <c r="H1822">
        <v>565561</v>
      </c>
      <c r="I1822">
        <v>10503</v>
      </c>
      <c r="J1822">
        <v>0.69</v>
      </c>
      <c r="K1822">
        <v>18.829999999999998</v>
      </c>
      <c r="L1822">
        <v>17.59</v>
      </c>
      <c r="M1822">
        <v>17.68</v>
      </c>
      <c r="N1822">
        <v>17.13</v>
      </c>
      <c r="O1822">
        <v>17.88</v>
      </c>
      <c r="P1822">
        <v>51.45</v>
      </c>
      <c r="Q1822">
        <v>984918336</v>
      </c>
      <c r="R1822">
        <v>0.85</v>
      </c>
      <c r="S1822" t="s">
        <v>891</v>
      </c>
      <c r="T1822" t="s">
        <v>323</v>
      </c>
      <c r="U1822">
        <v>3.08</v>
      </c>
      <c r="V1822">
        <v>17.41</v>
      </c>
      <c r="W1822">
        <v>316355</v>
      </c>
      <c r="X1822">
        <v>249206</v>
      </c>
      <c r="Y1822">
        <v>1.27</v>
      </c>
      <c r="Z1822">
        <v>1392</v>
      </c>
      <c r="AA1822">
        <v>177</v>
      </c>
      <c r="AB1822" t="s">
        <v>116</v>
      </c>
      <c r="AC1822">
        <v>13341899</v>
      </c>
      <c r="AD1822">
        <v>0.3</v>
      </c>
      <c r="AE1822" t="s">
        <v>116</v>
      </c>
      <c r="AF1822" t="s">
        <v>116</v>
      </c>
      <c r="AG1822">
        <v>3</v>
      </c>
      <c r="AH1822" t="s">
        <v>9218</v>
      </c>
      <c r="AI1822" t="s">
        <v>9219</v>
      </c>
      <c r="AJ1822">
        <v>-2.0099999999999998</v>
      </c>
      <c r="AK1822">
        <v>4516</v>
      </c>
      <c r="AL1822">
        <v>125</v>
      </c>
      <c r="AM1822">
        <v>4.1999999999999997E-3</v>
      </c>
      <c r="AN1822">
        <v>-1</v>
      </c>
      <c r="AO1822">
        <v>4.01</v>
      </c>
      <c r="AP1822">
        <v>27.94</v>
      </c>
      <c r="AQ1822">
        <v>34.57</v>
      </c>
      <c r="AR1822">
        <v>6.47</v>
      </c>
      <c r="AS1822">
        <v>22.57</v>
      </c>
      <c r="AT1822" t="s">
        <v>1694</v>
      </c>
      <c r="AU1822">
        <v>54.41</v>
      </c>
      <c r="AV1822">
        <v>61.17</v>
      </c>
      <c r="AW1822">
        <v>1.81</v>
      </c>
      <c r="BA1822">
        <v>-1.62</v>
      </c>
      <c r="BB1822">
        <v>-1.1200000000000001</v>
      </c>
      <c r="BC1822">
        <v>-4.1900000000000004</v>
      </c>
      <c r="BD1822">
        <v>-2.6</v>
      </c>
      <c r="BE1822">
        <v>-1.08</v>
      </c>
      <c r="BF1822">
        <v>-1.58</v>
      </c>
      <c r="BG1822">
        <v>1.58</v>
      </c>
      <c r="BH1822">
        <v>-0.08</v>
      </c>
      <c r="BI1822">
        <v>20191225</v>
      </c>
      <c r="BJ1822">
        <v>20150324</v>
      </c>
      <c r="BK1822">
        <v>5.15</v>
      </c>
      <c r="BL1822" t="s">
        <v>116</v>
      </c>
      <c r="BM1822" t="s">
        <v>116</v>
      </c>
      <c r="BN1822">
        <v>20.85</v>
      </c>
      <c r="BO1822">
        <v>16.489999999999998</v>
      </c>
      <c r="BP1822">
        <v>0.65</v>
      </c>
      <c r="BQ1822">
        <v>17.79</v>
      </c>
      <c r="BR1822">
        <v>9.52</v>
      </c>
      <c r="BS1822">
        <v>3.85</v>
      </c>
      <c r="BT1822">
        <v>1.56</v>
      </c>
      <c r="BU1822">
        <v>3.27</v>
      </c>
      <c r="BV1822">
        <v>2.99</v>
      </c>
      <c r="BW1822">
        <v>1.18</v>
      </c>
      <c r="BX1822">
        <v>4.9800000000000004</v>
      </c>
      <c r="BY1822">
        <v>6.51</v>
      </c>
      <c r="BZ1822">
        <v>3.88</v>
      </c>
      <c r="CA1822">
        <v>1.54</v>
      </c>
      <c r="CB1822">
        <v>0.21</v>
      </c>
      <c r="CC1822">
        <v>1.54</v>
      </c>
      <c r="CD1822">
        <v>1.27</v>
      </c>
      <c r="CE1822">
        <v>1.31</v>
      </c>
      <c r="CF1822">
        <v>1.18</v>
      </c>
      <c r="CG1822">
        <v>6.07</v>
      </c>
      <c r="CH1822">
        <v>0.82</v>
      </c>
      <c r="CI1822">
        <v>-0.5</v>
      </c>
      <c r="CJ1822">
        <v>34279</v>
      </c>
      <c r="CK1822">
        <v>7310</v>
      </c>
      <c r="CL1822" t="s">
        <v>9220</v>
      </c>
      <c r="CM1822">
        <v>16.21</v>
      </c>
      <c r="CN1822">
        <v>27.07</v>
      </c>
      <c r="CO1822">
        <v>5.44</v>
      </c>
      <c r="CP1822">
        <v>109.25</v>
      </c>
      <c r="CQ1822">
        <v>13.76</v>
      </c>
      <c r="CR1822">
        <v>0.45</v>
      </c>
      <c r="CS1822" t="s">
        <v>3118</v>
      </c>
      <c r="CT1822">
        <v>3.2</v>
      </c>
      <c r="CU1822">
        <v>0</v>
      </c>
      <c r="CV1822">
        <v>0.97</v>
      </c>
      <c r="CW1822">
        <v>1.18</v>
      </c>
      <c r="CX1822">
        <v>0.16</v>
      </c>
      <c r="CY1822">
        <v>79.08</v>
      </c>
      <c r="CZ1822" t="s">
        <v>9114</v>
      </c>
      <c r="DA1822">
        <v>40.47</v>
      </c>
      <c r="DB1822">
        <v>23.65</v>
      </c>
      <c r="DC1822">
        <v>20.059999999999999</v>
      </c>
      <c r="DD1822">
        <v>0.46</v>
      </c>
      <c r="DE1822">
        <v>1110</v>
      </c>
      <c r="DF1822">
        <v>300429</v>
      </c>
      <c r="DG1822" t="s">
        <v>116</v>
      </c>
      <c r="DH1822" t="s">
        <v>116</v>
      </c>
      <c r="DI1822" t="s">
        <v>116</v>
      </c>
    </row>
    <row r="1823" spans="1:113" x14ac:dyDescent="0.4">
      <c r="A1823" t="str">
        <f>"300430"</f>
        <v>300430</v>
      </c>
      <c r="B1823" t="s">
        <v>9221</v>
      </c>
      <c r="C1823">
        <v>-1.62</v>
      </c>
      <c r="D1823">
        <v>7.88</v>
      </c>
      <c r="E1823">
        <v>-0.13</v>
      </c>
      <c r="F1823">
        <v>7.87</v>
      </c>
      <c r="G1823">
        <v>7.88</v>
      </c>
      <c r="H1823">
        <v>24443</v>
      </c>
      <c r="I1823">
        <v>235</v>
      </c>
      <c r="J1823">
        <v>0</v>
      </c>
      <c r="K1823">
        <v>1.0900000000000001</v>
      </c>
      <c r="L1823">
        <v>8.01</v>
      </c>
      <c r="M1823">
        <v>8.07</v>
      </c>
      <c r="N1823">
        <v>7.85</v>
      </c>
      <c r="O1823">
        <v>8.01</v>
      </c>
      <c r="P1823">
        <v>29.7</v>
      </c>
      <c r="Q1823">
        <v>19464932</v>
      </c>
      <c r="R1823">
        <v>0.76</v>
      </c>
      <c r="S1823" t="s">
        <v>2977</v>
      </c>
      <c r="T1823" t="s">
        <v>165</v>
      </c>
      <c r="U1823">
        <v>2.75</v>
      </c>
      <c r="V1823">
        <v>7.96</v>
      </c>
      <c r="W1823">
        <v>14685</v>
      </c>
      <c r="X1823">
        <v>9758</v>
      </c>
      <c r="Y1823">
        <v>1.5</v>
      </c>
      <c r="Z1823">
        <v>410</v>
      </c>
      <c r="AA1823">
        <v>133</v>
      </c>
      <c r="AB1823" t="s">
        <v>116</v>
      </c>
      <c r="AC1823">
        <v>4000</v>
      </c>
      <c r="AD1823">
        <v>0</v>
      </c>
      <c r="AE1823" t="s">
        <v>116</v>
      </c>
      <c r="AF1823" t="s">
        <v>116</v>
      </c>
      <c r="AG1823">
        <v>2.2400000000000002</v>
      </c>
      <c r="AH1823" t="s">
        <v>9222</v>
      </c>
      <c r="AI1823" t="s">
        <v>8362</v>
      </c>
      <c r="AJ1823">
        <v>-0.94</v>
      </c>
      <c r="AK1823">
        <v>832</v>
      </c>
      <c r="AL1823">
        <v>29</v>
      </c>
      <c r="AM1823">
        <v>1.2999999999999999E-3</v>
      </c>
      <c r="AN1823">
        <v>-1</v>
      </c>
      <c r="AO1823">
        <v>-1.01</v>
      </c>
      <c r="AP1823">
        <v>8.84</v>
      </c>
      <c r="AQ1823">
        <v>-4.5999999999999996</v>
      </c>
      <c r="AR1823">
        <v>-3.43</v>
      </c>
      <c r="AS1823">
        <v>1.84</v>
      </c>
      <c r="AT1823" t="s">
        <v>9223</v>
      </c>
      <c r="AU1823">
        <v>22.49</v>
      </c>
      <c r="AV1823">
        <v>20.95</v>
      </c>
      <c r="AW1823">
        <v>1.27</v>
      </c>
      <c r="BA1823">
        <v>0</v>
      </c>
      <c r="BB1823">
        <v>0.75</v>
      </c>
      <c r="BC1823">
        <v>-2</v>
      </c>
      <c r="BD1823">
        <v>-0.57999999999999996</v>
      </c>
      <c r="BE1823">
        <v>-1.62</v>
      </c>
      <c r="BF1823">
        <v>-2.35</v>
      </c>
      <c r="BG1823">
        <v>0.38</v>
      </c>
      <c r="BH1823">
        <v>-1.04</v>
      </c>
      <c r="BI1823">
        <v>20191211</v>
      </c>
      <c r="BJ1823">
        <v>20150319</v>
      </c>
      <c r="BK1823">
        <v>2.72</v>
      </c>
      <c r="BL1823" t="s">
        <v>116</v>
      </c>
      <c r="BM1823" t="s">
        <v>116</v>
      </c>
      <c r="BN1823">
        <v>23.3</v>
      </c>
      <c r="BO1823">
        <v>16.79</v>
      </c>
      <c r="BP1823">
        <v>0.21</v>
      </c>
      <c r="BQ1823">
        <v>27.04</v>
      </c>
      <c r="BR1823">
        <v>13.08</v>
      </c>
      <c r="BS1823">
        <v>1.95</v>
      </c>
      <c r="BT1823">
        <v>0.66</v>
      </c>
      <c r="BU1823">
        <v>6.19</v>
      </c>
      <c r="BV1823">
        <v>4.3099999999999996</v>
      </c>
      <c r="BW1823">
        <v>4.43</v>
      </c>
      <c r="BX1823">
        <v>9.0399999999999991</v>
      </c>
      <c r="BY1823">
        <v>4.6900000000000004</v>
      </c>
      <c r="BZ1823">
        <v>2.64</v>
      </c>
      <c r="CA1823">
        <v>0.59</v>
      </c>
      <c r="CB1823">
        <v>0</v>
      </c>
      <c r="CC1823">
        <v>0.59</v>
      </c>
      <c r="CD1823">
        <v>0.56000000000000005</v>
      </c>
      <c r="CE1823">
        <v>0.54</v>
      </c>
      <c r="CF1823">
        <v>0.52</v>
      </c>
      <c r="CG1823">
        <v>4.67</v>
      </c>
      <c r="CH1823">
        <v>0</v>
      </c>
      <c r="CI1823">
        <v>-1.39</v>
      </c>
      <c r="CJ1823">
        <v>12578</v>
      </c>
      <c r="CK1823">
        <v>10581</v>
      </c>
      <c r="CL1823" t="s">
        <v>3525</v>
      </c>
      <c r="CM1823">
        <v>-11.43</v>
      </c>
      <c r="CN1823">
        <v>1.62</v>
      </c>
      <c r="CO1823">
        <v>1.28</v>
      </c>
      <c r="CP1823">
        <v>19397.560000000001</v>
      </c>
      <c r="CQ1823">
        <v>4.57</v>
      </c>
      <c r="CR1823">
        <v>0</v>
      </c>
      <c r="CS1823" t="s">
        <v>1831</v>
      </c>
      <c r="CT1823">
        <v>6.17</v>
      </c>
      <c r="CU1823">
        <v>0</v>
      </c>
      <c r="CV1823">
        <v>3.32</v>
      </c>
      <c r="CW1823">
        <v>1.72</v>
      </c>
      <c r="CX1823">
        <v>0</v>
      </c>
      <c r="CY1823">
        <v>72.06</v>
      </c>
      <c r="CZ1823" t="s">
        <v>9224</v>
      </c>
      <c r="DA1823">
        <v>43.67</v>
      </c>
      <c r="DB1823">
        <v>12.49</v>
      </c>
      <c r="DC1823">
        <v>11.53</v>
      </c>
      <c r="DD1823">
        <v>0.31</v>
      </c>
      <c r="DE1823">
        <v>1334</v>
      </c>
      <c r="DF1823">
        <v>300430</v>
      </c>
      <c r="DG1823" t="s">
        <v>116</v>
      </c>
      <c r="DH1823" t="s">
        <v>116</v>
      </c>
      <c r="DI1823" t="s">
        <v>116</v>
      </c>
    </row>
    <row r="1824" spans="1:113" x14ac:dyDescent="0.4">
      <c r="A1824" t="str">
        <f>"300431"</f>
        <v>300431</v>
      </c>
      <c r="B1824" t="s">
        <v>9225</v>
      </c>
      <c r="C1824">
        <v>-4.57</v>
      </c>
      <c r="D1824">
        <v>3.55</v>
      </c>
      <c r="E1824">
        <v>-0.17</v>
      </c>
      <c r="F1824">
        <v>3.55</v>
      </c>
      <c r="G1824">
        <v>3.56</v>
      </c>
      <c r="H1824">
        <v>318069</v>
      </c>
      <c r="I1824">
        <v>5756</v>
      </c>
      <c r="J1824">
        <v>-0.83</v>
      </c>
      <c r="K1824">
        <v>13.08</v>
      </c>
      <c r="L1824">
        <v>3.78</v>
      </c>
      <c r="M1824">
        <v>3.79</v>
      </c>
      <c r="N1824">
        <v>3.55</v>
      </c>
      <c r="O1824">
        <v>3.72</v>
      </c>
      <c r="P1824" t="s">
        <v>116</v>
      </c>
      <c r="Q1824">
        <v>115971760</v>
      </c>
      <c r="R1824">
        <v>0.69</v>
      </c>
      <c r="S1824" t="s">
        <v>1384</v>
      </c>
      <c r="T1824" t="s">
        <v>165</v>
      </c>
      <c r="U1824">
        <v>6.45</v>
      </c>
      <c r="V1824">
        <v>3.65</v>
      </c>
      <c r="W1824">
        <v>199818</v>
      </c>
      <c r="X1824">
        <v>118251</v>
      </c>
      <c r="Y1824">
        <v>1.69</v>
      </c>
      <c r="Z1824">
        <v>792</v>
      </c>
      <c r="AA1824">
        <v>706</v>
      </c>
      <c r="AB1824" t="s">
        <v>116</v>
      </c>
      <c r="AC1824">
        <v>1485200</v>
      </c>
      <c r="AD1824">
        <v>0.16</v>
      </c>
      <c r="AE1824" t="s">
        <v>116</v>
      </c>
      <c r="AF1824" t="s">
        <v>116</v>
      </c>
      <c r="AG1824">
        <v>2.4300000000000002</v>
      </c>
      <c r="AH1824" t="s">
        <v>2030</v>
      </c>
      <c r="AI1824" t="s">
        <v>9226</v>
      </c>
      <c r="AJ1824">
        <v>-3.89</v>
      </c>
      <c r="AK1824">
        <v>3135</v>
      </c>
      <c r="AL1824">
        <v>101</v>
      </c>
      <c r="AM1824">
        <v>4.1999999999999997E-3</v>
      </c>
      <c r="AN1824">
        <v>-1</v>
      </c>
      <c r="AO1824">
        <v>-4.57</v>
      </c>
      <c r="AP1824">
        <v>6.29</v>
      </c>
      <c r="AQ1824">
        <v>-26.8</v>
      </c>
      <c r="AR1824">
        <v>-57.43</v>
      </c>
      <c r="AS1824">
        <v>13.18</v>
      </c>
      <c r="AT1824" t="s">
        <v>9227</v>
      </c>
      <c r="AU1824" t="s">
        <v>116</v>
      </c>
      <c r="AV1824" t="s">
        <v>116</v>
      </c>
      <c r="AW1824">
        <v>1.91</v>
      </c>
      <c r="BA1824">
        <v>1.61</v>
      </c>
      <c r="BB1824">
        <v>1.88</v>
      </c>
      <c r="BC1824">
        <v>-4.57</v>
      </c>
      <c r="BD1824">
        <v>-1.99</v>
      </c>
      <c r="BE1824">
        <v>-6.08</v>
      </c>
      <c r="BF1824">
        <v>-6.33</v>
      </c>
      <c r="BG1824">
        <v>0</v>
      </c>
      <c r="BH1824">
        <v>-2.58</v>
      </c>
      <c r="BI1824">
        <v>20191031</v>
      </c>
      <c r="BJ1824">
        <v>20150324</v>
      </c>
      <c r="BK1824">
        <v>3.3</v>
      </c>
      <c r="BL1824" t="s">
        <v>116</v>
      </c>
      <c r="BM1824" t="s">
        <v>116</v>
      </c>
      <c r="BN1824">
        <v>3.6</v>
      </c>
      <c r="BO1824">
        <v>-6.33</v>
      </c>
      <c r="BP1824">
        <v>-0.24</v>
      </c>
      <c r="BQ1824">
        <v>282.99</v>
      </c>
      <c r="BR1824">
        <v>0.74</v>
      </c>
      <c r="BS1824">
        <v>0.1</v>
      </c>
      <c r="BT1824">
        <v>1.06</v>
      </c>
      <c r="BU1824">
        <v>5.33</v>
      </c>
      <c r="BV1824">
        <v>0</v>
      </c>
      <c r="BW1824">
        <v>0.56000000000000005</v>
      </c>
      <c r="BX1824">
        <v>4.01</v>
      </c>
      <c r="BY1824">
        <v>0.94</v>
      </c>
      <c r="BZ1824">
        <v>1.19</v>
      </c>
      <c r="CA1824">
        <v>-2.16</v>
      </c>
      <c r="CB1824">
        <v>2.79</v>
      </c>
      <c r="CC1824">
        <v>-7.34</v>
      </c>
      <c r="CD1824">
        <v>-7.18</v>
      </c>
      <c r="CE1824">
        <v>-6.5</v>
      </c>
      <c r="CF1824">
        <v>-4.32</v>
      </c>
      <c r="CG1824">
        <v>-13.75</v>
      </c>
      <c r="CH1824">
        <v>-0.01</v>
      </c>
      <c r="CI1824">
        <v>-7.0000000000000007E-2</v>
      </c>
      <c r="CJ1824">
        <v>63526</v>
      </c>
      <c r="CK1824">
        <v>3798</v>
      </c>
      <c r="CL1824" t="s">
        <v>9228</v>
      </c>
      <c r="CM1824">
        <v>-184.5</v>
      </c>
      <c r="CN1824">
        <v>-90.95</v>
      </c>
      <c r="CO1824">
        <v>-1.84</v>
      </c>
      <c r="CP1824">
        <v>-901.38</v>
      </c>
      <c r="CQ1824">
        <v>12.5</v>
      </c>
      <c r="CR1824">
        <v>0</v>
      </c>
      <c r="CS1824" t="s">
        <v>9229</v>
      </c>
      <c r="CT1824">
        <v>-1.93</v>
      </c>
      <c r="CU1824">
        <v>-1.93</v>
      </c>
      <c r="CV1824">
        <v>1.22</v>
      </c>
      <c r="CW1824">
        <v>-4.17</v>
      </c>
      <c r="CX1824">
        <v>0</v>
      </c>
      <c r="CY1824">
        <v>-176.18</v>
      </c>
      <c r="CZ1824" t="s">
        <v>116</v>
      </c>
      <c r="DA1824">
        <v>-26.64</v>
      </c>
      <c r="DB1824">
        <v>-230.92</v>
      </c>
      <c r="DC1824">
        <v>-694.26</v>
      </c>
      <c r="DD1824">
        <v>0.4</v>
      </c>
      <c r="DE1824">
        <v>651</v>
      </c>
      <c r="DF1824">
        <v>300431</v>
      </c>
      <c r="DG1824" t="s">
        <v>116</v>
      </c>
      <c r="DH1824" t="s">
        <v>116</v>
      </c>
      <c r="DI1824" t="s">
        <v>116</v>
      </c>
    </row>
    <row r="1825" spans="1:113" x14ac:dyDescent="0.4">
      <c r="A1825" t="str">
        <f>"300432"</f>
        <v>300432</v>
      </c>
      <c r="B1825" t="s">
        <v>9230</v>
      </c>
      <c r="C1825">
        <v>-1.49</v>
      </c>
      <c r="D1825">
        <v>11.27</v>
      </c>
      <c r="E1825">
        <v>-0.17</v>
      </c>
      <c r="F1825">
        <v>11.26</v>
      </c>
      <c r="G1825">
        <v>11.27</v>
      </c>
      <c r="H1825">
        <v>419339</v>
      </c>
      <c r="I1825">
        <v>2988</v>
      </c>
      <c r="J1825">
        <v>0.09</v>
      </c>
      <c r="K1825">
        <v>10.86</v>
      </c>
      <c r="L1825">
        <v>11.38</v>
      </c>
      <c r="M1825">
        <v>11.91</v>
      </c>
      <c r="N1825">
        <v>10.66</v>
      </c>
      <c r="O1825">
        <v>11.44</v>
      </c>
      <c r="P1825">
        <v>17.28</v>
      </c>
      <c r="Q1825">
        <v>468460800</v>
      </c>
      <c r="R1825">
        <v>1.04</v>
      </c>
      <c r="S1825" t="s">
        <v>293</v>
      </c>
      <c r="T1825" t="s">
        <v>582</v>
      </c>
      <c r="U1825">
        <v>10.93</v>
      </c>
      <c r="V1825">
        <v>11.17</v>
      </c>
      <c r="W1825">
        <v>224890</v>
      </c>
      <c r="X1825">
        <v>194449</v>
      </c>
      <c r="Y1825">
        <v>1.1599999999999999</v>
      </c>
      <c r="Z1825">
        <v>1290</v>
      </c>
      <c r="AA1825">
        <v>34</v>
      </c>
      <c r="AB1825" t="s">
        <v>116</v>
      </c>
      <c r="AC1825">
        <v>9421500</v>
      </c>
      <c r="AD1825">
        <v>0.42</v>
      </c>
      <c r="AE1825" t="s">
        <v>116</v>
      </c>
      <c r="AF1825" t="s">
        <v>116</v>
      </c>
      <c r="AG1825">
        <v>3.86</v>
      </c>
      <c r="AH1825" t="s">
        <v>9231</v>
      </c>
      <c r="AI1825" t="s">
        <v>1950</v>
      </c>
      <c r="AJ1825">
        <v>-0.81</v>
      </c>
      <c r="AK1825">
        <v>4025</v>
      </c>
      <c r="AL1825">
        <v>104</v>
      </c>
      <c r="AM1825">
        <v>2.7000000000000001E-3</v>
      </c>
      <c r="AN1825">
        <v>-1</v>
      </c>
      <c r="AO1825">
        <v>10.16</v>
      </c>
      <c r="AP1825">
        <v>34.33</v>
      </c>
      <c r="AQ1825">
        <v>86.28</v>
      </c>
      <c r="AR1825">
        <v>95.66</v>
      </c>
      <c r="AS1825">
        <v>21.19</v>
      </c>
      <c r="AT1825" t="s">
        <v>9232</v>
      </c>
      <c r="AU1825" t="s">
        <v>116</v>
      </c>
      <c r="AV1825" t="s">
        <v>116</v>
      </c>
      <c r="AW1825">
        <v>0.71</v>
      </c>
      <c r="BA1825">
        <v>-0.52</v>
      </c>
      <c r="BB1825">
        <v>4.1100000000000003</v>
      </c>
      <c r="BC1825">
        <v>-6.82</v>
      </c>
      <c r="BD1825">
        <v>-2.35</v>
      </c>
      <c r="BE1825">
        <v>-0.97</v>
      </c>
      <c r="BF1825">
        <v>-5.37</v>
      </c>
      <c r="BG1825">
        <v>5.72</v>
      </c>
      <c r="BH1825">
        <v>0.86</v>
      </c>
      <c r="BI1825">
        <v>20191227</v>
      </c>
      <c r="BJ1825">
        <v>20150319</v>
      </c>
      <c r="BK1825">
        <v>4.3499999999999996</v>
      </c>
      <c r="BL1825" t="s">
        <v>116</v>
      </c>
      <c r="BM1825" t="s">
        <v>116</v>
      </c>
      <c r="BN1825">
        <v>23.55</v>
      </c>
      <c r="BO1825">
        <v>14.48</v>
      </c>
      <c r="BP1825">
        <v>-0.01</v>
      </c>
      <c r="BQ1825">
        <v>38.53</v>
      </c>
      <c r="BR1825">
        <v>12.95</v>
      </c>
      <c r="BS1825">
        <v>6.3</v>
      </c>
      <c r="BT1825">
        <v>1.54</v>
      </c>
      <c r="BU1825">
        <v>6.74</v>
      </c>
      <c r="BV1825">
        <v>3.08</v>
      </c>
      <c r="BW1825">
        <v>3.56</v>
      </c>
      <c r="BX1825">
        <v>19.510000000000002</v>
      </c>
      <c r="BY1825">
        <v>10.47</v>
      </c>
      <c r="BZ1825">
        <v>6.84</v>
      </c>
      <c r="CA1825">
        <v>2.29</v>
      </c>
      <c r="CB1825">
        <v>0.88</v>
      </c>
      <c r="CC1825">
        <v>2.29</v>
      </c>
      <c r="CD1825">
        <v>2.1</v>
      </c>
      <c r="CE1825">
        <v>2.13</v>
      </c>
      <c r="CF1825">
        <v>1.68</v>
      </c>
      <c r="CG1825">
        <v>-10.41</v>
      </c>
      <c r="CH1825">
        <v>2.13</v>
      </c>
      <c r="CI1825">
        <v>-3.06</v>
      </c>
      <c r="CJ1825">
        <v>22188</v>
      </c>
      <c r="CK1825">
        <v>8920</v>
      </c>
      <c r="CL1825" t="s">
        <v>9233</v>
      </c>
      <c r="CM1825">
        <v>74.53</v>
      </c>
      <c r="CN1825">
        <v>0.25</v>
      </c>
      <c r="CO1825">
        <v>3.38</v>
      </c>
      <c r="CP1825">
        <v>23.05</v>
      </c>
      <c r="CQ1825">
        <v>4.68</v>
      </c>
      <c r="CR1825">
        <v>0</v>
      </c>
      <c r="CS1825" t="s">
        <v>8649</v>
      </c>
      <c r="CT1825">
        <v>3.33</v>
      </c>
      <c r="CU1825">
        <v>0</v>
      </c>
      <c r="CV1825">
        <v>4.49</v>
      </c>
      <c r="CW1825">
        <v>-2.39</v>
      </c>
      <c r="CX1825">
        <v>0.49</v>
      </c>
      <c r="CY1825">
        <v>61.5</v>
      </c>
      <c r="CZ1825" t="s">
        <v>9234</v>
      </c>
      <c r="DA1825">
        <v>34.61</v>
      </c>
      <c r="DB1825">
        <v>21.88</v>
      </c>
      <c r="DC1825">
        <v>20.32</v>
      </c>
      <c r="DD1825">
        <v>0.65</v>
      </c>
      <c r="DE1825">
        <v>1908</v>
      </c>
      <c r="DF1825">
        <v>300432</v>
      </c>
      <c r="DG1825" t="s">
        <v>116</v>
      </c>
      <c r="DH1825" t="s">
        <v>116</v>
      </c>
      <c r="DI1825" t="s">
        <v>116</v>
      </c>
    </row>
    <row r="1826" spans="1:113" x14ac:dyDescent="0.4">
      <c r="A1826" t="str">
        <f>"300433"</f>
        <v>300433</v>
      </c>
      <c r="B1826" t="s">
        <v>9235</v>
      </c>
      <c r="C1826">
        <v>-3.33</v>
      </c>
      <c r="D1826">
        <v>13.64</v>
      </c>
      <c r="E1826">
        <v>-0.47</v>
      </c>
      <c r="F1826">
        <v>13.63</v>
      </c>
      <c r="G1826">
        <v>13.64</v>
      </c>
      <c r="H1826">
        <v>523975</v>
      </c>
      <c r="I1826">
        <v>6781</v>
      </c>
      <c r="J1826">
        <v>-0.43</v>
      </c>
      <c r="K1826">
        <v>1.27</v>
      </c>
      <c r="L1826">
        <v>14.13</v>
      </c>
      <c r="M1826">
        <v>14.38</v>
      </c>
      <c r="N1826">
        <v>13.64</v>
      </c>
      <c r="O1826">
        <v>14.11</v>
      </c>
      <c r="P1826">
        <v>38.340000000000003</v>
      </c>
      <c r="Q1826">
        <v>733691648</v>
      </c>
      <c r="R1826">
        <v>1.3</v>
      </c>
      <c r="S1826" t="s">
        <v>233</v>
      </c>
      <c r="T1826" t="s">
        <v>599</v>
      </c>
      <c r="U1826">
        <v>5.24</v>
      </c>
      <c r="V1826">
        <v>14</v>
      </c>
      <c r="W1826">
        <v>283386</v>
      </c>
      <c r="X1826">
        <v>240589</v>
      </c>
      <c r="Y1826">
        <v>1.18</v>
      </c>
      <c r="Z1826">
        <v>727</v>
      </c>
      <c r="AA1826">
        <v>7438</v>
      </c>
      <c r="AB1826" t="s">
        <v>116</v>
      </c>
      <c r="AC1826">
        <v>2939000</v>
      </c>
      <c r="AD1826">
        <v>0.02</v>
      </c>
      <c r="AE1826" t="s">
        <v>116</v>
      </c>
      <c r="AF1826" t="s">
        <v>116</v>
      </c>
      <c r="AG1826">
        <v>41.39</v>
      </c>
      <c r="AH1826" t="s">
        <v>9236</v>
      </c>
      <c r="AI1826" t="s">
        <v>9237</v>
      </c>
      <c r="AJ1826">
        <v>-2.65</v>
      </c>
      <c r="AK1826">
        <v>4483</v>
      </c>
      <c r="AL1826">
        <v>117</v>
      </c>
      <c r="AM1826">
        <v>2.9999999999999997E-4</v>
      </c>
      <c r="AN1826">
        <v>-2</v>
      </c>
      <c r="AO1826">
        <v>-3.6</v>
      </c>
      <c r="AP1826">
        <v>6.31</v>
      </c>
      <c r="AQ1826">
        <v>21.57</v>
      </c>
      <c r="AR1826">
        <v>110.33</v>
      </c>
      <c r="AS1826">
        <v>5.83</v>
      </c>
      <c r="AT1826" t="s">
        <v>9238</v>
      </c>
      <c r="AU1826">
        <v>83.25</v>
      </c>
      <c r="AV1826">
        <v>88.96</v>
      </c>
      <c r="AW1826">
        <v>2.39</v>
      </c>
      <c r="BA1826">
        <v>0.14000000000000001</v>
      </c>
      <c r="BB1826">
        <v>1.91</v>
      </c>
      <c r="BC1826">
        <v>-3.33</v>
      </c>
      <c r="BD1826">
        <v>-0.76</v>
      </c>
      <c r="BE1826">
        <v>-3.47</v>
      </c>
      <c r="BF1826">
        <v>-5.15</v>
      </c>
      <c r="BG1826">
        <v>0</v>
      </c>
      <c r="BH1826">
        <v>-2.57</v>
      </c>
      <c r="BI1826">
        <v>20191111</v>
      </c>
      <c r="BJ1826">
        <v>20150318</v>
      </c>
      <c r="BK1826">
        <v>41.55</v>
      </c>
      <c r="BL1826" t="s">
        <v>116</v>
      </c>
      <c r="BM1826" t="s">
        <v>116</v>
      </c>
      <c r="BN1826">
        <v>471.22</v>
      </c>
      <c r="BO1826">
        <v>180.43</v>
      </c>
      <c r="BP1826">
        <v>0.43</v>
      </c>
      <c r="BQ1826">
        <v>61.62</v>
      </c>
      <c r="BR1826">
        <v>171.16</v>
      </c>
      <c r="BS1826">
        <v>237.64</v>
      </c>
      <c r="BT1826">
        <v>29.64</v>
      </c>
      <c r="BU1826">
        <v>211.86</v>
      </c>
      <c r="BV1826">
        <v>32.94</v>
      </c>
      <c r="BW1826">
        <v>71.55</v>
      </c>
      <c r="BX1826">
        <v>17.38</v>
      </c>
      <c r="BY1826">
        <v>205.95</v>
      </c>
      <c r="BZ1826">
        <v>157.41</v>
      </c>
      <c r="CA1826">
        <v>12.4</v>
      </c>
      <c r="CB1826">
        <v>0.05</v>
      </c>
      <c r="CC1826">
        <v>13.03</v>
      </c>
      <c r="CD1826">
        <v>11.16</v>
      </c>
      <c r="CE1826">
        <v>11.09</v>
      </c>
      <c r="CF1826">
        <v>8.66</v>
      </c>
      <c r="CG1826">
        <v>99.26</v>
      </c>
      <c r="CH1826">
        <v>34.700000000000003</v>
      </c>
      <c r="CI1826">
        <v>6.53</v>
      </c>
      <c r="CJ1826">
        <v>64516</v>
      </c>
      <c r="CK1826">
        <v>13936</v>
      </c>
      <c r="CL1826" t="s">
        <v>8908</v>
      </c>
      <c r="CM1826">
        <v>4.1100000000000003</v>
      </c>
      <c r="CN1826">
        <v>8.43</v>
      </c>
      <c r="CO1826">
        <v>3.13</v>
      </c>
      <c r="CP1826">
        <v>16.329999999999998</v>
      </c>
      <c r="CQ1826">
        <v>2.75</v>
      </c>
      <c r="CR1826">
        <v>0.17</v>
      </c>
      <c r="CS1826" t="s">
        <v>2993</v>
      </c>
      <c r="CT1826">
        <v>4.3600000000000003</v>
      </c>
      <c r="CU1826">
        <v>4.3600000000000003</v>
      </c>
      <c r="CV1826">
        <v>0.42</v>
      </c>
      <c r="CW1826">
        <v>2.39</v>
      </c>
      <c r="CX1826">
        <v>0.84</v>
      </c>
      <c r="CY1826">
        <v>38.29</v>
      </c>
      <c r="CZ1826" t="s">
        <v>2111</v>
      </c>
      <c r="DA1826">
        <v>23.57</v>
      </c>
      <c r="DB1826">
        <v>6.02</v>
      </c>
      <c r="DC1826">
        <v>5.38</v>
      </c>
      <c r="DD1826">
        <v>12.12</v>
      </c>
      <c r="DE1826">
        <v>88119</v>
      </c>
      <c r="DF1826">
        <v>300433</v>
      </c>
      <c r="DG1826" t="s">
        <v>116</v>
      </c>
      <c r="DH1826" t="s">
        <v>116</v>
      </c>
      <c r="DI1826" t="s">
        <v>116</v>
      </c>
    </row>
    <row r="1827" spans="1:113" x14ac:dyDescent="0.4">
      <c r="A1827" t="str">
        <f>"300434"</f>
        <v>300434</v>
      </c>
      <c r="B1827" t="s">
        <v>9239</v>
      </c>
      <c r="C1827">
        <v>-1.0900000000000001</v>
      </c>
      <c r="D1827">
        <v>7.26</v>
      </c>
      <c r="E1827">
        <v>-0.08</v>
      </c>
      <c r="F1827">
        <v>7.26</v>
      </c>
      <c r="G1827">
        <v>7.27</v>
      </c>
      <c r="H1827">
        <v>14534</v>
      </c>
      <c r="I1827">
        <v>175</v>
      </c>
      <c r="J1827">
        <v>-0.13</v>
      </c>
      <c r="K1827">
        <v>0.64</v>
      </c>
      <c r="L1827">
        <v>7.38</v>
      </c>
      <c r="M1827">
        <v>7.39</v>
      </c>
      <c r="N1827">
        <v>7.22</v>
      </c>
      <c r="O1827">
        <v>7.34</v>
      </c>
      <c r="P1827">
        <v>32.44</v>
      </c>
      <c r="Q1827">
        <v>10657394</v>
      </c>
      <c r="R1827">
        <v>1.21</v>
      </c>
      <c r="S1827" t="s">
        <v>574</v>
      </c>
      <c r="T1827" t="s">
        <v>582</v>
      </c>
      <c r="U1827">
        <v>2.3199999999999998</v>
      </c>
      <c r="V1827">
        <v>7.33</v>
      </c>
      <c r="W1827">
        <v>7935</v>
      </c>
      <c r="X1827">
        <v>6599</v>
      </c>
      <c r="Y1827">
        <v>1.2</v>
      </c>
      <c r="Z1827">
        <v>95</v>
      </c>
      <c r="AA1827">
        <v>265</v>
      </c>
      <c r="AB1827" t="s">
        <v>116</v>
      </c>
      <c r="AC1827">
        <v>0</v>
      </c>
      <c r="AD1827">
        <v>0</v>
      </c>
      <c r="AE1827" t="s">
        <v>116</v>
      </c>
      <c r="AF1827" t="s">
        <v>116</v>
      </c>
      <c r="AG1827">
        <v>2.2599999999999998</v>
      </c>
      <c r="AH1827" t="s">
        <v>9240</v>
      </c>
      <c r="AI1827" t="s">
        <v>9241</v>
      </c>
      <c r="AJ1827">
        <v>-0.41</v>
      </c>
      <c r="AK1827">
        <v>522</v>
      </c>
      <c r="AL1827">
        <v>28</v>
      </c>
      <c r="AM1827">
        <v>1.1999999999999999E-3</v>
      </c>
      <c r="AN1827">
        <v>-1</v>
      </c>
      <c r="AO1827">
        <v>0.14000000000000001</v>
      </c>
      <c r="AP1827">
        <v>4.46</v>
      </c>
      <c r="AQ1827">
        <v>-3.97</v>
      </c>
      <c r="AR1827">
        <v>-16.739999999999998</v>
      </c>
      <c r="AS1827">
        <v>0.91</v>
      </c>
      <c r="AT1827" t="s">
        <v>3871</v>
      </c>
      <c r="AU1827">
        <v>19.39</v>
      </c>
      <c r="AV1827">
        <v>19.55</v>
      </c>
      <c r="AW1827">
        <v>0.98</v>
      </c>
      <c r="BA1827">
        <v>0.54</v>
      </c>
      <c r="BB1827">
        <v>0.68</v>
      </c>
      <c r="BC1827">
        <v>-1.63</v>
      </c>
      <c r="BD1827">
        <v>-0.1</v>
      </c>
      <c r="BE1827">
        <v>-1.63</v>
      </c>
      <c r="BF1827">
        <v>-1.76</v>
      </c>
      <c r="BG1827">
        <v>0.55000000000000004</v>
      </c>
      <c r="BH1827">
        <v>-0.99</v>
      </c>
      <c r="BI1827">
        <v>20191025</v>
      </c>
      <c r="BJ1827">
        <v>20150424</v>
      </c>
      <c r="BK1827">
        <v>4.0199999999999996</v>
      </c>
      <c r="BL1827" t="s">
        <v>116</v>
      </c>
      <c r="BM1827" t="s">
        <v>116</v>
      </c>
      <c r="BN1827">
        <v>30.85</v>
      </c>
      <c r="BO1827">
        <v>26.8</v>
      </c>
      <c r="BP1827">
        <v>0.4</v>
      </c>
      <c r="BQ1827">
        <v>11.84</v>
      </c>
      <c r="BR1827">
        <v>7.45</v>
      </c>
      <c r="BS1827">
        <v>4.95</v>
      </c>
      <c r="BT1827">
        <v>2.7</v>
      </c>
      <c r="BU1827">
        <v>2.69</v>
      </c>
      <c r="BV1827">
        <v>1.66</v>
      </c>
      <c r="BW1827">
        <v>0.65</v>
      </c>
      <c r="BX1827">
        <v>18.16</v>
      </c>
      <c r="BY1827">
        <v>6.1</v>
      </c>
      <c r="BZ1827">
        <v>2.29</v>
      </c>
      <c r="CA1827">
        <v>0.87</v>
      </c>
      <c r="CB1827">
        <v>0.01</v>
      </c>
      <c r="CC1827">
        <v>0.87</v>
      </c>
      <c r="CD1827">
        <v>0.7</v>
      </c>
      <c r="CE1827">
        <v>0.67</v>
      </c>
      <c r="CF1827">
        <v>0.65</v>
      </c>
      <c r="CG1827">
        <v>4.3600000000000003</v>
      </c>
      <c r="CH1827">
        <v>1.04</v>
      </c>
      <c r="CI1827">
        <v>-0.39</v>
      </c>
      <c r="CJ1827">
        <v>12038</v>
      </c>
      <c r="CK1827">
        <v>13332</v>
      </c>
      <c r="CL1827" t="s">
        <v>4623</v>
      </c>
      <c r="CM1827">
        <v>1.89</v>
      </c>
      <c r="CN1827">
        <v>-0.15</v>
      </c>
      <c r="CO1827">
        <v>1.0900000000000001</v>
      </c>
      <c r="CP1827">
        <v>28.08</v>
      </c>
      <c r="CQ1827">
        <v>4.78</v>
      </c>
      <c r="CR1827">
        <v>1.1000000000000001</v>
      </c>
      <c r="CS1827" t="s">
        <v>1127</v>
      </c>
      <c r="CT1827">
        <v>6.67</v>
      </c>
      <c r="CU1827">
        <v>0</v>
      </c>
      <c r="CV1827">
        <v>4.5199999999999996</v>
      </c>
      <c r="CW1827">
        <v>1.0900000000000001</v>
      </c>
      <c r="CX1827">
        <v>0.26</v>
      </c>
      <c r="CY1827">
        <v>86.85</v>
      </c>
      <c r="CZ1827" t="s">
        <v>8395</v>
      </c>
      <c r="DA1827">
        <v>62.37</v>
      </c>
      <c r="DB1827">
        <v>14.34</v>
      </c>
      <c r="DC1827">
        <v>11.06</v>
      </c>
      <c r="DD1827">
        <v>0.18</v>
      </c>
      <c r="DE1827">
        <v>1617</v>
      </c>
      <c r="DF1827">
        <v>300434</v>
      </c>
      <c r="DG1827" t="s">
        <v>116</v>
      </c>
      <c r="DH1827" t="s">
        <v>116</v>
      </c>
      <c r="DI1827" t="s">
        <v>116</v>
      </c>
    </row>
    <row r="1828" spans="1:113" x14ac:dyDescent="0.4">
      <c r="A1828" t="str">
        <f>"300435"</f>
        <v>300435</v>
      </c>
      <c r="B1828" t="s">
        <v>9242</v>
      </c>
      <c r="C1828">
        <v>-0.82</v>
      </c>
      <c r="D1828">
        <v>10.89</v>
      </c>
      <c r="E1828">
        <v>-0.09</v>
      </c>
      <c r="F1828">
        <v>10.89</v>
      </c>
      <c r="G1828">
        <v>10.9</v>
      </c>
      <c r="H1828">
        <v>33943</v>
      </c>
      <c r="I1828">
        <v>528</v>
      </c>
      <c r="J1828">
        <v>-0.17</v>
      </c>
      <c r="K1828">
        <v>2.86</v>
      </c>
      <c r="L1828">
        <v>10.9</v>
      </c>
      <c r="M1828">
        <v>11.15</v>
      </c>
      <c r="N1828">
        <v>9.8800000000000008</v>
      </c>
      <c r="O1828">
        <v>10.98</v>
      </c>
      <c r="P1828">
        <v>51.91</v>
      </c>
      <c r="Q1828">
        <v>37326724</v>
      </c>
      <c r="R1828">
        <v>1.55</v>
      </c>
      <c r="S1828" t="s">
        <v>996</v>
      </c>
      <c r="T1828" t="s">
        <v>590</v>
      </c>
      <c r="U1828">
        <v>11.57</v>
      </c>
      <c r="V1828">
        <v>11</v>
      </c>
      <c r="W1828">
        <v>18333</v>
      </c>
      <c r="X1828">
        <v>15610</v>
      </c>
      <c r="Y1828">
        <v>1.17</v>
      </c>
      <c r="Z1828">
        <v>183</v>
      </c>
      <c r="AA1828">
        <v>60</v>
      </c>
      <c r="AB1828" t="s">
        <v>116</v>
      </c>
      <c r="AC1828">
        <v>0</v>
      </c>
      <c r="AD1828">
        <v>0</v>
      </c>
      <c r="AE1828" t="s">
        <v>116</v>
      </c>
      <c r="AF1828" t="s">
        <v>116</v>
      </c>
      <c r="AG1828">
        <v>1.19</v>
      </c>
      <c r="AH1828" t="s">
        <v>9243</v>
      </c>
      <c r="AI1828" t="s">
        <v>9244</v>
      </c>
      <c r="AJ1828">
        <v>-0.14000000000000001</v>
      </c>
      <c r="AK1828">
        <v>1261</v>
      </c>
      <c r="AL1828">
        <v>27</v>
      </c>
      <c r="AM1828">
        <v>2.3E-3</v>
      </c>
      <c r="AN1828">
        <v>-1</v>
      </c>
      <c r="AO1828">
        <v>1.03</v>
      </c>
      <c r="AP1828">
        <v>-0.27</v>
      </c>
      <c r="AQ1828">
        <v>-11.39</v>
      </c>
      <c r="AR1828">
        <v>11.12</v>
      </c>
      <c r="AS1828">
        <v>3.55</v>
      </c>
      <c r="AT1828" t="s">
        <v>6946</v>
      </c>
      <c r="AU1828">
        <v>60.49</v>
      </c>
      <c r="AV1828">
        <v>60.9</v>
      </c>
      <c r="AW1828">
        <v>0.46</v>
      </c>
      <c r="BA1828">
        <v>-0.73</v>
      </c>
      <c r="BB1828">
        <v>1.55</v>
      </c>
      <c r="BC1828">
        <v>-10.02</v>
      </c>
      <c r="BD1828">
        <v>0.15</v>
      </c>
      <c r="BE1828">
        <v>-0.09</v>
      </c>
      <c r="BF1828">
        <v>-2.33</v>
      </c>
      <c r="BG1828">
        <v>10.220000000000001</v>
      </c>
      <c r="BH1828">
        <v>-0.97</v>
      </c>
      <c r="BI1828">
        <v>20191209</v>
      </c>
      <c r="BJ1828">
        <v>20150326</v>
      </c>
      <c r="BK1828">
        <v>3.78</v>
      </c>
      <c r="BL1828" t="s">
        <v>116</v>
      </c>
      <c r="BM1828" t="s">
        <v>116</v>
      </c>
      <c r="BN1828">
        <v>17.52</v>
      </c>
      <c r="BO1828">
        <v>8.7200000000000006</v>
      </c>
      <c r="BP1828">
        <v>0</v>
      </c>
      <c r="BQ1828">
        <v>50.24</v>
      </c>
      <c r="BR1828">
        <v>9.65</v>
      </c>
      <c r="BS1828">
        <v>0.75</v>
      </c>
      <c r="BT1828">
        <v>0.32</v>
      </c>
      <c r="BU1828">
        <v>8.64</v>
      </c>
      <c r="BV1828">
        <v>2.93</v>
      </c>
      <c r="BW1828">
        <v>3.32</v>
      </c>
      <c r="BX1828">
        <v>2.04</v>
      </c>
      <c r="BY1828">
        <v>4</v>
      </c>
      <c r="BZ1828">
        <v>3.03</v>
      </c>
      <c r="CA1828">
        <v>0.63</v>
      </c>
      <c r="CB1828">
        <v>0.33</v>
      </c>
      <c r="CC1828">
        <v>0.64</v>
      </c>
      <c r="CD1828">
        <v>0.59</v>
      </c>
      <c r="CE1828">
        <v>0.6</v>
      </c>
      <c r="CF1828">
        <v>0.48</v>
      </c>
      <c r="CG1828">
        <v>3.78</v>
      </c>
      <c r="CH1828">
        <v>0.68</v>
      </c>
      <c r="CI1828">
        <v>-0.91</v>
      </c>
      <c r="CJ1828">
        <v>14605</v>
      </c>
      <c r="CK1828">
        <v>6553</v>
      </c>
      <c r="CL1828" t="s">
        <v>7262</v>
      </c>
      <c r="CM1828">
        <v>0.78</v>
      </c>
      <c r="CN1828">
        <v>-2.84</v>
      </c>
      <c r="CO1828">
        <v>3.11</v>
      </c>
      <c r="CP1828">
        <v>60.74</v>
      </c>
      <c r="CQ1828">
        <v>10.3</v>
      </c>
      <c r="CR1828">
        <v>0.3</v>
      </c>
      <c r="CS1828" t="s">
        <v>5764</v>
      </c>
      <c r="CT1828">
        <v>3.5</v>
      </c>
      <c r="CU1828">
        <v>3.5</v>
      </c>
      <c r="CV1828">
        <v>0.54</v>
      </c>
      <c r="CW1828">
        <v>1</v>
      </c>
      <c r="CX1828">
        <v>0.18</v>
      </c>
      <c r="CY1828">
        <v>49.78</v>
      </c>
      <c r="CZ1828" t="s">
        <v>5275</v>
      </c>
      <c r="DA1828">
        <v>24.19</v>
      </c>
      <c r="DB1828">
        <v>15.85</v>
      </c>
      <c r="DC1828">
        <v>14.88</v>
      </c>
      <c r="DD1828">
        <v>0.21</v>
      </c>
      <c r="DE1828">
        <v>473</v>
      </c>
      <c r="DF1828">
        <v>300435</v>
      </c>
      <c r="DG1828" t="s">
        <v>116</v>
      </c>
      <c r="DH1828" t="s">
        <v>116</v>
      </c>
      <c r="DI1828" t="s">
        <v>116</v>
      </c>
    </row>
    <row r="1829" spans="1:113" x14ac:dyDescent="0.4">
      <c r="A1829" t="str">
        <f>"300436"</f>
        <v>300436</v>
      </c>
      <c r="B1829" t="s">
        <v>9245</v>
      </c>
      <c r="C1829">
        <v>-0.46</v>
      </c>
      <c r="D1829">
        <v>32.51</v>
      </c>
      <c r="E1829">
        <v>-0.15</v>
      </c>
      <c r="F1829">
        <v>32.51</v>
      </c>
      <c r="G1829">
        <v>32.520000000000003</v>
      </c>
      <c r="H1829">
        <v>8772</v>
      </c>
      <c r="I1829">
        <v>112</v>
      </c>
      <c r="J1829">
        <v>0.03</v>
      </c>
      <c r="K1829">
        <v>0.78</v>
      </c>
      <c r="L1829">
        <v>32.659999999999997</v>
      </c>
      <c r="M1829">
        <v>33.07</v>
      </c>
      <c r="N1829">
        <v>32.49</v>
      </c>
      <c r="O1829">
        <v>32.659999999999997</v>
      </c>
      <c r="P1829">
        <v>243.42</v>
      </c>
      <c r="Q1829">
        <v>28757818</v>
      </c>
      <c r="R1829">
        <v>0.78</v>
      </c>
      <c r="S1829" t="s">
        <v>574</v>
      </c>
      <c r="T1829" t="s">
        <v>975</v>
      </c>
      <c r="U1829">
        <v>1.78</v>
      </c>
      <c r="V1829">
        <v>32.78</v>
      </c>
      <c r="W1829">
        <v>5318</v>
      </c>
      <c r="X1829">
        <v>3454</v>
      </c>
      <c r="Y1829">
        <v>1.54</v>
      </c>
      <c r="Z1829">
        <v>94</v>
      </c>
      <c r="AA1829">
        <v>37</v>
      </c>
      <c r="AB1829" t="s">
        <v>116</v>
      </c>
      <c r="AC1829">
        <v>39200</v>
      </c>
      <c r="AD1829">
        <v>0</v>
      </c>
      <c r="AE1829" t="s">
        <v>116</v>
      </c>
      <c r="AF1829" t="s">
        <v>116</v>
      </c>
      <c r="AG1829">
        <v>1.1200000000000001</v>
      </c>
      <c r="AH1829" t="s">
        <v>9246</v>
      </c>
      <c r="AI1829" t="s">
        <v>9247</v>
      </c>
      <c r="AJ1829">
        <v>0.22</v>
      </c>
      <c r="AK1829">
        <v>960</v>
      </c>
      <c r="AL1829">
        <v>9</v>
      </c>
      <c r="AM1829">
        <v>8.0000000000000004E-4</v>
      </c>
      <c r="AN1829">
        <v>-3</v>
      </c>
      <c r="AO1829">
        <v>-1.78</v>
      </c>
      <c r="AP1829">
        <v>1.21</v>
      </c>
      <c r="AQ1829">
        <v>-11.15</v>
      </c>
      <c r="AR1829">
        <v>34.06</v>
      </c>
      <c r="AS1829">
        <v>1.49</v>
      </c>
      <c r="AT1829" t="s">
        <v>4639</v>
      </c>
      <c r="AU1829">
        <v>185.96</v>
      </c>
      <c r="AV1829">
        <v>276.10000000000002</v>
      </c>
      <c r="AW1829">
        <v>0.98</v>
      </c>
      <c r="BA1829">
        <v>0</v>
      </c>
      <c r="BB1829">
        <v>1.26</v>
      </c>
      <c r="BC1829">
        <v>-0.52</v>
      </c>
      <c r="BD1829">
        <v>0.38</v>
      </c>
      <c r="BE1829">
        <v>-0.46</v>
      </c>
      <c r="BF1829">
        <v>-1.69</v>
      </c>
      <c r="BG1829">
        <v>0.06</v>
      </c>
      <c r="BH1829">
        <v>-0.84</v>
      </c>
      <c r="BI1829">
        <v>20191120</v>
      </c>
      <c r="BJ1829">
        <v>20150422</v>
      </c>
      <c r="BK1829">
        <v>1.4</v>
      </c>
      <c r="BL1829" t="s">
        <v>116</v>
      </c>
      <c r="BM1829" t="s">
        <v>116</v>
      </c>
      <c r="BN1829">
        <v>8.8800000000000008</v>
      </c>
      <c r="BO1829">
        <v>5.7</v>
      </c>
      <c r="BP1829">
        <v>0.1</v>
      </c>
      <c r="BQ1829">
        <v>34.76</v>
      </c>
      <c r="BR1829">
        <v>2.12</v>
      </c>
      <c r="BS1829">
        <v>2.2400000000000002</v>
      </c>
      <c r="BT1829">
        <v>1.32</v>
      </c>
      <c r="BU1829">
        <v>2.04</v>
      </c>
      <c r="BV1829">
        <v>0.32</v>
      </c>
      <c r="BW1829">
        <v>0.57999999999999996</v>
      </c>
      <c r="BX1829">
        <v>1.79</v>
      </c>
      <c r="BY1829">
        <v>3.23</v>
      </c>
      <c r="BZ1829">
        <v>0.69</v>
      </c>
      <c r="CA1829">
        <v>0.17</v>
      </c>
      <c r="CB1829">
        <v>0.05</v>
      </c>
      <c r="CC1829">
        <v>0.17</v>
      </c>
      <c r="CD1829">
        <v>0.16</v>
      </c>
      <c r="CE1829">
        <v>0.14000000000000001</v>
      </c>
      <c r="CF1829">
        <v>0.01</v>
      </c>
      <c r="CG1829">
        <v>2.06</v>
      </c>
      <c r="CH1829">
        <v>0.23</v>
      </c>
      <c r="CI1829">
        <v>0.14000000000000001</v>
      </c>
      <c r="CJ1829">
        <v>17460</v>
      </c>
      <c r="CK1829">
        <v>3372</v>
      </c>
      <c r="CL1829" t="s">
        <v>9248</v>
      </c>
      <c r="CM1829">
        <v>132.43</v>
      </c>
      <c r="CN1829">
        <v>12.92</v>
      </c>
      <c r="CO1829">
        <v>7.99</v>
      </c>
      <c r="CP1829">
        <v>201.68</v>
      </c>
      <c r="CQ1829">
        <v>14.11</v>
      </c>
      <c r="CR1829">
        <v>0</v>
      </c>
      <c r="CS1829" t="s">
        <v>2448</v>
      </c>
      <c r="CT1829">
        <v>4.07</v>
      </c>
      <c r="CU1829">
        <v>0</v>
      </c>
      <c r="CV1829">
        <v>1.28</v>
      </c>
      <c r="CW1829">
        <v>1.47</v>
      </c>
      <c r="CX1829">
        <v>0.16</v>
      </c>
      <c r="CY1829">
        <v>64.12</v>
      </c>
      <c r="CZ1829" t="s">
        <v>822</v>
      </c>
      <c r="DA1829">
        <v>78.569999999999993</v>
      </c>
      <c r="DB1829">
        <v>5.12</v>
      </c>
      <c r="DC1829">
        <v>4.3499999999999996</v>
      </c>
      <c r="DD1829">
        <v>0.39</v>
      </c>
      <c r="DE1829">
        <v>832</v>
      </c>
      <c r="DF1829">
        <v>300436</v>
      </c>
      <c r="DG1829" t="s">
        <v>116</v>
      </c>
      <c r="DH1829" t="s">
        <v>116</v>
      </c>
      <c r="DI1829" t="s">
        <v>116</v>
      </c>
    </row>
    <row r="1830" spans="1:113" x14ac:dyDescent="0.4">
      <c r="A1830" t="str">
        <f>"300437"</f>
        <v>300437</v>
      </c>
      <c r="B1830" t="s">
        <v>9249</v>
      </c>
      <c r="C1830">
        <v>-0.77</v>
      </c>
      <c r="D1830">
        <v>10.27</v>
      </c>
      <c r="E1830">
        <v>-0.08</v>
      </c>
      <c r="F1830">
        <v>10.27</v>
      </c>
      <c r="G1830">
        <v>10.28</v>
      </c>
      <c r="H1830">
        <v>16377</v>
      </c>
      <c r="I1830">
        <v>88</v>
      </c>
      <c r="J1830">
        <v>-0.09</v>
      </c>
      <c r="K1830">
        <v>1.22</v>
      </c>
      <c r="L1830">
        <v>10.39</v>
      </c>
      <c r="M1830">
        <v>10.46</v>
      </c>
      <c r="N1830">
        <v>10.24</v>
      </c>
      <c r="O1830">
        <v>10.35</v>
      </c>
      <c r="P1830">
        <v>16.23</v>
      </c>
      <c r="Q1830">
        <v>16996134</v>
      </c>
      <c r="R1830">
        <v>0.95</v>
      </c>
      <c r="S1830" t="s">
        <v>891</v>
      </c>
      <c r="T1830" t="s">
        <v>652</v>
      </c>
      <c r="U1830">
        <v>2.13</v>
      </c>
      <c r="V1830">
        <v>10.38</v>
      </c>
      <c r="W1830">
        <v>9092</v>
      </c>
      <c r="X1830">
        <v>7285</v>
      </c>
      <c r="Y1830">
        <v>1.25</v>
      </c>
      <c r="Z1830">
        <v>21</v>
      </c>
      <c r="AA1830">
        <v>265</v>
      </c>
      <c r="AB1830" t="s">
        <v>116</v>
      </c>
      <c r="AC1830">
        <v>7300</v>
      </c>
      <c r="AD1830">
        <v>0</v>
      </c>
      <c r="AE1830" t="s">
        <v>116</v>
      </c>
      <c r="AF1830" t="s">
        <v>116</v>
      </c>
      <c r="AG1830">
        <v>1.34</v>
      </c>
      <c r="AH1830" t="s">
        <v>8249</v>
      </c>
      <c r="AI1830" t="s">
        <v>6651</v>
      </c>
      <c r="AJ1830">
        <v>-0.09</v>
      </c>
      <c r="AK1830">
        <v>802</v>
      </c>
      <c r="AL1830">
        <v>20</v>
      </c>
      <c r="AM1830">
        <v>1.5E-3</v>
      </c>
      <c r="AN1830">
        <v>-1</v>
      </c>
      <c r="AO1830">
        <v>0.39</v>
      </c>
      <c r="AP1830">
        <v>2.19</v>
      </c>
      <c r="AQ1830">
        <v>-8.7100000000000009</v>
      </c>
      <c r="AR1830">
        <v>-10.31</v>
      </c>
      <c r="AS1830">
        <v>1.55</v>
      </c>
      <c r="AT1830" t="s">
        <v>804</v>
      </c>
      <c r="AU1830">
        <v>11.39</v>
      </c>
      <c r="AV1830">
        <v>9.08</v>
      </c>
      <c r="AW1830">
        <v>1.04</v>
      </c>
      <c r="BA1830">
        <v>0.39</v>
      </c>
      <c r="BB1830">
        <v>1.06</v>
      </c>
      <c r="BC1830">
        <v>-1.06</v>
      </c>
      <c r="BD1830">
        <v>0.27</v>
      </c>
      <c r="BE1830">
        <v>-1.1499999999999999</v>
      </c>
      <c r="BF1830">
        <v>-1.82</v>
      </c>
      <c r="BG1830">
        <v>0.28999999999999998</v>
      </c>
      <c r="BH1830">
        <v>-1.04</v>
      </c>
      <c r="BI1830">
        <v>20191216</v>
      </c>
      <c r="BJ1830">
        <v>20150423</v>
      </c>
      <c r="BK1830">
        <v>2.1800000000000002</v>
      </c>
      <c r="BL1830" t="s">
        <v>116</v>
      </c>
      <c r="BM1830" t="s">
        <v>116</v>
      </c>
      <c r="BN1830">
        <v>46.81</v>
      </c>
      <c r="BO1830">
        <v>16.059999999999999</v>
      </c>
      <c r="BP1830">
        <v>2.94</v>
      </c>
      <c r="BQ1830">
        <v>59.41</v>
      </c>
      <c r="BR1830">
        <v>26.76</v>
      </c>
      <c r="BS1830">
        <v>3.35</v>
      </c>
      <c r="BT1830">
        <v>3.75</v>
      </c>
      <c r="BU1830">
        <v>20.13</v>
      </c>
      <c r="BV1830">
        <v>7.54</v>
      </c>
      <c r="BW1830">
        <v>8.9</v>
      </c>
      <c r="BX1830">
        <v>6.42</v>
      </c>
      <c r="BY1830">
        <v>11.3</v>
      </c>
      <c r="BZ1830">
        <v>7.53</v>
      </c>
      <c r="CA1830">
        <v>1.87</v>
      </c>
      <c r="CB1830">
        <v>0</v>
      </c>
      <c r="CC1830">
        <v>1.86</v>
      </c>
      <c r="CD1830">
        <v>1.37</v>
      </c>
      <c r="CE1830">
        <v>1.04</v>
      </c>
      <c r="CF1830">
        <v>1.02</v>
      </c>
      <c r="CG1830">
        <v>5.61</v>
      </c>
      <c r="CH1830">
        <v>-0.91</v>
      </c>
      <c r="CI1830">
        <v>3.52</v>
      </c>
      <c r="CJ1830">
        <v>15332</v>
      </c>
      <c r="CK1830">
        <v>6896</v>
      </c>
      <c r="CL1830" t="s">
        <v>2702</v>
      </c>
      <c r="CM1830">
        <v>-32.65</v>
      </c>
      <c r="CN1830">
        <v>2.37</v>
      </c>
      <c r="CO1830">
        <v>1.51</v>
      </c>
      <c r="CP1830">
        <v>-24.66</v>
      </c>
      <c r="CQ1830">
        <v>1.98</v>
      </c>
      <c r="CR1830">
        <v>2.2400000000000002</v>
      </c>
      <c r="CS1830" t="s">
        <v>9250</v>
      </c>
      <c r="CT1830">
        <v>6.79</v>
      </c>
      <c r="CU1830">
        <v>6.79</v>
      </c>
      <c r="CV1830">
        <v>2.94</v>
      </c>
      <c r="CW1830">
        <v>2.57</v>
      </c>
      <c r="CX1830">
        <v>-0.42</v>
      </c>
      <c r="CY1830">
        <v>34.31</v>
      </c>
      <c r="CZ1830" t="s">
        <v>2734</v>
      </c>
      <c r="DA1830">
        <v>33.32</v>
      </c>
      <c r="DB1830">
        <v>16.55</v>
      </c>
      <c r="DC1830">
        <v>9.17</v>
      </c>
      <c r="DD1830">
        <v>0.1</v>
      </c>
      <c r="DE1830">
        <v>2587</v>
      </c>
      <c r="DF1830">
        <v>300437</v>
      </c>
      <c r="DG1830" t="s">
        <v>116</v>
      </c>
      <c r="DH1830" t="s">
        <v>116</v>
      </c>
      <c r="DI1830" t="s">
        <v>116</v>
      </c>
    </row>
    <row r="1831" spans="1:113" x14ac:dyDescent="0.4">
      <c r="A1831" t="str">
        <f>"300438"</f>
        <v>300438</v>
      </c>
      <c r="B1831" t="s">
        <v>9251</v>
      </c>
      <c r="C1831">
        <v>-7.09</v>
      </c>
      <c r="D1831">
        <v>26.72</v>
      </c>
      <c r="E1831">
        <v>-2.04</v>
      </c>
      <c r="F1831">
        <v>26.71</v>
      </c>
      <c r="G1831">
        <v>26.72</v>
      </c>
      <c r="H1831">
        <v>153238</v>
      </c>
      <c r="I1831">
        <v>2016</v>
      </c>
      <c r="J1831">
        <v>-0.18</v>
      </c>
      <c r="K1831">
        <v>7.22</v>
      </c>
      <c r="L1831">
        <v>28.15</v>
      </c>
      <c r="M1831">
        <v>28.58</v>
      </c>
      <c r="N1831">
        <v>26.66</v>
      </c>
      <c r="O1831">
        <v>28.76</v>
      </c>
      <c r="P1831">
        <v>20.86</v>
      </c>
      <c r="Q1831">
        <v>422267520</v>
      </c>
      <c r="R1831">
        <v>1.21</v>
      </c>
      <c r="S1831" t="s">
        <v>397</v>
      </c>
      <c r="T1831" t="s">
        <v>551</v>
      </c>
      <c r="U1831">
        <v>6.68</v>
      </c>
      <c r="V1831">
        <v>27.56</v>
      </c>
      <c r="W1831">
        <v>89611</v>
      </c>
      <c r="X1831">
        <v>63627</v>
      </c>
      <c r="Y1831">
        <v>1.41</v>
      </c>
      <c r="Z1831">
        <v>565</v>
      </c>
      <c r="AA1831">
        <v>92</v>
      </c>
      <c r="AB1831" t="s">
        <v>116</v>
      </c>
      <c r="AC1831">
        <v>3149700</v>
      </c>
      <c r="AD1831">
        <v>7.0000000000000007E-2</v>
      </c>
      <c r="AE1831" t="s">
        <v>116</v>
      </c>
      <c r="AF1831" t="s">
        <v>116</v>
      </c>
      <c r="AG1831">
        <v>2.12</v>
      </c>
      <c r="AH1831" t="s">
        <v>9252</v>
      </c>
      <c r="AI1831" t="s">
        <v>9253</v>
      </c>
      <c r="AJ1831">
        <v>-6.41</v>
      </c>
      <c r="AK1831">
        <v>3617</v>
      </c>
      <c r="AL1831">
        <v>42</v>
      </c>
      <c r="AM1831">
        <v>2E-3</v>
      </c>
      <c r="AN1831">
        <v>-1</v>
      </c>
      <c r="AO1831">
        <v>-6.07</v>
      </c>
      <c r="AP1831">
        <v>18.23</v>
      </c>
      <c r="AQ1831">
        <v>49.86</v>
      </c>
      <c r="AR1831">
        <v>65.97</v>
      </c>
      <c r="AS1831">
        <v>9.6</v>
      </c>
      <c r="AT1831" t="s">
        <v>4547</v>
      </c>
      <c r="AU1831">
        <v>28.29</v>
      </c>
      <c r="AV1831">
        <v>28.37</v>
      </c>
      <c r="AW1831">
        <v>2.3199999999999998</v>
      </c>
      <c r="BA1831">
        <v>-2.12</v>
      </c>
      <c r="BB1831">
        <v>-0.63</v>
      </c>
      <c r="BC1831">
        <v>-7.3</v>
      </c>
      <c r="BD1831">
        <v>-4.1900000000000004</v>
      </c>
      <c r="BE1831">
        <v>-5.08</v>
      </c>
      <c r="BF1831">
        <v>-6.51</v>
      </c>
      <c r="BG1831">
        <v>0.23</v>
      </c>
      <c r="BH1831">
        <v>-2.91</v>
      </c>
      <c r="BI1831">
        <v>20191109</v>
      </c>
      <c r="BJ1831">
        <v>20150424</v>
      </c>
      <c r="BK1831">
        <v>2.81</v>
      </c>
      <c r="BL1831" t="s">
        <v>116</v>
      </c>
      <c r="BM1831" t="s">
        <v>116</v>
      </c>
      <c r="BN1831">
        <v>56.03</v>
      </c>
      <c r="BO1831">
        <v>24.52</v>
      </c>
      <c r="BP1831">
        <v>1.54</v>
      </c>
      <c r="BQ1831">
        <v>53.49</v>
      </c>
      <c r="BR1831">
        <v>33.96</v>
      </c>
      <c r="BS1831">
        <v>13.06</v>
      </c>
      <c r="BT1831">
        <v>1.39</v>
      </c>
      <c r="BU1831">
        <v>27.65</v>
      </c>
      <c r="BV1831">
        <v>9.7100000000000009</v>
      </c>
      <c r="BW1831">
        <v>18.79</v>
      </c>
      <c r="BX1831">
        <v>10.71</v>
      </c>
      <c r="BY1831">
        <v>24.95</v>
      </c>
      <c r="BZ1831">
        <v>18.54</v>
      </c>
      <c r="CA1831">
        <v>3.21</v>
      </c>
      <c r="CB1831">
        <v>0.02</v>
      </c>
      <c r="CC1831">
        <v>3.24</v>
      </c>
      <c r="CD1831">
        <v>2.83</v>
      </c>
      <c r="CE1831">
        <v>2.7</v>
      </c>
      <c r="CF1831">
        <v>2.56</v>
      </c>
      <c r="CG1831">
        <v>11.13</v>
      </c>
      <c r="CH1831">
        <v>0.5</v>
      </c>
      <c r="CI1831">
        <v>-1.66</v>
      </c>
      <c r="CJ1831">
        <v>22695</v>
      </c>
      <c r="CK1831">
        <v>7036</v>
      </c>
      <c r="CL1831" t="s">
        <v>9254</v>
      </c>
      <c r="CM1831">
        <v>0.27</v>
      </c>
      <c r="CN1831">
        <v>40.94</v>
      </c>
      <c r="CO1831">
        <v>3.06</v>
      </c>
      <c r="CP1831">
        <v>148.78</v>
      </c>
      <c r="CQ1831">
        <v>3.01</v>
      </c>
      <c r="CR1831">
        <v>0.22</v>
      </c>
      <c r="CS1831" t="s">
        <v>9255</v>
      </c>
      <c r="CT1831">
        <v>8.7200000000000006</v>
      </c>
      <c r="CU1831">
        <v>0</v>
      </c>
      <c r="CV1831">
        <v>3.81</v>
      </c>
      <c r="CW1831">
        <v>3.96</v>
      </c>
      <c r="CX1831">
        <v>0.18</v>
      </c>
      <c r="CY1831">
        <v>43.77</v>
      </c>
      <c r="CZ1831" t="s">
        <v>7152</v>
      </c>
      <c r="DA1831">
        <v>25.68</v>
      </c>
      <c r="DB1831">
        <v>12.86</v>
      </c>
      <c r="DC1831">
        <v>10.83</v>
      </c>
      <c r="DD1831">
        <v>0.91</v>
      </c>
      <c r="DE1831">
        <v>5795</v>
      </c>
      <c r="DF1831">
        <v>300438</v>
      </c>
      <c r="DG1831" t="s">
        <v>116</v>
      </c>
      <c r="DH1831" t="s">
        <v>116</v>
      </c>
      <c r="DI1831" t="s">
        <v>116</v>
      </c>
    </row>
    <row r="1832" spans="1:113" x14ac:dyDescent="0.4">
      <c r="A1832" t="str">
        <f>"300439"</f>
        <v>300439</v>
      </c>
      <c r="B1832" t="s">
        <v>9256</v>
      </c>
      <c r="C1832">
        <v>-0.89</v>
      </c>
      <c r="D1832">
        <v>13.4</v>
      </c>
      <c r="E1832">
        <v>-0.12</v>
      </c>
      <c r="F1832">
        <v>13.4</v>
      </c>
      <c r="G1832">
        <v>13.42</v>
      </c>
      <c r="H1832">
        <v>11300</v>
      </c>
      <c r="I1832">
        <v>172</v>
      </c>
      <c r="J1832">
        <v>-0.06</v>
      </c>
      <c r="K1832">
        <v>0.56000000000000005</v>
      </c>
      <c r="L1832">
        <v>13.49</v>
      </c>
      <c r="M1832">
        <v>13.6</v>
      </c>
      <c r="N1832">
        <v>13.4</v>
      </c>
      <c r="O1832">
        <v>13.52</v>
      </c>
      <c r="P1832">
        <v>16.89</v>
      </c>
      <c r="Q1832">
        <v>15262405</v>
      </c>
      <c r="R1832">
        <v>0.83</v>
      </c>
      <c r="S1832" t="s">
        <v>559</v>
      </c>
      <c r="T1832" t="s">
        <v>590</v>
      </c>
      <c r="U1832">
        <v>1.48</v>
      </c>
      <c r="V1832">
        <v>13.51</v>
      </c>
      <c r="W1832">
        <v>7287</v>
      </c>
      <c r="X1832">
        <v>4013</v>
      </c>
      <c r="Y1832">
        <v>1.82</v>
      </c>
      <c r="Z1832">
        <v>40</v>
      </c>
      <c r="AA1832">
        <v>85</v>
      </c>
      <c r="AB1832" t="s">
        <v>116</v>
      </c>
      <c r="AC1832">
        <v>21600</v>
      </c>
      <c r="AD1832">
        <v>0</v>
      </c>
      <c r="AE1832" t="s">
        <v>116</v>
      </c>
      <c r="AF1832" t="s">
        <v>116</v>
      </c>
      <c r="AG1832">
        <v>2.0099999999999998</v>
      </c>
      <c r="AH1832" t="s">
        <v>9257</v>
      </c>
      <c r="AI1832" t="s">
        <v>9258</v>
      </c>
      <c r="AJ1832">
        <v>-0.21</v>
      </c>
      <c r="AK1832">
        <v>636</v>
      </c>
      <c r="AL1832">
        <v>18</v>
      </c>
      <c r="AM1832">
        <v>8.9999999999999998E-4</v>
      </c>
      <c r="AN1832">
        <v>-1</v>
      </c>
      <c r="AO1832">
        <v>-0.15</v>
      </c>
      <c r="AP1832">
        <v>0.83</v>
      </c>
      <c r="AQ1832">
        <v>-5.83</v>
      </c>
      <c r="AR1832">
        <v>1.4</v>
      </c>
      <c r="AS1832">
        <v>0.93</v>
      </c>
      <c r="AT1832" t="s">
        <v>3817</v>
      </c>
      <c r="AU1832">
        <v>18.62</v>
      </c>
      <c r="AV1832">
        <v>19.190000000000001</v>
      </c>
      <c r="AW1832">
        <v>0.95</v>
      </c>
      <c r="BA1832">
        <v>-0.22</v>
      </c>
      <c r="BB1832">
        <v>0.59</v>
      </c>
      <c r="BC1832">
        <v>-0.89</v>
      </c>
      <c r="BD1832">
        <v>-0.1</v>
      </c>
      <c r="BE1832">
        <v>-0.67</v>
      </c>
      <c r="BF1832">
        <v>-1.47</v>
      </c>
      <c r="BG1832">
        <v>0</v>
      </c>
      <c r="BH1832">
        <v>-0.79</v>
      </c>
      <c r="BI1832">
        <v>20191225</v>
      </c>
      <c r="BJ1832">
        <v>20150422</v>
      </c>
      <c r="BK1832">
        <v>3.45</v>
      </c>
      <c r="BL1832" t="s">
        <v>116</v>
      </c>
      <c r="BM1832" t="s">
        <v>116</v>
      </c>
      <c r="BN1832">
        <v>44.96</v>
      </c>
      <c r="BO1832">
        <v>20.65</v>
      </c>
      <c r="BP1832">
        <v>0.89</v>
      </c>
      <c r="BQ1832">
        <v>52.1</v>
      </c>
      <c r="BR1832">
        <v>22.53</v>
      </c>
      <c r="BS1832">
        <v>4.08</v>
      </c>
      <c r="BT1832">
        <v>1.77</v>
      </c>
      <c r="BU1832">
        <v>20.29</v>
      </c>
      <c r="BV1832">
        <v>4.1900000000000004</v>
      </c>
      <c r="BW1832">
        <v>12.08</v>
      </c>
      <c r="BX1832">
        <v>6.08</v>
      </c>
      <c r="BY1832">
        <v>23.54</v>
      </c>
      <c r="BZ1832">
        <v>15.17</v>
      </c>
      <c r="CA1832">
        <v>2.87</v>
      </c>
      <c r="CB1832">
        <v>0.32</v>
      </c>
      <c r="CC1832">
        <v>2.87</v>
      </c>
      <c r="CD1832">
        <v>2.23</v>
      </c>
      <c r="CE1832">
        <v>2.0499999999999998</v>
      </c>
      <c r="CF1832">
        <v>1.72</v>
      </c>
      <c r="CG1832">
        <v>10.73</v>
      </c>
      <c r="CH1832">
        <v>2.56</v>
      </c>
      <c r="CI1832">
        <v>-0.85</v>
      </c>
      <c r="CJ1832">
        <v>18481</v>
      </c>
      <c r="CK1832">
        <v>6555</v>
      </c>
      <c r="CL1832" t="s">
        <v>9259</v>
      </c>
      <c r="CM1832">
        <v>3.67</v>
      </c>
      <c r="CN1832">
        <v>0.26</v>
      </c>
      <c r="CO1832">
        <v>2.2400000000000002</v>
      </c>
      <c r="CP1832">
        <v>18.059999999999999</v>
      </c>
      <c r="CQ1832">
        <v>1.97</v>
      </c>
      <c r="CR1832">
        <v>1.0900000000000001</v>
      </c>
      <c r="CS1832" t="s">
        <v>986</v>
      </c>
      <c r="CT1832">
        <v>5.98</v>
      </c>
      <c r="CU1832">
        <v>0</v>
      </c>
      <c r="CV1832">
        <v>1.76</v>
      </c>
      <c r="CW1832">
        <v>3.11</v>
      </c>
      <c r="CX1832">
        <v>0.74</v>
      </c>
      <c r="CY1832">
        <v>45.93</v>
      </c>
      <c r="CZ1832" t="s">
        <v>9260</v>
      </c>
      <c r="DA1832">
        <v>35.56</v>
      </c>
      <c r="DB1832">
        <v>12.18</v>
      </c>
      <c r="DC1832">
        <v>8.7200000000000006</v>
      </c>
      <c r="DD1832">
        <v>0.88</v>
      </c>
      <c r="DE1832">
        <v>2863</v>
      </c>
      <c r="DF1832">
        <v>300439</v>
      </c>
      <c r="DG1832" t="s">
        <v>116</v>
      </c>
      <c r="DH1832" t="s">
        <v>116</v>
      </c>
      <c r="DI1832" t="s">
        <v>116</v>
      </c>
    </row>
    <row r="1833" spans="1:113" x14ac:dyDescent="0.4">
      <c r="A1833" t="str">
        <f>"300440"</f>
        <v>300440</v>
      </c>
      <c r="B1833" t="s">
        <v>9261</v>
      </c>
      <c r="C1833">
        <v>-2.11</v>
      </c>
      <c r="D1833">
        <v>7.89</v>
      </c>
      <c r="E1833">
        <v>-0.17</v>
      </c>
      <c r="F1833">
        <v>7.89</v>
      </c>
      <c r="G1833">
        <v>7.9</v>
      </c>
      <c r="H1833">
        <v>51855</v>
      </c>
      <c r="I1833">
        <v>277</v>
      </c>
      <c r="J1833">
        <v>-0.24</v>
      </c>
      <c r="K1833">
        <v>1.1599999999999999</v>
      </c>
      <c r="L1833">
        <v>8.06</v>
      </c>
      <c r="M1833">
        <v>8.09</v>
      </c>
      <c r="N1833">
        <v>7.86</v>
      </c>
      <c r="O1833">
        <v>8.06</v>
      </c>
      <c r="P1833">
        <v>35.58</v>
      </c>
      <c r="Q1833">
        <v>41235056</v>
      </c>
      <c r="R1833">
        <v>0.85</v>
      </c>
      <c r="S1833" t="s">
        <v>607</v>
      </c>
      <c r="T1833" t="s">
        <v>582</v>
      </c>
      <c r="U1833">
        <v>2.85</v>
      </c>
      <c r="V1833">
        <v>7.95</v>
      </c>
      <c r="W1833">
        <v>32441</v>
      </c>
      <c r="X1833">
        <v>19414</v>
      </c>
      <c r="Y1833">
        <v>1.67</v>
      </c>
      <c r="Z1833">
        <v>392</v>
      </c>
      <c r="AA1833">
        <v>174</v>
      </c>
      <c r="AB1833" t="s">
        <v>116</v>
      </c>
      <c r="AC1833">
        <v>189200</v>
      </c>
      <c r="AD1833">
        <v>0.01</v>
      </c>
      <c r="AE1833" t="s">
        <v>116</v>
      </c>
      <c r="AF1833" t="s">
        <v>116</v>
      </c>
      <c r="AG1833">
        <v>4.46</v>
      </c>
      <c r="AH1833" t="s">
        <v>9262</v>
      </c>
      <c r="AI1833" t="s">
        <v>1582</v>
      </c>
      <c r="AJ1833">
        <v>-1.43</v>
      </c>
      <c r="AK1833">
        <v>1708</v>
      </c>
      <c r="AL1833">
        <v>30</v>
      </c>
      <c r="AM1833">
        <v>6.9999999999999999E-4</v>
      </c>
      <c r="AN1833">
        <v>-1</v>
      </c>
      <c r="AO1833">
        <v>1.1499999999999999</v>
      </c>
      <c r="AP1833">
        <v>5.91</v>
      </c>
      <c r="AQ1833">
        <v>12.55</v>
      </c>
      <c r="AR1833">
        <v>40.32</v>
      </c>
      <c r="AS1833">
        <v>2.57</v>
      </c>
      <c r="AT1833" t="s">
        <v>9263</v>
      </c>
      <c r="AU1833">
        <v>30.62</v>
      </c>
      <c r="AV1833">
        <v>33.56</v>
      </c>
      <c r="AW1833">
        <v>0.9</v>
      </c>
      <c r="BA1833">
        <v>0</v>
      </c>
      <c r="BB1833">
        <v>0.37</v>
      </c>
      <c r="BC1833">
        <v>-2.48</v>
      </c>
      <c r="BD1833">
        <v>-1.34</v>
      </c>
      <c r="BE1833">
        <v>-2.11</v>
      </c>
      <c r="BF1833">
        <v>-2.4700000000000002</v>
      </c>
      <c r="BG1833">
        <v>0.38</v>
      </c>
      <c r="BH1833">
        <v>-0.77</v>
      </c>
      <c r="BI1833">
        <v>20191031</v>
      </c>
      <c r="BJ1833">
        <v>20150423</v>
      </c>
      <c r="BK1833">
        <v>4.4800000000000004</v>
      </c>
      <c r="BL1833" t="s">
        <v>116</v>
      </c>
      <c r="BM1833" t="s">
        <v>116</v>
      </c>
      <c r="BN1833">
        <v>18.18</v>
      </c>
      <c r="BO1833">
        <v>12.18</v>
      </c>
      <c r="BP1833">
        <v>0.17</v>
      </c>
      <c r="BQ1833">
        <v>32.090000000000003</v>
      </c>
      <c r="BR1833">
        <v>15.57</v>
      </c>
      <c r="BS1833">
        <v>1.38</v>
      </c>
      <c r="BT1833">
        <v>0.23</v>
      </c>
      <c r="BU1833">
        <v>5.76</v>
      </c>
      <c r="BV1833">
        <v>3.87</v>
      </c>
      <c r="BW1833">
        <v>5.5</v>
      </c>
      <c r="BX1833">
        <v>0.38</v>
      </c>
      <c r="BY1833">
        <v>3.56</v>
      </c>
      <c r="BZ1833">
        <v>1.6</v>
      </c>
      <c r="CA1833">
        <v>0.78</v>
      </c>
      <c r="CB1833">
        <v>0.02</v>
      </c>
      <c r="CC1833">
        <v>0.79</v>
      </c>
      <c r="CD1833">
        <v>0.7</v>
      </c>
      <c r="CE1833">
        <v>0.75</v>
      </c>
      <c r="CF1833">
        <v>0.67</v>
      </c>
      <c r="CG1833">
        <v>6.91</v>
      </c>
      <c r="CH1833">
        <v>0.03</v>
      </c>
      <c r="CI1833">
        <v>-0.47</v>
      </c>
      <c r="CJ1833">
        <v>18668</v>
      </c>
      <c r="CK1833">
        <v>10804</v>
      </c>
      <c r="CL1833" t="s">
        <v>9264</v>
      </c>
      <c r="CM1833">
        <v>15.73</v>
      </c>
      <c r="CN1833">
        <v>11.7</v>
      </c>
      <c r="CO1833">
        <v>2.9</v>
      </c>
      <c r="CP1833">
        <v>1064.32</v>
      </c>
      <c r="CQ1833">
        <v>9.92</v>
      </c>
      <c r="CR1833">
        <v>0.59</v>
      </c>
      <c r="CS1833" t="s">
        <v>1297</v>
      </c>
      <c r="CT1833">
        <v>2.72</v>
      </c>
      <c r="CU1833">
        <v>0</v>
      </c>
      <c r="CV1833">
        <v>0.08</v>
      </c>
      <c r="CW1833">
        <v>1.54</v>
      </c>
      <c r="CX1833">
        <v>0.01</v>
      </c>
      <c r="CY1833">
        <v>66.97</v>
      </c>
      <c r="CZ1833" t="s">
        <v>8814</v>
      </c>
      <c r="DA1833">
        <v>55.21</v>
      </c>
      <c r="DB1833">
        <v>21.94</v>
      </c>
      <c r="DC1833">
        <v>20.92</v>
      </c>
      <c r="DD1833">
        <v>0.49</v>
      </c>
      <c r="DE1833">
        <v>778</v>
      </c>
      <c r="DF1833">
        <v>300440</v>
      </c>
      <c r="DG1833" t="s">
        <v>116</v>
      </c>
      <c r="DH1833" t="s">
        <v>116</v>
      </c>
      <c r="DI1833" t="s">
        <v>116</v>
      </c>
    </row>
    <row r="1834" spans="1:113" x14ac:dyDescent="0.4">
      <c r="A1834" t="str">
        <f>"300441"</f>
        <v>300441</v>
      </c>
      <c r="B1834" t="s">
        <v>9265</v>
      </c>
      <c r="C1834">
        <v>0</v>
      </c>
      <c r="D1834">
        <v>9.6999999999999993</v>
      </c>
      <c r="E1834">
        <v>0</v>
      </c>
      <c r="F1834">
        <v>9.69</v>
      </c>
      <c r="G1834">
        <v>9.6999999999999993</v>
      </c>
      <c r="H1834">
        <v>136237</v>
      </c>
      <c r="I1834">
        <v>1999</v>
      </c>
      <c r="J1834">
        <v>0.94</v>
      </c>
      <c r="K1834">
        <v>5.05</v>
      </c>
      <c r="L1834">
        <v>9.56</v>
      </c>
      <c r="M1834">
        <v>9.92</v>
      </c>
      <c r="N1834">
        <v>9.56</v>
      </c>
      <c r="O1834">
        <v>9.6999999999999993</v>
      </c>
      <c r="P1834">
        <v>47.06</v>
      </c>
      <c r="Q1834">
        <v>132674120</v>
      </c>
      <c r="R1834">
        <v>0.65</v>
      </c>
      <c r="S1834" t="s">
        <v>712</v>
      </c>
      <c r="T1834" t="s">
        <v>590</v>
      </c>
      <c r="U1834">
        <v>3.71</v>
      </c>
      <c r="V1834">
        <v>9.74</v>
      </c>
      <c r="W1834">
        <v>76766</v>
      </c>
      <c r="X1834">
        <v>59471</v>
      </c>
      <c r="Y1834">
        <v>1.29</v>
      </c>
      <c r="Z1834">
        <v>32</v>
      </c>
      <c r="AA1834">
        <v>324</v>
      </c>
      <c r="AB1834" t="s">
        <v>116</v>
      </c>
      <c r="AC1834">
        <v>1189300</v>
      </c>
      <c r="AD1834">
        <v>0.05</v>
      </c>
      <c r="AE1834" t="s">
        <v>116</v>
      </c>
      <c r="AF1834" t="s">
        <v>116</v>
      </c>
      <c r="AG1834">
        <v>2.7</v>
      </c>
      <c r="AH1834" t="s">
        <v>9266</v>
      </c>
      <c r="AI1834" t="s">
        <v>5347</v>
      </c>
      <c r="AJ1834">
        <v>0.68</v>
      </c>
      <c r="AK1834">
        <v>2286</v>
      </c>
      <c r="AL1834">
        <v>60</v>
      </c>
      <c r="AM1834">
        <v>2.2000000000000001E-3</v>
      </c>
      <c r="AN1834">
        <v>0</v>
      </c>
      <c r="AO1834">
        <v>0.51</v>
      </c>
      <c r="AP1834">
        <v>15.89</v>
      </c>
      <c r="AQ1834">
        <v>17.149999999999999</v>
      </c>
      <c r="AR1834">
        <v>44.35</v>
      </c>
      <c r="AS1834">
        <v>5.35</v>
      </c>
      <c r="AT1834" t="s">
        <v>6645</v>
      </c>
      <c r="AU1834">
        <v>72.39</v>
      </c>
      <c r="AV1834">
        <v>52.91</v>
      </c>
      <c r="AW1834">
        <v>0</v>
      </c>
      <c r="BA1834">
        <v>-1.44</v>
      </c>
      <c r="BB1834">
        <v>2.27</v>
      </c>
      <c r="BC1834">
        <v>-1.44</v>
      </c>
      <c r="BD1834">
        <v>0.4</v>
      </c>
      <c r="BE1834">
        <v>1.46</v>
      </c>
      <c r="BF1834">
        <v>-2.2200000000000002</v>
      </c>
      <c r="BG1834">
        <v>1.46</v>
      </c>
      <c r="BH1834">
        <v>-0.4</v>
      </c>
      <c r="BI1834">
        <v>20191026</v>
      </c>
      <c r="BJ1834">
        <v>20150423</v>
      </c>
      <c r="BK1834">
        <v>6.61</v>
      </c>
      <c r="BL1834" t="s">
        <v>116</v>
      </c>
      <c r="BM1834" t="s">
        <v>116</v>
      </c>
      <c r="BN1834">
        <v>30.58</v>
      </c>
      <c r="BO1834">
        <v>16.12</v>
      </c>
      <c r="BP1834">
        <v>2.56</v>
      </c>
      <c r="BQ1834">
        <v>38.880000000000003</v>
      </c>
      <c r="BR1834">
        <v>12.36</v>
      </c>
      <c r="BS1834">
        <v>8.73</v>
      </c>
      <c r="BT1834">
        <v>1.41</v>
      </c>
      <c r="BU1834">
        <v>10.89</v>
      </c>
      <c r="BV1834">
        <v>4.68</v>
      </c>
      <c r="BW1834">
        <v>3.55</v>
      </c>
      <c r="BX1834">
        <v>5.16</v>
      </c>
      <c r="BY1834">
        <v>11.27</v>
      </c>
      <c r="BZ1834">
        <v>7.34</v>
      </c>
      <c r="CA1834">
        <v>1.47</v>
      </c>
      <c r="CB1834">
        <v>-0.04</v>
      </c>
      <c r="CC1834">
        <v>1.47</v>
      </c>
      <c r="CD1834">
        <v>1.27</v>
      </c>
      <c r="CE1834">
        <v>1.02</v>
      </c>
      <c r="CF1834">
        <v>0.92</v>
      </c>
      <c r="CG1834">
        <v>3.9</v>
      </c>
      <c r="CH1834">
        <v>1.44</v>
      </c>
      <c r="CI1834">
        <v>0.41</v>
      </c>
      <c r="CJ1834">
        <v>11214</v>
      </c>
      <c r="CK1834">
        <v>22706</v>
      </c>
      <c r="CL1834" t="s">
        <v>9267</v>
      </c>
      <c r="CM1834">
        <v>-24.2</v>
      </c>
      <c r="CN1834">
        <v>3</v>
      </c>
      <c r="CO1834">
        <v>3.98</v>
      </c>
      <c r="CP1834">
        <v>44.67</v>
      </c>
      <c r="CQ1834">
        <v>5.69</v>
      </c>
      <c r="CR1834">
        <v>0.62</v>
      </c>
      <c r="CS1834" t="s">
        <v>5345</v>
      </c>
      <c r="CT1834">
        <v>2.44</v>
      </c>
      <c r="CU1834">
        <v>0</v>
      </c>
      <c r="CV1834">
        <v>0.78</v>
      </c>
      <c r="CW1834">
        <v>0.59</v>
      </c>
      <c r="CX1834">
        <v>0.22</v>
      </c>
      <c r="CY1834">
        <v>52.74</v>
      </c>
      <c r="CZ1834" t="s">
        <v>9268</v>
      </c>
      <c r="DA1834">
        <v>34.909999999999997</v>
      </c>
      <c r="DB1834">
        <v>13.05</v>
      </c>
      <c r="DC1834">
        <v>9.07</v>
      </c>
      <c r="DD1834">
        <v>0.55000000000000004</v>
      </c>
      <c r="DE1834">
        <v>2800</v>
      </c>
      <c r="DF1834">
        <v>300441</v>
      </c>
      <c r="DG1834" t="s">
        <v>116</v>
      </c>
      <c r="DH1834" t="s">
        <v>116</v>
      </c>
      <c r="DI1834" t="s">
        <v>116</v>
      </c>
    </row>
    <row r="1835" spans="1:113" x14ac:dyDescent="0.4">
      <c r="A1835" t="str">
        <f>"300442"</f>
        <v>300442</v>
      </c>
      <c r="B1835" t="s">
        <v>9269</v>
      </c>
      <c r="C1835">
        <v>-7.0000000000000007E-2</v>
      </c>
      <c r="D1835">
        <v>15.2</v>
      </c>
      <c r="E1835">
        <v>-0.01</v>
      </c>
      <c r="F1835">
        <v>15.19</v>
      </c>
      <c r="G1835">
        <v>15.2</v>
      </c>
      <c r="H1835">
        <v>9523</v>
      </c>
      <c r="I1835">
        <v>1</v>
      </c>
      <c r="J1835">
        <v>-0.06</v>
      </c>
      <c r="K1835">
        <v>1.32</v>
      </c>
      <c r="L1835">
        <v>15.17</v>
      </c>
      <c r="M1835">
        <v>15.5</v>
      </c>
      <c r="N1835">
        <v>15.17</v>
      </c>
      <c r="O1835">
        <v>15.21</v>
      </c>
      <c r="P1835">
        <v>60.18</v>
      </c>
      <c r="Q1835">
        <v>14602412</v>
      </c>
      <c r="R1835">
        <v>0.94</v>
      </c>
      <c r="S1835" t="s">
        <v>353</v>
      </c>
      <c r="T1835" t="s">
        <v>1653</v>
      </c>
      <c r="U1835">
        <v>2.17</v>
      </c>
      <c r="V1835">
        <v>15.33</v>
      </c>
      <c r="W1835">
        <v>5227</v>
      </c>
      <c r="X1835">
        <v>4296</v>
      </c>
      <c r="Y1835">
        <v>1.22</v>
      </c>
      <c r="Z1835">
        <v>81</v>
      </c>
      <c r="AA1835">
        <v>24</v>
      </c>
      <c r="AB1835" t="s">
        <v>116</v>
      </c>
      <c r="AC1835">
        <v>7600</v>
      </c>
      <c r="AD1835">
        <v>0</v>
      </c>
      <c r="AE1835" t="s">
        <v>116</v>
      </c>
      <c r="AF1835" t="s">
        <v>116</v>
      </c>
      <c r="AG1835">
        <v>0.72</v>
      </c>
      <c r="AH1835" t="s">
        <v>6094</v>
      </c>
      <c r="AI1835" t="s">
        <v>2150</v>
      </c>
      <c r="AJ1835">
        <v>0.61</v>
      </c>
      <c r="AK1835">
        <v>603</v>
      </c>
      <c r="AL1835">
        <v>16</v>
      </c>
      <c r="AM1835">
        <v>2.2000000000000001E-3</v>
      </c>
      <c r="AN1835">
        <v>-1</v>
      </c>
      <c r="AO1835">
        <v>-0.53</v>
      </c>
      <c r="AP1835">
        <v>12.18</v>
      </c>
      <c r="AQ1835">
        <v>-1.23</v>
      </c>
      <c r="AR1835">
        <v>19.97</v>
      </c>
      <c r="AS1835">
        <v>2.1</v>
      </c>
      <c r="AT1835" t="s">
        <v>9270</v>
      </c>
      <c r="AU1835" t="s">
        <v>116</v>
      </c>
      <c r="AV1835" t="s">
        <v>116</v>
      </c>
      <c r="AW1835">
        <v>1.1599999999999999</v>
      </c>
      <c r="BA1835">
        <v>-0.26</v>
      </c>
      <c r="BB1835">
        <v>1.91</v>
      </c>
      <c r="BC1835">
        <v>-0.26</v>
      </c>
      <c r="BD1835">
        <v>0.81</v>
      </c>
      <c r="BE1835">
        <v>0.2</v>
      </c>
      <c r="BF1835">
        <v>-1.94</v>
      </c>
      <c r="BG1835">
        <v>0.2</v>
      </c>
      <c r="BH1835">
        <v>-0.88</v>
      </c>
      <c r="BI1835">
        <v>20191026</v>
      </c>
      <c r="BJ1835">
        <v>20150424</v>
      </c>
      <c r="BK1835">
        <v>1</v>
      </c>
      <c r="BL1835" t="s">
        <v>116</v>
      </c>
      <c r="BM1835" t="s">
        <v>116</v>
      </c>
      <c r="BN1835">
        <v>16.48</v>
      </c>
      <c r="BO1835">
        <v>7.46</v>
      </c>
      <c r="BP1835">
        <v>-0.09</v>
      </c>
      <c r="BQ1835">
        <v>55.28</v>
      </c>
      <c r="BR1835">
        <v>11.34</v>
      </c>
      <c r="BS1835">
        <v>2.97</v>
      </c>
      <c r="BT1835">
        <v>0.65</v>
      </c>
      <c r="BU1835">
        <v>8.51</v>
      </c>
      <c r="BV1835">
        <v>6.59</v>
      </c>
      <c r="BW1835">
        <v>3.14</v>
      </c>
      <c r="BX1835">
        <v>5.16</v>
      </c>
      <c r="BY1835">
        <v>4.2</v>
      </c>
      <c r="BZ1835">
        <v>3.08</v>
      </c>
      <c r="CA1835">
        <v>0.19</v>
      </c>
      <c r="CB1835">
        <v>-0.02</v>
      </c>
      <c r="CC1835">
        <v>0.19</v>
      </c>
      <c r="CD1835">
        <v>0.16</v>
      </c>
      <c r="CE1835">
        <v>0.19</v>
      </c>
      <c r="CF1835">
        <v>-0.11</v>
      </c>
      <c r="CG1835">
        <v>1.0900000000000001</v>
      </c>
      <c r="CH1835">
        <v>-1.25</v>
      </c>
      <c r="CI1835">
        <v>0.44</v>
      </c>
      <c r="CJ1835">
        <v>10256</v>
      </c>
      <c r="CK1835">
        <v>4422</v>
      </c>
      <c r="CL1835" t="s">
        <v>4077</v>
      </c>
      <c r="CM1835">
        <v>166.2</v>
      </c>
      <c r="CN1835">
        <v>-1.31</v>
      </c>
      <c r="CO1835">
        <v>2.04</v>
      </c>
      <c r="CP1835">
        <v>-12.15</v>
      </c>
      <c r="CQ1835">
        <v>3.62</v>
      </c>
      <c r="CR1835">
        <v>0</v>
      </c>
      <c r="CS1835" t="s">
        <v>3584</v>
      </c>
      <c r="CT1835">
        <v>7.46</v>
      </c>
      <c r="CU1835">
        <v>0</v>
      </c>
      <c r="CV1835">
        <v>5.16</v>
      </c>
      <c r="CW1835">
        <v>1.0900000000000001</v>
      </c>
      <c r="CX1835">
        <v>-1.25</v>
      </c>
      <c r="CY1835">
        <v>45.26</v>
      </c>
      <c r="CZ1835" t="s">
        <v>9271</v>
      </c>
      <c r="DA1835">
        <v>26.64</v>
      </c>
      <c r="DB1835">
        <v>4.46</v>
      </c>
      <c r="DC1835">
        <v>4.51</v>
      </c>
      <c r="DD1835">
        <v>0.18</v>
      </c>
      <c r="DE1835">
        <v>817</v>
      </c>
      <c r="DF1835">
        <v>300442</v>
      </c>
      <c r="DG1835" t="s">
        <v>116</v>
      </c>
      <c r="DH1835" t="s">
        <v>116</v>
      </c>
      <c r="DI1835" t="s">
        <v>116</v>
      </c>
    </row>
    <row r="1836" spans="1:113" x14ac:dyDescent="0.4">
      <c r="A1836" t="str">
        <f>"300443"</f>
        <v>300443</v>
      </c>
      <c r="B1836" t="s">
        <v>9272</v>
      </c>
      <c r="C1836">
        <v>-1.58</v>
      </c>
      <c r="D1836">
        <v>13.71</v>
      </c>
      <c r="E1836">
        <v>-0.22</v>
      </c>
      <c r="F1836">
        <v>13.7</v>
      </c>
      <c r="G1836">
        <v>13.71</v>
      </c>
      <c r="H1836">
        <v>36198</v>
      </c>
      <c r="I1836">
        <v>708</v>
      </c>
      <c r="J1836">
        <v>-0.14000000000000001</v>
      </c>
      <c r="K1836">
        <v>2.27</v>
      </c>
      <c r="L1836">
        <v>14.05</v>
      </c>
      <c r="M1836">
        <v>14.07</v>
      </c>
      <c r="N1836">
        <v>13.69</v>
      </c>
      <c r="O1836">
        <v>13.93</v>
      </c>
      <c r="P1836">
        <v>17.5</v>
      </c>
      <c r="Q1836">
        <v>50257752</v>
      </c>
      <c r="R1836">
        <v>1.06</v>
      </c>
      <c r="S1836" t="s">
        <v>682</v>
      </c>
      <c r="T1836" t="s">
        <v>645</v>
      </c>
      <c r="U1836">
        <v>2.73</v>
      </c>
      <c r="V1836">
        <v>13.88</v>
      </c>
      <c r="W1836">
        <v>20730</v>
      </c>
      <c r="X1836">
        <v>15468</v>
      </c>
      <c r="Y1836">
        <v>1.34</v>
      </c>
      <c r="Z1836">
        <v>58</v>
      </c>
      <c r="AA1836">
        <v>53</v>
      </c>
      <c r="AB1836" t="s">
        <v>116</v>
      </c>
      <c r="AC1836">
        <v>557800</v>
      </c>
      <c r="AD1836">
        <v>0.03</v>
      </c>
      <c r="AE1836" t="s">
        <v>116</v>
      </c>
      <c r="AF1836" t="s">
        <v>116</v>
      </c>
      <c r="AG1836">
        <v>1.59</v>
      </c>
      <c r="AH1836" t="s">
        <v>4289</v>
      </c>
      <c r="AI1836" t="s">
        <v>2447</v>
      </c>
      <c r="AJ1836">
        <v>-0.9</v>
      </c>
      <c r="AK1836">
        <v>1846</v>
      </c>
      <c r="AL1836">
        <v>20</v>
      </c>
      <c r="AM1836">
        <v>1.1999999999999999E-3</v>
      </c>
      <c r="AN1836">
        <v>-1</v>
      </c>
      <c r="AO1836">
        <v>1.78</v>
      </c>
      <c r="AP1836">
        <v>6.11</v>
      </c>
      <c r="AQ1836">
        <v>-13.88</v>
      </c>
      <c r="AR1836">
        <v>26.94</v>
      </c>
      <c r="AS1836">
        <v>2.77</v>
      </c>
      <c r="AT1836" t="s">
        <v>2531</v>
      </c>
      <c r="AU1836">
        <v>18.809999999999999</v>
      </c>
      <c r="AV1836">
        <v>28.05</v>
      </c>
      <c r="AW1836">
        <v>0.95</v>
      </c>
      <c r="BA1836">
        <v>0.86</v>
      </c>
      <c r="BB1836">
        <v>1.01</v>
      </c>
      <c r="BC1836">
        <v>-1.72</v>
      </c>
      <c r="BD1836">
        <v>-0.33</v>
      </c>
      <c r="BE1836">
        <v>-2.42</v>
      </c>
      <c r="BF1836">
        <v>-2.56</v>
      </c>
      <c r="BG1836">
        <v>0.15</v>
      </c>
      <c r="BH1836">
        <v>-1.25</v>
      </c>
      <c r="BI1836">
        <v>20191029</v>
      </c>
      <c r="BJ1836">
        <v>20150422</v>
      </c>
      <c r="BK1836">
        <v>2.38</v>
      </c>
      <c r="BL1836" t="s">
        <v>116</v>
      </c>
      <c r="BM1836" t="s">
        <v>116</v>
      </c>
      <c r="BN1836">
        <v>21.99</v>
      </c>
      <c r="BO1836">
        <v>18.53</v>
      </c>
      <c r="BP1836">
        <v>0</v>
      </c>
      <c r="BQ1836">
        <v>15.7</v>
      </c>
      <c r="BR1836">
        <v>13.37</v>
      </c>
      <c r="BS1836">
        <v>6</v>
      </c>
      <c r="BT1836">
        <v>0.76</v>
      </c>
      <c r="BU1836">
        <v>2.95</v>
      </c>
      <c r="BV1836">
        <v>2.82</v>
      </c>
      <c r="BW1836">
        <v>4.26</v>
      </c>
      <c r="BX1836">
        <v>6.84</v>
      </c>
      <c r="BY1836">
        <v>8.26</v>
      </c>
      <c r="BZ1836">
        <v>5.98</v>
      </c>
      <c r="CA1836">
        <v>1.63</v>
      </c>
      <c r="CB1836">
        <v>0.01</v>
      </c>
      <c r="CC1836">
        <v>1.65</v>
      </c>
      <c r="CD1836">
        <v>1.4</v>
      </c>
      <c r="CE1836">
        <v>1.4</v>
      </c>
      <c r="CF1836">
        <v>1.37</v>
      </c>
      <c r="CG1836">
        <v>8.43</v>
      </c>
      <c r="CH1836">
        <v>3.23</v>
      </c>
      <c r="CI1836">
        <v>0.02</v>
      </c>
      <c r="CJ1836">
        <v>15498</v>
      </c>
      <c r="CK1836">
        <v>8423</v>
      </c>
      <c r="CL1836" t="s">
        <v>9273</v>
      </c>
      <c r="CM1836">
        <v>69.239999999999995</v>
      </c>
      <c r="CN1836">
        <v>59.98</v>
      </c>
      <c r="CO1836">
        <v>1.76</v>
      </c>
      <c r="CP1836">
        <v>10.1</v>
      </c>
      <c r="CQ1836">
        <v>3.95</v>
      </c>
      <c r="CR1836">
        <v>0.73</v>
      </c>
      <c r="CS1836" t="s">
        <v>9274</v>
      </c>
      <c r="CT1836">
        <v>7.79</v>
      </c>
      <c r="CU1836">
        <v>0</v>
      </c>
      <c r="CV1836">
        <v>2.87</v>
      </c>
      <c r="CW1836">
        <v>3.54</v>
      </c>
      <c r="CX1836">
        <v>1.36</v>
      </c>
      <c r="CY1836">
        <v>84.3</v>
      </c>
      <c r="CZ1836" t="s">
        <v>2183</v>
      </c>
      <c r="DA1836">
        <v>27.58</v>
      </c>
      <c r="DB1836">
        <v>19.760000000000002</v>
      </c>
      <c r="DC1836">
        <v>16.940000000000001</v>
      </c>
      <c r="DD1836">
        <v>0.25</v>
      </c>
      <c r="DE1836">
        <v>565</v>
      </c>
      <c r="DF1836">
        <v>300443</v>
      </c>
      <c r="DG1836" t="s">
        <v>116</v>
      </c>
      <c r="DH1836" t="s">
        <v>116</v>
      </c>
      <c r="DI1836" t="s">
        <v>116</v>
      </c>
    </row>
    <row r="1837" spans="1:113" x14ac:dyDescent="0.4">
      <c r="A1837" t="str">
        <f>"300444"</f>
        <v>300444</v>
      </c>
      <c r="B1837" t="s">
        <v>9275</v>
      </c>
      <c r="C1837">
        <v>-0.79</v>
      </c>
      <c r="D1837">
        <v>5.03</v>
      </c>
      <c r="E1837">
        <v>-0.04</v>
      </c>
      <c r="F1837">
        <v>5.03</v>
      </c>
      <c r="G1837">
        <v>5.04</v>
      </c>
      <c r="H1837">
        <v>101679</v>
      </c>
      <c r="I1837">
        <v>3259</v>
      </c>
      <c r="J1837">
        <v>0.2</v>
      </c>
      <c r="K1837">
        <v>3.19</v>
      </c>
      <c r="L1837">
        <v>5.0599999999999996</v>
      </c>
      <c r="M1837">
        <v>5.09</v>
      </c>
      <c r="N1837">
        <v>5</v>
      </c>
      <c r="O1837">
        <v>5.07</v>
      </c>
      <c r="P1837">
        <v>42.58</v>
      </c>
      <c r="Q1837">
        <v>51307512</v>
      </c>
      <c r="R1837">
        <v>0.77</v>
      </c>
      <c r="S1837" t="s">
        <v>397</v>
      </c>
      <c r="T1837" t="s">
        <v>165</v>
      </c>
      <c r="U1837">
        <v>1.78</v>
      </c>
      <c r="V1837">
        <v>5.05</v>
      </c>
      <c r="W1837">
        <v>55003</v>
      </c>
      <c r="X1837">
        <v>46676</v>
      </c>
      <c r="Y1837">
        <v>1.18</v>
      </c>
      <c r="Z1837">
        <v>69</v>
      </c>
      <c r="AA1837">
        <v>448</v>
      </c>
      <c r="AB1837" t="s">
        <v>116</v>
      </c>
      <c r="AC1837">
        <v>325400</v>
      </c>
      <c r="AD1837">
        <v>0.02</v>
      </c>
      <c r="AE1837" t="s">
        <v>116</v>
      </c>
      <c r="AF1837" t="s">
        <v>116</v>
      </c>
      <c r="AG1837">
        <v>3.19</v>
      </c>
      <c r="AH1837" t="s">
        <v>9276</v>
      </c>
      <c r="AI1837" t="s">
        <v>9277</v>
      </c>
      <c r="AJ1837">
        <v>-0.11</v>
      </c>
      <c r="AK1837">
        <v>1233</v>
      </c>
      <c r="AL1837">
        <v>82</v>
      </c>
      <c r="AM1837">
        <v>2.5999999999999999E-3</v>
      </c>
      <c r="AN1837">
        <v>-3</v>
      </c>
      <c r="AO1837">
        <v>-4.37</v>
      </c>
      <c r="AP1837">
        <v>0.4</v>
      </c>
      <c r="AQ1837">
        <v>-18.48</v>
      </c>
      <c r="AR1837">
        <v>-23.15</v>
      </c>
      <c r="AS1837">
        <v>3.84</v>
      </c>
      <c r="AT1837" t="s">
        <v>1194</v>
      </c>
      <c r="AU1837">
        <v>74.650000000000006</v>
      </c>
      <c r="AV1837">
        <v>15.61</v>
      </c>
      <c r="AW1837">
        <v>1.22</v>
      </c>
      <c r="BA1837">
        <v>-0.2</v>
      </c>
      <c r="BB1837">
        <v>0.39</v>
      </c>
      <c r="BC1837">
        <v>-1.38</v>
      </c>
      <c r="BD1837">
        <v>-0.47</v>
      </c>
      <c r="BE1837">
        <v>-0.59</v>
      </c>
      <c r="BF1837">
        <v>-1.18</v>
      </c>
      <c r="BG1837">
        <v>0.6</v>
      </c>
      <c r="BH1837">
        <v>-0.32</v>
      </c>
      <c r="BI1837">
        <v>20191030</v>
      </c>
      <c r="BJ1837">
        <v>20150423</v>
      </c>
      <c r="BK1837">
        <v>5.86</v>
      </c>
      <c r="BL1837" t="s">
        <v>116</v>
      </c>
      <c r="BM1837" t="s">
        <v>116</v>
      </c>
      <c r="BN1837">
        <v>40.31</v>
      </c>
      <c r="BO1837">
        <v>15.05</v>
      </c>
      <c r="BP1837">
        <v>2.2599999999999998</v>
      </c>
      <c r="BQ1837">
        <v>57.05</v>
      </c>
      <c r="BR1837">
        <v>24.36</v>
      </c>
      <c r="BS1837">
        <v>5.0599999999999996</v>
      </c>
      <c r="BT1837">
        <v>1.95</v>
      </c>
      <c r="BU1837">
        <v>20.18</v>
      </c>
      <c r="BV1837">
        <v>4.7699999999999996</v>
      </c>
      <c r="BW1837">
        <v>12.59</v>
      </c>
      <c r="BX1837">
        <v>3.16</v>
      </c>
      <c r="BY1837">
        <v>12.41</v>
      </c>
      <c r="BZ1837">
        <v>9.26</v>
      </c>
      <c r="CA1837">
        <v>0.39</v>
      </c>
      <c r="CB1837">
        <v>0.01</v>
      </c>
      <c r="CC1837">
        <v>0.41</v>
      </c>
      <c r="CD1837">
        <v>0.3</v>
      </c>
      <c r="CE1837">
        <v>0.52</v>
      </c>
      <c r="CF1837">
        <v>0.47</v>
      </c>
      <c r="CG1837">
        <v>5.84</v>
      </c>
      <c r="CH1837">
        <v>2.2200000000000002</v>
      </c>
      <c r="CI1837">
        <v>-1.53</v>
      </c>
      <c r="CJ1837">
        <v>25163</v>
      </c>
      <c r="CK1837">
        <v>10510</v>
      </c>
      <c r="CL1837" t="s">
        <v>289</v>
      </c>
      <c r="CM1837">
        <v>-74.2</v>
      </c>
      <c r="CN1837">
        <v>-8.01</v>
      </c>
      <c r="CO1837">
        <v>1.96</v>
      </c>
      <c r="CP1837">
        <v>13.28</v>
      </c>
      <c r="CQ1837">
        <v>2.37</v>
      </c>
      <c r="CR1837">
        <v>0.5</v>
      </c>
      <c r="CS1837" t="s">
        <v>431</v>
      </c>
      <c r="CT1837">
        <v>2.57</v>
      </c>
      <c r="CU1837">
        <v>0</v>
      </c>
      <c r="CV1837">
        <v>0.54</v>
      </c>
      <c r="CW1837">
        <v>1</v>
      </c>
      <c r="CX1837">
        <v>0.38</v>
      </c>
      <c r="CY1837">
        <v>37.340000000000003</v>
      </c>
      <c r="CZ1837" t="s">
        <v>2942</v>
      </c>
      <c r="DA1837">
        <v>25.39</v>
      </c>
      <c r="DB1837">
        <v>3.11</v>
      </c>
      <c r="DC1837">
        <v>4.18</v>
      </c>
      <c r="DD1837">
        <v>0.62</v>
      </c>
      <c r="DE1837">
        <v>1703</v>
      </c>
      <c r="DF1837">
        <v>300444</v>
      </c>
      <c r="DG1837" t="s">
        <v>116</v>
      </c>
      <c r="DH1837" t="s">
        <v>116</v>
      </c>
      <c r="DI1837" t="s">
        <v>116</v>
      </c>
    </row>
    <row r="1838" spans="1:113" x14ac:dyDescent="0.4">
      <c r="A1838" t="str">
        <f>"300445"</f>
        <v>300445</v>
      </c>
      <c r="B1838" t="s">
        <v>9278</v>
      </c>
      <c r="C1838">
        <v>-4.1500000000000004</v>
      </c>
      <c r="D1838">
        <v>16.87</v>
      </c>
      <c r="E1838">
        <v>-0.73</v>
      </c>
      <c r="F1838">
        <v>16.850000000000001</v>
      </c>
      <c r="G1838">
        <v>16.87</v>
      </c>
      <c r="H1838">
        <v>35694</v>
      </c>
      <c r="I1838">
        <v>409</v>
      </c>
      <c r="J1838">
        <v>-0.05</v>
      </c>
      <c r="K1838">
        <v>3.7</v>
      </c>
      <c r="L1838">
        <v>17.559999999999999</v>
      </c>
      <c r="M1838">
        <v>17.559999999999999</v>
      </c>
      <c r="N1838">
        <v>16.8</v>
      </c>
      <c r="O1838">
        <v>17.600000000000001</v>
      </c>
      <c r="P1838">
        <v>38.74</v>
      </c>
      <c r="Q1838">
        <v>61112544</v>
      </c>
      <c r="R1838">
        <v>0.56999999999999995</v>
      </c>
      <c r="S1838" t="s">
        <v>2977</v>
      </c>
      <c r="T1838" t="s">
        <v>165</v>
      </c>
      <c r="U1838">
        <v>4.32</v>
      </c>
      <c r="V1838">
        <v>17.12</v>
      </c>
      <c r="W1838">
        <v>24301</v>
      </c>
      <c r="X1838">
        <v>11393</v>
      </c>
      <c r="Y1838">
        <v>2.13</v>
      </c>
      <c r="Z1838">
        <v>136</v>
      </c>
      <c r="AA1838">
        <v>22</v>
      </c>
      <c r="AB1838" t="s">
        <v>116</v>
      </c>
      <c r="AC1838">
        <v>625100</v>
      </c>
      <c r="AD1838">
        <v>0.06</v>
      </c>
      <c r="AE1838" t="s">
        <v>116</v>
      </c>
      <c r="AF1838" t="s">
        <v>116</v>
      </c>
      <c r="AG1838">
        <v>0.97</v>
      </c>
      <c r="AH1838" t="s">
        <v>9279</v>
      </c>
      <c r="AI1838" t="s">
        <v>8084</v>
      </c>
      <c r="AJ1838">
        <v>-3.47</v>
      </c>
      <c r="AK1838">
        <v>1503</v>
      </c>
      <c r="AL1838">
        <v>24</v>
      </c>
      <c r="AM1838">
        <v>2.5000000000000001E-3</v>
      </c>
      <c r="AN1838">
        <v>-1</v>
      </c>
      <c r="AO1838">
        <v>-0.83</v>
      </c>
      <c r="AP1838">
        <v>15.31</v>
      </c>
      <c r="AQ1838">
        <v>16.18</v>
      </c>
      <c r="AR1838">
        <v>75.73</v>
      </c>
      <c r="AS1838">
        <v>6.13</v>
      </c>
      <c r="AT1838" t="s">
        <v>9280</v>
      </c>
      <c r="AU1838">
        <v>33.19</v>
      </c>
      <c r="AV1838">
        <v>37.369999999999997</v>
      </c>
      <c r="AW1838">
        <v>1.0900000000000001</v>
      </c>
      <c r="BA1838">
        <v>-0.23</v>
      </c>
      <c r="BB1838">
        <v>-0.23</v>
      </c>
      <c r="BC1838">
        <v>-4.55</v>
      </c>
      <c r="BD1838">
        <v>-2.72</v>
      </c>
      <c r="BE1838">
        <v>-3.93</v>
      </c>
      <c r="BF1838">
        <v>-3.93</v>
      </c>
      <c r="BG1838">
        <v>0.42</v>
      </c>
      <c r="BH1838">
        <v>-1.43</v>
      </c>
      <c r="BI1838">
        <v>20191202</v>
      </c>
      <c r="BJ1838">
        <v>20150424</v>
      </c>
      <c r="BK1838">
        <v>1.64</v>
      </c>
      <c r="BL1838" t="s">
        <v>116</v>
      </c>
      <c r="BM1838" t="s">
        <v>116</v>
      </c>
      <c r="BN1838">
        <v>6.09</v>
      </c>
      <c r="BO1838">
        <v>5.64</v>
      </c>
      <c r="BP1838">
        <v>-0.02</v>
      </c>
      <c r="BQ1838">
        <v>7.67</v>
      </c>
      <c r="BR1838">
        <v>3.6</v>
      </c>
      <c r="BS1838">
        <v>1.06</v>
      </c>
      <c r="BT1838">
        <v>0.89</v>
      </c>
      <c r="BU1838">
        <v>0.38</v>
      </c>
      <c r="BV1838">
        <v>0.45</v>
      </c>
      <c r="BW1838">
        <v>0.53</v>
      </c>
      <c r="BX1838">
        <v>0.45</v>
      </c>
      <c r="BY1838">
        <v>1.93</v>
      </c>
      <c r="BZ1838">
        <v>0.56999999999999995</v>
      </c>
      <c r="CA1838">
        <v>0.63</v>
      </c>
      <c r="CB1838">
        <v>0.02</v>
      </c>
      <c r="CC1838">
        <v>0.63</v>
      </c>
      <c r="CD1838">
        <v>0.52</v>
      </c>
      <c r="CE1838">
        <v>0.54</v>
      </c>
      <c r="CF1838">
        <v>0.5</v>
      </c>
      <c r="CG1838">
        <v>3.16</v>
      </c>
      <c r="CH1838">
        <v>0.35</v>
      </c>
      <c r="CI1838">
        <v>-0.7</v>
      </c>
      <c r="CJ1838">
        <v>10087</v>
      </c>
      <c r="CK1838">
        <v>5769</v>
      </c>
      <c r="CL1838" t="s">
        <v>8403</v>
      </c>
      <c r="CM1838">
        <v>21.07</v>
      </c>
      <c r="CN1838">
        <v>21.92</v>
      </c>
      <c r="CO1838">
        <v>4.9000000000000004</v>
      </c>
      <c r="CP1838">
        <v>78.459999999999994</v>
      </c>
      <c r="CQ1838">
        <v>14.32</v>
      </c>
      <c r="CR1838">
        <v>0.89</v>
      </c>
      <c r="CS1838" t="s">
        <v>2122</v>
      </c>
      <c r="CT1838">
        <v>3.44</v>
      </c>
      <c r="CU1838">
        <v>0</v>
      </c>
      <c r="CV1838">
        <v>0.28000000000000003</v>
      </c>
      <c r="CW1838">
        <v>1.92</v>
      </c>
      <c r="CX1838">
        <v>0.22</v>
      </c>
      <c r="CY1838">
        <v>92.61</v>
      </c>
      <c r="CZ1838" t="s">
        <v>3685</v>
      </c>
      <c r="DA1838">
        <v>70.23</v>
      </c>
      <c r="DB1838">
        <v>32.479999999999997</v>
      </c>
      <c r="DC1838">
        <v>27.72</v>
      </c>
      <c r="DD1838">
        <v>0.22</v>
      </c>
      <c r="DE1838">
        <v>301</v>
      </c>
      <c r="DF1838">
        <v>300445</v>
      </c>
      <c r="DG1838" t="s">
        <v>116</v>
      </c>
      <c r="DH1838" t="s">
        <v>116</v>
      </c>
      <c r="DI1838" t="s">
        <v>116</v>
      </c>
    </row>
    <row r="1839" spans="1:113" x14ac:dyDescent="0.4">
      <c r="A1839" t="str">
        <f>"300446"</f>
        <v>300446</v>
      </c>
      <c r="B1839" t="s">
        <v>9281</v>
      </c>
      <c r="C1839">
        <v>-1.36</v>
      </c>
      <c r="D1839">
        <v>18.2</v>
      </c>
      <c r="E1839">
        <v>-0.25</v>
      </c>
      <c r="F1839">
        <v>18.2</v>
      </c>
      <c r="G1839">
        <v>18.21</v>
      </c>
      <c r="H1839">
        <v>39528</v>
      </c>
      <c r="I1839">
        <v>1619</v>
      </c>
      <c r="J1839">
        <v>0.17</v>
      </c>
      <c r="K1839">
        <v>2.2200000000000002</v>
      </c>
      <c r="L1839">
        <v>18.36</v>
      </c>
      <c r="M1839">
        <v>18.59</v>
      </c>
      <c r="N1839">
        <v>18.02</v>
      </c>
      <c r="O1839">
        <v>18.45</v>
      </c>
      <c r="P1839">
        <v>32.75</v>
      </c>
      <c r="Q1839">
        <v>72030712</v>
      </c>
      <c r="R1839">
        <v>0.76</v>
      </c>
      <c r="S1839" t="s">
        <v>891</v>
      </c>
      <c r="T1839" t="s">
        <v>608</v>
      </c>
      <c r="U1839">
        <v>3.09</v>
      </c>
      <c r="V1839">
        <v>18.22</v>
      </c>
      <c r="W1839">
        <v>24576</v>
      </c>
      <c r="X1839">
        <v>14952</v>
      </c>
      <c r="Y1839">
        <v>1.64</v>
      </c>
      <c r="Z1839">
        <v>137</v>
      </c>
      <c r="AA1839">
        <v>43</v>
      </c>
      <c r="AB1839" t="s">
        <v>116</v>
      </c>
      <c r="AC1839">
        <v>730700</v>
      </c>
      <c r="AD1839">
        <v>0.03</v>
      </c>
      <c r="AE1839" t="s">
        <v>116</v>
      </c>
      <c r="AF1839" t="s">
        <v>116</v>
      </c>
      <c r="AG1839">
        <v>1.78</v>
      </c>
      <c r="AH1839" t="s">
        <v>9282</v>
      </c>
      <c r="AI1839" t="s">
        <v>9283</v>
      </c>
      <c r="AJ1839">
        <v>-0.68</v>
      </c>
      <c r="AK1839">
        <v>1722</v>
      </c>
      <c r="AL1839">
        <v>23</v>
      </c>
      <c r="AM1839">
        <v>1.2999999999999999E-3</v>
      </c>
      <c r="AN1839">
        <v>-2</v>
      </c>
      <c r="AO1839">
        <v>2.54</v>
      </c>
      <c r="AP1839">
        <v>17.420000000000002</v>
      </c>
      <c r="AQ1839">
        <v>17.04</v>
      </c>
      <c r="AR1839">
        <v>81.52</v>
      </c>
      <c r="AS1839">
        <v>3.26</v>
      </c>
      <c r="AT1839" t="s">
        <v>5183</v>
      </c>
      <c r="AU1839">
        <v>30.55</v>
      </c>
      <c r="AV1839">
        <v>32.53</v>
      </c>
      <c r="AW1839">
        <v>1.31</v>
      </c>
      <c r="BA1839">
        <v>-0.49</v>
      </c>
      <c r="BB1839">
        <v>0.76</v>
      </c>
      <c r="BC1839">
        <v>-2.33</v>
      </c>
      <c r="BD1839">
        <v>-1.23</v>
      </c>
      <c r="BE1839">
        <v>-0.87</v>
      </c>
      <c r="BF1839">
        <v>-2.1</v>
      </c>
      <c r="BG1839">
        <v>1</v>
      </c>
      <c r="BH1839">
        <v>-0.12</v>
      </c>
      <c r="BI1839">
        <v>20191021</v>
      </c>
      <c r="BJ1839">
        <v>20150423</v>
      </c>
      <c r="BK1839">
        <v>1.84</v>
      </c>
      <c r="BL1839" t="s">
        <v>116</v>
      </c>
      <c r="BM1839" t="s">
        <v>116</v>
      </c>
      <c r="BN1839">
        <v>6.99</v>
      </c>
      <c r="BO1839">
        <v>6.59</v>
      </c>
      <c r="BP1839">
        <v>0</v>
      </c>
      <c r="BQ1839">
        <v>5.8</v>
      </c>
      <c r="BR1839">
        <v>4.9000000000000004</v>
      </c>
      <c r="BS1839">
        <v>0.86</v>
      </c>
      <c r="BT1839">
        <v>0.47</v>
      </c>
      <c r="BU1839">
        <v>0.23</v>
      </c>
      <c r="BV1839">
        <v>0.48</v>
      </c>
      <c r="BW1839">
        <v>0.82</v>
      </c>
      <c r="BX1839">
        <v>0.11</v>
      </c>
      <c r="BY1839">
        <v>1.98</v>
      </c>
      <c r="BZ1839">
        <v>0.8</v>
      </c>
      <c r="CA1839">
        <v>0.9</v>
      </c>
      <c r="CB1839">
        <v>0.04</v>
      </c>
      <c r="CC1839">
        <v>0.9</v>
      </c>
      <c r="CD1839">
        <v>0.77</v>
      </c>
      <c r="CE1839">
        <v>0.77</v>
      </c>
      <c r="CF1839">
        <v>0.74</v>
      </c>
      <c r="CG1839">
        <v>4</v>
      </c>
      <c r="CH1839">
        <v>0.54</v>
      </c>
      <c r="CI1839">
        <v>-0.06</v>
      </c>
      <c r="CJ1839">
        <v>12863</v>
      </c>
      <c r="CK1839">
        <v>9438</v>
      </c>
      <c r="CL1839" t="s">
        <v>9284</v>
      </c>
      <c r="CM1839">
        <v>9.5</v>
      </c>
      <c r="CN1839">
        <v>6.81</v>
      </c>
      <c r="CO1839">
        <v>5.09</v>
      </c>
      <c r="CP1839">
        <v>61.53</v>
      </c>
      <c r="CQ1839">
        <v>16.93</v>
      </c>
      <c r="CR1839">
        <v>1.1000000000000001</v>
      </c>
      <c r="CS1839" t="s">
        <v>3856</v>
      </c>
      <c r="CT1839">
        <v>3.58</v>
      </c>
      <c r="CU1839">
        <v>0</v>
      </c>
      <c r="CV1839">
        <v>0.06</v>
      </c>
      <c r="CW1839">
        <v>2.17</v>
      </c>
      <c r="CX1839">
        <v>0.3</v>
      </c>
      <c r="CY1839">
        <v>94.2</v>
      </c>
      <c r="CZ1839" t="s">
        <v>9285</v>
      </c>
      <c r="DA1839">
        <v>59.81</v>
      </c>
      <c r="DB1839">
        <v>45.22</v>
      </c>
      <c r="DC1839">
        <v>38.770000000000003</v>
      </c>
      <c r="DD1839">
        <v>0.19</v>
      </c>
      <c r="DE1839">
        <v>264</v>
      </c>
      <c r="DF1839">
        <v>300446</v>
      </c>
      <c r="DG1839" t="s">
        <v>116</v>
      </c>
      <c r="DH1839" t="s">
        <v>116</v>
      </c>
      <c r="DI1839" t="s">
        <v>116</v>
      </c>
    </row>
    <row r="1840" spans="1:113" x14ac:dyDescent="0.4">
      <c r="A1840" t="str">
        <f>"300447"</f>
        <v>300447</v>
      </c>
      <c r="B1840" t="s">
        <v>9286</v>
      </c>
      <c r="C1840">
        <v>-0.3</v>
      </c>
      <c r="D1840">
        <v>9.89</v>
      </c>
      <c r="E1840">
        <v>-0.03</v>
      </c>
      <c r="F1840">
        <v>9.89</v>
      </c>
      <c r="G1840">
        <v>9.9</v>
      </c>
      <c r="H1840">
        <v>22559</v>
      </c>
      <c r="I1840">
        <v>162</v>
      </c>
      <c r="J1840">
        <v>-0.19</v>
      </c>
      <c r="K1840">
        <v>1.29</v>
      </c>
      <c r="L1840">
        <v>9.9499999999999993</v>
      </c>
      <c r="M1840">
        <v>10.1</v>
      </c>
      <c r="N1840">
        <v>9.8800000000000008</v>
      </c>
      <c r="O1840">
        <v>9.92</v>
      </c>
      <c r="P1840">
        <v>23.32</v>
      </c>
      <c r="Q1840">
        <v>22546318</v>
      </c>
      <c r="R1840">
        <v>1.21</v>
      </c>
      <c r="S1840" t="s">
        <v>397</v>
      </c>
      <c r="T1840" t="s">
        <v>323</v>
      </c>
      <c r="U1840">
        <v>2.2200000000000002</v>
      </c>
      <c r="V1840">
        <v>9.99</v>
      </c>
      <c r="W1840">
        <v>11261</v>
      </c>
      <c r="X1840">
        <v>11298</v>
      </c>
      <c r="Y1840">
        <v>1</v>
      </c>
      <c r="Z1840">
        <v>51</v>
      </c>
      <c r="AA1840">
        <v>1</v>
      </c>
      <c r="AB1840" t="s">
        <v>116</v>
      </c>
      <c r="AC1840">
        <v>132300</v>
      </c>
      <c r="AD1840">
        <v>0.01</v>
      </c>
      <c r="AE1840" t="s">
        <v>116</v>
      </c>
      <c r="AF1840" t="s">
        <v>116</v>
      </c>
      <c r="AG1840">
        <v>1.75</v>
      </c>
      <c r="AH1840" t="s">
        <v>9287</v>
      </c>
      <c r="AI1840" t="s">
        <v>9288</v>
      </c>
      <c r="AJ1840">
        <v>0.38</v>
      </c>
      <c r="AK1840">
        <v>1139</v>
      </c>
      <c r="AL1840">
        <v>20</v>
      </c>
      <c r="AM1840">
        <v>1.1000000000000001E-3</v>
      </c>
      <c r="AN1840">
        <v>-3</v>
      </c>
      <c r="AO1840">
        <v>-1</v>
      </c>
      <c r="AP1840">
        <v>0.51</v>
      </c>
      <c r="AQ1840">
        <v>-17.649999999999999</v>
      </c>
      <c r="AR1840">
        <v>6.57</v>
      </c>
      <c r="AS1840">
        <v>1.86</v>
      </c>
      <c r="AT1840" t="s">
        <v>3369</v>
      </c>
      <c r="AU1840" t="s">
        <v>116</v>
      </c>
      <c r="AV1840" t="s">
        <v>116</v>
      </c>
      <c r="AW1840">
        <v>1.39</v>
      </c>
      <c r="BA1840">
        <v>0.3</v>
      </c>
      <c r="BB1840">
        <v>1.81</v>
      </c>
      <c r="BC1840">
        <v>-0.4</v>
      </c>
      <c r="BD1840">
        <v>0.75</v>
      </c>
      <c r="BE1840">
        <v>-0.6</v>
      </c>
      <c r="BF1840">
        <v>-2.08</v>
      </c>
      <c r="BG1840">
        <v>0.1</v>
      </c>
      <c r="BH1840">
        <v>-1.05</v>
      </c>
      <c r="BI1840">
        <v>20191129</v>
      </c>
      <c r="BJ1840">
        <v>20150422</v>
      </c>
      <c r="BK1840">
        <v>2.91</v>
      </c>
      <c r="BL1840" t="s">
        <v>116</v>
      </c>
      <c r="BM1840" t="s">
        <v>116</v>
      </c>
      <c r="BN1840">
        <v>14.26</v>
      </c>
      <c r="BO1840">
        <v>10.45</v>
      </c>
      <c r="BP1840">
        <v>0.06</v>
      </c>
      <c r="BQ1840">
        <v>26.29</v>
      </c>
      <c r="BR1840">
        <v>10.94</v>
      </c>
      <c r="BS1840">
        <v>1.46</v>
      </c>
      <c r="BT1840">
        <v>0.51</v>
      </c>
      <c r="BU1840">
        <v>3.3</v>
      </c>
      <c r="BV1840">
        <v>2.41</v>
      </c>
      <c r="BW1840">
        <v>5.54</v>
      </c>
      <c r="BX1840">
        <v>5.34</v>
      </c>
      <c r="BY1840">
        <v>4.7699999999999996</v>
      </c>
      <c r="BZ1840">
        <v>2.34</v>
      </c>
      <c r="CA1840">
        <v>-0.86</v>
      </c>
      <c r="CB1840">
        <v>0</v>
      </c>
      <c r="CC1840">
        <v>1.19</v>
      </c>
      <c r="CD1840">
        <v>0.92</v>
      </c>
      <c r="CE1840">
        <v>0.93</v>
      </c>
      <c r="CF1840">
        <v>0.84</v>
      </c>
      <c r="CG1840">
        <v>2.38</v>
      </c>
      <c r="CH1840">
        <v>-0.02</v>
      </c>
      <c r="CI1840">
        <v>-0.76</v>
      </c>
      <c r="CJ1840">
        <v>15920</v>
      </c>
      <c r="CK1840">
        <v>7601</v>
      </c>
      <c r="CL1840" t="s">
        <v>7685</v>
      </c>
      <c r="CM1840">
        <v>-25.82</v>
      </c>
      <c r="CN1840">
        <v>-3.49</v>
      </c>
      <c r="CO1840">
        <v>2.75</v>
      </c>
      <c r="CP1840">
        <v>-1541.05</v>
      </c>
      <c r="CQ1840">
        <v>6.03</v>
      </c>
      <c r="CR1840">
        <v>0</v>
      </c>
      <c r="CS1840" t="s">
        <v>4088</v>
      </c>
      <c r="CT1840">
        <v>3.59</v>
      </c>
      <c r="CU1840">
        <v>0</v>
      </c>
      <c r="CV1840">
        <v>1.83</v>
      </c>
      <c r="CW1840">
        <v>0.82</v>
      </c>
      <c r="CX1840">
        <v>-0.01</v>
      </c>
      <c r="CY1840">
        <v>73.33</v>
      </c>
      <c r="CZ1840" t="s">
        <v>3655</v>
      </c>
      <c r="DA1840">
        <v>50.95</v>
      </c>
      <c r="DB1840">
        <v>-18.09</v>
      </c>
      <c r="DC1840">
        <v>19.399999999999999</v>
      </c>
      <c r="DD1840">
        <v>0.49</v>
      </c>
      <c r="DE1840">
        <v>600</v>
      </c>
      <c r="DF1840">
        <v>300447</v>
      </c>
      <c r="DG1840" t="s">
        <v>116</v>
      </c>
      <c r="DH1840" t="s">
        <v>116</v>
      </c>
      <c r="DI1840" t="s">
        <v>116</v>
      </c>
    </row>
    <row r="1841" spans="1:113" x14ac:dyDescent="0.4">
      <c r="A1841" t="str">
        <f>"300448"</f>
        <v>300448</v>
      </c>
      <c r="B1841" t="s">
        <v>9289</v>
      </c>
      <c r="C1841">
        <v>-2.57</v>
      </c>
      <c r="D1841">
        <v>7.57</v>
      </c>
      <c r="E1841">
        <v>-0.2</v>
      </c>
      <c r="F1841">
        <v>7.55</v>
      </c>
      <c r="G1841">
        <v>7.57</v>
      </c>
      <c r="H1841">
        <v>168788</v>
      </c>
      <c r="I1841">
        <v>3284</v>
      </c>
      <c r="J1841">
        <v>0.26</v>
      </c>
      <c r="K1841">
        <v>4.01</v>
      </c>
      <c r="L1841">
        <v>7.78</v>
      </c>
      <c r="M1841">
        <v>7.81</v>
      </c>
      <c r="N1841">
        <v>7.51</v>
      </c>
      <c r="O1841">
        <v>7.77</v>
      </c>
      <c r="P1841">
        <v>125.94</v>
      </c>
      <c r="Q1841">
        <v>129569992</v>
      </c>
      <c r="R1841">
        <v>1.02</v>
      </c>
      <c r="S1841" t="s">
        <v>607</v>
      </c>
      <c r="T1841" t="s">
        <v>551</v>
      </c>
      <c r="U1841">
        <v>3.86</v>
      </c>
      <c r="V1841">
        <v>7.68</v>
      </c>
      <c r="W1841">
        <v>112145</v>
      </c>
      <c r="X1841">
        <v>56643</v>
      </c>
      <c r="Y1841">
        <v>1.98</v>
      </c>
      <c r="Z1841">
        <v>5</v>
      </c>
      <c r="AA1841">
        <v>376</v>
      </c>
      <c r="AB1841" t="s">
        <v>116</v>
      </c>
      <c r="AC1841">
        <v>223300</v>
      </c>
      <c r="AD1841">
        <v>0.01</v>
      </c>
      <c r="AE1841" t="s">
        <v>116</v>
      </c>
      <c r="AF1841" t="s">
        <v>116</v>
      </c>
      <c r="AG1841">
        <v>4.21</v>
      </c>
      <c r="AH1841" t="s">
        <v>9290</v>
      </c>
      <c r="AI1841" t="s">
        <v>9291</v>
      </c>
      <c r="AJ1841">
        <v>-1.9</v>
      </c>
      <c r="AK1841">
        <v>2540</v>
      </c>
      <c r="AL1841">
        <v>66</v>
      </c>
      <c r="AM1841">
        <v>1.6000000000000001E-3</v>
      </c>
      <c r="AN1841">
        <v>-1</v>
      </c>
      <c r="AO1841">
        <v>-1.3</v>
      </c>
      <c r="AP1841">
        <v>3.13</v>
      </c>
      <c r="AQ1841">
        <v>3.84</v>
      </c>
      <c r="AR1841">
        <v>24.94</v>
      </c>
      <c r="AS1841">
        <v>4.91</v>
      </c>
      <c r="AT1841" t="s">
        <v>6976</v>
      </c>
      <c r="AU1841">
        <v>35.729999999999997</v>
      </c>
      <c r="AV1841">
        <v>37.369999999999997</v>
      </c>
      <c r="AW1841">
        <v>1.87</v>
      </c>
      <c r="BA1841">
        <v>0.13</v>
      </c>
      <c r="BB1841">
        <v>0.51</v>
      </c>
      <c r="BC1841">
        <v>-3.35</v>
      </c>
      <c r="BD1841">
        <v>-1.2</v>
      </c>
      <c r="BE1841">
        <v>-2.7</v>
      </c>
      <c r="BF1841">
        <v>-3.07</v>
      </c>
      <c r="BG1841">
        <v>0.8</v>
      </c>
      <c r="BH1841">
        <v>-1.37</v>
      </c>
      <c r="BI1841">
        <v>20191025</v>
      </c>
      <c r="BJ1841">
        <v>20150424</v>
      </c>
      <c r="BK1841">
        <v>6.92</v>
      </c>
      <c r="BL1841" t="s">
        <v>116</v>
      </c>
      <c r="BM1841" t="s">
        <v>116</v>
      </c>
      <c r="BN1841">
        <v>16.13</v>
      </c>
      <c r="BO1841">
        <v>12.93</v>
      </c>
      <c r="BP1841">
        <v>0.63</v>
      </c>
      <c r="BQ1841">
        <v>15.94</v>
      </c>
      <c r="BR1841">
        <v>10.94</v>
      </c>
      <c r="BS1841">
        <v>2.4500000000000002</v>
      </c>
      <c r="BT1841">
        <v>0.35</v>
      </c>
      <c r="BU1841">
        <v>2.36</v>
      </c>
      <c r="BV1841">
        <v>2.11</v>
      </c>
      <c r="BW1841">
        <v>3.56</v>
      </c>
      <c r="BX1841">
        <v>2.41</v>
      </c>
      <c r="BY1841">
        <v>3.9</v>
      </c>
      <c r="BZ1841">
        <v>2.2799999999999998</v>
      </c>
      <c r="CA1841">
        <v>0.26</v>
      </c>
      <c r="CB1841">
        <v>0.01</v>
      </c>
      <c r="CC1841">
        <v>0.27</v>
      </c>
      <c r="CD1841">
        <v>0.24</v>
      </c>
      <c r="CE1841">
        <v>0.31</v>
      </c>
      <c r="CF1841">
        <v>0.25</v>
      </c>
      <c r="CG1841">
        <v>4.22</v>
      </c>
      <c r="CH1841">
        <v>-1.07</v>
      </c>
      <c r="CI1841">
        <v>-0.3</v>
      </c>
      <c r="CJ1841">
        <v>33614</v>
      </c>
      <c r="CK1841">
        <v>10236</v>
      </c>
      <c r="CL1841" t="s">
        <v>7918</v>
      </c>
      <c r="CM1841">
        <v>26.13</v>
      </c>
      <c r="CN1841">
        <v>2.73</v>
      </c>
      <c r="CO1841">
        <v>4.05</v>
      </c>
      <c r="CP1841">
        <v>-49.02</v>
      </c>
      <c r="CQ1841">
        <v>13.44</v>
      </c>
      <c r="CR1841">
        <v>0.39</v>
      </c>
      <c r="CS1841" t="s">
        <v>2428</v>
      </c>
      <c r="CT1841">
        <v>1.87</v>
      </c>
      <c r="CU1841">
        <v>0</v>
      </c>
      <c r="CV1841">
        <v>0.35</v>
      </c>
      <c r="CW1841">
        <v>0.61</v>
      </c>
      <c r="CX1841">
        <v>-0.15</v>
      </c>
      <c r="CY1841">
        <v>80.17</v>
      </c>
      <c r="CZ1841" t="s">
        <v>9128</v>
      </c>
      <c r="DA1841">
        <v>41.5</v>
      </c>
      <c r="DB1841">
        <v>6.76</v>
      </c>
      <c r="DC1841">
        <v>8.01</v>
      </c>
      <c r="DD1841">
        <v>0.35</v>
      </c>
      <c r="DE1841">
        <v>1267</v>
      </c>
      <c r="DF1841">
        <v>300448</v>
      </c>
      <c r="DG1841" t="s">
        <v>116</v>
      </c>
      <c r="DH1841" t="s">
        <v>116</v>
      </c>
      <c r="DI1841" t="s">
        <v>116</v>
      </c>
    </row>
    <row r="1842" spans="1:113" x14ac:dyDescent="0.4">
      <c r="A1842" t="str">
        <f>"300449"</f>
        <v>300449</v>
      </c>
      <c r="B1842" t="s">
        <v>9292</v>
      </c>
      <c r="C1842">
        <v>-4.1100000000000003</v>
      </c>
      <c r="D1842">
        <v>10.51</v>
      </c>
      <c r="E1842">
        <v>-0.45</v>
      </c>
      <c r="F1842">
        <v>10.5</v>
      </c>
      <c r="G1842">
        <v>10.51</v>
      </c>
      <c r="H1842">
        <v>169227</v>
      </c>
      <c r="I1842">
        <v>1360</v>
      </c>
      <c r="J1842">
        <v>0</v>
      </c>
      <c r="K1842">
        <v>6.82</v>
      </c>
      <c r="L1842">
        <v>11.01</v>
      </c>
      <c r="M1842">
        <v>11.03</v>
      </c>
      <c r="N1842">
        <v>10.5</v>
      </c>
      <c r="O1842">
        <v>10.96</v>
      </c>
      <c r="P1842">
        <v>180.86</v>
      </c>
      <c r="Q1842">
        <v>180944064</v>
      </c>
      <c r="R1842">
        <v>1.82</v>
      </c>
      <c r="S1842" t="s">
        <v>241</v>
      </c>
      <c r="T1842" t="s">
        <v>165</v>
      </c>
      <c r="U1842">
        <v>4.84</v>
      </c>
      <c r="V1842">
        <v>10.69</v>
      </c>
      <c r="W1842">
        <v>91750</v>
      </c>
      <c r="X1842">
        <v>77477</v>
      </c>
      <c r="Y1842">
        <v>1.18</v>
      </c>
      <c r="Z1842">
        <v>1388</v>
      </c>
      <c r="AA1842">
        <v>909</v>
      </c>
      <c r="AB1842" t="s">
        <v>116</v>
      </c>
      <c r="AC1842">
        <v>436000</v>
      </c>
      <c r="AD1842">
        <v>0.02</v>
      </c>
      <c r="AE1842" t="s">
        <v>116</v>
      </c>
      <c r="AF1842" t="s">
        <v>116</v>
      </c>
      <c r="AG1842">
        <v>2.48</v>
      </c>
      <c r="AH1842" t="s">
        <v>9293</v>
      </c>
      <c r="AI1842" t="s">
        <v>9294</v>
      </c>
      <c r="AJ1842">
        <v>-3.43</v>
      </c>
      <c r="AK1842">
        <v>2887</v>
      </c>
      <c r="AL1842">
        <v>59</v>
      </c>
      <c r="AM1842">
        <v>2.3999999999999998E-3</v>
      </c>
      <c r="AN1842">
        <v>-2</v>
      </c>
      <c r="AO1842">
        <v>-4.2</v>
      </c>
      <c r="AP1842">
        <v>-3.4</v>
      </c>
      <c r="AQ1842">
        <v>18.760000000000002</v>
      </c>
      <c r="AR1842">
        <v>23.24</v>
      </c>
      <c r="AS1842">
        <v>7.84</v>
      </c>
      <c r="AT1842" t="s">
        <v>9295</v>
      </c>
      <c r="AU1842" t="s">
        <v>116</v>
      </c>
      <c r="AV1842">
        <v>289.63</v>
      </c>
      <c r="AW1842">
        <v>1.04</v>
      </c>
      <c r="BA1842">
        <v>0.46</v>
      </c>
      <c r="BB1842">
        <v>0.64</v>
      </c>
      <c r="BC1842">
        <v>-4.2</v>
      </c>
      <c r="BD1842">
        <v>-2.44</v>
      </c>
      <c r="BE1842">
        <v>-4.54</v>
      </c>
      <c r="BF1842">
        <v>-4.71</v>
      </c>
      <c r="BG1842">
        <v>0.1</v>
      </c>
      <c r="BH1842">
        <v>-1.66</v>
      </c>
      <c r="BI1842">
        <v>20191107</v>
      </c>
      <c r="BJ1842">
        <v>20150422</v>
      </c>
      <c r="BK1842">
        <v>3.03</v>
      </c>
      <c r="BL1842" t="s">
        <v>116</v>
      </c>
      <c r="BM1842" t="s">
        <v>116</v>
      </c>
      <c r="BN1842">
        <v>22.59</v>
      </c>
      <c r="BO1842">
        <v>14.24</v>
      </c>
      <c r="BP1842">
        <v>0</v>
      </c>
      <c r="BQ1842">
        <v>36.950000000000003</v>
      </c>
      <c r="BR1842">
        <v>12.45</v>
      </c>
      <c r="BS1842">
        <v>0.08</v>
      </c>
      <c r="BT1842">
        <v>0.11</v>
      </c>
      <c r="BU1842">
        <v>7.23</v>
      </c>
      <c r="BV1842">
        <v>2.7</v>
      </c>
      <c r="BW1842">
        <v>6.43</v>
      </c>
      <c r="BX1842">
        <v>8.6</v>
      </c>
      <c r="BY1842">
        <v>1.95</v>
      </c>
      <c r="BZ1842">
        <v>1.35</v>
      </c>
      <c r="CA1842">
        <v>-0.21</v>
      </c>
      <c r="CB1842">
        <v>0.05</v>
      </c>
      <c r="CC1842">
        <v>0.21</v>
      </c>
      <c r="CD1842">
        <v>0.13</v>
      </c>
      <c r="CE1842">
        <v>0.13</v>
      </c>
      <c r="CF1842">
        <v>-0.31</v>
      </c>
      <c r="CG1842">
        <v>2.97</v>
      </c>
      <c r="CH1842">
        <v>-0.52</v>
      </c>
      <c r="CI1842">
        <v>-1.57</v>
      </c>
      <c r="CJ1842">
        <v>18665</v>
      </c>
      <c r="CK1842">
        <v>11559</v>
      </c>
      <c r="CL1842" t="s">
        <v>9296</v>
      </c>
      <c r="CM1842">
        <v>-58.12</v>
      </c>
      <c r="CN1842">
        <v>-30.68</v>
      </c>
      <c r="CO1842">
        <v>2.25</v>
      </c>
      <c r="CP1842">
        <v>-61.73</v>
      </c>
      <c r="CQ1842">
        <v>16.32</v>
      </c>
      <c r="CR1842">
        <v>0.37</v>
      </c>
      <c r="CS1842" t="s">
        <v>8251</v>
      </c>
      <c r="CT1842">
        <v>4.68</v>
      </c>
      <c r="CU1842">
        <v>4.68</v>
      </c>
      <c r="CV1842">
        <v>2.84</v>
      </c>
      <c r="CW1842">
        <v>0.98</v>
      </c>
      <c r="CX1842">
        <v>-0.17</v>
      </c>
      <c r="CY1842">
        <v>63.05</v>
      </c>
      <c r="CZ1842" t="s">
        <v>2296</v>
      </c>
      <c r="DA1842">
        <v>30.94</v>
      </c>
      <c r="DB1842">
        <v>-10.54</v>
      </c>
      <c r="DC1842">
        <v>6.77</v>
      </c>
      <c r="DD1842">
        <v>0.22</v>
      </c>
      <c r="DE1842">
        <v>467</v>
      </c>
      <c r="DF1842">
        <v>300449</v>
      </c>
      <c r="DG1842" t="s">
        <v>116</v>
      </c>
      <c r="DH1842" t="s">
        <v>116</v>
      </c>
      <c r="DI1842" t="s">
        <v>116</v>
      </c>
    </row>
    <row r="1843" spans="1:113" x14ac:dyDescent="0.4">
      <c r="A1843" t="str">
        <f>"300450"</f>
        <v>300450</v>
      </c>
      <c r="B1843" t="s">
        <v>9297</v>
      </c>
      <c r="C1843">
        <v>-2.0299999999999998</v>
      </c>
      <c r="D1843">
        <v>45.8</v>
      </c>
      <c r="E1843">
        <v>-0.95</v>
      </c>
      <c r="F1843">
        <v>45.8</v>
      </c>
      <c r="G1843">
        <v>45.81</v>
      </c>
      <c r="H1843">
        <v>135624</v>
      </c>
      <c r="I1843">
        <v>926</v>
      </c>
      <c r="J1843">
        <v>-0.16</v>
      </c>
      <c r="K1843">
        <v>1.6</v>
      </c>
      <c r="L1843">
        <v>47.13</v>
      </c>
      <c r="M1843">
        <v>47.45</v>
      </c>
      <c r="N1843">
        <v>45.64</v>
      </c>
      <c r="O1843">
        <v>46.75</v>
      </c>
      <c r="P1843">
        <v>47.66</v>
      </c>
      <c r="Q1843">
        <v>630280320</v>
      </c>
      <c r="R1843">
        <v>0.97</v>
      </c>
      <c r="S1843" t="s">
        <v>682</v>
      </c>
      <c r="T1843" t="s">
        <v>323</v>
      </c>
      <c r="U1843">
        <v>3.87</v>
      </c>
      <c r="V1843">
        <v>46.47</v>
      </c>
      <c r="W1843">
        <v>75640</v>
      </c>
      <c r="X1843">
        <v>59984</v>
      </c>
      <c r="Y1843">
        <v>1.26</v>
      </c>
      <c r="Z1843">
        <v>62</v>
      </c>
      <c r="AA1843">
        <v>56</v>
      </c>
      <c r="AB1843" t="s">
        <v>116</v>
      </c>
      <c r="AC1843">
        <v>2724100</v>
      </c>
      <c r="AD1843">
        <v>0.01</v>
      </c>
      <c r="AE1843" t="s">
        <v>116</v>
      </c>
      <c r="AF1843" t="s">
        <v>116</v>
      </c>
      <c r="AG1843">
        <v>8.48</v>
      </c>
      <c r="AH1843" t="s">
        <v>9298</v>
      </c>
      <c r="AI1843" t="s">
        <v>9299</v>
      </c>
      <c r="AJ1843">
        <v>-1.35</v>
      </c>
      <c r="AK1843">
        <v>4370</v>
      </c>
      <c r="AL1843">
        <v>31</v>
      </c>
      <c r="AM1843">
        <v>4.0000000000000002E-4</v>
      </c>
      <c r="AN1843">
        <v>-1</v>
      </c>
      <c r="AO1843">
        <v>0.09</v>
      </c>
      <c r="AP1843">
        <v>21.16</v>
      </c>
      <c r="AQ1843">
        <v>33.33</v>
      </c>
      <c r="AR1843">
        <v>59.8</v>
      </c>
      <c r="AS1843">
        <v>3.07</v>
      </c>
      <c r="AT1843" t="s">
        <v>9300</v>
      </c>
      <c r="AU1843">
        <v>48.6</v>
      </c>
      <c r="AV1843">
        <v>54.38</v>
      </c>
      <c r="AW1843">
        <v>1.28</v>
      </c>
      <c r="BA1843">
        <v>0.81</v>
      </c>
      <c r="BB1843">
        <v>1.5</v>
      </c>
      <c r="BC1843">
        <v>-2.37</v>
      </c>
      <c r="BD1843">
        <v>-0.59</v>
      </c>
      <c r="BE1843">
        <v>-2.82</v>
      </c>
      <c r="BF1843">
        <v>-3.48</v>
      </c>
      <c r="BG1843">
        <v>0.35</v>
      </c>
      <c r="BH1843">
        <v>-1.44</v>
      </c>
      <c r="BI1843">
        <v>20191129</v>
      </c>
      <c r="BJ1843">
        <v>20150518</v>
      </c>
      <c r="BK1843">
        <v>8.81</v>
      </c>
      <c r="BL1843" t="s">
        <v>116</v>
      </c>
      <c r="BM1843" t="s">
        <v>116</v>
      </c>
      <c r="BN1843">
        <v>84.34</v>
      </c>
      <c r="BO1843">
        <v>38.479999999999997</v>
      </c>
      <c r="BP1843">
        <v>0</v>
      </c>
      <c r="BQ1843">
        <v>54.37</v>
      </c>
      <c r="BR1843">
        <v>65.099999999999994</v>
      </c>
      <c r="BS1843">
        <v>4.51</v>
      </c>
      <c r="BT1843">
        <v>1.51</v>
      </c>
      <c r="BU1843">
        <v>42.27</v>
      </c>
      <c r="BV1843">
        <v>24.23</v>
      </c>
      <c r="BW1843">
        <v>14.97</v>
      </c>
      <c r="BX1843">
        <v>10.28</v>
      </c>
      <c r="BY1843">
        <v>32.159999999999997</v>
      </c>
      <c r="BZ1843">
        <v>18.89</v>
      </c>
      <c r="CA1843">
        <v>7.22</v>
      </c>
      <c r="CB1843">
        <v>0.05</v>
      </c>
      <c r="CC1843">
        <v>7.36</v>
      </c>
      <c r="CD1843">
        <v>6.35</v>
      </c>
      <c r="CE1843">
        <v>6.35</v>
      </c>
      <c r="CF1843">
        <v>6.21</v>
      </c>
      <c r="CG1843">
        <v>18.190000000000001</v>
      </c>
      <c r="CH1843">
        <v>3.32</v>
      </c>
      <c r="CI1843">
        <v>-3.11</v>
      </c>
      <c r="CJ1843">
        <v>28777</v>
      </c>
      <c r="CK1843">
        <v>15357</v>
      </c>
      <c r="CL1843" t="s">
        <v>9301</v>
      </c>
      <c r="CM1843">
        <v>16.14</v>
      </c>
      <c r="CN1843">
        <v>19.309999999999999</v>
      </c>
      <c r="CO1843">
        <v>10.49</v>
      </c>
      <c r="CP1843">
        <v>121.71</v>
      </c>
      <c r="CQ1843">
        <v>12.55</v>
      </c>
      <c r="CR1843">
        <v>0.61</v>
      </c>
      <c r="CS1843" t="s">
        <v>9302</v>
      </c>
      <c r="CT1843">
        <v>4.37</v>
      </c>
      <c r="CU1843">
        <v>0</v>
      </c>
      <c r="CV1843">
        <v>1.17</v>
      </c>
      <c r="CW1843">
        <v>2.06</v>
      </c>
      <c r="CX1843">
        <v>0.38</v>
      </c>
      <c r="CY1843">
        <v>45.63</v>
      </c>
      <c r="CZ1843" t="s">
        <v>9303</v>
      </c>
      <c r="DA1843">
        <v>41.28</v>
      </c>
      <c r="DB1843">
        <v>22.46</v>
      </c>
      <c r="DC1843">
        <v>19.75</v>
      </c>
      <c r="DD1843">
        <v>3.56</v>
      </c>
      <c r="DE1843">
        <v>4994</v>
      </c>
      <c r="DF1843">
        <v>300450</v>
      </c>
      <c r="DG1843" t="s">
        <v>116</v>
      </c>
      <c r="DH1843" t="s">
        <v>116</v>
      </c>
      <c r="DI1843" t="s">
        <v>116</v>
      </c>
    </row>
    <row r="1844" spans="1:113" x14ac:dyDescent="0.4">
      <c r="A1844" t="str">
        <f>"300451"</f>
        <v>300451</v>
      </c>
      <c r="B1844" t="s">
        <v>9304</v>
      </c>
      <c r="C1844">
        <v>-4.0199999999999996</v>
      </c>
      <c r="D1844">
        <v>17.420000000000002</v>
      </c>
      <c r="E1844">
        <v>-0.73</v>
      </c>
      <c r="F1844">
        <v>17.41</v>
      </c>
      <c r="G1844">
        <v>17.420000000000002</v>
      </c>
      <c r="H1844">
        <v>194018</v>
      </c>
      <c r="I1844">
        <v>2668</v>
      </c>
      <c r="J1844">
        <v>0.06</v>
      </c>
      <c r="K1844">
        <v>3.55</v>
      </c>
      <c r="L1844">
        <v>18.149999999999999</v>
      </c>
      <c r="M1844">
        <v>18.43</v>
      </c>
      <c r="N1844">
        <v>17.309999999999999</v>
      </c>
      <c r="O1844">
        <v>18.149999999999999</v>
      </c>
      <c r="P1844">
        <v>52.22</v>
      </c>
      <c r="Q1844">
        <v>344931936</v>
      </c>
      <c r="R1844">
        <v>2.09</v>
      </c>
      <c r="S1844" t="s">
        <v>607</v>
      </c>
      <c r="T1844" t="s">
        <v>590</v>
      </c>
      <c r="U1844">
        <v>6.17</v>
      </c>
      <c r="V1844">
        <v>17.78</v>
      </c>
      <c r="W1844">
        <v>112858</v>
      </c>
      <c r="X1844">
        <v>81160</v>
      </c>
      <c r="Y1844">
        <v>1.39</v>
      </c>
      <c r="Z1844">
        <v>182</v>
      </c>
      <c r="AA1844">
        <v>60</v>
      </c>
      <c r="AB1844" t="s">
        <v>116</v>
      </c>
      <c r="AC1844">
        <v>500900</v>
      </c>
      <c r="AD1844">
        <v>0.01</v>
      </c>
      <c r="AE1844" t="s">
        <v>116</v>
      </c>
      <c r="AF1844" t="s">
        <v>116</v>
      </c>
      <c r="AG1844">
        <v>5.46</v>
      </c>
      <c r="AH1844" t="s">
        <v>9305</v>
      </c>
      <c r="AI1844" t="s">
        <v>9306</v>
      </c>
      <c r="AJ1844">
        <v>-3.34</v>
      </c>
      <c r="AK1844">
        <v>3518</v>
      </c>
      <c r="AL1844">
        <v>55</v>
      </c>
      <c r="AM1844">
        <v>1E-3</v>
      </c>
      <c r="AN1844">
        <v>-2</v>
      </c>
      <c r="AO1844">
        <v>-3.54</v>
      </c>
      <c r="AP1844">
        <v>5.26</v>
      </c>
      <c r="AQ1844">
        <v>0.11</v>
      </c>
      <c r="AR1844">
        <v>36.81</v>
      </c>
      <c r="AS1844">
        <v>4.67</v>
      </c>
      <c r="AT1844" t="s">
        <v>9307</v>
      </c>
      <c r="AU1844">
        <v>45.07</v>
      </c>
      <c r="AV1844">
        <v>60.59</v>
      </c>
      <c r="AW1844">
        <v>1.71</v>
      </c>
      <c r="BA1844">
        <v>0</v>
      </c>
      <c r="BB1844">
        <v>1.54</v>
      </c>
      <c r="BC1844">
        <v>-4.63</v>
      </c>
      <c r="BD1844">
        <v>-2.0499999999999998</v>
      </c>
      <c r="BE1844">
        <v>-4.0199999999999996</v>
      </c>
      <c r="BF1844">
        <v>-5.48</v>
      </c>
      <c r="BG1844">
        <v>0.64</v>
      </c>
      <c r="BH1844">
        <v>-1.97</v>
      </c>
      <c r="BI1844">
        <v>20191224</v>
      </c>
      <c r="BJ1844">
        <v>20150514</v>
      </c>
      <c r="BK1844">
        <v>7.4</v>
      </c>
      <c r="BL1844" t="s">
        <v>116</v>
      </c>
      <c r="BM1844" t="s">
        <v>116</v>
      </c>
      <c r="BN1844">
        <v>31.76</v>
      </c>
      <c r="BO1844">
        <v>24.93</v>
      </c>
      <c r="BP1844">
        <v>0.42</v>
      </c>
      <c r="BQ1844">
        <v>20.2</v>
      </c>
      <c r="BR1844">
        <v>12.34</v>
      </c>
      <c r="BS1844">
        <v>2.94</v>
      </c>
      <c r="BT1844">
        <v>0.49</v>
      </c>
      <c r="BU1844">
        <v>6.34</v>
      </c>
      <c r="BV1844">
        <v>1.4</v>
      </c>
      <c r="BW1844">
        <v>8.59</v>
      </c>
      <c r="BX1844">
        <v>9.6300000000000008</v>
      </c>
      <c r="BY1844">
        <v>9.43</v>
      </c>
      <c r="BZ1844">
        <v>4.51</v>
      </c>
      <c r="CA1844">
        <v>2.16</v>
      </c>
      <c r="CB1844">
        <v>0.52</v>
      </c>
      <c r="CC1844">
        <v>2.16</v>
      </c>
      <c r="CD1844">
        <v>1.9</v>
      </c>
      <c r="CE1844">
        <v>1.85</v>
      </c>
      <c r="CF1844">
        <v>1.35</v>
      </c>
      <c r="CG1844">
        <v>7.6</v>
      </c>
      <c r="CH1844">
        <v>-2.65</v>
      </c>
      <c r="CI1844">
        <v>-3.66</v>
      </c>
      <c r="CJ1844">
        <v>26812</v>
      </c>
      <c r="CK1844">
        <v>15499</v>
      </c>
      <c r="CL1844" t="s">
        <v>9308</v>
      </c>
      <c r="CM1844">
        <v>65.489999999999995</v>
      </c>
      <c r="CN1844">
        <v>17.829999999999998</v>
      </c>
      <c r="CO1844">
        <v>5.09</v>
      </c>
      <c r="CP1844">
        <v>-48.71</v>
      </c>
      <c r="CQ1844">
        <v>13.67</v>
      </c>
      <c r="CR1844">
        <v>0.19</v>
      </c>
      <c r="CS1844" t="s">
        <v>3553</v>
      </c>
      <c r="CT1844">
        <v>3.42</v>
      </c>
      <c r="CU1844">
        <v>3.42</v>
      </c>
      <c r="CV1844">
        <v>1.3</v>
      </c>
      <c r="CW1844">
        <v>1.03</v>
      </c>
      <c r="CX1844">
        <v>-0.36</v>
      </c>
      <c r="CY1844">
        <v>78.489999999999995</v>
      </c>
      <c r="CZ1844" t="s">
        <v>1475</v>
      </c>
      <c r="DA1844">
        <v>52.12</v>
      </c>
      <c r="DB1844">
        <v>22.96</v>
      </c>
      <c r="DC1844">
        <v>19.63</v>
      </c>
      <c r="DD1844">
        <v>0.86</v>
      </c>
      <c r="DE1844">
        <v>3057</v>
      </c>
      <c r="DF1844">
        <v>300451</v>
      </c>
      <c r="DG1844" t="s">
        <v>116</v>
      </c>
      <c r="DH1844" t="s">
        <v>116</v>
      </c>
      <c r="DI1844" t="s">
        <v>116</v>
      </c>
    </row>
    <row r="1845" spans="1:113" x14ac:dyDescent="0.4">
      <c r="A1845" t="str">
        <f>"300452"</f>
        <v>300452</v>
      </c>
      <c r="B1845" t="s">
        <v>9309</v>
      </c>
      <c r="C1845">
        <v>1</v>
      </c>
      <c r="D1845">
        <v>15.08</v>
      </c>
      <c r="E1845">
        <v>0.15</v>
      </c>
      <c r="F1845">
        <v>14.96</v>
      </c>
      <c r="G1845">
        <v>15.08</v>
      </c>
      <c r="H1845">
        <v>14013</v>
      </c>
      <c r="I1845">
        <v>379</v>
      </c>
      <c r="J1845">
        <v>0.73</v>
      </c>
      <c r="K1845">
        <v>1.28</v>
      </c>
      <c r="L1845">
        <v>14.95</v>
      </c>
      <c r="M1845">
        <v>15.13</v>
      </c>
      <c r="N1845">
        <v>14.86</v>
      </c>
      <c r="O1845">
        <v>14.93</v>
      </c>
      <c r="P1845">
        <v>25.3</v>
      </c>
      <c r="Q1845">
        <v>21048288</v>
      </c>
      <c r="R1845">
        <v>1.67</v>
      </c>
      <c r="S1845" t="s">
        <v>574</v>
      </c>
      <c r="T1845" t="s">
        <v>575</v>
      </c>
      <c r="U1845">
        <v>1.81</v>
      </c>
      <c r="V1845">
        <v>15.02</v>
      </c>
      <c r="W1845">
        <v>6179</v>
      </c>
      <c r="X1845">
        <v>7834</v>
      </c>
      <c r="Y1845">
        <v>0.79</v>
      </c>
      <c r="Z1845">
        <v>118</v>
      </c>
      <c r="AA1845">
        <v>141</v>
      </c>
      <c r="AB1845" t="s">
        <v>116</v>
      </c>
      <c r="AC1845">
        <v>225700</v>
      </c>
      <c r="AD1845">
        <v>0.02</v>
      </c>
      <c r="AE1845" t="s">
        <v>116</v>
      </c>
      <c r="AF1845" t="s">
        <v>116</v>
      </c>
      <c r="AG1845">
        <v>1.1000000000000001</v>
      </c>
      <c r="AH1845" t="s">
        <v>1784</v>
      </c>
      <c r="AI1845" t="s">
        <v>9310</v>
      </c>
      <c r="AJ1845">
        <v>1.68</v>
      </c>
      <c r="AK1845">
        <v>804</v>
      </c>
      <c r="AL1845">
        <v>17</v>
      </c>
      <c r="AM1845">
        <v>1.6000000000000001E-3</v>
      </c>
      <c r="AN1845">
        <v>1</v>
      </c>
      <c r="AO1845">
        <v>0.32</v>
      </c>
      <c r="AP1845">
        <v>0.53</v>
      </c>
      <c r="AQ1845">
        <v>-0.66</v>
      </c>
      <c r="AR1845">
        <v>11.87</v>
      </c>
      <c r="AS1845">
        <v>1.91</v>
      </c>
      <c r="AT1845" t="s">
        <v>7336</v>
      </c>
      <c r="AU1845">
        <v>25.56</v>
      </c>
      <c r="AV1845">
        <v>29.94</v>
      </c>
      <c r="AW1845">
        <v>0.96</v>
      </c>
      <c r="BA1845">
        <v>0.13</v>
      </c>
      <c r="BB1845">
        <v>1.34</v>
      </c>
      <c r="BC1845">
        <v>-0.47</v>
      </c>
      <c r="BD1845">
        <v>0.61</v>
      </c>
      <c r="BE1845">
        <v>0.87</v>
      </c>
      <c r="BF1845">
        <v>-0.33</v>
      </c>
      <c r="BG1845">
        <v>1.48</v>
      </c>
      <c r="BH1845">
        <v>0.4</v>
      </c>
      <c r="BI1845">
        <v>20191022</v>
      </c>
      <c r="BJ1845">
        <v>20150515</v>
      </c>
      <c r="BK1845">
        <v>1.39</v>
      </c>
      <c r="BL1845" t="s">
        <v>116</v>
      </c>
      <c r="BM1845" t="s">
        <v>116</v>
      </c>
      <c r="BN1845">
        <v>7.19</v>
      </c>
      <c r="BO1845">
        <v>5.07</v>
      </c>
      <c r="BP1845">
        <v>0.69</v>
      </c>
      <c r="BQ1845">
        <v>19.850000000000001</v>
      </c>
      <c r="BR1845">
        <v>3.25</v>
      </c>
      <c r="BS1845">
        <v>1.86</v>
      </c>
      <c r="BT1845">
        <v>0.37</v>
      </c>
      <c r="BU1845">
        <v>1.1299999999999999</v>
      </c>
      <c r="BV1845">
        <v>0.32</v>
      </c>
      <c r="BW1845">
        <v>0.62</v>
      </c>
      <c r="BX1845">
        <v>0.67</v>
      </c>
      <c r="BY1845">
        <v>3.29</v>
      </c>
      <c r="BZ1845">
        <v>2.08</v>
      </c>
      <c r="CA1845">
        <v>0.76</v>
      </c>
      <c r="CB1845">
        <v>0.04</v>
      </c>
      <c r="CC1845">
        <v>0.76</v>
      </c>
      <c r="CD1845">
        <v>0.67</v>
      </c>
      <c r="CE1845">
        <v>0.62</v>
      </c>
      <c r="CF1845">
        <v>0.53</v>
      </c>
      <c r="CG1845">
        <v>2.85</v>
      </c>
      <c r="CH1845">
        <v>0.35</v>
      </c>
      <c r="CI1845">
        <v>-0.15</v>
      </c>
      <c r="CJ1845">
        <v>10717</v>
      </c>
      <c r="CK1845">
        <v>6839</v>
      </c>
      <c r="CL1845" t="s">
        <v>9311</v>
      </c>
      <c r="CM1845">
        <v>23.96</v>
      </c>
      <c r="CN1845">
        <v>5.65</v>
      </c>
      <c r="CO1845">
        <v>4.1399999999999997</v>
      </c>
      <c r="CP1845">
        <v>60.51</v>
      </c>
      <c r="CQ1845">
        <v>6.38</v>
      </c>
      <c r="CR1845">
        <v>1.33</v>
      </c>
      <c r="CS1845" t="s">
        <v>4446</v>
      </c>
      <c r="CT1845">
        <v>3.65</v>
      </c>
      <c r="CU1845">
        <v>0</v>
      </c>
      <c r="CV1845">
        <v>0.48</v>
      </c>
      <c r="CW1845">
        <v>2.0499999999999998</v>
      </c>
      <c r="CX1845">
        <v>0.25</v>
      </c>
      <c r="CY1845">
        <v>70.55</v>
      </c>
      <c r="CZ1845" t="s">
        <v>9312</v>
      </c>
      <c r="DA1845">
        <v>36.69</v>
      </c>
      <c r="DB1845">
        <v>23.04</v>
      </c>
      <c r="DC1845">
        <v>18.93</v>
      </c>
      <c r="DD1845">
        <v>0.13</v>
      </c>
      <c r="DE1845">
        <v>792</v>
      </c>
      <c r="DF1845">
        <v>300452</v>
      </c>
      <c r="DG1845" t="s">
        <v>116</v>
      </c>
      <c r="DH1845" t="s">
        <v>116</v>
      </c>
      <c r="DI1845" t="s">
        <v>116</v>
      </c>
    </row>
    <row r="1846" spans="1:113" x14ac:dyDescent="0.4">
      <c r="A1846" t="str">
        <f>"300453"</f>
        <v>300453</v>
      </c>
      <c r="B1846" t="s">
        <v>9313</v>
      </c>
      <c r="C1846">
        <v>-1.73</v>
      </c>
      <c r="D1846">
        <v>7.37</v>
      </c>
      <c r="E1846">
        <v>-0.13</v>
      </c>
      <c r="F1846">
        <v>7.36</v>
      </c>
      <c r="G1846">
        <v>7.37</v>
      </c>
      <c r="H1846">
        <v>26374</v>
      </c>
      <c r="I1846">
        <v>194</v>
      </c>
      <c r="J1846">
        <v>0</v>
      </c>
      <c r="K1846">
        <v>1.75</v>
      </c>
      <c r="L1846">
        <v>7.5</v>
      </c>
      <c r="M1846">
        <v>7.53</v>
      </c>
      <c r="N1846">
        <v>7.35</v>
      </c>
      <c r="O1846">
        <v>7.5</v>
      </c>
      <c r="P1846">
        <v>36.36</v>
      </c>
      <c r="Q1846">
        <v>19608104</v>
      </c>
      <c r="R1846">
        <v>1.21</v>
      </c>
      <c r="S1846" t="s">
        <v>559</v>
      </c>
      <c r="T1846" t="s">
        <v>683</v>
      </c>
      <c r="U1846">
        <v>2.4</v>
      </c>
      <c r="V1846">
        <v>7.43</v>
      </c>
      <c r="W1846">
        <v>16611</v>
      </c>
      <c r="X1846">
        <v>9763</v>
      </c>
      <c r="Y1846">
        <v>1.7</v>
      </c>
      <c r="Z1846">
        <v>212</v>
      </c>
      <c r="AA1846">
        <v>82</v>
      </c>
      <c r="AB1846" t="s">
        <v>116</v>
      </c>
      <c r="AC1846">
        <v>3800</v>
      </c>
      <c r="AD1846">
        <v>0</v>
      </c>
      <c r="AE1846" t="s">
        <v>116</v>
      </c>
      <c r="AF1846" t="s">
        <v>116</v>
      </c>
      <c r="AG1846">
        <v>1.51</v>
      </c>
      <c r="AH1846" t="s">
        <v>7128</v>
      </c>
      <c r="AI1846" t="s">
        <v>3881</v>
      </c>
      <c r="AJ1846">
        <v>-1.05</v>
      </c>
      <c r="AK1846">
        <v>1317</v>
      </c>
      <c r="AL1846">
        <v>20</v>
      </c>
      <c r="AM1846">
        <v>1.2999999999999999E-3</v>
      </c>
      <c r="AN1846">
        <v>-1</v>
      </c>
      <c r="AO1846">
        <v>-2.12</v>
      </c>
      <c r="AP1846">
        <v>2.08</v>
      </c>
      <c r="AQ1846">
        <v>3.22</v>
      </c>
      <c r="AR1846">
        <v>7.99</v>
      </c>
      <c r="AS1846">
        <v>2.16</v>
      </c>
      <c r="AT1846" t="s">
        <v>9314</v>
      </c>
      <c r="AU1846">
        <v>37.32</v>
      </c>
      <c r="AV1846">
        <v>47.06</v>
      </c>
      <c r="AW1846">
        <v>0.79</v>
      </c>
      <c r="BA1846">
        <v>0</v>
      </c>
      <c r="BB1846">
        <v>0.4</v>
      </c>
      <c r="BC1846">
        <v>-2</v>
      </c>
      <c r="BD1846">
        <v>-0.87</v>
      </c>
      <c r="BE1846">
        <v>-1.73</v>
      </c>
      <c r="BF1846">
        <v>-2.12</v>
      </c>
      <c r="BG1846">
        <v>0.27</v>
      </c>
      <c r="BH1846">
        <v>-0.86</v>
      </c>
      <c r="BI1846">
        <v>20191213</v>
      </c>
      <c r="BJ1846">
        <v>20150515</v>
      </c>
      <c r="BK1846">
        <v>2.63</v>
      </c>
      <c r="BL1846" t="s">
        <v>116</v>
      </c>
      <c r="BM1846" t="s">
        <v>116</v>
      </c>
      <c r="BN1846">
        <v>11.15</v>
      </c>
      <c r="BO1846">
        <v>6.39</v>
      </c>
      <c r="BP1846">
        <v>0.46</v>
      </c>
      <c r="BQ1846">
        <v>38.64</v>
      </c>
      <c r="BR1846">
        <v>4.28</v>
      </c>
      <c r="BS1846">
        <v>3.8</v>
      </c>
      <c r="BT1846">
        <v>0.66</v>
      </c>
      <c r="BU1846">
        <v>4.05</v>
      </c>
      <c r="BV1846">
        <v>1.37</v>
      </c>
      <c r="BW1846">
        <v>1.41</v>
      </c>
      <c r="BX1846">
        <v>0.96</v>
      </c>
      <c r="BY1846">
        <v>4.8099999999999996</v>
      </c>
      <c r="BZ1846">
        <v>3.21</v>
      </c>
      <c r="CA1846">
        <v>0.5</v>
      </c>
      <c r="CB1846">
        <v>0</v>
      </c>
      <c r="CC1846">
        <v>0.49</v>
      </c>
      <c r="CD1846">
        <v>0.41</v>
      </c>
      <c r="CE1846">
        <v>0.4</v>
      </c>
      <c r="CF1846">
        <v>0.33</v>
      </c>
      <c r="CG1846">
        <v>2.71</v>
      </c>
      <c r="CH1846">
        <v>0.47</v>
      </c>
      <c r="CI1846">
        <v>-0.62</v>
      </c>
      <c r="CJ1846">
        <v>16020</v>
      </c>
      <c r="CK1846">
        <v>7622</v>
      </c>
      <c r="CL1846" t="s">
        <v>2551</v>
      </c>
      <c r="CM1846">
        <v>36.770000000000003</v>
      </c>
      <c r="CN1846">
        <v>28.69</v>
      </c>
      <c r="CO1846">
        <v>3.03</v>
      </c>
      <c r="CP1846">
        <v>40.89</v>
      </c>
      <c r="CQ1846">
        <v>4.0199999999999996</v>
      </c>
      <c r="CR1846">
        <v>0.84</v>
      </c>
      <c r="CS1846" t="s">
        <v>771</v>
      </c>
      <c r="CT1846">
        <v>2.4300000000000002</v>
      </c>
      <c r="CU1846">
        <v>0</v>
      </c>
      <c r="CV1846">
        <v>0.37</v>
      </c>
      <c r="CW1846">
        <v>1.03</v>
      </c>
      <c r="CX1846">
        <v>0.18</v>
      </c>
      <c r="CY1846">
        <v>57.26</v>
      </c>
      <c r="CZ1846" t="s">
        <v>9315</v>
      </c>
      <c r="DA1846">
        <v>33.43</v>
      </c>
      <c r="DB1846">
        <v>10.28</v>
      </c>
      <c r="DC1846">
        <v>8.3000000000000007</v>
      </c>
      <c r="DD1846">
        <v>0.08</v>
      </c>
      <c r="DE1846">
        <v>1511</v>
      </c>
      <c r="DF1846">
        <v>300453</v>
      </c>
      <c r="DG1846" t="s">
        <v>116</v>
      </c>
      <c r="DH1846" t="s">
        <v>116</v>
      </c>
      <c r="DI1846" t="s">
        <v>116</v>
      </c>
    </row>
    <row r="1847" spans="1:113" x14ac:dyDescent="0.4">
      <c r="A1847" t="str">
        <f>"300454"</f>
        <v>300454</v>
      </c>
      <c r="B1847" t="s">
        <v>9316</v>
      </c>
      <c r="C1847">
        <v>-1.39</v>
      </c>
      <c r="D1847">
        <v>113.7</v>
      </c>
      <c r="E1847">
        <v>-1.6</v>
      </c>
      <c r="F1847">
        <v>113.67</v>
      </c>
      <c r="G1847">
        <v>113.7</v>
      </c>
      <c r="H1847">
        <v>15158</v>
      </c>
      <c r="I1847">
        <v>266</v>
      </c>
      <c r="J1847">
        <v>-0.22</v>
      </c>
      <c r="K1847">
        <v>0.72</v>
      </c>
      <c r="L1847">
        <v>115.53</v>
      </c>
      <c r="M1847">
        <v>117.38</v>
      </c>
      <c r="N1847">
        <v>113.51</v>
      </c>
      <c r="O1847">
        <v>115.3</v>
      </c>
      <c r="P1847">
        <v>111.51</v>
      </c>
      <c r="Q1847">
        <v>174324832</v>
      </c>
      <c r="R1847">
        <v>0.73</v>
      </c>
      <c r="S1847" t="s">
        <v>607</v>
      </c>
      <c r="T1847" t="s">
        <v>115</v>
      </c>
      <c r="U1847">
        <v>3.36</v>
      </c>
      <c r="V1847">
        <v>115.01</v>
      </c>
      <c r="W1847">
        <v>7403</v>
      </c>
      <c r="X1847">
        <v>7755</v>
      </c>
      <c r="Y1847">
        <v>0.95</v>
      </c>
      <c r="Z1847">
        <v>4</v>
      </c>
      <c r="AA1847">
        <v>682</v>
      </c>
      <c r="AB1847" t="s">
        <v>116</v>
      </c>
      <c r="AC1847">
        <v>231100</v>
      </c>
      <c r="AD1847">
        <v>0</v>
      </c>
      <c r="AE1847" t="s">
        <v>116</v>
      </c>
      <c r="AF1847" t="s">
        <v>116</v>
      </c>
      <c r="AG1847">
        <v>2.1</v>
      </c>
      <c r="AH1847" t="s">
        <v>9317</v>
      </c>
      <c r="AI1847" t="s">
        <v>9318</v>
      </c>
      <c r="AJ1847">
        <v>-0.71</v>
      </c>
      <c r="AK1847">
        <v>2528</v>
      </c>
      <c r="AL1847">
        <v>6</v>
      </c>
      <c r="AM1847">
        <v>2.9999999999999997E-4</v>
      </c>
      <c r="AN1847">
        <v>-2</v>
      </c>
      <c r="AO1847">
        <v>-2.7</v>
      </c>
      <c r="AP1847">
        <v>0.09</v>
      </c>
      <c r="AQ1847">
        <v>5.13</v>
      </c>
      <c r="AR1847">
        <v>27.11</v>
      </c>
      <c r="AS1847">
        <v>1.06</v>
      </c>
      <c r="AT1847" t="s">
        <v>9319</v>
      </c>
      <c r="AU1847">
        <v>77.08</v>
      </c>
      <c r="AV1847">
        <v>77.069999999999993</v>
      </c>
      <c r="AW1847">
        <v>0.39</v>
      </c>
      <c r="BA1847">
        <v>0.2</v>
      </c>
      <c r="BB1847">
        <v>1.8</v>
      </c>
      <c r="BC1847">
        <v>-1.55</v>
      </c>
      <c r="BD1847">
        <v>-0.25</v>
      </c>
      <c r="BE1847">
        <v>-1.58</v>
      </c>
      <c r="BF1847">
        <v>-3.14</v>
      </c>
      <c r="BG1847">
        <v>0.17</v>
      </c>
      <c r="BH1847">
        <v>-1.1299999999999999</v>
      </c>
      <c r="BI1847">
        <v>20191125</v>
      </c>
      <c r="BJ1847">
        <v>20180516</v>
      </c>
      <c r="BK1847">
        <v>4.09</v>
      </c>
      <c r="BL1847" t="s">
        <v>116</v>
      </c>
      <c r="BM1847" t="s">
        <v>116</v>
      </c>
      <c r="BN1847">
        <v>54.91</v>
      </c>
      <c r="BO1847">
        <v>37.549999999999997</v>
      </c>
      <c r="BP1847">
        <v>0</v>
      </c>
      <c r="BQ1847">
        <v>31.61</v>
      </c>
      <c r="BR1847">
        <v>19.27</v>
      </c>
      <c r="BS1847">
        <v>2.68</v>
      </c>
      <c r="BT1847">
        <v>2.71</v>
      </c>
      <c r="BU1847">
        <v>15.28</v>
      </c>
      <c r="BV1847">
        <v>1.61</v>
      </c>
      <c r="BW1847">
        <v>2.92</v>
      </c>
      <c r="BX1847">
        <v>20.87</v>
      </c>
      <c r="BY1847">
        <v>27.92</v>
      </c>
      <c r="BZ1847">
        <v>7.86</v>
      </c>
      <c r="CA1847">
        <v>3.17</v>
      </c>
      <c r="CB1847">
        <v>0.22</v>
      </c>
      <c r="CC1847">
        <v>3.2</v>
      </c>
      <c r="CD1847">
        <v>3.13</v>
      </c>
      <c r="CE1847">
        <v>3.13</v>
      </c>
      <c r="CF1847">
        <v>2.48</v>
      </c>
      <c r="CG1847">
        <v>12.73</v>
      </c>
      <c r="CH1847">
        <v>3.16</v>
      </c>
      <c r="CI1847">
        <v>-2.93</v>
      </c>
      <c r="CJ1847">
        <v>7754</v>
      </c>
      <c r="CK1847">
        <v>18513</v>
      </c>
      <c r="CL1847" t="s">
        <v>9320</v>
      </c>
      <c r="CM1847">
        <v>-0.02</v>
      </c>
      <c r="CN1847">
        <v>35.340000000000003</v>
      </c>
      <c r="CO1847">
        <v>12.21</v>
      </c>
      <c r="CP1847">
        <v>146.97999999999999</v>
      </c>
      <c r="CQ1847">
        <v>16.66</v>
      </c>
      <c r="CR1847">
        <v>0.13</v>
      </c>
      <c r="CS1847" t="s">
        <v>320</v>
      </c>
      <c r="CT1847">
        <v>9.31</v>
      </c>
      <c r="CU1847">
        <v>9.31</v>
      </c>
      <c r="CV1847">
        <v>5.0999999999999996</v>
      </c>
      <c r="CW1847">
        <v>3.11</v>
      </c>
      <c r="CX1847">
        <v>0.77</v>
      </c>
      <c r="CY1847">
        <v>68.39</v>
      </c>
      <c r="CZ1847" t="s">
        <v>1529</v>
      </c>
      <c r="DA1847">
        <v>71.84</v>
      </c>
      <c r="DB1847">
        <v>11.37</v>
      </c>
      <c r="DC1847">
        <v>11.2</v>
      </c>
      <c r="DD1847">
        <v>7.84</v>
      </c>
      <c r="DE1847">
        <v>4552</v>
      </c>
      <c r="DF1847">
        <v>300454</v>
      </c>
      <c r="DG1847" t="s">
        <v>116</v>
      </c>
      <c r="DH1847" t="s">
        <v>116</v>
      </c>
      <c r="DI1847" t="s">
        <v>116</v>
      </c>
    </row>
    <row r="1848" spans="1:113" x14ac:dyDescent="0.4">
      <c r="A1848" t="str">
        <f>"300455"</f>
        <v>300455</v>
      </c>
      <c r="B1848" t="s">
        <v>9321</v>
      </c>
      <c r="C1848">
        <v>-3.99</v>
      </c>
      <c r="D1848">
        <v>10.36</v>
      </c>
      <c r="E1848">
        <v>-0.43</v>
      </c>
      <c r="F1848">
        <v>10.36</v>
      </c>
      <c r="G1848">
        <v>10.37</v>
      </c>
      <c r="H1848">
        <v>135129</v>
      </c>
      <c r="I1848">
        <v>2159</v>
      </c>
      <c r="J1848">
        <v>-0.47</v>
      </c>
      <c r="K1848">
        <v>2.7</v>
      </c>
      <c r="L1848">
        <v>10.66</v>
      </c>
      <c r="M1848">
        <v>10.9</v>
      </c>
      <c r="N1848">
        <v>10.35</v>
      </c>
      <c r="O1848">
        <v>10.79</v>
      </c>
      <c r="P1848">
        <v>112.07</v>
      </c>
      <c r="Q1848">
        <v>143542112</v>
      </c>
      <c r="R1848">
        <v>0.75</v>
      </c>
      <c r="S1848" t="s">
        <v>164</v>
      </c>
      <c r="T1848" t="s">
        <v>165</v>
      </c>
      <c r="U1848">
        <v>5.0999999999999996</v>
      </c>
      <c r="V1848">
        <v>10.62</v>
      </c>
      <c r="W1848">
        <v>88876</v>
      </c>
      <c r="X1848">
        <v>46253</v>
      </c>
      <c r="Y1848">
        <v>1.92</v>
      </c>
      <c r="Z1848">
        <v>739</v>
      </c>
      <c r="AA1848">
        <v>68</v>
      </c>
      <c r="AB1848" t="s">
        <v>116</v>
      </c>
      <c r="AC1848">
        <v>2420900</v>
      </c>
      <c r="AD1848">
        <v>0.09</v>
      </c>
      <c r="AE1848" t="s">
        <v>116</v>
      </c>
      <c r="AF1848" t="s">
        <v>116</v>
      </c>
      <c r="AG1848">
        <v>5</v>
      </c>
      <c r="AH1848" t="s">
        <v>9322</v>
      </c>
      <c r="AI1848" t="s">
        <v>9323</v>
      </c>
      <c r="AJ1848">
        <v>-3.31</v>
      </c>
      <c r="AK1848">
        <v>2399</v>
      </c>
      <c r="AL1848">
        <v>56</v>
      </c>
      <c r="AM1848">
        <v>1.1000000000000001E-3</v>
      </c>
      <c r="AN1848">
        <v>-2</v>
      </c>
      <c r="AO1848">
        <v>-3</v>
      </c>
      <c r="AP1848">
        <v>21.17</v>
      </c>
      <c r="AQ1848">
        <v>20.05</v>
      </c>
      <c r="AR1848">
        <v>67.099999999999994</v>
      </c>
      <c r="AS1848">
        <v>5.58</v>
      </c>
      <c r="AT1848" t="s">
        <v>9324</v>
      </c>
      <c r="AU1848">
        <v>86.05</v>
      </c>
      <c r="AV1848">
        <v>87.05</v>
      </c>
      <c r="AW1848">
        <v>0.89</v>
      </c>
      <c r="BA1848">
        <v>-1.2</v>
      </c>
      <c r="BB1848">
        <v>1.02</v>
      </c>
      <c r="BC1848">
        <v>-4.08</v>
      </c>
      <c r="BD1848">
        <v>-1.55</v>
      </c>
      <c r="BE1848">
        <v>-2.81</v>
      </c>
      <c r="BF1848">
        <v>-4.95</v>
      </c>
      <c r="BG1848">
        <v>0.1</v>
      </c>
      <c r="BH1848">
        <v>-2.4300000000000002</v>
      </c>
      <c r="BI1848">
        <v>20191223</v>
      </c>
      <c r="BJ1848">
        <v>20150515</v>
      </c>
      <c r="BK1848">
        <v>6.36</v>
      </c>
      <c r="BL1848" t="s">
        <v>116</v>
      </c>
      <c r="BM1848" t="s">
        <v>116</v>
      </c>
      <c r="BN1848">
        <v>8.73</v>
      </c>
      <c r="BO1848">
        <v>7.65</v>
      </c>
      <c r="BP1848">
        <v>0</v>
      </c>
      <c r="BQ1848">
        <v>12.36</v>
      </c>
      <c r="BR1848">
        <v>6.72</v>
      </c>
      <c r="BS1848">
        <v>1.28</v>
      </c>
      <c r="BT1848">
        <v>0.02</v>
      </c>
      <c r="BU1848">
        <v>0.85</v>
      </c>
      <c r="BV1848">
        <v>1.59</v>
      </c>
      <c r="BW1848">
        <v>3.24</v>
      </c>
      <c r="BX1848">
        <v>0.24</v>
      </c>
      <c r="BY1848">
        <v>1.66</v>
      </c>
      <c r="BZ1848">
        <v>0.92</v>
      </c>
      <c r="CA1848">
        <v>0.5</v>
      </c>
      <c r="CB1848">
        <v>0</v>
      </c>
      <c r="CC1848">
        <v>0.5</v>
      </c>
      <c r="CD1848">
        <v>0.44</v>
      </c>
      <c r="CE1848">
        <v>0.44</v>
      </c>
      <c r="CF1848">
        <v>0.42</v>
      </c>
      <c r="CG1848">
        <v>1.84</v>
      </c>
      <c r="CH1848">
        <v>7.0000000000000007E-2</v>
      </c>
      <c r="CI1848">
        <v>-0.21</v>
      </c>
      <c r="CJ1848">
        <v>22352</v>
      </c>
      <c r="CK1848">
        <v>10843</v>
      </c>
      <c r="CL1848" t="s">
        <v>9325</v>
      </c>
      <c r="CM1848">
        <v>2.0299999999999998</v>
      </c>
      <c r="CN1848">
        <v>2.84</v>
      </c>
      <c r="CO1848">
        <v>6.9</v>
      </c>
      <c r="CP1848">
        <v>927.42</v>
      </c>
      <c r="CQ1848">
        <v>39.61</v>
      </c>
      <c r="CR1848">
        <v>0.39</v>
      </c>
      <c r="CS1848" t="s">
        <v>2739</v>
      </c>
      <c r="CT1848">
        <v>1.5</v>
      </c>
      <c r="CU1848">
        <v>1.5</v>
      </c>
      <c r="CV1848">
        <v>0.04</v>
      </c>
      <c r="CW1848">
        <v>0.28999999999999998</v>
      </c>
      <c r="CX1848">
        <v>0.01</v>
      </c>
      <c r="CY1848">
        <v>87.64</v>
      </c>
      <c r="CZ1848" t="s">
        <v>9085</v>
      </c>
      <c r="DA1848">
        <v>44.79</v>
      </c>
      <c r="DB1848">
        <v>30.09</v>
      </c>
      <c r="DC1848">
        <v>26.51</v>
      </c>
      <c r="DD1848">
        <v>0.19</v>
      </c>
      <c r="DE1848">
        <v>298</v>
      </c>
      <c r="DF1848">
        <v>300455</v>
      </c>
      <c r="DG1848" t="s">
        <v>116</v>
      </c>
      <c r="DH1848" t="s">
        <v>116</v>
      </c>
      <c r="DI1848" t="s">
        <v>116</v>
      </c>
    </row>
    <row r="1849" spans="1:113" x14ac:dyDescent="0.4">
      <c r="A1849" t="str">
        <f>"300456"</f>
        <v>300456</v>
      </c>
      <c r="B1849" t="s">
        <v>9326</v>
      </c>
      <c r="C1849">
        <v>-1.35</v>
      </c>
      <c r="D1849">
        <v>27.1</v>
      </c>
      <c r="E1849">
        <v>-0.37</v>
      </c>
      <c r="F1849">
        <v>27.1</v>
      </c>
      <c r="G1849">
        <v>27.11</v>
      </c>
      <c r="H1849">
        <v>548442</v>
      </c>
      <c r="I1849">
        <v>6623</v>
      </c>
      <c r="J1849">
        <v>7.0000000000000007E-2</v>
      </c>
      <c r="K1849">
        <v>16.93</v>
      </c>
      <c r="L1849">
        <v>26.98</v>
      </c>
      <c r="M1849">
        <v>27.77</v>
      </c>
      <c r="N1849">
        <v>25.88</v>
      </c>
      <c r="O1849">
        <v>27.47</v>
      </c>
      <c r="P1849">
        <v>257.13</v>
      </c>
      <c r="Q1849">
        <v>1475869440</v>
      </c>
      <c r="R1849">
        <v>0.95</v>
      </c>
      <c r="S1849" t="s">
        <v>233</v>
      </c>
      <c r="T1849" t="s">
        <v>165</v>
      </c>
      <c r="U1849">
        <v>6.88</v>
      </c>
      <c r="V1849">
        <v>26.91</v>
      </c>
      <c r="W1849">
        <v>302524</v>
      </c>
      <c r="X1849">
        <v>245918</v>
      </c>
      <c r="Y1849">
        <v>1.23</v>
      </c>
      <c r="Z1849">
        <v>459</v>
      </c>
      <c r="AA1849">
        <v>3</v>
      </c>
      <c r="AB1849" t="s">
        <v>116</v>
      </c>
      <c r="AC1849">
        <v>52218300</v>
      </c>
      <c r="AD1849">
        <v>0.94</v>
      </c>
      <c r="AE1849" t="s">
        <v>116</v>
      </c>
      <c r="AF1849" t="s">
        <v>116</v>
      </c>
      <c r="AG1849">
        <v>3.24</v>
      </c>
      <c r="AH1849" t="s">
        <v>9327</v>
      </c>
      <c r="AI1849" t="s">
        <v>9328</v>
      </c>
      <c r="AJ1849">
        <v>-0.67</v>
      </c>
      <c r="AK1849">
        <v>4546</v>
      </c>
      <c r="AL1849">
        <v>121</v>
      </c>
      <c r="AM1849">
        <v>3.7000000000000002E-3</v>
      </c>
      <c r="AN1849">
        <v>-1</v>
      </c>
      <c r="AO1849">
        <v>3.83</v>
      </c>
      <c r="AP1849">
        <v>95.39</v>
      </c>
      <c r="AQ1849">
        <v>87.93</v>
      </c>
      <c r="AR1849">
        <v>133.83000000000001</v>
      </c>
      <c r="AS1849">
        <v>26.56</v>
      </c>
      <c r="AT1849" t="s">
        <v>9329</v>
      </c>
      <c r="AU1849">
        <v>274.77</v>
      </c>
      <c r="AV1849">
        <v>183.95</v>
      </c>
      <c r="AW1849">
        <v>2.5099999999999998</v>
      </c>
      <c r="BA1849">
        <v>-1.78</v>
      </c>
      <c r="BB1849">
        <v>1.0900000000000001</v>
      </c>
      <c r="BC1849">
        <v>-5.79</v>
      </c>
      <c r="BD1849">
        <v>-2.04</v>
      </c>
      <c r="BE1849">
        <v>0.44</v>
      </c>
      <c r="BF1849">
        <v>-2.41</v>
      </c>
      <c r="BG1849">
        <v>4.71</v>
      </c>
      <c r="BH1849">
        <v>0.69</v>
      </c>
      <c r="BI1849">
        <v>20191202</v>
      </c>
      <c r="BJ1849">
        <v>20150514</v>
      </c>
      <c r="BK1849">
        <v>6.42</v>
      </c>
      <c r="BL1849" t="s">
        <v>116</v>
      </c>
      <c r="BM1849" t="s">
        <v>116</v>
      </c>
      <c r="BN1849">
        <v>41.23</v>
      </c>
      <c r="BO1849">
        <v>27.02</v>
      </c>
      <c r="BP1849">
        <v>5.59</v>
      </c>
      <c r="BQ1849">
        <v>20.93</v>
      </c>
      <c r="BR1849">
        <v>18.34</v>
      </c>
      <c r="BS1849">
        <v>3.15</v>
      </c>
      <c r="BT1849">
        <v>0.85</v>
      </c>
      <c r="BU1849">
        <v>6.28</v>
      </c>
      <c r="BV1849">
        <v>2.15</v>
      </c>
      <c r="BW1849">
        <v>4.03</v>
      </c>
      <c r="BX1849">
        <v>17.32</v>
      </c>
      <c r="BY1849">
        <v>5.01</v>
      </c>
      <c r="BZ1849">
        <v>2.85</v>
      </c>
      <c r="CA1849">
        <v>0.63</v>
      </c>
      <c r="CB1849">
        <v>0.01</v>
      </c>
      <c r="CC1849">
        <v>0.63</v>
      </c>
      <c r="CD1849">
        <v>0.46</v>
      </c>
      <c r="CE1849">
        <v>0.51</v>
      </c>
      <c r="CF1849">
        <v>0.51</v>
      </c>
      <c r="CG1849">
        <v>4.01</v>
      </c>
      <c r="CH1849">
        <v>1.49</v>
      </c>
      <c r="CI1849">
        <v>3.04</v>
      </c>
      <c r="CJ1849">
        <v>23247</v>
      </c>
      <c r="CK1849">
        <v>8882</v>
      </c>
      <c r="CL1849" t="s">
        <v>9330</v>
      </c>
      <c r="CM1849">
        <v>-38.119999999999997</v>
      </c>
      <c r="CN1849">
        <v>-11.86</v>
      </c>
      <c r="CO1849">
        <v>6.44</v>
      </c>
      <c r="CP1849">
        <v>116.91</v>
      </c>
      <c r="CQ1849">
        <v>34.700000000000003</v>
      </c>
      <c r="CR1849">
        <v>0.19</v>
      </c>
      <c r="CS1849" t="s">
        <v>4027</v>
      </c>
      <c r="CT1849">
        <v>4.21</v>
      </c>
      <c r="CU1849">
        <v>0</v>
      </c>
      <c r="CV1849">
        <v>2.7</v>
      </c>
      <c r="CW1849">
        <v>0.63</v>
      </c>
      <c r="CX1849">
        <v>0.23</v>
      </c>
      <c r="CY1849">
        <v>65.52</v>
      </c>
      <c r="CZ1849" t="s">
        <v>688</v>
      </c>
      <c r="DA1849">
        <v>43.23</v>
      </c>
      <c r="DB1849">
        <v>12.52</v>
      </c>
      <c r="DC1849">
        <v>10.119999999999999</v>
      </c>
      <c r="DD1849">
        <v>0.76</v>
      </c>
      <c r="DE1849">
        <v>640</v>
      </c>
      <c r="DF1849">
        <v>300456</v>
      </c>
      <c r="DG1849" t="s">
        <v>116</v>
      </c>
      <c r="DH1849" t="s">
        <v>116</v>
      </c>
      <c r="DI1849" t="s">
        <v>116</v>
      </c>
    </row>
    <row r="1850" spans="1:113" x14ac:dyDescent="0.4">
      <c r="A1850" t="str">
        <f>"300457"</f>
        <v>300457</v>
      </c>
      <c r="B1850" t="s">
        <v>9331</v>
      </c>
      <c r="C1850">
        <v>-0.75</v>
      </c>
      <c r="D1850">
        <v>31.76</v>
      </c>
      <c r="E1850">
        <v>-0.24</v>
      </c>
      <c r="F1850">
        <v>31.75</v>
      </c>
      <c r="G1850">
        <v>31.76</v>
      </c>
      <c r="H1850">
        <v>30249</v>
      </c>
      <c r="I1850">
        <v>316</v>
      </c>
      <c r="J1850">
        <v>0.09</v>
      </c>
      <c r="K1850">
        <v>1.22</v>
      </c>
      <c r="L1850">
        <v>32.04</v>
      </c>
      <c r="M1850">
        <v>32.380000000000003</v>
      </c>
      <c r="N1850">
        <v>31.66</v>
      </c>
      <c r="O1850">
        <v>32</v>
      </c>
      <c r="P1850">
        <v>37.6</v>
      </c>
      <c r="Q1850">
        <v>96592728</v>
      </c>
      <c r="R1850">
        <v>0.49</v>
      </c>
      <c r="S1850" t="s">
        <v>682</v>
      </c>
      <c r="T1850" t="s">
        <v>115</v>
      </c>
      <c r="U1850">
        <v>2.25</v>
      </c>
      <c r="V1850">
        <v>31.93</v>
      </c>
      <c r="W1850">
        <v>12751</v>
      </c>
      <c r="X1850">
        <v>17498</v>
      </c>
      <c r="Y1850">
        <v>0.73</v>
      </c>
      <c r="Z1850">
        <v>25</v>
      </c>
      <c r="AA1850">
        <v>322</v>
      </c>
      <c r="AB1850" t="s">
        <v>116</v>
      </c>
      <c r="AC1850">
        <v>967600</v>
      </c>
      <c r="AD1850">
        <v>0.01</v>
      </c>
      <c r="AE1850" t="s">
        <v>116</v>
      </c>
      <c r="AF1850" t="s">
        <v>116</v>
      </c>
      <c r="AG1850">
        <v>2.4900000000000002</v>
      </c>
      <c r="AH1850" t="s">
        <v>9332</v>
      </c>
      <c r="AI1850" t="s">
        <v>9333</v>
      </c>
      <c r="AJ1850">
        <v>-7.0000000000000007E-2</v>
      </c>
      <c r="AK1850">
        <v>2446</v>
      </c>
      <c r="AL1850">
        <v>12</v>
      </c>
      <c r="AM1850">
        <v>5.0000000000000001E-4</v>
      </c>
      <c r="AN1850">
        <v>-2</v>
      </c>
      <c r="AO1850">
        <v>-0.12</v>
      </c>
      <c r="AP1850">
        <v>17.59</v>
      </c>
      <c r="AQ1850">
        <v>29</v>
      </c>
      <c r="AR1850">
        <v>14.18</v>
      </c>
      <c r="AS1850">
        <v>1.4</v>
      </c>
      <c r="AT1850" t="s">
        <v>9334</v>
      </c>
      <c r="AU1850">
        <v>33.68</v>
      </c>
      <c r="AV1850">
        <v>36.799999999999997</v>
      </c>
      <c r="AW1850">
        <v>0.43</v>
      </c>
      <c r="BA1850">
        <v>0.13</v>
      </c>
      <c r="BB1850">
        <v>1.19</v>
      </c>
      <c r="BC1850">
        <v>-1.06</v>
      </c>
      <c r="BD1850">
        <v>-0.21</v>
      </c>
      <c r="BE1850">
        <v>-0.87</v>
      </c>
      <c r="BF1850">
        <v>-1.91</v>
      </c>
      <c r="BG1850">
        <v>0.32</v>
      </c>
      <c r="BH1850">
        <v>-0.54</v>
      </c>
      <c r="BI1850">
        <v>20191217</v>
      </c>
      <c r="BJ1850">
        <v>20150514</v>
      </c>
      <c r="BK1850">
        <v>3.76</v>
      </c>
      <c r="BL1850" t="s">
        <v>116</v>
      </c>
      <c r="BM1850" t="s">
        <v>116</v>
      </c>
      <c r="BN1850">
        <v>57.06</v>
      </c>
      <c r="BO1850">
        <v>31.95</v>
      </c>
      <c r="BP1850">
        <v>0.33</v>
      </c>
      <c r="BQ1850">
        <v>43.43</v>
      </c>
      <c r="BR1850">
        <v>38.25</v>
      </c>
      <c r="BS1850">
        <v>5.43</v>
      </c>
      <c r="BT1850">
        <v>1.9</v>
      </c>
      <c r="BU1850">
        <v>23.84</v>
      </c>
      <c r="BV1850">
        <v>5.7</v>
      </c>
      <c r="BW1850">
        <v>15.05</v>
      </c>
      <c r="BX1850">
        <v>18.54</v>
      </c>
      <c r="BY1850">
        <v>13.82</v>
      </c>
      <c r="BZ1850">
        <v>8.1999999999999993</v>
      </c>
      <c r="CA1850">
        <v>3.05</v>
      </c>
      <c r="CB1850">
        <v>0.18</v>
      </c>
      <c r="CC1850">
        <v>3.06</v>
      </c>
      <c r="CD1850">
        <v>2.6</v>
      </c>
      <c r="CE1850">
        <v>2.38</v>
      </c>
      <c r="CF1850">
        <v>2.2599999999999998</v>
      </c>
      <c r="CG1850">
        <v>9.67</v>
      </c>
      <c r="CH1850">
        <v>1.21</v>
      </c>
      <c r="CI1850">
        <v>-3.95</v>
      </c>
      <c r="CJ1850">
        <v>15909</v>
      </c>
      <c r="CK1850">
        <v>13542</v>
      </c>
      <c r="CL1850" t="s">
        <v>9335</v>
      </c>
      <c r="CM1850">
        <v>14.46</v>
      </c>
      <c r="CN1850">
        <v>1.1299999999999999</v>
      </c>
      <c r="CO1850">
        <v>3.74</v>
      </c>
      <c r="CP1850">
        <v>98.56</v>
      </c>
      <c r="CQ1850">
        <v>8.64</v>
      </c>
      <c r="CR1850">
        <v>0.11</v>
      </c>
      <c r="CS1850" t="s">
        <v>4250</v>
      </c>
      <c r="CT1850">
        <v>8.5</v>
      </c>
      <c r="CU1850">
        <v>0</v>
      </c>
      <c r="CV1850">
        <v>4.93</v>
      </c>
      <c r="CW1850">
        <v>2.57</v>
      </c>
      <c r="CX1850">
        <v>0.32</v>
      </c>
      <c r="CY1850">
        <v>55.99</v>
      </c>
      <c r="CZ1850" t="s">
        <v>6326</v>
      </c>
      <c r="DA1850">
        <v>40.659999999999997</v>
      </c>
      <c r="DB1850">
        <v>22.11</v>
      </c>
      <c r="DC1850">
        <v>17.239999999999998</v>
      </c>
      <c r="DD1850">
        <v>0.95</v>
      </c>
      <c r="DE1850">
        <v>2497</v>
      </c>
      <c r="DF1850">
        <v>300457</v>
      </c>
      <c r="DG1850" t="s">
        <v>116</v>
      </c>
      <c r="DH1850" t="s">
        <v>116</v>
      </c>
      <c r="DI1850" t="s">
        <v>116</v>
      </c>
    </row>
    <row r="1851" spans="1:113" x14ac:dyDescent="0.4">
      <c r="A1851" t="str">
        <f>"300458"</f>
        <v>300458</v>
      </c>
      <c r="B1851" t="s">
        <v>9336</v>
      </c>
      <c r="C1851">
        <v>-3.39</v>
      </c>
      <c r="D1851">
        <v>32.200000000000003</v>
      </c>
      <c r="E1851">
        <v>-1.1299999999999999</v>
      </c>
      <c r="F1851">
        <v>32.19</v>
      </c>
      <c r="G1851">
        <v>32.200000000000003</v>
      </c>
      <c r="H1851">
        <v>141180</v>
      </c>
      <c r="I1851">
        <v>1278</v>
      </c>
      <c r="J1851">
        <v>-0.3</v>
      </c>
      <c r="K1851">
        <v>6.62</v>
      </c>
      <c r="L1851">
        <v>33.369999999999997</v>
      </c>
      <c r="M1851">
        <v>33.49</v>
      </c>
      <c r="N1851">
        <v>31.86</v>
      </c>
      <c r="O1851">
        <v>33.33</v>
      </c>
      <c r="P1851">
        <v>52.59</v>
      </c>
      <c r="Q1851">
        <v>460941920</v>
      </c>
      <c r="R1851">
        <v>0.63</v>
      </c>
      <c r="S1851" t="s">
        <v>233</v>
      </c>
      <c r="T1851" t="s">
        <v>551</v>
      </c>
      <c r="U1851">
        <v>4.8899999999999997</v>
      </c>
      <c r="V1851">
        <v>32.65</v>
      </c>
      <c r="W1851">
        <v>80286</v>
      </c>
      <c r="X1851">
        <v>60894</v>
      </c>
      <c r="Y1851">
        <v>1.32</v>
      </c>
      <c r="Z1851">
        <v>36</v>
      </c>
      <c r="AA1851">
        <v>440</v>
      </c>
      <c r="AB1851" t="s">
        <v>116</v>
      </c>
      <c r="AC1851">
        <v>2068900</v>
      </c>
      <c r="AD1851">
        <v>0.03</v>
      </c>
      <c r="AE1851" t="s">
        <v>116</v>
      </c>
      <c r="AF1851" t="s">
        <v>116</v>
      </c>
      <c r="AG1851">
        <v>2.13</v>
      </c>
      <c r="AH1851" t="s">
        <v>9337</v>
      </c>
      <c r="AI1851" t="s">
        <v>9338</v>
      </c>
      <c r="AJ1851">
        <v>-2.71</v>
      </c>
      <c r="AK1851">
        <v>3852</v>
      </c>
      <c r="AL1851">
        <v>37</v>
      </c>
      <c r="AM1851">
        <v>1.6999999999999999E-3</v>
      </c>
      <c r="AN1851">
        <v>-2</v>
      </c>
      <c r="AO1851">
        <v>-2.69</v>
      </c>
      <c r="AP1851">
        <v>17.52</v>
      </c>
      <c r="AQ1851">
        <v>19.66</v>
      </c>
      <c r="AR1851">
        <v>63.45</v>
      </c>
      <c r="AS1851">
        <v>7.87</v>
      </c>
      <c r="AT1851" t="s">
        <v>1123</v>
      </c>
      <c r="AU1851">
        <v>84.99</v>
      </c>
      <c r="AV1851">
        <v>90.12</v>
      </c>
      <c r="AW1851">
        <v>1.1000000000000001</v>
      </c>
      <c r="BA1851">
        <v>0.12</v>
      </c>
      <c r="BB1851">
        <v>0.48</v>
      </c>
      <c r="BC1851">
        <v>-4.41</v>
      </c>
      <c r="BD1851">
        <v>-2.04</v>
      </c>
      <c r="BE1851">
        <v>-3.51</v>
      </c>
      <c r="BF1851">
        <v>-3.85</v>
      </c>
      <c r="BG1851">
        <v>1.07</v>
      </c>
      <c r="BH1851">
        <v>-1.35</v>
      </c>
      <c r="BI1851">
        <v>20191029</v>
      </c>
      <c r="BJ1851">
        <v>20150515</v>
      </c>
      <c r="BK1851">
        <v>3.31</v>
      </c>
      <c r="BL1851" t="s">
        <v>116</v>
      </c>
      <c r="BM1851" t="s">
        <v>116</v>
      </c>
      <c r="BN1851">
        <v>25.7</v>
      </c>
      <c r="BO1851">
        <v>21.91</v>
      </c>
      <c r="BP1851">
        <v>0.41</v>
      </c>
      <c r="BQ1851">
        <v>13.15</v>
      </c>
      <c r="BR1851">
        <v>22.06</v>
      </c>
      <c r="BS1851">
        <v>1.42</v>
      </c>
      <c r="BT1851">
        <v>0.94</v>
      </c>
      <c r="BU1851">
        <v>3.23</v>
      </c>
      <c r="BV1851">
        <v>4.04</v>
      </c>
      <c r="BW1851">
        <v>0.5</v>
      </c>
      <c r="BX1851">
        <v>6.3</v>
      </c>
      <c r="BY1851">
        <v>10.63</v>
      </c>
      <c r="BZ1851">
        <v>7.22</v>
      </c>
      <c r="CA1851">
        <v>1.58</v>
      </c>
      <c r="CB1851">
        <v>0.03</v>
      </c>
      <c r="CC1851">
        <v>1.57</v>
      </c>
      <c r="CD1851">
        <v>1.49</v>
      </c>
      <c r="CE1851">
        <v>1.52</v>
      </c>
      <c r="CF1851">
        <v>1.23</v>
      </c>
      <c r="CG1851">
        <v>11.13</v>
      </c>
      <c r="CH1851">
        <v>2.74</v>
      </c>
      <c r="CI1851">
        <v>4.2</v>
      </c>
      <c r="CJ1851">
        <v>29014</v>
      </c>
      <c r="CK1851">
        <v>6185</v>
      </c>
      <c r="CL1851" t="s">
        <v>9339</v>
      </c>
      <c r="CM1851">
        <v>4.93</v>
      </c>
      <c r="CN1851">
        <v>3.05</v>
      </c>
      <c r="CO1851">
        <v>4.8600000000000003</v>
      </c>
      <c r="CP1851">
        <v>38.82</v>
      </c>
      <c r="CQ1851">
        <v>10.02</v>
      </c>
      <c r="CR1851">
        <v>0.93</v>
      </c>
      <c r="CS1851" t="s">
        <v>6792</v>
      </c>
      <c r="CT1851">
        <v>6.63</v>
      </c>
      <c r="CU1851">
        <v>0</v>
      </c>
      <c r="CV1851">
        <v>1.9</v>
      </c>
      <c r="CW1851">
        <v>3.37</v>
      </c>
      <c r="CX1851">
        <v>0.83</v>
      </c>
      <c r="CY1851">
        <v>85.27</v>
      </c>
      <c r="CZ1851" t="s">
        <v>1997</v>
      </c>
      <c r="DA1851">
        <v>32.020000000000003</v>
      </c>
      <c r="DB1851">
        <v>14.82</v>
      </c>
      <c r="DC1851">
        <v>14.29</v>
      </c>
      <c r="DD1851">
        <v>1.74</v>
      </c>
      <c r="DE1851">
        <v>682</v>
      </c>
      <c r="DF1851">
        <v>300458</v>
      </c>
      <c r="DG1851" t="s">
        <v>116</v>
      </c>
      <c r="DH1851" t="s">
        <v>116</v>
      </c>
      <c r="DI1851" t="s">
        <v>116</v>
      </c>
    </row>
    <row r="1852" spans="1:113" x14ac:dyDescent="0.4">
      <c r="A1852" t="str">
        <f>"300459"</f>
        <v>300459</v>
      </c>
      <c r="B1852" t="s">
        <v>9340</v>
      </c>
      <c r="C1852">
        <v>-3.64</v>
      </c>
      <c r="D1852">
        <v>3.18</v>
      </c>
      <c r="E1852">
        <v>-0.12</v>
      </c>
      <c r="F1852">
        <v>3.18</v>
      </c>
      <c r="G1852">
        <v>3.19</v>
      </c>
      <c r="H1852">
        <v>975976</v>
      </c>
      <c r="I1852">
        <v>19204</v>
      </c>
      <c r="J1852">
        <v>-0.3</v>
      </c>
      <c r="K1852">
        <v>4.3</v>
      </c>
      <c r="L1852">
        <v>3.28</v>
      </c>
      <c r="M1852">
        <v>3.35</v>
      </c>
      <c r="N1852">
        <v>3.16</v>
      </c>
      <c r="O1852">
        <v>3.3</v>
      </c>
      <c r="P1852">
        <v>13.18</v>
      </c>
      <c r="Q1852">
        <v>319006816</v>
      </c>
      <c r="R1852">
        <v>0.66</v>
      </c>
      <c r="S1852" t="s">
        <v>1384</v>
      </c>
      <c r="T1852" t="s">
        <v>590</v>
      </c>
      <c r="U1852">
        <v>5.76</v>
      </c>
      <c r="V1852">
        <v>3.27</v>
      </c>
      <c r="W1852">
        <v>541414</v>
      </c>
      <c r="X1852">
        <v>434562</v>
      </c>
      <c r="Y1852">
        <v>1.25</v>
      </c>
      <c r="Z1852">
        <v>5960</v>
      </c>
      <c r="AA1852">
        <v>5623</v>
      </c>
      <c r="AB1852" t="s">
        <v>116</v>
      </c>
      <c r="AC1852">
        <v>1478000</v>
      </c>
      <c r="AD1852">
        <v>0.03</v>
      </c>
      <c r="AE1852" t="s">
        <v>116</v>
      </c>
      <c r="AF1852" t="s">
        <v>116</v>
      </c>
      <c r="AG1852">
        <v>22.69</v>
      </c>
      <c r="AH1852" t="s">
        <v>9341</v>
      </c>
      <c r="AI1852" t="s">
        <v>9342</v>
      </c>
      <c r="AJ1852">
        <v>-2.96</v>
      </c>
      <c r="AK1852">
        <v>3702</v>
      </c>
      <c r="AL1852">
        <v>264</v>
      </c>
      <c r="AM1852">
        <v>1.1999999999999999E-3</v>
      </c>
      <c r="AN1852">
        <v>-2</v>
      </c>
      <c r="AO1852">
        <v>-3.06</v>
      </c>
      <c r="AP1852">
        <v>8.16</v>
      </c>
      <c r="AQ1852">
        <v>19.100000000000001</v>
      </c>
      <c r="AR1852">
        <v>-21.34</v>
      </c>
      <c r="AS1852">
        <v>6.33</v>
      </c>
      <c r="AT1852" t="s">
        <v>9343</v>
      </c>
      <c r="AU1852">
        <v>15.49</v>
      </c>
      <c r="AV1852">
        <v>13.38</v>
      </c>
      <c r="AW1852">
        <v>1.91</v>
      </c>
      <c r="BA1852">
        <v>-0.61</v>
      </c>
      <c r="BB1852">
        <v>1.52</v>
      </c>
      <c r="BC1852">
        <v>-4.24</v>
      </c>
      <c r="BD1852">
        <v>-0.95</v>
      </c>
      <c r="BE1852">
        <v>-3.05</v>
      </c>
      <c r="BF1852">
        <v>-5.07</v>
      </c>
      <c r="BG1852">
        <v>0.63</v>
      </c>
      <c r="BH1852">
        <v>-2.68</v>
      </c>
      <c r="BI1852">
        <v>20191225</v>
      </c>
      <c r="BJ1852">
        <v>20150515</v>
      </c>
      <c r="BK1852">
        <v>35.44</v>
      </c>
      <c r="BL1852" t="s">
        <v>116</v>
      </c>
      <c r="BM1852" t="s">
        <v>116</v>
      </c>
      <c r="BN1852">
        <v>113.23</v>
      </c>
      <c r="BO1852">
        <v>71.239999999999995</v>
      </c>
      <c r="BP1852">
        <v>0.06</v>
      </c>
      <c r="BQ1852">
        <v>37.03</v>
      </c>
      <c r="BR1852">
        <v>33.049999999999997</v>
      </c>
      <c r="BS1852">
        <v>3.35</v>
      </c>
      <c r="BT1852">
        <v>5.7</v>
      </c>
      <c r="BU1852">
        <v>18.670000000000002</v>
      </c>
      <c r="BV1852">
        <v>0.12</v>
      </c>
      <c r="BW1852">
        <v>14.12</v>
      </c>
      <c r="BX1852">
        <v>21.28</v>
      </c>
      <c r="BY1852">
        <v>18.21</v>
      </c>
      <c r="BZ1852">
        <v>4.0199999999999996</v>
      </c>
      <c r="CA1852">
        <v>7.03</v>
      </c>
      <c r="CB1852">
        <v>0.41</v>
      </c>
      <c r="CC1852">
        <v>6.92</v>
      </c>
      <c r="CD1852">
        <v>6.59</v>
      </c>
      <c r="CE1852">
        <v>6.41</v>
      </c>
      <c r="CF1852">
        <v>5.91</v>
      </c>
      <c r="CG1852">
        <v>19.95</v>
      </c>
      <c r="CH1852">
        <v>3.01</v>
      </c>
      <c r="CI1852">
        <v>0.65</v>
      </c>
      <c r="CJ1852">
        <v>66136</v>
      </c>
      <c r="CK1852">
        <v>23318</v>
      </c>
      <c r="CL1852" t="s">
        <v>2715</v>
      </c>
      <c r="CM1852">
        <v>-15.17</v>
      </c>
      <c r="CN1852">
        <v>-9.3000000000000007</v>
      </c>
      <c r="CO1852">
        <v>1.58</v>
      </c>
      <c r="CP1852">
        <v>37.450000000000003</v>
      </c>
      <c r="CQ1852">
        <v>6.19</v>
      </c>
      <c r="CR1852">
        <v>1.1499999999999999</v>
      </c>
      <c r="CS1852" t="s">
        <v>5826</v>
      </c>
      <c r="CT1852">
        <v>2.0099999999999998</v>
      </c>
      <c r="CU1852">
        <v>0</v>
      </c>
      <c r="CV1852">
        <v>0.6</v>
      </c>
      <c r="CW1852">
        <v>0.56000000000000005</v>
      </c>
      <c r="CX1852">
        <v>0.08</v>
      </c>
      <c r="CY1852">
        <v>62.91</v>
      </c>
      <c r="CZ1852" t="s">
        <v>966</v>
      </c>
      <c r="DA1852">
        <v>77.900000000000006</v>
      </c>
      <c r="DB1852">
        <v>38.61</v>
      </c>
      <c r="DC1852">
        <v>35.200000000000003</v>
      </c>
      <c r="DD1852">
        <v>0.92</v>
      </c>
      <c r="DE1852">
        <v>2015</v>
      </c>
      <c r="DF1852">
        <v>300459</v>
      </c>
      <c r="DG1852" t="s">
        <v>116</v>
      </c>
      <c r="DH1852" t="s">
        <v>116</v>
      </c>
      <c r="DI1852" t="s">
        <v>116</v>
      </c>
    </row>
    <row r="1853" spans="1:113" x14ac:dyDescent="0.4">
      <c r="A1853" t="str">
        <f>"300460"</f>
        <v>300460</v>
      </c>
      <c r="B1853" t="s">
        <v>9344</v>
      </c>
      <c r="C1853">
        <v>-1.95</v>
      </c>
      <c r="D1853">
        <v>16.61</v>
      </c>
      <c r="E1853">
        <v>-0.33</v>
      </c>
      <c r="F1853">
        <v>16.61</v>
      </c>
      <c r="G1853">
        <v>16.66</v>
      </c>
      <c r="H1853">
        <v>142254</v>
      </c>
      <c r="I1853">
        <v>1264</v>
      </c>
      <c r="J1853">
        <v>-1.47</v>
      </c>
      <c r="K1853">
        <v>8.4499999999999993</v>
      </c>
      <c r="L1853">
        <v>18.149999999999999</v>
      </c>
      <c r="M1853">
        <v>18.59</v>
      </c>
      <c r="N1853">
        <v>15.25</v>
      </c>
      <c r="O1853">
        <v>16.940000000000001</v>
      </c>
      <c r="P1853">
        <v>670.98</v>
      </c>
      <c r="Q1853">
        <v>248696944</v>
      </c>
      <c r="R1853">
        <v>0.77</v>
      </c>
      <c r="S1853" t="s">
        <v>233</v>
      </c>
      <c r="T1853" t="s">
        <v>551</v>
      </c>
      <c r="U1853">
        <v>19.72</v>
      </c>
      <c r="V1853">
        <v>17.48</v>
      </c>
      <c r="W1853">
        <v>75861</v>
      </c>
      <c r="X1853">
        <v>66393</v>
      </c>
      <c r="Y1853">
        <v>1.1399999999999999</v>
      </c>
      <c r="Z1853">
        <v>66</v>
      </c>
      <c r="AA1853">
        <v>110</v>
      </c>
      <c r="AB1853" t="s">
        <v>116</v>
      </c>
      <c r="AC1853">
        <v>5504900</v>
      </c>
      <c r="AD1853">
        <v>0.37</v>
      </c>
      <c r="AE1853" t="s">
        <v>116</v>
      </c>
      <c r="AF1853" t="s">
        <v>116</v>
      </c>
      <c r="AG1853">
        <v>1.68</v>
      </c>
      <c r="AH1853" t="s">
        <v>7150</v>
      </c>
      <c r="AI1853" t="s">
        <v>7150</v>
      </c>
      <c r="AJ1853">
        <v>-1.27</v>
      </c>
      <c r="AK1853">
        <v>2949</v>
      </c>
      <c r="AL1853">
        <v>48</v>
      </c>
      <c r="AM1853">
        <v>2.8999999999999998E-3</v>
      </c>
      <c r="AN1853">
        <v>-1</v>
      </c>
      <c r="AO1853">
        <v>13.45</v>
      </c>
      <c r="AP1853">
        <v>75.03</v>
      </c>
      <c r="AQ1853">
        <v>54.51</v>
      </c>
      <c r="AR1853">
        <v>98.45</v>
      </c>
      <c r="AS1853">
        <v>17.25</v>
      </c>
      <c r="AT1853" t="s">
        <v>9345</v>
      </c>
      <c r="AU1853" t="s">
        <v>116</v>
      </c>
      <c r="AV1853" t="s">
        <v>116</v>
      </c>
      <c r="AW1853">
        <v>0.63</v>
      </c>
      <c r="BA1853">
        <v>7.14</v>
      </c>
      <c r="BB1853">
        <v>9.74</v>
      </c>
      <c r="BC1853">
        <v>-9.98</v>
      </c>
      <c r="BD1853">
        <v>3.2</v>
      </c>
      <c r="BE1853">
        <v>-8.48</v>
      </c>
      <c r="BF1853">
        <v>-10.65</v>
      </c>
      <c r="BG1853">
        <v>8.92</v>
      </c>
      <c r="BH1853">
        <v>-5.15</v>
      </c>
      <c r="BI1853">
        <v>20191209</v>
      </c>
      <c r="BJ1853">
        <v>20150515</v>
      </c>
      <c r="BK1853">
        <v>1.68</v>
      </c>
      <c r="BL1853" t="s">
        <v>116</v>
      </c>
      <c r="BM1853" t="s">
        <v>116</v>
      </c>
      <c r="BN1853">
        <v>9.94</v>
      </c>
      <c r="BO1853">
        <v>6.59</v>
      </c>
      <c r="BP1853">
        <v>0</v>
      </c>
      <c r="BQ1853">
        <v>33.67</v>
      </c>
      <c r="BR1853">
        <v>4.3</v>
      </c>
      <c r="BS1853">
        <v>3.72</v>
      </c>
      <c r="BT1853">
        <v>0.25</v>
      </c>
      <c r="BU1853">
        <v>2.35</v>
      </c>
      <c r="BV1853">
        <v>1.29</v>
      </c>
      <c r="BW1853">
        <v>1.79</v>
      </c>
      <c r="BX1853">
        <v>2.57</v>
      </c>
      <c r="BY1853">
        <v>2.21</v>
      </c>
      <c r="BZ1853">
        <v>1.9</v>
      </c>
      <c r="CA1853">
        <v>0.03</v>
      </c>
      <c r="CB1853">
        <v>0</v>
      </c>
      <c r="CC1853">
        <v>0.03</v>
      </c>
      <c r="CD1853">
        <v>0.03</v>
      </c>
      <c r="CE1853">
        <v>0.03</v>
      </c>
      <c r="CF1853">
        <v>0</v>
      </c>
      <c r="CG1853">
        <v>2.0699999999999998</v>
      </c>
      <c r="CH1853">
        <v>0.24</v>
      </c>
      <c r="CI1853">
        <v>-0.37</v>
      </c>
      <c r="CJ1853">
        <v>18377</v>
      </c>
      <c r="CK1853">
        <v>4488</v>
      </c>
      <c r="CL1853" t="s">
        <v>800</v>
      </c>
      <c r="CM1853">
        <v>-69.88</v>
      </c>
      <c r="CN1853">
        <v>-10.57</v>
      </c>
      <c r="CO1853">
        <v>4.24</v>
      </c>
      <c r="CP1853">
        <v>117.42</v>
      </c>
      <c r="CQ1853">
        <v>12.62</v>
      </c>
      <c r="CR1853">
        <v>0</v>
      </c>
      <c r="CS1853" t="s">
        <v>2098</v>
      </c>
      <c r="CT1853">
        <v>3.92</v>
      </c>
      <c r="CU1853">
        <v>0</v>
      </c>
      <c r="CV1853">
        <v>1.53</v>
      </c>
      <c r="CW1853">
        <v>1.23</v>
      </c>
      <c r="CX1853">
        <v>0.14000000000000001</v>
      </c>
      <c r="CY1853">
        <v>66.33</v>
      </c>
      <c r="CZ1853" t="s">
        <v>4349</v>
      </c>
      <c r="DA1853">
        <v>14.37</v>
      </c>
      <c r="DB1853">
        <v>1.47</v>
      </c>
      <c r="DC1853">
        <v>1.41</v>
      </c>
      <c r="DD1853">
        <v>0.1</v>
      </c>
      <c r="DE1853">
        <v>711</v>
      </c>
      <c r="DF1853">
        <v>300460</v>
      </c>
      <c r="DG1853" t="s">
        <v>116</v>
      </c>
      <c r="DH1853" t="s">
        <v>116</v>
      </c>
      <c r="DI1853" t="s">
        <v>116</v>
      </c>
    </row>
    <row r="1854" spans="1:113" x14ac:dyDescent="0.4">
      <c r="A1854" t="str">
        <f>"300461"</f>
        <v>300461</v>
      </c>
      <c r="B1854" t="s">
        <v>9346</v>
      </c>
      <c r="C1854">
        <v>0.44</v>
      </c>
      <c r="D1854">
        <v>20.64</v>
      </c>
      <c r="E1854">
        <v>0.09</v>
      </c>
      <c r="F1854">
        <v>20.64</v>
      </c>
      <c r="G1854">
        <v>20.66</v>
      </c>
      <c r="H1854">
        <v>28099</v>
      </c>
      <c r="I1854">
        <v>568</v>
      </c>
      <c r="J1854">
        <v>-0.14000000000000001</v>
      </c>
      <c r="K1854">
        <v>4.5</v>
      </c>
      <c r="L1854">
        <v>20.6</v>
      </c>
      <c r="M1854">
        <v>20.94</v>
      </c>
      <c r="N1854">
        <v>20.420000000000002</v>
      </c>
      <c r="O1854">
        <v>20.55</v>
      </c>
      <c r="P1854" t="s">
        <v>116</v>
      </c>
      <c r="Q1854">
        <v>58180008</v>
      </c>
      <c r="R1854">
        <v>0.91</v>
      </c>
      <c r="S1854" t="s">
        <v>682</v>
      </c>
      <c r="T1854" t="s">
        <v>590</v>
      </c>
      <c r="U1854">
        <v>2.5299999999999998</v>
      </c>
      <c r="V1854">
        <v>20.71</v>
      </c>
      <c r="W1854">
        <v>14285</v>
      </c>
      <c r="X1854">
        <v>13814</v>
      </c>
      <c r="Y1854">
        <v>1.03</v>
      </c>
      <c r="Z1854">
        <v>123</v>
      </c>
      <c r="AA1854">
        <v>22</v>
      </c>
      <c r="AB1854" t="s">
        <v>116</v>
      </c>
      <c r="AC1854">
        <v>286300</v>
      </c>
      <c r="AD1854">
        <v>0.03</v>
      </c>
      <c r="AE1854" t="s">
        <v>116</v>
      </c>
      <c r="AF1854" t="s">
        <v>116</v>
      </c>
      <c r="AG1854">
        <v>0.62</v>
      </c>
      <c r="AH1854" t="s">
        <v>1771</v>
      </c>
      <c r="AI1854" t="s">
        <v>9324</v>
      </c>
      <c r="AJ1854">
        <v>1.1200000000000001</v>
      </c>
      <c r="AK1854">
        <v>1586</v>
      </c>
      <c r="AL1854">
        <v>18</v>
      </c>
      <c r="AM1854">
        <v>2.8E-3</v>
      </c>
      <c r="AN1854">
        <v>1</v>
      </c>
      <c r="AO1854">
        <v>-5.79</v>
      </c>
      <c r="AP1854">
        <v>28.36</v>
      </c>
      <c r="AQ1854">
        <v>15.7</v>
      </c>
      <c r="AR1854">
        <v>15.82</v>
      </c>
      <c r="AS1854">
        <v>6.49</v>
      </c>
      <c r="AT1854" t="s">
        <v>9347</v>
      </c>
      <c r="AU1854" t="s">
        <v>116</v>
      </c>
      <c r="AV1854" t="s">
        <v>116</v>
      </c>
      <c r="AW1854">
        <v>1.28</v>
      </c>
      <c r="BA1854">
        <v>0.24</v>
      </c>
      <c r="BB1854">
        <v>1.9</v>
      </c>
      <c r="BC1854">
        <v>-0.63</v>
      </c>
      <c r="BD1854">
        <v>0.76</v>
      </c>
      <c r="BE1854">
        <v>0.19</v>
      </c>
      <c r="BF1854">
        <v>-1.43</v>
      </c>
      <c r="BG1854">
        <v>1.08</v>
      </c>
      <c r="BH1854">
        <v>-0.32</v>
      </c>
      <c r="BI1854">
        <v>20191202</v>
      </c>
      <c r="BJ1854">
        <v>20150519</v>
      </c>
      <c r="BK1854">
        <v>1.22</v>
      </c>
      <c r="BL1854" t="s">
        <v>116</v>
      </c>
      <c r="BM1854" t="s">
        <v>116</v>
      </c>
      <c r="BN1854">
        <v>12.06</v>
      </c>
      <c r="BO1854">
        <v>1.61</v>
      </c>
      <c r="BP1854">
        <v>0.66</v>
      </c>
      <c r="BQ1854">
        <v>81.16</v>
      </c>
      <c r="BR1854">
        <v>8.8000000000000007</v>
      </c>
      <c r="BS1854">
        <v>1.17</v>
      </c>
      <c r="BT1854">
        <v>0.18</v>
      </c>
      <c r="BU1854">
        <v>8.68</v>
      </c>
      <c r="BV1854">
        <v>2.8</v>
      </c>
      <c r="BW1854">
        <v>3.5</v>
      </c>
      <c r="BX1854">
        <v>1.82</v>
      </c>
      <c r="BY1854">
        <v>4.46</v>
      </c>
      <c r="BZ1854">
        <v>2.77</v>
      </c>
      <c r="CA1854">
        <v>-1.36</v>
      </c>
      <c r="CB1854">
        <v>0</v>
      </c>
      <c r="CC1854">
        <v>-1.28</v>
      </c>
      <c r="CD1854">
        <v>-1.1399999999999999</v>
      </c>
      <c r="CE1854">
        <v>-0.85</v>
      </c>
      <c r="CF1854">
        <v>-0.92</v>
      </c>
      <c r="CG1854">
        <v>-1.28</v>
      </c>
      <c r="CH1854">
        <v>0.18</v>
      </c>
      <c r="CI1854">
        <v>0.33</v>
      </c>
      <c r="CJ1854">
        <v>6025</v>
      </c>
      <c r="CK1854">
        <v>7186</v>
      </c>
      <c r="CL1854" t="s">
        <v>9348</v>
      </c>
      <c r="CM1854">
        <v>-199.82</v>
      </c>
      <c r="CN1854">
        <v>-38.39</v>
      </c>
      <c r="CO1854">
        <v>15.62</v>
      </c>
      <c r="CP1854">
        <v>139.85</v>
      </c>
      <c r="CQ1854">
        <v>5.63</v>
      </c>
      <c r="CR1854">
        <v>0</v>
      </c>
      <c r="CS1854" t="s">
        <v>9349</v>
      </c>
      <c r="CT1854">
        <v>1.32</v>
      </c>
      <c r="CU1854">
        <v>0</v>
      </c>
      <c r="CV1854">
        <v>1.5</v>
      </c>
      <c r="CW1854">
        <v>-1.05</v>
      </c>
      <c r="CX1854">
        <v>0.15</v>
      </c>
      <c r="CY1854">
        <v>13.33</v>
      </c>
      <c r="CZ1854" t="s">
        <v>9350</v>
      </c>
      <c r="DA1854">
        <v>37.83</v>
      </c>
      <c r="DB1854">
        <v>-30.5</v>
      </c>
      <c r="DC1854">
        <v>-19.100000000000001</v>
      </c>
      <c r="DD1854">
        <v>0.31</v>
      </c>
      <c r="DE1854">
        <v>916</v>
      </c>
      <c r="DF1854">
        <v>300461</v>
      </c>
      <c r="DG1854" t="s">
        <v>116</v>
      </c>
      <c r="DH1854" t="s">
        <v>116</v>
      </c>
      <c r="DI1854" t="s">
        <v>116</v>
      </c>
    </row>
    <row r="1855" spans="1:113" x14ac:dyDescent="0.4">
      <c r="A1855" t="str">
        <f>"300462"</f>
        <v>300462</v>
      </c>
      <c r="B1855" t="s">
        <v>9351</v>
      </c>
      <c r="C1855">
        <v>-3.94</v>
      </c>
      <c r="D1855">
        <v>24.86</v>
      </c>
      <c r="E1855">
        <v>-1.02</v>
      </c>
      <c r="F1855">
        <v>24.86</v>
      </c>
      <c r="G1855">
        <v>24.87</v>
      </c>
      <c r="H1855">
        <v>26079</v>
      </c>
      <c r="I1855">
        <v>461</v>
      </c>
      <c r="J1855">
        <v>-0.63</v>
      </c>
      <c r="K1855">
        <v>3.37</v>
      </c>
      <c r="L1855">
        <v>25.7</v>
      </c>
      <c r="M1855">
        <v>25.95</v>
      </c>
      <c r="N1855">
        <v>24.86</v>
      </c>
      <c r="O1855">
        <v>25.88</v>
      </c>
      <c r="P1855">
        <v>76.28</v>
      </c>
      <c r="Q1855">
        <v>66127084</v>
      </c>
      <c r="R1855">
        <v>1.02</v>
      </c>
      <c r="S1855" t="s">
        <v>682</v>
      </c>
      <c r="T1855" t="s">
        <v>1653</v>
      </c>
      <c r="U1855">
        <v>4.21</v>
      </c>
      <c r="V1855">
        <v>25.36</v>
      </c>
      <c r="W1855">
        <v>16538</v>
      </c>
      <c r="X1855">
        <v>9541</v>
      </c>
      <c r="Y1855">
        <v>1.73</v>
      </c>
      <c r="Z1855">
        <v>455</v>
      </c>
      <c r="AA1855">
        <v>5</v>
      </c>
      <c r="AB1855" t="s">
        <v>116</v>
      </c>
      <c r="AC1855">
        <v>77100</v>
      </c>
      <c r="AD1855">
        <v>0</v>
      </c>
      <c r="AE1855" t="s">
        <v>116</v>
      </c>
      <c r="AF1855" t="s">
        <v>116</v>
      </c>
      <c r="AG1855">
        <v>0.77</v>
      </c>
      <c r="AH1855" t="s">
        <v>4512</v>
      </c>
      <c r="AI1855" t="s">
        <v>9352</v>
      </c>
      <c r="AJ1855">
        <v>-3.26</v>
      </c>
      <c r="AK1855">
        <v>1847</v>
      </c>
      <c r="AL1855">
        <v>14</v>
      </c>
      <c r="AM1855">
        <v>1.8E-3</v>
      </c>
      <c r="AN1855">
        <v>-1</v>
      </c>
      <c r="AO1855">
        <v>-2.58</v>
      </c>
      <c r="AP1855">
        <v>12.49</v>
      </c>
      <c r="AQ1855">
        <v>-1.7</v>
      </c>
      <c r="AR1855">
        <v>63.12</v>
      </c>
      <c r="AS1855">
        <v>3.37</v>
      </c>
      <c r="AT1855" t="s">
        <v>4512</v>
      </c>
      <c r="AU1855">
        <v>83.27</v>
      </c>
      <c r="AV1855">
        <v>88.97</v>
      </c>
      <c r="AW1855">
        <v>1.82</v>
      </c>
      <c r="BA1855">
        <v>-0.7</v>
      </c>
      <c r="BB1855">
        <v>0.27</v>
      </c>
      <c r="BC1855">
        <v>-3.94</v>
      </c>
      <c r="BD1855">
        <v>-2.02</v>
      </c>
      <c r="BE1855">
        <v>-3.27</v>
      </c>
      <c r="BF1855">
        <v>-4.2</v>
      </c>
      <c r="BG1855">
        <v>0</v>
      </c>
      <c r="BH1855">
        <v>-1.92</v>
      </c>
      <c r="BI1855">
        <v>20191030</v>
      </c>
      <c r="BJ1855">
        <v>20150527</v>
      </c>
      <c r="BK1855">
        <v>1.88</v>
      </c>
      <c r="BL1855" t="s">
        <v>116</v>
      </c>
      <c r="BM1855" t="s">
        <v>116</v>
      </c>
      <c r="BN1855">
        <v>9.27</v>
      </c>
      <c r="BO1855">
        <v>6.65</v>
      </c>
      <c r="BP1855">
        <v>0.01</v>
      </c>
      <c r="BQ1855">
        <v>28.19</v>
      </c>
      <c r="BR1855">
        <v>8.23</v>
      </c>
      <c r="BS1855">
        <v>0.67</v>
      </c>
      <c r="BT1855">
        <v>0.12</v>
      </c>
      <c r="BU1855">
        <v>2.48</v>
      </c>
      <c r="BV1855">
        <v>1.96</v>
      </c>
      <c r="BW1855">
        <v>2.33</v>
      </c>
      <c r="BX1855">
        <v>1.98</v>
      </c>
      <c r="BY1855">
        <v>2.4</v>
      </c>
      <c r="BZ1855">
        <v>1.46</v>
      </c>
      <c r="CA1855">
        <v>0.5</v>
      </c>
      <c r="CB1855">
        <v>0</v>
      </c>
      <c r="CC1855">
        <v>0.54</v>
      </c>
      <c r="CD1855">
        <v>0.46</v>
      </c>
      <c r="CE1855">
        <v>0.46</v>
      </c>
      <c r="CF1855">
        <v>0.33</v>
      </c>
      <c r="CG1855">
        <v>2.91</v>
      </c>
      <c r="CH1855">
        <v>0.65</v>
      </c>
      <c r="CI1855">
        <v>-0.38</v>
      </c>
      <c r="CJ1855">
        <v>13393</v>
      </c>
      <c r="CK1855">
        <v>5777</v>
      </c>
      <c r="CL1855" t="s">
        <v>1500</v>
      </c>
      <c r="CM1855">
        <v>8.49</v>
      </c>
      <c r="CN1855">
        <v>26.69</v>
      </c>
      <c r="CO1855">
        <v>5.15</v>
      </c>
      <c r="CP1855">
        <v>72.39</v>
      </c>
      <c r="CQ1855">
        <v>19.54</v>
      </c>
      <c r="CR1855">
        <v>0.18</v>
      </c>
      <c r="CS1855" t="s">
        <v>4952</v>
      </c>
      <c r="CT1855">
        <v>4.82</v>
      </c>
      <c r="CU1855">
        <v>4.82</v>
      </c>
      <c r="CV1855">
        <v>1.05</v>
      </c>
      <c r="CW1855">
        <v>1.54</v>
      </c>
      <c r="CX1855">
        <v>0.34</v>
      </c>
      <c r="CY1855">
        <v>71.75</v>
      </c>
      <c r="CZ1855" t="s">
        <v>5379</v>
      </c>
      <c r="DA1855">
        <v>39.020000000000003</v>
      </c>
      <c r="DB1855">
        <v>21</v>
      </c>
      <c r="DC1855">
        <v>19.21</v>
      </c>
      <c r="DD1855">
        <v>0.16</v>
      </c>
      <c r="DE1855">
        <v>720</v>
      </c>
      <c r="DF1855">
        <v>300462</v>
      </c>
      <c r="DG1855" t="s">
        <v>116</v>
      </c>
      <c r="DH1855" t="s">
        <v>116</v>
      </c>
      <c r="DI1855" t="s">
        <v>116</v>
      </c>
    </row>
    <row r="1856" spans="1:113" x14ac:dyDescent="0.4">
      <c r="A1856" t="str">
        <f>"300463"</f>
        <v>300463</v>
      </c>
      <c r="B1856" t="s">
        <v>9353</v>
      </c>
      <c r="C1856">
        <v>-1.43</v>
      </c>
      <c r="D1856">
        <v>26.83</v>
      </c>
      <c r="E1856">
        <v>-0.39</v>
      </c>
      <c r="F1856">
        <v>26.77</v>
      </c>
      <c r="G1856">
        <v>26.83</v>
      </c>
      <c r="H1856">
        <v>36539</v>
      </c>
      <c r="I1856">
        <v>190</v>
      </c>
      <c r="J1856">
        <v>0.11</v>
      </c>
      <c r="K1856">
        <v>0.97</v>
      </c>
      <c r="L1856">
        <v>27.1</v>
      </c>
      <c r="M1856">
        <v>27.3</v>
      </c>
      <c r="N1856">
        <v>26.48</v>
      </c>
      <c r="O1856">
        <v>27.22</v>
      </c>
      <c r="P1856">
        <v>27.1</v>
      </c>
      <c r="Q1856">
        <v>97840872</v>
      </c>
      <c r="R1856">
        <v>1.62</v>
      </c>
      <c r="S1856" t="s">
        <v>559</v>
      </c>
      <c r="T1856" t="s">
        <v>582</v>
      </c>
      <c r="U1856">
        <v>3.01</v>
      </c>
      <c r="V1856">
        <v>26.78</v>
      </c>
      <c r="W1856">
        <v>21821</v>
      </c>
      <c r="X1856">
        <v>14718</v>
      </c>
      <c r="Y1856">
        <v>1.48</v>
      </c>
      <c r="Z1856">
        <v>2</v>
      </c>
      <c r="AA1856">
        <v>120</v>
      </c>
      <c r="AB1856" t="s">
        <v>116</v>
      </c>
      <c r="AC1856">
        <v>636900</v>
      </c>
      <c r="AD1856">
        <v>0.01</v>
      </c>
      <c r="AE1856" t="s">
        <v>116</v>
      </c>
      <c r="AF1856" t="s">
        <v>116</v>
      </c>
      <c r="AG1856">
        <v>3.77</v>
      </c>
      <c r="AH1856" t="s">
        <v>9354</v>
      </c>
      <c r="AI1856" t="s">
        <v>2363</v>
      </c>
      <c r="AJ1856">
        <v>-0.75</v>
      </c>
      <c r="AK1856">
        <v>1939</v>
      </c>
      <c r="AL1856">
        <v>19</v>
      </c>
      <c r="AM1856">
        <v>5.0000000000000001E-4</v>
      </c>
      <c r="AN1856">
        <v>-1</v>
      </c>
      <c r="AO1856">
        <v>-0.15</v>
      </c>
      <c r="AP1856">
        <v>-0.11</v>
      </c>
      <c r="AQ1856">
        <v>4.1900000000000004</v>
      </c>
      <c r="AR1856">
        <v>85.8</v>
      </c>
      <c r="AS1856">
        <v>1.2</v>
      </c>
      <c r="AT1856" t="s">
        <v>9355</v>
      </c>
      <c r="AU1856">
        <v>29.71</v>
      </c>
      <c r="AV1856">
        <v>33.630000000000003</v>
      </c>
      <c r="AW1856">
        <v>1.46</v>
      </c>
      <c r="BA1856">
        <v>-0.44</v>
      </c>
      <c r="BB1856">
        <v>0.28999999999999998</v>
      </c>
      <c r="BC1856">
        <v>-2.72</v>
      </c>
      <c r="BD1856">
        <v>-1.63</v>
      </c>
      <c r="BE1856">
        <v>-1</v>
      </c>
      <c r="BF1856">
        <v>-1.72</v>
      </c>
      <c r="BG1856">
        <v>1.32</v>
      </c>
      <c r="BH1856">
        <v>0.19</v>
      </c>
      <c r="BI1856">
        <v>20191225</v>
      </c>
      <c r="BJ1856">
        <v>20150528</v>
      </c>
      <c r="BK1856">
        <v>5.58</v>
      </c>
      <c r="BL1856" t="s">
        <v>116</v>
      </c>
      <c r="BM1856" t="s">
        <v>116</v>
      </c>
      <c r="BN1856">
        <v>52.41</v>
      </c>
      <c r="BO1856">
        <v>30.05</v>
      </c>
      <c r="BP1856">
        <v>1.93</v>
      </c>
      <c r="BQ1856">
        <v>38.979999999999997</v>
      </c>
      <c r="BR1856">
        <v>33.54</v>
      </c>
      <c r="BS1856">
        <v>13.3</v>
      </c>
      <c r="BT1856">
        <v>0.69</v>
      </c>
      <c r="BU1856">
        <v>17.600000000000001</v>
      </c>
      <c r="BV1856">
        <v>8.83</v>
      </c>
      <c r="BW1856">
        <v>18.829999999999998</v>
      </c>
      <c r="BX1856">
        <v>4.34</v>
      </c>
      <c r="BY1856">
        <v>23.48</v>
      </c>
      <c r="BZ1856">
        <v>11.09</v>
      </c>
      <c r="CA1856">
        <v>5.74</v>
      </c>
      <c r="CB1856">
        <v>0</v>
      </c>
      <c r="CC1856">
        <v>5.73</v>
      </c>
      <c r="CD1856">
        <v>4.4400000000000004</v>
      </c>
      <c r="CE1856">
        <v>4.1399999999999997</v>
      </c>
      <c r="CF1856">
        <v>4.0999999999999996</v>
      </c>
      <c r="CG1856">
        <v>19.53</v>
      </c>
      <c r="CH1856">
        <v>0.86</v>
      </c>
      <c r="CI1856">
        <v>-1.69</v>
      </c>
      <c r="CJ1856">
        <v>14801</v>
      </c>
      <c r="CK1856">
        <v>20569</v>
      </c>
      <c r="CL1856" t="s">
        <v>9356</v>
      </c>
      <c r="CM1856">
        <v>16.5</v>
      </c>
      <c r="CN1856">
        <v>20.11</v>
      </c>
      <c r="CO1856">
        <v>4.9800000000000004</v>
      </c>
      <c r="CP1856">
        <v>174.23</v>
      </c>
      <c r="CQ1856">
        <v>6.37</v>
      </c>
      <c r="CR1856">
        <v>0.6</v>
      </c>
      <c r="CS1856" t="s">
        <v>5125</v>
      </c>
      <c r="CT1856">
        <v>5.39</v>
      </c>
      <c r="CU1856">
        <v>0</v>
      </c>
      <c r="CV1856">
        <v>0.78</v>
      </c>
      <c r="CW1856">
        <v>3.5</v>
      </c>
      <c r="CX1856">
        <v>0.15</v>
      </c>
      <c r="CY1856">
        <v>57.34</v>
      </c>
      <c r="CZ1856" t="s">
        <v>6530</v>
      </c>
      <c r="DA1856">
        <v>52.76</v>
      </c>
      <c r="DB1856">
        <v>24.47</v>
      </c>
      <c r="DC1856">
        <v>17.64</v>
      </c>
      <c r="DD1856">
        <v>0.76</v>
      </c>
      <c r="DE1856">
        <v>2255</v>
      </c>
      <c r="DF1856">
        <v>300463</v>
      </c>
      <c r="DG1856" t="s">
        <v>116</v>
      </c>
      <c r="DH1856" t="s">
        <v>116</v>
      </c>
      <c r="DI1856" t="s">
        <v>116</v>
      </c>
    </row>
    <row r="1857" spans="1:113" x14ac:dyDescent="0.4">
      <c r="A1857" t="str">
        <f>"300464"</f>
        <v>300464</v>
      </c>
      <c r="B1857" t="s">
        <v>9357</v>
      </c>
      <c r="C1857">
        <v>-6.33</v>
      </c>
      <c r="D1857">
        <v>15.98</v>
      </c>
      <c r="E1857">
        <v>-1.08</v>
      </c>
      <c r="F1857">
        <v>15.97</v>
      </c>
      <c r="G1857">
        <v>15.98</v>
      </c>
      <c r="H1857">
        <v>187000</v>
      </c>
      <c r="I1857">
        <v>2792</v>
      </c>
      <c r="J1857">
        <v>-0.18</v>
      </c>
      <c r="K1857">
        <v>9.4700000000000006</v>
      </c>
      <c r="L1857">
        <v>17.32</v>
      </c>
      <c r="M1857">
        <v>17.53</v>
      </c>
      <c r="N1857">
        <v>15.8</v>
      </c>
      <c r="O1857">
        <v>17.059999999999999</v>
      </c>
      <c r="P1857">
        <v>47</v>
      </c>
      <c r="Q1857">
        <v>312351424</v>
      </c>
      <c r="R1857">
        <v>1.83</v>
      </c>
      <c r="S1857" t="s">
        <v>996</v>
      </c>
      <c r="T1857" t="s">
        <v>551</v>
      </c>
      <c r="U1857">
        <v>10.14</v>
      </c>
      <c r="V1857">
        <v>16.7</v>
      </c>
      <c r="W1857">
        <v>105909</v>
      </c>
      <c r="X1857">
        <v>81091</v>
      </c>
      <c r="Y1857">
        <v>1.31</v>
      </c>
      <c r="Z1857">
        <v>4</v>
      </c>
      <c r="AA1857">
        <v>1461</v>
      </c>
      <c r="AB1857" t="s">
        <v>116</v>
      </c>
      <c r="AC1857">
        <v>8858300</v>
      </c>
      <c r="AD1857">
        <v>0.64</v>
      </c>
      <c r="AE1857" t="s">
        <v>116</v>
      </c>
      <c r="AF1857" t="s">
        <v>116</v>
      </c>
      <c r="AG1857">
        <v>1.98</v>
      </c>
      <c r="AH1857" t="s">
        <v>9358</v>
      </c>
      <c r="AI1857" t="s">
        <v>3180</v>
      </c>
      <c r="AJ1857">
        <v>-5.65</v>
      </c>
      <c r="AK1857">
        <v>3517</v>
      </c>
      <c r="AL1857">
        <v>53</v>
      </c>
      <c r="AM1857">
        <v>2.7000000000000001E-3</v>
      </c>
      <c r="AN1857">
        <v>-1</v>
      </c>
      <c r="AO1857">
        <v>7.11</v>
      </c>
      <c r="AP1857">
        <v>24.07</v>
      </c>
      <c r="AQ1857">
        <v>55.6</v>
      </c>
      <c r="AR1857">
        <v>104.87</v>
      </c>
      <c r="AS1857">
        <v>23.3</v>
      </c>
      <c r="AT1857" t="s">
        <v>6504</v>
      </c>
      <c r="AU1857">
        <v>61.85</v>
      </c>
      <c r="AV1857">
        <v>2760.66</v>
      </c>
      <c r="AW1857">
        <v>1.84</v>
      </c>
      <c r="BA1857">
        <v>1.52</v>
      </c>
      <c r="BB1857">
        <v>2.75</v>
      </c>
      <c r="BC1857">
        <v>-7.39</v>
      </c>
      <c r="BD1857">
        <v>-2.09</v>
      </c>
      <c r="BE1857">
        <v>-7.74</v>
      </c>
      <c r="BF1857">
        <v>-8.84</v>
      </c>
      <c r="BG1857">
        <v>1.1399999999999999</v>
      </c>
      <c r="BH1857">
        <v>-4.24</v>
      </c>
      <c r="BI1857">
        <v>20191029</v>
      </c>
      <c r="BJ1857">
        <v>20150610</v>
      </c>
      <c r="BK1857">
        <v>3.53</v>
      </c>
      <c r="BL1857" t="s">
        <v>116</v>
      </c>
      <c r="BM1857" t="s">
        <v>116</v>
      </c>
      <c r="BN1857">
        <v>34.49</v>
      </c>
      <c r="BO1857">
        <v>17.420000000000002</v>
      </c>
      <c r="BP1857">
        <v>7.0000000000000007E-2</v>
      </c>
      <c r="BQ1857">
        <v>49.29</v>
      </c>
      <c r="BR1857">
        <v>17.07</v>
      </c>
      <c r="BS1857">
        <v>4.33</v>
      </c>
      <c r="BT1857">
        <v>1.22</v>
      </c>
      <c r="BU1857">
        <v>15.49</v>
      </c>
      <c r="BV1857">
        <v>6.29</v>
      </c>
      <c r="BW1857">
        <v>4.25</v>
      </c>
      <c r="BX1857">
        <v>10.96</v>
      </c>
      <c r="BY1857">
        <v>22.64</v>
      </c>
      <c r="BZ1857">
        <v>12.74</v>
      </c>
      <c r="CA1857">
        <v>1.04</v>
      </c>
      <c r="CB1857">
        <v>-0.04</v>
      </c>
      <c r="CC1857">
        <v>1.04</v>
      </c>
      <c r="CD1857">
        <v>0.9</v>
      </c>
      <c r="CE1857">
        <v>0.9</v>
      </c>
      <c r="CF1857">
        <v>0.84</v>
      </c>
      <c r="CG1857">
        <v>2.64</v>
      </c>
      <c r="CH1857">
        <v>0.13</v>
      </c>
      <c r="CI1857">
        <v>2.0099999999999998</v>
      </c>
      <c r="CJ1857">
        <v>10086</v>
      </c>
      <c r="CK1857">
        <v>7958</v>
      </c>
      <c r="CL1857" t="s">
        <v>9220</v>
      </c>
      <c r="CM1857">
        <v>10487.75</v>
      </c>
      <c r="CN1857">
        <v>350.64</v>
      </c>
      <c r="CO1857">
        <v>3.24</v>
      </c>
      <c r="CP1857">
        <v>424.95</v>
      </c>
      <c r="CQ1857">
        <v>2.4900000000000002</v>
      </c>
      <c r="CR1857">
        <v>0</v>
      </c>
      <c r="CS1857" t="s">
        <v>3626</v>
      </c>
      <c r="CT1857">
        <v>4.93</v>
      </c>
      <c r="CU1857">
        <v>0</v>
      </c>
      <c r="CV1857">
        <v>3.1</v>
      </c>
      <c r="CW1857">
        <v>0.75</v>
      </c>
      <c r="CX1857">
        <v>0.04</v>
      </c>
      <c r="CY1857">
        <v>50.5</v>
      </c>
      <c r="CZ1857" t="s">
        <v>8772</v>
      </c>
      <c r="DA1857">
        <v>43.73</v>
      </c>
      <c r="DB1857">
        <v>4.5999999999999996</v>
      </c>
      <c r="DC1857">
        <v>3.98</v>
      </c>
      <c r="DD1857">
        <v>0.38</v>
      </c>
      <c r="DE1857">
        <v>1596</v>
      </c>
      <c r="DF1857">
        <v>300464</v>
      </c>
      <c r="DG1857" t="s">
        <v>116</v>
      </c>
      <c r="DH1857" t="s">
        <v>116</v>
      </c>
      <c r="DI1857" t="s">
        <v>116</v>
      </c>
    </row>
    <row r="1858" spans="1:113" x14ac:dyDescent="0.4">
      <c r="A1858" t="str">
        <f>"300465"</f>
        <v>300465</v>
      </c>
      <c r="B1858" t="s">
        <v>9359</v>
      </c>
      <c r="C1858">
        <v>-4.4800000000000004</v>
      </c>
      <c r="D1858">
        <v>9.6</v>
      </c>
      <c r="E1858">
        <v>-0.45</v>
      </c>
      <c r="F1858">
        <v>9.59</v>
      </c>
      <c r="G1858">
        <v>9.6</v>
      </c>
      <c r="H1858">
        <v>269679</v>
      </c>
      <c r="I1858">
        <v>3342</v>
      </c>
      <c r="J1858">
        <v>0.31</v>
      </c>
      <c r="K1858">
        <v>6.04</v>
      </c>
      <c r="L1858">
        <v>10.01</v>
      </c>
      <c r="M1858">
        <v>10.02</v>
      </c>
      <c r="N1858">
        <v>9.5299999999999994</v>
      </c>
      <c r="O1858">
        <v>10.050000000000001</v>
      </c>
      <c r="P1858">
        <v>56.75</v>
      </c>
      <c r="Q1858">
        <v>263965008</v>
      </c>
      <c r="R1858">
        <v>1.05</v>
      </c>
      <c r="S1858" t="s">
        <v>607</v>
      </c>
      <c r="T1858" t="s">
        <v>165</v>
      </c>
      <c r="U1858">
        <v>4.88</v>
      </c>
      <c r="V1858">
        <v>9.7899999999999991</v>
      </c>
      <c r="W1858">
        <v>161097</v>
      </c>
      <c r="X1858">
        <v>108582</v>
      </c>
      <c r="Y1858">
        <v>1.48</v>
      </c>
      <c r="Z1858">
        <v>156</v>
      </c>
      <c r="AA1858">
        <v>360</v>
      </c>
      <c r="AB1858" t="s">
        <v>116</v>
      </c>
      <c r="AC1858">
        <v>2844800</v>
      </c>
      <c r="AD1858">
        <v>0.09</v>
      </c>
      <c r="AE1858" t="s">
        <v>116</v>
      </c>
      <c r="AF1858" t="s">
        <v>116</v>
      </c>
      <c r="AG1858">
        <v>4.47</v>
      </c>
      <c r="AH1858" t="s">
        <v>9360</v>
      </c>
      <c r="AI1858" t="s">
        <v>9360</v>
      </c>
      <c r="AJ1858">
        <v>-3.8</v>
      </c>
      <c r="AK1858">
        <v>3480</v>
      </c>
      <c r="AL1858">
        <v>77</v>
      </c>
      <c r="AM1858">
        <v>1.6999999999999999E-3</v>
      </c>
      <c r="AN1858">
        <v>-1</v>
      </c>
      <c r="AO1858">
        <v>2.56</v>
      </c>
      <c r="AP1858">
        <v>8.6</v>
      </c>
      <c r="AQ1858">
        <v>18.670000000000002</v>
      </c>
      <c r="AR1858">
        <v>60.7</v>
      </c>
      <c r="AS1858">
        <v>8.89</v>
      </c>
      <c r="AT1858" t="s">
        <v>9361</v>
      </c>
      <c r="AU1858">
        <v>31.43</v>
      </c>
      <c r="AV1858">
        <v>41.03</v>
      </c>
      <c r="AW1858">
        <v>1.65</v>
      </c>
      <c r="BA1858">
        <v>-0.4</v>
      </c>
      <c r="BB1858">
        <v>-0.3</v>
      </c>
      <c r="BC1858">
        <v>-5.17</v>
      </c>
      <c r="BD1858">
        <v>-2.61</v>
      </c>
      <c r="BE1858">
        <v>-4.0999999999999996</v>
      </c>
      <c r="BF1858">
        <v>-4.1900000000000004</v>
      </c>
      <c r="BG1858">
        <v>0.73</v>
      </c>
      <c r="BH1858">
        <v>-1.87</v>
      </c>
      <c r="BI1858">
        <v>20191227</v>
      </c>
      <c r="BJ1858">
        <v>20150528</v>
      </c>
      <c r="BK1858">
        <v>4.47</v>
      </c>
      <c r="BL1858" t="s">
        <v>116</v>
      </c>
      <c r="BM1858" t="s">
        <v>116</v>
      </c>
      <c r="BN1858">
        <v>23.16</v>
      </c>
      <c r="BO1858">
        <v>12.33</v>
      </c>
      <c r="BP1858">
        <v>0.34</v>
      </c>
      <c r="BQ1858">
        <v>45.3</v>
      </c>
      <c r="BR1858">
        <v>11.78</v>
      </c>
      <c r="BS1858">
        <v>0.63</v>
      </c>
      <c r="BT1858">
        <v>0.49</v>
      </c>
      <c r="BU1858">
        <v>7.41</v>
      </c>
      <c r="BV1858">
        <v>2.2999999999999998</v>
      </c>
      <c r="BW1858">
        <v>6.6</v>
      </c>
      <c r="BX1858">
        <v>3.41</v>
      </c>
      <c r="BY1858">
        <v>10.72</v>
      </c>
      <c r="BZ1858">
        <v>8.17</v>
      </c>
      <c r="CA1858">
        <v>0.53</v>
      </c>
      <c r="CB1858">
        <v>-0.04</v>
      </c>
      <c r="CC1858">
        <v>0.56000000000000005</v>
      </c>
      <c r="CD1858">
        <v>0.59</v>
      </c>
      <c r="CE1858">
        <v>0.56999999999999995</v>
      </c>
      <c r="CF1858">
        <v>0.54</v>
      </c>
      <c r="CG1858">
        <v>4.25</v>
      </c>
      <c r="CH1858">
        <v>-1.97</v>
      </c>
      <c r="CI1858">
        <v>-3.36</v>
      </c>
      <c r="CJ1858">
        <v>47358</v>
      </c>
      <c r="CK1858">
        <v>6405</v>
      </c>
      <c r="CL1858" t="s">
        <v>4325</v>
      </c>
      <c r="CM1858">
        <v>128.79</v>
      </c>
      <c r="CN1858">
        <v>4.3899999999999997</v>
      </c>
      <c r="CO1858">
        <v>3.48</v>
      </c>
      <c r="CP1858">
        <v>-21.81</v>
      </c>
      <c r="CQ1858">
        <v>4</v>
      </c>
      <c r="CR1858">
        <v>0.38</v>
      </c>
      <c r="CS1858" t="s">
        <v>4121</v>
      </c>
      <c r="CT1858">
        <v>2.76</v>
      </c>
      <c r="CU1858">
        <v>0</v>
      </c>
      <c r="CV1858">
        <v>0.76</v>
      </c>
      <c r="CW1858">
        <v>0.95</v>
      </c>
      <c r="CX1858">
        <v>-0.44</v>
      </c>
      <c r="CY1858">
        <v>53.24</v>
      </c>
      <c r="CZ1858" t="s">
        <v>4137</v>
      </c>
      <c r="DA1858">
        <v>23.75</v>
      </c>
      <c r="DB1858">
        <v>4.9400000000000004</v>
      </c>
      <c r="DC1858">
        <v>5.29</v>
      </c>
      <c r="DD1858">
        <v>0.39</v>
      </c>
      <c r="DE1858">
        <v>2988</v>
      </c>
      <c r="DF1858">
        <v>300465</v>
      </c>
      <c r="DG1858" t="s">
        <v>116</v>
      </c>
      <c r="DH1858" t="s">
        <v>116</v>
      </c>
      <c r="DI1858" t="s">
        <v>116</v>
      </c>
    </row>
    <row r="1859" spans="1:113" x14ac:dyDescent="0.4">
      <c r="A1859" t="str">
        <f>"300466"</f>
        <v>300466</v>
      </c>
      <c r="B1859" t="s">
        <v>9362</v>
      </c>
      <c r="C1859">
        <v>-1.68</v>
      </c>
      <c r="D1859">
        <v>5.84</v>
      </c>
      <c r="E1859">
        <v>-0.1</v>
      </c>
      <c r="F1859">
        <v>5.83</v>
      </c>
      <c r="G1859">
        <v>5.84</v>
      </c>
      <c r="H1859">
        <v>46811</v>
      </c>
      <c r="I1859">
        <v>627</v>
      </c>
      <c r="J1859">
        <v>0.34</v>
      </c>
      <c r="K1859">
        <v>1.38</v>
      </c>
      <c r="L1859">
        <v>5.9</v>
      </c>
      <c r="M1859">
        <v>5.97</v>
      </c>
      <c r="N1859">
        <v>5.82</v>
      </c>
      <c r="O1859">
        <v>5.94</v>
      </c>
      <c r="P1859">
        <v>86.34</v>
      </c>
      <c r="Q1859">
        <v>27699850</v>
      </c>
      <c r="R1859">
        <v>0.78</v>
      </c>
      <c r="S1859" t="s">
        <v>2977</v>
      </c>
      <c r="T1859" t="s">
        <v>323</v>
      </c>
      <c r="U1859">
        <v>2.5299999999999998</v>
      </c>
      <c r="V1859">
        <v>5.92</v>
      </c>
      <c r="W1859">
        <v>27395</v>
      </c>
      <c r="X1859">
        <v>19416</v>
      </c>
      <c r="Y1859">
        <v>1.41</v>
      </c>
      <c r="Z1859">
        <v>484</v>
      </c>
      <c r="AA1859">
        <v>277</v>
      </c>
      <c r="AB1859" t="s">
        <v>116</v>
      </c>
      <c r="AC1859">
        <v>86100</v>
      </c>
      <c r="AD1859">
        <v>0.01</v>
      </c>
      <c r="AE1859" t="s">
        <v>116</v>
      </c>
      <c r="AF1859" t="s">
        <v>116</v>
      </c>
      <c r="AG1859">
        <v>3.38</v>
      </c>
      <c r="AH1859" t="s">
        <v>1281</v>
      </c>
      <c r="AI1859" t="s">
        <v>9363</v>
      </c>
      <c r="AJ1859">
        <v>-1</v>
      </c>
      <c r="AK1859">
        <v>1262</v>
      </c>
      <c r="AL1859">
        <v>37</v>
      </c>
      <c r="AM1859">
        <v>1.1000000000000001E-3</v>
      </c>
      <c r="AN1859">
        <v>-1</v>
      </c>
      <c r="AO1859">
        <v>-0.16</v>
      </c>
      <c r="AP1859">
        <v>3.73</v>
      </c>
      <c r="AQ1859">
        <v>-18.55</v>
      </c>
      <c r="AR1859">
        <v>14.06</v>
      </c>
      <c r="AS1859">
        <v>1.97</v>
      </c>
      <c r="AT1859" t="s">
        <v>9191</v>
      </c>
      <c r="AU1859" t="s">
        <v>116</v>
      </c>
      <c r="AV1859" t="s">
        <v>116</v>
      </c>
      <c r="AW1859">
        <v>1.36</v>
      </c>
      <c r="BA1859">
        <v>-0.67</v>
      </c>
      <c r="BB1859">
        <v>0.51</v>
      </c>
      <c r="BC1859">
        <v>-2.02</v>
      </c>
      <c r="BD1859">
        <v>-0.38</v>
      </c>
      <c r="BE1859">
        <v>-1.02</v>
      </c>
      <c r="BF1859">
        <v>-2.1800000000000002</v>
      </c>
      <c r="BG1859">
        <v>0.34</v>
      </c>
      <c r="BH1859">
        <v>-1.3</v>
      </c>
      <c r="BI1859">
        <v>20191029</v>
      </c>
      <c r="BJ1859">
        <v>20150528</v>
      </c>
      <c r="BK1859">
        <v>5.39</v>
      </c>
      <c r="BL1859" t="s">
        <v>116</v>
      </c>
      <c r="BM1859" t="s">
        <v>116</v>
      </c>
      <c r="BN1859">
        <v>15.83</v>
      </c>
      <c r="BO1859">
        <v>11.26</v>
      </c>
      <c r="BP1859">
        <v>-0.03</v>
      </c>
      <c r="BQ1859">
        <v>29.04</v>
      </c>
      <c r="BR1859">
        <v>8.11</v>
      </c>
      <c r="BS1859">
        <v>1.79</v>
      </c>
      <c r="BT1859">
        <v>1.01</v>
      </c>
      <c r="BU1859">
        <v>4.29</v>
      </c>
      <c r="BV1859">
        <v>2.04</v>
      </c>
      <c r="BW1859">
        <v>4.3600000000000003</v>
      </c>
      <c r="BX1859">
        <v>5.45</v>
      </c>
      <c r="BY1859">
        <v>3.49</v>
      </c>
      <c r="BZ1859">
        <v>1.98</v>
      </c>
      <c r="CA1859">
        <v>0.19</v>
      </c>
      <c r="CB1859">
        <v>0.01</v>
      </c>
      <c r="CC1859">
        <v>0.3</v>
      </c>
      <c r="CD1859">
        <v>0.25</v>
      </c>
      <c r="CE1859">
        <v>0.27</v>
      </c>
      <c r="CF1859">
        <v>0.1</v>
      </c>
      <c r="CG1859">
        <v>0.2</v>
      </c>
      <c r="CH1859">
        <v>-0.17</v>
      </c>
      <c r="CI1859">
        <v>0.04</v>
      </c>
      <c r="CJ1859">
        <v>30156</v>
      </c>
      <c r="CK1859">
        <v>7878</v>
      </c>
      <c r="CL1859" t="s">
        <v>4939</v>
      </c>
      <c r="CM1859">
        <v>2.96</v>
      </c>
      <c r="CN1859">
        <v>10.87</v>
      </c>
      <c r="CO1859">
        <v>2.79</v>
      </c>
      <c r="CP1859">
        <v>-190.09</v>
      </c>
      <c r="CQ1859">
        <v>9.02</v>
      </c>
      <c r="CR1859">
        <v>0</v>
      </c>
      <c r="CS1859" t="s">
        <v>9364</v>
      </c>
      <c r="CT1859">
        <v>2.09</v>
      </c>
      <c r="CU1859">
        <v>0</v>
      </c>
      <c r="CV1859">
        <v>1.01</v>
      </c>
      <c r="CW1859">
        <v>0.04</v>
      </c>
      <c r="CX1859">
        <v>-0.03</v>
      </c>
      <c r="CY1859">
        <v>71.150000000000006</v>
      </c>
      <c r="CZ1859" t="s">
        <v>6276</v>
      </c>
      <c r="DA1859">
        <v>43.3</v>
      </c>
      <c r="DB1859">
        <v>5.39</v>
      </c>
      <c r="DC1859">
        <v>7.83</v>
      </c>
      <c r="DD1859">
        <v>0.34</v>
      </c>
      <c r="DE1859">
        <v>1028</v>
      </c>
      <c r="DF1859">
        <v>300466</v>
      </c>
      <c r="DG1859" t="s">
        <v>116</v>
      </c>
      <c r="DH1859" t="s">
        <v>116</v>
      </c>
      <c r="DI1859" t="s">
        <v>116</v>
      </c>
    </row>
    <row r="1860" spans="1:113" x14ac:dyDescent="0.4">
      <c r="A1860" t="str">
        <f>"300467"</f>
        <v>300467</v>
      </c>
      <c r="B1860" t="s">
        <v>9365</v>
      </c>
      <c r="C1860">
        <v>0.79</v>
      </c>
      <c r="D1860">
        <v>21.6</v>
      </c>
      <c r="E1860">
        <v>0.17</v>
      </c>
      <c r="F1860">
        <v>21.6</v>
      </c>
      <c r="G1860">
        <v>21.65</v>
      </c>
      <c r="H1860">
        <v>265056</v>
      </c>
      <c r="I1860">
        <v>5059</v>
      </c>
      <c r="J1860">
        <v>-0.04</v>
      </c>
      <c r="K1860">
        <v>19.98</v>
      </c>
      <c r="L1860">
        <v>21.6</v>
      </c>
      <c r="M1860">
        <v>22.37</v>
      </c>
      <c r="N1860">
        <v>21.06</v>
      </c>
      <c r="O1860">
        <v>21.43</v>
      </c>
      <c r="P1860">
        <v>30.72</v>
      </c>
      <c r="Q1860">
        <v>577028480</v>
      </c>
      <c r="R1860">
        <v>1.0900000000000001</v>
      </c>
      <c r="S1860" t="s">
        <v>1384</v>
      </c>
      <c r="T1860" t="s">
        <v>582</v>
      </c>
      <c r="U1860">
        <v>6.11</v>
      </c>
      <c r="V1860">
        <v>21.77</v>
      </c>
      <c r="W1860">
        <v>131871</v>
      </c>
      <c r="X1860">
        <v>133185</v>
      </c>
      <c r="Y1860">
        <v>0.99</v>
      </c>
      <c r="Z1860">
        <v>84</v>
      </c>
      <c r="AA1860">
        <v>4</v>
      </c>
      <c r="AB1860" t="s">
        <v>116</v>
      </c>
      <c r="AC1860">
        <v>8210200</v>
      </c>
      <c r="AD1860">
        <v>0.33</v>
      </c>
      <c r="AE1860" t="s">
        <v>116</v>
      </c>
      <c r="AF1860" t="s">
        <v>116</v>
      </c>
      <c r="AG1860">
        <v>1.33</v>
      </c>
      <c r="AH1860" t="s">
        <v>9366</v>
      </c>
      <c r="AI1860" t="s">
        <v>5397</v>
      </c>
      <c r="AJ1860">
        <v>1.47</v>
      </c>
      <c r="AK1860">
        <v>4127</v>
      </c>
      <c r="AL1860">
        <v>64</v>
      </c>
      <c r="AM1860">
        <v>4.7999999999999996E-3</v>
      </c>
      <c r="AN1860">
        <v>1</v>
      </c>
      <c r="AO1860">
        <v>-4.6399999999999997</v>
      </c>
      <c r="AP1860">
        <v>39.72</v>
      </c>
      <c r="AQ1860">
        <v>36.28</v>
      </c>
      <c r="AR1860">
        <v>-5.8</v>
      </c>
      <c r="AS1860">
        <v>23.05</v>
      </c>
      <c r="AT1860" t="s">
        <v>9367</v>
      </c>
      <c r="AU1860" t="s">
        <v>116</v>
      </c>
      <c r="AV1860" t="s">
        <v>116</v>
      </c>
      <c r="AW1860">
        <v>1.46</v>
      </c>
      <c r="BA1860">
        <v>0.79</v>
      </c>
      <c r="BB1860">
        <v>4.3899999999999997</v>
      </c>
      <c r="BC1860">
        <v>-1.73</v>
      </c>
      <c r="BD1860">
        <v>1.59</v>
      </c>
      <c r="BE1860">
        <v>0</v>
      </c>
      <c r="BF1860">
        <v>-3.44</v>
      </c>
      <c r="BG1860">
        <v>2.56</v>
      </c>
      <c r="BH1860">
        <v>-0.79</v>
      </c>
      <c r="BI1860">
        <v>20191202</v>
      </c>
      <c r="BJ1860">
        <v>20150527</v>
      </c>
      <c r="BK1860">
        <v>2.23</v>
      </c>
      <c r="BL1860" t="s">
        <v>116</v>
      </c>
      <c r="BM1860" t="s">
        <v>116</v>
      </c>
      <c r="BN1860">
        <v>28.82</v>
      </c>
      <c r="BO1860">
        <v>23.44</v>
      </c>
      <c r="BP1860">
        <v>0.51</v>
      </c>
      <c r="BQ1860">
        <v>16.89</v>
      </c>
      <c r="BR1860">
        <v>8.32</v>
      </c>
      <c r="BS1860">
        <v>0.31</v>
      </c>
      <c r="BT1860">
        <v>0.66</v>
      </c>
      <c r="BU1860">
        <v>4.21</v>
      </c>
      <c r="BV1860">
        <v>0</v>
      </c>
      <c r="BW1860">
        <v>0.28000000000000003</v>
      </c>
      <c r="BX1860">
        <v>26.1</v>
      </c>
      <c r="BY1860">
        <v>3.8</v>
      </c>
      <c r="BZ1860">
        <v>0.77</v>
      </c>
      <c r="CA1860">
        <v>1.59</v>
      </c>
      <c r="CB1860">
        <v>0.62</v>
      </c>
      <c r="CC1860">
        <v>1.59</v>
      </c>
      <c r="CD1860">
        <v>1.54</v>
      </c>
      <c r="CE1860">
        <v>1.18</v>
      </c>
      <c r="CF1860">
        <v>0.89</v>
      </c>
      <c r="CG1860">
        <v>-5.2</v>
      </c>
      <c r="CH1860">
        <v>1.33</v>
      </c>
      <c r="CI1860">
        <v>4.7</v>
      </c>
      <c r="CJ1860">
        <v>23589</v>
      </c>
      <c r="CK1860">
        <v>4875</v>
      </c>
      <c r="CL1860" t="s">
        <v>9079</v>
      </c>
      <c r="CM1860">
        <v>-31.57</v>
      </c>
      <c r="CN1860">
        <v>-28.1</v>
      </c>
      <c r="CO1860">
        <v>2.06</v>
      </c>
      <c r="CP1860">
        <v>36.299999999999997</v>
      </c>
      <c r="CQ1860">
        <v>12.69</v>
      </c>
      <c r="CR1860">
        <v>0</v>
      </c>
      <c r="CS1860" t="s">
        <v>4586</v>
      </c>
      <c r="CT1860">
        <v>10.49</v>
      </c>
      <c r="CU1860">
        <v>0</v>
      </c>
      <c r="CV1860">
        <v>11.69</v>
      </c>
      <c r="CW1860">
        <v>-2.33</v>
      </c>
      <c r="CX1860">
        <v>0.6</v>
      </c>
      <c r="CY1860">
        <v>81.33</v>
      </c>
      <c r="CZ1860" t="s">
        <v>3510</v>
      </c>
      <c r="DA1860">
        <v>79.84</v>
      </c>
      <c r="DB1860">
        <v>41.92</v>
      </c>
      <c r="DC1860">
        <v>30.99</v>
      </c>
      <c r="DD1860">
        <v>0.56999999999999995</v>
      </c>
      <c r="DE1860">
        <v>307</v>
      </c>
      <c r="DF1860">
        <v>300467</v>
      </c>
      <c r="DG1860" t="s">
        <v>116</v>
      </c>
      <c r="DH1860" t="s">
        <v>116</v>
      </c>
      <c r="DI1860" t="s">
        <v>116</v>
      </c>
    </row>
    <row r="1861" spans="1:113" x14ac:dyDescent="0.4">
      <c r="A1861" t="str">
        <f>"300468"</f>
        <v>300468</v>
      </c>
      <c r="B1861" t="s">
        <v>9368</v>
      </c>
      <c r="C1861">
        <v>-4.49</v>
      </c>
      <c r="D1861">
        <v>33.840000000000003</v>
      </c>
      <c r="E1861">
        <v>-1.59</v>
      </c>
      <c r="F1861">
        <v>33.83</v>
      </c>
      <c r="G1861">
        <v>33.840000000000003</v>
      </c>
      <c r="H1861">
        <v>167596</v>
      </c>
      <c r="I1861">
        <v>5538</v>
      </c>
      <c r="J1861">
        <v>-0.98</v>
      </c>
      <c r="K1861">
        <v>9</v>
      </c>
      <c r="L1861">
        <v>35.85</v>
      </c>
      <c r="M1861">
        <v>35.85</v>
      </c>
      <c r="N1861">
        <v>33.799999999999997</v>
      </c>
      <c r="O1861">
        <v>35.43</v>
      </c>
      <c r="P1861">
        <v>84.53</v>
      </c>
      <c r="Q1861">
        <v>588064896</v>
      </c>
      <c r="R1861">
        <v>0.74</v>
      </c>
      <c r="S1861" t="s">
        <v>607</v>
      </c>
      <c r="T1861" t="s">
        <v>115</v>
      </c>
      <c r="U1861">
        <v>5.79</v>
      </c>
      <c r="V1861">
        <v>35.090000000000003</v>
      </c>
      <c r="W1861">
        <v>92749</v>
      </c>
      <c r="X1861">
        <v>74847</v>
      </c>
      <c r="Y1861">
        <v>1.24</v>
      </c>
      <c r="Z1861">
        <v>63</v>
      </c>
      <c r="AA1861">
        <v>1014</v>
      </c>
      <c r="AB1861" t="s">
        <v>116</v>
      </c>
      <c r="AC1861">
        <v>7428100</v>
      </c>
      <c r="AD1861">
        <v>0.19</v>
      </c>
      <c r="AE1861" t="s">
        <v>116</v>
      </c>
      <c r="AF1861" t="s">
        <v>116</v>
      </c>
      <c r="AG1861">
        <v>1.86</v>
      </c>
      <c r="AH1861" t="s">
        <v>8311</v>
      </c>
      <c r="AI1861" t="s">
        <v>9369</v>
      </c>
      <c r="AJ1861">
        <v>-3.81</v>
      </c>
      <c r="AK1861">
        <v>4037</v>
      </c>
      <c r="AL1861">
        <v>42</v>
      </c>
      <c r="AM1861">
        <v>2.2000000000000001E-3</v>
      </c>
      <c r="AN1861">
        <v>-2</v>
      </c>
      <c r="AO1861">
        <v>-5.48</v>
      </c>
      <c r="AP1861">
        <v>13.56</v>
      </c>
      <c r="AQ1861">
        <v>63.32</v>
      </c>
      <c r="AR1861">
        <v>184.47</v>
      </c>
      <c r="AS1861">
        <v>15.1</v>
      </c>
      <c r="AT1861" t="s">
        <v>9370</v>
      </c>
      <c r="AU1861">
        <v>90.63</v>
      </c>
      <c r="AV1861">
        <v>92.94</v>
      </c>
      <c r="AW1861">
        <v>1.28</v>
      </c>
      <c r="BA1861">
        <v>1.19</v>
      </c>
      <c r="BB1861">
        <v>1.19</v>
      </c>
      <c r="BC1861">
        <v>-4.5999999999999996</v>
      </c>
      <c r="BD1861">
        <v>-0.96</v>
      </c>
      <c r="BE1861">
        <v>-5.61</v>
      </c>
      <c r="BF1861">
        <v>-5.61</v>
      </c>
      <c r="BG1861">
        <v>0.12</v>
      </c>
      <c r="BH1861">
        <v>-3.52</v>
      </c>
      <c r="BI1861">
        <v>20191028</v>
      </c>
      <c r="BJ1861">
        <v>20150527</v>
      </c>
      <c r="BK1861">
        <v>1.89</v>
      </c>
      <c r="BL1861" t="s">
        <v>116</v>
      </c>
      <c r="BM1861" t="s">
        <v>116</v>
      </c>
      <c r="BN1861">
        <v>11.56</v>
      </c>
      <c r="BO1861">
        <v>10.86</v>
      </c>
      <c r="BP1861">
        <v>0</v>
      </c>
      <c r="BQ1861">
        <v>6.03</v>
      </c>
      <c r="BR1861">
        <v>6.68</v>
      </c>
      <c r="BS1861">
        <v>2.82</v>
      </c>
      <c r="BT1861">
        <v>0.28000000000000003</v>
      </c>
      <c r="BU1861">
        <v>0.67</v>
      </c>
      <c r="BV1861">
        <v>0.25</v>
      </c>
      <c r="BW1861">
        <v>1.78</v>
      </c>
      <c r="BX1861">
        <v>5.3</v>
      </c>
      <c r="BY1861">
        <v>3.28</v>
      </c>
      <c r="BZ1861">
        <v>1.73</v>
      </c>
      <c r="CA1861">
        <v>0.54</v>
      </c>
      <c r="CB1861">
        <v>0.01</v>
      </c>
      <c r="CC1861">
        <v>0.61</v>
      </c>
      <c r="CD1861">
        <v>0.56999999999999995</v>
      </c>
      <c r="CE1861">
        <v>0.56999999999999995</v>
      </c>
      <c r="CF1861">
        <v>0.51</v>
      </c>
      <c r="CG1861">
        <v>3.37</v>
      </c>
      <c r="CH1861">
        <v>0.22</v>
      </c>
      <c r="CI1861">
        <v>-0.94</v>
      </c>
      <c r="CJ1861">
        <v>18370</v>
      </c>
      <c r="CK1861">
        <v>6042</v>
      </c>
      <c r="CL1861" t="s">
        <v>9371</v>
      </c>
      <c r="CM1861">
        <v>3.19</v>
      </c>
      <c r="CN1861">
        <v>1.93</v>
      </c>
      <c r="CO1861">
        <v>5.89</v>
      </c>
      <c r="CP1861">
        <v>295.45999999999998</v>
      </c>
      <c r="CQ1861">
        <v>19.510000000000002</v>
      </c>
      <c r="CR1861">
        <v>0.46</v>
      </c>
      <c r="CS1861" t="s">
        <v>4088</v>
      </c>
      <c r="CT1861">
        <v>5.75</v>
      </c>
      <c r="CU1861">
        <v>0</v>
      </c>
      <c r="CV1861">
        <v>2.8</v>
      </c>
      <c r="CW1861">
        <v>1.78</v>
      </c>
      <c r="CX1861">
        <v>0.11</v>
      </c>
      <c r="CY1861">
        <v>93.97</v>
      </c>
      <c r="CZ1861" t="s">
        <v>8471</v>
      </c>
      <c r="DA1861">
        <v>47.13</v>
      </c>
      <c r="DB1861">
        <v>16.510000000000002</v>
      </c>
      <c r="DC1861">
        <v>17.309999999999999</v>
      </c>
      <c r="DD1861">
        <v>0.53</v>
      </c>
      <c r="DE1861">
        <v>1871</v>
      </c>
      <c r="DF1861">
        <v>300468</v>
      </c>
      <c r="DG1861" t="s">
        <v>116</v>
      </c>
      <c r="DH1861" t="s">
        <v>116</v>
      </c>
      <c r="DI1861" t="s">
        <v>116</v>
      </c>
    </row>
    <row r="1862" spans="1:113" x14ac:dyDescent="0.4">
      <c r="A1862" t="str">
        <f>"300469"</f>
        <v>300469</v>
      </c>
      <c r="B1862" t="s">
        <v>9372</v>
      </c>
      <c r="C1862">
        <v>-1.07</v>
      </c>
      <c r="D1862">
        <v>15.75</v>
      </c>
      <c r="E1862">
        <v>-0.17</v>
      </c>
      <c r="F1862">
        <v>15.74</v>
      </c>
      <c r="G1862">
        <v>15.75</v>
      </c>
      <c r="H1862">
        <v>40357</v>
      </c>
      <c r="I1862">
        <v>588</v>
      </c>
      <c r="J1862">
        <v>0.06</v>
      </c>
      <c r="K1862">
        <v>2.4300000000000002</v>
      </c>
      <c r="L1862">
        <v>15.93</v>
      </c>
      <c r="M1862">
        <v>16.059999999999999</v>
      </c>
      <c r="N1862">
        <v>15.67</v>
      </c>
      <c r="O1862">
        <v>15.92</v>
      </c>
      <c r="P1862">
        <v>3969.14</v>
      </c>
      <c r="Q1862">
        <v>63692972</v>
      </c>
      <c r="R1862">
        <v>0.9</v>
      </c>
      <c r="S1862" t="s">
        <v>607</v>
      </c>
      <c r="T1862" t="s">
        <v>1653</v>
      </c>
      <c r="U1862">
        <v>2.4500000000000002</v>
      </c>
      <c r="V1862">
        <v>15.78</v>
      </c>
      <c r="W1862">
        <v>23544</v>
      </c>
      <c r="X1862">
        <v>16813</v>
      </c>
      <c r="Y1862">
        <v>1.4</v>
      </c>
      <c r="Z1862">
        <v>826</v>
      </c>
      <c r="AA1862">
        <v>10</v>
      </c>
      <c r="AB1862" t="s">
        <v>116</v>
      </c>
      <c r="AC1862">
        <v>81200</v>
      </c>
      <c r="AD1862">
        <v>0.01</v>
      </c>
      <c r="AE1862" t="s">
        <v>116</v>
      </c>
      <c r="AF1862" t="s">
        <v>116</v>
      </c>
      <c r="AG1862">
        <v>1.66</v>
      </c>
      <c r="AH1862" t="s">
        <v>6852</v>
      </c>
      <c r="AI1862" t="s">
        <v>9373</v>
      </c>
      <c r="AJ1862">
        <v>-0.39</v>
      </c>
      <c r="AK1862">
        <v>1871</v>
      </c>
      <c r="AL1862">
        <v>22</v>
      </c>
      <c r="AM1862">
        <v>1.2999999999999999E-3</v>
      </c>
      <c r="AN1862">
        <v>-2</v>
      </c>
      <c r="AO1862">
        <v>-1.19</v>
      </c>
      <c r="AP1862">
        <v>2.87</v>
      </c>
      <c r="AQ1862">
        <v>-10.210000000000001</v>
      </c>
      <c r="AR1862">
        <v>39.520000000000003</v>
      </c>
      <c r="AS1862">
        <v>4.1500000000000004</v>
      </c>
      <c r="AT1862" t="s">
        <v>5050</v>
      </c>
      <c r="AU1862">
        <v>84.76</v>
      </c>
      <c r="AV1862">
        <v>72.11</v>
      </c>
      <c r="AW1862">
        <v>1.64</v>
      </c>
      <c r="BA1862">
        <v>0.06</v>
      </c>
      <c r="BB1862">
        <v>0.88</v>
      </c>
      <c r="BC1862">
        <v>-1.57</v>
      </c>
      <c r="BD1862">
        <v>-0.86</v>
      </c>
      <c r="BE1862">
        <v>-1.1299999999999999</v>
      </c>
      <c r="BF1862">
        <v>-1.93</v>
      </c>
      <c r="BG1862">
        <v>0.51</v>
      </c>
      <c r="BH1862">
        <v>-0.2</v>
      </c>
      <c r="BI1862">
        <v>20191030</v>
      </c>
      <c r="BJ1862">
        <v>20150611</v>
      </c>
      <c r="BK1862">
        <v>2.0499999999999998</v>
      </c>
      <c r="BL1862" t="s">
        <v>116</v>
      </c>
      <c r="BM1862" t="s">
        <v>116</v>
      </c>
      <c r="BN1862">
        <v>14.52</v>
      </c>
      <c r="BO1862">
        <v>4.6900000000000004</v>
      </c>
      <c r="BP1862">
        <v>0.61</v>
      </c>
      <c r="BQ1862">
        <v>63.53</v>
      </c>
      <c r="BR1862">
        <v>10.4</v>
      </c>
      <c r="BS1862">
        <v>0.12</v>
      </c>
      <c r="BT1862">
        <v>0.32</v>
      </c>
      <c r="BU1862">
        <v>7.23</v>
      </c>
      <c r="BV1862">
        <v>4.3499999999999996</v>
      </c>
      <c r="BW1862">
        <v>4.62</v>
      </c>
      <c r="BX1862">
        <v>0.54</v>
      </c>
      <c r="BY1862">
        <v>4.6500000000000004</v>
      </c>
      <c r="BZ1862">
        <v>3.06</v>
      </c>
      <c r="CA1862">
        <v>-0.03</v>
      </c>
      <c r="CB1862">
        <v>0</v>
      </c>
      <c r="CC1862">
        <v>-0.03</v>
      </c>
      <c r="CD1862">
        <v>-0.03</v>
      </c>
      <c r="CE1862">
        <v>0.01</v>
      </c>
      <c r="CF1862">
        <v>-0.1</v>
      </c>
      <c r="CG1862">
        <v>2.04</v>
      </c>
      <c r="CH1862">
        <v>-1.71</v>
      </c>
      <c r="CI1862">
        <v>-1.4</v>
      </c>
      <c r="CJ1862">
        <v>15653</v>
      </c>
      <c r="CK1862">
        <v>6211</v>
      </c>
      <c r="CL1862" t="s">
        <v>9374</v>
      </c>
      <c r="CM1862">
        <v>-91.63</v>
      </c>
      <c r="CN1862">
        <v>25.97</v>
      </c>
      <c r="CO1862">
        <v>6.89</v>
      </c>
      <c r="CP1862">
        <v>-18.93</v>
      </c>
      <c r="CQ1862">
        <v>6.95</v>
      </c>
      <c r="CR1862">
        <v>0.11</v>
      </c>
      <c r="CS1862" t="s">
        <v>350</v>
      </c>
      <c r="CT1862">
        <v>2.29</v>
      </c>
      <c r="CU1862">
        <v>0</v>
      </c>
      <c r="CV1862">
        <v>0.26</v>
      </c>
      <c r="CW1862">
        <v>0.99</v>
      </c>
      <c r="CX1862">
        <v>-0.83</v>
      </c>
      <c r="CY1862">
        <v>32.299999999999997</v>
      </c>
      <c r="CZ1862" t="s">
        <v>9375</v>
      </c>
      <c r="DA1862">
        <v>34.229999999999997</v>
      </c>
      <c r="DB1862">
        <v>-0.71</v>
      </c>
      <c r="DC1862">
        <v>0.13</v>
      </c>
      <c r="DD1862">
        <v>0.46</v>
      </c>
      <c r="DE1862">
        <v>1736</v>
      </c>
      <c r="DF1862">
        <v>300469</v>
      </c>
      <c r="DG1862" t="s">
        <v>116</v>
      </c>
      <c r="DH1862" t="s">
        <v>116</v>
      </c>
      <c r="DI1862" t="s">
        <v>116</v>
      </c>
    </row>
    <row r="1863" spans="1:113" x14ac:dyDescent="0.4">
      <c r="A1863" t="str">
        <f>"300470"</f>
        <v>300470</v>
      </c>
      <c r="B1863" t="s">
        <v>9376</v>
      </c>
      <c r="C1863">
        <v>3.44</v>
      </c>
      <c r="D1863">
        <v>27.1</v>
      </c>
      <c r="E1863">
        <v>0.9</v>
      </c>
      <c r="F1863">
        <v>27.09</v>
      </c>
      <c r="G1863">
        <v>27.1</v>
      </c>
      <c r="H1863">
        <v>35917</v>
      </c>
      <c r="I1863">
        <v>436</v>
      </c>
      <c r="J1863">
        <v>0</v>
      </c>
      <c r="K1863">
        <v>2</v>
      </c>
      <c r="L1863">
        <v>26.13</v>
      </c>
      <c r="M1863">
        <v>27.18</v>
      </c>
      <c r="N1863">
        <v>26.11</v>
      </c>
      <c r="O1863">
        <v>26.2</v>
      </c>
      <c r="P1863">
        <v>25.36</v>
      </c>
      <c r="Q1863">
        <v>96369024</v>
      </c>
      <c r="R1863">
        <v>2.14</v>
      </c>
      <c r="S1863" t="s">
        <v>996</v>
      </c>
      <c r="T1863" t="s">
        <v>582</v>
      </c>
      <c r="U1863">
        <v>4.08</v>
      </c>
      <c r="V1863">
        <v>26.83</v>
      </c>
      <c r="W1863">
        <v>15653</v>
      </c>
      <c r="X1863">
        <v>20264</v>
      </c>
      <c r="Y1863">
        <v>0.77</v>
      </c>
      <c r="Z1863">
        <v>11</v>
      </c>
      <c r="AA1863">
        <v>248</v>
      </c>
      <c r="AB1863" t="s">
        <v>116</v>
      </c>
      <c r="AC1863">
        <v>15700</v>
      </c>
      <c r="AD1863">
        <v>0</v>
      </c>
      <c r="AE1863" t="s">
        <v>116</v>
      </c>
      <c r="AF1863" t="s">
        <v>116</v>
      </c>
      <c r="AG1863">
        <v>1.8</v>
      </c>
      <c r="AH1863" t="s">
        <v>9377</v>
      </c>
      <c r="AI1863" t="s">
        <v>9378</v>
      </c>
      <c r="AJ1863">
        <v>4.1100000000000003</v>
      </c>
      <c r="AK1863">
        <v>1679</v>
      </c>
      <c r="AL1863">
        <v>21</v>
      </c>
      <c r="AM1863">
        <v>1.1999999999999999E-3</v>
      </c>
      <c r="AN1863">
        <v>1</v>
      </c>
      <c r="AO1863">
        <v>4.16</v>
      </c>
      <c r="AP1863">
        <v>11.52</v>
      </c>
      <c r="AQ1863">
        <v>0.86</v>
      </c>
      <c r="AR1863">
        <v>22.74</v>
      </c>
      <c r="AS1863">
        <v>2.75</v>
      </c>
      <c r="AT1863" t="s">
        <v>9379</v>
      </c>
      <c r="AU1863">
        <v>26.06</v>
      </c>
      <c r="AV1863">
        <v>31.28</v>
      </c>
      <c r="AW1863">
        <v>0.89</v>
      </c>
      <c r="BA1863">
        <v>-0.27</v>
      </c>
      <c r="BB1863">
        <v>3.74</v>
      </c>
      <c r="BC1863">
        <v>-0.34</v>
      </c>
      <c r="BD1863">
        <v>2.41</v>
      </c>
      <c r="BE1863">
        <v>3.71</v>
      </c>
      <c r="BF1863">
        <v>-0.28999999999999998</v>
      </c>
      <c r="BG1863">
        <v>3.79</v>
      </c>
      <c r="BH1863">
        <v>1.03</v>
      </c>
      <c r="BI1863">
        <v>20191210</v>
      </c>
      <c r="BJ1863">
        <v>20150612</v>
      </c>
      <c r="BK1863">
        <v>1.97</v>
      </c>
      <c r="BL1863" t="s">
        <v>116</v>
      </c>
      <c r="BM1863" t="s">
        <v>116</v>
      </c>
      <c r="BN1863">
        <v>16.989999999999998</v>
      </c>
      <c r="BO1863">
        <v>12.65</v>
      </c>
      <c r="BP1863">
        <v>0.03</v>
      </c>
      <c r="BQ1863">
        <v>25.33</v>
      </c>
      <c r="BR1863">
        <v>12.43</v>
      </c>
      <c r="BS1863">
        <v>1.78</v>
      </c>
      <c r="BT1863">
        <v>1.24</v>
      </c>
      <c r="BU1863">
        <v>2.83</v>
      </c>
      <c r="BV1863">
        <v>2.42</v>
      </c>
      <c r="BW1863">
        <v>4.3499999999999996</v>
      </c>
      <c r="BX1863">
        <v>3.79</v>
      </c>
      <c r="BY1863">
        <v>6.76</v>
      </c>
      <c r="BZ1863">
        <v>3.14</v>
      </c>
      <c r="CA1863">
        <v>1.81</v>
      </c>
      <c r="CB1863">
        <v>0</v>
      </c>
      <c r="CC1863">
        <v>1.84</v>
      </c>
      <c r="CD1863">
        <v>1.58</v>
      </c>
      <c r="CE1863">
        <v>1.58</v>
      </c>
      <c r="CF1863">
        <v>1.56</v>
      </c>
      <c r="CG1863">
        <v>6.66</v>
      </c>
      <c r="CH1863">
        <v>0.56000000000000005</v>
      </c>
      <c r="CI1863">
        <v>0.6</v>
      </c>
      <c r="CJ1863">
        <v>9012</v>
      </c>
      <c r="CK1863">
        <v>14515</v>
      </c>
      <c r="CL1863" t="s">
        <v>9380</v>
      </c>
      <c r="CM1863">
        <v>27.66</v>
      </c>
      <c r="CN1863">
        <v>32.200000000000003</v>
      </c>
      <c r="CO1863">
        <v>4.21</v>
      </c>
      <c r="CP1863">
        <v>95.43</v>
      </c>
      <c r="CQ1863">
        <v>7.89</v>
      </c>
      <c r="CR1863">
        <v>0.63</v>
      </c>
      <c r="CS1863" t="s">
        <v>9381</v>
      </c>
      <c r="CT1863">
        <v>6.43</v>
      </c>
      <c r="CU1863">
        <v>0</v>
      </c>
      <c r="CV1863">
        <v>1.93</v>
      </c>
      <c r="CW1863">
        <v>3.38</v>
      </c>
      <c r="CX1863">
        <v>0.28000000000000003</v>
      </c>
      <c r="CY1863">
        <v>74.48</v>
      </c>
      <c r="CZ1863" t="s">
        <v>2815</v>
      </c>
      <c r="DA1863">
        <v>53.54</v>
      </c>
      <c r="DB1863">
        <v>26.83</v>
      </c>
      <c r="DC1863">
        <v>23.33</v>
      </c>
      <c r="DD1863">
        <v>0.3</v>
      </c>
      <c r="DE1863">
        <v>1061</v>
      </c>
      <c r="DF1863">
        <v>300470</v>
      </c>
      <c r="DG1863" t="s">
        <v>116</v>
      </c>
      <c r="DH1863" t="s">
        <v>116</v>
      </c>
      <c r="DI1863" t="s">
        <v>116</v>
      </c>
    </row>
    <row r="1864" spans="1:113" x14ac:dyDescent="0.4">
      <c r="A1864" t="str">
        <f>"300471"</f>
        <v>300471</v>
      </c>
      <c r="B1864" t="s">
        <v>9382</v>
      </c>
      <c r="C1864">
        <v>-3.15</v>
      </c>
      <c r="D1864">
        <v>9.2100000000000009</v>
      </c>
      <c r="E1864">
        <v>-0.3</v>
      </c>
      <c r="F1864">
        <v>9.2100000000000009</v>
      </c>
      <c r="G1864">
        <v>9.2200000000000006</v>
      </c>
      <c r="H1864">
        <v>123175</v>
      </c>
      <c r="I1864">
        <v>2133</v>
      </c>
      <c r="J1864">
        <v>-0.21</v>
      </c>
      <c r="K1864">
        <v>4.53</v>
      </c>
      <c r="L1864">
        <v>9.4700000000000006</v>
      </c>
      <c r="M1864">
        <v>9.6</v>
      </c>
      <c r="N1864">
        <v>9.2100000000000009</v>
      </c>
      <c r="O1864">
        <v>9.51</v>
      </c>
      <c r="P1864">
        <v>784.66</v>
      </c>
      <c r="Q1864">
        <v>115305288</v>
      </c>
      <c r="R1864">
        <v>1.19</v>
      </c>
      <c r="S1864" t="s">
        <v>682</v>
      </c>
      <c r="T1864" t="s">
        <v>582</v>
      </c>
      <c r="U1864">
        <v>4.0999999999999996</v>
      </c>
      <c r="V1864">
        <v>9.36</v>
      </c>
      <c r="W1864">
        <v>76995</v>
      </c>
      <c r="X1864">
        <v>46180</v>
      </c>
      <c r="Y1864">
        <v>1.67</v>
      </c>
      <c r="Z1864">
        <v>562</v>
      </c>
      <c r="AA1864">
        <v>309</v>
      </c>
      <c r="AB1864" t="s">
        <v>116</v>
      </c>
      <c r="AC1864">
        <v>656300</v>
      </c>
      <c r="AD1864">
        <v>0.04</v>
      </c>
      <c r="AE1864" t="s">
        <v>116</v>
      </c>
      <c r="AF1864" t="s">
        <v>116</v>
      </c>
      <c r="AG1864">
        <v>2.72</v>
      </c>
      <c r="AH1864" t="s">
        <v>1878</v>
      </c>
      <c r="AI1864" t="s">
        <v>9383</v>
      </c>
      <c r="AJ1864">
        <v>-2.48</v>
      </c>
      <c r="AK1864">
        <v>2625</v>
      </c>
      <c r="AL1864">
        <v>47</v>
      </c>
      <c r="AM1864">
        <v>1.6999999999999999E-3</v>
      </c>
      <c r="AN1864">
        <v>-1</v>
      </c>
      <c r="AO1864">
        <v>0.12</v>
      </c>
      <c r="AP1864">
        <v>5.26</v>
      </c>
      <c r="AQ1864">
        <v>5.26</v>
      </c>
      <c r="AR1864">
        <v>69.3</v>
      </c>
      <c r="AS1864">
        <v>7.13</v>
      </c>
      <c r="AT1864" t="s">
        <v>9263</v>
      </c>
      <c r="AU1864" t="s">
        <v>116</v>
      </c>
      <c r="AV1864" t="s">
        <v>116</v>
      </c>
      <c r="AW1864">
        <v>1.5</v>
      </c>
      <c r="BA1864">
        <v>-0.42</v>
      </c>
      <c r="BB1864">
        <v>0.95</v>
      </c>
      <c r="BC1864">
        <v>-3.15</v>
      </c>
      <c r="BD1864">
        <v>-1.57</v>
      </c>
      <c r="BE1864">
        <v>-2.75</v>
      </c>
      <c r="BF1864">
        <v>-4.0599999999999996</v>
      </c>
      <c r="BG1864">
        <v>0</v>
      </c>
      <c r="BH1864">
        <v>-1.59</v>
      </c>
      <c r="BI1864">
        <v>20191022</v>
      </c>
      <c r="BJ1864">
        <v>20150611</v>
      </c>
      <c r="BK1864">
        <v>3.65</v>
      </c>
      <c r="BL1864" t="s">
        <v>116</v>
      </c>
      <c r="BM1864" t="s">
        <v>116</v>
      </c>
      <c r="BN1864">
        <v>18.760000000000002</v>
      </c>
      <c r="BO1864">
        <v>12.05</v>
      </c>
      <c r="BP1864">
        <v>0.33</v>
      </c>
      <c r="BQ1864">
        <v>33.979999999999997</v>
      </c>
      <c r="BR1864">
        <v>7.44</v>
      </c>
      <c r="BS1864">
        <v>7.52</v>
      </c>
      <c r="BT1864">
        <v>0.32</v>
      </c>
      <c r="BU1864">
        <v>6.21</v>
      </c>
      <c r="BV1864">
        <v>2.89</v>
      </c>
      <c r="BW1864">
        <v>2.14</v>
      </c>
      <c r="BX1864">
        <v>6.73</v>
      </c>
      <c r="BY1864">
        <v>3.05</v>
      </c>
      <c r="BZ1864">
        <v>2.14</v>
      </c>
      <c r="CA1864">
        <v>0.03</v>
      </c>
      <c r="CB1864">
        <v>0.02</v>
      </c>
      <c r="CC1864">
        <v>0.04</v>
      </c>
      <c r="CD1864">
        <v>0.01</v>
      </c>
      <c r="CE1864">
        <v>0.03</v>
      </c>
      <c r="CF1864">
        <v>-0.18</v>
      </c>
      <c r="CG1864">
        <v>0.74</v>
      </c>
      <c r="CH1864">
        <v>1.48</v>
      </c>
      <c r="CI1864">
        <v>0.2</v>
      </c>
      <c r="CJ1864">
        <v>32013</v>
      </c>
      <c r="CK1864">
        <v>5396</v>
      </c>
      <c r="CL1864" t="s">
        <v>8013</v>
      </c>
      <c r="CM1864">
        <v>102.11</v>
      </c>
      <c r="CN1864">
        <v>17.87</v>
      </c>
      <c r="CO1864">
        <v>2.79</v>
      </c>
      <c r="CP1864">
        <v>22.62</v>
      </c>
      <c r="CQ1864">
        <v>11.01</v>
      </c>
      <c r="CR1864">
        <v>0</v>
      </c>
      <c r="CS1864" t="s">
        <v>930</v>
      </c>
      <c r="CT1864">
        <v>3.31</v>
      </c>
      <c r="CU1864">
        <v>0</v>
      </c>
      <c r="CV1864">
        <v>1.85</v>
      </c>
      <c r="CW1864">
        <v>0.2</v>
      </c>
      <c r="CX1864">
        <v>0.41</v>
      </c>
      <c r="CY1864">
        <v>64.25</v>
      </c>
      <c r="CZ1864" t="s">
        <v>6969</v>
      </c>
      <c r="DA1864">
        <v>29.77</v>
      </c>
      <c r="DB1864">
        <v>1.1200000000000001</v>
      </c>
      <c r="DC1864">
        <v>1.05</v>
      </c>
      <c r="DD1864">
        <v>0.15</v>
      </c>
      <c r="DE1864">
        <v>823</v>
      </c>
      <c r="DF1864">
        <v>300471</v>
      </c>
      <c r="DG1864" t="s">
        <v>116</v>
      </c>
      <c r="DH1864" t="s">
        <v>116</v>
      </c>
      <c r="DI1864" t="s">
        <v>116</v>
      </c>
    </row>
    <row r="1865" spans="1:113" x14ac:dyDescent="0.4">
      <c r="A1865" t="str">
        <f>"300472"</f>
        <v>300472</v>
      </c>
      <c r="B1865" t="s">
        <v>9384</v>
      </c>
      <c r="C1865">
        <v>-0.68</v>
      </c>
      <c r="D1865">
        <v>13.16</v>
      </c>
      <c r="E1865">
        <v>-0.09</v>
      </c>
      <c r="F1865">
        <v>13.12</v>
      </c>
      <c r="G1865">
        <v>13.16</v>
      </c>
      <c r="H1865">
        <v>33502</v>
      </c>
      <c r="I1865">
        <v>2933</v>
      </c>
      <c r="J1865">
        <v>1.1499999999999999</v>
      </c>
      <c r="K1865">
        <v>2.0499999999999998</v>
      </c>
      <c r="L1865">
        <v>13.18</v>
      </c>
      <c r="M1865">
        <v>13.25</v>
      </c>
      <c r="N1865">
        <v>12.9</v>
      </c>
      <c r="O1865">
        <v>13.25</v>
      </c>
      <c r="P1865">
        <v>81.38</v>
      </c>
      <c r="Q1865">
        <v>43851620</v>
      </c>
      <c r="R1865">
        <v>1.1399999999999999</v>
      </c>
      <c r="S1865" t="s">
        <v>682</v>
      </c>
      <c r="T1865" t="s">
        <v>165</v>
      </c>
      <c r="U1865">
        <v>2.64</v>
      </c>
      <c r="V1865">
        <v>13.09</v>
      </c>
      <c r="W1865">
        <v>16913</v>
      </c>
      <c r="X1865">
        <v>16589</v>
      </c>
      <c r="Y1865">
        <v>1.02</v>
      </c>
      <c r="Z1865">
        <v>39</v>
      </c>
      <c r="AA1865">
        <v>340</v>
      </c>
      <c r="AB1865" t="s">
        <v>116</v>
      </c>
      <c r="AC1865">
        <v>104100</v>
      </c>
      <c r="AD1865">
        <v>0.01</v>
      </c>
      <c r="AE1865" t="s">
        <v>116</v>
      </c>
      <c r="AF1865" t="s">
        <v>116</v>
      </c>
      <c r="AG1865">
        <v>1.63</v>
      </c>
      <c r="AH1865" t="s">
        <v>5044</v>
      </c>
      <c r="AI1865" t="s">
        <v>9385</v>
      </c>
      <c r="AJ1865">
        <v>0</v>
      </c>
      <c r="AK1865">
        <v>1055</v>
      </c>
      <c r="AL1865">
        <v>32</v>
      </c>
      <c r="AM1865">
        <v>1.9E-3</v>
      </c>
      <c r="AN1865">
        <v>-1</v>
      </c>
      <c r="AO1865">
        <v>-2.59</v>
      </c>
      <c r="AP1865">
        <v>-3.59</v>
      </c>
      <c r="AQ1865">
        <v>-2.08</v>
      </c>
      <c r="AR1865">
        <v>55.97</v>
      </c>
      <c r="AS1865">
        <v>2.4900000000000002</v>
      </c>
      <c r="AT1865" t="s">
        <v>7247</v>
      </c>
      <c r="AU1865">
        <v>36.5</v>
      </c>
      <c r="AV1865">
        <v>39.24</v>
      </c>
      <c r="AW1865">
        <v>0.17</v>
      </c>
      <c r="BA1865">
        <v>-0.53</v>
      </c>
      <c r="BB1865">
        <v>0</v>
      </c>
      <c r="BC1865">
        <v>-2.64</v>
      </c>
      <c r="BD1865">
        <v>-1.21</v>
      </c>
      <c r="BE1865">
        <v>-0.15</v>
      </c>
      <c r="BF1865">
        <v>-0.68</v>
      </c>
      <c r="BG1865">
        <v>2.02</v>
      </c>
      <c r="BH1865">
        <v>0.53</v>
      </c>
      <c r="BI1865">
        <v>20191030</v>
      </c>
      <c r="BJ1865">
        <v>20150611</v>
      </c>
      <c r="BK1865">
        <v>2.09</v>
      </c>
      <c r="BL1865" t="s">
        <v>116</v>
      </c>
      <c r="BM1865" t="s">
        <v>116</v>
      </c>
      <c r="BN1865">
        <v>15.76</v>
      </c>
      <c r="BO1865">
        <v>11.46</v>
      </c>
      <c r="BP1865">
        <v>0.23</v>
      </c>
      <c r="BQ1865">
        <v>25.83</v>
      </c>
      <c r="BR1865">
        <v>6.73</v>
      </c>
      <c r="BS1865">
        <v>1.72</v>
      </c>
      <c r="BT1865">
        <v>0.43</v>
      </c>
      <c r="BU1865">
        <v>3.92</v>
      </c>
      <c r="BV1865">
        <v>1.66</v>
      </c>
      <c r="BW1865">
        <v>3.9</v>
      </c>
      <c r="BX1865">
        <v>7.11</v>
      </c>
      <c r="BY1865">
        <v>3.02</v>
      </c>
      <c r="BZ1865">
        <v>1.84</v>
      </c>
      <c r="CA1865">
        <v>0.38</v>
      </c>
      <c r="CB1865">
        <v>0</v>
      </c>
      <c r="CC1865">
        <v>0.38</v>
      </c>
      <c r="CD1865">
        <v>0.3</v>
      </c>
      <c r="CE1865">
        <v>0.25</v>
      </c>
      <c r="CF1865">
        <v>0.21</v>
      </c>
      <c r="CG1865">
        <v>2.06</v>
      </c>
      <c r="CH1865">
        <v>0.11</v>
      </c>
      <c r="CI1865">
        <v>-0.28000000000000003</v>
      </c>
      <c r="CJ1865">
        <v>7312</v>
      </c>
      <c r="CK1865">
        <v>18425</v>
      </c>
      <c r="CL1865" t="s">
        <v>9386</v>
      </c>
      <c r="CM1865">
        <v>26.22</v>
      </c>
      <c r="CN1865">
        <v>-11.7</v>
      </c>
      <c r="CO1865">
        <v>2.4</v>
      </c>
      <c r="CP1865">
        <v>247.25</v>
      </c>
      <c r="CQ1865">
        <v>9.11</v>
      </c>
      <c r="CR1865">
        <v>0.53</v>
      </c>
      <c r="CS1865" t="s">
        <v>6965</v>
      </c>
      <c r="CT1865">
        <v>5.49</v>
      </c>
      <c r="CU1865">
        <v>0</v>
      </c>
      <c r="CV1865">
        <v>3.41</v>
      </c>
      <c r="CW1865">
        <v>0.99</v>
      </c>
      <c r="CX1865">
        <v>0.05</v>
      </c>
      <c r="CY1865">
        <v>72.69</v>
      </c>
      <c r="CZ1865" t="s">
        <v>1585</v>
      </c>
      <c r="DA1865">
        <v>38.979999999999997</v>
      </c>
      <c r="DB1865">
        <v>12.55</v>
      </c>
      <c r="DC1865">
        <v>8.39</v>
      </c>
      <c r="DD1865">
        <v>0.21</v>
      </c>
      <c r="DE1865">
        <v>751</v>
      </c>
      <c r="DF1865">
        <v>300472</v>
      </c>
      <c r="DG1865" t="s">
        <v>116</v>
      </c>
      <c r="DH1865" t="s">
        <v>116</v>
      </c>
      <c r="DI1865" t="s">
        <v>116</v>
      </c>
    </row>
    <row r="1866" spans="1:113" x14ac:dyDescent="0.4">
      <c r="A1866" t="str">
        <f>"300473"</f>
        <v>300473</v>
      </c>
      <c r="B1866" t="s">
        <v>9387</v>
      </c>
      <c r="C1866">
        <v>-0.53</v>
      </c>
      <c r="D1866">
        <v>44.74</v>
      </c>
      <c r="E1866">
        <v>-0.24</v>
      </c>
      <c r="F1866">
        <v>44.7</v>
      </c>
      <c r="G1866">
        <v>44.74</v>
      </c>
      <c r="H1866">
        <v>16384</v>
      </c>
      <c r="I1866">
        <v>261</v>
      </c>
      <c r="J1866">
        <v>0.02</v>
      </c>
      <c r="K1866">
        <v>1.54</v>
      </c>
      <c r="L1866">
        <v>44.8</v>
      </c>
      <c r="M1866">
        <v>45.05</v>
      </c>
      <c r="N1866">
        <v>44.52</v>
      </c>
      <c r="O1866">
        <v>44.98</v>
      </c>
      <c r="P1866">
        <v>64.48</v>
      </c>
      <c r="Q1866">
        <v>73403080</v>
      </c>
      <c r="R1866">
        <v>0.98</v>
      </c>
      <c r="S1866" t="s">
        <v>293</v>
      </c>
      <c r="T1866" t="s">
        <v>434</v>
      </c>
      <c r="U1866">
        <v>1.18</v>
      </c>
      <c r="V1866">
        <v>44.8</v>
      </c>
      <c r="W1866">
        <v>10359</v>
      </c>
      <c r="X1866">
        <v>6025</v>
      </c>
      <c r="Y1866">
        <v>1.72</v>
      </c>
      <c r="Z1866">
        <v>61</v>
      </c>
      <c r="AA1866">
        <v>129</v>
      </c>
      <c r="AB1866" t="s">
        <v>116</v>
      </c>
      <c r="AC1866">
        <v>74100</v>
      </c>
      <c r="AD1866">
        <v>0</v>
      </c>
      <c r="AE1866" t="s">
        <v>116</v>
      </c>
      <c r="AF1866" t="s">
        <v>116</v>
      </c>
      <c r="AG1866">
        <v>1.06</v>
      </c>
      <c r="AH1866" t="s">
        <v>9388</v>
      </c>
      <c r="AI1866" t="s">
        <v>8534</v>
      </c>
      <c r="AJ1866">
        <v>0.15</v>
      </c>
      <c r="AK1866">
        <v>1146</v>
      </c>
      <c r="AL1866">
        <v>14</v>
      </c>
      <c r="AM1866">
        <v>1.2999999999999999E-3</v>
      </c>
      <c r="AN1866">
        <v>-2</v>
      </c>
      <c r="AO1866">
        <v>-0.8</v>
      </c>
      <c r="AP1866">
        <v>15.04</v>
      </c>
      <c r="AQ1866">
        <v>31.36</v>
      </c>
      <c r="AR1866">
        <v>33.99</v>
      </c>
      <c r="AS1866">
        <v>3.31</v>
      </c>
      <c r="AT1866" t="s">
        <v>1226</v>
      </c>
      <c r="AU1866">
        <v>115.7</v>
      </c>
      <c r="AV1866">
        <v>36.549999999999997</v>
      </c>
      <c r="AW1866">
        <v>0.7</v>
      </c>
      <c r="BA1866">
        <v>-0.4</v>
      </c>
      <c r="BB1866">
        <v>0.16</v>
      </c>
      <c r="BC1866">
        <v>-1.02</v>
      </c>
      <c r="BD1866">
        <v>-0.39</v>
      </c>
      <c r="BE1866">
        <v>-0.13</v>
      </c>
      <c r="BF1866">
        <v>-0.69</v>
      </c>
      <c r="BG1866">
        <v>0.49</v>
      </c>
      <c r="BH1866">
        <v>-0.14000000000000001</v>
      </c>
      <c r="BI1866">
        <v>20191216</v>
      </c>
      <c r="BJ1866">
        <v>20150612</v>
      </c>
      <c r="BK1866">
        <v>1.1000000000000001</v>
      </c>
      <c r="BL1866" t="s">
        <v>116</v>
      </c>
      <c r="BM1866" t="s">
        <v>116</v>
      </c>
      <c r="BN1866">
        <v>47.56</v>
      </c>
      <c r="BO1866">
        <v>20.22</v>
      </c>
      <c r="BP1866">
        <v>0.19</v>
      </c>
      <c r="BQ1866">
        <v>57.1</v>
      </c>
      <c r="BR1866">
        <v>18.940000000000001</v>
      </c>
      <c r="BS1866">
        <v>9.6199999999999992</v>
      </c>
      <c r="BT1866">
        <v>3.12</v>
      </c>
      <c r="BU1866">
        <v>12.09</v>
      </c>
      <c r="BV1866">
        <v>7.06</v>
      </c>
      <c r="BW1866">
        <v>6.41</v>
      </c>
      <c r="BX1866">
        <v>12.5</v>
      </c>
      <c r="BY1866">
        <v>28.64</v>
      </c>
      <c r="BZ1866">
        <v>21.23</v>
      </c>
      <c r="CA1866">
        <v>1.34</v>
      </c>
      <c r="CB1866">
        <v>0</v>
      </c>
      <c r="CC1866">
        <v>1.35</v>
      </c>
      <c r="CD1866">
        <v>0.57999999999999996</v>
      </c>
      <c r="CE1866">
        <v>0.56999999999999995</v>
      </c>
      <c r="CF1866">
        <v>0.53</v>
      </c>
      <c r="CG1866">
        <v>5.26</v>
      </c>
      <c r="CH1866">
        <v>1.33</v>
      </c>
      <c r="CI1866">
        <v>-1.72</v>
      </c>
      <c r="CJ1866">
        <v>9142</v>
      </c>
      <c r="CK1866">
        <v>5420</v>
      </c>
      <c r="CL1866" t="s">
        <v>9386</v>
      </c>
      <c r="CM1866">
        <v>-61.67</v>
      </c>
      <c r="CN1866">
        <v>2.2000000000000002</v>
      </c>
      <c r="CO1866">
        <v>2.4500000000000002</v>
      </c>
      <c r="CP1866">
        <v>37</v>
      </c>
      <c r="CQ1866">
        <v>1.71</v>
      </c>
      <c r="CR1866">
        <v>0.64</v>
      </c>
      <c r="CS1866" t="s">
        <v>9389</v>
      </c>
      <c r="CT1866">
        <v>18.25</v>
      </c>
      <c r="CU1866">
        <v>18.25</v>
      </c>
      <c r="CV1866">
        <v>11.41</v>
      </c>
      <c r="CW1866">
        <v>4.8</v>
      </c>
      <c r="CX1866">
        <v>1.21</v>
      </c>
      <c r="CY1866">
        <v>42.51</v>
      </c>
      <c r="CZ1866" t="s">
        <v>485</v>
      </c>
      <c r="DA1866">
        <v>25.86</v>
      </c>
      <c r="DB1866">
        <v>4.7</v>
      </c>
      <c r="DC1866">
        <v>1.99</v>
      </c>
      <c r="DD1866">
        <v>1.2</v>
      </c>
      <c r="DE1866">
        <v>5020</v>
      </c>
      <c r="DF1866">
        <v>300473</v>
      </c>
      <c r="DG1866" t="s">
        <v>116</v>
      </c>
      <c r="DH1866" t="s">
        <v>116</v>
      </c>
      <c r="DI1866" t="s">
        <v>116</v>
      </c>
    </row>
    <row r="1867" spans="1:113" x14ac:dyDescent="0.4">
      <c r="A1867" t="str">
        <f>"300474"</f>
        <v>300474</v>
      </c>
      <c r="B1867" t="s">
        <v>9390</v>
      </c>
      <c r="C1867">
        <v>-3.76</v>
      </c>
      <c r="D1867">
        <v>58.32</v>
      </c>
      <c r="E1867">
        <v>-2.2799999999999998</v>
      </c>
      <c r="F1867">
        <v>58.32</v>
      </c>
      <c r="G1867">
        <v>58.33</v>
      </c>
      <c r="H1867">
        <v>65743</v>
      </c>
      <c r="I1867">
        <v>855</v>
      </c>
      <c r="J1867">
        <v>-0.14000000000000001</v>
      </c>
      <c r="K1867">
        <v>4.59</v>
      </c>
      <c r="L1867">
        <v>60.4</v>
      </c>
      <c r="M1867">
        <v>61.36</v>
      </c>
      <c r="N1867">
        <v>58.31</v>
      </c>
      <c r="O1867">
        <v>60.6</v>
      </c>
      <c r="P1867">
        <v>107.08</v>
      </c>
      <c r="Q1867">
        <v>393009344</v>
      </c>
      <c r="R1867">
        <v>0.86</v>
      </c>
      <c r="S1867" t="s">
        <v>233</v>
      </c>
      <c r="T1867" t="s">
        <v>599</v>
      </c>
      <c r="U1867">
        <v>5.03</v>
      </c>
      <c r="V1867">
        <v>59.78</v>
      </c>
      <c r="W1867">
        <v>38125</v>
      </c>
      <c r="X1867">
        <v>27618</v>
      </c>
      <c r="Y1867">
        <v>1.38</v>
      </c>
      <c r="Z1867">
        <v>33</v>
      </c>
      <c r="AA1867">
        <v>137</v>
      </c>
      <c r="AB1867" t="s">
        <v>116</v>
      </c>
      <c r="AC1867">
        <v>585900</v>
      </c>
      <c r="AD1867">
        <v>0.01</v>
      </c>
      <c r="AE1867" t="s">
        <v>116</v>
      </c>
      <c r="AF1867" t="s">
        <v>116</v>
      </c>
      <c r="AG1867">
        <v>1.43</v>
      </c>
      <c r="AH1867" t="s">
        <v>7372</v>
      </c>
      <c r="AI1867" t="s">
        <v>9391</v>
      </c>
      <c r="AJ1867">
        <v>-3.08</v>
      </c>
      <c r="AK1867">
        <v>3381</v>
      </c>
      <c r="AL1867">
        <v>19</v>
      </c>
      <c r="AM1867">
        <v>1.4E-3</v>
      </c>
      <c r="AN1867">
        <v>-1</v>
      </c>
      <c r="AO1867">
        <v>-0.56000000000000005</v>
      </c>
      <c r="AP1867">
        <v>2.3199999999999998</v>
      </c>
      <c r="AQ1867">
        <v>-0.49</v>
      </c>
      <c r="AR1867">
        <v>62.09</v>
      </c>
      <c r="AS1867">
        <v>5.91</v>
      </c>
      <c r="AT1867" t="s">
        <v>9392</v>
      </c>
      <c r="AU1867">
        <v>105.42</v>
      </c>
      <c r="AV1867">
        <v>123.48</v>
      </c>
      <c r="AW1867">
        <v>1.96</v>
      </c>
      <c r="BA1867">
        <v>-0.33</v>
      </c>
      <c r="BB1867">
        <v>1.25</v>
      </c>
      <c r="BC1867">
        <v>-3.78</v>
      </c>
      <c r="BD1867">
        <v>-1.35</v>
      </c>
      <c r="BE1867">
        <v>-3.44</v>
      </c>
      <c r="BF1867">
        <v>-4.95</v>
      </c>
      <c r="BG1867">
        <v>0.02</v>
      </c>
      <c r="BH1867">
        <v>-2.41</v>
      </c>
      <c r="BI1867">
        <v>20191204</v>
      </c>
      <c r="BJ1867">
        <v>20160331</v>
      </c>
      <c r="BK1867">
        <v>3.01</v>
      </c>
      <c r="BL1867" t="s">
        <v>116</v>
      </c>
      <c r="BM1867" t="s">
        <v>116</v>
      </c>
      <c r="BN1867">
        <v>25.4</v>
      </c>
      <c r="BO1867">
        <v>23.09</v>
      </c>
      <c r="BP1867">
        <v>0</v>
      </c>
      <c r="BQ1867">
        <v>9.08</v>
      </c>
      <c r="BR1867">
        <v>21.45</v>
      </c>
      <c r="BS1867">
        <v>2.16</v>
      </c>
      <c r="BT1867">
        <v>0.69</v>
      </c>
      <c r="BU1867">
        <v>1.88</v>
      </c>
      <c r="BV1867">
        <v>1.82</v>
      </c>
      <c r="BW1867">
        <v>5.05</v>
      </c>
      <c r="BX1867">
        <v>13.74</v>
      </c>
      <c r="BY1867">
        <v>3.85</v>
      </c>
      <c r="BZ1867">
        <v>0.97</v>
      </c>
      <c r="CA1867">
        <v>1.33</v>
      </c>
      <c r="CB1867">
        <v>0</v>
      </c>
      <c r="CC1867">
        <v>1.33</v>
      </c>
      <c r="CD1867">
        <v>1.23</v>
      </c>
      <c r="CE1867">
        <v>1.23</v>
      </c>
      <c r="CF1867">
        <v>1.1399999999999999</v>
      </c>
      <c r="CG1867">
        <v>5.77</v>
      </c>
      <c r="CH1867">
        <v>-0.94</v>
      </c>
      <c r="CI1867">
        <v>-1.88</v>
      </c>
      <c r="CJ1867">
        <v>18232</v>
      </c>
      <c r="CK1867">
        <v>6097</v>
      </c>
      <c r="CL1867" t="s">
        <v>9393</v>
      </c>
      <c r="CM1867">
        <v>24.71</v>
      </c>
      <c r="CN1867">
        <v>31.61</v>
      </c>
      <c r="CO1867">
        <v>7.61</v>
      </c>
      <c r="CP1867">
        <v>-187.59</v>
      </c>
      <c r="CQ1867">
        <v>45.59</v>
      </c>
      <c r="CR1867">
        <v>0.31</v>
      </c>
      <c r="CS1867" t="s">
        <v>9394</v>
      </c>
      <c r="CT1867">
        <v>7.67</v>
      </c>
      <c r="CU1867">
        <v>0</v>
      </c>
      <c r="CV1867">
        <v>4.5599999999999996</v>
      </c>
      <c r="CW1867">
        <v>1.91</v>
      </c>
      <c r="CX1867">
        <v>-0.31</v>
      </c>
      <c r="CY1867">
        <v>90.92</v>
      </c>
      <c r="CZ1867" t="s">
        <v>4153</v>
      </c>
      <c r="DA1867">
        <v>74.790000000000006</v>
      </c>
      <c r="DB1867">
        <v>34.58</v>
      </c>
      <c r="DC1867">
        <v>31.93</v>
      </c>
      <c r="DD1867">
        <v>0.81</v>
      </c>
      <c r="DE1867">
        <v>555</v>
      </c>
      <c r="DF1867">
        <v>300474</v>
      </c>
      <c r="DG1867" t="s">
        <v>116</v>
      </c>
      <c r="DH1867" t="s">
        <v>116</v>
      </c>
      <c r="DI1867" t="s">
        <v>116</v>
      </c>
    </row>
    <row r="1868" spans="1:113" x14ac:dyDescent="0.4">
      <c r="A1868" t="str">
        <f>"300475"</f>
        <v>300475</v>
      </c>
      <c r="B1868" t="s">
        <v>9395</v>
      </c>
      <c r="C1868">
        <v>-2.1</v>
      </c>
      <c r="D1868">
        <v>10.73</v>
      </c>
      <c r="E1868">
        <v>-0.23</v>
      </c>
      <c r="F1868">
        <v>10.72</v>
      </c>
      <c r="G1868">
        <v>10.73</v>
      </c>
      <c r="H1868">
        <v>11540</v>
      </c>
      <c r="I1868">
        <v>216</v>
      </c>
      <c r="J1868">
        <v>-0.36</v>
      </c>
      <c r="K1868">
        <v>0.6</v>
      </c>
      <c r="L1868">
        <v>10.99</v>
      </c>
      <c r="M1868">
        <v>11.01</v>
      </c>
      <c r="N1868">
        <v>10.73</v>
      </c>
      <c r="O1868">
        <v>10.96</v>
      </c>
      <c r="P1868">
        <v>44.47</v>
      </c>
      <c r="Q1868">
        <v>12558070</v>
      </c>
      <c r="R1868">
        <v>0.84</v>
      </c>
      <c r="S1868" t="s">
        <v>682</v>
      </c>
      <c r="T1868" t="s">
        <v>575</v>
      </c>
      <c r="U1868">
        <v>2.5499999999999998</v>
      </c>
      <c r="V1868">
        <v>10.88</v>
      </c>
      <c r="W1868">
        <v>7560</v>
      </c>
      <c r="X1868">
        <v>3980</v>
      </c>
      <c r="Y1868">
        <v>1.9</v>
      </c>
      <c r="Z1868">
        <v>15</v>
      </c>
      <c r="AA1868">
        <v>53</v>
      </c>
      <c r="AB1868" t="s">
        <v>116</v>
      </c>
      <c r="AC1868">
        <v>46200</v>
      </c>
      <c r="AD1868">
        <v>0</v>
      </c>
      <c r="AE1868" t="s">
        <v>116</v>
      </c>
      <c r="AF1868" t="s">
        <v>116</v>
      </c>
      <c r="AG1868">
        <v>1.94</v>
      </c>
      <c r="AH1868" t="s">
        <v>3803</v>
      </c>
      <c r="AI1868" t="s">
        <v>5772</v>
      </c>
      <c r="AJ1868">
        <v>-1.42</v>
      </c>
      <c r="AK1868">
        <v>783</v>
      </c>
      <c r="AL1868">
        <v>15</v>
      </c>
      <c r="AM1868">
        <v>8.0000000000000004E-4</v>
      </c>
      <c r="AN1868">
        <v>-1</v>
      </c>
      <c r="AO1868">
        <v>-2.64</v>
      </c>
      <c r="AP1868">
        <v>1.8</v>
      </c>
      <c r="AQ1868">
        <v>-5.32</v>
      </c>
      <c r="AR1868">
        <v>97.34</v>
      </c>
      <c r="AS1868">
        <v>1.33</v>
      </c>
      <c r="AT1868" t="s">
        <v>9396</v>
      </c>
      <c r="AU1868">
        <v>51.11</v>
      </c>
      <c r="AV1868">
        <v>96.33</v>
      </c>
      <c r="AW1868">
        <v>0.92</v>
      </c>
      <c r="BA1868">
        <v>0.27</v>
      </c>
      <c r="BB1868">
        <v>0.46</v>
      </c>
      <c r="BC1868">
        <v>-2.1</v>
      </c>
      <c r="BD1868">
        <v>-0.71</v>
      </c>
      <c r="BE1868">
        <v>-2.37</v>
      </c>
      <c r="BF1868">
        <v>-2.54</v>
      </c>
      <c r="BG1868">
        <v>0</v>
      </c>
      <c r="BH1868">
        <v>-1.39</v>
      </c>
      <c r="BI1868">
        <v>20191030</v>
      </c>
      <c r="BJ1868">
        <v>20150610</v>
      </c>
      <c r="BK1868">
        <v>3</v>
      </c>
      <c r="BL1868" t="s">
        <v>116</v>
      </c>
      <c r="BM1868" t="s">
        <v>116</v>
      </c>
      <c r="BN1868">
        <v>14.69</v>
      </c>
      <c r="BO1868">
        <v>12.73</v>
      </c>
      <c r="BP1868">
        <v>0.37</v>
      </c>
      <c r="BQ1868">
        <v>10.81</v>
      </c>
      <c r="BR1868">
        <v>12.73</v>
      </c>
      <c r="BS1868">
        <v>1.24</v>
      </c>
      <c r="BT1868">
        <v>0.35</v>
      </c>
      <c r="BU1868">
        <v>1.41</v>
      </c>
      <c r="BV1868">
        <v>0.56000000000000005</v>
      </c>
      <c r="BW1868">
        <v>0.5</v>
      </c>
      <c r="BX1868">
        <v>4.34</v>
      </c>
      <c r="BY1868">
        <v>2.15</v>
      </c>
      <c r="BZ1868">
        <v>1.38</v>
      </c>
      <c r="CA1868">
        <v>0.59</v>
      </c>
      <c r="CB1868">
        <v>0.24</v>
      </c>
      <c r="CC1868">
        <v>0.59</v>
      </c>
      <c r="CD1868">
        <v>0.51</v>
      </c>
      <c r="CE1868">
        <v>0.54</v>
      </c>
      <c r="CF1868">
        <v>0.28000000000000003</v>
      </c>
      <c r="CG1868">
        <v>5.82</v>
      </c>
      <c r="CH1868">
        <v>0.45</v>
      </c>
      <c r="CI1868">
        <v>0.22</v>
      </c>
      <c r="CJ1868">
        <v>11858</v>
      </c>
      <c r="CK1868">
        <v>7333</v>
      </c>
      <c r="CL1868" t="s">
        <v>4790</v>
      </c>
      <c r="CM1868">
        <v>119.61</v>
      </c>
      <c r="CN1868">
        <v>6.4</v>
      </c>
      <c r="CO1868">
        <v>2.5299999999999998</v>
      </c>
      <c r="CP1868">
        <v>70.77</v>
      </c>
      <c r="CQ1868">
        <v>14.97</v>
      </c>
      <c r="CR1868">
        <v>0.21</v>
      </c>
      <c r="CS1868" t="s">
        <v>5826</v>
      </c>
      <c r="CT1868">
        <v>4.24</v>
      </c>
      <c r="CU1868">
        <v>0</v>
      </c>
      <c r="CV1868">
        <v>1.45</v>
      </c>
      <c r="CW1868">
        <v>1.94</v>
      </c>
      <c r="CX1868">
        <v>0.15</v>
      </c>
      <c r="CY1868">
        <v>86.65</v>
      </c>
      <c r="CZ1868" t="s">
        <v>1183</v>
      </c>
      <c r="DA1868">
        <v>35.590000000000003</v>
      </c>
      <c r="DB1868">
        <v>27.52</v>
      </c>
      <c r="DC1868">
        <v>25.25</v>
      </c>
      <c r="DD1868">
        <v>0.12</v>
      </c>
      <c r="DE1868">
        <v>757</v>
      </c>
      <c r="DF1868">
        <v>300475</v>
      </c>
      <c r="DG1868" t="s">
        <v>116</v>
      </c>
      <c r="DH1868" t="s">
        <v>116</v>
      </c>
      <c r="DI1868" t="s">
        <v>116</v>
      </c>
    </row>
    <row r="1869" spans="1:113" x14ac:dyDescent="0.4">
      <c r="A1869" t="str">
        <f>"300476"</f>
        <v>300476</v>
      </c>
      <c r="B1869" t="s">
        <v>9397</v>
      </c>
      <c r="C1869">
        <v>-4.58</v>
      </c>
      <c r="D1869">
        <v>16.25</v>
      </c>
      <c r="E1869">
        <v>-0.78</v>
      </c>
      <c r="F1869">
        <v>16.25</v>
      </c>
      <c r="G1869">
        <v>16.28</v>
      </c>
      <c r="H1869">
        <v>195648</v>
      </c>
      <c r="I1869">
        <v>1577</v>
      </c>
      <c r="J1869">
        <v>0.56000000000000005</v>
      </c>
      <c r="K1869">
        <v>2.58</v>
      </c>
      <c r="L1869">
        <v>17.7</v>
      </c>
      <c r="M1869">
        <v>17.88</v>
      </c>
      <c r="N1869">
        <v>16.14</v>
      </c>
      <c r="O1869">
        <v>17.03</v>
      </c>
      <c r="P1869">
        <v>26.48</v>
      </c>
      <c r="Q1869">
        <v>329040576</v>
      </c>
      <c r="R1869">
        <v>1.56</v>
      </c>
      <c r="S1869" t="s">
        <v>233</v>
      </c>
      <c r="T1869" t="s">
        <v>551</v>
      </c>
      <c r="U1869">
        <v>10.220000000000001</v>
      </c>
      <c r="V1869">
        <v>16.82</v>
      </c>
      <c r="W1869">
        <v>111597</v>
      </c>
      <c r="X1869">
        <v>84051</v>
      </c>
      <c r="Y1869">
        <v>1.33</v>
      </c>
      <c r="Z1869">
        <v>155</v>
      </c>
      <c r="AA1869">
        <v>51</v>
      </c>
      <c r="AB1869" t="s">
        <v>116</v>
      </c>
      <c r="AC1869">
        <v>3603700</v>
      </c>
      <c r="AD1869">
        <v>0.05</v>
      </c>
      <c r="AE1869" t="s">
        <v>116</v>
      </c>
      <c r="AF1869" t="s">
        <v>116</v>
      </c>
      <c r="AG1869">
        <v>7.6</v>
      </c>
      <c r="AH1869" t="s">
        <v>9398</v>
      </c>
      <c r="AI1869" t="s">
        <v>9399</v>
      </c>
      <c r="AJ1869">
        <v>-3.9</v>
      </c>
      <c r="AK1869">
        <v>3392</v>
      </c>
      <c r="AL1869">
        <v>58</v>
      </c>
      <c r="AM1869">
        <v>8.0000000000000004E-4</v>
      </c>
      <c r="AN1869">
        <v>-2</v>
      </c>
      <c r="AO1869">
        <v>-1.27</v>
      </c>
      <c r="AP1869">
        <v>12.07</v>
      </c>
      <c r="AQ1869">
        <v>8.91</v>
      </c>
      <c r="AR1869">
        <v>40.909999999999997</v>
      </c>
      <c r="AS1869">
        <v>5.25</v>
      </c>
      <c r="AT1869" t="s">
        <v>7910</v>
      </c>
      <c r="AU1869">
        <v>30.22</v>
      </c>
      <c r="AV1869">
        <v>33.28</v>
      </c>
      <c r="AW1869">
        <v>1.78</v>
      </c>
      <c r="BA1869">
        <v>3.93</v>
      </c>
      <c r="BB1869">
        <v>4.99</v>
      </c>
      <c r="BC1869">
        <v>-5.23</v>
      </c>
      <c r="BD1869">
        <v>-1.25</v>
      </c>
      <c r="BE1869">
        <v>-8.19</v>
      </c>
      <c r="BF1869">
        <v>-9.1199999999999992</v>
      </c>
      <c r="BG1869">
        <v>0.68</v>
      </c>
      <c r="BH1869">
        <v>-3.34</v>
      </c>
      <c r="BI1869">
        <v>20191223</v>
      </c>
      <c r="BJ1869">
        <v>20150611</v>
      </c>
      <c r="BK1869">
        <v>7.79</v>
      </c>
      <c r="BL1869" t="s">
        <v>116</v>
      </c>
      <c r="BM1869" t="s">
        <v>116</v>
      </c>
      <c r="BN1869">
        <v>60.09</v>
      </c>
      <c r="BO1869">
        <v>32.03</v>
      </c>
      <c r="BP1869">
        <v>0</v>
      </c>
      <c r="BQ1869">
        <v>46.7</v>
      </c>
      <c r="BR1869">
        <v>26.42</v>
      </c>
      <c r="BS1869">
        <v>19.22</v>
      </c>
      <c r="BT1869">
        <v>0.24</v>
      </c>
      <c r="BU1869">
        <v>27.76</v>
      </c>
      <c r="BV1869">
        <v>5.58</v>
      </c>
      <c r="BW1869">
        <v>14.44</v>
      </c>
      <c r="BX1869">
        <v>13.03</v>
      </c>
      <c r="BY1869">
        <v>26.77</v>
      </c>
      <c r="BZ1869">
        <v>19.43</v>
      </c>
      <c r="CA1869">
        <v>4.25</v>
      </c>
      <c r="CB1869">
        <v>-0.1</v>
      </c>
      <c r="CC1869">
        <v>4.2300000000000004</v>
      </c>
      <c r="CD1869">
        <v>3.59</v>
      </c>
      <c r="CE1869">
        <v>3.59</v>
      </c>
      <c r="CF1869">
        <v>3.45</v>
      </c>
      <c r="CG1869">
        <v>10.51</v>
      </c>
      <c r="CH1869">
        <v>7.66</v>
      </c>
      <c r="CI1869">
        <v>-1.82</v>
      </c>
      <c r="CJ1869">
        <v>19039</v>
      </c>
      <c r="CK1869">
        <v>19560</v>
      </c>
      <c r="CL1869" t="s">
        <v>9400</v>
      </c>
      <c r="CM1869">
        <v>12.03</v>
      </c>
      <c r="CN1869">
        <v>11.33</v>
      </c>
      <c r="CO1869">
        <v>3.95</v>
      </c>
      <c r="CP1869">
        <v>16.53</v>
      </c>
      <c r="CQ1869">
        <v>4.7300000000000004</v>
      </c>
      <c r="CR1869">
        <v>1.03</v>
      </c>
      <c r="CS1869" t="s">
        <v>672</v>
      </c>
      <c r="CT1869">
        <v>4.1100000000000003</v>
      </c>
      <c r="CU1869">
        <v>0</v>
      </c>
      <c r="CV1869">
        <v>1.67</v>
      </c>
      <c r="CW1869">
        <v>1.35</v>
      </c>
      <c r="CX1869">
        <v>0.98</v>
      </c>
      <c r="CY1869">
        <v>53.3</v>
      </c>
      <c r="CZ1869" t="s">
        <v>6821</v>
      </c>
      <c r="DA1869">
        <v>27.41</v>
      </c>
      <c r="DB1869">
        <v>15.89</v>
      </c>
      <c r="DC1869">
        <v>13.4</v>
      </c>
      <c r="DD1869">
        <v>1.21</v>
      </c>
      <c r="DE1869">
        <v>5241</v>
      </c>
      <c r="DF1869">
        <v>300476</v>
      </c>
      <c r="DG1869" t="s">
        <v>116</v>
      </c>
      <c r="DH1869" t="s">
        <v>116</v>
      </c>
      <c r="DI1869" t="s">
        <v>116</v>
      </c>
    </row>
    <row r="1870" spans="1:113" x14ac:dyDescent="0.4">
      <c r="A1870" t="str">
        <f>"300477"</f>
        <v>300477</v>
      </c>
      <c r="B1870" t="s">
        <v>9401</v>
      </c>
      <c r="C1870">
        <v>1.64</v>
      </c>
      <c r="D1870">
        <v>7.43</v>
      </c>
      <c r="E1870">
        <v>0.12</v>
      </c>
      <c r="F1870">
        <v>7.43</v>
      </c>
      <c r="G1870">
        <v>7.44</v>
      </c>
      <c r="H1870">
        <v>191792</v>
      </c>
      <c r="I1870">
        <v>1479</v>
      </c>
      <c r="J1870">
        <v>-0.39</v>
      </c>
      <c r="K1870">
        <v>4</v>
      </c>
      <c r="L1870">
        <v>7.25</v>
      </c>
      <c r="M1870">
        <v>7.61</v>
      </c>
      <c r="N1870">
        <v>7.25</v>
      </c>
      <c r="O1870">
        <v>7.31</v>
      </c>
      <c r="P1870">
        <v>97.75</v>
      </c>
      <c r="Q1870">
        <v>143242000</v>
      </c>
      <c r="R1870">
        <v>1.17</v>
      </c>
      <c r="S1870" t="s">
        <v>397</v>
      </c>
      <c r="T1870" t="s">
        <v>165</v>
      </c>
      <c r="U1870">
        <v>4.92</v>
      </c>
      <c r="V1870">
        <v>7.47</v>
      </c>
      <c r="W1870">
        <v>78940</v>
      </c>
      <c r="X1870">
        <v>112852</v>
      </c>
      <c r="Y1870">
        <v>0.7</v>
      </c>
      <c r="Z1870">
        <v>495</v>
      </c>
      <c r="AA1870">
        <v>220</v>
      </c>
      <c r="AB1870" t="s">
        <v>116</v>
      </c>
      <c r="AC1870">
        <v>383800</v>
      </c>
      <c r="AD1870">
        <v>0.01</v>
      </c>
      <c r="AE1870" t="s">
        <v>116</v>
      </c>
      <c r="AF1870" t="s">
        <v>116</v>
      </c>
      <c r="AG1870">
        <v>4.8</v>
      </c>
      <c r="AH1870" t="s">
        <v>2780</v>
      </c>
      <c r="AI1870" t="s">
        <v>8936</v>
      </c>
      <c r="AJ1870">
        <v>2.3199999999999998</v>
      </c>
      <c r="AK1870">
        <v>2683</v>
      </c>
      <c r="AL1870">
        <v>71</v>
      </c>
      <c r="AM1870">
        <v>1.5E-3</v>
      </c>
      <c r="AN1870">
        <v>1</v>
      </c>
      <c r="AO1870">
        <v>-2.11</v>
      </c>
      <c r="AP1870">
        <v>-3.76</v>
      </c>
      <c r="AQ1870">
        <v>4.8</v>
      </c>
      <c r="AR1870">
        <v>15.07</v>
      </c>
      <c r="AS1870">
        <v>4.2699999999999996</v>
      </c>
      <c r="AT1870" t="s">
        <v>2792</v>
      </c>
      <c r="AU1870">
        <v>356.88</v>
      </c>
      <c r="AV1870">
        <v>121.25</v>
      </c>
      <c r="AW1870">
        <v>0.85</v>
      </c>
      <c r="BA1870">
        <v>-0.82</v>
      </c>
      <c r="BB1870">
        <v>4.0999999999999996</v>
      </c>
      <c r="BC1870">
        <v>-0.82</v>
      </c>
      <c r="BD1870">
        <v>2.17</v>
      </c>
      <c r="BE1870">
        <v>2.48</v>
      </c>
      <c r="BF1870">
        <v>-2.37</v>
      </c>
      <c r="BG1870">
        <v>2.48</v>
      </c>
      <c r="BH1870">
        <v>-0.53</v>
      </c>
      <c r="BI1870">
        <v>20191213</v>
      </c>
      <c r="BJ1870">
        <v>20150610</v>
      </c>
      <c r="BK1870">
        <v>8.33</v>
      </c>
      <c r="BL1870" t="s">
        <v>116</v>
      </c>
      <c r="BM1870" t="s">
        <v>116</v>
      </c>
      <c r="BN1870">
        <v>45.11</v>
      </c>
      <c r="BO1870">
        <v>19.77</v>
      </c>
      <c r="BP1870">
        <v>0.01</v>
      </c>
      <c r="BQ1870">
        <v>56.14</v>
      </c>
      <c r="BR1870">
        <v>24.44</v>
      </c>
      <c r="BS1870">
        <v>6.31</v>
      </c>
      <c r="BT1870">
        <v>2.42</v>
      </c>
      <c r="BU1870">
        <v>24.28</v>
      </c>
      <c r="BV1870">
        <v>7.75</v>
      </c>
      <c r="BW1870">
        <v>12.89</v>
      </c>
      <c r="BX1870">
        <v>5.87</v>
      </c>
      <c r="BY1870">
        <v>13.18</v>
      </c>
      <c r="BZ1870">
        <v>10.32</v>
      </c>
      <c r="CA1870">
        <v>0.53</v>
      </c>
      <c r="CB1870">
        <v>-0.02</v>
      </c>
      <c r="CC1870">
        <v>0.55000000000000004</v>
      </c>
      <c r="CD1870">
        <v>0.46</v>
      </c>
      <c r="CE1870">
        <v>0.47</v>
      </c>
      <c r="CF1870">
        <v>0.36</v>
      </c>
      <c r="CG1870">
        <v>5.32</v>
      </c>
      <c r="CH1870">
        <v>0.37</v>
      </c>
      <c r="CI1870">
        <v>-0.67</v>
      </c>
      <c r="CJ1870">
        <v>18444</v>
      </c>
      <c r="CK1870">
        <v>24351</v>
      </c>
      <c r="CL1870" t="s">
        <v>9402</v>
      </c>
      <c r="CM1870">
        <v>-41.51</v>
      </c>
      <c r="CN1870">
        <v>-15.23</v>
      </c>
      <c r="CO1870">
        <v>3.06</v>
      </c>
      <c r="CP1870">
        <v>169.23</v>
      </c>
      <c r="CQ1870">
        <v>4.6900000000000004</v>
      </c>
      <c r="CR1870">
        <v>0.19</v>
      </c>
      <c r="CS1870" t="s">
        <v>484</v>
      </c>
      <c r="CT1870">
        <v>2.4300000000000002</v>
      </c>
      <c r="CU1870">
        <v>2.4300000000000002</v>
      </c>
      <c r="CV1870">
        <v>0.7</v>
      </c>
      <c r="CW1870">
        <v>0.64</v>
      </c>
      <c r="CX1870">
        <v>0.04</v>
      </c>
      <c r="CY1870">
        <v>43.83</v>
      </c>
      <c r="CZ1870" t="s">
        <v>1106</v>
      </c>
      <c r="DA1870">
        <v>21.73</v>
      </c>
      <c r="DB1870">
        <v>4.05</v>
      </c>
      <c r="DC1870">
        <v>3.6</v>
      </c>
      <c r="DD1870">
        <v>0.25</v>
      </c>
      <c r="DE1870">
        <v>1605</v>
      </c>
      <c r="DF1870">
        <v>300477</v>
      </c>
      <c r="DG1870" t="s">
        <v>116</v>
      </c>
      <c r="DH1870" t="s">
        <v>116</v>
      </c>
      <c r="DI1870" t="s">
        <v>116</v>
      </c>
    </row>
    <row r="1871" spans="1:113" x14ac:dyDescent="0.4">
      <c r="A1871" t="str">
        <f>"300478"</f>
        <v>300478</v>
      </c>
      <c r="B1871" t="s">
        <v>9403</v>
      </c>
      <c r="C1871">
        <v>0.86</v>
      </c>
      <c r="D1871">
        <v>11.71</v>
      </c>
      <c r="E1871">
        <v>0.1</v>
      </c>
      <c r="F1871">
        <v>11.7</v>
      </c>
      <c r="G1871">
        <v>11.71</v>
      </c>
      <c r="H1871">
        <v>27296</v>
      </c>
      <c r="I1871">
        <v>240</v>
      </c>
      <c r="J1871">
        <v>0.09</v>
      </c>
      <c r="K1871">
        <v>2.17</v>
      </c>
      <c r="L1871">
        <v>11.72</v>
      </c>
      <c r="M1871">
        <v>11.86</v>
      </c>
      <c r="N1871">
        <v>11.6</v>
      </c>
      <c r="O1871">
        <v>11.61</v>
      </c>
      <c r="P1871" t="s">
        <v>116</v>
      </c>
      <c r="Q1871">
        <v>31990912</v>
      </c>
      <c r="R1871">
        <v>1.62</v>
      </c>
      <c r="S1871" t="s">
        <v>2541</v>
      </c>
      <c r="T1871" t="s">
        <v>590</v>
      </c>
      <c r="U1871">
        <v>2.2400000000000002</v>
      </c>
      <c r="V1871">
        <v>11.72</v>
      </c>
      <c r="W1871">
        <v>8887</v>
      </c>
      <c r="X1871">
        <v>18409</v>
      </c>
      <c r="Y1871">
        <v>0.48</v>
      </c>
      <c r="Z1871">
        <v>95</v>
      </c>
      <c r="AA1871">
        <v>4</v>
      </c>
      <c r="AB1871" t="s">
        <v>116</v>
      </c>
      <c r="AC1871">
        <v>39800</v>
      </c>
      <c r="AD1871">
        <v>0.01</v>
      </c>
      <c r="AE1871" t="s">
        <v>116</v>
      </c>
      <c r="AF1871" t="s">
        <v>116</v>
      </c>
      <c r="AG1871">
        <v>1.26</v>
      </c>
      <c r="AH1871" t="s">
        <v>9404</v>
      </c>
      <c r="AI1871" t="s">
        <v>7902</v>
      </c>
      <c r="AJ1871">
        <v>1.54</v>
      </c>
      <c r="AK1871">
        <v>783</v>
      </c>
      <c r="AL1871">
        <v>35</v>
      </c>
      <c r="AM1871">
        <v>2.8E-3</v>
      </c>
      <c r="AN1871">
        <v>2</v>
      </c>
      <c r="AO1871">
        <v>0.25</v>
      </c>
      <c r="AP1871">
        <v>5.0199999999999996</v>
      </c>
      <c r="AQ1871">
        <v>-11.89</v>
      </c>
      <c r="AR1871">
        <v>-17.079999999999998</v>
      </c>
      <c r="AS1871">
        <v>5.39</v>
      </c>
      <c r="AT1871" t="s">
        <v>9405</v>
      </c>
      <c r="AU1871" t="s">
        <v>116</v>
      </c>
      <c r="AV1871">
        <v>70.040000000000006</v>
      </c>
      <c r="AW1871">
        <v>1.32</v>
      </c>
      <c r="BA1871">
        <v>0.95</v>
      </c>
      <c r="BB1871">
        <v>2.15</v>
      </c>
      <c r="BC1871">
        <v>-0.09</v>
      </c>
      <c r="BD1871">
        <v>0.95</v>
      </c>
      <c r="BE1871">
        <v>-0.09</v>
      </c>
      <c r="BF1871">
        <v>-1.26</v>
      </c>
      <c r="BG1871">
        <v>0.95</v>
      </c>
      <c r="BH1871">
        <v>-0.09</v>
      </c>
      <c r="BI1871">
        <v>20191030</v>
      </c>
      <c r="BJ1871">
        <v>20150610</v>
      </c>
      <c r="BK1871">
        <v>1.27</v>
      </c>
      <c r="BL1871" t="s">
        <v>116</v>
      </c>
      <c r="BM1871" t="s">
        <v>116</v>
      </c>
      <c r="BN1871">
        <v>9.73</v>
      </c>
      <c r="BO1871">
        <v>5.35</v>
      </c>
      <c r="BP1871">
        <v>0.3</v>
      </c>
      <c r="BQ1871">
        <v>41.86</v>
      </c>
      <c r="BR1871">
        <v>6.09</v>
      </c>
      <c r="BS1871">
        <v>2.35</v>
      </c>
      <c r="BT1871">
        <v>0.32</v>
      </c>
      <c r="BU1871">
        <v>4.07</v>
      </c>
      <c r="BV1871">
        <v>1.22</v>
      </c>
      <c r="BW1871">
        <v>1.64</v>
      </c>
      <c r="BX1871">
        <v>1.8</v>
      </c>
      <c r="BY1871">
        <v>5.39</v>
      </c>
      <c r="BZ1871">
        <v>4.57</v>
      </c>
      <c r="CA1871">
        <v>-7.0000000000000007E-2</v>
      </c>
      <c r="CB1871">
        <v>0.04</v>
      </c>
      <c r="CC1871">
        <v>-0.08</v>
      </c>
      <c r="CD1871">
        <v>-0.12</v>
      </c>
      <c r="CE1871">
        <v>-0.14000000000000001</v>
      </c>
      <c r="CF1871">
        <v>-0.25</v>
      </c>
      <c r="CG1871">
        <v>1.85</v>
      </c>
      <c r="CH1871">
        <v>0.62</v>
      </c>
      <c r="CI1871">
        <v>-3.11</v>
      </c>
      <c r="CJ1871">
        <v>8046</v>
      </c>
      <c r="CK1871">
        <v>6297</v>
      </c>
      <c r="CL1871" t="s">
        <v>9406</v>
      </c>
      <c r="CM1871">
        <v>-151.12</v>
      </c>
      <c r="CN1871">
        <v>-13.18</v>
      </c>
      <c r="CO1871">
        <v>2.77</v>
      </c>
      <c r="CP1871">
        <v>23.99</v>
      </c>
      <c r="CQ1871">
        <v>2.75</v>
      </c>
      <c r="CR1871">
        <v>0.67</v>
      </c>
      <c r="CS1871" t="s">
        <v>3470</v>
      </c>
      <c r="CT1871">
        <v>4.22</v>
      </c>
      <c r="CU1871">
        <v>0</v>
      </c>
      <c r="CV1871">
        <v>1.42</v>
      </c>
      <c r="CW1871">
        <v>1.46</v>
      </c>
      <c r="CX1871">
        <v>0.49</v>
      </c>
      <c r="CY1871">
        <v>55.01</v>
      </c>
      <c r="CZ1871" t="s">
        <v>9407</v>
      </c>
      <c r="DA1871">
        <v>15.1</v>
      </c>
      <c r="DB1871">
        <v>-1.33</v>
      </c>
      <c r="DC1871">
        <v>-2.5099999999999998</v>
      </c>
      <c r="DD1871">
        <v>0.28999999999999998</v>
      </c>
      <c r="DE1871">
        <v>430</v>
      </c>
      <c r="DF1871">
        <v>300478</v>
      </c>
      <c r="DG1871" t="s">
        <v>116</v>
      </c>
      <c r="DH1871" t="s">
        <v>116</v>
      </c>
      <c r="DI1871" t="s">
        <v>116</v>
      </c>
    </row>
    <row r="1872" spans="1:113" x14ac:dyDescent="0.4">
      <c r="A1872" t="str">
        <f>"300479"</f>
        <v>300479</v>
      </c>
      <c r="B1872" t="s">
        <v>9408</v>
      </c>
      <c r="C1872">
        <v>-2.39</v>
      </c>
      <c r="D1872">
        <v>15.54</v>
      </c>
      <c r="E1872">
        <v>-0.38</v>
      </c>
      <c r="F1872">
        <v>15.53</v>
      </c>
      <c r="G1872">
        <v>15.54</v>
      </c>
      <c r="H1872">
        <v>50755</v>
      </c>
      <c r="I1872">
        <v>687</v>
      </c>
      <c r="J1872">
        <v>-0.05</v>
      </c>
      <c r="K1872">
        <v>3.14</v>
      </c>
      <c r="L1872">
        <v>15.95</v>
      </c>
      <c r="M1872">
        <v>16.100000000000001</v>
      </c>
      <c r="N1872">
        <v>15.5</v>
      </c>
      <c r="O1872">
        <v>15.92</v>
      </c>
      <c r="P1872">
        <v>161.93</v>
      </c>
      <c r="Q1872">
        <v>80241240</v>
      </c>
      <c r="R1872">
        <v>0.92</v>
      </c>
      <c r="S1872" t="s">
        <v>607</v>
      </c>
      <c r="T1872" t="s">
        <v>645</v>
      </c>
      <c r="U1872">
        <v>3.77</v>
      </c>
      <c r="V1872">
        <v>15.81</v>
      </c>
      <c r="W1872">
        <v>30234</v>
      </c>
      <c r="X1872">
        <v>20521</v>
      </c>
      <c r="Y1872">
        <v>1.47</v>
      </c>
      <c r="Z1872">
        <v>109</v>
      </c>
      <c r="AA1872">
        <v>68</v>
      </c>
      <c r="AB1872" t="s">
        <v>116</v>
      </c>
      <c r="AC1872">
        <v>269600</v>
      </c>
      <c r="AD1872">
        <v>0.02</v>
      </c>
      <c r="AE1872" t="s">
        <v>116</v>
      </c>
      <c r="AF1872" t="s">
        <v>116</v>
      </c>
      <c r="AG1872">
        <v>1.62</v>
      </c>
      <c r="AH1872" t="s">
        <v>226</v>
      </c>
      <c r="AI1872" t="s">
        <v>4795</v>
      </c>
      <c r="AJ1872">
        <v>-1.71</v>
      </c>
      <c r="AK1872">
        <v>2205</v>
      </c>
      <c r="AL1872">
        <v>23</v>
      </c>
      <c r="AM1872">
        <v>1.4E-3</v>
      </c>
      <c r="AN1872">
        <v>-3</v>
      </c>
      <c r="AO1872">
        <v>-5.2</v>
      </c>
      <c r="AP1872">
        <v>10.84</v>
      </c>
      <c r="AQ1872">
        <v>-5.24</v>
      </c>
      <c r="AR1872">
        <v>19.809999999999999</v>
      </c>
      <c r="AS1872">
        <v>5.4</v>
      </c>
      <c r="AT1872" t="s">
        <v>7451</v>
      </c>
      <c r="AU1872">
        <v>162.94</v>
      </c>
      <c r="AV1872">
        <v>254.73</v>
      </c>
      <c r="AW1872">
        <v>1.86</v>
      </c>
      <c r="BA1872">
        <v>0.19</v>
      </c>
      <c r="BB1872">
        <v>1.1299999999999999</v>
      </c>
      <c r="BC1872">
        <v>-2.64</v>
      </c>
      <c r="BD1872">
        <v>-0.69</v>
      </c>
      <c r="BE1872">
        <v>-2.57</v>
      </c>
      <c r="BF1872">
        <v>-3.48</v>
      </c>
      <c r="BG1872">
        <v>0.26</v>
      </c>
      <c r="BH1872">
        <v>-1.69</v>
      </c>
      <c r="BI1872">
        <v>20191025</v>
      </c>
      <c r="BJ1872">
        <v>20150612</v>
      </c>
      <c r="BK1872">
        <v>1.69</v>
      </c>
      <c r="BL1872" t="s">
        <v>116</v>
      </c>
      <c r="BM1872" t="s">
        <v>116</v>
      </c>
      <c r="BN1872">
        <v>9.23</v>
      </c>
      <c r="BO1872">
        <v>6.13</v>
      </c>
      <c r="BP1872">
        <v>0.56999999999999995</v>
      </c>
      <c r="BQ1872">
        <v>27.49</v>
      </c>
      <c r="BR1872">
        <v>5.7</v>
      </c>
      <c r="BS1872">
        <v>0.75</v>
      </c>
      <c r="BT1872">
        <v>0.46</v>
      </c>
      <c r="BU1872">
        <v>2.3199999999999998</v>
      </c>
      <c r="BV1872">
        <v>1.41</v>
      </c>
      <c r="BW1872">
        <v>2.94</v>
      </c>
      <c r="BX1872">
        <v>2.63</v>
      </c>
      <c r="BY1872">
        <v>3.22</v>
      </c>
      <c r="BZ1872">
        <v>2.0499999999999998</v>
      </c>
      <c r="CA1872">
        <v>0.2</v>
      </c>
      <c r="CB1872">
        <v>0</v>
      </c>
      <c r="CC1872">
        <v>0.2</v>
      </c>
      <c r="CD1872">
        <v>0.2</v>
      </c>
      <c r="CE1872">
        <v>0.12</v>
      </c>
      <c r="CF1872">
        <v>0.04</v>
      </c>
      <c r="CG1872">
        <v>1.58</v>
      </c>
      <c r="CH1872">
        <v>-0.61</v>
      </c>
      <c r="CI1872">
        <v>-0.65</v>
      </c>
      <c r="CJ1872">
        <v>25965</v>
      </c>
      <c r="CK1872">
        <v>3618</v>
      </c>
      <c r="CL1872" t="s">
        <v>2551</v>
      </c>
      <c r="CM1872">
        <v>91.36</v>
      </c>
      <c r="CN1872">
        <v>17.07</v>
      </c>
      <c r="CO1872">
        <v>4.29</v>
      </c>
      <c r="CP1872">
        <v>-43.47</v>
      </c>
      <c r="CQ1872">
        <v>8.18</v>
      </c>
      <c r="CR1872">
        <v>0.19</v>
      </c>
      <c r="CS1872" t="s">
        <v>1303</v>
      </c>
      <c r="CT1872">
        <v>3.62</v>
      </c>
      <c r="CU1872">
        <v>0</v>
      </c>
      <c r="CV1872">
        <v>1.55</v>
      </c>
      <c r="CW1872">
        <v>0.93</v>
      </c>
      <c r="CX1872">
        <v>-0.36</v>
      </c>
      <c r="CY1872">
        <v>66.37</v>
      </c>
      <c r="CZ1872" t="s">
        <v>6383</v>
      </c>
      <c r="DA1872">
        <v>36.43</v>
      </c>
      <c r="DB1872">
        <v>6.3</v>
      </c>
      <c r="DC1872">
        <v>3.79</v>
      </c>
      <c r="DD1872">
        <v>0.36</v>
      </c>
      <c r="DE1872">
        <v>637</v>
      </c>
      <c r="DF1872">
        <v>300479</v>
      </c>
      <c r="DG1872" t="s">
        <v>116</v>
      </c>
      <c r="DH1872" t="s">
        <v>116</v>
      </c>
      <c r="DI1872" t="s">
        <v>116</v>
      </c>
    </row>
    <row r="1873" spans="1:113" x14ac:dyDescent="0.4">
      <c r="A1873" t="str">
        <f>"300480"</f>
        <v>300480</v>
      </c>
      <c r="B1873" t="s">
        <v>9409</v>
      </c>
      <c r="C1873">
        <v>-2.98</v>
      </c>
      <c r="D1873">
        <v>17.61</v>
      </c>
      <c r="E1873">
        <v>-0.54</v>
      </c>
      <c r="F1873">
        <v>17.61</v>
      </c>
      <c r="G1873">
        <v>17.62</v>
      </c>
      <c r="H1873">
        <v>133943</v>
      </c>
      <c r="I1873">
        <v>934</v>
      </c>
      <c r="J1873">
        <v>0.46</v>
      </c>
      <c r="K1873">
        <v>14.21</v>
      </c>
      <c r="L1873">
        <v>18</v>
      </c>
      <c r="M1873">
        <v>18.61</v>
      </c>
      <c r="N1873">
        <v>17.399999999999999</v>
      </c>
      <c r="O1873">
        <v>18.149999999999999</v>
      </c>
      <c r="P1873">
        <v>82.23</v>
      </c>
      <c r="Q1873">
        <v>241179152</v>
      </c>
      <c r="R1873">
        <v>1.18</v>
      </c>
      <c r="S1873" t="s">
        <v>2977</v>
      </c>
      <c r="T1873" t="s">
        <v>652</v>
      </c>
      <c r="U1873">
        <v>6.67</v>
      </c>
      <c r="V1873">
        <v>18.010000000000002</v>
      </c>
      <c r="W1873">
        <v>77661</v>
      </c>
      <c r="X1873">
        <v>56282</v>
      </c>
      <c r="Y1873">
        <v>1.38</v>
      </c>
      <c r="Z1873">
        <v>164</v>
      </c>
      <c r="AA1873">
        <v>12</v>
      </c>
      <c r="AB1873" t="s">
        <v>116</v>
      </c>
      <c r="AC1873">
        <v>6969600</v>
      </c>
      <c r="AD1873">
        <v>0.56999999999999995</v>
      </c>
      <c r="AE1873" t="s">
        <v>116</v>
      </c>
      <c r="AF1873" t="s">
        <v>116</v>
      </c>
      <c r="AG1873">
        <v>0.94</v>
      </c>
      <c r="AH1873" t="s">
        <v>9410</v>
      </c>
      <c r="AI1873" t="s">
        <v>9411</v>
      </c>
      <c r="AJ1873">
        <v>-2.2999999999999998</v>
      </c>
      <c r="AK1873">
        <v>3083</v>
      </c>
      <c r="AL1873">
        <v>43</v>
      </c>
      <c r="AM1873">
        <v>4.5999999999999999E-3</v>
      </c>
      <c r="AN1873">
        <v>-2</v>
      </c>
      <c r="AO1873">
        <v>3.28</v>
      </c>
      <c r="AP1873">
        <v>19.88</v>
      </c>
      <c r="AQ1873">
        <v>1.32</v>
      </c>
      <c r="AR1873">
        <v>93.73</v>
      </c>
      <c r="AS1873">
        <v>19.670000000000002</v>
      </c>
      <c r="AT1873" t="s">
        <v>4394</v>
      </c>
      <c r="AU1873">
        <v>68.42</v>
      </c>
      <c r="AV1873">
        <v>79.790000000000006</v>
      </c>
      <c r="AW1873">
        <v>1.69</v>
      </c>
      <c r="BA1873">
        <v>-0.83</v>
      </c>
      <c r="BB1873">
        <v>2.5299999999999998</v>
      </c>
      <c r="BC1873">
        <v>-4.13</v>
      </c>
      <c r="BD1873">
        <v>-0.79</v>
      </c>
      <c r="BE1873">
        <v>-2.17</v>
      </c>
      <c r="BF1873">
        <v>-5.37</v>
      </c>
      <c r="BG1873">
        <v>1.21</v>
      </c>
      <c r="BH1873">
        <v>-2.1800000000000002</v>
      </c>
      <c r="BI1873">
        <v>20191030</v>
      </c>
      <c r="BJ1873">
        <v>20150702</v>
      </c>
      <c r="BK1873">
        <v>1.92</v>
      </c>
      <c r="BL1873" t="s">
        <v>116</v>
      </c>
      <c r="BM1873" t="s">
        <v>116</v>
      </c>
      <c r="BN1873">
        <v>8.69</v>
      </c>
      <c r="BO1873">
        <v>7.16</v>
      </c>
      <c r="BP1873">
        <v>0.14000000000000001</v>
      </c>
      <c r="BQ1873">
        <v>15.99</v>
      </c>
      <c r="BR1873">
        <v>4.9800000000000004</v>
      </c>
      <c r="BS1873">
        <v>0.44</v>
      </c>
      <c r="BT1873">
        <v>0.67</v>
      </c>
      <c r="BU1873">
        <v>1.1299999999999999</v>
      </c>
      <c r="BV1873">
        <v>1.1000000000000001</v>
      </c>
      <c r="BW1873">
        <v>1.43</v>
      </c>
      <c r="BX1873">
        <v>2.4300000000000002</v>
      </c>
      <c r="BY1873">
        <v>1.68</v>
      </c>
      <c r="BZ1873">
        <v>0.68</v>
      </c>
      <c r="CA1873">
        <v>0.37</v>
      </c>
      <c r="CB1873">
        <v>0</v>
      </c>
      <c r="CC1873">
        <v>0.38</v>
      </c>
      <c r="CD1873">
        <v>0.31</v>
      </c>
      <c r="CE1873">
        <v>0.31</v>
      </c>
      <c r="CF1873">
        <v>0.28000000000000003</v>
      </c>
      <c r="CG1873">
        <v>2.5</v>
      </c>
      <c r="CH1873">
        <v>0.18</v>
      </c>
      <c r="CI1873">
        <v>-0.43</v>
      </c>
      <c r="CJ1873">
        <v>22184</v>
      </c>
      <c r="CK1873">
        <v>3069</v>
      </c>
      <c r="CL1873" t="s">
        <v>2738</v>
      </c>
      <c r="CM1873">
        <v>29.61</v>
      </c>
      <c r="CN1873">
        <v>9.6999999999999993</v>
      </c>
      <c r="CO1873">
        <v>4.72</v>
      </c>
      <c r="CP1873">
        <v>191.61</v>
      </c>
      <c r="CQ1873">
        <v>20.09</v>
      </c>
      <c r="CR1873">
        <v>0.28000000000000003</v>
      </c>
      <c r="CS1873" t="s">
        <v>6361</v>
      </c>
      <c r="CT1873">
        <v>3.73</v>
      </c>
      <c r="CU1873">
        <v>0</v>
      </c>
      <c r="CV1873">
        <v>1.27</v>
      </c>
      <c r="CW1873">
        <v>1.3</v>
      </c>
      <c r="CX1873">
        <v>0.09</v>
      </c>
      <c r="CY1873">
        <v>82.42</v>
      </c>
      <c r="CZ1873" t="s">
        <v>1644</v>
      </c>
      <c r="DA1873">
        <v>59.71</v>
      </c>
      <c r="DB1873">
        <v>22.19</v>
      </c>
      <c r="DC1873">
        <v>18.329999999999998</v>
      </c>
      <c r="DD1873">
        <v>0.24</v>
      </c>
      <c r="DE1873">
        <v>485</v>
      </c>
      <c r="DF1873">
        <v>300480</v>
      </c>
      <c r="DG1873" t="s">
        <v>116</v>
      </c>
      <c r="DH1873" t="s">
        <v>116</v>
      </c>
      <c r="DI1873" t="s">
        <v>116</v>
      </c>
    </row>
    <row r="1874" spans="1:113" x14ac:dyDescent="0.4">
      <c r="A1874" t="str">
        <f>"300481"</f>
        <v>300481</v>
      </c>
      <c r="B1874" t="s">
        <v>9412</v>
      </c>
      <c r="C1874">
        <v>-3.2</v>
      </c>
      <c r="D1874">
        <v>16.95</v>
      </c>
      <c r="E1874">
        <v>-0.56000000000000005</v>
      </c>
      <c r="F1874">
        <v>16.95</v>
      </c>
      <c r="G1874">
        <v>16.96</v>
      </c>
      <c r="H1874">
        <v>84095</v>
      </c>
      <c r="I1874">
        <v>1080</v>
      </c>
      <c r="J1874">
        <v>-0.05</v>
      </c>
      <c r="K1874">
        <v>3.3</v>
      </c>
      <c r="L1874">
        <v>17.64</v>
      </c>
      <c r="M1874">
        <v>17.649999999999999</v>
      </c>
      <c r="N1874">
        <v>16.899999999999999</v>
      </c>
      <c r="O1874">
        <v>17.510000000000002</v>
      </c>
      <c r="P1874">
        <v>28.46</v>
      </c>
      <c r="Q1874">
        <v>144953776</v>
      </c>
      <c r="R1874">
        <v>1.01</v>
      </c>
      <c r="S1874" t="s">
        <v>891</v>
      </c>
      <c r="T1874" t="s">
        <v>652</v>
      </c>
      <c r="U1874">
        <v>4.28</v>
      </c>
      <c r="V1874">
        <v>17.239999999999998</v>
      </c>
      <c r="W1874">
        <v>47574</v>
      </c>
      <c r="X1874">
        <v>36521</v>
      </c>
      <c r="Y1874">
        <v>1.3</v>
      </c>
      <c r="Z1874">
        <v>242</v>
      </c>
      <c r="AA1874">
        <v>53</v>
      </c>
      <c r="AB1874" t="s">
        <v>116</v>
      </c>
      <c r="AC1874">
        <v>546800</v>
      </c>
      <c r="AD1874">
        <v>0.02</v>
      </c>
      <c r="AE1874" t="s">
        <v>116</v>
      </c>
      <c r="AF1874" t="s">
        <v>116</v>
      </c>
      <c r="AG1874">
        <v>2.5499999999999998</v>
      </c>
      <c r="AH1874" t="s">
        <v>9413</v>
      </c>
      <c r="AI1874" t="s">
        <v>9414</v>
      </c>
      <c r="AJ1874">
        <v>-2.52</v>
      </c>
      <c r="AK1874">
        <v>2664</v>
      </c>
      <c r="AL1874">
        <v>32</v>
      </c>
      <c r="AM1874">
        <v>1.1999999999999999E-3</v>
      </c>
      <c r="AN1874">
        <v>-1</v>
      </c>
      <c r="AO1874">
        <v>-0.23</v>
      </c>
      <c r="AP1874">
        <v>8.17</v>
      </c>
      <c r="AQ1874">
        <v>22.21</v>
      </c>
      <c r="AR1874">
        <v>60.82</v>
      </c>
      <c r="AS1874">
        <v>6.21</v>
      </c>
      <c r="AT1874" t="s">
        <v>7333</v>
      </c>
      <c r="AU1874">
        <v>32.19</v>
      </c>
      <c r="AV1874">
        <v>41.25</v>
      </c>
      <c r="AW1874">
        <v>1.1499999999999999</v>
      </c>
      <c r="BA1874">
        <v>0.74</v>
      </c>
      <c r="BB1874">
        <v>0.8</v>
      </c>
      <c r="BC1874">
        <v>-3.48</v>
      </c>
      <c r="BD1874">
        <v>-1.56</v>
      </c>
      <c r="BE1874">
        <v>-3.91</v>
      </c>
      <c r="BF1874">
        <v>-3.97</v>
      </c>
      <c r="BG1874">
        <v>0.3</v>
      </c>
      <c r="BH1874">
        <v>-1.64</v>
      </c>
      <c r="BI1874">
        <v>20191108</v>
      </c>
      <c r="BJ1874">
        <v>20150630</v>
      </c>
      <c r="BK1874">
        <v>2.57</v>
      </c>
      <c r="BL1874" t="s">
        <v>116</v>
      </c>
      <c r="BM1874" t="s">
        <v>116</v>
      </c>
      <c r="BN1874">
        <v>8.91</v>
      </c>
      <c r="BO1874">
        <v>8.2899999999999991</v>
      </c>
      <c r="BP1874">
        <v>0.03</v>
      </c>
      <c r="BQ1874">
        <v>6.6</v>
      </c>
      <c r="BR1874">
        <v>5.67</v>
      </c>
      <c r="BS1874">
        <v>2.14</v>
      </c>
      <c r="BT1874">
        <v>0.62</v>
      </c>
      <c r="BU1874">
        <v>0.41</v>
      </c>
      <c r="BV1874">
        <v>0.47</v>
      </c>
      <c r="BW1874">
        <v>0.91</v>
      </c>
      <c r="BX1874">
        <v>2.0299999999999998</v>
      </c>
      <c r="BY1874">
        <v>5.12</v>
      </c>
      <c r="BZ1874">
        <v>3.19</v>
      </c>
      <c r="CA1874">
        <v>1.34</v>
      </c>
      <c r="CB1874">
        <v>0.02</v>
      </c>
      <c r="CC1874">
        <v>1.34</v>
      </c>
      <c r="CD1874">
        <v>1.1499999999999999</v>
      </c>
      <c r="CE1874">
        <v>1.1499999999999999</v>
      </c>
      <c r="CF1874">
        <v>1.1200000000000001</v>
      </c>
      <c r="CG1874">
        <v>3.35</v>
      </c>
      <c r="CH1874">
        <v>1.19</v>
      </c>
      <c r="CI1874">
        <v>-0.28000000000000003</v>
      </c>
      <c r="CJ1874">
        <v>21449</v>
      </c>
      <c r="CK1874">
        <v>6311</v>
      </c>
      <c r="CL1874" t="s">
        <v>3625</v>
      </c>
      <c r="CM1874">
        <v>34.950000000000003</v>
      </c>
      <c r="CN1874">
        <v>8.0399999999999991</v>
      </c>
      <c r="CO1874">
        <v>5.26</v>
      </c>
      <c r="CP1874">
        <v>36.57</v>
      </c>
      <c r="CQ1874">
        <v>8.51</v>
      </c>
      <c r="CR1874">
        <v>1.18</v>
      </c>
      <c r="CS1874" t="s">
        <v>4446</v>
      </c>
      <c r="CT1874">
        <v>3.23</v>
      </c>
      <c r="CU1874">
        <v>0</v>
      </c>
      <c r="CV1874">
        <v>0.79</v>
      </c>
      <c r="CW1874">
        <v>1.3</v>
      </c>
      <c r="CX1874">
        <v>0.46</v>
      </c>
      <c r="CY1874">
        <v>93.08</v>
      </c>
      <c r="CZ1874" t="s">
        <v>9415</v>
      </c>
      <c r="DA1874">
        <v>37.68</v>
      </c>
      <c r="DB1874">
        <v>26.2</v>
      </c>
      <c r="DC1874">
        <v>22.42</v>
      </c>
      <c r="DD1874">
        <v>0.32</v>
      </c>
      <c r="DE1874">
        <v>299</v>
      </c>
      <c r="DF1874">
        <v>300481</v>
      </c>
      <c r="DG1874" t="s">
        <v>116</v>
      </c>
      <c r="DH1874" t="s">
        <v>116</v>
      </c>
      <c r="DI1874" t="s">
        <v>116</v>
      </c>
    </row>
    <row r="1875" spans="1:113" x14ac:dyDescent="0.4">
      <c r="A1875" t="str">
        <f>"300482"</f>
        <v>300482</v>
      </c>
      <c r="B1875" t="s">
        <v>9416</v>
      </c>
      <c r="C1875">
        <v>-0.85</v>
      </c>
      <c r="D1875">
        <v>50.3</v>
      </c>
      <c r="E1875">
        <v>-0.43</v>
      </c>
      <c r="F1875">
        <v>50.3</v>
      </c>
      <c r="G1875">
        <v>50.36</v>
      </c>
      <c r="H1875">
        <v>9363</v>
      </c>
      <c r="I1875">
        <v>91</v>
      </c>
      <c r="J1875">
        <v>0</v>
      </c>
      <c r="K1875">
        <v>0.39</v>
      </c>
      <c r="L1875">
        <v>50.52</v>
      </c>
      <c r="M1875">
        <v>50.98</v>
      </c>
      <c r="N1875">
        <v>50.21</v>
      </c>
      <c r="O1875">
        <v>50.73</v>
      </c>
      <c r="P1875">
        <v>44.55</v>
      </c>
      <c r="Q1875">
        <v>47317756</v>
      </c>
      <c r="R1875">
        <v>0.75</v>
      </c>
      <c r="S1875" t="s">
        <v>132</v>
      </c>
      <c r="T1875" t="s">
        <v>551</v>
      </c>
      <c r="U1875">
        <v>1.52</v>
      </c>
      <c r="V1875">
        <v>50.53</v>
      </c>
      <c r="W1875">
        <v>6000</v>
      </c>
      <c r="X1875">
        <v>3363</v>
      </c>
      <c r="Y1875">
        <v>1.78</v>
      </c>
      <c r="Z1875">
        <v>101</v>
      </c>
      <c r="AA1875">
        <v>5</v>
      </c>
      <c r="AB1875" t="s">
        <v>116</v>
      </c>
      <c r="AC1875">
        <v>30300</v>
      </c>
      <c r="AD1875">
        <v>0</v>
      </c>
      <c r="AE1875" t="s">
        <v>116</v>
      </c>
      <c r="AF1875" t="s">
        <v>116</v>
      </c>
      <c r="AG1875">
        <v>2.39</v>
      </c>
      <c r="AH1875" t="s">
        <v>9417</v>
      </c>
      <c r="AI1875" t="s">
        <v>9418</v>
      </c>
      <c r="AJ1875">
        <v>-0.17</v>
      </c>
      <c r="AK1875">
        <v>1422</v>
      </c>
      <c r="AL1875">
        <v>7</v>
      </c>
      <c r="AM1875">
        <v>2.9999999999999997E-4</v>
      </c>
      <c r="AN1875">
        <v>-3</v>
      </c>
      <c r="AO1875">
        <v>-1.52</v>
      </c>
      <c r="AP1875">
        <v>5.36</v>
      </c>
      <c r="AQ1875">
        <v>3.18</v>
      </c>
      <c r="AR1875">
        <v>99.68</v>
      </c>
      <c r="AS1875">
        <v>0.63</v>
      </c>
      <c r="AT1875" t="s">
        <v>324</v>
      </c>
      <c r="AU1875">
        <v>45.91</v>
      </c>
      <c r="AV1875">
        <v>56.01</v>
      </c>
      <c r="AW1875">
        <v>1.2</v>
      </c>
      <c r="BA1875">
        <v>-0.41</v>
      </c>
      <c r="BB1875">
        <v>0.49</v>
      </c>
      <c r="BC1875">
        <v>-1.03</v>
      </c>
      <c r="BD1875">
        <v>-0.39</v>
      </c>
      <c r="BE1875">
        <v>-0.44</v>
      </c>
      <c r="BF1875">
        <v>-1.33</v>
      </c>
      <c r="BG1875">
        <v>0.18</v>
      </c>
      <c r="BH1875">
        <v>-0.46</v>
      </c>
      <c r="BI1875">
        <v>20191224</v>
      </c>
      <c r="BJ1875">
        <v>20150630</v>
      </c>
      <c r="BK1875">
        <v>3.43</v>
      </c>
      <c r="BL1875" t="s">
        <v>116</v>
      </c>
      <c r="BM1875" t="s">
        <v>116</v>
      </c>
      <c r="BN1875">
        <v>28.29</v>
      </c>
      <c r="BO1875">
        <v>21.16</v>
      </c>
      <c r="BP1875">
        <v>2.27</v>
      </c>
      <c r="BQ1875">
        <v>17.18</v>
      </c>
      <c r="BR1875">
        <v>16.73</v>
      </c>
      <c r="BS1875">
        <v>4.21</v>
      </c>
      <c r="BT1875">
        <v>1.42</v>
      </c>
      <c r="BU1875">
        <v>4.38</v>
      </c>
      <c r="BV1875">
        <v>2.61</v>
      </c>
      <c r="BW1875">
        <v>3.54</v>
      </c>
      <c r="BX1875">
        <v>8.67</v>
      </c>
      <c r="BY1875">
        <v>14.24</v>
      </c>
      <c r="BZ1875">
        <v>4.95</v>
      </c>
      <c r="CA1875">
        <v>3.7</v>
      </c>
      <c r="CB1875">
        <v>-0.03</v>
      </c>
      <c r="CC1875">
        <v>3.68</v>
      </c>
      <c r="CD1875">
        <v>3.1</v>
      </c>
      <c r="CE1875">
        <v>2.9</v>
      </c>
      <c r="CF1875">
        <v>2.81</v>
      </c>
      <c r="CG1875">
        <v>8.9499999999999993</v>
      </c>
      <c r="CH1875">
        <v>1.35</v>
      </c>
      <c r="CI1875">
        <v>-7.98</v>
      </c>
      <c r="CJ1875">
        <v>9101</v>
      </c>
      <c r="CK1875">
        <v>16205</v>
      </c>
      <c r="CL1875" t="s">
        <v>9419</v>
      </c>
      <c r="CM1875">
        <v>30.44</v>
      </c>
      <c r="CN1875">
        <v>23.51</v>
      </c>
      <c r="CO1875">
        <v>8.14</v>
      </c>
      <c r="CP1875">
        <v>127.44</v>
      </c>
      <c r="CQ1875">
        <v>12.1</v>
      </c>
      <c r="CR1875">
        <v>0.44</v>
      </c>
      <c r="CS1875" t="s">
        <v>6786</v>
      </c>
      <c r="CT1875">
        <v>6.18</v>
      </c>
      <c r="CU1875">
        <v>0</v>
      </c>
      <c r="CV1875">
        <v>2.5299999999999998</v>
      </c>
      <c r="CW1875">
        <v>2.61</v>
      </c>
      <c r="CX1875">
        <v>0.39</v>
      </c>
      <c r="CY1875">
        <v>74.8</v>
      </c>
      <c r="CZ1875" t="s">
        <v>9420</v>
      </c>
      <c r="DA1875">
        <v>65.22</v>
      </c>
      <c r="DB1875">
        <v>25.95</v>
      </c>
      <c r="DC1875">
        <v>20.38</v>
      </c>
      <c r="DD1875">
        <v>1.1299999999999999</v>
      </c>
      <c r="DE1875">
        <v>2252</v>
      </c>
      <c r="DF1875">
        <v>300482</v>
      </c>
      <c r="DG1875" t="s">
        <v>116</v>
      </c>
      <c r="DH1875" t="s">
        <v>116</v>
      </c>
      <c r="DI1875" t="s">
        <v>116</v>
      </c>
    </row>
    <row r="1876" spans="1:113" x14ac:dyDescent="0.4">
      <c r="A1876" t="str">
        <f>"300483"</f>
        <v>300483</v>
      </c>
      <c r="B1876" t="s">
        <v>9421</v>
      </c>
      <c r="C1876">
        <v>1.9</v>
      </c>
      <c r="D1876">
        <v>37.549999999999997</v>
      </c>
      <c r="E1876">
        <v>0.7</v>
      </c>
      <c r="F1876">
        <v>37.520000000000003</v>
      </c>
      <c r="G1876">
        <v>37.549999999999997</v>
      </c>
      <c r="H1876">
        <v>6147</v>
      </c>
      <c r="I1876">
        <v>34</v>
      </c>
      <c r="J1876">
        <v>-0.02</v>
      </c>
      <c r="K1876">
        <v>1.22</v>
      </c>
      <c r="L1876">
        <v>36.58</v>
      </c>
      <c r="M1876">
        <v>37.880000000000003</v>
      </c>
      <c r="N1876">
        <v>36.58</v>
      </c>
      <c r="O1876">
        <v>36.85</v>
      </c>
      <c r="P1876">
        <v>47.78</v>
      </c>
      <c r="Q1876">
        <v>23038142</v>
      </c>
      <c r="R1876">
        <v>1.35</v>
      </c>
      <c r="S1876" t="s">
        <v>682</v>
      </c>
      <c r="T1876" t="s">
        <v>1653</v>
      </c>
      <c r="U1876">
        <v>3.53</v>
      </c>
      <c r="V1876">
        <v>37.479999999999997</v>
      </c>
      <c r="W1876">
        <v>2677</v>
      </c>
      <c r="X1876">
        <v>3470</v>
      </c>
      <c r="Y1876">
        <v>0.77</v>
      </c>
      <c r="Z1876">
        <v>44</v>
      </c>
      <c r="AA1876">
        <v>9</v>
      </c>
      <c r="AB1876" t="s">
        <v>116</v>
      </c>
      <c r="AC1876">
        <v>120700</v>
      </c>
      <c r="AD1876">
        <v>0.01</v>
      </c>
      <c r="AE1876" t="s">
        <v>116</v>
      </c>
      <c r="AF1876" t="s">
        <v>116</v>
      </c>
      <c r="AG1876">
        <v>0.5</v>
      </c>
      <c r="AH1876" t="s">
        <v>134</v>
      </c>
      <c r="AI1876" t="s">
        <v>9422</v>
      </c>
      <c r="AJ1876">
        <v>2.58</v>
      </c>
      <c r="AK1876">
        <v>872</v>
      </c>
      <c r="AL1876">
        <v>7</v>
      </c>
      <c r="AM1876">
        <v>1.4E-3</v>
      </c>
      <c r="AN1876">
        <v>4</v>
      </c>
      <c r="AO1876">
        <v>4.0199999999999996</v>
      </c>
      <c r="AP1876">
        <v>4.51</v>
      </c>
      <c r="AQ1876">
        <v>-5.98</v>
      </c>
      <c r="AR1876">
        <v>21.84</v>
      </c>
      <c r="AS1876">
        <v>1.74</v>
      </c>
      <c r="AT1876" t="s">
        <v>4756</v>
      </c>
      <c r="AU1876">
        <v>61.88</v>
      </c>
      <c r="AV1876">
        <v>682.15</v>
      </c>
      <c r="AW1876">
        <v>0.88</v>
      </c>
      <c r="BA1876">
        <v>-0.73</v>
      </c>
      <c r="BB1876">
        <v>2.8</v>
      </c>
      <c r="BC1876">
        <v>-0.73</v>
      </c>
      <c r="BD1876">
        <v>1.71</v>
      </c>
      <c r="BE1876">
        <v>2.65</v>
      </c>
      <c r="BF1876">
        <v>-0.87</v>
      </c>
      <c r="BG1876">
        <v>2.65</v>
      </c>
      <c r="BH1876">
        <v>0.19</v>
      </c>
      <c r="BI1876">
        <v>20191030</v>
      </c>
      <c r="BJ1876">
        <v>20150630</v>
      </c>
      <c r="BK1876">
        <v>1.02</v>
      </c>
      <c r="BL1876" t="s">
        <v>116</v>
      </c>
      <c r="BM1876" t="s">
        <v>116</v>
      </c>
      <c r="BN1876">
        <v>68.209999999999994</v>
      </c>
      <c r="BO1876">
        <v>15</v>
      </c>
      <c r="BP1876">
        <v>26.18</v>
      </c>
      <c r="BQ1876">
        <v>39.619999999999997</v>
      </c>
      <c r="BR1876">
        <v>11.26</v>
      </c>
      <c r="BS1876">
        <v>5.53</v>
      </c>
      <c r="BT1876">
        <v>26.48</v>
      </c>
      <c r="BU1876">
        <v>18.53</v>
      </c>
      <c r="BV1876">
        <v>0.46</v>
      </c>
      <c r="BW1876">
        <v>2.1800000000000002</v>
      </c>
      <c r="BX1876">
        <v>11.79</v>
      </c>
      <c r="BY1876">
        <v>10.82</v>
      </c>
      <c r="BZ1876">
        <v>4.96</v>
      </c>
      <c r="CA1876">
        <v>3.49</v>
      </c>
      <c r="CB1876">
        <v>0</v>
      </c>
      <c r="CC1876">
        <v>3.15</v>
      </c>
      <c r="CD1876">
        <v>2.5499999999999998</v>
      </c>
      <c r="CE1876">
        <v>0.6</v>
      </c>
      <c r="CF1876">
        <v>0.74</v>
      </c>
      <c r="CG1876">
        <v>1.96</v>
      </c>
      <c r="CH1876">
        <v>4.83</v>
      </c>
      <c r="CI1876">
        <v>4.1100000000000003</v>
      </c>
      <c r="CJ1876">
        <v>5744</v>
      </c>
      <c r="CK1876">
        <v>6150</v>
      </c>
      <c r="CL1876" t="s">
        <v>9423</v>
      </c>
      <c r="CM1876">
        <v>1466.17</v>
      </c>
      <c r="CN1876">
        <v>490.42</v>
      </c>
      <c r="CO1876">
        <v>2.5499999999999998</v>
      </c>
      <c r="CP1876">
        <v>7.93</v>
      </c>
      <c r="CQ1876">
        <v>3.54</v>
      </c>
      <c r="CR1876">
        <v>0</v>
      </c>
      <c r="CS1876" t="s">
        <v>9424</v>
      </c>
      <c r="CT1876">
        <v>14.71</v>
      </c>
      <c r="CU1876">
        <v>0</v>
      </c>
      <c r="CV1876">
        <v>11.56</v>
      </c>
      <c r="CW1876">
        <v>1.92</v>
      </c>
      <c r="CX1876">
        <v>4.7300000000000004</v>
      </c>
      <c r="CY1876">
        <v>22</v>
      </c>
      <c r="CZ1876" t="s">
        <v>5644</v>
      </c>
      <c r="DA1876">
        <v>54.18</v>
      </c>
      <c r="DB1876">
        <v>32.229999999999997</v>
      </c>
      <c r="DC1876">
        <v>5.56</v>
      </c>
      <c r="DD1876">
        <v>0.05</v>
      </c>
      <c r="DE1876">
        <v>261</v>
      </c>
      <c r="DF1876">
        <v>300483</v>
      </c>
      <c r="DG1876" t="s">
        <v>116</v>
      </c>
      <c r="DH1876" t="s">
        <v>116</v>
      </c>
      <c r="DI1876" t="s">
        <v>116</v>
      </c>
    </row>
    <row r="1877" spans="1:113" x14ac:dyDescent="0.4">
      <c r="A1877" t="str">
        <f>"300484"</f>
        <v>300484</v>
      </c>
      <c r="B1877" t="s">
        <v>9425</v>
      </c>
      <c r="C1877">
        <v>-2.36</v>
      </c>
      <c r="D1877">
        <v>9.1199999999999992</v>
      </c>
      <c r="E1877">
        <v>-0.22</v>
      </c>
      <c r="F1877">
        <v>9.1199999999999992</v>
      </c>
      <c r="G1877">
        <v>9.14</v>
      </c>
      <c r="H1877">
        <v>39497</v>
      </c>
      <c r="I1877">
        <v>489</v>
      </c>
      <c r="J1877">
        <v>0</v>
      </c>
      <c r="K1877">
        <v>2.84</v>
      </c>
      <c r="L1877">
        <v>9.31</v>
      </c>
      <c r="M1877">
        <v>9.3699999999999992</v>
      </c>
      <c r="N1877">
        <v>9.11</v>
      </c>
      <c r="O1877">
        <v>9.34</v>
      </c>
      <c r="P1877" t="s">
        <v>116</v>
      </c>
      <c r="Q1877">
        <v>36514928</v>
      </c>
      <c r="R1877">
        <v>1.19</v>
      </c>
      <c r="S1877" t="s">
        <v>397</v>
      </c>
      <c r="T1877" t="s">
        <v>115</v>
      </c>
      <c r="U1877">
        <v>2.78</v>
      </c>
      <c r="V1877">
        <v>9.24</v>
      </c>
      <c r="W1877">
        <v>23101</v>
      </c>
      <c r="X1877">
        <v>16396</v>
      </c>
      <c r="Y1877">
        <v>1.41</v>
      </c>
      <c r="Z1877">
        <v>277</v>
      </c>
      <c r="AA1877">
        <v>45</v>
      </c>
      <c r="AB1877" t="s">
        <v>116</v>
      </c>
      <c r="AC1877">
        <v>200200</v>
      </c>
      <c r="AD1877">
        <v>0.02</v>
      </c>
      <c r="AE1877" t="s">
        <v>116</v>
      </c>
      <c r="AF1877" t="s">
        <v>116</v>
      </c>
      <c r="AG1877">
        <v>1.39</v>
      </c>
      <c r="AH1877" t="s">
        <v>1421</v>
      </c>
      <c r="AI1877" t="s">
        <v>2939</v>
      </c>
      <c r="AJ1877">
        <v>-1.68</v>
      </c>
      <c r="AK1877">
        <v>1243</v>
      </c>
      <c r="AL1877">
        <v>32</v>
      </c>
      <c r="AM1877">
        <v>2.3E-3</v>
      </c>
      <c r="AN1877">
        <v>-1</v>
      </c>
      <c r="AO1877">
        <v>-2.4700000000000002</v>
      </c>
      <c r="AP1877">
        <v>0.77</v>
      </c>
      <c r="AQ1877">
        <v>-18.64</v>
      </c>
      <c r="AR1877">
        <v>-18.5</v>
      </c>
      <c r="AS1877">
        <v>4.2</v>
      </c>
      <c r="AT1877" t="s">
        <v>9426</v>
      </c>
      <c r="AU1877" t="s">
        <v>116</v>
      </c>
      <c r="AV1877">
        <v>77.37</v>
      </c>
      <c r="AW1877">
        <v>0.98</v>
      </c>
      <c r="BA1877">
        <v>-0.32</v>
      </c>
      <c r="BB1877">
        <v>0.32</v>
      </c>
      <c r="BC1877">
        <v>-2.46</v>
      </c>
      <c r="BD1877">
        <v>-1.02</v>
      </c>
      <c r="BE1877">
        <v>-2.04</v>
      </c>
      <c r="BF1877">
        <v>-2.67</v>
      </c>
      <c r="BG1877">
        <v>0.11</v>
      </c>
      <c r="BH1877">
        <v>-1.34</v>
      </c>
      <c r="BI1877">
        <v>20191018</v>
      </c>
      <c r="BJ1877">
        <v>20160322</v>
      </c>
      <c r="BK1877">
        <v>2.08</v>
      </c>
      <c r="BL1877" t="s">
        <v>116</v>
      </c>
      <c r="BM1877" t="s">
        <v>116</v>
      </c>
      <c r="BN1877">
        <v>10.16</v>
      </c>
      <c r="BO1877">
        <v>6.2</v>
      </c>
      <c r="BP1877">
        <v>0.05</v>
      </c>
      <c r="BQ1877">
        <v>38.520000000000003</v>
      </c>
      <c r="BR1877">
        <v>9.1</v>
      </c>
      <c r="BS1877">
        <v>0.61</v>
      </c>
      <c r="BT1877">
        <v>0.04</v>
      </c>
      <c r="BU1877">
        <v>3.91</v>
      </c>
      <c r="BV1877">
        <v>1.54</v>
      </c>
      <c r="BW1877">
        <v>2.37</v>
      </c>
      <c r="BX1877">
        <v>0.82</v>
      </c>
      <c r="BY1877">
        <v>2.2799999999999998</v>
      </c>
      <c r="BZ1877">
        <v>1.49</v>
      </c>
      <c r="CA1877">
        <v>-0.82</v>
      </c>
      <c r="CB1877">
        <v>0</v>
      </c>
      <c r="CC1877">
        <v>-0.81</v>
      </c>
      <c r="CD1877">
        <v>-0.79</v>
      </c>
      <c r="CE1877">
        <v>-0.8</v>
      </c>
      <c r="CF1877">
        <v>-0.89</v>
      </c>
      <c r="CG1877">
        <v>2.89</v>
      </c>
      <c r="CH1877">
        <v>-0.5</v>
      </c>
      <c r="CI1877">
        <v>-0.06</v>
      </c>
      <c r="CJ1877">
        <v>15633</v>
      </c>
      <c r="CK1877">
        <v>6023</v>
      </c>
      <c r="CL1877" t="s">
        <v>3469</v>
      </c>
      <c r="CM1877">
        <v>-673.9</v>
      </c>
      <c r="CN1877">
        <v>-14.19</v>
      </c>
      <c r="CO1877">
        <v>3.06</v>
      </c>
      <c r="CP1877">
        <v>-37.869999999999997</v>
      </c>
      <c r="CQ1877">
        <v>8.32</v>
      </c>
      <c r="CR1877">
        <v>0</v>
      </c>
      <c r="CS1877" t="s">
        <v>9427</v>
      </c>
      <c r="CT1877">
        <v>2.98</v>
      </c>
      <c r="CU1877">
        <v>0</v>
      </c>
      <c r="CV1877">
        <v>0.4</v>
      </c>
      <c r="CW1877">
        <v>1.39</v>
      </c>
      <c r="CX1877">
        <v>-0.24</v>
      </c>
      <c r="CY1877">
        <v>61.03</v>
      </c>
      <c r="CZ1877" t="s">
        <v>9428</v>
      </c>
      <c r="DA1877">
        <v>34.53</v>
      </c>
      <c r="DB1877">
        <v>-35.86</v>
      </c>
      <c r="DC1877">
        <v>-35.18</v>
      </c>
      <c r="DD1877">
        <v>0.28000000000000003</v>
      </c>
      <c r="DE1877">
        <v>458</v>
      </c>
      <c r="DF1877">
        <v>300484</v>
      </c>
      <c r="DG1877" t="s">
        <v>116</v>
      </c>
      <c r="DH1877" t="s">
        <v>116</v>
      </c>
      <c r="DI1877" t="s">
        <v>116</v>
      </c>
    </row>
    <row r="1878" spans="1:113" x14ac:dyDescent="0.4">
      <c r="A1878" t="str">
        <f>"300485"</f>
        <v>300485</v>
      </c>
      <c r="B1878" t="s">
        <v>9429</v>
      </c>
      <c r="C1878">
        <v>-1.94</v>
      </c>
      <c r="D1878">
        <v>8.61</v>
      </c>
      <c r="E1878">
        <v>-0.17</v>
      </c>
      <c r="F1878">
        <v>8.6</v>
      </c>
      <c r="G1878">
        <v>8.61</v>
      </c>
      <c r="H1878">
        <v>27257</v>
      </c>
      <c r="I1878">
        <v>381</v>
      </c>
      <c r="J1878">
        <v>0.12</v>
      </c>
      <c r="K1878">
        <v>1.1000000000000001</v>
      </c>
      <c r="L1878">
        <v>8.68</v>
      </c>
      <c r="M1878">
        <v>8.77</v>
      </c>
      <c r="N1878">
        <v>8.59</v>
      </c>
      <c r="O1878">
        <v>8.7799999999999994</v>
      </c>
      <c r="P1878">
        <v>24.67</v>
      </c>
      <c r="Q1878">
        <v>23664366</v>
      </c>
      <c r="R1878">
        <v>0.66</v>
      </c>
      <c r="S1878" t="s">
        <v>132</v>
      </c>
      <c r="T1878" t="s">
        <v>165</v>
      </c>
      <c r="U1878">
        <v>2.0499999999999998</v>
      </c>
      <c r="V1878">
        <v>8.68</v>
      </c>
      <c r="W1878">
        <v>16600</v>
      </c>
      <c r="X1878">
        <v>10657</v>
      </c>
      <c r="Y1878">
        <v>1.56</v>
      </c>
      <c r="Z1878">
        <v>110</v>
      </c>
      <c r="AA1878">
        <v>386</v>
      </c>
      <c r="AB1878" t="s">
        <v>116</v>
      </c>
      <c r="AC1878">
        <v>248200</v>
      </c>
      <c r="AD1878">
        <v>0.02</v>
      </c>
      <c r="AE1878" t="s">
        <v>116</v>
      </c>
      <c r="AF1878" t="s">
        <v>116</v>
      </c>
      <c r="AG1878">
        <v>2.48</v>
      </c>
      <c r="AH1878" t="s">
        <v>6478</v>
      </c>
      <c r="AI1878" t="s">
        <v>9430</v>
      </c>
      <c r="AJ1878">
        <v>-1.26</v>
      </c>
      <c r="AK1878">
        <v>767</v>
      </c>
      <c r="AL1878">
        <v>36</v>
      </c>
      <c r="AM1878">
        <v>1.4E-3</v>
      </c>
      <c r="AN1878">
        <v>-2</v>
      </c>
      <c r="AO1878">
        <v>-1.38</v>
      </c>
      <c r="AP1878">
        <v>3.73</v>
      </c>
      <c r="AQ1878">
        <v>-8.5</v>
      </c>
      <c r="AR1878">
        <v>-11.15</v>
      </c>
      <c r="AS1878">
        <v>1.54</v>
      </c>
      <c r="AT1878" t="s">
        <v>7349</v>
      </c>
      <c r="AU1878">
        <v>20.88</v>
      </c>
      <c r="AV1878">
        <v>14.72</v>
      </c>
      <c r="AW1878">
        <v>1.28</v>
      </c>
      <c r="BA1878">
        <v>-1.1399999999999999</v>
      </c>
      <c r="BB1878">
        <v>-0.11</v>
      </c>
      <c r="BC1878">
        <v>-2.16</v>
      </c>
      <c r="BD1878">
        <v>-1.1200000000000001</v>
      </c>
      <c r="BE1878">
        <v>-0.81</v>
      </c>
      <c r="BF1878">
        <v>-1.82</v>
      </c>
      <c r="BG1878">
        <v>0.23</v>
      </c>
      <c r="BH1878">
        <v>-0.82</v>
      </c>
      <c r="BI1878">
        <v>20191030</v>
      </c>
      <c r="BJ1878">
        <v>20150626</v>
      </c>
      <c r="BK1878">
        <v>4.84</v>
      </c>
      <c r="BL1878" t="s">
        <v>116</v>
      </c>
      <c r="BM1878" t="s">
        <v>116</v>
      </c>
      <c r="BN1878">
        <v>27.67</v>
      </c>
      <c r="BO1878">
        <v>26.56</v>
      </c>
      <c r="BP1878">
        <v>0.38</v>
      </c>
      <c r="BQ1878">
        <v>2.64</v>
      </c>
      <c r="BR1878">
        <v>16.489999999999998</v>
      </c>
      <c r="BS1878">
        <v>0.53</v>
      </c>
      <c r="BT1878">
        <v>0.78</v>
      </c>
      <c r="BU1878">
        <v>0.66</v>
      </c>
      <c r="BV1878">
        <v>1.81</v>
      </c>
      <c r="BW1878">
        <v>1.74</v>
      </c>
      <c r="BX1878">
        <v>8.4700000000000006</v>
      </c>
      <c r="BY1878">
        <v>8.7899999999999991</v>
      </c>
      <c r="BZ1878">
        <v>1.29</v>
      </c>
      <c r="CA1878">
        <v>1.51</v>
      </c>
      <c r="CB1878">
        <v>0.17</v>
      </c>
      <c r="CC1878">
        <v>1.47</v>
      </c>
      <c r="CD1878">
        <v>1.26</v>
      </c>
      <c r="CE1878">
        <v>1.27</v>
      </c>
      <c r="CF1878">
        <v>1.19</v>
      </c>
      <c r="CG1878">
        <v>11.99</v>
      </c>
      <c r="CH1878">
        <v>1.23</v>
      </c>
      <c r="CI1878">
        <v>0.22</v>
      </c>
      <c r="CJ1878">
        <v>19053</v>
      </c>
      <c r="CK1878">
        <v>9304</v>
      </c>
      <c r="CL1878" t="s">
        <v>1532</v>
      </c>
      <c r="CM1878">
        <v>-39.71</v>
      </c>
      <c r="CN1878">
        <v>-6.48</v>
      </c>
      <c r="CO1878">
        <v>1.57</v>
      </c>
      <c r="CP1878">
        <v>33.97</v>
      </c>
      <c r="CQ1878">
        <v>4.74</v>
      </c>
      <c r="CR1878">
        <v>1.39</v>
      </c>
      <c r="CS1878" t="s">
        <v>3228</v>
      </c>
      <c r="CT1878">
        <v>5.49</v>
      </c>
      <c r="CU1878">
        <v>0</v>
      </c>
      <c r="CV1878">
        <v>1.75</v>
      </c>
      <c r="CW1878">
        <v>2.48</v>
      </c>
      <c r="CX1878">
        <v>0.25</v>
      </c>
      <c r="CY1878">
        <v>95.99</v>
      </c>
      <c r="CZ1878" t="s">
        <v>1507</v>
      </c>
      <c r="DA1878">
        <v>85.34</v>
      </c>
      <c r="DB1878">
        <v>17.239999999999998</v>
      </c>
      <c r="DC1878">
        <v>14.42</v>
      </c>
      <c r="DD1878">
        <v>0.18</v>
      </c>
      <c r="DE1878">
        <v>512</v>
      </c>
      <c r="DF1878">
        <v>300485</v>
      </c>
      <c r="DG1878" t="s">
        <v>116</v>
      </c>
      <c r="DH1878" t="s">
        <v>116</v>
      </c>
      <c r="DI1878" t="s">
        <v>116</v>
      </c>
    </row>
    <row r="1879" spans="1:113" x14ac:dyDescent="0.4">
      <c r="A1879" t="str">
        <f>"300486"</f>
        <v>300486</v>
      </c>
      <c r="B1879" t="s">
        <v>9431</v>
      </c>
      <c r="C1879">
        <v>-0.34</v>
      </c>
      <c r="D1879">
        <v>20.329999999999998</v>
      </c>
      <c r="E1879">
        <v>-7.0000000000000007E-2</v>
      </c>
      <c r="F1879">
        <v>20.329999999999998</v>
      </c>
      <c r="G1879">
        <v>20.34</v>
      </c>
      <c r="H1879">
        <v>12182</v>
      </c>
      <c r="I1879">
        <v>69</v>
      </c>
      <c r="J1879">
        <v>-0.09</v>
      </c>
      <c r="K1879">
        <v>0.82</v>
      </c>
      <c r="L1879">
        <v>20.260000000000002</v>
      </c>
      <c r="M1879">
        <v>20.45</v>
      </c>
      <c r="N1879">
        <v>20.23</v>
      </c>
      <c r="O1879">
        <v>20.399999999999999</v>
      </c>
      <c r="P1879">
        <v>50.33</v>
      </c>
      <c r="Q1879">
        <v>24798066</v>
      </c>
      <c r="R1879">
        <v>0.57999999999999996</v>
      </c>
      <c r="S1879" t="s">
        <v>682</v>
      </c>
      <c r="T1879" t="s">
        <v>675</v>
      </c>
      <c r="U1879">
        <v>1.08</v>
      </c>
      <c r="V1879">
        <v>20.36</v>
      </c>
      <c r="W1879">
        <v>5812</v>
      </c>
      <c r="X1879">
        <v>6370</v>
      </c>
      <c r="Y1879">
        <v>0.91</v>
      </c>
      <c r="Z1879">
        <v>31</v>
      </c>
      <c r="AA1879">
        <v>62</v>
      </c>
      <c r="AB1879" t="s">
        <v>116</v>
      </c>
      <c r="AC1879">
        <v>48600</v>
      </c>
      <c r="AD1879">
        <v>0</v>
      </c>
      <c r="AE1879" t="s">
        <v>116</v>
      </c>
      <c r="AF1879" t="s">
        <v>116</v>
      </c>
      <c r="AG1879">
        <v>1.48</v>
      </c>
      <c r="AH1879" t="s">
        <v>5542</v>
      </c>
      <c r="AI1879" t="s">
        <v>9432</v>
      </c>
      <c r="AJ1879">
        <v>0.34</v>
      </c>
      <c r="AK1879">
        <v>979</v>
      </c>
      <c r="AL1879">
        <v>12</v>
      </c>
      <c r="AM1879">
        <v>8.0000000000000004E-4</v>
      </c>
      <c r="AN1879">
        <v>-1</v>
      </c>
      <c r="AO1879">
        <v>1.45</v>
      </c>
      <c r="AP1879">
        <v>5.34</v>
      </c>
      <c r="AQ1879">
        <v>46.79</v>
      </c>
      <c r="AR1879">
        <v>52.91</v>
      </c>
      <c r="AS1879">
        <v>1.33</v>
      </c>
      <c r="AT1879" t="s">
        <v>4399</v>
      </c>
      <c r="AU1879">
        <v>50.37</v>
      </c>
      <c r="AV1879">
        <v>57.6</v>
      </c>
      <c r="AW1879">
        <v>0.86</v>
      </c>
      <c r="BA1879">
        <v>-0.69</v>
      </c>
      <c r="BB1879">
        <v>0.25</v>
      </c>
      <c r="BC1879">
        <v>-0.83</v>
      </c>
      <c r="BD1879">
        <v>-0.22</v>
      </c>
      <c r="BE1879">
        <v>0.35</v>
      </c>
      <c r="BF1879">
        <v>-0.59</v>
      </c>
      <c r="BG1879">
        <v>0.49</v>
      </c>
      <c r="BH1879">
        <v>-0.13</v>
      </c>
      <c r="BI1879">
        <v>20191223</v>
      </c>
      <c r="BJ1879">
        <v>20150630</v>
      </c>
      <c r="BK1879">
        <v>1.81</v>
      </c>
      <c r="BL1879" t="s">
        <v>116</v>
      </c>
      <c r="BM1879" t="s">
        <v>116</v>
      </c>
      <c r="BN1879">
        <v>22.68</v>
      </c>
      <c r="BO1879">
        <v>13.59</v>
      </c>
      <c r="BP1879">
        <v>0.01</v>
      </c>
      <c r="BQ1879">
        <v>40.01</v>
      </c>
      <c r="BR1879">
        <v>12.37</v>
      </c>
      <c r="BS1879">
        <v>3.35</v>
      </c>
      <c r="BT1879">
        <v>1.21</v>
      </c>
      <c r="BU1879">
        <v>8.1</v>
      </c>
      <c r="BV1879">
        <v>4.83</v>
      </c>
      <c r="BW1879">
        <v>4</v>
      </c>
      <c r="BX1879">
        <v>8.3000000000000007</v>
      </c>
      <c r="BY1879">
        <v>5.0199999999999996</v>
      </c>
      <c r="BZ1879">
        <v>3.55</v>
      </c>
      <c r="CA1879">
        <v>0.6</v>
      </c>
      <c r="CB1879">
        <v>0</v>
      </c>
      <c r="CC1879">
        <v>0.61</v>
      </c>
      <c r="CD1879">
        <v>0.55000000000000004</v>
      </c>
      <c r="CE1879">
        <v>0.55000000000000004</v>
      </c>
      <c r="CF1879">
        <v>0.53</v>
      </c>
      <c r="CG1879">
        <v>3.15</v>
      </c>
      <c r="CH1879">
        <v>-0.26</v>
      </c>
      <c r="CI1879">
        <v>0.27</v>
      </c>
      <c r="CJ1879">
        <v>13011</v>
      </c>
      <c r="CK1879">
        <v>7055</v>
      </c>
      <c r="CL1879" t="s">
        <v>9433</v>
      </c>
      <c r="CM1879">
        <v>20.100000000000001</v>
      </c>
      <c r="CN1879">
        <v>14.55</v>
      </c>
      <c r="CO1879">
        <v>2.7</v>
      </c>
      <c r="CP1879">
        <v>-138.99</v>
      </c>
      <c r="CQ1879">
        <v>7.32</v>
      </c>
      <c r="CR1879">
        <v>0.17</v>
      </c>
      <c r="CS1879" t="s">
        <v>3626</v>
      </c>
      <c r="CT1879">
        <v>7.52</v>
      </c>
      <c r="CU1879">
        <v>0</v>
      </c>
      <c r="CV1879">
        <v>4.59</v>
      </c>
      <c r="CW1879">
        <v>1.74</v>
      </c>
      <c r="CX1879">
        <v>-0.15</v>
      </c>
      <c r="CY1879">
        <v>59.93</v>
      </c>
      <c r="CZ1879" t="s">
        <v>2745</v>
      </c>
      <c r="DA1879">
        <v>29.17</v>
      </c>
      <c r="DB1879">
        <v>11.93</v>
      </c>
      <c r="DC1879">
        <v>10.91</v>
      </c>
      <c r="DD1879">
        <v>0.28000000000000003</v>
      </c>
      <c r="DE1879">
        <v>570</v>
      </c>
      <c r="DF1879">
        <v>300486</v>
      </c>
      <c r="DG1879" t="s">
        <v>116</v>
      </c>
      <c r="DH1879" t="s">
        <v>116</v>
      </c>
      <c r="DI1879" t="s">
        <v>116</v>
      </c>
    </row>
    <row r="1880" spans="1:113" x14ac:dyDescent="0.4">
      <c r="A1880" t="str">
        <f>"300487"</f>
        <v>300487</v>
      </c>
      <c r="B1880" t="s">
        <v>9434</v>
      </c>
      <c r="C1880">
        <v>-2.67</v>
      </c>
      <c r="D1880">
        <v>35.409999999999997</v>
      </c>
      <c r="E1880">
        <v>-0.97</v>
      </c>
      <c r="F1880">
        <v>35.409999999999997</v>
      </c>
      <c r="G1880">
        <v>35.42</v>
      </c>
      <c r="H1880">
        <v>29831</v>
      </c>
      <c r="I1880">
        <v>369</v>
      </c>
      <c r="J1880">
        <v>0.08</v>
      </c>
      <c r="K1880">
        <v>2.71</v>
      </c>
      <c r="L1880">
        <v>36.15</v>
      </c>
      <c r="M1880">
        <v>36.6</v>
      </c>
      <c r="N1880">
        <v>35.33</v>
      </c>
      <c r="O1880">
        <v>36.380000000000003</v>
      </c>
      <c r="P1880">
        <v>23.82</v>
      </c>
      <c r="Q1880">
        <v>107278808</v>
      </c>
      <c r="R1880">
        <v>1.1100000000000001</v>
      </c>
      <c r="S1880" t="s">
        <v>891</v>
      </c>
      <c r="T1880" t="s">
        <v>913</v>
      </c>
      <c r="U1880">
        <v>3.49</v>
      </c>
      <c r="V1880">
        <v>35.96</v>
      </c>
      <c r="W1880">
        <v>17492</v>
      </c>
      <c r="X1880">
        <v>12339</v>
      </c>
      <c r="Y1880">
        <v>1.42</v>
      </c>
      <c r="Z1880">
        <v>44</v>
      </c>
      <c r="AA1880">
        <v>251</v>
      </c>
      <c r="AB1880" t="s">
        <v>116</v>
      </c>
      <c r="AC1880">
        <v>968800</v>
      </c>
      <c r="AD1880">
        <v>0.03</v>
      </c>
      <c r="AE1880" t="s">
        <v>116</v>
      </c>
      <c r="AF1880" t="s">
        <v>116</v>
      </c>
      <c r="AG1880">
        <v>1.1000000000000001</v>
      </c>
      <c r="AH1880" t="s">
        <v>9435</v>
      </c>
      <c r="AI1880" t="s">
        <v>9436</v>
      </c>
      <c r="AJ1880">
        <v>-1.99</v>
      </c>
      <c r="AK1880">
        <v>2432</v>
      </c>
      <c r="AL1880">
        <v>12</v>
      </c>
      <c r="AM1880">
        <v>1.1000000000000001E-3</v>
      </c>
      <c r="AN1880">
        <v>-1</v>
      </c>
      <c r="AO1880">
        <v>-3.21</v>
      </c>
      <c r="AP1880">
        <v>4.3899999999999997</v>
      </c>
      <c r="AQ1880">
        <v>-0.08</v>
      </c>
      <c r="AR1880">
        <v>44.63</v>
      </c>
      <c r="AS1880">
        <v>3.65</v>
      </c>
      <c r="AT1880" t="s">
        <v>7440</v>
      </c>
      <c r="AU1880">
        <v>25.54</v>
      </c>
      <c r="AV1880">
        <v>51.09</v>
      </c>
      <c r="AW1880">
        <v>1.1100000000000001</v>
      </c>
      <c r="BA1880">
        <v>-0.63</v>
      </c>
      <c r="BB1880">
        <v>0.6</v>
      </c>
      <c r="BC1880">
        <v>-2.89</v>
      </c>
      <c r="BD1880">
        <v>-1.1499999999999999</v>
      </c>
      <c r="BE1880">
        <v>-2.0499999999999998</v>
      </c>
      <c r="BF1880">
        <v>-3.25</v>
      </c>
      <c r="BG1880">
        <v>0.23</v>
      </c>
      <c r="BH1880">
        <v>-1.52</v>
      </c>
      <c r="BI1880">
        <v>20191025</v>
      </c>
      <c r="BJ1880">
        <v>20150702</v>
      </c>
      <c r="BK1880">
        <v>2.0699999999999998</v>
      </c>
      <c r="BL1880" t="s">
        <v>116</v>
      </c>
      <c r="BM1880" t="s">
        <v>116</v>
      </c>
      <c r="BN1880">
        <v>21.33</v>
      </c>
      <c r="BO1880">
        <v>12.26</v>
      </c>
      <c r="BP1880">
        <v>0.21</v>
      </c>
      <c r="BQ1880">
        <v>41.5</v>
      </c>
      <c r="BR1880">
        <v>10.28</v>
      </c>
      <c r="BS1880">
        <v>2.08</v>
      </c>
      <c r="BT1880">
        <v>0.93</v>
      </c>
      <c r="BU1880">
        <v>5.91</v>
      </c>
      <c r="BV1880">
        <v>2.2400000000000002</v>
      </c>
      <c r="BW1880">
        <v>2.66</v>
      </c>
      <c r="BX1880">
        <v>3.5</v>
      </c>
      <c r="BY1880">
        <v>8.5</v>
      </c>
      <c r="BZ1880">
        <v>4.2699999999999996</v>
      </c>
      <c r="CA1880">
        <v>2.61</v>
      </c>
      <c r="CB1880">
        <v>0</v>
      </c>
      <c r="CC1880">
        <v>2.61</v>
      </c>
      <c r="CD1880">
        <v>2.29</v>
      </c>
      <c r="CE1880">
        <v>2.2999999999999998</v>
      </c>
      <c r="CF1880">
        <v>2.2999999999999998</v>
      </c>
      <c r="CG1880">
        <v>6.22</v>
      </c>
      <c r="CH1880">
        <v>-0.8</v>
      </c>
      <c r="CI1880">
        <v>0.1</v>
      </c>
      <c r="CJ1880">
        <v>12645</v>
      </c>
      <c r="CK1880">
        <v>6470</v>
      </c>
      <c r="CL1880" t="s">
        <v>9437</v>
      </c>
      <c r="CM1880">
        <v>164.59</v>
      </c>
      <c r="CN1880">
        <v>103.41</v>
      </c>
      <c r="CO1880">
        <v>6.25</v>
      </c>
      <c r="CP1880">
        <v>-91.61</v>
      </c>
      <c r="CQ1880">
        <v>8.61</v>
      </c>
      <c r="CR1880">
        <v>0.41</v>
      </c>
      <c r="CS1880" t="s">
        <v>9438</v>
      </c>
      <c r="CT1880">
        <v>5.66</v>
      </c>
      <c r="CU1880">
        <v>5.66</v>
      </c>
      <c r="CV1880">
        <v>1.69</v>
      </c>
      <c r="CW1880">
        <v>3.01</v>
      </c>
      <c r="CX1880">
        <v>-0.39</v>
      </c>
      <c r="CY1880">
        <v>57.51</v>
      </c>
      <c r="CZ1880" t="s">
        <v>9439</v>
      </c>
      <c r="DA1880">
        <v>49.75</v>
      </c>
      <c r="DB1880">
        <v>30.71</v>
      </c>
      <c r="DC1880">
        <v>27.1</v>
      </c>
      <c r="DD1880">
        <v>0.52</v>
      </c>
      <c r="DE1880">
        <v>692</v>
      </c>
      <c r="DF1880">
        <v>300487</v>
      </c>
      <c r="DG1880" t="s">
        <v>116</v>
      </c>
      <c r="DH1880" t="s">
        <v>116</v>
      </c>
      <c r="DI1880" t="s">
        <v>116</v>
      </c>
    </row>
    <row r="1881" spans="1:113" x14ac:dyDescent="0.4">
      <c r="A1881" t="str">
        <f>"300488"</f>
        <v>300488</v>
      </c>
      <c r="B1881" t="s">
        <v>9440</v>
      </c>
      <c r="C1881">
        <v>-1.8</v>
      </c>
      <c r="D1881">
        <v>15.83</v>
      </c>
      <c r="E1881">
        <v>-0.28999999999999998</v>
      </c>
      <c r="F1881">
        <v>15.82</v>
      </c>
      <c r="G1881">
        <v>15.83</v>
      </c>
      <c r="H1881">
        <v>8816</v>
      </c>
      <c r="I1881">
        <v>288</v>
      </c>
      <c r="J1881">
        <v>-0.12</v>
      </c>
      <c r="K1881">
        <v>1.76</v>
      </c>
      <c r="L1881">
        <v>16.149999999999999</v>
      </c>
      <c r="M1881">
        <v>16.2</v>
      </c>
      <c r="N1881">
        <v>15.82</v>
      </c>
      <c r="O1881">
        <v>16.12</v>
      </c>
      <c r="P1881">
        <v>24.02</v>
      </c>
      <c r="Q1881">
        <v>14119380</v>
      </c>
      <c r="R1881">
        <v>1.1499999999999999</v>
      </c>
      <c r="S1881" t="s">
        <v>996</v>
      </c>
      <c r="T1881" t="s">
        <v>590</v>
      </c>
      <c r="U1881">
        <v>2.36</v>
      </c>
      <c r="V1881">
        <v>16.010000000000002</v>
      </c>
      <c r="W1881">
        <v>5244</v>
      </c>
      <c r="X1881">
        <v>3572</v>
      </c>
      <c r="Y1881">
        <v>1.47</v>
      </c>
      <c r="Z1881">
        <v>152</v>
      </c>
      <c r="AA1881">
        <v>313</v>
      </c>
      <c r="AB1881" t="s">
        <v>116</v>
      </c>
      <c r="AC1881">
        <v>0</v>
      </c>
      <c r="AD1881">
        <v>0</v>
      </c>
      <c r="AE1881" t="s">
        <v>116</v>
      </c>
      <c r="AF1881" t="s">
        <v>116</v>
      </c>
      <c r="AG1881">
        <v>0.5</v>
      </c>
      <c r="AH1881" t="s">
        <v>9441</v>
      </c>
      <c r="AI1881" t="s">
        <v>5912</v>
      </c>
      <c r="AJ1881">
        <v>-1.1200000000000001</v>
      </c>
      <c r="AK1881">
        <v>790</v>
      </c>
      <c r="AL1881">
        <v>11</v>
      </c>
      <c r="AM1881">
        <v>2.2000000000000001E-3</v>
      </c>
      <c r="AN1881">
        <v>-1</v>
      </c>
      <c r="AO1881">
        <v>0.45</v>
      </c>
      <c r="AP1881">
        <v>5.32</v>
      </c>
      <c r="AQ1881">
        <v>-6.83</v>
      </c>
      <c r="AR1881">
        <v>4.4000000000000004</v>
      </c>
      <c r="AS1881">
        <v>2.68</v>
      </c>
      <c r="AT1881" t="s">
        <v>9442</v>
      </c>
      <c r="AU1881">
        <v>41.97</v>
      </c>
      <c r="AV1881">
        <v>38.19</v>
      </c>
      <c r="AW1881">
        <v>1.28</v>
      </c>
      <c r="BA1881">
        <v>0.19</v>
      </c>
      <c r="BB1881">
        <v>0.5</v>
      </c>
      <c r="BC1881">
        <v>-1.86</v>
      </c>
      <c r="BD1881">
        <v>-0.65</v>
      </c>
      <c r="BE1881">
        <v>-1.98</v>
      </c>
      <c r="BF1881">
        <v>-2.2799999999999998</v>
      </c>
      <c r="BG1881">
        <v>0.06</v>
      </c>
      <c r="BH1881">
        <v>-1.1499999999999999</v>
      </c>
      <c r="BI1881">
        <v>20191106</v>
      </c>
      <c r="BJ1881">
        <v>20150701</v>
      </c>
      <c r="BK1881">
        <v>1.67</v>
      </c>
      <c r="BL1881" t="s">
        <v>116</v>
      </c>
      <c r="BM1881" t="s">
        <v>116</v>
      </c>
      <c r="BN1881">
        <v>11.37</v>
      </c>
      <c r="BO1881">
        <v>9.7899999999999991</v>
      </c>
      <c r="BP1881">
        <v>0.02</v>
      </c>
      <c r="BQ1881">
        <v>13.73</v>
      </c>
      <c r="BR1881">
        <v>4.0199999999999996</v>
      </c>
      <c r="BS1881">
        <v>4.49</v>
      </c>
      <c r="BT1881">
        <v>0.67</v>
      </c>
      <c r="BU1881">
        <v>0.9</v>
      </c>
      <c r="BV1881">
        <v>1.01</v>
      </c>
      <c r="BW1881">
        <v>1.1599999999999999</v>
      </c>
      <c r="BX1881">
        <v>2.54</v>
      </c>
      <c r="BY1881">
        <v>2.34</v>
      </c>
      <c r="BZ1881">
        <v>1.18</v>
      </c>
      <c r="CA1881">
        <v>0.96</v>
      </c>
      <c r="CB1881">
        <v>0.24</v>
      </c>
      <c r="CC1881">
        <v>0.96</v>
      </c>
      <c r="CD1881">
        <v>0.83</v>
      </c>
      <c r="CE1881">
        <v>0.83</v>
      </c>
      <c r="CF1881">
        <v>0.5</v>
      </c>
      <c r="CG1881">
        <v>5.15</v>
      </c>
      <c r="CH1881">
        <v>0.93</v>
      </c>
      <c r="CI1881">
        <v>0.52</v>
      </c>
      <c r="CJ1881">
        <v>9364</v>
      </c>
      <c r="CK1881">
        <v>3516</v>
      </c>
      <c r="CL1881" t="s">
        <v>504</v>
      </c>
      <c r="CM1881">
        <v>-7.02</v>
      </c>
      <c r="CN1881">
        <v>-9.34</v>
      </c>
      <c r="CO1881">
        <v>2.7</v>
      </c>
      <c r="CP1881">
        <v>28.35</v>
      </c>
      <c r="CQ1881">
        <v>11.29</v>
      </c>
      <c r="CR1881">
        <v>1.1100000000000001</v>
      </c>
      <c r="CS1881" t="s">
        <v>1744</v>
      </c>
      <c r="CT1881">
        <v>5.86</v>
      </c>
      <c r="CU1881">
        <v>0</v>
      </c>
      <c r="CV1881">
        <v>1.52</v>
      </c>
      <c r="CW1881">
        <v>3.08</v>
      </c>
      <c r="CX1881">
        <v>0.56000000000000005</v>
      </c>
      <c r="CY1881">
        <v>86.14</v>
      </c>
      <c r="CZ1881" t="s">
        <v>8859</v>
      </c>
      <c r="DA1881">
        <v>49.8</v>
      </c>
      <c r="DB1881">
        <v>40.97</v>
      </c>
      <c r="DC1881">
        <v>35.25</v>
      </c>
      <c r="DD1881">
        <v>0.14000000000000001</v>
      </c>
      <c r="DE1881">
        <v>683</v>
      </c>
      <c r="DF1881">
        <v>300488</v>
      </c>
      <c r="DG1881" t="s">
        <v>116</v>
      </c>
      <c r="DH1881" t="s">
        <v>116</v>
      </c>
      <c r="DI1881" t="s">
        <v>116</v>
      </c>
    </row>
    <row r="1882" spans="1:113" x14ac:dyDescent="0.4">
      <c r="A1882" t="str">
        <f>"300489"</f>
        <v>300489</v>
      </c>
      <c r="B1882" t="s">
        <v>9443</v>
      </c>
      <c r="C1882">
        <v>-1.3</v>
      </c>
      <c r="D1882">
        <v>19.77</v>
      </c>
      <c r="E1882">
        <v>-0.26</v>
      </c>
      <c r="F1882">
        <v>19.77</v>
      </c>
      <c r="G1882">
        <v>19.78</v>
      </c>
      <c r="H1882">
        <v>12044</v>
      </c>
      <c r="I1882">
        <v>133</v>
      </c>
      <c r="J1882">
        <v>0</v>
      </c>
      <c r="K1882">
        <v>1.68</v>
      </c>
      <c r="L1882">
        <v>19.95</v>
      </c>
      <c r="M1882">
        <v>20.29</v>
      </c>
      <c r="N1882">
        <v>19.63</v>
      </c>
      <c r="O1882">
        <v>20.03</v>
      </c>
      <c r="P1882" t="s">
        <v>116</v>
      </c>
      <c r="Q1882">
        <v>24009832</v>
      </c>
      <c r="R1882">
        <v>0.98</v>
      </c>
      <c r="S1882" t="s">
        <v>1428</v>
      </c>
      <c r="T1882" t="s">
        <v>1287</v>
      </c>
      <c r="U1882">
        <v>3.3</v>
      </c>
      <c r="V1882">
        <v>19.93</v>
      </c>
      <c r="W1882">
        <v>6224</v>
      </c>
      <c r="X1882">
        <v>5820</v>
      </c>
      <c r="Y1882">
        <v>1.07</v>
      </c>
      <c r="Z1882">
        <v>31</v>
      </c>
      <c r="AA1882">
        <v>5</v>
      </c>
      <c r="AB1882" t="s">
        <v>116</v>
      </c>
      <c r="AC1882">
        <v>23900</v>
      </c>
      <c r="AD1882">
        <v>0</v>
      </c>
      <c r="AE1882" t="s">
        <v>116</v>
      </c>
      <c r="AF1882" t="s">
        <v>116</v>
      </c>
      <c r="AG1882">
        <v>0.72</v>
      </c>
      <c r="AH1882" t="s">
        <v>9444</v>
      </c>
      <c r="AI1882" t="s">
        <v>3177</v>
      </c>
      <c r="AJ1882">
        <v>-0.62</v>
      </c>
      <c r="AK1882">
        <v>983</v>
      </c>
      <c r="AL1882">
        <v>12</v>
      </c>
      <c r="AM1882">
        <v>1.6999999999999999E-3</v>
      </c>
      <c r="AN1882">
        <v>-1</v>
      </c>
      <c r="AO1882">
        <v>1.07</v>
      </c>
      <c r="AP1882">
        <v>13.43</v>
      </c>
      <c r="AQ1882">
        <v>9.65</v>
      </c>
      <c r="AR1882">
        <v>69.290000000000006</v>
      </c>
      <c r="AS1882">
        <v>2.37</v>
      </c>
      <c r="AT1882" t="s">
        <v>1407</v>
      </c>
      <c r="AU1882" t="s">
        <v>116</v>
      </c>
      <c r="AV1882">
        <v>1298.1500000000001</v>
      </c>
      <c r="AW1882">
        <v>0.75</v>
      </c>
      <c r="BA1882">
        <v>-0.4</v>
      </c>
      <c r="BB1882">
        <v>1.3</v>
      </c>
      <c r="BC1882">
        <v>-2</v>
      </c>
      <c r="BD1882">
        <v>-0.48</v>
      </c>
      <c r="BE1882">
        <v>-0.9</v>
      </c>
      <c r="BF1882">
        <v>-2.56</v>
      </c>
      <c r="BG1882">
        <v>0.71</v>
      </c>
      <c r="BH1882">
        <v>-0.82</v>
      </c>
      <c r="BI1882">
        <v>20191224</v>
      </c>
      <c r="BJ1882">
        <v>20150701</v>
      </c>
      <c r="BK1882">
        <v>0.91</v>
      </c>
      <c r="BL1882" t="s">
        <v>116</v>
      </c>
      <c r="BM1882" t="s">
        <v>116</v>
      </c>
      <c r="BN1882">
        <v>5.87</v>
      </c>
      <c r="BO1882">
        <v>4.41</v>
      </c>
      <c r="BP1882">
        <v>0</v>
      </c>
      <c r="BQ1882">
        <v>24.86</v>
      </c>
      <c r="BR1882">
        <v>1.67</v>
      </c>
      <c r="BS1882">
        <v>3.58</v>
      </c>
      <c r="BT1882">
        <v>0.34</v>
      </c>
      <c r="BU1882">
        <v>1.05</v>
      </c>
      <c r="BV1882">
        <v>1.07</v>
      </c>
      <c r="BW1882">
        <v>0.45</v>
      </c>
      <c r="BX1882">
        <v>1.88</v>
      </c>
      <c r="BY1882">
        <v>0.92</v>
      </c>
      <c r="BZ1882">
        <v>0.95</v>
      </c>
      <c r="CA1882">
        <v>-0.26</v>
      </c>
      <c r="CB1882">
        <v>0</v>
      </c>
      <c r="CC1882">
        <v>-0.25</v>
      </c>
      <c r="CD1882">
        <v>-0.25</v>
      </c>
      <c r="CE1882">
        <v>-0.25</v>
      </c>
      <c r="CF1882">
        <v>-0.27</v>
      </c>
      <c r="CG1882">
        <v>1.43</v>
      </c>
      <c r="CH1882">
        <v>0.32</v>
      </c>
      <c r="CI1882">
        <v>-0.27</v>
      </c>
      <c r="CJ1882">
        <v>8000</v>
      </c>
      <c r="CK1882">
        <v>6353</v>
      </c>
      <c r="CL1882" t="s">
        <v>9445</v>
      </c>
      <c r="CM1882">
        <v>-2884.77</v>
      </c>
      <c r="CN1882">
        <v>-19.2</v>
      </c>
      <c r="CO1882">
        <v>4.07</v>
      </c>
      <c r="CP1882">
        <v>55.3</v>
      </c>
      <c r="CQ1882">
        <v>19.559999999999999</v>
      </c>
      <c r="CR1882">
        <v>0.01</v>
      </c>
      <c r="CS1882" t="s">
        <v>9446</v>
      </c>
      <c r="CT1882">
        <v>4.8600000000000003</v>
      </c>
      <c r="CU1882">
        <v>0</v>
      </c>
      <c r="CV1882">
        <v>2.0699999999999998</v>
      </c>
      <c r="CW1882">
        <v>1.58</v>
      </c>
      <c r="CX1882">
        <v>0.36</v>
      </c>
      <c r="CY1882">
        <v>75.14</v>
      </c>
      <c r="CZ1882" t="s">
        <v>9447</v>
      </c>
      <c r="DA1882">
        <v>-3.23</v>
      </c>
      <c r="DB1882">
        <v>-27.94</v>
      </c>
      <c r="DC1882">
        <v>-27.68</v>
      </c>
      <c r="DD1882">
        <v>0.04</v>
      </c>
      <c r="DE1882">
        <v>307</v>
      </c>
      <c r="DF1882">
        <v>300489</v>
      </c>
      <c r="DG1882" t="s">
        <v>116</v>
      </c>
      <c r="DH1882" t="s">
        <v>116</v>
      </c>
      <c r="DI1882" t="s">
        <v>116</v>
      </c>
    </row>
    <row r="1883" spans="1:113" x14ac:dyDescent="0.4">
      <c r="A1883" t="str">
        <f>"300490"</f>
        <v>300490</v>
      </c>
      <c r="B1883" t="s">
        <v>9448</v>
      </c>
      <c r="C1883">
        <v>-0.73</v>
      </c>
      <c r="D1883">
        <v>10.83</v>
      </c>
      <c r="E1883">
        <v>-0.08</v>
      </c>
      <c r="F1883">
        <v>10.82</v>
      </c>
      <c r="G1883">
        <v>10.83</v>
      </c>
      <c r="H1883">
        <v>59675</v>
      </c>
      <c r="I1883">
        <v>748</v>
      </c>
      <c r="J1883">
        <v>-0.17</v>
      </c>
      <c r="K1883">
        <v>2.54</v>
      </c>
      <c r="L1883">
        <v>10.96</v>
      </c>
      <c r="M1883">
        <v>11.12</v>
      </c>
      <c r="N1883">
        <v>10.83</v>
      </c>
      <c r="O1883">
        <v>10.91</v>
      </c>
      <c r="P1883">
        <v>37.89</v>
      </c>
      <c r="Q1883">
        <v>65468652</v>
      </c>
      <c r="R1883">
        <v>1.51</v>
      </c>
      <c r="S1883" t="s">
        <v>397</v>
      </c>
      <c r="T1883" t="s">
        <v>599</v>
      </c>
      <c r="U1883">
        <v>2.66</v>
      </c>
      <c r="V1883">
        <v>10.97</v>
      </c>
      <c r="W1883">
        <v>31439</v>
      </c>
      <c r="X1883">
        <v>28236</v>
      </c>
      <c r="Y1883">
        <v>1.1100000000000001</v>
      </c>
      <c r="Z1883">
        <v>68</v>
      </c>
      <c r="AA1883">
        <v>451</v>
      </c>
      <c r="AB1883" t="s">
        <v>116</v>
      </c>
      <c r="AC1883">
        <v>407700</v>
      </c>
      <c r="AD1883">
        <v>0.04</v>
      </c>
      <c r="AE1883" t="s">
        <v>116</v>
      </c>
      <c r="AF1883" t="s">
        <v>116</v>
      </c>
      <c r="AG1883">
        <v>2.35</v>
      </c>
      <c r="AH1883" t="s">
        <v>9449</v>
      </c>
      <c r="AI1883" t="s">
        <v>9450</v>
      </c>
      <c r="AJ1883">
        <v>-0.05</v>
      </c>
      <c r="AK1883">
        <v>1830</v>
      </c>
      <c r="AL1883">
        <v>33</v>
      </c>
      <c r="AM1883">
        <v>1.4E-3</v>
      </c>
      <c r="AN1883">
        <v>-1</v>
      </c>
      <c r="AO1883">
        <v>2.37</v>
      </c>
      <c r="AP1883">
        <v>1.03</v>
      </c>
      <c r="AQ1883">
        <v>1.31</v>
      </c>
      <c r="AR1883">
        <v>-17.010000000000002</v>
      </c>
      <c r="AS1883">
        <v>5.7</v>
      </c>
      <c r="AT1883" t="s">
        <v>4477</v>
      </c>
      <c r="AU1883">
        <v>25.17</v>
      </c>
      <c r="AV1883">
        <v>28.07</v>
      </c>
      <c r="AW1883">
        <v>0.44</v>
      </c>
      <c r="BA1883">
        <v>0.46</v>
      </c>
      <c r="BB1883">
        <v>1.92</v>
      </c>
      <c r="BC1883">
        <v>-0.73</v>
      </c>
      <c r="BD1883">
        <v>0.56000000000000005</v>
      </c>
      <c r="BE1883">
        <v>-1.19</v>
      </c>
      <c r="BF1883">
        <v>-2.61</v>
      </c>
      <c r="BG1883">
        <v>0</v>
      </c>
      <c r="BH1883">
        <v>-1.29</v>
      </c>
      <c r="BI1883">
        <v>20191104</v>
      </c>
      <c r="BJ1883">
        <v>20151231</v>
      </c>
      <c r="BK1883">
        <v>2.62</v>
      </c>
      <c r="BL1883" t="s">
        <v>116</v>
      </c>
      <c r="BM1883" t="s">
        <v>116</v>
      </c>
      <c r="BN1883">
        <v>31.93</v>
      </c>
      <c r="BO1883">
        <v>17.18</v>
      </c>
      <c r="BP1883">
        <v>0.35</v>
      </c>
      <c r="BQ1883">
        <v>45.11</v>
      </c>
      <c r="BR1883">
        <v>18.5</v>
      </c>
      <c r="BS1883">
        <v>2.13</v>
      </c>
      <c r="BT1883">
        <v>1.02</v>
      </c>
      <c r="BU1883">
        <v>14.26</v>
      </c>
      <c r="BV1883">
        <v>4.05</v>
      </c>
      <c r="BW1883">
        <v>10.15</v>
      </c>
      <c r="BX1883">
        <v>11.24</v>
      </c>
      <c r="BY1883">
        <v>8.92</v>
      </c>
      <c r="BZ1883">
        <v>5.84</v>
      </c>
      <c r="CA1883">
        <v>0.57999999999999996</v>
      </c>
      <c r="CB1883">
        <v>-0.01</v>
      </c>
      <c r="CC1883">
        <v>0.59</v>
      </c>
      <c r="CD1883">
        <v>0.54</v>
      </c>
      <c r="CE1883">
        <v>0.56000000000000005</v>
      </c>
      <c r="CF1883">
        <v>0.43</v>
      </c>
      <c r="CG1883">
        <v>3.32</v>
      </c>
      <c r="CH1883">
        <v>-0.82</v>
      </c>
      <c r="CI1883">
        <v>-0.4</v>
      </c>
      <c r="CJ1883">
        <v>16801</v>
      </c>
      <c r="CK1883">
        <v>6232</v>
      </c>
      <c r="CL1883" t="s">
        <v>9451</v>
      </c>
      <c r="CM1883">
        <v>26.19</v>
      </c>
      <c r="CN1883">
        <v>21.04</v>
      </c>
      <c r="CO1883">
        <v>1.65</v>
      </c>
      <c r="CP1883">
        <v>-34.520000000000003</v>
      </c>
      <c r="CQ1883">
        <v>3.18</v>
      </c>
      <c r="CR1883">
        <v>0.46</v>
      </c>
      <c r="CS1883" t="s">
        <v>1244</v>
      </c>
      <c r="CT1883">
        <v>6.56</v>
      </c>
      <c r="CU1883">
        <v>0</v>
      </c>
      <c r="CV1883">
        <v>4.29</v>
      </c>
      <c r="CW1883">
        <v>1.27</v>
      </c>
      <c r="CX1883">
        <v>-0.31</v>
      </c>
      <c r="CY1883">
        <v>53.81</v>
      </c>
      <c r="CZ1883" t="s">
        <v>4785</v>
      </c>
      <c r="DA1883">
        <v>34.56</v>
      </c>
      <c r="DB1883">
        <v>6.47</v>
      </c>
      <c r="DC1883">
        <v>6.29</v>
      </c>
      <c r="DD1883">
        <v>0.66</v>
      </c>
      <c r="DE1883">
        <v>1729</v>
      </c>
      <c r="DF1883">
        <v>300490</v>
      </c>
      <c r="DG1883" t="s">
        <v>116</v>
      </c>
      <c r="DH1883" t="s">
        <v>116</v>
      </c>
      <c r="DI1883" t="s">
        <v>116</v>
      </c>
    </row>
    <row r="1884" spans="1:113" x14ac:dyDescent="0.4">
      <c r="A1884" t="str">
        <f>"300491"</f>
        <v>300491</v>
      </c>
      <c r="B1884" t="s">
        <v>9452</v>
      </c>
      <c r="C1884">
        <v>-2.0699999999999998</v>
      </c>
      <c r="D1884">
        <v>13.23</v>
      </c>
      <c r="E1884">
        <v>-0.28000000000000003</v>
      </c>
      <c r="F1884">
        <v>13.22</v>
      </c>
      <c r="G1884">
        <v>13.23</v>
      </c>
      <c r="H1884">
        <v>20223</v>
      </c>
      <c r="I1884">
        <v>126</v>
      </c>
      <c r="J1884">
        <v>0.23</v>
      </c>
      <c r="K1884">
        <v>1.71</v>
      </c>
      <c r="L1884">
        <v>13.55</v>
      </c>
      <c r="M1884">
        <v>13.75</v>
      </c>
      <c r="N1884">
        <v>13.15</v>
      </c>
      <c r="O1884">
        <v>13.51</v>
      </c>
      <c r="P1884">
        <v>83.37</v>
      </c>
      <c r="Q1884">
        <v>27143580</v>
      </c>
      <c r="R1884">
        <v>0.99</v>
      </c>
      <c r="S1884" t="s">
        <v>397</v>
      </c>
      <c r="T1884" t="s">
        <v>608</v>
      </c>
      <c r="U1884">
        <v>4.4400000000000004</v>
      </c>
      <c r="V1884">
        <v>13.42</v>
      </c>
      <c r="W1884">
        <v>11688</v>
      </c>
      <c r="X1884">
        <v>8535</v>
      </c>
      <c r="Y1884">
        <v>1.37</v>
      </c>
      <c r="Z1884">
        <v>38</v>
      </c>
      <c r="AA1884">
        <v>119</v>
      </c>
      <c r="AB1884" t="s">
        <v>116</v>
      </c>
      <c r="AC1884">
        <v>124700</v>
      </c>
      <c r="AD1884">
        <v>0.02</v>
      </c>
      <c r="AE1884" t="s">
        <v>116</v>
      </c>
      <c r="AF1884" t="s">
        <v>116</v>
      </c>
      <c r="AG1884">
        <v>1.18</v>
      </c>
      <c r="AH1884" t="s">
        <v>9453</v>
      </c>
      <c r="AI1884" t="s">
        <v>8337</v>
      </c>
      <c r="AJ1884">
        <v>-1.39</v>
      </c>
      <c r="AK1884">
        <v>1567</v>
      </c>
      <c r="AL1884">
        <v>13</v>
      </c>
      <c r="AM1884">
        <v>1.1000000000000001E-3</v>
      </c>
      <c r="AN1884">
        <v>-1</v>
      </c>
      <c r="AO1884">
        <v>0.08</v>
      </c>
      <c r="AP1884">
        <v>6.78</v>
      </c>
      <c r="AQ1884">
        <v>-2.36</v>
      </c>
      <c r="AR1884">
        <v>-15.14</v>
      </c>
      <c r="AS1884">
        <v>3.69</v>
      </c>
      <c r="AT1884" t="s">
        <v>6764</v>
      </c>
      <c r="AU1884">
        <v>1232.8499999999999</v>
      </c>
      <c r="AV1884" t="s">
        <v>116</v>
      </c>
      <c r="AW1884">
        <v>1.33</v>
      </c>
      <c r="BA1884">
        <v>0.3</v>
      </c>
      <c r="BB1884">
        <v>1.78</v>
      </c>
      <c r="BC1884">
        <v>-2.66</v>
      </c>
      <c r="BD1884">
        <v>-0.65</v>
      </c>
      <c r="BE1884">
        <v>-2.36</v>
      </c>
      <c r="BF1884">
        <v>-3.78</v>
      </c>
      <c r="BG1884">
        <v>0.61</v>
      </c>
      <c r="BH1884">
        <v>-1.42</v>
      </c>
      <c r="BI1884">
        <v>20191223</v>
      </c>
      <c r="BJ1884">
        <v>20151231</v>
      </c>
      <c r="BK1884">
        <v>1.61</v>
      </c>
      <c r="BL1884" t="s">
        <v>116</v>
      </c>
      <c r="BM1884" t="s">
        <v>116</v>
      </c>
      <c r="BN1884">
        <v>8.43</v>
      </c>
      <c r="BO1884">
        <v>6.66</v>
      </c>
      <c r="BP1884">
        <v>0</v>
      </c>
      <c r="BQ1884">
        <v>21.04</v>
      </c>
      <c r="BR1884">
        <v>4.51</v>
      </c>
      <c r="BS1884">
        <v>1.53</v>
      </c>
      <c r="BT1884">
        <v>0.22</v>
      </c>
      <c r="BU1884">
        <v>1.59</v>
      </c>
      <c r="BV1884">
        <v>0.74</v>
      </c>
      <c r="BW1884">
        <v>2.44</v>
      </c>
      <c r="BX1884">
        <v>3.85</v>
      </c>
      <c r="BY1884">
        <v>1.84</v>
      </c>
      <c r="BZ1884">
        <v>1</v>
      </c>
      <c r="CA1884">
        <v>0.22</v>
      </c>
      <c r="CB1884">
        <v>0</v>
      </c>
      <c r="CC1884">
        <v>0.21</v>
      </c>
      <c r="CD1884">
        <v>0.19</v>
      </c>
      <c r="CE1884">
        <v>0.19</v>
      </c>
      <c r="CF1884">
        <v>0.17</v>
      </c>
      <c r="CG1884">
        <v>1.1200000000000001</v>
      </c>
      <c r="CH1884">
        <v>-0.13</v>
      </c>
      <c r="CI1884">
        <v>-0.28000000000000003</v>
      </c>
      <c r="CJ1884">
        <v>12793</v>
      </c>
      <c r="CK1884">
        <v>4284</v>
      </c>
      <c r="CL1884" t="s">
        <v>2880</v>
      </c>
      <c r="CM1884">
        <v>490.03</v>
      </c>
      <c r="CN1884">
        <v>66.900000000000006</v>
      </c>
      <c r="CO1884">
        <v>3.19</v>
      </c>
      <c r="CP1884">
        <v>-162.18</v>
      </c>
      <c r="CQ1884">
        <v>11.58</v>
      </c>
      <c r="CR1884">
        <v>0</v>
      </c>
      <c r="CS1884" t="s">
        <v>5567</v>
      </c>
      <c r="CT1884">
        <v>4.1399999999999997</v>
      </c>
      <c r="CU1884">
        <v>0</v>
      </c>
      <c r="CV1884">
        <v>2.4</v>
      </c>
      <c r="CW1884">
        <v>0.7</v>
      </c>
      <c r="CX1884">
        <v>-0.08</v>
      </c>
      <c r="CY1884">
        <v>78.959999999999994</v>
      </c>
      <c r="CZ1884" t="s">
        <v>6899</v>
      </c>
      <c r="DA1884">
        <v>45.6</v>
      </c>
      <c r="DB1884">
        <v>11.73</v>
      </c>
      <c r="DC1884">
        <v>10.41</v>
      </c>
      <c r="DD1884">
        <v>0.24</v>
      </c>
      <c r="DE1884">
        <v>384</v>
      </c>
      <c r="DF1884">
        <v>300491</v>
      </c>
      <c r="DG1884" t="s">
        <v>116</v>
      </c>
      <c r="DH1884" t="s">
        <v>116</v>
      </c>
      <c r="DI1884" t="s">
        <v>116</v>
      </c>
    </row>
    <row r="1885" spans="1:113" x14ac:dyDescent="0.4">
      <c r="A1885" t="str">
        <f>"300492"</f>
        <v>300492</v>
      </c>
      <c r="B1885" t="s">
        <v>9454</v>
      </c>
      <c r="C1885">
        <v>0.67</v>
      </c>
      <c r="D1885">
        <v>51.12</v>
      </c>
      <c r="E1885">
        <v>0.34</v>
      </c>
      <c r="F1885">
        <v>51.12</v>
      </c>
      <c r="G1885">
        <v>51.18</v>
      </c>
      <c r="H1885">
        <v>9183</v>
      </c>
      <c r="I1885">
        <v>140</v>
      </c>
      <c r="J1885">
        <v>0.61</v>
      </c>
      <c r="K1885">
        <v>1.53</v>
      </c>
      <c r="L1885">
        <v>51.11</v>
      </c>
      <c r="M1885">
        <v>51.81</v>
      </c>
      <c r="N1885">
        <v>50.57</v>
      </c>
      <c r="O1885">
        <v>50.78</v>
      </c>
      <c r="P1885">
        <v>199.22</v>
      </c>
      <c r="Q1885">
        <v>47129572</v>
      </c>
      <c r="R1885">
        <v>1.23</v>
      </c>
      <c r="S1885" t="s">
        <v>181</v>
      </c>
      <c r="T1885" t="s">
        <v>582</v>
      </c>
      <c r="U1885">
        <v>2.44</v>
      </c>
      <c r="V1885">
        <v>51.32</v>
      </c>
      <c r="W1885">
        <v>4403</v>
      </c>
      <c r="X1885">
        <v>4780</v>
      </c>
      <c r="Y1885">
        <v>0.92</v>
      </c>
      <c r="Z1885">
        <v>4</v>
      </c>
      <c r="AA1885">
        <v>1</v>
      </c>
      <c r="AB1885" t="s">
        <v>116</v>
      </c>
      <c r="AC1885">
        <v>92000</v>
      </c>
      <c r="AD1885">
        <v>0.01</v>
      </c>
      <c r="AE1885" t="s">
        <v>116</v>
      </c>
      <c r="AF1885" t="s">
        <v>116</v>
      </c>
      <c r="AG1885">
        <v>0.6</v>
      </c>
      <c r="AH1885" t="s">
        <v>9455</v>
      </c>
      <c r="AI1885" t="s">
        <v>9456</v>
      </c>
      <c r="AJ1885">
        <v>1.35</v>
      </c>
      <c r="AK1885">
        <v>1382</v>
      </c>
      <c r="AL1885">
        <v>7</v>
      </c>
      <c r="AM1885">
        <v>1.1000000000000001E-3</v>
      </c>
      <c r="AN1885">
        <v>2</v>
      </c>
      <c r="AO1885">
        <v>-1.69</v>
      </c>
      <c r="AP1885">
        <v>-16.850000000000001</v>
      </c>
      <c r="AQ1885">
        <v>6.28</v>
      </c>
      <c r="AR1885">
        <v>173.56</v>
      </c>
      <c r="AS1885">
        <v>3.8</v>
      </c>
      <c r="AT1885" t="s">
        <v>204</v>
      </c>
      <c r="AU1885">
        <v>139.82</v>
      </c>
      <c r="AV1885">
        <v>159.03</v>
      </c>
      <c r="AW1885">
        <v>1.46</v>
      </c>
      <c r="BA1885">
        <v>0.65</v>
      </c>
      <c r="BB1885">
        <v>2.0299999999999998</v>
      </c>
      <c r="BC1885">
        <v>-0.41</v>
      </c>
      <c r="BD1885">
        <v>1.07</v>
      </c>
      <c r="BE1885">
        <v>0.02</v>
      </c>
      <c r="BF1885">
        <v>-1.33</v>
      </c>
      <c r="BG1885">
        <v>1.0900000000000001</v>
      </c>
      <c r="BH1885">
        <v>-0.4</v>
      </c>
      <c r="BI1885">
        <v>20191028</v>
      </c>
      <c r="BJ1885">
        <v>20151223</v>
      </c>
      <c r="BK1885">
        <v>0.83</v>
      </c>
      <c r="BL1885" t="s">
        <v>116</v>
      </c>
      <c r="BM1885" t="s">
        <v>116</v>
      </c>
      <c r="BN1885">
        <v>3.66</v>
      </c>
      <c r="BO1885">
        <v>2.88</v>
      </c>
      <c r="BP1885">
        <v>0</v>
      </c>
      <c r="BQ1885">
        <v>21.37</v>
      </c>
      <c r="BR1885">
        <v>2.88</v>
      </c>
      <c r="BS1885">
        <v>0.48</v>
      </c>
      <c r="BT1885">
        <v>0.01</v>
      </c>
      <c r="BU1885">
        <v>0.7</v>
      </c>
      <c r="BV1885">
        <v>0</v>
      </c>
      <c r="BW1885">
        <v>1.18</v>
      </c>
      <c r="BX1885">
        <v>0.97</v>
      </c>
      <c r="BY1885">
        <v>1.53</v>
      </c>
      <c r="BZ1885">
        <v>1.05</v>
      </c>
      <c r="CA1885">
        <v>0.18</v>
      </c>
      <c r="CB1885">
        <v>0</v>
      </c>
      <c r="CC1885">
        <v>0.19</v>
      </c>
      <c r="CD1885">
        <v>0.16</v>
      </c>
      <c r="CE1885">
        <v>0.16</v>
      </c>
      <c r="CF1885">
        <v>0.11</v>
      </c>
      <c r="CG1885">
        <v>0.99</v>
      </c>
      <c r="CH1885">
        <v>0.25</v>
      </c>
      <c r="CI1885">
        <v>-0.11</v>
      </c>
      <c r="CJ1885">
        <v>6954</v>
      </c>
      <c r="CK1885">
        <v>3478</v>
      </c>
      <c r="CL1885" t="s">
        <v>9457</v>
      </c>
      <c r="CM1885">
        <v>29.78</v>
      </c>
      <c r="CN1885">
        <v>9.8800000000000008</v>
      </c>
      <c r="CO1885">
        <v>14.77</v>
      </c>
      <c r="CP1885">
        <v>171.14</v>
      </c>
      <c r="CQ1885">
        <v>27.77</v>
      </c>
      <c r="CR1885">
        <v>0.98</v>
      </c>
      <c r="CS1885" t="s">
        <v>1099</v>
      </c>
      <c r="CT1885">
        <v>3.46</v>
      </c>
      <c r="CU1885">
        <v>0</v>
      </c>
      <c r="CV1885">
        <v>1.1599999999999999</v>
      </c>
      <c r="CW1885">
        <v>1.19</v>
      </c>
      <c r="CX1885">
        <v>0.3</v>
      </c>
      <c r="CY1885">
        <v>78.63</v>
      </c>
      <c r="CZ1885" t="s">
        <v>1733</v>
      </c>
      <c r="DA1885">
        <v>31.14</v>
      </c>
      <c r="DB1885">
        <v>11.74</v>
      </c>
      <c r="DC1885">
        <v>10.45</v>
      </c>
      <c r="DD1885">
        <v>0</v>
      </c>
      <c r="DE1885">
        <v>456</v>
      </c>
      <c r="DF1885">
        <v>300492</v>
      </c>
      <c r="DG1885" t="s">
        <v>116</v>
      </c>
      <c r="DH1885" t="s">
        <v>116</v>
      </c>
      <c r="DI1885" t="s">
        <v>116</v>
      </c>
    </row>
    <row r="1886" spans="1:113" x14ac:dyDescent="0.4">
      <c r="A1886" t="str">
        <f>"300493"</f>
        <v>300493</v>
      </c>
      <c r="B1886" t="s">
        <v>9458</v>
      </c>
      <c r="C1886">
        <v>-5</v>
      </c>
      <c r="D1886">
        <v>8.74</v>
      </c>
      <c r="E1886">
        <v>-0.46</v>
      </c>
      <c r="F1886">
        <v>8.74</v>
      </c>
      <c r="G1886">
        <v>8.75</v>
      </c>
      <c r="H1886">
        <v>294694</v>
      </c>
      <c r="I1886">
        <v>6996</v>
      </c>
      <c r="J1886">
        <v>-0.33</v>
      </c>
      <c r="K1886">
        <v>6.18</v>
      </c>
      <c r="L1886">
        <v>9.18</v>
      </c>
      <c r="M1886">
        <v>9.25</v>
      </c>
      <c r="N1886">
        <v>8.68</v>
      </c>
      <c r="O1886">
        <v>9.1999999999999993</v>
      </c>
      <c r="P1886">
        <v>120.77</v>
      </c>
      <c r="Q1886">
        <v>264826288</v>
      </c>
      <c r="R1886">
        <v>1.1599999999999999</v>
      </c>
      <c r="S1886" t="s">
        <v>465</v>
      </c>
      <c r="T1886" t="s">
        <v>1653</v>
      </c>
      <c r="U1886">
        <v>6.2</v>
      </c>
      <c r="V1886">
        <v>8.99</v>
      </c>
      <c r="W1886">
        <v>175261</v>
      </c>
      <c r="X1886">
        <v>119433</v>
      </c>
      <c r="Y1886">
        <v>1.47</v>
      </c>
      <c r="Z1886">
        <v>69</v>
      </c>
      <c r="AA1886">
        <v>211</v>
      </c>
      <c r="AB1886" t="s">
        <v>116</v>
      </c>
      <c r="AC1886">
        <v>751800</v>
      </c>
      <c r="AD1886">
        <v>0.03</v>
      </c>
      <c r="AE1886" t="s">
        <v>116</v>
      </c>
      <c r="AF1886" t="s">
        <v>116</v>
      </c>
      <c r="AG1886">
        <v>4.7699999999999996</v>
      </c>
      <c r="AH1886" t="s">
        <v>9459</v>
      </c>
      <c r="AI1886" t="s">
        <v>9459</v>
      </c>
      <c r="AJ1886">
        <v>-4.32</v>
      </c>
      <c r="AK1886">
        <v>3382</v>
      </c>
      <c r="AL1886">
        <v>87</v>
      </c>
      <c r="AM1886">
        <v>1.8E-3</v>
      </c>
      <c r="AN1886">
        <v>-2</v>
      </c>
      <c r="AO1886">
        <v>-3.95</v>
      </c>
      <c r="AP1886">
        <v>1.1599999999999999</v>
      </c>
      <c r="AQ1886">
        <v>19.73</v>
      </c>
      <c r="AR1886">
        <v>45.02</v>
      </c>
      <c r="AS1886">
        <v>10.97</v>
      </c>
      <c r="AT1886" t="s">
        <v>2817</v>
      </c>
      <c r="AU1886">
        <v>388.43</v>
      </c>
      <c r="AV1886">
        <v>264.3</v>
      </c>
      <c r="AW1886">
        <v>1.72</v>
      </c>
      <c r="BA1886">
        <v>-0.22</v>
      </c>
      <c r="BB1886">
        <v>0.54</v>
      </c>
      <c r="BC1886">
        <v>-5.65</v>
      </c>
      <c r="BD1886">
        <v>-2.3199999999999998</v>
      </c>
      <c r="BE1886">
        <v>-4.79</v>
      </c>
      <c r="BF1886">
        <v>-5.51</v>
      </c>
      <c r="BG1886">
        <v>0.69</v>
      </c>
      <c r="BH1886">
        <v>-2.68</v>
      </c>
      <c r="BI1886">
        <v>20191029</v>
      </c>
      <c r="BJ1886">
        <v>20151210</v>
      </c>
      <c r="BK1886">
        <v>4.7699999999999996</v>
      </c>
      <c r="BL1886" t="s">
        <v>116</v>
      </c>
      <c r="BM1886" t="s">
        <v>116</v>
      </c>
      <c r="BN1886">
        <v>9.68</v>
      </c>
      <c r="BO1886">
        <v>7.43</v>
      </c>
      <c r="BP1886">
        <v>0.03</v>
      </c>
      <c r="BQ1886">
        <v>22.9</v>
      </c>
      <c r="BR1886">
        <v>7.39</v>
      </c>
      <c r="BS1886">
        <v>0.02</v>
      </c>
      <c r="BT1886">
        <v>0.01</v>
      </c>
      <c r="BU1886">
        <v>2.13</v>
      </c>
      <c r="BV1886">
        <v>1.74</v>
      </c>
      <c r="BW1886">
        <v>3.19</v>
      </c>
      <c r="BX1886">
        <v>0.85</v>
      </c>
      <c r="BY1886">
        <v>10.76</v>
      </c>
      <c r="BZ1886">
        <v>9.73</v>
      </c>
      <c r="CA1886">
        <v>0.28000000000000003</v>
      </c>
      <c r="CB1886">
        <v>0.14000000000000001</v>
      </c>
      <c r="CC1886">
        <v>0.28000000000000003</v>
      </c>
      <c r="CD1886">
        <v>0.26</v>
      </c>
      <c r="CE1886">
        <v>0.26</v>
      </c>
      <c r="CF1886">
        <v>0.24</v>
      </c>
      <c r="CG1886">
        <v>1.36</v>
      </c>
      <c r="CH1886">
        <v>2.2799999999999998</v>
      </c>
      <c r="CI1886">
        <v>-0.66</v>
      </c>
      <c r="CJ1886">
        <v>33538</v>
      </c>
      <c r="CK1886">
        <v>8010</v>
      </c>
      <c r="CL1886" t="s">
        <v>2986</v>
      </c>
      <c r="CM1886">
        <v>-16.3</v>
      </c>
      <c r="CN1886">
        <v>-17.71</v>
      </c>
      <c r="CO1886">
        <v>5.61</v>
      </c>
      <c r="CP1886">
        <v>18.260000000000002</v>
      </c>
      <c r="CQ1886">
        <v>3.87</v>
      </c>
      <c r="CR1886">
        <v>0.61</v>
      </c>
      <c r="CS1886" t="s">
        <v>8882</v>
      </c>
      <c r="CT1886">
        <v>1.56</v>
      </c>
      <c r="CU1886">
        <v>0</v>
      </c>
      <c r="CV1886">
        <v>0.18</v>
      </c>
      <c r="CW1886">
        <v>0.28999999999999998</v>
      </c>
      <c r="CX1886">
        <v>0.48</v>
      </c>
      <c r="CY1886">
        <v>76.760000000000005</v>
      </c>
      <c r="CZ1886" t="s">
        <v>6757</v>
      </c>
      <c r="DA1886">
        <v>9.6</v>
      </c>
      <c r="DB1886">
        <v>2.56</v>
      </c>
      <c r="DC1886">
        <v>2.41</v>
      </c>
      <c r="DD1886">
        <v>0.19</v>
      </c>
      <c r="DE1886">
        <v>186</v>
      </c>
      <c r="DF1886">
        <v>300493</v>
      </c>
      <c r="DG1886" t="s">
        <v>116</v>
      </c>
      <c r="DH1886" t="s">
        <v>116</v>
      </c>
      <c r="DI1886" t="s">
        <v>116</v>
      </c>
    </row>
    <row r="1887" spans="1:113" x14ac:dyDescent="0.4">
      <c r="A1887" t="str">
        <f>"300494"</f>
        <v>300494</v>
      </c>
      <c r="B1887" t="s">
        <v>9460</v>
      </c>
      <c r="C1887">
        <v>-2.91</v>
      </c>
      <c r="D1887">
        <v>16.02</v>
      </c>
      <c r="E1887">
        <v>-0.48</v>
      </c>
      <c r="F1887">
        <v>16.010000000000002</v>
      </c>
      <c r="G1887">
        <v>16.02</v>
      </c>
      <c r="H1887">
        <v>124634</v>
      </c>
      <c r="I1887">
        <v>1425</v>
      </c>
      <c r="J1887">
        <v>-0.11</v>
      </c>
      <c r="K1887">
        <v>8.43</v>
      </c>
      <c r="L1887">
        <v>16.52</v>
      </c>
      <c r="M1887">
        <v>16.91</v>
      </c>
      <c r="N1887">
        <v>16</v>
      </c>
      <c r="O1887">
        <v>16.5</v>
      </c>
      <c r="P1887">
        <v>79.599999999999994</v>
      </c>
      <c r="Q1887">
        <v>205551488</v>
      </c>
      <c r="R1887">
        <v>0.85</v>
      </c>
      <c r="S1887" t="s">
        <v>1384</v>
      </c>
      <c r="T1887" t="s">
        <v>774</v>
      </c>
      <c r="U1887">
        <v>5.52</v>
      </c>
      <c r="V1887">
        <v>16.489999999999998</v>
      </c>
      <c r="W1887">
        <v>71233</v>
      </c>
      <c r="X1887">
        <v>53401</v>
      </c>
      <c r="Y1887">
        <v>1.33</v>
      </c>
      <c r="Z1887">
        <v>338</v>
      </c>
      <c r="AA1887">
        <v>101</v>
      </c>
      <c r="AB1887" t="s">
        <v>116</v>
      </c>
      <c r="AC1887">
        <v>622800</v>
      </c>
      <c r="AD1887">
        <v>0.03</v>
      </c>
      <c r="AE1887" t="s">
        <v>116</v>
      </c>
      <c r="AF1887" t="s">
        <v>116</v>
      </c>
      <c r="AG1887">
        <v>1.48</v>
      </c>
      <c r="AH1887" t="s">
        <v>9461</v>
      </c>
      <c r="AI1887" t="s">
        <v>9462</v>
      </c>
      <c r="AJ1887">
        <v>-2.23</v>
      </c>
      <c r="AK1887">
        <v>3466</v>
      </c>
      <c r="AL1887">
        <v>36</v>
      </c>
      <c r="AM1887">
        <v>2.3999999999999998E-3</v>
      </c>
      <c r="AN1887">
        <v>-1</v>
      </c>
      <c r="AO1887">
        <v>-3.96</v>
      </c>
      <c r="AP1887">
        <v>10.56</v>
      </c>
      <c r="AQ1887">
        <v>35.76</v>
      </c>
      <c r="AR1887">
        <v>62.08</v>
      </c>
      <c r="AS1887">
        <v>11.44</v>
      </c>
      <c r="AT1887" t="s">
        <v>9463</v>
      </c>
      <c r="AU1887">
        <v>102.85</v>
      </c>
      <c r="AV1887">
        <v>71.94</v>
      </c>
      <c r="AW1887">
        <v>2.0499999999999998</v>
      </c>
      <c r="BA1887">
        <v>0.12</v>
      </c>
      <c r="BB1887">
        <v>2.48</v>
      </c>
      <c r="BC1887">
        <v>-3.03</v>
      </c>
      <c r="BD1887">
        <v>-0.05</v>
      </c>
      <c r="BE1887">
        <v>-3.03</v>
      </c>
      <c r="BF1887">
        <v>-5.26</v>
      </c>
      <c r="BG1887">
        <v>0.13</v>
      </c>
      <c r="BH1887">
        <v>-2.86</v>
      </c>
      <c r="BI1887">
        <v>20191031</v>
      </c>
      <c r="BJ1887">
        <v>20151231</v>
      </c>
      <c r="BK1887">
        <v>2.4</v>
      </c>
      <c r="BL1887" t="s">
        <v>116</v>
      </c>
      <c r="BM1887" t="s">
        <v>116</v>
      </c>
      <c r="BN1887">
        <v>14.99</v>
      </c>
      <c r="BO1887">
        <v>10.07</v>
      </c>
      <c r="BP1887">
        <v>0.47</v>
      </c>
      <c r="BQ1887">
        <v>29.71</v>
      </c>
      <c r="BR1887">
        <v>9.99</v>
      </c>
      <c r="BS1887">
        <v>0.52</v>
      </c>
      <c r="BT1887">
        <v>0.57999999999999996</v>
      </c>
      <c r="BU1887">
        <v>3.04</v>
      </c>
      <c r="BV1887">
        <v>0.01</v>
      </c>
      <c r="BW1887">
        <v>2.68</v>
      </c>
      <c r="BX1887">
        <v>3.37</v>
      </c>
      <c r="BY1887">
        <v>4.25</v>
      </c>
      <c r="BZ1887">
        <v>3.09</v>
      </c>
      <c r="CA1887">
        <v>0.4</v>
      </c>
      <c r="CB1887">
        <v>0.11</v>
      </c>
      <c r="CC1887">
        <v>0.39</v>
      </c>
      <c r="CD1887">
        <v>0.41</v>
      </c>
      <c r="CE1887">
        <v>0.36</v>
      </c>
      <c r="CF1887">
        <v>0.32</v>
      </c>
      <c r="CG1887">
        <v>3.63</v>
      </c>
      <c r="CH1887">
        <v>0.08</v>
      </c>
      <c r="CI1887">
        <v>-1.17</v>
      </c>
      <c r="CJ1887">
        <v>22906</v>
      </c>
      <c r="CK1887">
        <v>4758</v>
      </c>
      <c r="CL1887" t="s">
        <v>9464</v>
      </c>
      <c r="CM1887">
        <v>-30.71</v>
      </c>
      <c r="CN1887">
        <v>15.52</v>
      </c>
      <c r="CO1887">
        <v>3.82</v>
      </c>
      <c r="CP1887">
        <v>504.92</v>
      </c>
      <c r="CQ1887">
        <v>9.0399999999999991</v>
      </c>
      <c r="CR1887">
        <v>0.47</v>
      </c>
      <c r="CS1887" t="s">
        <v>1163</v>
      </c>
      <c r="CT1887">
        <v>4.1900000000000004</v>
      </c>
      <c r="CU1887">
        <v>0</v>
      </c>
      <c r="CV1887">
        <v>1.4</v>
      </c>
      <c r="CW1887">
        <v>1.51</v>
      </c>
      <c r="CX1887">
        <v>0.03</v>
      </c>
      <c r="CY1887">
        <v>67.16</v>
      </c>
      <c r="CZ1887" t="s">
        <v>5630</v>
      </c>
      <c r="DA1887">
        <v>27.31</v>
      </c>
      <c r="DB1887">
        <v>9.42</v>
      </c>
      <c r="DC1887">
        <v>8.52</v>
      </c>
      <c r="DD1887">
        <v>0.37</v>
      </c>
      <c r="DE1887">
        <v>521</v>
      </c>
      <c r="DF1887">
        <v>300494</v>
      </c>
      <c r="DG1887" t="s">
        <v>116</v>
      </c>
      <c r="DH1887" t="s">
        <v>116</v>
      </c>
      <c r="DI1887" t="s">
        <v>116</v>
      </c>
    </row>
    <row r="1888" spans="1:113" x14ac:dyDescent="0.4">
      <c r="A1888" t="str">
        <f>"300495"</f>
        <v>300495</v>
      </c>
      <c r="B1888" t="s">
        <v>9465</v>
      </c>
      <c r="C1888">
        <v>-1.31</v>
      </c>
      <c r="D1888">
        <v>11.3</v>
      </c>
      <c r="E1888">
        <v>-0.15</v>
      </c>
      <c r="F1888">
        <v>11.3</v>
      </c>
      <c r="G1888">
        <v>11.31</v>
      </c>
      <c r="H1888">
        <v>178772</v>
      </c>
      <c r="I1888">
        <v>4096</v>
      </c>
      <c r="J1888">
        <v>-0.08</v>
      </c>
      <c r="K1888">
        <v>4.95</v>
      </c>
      <c r="L1888">
        <v>11.49</v>
      </c>
      <c r="M1888">
        <v>11.53</v>
      </c>
      <c r="N1888">
        <v>11.3</v>
      </c>
      <c r="O1888">
        <v>11.45</v>
      </c>
      <c r="P1888">
        <v>31.56</v>
      </c>
      <c r="Q1888">
        <v>204084672</v>
      </c>
      <c r="R1888">
        <v>1</v>
      </c>
      <c r="S1888" t="s">
        <v>140</v>
      </c>
      <c r="T1888" t="s">
        <v>323</v>
      </c>
      <c r="U1888">
        <v>2.0099999999999998</v>
      </c>
      <c r="V1888">
        <v>11.42</v>
      </c>
      <c r="W1888">
        <v>87256</v>
      </c>
      <c r="X1888">
        <v>91516</v>
      </c>
      <c r="Y1888">
        <v>0.95</v>
      </c>
      <c r="Z1888">
        <v>797</v>
      </c>
      <c r="AA1888">
        <v>248</v>
      </c>
      <c r="AB1888" t="s">
        <v>116</v>
      </c>
      <c r="AC1888">
        <v>1235200</v>
      </c>
      <c r="AD1888">
        <v>0.04</v>
      </c>
      <c r="AE1888" t="s">
        <v>116</v>
      </c>
      <c r="AF1888" t="s">
        <v>116</v>
      </c>
      <c r="AG1888">
        <v>3.61</v>
      </c>
      <c r="AH1888" t="s">
        <v>9466</v>
      </c>
      <c r="AI1888" t="s">
        <v>8509</v>
      </c>
      <c r="AJ1888">
        <v>-0.63</v>
      </c>
      <c r="AK1888">
        <v>2801</v>
      </c>
      <c r="AL1888">
        <v>64</v>
      </c>
      <c r="AM1888">
        <v>1.8E-3</v>
      </c>
      <c r="AN1888">
        <v>-1</v>
      </c>
      <c r="AO1888">
        <v>-0.8</v>
      </c>
      <c r="AP1888">
        <v>3.48</v>
      </c>
      <c r="AQ1888">
        <v>-12.27</v>
      </c>
      <c r="AR1888">
        <v>-13.74</v>
      </c>
      <c r="AS1888">
        <v>5.98</v>
      </c>
      <c r="AT1888" t="s">
        <v>9467</v>
      </c>
      <c r="AU1888">
        <v>21.19</v>
      </c>
      <c r="AV1888">
        <v>19.7</v>
      </c>
      <c r="AW1888">
        <v>0.42</v>
      </c>
      <c r="BA1888">
        <v>0.35</v>
      </c>
      <c r="BB1888">
        <v>0.7</v>
      </c>
      <c r="BC1888">
        <v>-1.31</v>
      </c>
      <c r="BD1888">
        <v>-0.3</v>
      </c>
      <c r="BE1888">
        <v>-1.65</v>
      </c>
      <c r="BF1888">
        <v>-1.99</v>
      </c>
      <c r="BG1888">
        <v>0</v>
      </c>
      <c r="BH1888">
        <v>-1.01</v>
      </c>
      <c r="BI1888">
        <v>20191223</v>
      </c>
      <c r="BJ1888">
        <v>20151222</v>
      </c>
      <c r="BK1888">
        <v>6.74</v>
      </c>
      <c r="BL1888" t="s">
        <v>116</v>
      </c>
      <c r="BM1888" t="s">
        <v>116</v>
      </c>
      <c r="BN1888">
        <v>95.26</v>
      </c>
      <c r="BO1888">
        <v>42.85</v>
      </c>
      <c r="BP1888">
        <v>0.39</v>
      </c>
      <c r="BQ1888">
        <v>54.6</v>
      </c>
      <c r="BR1888">
        <v>53.25</v>
      </c>
      <c r="BS1888">
        <v>0.84</v>
      </c>
      <c r="BT1888">
        <v>0.01</v>
      </c>
      <c r="BU1888">
        <v>42.67</v>
      </c>
      <c r="BV1888">
        <v>14.77</v>
      </c>
      <c r="BW1888">
        <v>18.5</v>
      </c>
      <c r="BX1888">
        <v>23.03</v>
      </c>
      <c r="BY1888">
        <v>12.54</v>
      </c>
      <c r="BZ1888">
        <v>8.07</v>
      </c>
      <c r="CA1888">
        <v>2.2000000000000002</v>
      </c>
      <c r="CB1888">
        <v>0</v>
      </c>
      <c r="CC1888">
        <v>2.17</v>
      </c>
      <c r="CD1888">
        <v>1.82</v>
      </c>
      <c r="CE1888">
        <v>1.81</v>
      </c>
      <c r="CF1888">
        <v>1.84</v>
      </c>
      <c r="CG1888">
        <v>12.4</v>
      </c>
      <c r="CH1888">
        <v>-2.21</v>
      </c>
      <c r="CI1888">
        <v>2.2599999999999998</v>
      </c>
      <c r="CJ1888">
        <v>35881</v>
      </c>
      <c r="CK1888">
        <v>8325</v>
      </c>
      <c r="CL1888" t="s">
        <v>9468</v>
      </c>
      <c r="CM1888">
        <v>-13.04</v>
      </c>
      <c r="CN1888">
        <v>-15.41</v>
      </c>
      <c r="CO1888">
        <v>1.78</v>
      </c>
      <c r="CP1888">
        <v>-34.42</v>
      </c>
      <c r="CQ1888">
        <v>6.08</v>
      </c>
      <c r="CR1888">
        <v>0.88</v>
      </c>
      <c r="CS1888" t="s">
        <v>3995</v>
      </c>
      <c r="CT1888">
        <v>6.36</v>
      </c>
      <c r="CU1888">
        <v>0</v>
      </c>
      <c r="CV1888">
        <v>3.42</v>
      </c>
      <c r="CW1888">
        <v>1.84</v>
      </c>
      <c r="CX1888">
        <v>-0.33</v>
      </c>
      <c r="CY1888">
        <v>44.98</v>
      </c>
      <c r="CZ1888" t="s">
        <v>4832</v>
      </c>
      <c r="DA1888">
        <v>35.67</v>
      </c>
      <c r="DB1888">
        <v>17.53</v>
      </c>
      <c r="DC1888">
        <v>14.44</v>
      </c>
      <c r="DD1888">
        <v>0.34</v>
      </c>
      <c r="DE1888">
        <v>970</v>
      </c>
      <c r="DF1888">
        <v>300495</v>
      </c>
      <c r="DG1888" t="s">
        <v>116</v>
      </c>
      <c r="DH1888" t="s">
        <v>116</v>
      </c>
      <c r="DI1888" t="s">
        <v>116</v>
      </c>
    </row>
    <row r="1889" spans="1:113" x14ac:dyDescent="0.4">
      <c r="A1889" t="str">
        <f>"300496"</f>
        <v>300496</v>
      </c>
      <c r="B1889" t="s">
        <v>9469</v>
      </c>
      <c r="C1889">
        <v>-3.62</v>
      </c>
      <c r="D1889">
        <v>45</v>
      </c>
      <c r="E1889">
        <v>-1.69</v>
      </c>
      <c r="F1889">
        <v>45</v>
      </c>
      <c r="G1889">
        <v>45.01</v>
      </c>
      <c r="H1889">
        <v>125379</v>
      </c>
      <c r="I1889">
        <v>830</v>
      </c>
      <c r="J1889">
        <v>0</v>
      </c>
      <c r="K1889">
        <v>4.43</v>
      </c>
      <c r="L1889">
        <v>47.03</v>
      </c>
      <c r="M1889">
        <v>47.05</v>
      </c>
      <c r="N1889">
        <v>44.35</v>
      </c>
      <c r="O1889">
        <v>46.69</v>
      </c>
      <c r="P1889">
        <v>87.49</v>
      </c>
      <c r="Q1889">
        <v>570763200</v>
      </c>
      <c r="R1889">
        <v>1.35</v>
      </c>
      <c r="S1889" t="s">
        <v>607</v>
      </c>
      <c r="T1889" t="s">
        <v>165</v>
      </c>
      <c r="U1889">
        <v>5.78</v>
      </c>
      <c r="V1889">
        <v>45.52</v>
      </c>
      <c r="W1889">
        <v>69327</v>
      </c>
      <c r="X1889">
        <v>56052</v>
      </c>
      <c r="Y1889">
        <v>1.24</v>
      </c>
      <c r="Z1889">
        <v>261</v>
      </c>
      <c r="AA1889">
        <v>180</v>
      </c>
      <c r="AB1889" t="s">
        <v>116</v>
      </c>
      <c r="AC1889">
        <v>1067600</v>
      </c>
      <c r="AD1889">
        <v>0.01</v>
      </c>
      <c r="AE1889" t="s">
        <v>116</v>
      </c>
      <c r="AF1889" t="s">
        <v>116</v>
      </c>
      <c r="AG1889">
        <v>2.83</v>
      </c>
      <c r="AH1889" t="s">
        <v>9470</v>
      </c>
      <c r="AI1889" t="s">
        <v>9471</v>
      </c>
      <c r="AJ1889">
        <v>-2.94</v>
      </c>
      <c r="AK1889">
        <v>4286</v>
      </c>
      <c r="AL1889">
        <v>29</v>
      </c>
      <c r="AM1889">
        <v>1E-3</v>
      </c>
      <c r="AN1889">
        <v>-2</v>
      </c>
      <c r="AO1889">
        <v>-4.4800000000000004</v>
      </c>
      <c r="AP1889">
        <v>0.83</v>
      </c>
      <c r="AQ1889">
        <v>21</v>
      </c>
      <c r="AR1889">
        <v>104.45</v>
      </c>
      <c r="AS1889">
        <v>5.39</v>
      </c>
      <c r="AT1889" t="s">
        <v>9472</v>
      </c>
      <c r="AU1889">
        <v>83.64</v>
      </c>
      <c r="AV1889">
        <v>110.24</v>
      </c>
      <c r="AW1889">
        <v>1.54</v>
      </c>
      <c r="BA1889">
        <v>0.73</v>
      </c>
      <c r="BB1889">
        <v>0.77</v>
      </c>
      <c r="BC1889">
        <v>-5.01</v>
      </c>
      <c r="BD1889">
        <v>-2.5</v>
      </c>
      <c r="BE1889">
        <v>-4.32</v>
      </c>
      <c r="BF1889">
        <v>-4.3600000000000003</v>
      </c>
      <c r="BG1889">
        <v>1.47</v>
      </c>
      <c r="BH1889">
        <v>-1.1200000000000001</v>
      </c>
      <c r="BI1889">
        <v>20191213</v>
      </c>
      <c r="BJ1889">
        <v>20151210</v>
      </c>
      <c r="BK1889">
        <v>4.03</v>
      </c>
      <c r="BL1889" t="s">
        <v>116</v>
      </c>
      <c r="BM1889" t="s">
        <v>116</v>
      </c>
      <c r="BN1889">
        <v>28.09</v>
      </c>
      <c r="BO1889">
        <v>17.04</v>
      </c>
      <c r="BP1889">
        <v>0.61</v>
      </c>
      <c r="BQ1889">
        <v>37.159999999999997</v>
      </c>
      <c r="BR1889">
        <v>15.95</v>
      </c>
      <c r="BS1889">
        <v>0.81</v>
      </c>
      <c r="BT1889">
        <v>2.61</v>
      </c>
      <c r="BU1889">
        <v>9.6</v>
      </c>
      <c r="BV1889">
        <v>0.48</v>
      </c>
      <c r="BW1889">
        <v>6.23</v>
      </c>
      <c r="BX1889">
        <v>6.61</v>
      </c>
      <c r="BY1889">
        <v>12.74</v>
      </c>
      <c r="BZ1889">
        <v>7.85</v>
      </c>
      <c r="CA1889">
        <v>1.63</v>
      </c>
      <c r="CB1889">
        <v>0.01</v>
      </c>
      <c r="CC1889">
        <v>1.63</v>
      </c>
      <c r="CD1889">
        <v>1.58</v>
      </c>
      <c r="CE1889">
        <v>1.55</v>
      </c>
      <c r="CF1889">
        <v>1.29</v>
      </c>
      <c r="CG1889">
        <v>5.91</v>
      </c>
      <c r="CH1889">
        <v>-0.15</v>
      </c>
      <c r="CI1889">
        <v>-0.11</v>
      </c>
      <c r="CJ1889">
        <v>43087</v>
      </c>
      <c r="CK1889">
        <v>5400</v>
      </c>
      <c r="CL1889" t="s">
        <v>9473</v>
      </c>
      <c r="CM1889">
        <v>50.73</v>
      </c>
      <c r="CN1889">
        <v>41.68</v>
      </c>
      <c r="CO1889">
        <v>10.64</v>
      </c>
      <c r="CP1889">
        <v>-1185.8599999999999</v>
      </c>
      <c r="CQ1889">
        <v>14.22</v>
      </c>
      <c r="CR1889">
        <v>0.2</v>
      </c>
      <c r="CS1889" t="s">
        <v>6158</v>
      </c>
      <c r="CT1889">
        <v>4.2300000000000004</v>
      </c>
      <c r="CU1889">
        <v>4.2300000000000004</v>
      </c>
      <c r="CV1889">
        <v>1.64</v>
      </c>
      <c r="CW1889">
        <v>1.47</v>
      </c>
      <c r="CX1889">
        <v>-0.04</v>
      </c>
      <c r="CY1889">
        <v>60.65</v>
      </c>
      <c r="CZ1889" t="s">
        <v>7461</v>
      </c>
      <c r="DA1889">
        <v>38.42</v>
      </c>
      <c r="DB1889">
        <v>12.77</v>
      </c>
      <c r="DC1889">
        <v>12.19</v>
      </c>
      <c r="DD1889">
        <v>1.34</v>
      </c>
      <c r="DE1889">
        <v>3399</v>
      </c>
      <c r="DF1889">
        <v>300496</v>
      </c>
      <c r="DG1889" t="s">
        <v>116</v>
      </c>
      <c r="DH1889" t="s">
        <v>116</v>
      </c>
      <c r="DI1889" t="s">
        <v>116</v>
      </c>
    </row>
    <row r="1890" spans="1:113" x14ac:dyDescent="0.4">
      <c r="A1890" t="str">
        <f>"300497"</f>
        <v>300497</v>
      </c>
      <c r="B1890" t="s">
        <v>9474</v>
      </c>
      <c r="C1890">
        <v>-0.15</v>
      </c>
      <c r="D1890">
        <v>19.48</v>
      </c>
      <c r="E1890">
        <v>-0.03</v>
      </c>
      <c r="F1890">
        <v>19.48</v>
      </c>
      <c r="G1890">
        <v>19.489999999999998</v>
      </c>
      <c r="H1890">
        <v>54099</v>
      </c>
      <c r="I1890">
        <v>1058</v>
      </c>
      <c r="J1890">
        <v>0.26</v>
      </c>
      <c r="K1890">
        <v>2.82</v>
      </c>
      <c r="L1890">
        <v>19.510000000000002</v>
      </c>
      <c r="M1890">
        <v>19.75</v>
      </c>
      <c r="N1890">
        <v>19.28</v>
      </c>
      <c r="O1890">
        <v>19.510000000000002</v>
      </c>
      <c r="P1890">
        <v>18.350000000000001</v>
      </c>
      <c r="Q1890">
        <v>105525744</v>
      </c>
      <c r="R1890">
        <v>0.78</v>
      </c>
      <c r="S1890" t="s">
        <v>574</v>
      </c>
      <c r="T1890" t="s">
        <v>683</v>
      </c>
      <c r="U1890">
        <v>2.41</v>
      </c>
      <c r="V1890">
        <v>19.510000000000002</v>
      </c>
      <c r="W1890">
        <v>26819</v>
      </c>
      <c r="X1890">
        <v>27280</v>
      </c>
      <c r="Y1890">
        <v>0.98</v>
      </c>
      <c r="Z1890">
        <v>447</v>
      </c>
      <c r="AA1890">
        <v>137</v>
      </c>
      <c r="AB1890" t="s">
        <v>116</v>
      </c>
      <c r="AC1890">
        <v>979400</v>
      </c>
      <c r="AD1890">
        <v>0.04</v>
      </c>
      <c r="AE1890" t="s">
        <v>116</v>
      </c>
      <c r="AF1890" t="s">
        <v>116</v>
      </c>
      <c r="AG1890">
        <v>1.92</v>
      </c>
      <c r="AH1890" t="s">
        <v>1268</v>
      </c>
      <c r="AI1890" t="s">
        <v>4085</v>
      </c>
      <c r="AJ1890">
        <v>0.53</v>
      </c>
      <c r="AK1890">
        <v>2320</v>
      </c>
      <c r="AL1890">
        <v>23</v>
      </c>
      <c r="AM1890">
        <v>1.1999999999999999E-3</v>
      </c>
      <c r="AN1890">
        <v>-2</v>
      </c>
      <c r="AO1890">
        <v>1.0900000000000001</v>
      </c>
      <c r="AP1890">
        <v>14.52</v>
      </c>
      <c r="AQ1890">
        <v>14.25</v>
      </c>
      <c r="AR1890">
        <v>29.65</v>
      </c>
      <c r="AS1890">
        <v>3.98</v>
      </c>
      <c r="AT1890" t="s">
        <v>4371</v>
      </c>
      <c r="AU1890">
        <v>22.2</v>
      </c>
      <c r="AV1890">
        <v>27.14</v>
      </c>
      <c r="AW1890">
        <v>0.73</v>
      </c>
      <c r="BA1890">
        <v>0</v>
      </c>
      <c r="BB1890">
        <v>1.23</v>
      </c>
      <c r="BC1890">
        <v>-1.18</v>
      </c>
      <c r="BD1890">
        <v>-0.02</v>
      </c>
      <c r="BE1890">
        <v>-0.15</v>
      </c>
      <c r="BF1890">
        <v>-1.37</v>
      </c>
      <c r="BG1890">
        <v>1.04</v>
      </c>
      <c r="BH1890">
        <v>-0.13</v>
      </c>
      <c r="BI1890">
        <v>20191026</v>
      </c>
      <c r="BJ1890">
        <v>20151222</v>
      </c>
      <c r="BK1890">
        <v>2.71</v>
      </c>
      <c r="BL1890" t="s">
        <v>116</v>
      </c>
      <c r="BM1890" t="s">
        <v>116</v>
      </c>
      <c r="BN1890">
        <v>26.16</v>
      </c>
      <c r="BO1890">
        <v>13.71</v>
      </c>
      <c r="BP1890">
        <v>0.4</v>
      </c>
      <c r="BQ1890">
        <v>46.08</v>
      </c>
      <c r="BR1890">
        <v>15.22</v>
      </c>
      <c r="BS1890">
        <v>5.15</v>
      </c>
      <c r="BT1890">
        <v>1.23</v>
      </c>
      <c r="BU1890">
        <v>8.1</v>
      </c>
      <c r="BV1890">
        <v>2.14</v>
      </c>
      <c r="BW1890">
        <v>1.92</v>
      </c>
      <c r="BX1890">
        <v>3.65</v>
      </c>
      <c r="BY1890">
        <v>9.67</v>
      </c>
      <c r="BZ1890">
        <v>5.56</v>
      </c>
      <c r="CA1890">
        <v>2.5499999999999998</v>
      </c>
      <c r="CB1890">
        <v>-0.03</v>
      </c>
      <c r="CC1890">
        <v>2.62</v>
      </c>
      <c r="CD1890">
        <v>2.2000000000000002</v>
      </c>
      <c r="CE1890">
        <v>2.16</v>
      </c>
      <c r="CF1890">
        <v>2.09</v>
      </c>
      <c r="CG1890">
        <v>6.57</v>
      </c>
      <c r="CH1890">
        <v>1.77</v>
      </c>
      <c r="CI1890">
        <v>0.21</v>
      </c>
      <c r="CJ1890">
        <v>13424</v>
      </c>
      <c r="CK1890">
        <v>10131</v>
      </c>
      <c r="CL1890" t="s">
        <v>9475</v>
      </c>
      <c r="CM1890">
        <v>25.09</v>
      </c>
      <c r="CN1890">
        <v>8.36</v>
      </c>
      <c r="CO1890">
        <v>4.16</v>
      </c>
      <c r="CP1890">
        <v>29.8</v>
      </c>
      <c r="CQ1890">
        <v>5.47</v>
      </c>
      <c r="CR1890">
        <v>0.83</v>
      </c>
      <c r="CS1890" t="s">
        <v>4013</v>
      </c>
      <c r="CT1890">
        <v>4.68</v>
      </c>
      <c r="CU1890">
        <v>4.68</v>
      </c>
      <c r="CV1890">
        <v>1.35</v>
      </c>
      <c r="CW1890">
        <v>2.42</v>
      </c>
      <c r="CX1890">
        <v>0.65</v>
      </c>
      <c r="CY1890">
        <v>52.39</v>
      </c>
      <c r="CZ1890" t="s">
        <v>9476</v>
      </c>
      <c r="DA1890">
        <v>42.47</v>
      </c>
      <c r="DB1890">
        <v>26.42</v>
      </c>
      <c r="DC1890">
        <v>22.34</v>
      </c>
      <c r="DD1890">
        <v>0.43</v>
      </c>
      <c r="DE1890">
        <v>1413</v>
      </c>
      <c r="DF1890">
        <v>300497</v>
      </c>
      <c r="DG1890" t="s">
        <v>116</v>
      </c>
      <c r="DH1890" t="s">
        <v>116</v>
      </c>
      <c r="DI1890" t="s">
        <v>116</v>
      </c>
    </row>
    <row r="1891" spans="1:113" x14ac:dyDescent="0.4">
      <c r="A1891" t="str">
        <f>"300498"</f>
        <v>300498</v>
      </c>
      <c r="B1891" t="s">
        <v>9477</v>
      </c>
      <c r="C1891">
        <v>2.1</v>
      </c>
      <c r="D1891">
        <v>33.08</v>
      </c>
      <c r="E1891">
        <v>0.68</v>
      </c>
      <c r="F1891">
        <v>33.07</v>
      </c>
      <c r="G1891">
        <v>33.08</v>
      </c>
      <c r="H1891">
        <v>280219</v>
      </c>
      <c r="I1891">
        <v>2751</v>
      </c>
      <c r="J1891">
        <v>-0.02</v>
      </c>
      <c r="K1891">
        <v>0.7</v>
      </c>
      <c r="L1891">
        <v>32.409999999999997</v>
      </c>
      <c r="M1891">
        <v>33.299999999999997</v>
      </c>
      <c r="N1891">
        <v>32.32</v>
      </c>
      <c r="O1891">
        <v>32.4</v>
      </c>
      <c r="P1891">
        <v>21.66</v>
      </c>
      <c r="Q1891">
        <v>921903360</v>
      </c>
      <c r="R1891">
        <v>1.33</v>
      </c>
      <c r="S1891" t="s">
        <v>449</v>
      </c>
      <c r="T1891" t="s">
        <v>551</v>
      </c>
      <c r="U1891">
        <v>3.02</v>
      </c>
      <c r="V1891">
        <v>32.9</v>
      </c>
      <c r="W1891">
        <v>127045</v>
      </c>
      <c r="X1891">
        <v>153174</v>
      </c>
      <c r="Y1891">
        <v>0.83</v>
      </c>
      <c r="Z1891">
        <v>298</v>
      </c>
      <c r="AA1891">
        <v>24</v>
      </c>
      <c r="AB1891" t="s">
        <v>116</v>
      </c>
      <c r="AC1891">
        <v>2719200</v>
      </c>
      <c r="AD1891">
        <v>0</v>
      </c>
      <c r="AE1891" t="s">
        <v>116</v>
      </c>
      <c r="AF1891" t="s">
        <v>116</v>
      </c>
      <c r="AG1891">
        <v>40.1</v>
      </c>
      <c r="AH1891" t="s">
        <v>9478</v>
      </c>
      <c r="AI1891" t="s">
        <v>9479</v>
      </c>
      <c r="AJ1891">
        <v>2.78</v>
      </c>
      <c r="AK1891">
        <v>4491</v>
      </c>
      <c r="AL1891">
        <v>62</v>
      </c>
      <c r="AM1891">
        <v>2.0000000000000001E-4</v>
      </c>
      <c r="AN1891">
        <v>1</v>
      </c>
      <c r="AO1891">
        <v>0.88</v>
      </c>
      <c r="AP1891">
        <v>-7.6</v>
      </c>
      <c r="AQ1891">
        <v>-9.1199999999999992</v>
      </c>
      <c r="AR1891">
        <v>30.34</v>
      </c>
      <c r="AS1891">
        <v>0.71</v>
      </c>
      <c r="AT1891" t="s">
        <v>9480</v>
      </c>
      <c r="AU1891">
        <v>24.6</v>
      </c>
      <c r="AV1891">
        <v>44.4</v>
      </c>
      <c r="AW1891">
        <v>0.41</v>
      </c>
      <c r="BA1891">
        <v>0.03</v>
      </c>
      <c r="BB1891">
        <v>2.78</v>
      </c>
      <c r="BC1891">
        <v>-0.25</v>
      </c>
      <c r="BD1891">
        <v>1.54</v>
      </c>
      <c r="BE1891">
        <v>2.0699999999999998</v>
      </c>
      <c r="BF1891">
        <v>-0.66</v>
      </c>
      <c r="BG1891">
        <v>2.35</v>
      </c>
      <c r="BH1891">
        <v>0.56000000000000005</v>
      </c>
      <c r="BI1891">
        <v>20191023</v>
      </c>
      <c r="BJ1891">
        <v>20151102</v>
      </c>
      <c r="BK1891">
        <v>53.12</v>
      </c>
      <c r="BL1891" t="s">
        <v>116</v>
      </c>
      <c r="BM1891" t="s">
        <v>116</v>
      </c>
      <c r="BN1891">
        <v>581.32000000000005</v>
      </c>
      <c r="BO1891">
        <v>371.89</v>
      </c>
      <c r="BP1891">
        <v>10.23</v>
      </c>
      <c r="BQ1891">
        <v>34.270000000000003</v>
      </c>
      <c r="BR1891">
        <v>236.91</v>
      </c>
      <c r="BS1891">
        <v>200.67</v>
      </c>
      <c r="BT1891">
        <v>12.31</v>
      </c>
      <c r="BU1891">
        <v>145.58000000000001</v>
      </c>
      <c r="BV1891">
        <v>118.54</v>
      </c>
      <c r="BW1891">
        <v>3.25</v>
      </c>
      <c r="BX1891">
        <v>64.8</v>
      </c>
      <c r="BY1891">
        <v>482.89</v>
      </c>
      <c r="BZ1891">
        <v>387.28</v>
      </c>
      <c r="CA1891">
        <v>66.709999999999994</v>
      </c>
      <c r="CB1891">
        <v>1.01</v>
      </c>
      <c r="CC1891">
        <v>66.48</v>
      </c>
      <c r="CD1891">
        <v>63.31</v>
      </c>
      <c r="CE1891">
        <v>60.85</v>
      </c>
      <c r="CF1891">
        <v>51.36</v>
      </c>
      <c r="CG1891">
        <v>230.4</v>
      </c>
      <c r="CH1891">
        <v>88.9</v>
      </c>
      <c r="CI1891">
        <v>-8.19</v>
      </c>
      <c r="CJ1891">
        <v>58687</v>
      </c>
      <c r="CK1891">
        <v>67397</v>
      </c>
      <c r="CL1891" t="s">
        <v>9481</v>
      </c>
      <c r="CM1891">
        <v>109.84</v>
      </c>
      <c r="CN1891">
        <v>18.239999999999998</v>
      </c>
      <c r="CO1891">
        <v>4.7300000000000004</v>
      </c>
      <c r="CP1891">
        <v>19.77</v>
      </c>
      <c r="CQ1891">
        <v>3.64</v>
      </c>
      <c r="CR1891">
        <v>2.42</v>
      </c>
      <c r="CS1891" t="s">
        <v>9482</v>
      </c>
      <c r="CT1891">
        <v>7</v>
      </c>
      <c r="CU1891">
        <v>0</v>
      </c>
      <c r="CV1891">
        <v>1.22</v>
      </c>
      <c r="CW1891">
        <v>4.34</v>
      </c>
      <c r="CX1891">
        <v>1.67</v>
      </c>
      <c r="CY1891">
        <v>63.97</v>
      </c>
      <c r="CZ1891" t="s">
        <v>9483</v>
      </c>
      <c r="DA1891">
        <v>19.8</v>
      </c>
      <c r="DB1891">
        <v>13.81</v>
      </c>
      <c r="DC1891">
        <v>12.6</v>
      </c>
      <c r="DD1891">
        <v>3.9</v>
      </c>
      <c r="DE1891">
        <v>48639</v>
      </c>
      <c r="DF1891">
        <v>300498</v>
      </c>
      <c r="DG1891" t="s">
        <v>116</v>
      </c>
      <c r="DH1891" t="s">
        <v>116</v>
      </c>
      <c r="DI1891" t="s">
        <v>116</v>
      </c>
    </row>
    <row r="1892" spans="1:113" x14ac:dyDescent="0.4">
      <c r="A1892" t="str">
        <f>"300499"</f>
        <v>300499</v>
      </c>
      <c r="B1892" t="s">
        <v>9484</v>
      </c>
      <c r="C1892">
        <v>-1.8</v>
      </c>
      <c r="D1892">
        <v>11.43</v>
      </c>
      <c r="E1892">
        <v>-0.21</v>
      </c>
      <c r="F1892">
        <v>11.43</v>
      </c>
      <c r="G1892">
        <v>11.44</v>
      </c>
      <c r="H1892">
        <v>10339</v>
      </c>
      <c r="I1892">
        <v>246</v>
      </c>
      <c r="J1892">
        <v>-0.08</v>
      </c>
      <c r="K1892">
        <v>0.84</v>
      </c>
      <c r="L1892">
        <v>11.65</v>
      </c>
      <c r="M1892">
        <v>11.66</v>
      </c>
      <c r="N1892">
        <v>11.42</v>
      </c>
      <c r="O1892">
        <v>11.64</v>
      </c>
      <c r="P1892">
        <v>44.57</v>
      </c>
      <c r="Q1892">
        <v>11921474</v>
      </c>
      <c r="R1892">
        <v>0.9</v>
      </c>
      <c r="S1892" t="s">
        <v>682</v>
      </c>
      <c r="T1892" t="s">
        <v>551</v>
      </c>
      <c r="U1892">
        <v>2.06</v>
      </c>
      <c r="V1892">
        <v>11.53</v>
      </c>
      <c r="W1892">
        <v>6274</v>
      </c>
      <c r="X1892">
        <v>4065</v>
      </c>
      <c r="Y1892">
        <v>1.54</v>
      </c>
      <c r="Z1892">
        <v>228</v>
      </c>
      <c r="AA1892">
        <v>68</v>
      </c>
      <c r="AB1892" t="s">
        <v>116</v>
      </c>
      <c r="AC1892">
        <v>0</v>
      </c>
      <c r="AD1892">
        <v>0</v>
      </c>
      <c r="AE1892" t="s">
        <v>116</v>
      </c>
      <c r="AF1892" t="s">
        <v>116</v>
      </c>
      <c r="AG1892">
        <v>1.23</v>
      </c>
      <c r="AH1892" t="s">
        <v>2572</v>
      </c>
      <c r="AI1892" t="s">
        <v>1874</v>
      </c>
      <c r="AJ1892">
        <v>-1.1299999999999999</v>
      </c>
      <c r="AK1892">
        <v>724</v>
      </c>
      <c r="AL1892">
        <v>14</v>
      </c>
      <c r="AM1892">
        <v>1.1999999999999999E-3</v>
      </c>
      <c r="AN1892">
        <v>-3</v>
      </c>
      <c r="AO1892">
        <v>-3.21</v>
      </c>
      <c r="AP1892">
        <v>1.33</v>
      </c>
      <c r="AQ1892">
        <v>-14.7</v>
      </c>
      <c r="AR1892">
        <v>18.899999999999999</v>
      </c>
      <c r="AS1892">
        <v>1.1399999999999999</v>
      </c>
      <c r="AT1892" t="s">
        <v>9485</v>
      </c>
      <c r="AU1892">
        <v>36.53</v>
      </c>
      <c r="AV1892">
        <v>36.94</v>
      </c>
      <c r="AW1892">
        <v>1.18</v>
      </c>
      <c r="BA1892">
        <v>0.09</v>
      </c>
      <c r="BB1892">
        <v>0.17</v>
      </c>
      <c r="BC1892">
        <v>-1.89</v>
      </c>
      <c r="BD1892">
        <v>-0.94</v>
      </c>
      <c r="BE1892">
        <v>-1.89</v>
      </c>
      <c r="BF1892">
        <v>-1.97</v>
      </c>
      <c r="BG1892">
        <v>0.09</v>
      </c>
      <c r="BH1892">
        <v>-0.87</v>
      </c>
      <c r="BI1892">
        <v>20191219</v>
      </c>
      <c r="BJ1892">
        <v>20160202</v>
      </c>
      <c r="BK1892">
        <v>1.86</v>
      </c>
      <c r="BL1892" t="s">
        <v>116</v>
      </c>
      <c r="BM1892" t="s">
        <v>116</v>
      </c>
      <c r="BN1892">
        <v>13.72</v>
      </c>
      <c r="BO1892">
        <v>7.19</v>
      </c>
      <c r="BP1892">
        <v>0</v>
      </c>
      <c r="BQ1892">
        <v>47.61</v>
      </c>
      <c r="BR1892">
        <v>10.09</v>
      </c>
      <c r="BS1892">
        <v>2.4300000000000002</v>
      </c>
      <c r="BT1892">
        <v>0.56000000000000005</v>
      </c>
      <c r="BU1892">
        <v>6.17</v>
      </c>
      <c r="BV1892">
        <v>2.11</v>
      </c>
      <c r="BW1892">
        <v>4.18</v>
      </c>
      <c r="BX1892">
        <v>1.91</v>
      </c>
      <c r="BY1892">
        <v>5.71</v>
      </c>
      <c r="BZ1892">
        <v>3.72</v>
      </c>
      <c r="CA1892">
        <v>0.39</v>
      </c>
      <c r="CB1892">
        <v>0</v>
      </c>
      <c r="CC1892">
        <v>0.39</v>
      </c>
      <c r="CD1892">
        <v>0.36</v>
      </c>
      <c r="CE1892">
        <v>0.36</v>
      </c>
      <c r="CF1892">
        <v>0.28999999999999998</v>
      </c>
      <c r="CG1892">
        <v>3.35</v>
      </c>
      <c r="CH1892">
        <v>-1.38</v>
      </c>
      <c r="CI1892">
        <v>-0.71</v>
      </c>
      <c r="CJ1892">
        <v>11362</v>
      </c>
      <c r="CK1892">
        <v>8004</v>
      </c>
      <c r="CL1892" t="s">
        <v>1401</v>
      </c>
      <c r="CM1892">
        <v>1.86</v>
      </c>
      <c r="CN1892">
        <v>36.15</v>
      </c>
      <c r="CO1892">
        <v>2.96</v>
      </c>
      <c r="CP1892">
        <v>-15.35</v>
      </c>
      <c r="CQ1892">
        <v>3.72</v>
      </c>
      <c r="CR1892">
        <v>0.7</v>
      </c>
      <c r="CS1892" t="s">
        <v>1099</v>
      </c>
      <c r="CT1892">
        <v>3.87</v>
      </c>
      <c r="CU1892">
        <v>0</v>
      </c>
      <c r="CV1892">
        <v>1.03</v>
      </c>
      <c r="CW1892">
        <v>1.8</v>
      </c>
      <c r="CX1892">
        <v>-0.74</v>
      </c>
      <c r="CY1892">
        <v>52.39</v>
      </c>
      <c r="CZ1892" t="s">
        <v>9486</v>
      </c>
      <c r="DA1892">
        <v>34.78</v>
      </c>
      <c r="DB1892">
        <v>6.8</v>
      </c>
      <c r="DC1892">
        <v>6.26</v>
      </c>
      <c r="DD1892">
        <v>0.32</v>
      </c>
      <c r="DE1892">
        <v>645</v>
      </c>
      <c r="DF1892">
        <v>300499</v>
      </c>
      <c r="DG1892" t="s">
        <v>116</v>
      </c>
      <c r="DH1892" t="s">
        <v>116</v>
      </c>
      <c r="DI1892" t="s">
        <v>116</v>
      </c>
    </row>
    <row r="1893" spans="1:113" x14ac:dyDescent="0.4">
      <c r="A1893" t="str">
        <f>"300500"</f>
        <v>300500</v>
      </c>
      <c r="B1893" t="s">
        <v>9487</v>
      </c>
      <c r="C1893">
        <v>-0.2</v>
      </c>
      <c r="D1893">
        <v>14.9</v>
      </c>
      <c r="E1893">
        <v>-0.03</v>
      </c>
      <c r="F1893">
        <v>14.89</v>
      </c>
      <c r="G1893">
        <v>14.9</v>
      </c>
      <c r="H1893">
        <v>14993</v>
      </c>
      <c r="I1893">
        <v>305</v>
      </c>
      <c r="J1893">
        <v>-0.06</v>
      </c>
      <c r="K1893">
        <v>0.97</v>
      </c>
      <c r="L1893">
        <v>15.04</v>
      </c>
      <c r="M1893">
        <v>15.3</v>
      </c>
      <c r="N1893">
        <v>14.85</v>
      </c>
      <c r="O1893">
        <v>14.93</v>
      </c>
      <c r="P1893">
        <v>17.850000000000001</v>
      </c>
      <c r="Q1893">
        <v>22673266</v>
      </c>
      <c r="R1893">
        <v>1.22</v>
      </c>
      <c r="S1893" t="s">
        <v>181</v>
      </c>
      <c r="T1893" t="s">
        <v>323</v>
      </c>
      <c r="U1893">
        <v>3.01</v>
      </c>
      <c r="V1893">
        <v>15.12</v>
      </c>
      <c r="W1893">
        <v>7235</v>
      </c>
      <c r="X1893">
        <v>7758</v>
      </c>
      <c r="Y1893">
        <v>0.93</v>
      </c>
      <c r="Z1893">
        <v>12</v>
      </c>
      <c r="AA1893">
        <v>272</v>
      </c>
      <c r="AB1893" t="s">
        <v>116</v>
      </c>
      <c r="AC1893">
        <v>0</v>
      </c>
      <c r="AD1893">
        <v>0</v>
      </c>
      <c r="AE1893" t="s">
        <v>116</v>
      </c>
      <c r="AF1893" t="s">
        <v>116</v>
      </c>
      <c r="AG1893">
        <v>1.55</v>
      </c>
      <c r="AH1893" t="s">
        <v>2313</v>
      </c>
      <c r="AI1893" t="s">
        <v>9488</v>
      </c>
      <c r="AJ1893">
        <v>0.48</v>
      </c>
      <c r="AK1893">
        <v>970</v>
      </c>
      <c r="AL1893">
        <v>15</v>
      </c>
      <c r="AM1893">
        <v>1E-3</v>
      </c>
      <c r="AN1893">
        <v>-1</v>
      </c>
      <c r="AO1893">
        <v>0.55000000000000004</v>
      </c>
      <c r="AP1893">
        <v>4.41</v>
      </c>
      <c r="AQ1893">
        <v>2.83</v>
      </c>
      <c r="AR1893">
        <v>-12.39</v>
      </c>
      <c r="AS1893">
        <v>1.93</v>
      </c>
      <c r="AT1893" t="s">
        <v>9489</v>
      </c>
      <c r="AU1893">
        <v>16.260000000000002</v>
      </c>
      <c r="AV1893">
        <v>23.28</v>
      </c>
      <c r="AW1893">
        <v>1</v>
      </c>
      <c r="BA1893">
        <v>0.74</v>
      </c>
      <c r="BB1893">
        <v>2.48</v>
      </c>
      <c r="BC1893">
        <v>-0.54</v>
      </c>
      <c r="BD1893">
        <v>1.29</v>
      </c>
      <c r="BE1893">
        <v>-0.93</v>
      </c>
      <c r="BF1893">
        <v>-2.61</v>
      </c>
      <c r="BG1893">
        <v>0.34</v>
      </c>
      <c r="BH1893">
        <v>-1.49</v>
      </c>
      <c r="BI1893">
        <v>20191029</v>
      </c>
      <c r="BJ1893">
        <v>20160204</v>
      </c>
      <c r="BK1893">
        <v>1.74</v>
      </c>
      <c r="BL1893" t="s">
        <v>116</v>
      </c>
      <c r="BM1893" t="s">
        <v>116</v>
      </c>
      <c r="BN1893">
        <v>23.42</v>
      </c>
      <c r="BO1893">
        <v>13.8</v>
      </c>
      <c r="BP1893">
        <v>0.64</v>
      </c>
      <c r="BQ1893">
        <v>38.35</v>
      </c>
      <c r="BR1893">
        <v>12.85</v>
      </c>
      <c r="BS1893">
        <v>1.73</v>
      </c>
      <c r="BT1893">
        <v>1.82</v>
      </c>
      <c r="BU1893">
        <v>7.42</v>
      </c>
      <c r="BV1893">
        <v>1.94</v>
      </c>
      <c r="BW1893">
        <v>7.03</v>
      </c>
      <c r="BX1893">
        <v>7.37</v>
      </c>
      <c r="BY1893">
        <v>7.32</v>
      </c>
      <c r="BZ1893">
        <v>4.9800000000000004</v>
      </c>
      <c r="CA1893">
        <v>1.34</v>
      </c>
      <c r="CB1893">
        <v>0.04</v>
      </c>
      <c r="CC1893">
        <v>1.34</v>
      </c>
      <c r="CD1893">
        <v>1.19</v>
      </c>
      <c r="CE1893">
        <v>1.0900000000000001</v>
      </c>
      <c r="CF1893">
        <v>0.64</v>
      </c>
      <c r="CG1893">
        <v>4.3</v>
      </c>
      <c r="CH1893">
        <v>0.61</v>
      </c>
      <c r="CI1893">
        <v>-2.7</v>
      </c>
      <c r="CJ1893">
        <v>13466</v>
      </c>
      <c r="CK1893">
        <v>5766</v>
      </c>
      <c r="CL1893" t="s">
        <v>2677</v>
      </c>
      <c r="CM1893">
        <v>79</v>
      </c>
      <c r="CN1893">
        <v>19.829999999999998</v>
      </c>
      <c r="CO1893">
        <v>1.88</v>
      </c>
      <c r="CP1893">
        <v>42.72</v>
      </c>
      <c r="CQ1893">
        <v>3.55</v>
      </c>
      <c r="CR1893">
        <v>0.88</v>
      </c>
      <c r="CS1893" t="s">
        <v>9490</v>
      </c>
      <c r="CT1893">
        <v>7.91</v>
      </c>
      <c r="CU1893">
        <v>0</v>
      </c>
      <c r="CV1893">
        <v>4.22</v>
      </c>
      <c r="CW1893">
        <v>2.4700000000000002</v>
      </c>
      <c r="CX1893">
        <v>0.35</v>
      </c>
      <c r="CY1893">
        <v>58.9</v>
      </c>
      <c r="CZ1893" t="s">
        <v>9491</v>
      </c>
      <c r="DA1893">
        <v>31.95</v>
      </c>
      <c r="DB1893">
        <v>18.36</v>
      </c>
      <c r="DC1893">
        <v>14.93</v>
      </c>
      <c r="DD1893">
        <v>0.43</v>
      </c>
      <c r="DE1893">
        <v>1376</v>
      </c>
      <c r="DF1893">
        <v>300500</v>
      </c>
      <c r="DG1893" t="s">
        <v>116</v>
      </c>
      <c r="DH1893" t="s">
        <v>116</v>
      </c>
      <c r="DI1893" t="s">
        <v>116</v>
      </c>
    </row>
    <row r="1894" spans="1:113" x14ac:dyDescent="0.4">
      <c r="A1894" t="str">
        <f>"300501"</f>
        <v>300501</v>
      </c>
      <c r="B1894" t="s">
        <v>9492</v>
      </c>
      <c r="C1894">
        <v>-1.08</v>
      </c>
      <c r="D1894">
        <v>11.87</v>
      </c>
      <c r="E1894">
        <v>-0.13</v>
      </c>
      <c r="F1894">
        <v>11.87</v>
      </c>
      <c r="G1894">
        <v>11.88</v>
      </c>
      <c r="H1894">
        <v>8357</v>
      </c>
      <c r="I1894">
        <v>18</v>
      </c>
      <c r="J1894">
        <v>0.08</v>
      </c>
      <c r="K1894">
        <v>1</v>
      </c>
      <c r="L1894">
        <v>12</v>
      </c>
      <c r="M1894">
        <v>12.09</v>
      </c>
      <c r="N1894">
        <v>11.84</v>
      </c>
      <c r="O1894">
        <v>12</v>
      </c>
      <c r="P1894">
        <v>26.81</v>
      </c>
      <c r="Q1894">
        <v>9969228</v>
      </c>
      <c r="R1894">
        <v>1.1599999999999999</v>
      </c>
      <c r="S1894" t="s">
        <v>345</v>
      </c>
      <c r="T1894" t="s">
        <v>1653</v>
      </c>
      <c r="U1894">
        <v>2.08</v>
      </c>
      <c r="V1894">
        <v>11.93</v>
      </c>
      <c r="W1894">
        <v>5571</v>
      </c>
      <c r="X1894">
        <v>2786</v>
      </c>
      <c r="Y1894">
        <v>2</v>
      </c>
      <c r="Z1894">
        <v>3</v>
      </c>
      <c r="AA1894">
        <v>80</v>
      </c>
      <c r="AB1894" t="s">
        <v>116</v>
      </c>
      <c r="AC1894">
        <v>3600</v>
      </c>
      <c r="AD1894">
        <v>0</v>
      </c>
      <c r="AE1894" t="s">
        <v>116</v>
      </c>
      <c r="AF1894" t="s">
        <v>116</v>
      </c>
      <c r="AG1894">
        <v>0.84</v>
      </c>
      <c r="AH1894" t="s">
        <v>9493</v>
      </c>
      <c r="AI1894" t="s">
        <v>5886</v>
      </c>
      <c r="AJ1894">
        <v>-0.4</v>
      </c>
      <c r="AK1894">
        <v>529</v>
      </c>
      <c r="AL1894">
        <v>16</v>
      </c>
      <c r="AM1894">
        <v>1.9E-3</v>
      </c>
      <c r="AN1894">
        <v>-1</v>
      </c>
      <c r="AO1894">
        <v>0.43</v>
      </c>
      <c r="AP1894">
        <v>4.7699999999999996</v>
      </c>
      <c r="AQ1894">
        <v>0</v>
      </c>
      <c r="AR1894">
        <v>8.6300000000000008</v>
      </c>
      <c r="AS1894">
        <v>1.39</v>
      </c>
      <c r="AT1894" t="s">
        <v>9494</v>
      </c>
      <c r="AU1894">
        <v>28.01</v>
      </c>
      <c r="AV1894">
        <v>28.08</v>
      </c>
      <c r="AW1894">
        <v>0.72</v>
      </c>
      <c r="BA1894">
        <v>0</v>
      </c>
      <c r="BB1894">
        <v>0.75</v>
      </c>
      <c r="BC1894">
        <v>-1.33</v>
      </c>
      <c r="BD1894">
        <v>-0.59</v>
      </c>
      <c r="BE1894">
        <v>-1.08</v>
      </c>
      <c r="BF1894">
        <v>-1.82</v>
      </c>
      <c r="BG1894">
        <v>0.25</v>
      </c>
      <c r="BH1894">
        <v>-0.49</v>
      </c>
      <c r="BI1894">
        <v>20191203</v>
      </c>
      <c r="BJ1894">
        <v>20160204</v>
      </c>
      <c r="BK1894">
        <v>1.57</v>
      </c>
      <c r="BL1894" t="s">
        <v>116</v>
      </c>
      <c r="BM1894" t="s">
        <v>116</v>
      </c>
      <c r="BN1894">
        <v>11.74</v>
      </c>
      <c r="BO1894">
        <v>6.78</v>
      </c>
      <c r="BP1894">
        <v>0.7</v>
      </c>
      <c r="BQ1894">
        <v>36.29</v>
      </c>
      <c r="BR1894">
        <v>5.2</v>
      </c>
      <c r="BS1894">
        <v>3.19</v>
      </c>
      <c r="BT1894">
        <v>0.72</v>
      </c>
      <c r="BU1894">
        <v>3.8</v>
      </c>
      <c r="BV1894">
        <v>1.05</v>
      </c>
      <c r="BW1894">
        <v>1.86</v>
      </c>
      <c r="BX1894">
        <v>2.59</v>
      </c>
      <c r="BY1894">
        <v>4.57</v>
      </c>
      <c r="BZ1894">
        <v>3.12</v>
      </c>
      <c r="CA1894">
        <v>0.55000000000000004</v>
      </c>
      <c r="CB1894">
        <v>0.12</v>
      </c>
      <c r="CC1894">
        <v>0.61</v>
      </c>
      <c r="CD1894">
        <v>0.52</v>
      </c>
      <c r="CE1894">
        <v>0.52</v>
      </c>
      <c r="CF1894">
        <v>0.46</v>
      </c>
      <c r="CG1894">
        <v>2.7</v>
      </c>
      <c r="CH1894">
        <v>1.22</v>
      </c>
      <c r="CI1894">
        <v>0.06</v>
      </c>
      <c r="CJ1894">
        <v>8562</v>
      </c>
      <c r="CK1894">
        <v>7046</v>
      </c>
      <c r="CL1894" t="s">
        <v>7928</v>
      </c>
      <c r="CM1894">
        <v>0.33</v>
      </c>
      <c r="CN1894">
        <v>28.27</v>
      </c>
      <c r="CO1894">
        <v>2.74</v>
      </c>
      <c r="CP1894">
        <v>15.22</v>
      </c>
      <c r="CQ1894">
        <v>4.07</v>
      </c>
      <c r="CR1894">
        <v>1.68</v>
      </c>
      <c r="CS1894" t="s">
        <v>2925</v>
      </c>
      <c r="CT1894">
        <v>4.33</v>
      </c>
      <c r="CU1894">
        <v>0</v>
      </c>
      <c r="CV1894">
        <v>1.66</v>
      </c>
      <c r="CW1894">
        <v>1.72</v>
      </c>
      <c r="CX1894">
        <v>0.78</v>
      </c>
      <c r="CY1894">
        <v>57.75</v>
      </c>
      <c r="CZ1894" t="s">
        <v>1245</v>
      </c>
      <c r="DA1894">
        <v>31.72</v>
      </c>
      <c r="DB1894">
        <v>12.05</v>
      </c>
      <c r="DC1894">
        <v>11.37</v>
      </c>
      <c r="DD1894">
        <v>0.17</v>
      </c>
      <c r="DE1894">
        <v>270</v>
      </c>
      <c r="DF1894">
        <v>300501</v>
      </c>
      <c r="DG1894" t="s">
        <v>116</v>
      </c>
      <c r="DH1894" t="s">
        <v>116</v>
      </c>
      <c r="DI1894" t="s">
        <v>116</v>
      </c>
    </row>
    <row r="1895" spans="1:113" x14ac:dyDescent="0.4">
      <c r="A1895" t="str">
        <f>"300502"</f>
        <v>300502</v>
      </c>
      <c r="B1895" t="s">
        <v>9495</v>
      </c>
      <c r="C1895">
        <v>-6.37</v>
      </c>
      <c r="D1895">
        <v>40.26</v>
      </c>
      <c r="E1895">
        <v>-2.74</v>
      </c>
      <c r="F1895">
        <v>40.26</v>
      </c>
      <c r="G1895">
        <v>40.270000000000003</v>
      </c>
      <c r="H1895">
        <v>201087</v>
      </c>
      <c r="I1895">
        <v>2057</v>
      </c>
      <c r="J1895">
        <v>-0.31</v>
      </c>
      <c r="K1895">
        <v>12.73</v>
      </c>
      <c r="L1895">
        <v>43.68</v>
      </c>
      <c r="M1895">
        <v>45.58</v>
      </c>
      <c r="N1895">
        <v>39.86</v>
      </c>
      <c r="O1895">
        <v>43</v>
      </c>
      <c r="P1895">
        <v>53.69</v>
      </c>
      <c r="Q1895">
        <v>857816064</v>
      </c>
      <c r="R1895">
        <v>2.31</v>
      </c>
      <c r="S1895" t="s">
        <v>465</v>
      </c>
      <c r="T1895" t="s">
        <v>582</v>
      </c>
      <c r="U1895">
        <v>13.3</v>
      </c>
      <c r="V1895">
        <v>42.66</v>
      </c>
      <c r="W1895">
        <v>105860</v>
      </c>
      <c r="X1895">
        <v>95227</v>
      </c>
      <c r="Y1895">
        <v>1.1100000000000001</v>
      </c>
      <c r="Z1895">
        <v>80</v>
      </c>
      <c r="AA1895">
        <v>6</v>
      </c>
      <c r="AB1895" t="s">
        <v>116</v>
      </c>
      <c r="AC1895">
        <v>2851300</v>
      </c>
      <c r="AD1895">
        <v>0.05</v>
      </c>
      <c r="AE1895" t="s">
        <v>116</v>
      </c>
      <c r="AF1895" t="s">
        <v>116</v>
      </c>
      <c r="AG1895">
        <v>1.58</v>
      </c>
      <c r="AH1895" t="s">
        <v>9496</v>
      </c>
      <c r="AI1895" t="s">
        <v>451</v>
      </c>
      <c r="AJ1895">
        <v>-5.69</v>
      </c>
      <c r="AK1895">
        <v>4137</v>
      </c>
      <c r="AL1895">
        <v>49</v>
      </c>
      <c r="AM1895">
        <v>3.0999999999999999E-3</v>
      </c>
      <c r="AN1895">
        <v>-2</v>
      </c>
      <c r="AO1895">
        <v>-6.39</v>
      </c>
      <c r="AP1895">
        <v>8.1999999999999993</v>
      </c>
      <c r="AQ1895">
        <v>14.44</v>
      </c>
      <c r="AR1895">
        <v>106.14</v>
      </c>
      <c r="AS1895">
        <v>14.2</v>
      </c>
      <c r="AT1895" t="s">
        <v>9497</v>
      </c>
      <c r="AU1895">
        <v>59.72</v>
      </c>
      <c r="AV1895">
        <v>299.06</v>
      </c>
      <c r="AW1895">
        <v>2.14</v>
      </c>
      <c r="BA1895">
        <v>1.58</v>
      </c>
      <c r="BB1895">
        <v>6</v>
      </c>
      <c r="BC1895">
        <v>-7.3</v>
      </c>
      <c r="BD1895">
        <v>-0.79</v>
      </c>
      <c r="BE1895">
        <v>-7.83</v>
      </c>
      <c r="BF1895">
        <v>-11.67</v>
      </c>
      <c r="BG1895">
        <v>1</v>
      </c>
      <c r="BH1895">
        <v>-5.58</v>
      </c>
      <c r="BI1895">
        <v>20191029</v>
      </c>
      <c r="BJ1895">
        <v>20160303</v>
      </c>
      <c r="BK1895">
        <v>2.36</v>
      </c>
      <c r="BL1895" t="s">
        <v>116</v>
      </c>
      <c r="BM1895" t="s">
        <v>116</v>
      </c>
      <c r="BN1895">
        <v>15.41</v>
      </c>
      <c r="BO1895">
        <v>12.45</v>
      </c>
      <c r="BP1895">
        <v>0</v>
      </c>
      <c r="BQ1895">
        <v>19.2</v>
      </c>
      <c r="BR1895">
        <v>10.85</v>
      </c>
      <c r="BS1895">
        <v>3.23</v>
      </c>
      <c r="BT1895">
        <v>7.0000000000000007E-2</v>
      </c>
      <c r="BU1895">
        <v>2.89</v>
      </c>
      <c r="BV1895">
        <v>3.49</v>
      </c>
      <c r="BW1895">
        <v>2.15</v>
      </c>
      <c r="BX1895">
        <v>3.76</v>
      </c>
      <c r="BY1895">
        <v>7.71</v>
      </c>
      <c r="BZ1895">
        <v>5.19</v>
      </c>
      <c r="CA1895">
        <v>1.57</v>
      </c>
      <c r="CB1895">
        <v>0</v>
      </c>
      <c r="CC1895">
        <v>1.57</v>
      </c>
      <c r="CD1895">
        <v>1.33</v>
      </c>
      <c r="CE1895">
        <v>1.33</v>
      </c>
      <c r="CF1895">
        <v>1.26</v>
      </c>
      <c r="CG1895">
        <v>5.96</v>
      </c>
      <c r="CH1895">
        <v>0.92</v>
      </c>
      <c r="CI1895">
        <v>0.12</v>
      </c>
      <c r="CJ1895">
        <v>20720</v>
      </c>
      <c r="CK1895">
        <v>6836</v>
      </c>
      <c r="CL1895" t="s">
        <v>9498</v>
      </c>
      <c r="CM1895">
        <v>2355.58</v>
      </c>
      <c r="CN1895">
        <v>44.41</v>
      </c>
      <c r="CO1895">
        <v>7.64</v>
      </c>
      <c r="CP1895">
        <v>103.82</v>
      </c>
      <c r="CQ1895">
        <v>12.34</v>
      </c>
      <c r="CR1895">
        <v>0.3</v>
      </c>
      <c r="CS1895" t="s">
        <v>9499</v>
      </c>
      <c r="CT1895">
        <v>5.27</v>
      </c>
      <c r="CU1895">
        <v>0</v>
      </c>
      <c r="CV1895">
        <v>1.59</v>
      </c>
      <c r="CW1895">
        <v>2.52</v>
      </c>
      <c r="CX1895">
        <v>0.39</v>
      </c>
      <c r="CY1895">
        <v>80.8</v>
      </c>
      <c r="CZ1895" t="s">
        <v>9500</v>
      </c>
      <c r="DA1895">
        <v>32.700000000000003</v>
      </c>
      <c r="DB1895">
        <v>20.309999999999999</v>
      </c>
      <c r="DC1895">
        <v>17.239999999999998</v>
      </c>
      <c r="DD1895">
        <v>0.55000000000000004</v>
      </c>
      <c r="DE1895">
        <v>964</v>
      </c>
      <c r="DF1895">
        <v>300502</v>
      </c>
      <c r="DG1895" t="s">
        <v>116</v>
      </c>
      <c r="DH1895" t="s">
        <v>116</v>
      </c>
      <c r="DI1895" t="s">
        <v>116</v>
      </c>
    </row>
    <row r="1896" spans="1:113" x14ac:dyDescent="0.4">
      <c r="A1896" t="str">
        <f>"300503"</f>
        <v>300503</v>
      </c>
      <c r="B1896" t="s">
        <v>9501</v>
      </c>
      <c r="C1896">
        <v>-1.07</v>
      </c>
      <c r="D1896">
        <v>11.1</v>
      </c>
      <c r="E1896">
        <v>-0.12</v>
      </c>
      <c r="F1896">
        <v>11.09</v>
      </c>
      <c r="G1896">
        <v>11.1</v>
      </c>
      <c r="H1896">
        <v>34311</v>
      </c>
      <c r="I1896">
        <v>542</v>
      </c>
      <c r="J1896">
        <v>-0.08</v>
      </c>
      <c r="K1896">
        <v>2.21</v>
      </c>
      <c r="L1896">
        <v>11.19</v>
      </c>
      <c r="M1896">
        <v>11.28</v>
      </c>
      <c r="N1896">
        <v>11</v>
      </c>
      <c r="O1896">
        <v>11.22</v>
      </c>
      <c r="P1896">
        <v>176.41</v>
      </c>
      <c r="Q1896">
        <v>38223004</v>
      </c>
      <c r="R1896">
        <v>0.83</v>
      </c>
      <c r="S1896" t="s">
        <v>996</v>
      </c>
      <c r="T1896" t="s">
        <v>551</v>
      </c>
      <c r="U1896">
        <v>2.5</v>
      </c>
      <c r="V1896">
        <v>11.14</v>
      </c>
      <c r="W1896">
        <v>23743</v>
      </c>
      <c r="X1896">
        <v>10568</v>
      </c>
      <c r="Y1896">
        <v>2.25</v>
      </c>
      <c r="Z1896">
        <v>337</v>
      </c>
      <c r="AA1896">
        <v>115</v>
      </c>
      <c r="AB1896" t="s">
        <v>116</v>
      </c>
      <c r="AC1896">
        <v>212600</v>
      </c>
      <c r="AD1896">
        <v>0.02</v>
      </c>
      <c r="AE1896" t="s">
        <v>116</v>
      </c>
      <c r="AF1896" t="s">
        <v>116</v>
      </c>
      <c r="AG1896">
        <v>1.55</v>
      </c>
      <c r="AH1896" t="s">
        <v>4203</v>
      </c>
      <c r="AI1896" t="s">
        <v>9502</v>
      </c>
      <c r="AJ1896">
        <v>-0.39</v>
      </c>
      <c r="AK1896">
        <v>1508</v>
      </c>
      <c r="AL1896">
        <v>23</v>
      </c>
      <c r="AM1896">
        <v>1.5E-3</v>
      </c>
      <c r="AN1896">
        <v>-2</v>
      </c>
      <c r="AO1896">
        <v>-0.8</v>
      </c>
      <c r="AP1896">
        <v>8.7200000000000006</v>
      </c>
      <c r="AQ1896">
        <v>25.57</v>
      </c>
      <c r="AR1896">
        <v>25.23</v>
      </c>
      <c r="AS1896">
        <v>3.36</v>
      </c>
      <c r="AT1896" t="s">
        <v>3467</v>
      </c>
      <c r="AU1896">
        <v>170.24</v>
      </c>
      <c r="AV1896">
        <v>62.14</v>
      </c>
      <c r="AW1896">
        <v>0.35</v>
      </c>
      <c r="BA1896">
        <v>-0.27</v>
      </c>
      <c r="BB1896">
        <v>0.53</v>
      </c>
      <c r="BC1896">
        <v>-1.96</v>
      </c>
      <c r="BD1896">
        <v>-0.71</v>
      </c>
      <c r="BE1896">
        <v>-0.8</v>
      </c>
      <c r="BF1896">
        <v>-1.6</v>
      </c>
      <c r="BG1896">
        <v>0.91</v>
      </c>
      <c r="BH1896">
        <v>-0.36</v>
      </c>
      <c r="BI1896">
        <v>20191029</v>
      </c>
      <c r="BJ1896">
        <v>20160309</v>
      </c>
      <c r="BK1896">
        <v>2.84</v>
      </c>
      <c r="BL1896" t="s">
        <v>116</v>
      </c>
      <c r="BM1896" t="s">
        <v>116</v>
      </c>
      <c r="BN1896">
        <v>17.25</v>
      </c>
      <c r="BO1896">
        <v>10.59</v>
      </c>
      <c r="BP1896">
        <v>0.39</v>
      </c>
      <c r="BQ1896">
        <v>36.35</v>
      </c>
      <c r="BR1896">
        <v>10.45</v>
      </c>
      <c r="BS1896">
        <v>4.5</v>
      </c>
      <c r="BT1896">
        <v>0.56999999999999995</v>
      </c>
      <c r="BU1896">
        <v>4.1100000000000003</v>
      </c>
      <c r="BV1896">
        <v>4.43</v>
      </c>
      <c r="BW1896">
        <v>3.5</v>
      </c>
      <c r="BX1896">
        <v>3.63</v>
      </c>
      <c r="BY1896">
        <v>2.61</v>
      </c>
      <c r="BZ1896">
        <v>1.29</v>
      </c>
      <c r="CA1896">
        <v>0.17</v>
      </c>
      <c r="CB1896">
        <v>0</v>
      </c>
      <c r="CC1896">
        <v>0.18</v>
      </c>
      <c r="CD1896">
        <v>0.2</v>
      </c>
      <c r="CE1896">
        <v>0.13</v>
      </c>
      <c r="CF1896">
        <v>0</v>
      </c>
      <c r="CG1896">
        <v>3.65</v>
      </c>
      <c r="CH1896">
        <v>-1.1599999999999999</v>
      </c>
      <c r="CI1896">
        <v>1.01</v>
      </c>
      <c r="CJ1896">
        <v>15157</v>
      </c>
      <c r="CK1896">
        <v>6744</v>
      </c>
      <c r="CL1896" t="s">
        <v>9503</v>
      </c>
      <c r="CM1896">
        <v>-70.62</v>
      </c>
      <c r="CN1896">
        <v>-18.39</v>
      </c>
      <c r="CO1896">
        <v>2.98</v>
      </c>
      <c r="CP1896">
        <v>-27.23</v>
      </c>
      <c r="CQ1896">
        <v>12.07</v>
      </c>
      <c r="CR1896">
        <v>0.32</v>
      </c>
      <c r="CS1896" t="s">
        <v>9504</v>
      </c>
      <c r="CT1896">
        <v>3.73</v>
      </c>
      <c r="CU1896">
        <v>0</v>
      </c>
      <c r="CV1896">
        <v>1.28</v>
      </c>
      <c r="CW1896">
        <v>1.29</v>
      </c>
      <c r="CX1896">
        <v>-0.41</v>
      </c>
      <c r="CY1896">
        <v>61.37</v>
      </c>
      <c r="CZ1896" t="s">
        <v>9505</v>
      </c>
      <c r="DA1896">
        <v>50.75</v>
      </c>
      <c r="DB1896">
        <v>6.7</v>
      </c>
      <c r="DC1896">
        <v>5.13</v>
      </c>
      <c r="DD1896">
        <v>0.35</v>
      </c>
      <c r="DE1896">
        <v>1945</v>
      </c>
      <c r="DF1896">
        <v>300503</v>
      </c>
      <c r="DG1896" t="s">
        <v>116</v>
      </c>
      <c r="DH1896" t="s">
        <v>116</v>
      </c>
      <c r="DI1896" t="s">
        <v>116</v>
      </c>
    </row>
    <row r="1897" spans="1:113" x14ac:dyDescent="0.4">
      <c r="A1897" t="str">
        <f>"300504"</f>
        <v>300504</v>
      </c>
      <c r="B1897" t="s">
        <v>9506</v>
      </c>
      <c r="C1897">
        <v>-1.75</v>
      </c>
      <c r="D1897">
        <v>22.4</v>
      </c>
      <c r="E1897">
        <v>-0.4</v>
      </c>
      <c r="F1897">
        <v>22.39</v>
      </c>
      <c r="G1897">
        <v>22.4</v>
      </c>
      <c r="H1897">
        <v>26813</v>
      </c>
      <c r="I1897">
        <v>302</v>
      </c>
      <c r="J1897">
        <v>-0.21</v>
      </c>
      <c r="K1897">
        <v>2.7</v>
      </c>
      <c r="L1897">
        <v>22.75</v>
      </c>
      <c r="M1897">
        <v>23.06</v>
      </c>
      <c r="N1897">
        <v>22.39</v>
      </c>
      <c r="O1897">
        <v>22.8</v>
      </c>
      <c r="P1897">
        <v>37.729999999999997</v>
      </c>
      <c r="Q1897">
        <v>60962476</v>
      </c>
      <c r="R1897">
        <v>1.02</v>
      </c>
      <c r="S1897" t="s">
        <v>465</v>
      </c>
      <c r="T1897" t="s">
        <v>582</v>
      </c>
      <c r="U1897">
        <v>2.94</v>
      </c>
      <c r="V1897">
        <v>22.74</v>
      </c>
      <c r="W1897">
        <v>16875</v>
      </c>
      <c r="X1897">
        <v>9938</v>
      </c>
      <c r="Y1897">
        <v>1.7</v>
      </c>
      <c r="Z1897">
        <v>50</v>
      </c>
      <c r="AA1897">
        <v>277</v>
      </c>
      <c r="AB1897" t="s">
        <v>116</v>
      </c>
      <c r="AC1897">
        <v>25000</v>
      </c>
      <c r="AD1897">
        <v>0</v>
      </c>
      <c r="AE1897" t="s">
        <v>116</v>
      </c>
      <c r="AF1897" t="s">
        <v>116</v>
      </c>
      <c r="AG1897">
        <v>0.99</v>
      </c>
      <c r="AH1897" t="s">
        <v>6782</v>
      </c>
      <c r="AI1897" t="s">
        <v>9507</v>
      </c>
      <c r="AJ1897">
        <v>-1.08</v>
      </c>
      <c r="AK1897">
        <v>1462</v>
      </c>
      <c r="AL1897">
        <v>18</v>
      </c>
      <c r="AM1897">
        <v>1.8E-3</v>
      </c>
      <c r="AN1897">
        <v>-1</v>
      </c>
      <c r="AO1897">
        <v>-0.13</v>
      </c>
      <c r="AP1897">
        <v>-0.93</v>
      </c>
      <c r="AQ1897">
        <v>-10.65</v>
      </c>
      <c r="AR1897">
        <v>-12.36</v>
      </c>
      <c r="AS1897">
        <v>3.2</v>
      </c>
      <c r="AT1897" t="s">
        <v>1393</v>
      </c>
      <c r="AU1897">
        <v>42.73</v>
      </c>
      <c r="AV1897">
        <v>39.36</v>
      </c>
      <c r="AW1897">
        <v>1.27</v>
      </c>
      <c r="BA1897">
        <v>-0.22</v>
      </c>
      <c r="BB1897">
        <v>1.1399999999999999</v>
      </c>
      <c r="BC1897">
        <v>-1.8</v>
      </c>
      <c r="BD1897">
        <v>-0.28000000000000003</v>
      </c>
      <c r="BE1897">
        <v>-1.54</v>
      </c>
      <c r="BF1897">
        <v>-2.86</v>
      </c>
      <c r="BG1897">
        <v>0.04</v>
      </c>
      <c r="BH1897">
        <v>-1.47</v>
      </c>
      <c r="BI1897">
        <v>20191028</v>
      </c>
      <c r="BJ1897">
        <v>20180330</v>
      </c>
      <c r="BK1897">
        <v>2.67</v>
      </c>
      <c r="BL1897" t="s">
        <v>116</v>
      </c>
      <c r="BM1897" t="s">
        <v>116</v>
      </c>
      <c r="BN1897">
        <v>25.07</v>
      </c>
      <c r="BO1897">
        <v>18.22</v>
      </c>
      <c r="BP1897">
        <v>0</v>
      </c>
      <c r="BQ1897">
        <v>27.35</v>
      </c>
      <c r="BR1897">
        <v>22.73</v>
      </c>
      <c r="BS1897">
        <v>1.63</v>
      </c>
      <c r="BT1897">
        <v>0.43</v>
      </c>
      <c r="BU1897">
        <v>6.82</v>
      </c>
      <c r="BV1897">
        <v>6.26</v>
      </c>
      <c r="BW1897">
        <v>6.26</v>
      </c>
      <c r="BX1897">
        <v>7.6</v>
      </c>
      <c r="BY1897">
        <v>17.12</v>
      </c>
      <c r="BZ1897">
        <v>13.79</v>
      </c>
      <c r="CA1897">
        <v>1.32</v>
      </c>
      <c r="CB1897">
        <v>0.11</v>
      </c>
      <c r="CC1897">
        <v>1.31</v>
      </c>
      <c r="CD1897">
        <v>1.19</v>
      </c>
      <c r="CE1897">
        <v>1.19</v>
      </c>
      <c r="CF1897">
        <v>1.0900000000000001</v>
      </c>
      <c r="CG1897">
        <v>7.17</v>
      </c>
      <c r="CH1897">
        <v>-0.13</v>
      </c>
      <c r="CI1897">
        <v>-2</v>
      </c>
      <c r="CJ1897">
        <v>33361</v>
      </c>
      <c r="CK1897">
        <v>2516</v>
      </c>
      <c r="CL1897" t="s">
        <v>5610</v>
      </c>
      <c r="CM1897">
        <v>-9.16</v>
      </c>
      <c r="CN1897">
        <v>-19.66</v>
      </c>
      <c r="CO1897">
        <v>3.29</v>
      </c>
      <c r="CP1897">
        <v>-461.2</v>
      </c>
      <c r="CQ1897">
        <v>3.5</v>
      </c>
      <c r="CR1897">
        <v>0.89</v>
      </c>
      <c r="CS1897" t="s">
        <v>9508</v>
      </c>
      <c r="CT1897">
        <v>6.81</v>
      </c>
      <c r="CU1897">
        <v>0</v>
      </c>
      <c r="CV1897">
        <v>2.84</v>
      </c>
      <c r="CW1897">
        <v>2.68</v>
      </c>
      <c r="CX1897">
        <v>-0.05</v>
      </c>
      <c r="CY1897">
        <v>72.650000000000006</v>
      </c>
      <c r="CZ1897" t="s">
        <v>5232</v>
      </c>
      <c r="DA1897">
        <v>19.46</v>
      </c>
      <c r="DB1897">
        <v>7.68</v>
      </c>
      <c r="DC1897">
        <v>6.95</v>
      </c>
      <c r="DD1897">
        <v>0.77</v>
      </c>
      <c r="DE1897">
        <v>3769</v>
      </c>
      <c r="DF1897">
        <v>300504</v>
      </c>
      <c r="DG1897" t="s">
        <v>116</v>
      </c>
      <c r="DH1897" t="s">
        <v>116</v>
      </c>
      <c r="DI1897" t="s">
        <v>116</v>
      </c>
    </row>
    <row r="1898" spans="1:113" x14ac:dyDescent="0.4">
      <c r="A1898" t="str">
        <f>"300505"</f>
        <v>300505</v>
      </c>
      <c r="B1898" t="s">
        <v>9509</v>
      </c>
      <c r="C1898">
        <v>1.05</v>
      </c>
      <c r="D1898">
        <v>23.19</v>
      </c>
      <c r="E1898">
        <v>0.24</v>
      </c>
      <c r="F1898">
        <v>23.19</v>
      </c>
      <c r="G1898">
        <v>23.2</v>
      </c>
      <c r="H1898">
        <v>19132</v>
      </c>
      <c r="I1898">
        <v>339</v>
      </c>
      <c r="J1898">
        <v>0</v>
      </c>
      <c r="K1898">
        <v>3.68</v>
      </c>
      <c r="L1898">
        <v>22.95</v>
      </c>
      <c r="M1898">
        <v>23.59</v>
      </c>
      <c r="N1898">
        <v>22.9</v>
      </c>
      <c r="O1898">
        <v>22.95</v>
      </c>
      <c r="P1898">
        <v>31.93</v>
      </c>
      <c r="Q1898">
        <v>44407704</v>
      </c>
      <c r="R1898">
        <v>1.25</v>
      </c>
      <c r="S1898" t="s">
        <v>891</v>
      </c>
      <c r="T1898" t="s">
        <v>1043</v>
      </c>
      <c r="U1898">
        <v>3.01</v>
      </c>
      <c r="V1898">
        <v>23.21</v>
      </c>
      <c r="W1898">
        <v>8731</v>
      </c>
      <c r="X1898">
        <v>10401</v>
      </c>
      <c r="Y1898">
        <v>0.84</v>
      </c>
      <c r="Z1898">
        <v>60</v>
      </c>
      <c r="AA1898">
        <v>110</v>
      </c>
      <c r="AB1898" t="s">
        <v>116</v>
      </c>
      <c r="AC1898">
        <v>45900</v>
      </c>
      <c r="AD1898">
        <v>0</v>
      </c>
      <c r="AE1898" t="s">
        <v>116</v>
      </c>
      <c r="AF1898" t="s">
        <v>116</v>
      </c>
      <c r="AG1898">
        <v>0.52</v>
      </c>
      <c r="AH1898" t="s">
        <v>8219</v>
      </c>
      <c r="AI1898" t="s">
        <v>9510</v>
      </c>
      <c r="AJ1898">
        <v>1.72</v>
      </c>
      <c r="AK1898">
        <v>1258</v>
      </c>
      <c r="AL1898">
        <v>15</v>
      </c>
      <c r="AM1898">
        <v>2.8999999999999998E-3</v>
      </c>
      <c r="AN1898">
        <v>2</v>
      </c>
      <c r="AO1898">
        <v>0.56999999999999995</v>
      </c>
      <c r="AP1898">
        <v>8.98</v>
      </c>
      <c r="AQ1898">
        <v>-2.69</v>
      </c>
      <c r="AR1898">
        <v>4.79</v>
      </c>
      <c r="AS1898">
        <v>4.4400000000000004</v>
      </c>
      <c r="AT1898" t="s">
        <v>9511</v>
      </c>
      <c r="AU1898">
        <v>30.2</v>
      </c>
      <c r="AV1898">
        <v>36.369999999999997</v>
      </c>
      <c r="AW1898">
        <v>0.85</v>
      </c>
      <c r="BA1898">
        <v>0</v>
      </c>
      <c r="BB1898">
        <v>2.79</v>
      </c>
      <c r="BC1898">
        <v>-0.22</v>
      </c>
      <c r="BD1898">
        <v>1.1399999999999999</v>
      </c>
      <c r="BE1898">
        <v>1.05</v>
      </c>
      <c r="BF1898">
        <v>-1.7</v>
      </c>
      <c r="BG1898">
        <v>1.27</v>
      </c>
      <c r="BH1898">
        <v>-0.1</v>
      </c>
      <c r="BI1898">
        <v>20191030</v>
      </c>
      <c r="BJ1898">
        <v>20160315</v>
      </c>
      <c r="BK1898">
        <v>1.01</v>
      </c>
      <c r="BL1898" t="s">
        <v>116</v>
      </c>
      <c r="BM1898" t="s">
        <v>116</v>
      </c>
      <c r="BN1898">
        <v>13.81</v>
      </c>
      <c r="BO1898">
        <v>9.09</v>
      </c>
      <c r="BP1898">
        <v>0</v>
      </c>
      <c r="BQ1898">
        <v>34.18</v>
      </c>
      <c r="BR1898">
        <v>6.31</v>
      </c>
      <c r="BS1898">
        <v>4.54</v>
      </c>
      <c r="BT1898">
        <v>0.98</v>
      </c>
      <c r="BU1898">
        <v>1.92</v>
      </c>
      <c r="BV1898">
        <v>2.4900000000000002</v>
      </c>
      <c r="BW1898">
        <v>0.42</v>
      </c>
      <c r="BX1898">
        <v>4.1900000000000004</v>
      </c>
      <c r="BY1898">
        <v>8.11</v>
      </c>
      <c r="BZ1898">
        <v>5.78</v>
      </c>
      <c r="CA1898">
        <v>0.63</v>
      </c>
      <c r="CB1898">
        <v>0</v>
      </c>
      <c r="CC1898">
        <v>0.65</v>
      </c>
      <c r="CD1898">
        <v>0.55000000000000004</v>
      </c>
      <c r="CE1898">
        <v>0.55000000000000004</v>
      </c>
      <c r="CF1898">
        <v>0.52</v>
      </c>
      <c r="CG1898">
        <v>3.42</v>
      </c>
      <c r="CH1898">
        <v>0.31</v>
      </c>
      <c r="CI1898">
        <v>1.6</v>
      </c>
      <c r="CJ1898">
        <v>15186</v>
      </c>
      <c r="CK1898">
        <v>2840</v>
      </c>
      <c r="CL1898" t="s">
        <v>7724</v>
      </c>
      <c r="CM1898">
        <v>31.43</v>
      </c>
      <c r="CN1898">
        <v>22.45</v>
      </c>
      <c r="CO1898">
        <v>2.57</v>
      </c>
      <c r="CP1898">
        <v>74.599999999999994</v>
      </c>
      <c r="CQ1898">
        <v>2.88</v>
      </c>
      <c r="CR1898">
        <v>0.6</v>
      </c>
      <c r="CS1898" t="s">
        <v>9389</v>
      </c>
      <c r="CT1898">
        <v>9.0399999999999991</v>
      </c>
      <c r="CU1898">
        <v>0</v>
      </c>
      <c r="CV1898">
        <v>4.17</v>
      </c>
      <c r="CW1898">
        <v>3.4</v>
      </c>
      <c r="CX1898">
        <v>0.31</v>
      </c>
      <c r="CY1898">
        <v>65.819999999999993</v>
      </c>
      <c r="CZ1898" t="s">
        <v>4561</v>
      </c>
      <c r="DA1898">
        <v>28.76</v>
      </c>
      <c r="DB1898">
        <v>7.76</v>
      </c>
      <c r="DC1898">
        <v>6.75</v>
      </c>
      <c r="DD1898">
        <v>0.02</v>
      </c>
      <c r="DE1898">
        <v>1353</v>
      </c>
      <c r="DF1898">
        <v>300505</v>
      </c>
      <c r="DG1898" t="s">
        <v>116</v>
      </c>
      <c r="DH1898" t="s">
        <v>116</v>
      </c>
      <c r="DI1898" t="s">
        <v>116</v>
      </c>
    </row>
    <row r="1899" spans="1:113" x14ac:dyDescent="0.4">
      <c r="A1899" t="str">
        <f>"300506"</f>
        <v>300506</v>
      </c>
      <c r="B1899" t="s">
        <v>9512</v>
      </c>
      <c r="C1899">
        <v>-0.7</v>
      </c>
      <c r="D1899">
        <v>8.52</v>
      </c>
      <c r="E1899">
        <v>-0.06</v>
      </c>
      <c r="F1899">
        <v>8.52</v>
      </c>
      <c r="G1899">
        <v>8.5299999999999994</v>
      </c>
      <c r="H1899">
        <v>94310</v>
      </c>
      <c r="I1899">
        <v>586</v>
      </c>
      <c r="J1899">
        <v>0.47</v>
      </c>
      <c r="K1899">
        <v>2.36</v>
      </c>
      <c r="L1899">
        <v>8.58</v>
      </c>
      <c r="M1899">
        <v>8.68</v>
      </c>
      <c r="N1899">
        <v>8.4499999999999993</v>
      </c>
      <c r="O1899">
        <v>8.58</v>
      </c>
      <c r="P1899">
        <v>16.03</v>
      </c>
      <c r="Q1899">
        <v>80835416</v>
      </c>
      <c r="R1899">
        <v>1.26</v>
      </c>
      <c r="S1899" t="s">
        <v>181</v>
      </c>
      <c r="T1899" t="s">
        <v>115</v>
      </c>
      <c r="U1899">
        <v>2.68</v>
      </c>
      <c r="V1899">
        <v>8.57</v>
      </c>
      <c r="W1899">
        <v>46204</v>
      </c>
      <c r="X1899">
        <v>48106</v>
      </c>
      <c r="Y1899">
        <v>0.96</v>
      </c>
      <c r="Z1899">
        <v>135</v>
      </c>
      <c r="AA1899">
        <v>29</v>
      </c>
      <c r="AB1899" t="s">
        <v>116</v>
      </c>
      <c r="AC1899">
        <v>177600</v>
      </c>
      <c r="AD1899">
        <v>0.01</v>
      </c>
      <c r="AE1899" t="s">
        <v>116</v>
      </c>
      <c r="AF1899" t="s">
        <v>116</v>
      </c>
      <c r="AG1899">
        <v>4</v>
      </c>
      <c r="AH1899" t="s">
        <v>9513</v>
      </c>
      <c r="AI1899" t="s">
        <v>9514</v>
      </c>
      <c r="AJ1899">
        <v>-0.02</v>
      </c>
      <c r="AK1899">
        <v>1279</v>
      </c>
      <c r="AL1899">
        <v>74</v>
      </c>
      <c r="AM1899">
        <v>1.8E-3</v>
      </c>
      <c r="AN1899">
        <v>-5</v>
      </c>
      <c r="AO1899">
        <v>-2.96</v>
      </c>
      <c r="AP1899">
        <v>6.63</v>
      </c>
      <c r="AQ1899">
        <v>-6.89</v>
      </c>
      <c r="AR1899">
        <v>12.81</v>
      </c>
      <c r="AS1899">
        <v>2.89</v>
      </c>
      <c r="AT1899" t="s">
        <v>9515</v>
      </c>
      <c r="AU1899">
        <v>17.25</v>
      </c>
      <c r="AV1899">
        <v>17.670000000000002</v>
      </c>
      <c r="AW1899">
        <v>0.19</v>
      </c>
      <c r="BA1899">
        <v>0</v>
      </c>
      <c r="BB1899">
        <v>1.17</v>
      </c>
      <c r="BC1899">
        <v>-1.52</v>
      </c>
      <c r="BD1899">
        <v>-0.1</v>
      </c>
      <c r="BE1899">
        <v>-0.7</v>
      </c>
      <c r="BF1899">
        <v>-1.84</v>
      </c>
      <c r="BG1899">
        <v>0.83</v>
      </c>
      <c r="BH1899">
        <v>-0.6</v>
      </c>
      <c r="BI1899">
        <v>20191224</v>
      </c>
      <c r="BJ1899">
        <v>20160324</v>
      </c>
      <c r="BK1899">
        <v>6.55</v>
      </c>
      <c r="BL1899" t="s">
        <v>116</v>
      </c>
      <c r="BM1899" t="s">
        <v>116</v>
      </c>
      <c r="BN1899">
        <v>39.869999999999997</v>
      </c>
      <c r="BO1899">
        <v>21.23</v>
      </c>
      <c r="BP1899">
        <v>1.1499999999999999</v>
      </c>
      <c r="BQ1899">
        <v>43.85</v>
      </c>
      <c r="BR1899">
        <v>29.18</v>
      </c>
      <c r="BS1899">
        <v>0.51</v>
      </c>
      <c r="BT1899">
        <v>0.18</v>
      </c>
      <c r="BU1899">
        <v>15.76</v>
      </c>
      <c r="BV1899">
        <v>10.19</v>
      </c>
      <c r="BW1899">
        <v>10.83</v>
      </c>
      <c r="BX1899">
        <v>5.34</v>
      </c>
      <c r="BY1899">
        <v>10.029999999999999</v>
      </c>
      <c r="BZ1899">
        <v>4.84</v>
      </c>
      <c r="CA1899">
        <v>3.41</v>
      </c>
      <c r="CB1899">
        <v>0.04</v>
      </c>
      <c r="CC1899">
        <v>3.43</v>
      </c>
      <c r="CD1899">
        <v>2.92</v>
      </c>
      <c r="CE1899">
        <v>2.61</v>
      </c>
      <c r="CF1899">
        <v>2.5099999999999998</v>
      </c>
      <c r="CG1899">
        <v>8.59</v>
      </c>
      <c r="CH1899">
        <v>-0.6</v>
      </c>
      <c r="CI1899">
        <v>0.42</v>
      </c>
      <c r="CJ1899">
        <v>29898</v>
      </c>
      <c r="CK1899">
        <v>10898</v>
      </c>
      <c r="CL1899" t="s">
        <v>9516</v>
      </c>
      <c r="CM1899">
        <v>3.11</v>
      </c>
      <c r="CN1899">
        <v>2.98</v>
      </c>
      <c r="CO1899">
        <v>2.63</v>
      </c>
      <c r="CP1899">
        <v>-92.54</v>
      </c>
      <c r="CQ1899">
        <v>5.56</v>
      </c>
      <c r="CR1899">
        <v>0.31</v>
      </c>
      <c r="CS1899" t="s">
        <v>306</v>
      </c>
      <c r="CT1899">
        <v>3.24</v>
      </c>
      <c r="CU1899">
        <v>0</v>
      </c>
      <c r="CV1899">
        <v>0.82</v>
      </c>
      <c r="CW1899">
        <v>1.31</v>
      </c>
      <c r="CX1899">
        <v>-0.09</v>
      </c>
      <c r="CY1899">
        <v>53.26</v>
      </c>
      <c r="CZ1899" t="s">
        <v>9517</v>
      </c>
      <c r="DA1899">
        <v>51.75</v>
      </c>
      <c r="DB1899">
        <v>34</v>
      </c>
      <c r="DC1899">
        <v>26.03</v>
      </c>
      <c r="DD1899">
        <v>0.4</v>
      </c>
      <c r="DE1899">
        <v>692</v>
      </c>
      <c r="DF1899">
        <v>300506</v>
      </c>
      <c r="DG1899" t="s">
        <v>116</v>
      </c>
      <c r="DH1899" t="s">
        <v>116</v>
      </c>
      <c r="DI1899" t="s">
        <v>116</v>
      </c>
    </row>
    <row r="1900" spans="1:113" x14ac:dyDescent="0.4">
      <c r="A1900" t="str">
        <f>"300507"</f>
        <v>300507</v>
      </c>
      <c r="B1900" t="s">
        <v>9518</v>
      </c>
      <c r="C1900">
        <v>-6.01</v>
      </c>
      <c r="D1900">
        <v>15.17</v>
      </c>
      <c r="E1900">
        <v>-0.97</v>
      </c>
      <c r="F1900">
        <v>15.16</v>
      </c>
      <c r="G1900">
        <v>15.17</v>
      </c>
      <c r="H1900">
        <v>141850</v>
      </c>
      <c r="I1900">
        <v>2570</v>
      </c>
      <c r="J1900">
        <v>-0.19</v>
      </c>
      <c r="K1900">
        <v>10.88</v>
      </c>
      <c r="L1900">
        <v>15.61</v>
      </c>
      <c r="M1900">
        <v>16.14</v>
      </c>
      <c r="N1900">
        <v>15.15</v>
      </c>
      <c r="O1900">
        <v>16.14</v>
      </c>
      <c r="P1900">
        <v>64.900000000000006</v>
      </c>
      <c r="Q1900">
        <v>221190624</v>
      </c>
      <c r="R1900">
        <v>0.75</v>
      </c>
      <c r="S1900" t="s">
        <v>293</v>
      </c>
      <c r="T1900" t="s">
        <v>323</v>
      </c>
      <c r="U1900">
        <v>6.13</v>
      </c>
      <c r="V1900">
        <v>15.59</v>
      </c>
      <c r="W1900">
        <v>82929</v>
      </c>
      <c r="X1900">
        <v>58921</v>
      </c>
      <c r="Y1900">
        <v>1.41</v>
      </c>
      <c r="Z1900">
        <v>281</v>
      </c>
      <c r="AA1900">
        <v>1861</v>
      </c>
      <c r="AB1900" t="s">
        <v>116</v>
      </c>
      <c r="AC1900">
        <v>1595300</v>
      </c>
      <c r="AD1900">
        <v>0.15</v>
      </c>
      <c r="AE1900" t="s">
        <v>116</v>
      </c>
      <c r="AF1900" t="s">
        <v>116</v>
      </c>
      <c r="AG1900">
        <v>1.3</v>
      </c>
      <c r="AH1900" t="s">
        <v>9215</v>
      </c>
      <c r="AI1900" t="s">
        <v>9519</v>
      </c>
      <c r="AJ1900">
        <v>-5.33</v>
      </c>
      <c r="AK1900">
        <v>3556</v>
      </c>
      <c r="AL1900">
        <v>40</v>
      </c>
      <c r="AM1900">
        <v>3.0999999999999999E-3</v>
      </c>
      <c r="AN1900">
        <v>-1</v>
      </c>
      <c r="AO1900">
        <v>0.4</v>
      </c>
      <c r="AP1900">
        <v>24.34</v>
      </c>
      <c r="AQ1900">
        <v>32.14</v>
      </c>
      <c r="AR1900">
        <v>61.29</v>
      </c>
      <c r="AS1900">
        <v>20.85</v>
      </c>
      <c r="AT1900" t="s">
        <v>9520</v>
      </c>
      <c r="AU1900">
        <v>63.94</v>
      </c>
      <c r="AV1900">
        <v>38.46</v>
      </c>
      <c r="AW1900">
        <v>0.61</v>
      </c>
      <c r="BA1900">
        <v>-3.28</v>
      </c>
      <c r="BB1900">
        <v>0</v>
      </c>
      <c r="BC1900">
        <v>-6.13</v>
      </c>
      <c r="BD1900">
        <v>-3.39</v>
      </c>
      <c r="BE1900">
        <v>-2.82</v>
      </c>
      <c r="BF1900">
        <v>-6.01</v>
      </c>
      <c r="BG1900">
        <v>0.13</v>
      </c>
      <c r="BH1900">
        <v>-2.62</v>
      </c>
      <c r="BI1900">
        <v>20191029</v>
      </c>
      <c r="BJ1900">
        <v>20160429</v>
      </c>
      <c r="BK1900">
        <v>2.2000000000000002</v>
      </c>
      <c r="BL1900" t="s">
        <v>116</v>
      </c>
      <c r="BM1900" t="s">
        <v>116</v>
      </c>
      <c r="BN1900">
        <v>12.32</v>
      </c>
      <c r="BO1900">
        <v>9.85</v>
      </c>
      <c r="BP1900">
        <v>0.47</v>
      </c>
      <c r="BQ1900">
        <v>16.260000000000002</v>
      </c>
      <c r="BR1900">
        <v>9.48</v>
      </c>
      <c r="BS1900">
        <v>1.65</v>
      </c>
      <c r="BT1900">
        <v>0.15</v>
      </c>
      <c r="BU1900">
        <v>1.84</v>
      </c>
      <c r="BV1900">
        <v>1.35</v>
      </c>
      <c r="BW1900">
        <v>1.79</v>
      </c>
      <c r="BX1900">
        <v>2.5299999999999998</v>
      </c>
      <c r="BY1900">
        <v>4.5</v>
      </c>
      <c r="BZ1900">
        <v>3.32</v>
      </c>
      <c r="CA1900">
        <v>0.63</v>
      </c>
      <c r="CB1900">
        <v>0.11</v>
      </c>
      <c r="CC1900">
        <v>0.59</v>
      </c>
      <c r="CD1900">
        <v>0.54</v>
      </c>
      <c r="CE1900">
        <v>0.39</v>
      </c>
      <c r="CF1900">
        <v>0.34</v>
      </c>
      <c r="CG1900">
        <v>4.79</v>
      </c>
      <c r="CH1900">
        <v>0.37</v>
      </c>
      <c r="CI1900">
        <v>-3.17</v>
      </c>
      <c r="CJ1900">
        <v>16689</v>
      </c>
      <c r="CK1900">
        <v>4077</v>
      </c>
      <c r="CL1900" t="s">
        <v>8664</v>
      </c>
      <c r="CM1900">
        <v>-47.28</v>
      </c>
      <c r="CN1900">
        <v>-2.67</v>
      </c>
      <c r="CO1900">
        <v>3.39</v>
      </c>
      <c r="CP1900">
        <v>90.12</v>
      </c>
      <c r="CQ1900">
        <v>7.42</v>
      </c>
      <c r="CR1900">
        <v>0.59</v>
      </c>
      <c r="CS1900" t="s">
        <v>200</v>
      </c>
      <c r="CT1900">
        <v>4.47</v>
      </c>
      <c r="CU1900">
        <v>0</v>
      </c>
      <c r="CV1900">
        <v>1.1499999999999999</v>
      </c>
      <c r="CW1900">
        <v>2.1800000000000002</v>
      </c>
      <c r="CX1900">
        <v>0.17</v>
      </c>
      <c r="CY1900">
        <v>79.94</v>
      </c>
      <c r="CZ1900" t="s">
        <v>9521</v>
      </c>
      <c r="DA1900">
        <v>26.21</v>
      </c>
      <c r="DB1900">
        <v>14.11</v>
      </c>
      <c r="DC1900">
        <v>8.58</v>
      </c>
      <c r="DD1900">
        <v>0.18</v>
      </c>
      <c r="DE1900">
        <v>567</v>
      </c>
      <c r="DF1900">
        <v>300507</v>
      </c>
      <c r="DG1900" t="s">
        <v>116</v>
      </c>
      <c r="DH1900" t="s">
        <v>116</v>
      </c>
      <c r="DI1900" t="s">
        <v>116</v>
      </c>
    </row>
    <row r="1901" spans="1:113" x14ac:dyDescent="0.4">
      <c r="A1901" t="str">
        <f>"300508"</f>
        <v>300508</v>
      </c>
      <c r="B1901" t="s">
        <v>9522</v>
      </c>
      <c r="C1901">
        <v>-3.06</v>
      </c>
      <c r="D1901">
        <v>28.2</v>
      </c>
      <c r="E1901">
        <v>-0.89</v>
      </c>
      <c r="F1901">
        <v>28.18</v>
      </c>
      <c r="G1901">
        <v>28.2</v>
      </c>
      <c r="H1901">
        <v>11494</v>
      </c>
      <c r="I1901">
        <v>176</v>
      </c>
      <c r="J1901">
        <v>-0.48</v>
      </c>
      <c r="K1901">
        <v>2.78</v>
      </c>
      <c r="L1901">
        <v>29.29</v>
      </c>
      <c r="M1901">
        <v>29.39</v>
      </c>
      <c r="N1901">
        <v>28.2</v>
      </c>
      <c r="O1901">
        <v>29.09</v>
      </c>
      <c r="P1901">
        <v>67.39</v>
      </c>
      <c r="Q1901">
        <v>32912072</v>
      </c>
      <c r="R1901">
        <v>1.0900000000000001</v>
      </c>
      <c r="S1901" t="s">
        <v>607</v>
      </c>
      <c r="T1901" t="s">
        <v>1653</v>
      </c>
      <c r="U1901">
        <v>4.09</v>
      </c>
      <c r="V1901">
        <v>28.63</v>
      </c>
      <c r="W1901">
        <v>7192</v>
      </c>
      <c r="X1901">
        <v>4302</v>
      </c>
      <c r="Y1901">
        <v>1.67</v>
      </c>
      <c r="Z1901">
        <v>3</v>
      </c>
      <c r="AA1901">
        <v>9</v>
      </c>
      <c r="AB1901" t="s">
        <v>116</v>
      </c>
      <c r="AC1901">
        <v>433500</v>
      </c>
      <c r="AD1901">
        <v>0.06</v>
      </c>
      <c r="AE1901" t="s">
        <v>116</v>
      </c>
      <c r="AF1901" t="s">
        <v>116</v>
      </c>
      <c r="AG1901">
        <v>0.41</v>
      </c>
      <c r="AH1901" t="s">
        <v>3871</v>
      </c>
      <c r="AI1901" t="s">
        <v>5795</v>
      </c>
      <c r="AJ1901">
        <v>-2.38</v>
      </c>
      <c r="AK1901">
        <v>1238</v>
      </c>
      <c r="AL1901">
        <v>9</v>
      </c>
      <c r="AM1901">
        <v>2.2000000000000001E-3</v>
      </c>
      <c r="AN1901">
        <v>-1</v>
      </c>
      <c r="AO1901">
        <v>-1.91</v>
      </c>
      <c r="AP1901">
        <v>12.4</v>
      </c>
      <c r="AQ1901">
        <v>-4.24</v>
      </c>
      <c r="AR1901">
        <v>14.82</v>
      </c>
      <c r="AS1901">
        <v>4.66</v>
      </c>
      <c r="AT1901" t="s">
        <v>9523</v>
      </c>
      <c r="AU1901" t="s">
        <v>116</v>
      </c>
      <c r="AV1901" t="s">
        <v>116</v>
      </c>
      <c r="AW1901">
        <v>1.82</v>
      </c>
      <c r="BA1901">
        <v>0.69</v>
      </c>
      <c r="BB1901">
        <v>1.03</v>
      </c>
      <c r="BC1901">
        <v>-3.06</v>
      </c>
      <c r="BD1901">
        <v>-1.57</v>
      </c>
      <c r="BE1901">
        <v>-3.72</v>
      </c>
      <c r="BF1901">
        <v>-4.05</v>
      </c>
      <c r="BG1901">
        <v>0</v>
      </c>
      <c r="BH1901">
        <v>-1.49</v>
      </c>
      <c r="BI1901">
        <v>20191105</v>
      </c>
      <c r="BJ1901">
        <v>20160419</v>
      </c>
      <c r="BK1901">
        <v>0.91</v>
      </c>
      <c r="BL1901" t="s">
        <v>116</v>
      </c>
      <c r="BM1901" t="s">
        <v>116</v>
      </c>
      <c r="BN1901">
        <v>5.8</v>
      </c>
      <c r="BO1901">
        <v>4.99</v>
      </c>
      <c r="BP1901">
        <v>0</v>
      </c>
      <c r="BQ1901">
        <v>14.04</v>
      </c>
      <c r="BR1901">
        <v>3.87</v>
      </c>
      <c r="BS1901">
        <v>1.02</v>
      </c>
      <c r="BT1901">
        <v>0.45</v>
      </c>
      <c r="BU1901">
        <v>0.69</v>
      </c>
      <c r="BV1901">
        <v>0.28000000000000003</v>
      </c>
      <c r="BW1901">
        <v>0.2</v>
      </c>
      <c r="BX1901">
        <v>1.66</v>
      </c>
      <c r="BY1901">
        <v>1.44</v>
      </c>
      <c r="BZ1901">
        <v>0.53</v>
      </c>
      <c r="CA1901">
        <v>0.27</v>
      </c>
      <c r="CB1901">
        <v>0.39</v>
      </c>
      <c r="CC1901">
        <v>0.28999999999999998</v>
      </c>
      <c r="CD1901">
        <v>0.28999999999999998</v>
      </c>
      <c r="CE1901">
        <v>0.28999999999999998</v>
      </c>
      <c r="CF1901">
        <v>-0.21</v>
      </c>
      <c r="CG1901">
        <v>2.13</v>
      </c>
      <c r="CH1901">
        <v>0.05</v>
      </c>
      <c r="CI1901">
        <v>-0.12</v>
      </c>
      <c r="CJ1901">
        <v>10833</v>
      </c>
      <c r="CK1901">
        <v>2275</v>
      </c>
      <c r="CL1901" t="s">
        <v>2206</v>
      </c>
      <c r="CM1901">
        <v>741.32</v>
      </c>
      <c r="CN1901">
        <v>-17.13</v>
      </c>
      <c r="CO1901">
        <v>5.14</v>
      </c>
      <c r="CP1901">
        <v>568.33000000000004</v>
      </c>
      <c r="CQ1901">
        <v>17.86</v>
      </c>
      <c r="CR1901">
        <v>0</v>
      </c>
      <c r="CS1901" t="s">
        <v>3270</v>
      </c>
      <c r="CT1901">
        <v>5.49</v>
      </c>
      <c r="CU1901">
        <v>0</v>
      </c>
      <c r="CV1901">
        <v>1.83</v>
      </c>
      <c r="CW1901">
        <v>2.35</v>
      </c>
      <c r="CX1901">
        <v>0.05</v>
      </c>
      <c r="CY1901">
        <v>85.96</v>
      </c>
      <c r="CZ1901" t="s">
        <v>276</v>
      </c>
      <c r="DA1901">
        <v>63.06</v>
      </c>
      <c r="DB1901">
        <v>19.07</v>
      </c>
      <c r="DC1901">
        <v>19.87</v>
      </c>
      <c r="DD1901">
        <v>0.52</v>
      </c>
      <c r="DE1901">
        <v>615</v>
      </c>
      <c r="DF1901">
        <v>300508</v>
      </c>
      <c r="DG1901" t="s">
        <v>116</v>
      </c>
      <c r="DH1901" t="s">
        <v>116</v>
      </c>
      <c r="DI1901" t="s">
        <v>116</v>
      </c>
    </row>
    <row r="1902" spans="1:113" x14ac:dyDescent="0.4">
      <c r="A1902" t="str">
        <f>"300509"</f>
        <v>300509</v>
      </c>
      <c r="B1902" t="s">
        <v>9524</v>
      </c>
      <c r="C1902">
        <v>-0.64</v>
      </c>
      <c r="D1902">
        <v>9.31</v>
      </c>
      <c r="E1902">
        <v>-0.06</v>
      </c>
      <c r="F1902">
        <v>9.26</v>
      </c>
      <c r="G1902">
        <v>9.31</v>
      </c>
      <c r="H1902">
        <v>14460</v>
      </c>
      <c r="I1902">
        <v>106</v>
      </c>
      <c r="J1902">
        <v>0.11</v>
      </c>
      <c r="K1902">
        <v>1.1399999999999999</v>
      </c>
      <c r="L1902">
        <v>9.33</v>
      </c>
      <c r="M1902">
        <v>9.39</v>
      </c>
      <c r="N1902">
        <v>9.15</v>
      </c>
      <c r="O1902">
        <v>9.3699999999999992</v>
      </c>
      <c r="P1902">
        <v>41.81</v>
      </c>
      <c r="Q1902">
        <v>13375966</v>
      </c>
      <c r="R1902">
        <v>1.63</v>
      </c>
      <c r="S1902" t="s">
        <v>682</v>
      </c>
      <c r="T1902" t="s">
        <v>323</v>
      </c>
      <c r="U1902">
        <v>2.56</v>
      </c>
      <c r="V1902">
        <v>9.25</v>
      </c>
      <c r="W1902">
        <v>7406</v>
      </c>
      <c r="X1902">
        <v>7054</v>
      </c>
      <c r="Y1902">
        <v>1.05</v>
      </c>
      <c r="Z1902">
        <v>10</v>
      </c>
      <c r="AA1902">
        <v>11</v>
      </c>
      <c r="AB1902" t="s">
        <v>116</v>
      </c>
      <c r="AC1902">
        <v>6500</v>
      </c>
      <c r="AD1902">
        <v>0</v>
      </c>
      <c r="AE1902" t="s">
        <v>116</v>
      </c>
      <c r="AF1902" t="s">
        <v>116</v>
      </c>
      <c r="AG1902">
        <v>1.26</v>
      </c>
      <c r="AH1902" t="s">
        <v>9525</v>
      </c>
      <c r="AI1902" t="s">
        <v>9526</v>
      </c>
      <c r="AJ1902">
        <v>0.04</v>
      </c>
      <c r="AK1902">
        <v>442</v>
      </c>
      <c r="AL1902">
        <v>33</v>
      </c>
      <c r="AM1902">
        <v>2.5999999999999999E-3</v>
      </c>
      <c r="AN1902">
        <v>-3</v>
      </c>
      <c r="AO1902">
        <v>-0.96</v>
      </c>
      <c r="AP1902">
        <v>4.26</v>
      </c>
      <c r="AQ1902">
        <v>-5.96</v>
      </c>
      <c r="AR1902">
        <v>16.86</v>
      </c>
      <c r="AS1902">
        <v>1.81</v>
      </c>
      <c r="AT1902" t="s">
        <v>9527</v>
      </c>
      <c r="AU1902">
        <v>47.58</v>
      </c>
      <c r="AV1902">
        <v>49.28</v>
      </c>
      <c r="AW1902">
        <v>0.87</v>
      </c>
      <c r="BA1902">
        <v>-0.43</v>
      </c>
      <c r="BB1902">
        <v>0.21</v>
      </c>
      <c r="BC1902">
        <v>-2.35</v>
      </c>
      <c r="BD1902">
        <v>-1.28</v>
      </c>
      <c r="BE1902">
        <v>-0.21</v>
      </c>
      <c r="BF1902">
        <v>-0.85</v>
      </c>
      <c r="BG1902">
        <v>1.75</v>
      </c>
      <c r="BH1902">
        <v>0.64</v>
      </c>
      <c r="BI1902">
        <v>20191030</v>
      </c>
      <c r="BJ1902">
        <v>20160425</v>
      </c>
      <c r="BK1902">
        <v>2.2799999999999998</v>
      </c>
      <c r="BL1902" t="s">
        <v>116</v>
      </c>
      <c r="BM1902" t="s">
        <v>116</v>
      </c>
      <c r="BN1902">
        <v>14.21</v>
      </c>
      <c r="BO1902">
        <v>5.98</v>
      </c>
      <c r="BP1902">
        <v>0.53</v>
      </c>
      <c r="BQ1902">
        <v>54.17</v>
      </c>
      <c r="BR1902">
        <v>10.42</v>
      </c>
      <c r="BS1902">
        <v>2.36</v>
      </c>
      <c r="BT1902">
        <v>0.34</v>
      </c>
      <c r="BU1902">
        <v>7.5</v>
      </c>
      <c r="BV1902">
        <v>5.56</v>
      </c>
      <c r="BW1902">
        <v>1.65</v>
      </c>
      <c r="BX1902">
        <v>1.58</v>
      </c>
      <c r="BY1902">
        <v>5.12</v>
      </c>
      <c r="BZ1902">
        <v>3.39</v>
      </c>
      <c r="CA1902">
        <v>0.49</v>
      </c>
      <c r="CB1902">
        <v>0</v>
      </c>
      <c r="CC1902">
        <v>0.51</v>
      </c>
      <c r="CD1902">
        <v>0.49</v>
      </c>
      <c r="CE1902">
        <v>0.38</v>
      </c>
      <c r="CF1902">
        <v>0.33</v>
      </c>
      <c r="CG1902">
        <v>1.79</v>
      </c>
      <c r="CH1902">
        <v>-0.33</v>
      </c>
      <c r="CI1902">
        <v>-0.32</v>
      </c>
      <c r="CJ1902">
        <v>10920</v>
      </c>
      <c r="CK1902">
        <v>7308</v>
      </c>
      <c r="CL1902" t="s">
        <v>8542</v>
      </c>
      <c r="CM1902">
        <v>4.21</v>
      </c>
      <c r="CN1902">
        <v>31.83</v>
      </c>
      <c r="CO1902">
        <v>3.55</v>
      </c>
      <c r="CP1902">
        <v>-63.46</v>
      </c>
      <c r="CQ1902">
        <v>4.1500000000000004</v>
      </c>
      <c r="CR1902">
        <v>1.79</v>
      </c>
      <c r="CS1902" t="s">
        <v>3277</v>
      </c>
      <c r="CT1902">
        <v>2.62</v>
      </c>
      <c r="CU1902">
        <v>0</v>
      </c>
      <c r="CV1902">
        <v>0.7</v>
      </c>
      <c r="CW1902">
        <v>0.78</v>
      </c>
      <c r="CX1902">
        <v>-0.15</v>
      </c>
      <c r="CY1902">
        <v>42.08</v>
      </c>
      <c r="CZ1902" t="s">
        <v>1738</v>
      </c>
      <c r="DA1902">
        <v>33.81</v>
      </c>
      <c r="DB1902">
        <v>9.49</v>
      </c>
      <c r="DC1902">
        <v>7.44</v>
      </c>
      <c r="DD1902">
        <v>0.28000000000000003</v>
      </c>
      <c r="DE1902">
        <v>881</v>
      </c>
      <c r="DF1902">
        <v>300509</v>
      </c>
      <c r="DG1902" t="s">
        <v>116</v>
      </c>
      <c r="DH1902" t="s">
        <v>116</v>
      </c>
      <c r="DI1902" t="s">
        <v>116</v>
      </c>
    </row>
    <row r="1903" spans="1:113" x14ac:dyDescent="0.4">
      <c r="A1903" t="str">
        <f>"300510"</f>
        <v>300510</v>
      </c>
      <c r="B1903" t="s">
        <v>9528</v>
      </c>
      <c r="C1903">
        <v>-4.75</v>
      </c>
      <c r="D1903">
        <v>6.42</v>
      </c>
      <c r="E1903">
        <v>-0.32</v>
      </c>
      <c r="F1903">
        <v>6.42</v>
      </c>
      <c r="G1903">
        <v>6.43</v>
      </c>
      <c r="H1903">
        <v>382473</v>
      </c>
      <c r="I1903">
        <v>3247</v>
      </c>
      <c r="J1903">
        <v>0</v>
      </c>
      <c r="K1903">
        <v>7.57</v>
      </c>
      <c r="L1903">
        <v>6.78</v>
      </c>
      <c r="M1903">
        <v>6.93</v>
      </c>
      <c r="N1903">
        <v>6.4</v>
      </c>
      <c r="O1903">
        <v>6.74</v>
      </c>
      <c r="P1903">
        <v>168.13</v>
      </c>
      <c r="Q1903">
        <v>249939312</v>
      </c>
      <c r="R1903">
        <v>1.84</v>
      </c>
      <c r="S1903" t="s">
        <v>397</v>
      </c>
      <c r="T1903" t="s">
        <v>294</v>
      </c>
      <c r="U1903">
        <v>7.86</v>
      </c>
      <c r="V1903">
        <v>6.53</v>
      </c>
      <c r="W1903">
        <v>224176</v>
      </c>
      <c r="X1903">
        <v>158297</v>
      </c>
      <c r="Y1903">
        <v>1.42</v>
      </c>
      <c r="Z1903">
        <v>12</v>
      </c>
      <c r="AA1903">
        <v>255</v>
      </c>
      <c r="AB1903" t="s">
        <v>116</v>
      </c>
      <c r="AC1903">
        <v>888900</v>
      </c>
      <c r="AD1903">
        <v>7.0000000000000007E-2</v>
      </c>
      <c r="AE1903" t="s">
        <v>116</v>
      </c>
      <c r="AF1903" t="s">
        <v>116</v>
      </c>
      <c r="AG1903">
        <v>5.05</v>
      </c>
      <c r="AH1903" t="s">
        <v>9529</v>
      </c>
      <c r="AI1903" t="s">
        <v>9530</v>
      </c>
      <c r="AJ1903">
        <v>-4.07</v>
      </c>
      <c r="AK1903">
        <v>3007</v>
      </c>
      <c r="AL1903">
        <v>127</v>
      </c>
      <c r="AM1903">
        <v>2.5000000000000001E-3</v>
      </c>
      <c r="AN1903">
        <v>-1</v>
      </c>
      <c r="AO1903">
        <v>-3.02</v>
      </c>
      <c r="AP1903">
        <v>0.16</v>
      </c>
      <c r="AQ1903">
        <v>-26.12</v>
      </c>
      <c r="AR1903">
        <v>19.079999999999998</v>
      </c>
      <c r="AS1903">
        <v>20.66</v>
      </c>
      <c r="AT1903" t="s">
        <v>9531</v>
      </c>
      <c r="AU1903">
        <v>53.41</v>
      </c>
      <c r="AV1903">
        <v>28.9</v>
      </c>
      <c r="AW1903">
        <v>1.93</v>
      </c>
      <c r="BA1903">
        <v>0.59</v>
      </c>
      <c r="BB1903">
        <v>2.82</v>
      </c>
      <c r="BC1903">
        <v>-5.04</v>
      </c>
      <c r="BD1903">
        <v>-3.04</v>
      </c>
      <c r="BE1903">
        <v>-5.31</v>
      </c>
      <c r="BF1903">
        <v>-7.36</v>
      </c>
      <c r="BG1903">
        <v>0.31</v>
      </c>
      <c r="BH1903">
        <v>-1.7</v>
      </c>
      <c r="BI1903">
        <v>20191030</v>
      </c>
      <c r="BJ1903">
        <v>20160506</v>
      </c>
      <c r="BK1903">
        <v>8.83</v>
      </c>
      <c r="BL1903" t="s">
        <v>116</v>
      </c>
      <c r="BM1903" t="s">
        <v>116</v>
      </c>
      <c r="BN1903">
        <v>51.05</v>
      </c>
      <c r="BO1903">
        <v>41.64</v>
      </c>
      <c r="BP1903">
        <v>0.22</v>
      </c>
      <c r="BQ1903">
        <v>17.989999999999998</v>
      </c>
      <c r="BR1903">
        <v>15.04</v>
      </c>
      <c r="BS1903">
        <v>10.4</v>
      </c>
      <c r="BT1903">
        <v>1.72</v>
      </c>
      <c r="BU1903">
        <v>6.86</v>
      </c>
      <c r="BV1903">
        <v>2.0499999999999998</v>
      </c>
      <c r="BW1903">
        <v>8.1999999999999993</v>
      </c>
      <c r="BX1903">
        <v>27.58</v>
      </c>
      <c r="BY1903">
        <v>6.6</v>
      </c>
      <c r="BZ1903">
        <v>4.6100000000000003</v>
      </c>
      <c r="CA1903">
        <v>0.32</v>
      </c>
      <c r="CB1903">
        <v>7.0000000000000007E-2</v>
      </c>
      <c r="CC1903">
        <v>0.31</v>
      </c>
      <c r="CD1903">
        <v>0.27</v>
      </c>
      <c r="CE1903">
        <v>0.25</v>
      </c>
      <c r="CF1903">
        <v>-0.09</v>
      </c>
      <c r="CG1903">
        <v>4.88</v>
      </c>
      <c r="CH1903">
        <v>-0.63</v>
      </c>
      <c r="CI1903">
        <v>-3.05</v>
      </c>
      <c r="CJ1903">
        <v>40573</v>
      </c>
      <c r="CK1903">
        <v>4562</v>
      </c>
      <c r="CL1903" t="s">
        <v>1886</v>
      </c>
      <c r="CM1903">
        <v>-78.069999999999993</v>
      </c>
      <c r="CN1903">
        <v>-13.22</v>
      </c>
      <c r="CO1903">
        <v>1.36</v>
      </c>
      <c r="CP1903">
        <v>-89.43</v>
      </c>
      <c r="CQ1903">
        <v>8.58</v>
      </c>
      <c r="CR1903">
        <v>0.56000000000000005</v>
      </c>
      <c r="CS1903" t="s">
        <v>944</v>
      </c>
      <c r="CT1903">
        <v>4.72</v>
      </c>
      <c r="CU1903">
        <v>0</v>
      </c>
      <c r="CV1903">
        <v>3.12</v>
      </c>
      <c r="CW1903">
        <v>0.55000000000000004</v>
      </c>
      <c r="CX1903">
        <v>-7.0000000000000007E-2</v>
      </c>
      <c r="CY1903">
        <v>81.58</v>
      </c>
      <c r="CZ1903" t="s">
        <v>9532</v>
      </c>
      <c r="DA1903">
        <v>30.18</v>
      </c>
      <c r="DB1903">
        <v>4.8099999999999996</v>
      </c>
      <c r="DC1903">
        <v>3.83</v>
      </c>
      <c r="DD1903">
        <v>0.47</v>
      </c>
      <c r="DE1903">
        <v>1604</v>
      </c>
      <c r="DF1903">
        <v>300510</v>
      </c>
      <c r="DG1903" t="s">
        <v>116</v>
      </c>
      <c r="DH1903" t="s">
        <v>116</v>
      </c>
      <c r="DI1903" t="s">
        <v>116</v>
      </c>
    </row>
    <row r="1904" spans="1:113" x14ac:dyDescent="0.4">
      <c r="A1904" t="str">
        <f>"300511"</f>
        <v>300511</v>
      </c>
      <c r="B1904" t="s">
        <v>9533</v>
      </c>
      <c r="C1904">
        <v>-0.15</v>
      </c>
      <c r="D1904">
        <v>6.51</v>
      </c>
      <c r="E1904">
        <v>-0.01</v>
      </c>
      <c r="F1904">
        <v>6.5</v>
      </c>
      <c r="G1904">
        <v>6.51</v>
      </c>
      <c r="H1904">
        <v>36072</v>
      </c>
      <c r="I1904">
        <v>260</v>
      </c>
      <c r="J1904">
        <v>0</v>
      </c>
      <c r="K1904">
        <v>1.46</v>
      </c>
      <c r="L1904">
        <v>6.53</v>
      </c>
      <c r="M1904">
        <v>6.62</v>
      </c>
      <c r="N1904">
        <v>6.5</v>
      </c>
      <c r="O1904">
        <v>6.52</v>
      </c>
      <c r="P1904">
        <v>19.059999999999999</v>
      </c>
      <c r="Q1904">
        <v>23686260</v>
      </c>
      <c r="R1904">
        <v>1.1100000000000001</v>
      </c>
      <c r="S1904" t="s">
        <v>1871</v>
      </c>
      <c r="T1904" t="s">
        <v>1653</v>
      </c>
      <c r="U1904">
        <v>1.84</v>
      </c>
      <c r="V1904">
        <v>6.57</v>
      </c>
      <c r="W1904">
        <v>20301</v>
      </c>
      <c r="X1904">
        <v>15771</v>
      </c>
      <c r="Y1904">
        <v>1.29</v>
      </c>
      <c r="Z1904">
        <v>1354</v>
      </c>
      <c r="AA1904">
        <v>309</v>
      </c>
      <c r="AB1904" t="s">
        <v>116</v>
      </c>
      <c r="AC1904">
        <v>0</v>
      </c>
      <c r="AD1904">
        <v>0</v>
      </c>
      <c r="AE1904" t="s">
        <v>116</v>
      </c>
      <c r="AF1904" t="s">
        <v>116</v>
      </c>
      <c r="AG1904">
        <v>2.46</v>
      </c>
      <c r="AH1904" t="s">
        <v>9276</v>
      </c>
      <c r="AI1904" t="s">
        <v>4191</v>
      </c>
      <c r="AJ1904">
        <v>0.53</v>
      </c>
      <c r="AK1904">
        <v>939</v>
      </c>
      <c r="AL1904">
        <v>38</v>
      </c>
      <c r="AM1904">
        <v>1.6000000000000001E-3</v>
      </c>
      <c r="AN1904">
        <v>-1</v>
      </c>
      <c r="AO1904">
        <v>0.47</v>
      </c>
      <c r="AP1904">
        <v>5.51</v>
      </c>
      <c r="AQ1904">
        <v>-8.18</v>
      </c>
      <c r="AR1904">
        <v>11.28</v>
      </c>
      <c r="AS1904">
        <v>1.89</v>
      </c>
      <c r="AT1904" t="s">
        <v>9534</v>
      </c>
      <c r="AU1904">
        <v>21.89</v>
      </c>
      <c r="AV1904">
        <v>18.45</v>
      </c>
      <c r="AW1904">
        <v>1.08</v>
      </c>
      <c r="BA1904">
        <v>0.15</v>
      </c>
      <c r="BB1904">
        <v>1.53</v>
      </c>
      <c r="BC1904">
        <v>-0.31</v>
      </c>
      <c r="BD1904">
        <v>0.71</v>
      </c>
      <c r="BE1904">
        <v>-0.31</v>
      </c>
      <c r="BF1904">
        <v>-1.66</v>
      </c>
      <c r="BG1904">
        <v>0.15</v>
      </c>
      <c r="BH1904">
        <v>-0.87</v>
      </c>
      <c r="BI1904">
        <v>20191030</v>
      </c>
      <c r="BJ1904">
        <v>20160504</v>
      </c>
      <c r="BK1904">
        <v>4.29</v>
      </c>
      <c r="BL1904" t="s">
        <v>116</v>
      </c>
      <c r="BM1904" t="s">
        <v>116</v>
      </c>
      <c r="BN1904">
        <v>37.049999999999997</v>
      </c>
      <c r="BO1904">
        <v>16.309999999999999</v>
      </c>
      <c r="BP1904">
        <v>-0.11</v>
      </c>
      <c r="BQ1904">
        <v>56.28</v>
      </c>
      <c r="BR1904">
        <v>6.64</v>
      </c>
      <c r="BS1904">
        <v>22.98</v>
      </c>
      <c r="BT1904">
        <v>2.64</v>
      </c>
      <c r="BU1904">
        <v>12.52</v>
      </c>
      <c r="BV1904">
        <v>3.18</v>
      </c>
      <c r="BW1904">
        <v>0.21</v>
      </c>
      <c r="BX1904">
        <v>4.1500000000000004</v>
      </c>
      <c r="BY1904">
        <v>13.2</v>
      </c>
      <c r="BZ1904">
        <v>10.89</v>
      </c>
      <c r="CA1904">
        <v>0.87</v>
      </c>
      <c r="CB1904">
        <v>0.01</v>
      </c>
      <c r="CC1904">
        <v>1.01</v>
      </c>
      <c r="CD1904">
        <v>1.03</v>
      </c>
      <c r="CE1904">
        <v>1.1000000000000001</v>
      </c>
      <c r="CF1904">
        <v>0.94</v>
      </c>
      <c r="CG1904">
        <v>7.19</v>
      </c>
      <c r="CH1904">
        <v>3.54</v>
      </c>
      <c r="CI1904">
        <v>-0.95</v>
      </c>
      <c r="CJ1904">
        <v>22344</v>
      </c>
      <c r="CK1904">
        <v>8546</v>
      </c>
      <c r="CL1904" t="s">
        <v>742</v>
      </c>
      <c r="CM1904">
        <v>-17.79</v>
      </c>
      <c r="CN1904">
        <v>1.1100000000000001</v>
      </c>
      <c r="CO1904">
        <v>1.71</v>
      </c>
      <c r="CP1904">
        <v>7.88</v>
      </c>
      <c r="CQ1904">
        <v>2.12</v>
      </c>
      <c r="CR1904">
        <v>1.84</v>
      </c>
      <c r="CS1904" t="s">
        <v>3081</v>
      </c>
      <c r="CT1904">
        <v>3.8</v>
      </c>
      <c r="CU1904">
        <v>0</v>
      </c>
      <c r="CV1904">
        <v>0.97</v>
      </c>
      <c r="CW1904">
        <v>1.67</v>
      </c>
      <c r="CX1904">
        <v>0.83</v>
      </c>
      <c r="CY1904">
        <v>44.01</v>
      </c>
      <c r="CZ1904" t="s">
        <v>9535</v>
      </c>
      <c r="DA1904">
        <v>17.55</v>
      </c>
      <c r="DB1904">
        <v>6.6</v>
      </c>
      <c r="DC1904">
        <v>8.33</v>
      </c>
      <c r="DD1904">
        <v>0.08</v>
      </c>
      <c r="DE1904">
        <v>1715</v>
      </c>
      <c r="DF1904">
        <v>300511</v>
      </c>
      <c r="DG1904" t="s">
        <v>116</v>
      </c>
      <c r="DH1904" t="s">
        <v>116</v>
      </c>
      <c r="DI1904" t="s">
        <v>116</v>
      </c>
    </row>
    <row r="1905" spans="1:113" x14ac:dyDescent="0.4">
      <c r="A1905" t="str">
        <f>"300512"</f>
        <v>300512</v>
      </c>
      <c r="B1905" t="s">
        <v>9536</v>
      </c>
      <c r="C1905">
        <v>-0.44</v>
      </c>
      <c r="D1905">
        <v>11.34</v>
      </c>
      <c r="E1905">
        <v>-0.05</v>
      </c>
      <c r="F1905">
        <v>11.33</v>
      </c>
      <c r="G1905">
        <v>11.34</v>
      </c>
      <c r="H1905">
        <v>8585</v>
      </c>
      <c r="I1905">
        <v>120</v>
      </c>
      <c r="J1905">
        <v>-0.25</v>
      </c>
      <c r="K1905">
        <v>0.4</v>
      </c>
      <c r="L1905">
        <v>11.38</v>
      </c>
      <c r="M1905">
        <v>11.55</v>
      </c>
      <c r="N1905">
        <v>11.34</v>
      </c>
      <c r="O1905">
        <v>11.39</v>
      </c>
      <c r="P1905">
        <v>22.68</v>
      </c>
      <c r="Q1905">
        <v>9828051</v>
      </c>
      <c r="R1905">
        <v>0.97</v>
      </c>
      <c r="S1905" t="s">
        <v>682</v>
      </c>
      <c r="T1905" t="s">
        <v>590</v>
      </c>
      <c r="U1905">
        <v>1.84</v>
      </c>
      <c r="V1905">
        <v>11.45</v>
      </c>
      <c r="W1905">
        <v>4948</v>
      </c>
      <c r="X1905">
        <v>3637</v>
      </c>
      <c r="Y1905">
        <v>1.36</v>
      </c>
      <c r="Z1905">
        <v>50</v>
      </c>
      <c r="AA1905">
        <v>5</v>
      </c>
      <c r="AB1905" t="s">
        <v>116</v>
      </c>
      <c r="AC1905">
        <v>0</v>
      </c>
      <c r="AD1905">
        <v>0</v>
      </c>
      <c r="AE1905" t="s">
        <v>116</v>
      </c>
      <c r="AF1905" t="s">
        <v>116</v>
      </c>
      <c r="AG1905">
        <v>2.16</v>
      </c>
      <c r="AH1905" t="s">
        <v>9537</v>
      </c>
      <c r="AI1905" t="s">
        <v>9538</v>
      </c>
      <c r="AJ1905">
        <v>0.24</v>
      </c>
      <c r="AK1905">
        <v>595</v>
      </c>
      <c r="AL1905">
        <v>14</v>
      </c>
      <c r="AM1905">
        <v>6.9999999999999999E-4</v>
      </c>
      <c r="AN1905">
        <v>-1</v>
      </c>
      <c r="AO1905">
        <v>-1.1399999999999999</v>
      </c>
      <c r="AP1905">
        <v>5.29</v>
      </c>
      <c r="AQ1905">
        <v>-0.61</v>
      </c>
      <c r="AR1905">
        <v>-4.47</v>
      </c>
      <c r="AS1905">
        <v>1.0900000000000001</v>
      </c>
      <c r="AT1905" t="s">
        <v>7261</v>
      </c>
      <c r="AU1905">
        <v>22.07</v>
      </c>
      <c r="AV1905">
        <v>16.43</v>
      </c>
      <c r="AW1905">
        <v>0.86</v>
      </c>
      <c r="BA1905">
        <v>-0.09</v>
      </c>
      <c r="BB1905">
        <v>1.4</v>
      </c>
      <c r="BC1905">
        <v>-0.44</v>
      </c>
      <c r="BD1905">
        <v>0.51</v>
      </c>
      <c r="BE1905">
        <v>-0.35</v>
      </c>
      <c r="BF1905">
        <v>-1.82</v>
      </c>
      <c r="BG1905">
        <v>0</v>
      </c>
      <c r="BH1905">
        <v>-0.95</v>
      </c>
      <c r="BI1905">
        <v>20191031</v>
      </c>
      <c r="BJ1905">
        <v>20160526</v>
      </c>
      <c r="BK1905">
        <v>2.7</v>
      </c>
      <c r="BL1905" t="s">
        <v>116</v>
      </c>
      <c r="BM1905" t="s">
        <v>116</v>
      </c>
      <c r="BN1905">
        <v>19.22</v>
      </c>
      <c r="BO1905">
        <v>13.9</v>
      </c>
      <c r="BP1905">
        <v>0.06</v>
      </c>
      <c r="BQ1905">
        <v>27.32</v>
      </c>
      <c r="BR1905">
        <v>13.63</v>
      </c>
      <c r="BS1905">
        <v>2.52</v>
      </c>
      <c r="BT1905">
        <v>0.75</v>
      </c>
      <c r="BU1905">
        <v>5.17</v>
      </c>
      <c r="BV1905">
        <v>6.72</v>
      </c>
      <c r="BW1905">
        <v>2.09</v>
      </c>
      <c r="BX1905">
        <v>5.68</v>
      </c>
      <c r="BY1905">
        <v>6.18</v>
      </c>
      <c r="BZ1905">
        <v>3.87</v>
      </c>
      <c r="CA1905">
        <v>1.17</v>
      </c>
      <c r="CB1905">
        <v>0.02</v>
      </c>
      <c r="CC1905">
        <v>1.18</v>
      </c>
      <c r="CD1905">
        <v>1</v>
      </c>
      <c r="CE1905">
        <v>1.01</v>
      </c>
      <c r="CF1905">
        <v>0.94</v>
      </c>
      <c r="CG1905">
        <v>4.41</v>
      </c>
      <c r="CH1905">
        <v>-1.1499999999999999</v>
      </c>
      <c r="CI1905">
        <v>-0.54</v>
      </c>
      <c r="CJ1905">
        <v>18875</v>
      </c>
      <c r="CK1905">
        <v>4173</v>
      </c>
      <c r="CL1905" t="s">
        <v>570</v>
      </c>
      <c r="CM1905">
        <v>-32</v>
      </c>
      <c r="CN1905">
        <v>19.84</v>
      </c>
      <c r="CO1905">
        <v>2.2000000000000002</v>
      </c>
      <c r="CP1905">
        <v>-26.56</v>
      </c>
      <c r="CQ1905">
        <v>4.95</v>
      </c>
      <c r="CR1905">
        <v>1.1499999999999999</v>
      </c>
      <c r="CS1905" t="s">
        <v>9539</v>
      </c>
      <c r="CT1905">
        <v>5.15</v>
      </c>
      <c r="CU1905">
        <v>0</v>
      </c>
      <c r="CV1905">
        <v>2.11</v>
      </c>
      <c r="CW1905">
        <v>1.63</v>
      </c>
      <c r="CX1905">
        <v>-0.43</v>
      </c>
      <c r="CY1905">
        <v>72.34</v>
      </c>
      <c r="CZ1905" t="s">
        <v>3251</v>
      </c>
      <c r="DA1905">
        <v>37.369999999999997</v>
      </c>
      <c r="DB1905">
        <v>18.91</v>
      </c>
      <c r="DC1905">
        <v>16.38</v>
      </c>
      <c r="DD1905">
        <v>0.3</v>
      </c>
      <c r="DE1905">
        <v>1418</v>
      </c>
      <c r="DF1905">
        <v>300512</v>
      </c>
      <c r="DG1905" t="s">
        <v>116</v>
      </c>
      <c r="DH1905" t="s">
        <v>116</v>
      </c>
      <c r="DI1905" t="s">
        <v>116</v>
      </c>
    </row>
    <row r="1906" spans="1:113" x14ac:dyDescent="0.4">
      <c r="A1906" t="str">
        <f>"300513"</f>
        <v>300513</v>
      </c>
      <c r="B1906" t="s">
        <v>9540</v>
      </c>
      <c r="C1906">
        <v>-1.53</v>
      </c>
      <c r="D1906">
        <v>13.55</v>
      </c>
      <c r="E1906">
        <v>-0.21</v>
      </c>
      <c r="F1906">
        <v>13.55</v>
      </c>
      <c r="G1906">
        <v>13.56</v>
      </c>
      <c r="H1906">
        <v>62204</v>
      </c>
      <c r="I1906">
        <v>292</v>
      </c>
      <c r="J1906">
        <v>0.22</v>
      </c>
      <c r="K1906">
        <v>2.71</v>
      </c>
      <c r="L1906">
        <v>13.77</v>
      </c>
      <c r="M1906">
        <v>13.92</v>
      </c>
      <c r="N1906">
        <v>13.49</v>
      </c>
      <c r="O1906">
        <v>13.76</v>
      </c>
      <c r="P1906">
        <v>38.39</v>
      </c>
      <c r="Q1906">
        <v>85234016</v>
      </c>
      <c r="R1906">
        <v>1.1000000000000001</v>
      </c>
      <c r="S1906" t="s">
        <v>607</v>
      </c>
      <c r="T1906" t="s">
        <v>165</v>
      </c>
      <c r="U1906">
        <v>3.13</v>
      </c>
      <c r="V1906">
        <v>13.7</v>
      </c>
      <c r="W1906">
        <v>36158</v>
      </c>
      <c r="X1906">
        <v>26046</v>
      </c>
      <c r="Y1906">
        <v>1.39</v>
      </c>
      <c r="Z1906">
        <v>546</v>
      </c>
      <c r="AA1906">
        <v>295</v>
      </c>
      <c r="AB1906" t="s">
        <v>116</v>
      </c>
      <c r="AC1906">
        <v>114300</v>
      </c>
      <c r="AD1906">
        <v>0</v>
      </c>
      <c r="AE1906" t="s">
        <v>116</v>
      </c>
      <c r="AF1906" t="s">
        <v>116</v>
      </c>
      <c r="AG1906">
        <v>2.29</v>
      </c>
      <c r="AH1906" t="s">
        <v>9541</v>
      </c>
      <c r="AI1906" t="s">
        <v>941</v>
      </c>
      <c r="AJ1906">
        <v>-0.85</v>
      </c>
      <c r="AK1906">
        <v>2018</v>
      </c>
      <c r="AL1906">
        <v>31</v>
      </c>
      <c r="AM1906">
        <v>1.2999999999999999E-3</v>
      </c>
      <c r="AN1906">
        <v>-1</v>
      </c>
      <c r="AO1906">
        <v>1.05</v>
      </c>
      <c r="AP1906">
        <v>9.4499999999999993</v>
      </c>
      <c r="AQ1906">
        <v>1.88</v>
      </c>
      <c r="AR1906">
        <v>7.92</v>
      </c>
      <c r="AS1906">
        <v>3.14</v>
      </c>
      <c r="AT1906" t="s">
        <v>5988</v>
      </c>
      <c r="AU1906">
        <v>34.4</v>
      </c>
      <c r="AV1906">
        <v>37.11</v>
      </c>
      <c r="AW1906">
        <v>1.55</v>
      </c>
      <c r="BA1906">
        <v>7.0000000000000007E-2</v>
      </c>
      <c r="BB1906">
        <v>1.1599999999999999</v>
      </c>
      <c r="BC1906">
        <v>-1.96</v>
      </c>
      <c r="BD1906">
        <v>-0.42</v>
      </c>
      <c r="BE1906">
        <v>-1.6</v>
      </c>
      <c r="BF1906">
        <v>-2.66</v>
      </c>
      <c r="BG1906">
        <v>0.44</v>
      </c>
      <c r="BH1906">
        <v>-1.1100000000000001</v>
      </c>
      <c r="BI1906">
        <v>20191030</v>
      </c>
      <c r="BJ1906">
        <v>20160530</v>
      </c>
      <c r="BK1906">
        <v>3.14</v>
      </c>
      <c r="BL1906" t="s">
        <v>116</v>
      </c>
      <c r="BM1906" t="s">
        <v>116</v>
      </c>
      <c r="BN1906">
        <v>34.32</v>
      </c>
      <c r="BO1906">
        <v>23.93</v>
      </c>
      <c r="BP1906">
        <v>0.7</v>
      </c>
      <c r="BQ1906">
        <v>28.23</v>
      </c>
      <c r="BR1906">
        <v>17.75</v>
      </c>
      <c r="BS1906">
        <v>3.33</v>
      </c>
      <c r="BT1906">
        <v>0.51</v>
      </c>
      <c r="BU1906">
        <v>7.7</v>
      </c>
      <c r="BV1906">
        <v>4.1500000000000004</v>
      </c>
      <c r="BW1906">
        <v>10.35</v>
      </c>
      <c r="BX1906">
        <v>16.84</v>
      </c>
      <c r="BY1906">
        <v>6.85</v>
      </c>
      <c r="BZ1906">
        <v>4.72</v>
      </c>
      <c r="CA1906">
        <v>0.85</v>
      </c>
      <c r="CB1906">
        <v>0.03</v>
      </c>
      <c r="CC1906">
        <v>0.86</v>
      </c>
      <c r="CD1906">
        <v>0.79</v>
      </c>
      <c r="CE1906">
        <v>0.83</v>
      </c>
      <c r="CF1906">
        <v>0.79</v>
      </c>
      <c r="CG1906">
        <v>3.73</v>
      </c>
      <c r="CH1906">
        <v>-1.64</v>
      </c>
      <c r="CI1906">
        <v>-2.0299999999999998</v>
      </c>
      <c r="CJ1906">
        <v>23300</v>
      </c>
      <c r="CK1906">
        <v>8494</v>
      </c>
      <c r="CL1906" t="s">
        <v>1944</v>
      </c>
      <c r="CM1906">
        <v>12.23</v>
      </c>
      <c r="CN1906">
        <v>25.96</v>
      </c>
      <c r="CO1906">
        <v>1.78</v>
      </c>
      <c r="CP1906">
        <v>-25.87</v>
      </c>
      <c r="CQ1906">
        <v>6.2</v>
      </c>
      <c r="CR1906">
        <v>0.62</v>
      </c>
      <c r="CS1906" t="s">
        <v>335</v>
      </c>
      <c r="CT1906">
        <v>7.63</v>
      </c>
      <c r="CU1906">
        <v>0</v>
      </c>
      <c r="CV1906">
        <v>5.37</v>
      </c>
      <c r="CW1906">
        <v>1.19</v>
      </c>
      <c r="CX1906">
        <v>-0.52</v>
      </c>
      <c r="CY1906">
        <v>69.739999999999995</v>
      </c>
      <c r="CZ1906" t="s">
        <v>4846</v>
      </c>
      <c r="DA1906">
        <v>31.19</v>
      </c>
      <c r="DB1906">
        <v>12.34</v>
      </c>
      <c r="DC1906">
        <v>12.12</v>
      </c>
      <c r="DD1906">
        <v>0.36</v>
      </c>
      <c r="DE1906">
        <v>1895</v>
      </c>
      <c r="DF1906">
        <v>300513</v>
      </c>
      <c r="DG1906" t="s">
        <v>116</v>
      </c>
      <c r="DH1906" t="s">
        <v>116</v>
      </c>
      <c r="DI1906" t="s">
        <v>116</v>
      </c>
    </row>
    <row r="1907" spans="1:113" x14ac:dyDescent="0.4">
      <c r="A1907" t="str">
        <f>"300514"</f>
        <v>300514</v>
      </c>
      <c r="B1907" t="s">
        <v>9542</v>
      </c>
      <c r="C1907">
        <v>-2.5299999999999998</v>
      </c>
      <c r="D1907">
        <v>12.71</v>
      </c>
      <c r="E1907">
        <v>-0.33</v>
      </c>
      <c r="F1907">
        <v>12.7</v>
      </c>
      <c r="G1907">
        <v>12.71</v>
      </c>
      <c r="H1907">
        <v>44026</v>
      </c>
      <c r="I1907">
        <v>785</v>
      </c>
      <c r="J1907">
        <v>0.08</v>
      </c>
      <c r="K1907">
        <v>4.87</v>
      </c>
      <c r="L1907">
        <v>12.95</v>
      </c>
      <c r="M1907">
        <v>13.23</v>
      </c>
      <c r="N1907">
        <v>12.65</v>
      </c>
      <c r="O1907">
        <v>13.04</v>
      </c>
      <c r="P1907">
        <v>91.66</v>
      </c>
      <c r="Q1907">
        <v>56841880</v>
      </c>
      <c r="R1907">
        <v>0.55000000000000004</v>
      </c>
      <c r="S1907" t="s">
        <v>465</v>
      </c>
      <c r="T1907" t="s">
        <v>115</v>
      </c>
      <c r="U1907">
        <v>4.45</v>
      </c>
      <c r="V1907">
        <v>12.91</v>
      </c>
      <c r="W1907">
        <v>27477</v>
      </c>
      <c r="X1907">
        <v>16549</v>
      </c>
      <c r="Y1907">
        <v>1.66</v>
      </c>
      <c r="Z1907">
        <v>633</v>
      </c>
      <c r="AA1907">
        <v>322</v>
      </c>
      <c r="AB1907" t="s">
        <v>116</v>
      </c>
      <c r="AC1907">
        <v>475300</v>
      </c>
      <c r="AD1907">
        <v>0.05</v>
      </c>
      <c r="AE1907" t="s">
        <v>116</v>
      </c>
      <c r="AF1907" t="s">
        <v>116</v>
      </c>
      <c r="AG1907">
        <v>0.9</v>
      </c>
      <c r="AH1907" t="s">
        <v>1816</v>
      </c>
      <c r="AI1907" t="s">
        <v>2330</v>
      </c>
      <c r="AJ1907">
        <v>-1.85</v>
      </c>
      <c r="AK1907">
        <v>1484</v>
      </c>
      <c r="AL1907">
        <v>30</v>
      </c>
      <c r="AM1907">
        <v>3.3E-3</v>
      </c>
      <c r="AN1907">
        <v>-1</v>
      </c>
      <c r="AO1907">
        <v>-0.93</v>
      </c>
      <c r="AP1907">
        <v>6.9</v>
      </c>
      <c r="AQ1907">
        <v>-5.08</v>
      </c>
      <c r="AR1907">
        <v>2.75</v>
      </c>
      <c r="AS1907">
        <v>5.59</v>
      </c>
      <c r="AT1907" t="s">
        <v>9543</v>
      </c>
      <c r="AU1907">
        <v>51.47</v>
      </c>
      <c r="AV1907">
        <v>48.43</v>
      </c>
      <c r="AW1907">
        <v>0.9</v>
      </c>
      <c r="BA1907">
        <v>-0.69</v>
      </c>
      <c r="BB1907">
        <v>1.46</v>
      </c>
      <c r="BC1907">
        <v>-2.99</v>
      </c>
      <c r="BD1907">
        <v>-0.99</v>
      </c>
      <c r="BE1907">
        <v>-1.85</v>
      </c>
      <c r="BF1907">
        <v>-3.93</v>
      </c>
      <c r="BG1907">
        <v>0.47</v>
      </c>
      <c r="BH1907">
        <v>-1.54</v>
      </c>
      <c r="BI1907">
        <v>20191029</v>
      </c>
      <c r="BJ1907">
        <v>20170426</v>
      </c>
      <c r="BK1907">
        <v>2</v>
      </c>
      <c r="BL1907" t="s">
        <v>116</v>
      </c>
      <c r="BM1907" t="s">
        <v>116</v>
      </c>
      <c r="BN1907">
        <v>9.73</v>
      </c>
      <c r="BO1907">
        <v>5.4</v>
      </c>
      <c r="BP1907">
        <v>0</v>
      </c>
      <c r="BQ1907">
        <v>44.57</v>
      </c>
      <c r="BR1907">
        <v>8.3699999999999992</v>
      </c>
      <c r="BS1907">
        <v>0.23</v>
      </c>
      <c r="BT1907">
        <v>0.14000000000000001</v>
      </c>
      <c r="BU1907">
        <v>3.89</v>
      </c>
      <c r="BV1907">
        <v>1.39</v>
      </c>
      <c r="BW1907">
        <v>3.68</v>
      </c>
      <c r="BX1907">
        <v>1.1399999999999999</v>
      </c>
      <c r="BY1907">
        <v>4.42</v>
      </c>
      <c r="BZ1907">
        <v>2.99</v>
      </c>
      <c r="CA1907">
        <v>0.24</v>
      </c>
      <c r="CB1907">
        <v>0</v>
      </c>
      <c r="CC1907">
        <v>0.23</v>
      </c>
      <c r="CD1907">
        <v>0.21</v>
      </c>
      <c r="CE1907">
        <v>0.21</v>
      </c>
      <c r="CF1907">
        <v>0.16</v>
      </c>
      <c r="CG1907">
        <v>2</v>
      </c>
      <c r="CH1907">
        <v>-0.18</v>
      </c>
      <c r="CI1907">
        <v>-0.97</v>
      </c>
      <c r="CJ1907">
        <v>16032</v>
      </c>
      <c r="CK1907">
        <v>4915</v>
      </c>
      <c r="CL1907" t="s">
        <v>1880</v>
      </c>
      <c r="CM1907">
        <v>-12.97</v>
      </c>
      <c r="CN1907">
        <v>6.15</v>
      </c>
      <c r="CO1907">
        <v>4.71</v>
      </c>
      <c r="CP1907">
        <v>-141.34</v>
      </c>
      <c r="CQ1907">
        <v>5.75</v>
      </c>
      <c r="CR1907">
        <v>0.39</v>
      </c>
      <c r="CS1907" t="s">
        <v>3672</v>
      </c>
      <c r="CT1907">
        <v>2.7</v>
      </c>
      <c r="CU1907">
        <v>0</v>
      </c>
      <c r="CV1907">
        <v>0.56999999999999995</v>
      </c>
      <c r="CW1907">
        <v>1</v>
      </c>
      <c r="CX1907">
        <v>-0.09</v>
      </c>
      <c r="CY1907">
        <v>55.43</v>
      </c>
      <c r="CZ1907" t="s">
        <v>9544</v>
      </c>
      <c r="DA1907">
        <v>32.450000000000003</v>
      </c>
      <c r="DB1907">
        <v>5.31</v>
      </c>
      <c r="DC1907">
        <v>4.7</v>
      </c>
      <c r="DD1907">
        <v>0.44</v>
      </c>
      <c r="DE1907">
        <v>874</v>
      </c>
      <c r="DF1907">
        <v>300514</v>
      </c>
      <c r="DG1907" t="s">
        <v>116</v>
      </c>
      <c r="DH1907" t="s">
        <v>116</v>
      </c>
      <c r="DI1907" t="s">
        <v>116</v>
      </c>
    </row>
    <row r="1908" spans="1:113" x14ac:dyDescent="0.4">
      <c r="A1908" t="str">
        <f>"300515"</f>
        <v>300515</v>
      </c>
      <c r="B1908" t="s">
        <v>9545</v>
      </c>
      <c r="C1908">
        <v>-2.5099999999999998</v>
      </c>
      <c r="D1908">
        <v>9.7100000000000009</v>
      </c>
      <c r="E1908">
        <v>-0.25</v>
      </c>
      <c r="F1908">
        <v>9.6999999999999993</v>
      </c>
      <c r="G1908">
        <v>9.7100000000000009</v>
      </c>
      <c r="H1908">
        <v>22353</v>
      </c>
      <c r="I1908">
        <v>162</v>
      </c>
      <c r="J1908">
        <v>0</v>
      </c>
      <c r="K1908">
        <v>1.3</v>
      </c>
      <c r="L1908">
        <v>9.9700000000000006</v>
      </c>
      <c r="M1908">
        <v>9.98</v>
      </c>
      <c r="N1908">
        <v>9.69</v>
      </c>
      <c r="O1908">
        <v>9.9600000000000009</v>
      </c>
      <c r="P1908">
        <v>41.29</v>
      </c>
      <c r="Q1908">
        <v>21917432</v>
      </c>
      <c r="R1908">
        <v>0.9</v>
      </c>
      <c r="S1908" t="s">
        <v>2977</v>
      </c>
      <c r="T1908" t="s">
        <v>599</v>
      </c>
      <c r="U1908">
        <v>2.91</v>
      </c>
      <c r="V1908">
        <v>9.81</v>
      </c>
      <c r="W1908">
        <v>13372</v>
      </c>
      <c r="X1908">
        <v>8981</v>
      </c>
      <c r="Y1908">
        <v>1.49</v>
      </c>
      <c r="Z1908">
        <v>122</v>
      </c>
      <c r="AA1908">
        <v>75</v>
      </c>
      <c r="AB1908" t="s">
        <v>116</v>
      </c>
      <c r="AC1908">
        <v>56800</v>
      </c>
      <c r="AD1908">
        <v>0.01</v>
      </c>
      <c r="AE1908" t="s">
        <v>116</v>
      </c>
      <c r="AF1908" t="s">
        <v>116</v>
      </c>
      <c r="AG1908">
        <v>1.72</v>
      </c>
      <c r="AH1908" t="s">
        <v>3374</v>
      </c>
      <c r="AI1908" t="s">
        <v>9546</v>
      </c>
      <c r="AJ1908">
        <v>-1.83</v>
      </c>
      <c r="AK1908">
        <v>1367</v>
      </c>
      <c r="AL1908">
        <v>16</v>
      </c>
      <c r="AM1908">
        <v>1E-3</v>
      </c>
      <c r="AN1908">
        <v>-1</v>
      </c>
      <c r="AO1908">
        <v>-0.1</v>
      </c>
      <c r="AP1908">
        <v>7.65</v>
      </c>
      <c r="AQ1908">
        <v>3.52</v>
      </c>
      <c r="AR1908">
        <v>13.04</v>
      </c>
      <c r="AS1908">
        <v>2.44</v>
      </c>
      <c r="AT1908" t="s">
        <v>9547</v>
      </c>
      <c r="AU1908">
        <v>48.38</v>
      </c>
      <c r="AV1908">
        <v>55.93</v>
      </c>
      <c r="AW1908">
        <v>1.0900000000000001</v>
      </c>
      <c r="BA1908">
        <v>0.1</v>
      </c>
      <c r="BB1908">
        <v>0.2</v>
      </c>
      <c r="BC1908">
        <v>-2.71</v>
      </c>
      <c r="BD1908">
        <v>-1.55</v>
      </c>
      <c r="BE1908">
        <v>-2.61</v>
      </c>
      <c r="BF1908">
        <v>-2.71</v>
      </c>
      <c r="BG1908">
        <v>0.21</v>
      </c>
      <c r="BH1908">
        <v>-0.96</v>
      </c>
      <c r="BI1908">
        <v>20191101</v>
      </c>
      <c r="BJ1908">
        <v>20160608</v>
      </c>
      <c r="BK1908">
        <v>2.02</v>
      </c>
      <c r="BL1908" t="s">
        <v>116</v>
      </c>
      <c r="BM1908" t="s">
        <v>116</v>
      </c>
      <c r="BN1908">
        <v>6.42</v>
      </c>
      <c r="BO1908">
        <v>4.92</v>
      </c>
      <c r="BP1908">
        <v>0.01</v>
      </c>
      <c r="BQ1908">
        <v>23.2</v>
      </c>
      <c r="BR1908">
        <v>5.09</v>
      </c>
      <c r="BS1908">
        <v>0.89</v>
      </c>
      <c r="BT1908">
        <v>0.1</v>
      </c>
      <c r="BU1908">
        <v>1.18</v>
      </c>
      <c r="BV1908">
        <v>0.73</v>
      </c>
      <c r="BW1908">
        <v>1.48</v>
      </c>
      <c r="BX1908">
        <v>1.22</v>
      </c>
      <c r="BY1908">
        <v>1.91</v>
      </c>
      <c r="BZ1908">
        <v>0.71</v>
      </c>
      <c r="CA1908">
        <v>0.4</v>
      </c>
      <c r="CB1908">
        <v>0.05</v>
      </c>
      <c r="CC1908">
        <v>0.4</v>
      </c>
      <c r="CD1908">
        <v>0.36</v>
      </c>
      <c r="CE1908">
        <v>0.36</v>
      </c>
      <c r="CF1908">
        <v>0.28999999999999998</v>
      </c>
      <c r="CG1908">
        <v>1.52</v>
      </c>
      <c r="CH1908">
        <v>0.47</v>
      </c>
      <c r="CI1908">
        <v>-0.12</v>
      </c>
      <c r="CJ1908">
        <v>16664</v>
      </c>
      <c r="CK1908">
        <v>5492</v>
      </c>
      <c r="CL1908" t="s">
        <v>2819</v>
      </c>
      <c r="CM1908">
        <v>18.149999999999999</v>
      </c>
      <c r="CN1908">
        <v>10.01</v>
      </c>
      <c r="CO1908">
        <v>3.99</v>
      </c>
      <c r="CP1908">
        <v>41.82</v>
      </c>
      <c r="CQ1908">
        <v>10.27</v>
      </c>
      <c r="CR1908">
        <v>1.03</v>
      </c>
      <c r="CS1908" t="s">
        <v>586</v>
      </c>
      <c r="CT1908">
        <v>2.44</v>
      </c>
      <c r="CU1908">
        <v>0</v>
      </c>
      <c r="CV1908">
        <v>0.6</v>
      </c>
      <c r="CW1908">
        <v>0.76</v>
      </c>
      <c r="CX1908">
        <v>0.23</v>
      </c>
      <c r="CY1908">
        <v>76.62</v>
      </c>
      <c r="CZ1908" t="s">
        <v>8595</v>
      </c>
      <c r="DA1908">
        <v>62.74</v>
      </c>
      <c r="DB1908">
        <v>21.03</v>
      </c>
      <c r="DC1908">
        <v>18.66</v>
      </c>
      <c r="DD1908">
        <v>0.22</v>
      </c>
      <c r="DE1908">
        <v>464</v>
      </c>
      <c r="DF1908">
        <v>300515</v>
      </c>
      <c r="DG1908" t="s">
        <v>116</v>
      </c>
      <c r="DH1908" t="s">
        <v>116</v>
      </c>
      <c r="DI1908" t="s">
        <v>116</v>
      </c>
    </row>
    <row r="1909" spans="1:113" x14ac:dyDescent="0.4">
      <c r="A1909" t="str">
        <f>"300516"</f>
        <v>300516</v>
      </c>
      <c r="B1909" t="s">
        <v>9548</v>
      </c>
      <c r="C1909">
        <v>-7.0000000000000007E-2</v>
      </c>
      <c r="D1909">
        <v>30.41</v>
      </c>
      <c r="E1909">
        <v>-0.02</v>
      </c>
      <c r="F1909">
        <v>30.38</v>
      </c>
      <c r="G1909">
        <v>30.41</v>
      </c>
      <c r="H1909">
        <v>13029</v>
      </c>
      <c r="I1909">
        <v>206</v>
      </c>
      <c r="J1909">
        <v>0.26</v>
      </c>
      <c r="K1909">
        <v>0.72</v>
      </c>
      <c r="L1909">
        <v>30.36</v>
      </c>
      <c r="M1909">
        <v>30.68</v>
      </c>
      <c r="N1909">
        <v>30.29</v>
      </c>
      <c r="O1909">
        <v>30.43</v>
      </c>
      <c r="P1909">
        <v>132.47999999999999</v>
      </c>
      <c r="Q1909">
        <v>39678676</v>
      </c>
      <c r="R1909">
        <v>0.8</v>
      </c>
      <c r="S1909" t="s">
        <v>2977</v>
      </c>
      <c r="T1909" t="s">
        <v>774</v>
      </c>
      <c r="U1909">
        <v>1.28</v>
      </c>
      <c r="V1909">
        <v>30.45</v>
      </c>
      <c r="W1909">
        <v>6929</v>
      </c>
      <c r="X1909">
        <v>6100</v>
      </c>
      <c r="Y1909">
        <v>1.1399999999999999</v>
      </c>
      <c r="Z1909">
        <v>86</v>
      </c>
      <c r="AA1909">
        <v>43</v>
      </c>
      <c r="AB1909" t="s">
        <v>116</v>
      </c>
      <c r="AC1909">
        <v>18200</v>
      </c>
      <c r="AD1909">
        <v>0</v>
      </c>
      <c r="AE1909" t="s">
        <v>116</v>
      </c>
      <c r="AF1909" t="s">
        <v>116</v>
      </c>
      <c r="AG1909">
        <v>1.8</v>
      </c>
      <c r="AH1909" t="s">
        <v>593</v>
      </c>
      <c r="AI1909" t="s">
        <v>593</v>
      </c>
      <c r="AJ1909">
        <v>0.61</v>
      </c>
      <c r="AK1909">
        <v>909</v>
      </c>
      <c r="AL1909">
        <v>14</v>
      </c>
      <c r="AM1909">
        <v>8.0000000000000004E-4</v>
      </c>
      <c r="AN1909">
        <v>-1</v>
      </c>
      <c r="AO1909">
        <v>0.06</v>
      </c>
      <c r="AP1909">
        <v>0.7</v>
      </c>
      <c r="AQ1909">
        <v>-6.57</v>
      </c>
      <c r="AR1909">
        <v>66.22</v>
      </c>
      <c r="AS1909">
        <v>2.54</v>
      </c>
      <c r="AT1909" t="s">
        <v>4449</v>
      </c>
      <c r="AU1909">
        <v>118.84</v>
      </c>
      <c r="AV1909">
        <v>119.59</v>
      </c>
      <c r="AW1909">
        <v>0.21</v>
      </c>
      <c r="BA1909">
        <v>-0.23</v>
      </c>
      <c r="BB1909">
        <v>0.82</v>
      </c>
      <c r="BC1909">
        <v>-0.46</v>
      </c>
      <c r="BD1909">
        <v>0.08</v>
      </c>
      <c r="BE1909">
        <v>0.16</v>
      </c>
      <c r="BF1909">
        <v>-0.88</v>
      </c>
      <c r="BG1909">
        <v>0.4</v>
      </c>
      <c r="BH1909">
        <v>-0.14000000000000001</v>
      </c>
      <c r="BI1909">
        <v>20191029</v>
      </c>
      <c r="BJ1909">
        <v>20160602</v>
      </c>
      <c r="BK1909">
        <v>1.8</v>
      </c>
      <c r="BL1909" t="s">
        <v>116</v>
      </c>
      <c r="BM1909" t="s">
        <v>116</v>
      </c>
      <c r="BN1909">
        <v>11.71</v>
      </c>
      <c r="BO1909">
        <v>10.46</v>
      </c>
      <c r="BP1909">
        <v>0</v>
      </c>
      <c r="BQ1909">
        <v>10.72</v>
      </c>
      <c r="BR1909">
        <v>8.7100000000000009</v>
      </c>
      <c r="BS1909">
        <v>2.41</v>
      </c>
      <c r="BT1909">
        <v>7.0000000000000007E-2</v>
      </c>
      <c r="BU1909">
        <v>1.26</v>
      </c>
      <c r="BV1909">
        <v>3.13</v>
      </c>
      <c r="BW1909">
        <v>2.96</v>
      </c>
      <c r="BX1909">
        <v>3.92</v>
      </c>
      <c r="BY1909">
        <v>3.62</v>
      </c>
      <c r="BZ1909">
        <v>2.44</v>
      </c>
      <c r="CA1909">
        <v>0.26</v>
      </c>
      <c r="CB1909">
        <v>0.02</v>
      </c>
      <c r="CC1909">
        <v>0.28999999999999998</v>
      </c>
      <c r="CD1909">
        <v>0.31</v>
      </c>
      <c r="CE1909">
        <v>0.31</v>
      </c>
      <c r="CF1909">
        <v>0.28000000000000003</v>
      </c>
      <c r="CG1909">
        <v>4.1500000000000004</v>
      </c>
      <c r="CH1909">
        <v>-0.9</v>
      </c>
      <c r="CI1909">
        <v>-2.58</v>
      </c>
      <c r="CJ1909">
        <v>19928</v>
      </c>
      <c r="CK1909">
        <v>2574</v>
      </c>
      <c r="CL1909" t="s">
        <v>7133</v>
      </c>
      <c r="CM1909">
        <v>0.93</v>
      </c>
      <c r="CN1909">
        <v>12.62</v>
      </c>
      <c r="CO1909">
        <v>5.23</v>
      </c>
      <c r="CP1909">
        <v>-60.58</v>
      </c>
      <c r="CQ1909">
        <v>15.11</v>
      </c>
      <c r="CR1909">
        <v>0.17</v>
      </c>
      <c r="CS1909" t="s">
        <v>5990</v>
      </c>
      <c r="CT1909">
        <v>5.81</v>
      </c>
      <c r="CU1909">
        <v>0</v>
      </c>
      <c r="CV1909">
        <v>2.1800000000000002</v>
      </c>
      <c r="CW1909">
        <v>2.31</v>
      </c>
      <c r="CX1909">
        <v>-0.5</v>
      </c>
      <c r="CY1909">
        <v>89.28</v>
      </c>
      <c r="CZ1909" t="s">
        <v>5095</v>
      </c>
      <c r="DA1909">
        <v>32.58</v>
      </c>
      <c r="DB1909">
        <v>7.22</v>
      </c>
      <c r="DC1909">
        <v>8.56</v>
      </c>
      <c r="DD1909">
        <v>0.54</v>
      </c>
      <c r="DE1909">
        <v>303</v>
      </c>
      <c r="DF1909">
        <v>300516</v>
      </c>
      <c r="DG1909" t="s">
        <v>116</v>
      </c>
      <c r="DH1909" t="s">
        <v>116</v>
      </c>
      <c r="DI1909" t="s">
        <v>116</v>
      </c>
    </row>
    <row r="1910" spans="1:113" x14ac:dyDescent="0.4">
      <c r="A1910" t="str">
        <f>"300517"</f>
        <v>300517</v>
      </c>
      <c r="B1910" t="s">
        <v>9549</v>
      </c>
      <c r="C1910">
        <v>-0.93</v>
      </c>
      <c r="D1910">
        <v>14.95</v>
      </c>
      <c r="E1910">
        <v>-0.14000000000000001</v>
      </c>
      <c r="F1910">
        <v>14.9</v>
      </c>
      <c r="G1910">
        <v>14.95</v>
      </c>
      <c r="H1910">
        <v>6623</v>
      </c>
      <c r="I1910">
        <v>197</v>
      </c>
      <c r="J1910">
        <v>0.54</v>
      </c>
      <c r="K1910">
        <v>1.08</v>
      </c>
      <c r="L1910">
        <v>15.11</v>
      </c>
      <c r="M1910">
        <v>15.14</v>
      </c>
      <c r="N1910">
        <v>14.86</v>
      </c>
      <c r="O1910">
        <v>15.09</v>
      </c>
      <c r="P1910">
        <v>33.950000000000003</v>
      </c>
      <c r="Q1910">
        <v>9937315</v>
      </c>
      <c r="R1910">
        <v>0.71</v>
      </c>
      <c r="S1910" t="s">
        <v>181</v>
      </c>
      <c r="T1910" t="s">
        <v>774</v>
      </c>
      <c r="U1910">
        <v>1.86</v>
      </c>
      <c r="V1910">
        <v>15</v>
      </c>
      <c r="W1910">
        <v>4048</v>
      </c>
      <c r="X1910">
        <v>2575</v>
      </c>
      <c r="Y1910">
        <v>1.57</v>
      </c>
      <c r="Z1910">
        <v>4</v>
      </c>
      <c r="AA1910">
        <v>10</v>
      </c>
      <c r="AB1910" t="s">
        <v>116</v>
      </c>
      <c r="AC1910">
        <v>18100</v>
      </c>
      <c r="AD1910">
        <v>0</v>
      </c>
      <c r="AE1910" t="s">
        <v>116</v>
      </c>
      <c r="AF1910" t="s">
        <v>116</v>
      </c>
      <c r="AG1910">
        <v>0.61</v>
      </c>
      <c r="AH1910" t="s">
        <v>9550</v>
      </c>
      <c r="AI1910" t="s">
        <v>7024</v>
      </c>
      <c r="AJ1910">
        <v>-0.25</v>
      </c>
      <c r="AK1910">
        <v>553</v>
      </c>
      <c r="AL1910">
        <v>12</v>
      </c>
      <c r="AM1910">
        <v>2E-3</v>
      </c>
      <c r="AN1910">
        <v>-1</v>
      </c>
      <c r="AO1910">
        <v>-0.73</v>
      </c>
      <c r="AP1910">
        <v>8.57</v>
      </c>
      <c r="AQ1910">
        <v>-1.39</v>
      </c>
      <c r="AR1910">
        <v>13.49</v>
      </c>
      <c r="AS1910">
        <v>1.58</v>
      </c>
      <c r="AT1910" t="s">
        <v>8611</v>
      </c>
      <c r="AU1910">
        <v>42.75</v>
      </c>
      <c r="AV1910">
        <v>65.819999999999993</v>
      </c>
      <c r="AW1910">
        <v>0.87</v>
      </c>
      <c r="BA1910">
        <v>0.13</v>
      </c>
      <c r="BB1910">
        <v>0.33</v>
      </c>
      <c r="BC1910">
        <v>-1.52</v>
      </c>
      <c r="BD1910">
        <v>-0.56999999999999995</v>
      </c>
      <c r="BE1910">
        <v>-1.06</v>
      </c>
      <c r="BF1910">
        <v>-1.25</v>
      </c>
      <c r="BG1910">
        <v>0.61</v>
      </c>
      <c r="BH1910">
        <v>-0.36</v>
      </c>
      <c r="BI1910">
        <v>20191120</v>
      </c>
      <c r="BJ1910">
        <v>20160719</v>
      </c>
      <c r="BK1910">
        <v>1.07</v>
      </c>
      <c r="BL1910" t="s">
        <v>116</v>
      </c>
      <c r="BM1910" t="s">
        <v>116</v>
      </c>
      <c r="BN1910">
        <v>13.98</v>
      </c>
      <c r="BO1910">
        <v>7.06</v>
      </c>
      <c r="BP1910">
        <v>0</v>
      </c>
      <c r="BQ1910">
        <v>49.52</v>
      </c>
      <c r="BR1910">
        <v>10.96</v>
      </c>
      <c r="BS1910">
        <v>1.82</v>
      </c>
      <c r="BT1910">
        <v>0.64</v>
      </c>
      <c r="BU1910">
        <v>6.9</v>
      </c>
      <c r="BV1910">
        <v>4.21</v>
      </c>
      <c r="BW1910">
        <v>3.58</v>
      </c>
      <c r="BX1910">
        <v>3.17</v>
      </c>
      <c r="BY1910">
        <v>4.93</v>
      </c>
      <c r="BZ1910">
        <v>4.05</v>
      </c>
      <c r="CA1910">
        <v>0.4</v>
      </c>
      <c r="CB1910">
        <v>0</v>
      </c>
      <c r="CC1910">
        <v>0.4</v>
      </c>
      <c r="CD1910">
        <v>0.35</v>
      </c>
      <c r="CE1910">
        <v>0.35</v>
      </c>
      <c r="CF1910">
        <v>0.34</v>
      </c>
      <c r="CG1910">
        <v>2.69</v>
      </c>
      <c r="CH1910">
        <v>1.1200000000000001</v>
      </c>
      <c r="CI1910">
        <v>0.25</v>
      </c>
      <c r="CJ1910">
        <v>11309</v>
      </c>
      <c r="CK1910">
        <v>3701</v>
      </c>
      <c r="CL1910" t="s">
        <v>4634</v>
      </c>
      <c r="CM1910">
        <v>59.03</v>
      </c>
      <c r="CN1910">
        <v>75.900000000000006</v>
      </c>
      <c r="CO1910">
        <v>2.2599999999999998</v>
      </c>
      <c r="CP1910">
        <v>14.23</v>
      </c>
      <c r="CQ1910">
        <v>3.24</v>
      </c>
      <c r="CR1910">
        <v>0.18</v>
      </c>
      <c r="CS1910" t="s">
        <v>4952</v>
      </c>
      <c r="CT1910">
        <v>6.61</v>
      </c>
      <c r="CU1910">
        <v>0</v>
      </c>
      <c r="CV1910">
        <v>2.97</v>
      </c>
      <c r="CW1910">
        <v>2.52</v>
      </c>
      <c r="CX1910">
        <v>1.05</v>
      </c>
      <c r="CY1910">
        <v>50.48</v>
      </c>
      <c r="CZ1910" t="s">
        <v>1501</v>
      </c>
      <c r="DA1910">
        <v>17.89</v>
      </c>
      <c r="DB1910">
        <v>8.1199999999999992</v>
      </c>
      <c r="DC1910">
        <v>7.16</v>
      </c>
      <c r="DD1910">
        <v>0.18</v>
      </c>
      <c r="DE1910">
        <v>318</v>
      </c>
      <c r="DF1910">
        <v>300517</v>
      </c>
      <c r="DG1910" t="s">
        <v>116</v>
      </c>
      <c r="DH1910" t="s">
        <v>116</v>
      </c>
      <c r="DI1910" t="s">
        <v>116</v>
      </c>
    </row>
    <row r="1911" spans="1:113" x14ac:dyDescent="0.4">
      <c r="A1911" t="str">
        <f>"300518"</f>
        <v>300518</v>
      </c>
      <c r="B1911" t="s">
        <v>9551</v>
      </c>
      <c r="C1911">
        <v>-0.7</v>
      </c>
      <c r="D1911">
        <v>27.05</v>
      </c>
      <c r="E1911">
        <v>-0.19</v>
      </c>
      <c r="F1911">
        <v>27.02</v>
      </c>
      <c r="G1911">
        <v>27.05</v>
      </c>
      <c r="H1911">
        <v>32892</v>
      </c>
      <c r="I1911">
        <v>329</v>
      </c>
      <c r="J1911">
        <v>0.15</v>
      </c>
      <c r="K1911">
        <v>5.31</v>
      </c>
      <c r="L1911">
        <v>27.27</v>
      </c>
      <c r="M1911">
        <v>28.58</v>
      </c>
      <c r="N1911">
        <v>26.9</v>
      </c>
      <c r="O1911">
        <v>27.24</v>
      </c>
      <c r="P1911">
        <v>121.1</v>
      </c>
      <c r="Q1911">
        <v>90870592</v>
      </c>
      <c r="R1911">
        <v>0.7</v>
      </c>
      <c r="S1911" t="s">
        <v>607</v>
      </c>
      <c r="T1911" t="s">
        <v>115</v>
      </c>
      <c r="U1911">
        <v>6.17</v>
      </c>
      <c r="V1911">
        <v>27.63</v>
      </c>
      <c r="W1911">
        <v>17930</v>
      </c>
      <c r="X1911">
        <v>14962</v>
      </c>
      <c r="Y1911">
        <v>1.2</v>
      </c>
      <c r="Z1911">
        <v>322</v>
      </c>
      <c r="AA1911">
        <v>10</v>
      </c>
      <c r="AB1911" t="s">
        <v>116</v>
      </c>
      <c r="AC1911">
        <v>267200</v>
      </c>
      <c r="AD1911">
        <v>0.03</v>
      </c>
      <c r="AE1911" t="s">
        <v>116</v>
      </c>
      <c r="AF1911" t="s">
        <v>116</v>
      </c>
      <c r="AG1911">
        <v>0.62</v>
      </c>
      <c r="AH1911" t="s">
        <v>348</v>
      </c>
      <c r="AI1911" t="s">
        <v>3129</v>
      </c>
      <c r="AJ1911">
        <v>-0.02</v>
      </c>
      <c r="AK1911">
        <v>2103</v>
      </c>
      <c r="AL1911">
        <v>16</v>
      </c>
      <c r="AM1911">
        <v>2.5000000000000001E-3</v>
      </c>
      <c r="AN1911">
        <v>-1</v>
      </c>
      <c r="AO1911">
        <v>-0.3</v>
      </c>
      <c r="AP1911">
        <v>10</v>
      </c>
      <c r="AQ1911">
        <v>7.81</v>
      </c>
      <c r="AR1911">
        <v>16.7</v>
      </c>
      <c r="AS1911">
        <v>9.01</v>
      </c>
      <c r="AT1911" t="s">
        <v>9552</v>
      </c>
      <c r="AU1911">
        <v>110.83</v>
      </c>
      <c r="AV1911">
        <v>248.52</v>
      </c>
      <c r="AW1911">
        <v>1.22</v>
      </c>
      <c r="BA1911">
        <v>0.11</v>
      </c>
      <c r="BB1911">
        <v>4.92</v>
      </c>
      <c r="BC1911">
        <v>-1.25</v>
      </c>
      <c r="BD1911">
        <v>1.42</v>
      </c>
      <c r="BE1911">
        <v>-0.81</v>
      </c>
      <c r="BF1911">
        <v>-5.35</v>
      </c>
      <c r="BG1911">
        <v>0.56000000000000005</v>
      </c>
      <c r="BH1911">
        <v>-2.12</v>
      </c>
      <c r="BI1911">
        <v>20191030</v>
      </c>
      <c r="BJ1911">
        <v>20160624</v>
      </c>
      <c r="BK1911">
        <v>0.93</v>
      </c>
      <c r="BL1911" t="s">
        <v>116</v>
      </c>
      <c r="BM1911" t="s">
        <v>116</v>
      </c>
      <c r="BN1911">
        <v>17.97</v>
      </c>
      <c r="BO1911">
        <v>11.12</v>
      </c>
      <c r="BP1911">
        <v>1.01</v>
      </c>
      <c r="BQ1911">
        <v>32.51</v>
      </c>
      <c r="BR1911">
        <v>3.73</v>
      </c>
      <c r="BS1911">
        <v>3.18</v>
      </c>
      <c r="BT1911">
        <v>0.39</v>
      </c>
      <c r="BU1911">
        <v>4.46</v>
      </c>
      <c r="BV1911">
        <v>0</v>
      </c>
      <c r="BW1911">
        <v>1.17</v>
      </c>
      <c r="BX1911">
        <v>4.9000000000000004</v>
      </c>
      <c r="BY1911">
        <v>1.67</v>
      </c>
      <c r="BZ1911">
        <v>0.95</v>
      </c>
      <c r="CA1911">
        <v>0.33</v>
      </c>
      <c r="CB1911">
        <v>0.26</v>
      </c>
      <c r="CC1911">
        <v>0.33</v>
      </c>
      <c r="CD1911">
        <v>0.3</v>
      </c>
      <c r="CE1911">
        <v>0.16</v>
      </c>
      <c r="CF1911">
        <v>-0.06</v>
      </c>
      <c r="CG1911">
        <v>4.79</v>
      </c>
      <c r="CH1911">
        <v>1.03</v>
      </c>
      <c r="CI1911">
        <v>0.27</v>
      </c>
      <c r="CJ1911">
        <v>14957</v>
      </c>
      <c r="CK1911">
        <v>2442</v>
      </c>
      <c r="CL1911" t="s">
        <v>9553</v>
      </c>
      <c r="CM1911">
        <v>418.46</v>
      </c>
      <c r="CN1911">
        <v>-43.37</v>
      </c>
      <c r="CO1911">
        <v>2.27</v>
      </c>
      <c r="CP1911">
        <v>24.6</v>
      </c>
      <c r="CQ1911">
        <v>15.09</v>
      </c>
      <c r="CR1911">
        <v>7.0000000000000007E-2</v>
      </c>
      <c r="CS1911" t="s">
        <v>1127</v>
      </c>
      <c r="CT1911">
        <v>11.92</v>
      </c>
      <c r="CU1911">
        <v>0</v>
      </c>
      <c r="CV1911">
        <v>5.25</v>
      </c>
      <c r="CW1911">
        <v>5.14</v>
      </c>
      <c r="CX1911">
        <v>1.1000000000000001</v>
      </c>
      <c r="CY1911">
        <v>61.87</v>
      </c>
      <c r="CZ1911" t="s">
        <v>3191</v>
      </c>
      <c r="DA1911">
        <v>43.16</v>
      </c>
      <c r="DB1911">
        <v>19.73</v>
      </c>
      <c r="DC1911">
        <v>9.35</v>
      </c>
      <c r="DD1911">
        <v>0.18</v>
      </c>
      <c r="DE1911">
        <v>247</v>
      </c>
      <c r="DF1911">
        <v>300518</v>
      </c>
      <c r="DG1911" t="s">
        <v>116</v>
      </c>
      <c r="DH1911" t="s">
        <v>116</v>
      </c>
      <c r="DI1911" t="s">
        <v>116</v>
      </c>
    </row>
    <row r="1912" spans="1:113" x14ac:dyDescent="0.4">
      <c r="A1912" t="str">
        <f>"300519"</f>
        <v>300519</v>
      </c>
      <c r="B1912" t="s">
        <v>9554</v>
      </c>
      <c r="C1912">
        <v>-0.3</v>
      </c>
      <c r="D1912">
        <v>13.29</v>
      </c>
      <c r="E1912">
        <v>-0.04</v>
      </c>
      <c r="F1912">
        <v>13.29</v>
      </c>
      <c r="G1912">
        <v>13.3</v>
      </c>
      <c r="H1912">
        <v>6922</v>
      </c>
      <c r="I1912">
        <v>97</v>
      </c>
      <c r="J1912">
        <v>0.15</v>
      </c>
      <c r="K1912">
        <v>0.61</v>
      </c>
      <c r="L1912">
        <v>13.35</v>
      </c>
      <c r="M1912">
        <v>13.43</v>
      </c>
      <c r="N1912">
        <v>13.26</v>
      </c>
      <c r="O1912">
        <v>13.33</v>
      </c>
      <c r="P1912">
        <v>23.03</v>
      </c>
      <c r="Q1912">
        <v>9236878</v>
      </c>
      <c r="R1912">
        <v>0.99</v>
      </c>
      <c r="S1912" t="s">
        <v>781</v>
      </c>
      <c r="T1912" t="s">
        <v>590</v>
      </c>
      <c r="U1912">
        <v>1.28</v>
      </c>
      <c r="V1912">
        <v>13.34</v>
      </c>
      <c r="W1912">
        <v>3639</v>
      </c>
      <c r="X1912">
        <v>3283</v>
      </c>
      <c r="Y1912">
        <v>1.1100000000000001</v>
      </c>
      <c r="Z1912">
        <v>69</v>
      </c>
      <c r="AA1912">
        <v>76</v>
      </c>
      <c r="AB1912" t="s">
        <v>116</v>
      </c>
      <c r="AC1912">
        <v>0</v>
      </c>
      <c r="AD1912">
        <v>0</v>
      </c>
      <c r="AE1912" t="s">
        <v>116</v>
      </c>
      <c r="AF1912" t="s">
        <v>116</v>
      </c>
      <c r="AG1912">
        <v>1.1399999999999999</v>
      </c>
      <c r="AH1912" t="s">
        <v>9555</v>
      </c>
      <c r="AI1912" t="s">
        <v>9556</v>
      </c>
      <c r="AJ1912">
        <v>0.38</v>
      </c>
      <c r="AK1912">
        <v>561</v>
      </c>
      <c r="AL1912">
        <v>12</v>
      </c>
      <c r="AM1912">
        <v>1.1000000000000001E-3</v>
      </c>
      <c r="AN1912">
        <v>-1</v>
      </c>
      <c r="AO1912">
        <v>0.31</v>
      </c>
      <c r="AP1912">
        <v>2.86</v>
      </c>
      <c r="AQ1912">
        <v>-1.99</v>
      </c>
      <c r="AR1912">
        <v>-1.77</v>
      </c>
      <c r="AS1912">
        <v>1.36</v>
      </c>
      <c r="AT1912" t="s">
        <v>8420</v>
      </c>
      <c r="AU1912">
        <v>23.36</v>
      </c>
      <c r="AV1912">
        <v>24.16</v>
      </c>
      <c r="AW1912">
        <v>0.84</v>
      </c>
      <c r="BA1912">
        <v>0.15</v>
      </c>
      <c r="BB1912">
        <v>0.75</v>
      </c>
      <c r="BC1912">
        <v>-0.53</v>
      </c>
      <c r="BD1912">
        <v>0.11</v>
      </c>
      <c r="BE1912">
        <v>-0.45</v>
      </c>
      <c r="BF1912">
        <v>-1.04</v>
      </c>
      <c r="BG1912">
        <v>0.23</v>
      </c>
      <c r="BH1912">
        <v>-0.41</v>
      </c>
      <c r="BI1912">
        <v>20191028</v>
      </c>
      <c r="BJ1912">
        <v>20160624</v>
      </c>
      <c r="BK1912">
        <v>1.6</v>
      </c>
      <c r="BL1912" t="s">
        <v>116</v>
      </c>
      <c r="BM1912" t="s">
        <v>116</v>
      </c>
      <c r="BN1912">
        <v>8.39</v>
      </c>
      <c r="BO1912">
        <v>7.74</v>
      </c>
      <c r="BP1912">
        <v>0</v>
      </c>
      <c r="BQ1912">
        <v>7.75</v>
      </c>
      <c r="BR1912">
        <v>6.77</v>
      </c>
      <c r="BS1912">
        <v>1.0900000000000001</v>
      </c>
      <c r="BT1912">
        <v>0.09</v>
      </c>
      <c r="BU1912">
        <v>0.54</v>
      </c>
      <c r="BV1912">
        <v>0.53</v>
      </c>
      <c r="BW1912">
        <v>0.23</v>
      </c>
      <c r="BX1912">
        <v>1.61</v>
      </c>
      <c r="BY1912">
        <v>2.13</v>
      </c>
      <c r="BZ1912">
        <v>0.96</v>
      </c>
      <c r="CA1912">
        <v>0.82</v>
      </c>
      <c r="CB1912">
        <v>0.03</v>
      </c>
      <c r="CC1912">
        <v>0.81</v>
      </c>
      <c r="CD1912">
        <v>0.69</v>
      </c>
      <c r="CE1912">
        <v>0.69</v>
      </c>
      <c r="CF1912">
        <v>0.66</v>
      </c>
      <c r="CG1912">
        <v>3.87</v>
      </c>
      <c r="CH1912">
        <v>0.66</v>
      </c>
      <c r="CI1912">
        <v>0.31</v>
      </c>
      <c r="CJ1912">
        <v>13434</v>
      </c>
      <c r="CK1912">
        <v>3787</v>
      </c>
      <c r="CL1912" t="s">
        <v>1151</v>
      </c>
      <c r="CM1912">
        <v>4.55</v>
      </c>
      <c r="CN1912">
        <v>4.4800000000000004</v>
      </c>
      <c r="CO1912">
        <v>2.75</v>
      </c>
      <c r="CP1912">
        <v>32.24</v>
      </c>
      <c r="CQ1912">
        <v>9.98</v>
      </c>
      <c r="CR1912">
        <v>2.2599999999999998</v>
      </c>
      <c r="CS1912" t="s">
        <v>3597</v>
      </c>
      <c r="CT1912">
        <v>4.84</v>
      </c>
      <c r="CU1912">
        <v>0</v>
      </c>
      <c r="CV1912">
        <v>1.01</v>
      </c>
      <c r="CW1912">
        <v>2.42</v>
      </c>
      <c r="CX1912">
        <v>0.41</v>
      </c>
      <c r="CY1912">
        <v>92.25</v>
      </c>
      <c r="CZ1912" t="s">
        <v>8369</v>
      </c>
      <c r="DA1912">
        <v>55.05</v>
      </c>
      <c r="DB1912">
        <v>38.36</v>
      </c>
      <c r="DC1912">
        <v>32.49</v>
      </c>
      <c r="DD1912">
        <v>0.13</v>
      </c>
      <c r="DE1912">
        <v>317</v>
      </c>
      <c r="DF1912">
        <v>300519</v>
      </c>
      <c r="DG1912" t="s">
        <v>116</v>
      </c>
      <c r="DH1912" t="s">
        <v>116</v>
      </c>
      <c r="DI1912" t="s">
        <v>116</v>
      </c>
    </row>
    <row r="1913" spans="1:113" x14ac:dyDescent="0.4">
      <c r="A1913" t="str">
        <f>"300520"</f>
        <v>300520</v>
      </c>
      <c r="B1913" t="s">
        <v>9557</v>
      </c>
      <c r="C1913">
        <v>-1.75</v>
      </c>
      <c r="D1913">
        <v>17.98</v>
      </c>
      <c r="E1913">
        <v>-0.32</v>
      </c>
      <c r="F1913">
        <v>17.98</v>
      </c>
      <c r="G1913">
        <v>17.989999999999998</v>
      </c>
      <c r="H1913">
        <v>44598</v>
      </c>
      <c r="I1913">
        <v>215</v>
      </c>
      <c r="J1913">
        <v>-0.05</v>
      </c>
      <c r="K1913">
        <v>2.37</v>
      </c>
      <c r="L1913">
        <v>18.64</v>
      </c>
      <c r="M1913">
        <v>18.739999999999998</v>
      </c>
      <c r="N1913">
        <v>17.899999999999999</v>
      </c>
      <c r="O1913">
        <v>18.3</v>
      </c>
      <c r="P1913">
        <v>66.91</v>
      </c>
      <c r="Q1913">
        <v>81923552</v>
      </c>
      <c r="R1913">
        <v>1.1100000000000001</v>
      </c>
      <c r="S1913" t="s">
        <v>607</v>
      </c>
      <c r="T1913" t="s">
        <v>575</v>
      </c>
      <c r="U1913">
        <v>4.59</v>
      </c>
      <c r="V1913">
        <v>18.37</v>
      </c>
      <c r="W1913">
        <v>25446</v>
      </c>
      <c r="X1913">
        <v>19152</v>
      </c>
      <c r="Y1913">
        <v>1.33</v>
      </c>
      <c r="Z1913">
        <v>15</v>
      </c>
      <c r="AA1913">
        <v>182</v>
      </c>
      <c r="AB1913" t="s">
        <v>116</v>
      </c>
      <c r="AC1913">
        <v>848100</v>
      </c>
      <c r="AD1913">
        <v>0.04</v>
      </c>
      <c r="AE1913" t="s">
        <v>116</v>
      </c>
      <c r="AF1913" t="s">
        <v>116</v>
      </c>
      <c r="AG1913">
        <v>1.89</v>
      </c>
      <c r="AH1913" t="s">
        <v>8066</v>
      </c>
      <c r="AI1913" t="s">
        <v>9558</v>
      </c>
      <c r="AJ1913">
        <v>-1.07</v>
      </c>
      <c r="AK1913">
        <v>2008</v>
      </c>
      <c r="AL1913">
        <v>22</v>
      </c>
      <c r="AM1913">
        <v>1.1999999999999999E-3</v>
      </c>
      <c r="AN1913">
        <v>-1</v>
      </c>
      <c r="AO1913">
        <v>0.34</v>
      </c>
      <c r="AP1913">
        <v>7.92</v>
      </c>
      <c r="AQ1913">
        <v>0.22</v>
      </c>
      <c r="AR1913">
        <v>20.149999999999999</v>
      </c>
      <c r="AS1913">
        <v>4.38</v>
      </c>
      <c r="AT1913" t="s">
        <v>7307</v>
      </c>
      <c r="AU1913">
        <v>56.67</v>
      </c>
      <c r="AV1913">
        <v>92.14</v>
      </c>
      <c r="AW1913">
        <v>1.27</v>
      </c>
      <c r="BA1913">
        <v>1.86</v>
      </c>
      <c r="BB1913">
        <v>2.4</v>
      </c>
      <c r="BC1913">
        <v>-2.19</v>
      </c>
      <c r="BD1913">
        <v>0.38</v>
      </c>
      <c r="BE1913">
        <v>-3.54</v>
      </c>
      <c r="BF1913">
        <v>-4.0599999999999996</v>
      </c>
      <c r="BG1913">
        <v>0.45</v>
      </c>
      <c r="BH1913">
        <v>-2.13</v>
      </c>
      <c r="BI1913">
        <v>20191210</v>
      </c>
      <c r="BJ1913">
        <v>20160708</v>
      </c>
      <c r="BK1913">
        <v>2.5</v>
      </c>
      <c r="BL1913" t="s">
        <v>116</v>
      </c>
      <c r="BM1913" t="s">
        <v>116</v>
      </c>
      <c r="BN1913">
        <v>21.45</v>
      </c>
      <c r="BO1913">
        <v>13.39</v>
      </c>
      <c r="BP1913">
        <v>0.18</v>
      </c>
      <c r="BQ1913">
        <v>36.74</v>
      </c>
      <c r="BR1913">
        <v>10.25</v>
      </c>
      <c r="BS1913">
        <v>0.6</v>
      </c>
      <c r="BT1913">
        <v>0.47</v>
      </c>
      <c r="BU1913">
        <v>7</v>
      </c>
      <c r="BV1913">
        <v>1.22</v>
      </c>
      <c r="BW1913">
        <v>5.23</v>
      </c>
      <c r="BX1913">
        <v>8.15</v>
      </c>
      <c r="BY1913">
        <v>10.27</v>
      </c>
      <c r="BZ1913">
        <v>7.27</v>
      </c>
      <c r="CA1913">
        <v>0.52</v>
      </c>
      <c r="CB1913">
        <v>0.01</v>
      </c>
      <c r="CC1913">
        <v>0.52</v>
      </c>
      <c r="CD1913">
        <v>0.55000000000000004</v>
      </c>
      <c r="CE1913">
        <v>0.5</v>
      </c>
      <c r="CF1913">
        <v>0.33</v>
      </c>
      <c r="CG1913">
        <v>2.66</v>
      </c>
      <c r="CH1913">
        <v>-2.44</v>
      </c>
      <c r="CI1913">
        <v>-2.61</v>
      </c>
      <c r="CJ1913">
        <v>25239</v>
      </c>
      <c r="CK1913">
        <v>4031</v>
      </c>
      <c r="CL1913" t="s">
        <v>1898</v>
      </c>
      <c r="CM1913">
        <v>153.83000000000001</v>
      </c>
      <c r="CN1913">
        <v>109.21</v>
      </c>
      <c r="CO1913">
        <v>3.21</v>
      </c>
      <c r="CP1913">
        <v>-18.46</v>
      </c>
      <c r="CQ1913">
        <v>4.38</v>
      </c>
      <c r="CR1913">
        <v>0.13</v>
      </c>
      <c r="CS1913" t="s">
        <v>1119</v>
      </c>
      <c r="CT1913">
        <v>5.6</v>
      </c>
      <c r="CU1913">
        <v>5.6</v>
      </c>
      <c r="CV1913">
        <v>3.25</v>
      </c>
      <c r="CW1913">
        <v>1.06</v>
      </c>
      <c r="CX1913">
        <v>-0.97</v>
      </c>
      <c r="CY1913">
        <v>62.43</v>
      </c>
      <c r="CZ1913" t="s">
        <v>3410</v>
      </c>
      <c r="DA1913">
        <v>29.23</v>
      </c>
      <c r="DB1913">
        <v>5.0999999999999996</v>
      </c>
      <c r="DC1913">
        <v>4.91</v>
      </c>
      <c r="DD1913">
        <v>1.39</v>
      </c>
      <c r="DE1913">
        <v>2883</v>
      </c>
      <c r="DF1913">
        <v>300520</v>
      </c>
      <c r="DG1913" t="s">
        <v>116</v>
      </c>
      <c r="DH1913" t="s">
        <v>116</v>
      </c>
      <c r="DI1913" t="s">
        <v>116</v>
      </c>
    </row>
    <row r="1914" spans="1:113" x14ac:dyDescent="0.4">
      <c r="A1914" t="str">
        <f>"300521"</f>
        <v>300521</v>
      </c>
      <c r="B1914" t="s">
        <v>9559</v>
      </c>
      <c r="C1914">
        <v>-2.66</v>
      </c>
      <c r="D1914">
        <v>10.6</v>
      </c>
      <c r="E1914">
        <v>-0.28999999999999998</v>
      </c>
      <c r="F1914">
        <v>10.6</v>
      </c>
      <c r="G1914">
        <v>10.61</v>
      </c>
      <c r="H1914">
        <v>37630</v>
      </c>
      <c r="I1914">
        <v>688</v>
      </c>
      <c r="J1914">
        <v>-0.27</v>
      </c>
      <c r="K1914">
        <v>2.61</v>
      </c>
      <c r="L1914">
        <v>10.85</v>
      </c>
      <c r="M1914">
        <v>10.94</v>
      </c>
      <c r="N1914">
        <v>10.6</v>
      </c>
      <c r="O1914">
        <v>10.89</v>
      </c>
      <c r="P1914">
        <v>116.92</v>
      </c>
      <c r="Q1914">
        <v>40595216</v>
      </c>
      <c r="R1914">
        <v>0.65</v>
      </c>
      <c r="S1914" t="s">
        <v>682</v>
      </c>
      <c r="T1914" t="s">
        <v>551</v>
      </c>
      <c r="U1914">
        <v>3.12</v>
      </c>
      <c r="V1914">
        <v>10.79</v>
      </c>
      <c r="W1914">
        <v>24569</v>
      </c>
      <c r="X1914">
        <v>13061</v>
      </c>
      <c r="Y1914">
        <v>1.88</v>
      </c>
      <c r="Z1914">
        <v>182</v>
      </c>
      <c r="AA1914">
        <v>244</v>
      </c>
      <c r="AB1914" t="s">
        <v>116</v>
      </c>
      <c r="AC1914">
        <v>64000</v>
      </c>
      <c r="AD1914">
        <v>0.01</v>
      </c>
      <c r="AE1914" t="s">
        <v>116</v>
      </c>
      <c r="AF1914" t="s">
        <v>116</v>
      </c>
      <c r="AG1914">
        <v>1.44</v>
      </c>
      <c r="AH1914" t="s">
        <v>7349</v>
      </c>
      <c r="AI1914" t="s">
        <v>7349</v>
      </c>
      <c r="AJ1914">
        <v>-1.98</v>
      </c>
      <c r="AK1914">
        <v>1235</v>
      </c>
      <c r="AL1914">
        <v>30</v>
      </c>
      <c r="AM1914">
        <v>2.0999999999999999E-3</v>
      </c>
      <c r="AN1914">
        <v>-1</v>
      </c>
      <c r="AO1914">
        <v>-2.57</v>
      </c>
      <c r="AP1914">
        <v>10.65</v>
      </c>
      <c r="AQ1914">
        <v>-1.03</v>
      </c>
      <c r="AR1914">
        <v>21.21</v>
      </c>
      <c r="AS1914">
        <v>4.79</v>
      </c>
      <c r="AT1914" t="s">
        <v>9560</v>
      </c>
      <c r="AU1914">
        <v>89.88</v>
      </c>
      <c r="AV1914">
        <v>59.99</v>
      </c>
      <c r="AW1914">
        <v>1.19</v>
      </c>
      <c r="BA1914">
        <v>-0.37</v>
      </c>
      <c r="BB1914">
        <v>0.46</v>
      </c>
      <c r="BC1914">
        <v>-2.66</v>
      </c>
      <c r="BD1914">
        <v>-0.94</v>
      </c>
      <c r="BE1914">
        <v>-2.2999999999999998</v>
      </c>
      <c r="BF1914">
        <v>-3.11</v>
      </c>
      <c r="BG1914">
        <v>0</v>
      </c>
      <c r="BH1914">
        <v>-1.73</v>
      </c>
      <c r="BI1914">
        <v>20191112</v>
      </c>
      <c r="BJ1914">
        <v>20160705</v>
      </c>
      <c r="BK1914">
        <v>1.44</v>
      </c>
      <c r="BL1914" t="s">
        <v>116</v>
      </c>
      <c r="BM1914" t="s">
        <v>116</v>
      </c>
      <c r="BN1914">
        <v>5.83</v>
      </c>
      <c r="BO1914">
        <v>5.19</v>
      </c>
      <c r="BP1914">
        <v>0.08</v>
      </c>
      <c r="BQ1914">
        <v>9.61</v>
      </c>
      <c r="BR1914">
        <v>3.22</v>
      </c>
      <c r="BS1914">
        <v>0.83</v>
      </c>
      <c r="BT1914">
        <v>0.14000000000000001</v>
      </c>
      <c r="BU1914">
        <v>0.53</v>
      </c>
      <c r="BV1914">
        <v>0.73</v>
      </c>
      <c r="BW1914">
        <v>1.4</v>
      </c>
      <c r="BX1914">
        <v>1.41</v>
      </c>
      <c r="BY1914">
        <v>1.24</v>
      </c>
      <c r="BZ1914">
        <v>0.65</v>
      </c>
      <c r="CA1914">
        <v>0.1</v>
      </c>
      <c r="CB1914">
        <v>0</v>
      </c>
      <c r="CC1914">
        <v>0.1</v>
      </c>
      <c r="CD1914">
        <v>0.1</v>
      </c>
      <c r="CE1914">
        <v>0.1</v>
      </c>
      <c r="CF1914">
        <v>7.0000000000000007E-2</v>
      </c>
      <c r="CG1914">
        <v>2.14</v>
      </c>
      <c r="CH1914">
        <v>-0.04</v>
      </c>
      <c r="CI1914">
        <v>-0.93</v>
      </c>
      <c r="CJ1914">
        <v>10621</v>
      </c>
      <c r="CK1914">
        <v>7401</v>
      </c>
      <c r="CL1914" t="s">
        <v>9561</v>
      </c>
      <c r="CM1914">
        <v>-46.36</v>
      </c>
      <c r="CN1914">
        <v>-1.52</v>
      </c>
      <c r="CO1914">
        <v>2.94</v>
      </c>
      <c r="CP1914">
        <v>-419.5</v>
      </c>
      <c r="CQ1914">
        <v>12.33</v>
      </c>
      <c r="CR1914">
        <v>0.33</v>
      </c>
      <c r="CS1914" t="s">
        <v>4067</v>
      </c>
      <c r="CT1914">
        <v>3.6</v>
      </c>
      <c r="CU1914">
        <v>0</v>
      </c>
      <c r="CV1914">
        <v>0.98</v>
      </c>
      <c r="CW1914">
        <v>1.49</v>
      </c>
      <c r="CX1914">
        <v>-0.03</v>
      </c>
      <c r="CY1914">
        <v>89.01</v>
      </c>
      <c r="CZ1914" t="s">
        <v>6676</v>
      </c>
      <c r="DA1914">
        <v>47.29</v>
      </c>
      <c r="DB1914">
        <v>8.17</v>
      </c>
      <c r="DC1914">
        <v>7.91</v>
      </c>
      <c r="DD1914">
        <v>0.18</v>
      </c>
      <c r="DE1914">
        <v>314</v>
      </c>
      <c r="DF1914">
        <v>300521</v>
      </c>
      <c r="DG1914" t="s">
        <v>116</v>
      </c>
      <c r="DH1914" t="s">
        <v>116</v>
      </c>
      <c r="DI1914" t="s">
        <v>116</v>
      </c>
    </row>
    <row r="1915" spans="1:113" x14ac:dyDescent="0.4">
      <c r="A1915" t="str">
        <f>"300522"</f>
        <v>300522</v>
      </c>
      <c r="B1915" t="s">
        <v>9562</v>
      </c>
      <c r="C1915">
        <v>-2.0699999999999998</v>
      </c>
      <c r="D1915">
        <v>17.97</v>
      </c>
      <c r="E1915">
        <v>-0.38</v>
      </c>
      <c r="F1915">
        <v>17.95</v>
      </c>
      <c r="G1915">
        <v>17.97</v>
      </c>
      <c r="H1915">
        <v>23814</v>
      </c>
      <c r="I1915">
        <v>319</v>
      </c>
      <c r="J1915">
        <v>-0.38</v>
      </c>
      <c r="K1915">
        <v>3.11</v>
      </c>
      <c r="L1915">
        <v>18.350000000000001</v>
      </c>
      <c r="M1915">
        <v>18.79</v>
      </c>
      <c r="N1915">
        <v>17.850000000000001</v>
      </c>
      <c r="O1915">
        <v>18.350000000000001</v>
      </c>
      <c r="P1915">
        <v>24.86</v>
      </c>
      <c r="Q1915">
        <v>43629180</v>
      </c>
      <c r="R1915">
        <v>0.79</v>
      </c>
      <c r="S1915" t="s">
        <v>1192</v>
      </c>
      <c r="T1915" t="s">
        <v>323</v>
      </c>
      <c r="U1915">
        <v>5.12</v>
      </c>
      <c r="V1915">
        <v>18.32</v>
      </c>
      <c r="W1915">
        <v>12766</v>
      </c>
      <c r="X1915">
        <v>11048</v>
      </c>
      <c r="Y1915">
        <v>1.1599999999999999</v>
      </c>
      <c r="Z1915">
        <v>5</v>
      </c>
      <c r="AA1915">
        <v>263</v>
      </c>
      <c r="AB1915" t="s">
        <v>116</v>
      </c>
      <c r="AC1915">
        <v>86200</v>
      </c>
      <c r="AD1915">
        <v>0.01</v>
      </c>
      <c r="AE1915" t="s">
        <v>116</v>
      </c>
      <c r="AF1915" t="s">
        <v>116</v>
      </c>
      <c r="AG1915">
        <v>0.77</v>
      </c>
      <c r="AH1915" t="s">
        <v>5803</v>
      </c>
      <c r="AI1915" t="s">
        <v>4540</v>
      </c>
      <c r="AJ1915">
        <v>-1.39</v>
      </c>
      <c r="AK1915">
        <v>1243</v>
      </c>
      <c r="AL1915">
        <v>19</v>
      </c>
      <c r="AM1915">
        <v>2.5000000000000001E-3</v>
      </c>
      <c r="AN1915">
        <v>-1</v>
      </c>
      <c r="AO1915">
        <v>-2.71</v>
      </c>
      <c r="AP1915">
        <v>16.760000000000002</v>
      </c>
      <c r="AQ1915">
        <v>13.38</v>
      </c>
      <c r="AR1915">
        <v>6.71</v>
      </c>
      <c r="AS1915">
        <v>5.39</v>
      </c>
      <c r="AT1915" t="s">
        <v>2218</v>
      </c>
      <c r="AU1915">
        <v>29.72</v>
      </c>
      <c r="AV1915">
        <v>32.340000000000003</v>
      </c>
      <c r="AW1915">
        <v>0.67</v>
      </c>
      <c r="BA1915">
        <v>0</v>
      </c>
      <c r="BB1915">
        <v>2.4</v>
      </c>
      <c r="BC1915">
        <v>-2.72</v>
      </c>
      <c r="BD1915">
        <v>-0.16</v>
      </c>
      <c r="BE1915">
        <v>-2.0699999999999998</v>
      </c>
      <c r="BF1915">
        <v>-4.3600000000000003</v>
      </c>
      <c r="BG1915">
        <v>0.67</v>
      </c>
      <c r="BH1915">
        <v>-1.91</v>
      </c>
      <c r="BI1915">
        <v>20191224</v>
      </c>
      <c r="BJ1915">
        <v>20160705</v>
      </c>
      <c r="BK1915">
        <v>1.21</v>
      </c>
      <c r="BL1915" t="s">
        <v>116</v>
      </c>
      <c r="BM1915" t="s">
        <v>116</v>
      </c>
      <c r="BN1915">
        <v>7.1</v>
      </c>
      <c r="BO1915">
        <v>6.35</v>
      </c>
      <c r="BP1915">
        <v>0.09</v>
      </c>
      <c r="BQ1915">
        <v>9.3699999999999992</v>
      </c>
      <c r="BR1915">
        <v>4.79</v>
      </c>
      <c r="BS1915">
        <v>1.43</v>
      </c>
      <c r="BT1915">
        <v>0.34</v>
      </c>
      <c r="BU1915">
        <v>0.62</v>
      </c>
      <c r="BV1915">
        <v>0.64</v>
      </c>
      <c r="BW1915">
        <v>1.36</v>
      </c>
      <c r="BX1915">
        <v>2.3199999999999998</v>
      </c>
      <c r="BY1915">
        <v>2.78</v>
      </c>
      <c r="BZ1915">
        <v>1.6</v>
      </c>
      <c r="CA1915">
        <v>0.7</v>
      </c>
      <c r="CB1915">
        <v>0.03</v>
      </c>
      <c r="CC1915">
        <v>0.7</v>
      </c>
      <c r="CD1915">
        <v>0.64</v>
      </c>
      <c r="CE1915">
        <v>0.66</v>
      </c>
      <c r="CF1915">
        <v>0.61</v>
      </c>
      <c r="CG1915">
        <v>2.82</v>
      </c>
      <c r="CH1915">
        <v>0.03</v>
      </c>
      <c r="CI1915">
        <v>-0.59</v>
      </c>
      <c r="CJ1915">
        <v>11121</v>
      </c>
      <c r="CK1915">
        <v>3975</v>
      </c>
      <c r="CL1915" t="s">
        <v>7262</v>
      </c>
      <c r="CM1915">
        <v>9.92</v>
      </c>
      <c r="CN1915">
        <v>9.36</v>
      </c>
      <c r="CO1915">
        <v>3.43</v>
      </c>
      <c r="CP1915">
        <v>783.91</v>
      </c>
      <c r="CQ1915">
        <v>7.82</v>
      </c>
      <c r="CR1915">
        <v>1.1100000000000001</v>
      </c>
      <c r="CS1915" t="s">
        <v>2599</v>
      </c>
      <c r="CT1915">
        <v>5.25</v>
      </c>
      <c r="CU1915">
        <v>0</v>
      </c>
      <c r="CV1915">
        <v>1.92</v>
      </c>
      <c r="CW1915">
        <v>2.33</v>
      </c>
      <c r="CX1915">
        <v>0.02</v>
      </c>
      <c r="CY1915">
        <v>89.34</v>
      </c>
      <c r="CZ1915" t="s">
        <v>9563</v>
      </c>
      <c r="DA1915">
        <v>42.41</v>
      </c>
      <c r="DB1915">
        <v>25.33</v>
      </c>
      <c r="DC1915">
        <v>23.58</v>
      </c>
      <c r="DD1915">
        <v>0.16</v>
      </c>
      <c r="DE1915">
        <v>258</v>
      </c>
      <c r="DF1915">
        <v>300522</v>
      </c>
      <c r="DG1915" t="s">
        <v>116</v>
      </c>
      <c r="DH1915" t="s">
        <v>116</v>
      </c>
      <c r="DI1915" t="s">
        <v>116</v>
      </c>
    </row>
    <row r="1916" spans="1:113" x14ac:dyDescent="0.4">
      <c r="A1916" t="str">
        <f>"300523"</f>
        <v>300523</v>
      </c>
      <c r="B1916" t="s">
        <v>9564</v>
      </c>
      <c r="C1916">
        <v>-5.13</v>
      </c>
      <c r="D1916">
        <v>45.47</v>
      </c>
      <c r="E1916">
        <v>-2.46</v>
      </c>
      <c r="F1916">
        <v>45.46</v>
      </c>
      <c r="G1916">
        <v>45.47</v>
      </c>
      <c r="H1916">
        <v>25148</v>
      </c>
      <c r="I1916">
        <v>367</v>
      </c>
      <c r="J1916">
        <v>-0.06</v>
      </c>
      <c r="K1916">
        <v>1.6</v>
      </c>
      <c r="L1916">
        <v>48</v>
      </c>
      <c r="M1916">
        <v>48</v>
      </c>
      <c r="N1916">
        <v>45.21</v>
      </c>
      <c r="O1916">
        <v>47.93</v>
      </c>
      <c r="P1916">
        <v>397.97</v>
      </c>
      <c r="Q1916">
        <v>117032040</v>
      </c>
      <c r="R1916">
        <v>1.4</v>
      </c>
      <c r="S1916" t="s">
        <v>607</v>
      </c>
      <c r="T1916" t="s">
        <v>165</v>
      </c>
      <c r="U1916">
        <v>5.82</v>
      </c>
      <c r="V1916">
        <v>46.54</v>
      </c>
      <c r="W1916">
        <v>15668</v>
      </c>
      <c r="X1916">
        <v>9480</v>
      </c>
      <c r="Y1916">
        <v>1.65</v>
      </c>
      <c r="Z1916">
        <v>2</v>
      </c>
      <c r="AA1916">
        <v>5</v>
      </c>
      <c r="AB1916" t="s">
        <v>116</v>
      </c>
      <c r="AC1916">
        <v>763200</v>
      </c>
      <c r="AD1916">
        <v>0.02</v>
      </c>
      <c r="AE1916" t="s">
        <v>116</v>
      </c>
      <c r="AF1916" t="s">
        <v>116</v>
      </c>
      <c r="AG1916">
        <v>1.57</v>
      </c>
      <c r="AH1916" t="s">
        <v>9565</v>
      </c>
      <c r="AI1916" t="s">
        <v>3354</v>
      </c>
      <c r="AJ1916">
        <v>-4.45</v>
      </c>
      <c r="AK1916">
        <v>2115</v>
      </c>
      <c r="AL1916">
        <v>12</v>
      </c>
      <c r="AM1916">
        <v>8.0000000000000004E-4</v>
      </c>
      <c r="AN1916">
        <v>-1</v>
      </c>
      <c r="AO1916">
        <v>2.5</v>
      </c>
      <c r="AP1916">
        <v>8.73</v>
      </c>
      <c r="AQ1916">
        <v>11.8</v>
      </c>
      <c r="AR1916">
        <v>15.02</v>
      </c>
      <c r="AS1916">
        <v>2.92</v>
      </c>
      <c r="AT1916" t="s">
        <v>5900</v>
      </c>
      <c r="AU1916">
        <v>141.79</v>
      </c>
      <c r="AV1916">
        <v>78.03</v>
      </c>
      <c r="AW1916">
        <v>0.96</v>
      </c>
      <c r="BA1916">
        <v>0.15</v>
      </c>
      <c r="BB1916">
        <v>0.15</v>
      </c>
      <c r="BC1916">
        <v>-5.67</v>
      </c>
      <c r="BD1916">
        <v>-2.9</v>
      </c>
      <c r="BE1916">
        <v>-5.27</v>
      </c>
      <c r="BF1916">
        <v>-5.27</v>
      </c>
      <c r="BG1916">
        <v>0.57999999999999996</v>
      </c>
      <c r="BH1916">
        <v>-2.23</v>
      </c>
      <c r="BI1916">
        <v>20191223</v>
      </c>
      <c r="BJ1916">
        <v>20160726</v>
      </c>
      <c r="BK1916">
        <v>2.33</v>
      </c>
      <c r="BL1916" t="s">
        <v>116</v>
      </c>
      <c r="BM1916" t="s">
        <v>116</v>
      </c>
      <c r="BN1916">
        <v>23.55</v>
      </c>
      <c r="BO1916">
        <v>14.27</v>
      </c>
      <c r="BP1916">
        <v>1.3</v>
      </c>
      <c r="BQ1916">
        <v>33.869999999999997</v>
      </c>
      <c r="BR1916">
        <v>19.07</v>
      </c>
      <c r="BS1916">
        <v>1.68</v>
      </c>
      <c r="BT1916">
        <v>1.1599999999999999</v>
      </c>
      <c r="BU1916">
        <v>7.03</v>
      </c>
      <c r="BV1916">
        <v>4.4800000000000004</v>
      </c>
      <c r="BW1916">
        <v>8.76</v>
      </c>
      <c r="BX1916">
        <v>7.66</v>
      </c>
      <c r="BY1916">
        <v>8.19</v>
      </c>
      <c r="BZ1916">
        <v>4.54</v>
      </c>
      <c r="CA1916">
        <v>0.52</v>
      </c>
      <c r="CB1916">
        <v>-0.02</v>
      </c>
      <c r="CC1916">
        <v>0.53</v>
      </c>
      <c r="CD1916">
        <v>0.4</v>
      </c>
      <c r="CE1916">
        <v>0.2</v>
      </c>
      <c r="CF1916">
        <v>0.12</v>
      </c>
      <c r="CG1916">
        <v>4.12</v>
      </c>
      <c r="CH1916">
        <v>-2.06</v>
      </c>
      <c r="CI1916">
        <v>-0.54</v>
      </c>
      <c r="CJ1916">
        <v>10513</v>
      </c>
      <c r="CK1916">
        <v>8181</v>
      </c>
      <c r="CL1916" t="s">
        <v>9566</v>
      </c>
      <c r="CM1916">
        <v>-75.36</v>
      </c>
      <c r="CN1916">
        <v>63.35</v>
      </c>
      <c r="CO1916">
        <v>7.41</v>
      </c>
      <c r="CP1916">
        <v>-51.43</v>
      </c>
      <c r="CQ1916">
        <v>12.92</v>
      </c>
      <c r="CR1916">
        <v>0.28999999999999998</v>
      </c>
      <c r="CS1916" t="s">
        <v>1469</v>
      </c>
      <c r="CT1916">
        <v>6.13</v>
      </c>
      <c r="CU1916">
        <v>0</v>
      </c>
      <c r="CV1916">
        <v>3.29</v>
      </c>
      <c r="CW1916">
        <v>1.77</v>
      </c>
      <c r="CX1916">
        <v>-0.88</v>
      </c>
      <c r="CY1916">
        <v>60.61</v>
      </c>
      <c r="CZ1916" t="s">
        <v>3608</v>
      </c>
      <c r="DA1916">
        <v>44.52</v>
      </c>
      <c r="DB1916">
        <v>6.36</v>
      </c>
      <c r="DC1916">
        <v>2.4300000000000002</v>
      </c>
      <c r="DD1916">
        <v>0.86</v>
      </c>
      <c r="DE1916">
        <v>1758</v>
      </c>
      <c r="DF1916">
        <v>300523</v>
      </c>
      <c r="DG1916" t="s">
        <v>116</v>
      </c>
      <c r="DH1916" t="s">
        <v>116</v>
      </c>
      <c r="DI1916" t="s">
        <v>116</v>
      </c>
    </row>
    <row r="1917" spans="1:113" x14ac:dyDescent="0.4">
      <c r="A1917" t="str">
        <f>"300525"</f>
        <v>300525</v>
      </c>
      <c r="B1917" t="s">
        <v>9567</v>
      </c>
      <c r="C1917">
        <v>-0.16</v>
      </c>
      <c r="D1917">
        <v>37</v>
      </c>
      <c r="E1917">
        <v>-0.06</v>
      </c>
      <c r="F1917">
        <v>37</v>
      </c>
      <c r="G1917">
        <v>37.01</v>
      </c>
      <c r="H1917">
        <v>34180</v>
      </c>
      <c r="I1917">
        <v>323</v>
      </c>
      <c r="J1917">
        <v>0.16</v>
      </c>
      <c r="K1917">
        <v>2.46</v>
      </c>
      <c r="L1917">
        <v>37.36</v>
      </c>
      <c r="M1917">
        <v>38.03</v>
      </c>
      <c r="N1917">
        <v>36.71</v>
      </c>
      <c r="O1917">
        <v>37.06</v>
      </c>
      <c r="P1917">
        <v>1409.78</v>
      </c>
      <c r="Q1917">
        <v>128085792</v>
      </c>
      <c r="R1917">
        <v>0.8</v>
      </c>
      <c r="S1917" t="s">
        <v>607</v>
      </c>
      <c r="T1917" t="s">
        <v>975</v>
      </c>
      <c r="U1917">
        <v>3.56</v>
      </c>
      <c r="V1917">
        <v>37.47</v>
      </c>
      <c r="W1917">
        <v>19242</v>
      </c>
      <c r="X1917">
        <v>14938</v>
      </c>
      <c r="Y1917">
        <v>1.29</v>
      </c>
      <c r="Z1917">
        <v>30</v>
      </c>
      <c r="AA1917">
        <v>27</v>
      </c>
      <c r="AB1917" t="s">
        <v>116</v>
      </c>
      <c r="AC1917">
        <v>1509300</v>
      </c>
      <c r="AD1917">
        <v>0.04</v>
      </c>
      <c r="AE1917" t="s">
        <v>116</v>
      </c>
      <c r="AF1917" t="s">
        <v>116</v>
      </c>
      <c r="AG1917">
        <v>1.39</v>
      </c>
      <c r="AH1917" t="s">
        <v>9568</v>
      </c>
      <c r="AI1917" t="s">
        <v>4218</v>
      </c>
      <c r="AJ1917">
        <v>0.52</v>
      </c>
      <c r="AK1917">
        <v>2195</v>
      </c>
      <c r="AL1917">
        <v>16</v>
      </c>
      <c r="AM1917">
        <v>1.1000000000000001E-3</v>
      </c>
      <c r="AN1917">
        <v>-3</v>
      </c>
      <c r="AO1917">
        <v>-3.1</v>
      </c>
      <c r="AP1917">
        <v>12.16</v>
      </c>
      <c r="AQ1917">
        <v>24.96</v>
      </c>
      <c r="AR1917">
        <v>135.77000000000001</v>
      </c>
      <c r="AS1917">
        <v>3.28</v>
      </c>
      <c r="AT1917" t="s">
        <v>9569</v>
      </c>
      <c r="AU1917">
        <v>90.26</v>
      </c>
      <c r="AV1917">
        <v>92.14</v>
      </c>
      <c r="AW1917">
        <v>1.04</v>
      </c>
      <c r="BA1917">
        <v>0.81</v>
      </c>
      <c r="BB1917">
        <v>2.62</v>
      </c>
      <c r="BC1917">
        <v>-0.94</v>
      </c>
      <c r="BD1917">
        <v>1.1200000000000001</v>
      </c>
      <c r="BE1917">
        <v>-0.96</v>
      </c>
      <c r="BF1917">
        <v>-2.71</v>
      </c>
      <c r="BG1917">
        <v>0.79</v>
      </c>
      <c r="BH1917">
        <v>-1.28</v>
      </c>
      <c r="BI1917">
        <v>20191030</v>
      </c>
      <c r="BJ1917">
        <v>20160726</v>
      </c>
      <c r="BK1917">
        <v>2.13</v>
      </c>
      <c r="BL1917" t="s">
        <v>116</v>
      </c>
      <c r="BM1917" t="s">
        <v>116</v>
      </c>
      <c r="BN1917">
        <v>14.89</v>
      </c>
      <c r="BO1917">
        <v>10.63</v>
      </c>
      <c r="BP1917">
        <v>0.66</v>
      </c>
      <c r="BQ1917">
        <v>24.15</v>
      </c>
      <c r="BR1917">
        <v>9.7200000000000006</v>
      </c>
      <c r="BS1917">
        <v>1.45</v>
      </c>
      <c r="BT1917">
        <v>0.34</v>
      </c>
      <c r="BU1917">
        <v>2.62</v>
      </c>
      <c r="BV1917">
        <v>0.57999999999999996</v>
      </c>
      <c r="BW1917">
        <v>3</v>
      </c>
      <c r="BX1917">
        <v>6.27</v>
      </c>
      <c r="BY1917">
        <v>3.92</v>
      </c>
      <c r="BZ1917">
        <v>1.36</v>
      </c>
      <c r="CA1917">
        <v>0.1</v>
      </c>
      <c r="CB1917">
        <v>-0.02</v>
      </c>
      <c r="CC1917">
        <v>0.1</v>
      </c>
      <c r="CD1917">
        <v>0.04</v>
      </c>
      <c r="CE1917">
        <v>0.04</v>
      </c>
      <c r="CF1917">
        <v>0</v>
      </c>
      <c r="CG1917">
        <v>2.39</v>
      </c>
      <c r="CH1917">
        <v>-1.66</v>
      </c>
      <c r="CI1917">
        <v>2.92</v>
      </c>
      <c r="CJ1917">
        <v>10993</v>
      </c>
      <c r="CK1917">
        <v>9471</v>
      </c>
      <c r="CL1917" t="s">
        <v>9570</v>
      </c>
      <c r="CM1917">
        <v>74.239999999999995</v>
      </c>
      <c r="CN1917">
        <v>73.05</v>
      </c>
      <c r="CO1917">
        <v>7.4</v>
      </c>
      <c r="CP1917">
        <v>-47.34</v>
      </c>
      <c r="CQ1917">
        <v>20.079999999999998</v>
      </c>
      <c r="CR1917">
        <v>0.33</v>
      </c>
      <c r="CS1917" t="s">
        <v>3929</v>
      </c>
      <c r="CT1917">
        <v>5</v>
      </c>
      <c r="CU1917">
        <v>5</v>
      </c>
      <c r="CV1917">
        <v>2.95</v>
      </c>
      <c r="CW1917">
        <v>1.1200000000000001</v>
      </c>
      <c r="CX1917">
        <v>-0.78</v>
      </c>
      <c r="CY1917">
        <v>71.430000000000007</v>
      </c>
      <c r="CZ1917" t="s">
        <v>3944</v>
      </c>
      <c r="DA1917">
        <v>65.36</v>
      </c>
      <c r="DB1917">
        <v>2.66</v>
      </c>
      <c r="DC1917">
        <v>1.07</v>
      </c>
      <c r="DD1917">
        <v>0.81</v>
      </c>
      <c r="DE1917">
        <v>2111</v>
      </c>
      <c r="DF1917">
        <v>300525</v>
      </c>
      <c r="DG1917" t="s">
        <v>116</v>
      </c>
      <c r="DH1917" t="s">
        <v>116</v>
      </c>
      <c r="DI1917" t="s">
        <v>116</v>
      </c>
    </row>
    <row r="1918" spans="1:113" x14ac:dyDescent="0.4">
      <c r="A1918" t="str">
        <f>"300526"</f>
        <v>300526</v>
      </c>
      <c r="B1918" t="s">
        <v>9571</v>
      </c>
      <c r="C1918">
        <v>-1.36</v>
      </c>
      <c r="D1918">
        <v>52.03</v>
      </c>
      <c r="E1918">
        <v>-0.72</v>
      </c>
      <c r="F1918">
        <v>52.01</v>
      </c>
      <c r="G1918">
        <v>52.03</v>
      </c>
      <c r="H1918">
        <v>5047</v>
      </c>
      <c r="I1918">
        <v>75</v>
      </c>
      <c r="J1918">
        <v>-0.87</v>
      </c>
      <c r="K1918">
        <v>0.3</v>
      </c>
      <c r="L1918">
        <v>53.3</v>
      </c>
      <c r="M1918">
        <v>53.3</v>
      </c>
      <c r="N1918">
        <v>51</v>
      </c>
      <c r="O1918">
        <v>52.75</v>
      </c>
      <c r="P1918">
        <v>322.89999999999998</v>
      </c>
      <c r="Q1918">
        <v>26451486</v>
      </c>
      <c r="R1918">
        <v>0.68</v>
      </c>
      <c r="S1918" t="s">
        <v>3070</v>
      </c>
      <c r="T1918" t="s">
        <v>551</v>
      </c>
      <c r="U1918">
        <v>4.3600000000000003</v>
      </c>
      <c r="V1918">
        <v>52.42</v>
      </c>
      <c r="W1918">
        <v>2733</v>
      </c>
      <c r="X1918">
        <v>2314</v>
      </c>
      <c r="Y1918">
        <v>1.18</v>
      </c>
      <c r="Z1918">
        <v>1</v>
      </c>
      <c r="AA1918">
        <v>4</v>
      </c>
      <c r="AB1918" t="s">
        <v>116</v>
      </c>
      <c r="AC1918">
        <v>90600</v>
      </c>
      <c r="AD1918">
        <v>0</v>
      </c>
      <c r="AE1918" t="s">
        <v>116</v>
      </c>
      <c r="AF1918" t="s">
        <v>116</v>
      </c>
      <c r="AG1918">
        <v>1.7</v>
      </c>
      <c r="AH1918" t="s">
        <v>4816</v>
      </c>
      <c r="AI1918" t="s">
        <v>9572</v>
      </c>
      <c r="AJ1918">
        <v>-0.69</v>
      </c>
      <c r="AK1918">
        <v>986</v>
      </c>
      <c r="AL1918">
        <v>5</v>
      </c>
      <c r="AM1918">
        <v>2.9999999999999997E-4</v>
      </c>
      <c r="AN1918">
        <v>-3</v>
      </c>
      <c r="AO1918">
        <v>-1.5</v>
      </c>
      <c r="AP1918">
        <v>22.22</v>
      </c>
      <c r="AQ1918">
        <v>-1.83</v>
      </c>
      <c r="AR1918">
        <v>365.39</v>
      </c>
      <c r="AS1918">
        <v>0.87</v>
      </c>
      <c r="AT1918" t="s">
        <v>9573</v>
      </c>
      <c r="AU1918">
        <v>390.46</v>
      </c>
      <c r="AV1918">
        <v>391.19</v>
      </c>
      <c r="AW1918">
        <v>1.19</v>
      </c>
      <c r="BA1918">
        <v>1.04</v>
      </c>
      <c r="BB1918">
        <v>1.04</v>
      </c>
      <c r="BC1918">
        <v>-3.32</v>
      </c>
      <c r="BD1918">
        <v>-0.63</v>
      </c>
      <c r="BE1918">
        <v>-2.38</v>
      </c>
      <c r="BF1918">
        <v>-2.38</v>
      </c>
      <c r="BG1918">
        <v>2.02</v>
      </c>
      <c r="BH1918">
        <v>-0.73</v>
      </c>
      <c r="BI1918">
        <v>20191206</v>
      </c>
      <c r="BJ1918">
        <v>20160802</v>
      </c>
      <c r="BK1918">
        <v>1.71</v>
      </c>
      <c r="BL1918" t="s">
        <v>116</v>
      </c>
      <c r="BM1918" t="s">
        <v>116</v>
      </c>
      <c r="BN1918">
        <v>10.43</v>
      </c>
      <c r="BO1918">
        <v>5.64</v>
      </c>
      <c r="BP1918">
        <v>0</v>
      </c>
      <c r="BQ1918">
        <v>45.89</v>
      </c>
      <c r="BR1918">
        <v>2.87</v>
      </c>
      <c r="BS1918">
        <v>2.48</v>
      </c>
      <c r="BT1918">
        <v>1.65</v>
      </c>
      <c r="BU1918">
        <v>3.58</v>
      </c>
      <c r="BV1918">
        <v>1.24</v>
      </c>
      <c r="BW1918">
        <v>0.97</v>
      </c>
      <c r="BX1918">
        <v>1.03</v>
      </c>
      <c r="BY1918">
        <v>3.44</v>
      </c>
      <c r="BZ1918">
        <v>2.34</v>
      </c>
      <c r="CA1918">
        <v>0.25</v>
      </c>
      <c r="CB1918">
        <v>0</v>
      </c>
      <c r="CC1918">
        <v>0.25</v>
      </c>
      <c r="CD1918">
        <v>0.21</v>
      </c>
      <c r="CE1918">
        <v>0.21</v>
      </c>
      <c r="CF1918">
        <v>0.2</v>
      </c>
      <c r="CG1918">
        <v>2.68</v>
      </c>
      <c r="CH1918">
        <v>0.39</v>
      </c>
      <c r="CI1918">
        <v>0.1</v>
      </c>
      <c r="CJ1918">
        <v>5467</v>
      </c>
      <c r="CK1918">
        <v>10619</v>
      </c>
      <c r="CL1918" t="s">
        <v>9574</v>
      </c>
      <c r="CM1918">
        <v>0.2</v>
      </c>
      <c r="CN1918">
        <v>15.03</v>
      </c>
      <c r="CO1918">
        <v>15.73</v>
      </c>
      <c r="CP1918">
        <v>228.25</v>
      </c>
      <c r="CQ1918">
        <v>25.83</v>
      </c>
      <c r="CR1918">
        <v>0.06</v>
      </c>
      <c r="CS1918" t="s">
        <v>6965</v>
      </c>
      <c r="CT1918">
        <v>3.31</v>
      </c>
      <c r="CU1918">
        <v>0</v>
      </c>
      <c r="CV1918">
        <v>0.6</v>
      </c>
      <c r="CW1918">
        <v>1.57</v>
      </c>
      <c r="CX1918">
        <v>0.23</v>
      </c>
      <c r="CY1918">
        <v>54.11</v>
      </c>
      <c r="CZ1918" t="s">
        <v>5753</v>
      </c>
      <c r="DA1918">
        <v>31.94</v>
      </c>
      <c r="DB1918">
        <v>7.42</v>
      </c>
      <c r="DC1918">
        <v>6</v>
      </c>
      <c r="DD1918">
        <v>0.22</v>
      </c>
      <c r="DE1918">
        <v>1376</v>
      </c>
      <c r="DF1918">
        <v>300526</v>
      </c>
      <c r="DG1918" t="s">
        <v>116</v>
      </c>
      <c r="DH1918" t="s">
        <v>116</v>
      </c>
      <c r="DI1918" t="s">
        <v>116</v>
      </c>
    </row>
    <row r="1919" spans="1:113" x14ac:dyDescent="0.4">
      <c r="A1919" t="str">
        <f>"300527"</f>
        <v>300527</v>
      </c>
      <c r="B1919" t="s">
        <v>9575</v>
      </c>
      <c r="C1919">
        <v>-0.73</v>
      </c>
      <c r="D1919">
        <v>10.9</v>
      </c>
      <c r="E1919">
        <v>-0.08</v>
      </c>
      <c r="F1919">
        <v>10.9</v>
      </c>
      <c r="G1919">
        <v>10.91</v>
      </c>
      <c r="H1919">
        <v>59101</v>
      </c>
      <c r="I1919">
        <v>1000</v>
      </c>
      <c r="J1919">
        <v>-0.26</v>
      </c>
      <c r="K1919">
        <v>0.65</v>
      </c>
      <c r="L1919">
        <v>10.98</v>
      </c>
      <c r="M1919">
        <v>11.09</v>
      </c>
      <c r="N1919">
        <v>10.9</v>
      </c>
      <c r="O1919">
        <v>10.98</v>
      </c>
      <c r="P1919">
        <v>70.959999999999994</v>
      </c>
      <c r="Q1919">
        <v>64953380</v>
      </c>
      <c r="R1919">
        <v>1</v>
      </c>
      <c r="S1919" t="s">
        <v>682</v>
      </c>
      <c r="T1919" t="s">
        <v>774</v>
      </c>
      <c r="U1919">
        <v>1.73</v>
      </c>
      <c r="V1919">
        <v>10.99</v>
      </c>
      <c r="W1919">
        <v>35732</v>
      </c>
      <c r="X1919">
        <v>23369</v>
      </c>
      <c r="Y1919">
        <v>1.53</v>
      </c>
      <c r="Z1919">
        <v>1475</v>
      </c>
      <c r="AA1919">
        <v>496</v>
      </c>
      <c r="AB1919" t="s">
        <v>116</v>
      </c>
      <c r="AC1919">
        <v>59300</v>
      </c>
      <c r="AD1919">
        <v>0</v>
      </c>
      <c r="AE1919" t="s">
        <v>116</v>
      </c>
      <c r="AF1919" t="s">
        <v>116</v>
      </c>
      <c r="AG1919">
        <v>9.14</v>
      </c>
      <c r="AH1919" t="s">
        <v>9576</v>
      </c>
      <c r="AI1919" t="s">
        <v>9576</v>
      </c>
      <c r="AJ1919">
        <v>-0.05</v>
      </c>
      <c r="AK1919">
        <v>1582</v>
      </c>
      <c r="AL1919">
        <v>37</v>
      </c>
      <c r="AM1919">
        <v>4.0000000000000002E-4</v>
      </c>
      <c r="AN1919">
        <v>-1</v>
      </c>
      <c r="AO1919">
        <v>-1</v>
      </c>
      <c r="AP1919">
        <v>-4.8</v>
      </c>
      <c r="AQ1919">
        <v>-12.87</v>
      </c>
      <c r="AR1919">
        <v>74.17</v>
      </c>
      <c r="AS1919">
        <v>1.7</v>
      </c>
      <c r="AT1919" t="s">
        <v>9577</v>
      </c>
      <c r="AU1919">
        <v>54.42</v>
      </c>
      <c r="AV1919">
        <v>44.56</v>
      </c>
      <c r="AW1919">
        <v>0.72</v>
      </c>
      <c r="BA1919">
        <v>0</v>
      </c>
      <c r="BB1919">
        <v>1</v>
      </c>
      <c r="BC1919">
        <v>-0.73</v>
      </c>
      <c r="BD1919">
        <v>0.09</v>
      </c>
      <c r="BE1919">
        <v>-0.73</v>
      </c>
      <c r="BF1919">
        <v>-1.71</v>
      </c>
      <c r="BG1919">
        <v>0</v>
      </c>
      <c r="BH1919">
        <v>-0.82</v>
      </c>
      <c r="BI1919">
        <v>20191106</v>
      </c>
      <c r="BJ1919">
        <v>20160805</v>
      </c>
      <c r="BK1919">
        <v>9.14</v>
      </c>
      <c r="BL1919" t="s">
        <v>116</v>
      </c>
      <c r="BM1919" t="s">
        <v>116</v>
      </c>
      <c r="BN1919">
        <v>39.74</v>
      </c>
      <c r="BO1919">
        <v>20.74</v>
      </c>
      <c r="BP1919">
        <v>0.99</v>
      </c>
      <c r="BQ1919">
        <v>45.29</v>
      </c>
      <c r="BR1919">
        <v>29.47</v>
      </c>
      <c r="BS1919">
        <v>6.37</v>
      </c>
      <c r="BT1919">
        <v>1.99</v>
      </c>
      <c r="BU1919">
        <v>17.43</v>
      </c>
      <c r="BV1919">
        <v>8.7100000000000009</v>
      </c>
      <c r="BW1919">
        <v>9.67</v>
      </c>
      <c r="BX1919">
        <v>3.61</v>
      </c>
      <c r="BY1919">
        <v>16.73</v>
      </c>
      <c r="BZ1919">
        <v>13.32</v>
      </c>
      <c r="CA1919">
        <v>1.25</v>
      </c>
      <c r="CB1919">
        <v>0</v>
      </c>
      <c r="CC1919">
        <v>1.25</v>
      </c>
      <c r="CD1919">
        <v>1.1399999999999999</v>
      </c>
      <c r="CE1919">
        <v>1.05</v>
      </c>
      <c r="CF1919">
        <v>0.98</v>
      </c>
      <c r="CG1919">
        <v>7.52</v>
      </c>
      <c r="CH1919">
        <v>-0.81</v>
      </c>
      <c r="CI1919">
        <v>-8.6300000000000008</v>
      </c>
      <c r="CJ1919">
        <v>59696</v>
      </c>
      <c r="CK1919">
        <v>5838</v>
      </c>
      <c r="CL1919" t="s">
        <v>2423</v>
      </c>
      <c r="CM1919">
        <v>-27.8</v>
      </c>
      <c r="CN1919">
        <v>12.39</v>
      </c>
      <c r="CO1919">
        <v>4.57</v>
      </c>
      <c r="CP1919">
        <v>-122.99</v>
      </c>
      <c r="CQ1919">
        <v>5.95</v>
      </c>
      <c r="CR1919">
        <v>0.24</v>
      </c>
      <c r="CS1919" t="s">
        <v>505</v>
      </c>
      <c r="CT1919">
        <v>2.38</v>
      </c>
      <c r="CU1919">
        <v>2.38</v>
      </c>
      <c r="CV1919">
        <v>0.39</v>
      </c>
      <c r="CW1919">
        <v>0.82</v>
      </c>
      <c r="CX1919">
        <v>-0.09</v>
      </c>
      <c r="CY1919">
        <v>52.21</v>
      </c>
      <c r="CZ1919" t="s">
        <v>5141</v>
      </c>
      <c r="DA1919">
        <v>20.38</v>
      </c>
      <c r="DB1919">
        <v>7.48</v>
      </c>
      <c r="DC1919">
        <v>6.29</v>
      </c>
      <c r="DD1919">
        <v>1</v>
      </c>
      <c r="DE1919">
        <v>1555</v>
      </c>
      <c r="DF1919">
        <v>300527</v>
      </c>
      <c r="DG1919" t="s">
        <v>116</v>
      </c>
      <c r="DH1919" t="s">
        <v>116</v>
      </c>
      <c r="DI1919" t="s">
        <v>116</v>
      </c>
    </row>
    <row r="1920" spans="1:113" x14ac:dyDescent="0.4">
      <c r="A1920" t="str">
        <f>"300528"</f>
        <v>300528</v>
      </c>
      <c r="B1920" t="s">
        <v>9578</v>
      </c>
      <c r="C1920">
        <v>-0.88</v>
      </c>
      <c r="D1920">
        <v>6.77</v>
      </c>
      <c r="E1920">
        <v>-0.06</v>
      </c>
      <c r="F1920">
        <v>6.77</v>
      </c>
      <c r="G1920">
        <v>6.78</v>
      </c>
      <c r="H1920">
        <v>32200</v>
      </c>
      <c r="I1920">
        <v>511</v>
      </c>
      <c r="J1920">
        <v>-0.14000000000000001</v>
      </c>
      <c r="K1920">
        <v>1.49</v>
      </c>
      <c r="L1920">
        <v>6.83</v>
      </c>
      <c r="M1920">
        <v>6.97</v>
      </c>
      <c r="N1920">
        <v>6.77</v>
      </c>
      <c r="O1920">
        <v>6.83</v>
      </c>
      <c r="P1920" t="s">
        <v>116</v>
      </c>
      <c r="Q1920">
        <v>22082396</v>
      </c>
      <c r="R1920">
        <v>0.96</v>
      </c>
      <c r="S1920" t="s">
        <v>589</v>
      </c>
      <c r="T1920" t="s">
        <v>323</v>
      </c>
      <c r="U1920">
        <v>2.93</v>
      </c>
      <c r="V1920">
        <v>6.86</v>
      </c>
      <c r="W1920">
        <v>18155</v>
      </c>
      <c r="X1920">
        <v>14045</v>
      </c>
      <c r="Y1920">
        <v>1.29</v>
      </c>
      <c r="Z1920">
        <v>42</v>
      </c>
      <c r="AA1920">
        <v>101</v>
      </c>
      <c r="AB1920" t="s">
        <v>116</v>
      </c>
      <c r="AC1920">
        <v>75800</v>
      </c>
      <c r="AD1920">
        <v>0.01</v>
      </c>
      <c r="AE1920" t="s">
        <v>116</v>
      </c>
      <c r="AF1920" t="s">
        <v>116</v>
      </c>
      <c r="AG1920">
        <v>2.16</v>
      </c>
      <c r="AH1920" t="s">
        <v>9579</v>
      </c>
      <c r="AI1920" t="s">
        <v>8204</v>
      </c>
      <c r="AJ1920">
        <v>-0.2</v>
      </c>
      <c r="AK1920">
        <v>830</v>
      </c>
      <c r="AL1920">
        <v>39</v>
      </c>
      <c r="AM1920">
        <v>1.8E-3</v>
      </c>
      <c r="AN1920">
        <v>-1</v>
      </c>
      <c r="AO1920">
        <v>0.45</v>
      </c>
      <c r="AP1920">
        <v>9.9</v>
      </c>
      <c r="AQ1920">
        <v>-17.54</v>
      </c>
      <c r="AR1920">
        <v>-19.399999999999999</v>
      </c>
      <c r="AS1920">
        <v>2.2799999999999998</v>
      </c>
      <c r="AT1920" t="s">
        <v>963</v>
      </c>
      <c r="AU1920" t="s">
        <v>116</v>
      </c>
      <c r="AV1920" t="s">
        <v>116</v>
      </c>
      <c r="AW1920">
        <v>1.1299999999999999</v>
      </c>
      <c r="BA1920">
        <v>0</v>
      </c>
      <c r="BB1920">
        <v>2.0499999999999998</v>
      </c>
      <c r="BC1920">
        <v>-0.88</v>
      </c>
      <c r="BD1920">
        <v>0.41</v>
      </c>
      <c r="BE1920">
        <v>-0.88</v>
      </c>
      <c r="BF1920">
        <v>-2.87</v>
      </c>
      <c r="BG1920">
        <v>0</v>
      </c>
      <c r="BH1920">
        <v>-1.29</v>
      </c>
      <c r="BI1920">
        <v>20191226</v>
      </c>
      <c r="BJ1920">
        <v>20160808</v>
      </c>
      <c r="BK1920">
        <v>3.73</v>
      </c>
      <c r="BL1920" t="s">
        <v>116</v>
      </c>
      <c r="BM1920" t="s">
        <v>116</v>
      </c>
      <c r="BN1920">
        <v>24</v>
      </c>
      <c r="BO1920">
        <v>13.22</v>
      </c>
      <c r="BP1920">
        <v>-0.26</v>
      </c>
      <c r="BQ1920">
        <v>46</v>
      </c>
      <c r="BR1920">
        <v>17.350000000000001</v>
      </c>
      <c r="BS1920">
        <v>3.34</v>
      </c>
      <c r="BT1920">
        <v>0.28000000000000003</v>
      </c>
      <c r="BU1920">
        <v>10.79</v>
      </c>
      <c r="BV1920">
        <v>4.67</v>
      </c>
      <c r="BW1920">
        <v>1.82</v>
      </c>
      <c r="BX1920">
        <v>8.6</v>
      </c>
      <c r="BY1920">
        <v>14.01</v>
      </c>
      <c r="BZ1920">
        <v>9.18</v>
      </c>
      <c r="CA1920">
        <v>-0.48</v>
      </c>
      <c r="CB1920">
        <v>0.06</v>
      </c>
      <c r="CC1920">
        <v>-0.52</v>
      </c>
      <c r="CD1920">
        <v>-0.53</v>
      </c>
      <c r="CE1920">
        <v>-0.36</v>
      </c>
      <c r="CF1920">
        <v>-0.45</v>
      </c>
      <c r="CG1920">
        <v>0.51</v>
      </c>
      <c r="CH1920">
        <v>1.49</v>
      </c>
      <c r="CI1920">
        <v>0.88</v>
      </c>
      <c r="CJ1920">
        <v>28210</v>
      </c>
      <c r="CK1920">
        <v>5015</v>
      </c>
      <c r="CL1920" t="s">
        <v>1321</v>
      </c>
      <c r="CM1920">
        <v>-134.22</v>
      </c>
      <c r="CN1920">
        <v>2.66</v>
      </c>
      <c r="CO1920">
        <v>1.91</v>
      </c>
      <c r="CP1920">
        <v>16.920000000000002</v>
      </c>
      <c r="CQ1920">
        <v>1.8</v>
      </c>
      <c r="CR1920">
        <v>0</v>
      </c>
      <c r="CS1920" t="s">
        <v>4498</v>
      </c>
      <c r="CT1920">
        <v>3.55</v>
      </c>
      <c r="CU1920">
        <v>0</v>
      </c>
      <c r="CV1920">
        <v>2.31</v>
      </c>
      <c r="CW1920">
        <v>0.14000000000000001</v>
      </c>
      <c r="CX1920">
        <v>0.4</v>
      </c>
      <c r="CY1920">
        <v>55.09</v>
      </c>
      <c r="CZ1920" t="s">
        <v>9580</v>
      </c>
      <c r="DA1920">
        <v>34.51</v>
      </c>
      <c r="DB1920">
        <v>-3.43</v>
      </c>
      <c r="DC1920">
        <v>-2.5299999999999998</v>
      </c>
      <c r="DD1920">
        <v>0</v>
      </c>
      <c r="DE1920">
        <v>1641</v>
      </c>
      <c r="DF1920">
        <v>300528</v>
      </c>
      <c r="DG1920" t="s">
        <v>116</v>
      </c>
      <c r="DH1920" t="s">
        <v>116</v>
      </c>
      <c r="DI1920" t="s">
        <v>116</v>
      </c>
    </row>
    <row r="1921" spans="1:113" x14ac:dyDescent="0.4">
      <c r="A1921" t="str">
        <f>"300529"</f>
        <v>300529</v>
      </c>
      <c r="B1921" t="s">
        <v>9581</v>
      </c>
      <c r="C1921">
        <v>1.05</v>
      </c>
      <c r="D1921">
        <v>69.319999999999993</v>
      </c>
      <c r="E1921">
        <v>0.72</v>
      </c>
      <c r="F1921">
        <v>69.22</v>
      </c>
      <c r="G1921">
        <v>69.319999999999993</v>
      </c>
      <c r="H1921">
        <v>24743</v>
      </c>
      <c r="I1921">
        <v>280</v>
      </c>
      <c r="J1921">
        <v>0.36</v>
      </c>
      <c r="K1921">
        <v>1.08</v>
      </c>
      <c r="L1921">
        <v>68.75</v>
      </c>
      <c r="M1921">
        <v>71.180000000000007</v>
      </c>
      <c r="N1921">
        <v>68.75</v>
      </c>
      <c r="O1921">
        <v>68.599999999999994</v>
      </c>
      <c r="P1921">
        <v>52.08</v>
      </c>
      <c r="Q1921">
        <v>172583680</v>
      </c>
      <c r="R1921">
        <v>1.06</v>
      </c>
      <c r="S1921" t="s">
        <v>559</v>
      </c>
      <c r="T1921" t="s">
        <v>551</v>
      </c>
      <c r="U1921">
        <v>3.54</v>
      </c>
      <c r="V1921">
        <v>69.75</v>
      </c>
      <c r="W1921">
        <v>12767</v>
      </c>
      <c r="X1921">
        <v>11976</v>
      </c>
      <c r="Y1921">
        <v>1.07</v>
      </c>
      <c r="Z1921">
        <v>50</v>
      </c>
      <c r="AA1921">
        <v>19</v>
      </c>
      <c r="AB1921" t="s">
        <v>116</v>
      </c>
      <c r="AC1921">
        <v>385000</v>
      </c>
      <c r="AD1921">
        <v>0</v>
      </c>
      <c r="AE1921" t="s">
        <v>116</v>
      </c>
      <c r="AF1921" t="s">
        <v>116</v>
      </c>
      <c r="AG1921">
        <v>2.2999999999999998</v>
      </c>
      <c r="AH1921" t="s">
        <v>9582</v>
      </c>
      <c r="AI1921" t="s">
        <v>9583</v>
      </c>
      <c r="AJ1921">
        <v>1.73</v>
      </c>
      <c r="AK1921">
        <v>2310</v>
      </c>
      <c r="AL1921">
        <v>11</v>
      </c>
      <c r="AM1921">
        <v>5.0000000000000001E-4</v>
      </c>
      <c r="AN1921">
        <v>1</v>
      </c>
      <c r="AO1921">
        <v>0.27</v>
      </c>
      <c r="AP1921">
        <v>-1.08</v>
      </c>
      <c r="AQ1921">
        <v>-6.63</v>
      </c>
      <c r="AR1921">
        <v>69.489999999999995</v>
      </c>
      <c r="AS1921">
        <v>1.44</v>
      </c>
      <c r="AT1921" t="s">
        <v>9584</v>
      </c>
      <c r="AU1921">
        <v>56.46</v>
      </c>
      <c r="AV1921">
        <v>72.2</v>
      </c>
      <c r="AW1921">
        <v>1.49</v>
      </c>
      <c r="BA1921">
        <v>0.22</v>
      </c>
      <c r="BB1921">
        <v>3.76</v>
      </c>
      <c r="BC1921">
        <v>0.22</v>
      </c>
      <c r="BD1921">
        <v>1.68</v>
      </c>
      <c r="BE1921">
        <v>0.83</v>
      </c>
      <c r="BF1921">
        <v>-2.61</v>
      </c>
      <c r="BG1921">
        <v>0.83</v>
      </c>
      <c r="BH1921">
        <v>-0.63</v>
      </c>
      <c r="BI1921">
        <v>20191030</v>
      </c>
      <c r="BJ1921">
        <v>20160802</v>
      </c>
      <c r="BK1921">
        <v>4.1900000000000004</v>
      </c>
      <c r="BL1921" t="s">
        <v>116</v>
      </c>
      <c r="BM1921" t="s">
        <v>116</v>
      </c>
      <c r="BN1921">
        <v>23.15</v>
      </c>
      <c r="BO1921">
        <v>19.739999999999998</v>
      </c>
      <c r="BP1921">
        <v>0.28999999999999998</v>
      </c>
      <c r="BQ1921">
        <v>13.49</v>
      </c>
      <c r="BR1921">
        <v>13.95</v>
      </c>
      <c r="BS1921">
        <v>4.6500000000000004</v>
      </c>
      <c r="BT1921">
        <v>0.48</v>
      </c>
      <c r="BU1921">
        <v>2.57</v>
      </c>
      <c r="BV1921">
        <v>0.85</v>
      </c>
      <c r="BW1921">
        <v>1.31</v>
      </c>
      <c r="BX1921">
        <v>6</v>
      </c>
      <c r="BY1921">
        <v>9.7100000000000009</v>
      </c>
      <c r="BZ1921">
        <v>1.36</v>
      </c>
      <c r="CA1921">
        <v>4.96</v>
      </c>
      <c r="CB1921">
        <v>0.2</v>
      </c>
      <c r="CC1921">
        <v>4.93</v>
      </c>
      <c r="CD1921">
        <v>4.17</v>
      </c>
      <c r="CE1921">
        <v>4.18</v>
      </c>
      <c r="CF1921">
        <v>3.81</v>
      </c>
      <c r="CG1921">
        <v>8.64</v>
      </c>
      <c r="CH1921">
        <v>3.82</v>
      </c>
      <c r="CI1921">
        <v>-9.48</v>
      </c>
      <c r="CJ1921">
        <v>11336</v>
      </c>
      <c r="CK1921">
        <v>15116</v>
      </c>
      <c r="CL1921" t="s">
        <v>9585</v>
      </c>
      <c r="CM1921">
        <v>36.619999999999997</v>
      </c>
      <c r="CN1921">
        <v>39.130000000000003</v>
      </c>
      <c r="CO1921">
        <v>14.71</v>
      </c>
      <c r="CP1921">
        <v>76.05</v>
      </c>
      <c r="CQ1921">
        <v>29.88</v>
      </c>
      <c r="CR1921">
        <v>0.86</v>
      </c>
      <c r="CS1921" t="s">
        <v>7073</v>
      </c>
      <c r="CT1921">
        <v>4.71</v>
      </c>
      <c r="CU1921">
        <v>4.71</v>
      </c>
      <c r="CV1921">
        <v>1.43</v>
      </c>
      <c r="CW1921">
        <v>2.06</v>
      </c>
      <c r="CX1921">
        <v>0.91</v>
      </c>
      <c r="CY1921">
        <v>85.25</v>
      </c>
      <c r="CZ1921" t="s">
        <v>9586</v>
      </c>
      <c r="DA1921">
        <v>85.97</v>
      </c>
      <c r="DB1921">
        <v>51.12</v>
      </c>
      <c r="DC1921">
        <v>43.03</v>
      </c>
      <c r="DD1921">
        <v>0.47</v>
      </c>
      <c r="DE1921">
        <v>1561</v>
      </c>
      <c r="DF1921">
        <v>300529</v>
      </c>
      <c r="DG1921" t="s">
        <v>116</v>
      </c>
      <c r="DH1921" t="s">
        <v>116</v>
      </c>
      <c r="DI1921" t="s">
        <v>116</v>
      </c>
    </row>
    <row r="1922" spans="1:113" x14ac:dyDescent="0.4">
      <c r="A1922" t="str">
        <f>"300530"</f>
        <v>300530</v>
      </c>
      <c r="B1922" t="s">
        <v>9587</v>
      </c>
      <c r="C1922">
        <v>1.18</v>
      </c>
      <c r="D1922">
        <v>34.299999999999997</v>
      </c>
      <c r="E1922">
        <v>0.4</v>
      </c>
      <c r="F1922">
        <v>34.299999999999997</v>
      </c>
      <c r="G1922">
        <v>34.32</v>
      </c>
      <c r="H1922">
        <v>15614</v>
      </c>
      <c r="I1922">
        <v>440</v>
      </c>
      <c r="J1922">
        <v>-0.43</v>
      </c>
      <c r="K1922">
        <v>3.01</v>
      </c>
      <c r="L1922">
        <v>33.76</v>
      </c>
      <c r="M1922">
        <v>35.1</v>
      </c>
      <c r="N1922">
        <v>33.35</v>
      </c>
      <c r="O1922">
        <v>33.9</v>
      </c>
      <c r="P1922">
        <v>111.42</v>
      </c>
      <c r="Q1922">
        <v>53638784</v>
      </c>
      <c r="R1922">
        <v>1.33</v>
      </c>
      <c r="S1922" t="s">
        <v>891</v>
      </c>
      <c r="T1922" t="s">
        <v>551</v>
      </c>
      <c r="U1922">
        <v>5.16</v>
      </c>
      <c r="V1922">
        <v>34.35</v>
      </c>
      <c r="W1922">
        <v>7971</v>
      </c>
      <c r="X1922">
        <v>7643</v>
      </c>
      <c r="Y1922">
        <v>1.04</v>
      </c>
      <c r="Z1922">
        <v>5</v>
      </c>
      <c r="AA1922">
        <v>1</v>
      </c>
      <c r="AB1922" t="s">
        <v>116</v>
      </c>
      <c r="AC1922">
        <v>287000</v>
      </c>
      <c r="AD1922">
        <v>0.03</v>
      </c>
      <c r="AE1922" t="s">
        <v>116</v>
      </c>
      <c r="AF1922" t="s">
        <v>116</v>
      </c>
      <c r="AG1922">
        <v>0.52</v>
      </c>
      <c r="AH1922" t="s">
        <v>9588</v>
      </c>
      <c r="AI1922" t="s">
        <v>4877</v>
      </c>
      <c r="AJ1922">
        <v>1.86</v>
      </c>
      <c r="AK1922">
        <v>1094</v>
      </c>
      <c r="AL1922">
        <v>14</v>
      </c>
      <c r="AM1922">
        <v>2.8E-3</v>
      </c>
      <c r="AN1922">
        <v>1</v>
      </c>
      <c r="AO1922">
        <v>0.06</v>
      </c>
      <c r="AP1922">
        <v>17.75</v>
      </c>
      <c r="AQ1922">
        <v>9.5500000000000007</v>
      </c>
      <c r="AR1922">
        <v>68.63</v>
      </c>
      <c r="AS1922">
        <v>4.88</v>
      </c>
      <c r="AT1922" t="s">
        <v>8872</v>
      </c>
      <c r="AU1922">
        <v>101.09</v>
      </c>
      <c r="AV1922">
        <v>65.650000000000006</v>
      </c>
      <c r="AW1922">
        <v>0.32</v>
      </c>
      <c r="BA1922">
        <v>-0.41</v>
      </c>
      <c r="BB1922">
        <v>3.54</v>
      </c>
      <c r="BC1922">
        <v>-1.62</v>
      </c>
      <c r="BD1922">
        <v>1.33</v>
      </c>
      <c r="BE1922">
        <v>1.6</v>
      </c>
      <c r="BF1922">
        <v>-2.2799999999999998</v>
      </c>
      <c r="BG1922">
        <v>2.85</v>
      </c>
      <c r="BH1922">
        <v>-0.15</v>
      </c>
      <c r="BI1922">
        <v>20191226</v>
      </c>
      <c r="BJ1922">
        <v>20160809</v>
      </c>
      <c r="BK1922">
        <v>1.06</v>
      </c>
      <c r="BL1922" t="s">
        <v>116</v>
      </c>
      <c r="BM1922" t="s">
        <v>116</v>
      </c>
      <c r="BN1922">
        <v>5.6</v>
      </c>
      <c r="BO1922">
        <v>5.18</v>
      </c>
      <c r="BP1922">
        <v>0.1</v>
      </c>
      <c r="BQ1922">
        <v>5.66</v>
      </c>
      <c r="BR1922">
        <v>4.58</v>
      </c>
      <c r="BS1922">
        <v>0.82</v>
      </c>
      <c r="BT1922">
        <v>0.16</v>
      </c>
      <c r="BU1922">
        <v>0.2</v>
      </c>
      <c r="BV1922">
        <v>0.21</v>
      </c>
      <c r="BW1922">
        <v>0.66</v>
      </c>
      <c r="BX1922">
        <v>1.71</v>
      </c>
      <c r="BY1922">
        <v>1.04</v>
      </c>
      <c r="BZ1922">
        <v>0.6</v>
      </c>
      <c r="CA1922">
        <v>0.32</v>
      </c>
      <c r="CB1922">
        <v>0.12</v>
      </c>
      <c r="CC1922">
        <v>0.32</v>
      </c>
      <c r="CD1922">
        <v>0.26</v>
      </c>
      <c r="CE1922">
        <v>0.24</v>
      </c>
      <c r="CF1922">
        <v>0.12</v>
      </c>
      <c r="CG1922">
        <v>2.12</v>
      </c>
      <c r="CH1922">
        <v>-0.14000000000000001</v>
      </c>
      <c r="CI1922">
        <v>-0.09</v>
      </c>
      <c r="CJ1922">
        <v>5818</v>
      </c>
      <c r="CK1922">
        <v>5503</v>
      </c>
      <c r="CL1922" t="s">
        <v>9589</v>
      </c>
      <c r="CM1922">
        <v>-44.23</v>
      </c>
      <c r="CN1922">
        <v>-7.95</v>
      </c>
      <c r="CO1922">
        <v>6.99</v>
      </c>
      <c r="CP1922">
        <v>-252.24</v>
      </c>
      <c r="CQ1922">
        <v>34.950000000000003</v>
      </c>
      <c r="CR1922">
        <v>0.28999999999999998</v>
      </c>
      <c r="CS1922" t="s">
        <v>4538</v>
      </c>
      <c r="CT1922">
        <v>4.91</v>
      </c>
      <c r="CU1922">
        <v>0</v>
      </c>
      <c r="CV1922">
        <v>1.62</v>
      </c>
      <c r="CW1922">
        <v>2.0099999999999998</v>
      </c>
      <c r="CX1922">
        <v>-0.14000000000000001</v>
      </c>
      <c r="CY1922">
        <v>92.62</v>
      </c>
      <c r="CZ1922" t="s">
        <v>1343</v>
      </c>
      <c r="DA1922">
        <v>42.21</v>
      </c>
      <c r="DB1922">
        <v>30.44</v>
      </c>
      <c r="DC1922">
        <v>23.52</v>
      </c>
      <c r="DD1922">
        <v>0.05</v>
      </c>
      <c r="DE1922">
        <v>153</v>
      </c>
      <c r="DF1922">
        <v>300530</v>
      </c>
      <c r="DG1922" t="s">
        <v>116</v>
      </c>
      <c r="DH1922" t="s">
        <v>116</v>
      </c>
      <c r="DI1922" t="s">
        <v>116</v>
      </c>
    </row>
    <row r="1923" spans="1:113" x14ac:dyDescent="0.4">
      <c r="A1923" t="str">
        <f>"300531"</f>
        <v>300531</v>
      </c>
      <c r="B1923" t="s">
        <v>9590</v>
      </c>
      <c r="C1923">
        <v>-1.47</v>
      </c>
      <c r="D1923">
        <v>16.12</v>
      </c>
      <c r="E1923">
        <v>-0.24</v>
      </c>
      <c r="F1923">
        <v>16.11</v>
      </c>
      <c r="G1923">
        <v>16.12</v>
      </c>
      <c r="H1923">
        <v>24007</v>
      </c>
      <c r="I1923">
        <v>138</v>
      </c>
      <c r="J1923">
        <v>0.06</v>
      </c>
      <c r="K1923">
        <v>0.86</v>
      </c>
      <c r="L1923">
        <v>16.46</v>
      </c>
      <c r="M1923">
        <v>16.46</v>
      </c>
      <c r="N1923">
        <v>16.07</v>
      </c>
      <c r="O1923">
        <v>16.36</v>
      </c>
      <c r="P1923">
        <v>49.75</v>
      </c>
      <c r="Q1923">
        <v>39053168</v>
      </c>
      <c r="R1923">
        <v>1.05</v>
      </c>
      <c r="S1923" t="s">
        <v>607</v>
      </c>
      <c r="T1923" t="s">
        <v>115</v>
      </c>
      <c r="U1923">
        <v>2.38</v>
      </c>
      <c r="V1923">
        <v>16.27</v>
      </c>
      <c r="W1923">
        <v>12995</v>
      </c>
      <c r="X1923">
        <v>11012</v>
      </c>
      <c r="Y1923">
        <v>1.18</v>
      </c>
      <c r="Z1923">
        <v>97</v>
      </c>
      <c r="AA1923">
        <v>71</v>
      </c>
      <c r="AB1923" t="s">
        <v>116</v>
      </c>
      <c r="AC1923">
        <v>279800</v>
      </c>
      <c r="AD1923">
        <v>0.01</v>
      </c>
      <c r="AE1923" t="s">
        <v>116</v>
      </c>
      <c r="AF1923" t="s">
        <v>116</v>
      </c>
      <c r="AG1923">
        <v>2.8</v>
      </c>
      <c r="AH1923" t="s">
        <v>9591</v>
      </c>
      <c r="AI1923" t="s">
        <v>6643</v>
      </c>
      <c r="AJ1923">
        <v>-0.79</v>
      </c>
      <c r="AK1923">
        <v>1592</v>
      </c>
      <c r="AL1923">
        <v>15</v>
      </c>
      <c r="AM1923">
        <v>5.0000000000000001E-4</v>
      </c>
      <c r="AN1923">
        <v>-1</v>
      </c>
      <c r="AO1923">
        <v>2.34</v>
      </c>
      <c r="AP1923">
        <v>4.68</v>
      </c>
      <c r="AQ1923">
        <v>-12.86</v>
      </c>
      <c r="AR1923">
        <v>-3.7</v>
      </c>
      <c r="AS1923">
        <v>1.97</v>
      </c>
      <c r="AT1923" t="s">
        <v>4133</v>
      </c>
      <c r="AU1923">
        <v>53.44</v>
      </c>
      <c r="AV1923">
        <v>42.99</v>
      </c>
      <c r="AW1923">
        <v>1.65</v>
      </c>
      <c r="BA1923">
        <v>0.61</v>
      </c>
      <c r="BB1923">
        <v>0.61</v>
      </c>
      <c r="BC1923">
        <v>-1.77</v>
      </c>
      <c r="BD1923">
        <v>-0.56000000000000005</v>
      </c>
      <c r="BE1923">
        <v>-2.0699999999999998</v>
      </c>
      <c r="BF1923">
        <v>-2.0699999999999998</v>
      </c>
      <c r="BG1923">
        <v>0.31</v>
      </c>
      <c r="BH1923">
        <v>-0.9</v>
      </c>
      <c r="BI1923">
        <v>20191226</v>
      </c>
      <c r="BJ1923">
        <v>20160809</v>
      </c>
      <c r="BK1923">
        <v>3.13</v>
      </c>
      <c r="BL1923" t="s">
        <v>116</v>
      </c>
      <c r="BM1923" t="s">
        <v>116</v>
      </c>
      <c r="BN1923">
        <v>12.02</v>
      </c>
      <c r="BO1923">
        <v>7.75</v>
      </c>
      <c r="BP1923">
        <v>0.33</v>
      </c>
      <c r="BQ1923">
        <v>32.72</v>
      </c>
      <c r="BR1923">
        <v>10.71</v>
      </c>
      <c r="BS1923">
        <v>0.36</v>
      </c>
      <c r="BT1923">
        <v>0.04</v>
      </c>
      <c r="BU1923">
        <v>3.9</v>
      </c>
      <c r="BV1923">
        <v>2.19</v>
      </c>
      <c r="BW1923">
        <v>3.28</v>
      </c>
      <c r="BX1923">
        <v>0.27</v>
      </c>
      <c r="BY1923">
        <v>7.7</v>
      </c>
      <c r="BZ1923">
        <v>5.13</v>
      </c>
      <c r="CA1923">
        <v>0.97</v>
      </c>
      <c r="CB1923">
        <v>7.0000000000000007E-2</v>
      </c>
      <c r="CC1923">
        <v>0.95</v>
      </c>
      <c r="CD1923">
        <v>0.79</v>
      </c>
      <c r="CE1923">
        <v>0.76</v>
      </c>
      <c r="CF1923">
        <v>0.36</v>
      </c>
      <c r="CG1923">
        <v>4.5</v>
      </c>
      <c r="CH1923">
        <v>0.35</v>
      </c>
      <c r="CI1923">
        <v>0.12</v>
      </c>
      <c r="CJ1923">
        <v>21051</v>
      </c>
      <c r="CK1923">
        <v>5795</v>
      </c>
      <c r="CL1923" t="s">
        <v>9592</v>
      </c>
      <c r="CM1923">
        <v>-23.19</v>
      </c>
      <c r="CN1923">
        <v>11.11</v>
      </c>
      <c r="CO1923">
        <v>5.82</v>
      </c>
      <c r="CP1923">
        <v>145.69</v>
      </c>
      <c r="CQ1923">
        <v>6.54</v>
      </c>
      <c r="CR1923">
        <v>0.17</v>
      </c>
      <c r="CS1923" t="s">
        <v>2326</v>
      </c>
      <c r="CT1923">
        <v>2.77</v>
      </c>
      <c r="CU1923">
        <v>2.77</v>
      </c>
      <c r="CV1923">
        <v>0.09</v>
      </c>
      <c r="CW1923">
        <v>1.44</v>
      </c>
      <c r="CX1923">
        <v>0.11</v>
      </c>
      <c r="CY1923">
        <v>64.5</v>
      </c>
      <c r="CZ1923" t="s">
        <v>2611</v>
      </c>
      <c r="DA1923">
        <v>33.43</v>
      </c>
      <c r="DB1923">
        <v>12.59</v>
      </c>
      <c r="DC1923">
        <v>9.86</v>
      </c>
      <c r="DD1923">
        <v>0.52</v>
      </c>
      <c r="DE1923">
        <v>646</v>
      </c>
      <c r="DF1923">
        <v>300531</v>
      </c>
      <c r="DG1923" t="s">
        <v>116</v>
      </c>
      <c r="DH1923" t="s">
        <v>116</v>
      </c>
      <c r="DI1923" t="s">
        <v>116</v>
      </c>
    </row>
    <row r="1924" spans="1:113" x14ac:dyDescent="0.4">
      <c r="A1924" t="str">
        <f>"300532"</f>
        <v>300532</v>
      </c>
      <c r="B1924" t="s">
        <v>9593</v>
      </c>
      <c r="C1924">
        <v>-2.2999999999999998</v>
      </c>
      <c r="D1924">
        <v>10.62</v>
      </c>
      <c r="E1924">
        <v>-0.25</v>
      </c>
      <c r="F1924">
        <v>10.61</v>
      </c>
      <c r="G1924">
        <v>10.62</v>
      </c>
      <c r="H1924">
        <v>33496</v>
      </c>
      <c r="I1924">
        <v>867</v>
      </c>
      <c r="J1924">
        <v>-0.08</v>
      </c>
      <c r="K1924">
        <v>1.23</v>
      </c>
      <c r="L1924">
        <v>10.85</v>
      </c>
      <c r="M1924">
        <v>10.91</v>
      </c>
      <c r="N1924">
        <v>10.61</v>
      </c>
      <c r="O1924">
        <v>10.87</v>
      </c>
      <c r="P1924">
        <v>83.19</v>
      </c>
      <c r="Q1924">
        <v>36131520</v>
      </c>
      <c r="R1924">
        <v>0.98</v>
      </c>
      <c r="S1924" t="s">
        <v>607</v>
      </c>
      <c r="T1924" t="s">
        <v>115</v>
      </c>
      <c r="U1924">
        <v>2.76</v>
      </c>
      <c r="V1924">
        <v>10.79</v>
      </c>
      <c r="W1924">
        <v>22260</v>
      </c>
      <c r="X1924">
        <v>11236</v>
      </c>
      <c r="Y1924">
        <v>1.98</v>
      </c>
      <c r="Z1924">
        <v>113</v>
      </c>
      <c r="AA1924">
        <v>131</v>
      </c>
      <c r="AB1924" t="s">
        <v>116</v>
      </c>
      <c r="AC1924">
        <v>108500</v>
      </c>
      <c r="AD1924">
        <v>0</v>
      </c>
      <c r="AE1924" t="s">
        <v>116</v>
      </c>
      <c r="AF1924" t="s">
        <v>116</v>
      </c>
      <c r="AG1924">
        <v>2.73</v>
      </c>
      <c r="AH1924" t="s">
        <v>3448</v>
      </c>
      <c r="AI1924" t="s">
        <v>4766</v>
      </c>
      <c r="AJ1924">
        <v>-1.62</v>
      </c>
      <c r="AK1924">
        <v>1524</v>
      </c>
      <c r="AL1924">
        <v>22</v>
      </c>
      <c r="AM1924">
        <v>8.0000000000000004E-4</v>
      </c>
      <c r="AN1924">
        <v>-1</v>
      </c>
      <c r="AO1924">
        <v>-0.65</v>
      </c>
      <c r="AP1924">
        <v>5.57</v>
      </c>
      <c r="AQ1924">
        <v>-12.23</v>
      </c>
      <c r="AR1924">
        <v>7.49</v>
      </c>
      <c r="AS1924">
        <v>1.47</v>
      </c>
      <c r="AT1924" t="s">
        <v>2205</v>
      </c>
      <c r="AU1924">
        <v>126.89</v>
      </c>
      <c r="AV1924">
        <v>160.31</v>
      </c>
      <c r="AW1924">
        <v>1.68</v>
      </c>
      <c r="BA1924">
        <v>-0.18</v>
      </c>
      <c r="BB1924">
        <v>0.37</v>
      </c>
      <c r="BC1924">
        <v>-2.39</v>
      </c>
      <c r="BD1924">
        <v>-0.77</v>
      </c>
      <c r="BE1924">
        <v>-2.12</v>
      </c>
      <c r="BF1924">
        <v>-2.66</v>
      </c>
      <c r="BG1924">
        <v>0.09</v>
      </c>
      <c r="BH1924">
        <v>-1.53</v>
      </c>
      <c r="BI1924">
        <v>20191029</v>
      </c>
      <c r="BJ1924">
        <v>20160818</v>
      </c>
      <c r="BK1924">
        <v>2.75</v>
      </c>
      <c r="BL1924" t="s">
        <v>116</v>
      </c>
      <c r="BM1924" t="s">
        <v>116</v>
      </c>
      <c r="BN1924">
        <v>16.399999999999999</v>
      </c>
      <c r="BO1924">
        <v>7.59</v>
      </c>
      <c r="BP1924">
        <v>0</v>
      </c>
      <c r="BQ1924">
        <v>53.74</v>
      </c>
      <c r="BR1924">
        <v>13.34</v>
      </c>
      <c r="BS1924">
        <v>0.84</v>
      </c>
      <c r="BT1924">
        <v>0.13</v>
      </c>
      <c r="BU1924">
        <v>8.51</v>
      </c>
      <c r="BV1924">
        <v>1.79</v>
      </c>
      <c r="BW1924">
        <v>5.57</v>
      </c>
      <c r="BX1924">
        <v>2.09</v>
      </c>
      <c r="BY1924">
        <v>5.15</v>
      </c>
      <c r="BZ1924">
        <v>3.68</v>
      </c>
      <c r="CA1924">
        <v>0.26</v>
      </c>
      <c r="CB1924">
        <v>0.01</v>
      </c>
      <c r="CC1924">
        <v>0.27</v>
      </c>
      <c r="CD1924">
        <v>0.26</v>
      </c>
      <c r="CE1924">
        <v>0.26</v>
      </c>
      <c r="CF1924">
        <v>0.21</v>
      </c>
      <c r="CG1924">
        <v>2.4700000000000002</v>
      </c>
      <c r="CH1924">
        <v>-0.63</v>
      </c>
      <c r="CI1924">
        <v>0.32</v>
      </c>
      <c r="CJ1924">
        <v>20858</v>
      </c>
      <c r="CK1924">
        <v>10945</v>
      </c>
      <c r="CL1924" t="s">
        <v>3939</v>
      </c>
      <c r="CM1924">
        <v>22.29</v>
      </c>
      <c r="CN1924">
        <v>49.23</v>
      </c>
      <c r="CO1924">
        <v>3.85</v>
      </c>
      <c r="CP1924">
        <v>-46.18</v>
      </c>
      <c r="CQ1924">
        <v>5.67</v>
      </c>
      <c r="CR1924">
        <v>1.51</v>
      </c>
      <c r="CS1924" t="s">
        <v>2739</v>
      </c>
      <c r="CT1924">
        <v>2.76</v>
      </c>
      <c r="CU1924">
        <v>0</v>
      </c>
      <c r="CV1924">
        <v>0.76</v>
      </c>
      <c r="CW1924">
        <v>0.9</v>
      </c>
      <c r="CX1924">
        <v>-0.23</v>
      </c>
      <c r="CY1924">
        <v>46.26</v>
      </c>
      <c r="CZ1924" t="s">
        <v>4846</v>
      </c>
      <c r="DA1924">
        <v>28.61</v>
      </c>
      <c r="DB1924">
        <v>5.13</v>
      </c>
      <c r="DC1924">
        <v>5.1100000000000003</v>
      </c>
      <c r="DD1924">
        <v>0.31</v>
      </c>
      <c r="DE1924">
        <v>520</v>
      </c>
      <c r="DF1924">
        <v>300532</v>
      </c>
      <c r="DG1924" t="s">
        <v>116</v>
      </c>
      <c r="DH1924" t="s">
        <v>116</v>
      </c>
      <c r="DI1924" t="s">
        <v>116</v>
      </c>
    </row>
    <row r="1925" spans="1:113" x14ac:dyDescent="0.4">
      <c r="A1925" t="str">
        <f>"300533"</f>
        <v>300533</v>
      </c>
      <c r="B1925" t="s">
        <v>9594</v>
      </c>
      <c r="C1925">
        <v>-1.89</v>
      </c>
      <c r="D1925">
        <v>43.54</v>
      </c>
      <c r="E1925">
        <v>-0.84</v>
      </c>
      <c r="F1925">
        <v>43.54</v>
      </c>
      <c r="G1925">
        <v>43.55</v>
      </c>
      <c r="H1925">
        <v>20986</v>
      </c>
      <c r="I1925">
        <v>370</v>
      </c>
      <c r="J1925">
        <v>-0.17</v>
      </c>
      <c r="K1925">
        <v>3.47</v>
      </c>
      <c r="L1925">
        <v>44.37</v>
      </c>
      <c r="M1925">
        <v>45.26</v>
      </c>
      <c r="N1925">
        <v>43.52</v>
      </c>
      <c r="O1925">
        <v>44.38</v>
      </c>
      <c r="P1925">
        <v>30.98</v>
      </c>
      <c r="Q1925">
        <v>93151984</v>
      </c>
      <c r="R1925">
        <v>1.03</v>
      </c>
      <c r="S1925" t="s">
        <v>607</v>
      </c>
      <c r="T1925" t="s">
        <v>115</v>
      </c>
      <c r="U1925">
        <v>3.92</v>
      </c>
      <c r="V1925">
        <v>44.39</v>
      </c>
      <c r="W1925">
        <v>11228</v>
      </c>
      <c r="X1925">
        <v>9758</v>
      </c>
      <c r="Y1925">
        <v>1.1499999999999999</v>
      </c>
      <c r="Z1925">
        <v>43</v>
      </c>
      <c r="AA1925">
        <v>48</v>
      </c>
      <c r="AB1925" t="s">
        <v>116</v>
      </c>
      <c r="AC1925">
        <v>372700</v>
      </c>
      <c r="AD1925">
        <v>0.02</v>
      </c>
      <c r="AE1925" t="s">
        <v>116</v>
      </c>
      <c r="AF1925" t="s">
        <v>116</v>
      </c>
      <c r="AG1925">
        <v>0.6</v>
      </c>
      <c r="AH1925" t="s">
        <v>1116</v>
      </c>
      <c r="AI1925" t="s">
        <v>9595</v>
      </c>
      <c r="AJ1925">
        <v>-1.21</v>
      </c>
      <c r="AK1925">
        <v>1844</v>
      </c>
      <c r="AL1925">
        <v>11</v>
      </c>
      <c r="AM1925">
        <v>1.9E-3</v>
      </c>
      <c r="AN1925">
        <v>-1</v>
      </c>
      <c r="AO1925">
        <v>-1.94</v>
      </c>
      <c r="AP1925">
        <v>9.92</v>
      </c>
      <c r="AQ1925">
        <v>-2.62</v>
      </c>
      <c r="AR1925">
        <v>39.6</v>
      </c>
      <c r="AS1925">
        <v>5.17</v>
      </c>
      <c r="AT1925" t="s">
        <v>9596</v>
      </c>
      <c r="AU1925">
        <v>32.06</v>
      </c>
      <c r="AV1925">
        <v>43.93</v>
      </c>
      <c r="AW1925">
        <v>1.35</v>
      </c>
      <c r="BA1925">
        <v>-0.02</v>
      </c>
      <c r="BB1925">
        <v>1.98</v>
      </c>
      <c r="BC1925">
        <v>-1.94</v>
      </c>
      <c r="BD1925">
        <v>0.02</v>
      </c>
      <c r="BE1925">
        <v>-1.87</v>
      </c>
      <c r="BF1925">
        <v>-3.8</v>
      </c>
      <c r="BG1925">
        <v>0.05</v>
      </c>
      <c r="BH1925">
        <v>-1.91</v>
      </c>
      <c r="BI1925">
        <v>20191031</v>
      </c>
      <c r="BJ1925">
        <v>20160818</v>
      </c>
      <c r="BK1925">
        <v>1.01</v>
      </c>
      <c r="BL1925" t="s">
        <v>116</v>
      </c>
      <c r="BM1925" t="s">
        <v>116</v>
      </c>
      <c r="BN1925">
        <v>18.57</v>
      </c>
      <c r="BO1925">
        <v>16.46</v>
      </c>
      <c r="BP1925">
        <v>-7.0000000000000007E-2</v>
      </c>
      <c r="BQ1925">
        <v>11.75</v>
      </c>
      <c r="BR1925">
        <v>17.91</v>
      </c>
      <c r="BS1925">
        <v>0.03</v>
      </c>
      <c r="BT1925">
        <v>0.01</v>
      </c>
      <c r="BU1925">
        <v>2.1800000000000002</v>
      </c>
      <c r="BV1925">
        <v>0</v>
      </c>
      <c r="BW1925">
        <v>0.52</v>
      </c>
      <c r="BX1925">
        <v>9.02</v>
      </c>
      <c r="BY1925">
        <v>2.88</v>
      </c>
      <c r="BZ1925">
        <v>0.2</v>
      </c>
      <c r="CA1925">
        <v>1.17</v>
      </c>
      <c r="CB1925">
        <v>0.28000000000000003</v>
      </c>
      <c r="CC1925">
        <v>1.17</v>
      </c>
      <c r="CD1925">
        <v>1.07</v>
      </c>
      <c r="CE1925">
        <v>1.06</v>
      </c>
      <c r="CF1925">
        <v>0.93</v>
      </c>
      <c r="CG1925">
        <v>6.11</v>
      </c>
      <c r="CH1925">
        <v>0.39</v>
      </c>
      <c r="CI1925">
        <v>-3.42</v>
      </c>
      <c r="CJ1925">
        <v>16230</v>
      </c>
      <c r="CK1925">
        <v>2502</v>
      </c>
      <c r="CL1925" t="s">
        <v>9597</v>
      </c>
      <c r="CM1925">
        <v>53.44</v>
      </c>
      <c r="CN1925">
        <v>41.7</v>
      </c>
      <c r="CO1925">
        <v>2.67</v>
      </c>
      <c r="CP1925">
        <v>111.9</v>
      </c>
      <c r="CQ1925">
        <v>15.23</v>
      </c>
      <c r="CR1925">
        <v>0.92</v>
      </c>
      <c r="CS1925" t="s">
        <v>6953</v>
      </c>
      <c r="CT1925">
        <v>16.34</v>
      </c>
      <c r="CU1925">
        <v>0</v>
      </c>
      <c r="CV1925">
        <v>8.9499999999999993</v>
      </c>
      <c r="CW1925">
        <v>6.07</v>
      </c>
      <c r="CX1925">
        <v>0.39</v>
      </c>
      <c r="CY1925">
        <v>88.64</v>
      </c>
      <c r="CZ1925" t="s">
        <v>2734</v>
      </c>
      <c r="DA1925">
        <v>93.22</v>
      </c>
      <c r="DB1925">
        <v>40.65</v>
      </c>
      <c r="DC1925">
        <v>36.869999999999997</v>
      </c>
      <c r="DD1925">
        <v>0.77</v>
      </c>
      <c r="DE1925">
        <v>619</v>
      </c>
      <c r="DF1925">
        <v>300533</v>
      </c>
      <c r="DG1925" t="s">
        <v>116</v>
      </c>
      <c r="DH1925" t="s">
        <v>116</v>
      </c>
      <c r="DI1925" t="s">
        <v>116</v>
      </c>
    </row>
    <row r="1926" spans="1:113" x14ac:dyDescent="0.4">
      <c r="A1926" t="str">
        <f>"300534"</f>
        <v>300534</v>
      </c>
      <c r="B1926" t="s">
        <v>9598</v>
      </c>
      <c r="C1926">
        <v>-0.52</v>
      </c>
      <c r="D1926">
        <v>5.75</v>
      </c>
      <c r="E1926">
        <v>-0.03</v>
      </c>
      <c r="F1926">
        <v>5.75</v>
      </c>
      <c r="G1926">
        <v>5.76</v>
      </c>
      <c r="H1926">
        <v>52729</v>
      </c>
      <c r="I1926">
        <v>887</v>
      </c>
      <c r="J1926">
        <v>-0.16</v>
      </c>
      <c r="K1926">
        <v>1.74</v>
      </c>
      <c r="L1926">
        <v>5.78</v>
      </c>
      <c r="M1926">
        <v>5.85</v>
      </c>
      <c r="N1926">
        <v>5.75</v>
      </c>
      <c r="O1926">
        <v>5.78</v>
      </c>
      <c r="P1926">
        <v>240.31</v>
      </c>
      <c r="Q1926">
        <v>30605254</v>
      </c>
      <c r="R1926">
        <v>1.1299999999999999</v>
      </c>
      <c r="S1926" t="s">
        <v>781</v>
      </c>
      <c r="T1926" t="s">
        <v>1122</v>
      </c>
      <c r="U1926">
        <v>1.73</v>
      </c>
      <c r="V1926">
        <v>5.8</v>
      </c>
      <c r="W1926">
        <v>30324</v>
      </c>
      <c r="X1926">
        <v>22405</v>
      </c>
      <c r="Y1926">
        <v>1.35</v>
      </c>
      <c r="Z1926">
        <v>464</v>
      </c>
      <c r="AA1926">
        <v>204</v>
      </c>
      <c r="AB1926" t="s">
        <v>116</v>
      </c>
      <c r="AC1926">
        <v>82700</v>
      </c>
      <c r="AD1926">
        <v>0.01</v>
      </c>
      <c r="AE1926" t="s">
        <v>116</v>
      </c>
      <c r="AF1926" t="s">
        <v>116</v>
      </c>
      <c r="AG1926">
        <v>3.03</v>
      </c>
      <c r="AH1926" t="s">
        <v>6336</v>
      </c>
      <c r="AI1926" t="s">
        <v>6336</v>
      </c>
      <c r="AJ1926">
        <v>0.16</v>
      </c>
      <c r="AK1926">
        <v>1060</v>
      </c>
      <c r="AL1926">
        <v>50</v>
      </c>
      <c r="AM1926">
        <v>1.6000000000000001E-3</v>
      </c>
      <c r="AN1926">
        <v>-1</v>
      </c>
      <c r="AO1926">
        <v>-0.18</v>
      </c>
      <c r="AP1926">
        <v>3.79</v>
      </c>
      <c r="AQ1926">
        <v>-3.2</v>
      </c>
      <c r="AR1926">
        <v>0.7</v>
      </c>
      <c r="AS1926">
        <v>2.78</v>
      </c>
      <c r="AT1926" t="s">
        <v>220</v>
      </c>
      <c r="AU1926">
        <v>246.24</v>
      </c>
      <c r="AV1926">
        <v>142.06</v>
      </c>
      <c r="AW1926">
        <v>1.66</v>
      </c>
      <c r="BA1926">
        <v>0</v>
      </c>
      <c r="BB1926">
        <v>1.21</v>
      </c>
      <c r="BC1926">
        <v>-0.52</v>
      </c>
      <c r="BD1926">
        <v>0.42</v>
      </c>
      <c r="BE1926">
        <v>-0.52</v>
      </c>
      <c r="BF1926">
        <v>-1.71</v>
      </c>
      <c r="BG1926">
        <v>0</v>
      </c>
      <c r="BH1926">
        <v>-0.94</v>
      </c>
      <c r="BI1926">
        <v>20191225</v>
      </c>
      <c r="BJ1926">
        <v>20160913</v>
      </c>
      <c r="BK1926">
        <v>3.03</v>
      </c>
      <c r="BL1926" t="s">
        <v>116</v>
      </c>
      <c r="BM1926" t="s">
        <v>116</v>
      </c>
      <c r="BN1926">
        <v>8.08</v>
      </c>
      <c r="BO1926">
        <v>7.23</v>
      </c>
      <c r="BP1926">
        <v>7.0000000000000007E-2</v>
      </c>
      <c r="BQ1926">
        <v>9.65</v>
      </c>
      <c r="BR1926">
        <v>2.89</v>
      </c>
      <c r="BS1926">
        <v>2.98</v>
      </c>
      <c r="BT1926">
        <v>0.52</v>
      </c>
      <c r="BU1926">
        <v>0.73</v>
      </c>
      <c r="BV1926">
        <v>0.38</v>
      </c>
      <c r="BW1926">
        <v>1.92</v>
      </c>
      <c r="BX1926">
        <v>2.31</v>
      </c>
      <c r="BY1926">
        <v>1.62</v>
      </c>
      <c r="BZ1926">
        <v>1</v>
      </c>
      <c r="CA1926">
        <v>0.09</v>
      </c>
      <c r="CB1926">
        <v>0</v>
      </c>
      <c r="CC1926">
        <v>0.08</v>
      </c>
      <c r="CD1926">
        <v>7.0000000000000007E-2</v>
      </c>
      <c r="CE1926">
        <v>0.05</v>
      </c>
      <c r="CF1926">
        <v>0.04</v>
      </c>
      <c r="CG1926">
        <v>1.61</v>
      </c>
      <c r="CH1926">
        <v>-0.11</v>
      </c>
      <c r="CI1926">
        <v>-0.27</v>
      </c>
      <c r="CJ1926">
        <v>23738</v>
      </c>
      <c r="CK1926">
        <v>7989</v>
      </c>
      <c r="CL1926" t="s">
        <v>3873</v>
      </c>
      <c r="CM1926">
        <v>-48.83</v>
      </c>
      <c r="CN1926">
        <v>5.49</v>
      </c>
      <c r="CO1926">
        <v>2.41</v>
      </c>
      <c r="CP1926">
        <v>-157.38999999999999</v>
      </c>
      <c r="CQ1926">
        <v>10.78</v>
      </c>
      <c r="CR1926">
        <v>0.17</v>
      </c>
      <c r="CS1926" t="s">
        <v>4864</v>
      </c>
      <c r="CT1926">
        <v>2.38</v>
      </c>
      <c r="CU1926">
        <v>0</v>
      </c>
      <c r="CV1926">
        <v>0.76</v>
      </c>
      <c r="CW1926">
        <v>0.53</v>
      </c>
      <c r="CX1926">
        <v>-0.04</v>
      </c>
      <c r="CY1926">
        <v>89.52</v>
      </c>
      <c r="CZ1926" t="s">
        <v>3974</v>
      </c>
      <c r="DA1926">
        <v>38.33</v>
      </c>
      <c r="DB1926">
        <v>5.3</v>
      </c>
      <c r="DC1926">
        <v>3.37</v>
      </c>
      <c r="DD1926">
        <v>0.04</v>
      </c>
      <c r="DE1926">
        <v>260</v>
      </c>
      <c r="DF1926">
        <v>300534</v>
      </c>
      <c r="DG1926" t="s">
        <v>116</v>
      </c>
      <c r="DH1926" t="s">
        <v>116</v>
      </c>
      <c r="DI1926" t="s">
        <v>116</v>
      </c>
    </row>
    <row r="1927" spans="1:113" x14ac:dyDescent="0.4">
      <c r="A1927" t="str">
        <f>"300535"</f>
        <v>300535</v>
      </c>
      <c r="B1927" t="s">
        <v>9599</v>
      </c>
      <c r="C1927">
        <v>-1.24</v>
      </c>
      <c r="D1927">
        <v>13.55</v>
      </c>
      <c r="E1927">
        <v>-0.17</v>
      </c>
      <c r="F1927">
        <v>13.55</v>
      </c>
      <c r="G1927">
        <v>13.56</v>
      </c>
      <c r="H1927">
        <v>8804</v>
      </c>
      <c r="I1927">
        <v>139</v>
      </c>
      <c r="J1927">
        <v>-0.14000000000000001</v>
      </c>
      <c r="K1927">
        <v>1.36</v>
      </c>
      <c r="L1927">
        <v>13.89</v>
      </c>
      <c r="M1927">
        <v>13.89</v>
      </c>
      <c r="N1927">
        <v>13.52</v>
      </c>
      <c r="O1927">
        <v>13.72</v>
      </c>
      <c r="P1927">
        <v>36.32</v>
      </c>
      <c r="Q1927">
        <v>12050948</v>
      </c>
      <c r="R1927">
        <v>0.97</v>
      </c>
      <c r="S1927" t="s">
        <v>891</v>
      </c>
      <c r="T1927" t="s">
        <v>582</v>
      </c>
      <c r="U1927">
        <v>2.7</v>
      </c>
      <c r="V1927">
        <v>13.69</v>
      </c>
      <c r="W1927">
        <v>4730</v>
      </c>
      <c r="X1927">
        <v>4074</v>
      </c>
      <c r="Y1927">
        <v>1.1599999999999999</v>
      </c>
      <c r="Z1927">
        <v>69</v>
      </c>
      <c r="AA1927">
        <v>84</v>
      </c>
      <c r="AB1927" t="s">
        <v>116</v>
      </c>
      <c r="AC1927">
        <v>22200</v>
      </c>
      <c r="AD1927">
        <v>0</v>
      </c>
      <c r="AE1927" t="s">
        <v>116</v>
      </c>
      <c r="AF1927" t="s">
        <v>116</v>
      </c>
      <c r="AG1927">
        <v>0.65</v>
      </c>
      <c r="AH1927" t="s">
        <v>9600</v>
      </c>
      <c r="AI1927" t="s">
        <v>2572</v>
      </c>
      <c r="AJ1927">
        <v>-0.56000000000000005</v>
      </c>
      <c r="AK1927">
        <v>840</v>
      </c>
      <c r="AL1927">
        <v>10</v>
      </c>
      <c r="AM1927">
        <v>1.6000000000000001E-3</v>
      </c>
      <c r="AN1927">
        <v>-1</v>
      </c>
      <c r="AO1927">
        <v>-0.08</v>
      </c>
      <c r="AP1927">
        <v>2.81</v>
      </c>
      <c r="AQ1927">
        <v>-4.0999999999999996</v>
      </c>
      <c r="AR1927">
        <v>6.11</v>
      </c>
      <c r="AS1927">
        <v>2.5</v>
      </c>
      <c r="AT1927" t="s">
        <v>9601</v>
      </c>
      <c r="AU1927">
        <v>40.17</v>
      </c>
      <c r="AV1927">
        <v>34.01</v>
      </c>
      <c r="AW1927">
        <v>1.0900000000000001</v>
      </c>
      <c r="BA1927">
        <v>1.24</v>
      </c>
      <c r="BB1927">
        <v>1.24</v>
      </c>
      <c r="BC1927">
        <v>-1.46</v>
      </c>
      <c r="BD1927">
        <v>-0.23</v>
      </c>
      <c r="BE1927">
        <v>-2.4500000000000002</v>
      </c>
      <c r="BF1927">
        <v>-2.4500000000000002</v>
      </c>
      <c r="BG1927">
        <v>0.22</v>
      </c>
      <c r="BH1927">
        <v>-1</v>
      </c>
      <c r="BI1927">
        <v>20191024</v>
      </c>
      <c r="BJ1927">
        <v>20160812</v>
      </c>
      <c r="BK1927">
        <v>1.04</v>
      </c>
      <c r="BL1927" t="s">
        <v>116</v>
      </c>
      <c r="BM1927" t="s">
        <v>116</v>
      </c>
      <c r="BN1927">
        <v>8.49</v>
      </c>
      <c r="BO1927">
        <v>7.39</v>
      </c>
      <c r="BP1927">
        <v>0</v>
      </c>
      <c r="BQ1927">
        <v>12.95</v>
      </c>
      <c r="BR1927">
        <v>3.78</v>
      </c>
      <c r="BS1927">
        <v>3.59</v>
      </c>
      <c r="BT1927">
        <v>0.35</v>
      </c>
      <c r="BU1927">
        <v>1.05</v>
      </c>
      <c r="BV1927">
        <v>0.93</v>
      </c>
      <c r="BW1927">
        <v>1.87</v>
      </c>
      <c r="BX1927">
        <v>3.24</v>
      </c>
      <c r="BY1927">
        <v>2.71</v>
      </c>
      <c r="BZ1927">
        <v>1.41</v>
      </c>
      <c r="CA1927">
        <v>0.34</v>
      </c>
      <c r="CB1927">
        <v>0.01</v>
      </c>
      <c r="CC1927">
        <v>0.35</v>
      </c>
      <c r="CD1927">
        <v>0.28999999999999998</v>
      </c>
      <c r="CE1927">
        <v>0.28999999999999998</v>
      </c>
      <c r="CF1927">
        <v>0.27</v>
      </c>
      <c r="CG1927">
        <v>3.06</v>
      </c>
      <c r="CH1927">
        <v>0.19</v>
      </c>
      <c r="CI1927">
        <v>-0.16</v>
      </c>
      <c r="CJ1927">
        <v>9883</v>
      </c>
      <c r="CK1927">
        <v>3557</v>
      </c>
      <c r="CL1927" t="s">
        <v>205</v>
      </c>
      <c r="CM1927">
        <v>-17.920000000000002</v>
      </c>
      <c r="CN1927">
        <v>-0.96</v>
      </c>
      <c r="CO1927">
        <v>1.91</v>
      </c>
      <c r="CP1927">
        <v>75.430000000000007</v>
      </c>
      <c r="CQ1927">
        <v>5.2</v>
      </c>
      <c r="CR1927">
        <v>0.74</v>
      </c>
      <c r="CS1927" t="s">
        <v>2993</v>
      </c>
      <c r="CT1927">
        <v>7.11</v>
      </c>
      <c r="CU1927">
        <v>0</v>
      </c>
      <c r="CV1927">
        <v>3.11</v>
      </c>
      <c r="CW1927">
        <v>2.95</v>
      </c>
      <c r="CX1927">
        <v>0.18</v>
      </c>
      <c r="CY1927">
        <v>87.03</v>
      </c>
      <c r="CZ1927" t="s">
        <v>329</v>
      </c>
      <c r="DA1927">
        <v>47.92</v>
      </c>
      <c r="DB1927">
        <v>12.74</v>
      </c>
      <c r="DC1927">
        <v>10.74</v>
      </c>
      <c r="DD1927">
        <v>0.25</v>
      </c>
      <c r="DE1927">
        <v>479</v>
      </c>
      <c r="DF1927">
        <v>300535</v>
      </c>
      <c r="DG1927" t="s">
        <v>116</v>
      </c>
      <c r="DH1927" t="s">
        <v>116</v>
      </c>
      <c r="DI1927" t="s">
        <v>116</v>
      </c>
    </row>
    <row r="1928" spans="1:113" x14ac:dyDescent="0.4">
      <c r="A1928" t="str">
        <f>"300536"</f>
        <v>300536</v>
      </c>
      <c r="B1928" t="s">
        <v>9602</v>
      </c>
      <c r="C1928">
        <v>0.27</v>
      </c>
      <c r="D1928">
        <v>7.3</v>
      </c>
      <c r="E1928">
        <v>0.02</v>
      </c>
      <c r="F1928">
        <v>7.3</v>
      </c>
      <c r="G1928">
        <v>7.31</v>
      </c>
      <c r="H1928">
        <v>45711</v>
      </c>
      <c r="I1928">
        <v>272</v>
      </c>
      <c r="J1928">
        <v>0</v>
      </c>
      <c r="K1928">
        <v>2.09</v>
      </c>
      <c r="L1928">
        <v>7.28</v>
      </c>
      <c r="M1928">
        <v>7.42</v>
      </c>
      <c r="N1928">
        <v>7.27</v>
      </c>
      <c r="O1928">
        <v>7.28</v>
      </c>
      <c r="P1928">
        <v>36.06</v>
      </c>
      <c r="Q1928">
        <v>33624864</v>
      </c>
      <c r="R1928">
        <v>2.12</v>
      </c>
      <c r="S1928" t="s">
        <v>181</v>
      </c>
      <c r="T1928" t="s">
        <v>774</v>
      </c>
      <c r="U1928">
        <v>2.06</v>
      </c>
      <c r="V1928">
        <v>7.36</v>
      </c>
      <c r="W1928">
        <v>20562</v>
      </c>
      <c r="X1928">
        <v>25149</v>
      </c>
      <c r="Y1928">
        <v>0.82</v>
      </c>
      <c r="Z1928">
        <v>381</v>
      </c>
      <c r="AA1928">
        <v>225</v>
      </c>
      <c r="AB1928" t="s">
        <v>116</v>
      </c>
      <c r="AC1928">
        <v>15300</v>
      </c>
      <c r="AD1928">
        <v>0</v>
      </c>
      <c r="AE1928" t="s">
        <v>116</v>
      </c>
      <c r="AF1928" t="s">
        <v>116</v>
      </c>
      <c r="AG1928">
        <v>2.19</v>
      </c>
      <c r="AH1928" t="s">
        <v>9603</v>
      </c>
      <c r="AI1928" t="s">
        <v>5731</v>
      </c>
      <c r="AJ1928">
        <v>0.95</v>
      </c>
      <c r="AK1928">
        <v>1171</v>
      </c>
      <c r="AL1928">
        <v>39</v>
      </c>
      <c r="AM1928">
        <v>1.8E-3</v>
      </c>
      <c r="AN1928">
        <v>4</v>
      </c>
      <c r="AO1928">
        <v>1.53</v>
      </c>
      <c r="AP1928">
        <v>6.41</v>
      </c>
      <c r="AQ1928">
        <v>-7.48</v>
      </c>
      <c r="AR1928">
        <v>49.99</v>
      </c>
      <c r="AS1928">
        <v>4.1900000000000004</v>
      </c>
      <c r="AT1928" t="s">
        <v>8012</v>
      </c>
      <c r="AU1928">
        <v>39.340000000000003</v>
      </c>
      <c r="AV1928">
        <v>40.98</v>
      </c>
      <c r="AW1928">
        <v>0.66</v>
      </c>
      <c r="BA1928">
        <v>0</v>
      </c>
      <c r="BB1928">
        <v>1.92</v>
      </c>
      <c r="BC1928">
        <v>-0.14000000000000001</v>
      </c>
      <c r="BD1928">
        <v>1.04</v>
      </c>
      <c r="BE1928">
        <v>0.27</v>
      </c>
      <c r="BF1928">
        <v>-1.62</v>
      </c>
      <c r="BG1928">
        <v>0.41</v>
      </c>
      <c r="BH1928">
        <v>-0.77</v>
      </c>
      <c r="BI1928">
        <v>20191028</v>
      </c>
      <c r="BJ1928">
        <v>20160920</v>
      </c>
      <c r="BK1928">
        <v>2.93</v>
      </c>
      <c r="BL1928" t="s">
        <v>116</v>
      </c>
      <c r="BM1928" t="s">
        <v>116</v>
      </c>
      <c r="BN1928">
        <v>13.03</v>
      </c>
      <c r="BO1928">
        <v>6.04</v>
      </c>
      <c r="BP1928">
        <v>0</v>
      </c>
      <c r="BQ1928">
        <v>53.64</v>
      </c>
      <c r="BR1928">
        <v>11.8</v>
      </c>
      <c r="BS1928">
        <v>0.33</v>
      </c>
      <c r="BT1928">
        <v>0</v>
      </c>
      <c r="BU1928">
        <v>6.88</v>
      </c>
      <c r="BV1928">
        <v>6.45</v>
      </c>
      <c r="BW1928">
        <v>2.0299999999999998</v>
      </c>
      <c r="BX1928">
        <v>0.08</v>
      </c>
      <c r="BY1928">
        <v>3.59</v>
      </c>
      <c r="BZ1928">
        <v>2.67</v>
      </c>
      <c r="CA1928">
        <v>0.51</v>
      </c>
      <c r="CB1928">
        <v>0</v>
      </c>
      <c r="CC1928">
        <v>0.5</v>
      </c>
      <c r="CD1928">
        <v>0.45</v>
      </c>
      <c r="CE1928">
        <v>0.45</v>
      </c>
      <c r="CF1928">
        <v>0.45</v>
      </c>
      <c r="CG1928">
        <v>2.73</v>
      </c>
      <c r="CH1928">
        <v>0.4</v>
      </c>
      <c r="CI1928">
        <v>-1.89</v>
      </c>
      <c r="CJ1928">
        <v>21701</v>
      </c>
      <c r="CK1928">
        <v>5025</v>
      </c>
      <c r="CL1928" t="s">
        <v>2825</v>
      </c>
      <c r="CM1928">
        <v>5.13</v>
      </c>
      <c r="CN1928">
        <v>3.78</v>
      </c>
      <c r="CO1928">
        <v>3.54</v>
      </c>
      <c r="CP1928">
        <v>53.91</v>
      </c>
      <c r="CQ1928">
        <v>5.97</v>
      </c>
      <c r="CR1928">
        <v>0.49</v>
      </c>
      <c r="CS1928" t="s">
        <v>771</v>
      </c>
      <c r="CT1928">
        <v>2.06</v>
      </c>
      <c r="CU1928">
        <v>0</v>
      </c>
      <c r="CV1928">
        <v>0.03</v>
      </c>
      <c r="CW1928">
        <v>0.93</v>
      </c>
      <c r="CX1928">
        <v>0.14000000000000001</v>
      </c>
      <c r="CY1928">
        <v>46.36</v>
      </c>
      <c r="CZ1928" t="s">
        <v>5633</v>
      </c>
      <c r="DA1928">
        <v>25.54</v>
      </c>
      <c r="DB1928">
        <v>14.08</v>
      </c>
      <c r="DC1928">
        <v>12.41</v>
      </c>
      <c r="DD1928">
        <v>0.12</v>
      </c>
      <c r="DE1928">
        <v>454</v>
      </c>
      <c r="DF1928">
        <v>300536</v>
      </c>
      <c r="DG1928" t="s">
        <v>116</v>
      </c>
      <c r="DH1928" t="s">
        <v>116</v>
      </c>
      <c r="DI1928" t="s">
        <v>116</v>
      </c>
    </row>
    <row r="1929" spans="1:113" x14ac:dyDescent="0.4">
      <c r="A1929" t="str">
        <f>"300537"</f>
        <v>300537</v>
      </c>
      <c r="B1929" t="s">
        <v>9604</v>
      </c>
      <c r="C1929">
        <v>-5.85</v>
      </c>
      <c r="D1929">
        <v>19.3</v>
      </c>
      <c r="E1929">
        <v>-1.2</v>
      </c>
      <c r="F1929">
        <v>19.29</v>
      </c>
      <c r="G1929">
        <v>19.3</v>
      </c>
      <c r="H1929">
        <v>146314</v>
      </c>
      <c r="I1929">
        <v>2112</v>
      </c>
      <c r="J1929">
        <v>-0.2</v>
      </c>
      <c r="K1929">
        <v>12.4</v>
      </c>
      <c r="L1929">
        <v>20.309999999999999</v>
      </c>
      <c r="M1929">
        <v>20.41</v>
      </c>
      <c r="N1929">
        <v>19.13</v>
      </c>
      <c r="O1929">
        <v>20.5</v>
      </c>
      <c r="P1929">
        <v>38.14</v>
      </c>
      <c r="Q1929">
        <v>290546080</v>
      </c>
      <c r="R1929">
        <v>1.22</v>
      </c>
      <c r="S1929" t="s">
        <v>1192</v>
      </c>
      <c r="T1929" t="s">
        <v>323</v>
      </c>
      <c r="U1929">
        <v>6.24</v>
      </c>
      <c r="V1929">
        <v>19.86</v>
      </c>
      <c r="W1929">
        <v>85570</v>
      </c>
      <c r="X1929">
        <v>60744</v>
      </c>
      <c r="Y1929">
        <v>1.41</v>
      </c>
      <c r="Z1929">
        <v>114</v>
      </c>
      <c r="AA1929">
        <v>36</v>
      </c>
      <c r="AB1929" t="s">
        <v>116</v>
      </c>
      <c r="AC1929">
        <v>1043900</v>
      </c>
      <c r="AD1929">
        <v>0.04</v>
      </c>
      <c r="AE1929" t="s">
        <v>116</v>
      </c>
      <c r="AF1929" t="s">
        <v>116</v>
      </c>
      <c r="AG1929">
        <v>1.18</v>
      </c>
      <c r="AH1929" t="s">
        <v>7324</v>
      </c>
      <c r="AI1929" t="s">
        <v>9605</v>
      </c>
      <c r="AJ1929">
        <v>-5.17</v>
      </c>
      <c r="AK1929">
        <v>3428</v>
      </c>
      <c r="AL1929">
        <v>43</v>
      </c>
      <c r="AM1929">
        <v>3.5999999999999999E-3</v>
      </c>
      <c r="AN1929">
        <v>-1</v>
      </c>
      <c r="AO1929">
        <v>-3</v>
      </c>
      <c r="AP1929">
        <v>8.49</v>
      </c>
      <c r="AQ1929">
        <v>-4.22</v>
      </c>
      <c r="AR1929">
        <v>111.39</v>
      </c>
      <c r="AS1929">
        <v>12.4</v>
      </c>
      <c r="AT1929" t="s">
        <v>7324</v>
      </c>
      <c r="AU1929">
        <v>40.79</v>
      </c>
      <c r="AV1929">
        <v>67.7</v>
      </c>
      <c r="AW1929">
        <v>2.42</v>
      </c>
      <c r="BA1929">
        <v>-0.93</v>
      </c>
      <c r="BB1929">
        <v>-0.44</v>
      </c>
      <c r="BC1929">
        <v>-6.68</v>
      </c>
      <c r="BD1929">
        <v>-3.13</v>
      </c>
      <c r="BE1929">
        <v>-4.97</v>
      </c>
      <c r="BF1929">
        <v>-5.44</v>
      </c>
      <c r="BG1929">
        <v>0.89</v>
      </c>
      <c r="BH1929">
        <v>-2.72</v>
      </c>
      <c r="BI1929">
        <v>20191029</v>
      </c>
      <c r="BJ1929">
        <v>20160830</v>
      </c>
      <c r="BK1929">
        <v>1.93</v>
      </c>
      <c r="BL1929" t="s">
        <v>116</v>
      </c>
      <c r="BM1929" t="s">
        <v>116</v>
      </c>
      <c r="BN1929">
        <v>19.059999999999999</v>
      </c>
      <c r="BO1929">
        <v>13.31</v>
      </c>
      <c r="BP1929">
        <v>0.01</v>
      </c>
      <c r="BQ1929">
        <v>30.13</v>
      </c>
      <c r="BR1929">
        <v>7.49</v>
      </c>
      <c r="BS1929">
        <v>1.95</v>
      </c>
      <c r="BT1929">
        <v>1.38</v>
      </c>
      <c r="BU1929">
        <v>5.29</v>
      </c>
      <c r="BV1929">
        <v>1.58</v>
      </c>
      <c r="BW1929">
        <v>4.34</v>
      </c>
      <c r="BX1929">
        <v>8.33</v>
      </c>
      <c r="BY1929">
        <v>6.01</v>
      </c>
      <c r="BZ1929">
        <v>3.72</v>
      </c>
      <c r="CA1929">
        <v>0.7</v>
      </c>
      <c r="CB1929">
        <v>0.01</v>
      </c>
      <c r="CC1929">
        <v>0.93</v>
      </c>
      <c r="CD1929">
        <v>0.78</v>
      </c>
      <c r="CE1929">
        <v>0.73</v>
      </c>
      <c r="CF1929">
        <v>0.6</v>
      </c>
      <c r="CG1929">
        <v>2.78</v>
      </c>
      <c r="CH1929">
        <v>-0.11</v>
      </c>
      <c r="CI1929">
        <v>-0.5</v>
      </c>
      <c r="CJ1929">
        <v>19348</v>
      </c>
      <c r="CK1929">
        <v>6101</v>
      </c>
      <c r="CL1929" t="s">
        <v>9606</v>
      </c>
      <c r="CM1929">
        <v>98.25</v>
      </c>
      <c r="CN1929">
        <v>37.26</v>
      </c>
      <c r="CO1929">
        <v>2.8</v>
      </c>
      <c r="CP1929">
        <v>-331.78</v>
      </c>
      <c r="CQ1929">
        <v>6.2</v>
      </c>
      <c r="CR1929">
        <v>0.31</v>
      </c>
      <c r="CS1929" t="s">
        <v>8566</v>
      </c>
      <c r="CT1929">
        <v>6.9</v>
      </c>
      <c r="CU1929">
        <v>0</v>
      </c>
      <c r="CV1929">
        <v>4.32</v>
      </c>
      <c r="CW1929">
        <v>1.44</v>
      </c>
      <c r="CX1929">
        <v>-0.06</v>
      </c>
      <c r="CY1929">
        <v>69.83</v>
      </c>
      <c r="CZ1929" t="s">
        <v>8488</v>
      </c>
      <c r="DA1929">
        <v>38.07</v>
      </c>
      <c r="DB1929">
        <v>11.56</v>
      </c>
      <c r="DC1929">
        <v>12.18</v>
      </c>
      <c r="DD1929">
        <v>0.28999999999999998</v>
      </c>
      <c r="DE1929">
        <v>735</v>
      </c>
      <c r="DF1929">
        <v>300537</v>
      </c>
      <c r="DG1929" t="s">
        <v>116</v>
      </c>
      <c r="DH1929" t="s">
        <v>116</v>
      </c>
      <c r="DI1929" t="s">
        <v>116</v>
      </c>
    </row>
    <row r="1930" spans="1:113" x14ac:dyDescent="0.4">
      <c r="A1930" t="str">
        <f>"300538"</f>
        <v>300538</v>
      </c>
      <c r="B1930" t="s">
        <v>9607</v>
      </c>
      <c r="C1930">
        <v>-4.83</v>
      </c>
      <c r="D1930">
        <v>18.329999999999998</v>
      </c>
      <c r="E1930">
        <v>-0.93</v>
      </c>
      <c r="F1930">
        <v>18.329999999999998</v>
      </c>
      <c r="G1930">
        <v>18.350000000000001</v>
      </c>
      <c r="H1930">
        <v>67481</v>
      </c>
      <c r="I1930">
        <v>299</v>
      </c>
      <c r="J1930">
        <v>0.11</v>
      </c>
      <c r="K1930">
        <v>8.84</v>
      </c>
      <c r="L1930">
        <v>18.68</v>
      </c>
      <c r="M1930">
        <v>19</v>
      </c>
      <c r="N1930">
        <v>18.260000000000002</v>
      </c>
      <c r="O1930">
        <v>19.260000000000002</v>
      </c>
      <c r="P1930">
        <v>73.22</v>
      </c>
      <c r="Q1930">
        <v>124827848</v>
      </c>
      <c r="R1930">
        <v>1.75</v>
      </c>
      <c r="S1930" t="s">
        <v>457</v>
      </c>
      <c r="T1930" t="s">
        <v>115</v>
      </c>
      <c r="U1930">
        <v>3.84</v>
      </c>
      <c r="V1930">
        <v>18.5</v>
      </c>
      <c r="W1930">
        <v>43199</v>
      </c>
      <c r="X1930">
        <v>24282</v>
      </c>
      <c r="Y1930">
        <v>1.78</v>
      </c>
      <c r="Z1930">
        <v>56</v>
      </c>
      <c r="AA1930">
        <v>10</v>
      </c>
      <c r="AB1930" t="s">
        <v>116</v>
      </c>
      <c r="AC1930">
        <v>2054800</v>
      </c>
      <c r="AD1930">
        <v>0.25</v>
      </c>
      <c r="AE1930" t="s">
        <v>116</v>
      </c>
      <c r="AF1930" t="s">
        <v>116</v>
      </c>
      <c r="AG1930">
        <v>0.76</v>
      </c>
      <c r="AH1930" t="s">
        <v>5962</v>
      </c>
      <c r="AI1930" t="s">
        <v>346</v>
      </c>
      <c r="AJ1930">
        <v>-4.1500000000000004</v>
      </c>
      <c r="AK1930">
        <v>2691</v>
      </c>
      <c r="AL1930">
        <v>25</v>
      </c>
      <c r="AM1930">
        <v>3.3E-3</v>
      </c>
      <c r="AN1930">
        <v>-1</v>
      </c>
      <c r="AO1930">
        <v>-3.53</v>
      </c>
      <c r="AP1930">
        <v>5.77</v>
      </c>
      <c r="AQ1930">
        <v>-11.36</v>
      </c>
      <c r="AR1930">
        <v>57.57</v>
      </c>
      <c r="AS1930">
        <v>15.22</v>
      </c>
      <c r="AT1930" t="s">
        <v>9608</v>
      </c>
      <c r="AU1930">
        <v>84.43</v>
      </c>
      <c r="AV1930">
        <v>91.35</v>
      </c>
      <c r="AW1930">
        <v>1.22</v>
      </c>
      <c r="BA1930">
        <v>-3.01</v>
      </c>
      <c r="BB1930">
        <v>-1.35</v>
      </c>
      <c r="BC1930">
        <v>-5.19</v>
      </c>
      <c r="BD1930">
        <v>-3.96</v>
      </c>
      <c r="BE1930">
        <v>-1.87</v>
      </c>
      <c r="BF1930">
        <v>-3.53</v>
      </c>
      <c r="BG1930">
        <v>0.38</v>
      </c>
      <c r="BH1930">
        <v>-0.87</v>
      </c>
      <c r="BI1930">
        <v>20191216</v>
      </c>
      <c r="BJ1930">
        <v>20160826</v>
      </c>
      <c r="BK1930">
        <v>1.52</v>
      </c>
      <c r="BL1930" t="s">
        <v>116</v>
      </c>
      <c r="BM1930" t="s">
        <v>116</v>
      </c>
      <c r="BN1930">
        <v>7.89</v>
      </c>
      <c r="BO1930">
        <v>4.41</v>
      </c>
      <c r="BP1930">
        <v>0.1</v>
      </c>
      <c r="BQ1930">
        <v>42.72</v>
      </c>
      <c r="BR1930">
        <v>7.37</v>
      </c>
      <c r="BS1930">
        <v>0.16</v>
      </c>
      <c r="BT1930">
        <v>0.02</v>
      </c>
      <c r="BU1930">
        <v>3.37</v>
      </c>
      <c r="BV1930">
        <v>0.64</v>
      </c>
      <c r="BW1930">
        <v>4.05</v>
      </c>
      <c r="BX1930">
        <v>1.1299999999999999</v>
      </c>
      <c r="BY1930">
        <v>11.74</v>
      </c>
      <c r="BZ1930">
        <v>10.47</v>
      </c>
      <c r="CA1930">
        <v>0.41</v>
      </c>
      <c r="CB1930">
        <v>0.01</v>
      </c>
      <c r="CC1930">
        <v>0.4</v>
      </c>
      <c r="CD1930">
        <v>0.28999999999999998</v>
      </c>
      <c r="CE1930">
        <v>0.28000000000000003</v>
      </c>
      <c r="CF1930">
        <v>0.28000000000000003</v>
      </c>
      <c r="CG1930">
        <v>1.66</v>
      </c>
      <c r="CH1930">
        <v>0.43</v>
      </c>
      <c r="CI1930">
        <v>0.41</v>
      </c>
      <c r="CJ1930">
        <v>17073</v>
      </c>
      <c r="CK1930">
        <v>2596</v>
      </c>
      <c r="CL1930" t="s">
        <v>2315</v>
      </c>
      <c r="CM1930">
        <v>9.59</v>
      </c>
      <c r="CN1930">
        <v>22.7</v>
      </c>
      <c r="CO1930">
        <v>6.3</v>
      </c>
      <c r="CP1930">
        <v>64.69</v>
      </c>
      <c r="CQ1930">
        <v>2.37</v>
      </c>
      <c r="CR1930">
        <v>0.45</v>
      </c>
      <c r="CS1930" t="s">
        <v>3067</v>
      </c>
      <c r="CT1930">
        <v>2.91</v>
      </c>
      <c r="CU1930">
        <v>0</v>
      </c>
      <c r="CV1930">
        <v>0.74</v>
      </c>
      <c r="CW1930">
        <v>1.1000000000000001</v>
      </c>
      <c r="CX1930">
        <v>0.28000000000000003</v>
      </c>
      <c r="CY1930">
        <v>55.96</v>
      </c>
      <c r="CZ1930" t="s">
        <v>2734</v>
      </c>
      <c r="DA1930">
        <v>10.82</v>
      </c>
      <c r="DB1930">
        <v>3.46</v>
      </c>
      <c r="DC1930">
        <v>2.4300000000000002</v>
      </c>
      <c r="DD1930">
        <v>0.08</v>
      </c>
      <c r="DE1930">
        <v>201</v>
      </c>
      <c r="DF1930">
        <v>300538</v>
      </c>
      <c r="DG1930" t="s">
        <v>116</v>
      </c>
      <c r="DH1930" t="s">
        <v>116</v>
      </c>
      <c r="DI1930" t="s">
        <v>116</v>
      </c>
    </row>
    <row r="1931" spans="1:113" x14ac:dyDescent="0.4">
      <c r="A1931" t="str">
        <f>"300539"</f>
        <v>300539</v>
      </c>
      <c r="B1931" t="s">
        <v>9609</v>
      </c>
      <c r="C1931">
        <v>-0.42</v>
      </c>
      <c r="D1931">
        <v>7.16</v>
      </c>
      <c r="E1931">
        <v>-0.03</v>
      </c>
      <c r="F1931">
        <v>7.15</v>
      </c>
      <c r="G1931">
        <v>7.16</v>
      </c>
      <c r="H1931">
        <v>10101</v>
      </c>
      <c r="I1931">
        <v>120</v>
      </c>
      <c r="J1931">
        <v>0</v>
      </c>
      <c r="K1931">
        <v>0.89</v>
      </c>
      <c r="L1931">
        <v>7.29</v>
      </c>
      <c r="M1931">
        <v>7.29</v>
      </c>
      <c r="N1931">
        <v>7.14</v>
      </c>
      <c r="O1931">
        <v>7.19</v>
      </c>
      <c r="P1931">
        <v>174.76</v>
      </c>
      <c r="Q1931">
        <v>7293607</v>
      </c>
      <c r="R1931">
        <v>0.86</v>
      </c>
      <c r="S1931" t="s">
        <v>2444</v>
      </c>
      <c r="T1931" t="s">
        <v>590</v>
      </c>
      <c r="U1931">
        <v>2.09</v>
      </c>
      <c r="V1931">
        <v>7.22</v>
      </c>
      <c r="W1931">
        <v>5619</v>
      </c>
      <c r="X1931">
        <v>4482</v>
      </c>
      <c r="Y1931">
        <v>1.25</v>
      </c>
      <c r="Z1931">
        <v>225</v>
      </c>
      <c r="AA1931">
        <v>216</v>
      </c>
      <c r="AB1931" t="s">
        <v>116</v>
      </c>
      <c r="AC1931">
        <v>80900</v>
      </c>
      <c r="AD1931">
        <v>0.01</v>
      </c>
      <c r="AE1931" t="s">
        <v>116</v>
      </c>
      <c r="AF1931" t="s">
        <v>116</v>
      </c>
      <c r="AG1931">
        <v>1.1299999999999999</v>
      </c>
      <c r="AH1931" t="s">
        <v>9610</v>
      </c>
      <c r="AI1931" t="s">
        <v>2381</v>
      </c>
      <c r="AJ1931">
        <v>0.26</v>
      </c>
      <c r="AK1931">
        <v>684</v>
      </c>
      <c r="AL1931">
        <v>15</v>
      </c>
      <c r="AM1931">
        <v>1.2999999999999999E-3</v>
      </c>
      <c r="AN1931">
        <v>-1</v>
      </c>
      <c r="AO1931">
        <v>0.14000000000000001</v>
      </c>
      <c r="AP1931">
        <v>4.83</v>
      </c>
      <c r="AQ1931">
        <v>-5.29</v>
      </c>
      <c r="AR1931">
        <v>-10.97</v>
      </c>
      <c r="AS1931">
        <v>0.92</v>
      </c>
      <c r="AT1931" t="s">
        <v>9611</v>
      </c>
      <c r="AU1931">
        <v>355.89</v>
      </c>
      <c r="AV1931">
        <v>155.72</v>
      </c>
      <c r="AW1931">
        <v>0.84</v>
      </c>
      <c r="BA1931">
        <v>1.39</v>
      </c>
      <c r="BB1931">
        <v>1.39</v>
      </c>
      <c r="BC1931">
        <v>-0.7</v>
      </c>
      <c r="BD1931">
        <v>0.42</v>
      </c>
      <c r="BE1931">
        <v>-1.78</v>
      </c>
      <c r="BF1931">
        <v>-1.78</v>
      </c>
      <c r="BG1931">
        <v>0.28000000000000003</v>
      </c>
      <c r="BH1931">
        <v>-0.84</v>
      </c>
      <c r="BI1931">
        <v>20191030</v>
      </c>
      <c r="BJ1931">
        <v>20160830</v>
      </c>
      <c r="BK1931">
        <v>2.2000000000000002</v>
      </c>
      <c r="BL1931" t="s">
        <v>116</v>
      </c>
      <c r="BM1931" t="s">
        <v>116</v>
      </c>
      <c r="BN1931">
        <v>9.89</v>
      </c>
      <c r="BO1931">
        <v>4.8600000000000003</v>
      </c>
      <c r="BP1931">
        <v>0.02</v>
      </c>
      <c r="BQ1931">
        <v>50.64</v>
      </c>
      <c r="BR1931">
        <v>4.78</v>
      </c>
      <c r="BS1931">
        <v>2.57</v>
      </c>
      <c r="BT1931">
        <v>0.73</v>
      </c>
      <c r="BU1931">
        <v>4.3499999999999996</v>
      </c>
      <c r="BV1931">
        <v>1.56</v>
      </c>
      <c r="BW1931">
        <v>1.82</v>
      </c>
      <c r="BX1931">
        <v>1.02</v>
      </c>
      <c r="BY1931">
        <v>3.93</v>
      </c>
      <c r="BZ1931">
        <v>3.18</v>
      </c>
      <c r="CA1931">
        <v>0.1</v>
      </c>
      <c r="CB1931">
        <v>0.01</v>
      </c>
      <c r="CC1931">
        <v>0.1</v>
      </c>
      <c r="CD1931">
        <v>7.0000000000000007E-2</v>
      </c>
      <c r="CE1931">
        <v>7.0000000000000007E-2</v>
      </c>
      <c r="CF1931">
        <v>0.05</v>
      </c>
      <c r="CG1931">
        <v>1.43</v>
      </c>
      <c r="CH1931">
        <v>0.22</v>
      </c>
      <c r="CI1931">
        <v>0.3</v>
      </c>
      <c r="CJ1931">
        <v>13303</v>
      </c>
      <c r="CK1931">
        <v>8256</v>
      </c>
      <c r="CL1931" t="s">
        <v>6505</v>
      </c>
      <c r="CM1931">
        <v>-45.7</v>
      </c>
      <c r="CN1931">
        <v>0.26</v>
      </c>
      <c r="CO1931">
        <v>3.28</v>
      </c>
      <c r="CP1931">
        <v>72.33</v>
      </c>
      <c r="CQ1931">
        <v>4</v>
      </c>
      <c r="CR1931">
        <v>0.53</v>
      </c>
      <c r="CS1931" t="s">
        <v>1650</v>
      </c>
      <c r="CT1931">
        <v>2.1800000000000002</v>
      </c>
      <c r="CU1931">
        <v>2.1800000000000002</v>
      </c>
      <c r="CV1931">
        <v>0.46</v>
      </c>
      <c r="CW1931">
        <v>0.65</v>
      </c>
      <c r="CX1931">
        <v>0.1</v>
      </c>
      <c r="CY1931">
        <v>49.17</v>
      </c>
      <c r="CZ1931" t="s">
        <v>4469</v>
      </c>
      <c r="DA1931">
        <v>19.23</v>
      </c>
      <c r="DB1931">
        <v>2.52</v>
      </c>
      <c r="DC1931">
        <v>1.72</v>
      </c>
      <c r="DD1931">
        <v>0.19</v>
      </c>
      <c r="DE1931">
        <v>1249</v>
      </c>
      <c r="DF1931">
        <v>300539</v>
      </c>
      <c r="DG1931" t="s">
        <v>116</v>
      </c>
      <c r="DH1931" t="s">
        <v>116</v>
      </c>
      <c r="DI1931" t="s">
        <v>116</v>
      </c>
    </row>
    <row r="1932" spans="1:113" x14ac:dyDescent="0.4">
      <c r="A1932" t="str">
        <f>"300540"</f>
        <v>300540</v>
      </c>
      <c r="B1932" t="s">
        <v>9612</v>
      </c>
      <c r="C1932">
        <v>-2.61</v>
      </c>
      <c r="D1932">
        <v>14.2</v>
      </c>
      <c r="E1932">
        <v>-0.38</v>
      </c>
      <c r="F1932">
        <v>14.2</v>
      </c>
      <c r="G1932">
        <v>14.21</v>
      </c>
      <c r="H1932">
        <v>15954</v>
      </c>
      <c r="I1932">
        <v>190</v>
      </c>
      <c r="J1932">
        <v>-0.41</v>
      </c>
      <c r="K1932">
        <v>1.88</v>
      </c>
      <c r="L1932">
        <v>14.76</v>
      </c>
      <c r="M1932">
        <v>14.76</v>
      </c>
      <c r="N1932">
        <v>14.14</v>
      </c>
      <c r="O1932">
        <v>14.58</v>
      </c>
      <c r="P1932">
        <v>129.05000000000001</v>
      </c>
      <c r="Q1932">
        <v>22980362</v>
      </c>
      <c r="R1932">
        <v>0.85</v>
      </c>
      <c r="S1932" t="s">
        <v>682</v>
      </c>
      <c r="T1932" t="s">
        <v>582</v>
      </c>
      <c r="U1932">
        <v>4.25</v>
      </c>
      <c r="V1932">
        <v>14.4</v>
      </c>
      <c r="W1932">
        <v>9858</v>
      </c>
      <c r="X1932">
        <v>6096</v>
      </c>
      <c r="Y1932">
        <v>1.62</v>
      </c>
      <c r="Z1932">
        <v>227</v>
      </c>
      <c r="AA1932">
        <v>1</v>
      </c>
      <c r="AB1932" t="s">
        <v>116</v>
      </c>
      <c r="AC1932">
        <v>60500</v>
      </c>
      <c r="AD1932">
        <v>0.01</v>
      </c>
      <c r="AE1932" t="s">
        <v>116</v>
      </c>
      <c r="AF1932" t="s">
        <v>116</v>
      </c>
      <c r="AG1932">
        <v>0.85</v>
      </c>
      <c r="AH1932" t="s">
        <v>5918</v>
      </c>
      <c r="AI1932" t="s">
        <v>3965</v>
      </c>
      <c r="AJ1932">
        <v>-1.93</v>
      </c>
      <c r="AK1932">
        <v>931</v>
      </c>
      <c r="AL1932">
        <v>17</v>
      </c>
      <c r="AM1932">
        <v>2E-3</v>
      </c>
      <c r="AN1932">
        <v>-1</v>
      </c>
      <c r="AO1932">
        <v>0.49</v>
      </c>
      <c r="AP1932">
        <v>9.23</v>
      </c>
      <c r="AQ1932">
        <v>-6.7</v>
      </c>
      <c r="AR1932">
        <v>16.68</v>
      </c>
      <c r="AS1932">
        <v>3.16</v>
      </c>
      <c r="AT1932" t="s">
        <v>9494</v>
      </c>
      <c r="AU1932" t="s">
        <v>116</v>
      </c>
      <c r="AV1932" t="s">
        <v>116</v>
      </c>
      <c r="AW1932">
        <v>1.21</v>
      </c>
      <c r="BA1932">
        <v>1.23</v>
      </c>
      <c r="BB1932">
        <v>1.23</v>
      </c>
      <c r="BC1932">
        <v>-3.02</v>
      </c>
      <c r="BD1932">
        <v>-1.21</v>
      </c>
      <c r="BE1932">
        <v>-3.79</v>
      </c>
      <c r="BF1932">
        <v>-3.79</v>
      </c>
      <c r="BG1932">
        <v>0.42</v>
      </c>
      <c r="BH1932">
        <v>-1.4</v>
      </c>
      <c r="BI1932">
        <v>20191029</v>
      </c>
      <c r="BJ1932">
        <v>20160823</v>
      </c>
      <c r="BK1932">
        <v>1.25</v>
      </c>
      <c r="BL1932" t="s">
        <v>116</v>
      </c>
      <c r="BM1932" t="s">
        <v>116</v>
      </c>
      <c r="BN1932">
        <v>9.8800000000000008</v>
      </c>
      <c r="BO1932">
        <v>5.6</v>
      </c>
      <c r="BP1932">
        <v>0.17</v>
      </c>
      <c r="BQ1932">
        <v>41.51</v>
      </c>
      <c r="BR1932">
        <v>8.3800000000000008</v>
      </c>
      <c r="BS1932">
        <v>0.14000000000000001</v>
      </c>
      <c r="BT1932">
        <v>0.18</v>
      </c>
      <c r="BU1932">
        <v>4.09</v>
      </c>
      <c r="BV1932">
        <v>0.92</v>
      </c>
      <c r="BW1932">
        <v>4.18</v>
      </c>
      <c r="BX1932">
        <v>3.31</v>
      </c>
      <c r="BY1932">
        <v>3.28</v>
      </c>
      <c r="BZ1932">
        <v>2.8</v>
      </c>
      <c r="CA1932">
        <v>0.04</v>
      </c>
      <c r="CB1932">
        <v>0.01</v>
      </c>
      <c r="CC1932">
        <v>0.11</v>
      </c>
      <c r="CD1932">
        <v>0.11</v>
      </c>
      <c r="CE1932">
        <v>0.1</v>
      </c>
      <c r="CF1932">
        <v>0.04</v>
      </c>
      <c r="CG1932">
        <v>0.91</v>
      </c>
      <c r="CH1932">
        <v>0.26</v>
      </c>
      <c r="CI1932">
        <v>-0.85</v>
      </c>
      <c r="CJ1932">
        <v>9960</v>
      </c>
      <c r="CK1932">
        <v>5064</v>
      </c>
      <c r="CL1932" t="s">
        <v>5747</v>
      </c>
      <c r="CM1932">
        <v>65.08</v>
      </c>
      <c r="CN1932">
        <v>59.44</v>
      </c>
      <c r="CO1932">
        <v>3.16</v>
      </c>
      <c r="CP1932">
        <v>66.83</v>
      </c>
      <c r="CQ1932">
        <v>5.4</v>
      </c>
      <c r="CR1932">
        <v>0</v>
      </c>
      <c r="CS1932" t="s">
        <v>6275</v>
      </c>
      <c r="CT1932">
        <v>4.49</v>
      </c>
      <c r="CU1932">
        <v>0</v>
      </c>
      <c r="CV1932">
        <v>2.65</v>
      </c>
      <c r="CW1932">
        <v>0.73</v>
      </c>
      <c r="CX1932">
        <v>0.21</v>
      </c>
      <c r="CY1932">
        <v>56.72</v>
      </c>
      <c r="CZ1932" t="s">
        <v>2285</v>
      </c>
      <c r="DA1932">
        <v>14.64</v>
      </c>
      <c r="DB1932">
        <v>1.33</v>
      </c>
      <c r="DC1932">
        <v>3.14</v>
      </c>
      <c r="DD1932">
        <v>0.11</v>
      </c>
      <c r="DE1932">
        <v>270</v>
      </c>
      <c r="DF1932">
        <v>300540</v>
      </c>
      <c r="DG1932" t="s">
        <v>116</v>
      </c>
      <c r="DH1932" t="s">
        <v>116</v>
      </c>
      <c r="DI1932" t="s">
        <v>116</v>
      </c>
    </row>
    <row r="1933" spans="1:113" x14ac:dyDescent="0.4">
      <c r="A1933" t="str">
        <f>"300541"</f>
        <v>300541</v>
      </c>
      <c r="B1933" t="s">
        <v>9613</v>
      </c>
      <c r="C1933">
        <v>-1.75</v>
      </c>
      <c r="D1933">
        <v>22.99</v>
      </c>
      <c r="E1933">
        <v>-0.41</v>
      </c>
      <c r="F1933">
        <v>22.98</v>
      </c>
      <c r="G1933">
        <v>22.99</v>
      </c>
      <c r="H1933">
        <v>114482</v>
      </c>
      <c r="I1933">
        <v>1484</v>
      </c>
      <c r="J1933">
        <v>-0.25</v>
      </c>
      <c r="K1933">
        <v>8.02</v>
      </c>
      <c r="L1933">
        <v>23.52</v>
      </c>
      <c r="M1933">
        <v>24.15</v>
      </c>
      <c r="N1933">
        <v>22.84</v>
      </c>
      <c r="O1933">
        <v>23.4</v>
      </c>
      <c r="P1933">
        <v>78.569999999999993</v>
      </c>
      <c r="Q1933">
        <v>269218400</v>
      </c>
      <c r="R1933">
        <v>1.1000000000000001</v>
      </c>
      <c r="S1933" t="s">
        <v>607</v>
      </c>
      <c r="T1933" t="s">
        <v>165</v>
      </c>
      <c r="U1933">
        <v>5.6</v>
      </c>
      <c r="V1933">
        <v>23.52</v>
      </c>
      <c r="W1933">
        <v>62207</v>
      </c>
      <c r="X1933">
        <v>52275</v>
      </c>
      <c r="Y1933">
        <v>1.19</v>
      </c>
      <c r="Z1933">
        <v>82</v>
      </c>
      <c r="AA1933">
        <v>45</v>
      </c>
      <c r="AB1933" t="s">
        <v>116</v>
      </c>
      <c r="AC1933">
        <v>1056000</v>
      </c>
      <c r="AD1933">
        <v>0.04</v>
      </c>
      <c r="AE1933" t="s">
        <v>116</v>
      </c>
      <c r="AF1933" t="s">
        <v>116</v>
      </c>
      <c r="AG1933">
        <v>1.43</v>
      </c>
      <c r="AH1933" t="s">
        <v>9614</v>
      </c>
      <c r="AI1933" t="s">
        <v>9615</v>
      </c>
      <c r="AJ1933">
        <v>-1.07</v>
      </c>
      <c r="AK1933">
        <v>3432</v>
      </c>
      <c r="AL1933">
        <v>33</v>
      </c>
      <c r="AM1933">
        <v>2.3E-3</v>
      </c>
      <c r="AN1933">
        <v>-2</v>
      </c>
      <c r="AO1933">
        <v>4.6500000000000004</v>
      </c>
      <c r="AP1933">
        <v>10.050000000000001</v>
      </c>
      <c r="AQ1933">
        <v>35.79</v>
      </c>
      <c r="AR1933">
        <v>68.87</v>
      </c>
      <c r="AS1933">
        <v>9.14</v>
      </c>
      <c r="AT1933" t="s">
        <v>1082</v>
      </c>
      <c r="AU1933">
        <v>61.07</v>
      </c>
      <c r="AV1933">
        <v>81.34</v>
      </c>
      <c r="AW1933">
        <v>1.41</v>
      </c>
      <c r="BA1933">
        <v>0.51</v>
      </c>
      <c r="BB1933">
        <v>3.21</v>
      </c>
      <c r="BC1933">
        <v>-2.39</v>
      </c>
      <c r="BD1933">
        <v>0.5</v>
      </c>
      <c r="BE1933">
        <v>-2.25</v>
      </c>
      <c r="BF1933">
        <v>-4.8</v>
      </c>
      <c r="BG1933">
        <v>0.66</v>
      </c>
      <c r="BH1933">
        <v>-2.25</v>
      </c>
      <c r="BI1933">
        <v>20191212</v>
      </c>
      <c r="BJ1933">
        <v>20160913</v>
      </c>
      <c r="BK1933">
        <v>1.81</v>
      </c>
      <c r="BL1933" t="s">
        <v>116</v>
      </c>
      <c r="BM1933" t="s">
        <v>116</v>
      </c>
      <c r="BN1933">
        <v>13.4</v>
      </c>
      <c r="BO1933">
        <v>8.2200000000000006</v>
      </c>
      <c r="BP1933">
        <v>0</v>
      </c>
      <c r="BQ1933">
        <v>38.65</v>
      </c>
      <c r="BR1933">
        <v>11.06</v>
      </c>
      <c r="BS1933">
        <v>0.73</v>
      </c>
      <c r="BT1933">
        <v>0.21</v>
      </c>
      <c r="BU1933">
        <v>5.18</v>
      </c>
      <c r="BV1933">
        <v>4.21</v>
      </c>
      <c r="BW1933">
        <v>4.97</v>
      </c>
      <c r="BX1933">
        <v>3.18</v>
      </c>
      <c r="BY1933">
        <v>10.72</v>
      </c>
      <c r="BZ1933">
        <v>9.35</v>
      </c>
      <c r="CA1933">
        <v>0.46</v>
      </c>
      <c r="CB1933">
        <v>0.09</v>
      </c>
      <c r="CC1933">
        <v>0.46</v>
      </c>
      <c r="CD1933">
        <v>0.4</v>
      </c>
      <c r="CE1933">
        <v>0.4</v>
      </c>
      <c r="CF1933">
        <v>0.4</v>
      </c>
      <c r="CG1933">
        <v>2.96</v>
      </c>
      <c r="CH1933">
        <v>-2.61</v>
      </c>
      <c r="CI1933">
        <v>-2.02</v>
      </c>
      <c r="CJ1933">
        <v>18401</v>
      </c>
      <c r="CK1933">
        <v>6804</v>
      </c>
      <c r="CL1933" t="s">
        <v>9616</v>
      </c>
      <c r="CM1933">
        <v>74.66</v>
      </c>
      <c r="CN1933">
        <v>28.32</v>
      </c>
      <c r="CO1933">
        <v>5.0599999999999996</v>
      </c>
      <c r="CP1933">
        <v>-15.96</v>
      </c>
      <c r="CQ1933">
        <v>3.89</v>
      </c>
      <c r="CR1933">
        <v>0.28999999999999998</v>
      </c>
      <c r="CS1933" t="s">
        <v>4880</v>
      </c>
      <c r="CT1933">
        <v>4.54</v>
      </c>
      <c r="CU1933">
        <v>0</v>
      </c>
      <c r="CV1933">
        <v>1.76</v>
      </c>
      <c r="CW1933">
        <v>1.63</v>
      </c>
      <c r="CX1933">
        <v>-1.44</v>
      </c>
      <c r="CY1933">
        <v>61.35</v>
      </c>
      <c r="CZ1933" t="s">
        <v>9617</v>
      </c>
      <c r="DA1933">
        <v>12.76</v>
      </c>
      <c r="DB1933">
        <v>4.26</v>
      </c>
      <c r="DC1933">
        <v>3.71</v>
      </c>
      <c r="DD1933">
        <v>0.19</v>
      </c>
      <c r="DE1933">
        <v>1616</v>
      </c>
      <c r="DF1933">
        <v>300541</v>
      </c>
      <c r="DG1933" t="s">
        <v>116</v>
      </c>
      <c r="DH1933" t="s">
        <v>116</v>
      </c>
      <c r="DI1933" t="s">
        <v>116</v>
      </c>
    </row>
    <row r="1934" spans="1:113" x14ac:dyDescent="0.4">
      <c r="A1934" t="str">
        <f>"300542"</f>
        <v>300542</v>
      </c>
      <c r="B1934" t="s">
        <v>9618</v>
      </c>
      <c r="C1934">
        <v>-2.52</v>
      </c>
      <c r="D1934">
        <v>15.11</v>
      </c>
      <c r="E1934">
        <v>-0.39</v>
      </c>
      <c r="F1934">
        <v>15.1</v>
      </c>
      <c r="G1934">
        <v>15.11</v>
      </c>
      <c r="H1934">
        <v>45471</v>
      </c>
      <c r="I1934">
        <v>636</v>
      </c>
      <c r="J1934">
        <v>-0.12</v>
      </c>
      <c r="K1934">
        <v>2.81</v>
      </c>
      <c r="L1934">
        <v>15.5</v>
      </c>
      <c r="M1934">
        <v>15.61</v>
      </c>
      <c r="N1934">
        <v>15.1</v>
      </c>
      <c r="O1934">
        <v>15.5</v>
      </c>
      <c r="P1934">
        <v>255.96</v>
      </c>
      <c r="Q1934">
        <v>69698600</v>
      </c>
      <c r="R1934">
        <v>1.04</v>
      </c>
      <c r="S1934" t="s">
        <v>607</v>
      </c>
      <c r="T1934" t="s">
        <v>165</v>
      </c>
      <c r="U1934">
        <v>3.29</v>
      </c>
      <c r="V1934">
        <v>15.33</v>
      </c>
      <c r="W1934">
        <v>26361</v>
      </c>
      <c r="X1934">
        <v>19110</v>
      </c>
      <c r="Y1934">
        <v>1.38</v>
      </c>
      <c r="Z1934">
        <v>3141</v>
      </c>
      <c r="AA1934">
        <v>19</v>
      </c>
      <c r="AB1934" t="s">
        <v>116</v>
      </c>
      <c r="AC1934">
        <v>153600</v>
      </c>
      <c r="AD1934">
        <v>0.01</v>
      </c>
      <c r="AE1934" t="s">
        <v>116</v>
      </c>
      <c r="AF1934" t="s">
        <v>116</v>
      </c>
      <c r="AG1934">
        <v>1.62</v>
      </c>
      <c r="AH1934" t="s">
        <v>9619</v>
      </c>
      <c r="AI1934" t="s">
        <v>9620</v>
      </c>
      <c r="AJ1934">
        <v>-1.84</v>
      </c>
      <c r="AK1934">
        <v>2481</v>
      </c>
      <c r="AL1934">
        <v>18</v>
      </c>
      <c r="AM1934">
        <v>1.1000000000000001E-3</v>
      </c>
      <c r="AN1934">
        <v>-1</v>
      </c>
      <c r="AO1934">
        <v>-0.2</v>
      </c>
      <c r="AP1934">
        <v>0.67</v>
      </c>
      <c r="AQ1934">
        <v>0.53</v>
      </c>
      <c r="AR1934">
        <v>64.36</v>
      </c>
      <c r="AS1934">
        <v>5.37</v>
      </c>
      <c r="AT1934" t="s">
        <v>7320</v>
      </c>
      <c r="AU1934">
        <v>92.14</v>
      </c>
      <c r="AV1934">
        <v>91.26</v>
      </c>
      <c r="AW1934">
        <v>1.77</v>
      </c>
      <c r="BA1934">
        <v>0</v>
      </c>
      <c r="BB1934">
        <v>0.71</v>
      </c>
      <c r="BC1934">
        <v>-2.58</v>
      </c>
      <c r="BD1934">
        <v>-1.1100000000000001</v>
      </c>
      <c r="BE1934">
        <v>-2.52</v>
      </c>
      <c r="BF1934">
        <v>-3.2</v>
      </c>
      <c r="BG1934">
        <v>7.0000000000000007E-2</v>
      </c>
      <c r="BH1934">
        <v>-1.41</v>
      </c>
      <c r="BI1934">
        <v>20191225</v>
      </c>
      <c r="BJ1934">
        <v>20160920</v>
      </c>
      <c r="BK1934">
        <v>2.3199999999999998</v>
      </c>
      <c r="BL1934" t="s">
        <v>116</v>
      </c>
      <c r="BM1934" t="s">
        <v>116</v>
      </c>
      <c r="BN1934">
        <v>10.59</v>
      </c>
      <c r="BO1934">
        <v>6.41</v>
      </c>
      <c r="BP1934">
        <v>0.17</v>
      </c>
      <c r="BQ1934">
        <v>37.909999999999997</v>
      </c>
      <c r="BR1934">
        <v>7.33</v>
      </c>
      <c r="BS1934">
        <v>0.53</v>
      </c>
      <c r="BT1934">
        <v>0.09</v>
      </c>
      <c r="BU1934">
        <v>3.44</v>
      </c>
      <c r="BV1934">
        <v>0.82</v>
      </c>
      <c r="BW1934">
        <v>3.77</v>
      </c>
      <c r="BX1934">
        <v>0.79</v>
      </c>
      <c r="BY1934">
        <v>6.73</v>
      </c>
      <c r="BZ1934">
        <v>5.23</v>
      </c>
      <c r="CA1934">
        <v>0.24</v>
      </c>
      <c r="CB1934">
        <v>0.02</v>
      </c>
      <c r="CC1934">
        <v>0.24</v>
      </c>
      <c r="CD1934">
        <v>0.2</v>
      </c>
      <c r="CE1934">
        <v>0.1</v>
      </c>
      <c r="CF1934">
        <v>0.08</v>
      </c>
      <c r="CG1934">
        <v>2.95</v>
      </c>
      <c r="CH1934">
        <v>-0.36</v>
      </c>
      <c r="CI1934">
        <v>-1.54</v>
      </c>
      <c r="CJ1934">
        <v>22312</v>
      </c>
      <c r="CK1934">
        <v>3796</v>
      </c>
      <c r="CL1934" t="s">
        <v>2654</v>
      </c>
      <c r="CM1934">
        <v>-3.44</v>
      </c>
      <c r="CN1934">
        <v>90.03</v>
      </c>
      <c r="CO1934">
        <v>5.47</v>
      </c>
      <c r="CP1934">
        <v>-98.31</v>
      </c>
      <c r="CQ1934">
        <v>5.2</v>
      </c>
      <c r="CR1934">
        <v>0.22</v>
      </c>
      <c r="CS1934" t="s">
        <v>8251</v>
      </c>
      <c r="CT1934">
        <v>2.76</v>
      </c>
      <c r="CU1934">
        <v>0</v>
      </c>
      <c r="CV1934">
        <v>0.34</v>
      </c>
      <c r="CW1934">
        <v>1.27</v>
      </c>
      <c r="CX1934">
        <v>-0.15</v>
      </c>
      <c r="CY1934">
        <v>60.48</v>
      </c>
      <c r="CZ1934" t="s">
        <v>9621</v>
      </c>
      <c r="DA1934">
        <v>22.31</v>
      </c>
      <c r="DB1934">
        <v>3.61</v>
      </c>
      <c r="DC1934">
        <v>1.52</v>
      </c>
      <c r="DD1934">
        <v>0.56999999999999995</v>
      </c>
      <c r="DE1934">
        <v>1238</v>
      </c>
      <c r="DF1934">
        <v>300542</v>
      </c>
      <c r="DG1934" t="s">
        <v>116</v>
      </c>
      <c r="DH1934" t="s">
        <v>116</v>
      </c>
      <c r="DI1934" t="s">
        <v>116</v>
      </c>
    </row>
    <row r="1935" spans="1:113" x14ac:dyDescent="0.4">
      <c r="A1935" t="str">
        <f>"300543"</f>
        <v>300543</v>
      </c>
      <c r="B1935" t="s">
        <v>9622</v>
      </c>
      <c r="C1935">
        <v>-1.93</v>
      </c>
      <c r="D1935">
        <v>22.88</v>
      </c>
      <c r="E1935">
        <v>-0.45</v>
      </c>
      <c r="F1935">
        <v>22.87</v>
      </c>
      <c r="G1935">
        <v>22.88</v>
      </c>
      <c r="H1935">
        <v>22509</v>
      </c>
      <c r="I1935">
        <v>154</v>
      </c>
      <c r="J1935">
        <v>0.13</v>
      </c>
      <c r="K1935">
        <v>1.88</v>
      </c>
      <c r="L1935">
        <v>23.18</v>
      </c>
      <c r="M1935">
        <v>23.52</v>
      </c>
      <c r="N1935">
        <v>22.84</v>
      </c>
      <c r="O1935">
        <v>23.33</v>
      </c>
      <c r="P1935">
        <v>27.5</v>
      </c>
      <c r="Q1935">
        <v>52173136</v>
      </c>
      <c r="R1935">
        <v>1.08</v>
      </c>
      <c r="S1935" t="s">
        <v>397</v>
      </c>
      <c r="T1935" t="s">
        <v>115</v>
      </c>
      <c r="U1935">
        <v>2.91</v>
      </c>
      <c r="V1935">
        <v>23.18</v>
      </c>
      <c r="W1935">
        <v>12041</v>
      </c>
      <c r="X1935">
        <v>10468</v>
      </c>
      <c r="Y1935">
        <v>1.1499999999999999</v>
      </c>
      <c r="Z1935">
        <v>35</v>
      </c>
      <c r="AA1935">
        <v>14</v>
      </c>
      <c r="AB1935" t="s">
        <v>116</v>
      </c>
      <c r="AC1935">
        <v>341000</v>
      </c>
      <c r="AD1935">
        <v>0.02</v>
      </c>
      <c r="AE1935" t="s">
        <v>116</v>
      </c>
      <c r="AF1935" t="s">
        <v>116</v>
      </c>
      <c r="AG1935">
        <v>1.2</v>
      </c>
      <c r="AH1935" t="s">
        <v>9623</v>
      </c>
      <c r="AI1935" t="s">
        <v>4848</v>
      </c>
      <c r="AJ1935">
        <v>-1.25</v>
      </c>
      <c r="AK1935">
        <v>2463</v>
      </c>
      <c r="AL1935">
        <v>9</v>
      </c>
      <c r="AM1935">
        <v>8.0000000000000004E-4</v>
      </c>
      <c r="AN1935">
        <v>-1</v>
      </c>
      <c r="AO1935">
        <v>1.46</v>
      </c>
      <c r="AP1935">
        <v>9.4700000000000006</v>
      </c>
      <c r="AQ1935">
        <v>2.14</v>
      </c>
      <c r="AR1935">
        <v>35.75</v>
      </c>
      <c r="AS1935">
        <v>2.5099999999999998</v>
      </c>
      <c r="AT1935" t="s">
        <v>8716</v>
      </c>
      <c r="AU1935">
        <v>31.5</v>
      </c>
      <c r="AV1935">
        <v>62.33</v>
      </c>
      <c r="AW1935">
        <v>1.22</v>
      </c>
      <c r="BA1935">
        <v>-0.64</v>
      </c>
      <c r="BB1935">
        <v>0.81</v>
      </c>
      <c r="BC1935">
        <v>-2.1</v>
      </c>
      <c r="BD1935">
        <v>-0.65</v>
      </c>
      <c r="BE1935">
        <v>-1.29</v>
      </c>
      <c r="BF1935">
        <v>-2.72</v>
      </c>
      <c r="BG1935">
        <v>0.18</v>
      </c>
      <c r="BH1935">
        <v>-1.28</v>
      </c>
      <c r="BI1935">
        <v>20191217</v>
      </c>
      <c r="BJ1935">
        <v>20160908</v>
      </c>
      <c r="BK1935">
        <v>1.21</v>
      </c>
      <c r="BL1935" t="s">
        <v>116</v>
      </c>
      <c r="BM1935" t="s">
        <v>116</v>
      </c>
      <c r="BN1935">
        <v>11.42</v>
      </c>
      <c r="BO1935">
        <v>7.3</v>
      </c>
      <c r="BP1935">
        <v>0.01</v>
      </c>
      <c r="BQ1935">
        <v>36.03</v>
      </c>
      <c r="BR1935">
        <v>9.0299999999999994</v>
      </c>
      <c r="BS1935">
        <v>1.76</v>
      </c>
      <c r="BT1935">
        <v>0.27</v>
      </c>
      <c r="BU1935">
        <v>4.0999999999999996</v>
      </c>
      <c r="BV1935">
        <v>2.4700000000000002</v>
      </c>
      <c r="BW1935">
        <v>2.04</v>
      </c>
      <c r="BX1935">
        <v>2.7</v>
      </c>
      <c r="BY1935">
        <v>10.09</v>
      </c>
      <c r="BZ1935">
        <v>8.15</v>
      </c>
      <c r="CA1935">
        <v>0.81</v>
      </c>
      <c r="CB1935">
        <v>0.02</v>
      </c>
      <c r="CC1935">
        <v>0.85</v>
      </c>
      <c r="CD1935">
        <v>0.75</v>
      </c>
      <c r="CE1935">
        <v>0.76</v>
      </c>
      <c r="CF1935">
        <v>0.72</v>
      </c>
      <c r="CG1935">
        <v>3.02</v>
      </c>
      <c r="CH1935">
        <v>1.33</v>
      </c>
      <c r="CI1935">
        <v>0.39</v>
      </c>
      <c r="CJ1935">
        <v>16926</v>
      </c>
      <c r="CK1935">
        <v>5292</v>
      </c>
      <c r="CL1935" t="s">
        <v>6118</v>
      </c>
      <c r="CM1935">
        <v>135.69</v>
      </c>
      <c r="CN1935">
        <v>17.100000000000001</v>
      </c>
      <c r="CO1935">
        <v>3.76</v>
      </c>
      <c r="CP1935">
        <v>20.93</v>
      </c>
      <c r="CQ1935">
        <v>2.75</v>
      </c>
      <c r="CR1935">
        <v>0.32</v>
      </c>
      <c r="CS1935" t="s">
        <v>9624</v>
      </c>
      <c r="CT1935">
        <v>6.08</v>
      </c>
      <c r="CU1935">
        <v>6.08</v>
      </c>
      <c r="CV1935">
        <v>2.23</v>
      </c>
      <c r="CW1935">
        <v>2.4900000000000002</v>
      </c>
      <c r="CX1935">
        <v>1.0900000000000001</v>
      </c>
      <c r="CY1935">
        <v>63.86</v>
      </c>
      <c r="CZ1935" t="s">
        <v>9625</v>
      </c>
      <c r="DA1935">
        <v>19.25</v>
      </c>
      <c r="DB1935">
        <v>8.0399999999999991</v>
      </c>
      <c r="DC1935">
        <v>7.51</v>
      </c>
      <c r="DD1935">
        <v>0.32</v>
      </c>
      <c r="DE1935">
        <v>1807</v>
      </c>
      <c r="DF1935">
        <v>300543</v>
      </c>
      <c r="DG1935" t="s">
        <v>116</v>
      </c>
      <c r="DH1935" t="s">
        <v>116</v>
      </c>
      <c r="DI1935" t="s">
        <v>116</v>
      </c>
    </row>
    <row r="1936" spans="1:113" x14ac:dyDescent="0.4">
      <c r="A1936" t="str">
        <f>"300545"</f>
        <v>300545</v>
      </c>
      <c r="B1936" t="s">
        <v>9626</v>
      </c>
      <c r="C1936">
        <v>-1.78</v>
      </c>
      <c r="D1936">
        <v>25.93</v>
      </c>
      <c r="E1936">
        <v>-0.47</v>
      </c>
      <c r="F1936">
        <v>25.93</v>
      </c>
      <c r="G1936">
        <v>25.96</v>
      </c>
      <c r="H1936">
        <v>30928</v>
      </c>
      <c r="I1936">
        <v>248</v>
      </c>
      <c r="J1936">
        <v>0.43</v>
      </c>
      <c r="K1936">
        <v>4.3099999999999996</v>
      </c>
      <c r="L1936">
        <v>26.43</v>
      </c>
      <c r="M1936">
        <v>26.79</v>
      </c>
      <c r="N1936">
        <v>25.72</v>
      </c>
      <c r="O1936">
        <v>26.4</v>
      </c>
      <c r="P1936">
        <v>49.58</v>
      </c>
      <c r="Q1936">
        <v>81282552</v>
      </c>
      <c r="R1936">
        <v>1.01</v>
      </c>
      <c r="S1936" t="s">
        <v>682</v>
      </c>
      <c r="T1936" t="s">
        <v>115</v>
      </c>
      <c r="U1936">
        <v>4.05</v>
      </c>
      <c r="V1936">
        <v>26.28</v>
      </c>
      <c r="W1936">
        <v>18229</v>
      </c>
      <c r="X1936">
        <v>12699</v>
      </c>
      <c r="Y1936">
        <v>1.44</v>
      </c>
      <c r="Z1936">
        <v>30</v>
      </c>
      <c r="AA1936">
        <v>10</v>
      </c>
      <c r="AB1936" t="s">
        <v>116</v>
      </c>
      <c r="AC1936">
        <v>1435100</v>
      </c>
      <c r="AD1936">
        <v>0.11</v>
      </c>
      <c r="AE1936" t="s">
        <v>116</v>
      </c>
      <c r="AF1936" t="s">
        <v>116</v>
      </c>
      <c r="AG1936">
        <v>0.72</v>
      </c>
      <c r="AH1936" t="s">
        <v>9627</v>
      </c>
      <c r="AI1936" t="s">
        <v>9628</v>
      </c>
      <c r="AJ1936">
        <v>-1.1000000000000001</v>
      </c>
      <c r="AK1936">
        <v>1817</v>
      </c>
      <c r="AL1936">
        <v>17</v>
      </c>
      <c r="AM1936">
        <v>2.3999999999999998E-3</v>
      </c>
      <c r="AN1936">
        <v>-1</v>
      </c>
      <c r="AO1936">
        <v>0.94</v>
      </c>
      <c r="AP1936">
        <v>4.8099999999999996</v>
      </c>
      <c r="AQ1936">
        <v>4.3899999999999997</v>
      </c>
      <c r="AR1936">
        <v>25.93</v>
      </c>
      <c r="AS1936">
        <v>6.36</v>
      </c>
      <c r="AT1936" t="s">
        <v>9629</v>
      </c>
      <c r="AU1936">
        <v>52.4</v>
      </c>
      <c r="AV1936">
        <v>43.82</v>
      </c>
      <c r="AW1936">
        <v>1.25</v>
      </c>
      <c r="BA1936">
        <v>0.11</v>
      </c>
      <c r="BB1936">
        <v>1.48</v>
      </c>
      <c r="BC1936">
        <v>-2.58</v>
      </c>
      <c r="BD1936">
        <v>-0.45</v>
      </c>
      <c r="BE1936">
        <v>-1.89</v>
      </c>
      <c r="BF1936">
        <v>-3.21</v>
      </c>
      <c r="BG1936">
        <v>0.82</v>
      </c>
      <c r="BH1936">
        <v>-1.33</v>
      </c>
      <c r="BI1936">
        <v>20191030</v>
      </c>
      <c r="BJ1936">
        <v>20160928</v>
      </c>
      <c r="BK1936">
        <v>1.44</v>
      </c>
      <c r="BL1936" t="s">
        <v>116</v>
      </c>
      <c r="BM1936" t="s">
        <v>116</v>
      </c>
      <c r="BN1936">
        <v>12.4</v>
      </c>
      <c r="BO1936">
        <v>6.43</v>
      </c>
      <c r="BP1936">
        <v>0</v>
      </c>
      <c r="BQ1936">
        <v>48.16</v>
      </c>
      <c r="BR1936">
        <v>9.17</v>
      </c>
      <c r="BS1936">
        <v>0.18</v>
      </c>
      <c r="BT1936">
        <v>1.76</v>
      </c>
      <c r="BU1936">
        <v>5.93</v>
      </c>
      <c r="BV1936">
        <v>3.55</v>
      </c>
      <c r="BW1936">
        <v>2.2599999999999998</v>
      </c>
      <c r="BX1936">
        <v>1.82</v>
      </c>
      <c r="BY1936">
        <v>4.92</v>
      </c>
      <c r="BZ1936">
        <v>3.35</v>
      </c>
      <c r="CA1936">
        <v>0.66</v>
      </c>
      <c r="CB1936">
        <v>-0.02</v>
      </c>
      <c r="CC1936">
        <v>0.67</v>
      </c>
      <c r="CD1936">
        <v>0.56999999999999995</v>
      </c>
      <c r="CE1936">
        <v>0.56999999999999995</v>
      </c>
      <c r="CF1936">
        <v>0.54</v>
      </c>
      <c r="CG1936">
        <v>2.92</v>
      </c>
      <c r="CH1936">
        <v>0.97</v>
      </c>
      <c r="CI1936">
        <v>0.78</v>
      </c>
      <c r="CJ1936">
        <v>16191</v>
      </c>
      <c r="CK1936">
        <v>3003</v>
      </c>
      <c r="CL1936" t="s">
        <v>8572</v>
      </c>
      <c r="CM1936">
        <v>-19.82</v>
      </c>
      <c r="CN1936">
        <v>-0.5</v>
      </c>
      <c r="CO1936">
        <v>5.81</v>
      </c>
      <c r="CP1936">
        <v>38.32</v>
      </c>
      <c r="CQ1936">
        <v>7.59</v>
      </c>
      <c r="CR1936">
        <v>0.39</v>
      </c>
      <c r="CS1936" t="s">
        <v>9083</v>
      </c>
      <c r="CT1936">
        <v>4.46</v>
      </c>
      <c r="CU1936">
        <v>0</v>
      </c>
      <c r="CV1936">
        <v>1.26</v>
      </c>
      <c r="CW1936">
        <v>2.0299999999999998</v>
      </c>
      <c r="CX1936">
        <v>0.68</v>
      </c>
      <c r="CY1936">
        <v>51.84</v>
      </c>
      <c r="CZ1936" t="s">
        <v>8404</v>
      </c>
      <c r="DA1936">
        <v>31.92</v>
      </c>
      <c r="DB1936">
        <v>13.35</v>
      </c>
      <c r="DC1936">
        <v>11.49</v>
      </c>
      <c r="DD1936">
        <v>0.46</v>
      </c>
      <c r="DE1936">
        <v>1061</v>
      </c>
      <c r="DF1936">
        <v>300545</v>
      </c>
      <c r="DG1936" t="s">
        <v>116</v>
      </c>
      <c r="DH1936" t="s">
        <v>116</v>
      </c>
      <c r="DI1936" t="s">
        <v>116</v>
      </c>
    </row>
    <row r="1937" spans="1:113" x14ac:dyDescent="0.4">
      <c r="A1937" t="str">
        <f>"300546"</f>
        <v>300546</v>
      </c>
      <c r="B1937" t="s">
        <v>9630</v>
      </c>
      <c r="C1937">
        <v>-1.27</v>
      </c>
      <c r="D1937">
        <v>28.72</v>
      </c>
      <c r="E1937">
        <v>-0.37</v>
      </c>
      <c r="F1937">
        <v>28.71</v>
      </c>
      <c r="G1937">
        <v>28.72</v>
      </c>
      <c r="H1937">
        <v>14224</v>
      </c>
      <c r="I1937">
        <v>400</v>
      </c>
      <c r="J1937">
        <v>-0.27</v>
      </c>
      <c r="K1937">
        <v>1.74</v>
      </c>
      <c r="L1937">
        <v>29.1</v>
      </c>
      <c r="M1937">
        <v>29.4</v>
      </c>
      <c r="N1937">
        <v>28.72</v>
      </c>
      <c r="O1937">
        <v>29.09</v>
      </c>
      <c r="P1937">
        <v>37.909999999999997</v>
      </c>
      <c r="Q1937">
        <v>41340860</v>
      </c>
      <c r="R1937">
        <v>0.96</v>
      </c>
      <c r="S1937" t="s">
        <v>233</v>
      </c>
      <c r="T1937" t="s">
        <v>115</v>
      </c>
      <c r="U1937">
        <v>2.34</v>
      </c>
      <c r="V1937">
        <v>29.06</v>
      </c>
      <c r="W1937">
        <v>7174</v>
      </c>
      <c r="X1937">
        <v>7050</v>
      </c>
      <c r="Y1937">
        <v>1.02</v>
      </c>
      <c r="Z1937">
        <v>24</v>
      </c>
      <c r="AA1937">
        <v>10</v>
      </c>
      <c r="AB1937" t="s">
        <v>116</v>
      </c>
      <c r="AC1937">
        <v>5800</v>
      </c>
      <c r="AD1937">
        <v>0</v>
      </c>
      <c r="AE1937" t="s">
        <v>116</v>
      </c>
      <c r="AF1937" t="s">
        <v>116</v>
      </c>
      <c r="AG1937">
        <v>0.82</v>
      </c>
      <c r="AH1937" t="s">
        <v>311</v>
      </c>
      <c r="AI1937" t="s">
        <v>9631</v>
      </c>
      <c r="AJ1937">
        <v>-0.59</v>
      </c>
      <c r="AK1937">
        <v>1586</v>
      </c>
      <c r="AL1937">
        <v>9</v>
      </c>
      <c r="AM1937">
        <v>1.1000000000000001E-3</v>
      </c>
      <c r="AN1937">
        <v>-1</v>
      </c>
      <c r="AO1937">
        <v>2.4300000000000002</v>
      </c>
      <c r="AP1937">
        <v>9.4499999999999993</v>
      </c>
      <c r="AQ1937">
        <v>9.66</v>
      </c>
      <c r="AR1937">
        <v>11.53</v>
      </c>
      <c r="AS1937">
        <v>2.39</v>
      </c>
      <c r="AT1937" t="s">
        <v>9632</v>
      </c>
      <c r="AU1937">
        <v>30.98</v>
      </c>
      <c r="AV1937">
        <v>36.39</v>
      </c>
      <c r="AW1937">
        <v>1.3</v>
      </c>
      <c r="BA1937">
        <v>0.03</v>
      </c>
      <c r="BB1937">
        <v>1.07</v>
      </c>
      <c r="BC1937">
        <v>-1.27</v>
      </c>
      <c r="BD1937">
        <v>-0.09</v>
      </c>
      <c r="BE1937">
        <v>-1.31</v>
      </c>
      <c r="BF1937">
        <v>-2.31</v>
      </c>
      <c r="BG1937">
        <v>0</v>
      </c>
      <c r="BH1937">
        <v>-1.19</v>
      </c>
      <c r="BI1937">
        <v>20191031</v>
      </c>
      <c r="BJ1937">
        <v>20160928</v>
      </c>
      <c r="BK1937">
        <v>1.37</v>
      </c>
      <c r="BL1937" t="s">
        <v>116</v>
      </c>
      <c r="BM1937" t="s">
        <v>116</v>
      </c>
      <c r="BN1937">
        <v>10.28</v>
      </c>
      <c r="BO1937">
        <v>8.07</v>
      </c>
      <c r="BP1937">
        <v>0</v>
      </c>
      <c r="BQ1937">
        <v>21.49</v>
      </c>
      <c r="BR1937">
        <v>8.92</v>
      </c>
      <c r="BS1937">
        <v>0.2</v>
      </c>
      <c r="BT1937">
        <v>0.2</v>
      </c>
      <c r="BU1937">
        <v>2.14</v>
      </c>
      <c r="BV1937">
        <v>1.81</v>
      </c>
      <c r="BW1937">
        <v>2.84</v>
      </c>
      <c r="BX1937">
        <v>2.13</v>
      </c>
      <c r="BY1937">
        <v>4.74</v>
      </c>
      <c r="BZ1937">
        <v>2.54</v>
      </c>
      <c r="CA1937">
        <v>0.92</v>
      </c>
      <c r="CB1937">
        <v>0</v>
      </c>
      <c r="CC1937">
        <v>0.92</v>
      </c>
      <c r="CD1937">
        <v>0.78</v>
      </c>
      <c r="CE1937">
        <v>0.78</v>
      </c>
      <c r="CF1937">
        <v>0.73</v>
      </c>
      <c r="CG1937">
        <v>4.38</v>
      </c>
      <c r="CH1937">
        <v>-0.79</v>
      </c>
      <c r="CI1937">
        <v>-0.79</v>
      </c>
      <c r="CJ1937">
        <v>10834</v>
      </c>
      <c r="CK1937">
        <v>5495</v>
      </c>
      <c r="CL1937" t="s">
        <v>9633</v>
      </c>
      <c r="CM1937">
        <v>32.020000000000003</v>
      </c>
      <c r="CN1937">
        <v>32.74</v>
      </c>
      <c r="CO1937">
        <v>4.8600000000000003</v>
      </c>
      <c r="CP1937">
        <v>-49.44</v>
      </c>
      <c r="CQ1937">
        <v>8.27</v>
      </c>
      <c r="CR1937">
        <v>0.52</v>
      </c>
      <c r="CS1937" t="s">
        <v>9634</v>
      </c>
      <c r="CT1937">
        <v>5.91</v>
      </c>
      <c r="CU1937">
        <v>0</v>
      </c>
      <c r="CV1937">
        <v>1.56</v>
      </c>
      <c r="CW1937">
        <v>3.2</v>
      </c>
      <c r="CX1937">
        <v>-0.57999999999999996</v>
      </c>
      <c r="CY1937">
        <v>78.510000000000005</v>
      </c>
      <c r="CZ1937" t="s">
        <v>499</v>
      </c>
      <c r="DA1937">
        <v>46.47</v>
      </c>
      <c r="DB1937">
        <v>19.45</v>
      </c>
      <c r="DC1937">
        <v>16.37</v>
      </c>
      <c r="DD1937">
        <v>0.67</v>
      </c>
      <c r="DE1937">
        <v>938</v>
      </c>
      <c r="DF1937">
        <v>300546</v>
      </c>
      <c r="DG1937" t="s">
        <v>116</v>
      </c>
      <c r="DH1937" t="s">
        <v>116</v>
      </c>
      <c r="DI1937" t="s">
        <v>116</v>
      </c>
    </row>
    <row r="1938" spans="1:113" x14ac:dyDescent="0.4">
      <c r="A1938" t="str">
        <f>"300547"</f>
        <v>300547</v>
      </c>
      <c r="B1938" t="s">
        <v>9635</v>
      </c>
      <c r="C1938">
        <v>-0.62</v>
      </c>
      <c r="D1938">
        <v>9.57</v>
      </c>
      <c r="E1938">
        <v>-0.06</v>
      </c>
      <c r="F1938">
        <v>9.56</v>
      </c>
      <c r="G1938">
        <v>9.57</v>
      </c>
      <c r="H1938">
        <v>31281</v>
      </c>
      <c r="I1938">
        <v>505</v>
      </c>
      <c r="J1938">
        <v>0.21</v>
      </c>
      <c r="K1938">
        <v>1.66</v>
      </c>
      <c r="L1938">
        <v>9.6</v>
      </c>
      <c r="M1938">
        <v>9.7200000000000006</v>
      </c>
      <c r="N1938">
        <v>9.51</v>
      </c>
      <c r="O1938">
        <v>9.6300000000000008</v>
      </c>
      <c r="P1938">
        <v>19.21</v>
      </c>
      <c r="Q1938">
        <v>30096132</v>
      </c>
      <c r="R1938">
        <v>0.86</v>
      </c>
      <c r="S1938" t="s">
        <v>2541</v>
      </c>
      <c r="T1938" t="s">
        <v>582</v>
      </c>
      <c r="U1938">
        <v>2.1800000000000002</v>
      </c>
      <c r="V1938">
        <v>9.6199999999999992</v>
      </c>
      <c r="W1938">
        <v>19500</v>
      </c>
      <c r="X1938">
        <v>11781</v>
      </c>
      <c r="Y1938">
        <v>1.66</v>
      </c>
      <c r="Z1938">
        <v>28</v>
      </c>
      <c r="AA1938">
        <v>9</v>
      </c>
      <c r="AB1938" t="s">
        <v>116</v>
      </c>
      <c r="AC1938">
        <v>21100</v>
      </c>
      <c r="AD1938">
        <v>0</v>
      </c>
      <c r="AE1938" t="s">
        <v>116</v>
      </c>
      <c r="AF1938" t="s">
        <v>116</v>
      </c>
      <c r="AG1938">
        <v>1.88</v>
      </c>
      <c r="AH1938" t="s">
        <v>8776</v>
      </c>
      <c r="AI1938" t="s">
        <v>6017</v>
      </c>
      <c r="AJ1938">
        <v>0.06</v>
      </c>
      <c r="AK1938">
        <v>888</v>
      </c>
      <c r="AL1938">
        <v>35</v>
      </c>
      <c r="AM1938">
        <v>1.9E-3</v>
      </c>
      <c r="AN1938">
        <v>-1</v>
      </c>
      <c r="AO1938">
        <v>-0.92</v>
      </c>
      <c r="AP1938">
        <v>4.59</v>
      </c>
      <c r="AQ1938">
        <v>3.24</v>
      </c>
      <c r="AR1938">
        <v>9.16</v>
      </c>
      <c r="AS1938">
        <v>2.56</v>
      </c>
      <c r="AT1938" t="s">
        <v>5948</v>
      </c>
      <c r="AU1938">
        <v>16.57</v>
      </c>
      <c r="AV1938">
        <v>15.14</v>
      </c>
      <c r="AW1938">
        <v>0.45</v>
      </c>
      <c r="BA1938">
        <v>-0.31</v>
      </c>
      <c r="BB1938">
        <v>0.93</v>
      </c>
      <c r="BC1938">
        <v>-1.25</v>
      </c>
      <c r="BD1938">
        <v>-0.09</v>
      </c>
      <c r="BE1938">
        <v>-0.31</v>
      </c>
      <c r="BF1938">
        <v>-1.54</v>
      </c>
      <c r="BG1938">
        <v>0.63</v>
      </c>
      <c r="BH1938">
        <v>-0.53</v>
      </c>
      <c r="BI1938">
        <v>20191028</v>
      </c>
      <c r="BJ1938">
        <v>20160930</v>
      </c>
      <c r="BK1938">
        <v>2.17</v>
      </c>
      <c r="BL1938" t="s">
        <v>116</v>
      </c>
      <c r="BM1938" t="s">
        <v>116</v>
      </c>
      <c r="BN1938">
        <v>9.58</v>
      </c>
      <c r="BO1938">
        <v>8.0500000000000007</v>
      </c>
      <c r="BP1938">
        <v>0</v>
      </c>
      <c r="BQ1938">
        <v>15.98</v>
      </c>
      <c r="BR1938">
        <v>7.07</v>
      </c>
      <c r="BS1938">
        <v>1.69</v>
      </c>
      <c r="BT1938">
        <v>0.1</v>
      </c>
      <c r="BU1938">
        <v>1.44</v>
      </c>
      <c r="BV1938">
        <v>2.0299999999999998</v>
      </c>
      <c r="BW1938">
        <v>2.0099999999999998</v>
      </c>
      <c r="BX1938">
        <v>1.84</v>
      </c>
      <c r="BY1938">
        <v>3.76</v>
      </c>
      <c r="BZ1938">
        <v>2.74</v>
      </c>
      <c r="CA1938">
        <v>0.9</v>
      </c>
      <c r="CB1938">
        <v>0.1</v>
      </c>
      <c r="CC1938">
        <v>0.9</v>
      </c>
      <c r="CD1938">
        <v>0.81</v>
      </c>
      <c r="CE1938">
        <v>0.81</v>
      </c>
      <c r="CF1938">
        <v>0.48</v>
      </c>
      <c r="CG1938">
        <v>3.6</v>
      </c>
      <c r="CH1938">
        <v>0.57999999999999996</v>
      </c>
      <c r="CI1938">
        <v>-0.4</v>
      </c>
      <c r="CJ1938">
        <v>16227</v>
      </c>
      <c r="CK1938">
        <v>7524</v>
      </c>
      <c r="CL1938" t="s">
        <v>437</v>
      </c>
      <c r="CM1938">
        <v>-12.78</v>
      </c>
      <c r="CN1938">
        <v>-20.32</v>
      </c>
      <c r="CO1938">
        <v>2.58</v>
      </c>
      <c r="CP1938">
        <v>35.950000000000003</v>
      </c>
      <c r="CQ1938">
        <v>5.52</v>
      </c>
      <c r="CR1938">
        <v>3.27</v>
      </c>
      <c r="CS1938" t="s">
        <v>9636</v>
      </c>
      <c r="CT1938">
        <v>3.71</v>
      </c>
      <c r="CU1938">
        <v>0</v>
      </c>
      <c r="CV1938">
        <v>0.85</v>
      </c>
      <c r="CW1938">
        <v>1.66</v>
      </c>
      <c r="CX1938">
        <v>0.27</v>
      </c>
      <c r="CY1938">
        <v>84.02</v>
      </c>
      <c r="CZ1938" t="s">
        <v>2998</v>
      </c>
      <c r="DA1938">
        <v>27.07</v>
      </c>
      <c r="DB1938">
        <v>24.01</v>
      </c>
      <c r="DC1938">
        <v>21.56</v>
      </c>
      <c r="DD1938">
        <v>0.14000000000000001</v>
      </c>
      <c r="DE1938">
        <v>1676</v>
      </c>
      <c r="DF1938">
        <v>300547</v>
      </c>
      <c r="DG1938" t="s">
        <v>116</v>
      </c>
      <c r="DH1938" t="s">
        <v>116</v>
      </c>
      <c r="DI1938" t="s">
        <v>116</v>
      </c>
    </row>
    <row r="1939" spans="1:113" x14ac:dyDescent="0.4">
      <c r="A1939" t="str">
        <f>"300548"</f>
        <v>300548</v>
      </c>
      <c r="B1939" t="s">
        <v>9637</v>
      </c>
      <c r="C1939">
        <v>-2.0099999999999998</v>
      </c>
      <c r="D1939">
        <v>70.78</v>
      </c>
      <c r="E1939">
        <v>-1.45</v>
      </c>
      <c r="F1939">
        <v>70.599999999999994</v>
      </c>
      <c r="G1939">
        <v>70.78</v>
      </c>
      <c r="H1939">
        <v>6127</v>
      </c>
      <c r="I1939">
        <v>234</v>
      </c>
      <c r="J1939">
        <v>0.18</v>
      </c>
      <c r="K1939">
        <v>0.95</v>
      </c>
      <c r="L1939">
        <v>72.23</v>
      </c>
      <c r="M1939">
        <v>72.97</v>
      </c>
      <c r="N1939">
        <v>69.83</v>
      </c>
      <c r="O1939">
        <v>72.23</v>
      </c>
      <c r="P1939">
        <v>588.07000000000005</v>
      </c>
      <c r="Q1939">
        <v>43558004</v>
      </c>
      <c r="R1939">
        <v>0.55000000000000004</v>
      </c>
      <c r="S1939" t="s">
        <v>233</v>
      </c>
      <c r="T1939" t="s">
        <v>590</v>
      </c>
      <c r="U1939">
        <v>4.3499999999999996</v>
      </c>
      <c r="V1939">
        <v>71.09</v>
      </c>
      <c r="W1939">
        <v>3402</v>
      </c>
      <c r="X1939">
        <v>2725</v>
      </c>
      <c r="Y1939">
        <v>1.25</v>
      </c>
      <c r="Z1939">
        <v>17</v>
      </c>
      <c r="AA1939">
        <v>83</v>
      </c>
      <c r="AB1939" t="s">
        <v>116</v>
      </c>
      <c r="AC1939">
        <v>151700</v>
      </c>
      <c r="AD1939">
        <v>0.01</v>
      </c>
      <c r="AE1939" t="s">
        <v>116</v>
      </c>
      <c r="AF1939" t="s">
        <v>116</v>
      </c>
      <c r="AG1939">
        <v>0.64</v>
      </c>
      <c r="AH1939" t="s">
        <v>400</v>
      </c>
      <c r="AI1939" t="s">
        <v>9638</v>
      </c>
      <c r="AJ1939">
        <v>-1.33</v>
      </c>
      <c r="AK1939">
        <v>1174</v>
      </c>
      <c r="AL1939">
        <v>5</v>
      </c>
      <c r="AM1939">
        <v>8.0000000000000004E-4</v>
      </c>
      <c r="AN1939">
        <v>-1</v>
      </c>
      <c r="AO1939">
        <v>-1.1399999999999999</v>
      </c>
      <c r="AP1939">
        <v>13.87</v>
      </c>
      <c r="AQ1939">
        <v>61.97</v>
      </c>
      <c r="AR1939">
        <v>92.6</v>
      </c>
      <c r="AS1939">
        <v>3.84</v>
      </c>
      <c r="AT1939" t="s">
        <v>2383</v>
      </c>
      <c r="AU1939" t="s">
        <v>116</v>
      </c>
      <c r="AV1939">
        <v>2531.4699999999998</v>
      </c>
      <c r="AW1939">
        <v>0.76</v>
      </c>
      <c r="BA1939">
        <v>0</v>
      </c>
      <c r="BB1939">
        <v>1.02</v>
      </c>
      <c r="BC1939">
        <v>-3.32</v>
      </c>
      <c r="BD1939">
        <v>-1.58</v>
      </c>
      <c r="BE1939">
        <v>-2.0099999999999998</v>
      </c>
      <c r="BF1939">
        <v>-3</v>
      </c>
      <c r="BG1939">
        <v>1.36</v>
      </c>
      <c r="BH1939">
        <v>-0.43</v>
      </c>
      <c r="BI1939">
        <v>20191206</v>
      </c>
      <c r="BJ1939">
        <v>20161012</v>
      </c>
      <c r="BK1939">
        <v>0.83</v>
      </c>
      <c r="BL1939" t="s">
        <v>116</v>
      </c>
      <c r="BM1939" t="s">
        <v>116</v>
      </c>
      <c r="BN1939">
        <v>7.36</v>
      </c>
      <c r="BO1939">
        <v>6.16</v>
      </c>
      <c r="BP1939">
        <v>0</v>
      </c>
      <c r="BQ1939">
        <v>16.239999999999998</v>
      </c>
      <c r="BR1939">
        <v>4.8</v>
      </c>
      <c r="BS1939">
        <v>1.3</v>
      </c>
      <c r="BT1939">
        <v>0.11</v>
      </c>
      <c r="BU1939">
        <v>1.1200000000000001</v>
      </c>
      <c r="BV1939">
        <v>1.1200000000000001</v>
      </c>
      <c r="BW1939">
        <v>0.78</v>
      </c>
      <c r="BX1939">
        <v>2.4700000000000002</v>
      </c>
      <c r="BY1939">
        <v>2.6</v>
      </c>
      <c r="BZ1939">
        <v>2.02</v>
      </c>
      <c r="CA1939">
        <v>0.08</v>
      </c>
      <c r="CB1939">
        <v>0.03</v>
      </c>
      <c r="CC1939">
        <v>0.08</v>
      </c>
      <c r="CD1939">
        <v>0.08</v>
      </c>
      <c r="CE1939">
        <v>0.08</v>
      </c>
      <c r="CF1939">
        <v>0</v>
      </c>
      <c r="CG1939">
        <v>2.54</v>
      </c>
      <c r="CH1939">
        <v>-0.01</v>
      </c>
      <c r="CI1939">
        <v>-0.61</v>
      </c>
      <c r="CJ1939">
        <v>8334</v>
      </c>
      <c r="CK1939">
        <v>1912</v>
      </c>
      <c r="CL1939" t="s">
        <v>9639</v>
      </c>
      <c r="CM1939">
        <v>-83.21</v>
      </c>
      <c r="CN1939">
        <v>33.44</v>
      </c>
      <c r="CO1939">
        <v>9.58</v>
      </c>
      <c r="CP1939">
        <v>-8297.14</v>
      </c>
      <c r="CQ1939">
        <v>22.71</v>
      </c>
      <c r="CR1939">
        <v>0.14000000000000001</v>
      </c>
      <c r="CS1939" t="s">
        <v>2739</v>
      </c>
      <c r="CT1939">
        <v>7.39</v>
      </c>
      <c r="CU1939">
        <v>7.39</v>
      </c>
      <c r="CV1939">
        <v>2.96</v>
      </c>
      <c r="CW1939">
        <v>3.05</v>
      </c>
      <c r="CX1939">
        <v>-0.01</v>
      </c>
      <c r="CY1939">
        <v>83.76</v>
      </c>
      <c r="CZ1939" t="s">
        <v>1624</v>
      </c>
      <c r="DA1939">
        <v>22.12</v>
      </c>
      <c r="DB1939">
        <v>3.09</v>
      </c>
      <c r="DC1939">
        <v>2.9</v>
      </c>
      <c r="DD1939">
        <v>0.28000000000000003</v>
      </c>
      <c r="DE1939">
        <v>704</v>
      </c>
      <c r="DF1939">
        <v>300548</v>
      </c>
      <c r="DG1939" t="s">
        <v>116</v>
      </c>
      <c r="DH1939" t="s">
        <v>116</v>
      </c>
      <c r="DI1939" t="s">
        <v>116</v>
      </c>
    </row>
    <row r="1940" spans="1:113" x14ac:dyDescent="0.4">
      <c r="A1940" t="str">
        <f>"300549"</f>
        <v>300549</v>
      </c>
      <c r="B1940" t="s">
        <v>9640</v>
      </c>
      <c r="C1940">
        <v>-1.62</v>
      </c>
      <c r="D1940">
        <v>13.35</v>
      </c>
      <c r="E1940">
        <v>-0.22</v>
      </c>
      <c r="F1940">
        <v>13.35</v>
      </c>
      <c r="G1940">
        <v>13.38</v>
      </c>
      <c r="H1940">
        <v>5173</v>
      </c>
      <c r="I1940">
        <v>342</v>
      </c>
      <c r="J1940">
        <v>-0.28999999999999998</v>
      </c>
      <c r="K1940">
        <v>0.57999999999999996</v>
      </c>
      <c r="L1940">
        <v>13.59</v>
      </c>
      <c r="M1940">
        <v>13.71</v>
      </c>
      <c r="N1940">
        <v>13.04</v>
      </c>
      <c r="O1940">
        <v>13.57</v>
      </c>
      <c r="P1940">
        <v>80.27</v>
      </c>
      <c r="Q1940">
        <v>6984271</v>
      </c>
      <c r="R1940">
        <v>0.83</v>
      </c>
      <c r="S1940" t="s">
        <v>682</v>
      </c>
      <c r="T1940" t="s">
        <v>323</v>
      </c>
      <c r="U1940">
        <v>4.9400000000000004</v>
      </c>
      <c r="V1940">
        <v>13.5</v>
      </c>
      <c r="W1940">
        <v>2621</v>
      </c>
      <c r="X1940">
        <v>2552</v>
      </c>
      <c r="Y1940">
        <v>1.03</v>
      </c>
      <c r="Z1940">
        <v>84</v>
      </c>
      <c r="AA1940">
        <v>54</v>
      </c>
      <c r="AB1940" t="s">
        <v>116</v>
      </c>
      <c r="AC1940">
        <v>44800</v>
      </c>
      <c r="AD1940">
        <v>0.03</v>
      </c>
      <c r="AE1940" t="s">
        <v>116</v>
      </c>
      <c r="AF1940" t="s">
        <v>116</v>
      </c>
      <c r="AG1940">
        <v>0.89</v>
      </c>
      <c r="AH1940" t="s">
        <v>7186</v>
      </c>
      <c r="AI1940" t="s">
        <v>7019</v>
      </c>
      <c r="AJ1940">
        <v>-0.94</v>
      </c>
      <c r="AK1940">
        <v>453</v>
      </c>
      <c r="AL1940">
        <v>11</v>
      </c>
      <c r="AM1940">
        <v>1.2999999999999999E-3</v>
      </c>
      <c r="AN1940">
        <v>-1</v>
      </c>
      <c r="AO1940">
        <v>-0.3</v>
      </c>
      <c r="AP1940">
        <v>5.53</v>
      </c>
      <c r="AQ1940">
        <v>-7.93</v>
      </c>
      <c r="AR1940">
        <v>19.3</v>
      </c>
      <c r="AS1940">
        <v>4.79</v>
      </c>
      <c r="AT1940" t="s">
        <v>9641</v>
      </c>
      <c r="AU1940">
        <v>59.07</v>
      </c>
      <c r="AV1940">
        <v>36.32</v>
      </c>
      <c r="AW1940">
        <v>1.1599999999999999</v>
      </c>
      <c r="BA1940">
        <v>0.15</v>
      </c>
      <c r="BB1940">
        <v>1.03</v>
      </c>
      <c r="BC1940">
        <v>-3.91</v>
      </c>
      <c r="BD1940">
        <v>-0.51</v>
      </c>
      <c r="BE1940">
        <v>-1.77</v>
      </c>
      <c r="BF1940">
        <v>-2.63</v>
      </c>
      <c r="BG1940">
        <v>2.38</v>
      </c>
      <c r="BH1940">
        <v>-1.1100000000000001</v>
      </c>
      <c r="BI1940">
        <v>20191202</v>
      </c>
      <c r="BJ1940">
        <v>20160930</v>
      </c>
      <c r="BK1940">
        <v>1.33</v>
      </c>
      <c r="BL1940" t="s">
        <v>116</v>
      </c>
      <c r="BM1940" t="s">
        <v>116</v>
      </c>
      <c r="BN1940">
        <v>7.64</v>
      </c>
      <c r="BO1940">
        <v>5.05</v>
      </c>
      <c r="BP1940">
        <v>0</v>
      </c>
      <c r="BQ1940">
        <v>33.950000000000003</v>
      </c>
      <c r="BR1940">
        <v>5.18</v>
      </c>
      <c r="BS1940">
        <v>1.98</v>
      </c>
      <c r="BT1940">
        <v>0.26</v>
      </c>
      <c r="BU1940">
        <v>2</v>
      </c>
      <c r="BV1940">
        <v>0.77</v>
      </c>
      <c r="BW1940">
        <v>1.5</v>
      </c>
      <c r="BX1940">
        <v>1.74</v>
      </c>
      <c r="BY1940">
        <v>2.69</v>
      </c>
      <c r="BZ1940">
        <v>1.93</v>
      </c>
      <c r="CA1940">
        <v>0.19</v>
      </c>
      <c r="CB1940">
        <v>0.02</v>
      </c>
      <c r="CC1940">
        <v>0.19</v>
      </c>
      <c r="CD1940">
        <v>0.17</v>
      </c>
      <c r="CE1940">
        <v>0.17</v>
      </c>
      <c r="CF1940">
        <v>0.13</v>
      </c>
      <c r="CG1940">
        <v>1.64</v>
      </c>
      <c r="CH1940">
        <v>0.14000000000000001</v>
      </c>
      <c r="CI1940">
        <v>-0.31</v>
      </c>
      <c r="CJ1940">
        <v>10015</v>
      </c>
      <c r="CK1940">
        <v>1077</v>
      </c>
      <c r="CL1940" t="s">
        <v>9642</v>
      </c>
      <c r="CM1940">
        <v>-53.16</v>
      </c>
      <c r="CN1940">
        <v>-6.28</v>
      </c>
      <c r="CO1940">
        <v>3.53</v>
      </c>
      <c r="CP1940">
        <v>129.99</v>
      </c>
      <c r="CQ1940">
        <v>6.63</v>
      </c>
      <c r="CR1940">
        <v>1.5</v>
      </c>
      <c r="CS1940" t="s">
        <v>1494</v>
      </c>
      <c r="CT1940">
        <v>3.79</v>
      </c>
      <c r="CU1940">
        <v>0</v>
      </c>
      <c r="CV1940">
        <v>1.3</v>
      </c>
      <c r="CW1940">
        <v>1.23</v>
      </c>
      <c r="CX1940">
        <v>0.1</v>
      </c>
      <c r="CY1940">
        <v>66.05</v>
      </c>
      <c r="CZ1940" t="s">
        <v>9643</v>
      </c>
      <c r="DA1940">
        <v>28.31</v>
      </c>
      <c r="DB1940">
        <v>7.19</v>
      </c>
      <c r="DC1940">
        <v>6.19</v>
      </c>
      <c r="DD1940">
        <v>0.1</v>
      </c>
      <c r="DE1940">
        <v>741</v>
      </c>
      <c r="DF1940">
        <v>300549</v>
      </c>
      <c r="DG1940" t="s">
        <v>116</v>
      </c>
      <c r="DH1940" t="s">
        <v>116</v>
      </c>
      <c r="DI1940" t="s">
        <v>116</v>
      </c>
    </row>
    <row r="1941" spans="1:113" x14ac:dyDescent="0.4">
      <c r="A1941" t="str">
        <f>"300550"</f>
        <v>300550</v>
      </c>
      <c r="B1941" t="s">
        <v>9644</v>
      </c>
      <c r="C1941">
        <v>-2.3199999999999998</v>
      </c>
      <c r="D1941">
        <v>28.24</v>
      </c>
      <c r="E1941">
        <v>-0.67</v>
      </c>
      <c r="F1941">
        <v>28.24</v>
      </c>
      <c r="G1941">
        <v>28.25</v>
      </c>
      <c r="H1941">
        <v>17811</v>
      </c>
      <c r="I1941">
        <v>142</v>
      </c>
      <c r="J1941">
        <v>0.11</v>
      </c>
      <c r="K1941">
        <v>1.58</v>
      </c>
      <c r="L1941">
        <v>28.9</v>
      </c>
      <c r="M1941">
        <v>29.04</v>
      </c>
      <c r="N1941">
        <v>28.13</v>
      </c>
      <c r="O1941">
        <v>28.91</v>
      </c>
      <c r="P1941">
        <v>71.66</v>
      </c>
      <c r="Q1941">
        <v>50891536</v>
      </c>
      <c r="R1941">
        <v>0.89</v>
      </c>
      <c r="S1941" t="s">
        <v>607</v>
      </c>
      <c r="T1941" t="s">
        <v>590</v>
      </c>
      <c r="U1941">
        <v>3.15</v>
      </c>
      <c r="V1941">
        <v>28.57</v>
      </c>
      <c r="W1941">
        <v>10809</v>
      </c>
      <c r="X1941">
        <v>7002</v>
      </c>
      <c r="Y1941">
        <v>1.54</v>
      </c>
      <c r="Z1941">
        <v>69</v>
      </c>
      <c r="AA1941">
        <v>55</v>
      </c>
      <c r="AB1941" t="s">
        <v>116</v>
      </c>
      <c r="AC1941">
        <v>369900</v>
      </c>
      <c r="AD1941">
        <v>0.03</v>
      </c>
      <c r="AE1941" t="s">
        <v>116</v>
      </c>
      <c r="AF1941" t="s">
        <v>116</v>
      </c>
      <c r="AG1941">
        <v>1.1299999999999999</v>
      </c>
      <c r="AH1941" t="s">
        <v>9645</v>
      </c>
      <c r="AI1941" t="s">
        <v>9646</v>
      </c>
      <c r="AJ1941">
        <v>-1.64</v>
      </c>
      <c r="AK1941">
        <v>1713</v>
      </c>
      <c r="AL1941">
        <v>10</v>
      </c>
      <c r="AM1941">
        <v>8.9999999999999998E-4</v>
      </c>
      <c r="AN1941">
        <v>-2</v>
      </c>
      <c r="AO1941">
        <v>-3.16</v>
      </c>
      <c r="AP1941">
        <v>5.29</v>
      </c>
      <c r="AQ1941">
        <v>-3.45</v>
      </c>
      <c r="AR1941">
        <v>-24.27</v>
      </c>
      <c r="AS1941">
        <v>4.24</v>
      </c>
      <c r="AT1941" t="s">
        <v>9647</v>
      </c>
      <c r="AU1941">
        <v>67.02</v>
      </c>
      <c r="AV1941">
        <v>81.91</v>
      </c>
      <c r="AW1941">
        <v>0.92</v>
      </c>
      <c r="BA1941">
        <v>-0.03</v>
      </c>
      <c r="BB1941">
        <v>0.45</v>
      </c>
      <c r="BC1941">
        <v>-2.7</v>
      </c>
      <c r="BD1941">
        <v>-1.17</v>
      </c>
      <c r="BE1941">
        <v>-2.2799999999999998</v>
      </c>
      <c r="BF1941">
        <v>-2.75</v>
      </c>
      <c r="BG1941">
        <v>0.39</v>
      </c>
      <c r="BH1941">
        <v>-1.1499999999999999</v>
      </c>
      <c r="BI1941">
        <v>20191025</v>
      </c>
      <c r="BJ1941">
        <v>20161018</v>
      </c>
      <c r="BK1941">
        <v>1.17</v>
      </c>
      <c r="BL1941" t="s">
        <v>116</v>
      </c>
      <c r="BM1941" t="s">
        <v>116</v>
      </c>
      <c r="BN1941">
        <v>9.4600000000000009</v>
      </c>
      <c r="BO1941">
        <v>6.05</v>
      </c>
      <c r="BP1941">
        <v>0.11</v>
      </c>
      <c r="BQ1941">
        <v>34.82</v>
      </c>
      <c r="BR1941">
        <v>7.36</v>
      </c>
      <c r="BS1941">
        <v>0.85</v>
      </c>
      <c r="BT1941">
        <v>0.09</v>
      </c>
      <c r="BU1941">
        <v>3.27</v>
      </c>
      <c r="BV1941">
        <v>0.06</v>
      </c>
      <c r="BW1941">
        <v>3.52</v>
      </c>
      <c r="BX1941">
        <v>2.81</v>
      </c>
      <c r="BY1941">
        <v>2.93</v>
      </c>
      <c r="BZ1941">
        <v>1.57</v>
      </c>
      <c r="CA1941">
        <v>0.37</v>
      </c>
      <c r="CB1941">
        <v>0.04</v>
      </c>
      <c r="CC1941">
        <v>0.37</v>
      </c>
      <c r="CD1941">
        <v>0.34</v>
      </c>
      <c r="CE1941">
        <v>0.35</v>
      </c>
      <c r="CF1941">
        <v>0.28999999999999998</v>
      </c>
      <c r="CG1941">
        <v>2.37</v>
      </c>
      <c r="CH1941">
        <v>-0.47</v>
      </c>
      <c r="CI1941">
        <v>-0.47</v>
      </c>
      <c r="CJ1941">
        <v>10973</v>
      </c>
      <c r="CK1941">
        <v>3831</v>
      </c>
      <c r="CL1941" t="s">
        <v>9648</v>
      </c>
      <c r="CM1941">
        <v>34.979999999999997</v>
      </c>
      <c r="CN1941">
        <v>27.18</v>
      </c>
      <c r="CO1941">
        <v>5.47</v>
      </c>
      <c r="CP1941">
        <v>-69.84</v>
      </c>
      <c r="CQ1941">
        <v>11.29</v>
      </c>
      <c r="CR1941">
        <v>0.19</v>
      </c>
      <c r="CS1941" t="s">
        <v>3626</v>
      </c>
      <c r="CT1941">
        <v>5.16</v>
      </c>
      <c r="CU1941">
        <v>0</v>
      </c>
      <c r="CV1941">
        <v>2.4</v>
      </c>
      <c r="CW1941">
        <v>2.02</v>
      </c>
      <c r="CX1941">
        <v>-0.4</v>
      </c>
      <c r="CY1941">
        <v>63.99</v>
      </c>
      <c r="CZ1941" t="s">
        <v>513</v>
      </c>
      <c r="DA1941">
        <v>46.4</v>
      </c>
      <c r="DB1941">
        <v>12.72</v>
      </c>
      <c r="DC1941">
        <v>11.82</v>
      </c>
      <c r="DD1941">
        <v>0.28999999999999998</v>
      </c>
      <c r="DE1941">
        <v>549</v>
      </c>
      <c r="DF1941">
        <v>300550</v>
      </c>
      <c r="DG1941" t="s">
        <v>116</v>
      </c>
      <c r="DH1941" t="s">
        <v>116</v>
      </c>
      <c r="DI1941" t="s">
        <v>116</v>
      </c>
    </row>
    <row r="1942" spans="1:113" x14ac:dyDescent="0.4">
      <c r="A1942" t="str">
        <f>"300551"</f>
        <v>300551</v>
      </c>
      <c r="B1942" t="s">
        <v>9649</v>
      </c>
      <c r="C1942">
        <v>2.67</v>
      </c>
      <c r="D1942">
        <v>24.26</v>
      </c>
      <c r="E1942">
        <v>0.63</v>
      </c>
      <c r="F1942">
        <v>24.26</v>
      </c>
      <c r="G1942">
        <v>24.27</v>
      </c>
      <c r="H1942">
        <v>88953</v>
      </c>
      <c r="I1942">
        <v>1070</v>
      </c>
      <c r="J1942">
        <v>0.41</v>
      </c>
      <c r="K1942">
        <v>12.89</v>
      </c>
      <c r="L1942">
        <v>23.78</v>
      </c>
      <c r="M1942">
        <v>24.99</v>
      </c>
      <c r="N1942">
        <v>23.3</v>
      </c>
      <c r="O1942">
        <v>23.63</v>
      </c>
      <c r="P1942">
        <v>147.58000000000001</v>
      </c>
      <c r="Q1942">
        <v>213771376</v>
      </c>
      <c r="R1942">
        <v>1.02</v>
      </c>
      <c r="S1942" t="s">
        <v>682</v>
      </c>
      <c r="T1942" t="s">
        <v>1653</v>
      </c>
      <c r="U1942">
        <v>7.15</v>
      </c>
      <c r="V1942">
        <v>24.03</v>
      </c>
      <c r="W1942">
        <v>42338</v>
      </c>
      <c r="X1942">
        <v>46615</v>
      </c>
      <c r="Y1942">
        <v>0.91</v>
      </c>
      <c r="Z1942">
        <v>153</v>
      </c>
      <c r="AA1942">
        <v>55</v>
      </c>
      <c r="AB1942" t="s">
        <v>116</v>
      </c>
      <c r="AC1942">
        <v>235400</v>
      </c>
      <c r="AD1942">
        <v>0.02</v>
      </c>
      <c r="AE1942" t="s">
        <v>116</v>
      </c>
      <c r="AF1942" t="s">
        <v>116</v>
      </c>
      <c r="AG1942">
        <v>0.69</v>
      </c>
      <c r="AH1942" t="s">
        <v>9650</v>
      </c>
      <c r="AI1942" t="s">
        <v>9651</v>
      </c>
      <c r="AJ1942">
        <v>3.34</v>
      </c>
      <c r="AK1942">
        <v>3052</v>
      </c>
      <c r="AL1942">
        <v>29</v>
      </c>
      <c r="AM1942">
        <v>4.1999999999999997E-3</v>
      </c>
      <c r="AN1942">
        <v>1</v>
      </c>
      <c r="AO1942">
        <v>2.88</v>
      </c>
      <c r="AP1942">
        <v>16.239999999999998</v>
      </c>
      <c r="AQ1942">
        <v>56.62</v>
      </c>
      <c r="AR1942">
        <v>115.44</v>
      </c>
      <c r="AS1942">
        <v>13.64</v>
      </c>
      <c r="AT1942" t="s">
        <v>1777</v>
      </c>
      <c r="AU1942">
        <v>78.44</v>
      </c>
      <c r="AV1942">
        <v>215.95</v>
      </c>
      <c r="AW1942">
        <v>1.83</v>
      </c>
      <c r="BA1942">
        <v>0.63</v>
      </c>
      <c r="BB1942">
        <v>5.76</v>
      </c>
      <c r="BC1942">
        <v>-1.4</v>
      </c>
      <c r="BD1942">
        <v>1.7</v>
      </c>
      <c r="BE1942">
        <v>2.02</v>
      </c>
      <c r="BF1942">
        <v>-2.92</v>
      </c>
      <c r="BG1942">
        <v>4.12</v>
      </c>
      <c r="BH1942">
        <v>0.96</v>
      </c>
      <c r="BI1942">
        <v>20191022</v>
      </c>
      <c r="BJ1942">
        <v>20161018</v>
      </c>
      <c r="BK1942">
        <v>1.1299999999999999</v>
      </c>
      <c r="BL1942" t="s">
        <v>116</v>
      </c>
      <c r="BM1942" t="s">
        <v>116</v>
      </c>
      <c r="BN1942">
        <v>8.44</v>
      </c>
      <c r="BO1942">
        <v>5.5</v>
      </c>
      <c r="BP1942">
        <v>0</v>
      </c>
      <c r="BQ1942">
        <v>34.86</v>
      </c>
      <c r="BR1942">
        <v>7.05</v>
      </c>
      <c r="BS1942">
        <v>0.83</v>
      </c>
      <c r="BT1942">
        <v>0.1</v>
      </c>
      <c r="BU1942">
        <v>2.46</v>
      </c>
      <c r="BV1942">
        <v>2.12</v>
      </c>
      <c r="BW1942">
        <v>1.97</v>
      </c>
      <c r="BX1942">
        <v>2.14</v>
      </c>
      <c r="BY1942">
        <v>2.2599999999999998</v>
      </c>
      <c r="BZ1942">
        <v>1.19</v>
      </c>
      <c r="CA1942">
        <v>0.1</v>
      </c>
      <c r="CB1942">
        <v>0.01</v>
      </c>
      <c r="CC1942">
        <v>0.14000000000000001</v>
      </c>
      <c r="CD1942">
        <v>0.14000000000000001</v>
      </c>
      <c r="CE1942">
        <v>0.14000000000000001</v>
      </c>
      <c r="CF1942">
        <v>0.09</v>
      </c>
      <c r="CG1942">
        <v>2.19</v>
      </c>
      <c r="CH1942">
        <v>-0.74</v>
      </c>
      <c r="CI1942">
        <v>-0.1</v>
      </c>
      <c r="CJ1942">
        <v>10343</v>
      </c>
      <c r="CK1942">
        <v>6307</v>
      </c>
      <c r="CL1942" t="s">
        <v>8581</v>
      </c>
      <c r="CM1942">
        <v>267.44</v>
      </c>
      <c r="CN1942">
        <v>103.13</v>
      </c>
      <c r="CO1942">
        <v>4.97</v>
      </c>
      <c r="CP1942">
        <v>-37.04</v>
      </c>
      <c r="CQ1942">
        <v>12.1</v>
      </c>
      <c r="CR1942">
        <v>0.08</v>
      </c>
      <c r="CS1942" t="s">
        <v>1605</v>
      </c>
      <c r="CT1942">
        <v>4.88</v>
      </c>
      <c r="CU1942">
        <v>0</v>
      </c>
      <c r="CV1942">
        <v>1.9</v>
      </c>
      <c r="CW1942">
        <v>1.94</v>
      </c>
      <c r="CX1942">
        <v>-0.66</v>
      </c>
      <c r="CY1942">
        <v>65.14</v>
      </c>
      <c r="CZ1942" t="s">
        <v>5225</v>
      </c>
      <c r="DA1942">
        <v>47.1</v>
      </c>
      <c r="DB1942">
        <v>4.54</v>
      </c>
      <c r="DC1942">
        <v>6.15</v>
      </c>
      <c r="DD1942">
        <v>0.31</v>
      </c>
      <c r="DE1942">
        <v>707</v>
      </c>
      <c r="DF1942">
        <v>300551</v>
      </c>
      <c r="DG1942" t="s">
        <v>116</v>
      </c>
      <c r="DH1942" t="s">
        <v>116</v>
      </c>
      <c r="DI1942" t="s">
        <v>116</v>
      </c>
    </row>
    <row r="1943" spans="1:113" x14ac:dyDescent="0.4">
      <c r="A1943" t="str">
        <f>"300552"</f>
        <v>300552</v>
      </c>
      <c r="B1943" t="s">
        <v>9652</v>
      </c>
      <c r="C1943">
        <v>-4.29</v>
      </c>
      <c r="D1943">
        <v>78.599999999999994</v>
      </c>
      <c r="E1943">
        <v>-3.52</v>
      </c>
      <c r="F1943">
        <v>78.58</v>
      </c>
      <c r="G1943">
        <v>78.599999999999994</v>
      </c>
      <c r="H1943">
        <v>31660</v>
      </c>
      <c r="I1943">
        <v>207</v>
      </c>
      <c r="J1943">
        <v>-0.12</v>
      </c>
      <c r="K1943">
        <v>6.7</v>
      </c>
      <c r="L1943">
        <v>82.12</v>
      </c>
      <c r="M1943">
        <v>82.9</v>
      </c>
      <c r="N1943">
        <v>77.099999999999994</v>
      </c>
      <c r="O1943">
        <v>82.12</v>
      </c>
      <c r="P1943">
        <v>50.29</v>
      </c>
      <c r="Q1943">
        <v>251166832</v>
      </c>
      <c r="R1943">
        <v>1.35</v>
      </c>
      <c r="S1943" t="s">
        <v>607</v>
      </c>
      <c r="T1943" t="s">
        <v>165</v>
      </c>
      <c r="U1943">
        <v>7.06</v>
      </c>
      <c r="V1943">
        <v>79.33</v>
      </c>
      <c r="W1943">
        <v>19887</v>
      </c>
      <c r="X1943">
        <v>11773</v>
      </c>
      <c r="Y1943">
        <v>1.69</v>
      </c>
      <c r="Z1943">
        <v>6</v>
      </c>
      <c r="AA1943">
        <v>29</v>
      </c>
      <c r="AB1943" t="s">
        <v>116</v>
      </c>
      <c r="AC1943">
        <v>369500</v>
      </c>
      <c r="AD1943">
        <v>0.01</v>
      </c>
      <c r="AE1943" t="s">
        <v>116</v>
      </c>
      <c r="AF1943" t="s">
        <v>116</v>
      </c>
      <c r="AG1943">
        <v>0.47</v>
      </c>
      <c r="AH1943" t="s">
        <v>9653</v>
      </c>
      <c r="AI1943" t="s">
        <v>9654</v>
      </c>
      <c r="AJ1943">
        <v>-3.61</v>
      </c>
      <c r="AK1943">
        <v>3108</v>
      </c>
      <c r="AL1943">
        <v>10</v>
      </c>
      <c r="AM1943">
        <v>2.2000000000000001E-3</v>
      </c>
      <c r="AN1943">
        <v>-2</v>
      </c>
      <c r="AO1943">
        <v>-1.51</v>
      </c>
      <c r="AP1943">
        <v>6.5</v>
      </c>
      <c r="AQ1943">
        <v>68.849999999999994</v>
      </c>
      <c r="AR1943">
        <v>446.33</v>
      </c>
      <c r="AS1943">
        <v>7.85</v>
      </c>
      <c r="AT1943" t="s">
        <v>3238</v>
      </c>
      <c r="AU1943">
        <v>57.07</v>
      </c>
      <c r="AV1943">
        <v>1313.96</v>
      </c>
      <c r="AW1943">
        <v>1.69</v>
      </c>
      <c r="BA1943">
        <v>0</v>
      </c>
      <c r="BB1943">
        <v>0.95</v>
      </c>
      <c r="BC1943">
        <v>-6.11</v>
      </c>
      <c r="BD1943">
        <v>-3.39</v>
      </c>
      <c r="BE1943">
        <v>-4.29</v>
      </c>
      <c r="BF1943">
        <v>-5.19</v>
      </c>
      <c r="BG1943">
        <v>1.95</v>
      </c>
      <c r="BH1943">
        <v>-0.89</v>
      </c>
      <c r="BI1943">
        <v>20191030</v>
      </c>
      <c r="BJ1943">
        <v>20161021</v>
      </c>
      <c r="BK1943">
        <v>1.1000000000000001</v>
      </c>
      <c r="BL1943" t="s">
        <v>116</v>
      </c>
      <c r="BM1943" t="s">
        <v>116</v>
      </c>
      <c r="BN1943">
        <v>23.81</v>
      </c>
      <c r="BO1943">
        <v>8.93</v>
      </c>
      <c r="BP1943">
        <v>0.04</v>
      </c>
      <c r="BQ1943">
        <v>62.31</v>
      </c>
      <c r="BR1943">
        <v>20.82</v>
      </c>
      <c r="BS1943">
        <v>1.23</v>
      </c>
      <c r="BT1943">
        <v>0.21</v>
      </c>
      <c r="BU1943">
        <v>14.82</v>
      </c>
      <c r="BV1943">
        <v>8.64</v>
      </c>
      <c r="BW1943">
        <v>6.88</v>
      </c>
      <c r="BX1943">
        <v>4.04</v>
      </c>
      <c r="BY1943">
        <v>11.29</v>
      </c>
      <c r="BZ1943">
        <v>7.82</v>
      </c>
      <c r="CA1943">
        <v>1.46</v>
      </c>
      <c r="CB1943">
        <v>0.02</v>
      </c>
      <c r="CC1943">
        <v>1.47</v>
      </c>
      <c r="CD1943">
        <v>1.28</v>
      </c>
      <c r="CE1943">
        <v>1.29</v>
      </c>
      <c r="CF1943">
        <v>1.25</v>
      </c>
      <c r="CG1943">
        <v>3.96</v>
      </c>
      <c r="CH1943">
        <v>0.39</v>
      </c>
      <c r="CI1943">
        <v>0.98</v>
      </c>
      <c r="CJ1943">
        <v>11484</v>
      </c>
      <c r="CK1943">
        <v>3511</v>
      </c>
      <c r="CL1943" t="s">
        <v>9655</v>
      </c>
      <c r="CM1943">
        <v>906.14</v>
      </c>
      <c r="CN1943">
        <v>183.09</v>
      </c>
      <c r="CO1943">
        <v>9.67</v>
      </c>
      <c r="CP1943">
        <v>219.85</v>
      </c>
      <c r="CQ1943">
        <v>7.66</v>
      </c>
      <c r="CR1943">
        <v>0.02</v>
      </c>
      <c r="CS1943" t="s">
        <v>9656</v>
      </c>
      <c r="CT1943">
        <v>8.1199999999999992</v>
      </c>
      <c r="CU1943">
        <v>0</v>
      </c>
      <c r="CV1943">
        <v>3.67</v>
      </c>
      <c r="CW1943">
        <v>3.6</v>
      </c>
      <c r="CX1943">
        <v>0.36</v>
      </c>
      <c r="CY1943">
        <v>37.520000000000003</v>
      </c>
      <c r="CZ1943" t="s">
        <v>9657</v>
      </c>
      <c r="DA1943">
        <v>30.76</v>
      </c>
      <c r="DB1943">
        <v>12.94</v>
      </c>
      <c r="DC1943">
        <v>11.42</v>
      </c>
      <c r="DD1943">
        <v>0.7</v>
      </c>
      <c r="DE1943">
        <v>934</v>
      </c>
      <c r="DF1943">
        <v>300552</v>
      </c>
      <c r="DG1943" t="s">
        <v>116</v>
      </c>
      <c r="DH1943" t="s">
        <v>116</v>
      </c>
      <c r="DI1943" t="s">
        <v>116</v>
      </c>
    </row>
    <row r="1944" spans="1:113" x14ac:dyDescent="0.4">
      <c r="A1944" t="str">
        <f>"300553"</f>
        <v>300553</v>
      </c>
      <c r="B1944" t="s">
        <v>9658</v>
      </c>
      <c r="C1944">
        <v>-1.82</v>
      </c>
      <c r="D1944">
        <v>36.78</v>
      </c>
      <c r="E1944">
        <v>-0.68</v>
      </c>
      <c r="F1944">
        <v>36.71</v>
      </c>
      <c r="G1944">
        <v>36.78</v>
      </c>
      <c r="H1944">
        <v>2564</v>
      </c>
      <c r="I1944">
        <v>104</v>
      </c>
      <c r="J1944">
        <v>-0.45</v>
      </c>
      <c r="K1944">
        <v>1.03</v>
      </c>
      <c r="L1944">
        <v>37.46</v>
      </c>
      <c r="M1944">
        <v>37.58</v>
      </c>
      <c r="N1944">
        <v>36.450000000000003</v>
      </c>
      <c r="O1944">
        <v>37.46</v>
      </c>
      <c r="P1944">
        <v>85.52</v>
      </c>
      <c r="Q1944">
        <v>9560134</v>
      </c>
      <c r="R1944">
        <v>1.53</v>
      </c>
      <c r="S1944" t="s">
        <v>2977</v>
      </c>
      <c r="T1944" t="s">
        <v>590</v>
      </c>
      <c r="U1944">
        <v>3.02</v>
      </c>
      <c r="V1944">
        <v>37.29</v>
      </c>
      <c r="W1944">
        <v>1321</v>
      </c>
      <c r="X1944">
        <v>1243</v>
      </c>
      <c r="Y1944">
        <v>1.06</v>
      </c>
      <c r="Z1944">
        <v>3</v>
      </c>
      <c r="AA1944">
        <v>48</v>
      </c>
      <c r="AB1944" t="s">
        <v>116</v>
      </c>
      <c r="AC1944">
        <v>48700</v>
      </c>
      <c r="AD1944">
        <v>0.01</v>
      </c>
      <c r="AE1944" t="s">
        <v>116</v>
      </c>
      <c r="AF1944" t="s">
        <v>116</v>
      </c>
      <c r="AG1944">
        <v>0.25</v>
      </c>
      <c r="AH1944" t="s">
        <v>9659</v>
      </c>
      <c r="AI1944" t="s">
        <v>3362</v>
      </c>
      <c r="AJ1944">
        <v>-1.1399999999999999</v>
      </c>
      <c r="AK1944">
        <v>396</v>
      </c>
      <c r="AL1944">
        <v>6</v>
      </c>
      <c r="AM1944">
        <v>2.5999999999999999E-3</v>
      </c>
      <c r="AN1944">
        <v>-1</v>
      </c>
      <c r="AO1944">
        <v>0.08</v>
      </c>
      <c r="AP1944">
        <v>4.82</v>
      </c>
      <c r="AQ1944">
        <v>-2.96</v>
      </c>
      <c r="AR1944">
        <v>13.55</v>
      </c>
      <c r="AS1944">
        <v>1.43</v>
      </c>
      <c r="AT1944" t="s">
        <v>9660</v>
      </c>
      <c r="AU1944">
        <v>128.84</v>
      </c>
      <c r="AV1944">
        <v>107.85</v>
      </c>
      <c r="AW1944">
        <v>0.88</v>
      </c>
      <c r="BA1944">
        <v>0</v>
      </c>
      <c r="BB1944">
        <v>0.32</v>
      </c>
      <c r="BC1944">
        <v>-2.7</v>
      </c>
      <c r="BD1944">
        <v>-0.46</v>
      </c>
      <c r="BE1944">
        <v>-1.82</v>
      </c>
      <c r="BF1944">
        <v>-2.13</v>
      </c>
      <c r="BG1944">
        <v>0.91</v>
      </c>
      <c r="BH1944">
        <v>-1.35</v>
      </c>
      <c r="BI1944">
        <v>20191030</v>
      </c>
      <c r="BJ1944">
        <v>20161021</v>
      </c>
      <c r="BK1944">
        <v>0.48</v>
      </c>
      <c r="BL1944" t="s">
        <v>116</v>
      </c>
      <c r="BM1944" t="s">
        <v>116</v>
      </c>
      <c r="BN1944">
        <v>3.76</v>
      </c>
      <c r="BO1944">
        <v>3.32</v>
      </c>
      <c r="BP1944">
        <v>-0.05</v>
      </c>
      <c r="BQ1944">
        <v>12.84</v>
      </c>
      <c r="BR1944">
        <v>2.81</v>
      </c>
      <c r="BS1944">
        <v>0.85</v>
      </c>
      <c r="BT1944">
        <v>0.06</v>
      </c>
      <c r="BU1944">
        <v>0.48</v>
      </c>
      <c r="BV1944">
        <v>0.7</v>
      </c>
      <c r="BW1944">
        <v>0.61</v>
      </c>
      <c r="BX1944">
        <v>1.65</v>
      </c>
      <c r="BY1944">
        <v>1.1299999999999999</v>
      </c>
      <c r="BZ1944">
        <v>0.61</v>
      </c>
      <c r="CA1944">
        <v>0.16</v>
      </c>
      <c r="CB1944">
        <v>0.03</v>
      </c>
      <c r="CC1944">
        <v>0.16</v>
      </c>
      <c r="CD1944">
        <v>0.13</v>
      </c>
      <c r="CE1944">
        <v>0.15</v>
      </c>
      <c r="CF1944">
        <v>0.13</v>
      </c>
      <c r="CG1944">
        <v>1</v>
      </c>
      <c r="CH1944">
        <v>7.0000000000000007E-2</v>
      </c>
      <c r="CI1944">
        <v>-0.17</v>
      </c>
      <c r="CJ1944">
        <v>7319</v>
      </c>
      <c r="CK1944">
        <v>2451</v>
      </c>
      <c r="CL1944" t="s">
        <v>6062</v>
      </c>
      <c r="CM1944">
        <v>-14.7</v>
      </c>
      <c r="CN1944">
        <v>6.27</v>
      </c>
      <c r="CO1944">
        <v>5.31</v>
      </c>
      <c r="CP1944">
        <v>248.62</v>
      </c>
      <c r="CQ1944">
        <v>15.64</v>
      </c>
      <c r="CR1944">
        <v>0.54</v>
      </c>
      <c r="CS1944" t="s">
        <v>3767</v>
      </c>
      <c r="CT1944">
        <v>6.92</v>
      </c>
      <c r="CU1944">
        <v>0</v>
      </c>
      <c r="CV1944">
        <v>3.43</v>
      </c>
      <c r="CW1944">
        <v>2.09</v>
      </c>
      <c r="CX1944">
        <v>0.15</v>
      </c>
      <c r="CY1944">
        <v>88.44</v>
      </c>
      <c r="CZ1944" t="s">
        <v>596</v>
      </c>
      <c r="DA1944">
        <v>45.61</v>
      </c>
      <c r="DB1944">
        <v>13.83</v>
      </c>
      <c r="DC1944">
        <v>13.72</v>
      </c>
      <c r="DD1944">
        <v>0.1</v>
      </c>
      <c r="DE1944">
        <v>228</v>
      </c>
      <c r="DF1944">
        <v>300553</v>
      </c>
      <c r="DG1944" t="s">
        <v>116</v>
      </c>
      <c r="DH1944" t="s">
        <v>116</v>
      </c>
      <c r="DI1944" t="s">
        <v>116</v>
      </c>
    </row>
    <row r="1945" spans="1:113" x14ac:dyDescent="0.4">
      <c r="A1945" t="str">
        <f>"300554"</f>
        <v>300554</v>
      </c>
      <c r="B1945" t="s">
        <v>9661</v>
      </c>
      <c r="C1945">
        <v>-0.54</v>
      </c>
      <c r="D1945">
        <v>16.649999999999999</v>
      </c>
      <c r="E1945">
        <v>-0.09</v>
      </c>
      <c r="F1945">
        <v>16.649999999999999</v>
      </c>
      <c r="G1945">
        <v>16.670000000000002</v>
      </c>
      <c r="H1945">
        <v>20952</v>
      </c>
      <c r="I1945">
        <v>492</v>
      </c>
      <c r="J1945">
        <v>-0.17</v>
      </c>
      <c r="K1945">
        <v>4.5</v>
      </c>
      <c r="L1945">
        <v>16.79</v>
      </c>
      <c r="M1945">
        <v>16.940000000000001</v>
      </c>
      <c r="N1945">
        <v>16.62</v>
      </c>
      <c r="O1945">
        <v>16.739999999999998</v>
      </c>
      <c r="P1945">
        <v>95.51</v>
      </c>
      <c r="Q1945">
        <v>35088472</v>
      </c>
      <c r="R1945">
        <v>0.97</v>
      </c>
      <c r="S1945" t="s">
        <v>933</v>
      </c>
      <c r="T1945" t="s">
        <v>323</v>
      </c>
      <c r="U1945">
        <v>1.91</v>
      </c>
      <c r="V1945">
        <v>16.75</v>
      </c>
      <c r="W1945">
        <v>9502</v>
      </c>
      <c r="X1945">
        <v>11450</v>
      </c>
      <c r="Y1945">
        <v>0.83</v>
      </c>
      <c r="Z1945">
        <v>25</v>
      </c>
      <c r="AA1945">
        <v>109</v>
      </c>
      <c r="AB1945" t="s">
        <v>116</v>
      </c>
      <c r="AC1945">
        <v>53700</v>
      </c>
      <c r="AD1945">
        <v>0.01</v>
      </c>
      <c r="AE1945" t="s">
        <v>116</v>
      </c>
      <c r="AF1945" t="s">
        <v>116</v>
      </c>
      <c r="AG1945">
        <v>0.47</v>
      </c>
      <c r="AH1945" t="s">
        <v>9662</v>
      </c>
      <c r="AI1945" t="s">
        <v>1415</v>
      </c>
      <c r="AJ1945">
        <v>0.14000000000000001</v>
      </c>
      <c r="AK1945">
        <v>1326</v>
      </c>
      <c r="AL1945">
        <v>16</v>
      </c>
      <c r="AM1945">
        <v>3.3999999999999998E-3</v>
      </c>
      <c r="AN1945">
        <v>-1</v>
      </c>
      <c r="AO1945">
        <v>-0.96</v>
      </c>
      <c r="AP1945">
        <v>6.59</v>
      </c>
      <c r="AQ1945">
        <v>-7.04</v>
      </c>
      <c r="AR1945">
        <v>-10.24</v>
      </c>
      <c r="AS1945">
        <v>4.84</v>
      </c>
      <c r="AT1945" t="s">
        <v>9663</v>
      </c>
      <c r="AU1945" t="s">
        <v>116</v>
      </c>
      <c r="AV1945">
        <v>41.97</v>
      </c>
      <c r="AW1945">
        <v>1.07</v>
      </c>
      <c r="BA1945">
        <v>0.3</v>
      </c>
      <c r="BB1945">
        <v>1.19</v>
      </c>
      <c r="BC1945">
        <v>-0.72</v>
      </c>
      <c r="BD1945">
        <v>0.04</v>
      </c>
      <c r="BE1945">
        <v>-0.83</v>
      </c>
      <c r="BF1945">
        <v>-1.71</v>
      </c>
      <c r="BG1945">
        <v>0.18</v>
      </c>
      <c r="BH1945">
        <v>-0.57999999999999996</v>
      </c>
      <c r="BI1945">
        <v>20191203</v>
      </c>
      <c r="BJ1945">
        <v>20170421</v>
      </c>
      <c r="BK1945">
        <v>0.94</v>
      </c>
      <c r="BL1945" t="s">
        <v>116</v>
      </c>
      <c r="BM1945" t="s">
        <v>116</v>
      </c>
      <c r="BN1945">
        <v>9.2100000000000009</v>
      </c>
      <c r="BO1945">
        <v>5.03</v>
      </c>
      <c r="BP1945">
        <v>0</v>
      </c>
      <c r="BQ1945">
        <v>45.41</v>
      </c>
      <c r="BR1945">
        <v>5.76</v>
      </c>
      <c r="BS1945">
        <v>2.39</v>
      </c>
      <c r="BT1945">
        <v>0.22</v>
      </c>
      <c r="BU1945">
        <v>4.05</v>
      </c>
      <c r="BV1945">
        <v>0.67</v>
      </c>
      <c r="BW1945">
        <v>0.64</v>
      </c>
      <c r="BX1945">
        <v>2.19</v>
      </c>
      <c r="BY1945">
        <v>1.66</v>
      </c>
      <c r="BZ1945">
        <v>1.19</v>
      </c>
      <c r="CA1945">
        <v>0.13</v>
      </c>
      <c r="CB1945">
        <v>0</v>
      </c>
      <c r="CC1945">
        <v>0.13</v>
      </c>
      <c r="CD1945">
        <v>0.12</v>
      </c>
      <c r="CE1945">
        <v>0.12</v>
      </c>
      <c r="CF1945">
        <v>0.11</v>
      </c>
      <c r="CG1945">
        <v>1.73</v>
      </c>
      <c r="CH1945">
        <v>0.89</v>
      </c>
      <c r="CI1945">
        <v>2.13</v>
      </c>
      <c r="CJ1945">
        <v>11971</v>
      </c>
      <c r="CK1945">
        <v>3619</v>
      </c>
      <c r="CL1945" t="s">
        <v>6458</v>
      </c>
      <c r="CM1945">
        <v>-80.72</v>
      </c>
      <c r="CN1945">
        <v>-39.119999999999997</v>
      </c>
      <c r="CO1945">
        <v>3.1</v>
      </c>
      <c r="CP1945">
        <v>17.52</v>
      </c>
      <c r="CQ1945">
        <v>9.3699999999999992</v>
      </c>
      <c r="CR1945">
        <v>0.6</v>
      </c>
      <c r="CS1945" t="s">
        <v>5815</v>
      </c>
      <c r="CT1945">
        <v>5.37</v>
      </c>
      <c r="CU1945">
        <v>0</v>
      </c>
      <c r="CV1945">
        <v>2.34</v>
      </c>
      <c r="CW1945">
        <v>1.84</v>
      </c>
      <c r="CX1945">
        <v>0.95</v>
      </c>
      <c r="CY1945">
        <v>54.59</v>
      </c>
      <c r="CZ1945" t="s">
        <v>6276</v>
      </c>
      <c r="DA1945">
        <v>28.47</v>
      </c>
      <c r="DB1945">
        <v>7.92</v>
      </c>
      <c r="DC1945">
        <v>7.36</v>
      </c>
      <c r="DD1945">
        <v>0.13</v>
      </c>
      <c r="DE1945">
        <v>568</v>
      </c>
      <c r="DF1945">
        <v>300554</v>
      </c>
      <c r="DG1945" t="s">
        <v>116</v>
      </c>
      <c r="DH1945" t="s">
        <v>116</v>
      </c>
      <c r="DI1945" t="s">
        <v>116</v>
      </c>
    </row>
    <row r="1946" spans="1:113" x14ac:dyDescent="0.4">
      <c r="A1946" t="str">
        <f>"300555"</f>
        <v>300555</v>
      </c>
      <c r="B1946" t="s">
        <v>9664</v>
      </c>
      <c r="C1946">
        <v>-1.04</v>
      </c>
      <c r="D1946">
        <v>9.48</v>
      </c>
      <c r="E1946">
        <v>-0.1</v>
      </c>
      <c r="F1946">
        <v>9.48</v>
      </c>
      <c r="G1946">
        <v>9.49</v>
      </c>
      <c r="H1946">
        <v>23467</v>
      </c>
      <c r="I1946">
        <v>494</v>
      </c>
      <c r="J1946">
        <v>0.64</v>
      </c>
      <c r="K1946">
        <v>1.36</v>
      </c>
      <c r="L1946">
        <v>9.6</v>
      </c>
      <c r="M1946">
        <v>9.65</v>
      </c>
      <c r="N1946">
        <v>9.41</v>
      </c>
      <c r="O1946">
        <v>9.58</v>
      </c>
      <c r="P1946">
        <v>570.26</v>
      </c>
      <c r="Q1946">
        <v>22342676</v>
      </c>
      <c r="R1946">
        <v>1</v>
      </c>
      <c r="S1946" t="s">
        <v>465</v>
      </c>
      <c r="T1946" t="s">
        <v>323</v>
      </c>
      <c r="U1946">
        <v>2.5099999999999998</v>
      </c>
      <c r="V1946">
        <v>9.52</v>
      </c>
      <c r="W1946">
        <v>12384</v>
      </c>
      <c r="X1946">
        <v>11083</v>
      </c>
      <c r="Y1946">
        <v>1.1200000000000001</v>
      </c>
      <c r="Z1946">
        <v>324</v>
      </c>
      <c r="AA1946">
        <v>23</v>
      </c>
      <c r="AB1946" t="s">
        <v>116</v>
      </c>
      <c r="AC1946">
        <v>171800</v>
      </c>
      <c r="AD1946">
        <v>0.02</v>
      </c>
      <c r="AE1946" t="s">
        <v>116</v>
      </c>
      <c r="AF1946" t="s">
        <v>116</v>
      </c>
      <c r="AG1946">
        <v>1.72</v>
      </c>
      <c r="AH1946" t="s">
        <v>9665</v>
      </c>
      <c r="AI1946" t="s">
        <v>9666</v>
      </c>
      <c r="AJ1946">
        <v>-0.36</v>
      </c>
      <c r="AK1946">
        <v>969</v>
      </c>
      <c r="AL1946">
        <v>24</v>
      </c>
      <c r="AM1946">
        <v>1.4E-3</v>
      </c>
      <c r="AN1946">
        <v>-1</v>
      </c>
      <c r="AO1946">
        <v>0.64</v>
      </c>
      <c r="AP1946">
        <v>5.92</v>
      </c>
      <c r="AQ1946">
        <v>-12.38</v>
      </c>
      <c r="AR1946">
        <v>17.91</v>
      </c>
      <c r="AS1946">
        <v>2.44</v>
      </c>
      <c r="AT1946" t="s">
        <v>6338</v>
      </c>
      <c r="AU1946" t="s">
        <v>116</v>
      </c>
      <c r="AV1946">
        <v>184.86</v>
      </c>
      <c r="AW1946">
        <v>1.57</v>
      </c>
      <c r="BA1946">
        <v>0.21</v>
      </c>
      <c r="BB1946">
        <v>0.73</v>
      </c>
      <c r="BC1946">
        <v>-1.77</v>
      </c>
      <c r="BD1946">
        <v>-0.62</v>
      </c>
      <c r="BE1946">
        <v>-1.25</v>
      </c>
      <c r="BF1946">
        <v>-1.76</v>
      </c>
      <c r="BG1946">
        <v>0.74</v>
      </c>
      <c r="BH1946">
        <v>-0.43</v>
      </c>
      <c r="BI1946">
        <v>20191216</v>
      </c>
      <c r="BJ1946">
        <v>20161018</v>
      </c>
      <c r="BK1946">
        <v>2</v>
      </c>
      <c r="BL1946" t="s">
        <v>116</v>
      </c>
      <c r="BM1946" t="s">
        <v>116</v>
      </c>
      <c r="BN1946">
        <v>7.78</v>
      </c>
      <c r="BO1946">
        <v>6.37</v>
      </c>
      <c r="BP1946">
        <v>0.05</v>
      </c>
      <c r="BQ1946">
        <v>17.43</v>
      </c>
      <c r="BR1946">
        <v>6.2</v>
      </c>
      <c r="BS1946">
        <v>0.91</v>
      </c>
      <c r="BT1946">
        <v>0.16</v>
      </c>
      <c r="BU1946">
        <v>1.33</v>
      </c>
      <c r="BV1946">
        <v>0.65</v>
      </c>
      <c r="BW1946">
        <v>3.55</v>
      </c>
      <c r="BX1946">
        <v>1.7</v>
      </c>
      <c r="BY1946">
        <v>1.74</v>
      </c>
      <c r="BZ1946">
        <v>1.29</v>
      </c>
      <c r="CA1946">
        <v>0</v>
      </c>
      <c r="CB1946">
        <v>0.03</v>
      </c>
      <c r="CC1946">
        <v>0.02</v>
      </c>
      <c r="CD1946">
        <v>0.02</v>
      </c>
      <c r="CE1946">
        <v>0.02</v>
      </c>
      <c r="CF1946">
        <v>-0.01</v>
      </c>
      <c r="CG1946">
        <v>2.36</v>
      </c>
      <c r="CH1946">
        <v>0.09</v>
      </c>
      <c r="CI1946">
        <v>0.11</v>
      </c>
      <c r="CJ1946">
        <v>18100</v>
      </c>
      <c r="CK1946">
        <v>5323</v>
      </c>
      <c r="CL1946" t="s">
        <v>1863</v>
      </c>
      <c r="CM1946">
        <v>-81.56</v>
      </c>
      <c r="CN1946">
        <v>-28.96</v>
      </c>
      <c r="CO1946">
        <v>2.98</v>
      </c>
      <c r="CP1946">
        <v>214.18</v>
      </c>
      <c r="CQ1946">
        <v>10.91</v>
      </c>
      <c r="CR1946">
        <v>0</v>
      </c>
      <c r="CS1946" t="s">
        <v>238</v>
      </c>
      <c r="CT1946">
        <v>3.19</v>
      </c>
      <c r="CU1946">
        <v>0</v>
      </c>
      <c r="CV1946">
        <v>0.85</v>
      </c>
      <c r="CW1946">
        <v>1.18</v>
      </c>
      <c r="CX1946">
        <v>0.04</v>
      </c>
      <c r="CY1946">
        <v>81.94</v>
      </c>
      <c r="CZ1946" t="s">
        <v>3944</v>
      </c>
      <c r="DA1946">
        <v>25.99</v>
      </c>
      <c r="DB1946">
        <v>0.05</v>
      </c>
      <c r="DC1946">
        <v>1.43</v>
      </c>
      <c r="DD1946">
        <v>0.11</v>
      </c>
      <c r="DE1946">
        <v>448</v>
      </c>
      <c r="DF1946">
        <v>300555</v>
      </c>
      <c r="DG1946" t="s">
        <v>116</v>
      </c>
      <c r="DH1946" t="s">
        <v>116</v>
      </c>
      <c r="DI1946" t="s">
        <v>116</v>
      </c>
    </row>
    <row r="1947" spans="1:113" x14ac:dyDescent="0.4">
      <c r="A1947" t="str">
        <f>"300556"</f>
        <v>300556</v>
      </c>
      <c r="B1947" t="s">
        <v>9667</v>
      </c>
      <c r="C1947">
        <v>-1.1100000000000001</v>
      </c>
      <c r="D1947">
        <v>16.86</v>
      </c>
      <c r="E1947">
        <v>-0.19</v>
      </c>
      <c r="F1947">
        <v>16.86</v>
      </c>
      <c r="G1947">
        <v>16.88</v>
      </c>
      <c r="H1947">
        <v>28136</v>
      </c>
      <c r="I1947">
        <v>311</v>
      </c>
      <c r="J1947">
        <v>0.36</v>
      </c>
      <c r="K1947">
        <v>3.33</v>
      </c>
      <c r="L1947">
        <v>17.14</v>
      </c>
      <c r="M1947">
        <v>17.32</v>
      </c>
      <c r="N1947">
        <v>16.77</v>
      </c>
      <c r="O1947">
        <v>17.05</v>
      </c>
      <c r="P1947">
        <v>88.39</v>
      </c>
      <c r="Q1947">
        <v>47970888</v>
      </c>
      <c r="R1947">
        <v>0.99</v>
      </c>
      <c r="S1947" t="s">
        <v>607</v>
      </c>
      <c r="T1947" t="s">
        <v>115</v>
      </c>
      <c r="U1947">
        <v>3.23</v>
      </c>
      <c r="V1947">
        <v>17.05</v>
      </c>
      <c r="W1947">
        <v>15298</v>
      </c>
      <c r="X1947">
        <v>12838</v>
      </c>
      <c r="Y1947">
        <v>1.19</v>
      </c>
      <c r="Z1947">
        <v>50</v>
      </c>
      <c r="AA1947">
        <v>160</v>
      </c>
      <c r="AB1947" t="s">
        <v>116</v>
      </c>
      <c r="AC1947">
        <v>334200</v>
      </c>
      <c r="AD1947">
        <v>0.03</v>
      </c>
      <c r="AE1947" t="s">
        <v>116</v>
      </c>
      <c r="AF1947" t="s">
        <v>116</v>
      </c>
      <c r="AG1947">
        <v>0.85</v>
      </c>
      <c r="AH1947" t="s">
        <v>5139</v>
      </c>
      <c r="AI1947" t="s">
        <v>7085</v>
      </c>
      <c r="AJ1947">
        <v>-0.44</v>
      </c>
      <c r="AK1947">
        <v>1788</v>
      </c>
      <c r="AL1947">
        <v>16</v>
      </c>
      <c r="AM1947">
        <v>1.9E-3</v>
      </c>
      <c r="AN1947">
        <v>-3</v>
      </c>
      <c r="AO1947">
        <v>-2.09</v>
      </c>
      <c r="AP1947">
        <v>4.59</v>
      </c>
      <c r="AQ1947">
        <v>-1.35</v>
      </c>
      <c r="AR1947">
        <v>6.24</v>
      </c>
      <c r="AS1947">
        <v>3.69</v>
      </c>
      <c r="AT1947" t="s">
        <v>9668</v>
      </c>
      <c r="AU1947">
        <v>66.790000000000006</v>
      </c>
      <c r="AV1947">
        <v>35.86</v>
      </c>
      <c r="AW1947">
        <v>1.04</v>
      </c>
      <c r="BA1947">
        <v>0.53</v>
      </c>
      <c r="BB1947">
        <v>1.58</v>
      </c>
      <c r="BC1947">
        <v>-1.64</v>
      </c>
      <c r="BD1947">
        <v>0</v>
      </c>
      <c r="BE1947">
        <v>-1.63</v>
      </c>
      <c r="BF1947">
        <v>-2.66</v>
      </c>
      <c r="BG1947">
        <v>0.54</v>
      </c>
      <c r="BH1947">
        <v>-1.1100000000000001</v>
      </c>
      <c r="BI1947">
        <v>20191104</v>
      </c>
      <c r="BJ1947">
        <v>20161104</v>
      </c>
      <c r="BK1947">
        <v>1.1499999999999999</v>
      </c>
      <c r="BL1947" t="s">
        <v>116</v>
      </c>
      <c r="BM1947" t="s">
        <v>116</v>
      </c>
      <c r="BN1947">
        <v>8.49</v>
      </c>
      <c r="BO1947">
        <v>4.9800000000000004</v>
      </c>
      <c r="BP1947">
        <v>0</v>
      </c>
      <c r="BQ1947">
        <v>41.23</v>
      </c>
      <c r="BR1947">
        <v>7.41</v>
      </c>
      <c r="BS1947">
        <v>0.31</v>
      </c>
      <c r="BT1947">
        <v>0.05</v>
      </c>
      <c r="BU1947">
        <v>3.48</v>
      </c>
      <c r="BV1947">
        <v>0.3</v>
      </c>
      <c r="BW1947">
        <v>3.91</v>
      </c>
      <c r="BX1947">
        <v>2.4700000000000002</v>
      </c>
      <c r="BY1947">
        <v>5.33</v>
      </c>
      <c r="BZ1947">
        <v>3.32</v>
      </c>
      <c r="CA1947">
        <v>0.19</v>
      </c>
      <c r="CB1947">
        <v>-0.01</v>
      </c>
      <c r="CC1947">
        <v>0.19</v>
      </c>
      <c r="CD1947">
        <v>0.17</v>
      </c>
      <c r="CE1947">
        <v>0.16</v>
      </c>
      <c r="CF1947">
        <v>0.13</v>
      </c>
      <c r="CG1947">
        <v>1.48</v>
      </c>
      <c r="CH1947">
        <v>-0.31</v>
      </c>
      <c r="CI1947">
        <v>-0.6</v>
      </c>
      <c r="CJ1947">
        <v>16237</v>
      </c>
      <c r="CK1947">
        <v>4691</v>
      </c>
      <c r="CL1947" t="s">
        <v>9669</v>
      </c>
      <c r="CM1947">
        <v>-60.35</v>
      </c>
      <c r="CN1947">
        <v>20.04</v>
      </c>
      <c r="CO1947">
        <v>3.9</v>
      </c>
      <c r="CP1947">
        <v>-62.62</v>
      </c>
      <c r="CQ1947">
        <v>3.64</v>
      </c>
      <c r="CR1947">
        <v>0.59</v>
      </c>
      <c r="CS1947" t="s">
        <v>829</v>
      </c>
      <c r="CT1947">
        <v>4.33</v>
      </c>
      <c r="CU1947">
        <v>0</v>
      </c>
      <c r="CV1947">
        <v>2.15</v>
      </c>
      <c r="CW1947">
        <v>1.29</v>
      </c>
      <c r="CX1947">
        <v>-0.27</v>
      </c>
      <c r="CY1947">
        <v>58.72</v>
      </c>
      <c r="CZ1947" t="s">
        <v>2590</v>
      </c>
      <c r="DA1947">
        <v>37.61</v>
      </c>
      <c r="DB1947">
        <v>3.6</v>
      </c>
      <c r="DC1947">
        <v>3.09</v>
      </c>
      <c r="DD1947">
        <v>0.25</v>
      </c>
      <c r="DE1947">
        <v>1890</v>
      </c>
      <c r="DF1947">
        <v>300556</v>
      </c>
      <c r="DG1947" t="s">
        <v>116</v>
      </c>
      <c r="DH1947" t="s">
        <v>116</v>
      </c>
      <c r="DI1947" t="s">
        <v>116</v>
      </c>
    </row>
    <row r="1948" spans="1:113" x14ac:dyDescent="0.4">
      <c r="A1948" t="str">
        <f>"300557"</f>
        <v>300557</v>
      </c>
      <c r="B1948" t="s">
        <v>9670</v>
      </c>
      <c r="C1948">
        <v>-0.89</v>
      </c>
      <c r="D1948">
        <v>27.99</v>
      </c>
      <c r="E1948">
        <v>-0.25</v>
      </c>
      <c r="F1948">
        <v>27.98</v>
      </c>
      <c r="G1948">
        <v>27.99</v>
      </c>
      <c r="H1948">
        <v>7176</v>
      </c>
      <c r="I1948">
        <v>39</v>
      </c>
      <c r="J1948">
        <v>-0.31</v>
      </c>
      <c r="K1948">
        <v>1.3</v>
      </c>
      <c r="L1948">
        <v>28.15</v>
      </c>
      <c r="M1948">
        <v>28.64</v>
      </c>
      <c r="N1948">
        <v>27.66</v>
      </c>
      <c r="O1948">
        <v>28.24</v>
      </c>
      <c r="P1948" t="s">
        <v>116</v>
      </c>
      <c r="Q1948">
        <v>20172664</v>
      </c>
      <c r="R1948">
        <v>0.73</v>
      </c>
      <c r="S1948" t="s">
        <v>2977</v>
      </c>
      <c r="T1948" t="s">
        <v>774</v>
      </c>
      <c r="U1948">
        <v>3.47</v>
      </c>
      <c r="V1948">
        <v>28.11</v>
      </c>
      <c r="W1948">
        <v>3775</v>
      </c>
      <c r="X1948">
        <v>3401</v>
      </c>
      <c r="Y1948">
        <v>1.1100000000000001</v>
      </c>
      <c r="Z1948">
        <v>11</v>
      </c>
      <c r="AA1948">
        <v>77</v>
      </c>
      <c r="AB1948" t="s">
        <v>116</v>
      </c>
      <c r="AC1948">
        <v>42200</v>
      </c>
      <c r="AD1948">
        <v>0</v>
      </c>
      <c r="AE1948" t="s">
        <v>116</v>
      </c>
      <c r="AF1948" t="s">
        <v>116</v>
      </c>
      <c r="AG1948">
        <v>0.55000000000000004</v>
      </c>
      <c r="AH1948" t="s">
        <v>9027</v>
      </c>
      <c r="AI1948" t="s">
        <v>1415</v>
      </c>
      <c r="AJ1948">
        <v>-0.21</v>
      </c>
      <c r="AK1948">
        <v>820</v>
      </c>
      <c r="AL1948">
        <v>9</v>
      </c>
      <c r="AM1948">
        <v>1.6000000000000001E-3</v>
      </c>
      <c r="AN1948">
        <v>-1</v>
      </c>
      <c r="AO1948">
        <v>3.27</v>
      </c>
      <c r="AP1948">
        <v>11.65</v>
      </c>
      <c r="AQ1948">
        <v>-0.6</v>
      </c>
      <c r="AR1948">
        <v>26.37</v>
      </c>
      <c r="AS1948">
        <v>2.13</v>
      </c>
      <c r="AT1948" t="s">
        <v>7298</v>
      </c>
      <c r="AU1948">
        <v>77.56</v>
      </c>
      <c r="AV1948">
        <v>86.84</v>
      </c>
      <c r="AW1948">
        <v>1.29</v>
      </c>
      <c r="BA1948">
        <v>-0.32</v>
      </c>
      <c r="BB1948">
        <v>1.42</v>
      </c>
      <c r="BC1948">
        <v>-2.0499999999999998</v>
      </c>
      <c r="BD1948">
        <v>-0.46</v>
      </c>
      <c r="BE1948">
        <v>-0.56999999999999995</v>
      </c>
      <c r="BF1948">
        <v>-2.27</v>
      </c>
      <c r="BG1948">
        <v>1.19</v>
      </c>
      <c r="BH1948">
        <v>-0.43</v>
      </c>
      <c r="BI1948">
        <v>20191206</v>
      </c>
      <c r="BJ1948">
        <v>20161101</v>
      </c>
      <c r="BK1948">
        <v>0.56000000000000005</v>
      </c>
      <c r="BL1948" t="s">
        <v>116</v>
      </c>
      <c r="BM1948" t="s">
        <v>116</v>
      </c>
      <c r="BN1948">
        <v>7.54</v>
      </c>
      <c r="BO1948">
        <v>4.5</v>
      </c>
      <c r="BP1948">
        <v>0.34</v>
      </c>
      <c r="BQ1948">
        <v>35.78</v>
      </c>
      <c r="BR1948">
        <v>6.19</v>
      </c>
      <c r="BS1948">
        <v>0.25</v>
      </c>
      <c r="BT1948">
        <v>0.15</v>
      </c>
      <c r="BU1948">
        <v>2.57</v>
      </c>
      <c r="BV1948">
        <v>1.87</v>
      </c>
      <c r="BW1948">
        <v>1.95</v>
      </c>
      <c r="BX1948">
        <v>1.98</v>
      </c>
      <c r="BY1948">
        <v>0.69</v>
      </c>
      <c r="BZ1948">
        <v>0.45</v>
      </c>
      <c r="CA1948">
        <v>-0.28000000000000003</v>
      </c>
      <c r="CB1948">
        <v>0.01</v>
      </c>
      <c r="CC1948">
        <v>-0.28000000000000003</v>
      </c>
      <c r="CD1948">
        <v>-0.28999999999999998</v>
      </c>
      <c r="CE1948">
        <v>-0.28999999999999998</v>
      </c>
      <c r="CF1948">
        <v>-0.36</v>
      </c>
      <c r="CG1948">
        <v>1.65</v>
      </c>
      <c r="CH1948">
        <v>-0.33</v>
      </c>
      <c r="CI1948">
        <v>-0.09</v>
      </c>
      <c r="CJ1948">
        <v>7999</v>
      </c>
      <c r="CK1948">
        <v>4205</v>
      </c>
      <c r="CL1948" t="s">
        <v>9606</v>
      </c>
      <c r="CM1948">
        <v>6.86</v>
      </c>
      <c r="CN1948">
        <v>49.94</v>
      </c>
      <c r="CO1948">
        <v>3.46</v>
      </c>
      <c r="CP1948">
        <v>-46.64</v>
      </c>
      <c r="CQ1948">
        <v>22.48</v>
      </c>
      <c r="CR1948">
        <v>0.36</v>
      </c>
      <c r="CS1948" t="s">
        <v>9671</v>
      </c>
      <c r="CT1948">
        <v>8.09</v>
      </c>
      <c r="CU1948">
        <v>0</v>
      </c>
      <c r="CV1948">
        <v>3.56</v>
      </c>
      <c r="CW1948">
        <v>2.97</v>
      </c>
      <c r="CX1948">
        <v>-0.6</v>
      </c>
      <c r="CY1948">
        <v>59.69</v>
      </c>
      <c r="CZ1948" t="s">
        <v>9672</v>
      </c>
      <c r="DA1948">
        <v>35.14</v>
      </c>
      <c r="DB1948">
        <v>-40.65</v>
      </c>
      <c r="DC1948">
        <v>-42.04</v>
      </c>
      <c r="DD1948">
        <v>0.16</v>
      </c>
      <c r="DE1948">
        <v>396</v>
      </c>
      <c r="DF1948">
        <v>300557</v>
      </c>
      <c r="DG1948" t="s">
        <v>116</v>
      </c>
      <c r="DH1948" t="s">
        <v>116</v>
      </c>
      <c r="DI1948" t="s">
        <v>116</v>
      </c>
    </row>
    <row r="1949" spans="1:113" x14ac:dyDescent="0.4">
      <c r="A1949" t="str">
        <f>"300558"</f>
        <v>300558</v>
      </c>
      <c r="B1949" t="s">
        <v>9673</v>
      </c>
      <c r="C1949">
        <v>-1.99</v>
      </c>
      <c r="D1949">
        <v>66.400000000000006</v>
      </c>
      <c r="E1949">
        <v>-1.35</v>
      </c>
      <c r="F1949">
        <v>66.400000000000006</v>
      </c>
      <c r="G1949">
        <v>66.45</v>
      </c>
      <c r="H1949">
        <v>29177</v>
      </c>
      <c r="I1949">
        <v>198</v>
      </c>
      <c r="J1949">
        <v>0</v>
      </c>
      <c r="K1949">
        <v>0.77</v>
      </c>
      <c r="L1949">
        <v>67.3</v>
      </c>
      <c r="M1949">
        <v>68.260000000000005</v>
      </c>
      <c r="N1949">
        <v>66.39</v>
      </c>
      <c r="O1949">
        <v>67.75</v>
      </c>
      <c r="P1949">
        <v>100.58</v>
      </c>
      <c r="Q1949">
        <v>196072640</v>
      </c>
      <c r="R1949">
        <v>0.96</v>
      </c>
      <c r="S1949" t="s">
        <v>574</v>
      </c>
      <c r="T1949" t="s">
        <v>590</v>
      </c>
      <c r="U1949">
        <v>2.76</v>
      </c>
      <c r="V1949">
        <v>67.2</v>
      </c>
      <c r="W1949">
        <v>18354</v>
      </c>
      <c r="X1949">
        <v>10823</v>
      </c>
      <c r="Y1949">
        <v>1.7</v>
      </c>
      <c r="Z1949">
        <v>41</v>
      </c>
      <c r="AA1949">
        <v>9</v>
      </c>
      <c r="AB1949" t="s">
        <v>116</v>
      </c>
      <c r="AC1949">
        <v>1689200</v>
      </c>
      <c r="AD1949">
        <v>0.01</v>
      </c>
      <c r="AE1949" t="s">
        <v>116</v>
      </c>
      <c r="AF1949" t="s">
        <v>116</v>
      </c>
      <c r="AG1949">
        <v>3.79</v>
      </c>
      <c r="AH1949" t="s">
        <v>9674</v>
      </c>
      <c r="AI1949" t="s">
        <v>9675</v>
      </c>
      <c r="AJ1949">
        <v>-1.31</v>
      </c>
      <c r="AK1949">
        <v>2757</v>
      </c>
      <c r="AL1949">
        <v>11</v>
      </c>
      <c r="AM1949">
        <v>2.9999999999999997E-4</v>
      </c>
      <c r="AN1949">
        <v>-1</v>
      </c>
      <c r="AO1949">
        <v>-0.75</v>
      </c>
      <c r="AP1949">
        <v>-0.64</v>
      </c>
      <c r="AQ1949">
        <v>44.19</v>
      </c>
      <c r="AR1949">
        <v>108.41</v>
      </c>
      <c r="AS1949">
        <v>1.72</v>
      </c>
      <c r="AT1949" t="s">
        <v>9676</v>
      </c>
      <c r="AU1949">
        <v>122.36</v>
      </c>
      <c r="AV1949">
        <v>159.61000000000001</v>
      </c>
      <c r="AW1949">
        <v>1.36</v>
      </c>
      <c r="BA1949">
        <v>-0.66</v>
      </c>
      <c r="BB1949">
        <v>0.75</v>
      </c>
      <c r="BC1949">
        <v>-2.0099999999999998</v>
      </c>
      <c r="BD1949">
        <v>-0.81</v>
      </c>
      <c r="BE1949">
        <v>-1.34</v>
      </c>
      <c r="BF1949">
        <v>-2.72</v>
      </c>
      <c r="BG1949">
        <v>0.02</v>
      </c>
      <c r="BH1949">
        <v>-1.18</v>
      </c>
      <c r="BI1949">
        <v>20191106</v>
      </c>
      <c r="BJ1949">
        <v>20161107</v>
      </c>
      <c r="BK1949">
        <v>4.01</v>
      </c>
      <c r="BL1949" t="s">
        <v>116</v>
      </c>
      <c r="BM1949" t="s">
        <v>116</v>
      </c>
      <c r="BN1949">
        <v>40.049999999999997</v>
      </c>
      <c r="BO1949">
        <v>23.71</v>
      </c>
      <c r="BP1949">
        <v>0.1</v>
      </c>
      <c r="BQ1949">
        <v>40.549999999999997</v>
      </c>
      <c r="BR1949">
        <v>8.42</v>
      </c>
      <c r="BS1949">
        <v>5.79</v>
      </c>
      <c r="BT1949">
        <v>5.0999999999999996</v>
      </c>
      <c r="BU1949">
        <v>6.86</v>
      </c>
      <c r="BV1949">
        <v>1.24</v>
      </c>
      <c r="BW1949">
        <v>0.98</v>
      </c>
      <c r="BX1949">
        <v>6.35</v>
      </c>
      <c r="BY1949">
        <v>12.43</v>
      </c>
      <c r="BZ1949">
        <v>0.8</v>
      </c>
      <c r="CA1949">
        <v>2.33</v>
      </c>
      <c r="CB1949">
        <v>0.03</v>
      </c>
      <c r="CC1949">
        <v>2.31</v>
      </c>
      <c r="CD1949">
        <v>1.94</v>
      </c>
      <c r="CE1949">
        <v>1.99</v>
      </c>
      <c r="CF1949">
        <v>1.81</v>
      </c>
      <c r="CG1949">
        <v>11.47</v>
      </c>
      <c r="CH1949">
        <v>3.89</v>
      </c>
      <c r="CI1949">
        <v>2.14</v>
      </c>
      <c r="CJ1949">
        <v>19825</v>
      </c>
      <c r="CK1949">
        <v>8545</v>
      </c>
      <c r="CL1949" t="s">
        <v>9677</v>
      </c>
      <c r="CM1949">
        <v>34.369999999999997</v>
      </c>
      <c r="CN1949">
        <v>34.049999999999997</v>
      </c>
      <c r="CO1949">
        <v>11.23</v>
      </c>
      <c r="CP1949">
        <v>68.45</v>
      </c>
      <c r="CQ1949">
        <v>21.41</v>
      </c>
      <c r="CR1949">
        <v>0.17</v>
      </c>
      <c r="CS1949" t="s">
        <v>9678</v>
      </c>
      <c r="CT1949">
        <v>5.91</v>
      </c>
      <c r="CU1949">
        <v>0</v>
      </c>
      <c r="CV1949">
        <v>1.58</v>
      </c>
      <c r="CW1949">
        <v>2.86</v>
      </c>
      <c r="CX1949">
        <v>0.97</v>
      </c>
      <c r="CY1949">
        <v>59.2</v>
      </c>
      <c r="CZ1949" t="s">
        <v>8073</v>
      </c>
      <c r="DA1949">
        <v>93.54</v>
      </c>
      <c r="DB1949">
        <v>18.71</v>
      </c>
      <c r="DC1949">
        <v>15.97</v>
      </c>
      <c r="DD1949">
        <v>2.4500000000000002</v>
      </c>
      <c r="DE1949">
        <v>1160</v>
      </c>
      <c r="DF1949">
        <v>300558</v>
      </c>
      <c r="DG1949" t="s">
        <v>116</v>
      </c>
      <c r="DH1949" t="s">
        <v>116</v>
      </c>
      <c r="DI1949" t="s">
        <v>116</v>
      </c>
    </row>
    <row r="1950" spans="1:113" x14ac:dyDescent="0.4">
      <c r="A1950" t="str">
        <f>"300559"</f>
        <v>300559</v>
      </c>
      <c r="B1950" t="s">
        <v>9679</v>
      </c>
      <c r="C1950">
        <v>-1.46</v>
      </c>
      <c r="D1950">
        <v>29.1</v>
      </c>
      <c r="E1950">
        <v>-0.43</v>
      </c>
      <c r="F1950">
        <v>29.1</v>
      </c>
      <c r="G1950">
        <v>29.11</v>
      </c>
      <c r="H1950">
        <v>26375</v>
      </c>
      <c r="I1950">
        <v>295</v>
      </c>
      <c r="J1950">
        <v>0.14000000000000001</v>
      </c>
      <c r="K1950">
        <v>1.64</v>
      </c>
      <c r="L1950">
        <v>29.59</v>
      </c>
      <c r="M1950">
        <v>29.86</v>
      </c>
      <c r="N1950">
        <v>28.79</v>
      </c>
      <c r="O1950">
        <v>29.53</v>
      </c>
      <c r="P1950">
        <v>37.46</v>
      </c>
      <c r="Q1950">
        <v>77089712</v>
      </c>
      <c r="R1950">
        <v>1.1000000000000001</v>
      </c>
      <c r="S1950" t="s">
        <v>607</v>
      </c>
      <c r="T1950" t="s">
        <v>582</v>
      </c>
      <c r="U1950">
        <v>3.62</v>
      </c>
      <c r="V1950">
        <v>29.23</v>
      </c>
      <c r="W1950">
        <v>13668</v>
      </c>
      <c r="X1950">
        <v>12707</v>
      </c>
      <c r="Y1950">
        <v>1.08</v>
      </c>
      <c r="Z1950">
        <v>27</v>
      </c>
      <c r="AA1950">
        <v>15</v>
      </c>
      <c r="AB1950" t="s">
        <v>116</v>
      </c>
      <c r="AC1950">
        <v>115400</v>
      </c>
      <c r="AD1950">
        <v>0</v>
      </c>
      <c r="AE1950" t="s">
        <v>116</v>
      </c>
      <c r="AF1950" t="s">
        <v>116</v>
      </c>
      <c r="AG1950">
        <v>1.61</v>
      </c>
      <c r="AH1950" t="s">
        <v>9680</v>
      </c>
      <c r="AI1950" t="s">
        <v>9681</v>
      </c>
      <c r="AJ1950">
        <v>-0.78</v>
      </c>
      <c r="AK1950">
        <v>2385</v>
      </c>
      <c r="AL1950">
        <v>11</v>
      </c>
      <c r="AM1950">
        <v>6.9999999999999999E-4</v>
      </c>
      <c r="AN1950">
        <v>-2</v>
      </c>
      <c r="AO1950">
        <v>-1.1599999999999999</v>
      </c>
      <c r="AP1950">
        <v>6.63</v>
      </c>
      <c r="AQ1950">
        <v>14.12</v>
      </c>
      <c r="AR1950">
        <v>61.34</v>
      </c>
      <c r="AS1950">
        <v>2.88</v>
      </c>
      <c r="AT1950" t="s">
        <v>539</v>
      </c>
      <c r="AU1950">
        <v>38.369999999999997</v>
      </c>
      <c r="AV1950">
        <v>62.55</v>
      </c>
      <c r="AW1950">
        <v>1.35</v>
      </c>
      <c r="BA1950">
        <v>0.2</v>
      </c>
      <c r="BB1950">
        <v>1.1200000000000001</v>
      </c>
      <c r="BC1950">
        <v>-2.5099999999999998</v>
      </c>
      <c r="BD1950">
        <v>-1.02</v>
      </c>
      <c r="BE1950">
        <v>-1.66</v>
      </c>
      <c r="BF1950">
        <v>-2.5499999999999998</v>
      </c>
      <c r="BG1950">
        <v>1.08</v>
      </c>
      <c r="BH1950">
        <v>-0.43</v>
      </c>
      <c r="BI1950">
        <v>20191223</v>
      </c>
      <c r="BJ1950">
        <v>20161101</v>
      </c>
      <c r="BK1950">
        <v>2.66</v>
      </c>
      <c r="BL1950" t="s">
        <v>116</v>
      </c>
      <c r="BM1950" t="s">
        <v>116</v>
      </c>
      <c r="BN1950">
        <v>11.71</v>
      </c>
      <c r="BO1950">
        <v>9.08</v>
      </c>
      <c r="BP1950">
        <v>0.44</v>
      </c>
      <c r="BQ1950">
        <v>18.649999999999999</v>
      </c>
      <c r="BR1950">
        <v>9.2200000000000006</v>
      </c>
      <c r="BS1950">
        <v>1.4</v>
      </c>
      <c r="BT1950">
        <v>0.31</v>
      </c>
      <c r="BU1950">
        <v>2.17</v>
      </c>
      <c r="BV1950">
        <v>0.79</v>
      </c>
      <c r="BW1950">
        <v>1.55</v>
      </c>
      <c r="BX1950">
        <v>1.49</v>
      </c>
      <c r="BY1950">
        <v>4.0199999999999996</v>
      </c>
      <c r="BZ1950">
        <v>1.83</v>
      </c>
      <c r="CA1950">
        <v>1.68</v>
      </c>
      <c r="CB1950">
        <v>0.08</v>
      </c>
      <c r="CC1950">
        <v>1.68</v>
      </c>
      <c r="CD1950">
        <v>1.55</v>
      </c>
      <c r="CE1950">
        <v>1.55</v>
      </c>
      <c r="CF1950">
        <v>1.53</v>
      </c>
      <c r="CG1950">
        <v>4.7300000000000004</v>
      </c>
      <c r="CH1950">
        <v>1.47</v>
      </c>
      <c r="CI1950">
        <v>-3.65</v>
      </c>
      <c r="CJ1950">
        <v>9047</v>
      </c>
      <c r="CK1950">
        <v>10138</v>
      </c>
      <c r="CL1950" t="s">
        <v>9682</v>
      </c>
      <c r="CM1950">
        <v>101.2</v>
      </c>
      <c r="CN1950">
        <v>64.930000000000007</v>
      </c>
      <c r="CO1950">
        <v>8.5299999999999994</v>
      </c>
      <c r="CP1950">
        <v>52.79</v>
      </c>
      <c r="CQ1950">
        <v>19.3</v>
      </c>
      <c r="CR1950">
        <v>0.33</v>
      </c>
      <c r="CS1950" t="s">
        <v>9683</v>
      </c>
      <c r="CT1950">
        <v>3.41</v>
      </c>
      <c r="CU1950">
        <v>0</v>
      </c>
      <c r="CV1950">
        <v>0.56000000000000005</v>
      </c>
      <c r="CW1950">
        <v>1.78</v>
      </c>
      <c r="CX1950">
        <v>0.55000000000000004</v>
      </c>
      <c r="CY1950">
        <v>77.59</v>
      </c>
      <c r="CZ1950" t="s">
        <v>9684</v>
      </c>
      <c r="DA1950">
        <v>54.45</v>
      </c>
      <c r="DB1950">
        <v>41.76</v>
      </c>
      <c r="DC1950">
        <v>38.65</v>
      </c>
      <c r="DD1950">
        <v>0.22</v>
      </c>
      <c r="DE1950">
        <v>647</v>
      </c>
      <c r="DF1950">
        <v>300559</v>
      </c>
      <c r="DG1950" t="s">
        <v>116</v>
      </c>
      <c r="DH1950" t="s">
        <v>116</v>
      </c>
      <c r="DI1950" t="s">
        <v>116</v>
      </c>
    </row>
    <row r="1951" spans="1:113" x14ac:dyDescent="0.4">
      <c r="A1951" t="str">
        <f>"300560"</f>
        <v>300560</v>
      </c>
      <c r="B1951" t="s">
        <v>9685</v>
      </c>
      <c r="C1951">
        <v>-1.89</v>
      </c>
      <c r="D1951">
        <v>15.58</v>
      </c>
      <c r="E1951">
        <v>-0.3</v>
      </c>
      <c r="F1951">
        <v>15.57</v>
      </c>
      <c r="G1951">
        <v>15.58</v>
      </c>
      <c r="H1951">
        <v>19547</v>
      </c>
      <c r="I1951">
        <v>275</v>
      </c>
      <c r="J1951">
        <v>-0.12</v>
      </c>
      <c r="K1951">
        <v>1.04</v>
      </c>
      <c r="L1951">
        <v>15.95</v>
      </c>
      <c r="M1951">
        <v>16.04</v>
      </c>
      <c r="N1951">
        <v>15.55</v>
      </c>
      <c r="O1951">
        <v>15.88</v>
      </c>
      <c r="P1951">
        <v>63.57</v>
      </c>
      <c r="Q1951">
        <v>30997186</v>
      </c>
      <c r="R1951">
        <v>1.01</v>
      </c>
      <c r="S1951" t="s">
        <v>465</v>
      </c>
      <c r="T1951" t="s">
        <v>975</v>
      </c>
      <c r="U1951">
        <v>3.09</v>
      </c>
      <c r="V1951">
        <v>15.86</v>
      </c>
      <c r="W1951">
        <v>11536</v>
      </c>
      <c r="X1951">
        <v>8011</v>
      </c>
      <c r="Y1951">
        <v>1.44</v>
      </c>
      <c r="Z1951">
        <v>39</v>
      </c>
      <c r="AA1951">
        <v>51</v>
      </c>
      <c r="AB1951" t="s">
        <v>116</v>
      </c>
      <c r="AC1951">
        <v>46300</v>
      </c>
      <c r="AD1951">
        <v>0</v>
      </c>
      <c r="AE1951" t="s">
        <v>116</v>
      </c>
      <c r="AF1951" t="s">
        <v>116</v>
      </c>
      <c r="AG1951">
        <v>1.87</v>
      </c>
      <c r="AH1951" t="s">
        <v>9686</v>
      </c>
      <c r="AI1951" t="s">
        <v>9687</v>
      </c>
      <c r="AJ1951">
        <v>-1.21</v>
      </c>
      <c r="AK1951">
        <v>1569</v>
      </c>
      <c r="AL1951">
        <v>12</v>
      </c>
      <c r="AM1951">
        <v>6.9999999999999999E-4</v>
      </c>
      <c r="AN1951">
        <v>-1</v>
      </c>
      <c r="AO1951">
        <v>-1.21</v>
      </c>
      <c r="AP1951">
        <v>4.5599999999999996</v>
      </c>
      <c r="AQ1951">
        <v>-12.27</v>
      </c>
      <c r="AR1951">
        <v>-8</v>
      </c>
      <c r="AS1951">
        <v>2.36</v>
      </c>
      <c r="AT1951" t="s">
        <v>2736</v>
      </c>
      <c r="AU1951">
        <v>50.4</v>
      </c>
      <c r="AV1951">
        <v>50.42</v>
      </c>
      <c r="AW1951">
        <v>1.39</v>
      </c>
      <c r="BA1951">
        <v>0.44</v>
      </c>
      <c r="BB1951">
        <v>1.01</v>
      </c>
      <c r="BC1951">
        <v>-2.08</v>
      </c>
      <c r="BD1951">
        <v>-0.14000000000000001</v>
      </c>
      <c r="BE1951">
        <v>-2.3199999999999998</v>
      </c>
      <c r="BF1951">
        <v>-2.87</v>
      </c>
      <c r="BG1951">
        <v>0.19</v>
      </c>
      <c r="BH1951">
        <v>-1.75</v>
      </c>
      <c r="BI1951">
        <v>20191031</v>
      </c>
      <c r="BJ1951">
        <v>20161101</v>
      </c>
      <c r="BK1951">
        <v>1.89</v>
      </c>
      <c r="BL1951" t="s">
        <v>116</v>
      </c>
      <c r="BM1951" t="s">
        <v>116</v>
      </c>
      <c r="BN1951">
        <v>10.92</v>
      </c>
      <c r="BO1951">
        <v>5.59</v>
      </c>
      <c r="BP1951">
        <v>0.43</v>
      </c>
      <c r="BQ1951">
        <v>44.89</v>
      </c>
      <c r="BR1951">
        <v>7.53</v>
      </c>
      <c r="BS1951">
        <v>0.88</v>
      </c>
      <c r="BT1951">
        <v>0.38</v>
      </c>
      <c r="BU1951">
        <v>3.73</v>
      </c>
      <c r="BV1951">
        <v>0.43</v>
      </c>
      <c r="BW1951">
        <v>5.77</v>
      </c>
      <c r="BX1951">
        <v>0.64</v>
      </c>
      <c r="BY1951">
        <v>4.32</v>
      </c>
      <c r="BZ1951">
        <v>3.05</v>
      </c>
      <c r="CA1951">
        <v>0.39</v>
      </c>
      <c r="CB1951">
        <v>0</v>
      </c>
      <c r="CC1951">
        <v>0.38</v>
      </c>
      <c r="CD1951">
        <v>0.33</v>
      </c>
      <c r="CE1951">
        <v>0.35</v>
      </c>
      <c r="CF1951">
        <v>0.35</v>
      </c>
      <c r="CG1951">
        <v>2.78</v>
      </c>
      <c r="CH1951">
        <v>-0.79</v>
      </c>
      <c r="CI1951">
        <v>-1.1399999999999999</v>
      </c>
      <c r="CJ1951">
        <v>19146</v>
      </c>
      <c r="CK1951">
        <v>4329</v>
      </c>
      <c r="CL1951" t="s">
        <v>9688</v>
      </c>
      <c r="CM1951">
        <v>0.04</v>
      </c>
      <c r="CN1951">
        <v>26.11</v>
      </c>
      <c r="CO1951">
        <v>5.28</v>
      </c>
      <c r="CP1951">
        <v>-37.51</v>
      </c>
      <c r="CQ1951">
        <v>6.83</v>
      </c>
      <c r="CR1951">
        <v>0.32</v>
      </c>
      <c r="CS1951" t="s">
        <v>2474</v>
      </c>
      <c r="CT1951">
        <v>2.95</v>
      </c>
      <c r="CU1951">
        <v>0</v>
      </c>
      <c r="CV1951">
        <v>0.34</v>
      </c>
      <c r="CW1951">
        <v>1.47</v>
      </c>
      <c r="CX1951">
        <v>-0.42</v>
      </c>
      <c r="CY1951">
        <v>51.17</v>
      </c>
      <c r="CZ1951" t="s">
        <v>5245</v>
      </c>
      <c r="DA1951">
        <v>29.46</v>
      </c>
      <c r="DB1951">
        <v>8.94</v>
      </c>
      <c r="DC1951">
        <v>8.06</v>
      </c>
      <c r="DD1951">
        <v>0.21</v>
      </c>
      <c r="DE1951">
        <v>1479</v>
      </c>
      <c r="DF1951">
        <v>300560</v>
      </c>
      <c r="DG1951" t="s">
        <v>116</v>
      </c>
      <c r="DH1951" t="s">
        <v>116</v>
      </c>
      <c r="DI1951" t="s">
        <v>116</v>
      </c>
    </row>
    <row r="1952" spans="1:113" x14ac:dyDescent="0.4">
      <c r="A1952" t="str">
        <f>"300561"</f>
        <v>300561</v>
      </c>
      <c r="B1952" t="s">
        <v>9689</v>
      </c>
      <c r="C1952">
        <v>-2.76</v>
      </c>
      <c r="D1952">
        <v>15.49</v>
      </c>
      <c r="E1952">
        <v>-0.44</v>
      </c>
      <c r="F1952">
        <v>15.48</v>
      </c>
      <c r="G1952">
        <v>15.49</v>
      </c>
      <c r="H1952">
        <v>116141</v>
      </c>
      <c r="I1952">
        <v>3000</v>
      </c>
      <c r="J1952">
        <v>-0.38</v>
      </c>
      <c r="K1952">
        <v>8.64</v>
      </c>
      <c r="L1952">
        <v>15.91</v>
      </c>
      <c r="M1952">
        <v>16.25</v>
      </c>
      <c r="N1952">
        <v>15.48</v>
      </c>
      <c r="O1952">
        <v>15.93</v>
      </c>
      <c r="P1952">
        <v>168.37</v>
      </c>
      <c r="Q1952">
        <v>184434272</v>
      </c>
      <c r="R1952">
        <v>0.94</v>
      </c>
      <c r="S1952" t="s">
        <v>607</v>
      </c>
      <c r="T1952" t="s">
        <v>551</v>
      </c>
      <c r="U1952">
        <v>4.83</v>
      </c>
      <c r="V1952">
        <v>15.88</v>
      </c>
      <c r="W1952">
        <v>63405</v>
      </c>
      <c r="X1952">
        <v>52736</v>
      </c>
      <c r="Y1952">
        <v>1.2</v>
      </c>
      <c r="Z1952">
        <v>518</v>
      </c>
      <c r="AA1952">
        <v>1054</v>
      </c>
      <c r="AB1952" t="s">
        <v>116</v>
      </c>
      <c r="AC1952">
        <v>1799400</v>
      </c>
      <c r="AD1952">
        <v>0.13</v>
      </c>
      <c r="AE1952" t="s">
        <v>116</v>
      </c>
      <c r="AF1952" t="s">
        <v>116</v>
      </c>
      <c r="AG1952">
        <v>1.34</v>
      </c>
      <c r="AH1952" t="s">
        <v>8212</v>
      </c>
      <c r="AI1952" t="s">
        <v>9690</v>
      </c>
      <c r="AJ1952">
        <v>-2.08</v>
      </c>
      <c r="AK1952">
        <v>3045</v>
      </c>
      <c r="AL1952">
        <v>38</v>
      </c>
      <c r="AM1952">
        <v>2.8E-3</v>
      </c>
      <c r="AN1952">
        <v>-3</v>
      </c>
      <c r="AO1952">
        <v>-6.4</v>
      </c>
      <c r="AP1952">
        <v>18.329999999999998</v>
      </c>
      <c r="AQ1952">
        <v>1.51</v>
      </c>
      <c r="AR1952">
        <v>80.680000000000007</v>
      </c>
      <c r="AS1952">
        <v>13.45</v>
      </c>
      <c r="AT1952" t="s">
        <v>8636</v>
      </c>
      <c r="AU1952">
        <v>141.91999999999999</v>
      </c>
      <c r="AV1952">
        <v>150.94999999999999</v>
      </c>
      <c r="AW1952">
        <v>2.19</v>
      </c>
      <c r="BA1952">
        <v>-0.13</v>
      </c>
      <c r="BB1952">
        <v>2.0099999999999998</v>
      </c>
      <c r="BC1952">
        <v>-2.82</v>
      </c>
      <c r="BD1952">
        <v>-0.31</v>
      </c>
      <c r="BE1952">
        <v>-2.64</v>
      </c>
      <c r="BF1952">
        <v>-4.68</v>
      </c>
      <c r="BG1952">
        <v>0.06</v>
      </c>
      <c r="BH1952">
        <v>-2.4500000000000002</v>
      </c>
      <c r="BI1952">
        <v>20191115</v>
      </c>
      <c r="BJ1952">
        <v>20161117</v>
      </c>
      <c r="BK1952">
        <v>2.54</v>
      </c>
      <c r="BL1952" t="s">
        <v>116</v>
      </c>
      <c r="BM1952" t="s">
        <v>116</v>
      </c>
      <c r="BN1952">
        <v>7.15</v>
      </c>
      <c r="BO1952">
        <v>6.7</v>
      </c>
      <c r="BP1952">
        <v>-0.01</v>
      </c>
      <c r="BQ1952">
        <v>6.38</v>
      </c>
      <c r="BR1952">
        <v>5.14</v>
      </c>
      <c r="BS1952">
        <v>0.11</v>
      </c>
      <c r="BT1952">
        <v>0.11</v>
      </c>
      <c r="BU1952">
        <v>0.37</v>
      </c>
      <c r="BV1952">
        <v>0.43</v>
      </c>
      <c r="BW1952">
        <v>1.61</v>
      </c>
      <c r="BX1952">
        <v>1.83</v>
      </c>
      <c r="BY1952">
        <v>1.44</v>
      </c>
      <c r="BZ1952">
        <v>0.59</v>
      </c>
      <c r="CA1952">
        <v>0.2</v>
      </c>
      <c r="CB1952">
        <v>0.08</v>
      </c>
      <c r="CC1952">
        <v>0.2</v>
      </c>
      <c r="CD1952">
        <v>0.17</v>
      </c>
      <c r="CE1952">
        <v>0.18</v>
      </c>
      <c r="CF1952">
        <v>0.1</v>
      </c>
      <c r="CG1952">
        <v>2.0499999999999998</v>
      </c>
      <c r="CH1952">
        <v>0.06</v>
      </c>
      <c r="CI1952">
        <v>-0.56999999999999995</v>
      </c>
      <c r="CJ1952">
        <v>22557</v>
      </c>
      <c r="CK1952">
        <v>3829</v>
      </c>
      <c r="CL1952" t="s">
        <v>1060</v>
      </c>
      <c r="CM1952">
        <v>10.46</v>
      </c>
      <c r="CN1952">
        <v>6.73</v>
      </c>
      <c r="CO1952">
        <v>5.86</v>
      </c>
      <c r="CP1952">
        <v>682.58</v>
      </c>
      <c r="CQ1952">
        <v>27.31</v>
      </c>
      <c r="CR1952">
        <v>0.87</v>
      </c>
      <c r="CS1952" t="s">
        <v>1395</v>
      </c>
      <c r="CT1952">
        <v>2.64</v>
      </c>
      <c r="CU1952">
        <v>0</v>
      </c>
      <c r="CV1952">
        <v>0.72</v>
      </c>
      <c r="CW1952">
        <v>0.81</v>
      </c>
      <c r="CX1952">
        <v>0.02</v>
      </c>
      <c r="CY1952">
        <v>93.71</v>
      </c>
      <c r="CZ1952" t="s">
        <v>9691</v>
      </c>
      <c r="DA1952">
        <v>58.88</v>
      </c>
      <c r="DB1952">
        <v>14.01</v>
      </c>
      <c r="DC1952">
        <v>12.17</v>
      </c>
      <c r="DD1952">
        <v>0.23</v>
      </c>
      <c r="DE1952">
        <v>447</v>
      </c>
      <c r="DF1952">
        <v>300561</v>
      </c>
      <c r="DG1952" t="s">
        <v>116</v>
      </c>
      <c r="DH1952" t="s">
        <v>116</v>
      </c>
      <c r="DI1952" t="s">
        <v>116</v>
      </c>
    </row>
    <row r="1953" spans="1:113" x14ac:dyDescent="0.4">
      <c r="A1953" t="str">
        <f>"300562"</f>
        <v>300562</v>
      </c>
      <c r="B1953" t="s">
        <v>9692</v>
      </c>
      <c r="C1953">
        <v>-3.18</v>
      </c>
      <c r="D1953">
        <v>15.2</v>
      </c>
      <c r="E1953">
        <v>-0.5</v>
      </c>
      <c r="F1953">
        <v>15.2</v>
      </c>
      <c r="G1953">
        <v>15.21</v>
      </c>
      <c r="H1953">
        <v>88537</v>
      </c>
      <c r="I1953">
        <v>1793</v>
      </c>
      <c r="J1953">
        <v>-0.12</v>
      </c>
      <c r="K1953">
        <v>7.71</v>
      </c>
      <c r="L1953">
        <v>15.62</v>
      </c>
      <c r="M1953">
        <v>15.95</v>
      </c>
      <c r="N1953">
        <v>15.15</v>
      </c>
      <c r="O1953">
        <v>15.7</v>
      </c>
      <c r="P1953">
        <v>86.24</v>
      </c>
      <c r="Q1953">
        <v>137578000</v>
      </c>
      <c r="R1953">
        <v>0.52</v>
      </c>
      <c r="S1953" t="s">
        <v>559</v>
      </c>
      <c r="T1953" t="s">
        <v>551</v>
      </c>
      <c r="U1953">
        <v>5.0999999999999996</v>
      </c>
      <c r="V1953">
        <v>15.54</v>
      </c>
      <c r="W1953">
        <v>51058</v>
      </c>
      <c r="X1953">
        <v>37479</v>
      </c>
      <c r="Y1953">
        <v>1.36</v>
      </c>
      <c r="Z1953">
        <v>99</v>
      </c>
      <c r="AA1953">
        <v>123</v>
      </c>
      <c r="AB1953" t="s">
        <v>116</v>
      </c>
      <c r="AC1953">
        <v>543600</v>
      </c>
      <c r="AD1953">
        <v>0.05</v>
      </c>
      <c r="AE1953" t="s">
        <v>116</v>
      </c>
      <c r="AF1953" t="s">
        <v>116</v>
      </c>
      <c r="AG1953">
        <v>1.1499999999999999</v>
      </c>
      <c r="AH1953" t="s">
        <v>6336</v>
      </c>
      <c r="AI1953" t="s">
        <v>2036</v>
      </c>
      <c r="AJ1953">
        <v>-2.5099999999999998</v>
      </c>
      <c r="AK1953">
        <v>2760</v>
      </c>
      <c r="AL1953">
        <v>32</v>
      </c>
      <c r="AM1953">
        <v>2.8E-3</v>
      </c>
      <c r="AN1953">
        <v>-3</v>
      </c>
      <c r="AO1953">
        <v>-6.57</v>
      </c>
      <c r="AP1953">
        <v>15.77</v>
      </c>
      <c r="AQ1953">
        <v>25.1</v>
      </c>
      <c r="AR1953">
        <v>54.58</v>
      </c>
      <c r="AS1953">
        <v>12.29</v>
      </c>
      <c r="AT1953" t="s">
        <v>9693</v>
      </c>
      <c r="AU1953">
        <v>91.4</v>
      </c>
      <c r="AV1953">
        <v>120.13</v>
      </c>
      <c r="AW1953">
        <v>0.76</v>
      </c>
      <c r="BA1953">
        <v>-0.51</v>
      </c>
      <c r="BB1953">
        <v>1.59</v>
      </c>
      <c r="BC1953">
        <v>-3.5</v>
      </c>
      <c r="BD1953">
        <v>-1.02</v>
      </c>
      <c r="BE1953">
        <v>-2.69</v>
      </c>
      <c r="BF1953">
        <v>-4.7</v>
      </c>
      <c r="BG1953">
        <v>0.33</v>
      </c>
      <c r="BH1953">
        <v>-2.16</v>
      </c>
      <c r="BI1953">
        <v>20191220</v>
      </c>
      <c r="BJ1953">
        <v>20161116</v>
      </c>
      <c r="BK1953">
        <v>1.9</v>
      </c>
      <c r="BL1953" t="s">
        <v>116</v>
      </c>
      <c r="BM1953" t="s">
        <v>116</v>
      </c>
      <c r="BN1953">
        <v>9.31</v>
      </c>
      <c r="BO1953">
        <v>5.55</v>
      </c>
      <c r="BP1953">
        <v>0</v>
      </c>
      <c r="BQ1953">
        <v>40.4</v>
      </c>
      <c r="BR1953">
        <v>6.05</v>
      </c>
      <c r="BS1953">
        <v>1.4</v>
      </c>
      <c r="BT1953">
        <v>0.45</v>
      </c>
      <c r="BU1953">
        <v>3.75</v>
      </c>
      <c r="BV1953">
        <v>0.86</v>
      </c>
      <c r="BW1953">
        <v>2.06</v>
      </c>
      <c r="BX1953">
        <v>1.3</v>
      </c>
      <c r="BY1953">
        <v>6.16</v>
      </c>
      <c r="BZ1953">
        <v>4.66</v>
      </c>
      <c r="CA1953">
        <v>0.28000000000000003</v>
      </c>
      <c r="CB1953">
        <v>-0.01</v>
      </c>
      <c r="CC1953">
        <v>0.28999999999999998</v>
      </c>
      <c r="CD1953">
        <v>0.24</v>
      </c>
      <c r="CE1953">
        <v>0.25</v>
      </c>
      <c r="CF1953">
        <v>0.24</v>
      </c>
      <c r="CG1953">
        <v>2.1</v>
      </c>
      <c r="CH1953">
        <v>-0.13</v>
      </c>
      <c r="CI1953">
        <v>-1.2</v>
      </c>
      <c r="CJ1953">
        <v>17674</v>
      </c>
      <c r="CK1953">
        <v>4076</v>
      </c>
      <c r="CL1953" t="s">
        <v>3380</v>
      </c>
      <c r="CM1953">
        <v>43.02</v>
      </c>
      <c r="CN1953">
        <v>15.61</v>
      </c>
      <c r="CO1953">
        <v>5.2</v>
      </c>
      <c r="CP1953">
        <v>-218.86</v>
      </c>
      <c r="CQ1953">
        <v>4.68</v>
      </c>
      <c r="CR1953">
        <v>0.11</v>
      </c>
      <c r="CS1953" t="s">
        <v>512</v>
      </c>
      <c r="CT1953">
        <v>2.92</v>
      </c>
      <c r="CU1953">
        <v>0</v>
      </c>
      <c r="CV1953">
        <v>0.69</v>
      </c>
      <c r="CW1953">
        <v>1.1100000000000001</v>
      </c>
      <c r="CX1953">
        <v>-7.0000000000000007E-2</v>
      </c>
      <c r="CY1953">
        <v>59.63</v>
      </c>
      <c r="CZ1953" t="s">
        <v>2449</v>
      </c>
      <c r="DA1953">
        <v>24.4</v>
      </c>
      <c r="DB1953">
        <v>4.4800000000000004</v>
      </c>
      <c r="DC1953">
        <v>4.07</v>
      </c>
      <c r="DD1953">
        <v>0.46</v>
      </c>
      <c r="DE1953">
        <v>1851</v>
      </c>
      <c r="DF1953">
        <v>300562</v>
      </c>
      <c r="DG1953" t="s">
        <v>116</v>
      </c>
      <c r="DH1953" t="s">
        <v>116</v>
      </c>
      <c r="DI1953" t="s">
        <v>116</v>
      </c>
    </row>
    <row r="1954" spans="1:113" x14ac:dyDescent="0.4">
      <c r="A1954" t="str">
        <f>"300563"</f>
        <v>300563</v>
      </c>
      <c r="B1954" t="s">
        <v>9694</v>
      </c>
      <c r="C1954">
        <v>-0.68</v>
      </c>
      <c r="D1954">
        <v>27.74</v>
      </c>
      <c r="E1954">
        <v>-0.19</v>
      </c>
      <c r="F1954">
        <v>27.74</v>
      </c>
      <c r="G1954">
        <v>27.79</v>
      </c>
      <c r="H1954">
        <v>9457</v>
      </c>
      <c r="I1954">
        <v>56</v>
      </c>
      <c r="J1954">
        <v>-0.03</v>
      </c>
      <c r="K1954">
        <v>1.94</v>
      </c>
      <c r="L1954">
        <v>28.02</v>
      </c>
      <c r="M1954">
        <v>28.5</v>
      </c>
      <c r="N1954">
        <v>27.72</v>
      </c>
      <c r="O1954">
        <v>27.93</v>
      </c>
      <c r="P1954">
        <v>44.66</v>
      </c>
      <c r="Q1954">
        <v>26594506</v>
      </c>
      <c r="R1954">
        <v>1.1599999999999999</v>
      </c>
      <c r="S1954" t="s">
        <v>465</v>
      </c>
      <c r="T1954" t="s">
        <v>323</v>
      </c>
      <c r="U1954">
        <v>2.79</v>
      </c>
      <c r="V1954">
        <v>28.12</v>
      </c>
      <c r="W1954">
        <v>5532</v>
      </c>
      <c r="X1954">
        <v>3925</v>
      </c>
      <c r="Y1954">
        <v>1.41</v>
      </c>
      <c r="Z1954">
        <v>36</v>
      </c>
      <c r="AA1954">
        <v>32</v>
      </c>
      <c r="AB1954" t="s">
        <v>116</v>
      </c>
      <c r="AC1954">
        <v>0</v>
      </c>
      <c r="AD1954">
        <v>0</v>
      </c>
      <c r="AE1954" t="s">
        <v>116</v>
      </c>
      <c r="AF1954" t="s">
        <v>116</v>
      </c>
      <c r="AG1954">
        <v>0.49</v>
      </c>
      <c r="AH1954" t="s">
        <v>190</v>
      </c>
      <c r="AI1954" t="s">
        <v>9695</v>
      </c>
      <c r="AJ1954">
        <v>0</v>
      </c>
      <c r="AK1954">
        <v>1355</v>
      </c>
      <c r="AL1954">
        <v>7</v>
      </c>
      <c r="AM1954">
        <v>1.4E-3</v>
      </c>
      <c r="AN1954">
        <v>-1</v>
      </c>
      <c r="AO1954">
        <v>-0.03</v>
      </c>
      <c r="AP1954">
        <v>4.5199999999999996</v>
      </c>
      <c r="AQ1954">
        <v>-10.11</v>
      </c>
      <c r="AR1954">
        <v>13.39</v>
      </c>
      <c r="AS1954">
        <v>3.07</v>
      </c>
      <c r="AT1954" t="s">
        <v>6696</v>
      </c>
      <c r="AU1954">
        <v>46.36</v>
      </c>
      <c r="AV1954">
        <v>50.28</v>
      </c>
      <c r="AW1954">
        <v>1.28</v>
      </c>
      <c r="BA1954">
        <v>0.32</v>
      </c>
      <c r="BB1954">
        <v>2.04</v>
      </c>
      <c r="BC1954">
        <v>-0.75</v>
      </c>
      <c r="BD1954">
        <v>0.68</v>
      </c>
      <c r="BE1954">
        <v>-1</v>
      </c>
      <c r="BF1954">
        <v>-2.67</v>
      </c>
      <c r="BG1954">
        <v>7.0000000000000007E-2</v>
      </c>
      <c r="BH1954">
        <v>-1.36</v>
      </c>
      <c r="BI1954">
        <v>20191224</v>
      </c>
      <c r="BJ1954">
        <v>20161114</v>
      </c>
      <c r="BK1954">
        <v>0.8</v>
      </c>
      <c r="BL1954" t="s">
        <v>116</v>
      </c>
      <c r="BM1954" t="s">
        <v>116</v>
      </c>
      <c r="BN1954">
        <v>6.61</v>
      </c>
      <c r="BO1954">
        <v>5.12</v>
      </c>
      <c r="BP1954">
        <v>0</v>
      </c>
      <c r="BQ1954">
        <v>22.57</v>
      </c>
      <c r="BR1954">
        <v>3.6</v>
      </c>
      <c r="BS1954">
        <v>2.1800000000000002</v>
      </c>
      <c r="BT1954">
        <v>0.44</v>
      </c>
      <c r="BU1954">
        <v>1.33</v>
      </c>
      <c r="BV1954">
        <v>0.99</v>
      </c>
      <c r="BW1954">
        <v>1.65</v>
      </c>
      <c r="BX1954">
        <v>1.59</v>
      </c>
      <c r="BY1954">
        <v>3.37</v>
      </c>
      <c r="BZ1954">
        <v>2.5299999999999998</v>
      </c>
      <c r="CA1954">
        <v>0.44</v>
      </c>
      <c r="CB1954">
        <v>0</v>
      </c>
      <c r="CC1954">
        <v>0.44</v>
      </c>
      <c r="CD1954">
        <v>0.37</v>
      </c>
      <c r="CE1954">
        <v>0.37</v>
      </c>
      <c r="CF1954">
        <v>0.36</v>
      </c>
      <c r="CG1954">
        <v>2.46</v>
      </c>
      <c r="CH1954">
        <v>0.27</v>
      </c>
      <c r="CI1954">
        <v>-0.24</v>
      </c>
      <c r="CJ1954">
        <v>10641</v>
      </c>
      <c r="CK1954">
        <v>2892</v>
      </c>
      <c r="CL1954" t="s">
        <v>6920</v>
      </c>
      <c r="CM1954">
        <v>11.13</v>
      </c>
      <c r="CN1954">
        <v>21.87</v>
      </c>
      <c r="CO1954">
        <v>4.33</v>
      </c>
      <c r="CP1954">
        <v>81.47</v>
      </c>
      <c r="CQ1954">
        <v>6.59</v>
      </c>
      <c r="CR1954">
        <v>0.41</v>
      </c>
      <c r="CS1954" t="s">
        <v>9696</v>
      </c>
      <c r="CT1954">
        <v>6.4</v>
      </c>
      <c r="CU1954">
        <v>0</v>
      </c>
      <c r="CV1954">
        <v>1.99</v>
      </c>
      <c r="CW1954">
        <v>3.07</v>
      </c>
      <c r="CX1954">
        <v>0.34</v>
      </c>
      <c r="CY1954">
        <v>77.430000000000007</v>
      </c>
      <c r="CZ1954" t="s">
        <v>3251</v>
      </c>
      <c r="DA1954">
        <v>24.91</v>
      </c>
      <c r="DB1954">
        <v>13.06</v>
      </c>
      <c r="DC1954">
        <v>11.07</v>
      </c>
      <c r="DD1954">
        <v>0.11</v>
      </c>
      <c r="DE1954">
        <v>367</v>
      </c>
      <c r="DF1954">
        <v>300563</v>
      </c>
      <c r="DG1954" t="s">
        <v>116</v>
      </c>
      <c r="DH1954" t="s">
        <v>116</v>
      </c>
      <c r="DI1954" t="s">
        <v>116</v>
      </c>
    </row>
    <row r="1955" spans="1:113" x14ac:dyDescent="0.4">
      <c r="A1955" t="str">
        <f>"300564"</f>
        <v>300564</v>
      </c>
      <c r="B1955" t="s">
        <v>9697</v>
      </c>
      <c r="C1955">
        <v>0.8</v>
      </c>
      <c r="D1955">
        <v>36.57</v>
      </c>
      <c r="E1955">
        <v>0.28999999999999998</v>
      </c>
      <c r="F1955">
        <v>36.56</v>
      </c>
      <c r="G1955">
        <v>36.57</v>
      </c>
      <c r="H1955">
        <v>29252</v>
      </c>
      <c r="I1955">
        <v>636</v>
      </c>
      <c r="J1955">
        <v>-7.0000000000000007E-2</v>
      </c>
      <c r="K1955">
        <v>11.7</v>
      </c>
      <c r="L1955">
        <v>36.33</v>
      </c>
      <c r="M1955">
        <v>37.049999999999997</v>
      </c>
      <c r="N1955">
        <v>36.020000000000003</v>
      </c>
      <c r="O1955">
        <v>36.28</v>
      </c>
      <c r="P1955">
        <v>28.82</v>
      </c>
      <c r="Q1955">
        <v>106865608</v>
      </c>
      <c r="R1955">
        <v>1.22</v>
      </c>
      <c r="S1955" t="s">
        <v>181</v>
      </c>
      <c r="T1955" t="s">
        <v>2028</v>
      </c>
      <c r="U1955">
        <v>2.84</v>
      </c>
      <c r="V1955">
        <v>36.53</v>
      </c>
      <c r="W1955">
        <v>13989</v>
      </c>
      <c r="X1955">
        <v>15263</v>
      </c>
      <c r="Y1955">
        <v>0.92</v>
      </c>
      <c r="Z1955">
        <v>1</v>
      </c>
      <c r="AA1955">
        <v>119</v>
      </c>
      <c r="AB1955" t="s">
        <v>116</v>
      </c>
      <c r="AC1955">
        <v>276100</v>
      </c>
      <c r="AD1955">
        <v>0.03</v>
      </c>
      <c r="AE1955" t="s">
        <v>116</v>
      </c>
      <c r="AF1955" t="s">
        <v>116</v>
      </c>
      <c r="AG1955">
        <v>0.25</v>
      </c>
      <c r="AH1955" t="s">
        <v>9698</v>
      </c>
      <c r="AI1955" t="s">
        <v>9699</v>
      </c>
      <c r="AJ1955">
        <v>1.48</v>
      </c>
      <c r="AK1955">
        <v>2139</v>
      </c>
      <c r="AL1955">
        <v>14</v>
      </c>
      <c r="AM1955">
        <v>5.4999999999999997E-3</v>
      </c>
      <c r="AN1955">
        <v>2</v>
      </c>
      <c r="AO1955">
        <v>0.77</v>
      </c>
      <c r="AP1955">
        <v>-7.18</v>
      </c>
      <c r="AQ1955">
        <v>61.17</v>
      </c>
      <c r="AR1955">
        <v>61.17</v>
      </c>
      <c r="AS1955">
        <v>11.7</v>
      </c>
      <c r="AT1955" t="s">
        <v>9698</v>
      </c>
      <c r="AU1955">
        <v>27.36</v>
      </c>
      <c r="AV1955">
        <v>30.59</v>
      </c>
      <c r="AW1955">
        <v>0</v>
      </c>
      <c r="BA1955">
        <v>0.14000000000000001</v>
      </c>
      <c r="BB1955">
        <v>2.12</v>
      </c>
      <c r="BC1955">
        <v>-0.72</v>
      </c>
      <c r="BD1955">
        <v>0.7</v>
      </c>
      <c r="BE1955">
        <v>0.66</v>
      </c>
      <c r="BF1955">
        <v>-1.3</v>
      </c>
      <c r="BG1955">
        <v>1.53</v>
      </c>
      <c r="BH1955">
        <v>0.1</v>
      </c>
      <c r="BI1955">
        <v>20191220</v>
      </c>
      <c r="BJ1955">
        <v>20191108</v>
      </c>
      <c r="BK1955">
        <v>1</v>
      </c>
      <c r="BL1955" t="s">
        <v>116</v>
      </c>
      <c r="BM1955" t="s">
        <v>116</v>
      </c>
      <c r="BN1955">
        <v>9.8699999999999992</v>
      </c>
      <c r="BO1955">
        <v>4.82</v>
      </c>
      <c r="BP1955">
        <v>0</v>
      </c>
      <c r="BQ1955">
        <v>51.17</v>
      </c>
      <c r="BR1955">
        <v>7.43</v>
      </c>
      <c r="BS1955">
        <v>2.2200000000000002</v>
      </c>
      <c r="BT1955">
        <v>0.08</v>
      </c>
      <c r="BU1955">
        <v>5.01</v>
      </c>
      <c r="BV1955">
        <v>0</v>
      </c>
      <c r="BW1955">
        <v>2.78</v>
      </c>
      <c r="BX1955">
        <v>0.99</v>
      </c>
      <c r="BY1955">
        <v>6.63</v>
      </c>
      <c r="BZ1955">
        <v>4.3099999999999996</v>
      </c>
      <c r="CA1955">
        <v>1.08</v>
      </c>
      <c r="CB1955">
        <v>0.05</v>
      </c>
      <c r="CC1955">
        <v>1.06</v>
      </c>
      <c r="CD1955">
        <v>0.95</v>
      </c>
      <c r="CE1955">
        <v>0.95</v>
      </c>
      <c r="CF1955">
        <v>0.68</v>
      </c>
      <c r="CG1955">
        <v>2.66</v>
      </c>
      <c r="CH1955">
        <v>-0.39</v>
      </c>
      <c r="CI1955">
        <v>-1.78</v>
      </c>
      <c r="CJ1955">
        <v>20900</v>
      </c>
      <c r="CK1955">
        <v>1196</v>
      </c>
      <c r="CL1955" t="s">
        <v>2219</v>
      </c>
      <c r="CM1955">
        <v>0</v>
      </c>
      <c r="CN1955">
        <v>0</v>
      </c>
      <c r="CO1955">
        <v>3.68</v>
      </c>
      <c r="CP1955">
        <v>-94.46</v>
      </c>
      <c r="CQ1955">
        <v>5.51</v>
      </c>
      <c r="CR1955">
        <v>0</v>
      </c>
      <c r="CS1955" t="s">
        <v>9700</v>
      </c>
      <c r="CT1955">
        <v>9.94</v>
      </c>
      <c r="CU1955">
        <v>9.94</v>
      </c>
      <c r="CV1955">
        <v>0.99</v>
      </c>
      <c r="CW1955">
        <v>2.66</v>
      </c>
      <c r="CX1955">
        <v>-0.39</v>
      </c>
      <c r="CY1955">
        <v>48.83</v>
      </c>
      <c r="CZ1955" t="s">
        <v>9701</v>
      </c>
      <c r="DA1955">
        <v>35.07</v>
      </c>
      <c r="DB1955">
        <v>16.309999999999999</v>
      </c>
      <c r="DC1955">
        <v>14.35</v>
      </c>
      <c r="DD1955">
        <v>0.28999999999999998</v>
      </c>
      <c r="DE1955">
        <v>1748</v>
      </c>
      <c r="DF1955">
        <v>300564</v>
      </c>
      <c r="DG1955" t="s">
        <v>116</v>
      </c>
      <c r="DH1955" t="s">
        <v>116</v>
      </c>
      <c r="DI1955" t="s">
        <v>116</v>
      </c>
    </row>
    <row r="1956" spans="1:113" x14ac:dyDescent="0.4">
      <c r="A1956" t="str">
        <f>"300565"</f>
        <v>300565</v>
      </c>
      <c r="B1956" t="s">
        <v>9702</v>
      </c>
      <c r="C1956">
        <v>-2.71</v>
      </c>
      <c r="D1956">
        <v>11.47</v>
      </c>
      <c r="E1956">
        <v>-0.32</v>
      </c>
      <c r="F1956">
        <v>11.46</v>
      </c>
      <c r="G1956">
        <v>11.47</v>
      </c>
      <c r="H1956">
        <v>39211</v>
      </c>
      <c r="I1956">
        <v>561</v>
      </c>
      <c r="J1956">
        <v>-0.08</v>
      </c>
      <c r="K1956">
        <v>3.36</v>
      </c>
      <c r="L1956">
        <v>11.74</v>
      </c>
      <c r="M1956">
        <v>11.87</v>
      </c>
      <c r="N1956">
        <v>11.47</v>
      </c>
      <c r="O1956">
        <v>11.79</v>
      </c>
      <c r="P1956" t="s">
        <v>116</v>
      </c>
      <c r="Q1956">
        <v>45861632</v>
      </c>
      <c r="R1956">
        <v>1.1599999999999999</v>
      </c>
      <c r="S1956" t="s">
        <v>465</v>
      </c>
      <c r="T1956" t="s">
        <v>115</v>
      </c>
      <c r="U1956">
        <v>3.39</v>
      </c>
      <c r="V1956">
        <v>11.7</v>
      </c>
      <c r="W1956">
        <v>24326</v>
      </c>
      <c r="X1956">
        <v>14885</v>
      </c>
      <c r="Y1956">
        <v>1.63</v>
      </c>
      <c r="Z1956">
        <v>18</v>
      </c>
      <c r="AA1956">
        <v>21</v>
      </c>
      <c r="AB1956" t="s">
        <v>116</v>
      </c>
      <c r="AC1956">
        <v>21100</v>
      </c>
      <c r="AD1956">
        <v>0</v>
      </c>
      <c r="AE1956" t="s">
        <v>116</v>
      </c>
      <c r="AF1956" t="s">
        <v>116</v>
      </c>
      <c r="AG1956">
        <v>1.17</v>
      </c>
      <c r="AH1956" t="s">
        <v>9703</v>
      </c>
      <c r="AI1956" t="s">
        <v>6847</v>
      </c>
      <c r="AJ1956">
        <v>-2.04</v>
      </c>
      <c r="AK1956">
        <v>1511</v>
      </c>
      <c r="AL1956">
        <v>26</v>
      </c>
      <c r="AM1956">
        <v>2.2000000000000001E-3</v>
      </c>
      <c r="AN1956">
        <v>-1</v>
      </c>
      <c r="AO1956">
        <v>-1.96</v>
      </c>
      <c r="AP1956">
        <v>1.59</v>
      </c>
      <c r="AQ1956">
        <v>-26.19</v>
      </c>
      <c r="AR1956">
        <v>-21.33</v>
      </c>
      <c r="AS1956">
        <v>4.5</v>
      </c>
      <c r="AT1956" t="s">
        <v>9704</v>
      </c>
      <c r="AU1956" t="s">
        <v>116</v>
      </c>
      <c r="AV1956">
        <v>142.84</v>
      </c>
      <c r="AW1956">
        <v>1.49</v>
      </c>
      <c r="BA1956">
        <v>-0.42</v>
      </c>
      <c r="BB1956">
        <v>0.68</v>
      </c>
      <c r="BC1956">
        <v>-2.71</v>
      </c>
      <c r="BD1956">
        <v>-0.8</v>
      </c>
      <c r="BE1956">
        <v>-2.2999999999999998</v>
      </c>
      <c r="BF1956">
        <v>-3.37</v>
      </c>
      <c r="BG1956">
        <v>0</v>
      </c>
      <c r="BH1956">
        <v>-1.92</v>
      </c>
      <c r="BI1956">
        <v>20191122</v>
      </c>
      <c r="BJ1956">
        <v>20161122</v>
      </c>
      <c r="BK1956">
        <v>2.08</v>
      </c>
      <c r="BL1956" t="s">
        <v>116</v>
      </c>
      <c r="BM1956" t="s">
        <v>116</v>
      </c>
      <c r="BN1956">
        <v>9.4</v>
      </c>
      <c r="BO1956">
        <v>7.02</v>
      </c>
      <c r="BP1956">
        <v>0</v>
      </c>
      <c r="BQ1956">
        <v>25.31</v>
      </c>
      <c r="BR1956">
        <v>5.95</v>
      </c>
      <c r="BS1956">
        <v>2.5499999999999998</v>
      </c>
      <c r="BT1956">
        <v>0.41</v>
      </c>
      <c r="BU1956">
        <v>2.2000000000000002</v>
      </c>
      <c r="BV1956">
        <v>1.03</v>
      </c>
      <c r="BW1956">
        <v>2.91</v>
      </c>
      <c r="BX1956">
        <v>2.56</v>
      </c>
      <c r="BY1956">
        <v>2.48</v>
      </c>
      <c r="BZ1956">
        <v>1.93</v>
      </c>
      <c r="CA1956">
        <v>-0.56999999999999995</v>
      </c>
      <c r="CB1956">
        <v>0</v>
      </c>
      <c r="CC1956">
        <v>-0.56999999999999995</v>
      </c>
      <c r="CD1956">
        <v>-0.49</v>
      </c>
      <c r="CE1956">
        <v>-0.49</v>
      </c>
      <c r="CF1956">
        <v>-0.52</v>
      </c>
      <c r="CG1956">
        <v>2.0299999999999998</v>
      </c>
      <c r="CH1956">
        <v>-0.8</v>
      </c>
      <c r="CI1956">
        <v>-1.73</v>
      </c>
      <c r="CJ1956">
        <v>22285</v>
      </c>
      <c r="CK1956">
        <v>3908</v>
      </c>
      <c r="CL1956" t="s">
        <v>2342</v>
      </c>
      <c r="CM1956">
        <v>-334.29</v>
      </c>
      <c r="CN1956">
        <v>-41.95</v>
      </c>
      <c r="CO1956">
        <v>3.4</v>
      </c>
      <c r="CP1956">
        <v>-29.81</v>
      </c>
      <c r="CQ1956">
        <v>9.64</v>
      </c>
      <c r="CR1956">
        <v>0</v>
      </c>
      <c r="CS1956" t="s">
        <v>9705</v>
      </c>
      <c r="CT1956">
        <v>3.38</v>
      </c>
      <c r="CU1956">
        <v>0</v>
      </c>
      <c r="CV1956">
        <v>1.23</v>
      </c>
      <c r="CW1956">
        <v>0.97</v>
      </c>
      <c r="CX1956">
        <v>-0.38</v>
      </c>
      <c r="CY1956">
        <v>74.69</v>
      </c>
      <c r="CZ1956" t="s">
        <v>9706</v>
      </c>
      <c r="DA1956">
        <v>22.06</v>
      </c>
      <c r="DB1956">
        <v>-23.06</v>
      </c>
      <c r="DC1956">
        <v>-19.62</v>
      </c>
      <c r="DD1956">
        <v>0.27</v>
      </c>
      <c r="DE1956">
        <v>790</v>
      </c>
      <c r="DF1956">
        <v>300565</v>
      </c>
      <c r="DG1956" t="s">
        <v>116</v>
      </c>
      <c r="DH1956" t="s">
        <v>116</v>
      </c>
      <c r="DI1956" t="s">
        <v>116</v>
      </c>
    </row>
    <row r="1957" spans="1:113" x14ac:dyDescent="0.4">
      <c r="A1957" t="str">
        <f>"300566"</f>
        <v>300566</v>
      </c>
      <c r="B1957" t="s">
        <v>9707</v>
      </c>
      <c r="C1957">
        <v>-2.66</v>
      </c>
      <c r="D1957">
        <v>24.5</v>
      </c>
      <c r="E1957">
        <v>-0.67</v>
      </c>
      <c r="F1957">
        <v>24.49</v>
      </c>
      <c r="G1957">
        <v>24.5</v>
      </c>
      <c r="H1957">
        <v>34250</v>
      </c>
      <c r="I1957">
        <v>358</v>
      </c>
      <c r="J1957">
        <v>0.16</v>
      </c>
      <c r="K1957">
        <v>3.54</v>
      </c>
      <c r="L1957">
        <v>25.19</v>
      </c>
      <c r="M1957">
        <v>25.78</v>
      </c>
      <c r="N1957">
        <v>24.3</v>
      </c>
      <c r="O1957">
        <v>25.17</v>
      </c>
      <c r="P1957">
        <v>57.99</v>
      </c>
      <c r="Q1957">
        <v>85632776</v>
      </c>
      <c r="R1957">
        <v>0.73</v>
      </c>
      <c r="S1957" t="s">
        <v>233</v>
      </c>
      <c r="T1957" t="s">
        <v>590</v>
      </c>
      <c r="U1957">
        <v>5.88</v>
      </c>
      <c r="V1957">
        <v>25</v>
      </c>
      <c r="W1957">
        <v>18975</v>
      </c>
      <c r="X1957">
        <v>15275</v>
      </c>
      <c r="Y1957">
        <v>1.24</v>
      </c>
      <c r="Z1957">
        <v>51</v>
      </c>
      <c r="AA1957">
        <v>289</v>
      </c>
      <c r="AB1957" t="s">
        <v>116</v>
      </c>
      <c r="AC1957">
        <v>115900</v>
      </c>
      <c r="AD1957">
        <v>0.01</v>
      </c>
      <c r="AE1957" t="s">
        <v>116</v>
      </c>
      <c r="AF1957" t="s">
        <v>116</v>
      </c>
      <c r="AG1957">
        <v>0.97</v>
      </c>
      <c r="AH1957" t="s">
        <v>9087</v>
      </c>
      <c r="AI1957" t="s">
        <v>4207</v>
      </c>
      <c r="AJ1957">
        <v>-1.98</v>
      </c>
      <c r="AK1957">
        <v>2238</v>
      </c>
      <c r="AL1957">
        <v>15</v>
      </c>
      <c r="AM1957">
        <v>1.6000000000000001E-3</v>
      </c>
      <c r="AN1957">
        <v>-3</v>
      </c>
      <c r="AO1957">
        <v>-4.67</v>
      </c>
      <c r="AP1957">
        <v>15.4</v>
      </c>
      <c r="AQ1957">
        <v>-3.66</v>
      </c>
      <c r="AR1957">
        <v>86.31</v>
      </c>
      <c r="AS1957">
        <v>5.31</v>
      </c>
      <c r="AT1957" t="s">
        <v>3108</v>
      </c>
      <c r="AU1957">
        <v>83.71</v>
      </c>
      <c r="AV1957">
        <v>89.19</v>
      </c>
      <c r="AW1957">
        <v>1.55</v>
      </c>
      <c r="BA1957">
        <v>0.08</v>
      </c>
      <c r="BB1957">
        <v>2.42</v>
      </c>
      <c r="BC1957">
        <v>-3.46</v>
      </c>
      <c r="BD1957">
        <v>-0.67</v>
      </c>
      <c r="BE1957">
        <v>-2.74</v>
      </c>
      <c r="BF1957">
        <v>-4.97</v>
      </c>
      <c r="BG1957">
        <v>0.82</v>
      </c>
      <c r="BH1957">
        <v>-2</v>
      </c>
      <c r="BI1957">
        <v>20191224</v>
      </c>
      <c r="BJ1957">
        <v>20161115</v>
      </c>
      <c r="BK1957">
        <v>1.55</v>
      </c>
      <c r="BL1957" t="s">
        <v>116</v>
      </c>
      <c r="BM1957" t="s">
        <v>116</v>
      </c>
      <c r="BN1957">
        <v>19.68</v>
      </c>
      <c r="BO1957">
        <v>6.62</v>
      </c>
      <c r="BP1957">
        <v>0.17</v>
      </c>
      <c r="BQ1957">
        <v>65.47</v>
      </c>
      <c r="BR1957">
        <v>11.62</v>
      </c>
      <c r="BS1957">
        <v>4.32</v>
      </c>
      <c r="BT1957">
        <v>0.94</v>
      </c>
      <c r="BU1957">
        <v>11.87</v>
      </c>
      <c r="BV1957">
        <v>2.54</v>
      </c>
      <c r="BW1957">
        <v>4.78</v>
      </c>
      <c r="BX1957">
        <v>2.15</v>
      </c>
      <c r="BY1957">
        <v>7.43</v>
      </c>
      <c r="BZ1957">
        <v>5.44</v>
      </c>
      <c r="CA1957">
        <v>0.63</v>
      </c>
      <c r="CB1957">
        <v>0</v>
      </c>
      <c r="CC1957">
        <v>0.62</v>
      </c>
      <c r="CD1957">
        <v>0.52</v>
      </c>
      <c r="CE1957">
        <v>0.49</v>
      </c>
      <c r="CF1957">
        <v>0.36</v>
      </c>
      <c r="CG1957">
        <v>2.7</v>
      </c>
      <c r="CH1957">
        <v>-0.28000000000000003</v>
      </c>
      <c r="CI1957">
        <v>0.06</v>
      </c>
      <c r="CJ1957">
        <v>10641</v>
      </c>
      <c r="CK1957">
        <v>6062</v>
      </c>
      <c r="CL1957" t="s">
        <v>1480</v>
      </c>
      <c r="CM1957">
        <v>6.03</v>
      </c>
      <c r="CN1957">
        <v>15.61</v>
      </c>
      <c r="CO1957">
        <v>5.74</v>
      </c>
      <c r="CP1957">
        <v>-133.87</v>
      </c>
      <c r="CQ1957">
        <v>5.12</v>
      </c>
      <c r="CR1957">
        <v>0.2</v>
      </c>
      <c r="CS1957" t="s">
        <v>4411</v>
      </c>
      <c r="CT1957">
        <v>4.2699999999999996</v>
      </c>
      <c r="CU1957">
        <v>0</v>
      </c>
      <c r="CV1957">
        <v>1.39</v>
      </c>
      <c r="CW1957">
        <v>1.74</v>
      </c>
      <c r="CX1957">
        <v>-0.18</v>
      </c>
      <c r="CY1957">
        <v>33.65</v>
      </c>
      <c r="CZ1957" t="s">
        <v>3068</v>
      </c>
      <c r="DA1957">
        <v>26.68</v>
      </c>
      <c r="DB1957">
        <v>8.52</v>
      </c>
      <c r="DC1957">
        <v>6.62</v>
      </c>
      <c r="DD1957">
        <v>0.57999999999999996</v>
      </c>
      <c r="DE1957">
        <v>645</v>
      </c>
      <c r="DF1957">
        <v>300566</v>
      </c>
      <c r="DG1957" t="s">
        <v>116</v>
      </c>
      <c r="DH1957" t="s">
        <v>116</v>
      </c>
      <c r="DI1957" t="s">
        <v>116</v>
      </c>
    </row>
    <row r="1958" spans="1:113" x14ac:dyDescent="0.4">
      <c r="A1958" t="str">
        <f>"300567"</f>
        <v>300567</v>
      </c>
      <c r="B1958" t="s">
        <v>9708</v>
      </c>
      <c r="C1958">
        <v>-5.27</v>
      </c>
      <c r="D1958">
        <v>55.9</v>
      </c>
      <c r="E1958">
        <v>-3.11</v>
      </c>
      <c r="F1958">
        <v>55.88</v>
      </c>
      <c r="G1958">
        <v>55.9</v>
      </c>
      <c r="H1958">
        <v>213702</v>
      </c>
      <c r="I1958">
        <v>2962</v>
      </c>
      <c r="J1958">
        <v>0.38</v>
      </c>
      <c r="K1958">
        <v>13.06</v>
      </c>
      <c r="L1958">
        <v>57.79</v>
      </c>
      <c r="M1958">
        <v>58.31</v>
      </c>
      <c r="N1958">
        <v>55.08</v>
      </c>
      <c r="O1958">
        <v>59.01</v>
      </c>
      <c r="P1958">
        <v>46.73</v>
      </c>
      <c r="Q1958">
        <v>1220242176</v>
      </c>
      <c r="R1958">
        <v>1.27</v>
      </c>
      <c r="S1958" t="s">
        <v>2977</v>
      </c>
      <c r="T1958" t="s">
        <v>774</v>
      </c>
      <c r="U1958">
        <v>5.47</v>
      </c>
      <c r="V1958">
        <v>57.1</v>
      </c>
      <c r="W1958">
        <v>114492</v>
      </c>
      <c r="X1958">
        <v>99210</v>
      </c>
      <c r="Y1958">
        <v>1.1499999999999999</v>
      </c>
      <c r="Z1958">
        <v>14</v>
      </c>
      <c r="AA1958">
        <v>2134</v>
      </c>
      <c r="AB1958" t="s">
        <v>116</v>
      </c>
      <c r="AC1958">
        <v>20567500</v>
      </c>
      <c r="AD1958">
        <v>0.28000000000000003</v>
      </c>
      <c r="AE1958" t="s">
        <v>116</v>
      </c>
      <c r="AF1958" t="s">
        <v>116</v>
      </c>
      <c r="AG1958">
        <v>1.64</v>
      </c>
      <c r="AH1958" t="s">
        <v>9709</v>
      </c>
      <c r="AI1958" t="s">
        <v>9710</v>
      </c>
      <c r="AJ1958">
        <v>-4.59</v>
      </c>
      <c r="AK1958">
        <v>4355</v>
      </c>
      <c r="AL1958">
        <v>49</v>
      </c>
      <c r="AM1958">
        <v>3.0000000000000001E-3</v>
      </c>
      <c r="AN1958">
        <v>-1</v>
      </c>
      <c r="AO1958">
        <v>8.92</v>
      </c>
      <c r="AP1958">
        <v>38.020000000000003</v>
      </c>
      <c r="AQ1958">
        <v>12.23</v>
      </c>
      <c r="AR1958">
        <v>67.77</v>
      </c>
      <c r="AS1958">
        <v>16.86</v>
      </c>
      <c r="AT1958" t="s">
        <v>8371</v>
      </c>
      <c r="AU1958">
        <v>43.1</v>
      </c>
      <c r="AV1958">
        <v>47.47</v>
      </c>
      <c r="AW1958">
        <v>1.1100000000000001</v>
      </c>
      <c r="BA1958">
        <v>-2.0699999999999998</v>
      </c>
      <c r="BB1958">
        <v>-1.19</v>
      </c>
      <c r="BC1958">
        <v>-6.66</v>
      </c>
      <c r="BD1958">
        <v>-3.24</v>
      </c>
      <c r="BE1958">
        <v>-3.27</v>
      </c>
      <c r="BF1958">
        <v>-4.13</v>
      </c>
      <c r="BG1958">
        <v>1.49</v>
      </c>
      <c r="BH1958">
        <v>-2.0299999999999998</v>
      </c>
      <c r="BI1958">
        <v>20191227</v>
      </c>
      <c r="BJ1958">
        <v>20161122</v>
      </c>
      <c r="BK1958">
        <v>2.4500000000000002</v>
      </c>
      <c r="BL1958" t="s">
        <v>116</v>
      </c>
      <c r="BM1958" t="s">
        <v>116</v>
      </c>
      <c r="BN1958">
        <v>37.56</v>
      </c>
      <c r="BO1958">
        <v>13.94</v>
      </c>
      <c r="BP1958">
        <v>0.47</v>
      </c>
      <c r="BQ1958">
        <v>61.65</v>
      </c>
      <c r="BR1958">
        <v>26.58</v>
      </c>
      <c r="BS1958">
        <v>2.5299999999999998</v>
      </c>
      <c r="BT1958">
        <v>0.7</v>
      </c>
      <c r="BU1958">
        <v>17.55</v>
      </c>
      <c r="BV1958">
        <v>5.54</v>
      </c>
      <c r="BW1958">
        <v>10.71</v>
      </c>
      <c r="BX1958">
        <v>3.52</v>
      </c>
      <c r="BY1958">
        <v>14.38</v>
      </c>
      <c r="BZ1958">
        <v>7.64</v>
      </c>
      <c r="CA1958">
        <v>2.4700000000000002</v>
      </c>
      <c r="CB1958">
        <v>-0.02</v>
      </c>
      <c r="CC1958">
        <v>2.4700000000000002</v>
      </c>
      <c r="CD1958">
        <v>2.12</v>
      </c>
      <c r="CE1958">
        <v>2.2000000000000002</v>
      </c>
      <c r="CF1958">
        <v>2.0099999999999998</v>
      </c>
      <c r="CG1958">
        <v>6.92</v>
      </c>
      <c r="CH1958">
        <v>-4.96</v>
      </c>
      <c r="CI1958">
        <v>-1.81</v>
      </c>
      <c r="CJ1958">
        <v>22739</v>
      </c>
      <c r="CK1958">
        <v>5574</v>
      </c>
      <c r="CL1958" t="s">
        <v>9711</v>
      </c>
      <c r="CM1958">
        <v>15.37</v>
      </c>
      <c r="CN1958">
        <v>63.59</v>
      </c>
      <c r="CO1958">
        <v>10.34</v>
      </c>
      <c r="CP1958">
        <v>-27.64</v>
      </c>
      <c r="CQ1958">
        <v>9.5399999999999991</v>
      </c>
      <c r="CR1958">
        <v>0.6</v>
      </c>
      <c r="CS1958" t="s">
        <v>7606</v>
      </c>
      <c r="CT1958">
        <v>5.41</v>
      </c>
      <c r="CU1958">
        <v>5.41</v>
      </c>
      <c r="CV1958">
        <v>1.43</v>
      </c>
      <c r="CW1958">
        <v>2.82</v>
      </c>
      <c r="CX1958">
        <v>-2.02</v>
      </c>
      <c r="CY1958">
        <v>37.1</v>
      </c>
      <c r="CZ1958" t="s">
        <v>9712</v>
      </c>
      <c r="DA1958">
        <v>46.89</v>
      </c>
      <c r="DB1958">
        <v>17.18</v>
      </c>
      <c r="DC1958">
        <v>15.31</v>
      </c>
      <c r="DD1958">
        <v>2.02</v>
      </c>
      <c r="DE1958">
        <v>1711</v>
      </c>
      <c r="DF1958">
        <v>300567</v>
      </c>
      <c r="DG1958" t="s">
        <v>116</v>
      </c>
      <c r="DH1958" t="s">
        <v>116</v>
      </c>
      <c r="DI1958" t="s">
        <v>116</v>
      </c>
    </row>
    <row r="1959" spans="1:113" x14ac:dyDescent="0.4">
      <c r="A1959" t="str">
        <f>"300568"</f>
        <v>300568</v>
      </c>
      <c r="B1959" t="s">
        <v>9713</v>
      </c>
      <c r="C1959">
        <v>-2.71</v>
      </c>
      <c r="D1959">
        <v>30.16</v>
      </c>
      <c r="E1959">
        <v>-0.84</v>
      </c>
      <c r="F1959">
        <v>30.15</v>
      </c>
      <c r="G1959">
        <v>30.16</v>
      </c>
      <c r="H1959">
        <v>81990</v>
      </c>
      <c r="I1959">
        <v>1617</v>
      </c>
      <c r="J1959">
        <v>-0.45</v>
      </c>
      <c r="K1959">
        <v>5.65</v>
      </c>
      <c r="L1959">
        <v>31</v>
      </c>
      <c r="M1959">
        <v>31.35</v>
      </c>
      <c r="N1959">
        <v>30.01</v>
      </c>
      <c r="O1959">
        <v>31</v>
      </c>
      <c r="P1959">
        <v>26.65</v>
      </c>
      <c r="Q1959">
        <v>251651008</v>
      </c>
      <c r="R1959">
        <v>0.94</v>
      </c>
      <c r="S1959" t="s">
        <v>891</v>
      </c>
      <c r="T1959" t="s">
        <v>115</v>
      </c>
      <c r="U1959">
        <v>4.32</v>
      </c>
      <c r="V1959">
        <v>30.69</v>
      </c>
      <c r="W1959">
        <v>44156</v>
      </c>
      <c r="X1959">
        <v>37834</v>
      </c>
      <c r="Y1959">
        <v>1.17</v>
      </c>
      <c r="Z1959">
        <v>160</v>
      </c>
      <c r="AA1959">
        <v>14</v>
      </c>
      <c r="AB1959" t="s">
        <v>116</v>
      </c>
      <c r="AC1959">
        <v>1931300</v>
      </c>
      <c r="AD1959">
        <v>0.05</v>
      </c>
      <c r="AE1959" t="s">
        <v>116</v>
      </c>
      <c r="AF1959" t="s">
        <v>116</v>
      </c>
      <c r="AG1959">
        <v>1.45</v>
      </c>
      <c r="AH1959" t="s">
        <v>9714</v>
      </c>
      <c r="AI1959" t="s">
        <v>9715</v>
      </c>
      <c r="AJ1959">
        <v>-2.0299999999999998</v>
      </c>
      <c r="AK1959">
        <v>2966</v>
      </c>
      <c r="AL1959">
        <v>28</v>
      </c>
      <c r="AM1959">
        <v>1.9E-3</v>
      </c>
      <c r="AN1959">
        <v>-1</v>
      </c>
      <c r="AO1959">
        <v>0.54</v>
      </c>
      <c r="AP1959">
        <v>21.81</v>
      </c>
      <c r="AQ1959">
        <v>7.56</v>
      </c>
      <c r="AR1959">
        <v>37.15</v>
      </c>
      <c r="AS1959">
        <v>6.28</v>
      </c>
      <c r="AT1959" t="s">
        <v>9716</v>
      </c>
      <c r="AU1959">
        <v>29.07</v>
      </c>
      <c r="AV1959">
        <v>31.28</v>
      </c>
      <c r="AW1959">
        <v>1.79</v>
      </c>
      <c r="BA1959">
        <v>0</v>
      </c>
      <c r="BB1959">
        <v>1.1299999999999999</v>
      </c>
      <c r="BC1959">
        <v>-3.19</v>
      </c>
      <c r="BD1959">
        <v>-0.99</v>
      </c>
      <c r="BE1959">
        <v>-2.71</v>
      </c>
      <c r="BF1959">
        <v>-3.8</v>
      </c>
      <c r="BG1959">
        <v>0.5</v>
      </c>
      <c r="BH1959">
        <v>-1.72</v>
      </c>
      <c r="BI1959">
        <v>20191129</v>
      </c>
      <c r="BJ1959">
        <v>20161201</v>
      </c>
      <c r="BK1959">
        <v>2.2999999999999998</v>
      </c>
      <c r="BL1959" t="s">
        <v>116</v>
      </c>
      <c r="BM1959" t="s">
        <v>116</v>
      </c>
      <c r="BN1959">
        <v>53.46</v>
      </c>
      <c r="BO1959">
        <v>25.29</v>
      </c>
      <c r="BP1959">
        <v>0.1</v>
      </c>
      <c r="BQ1959">
        <v>52.5</v>
      </c>
      <c r="BR1959">
        <v>21.43</v>
      </c>
      <c r="BS1959">
        <v>11.22</v>
      </c>
      <c r="BT1959">
        <v>1.93</v>
      </c>
      <c r="BU1959">
        <v>11.71</v>
      </c>
      <c r="BV1959">
        <v>1.61</v>
      </c>
      <c r="BW1959">
        <v>4.68</v>
      </c>
      <c r="BX1959">
        <v>15.38</v>
      </c>
      <c r="BY1959">
        <v>5.15</v>
      </c>
      <c r="BZ1959">
        <v>2.68</v>
      </c>
      <c r="CA1959">
        <v>1.31</v>
      </c>
      <c r="CB1959">
        <v>0</v>
      </c>
      <c r="CC1959">
        <v>2.2799999999999998</v>
      </c>
      <c r="CD1959">
        <v>1.93</v>
      </c>
      <c r="CE1959">
        <v>1.96</v>
      </c>
      <c r="CF1959">
        <v>1.0900000000000001</v>
      </c>
      <c r="CG1959">
        <v>5.84</v>
      </c>
      <c r="CH1959">
        <v>0.48</v>
      </c>
      <c r="CI1959">
        <v>3.69</v>
      </c>
      <c r="CJ1959">
        <v>16278</v>
      </c>
      <c r="CK1959">
        <v>8023</v>
      </c>
      <c r="CL1959" t="s">
        <v>8558</v>
      </c>
      <c r="CM1959">
        <v>9.4499999999999993</v>
      </c>
      <c r="CN1959">
        <v>21.71</v>
      </c>
      <c r="CO1959">
        <v>2.86</v>
      </c>
      <c r="CP1959">
        <v>143.9</v>
      </c>
      <c r="CQ1959">
        <v>13.48</v>
      </c>
      <c r="CR1959">
        <v>0.55000000000000004</v>
      </c>
      <c r="CS1959" t="s">
        <v>9717</v>
      </c>
      <c r="CT1959">
        <v>10.56</v>
      </c>
      <c r="CU1959">
        <v>10.56</v>
      </c>
      <c r="CV1959">
        <v>6.68</v>
      </c>
      <c r="CW1959">
        <v>2.5299999999999998</v>
      </c>
      <c r="CX1959">
        <v>0.21</v>
      </c>
      <c r="CY1959">
        <v>47.31</v>
      </c>
      <c r="CZ1959" t="s">
        <v>284</v>
      </c>
      <c r="DA1959">
        <v>47.94</v>
      </c>
      <c r="DB1959">
        <v>25.41</v>
      </c>
      <c r="DC1959">
        <v>37.950000000000003</v>
      </c>
      <c r="DD1959">
        <v>0.21</v>
      </c>
      <c r="DE1959">
        <v>1235</v>
      </c>
      <c r="DF1959">
        <v>300568</v>
      </c>
      <c r="DG1959" t="s">
        <v>116</v>
      </c>
      <c r="DH1959" t="s">
        <v>116</v>
      </c>
      <c r="DI1959" t="s">
        <v>116</v>
      </c>
    </row>
    <row r="1960" spans="1:113" x14ac:dyDescent="0.4">
      <c r="A1960" t="str">
        <f>"300569"</f>
        <v>300569</v>
      </c>
      <c r="B1960" t="s">
        <v>9718</v>
      </c>
      <c r="C1960">
        <v>-1.49</v>
      </c>
      <c r="D1960">
        <v>14.57</v>
      </c>
      <c r="E1960">
        <v>-0.22</v>
      </c>
      <c r="F1960">
        <v>14.57</v>
      </c>
      <c r="G1960">
        <v>14.58</v>
      </c>
      <c r="H1960">
        <v>33701</v>
      </c>
      <c r="I1960">
        <v>327</v>
      </c>
      <c r="J1960">
        <v>-0.33</v>
      </c>
      <c r="K1960">
        <v>2.34</v>
      </c>
      <c r="L1960">
        <v>14.75</v>
      </c>
      <c r="M1960">
        <v>14.86</v>
      </c>
      <c r="N1960">
        <v>14.54</v>
      </c>
      <c r="O1960">
        <v>14.79</v>
      </c>
      <c r="P1960">
        <v>16.850000000000001</v>
      </c>
      <c r="Q1960">
        <v>49585928</v>
      </c>
      <c r="R1960">
        <v>1.24</v>
      </c>
      <c r="S1960" t="s">
        <v>682</v>
      </c>
      <c r="T1960" t="s">
        <v>645</v>
      </c>
      <c r="U1960">
        <v>2.16</v>
      </c>
      <c r="V1960">
        <v>14.71</v>
      </c>
      <c r="W1960">
        <v>21237</v>
      </c>
      <c r="X1960">
        <v>12464</v>
      </c>
      <c r="Y1960">
        <v>1.7</v>
      </c>
      <c r="Z1960">
        <v>95</v>
      </c>
      <c r="AA1960">
        <v>36</v>
      </c>
      <c r="AB1960" t="s">
        <v>116</v>
      </c>
      <c r="AC1960">
        <v>560500</v>
      </c>
      <c r="AD1960">
        <v>0.03</v>
      </c>
      <c r="AE1960" t="s">
        <v>116</v>
      </c>
      <c r="AF1960" t="s">
        <v>116</v>
      </c>
      <c r="AG1960">
        <v>1.44</v>
      </c>
      <c r="AH1960" t="s">
        <v>949</v>
      </c>
      <c r="AI1960" t="s">
        <v>3309</v>
      </c>
      <c r="AJ1960">
        <v>-0.81</v>
      </c>
      <c r="AK1960">
        <v>1475</v>
      </c>
      <c r="AL1960">
        <v>23</v>
      </c>
      <c r="AM1960">
        <v>1.6000000000000001E-3</v>
      </c>
      <c r="AN1960">
        <v>-1</v>
      </c>
      <c r="AO1960">
        <v>-1.23</v>
      </c>
      <c r="AP1960">
        <v>8.65</v>
      </c>
      <c r="AQ1960">
        <v>-22.87</v>
      </c>
      <c r="AR1960">
        <v>72.02</v>
      </c>
      <c r="AS1960">
        <v>2.84</v>
      </c>
      <c r="AT1960" t="s">
        <v>9287</v>
      </c>
      <c r="AU1960">
        <v>17.420000000000002</v>
      </c>
      <c r="AV1960">
        <v>32.04</v>
      </c>
      <c r="AW1960">
        <v>0.61</v>
      </c>
      <c r="BA1960">
        <v>-0.27</v>
      </c>
      <c r="BB1960">
        <v>0.47</v>
      </c>
      <c r="BC1960">
        <v>-1.69</v>
      </c>
      <c r="BD1960">
        <v>-0.52</v>
      </c>
      <c r="BE1960">
        <v>-1.22</v>
      </c>
      <c r="BF1960">
        <v>-1.95</v>
      </c>
      <c r="BG1960">
        <v>0.21</v>
      </c>
      <c r="BH1960">
        <v>-0.97</v>
      </c>
      <c r="BI1960">
        <v>20191125</v>
      </c>
      <c r="BJ1960">
        <v>20161125</v>
      </c>
      <c r="BK1960">
        <v>2.25</v>
      </c>
      <c r="BL1960" t="s">
        <v>116</v>
      </c>
      <c r="BM1960" t="s">
        <v>116</v>
      </c>
      <c r="BN1960">
        <v>52.29</v>
      </c>
      <c r="BO1960">
        <v>19.079999999999998</v>
      </c>
      <c r="BP1960">
        <v>0.6</v>
      </c>
      <c r="BQ1960">
        <v>62.37</v>
      </c>
      <c r="BR1960">
        <v>33.14</v>
      </c>
      <c r="BS1960">
        <v>14.44</v>
      </c>
      <c r="BT1960">
        <v>1.31</v>
      </c>
      <c r="BU1960">
        <v>26.14</v>
      </c>
      <c r="BV1960">
        <v>11.06</v>
      </c>
      <c r="BW1960">
        <v>10.18</v>
      </c>
      <c r="BX1960">
        <v>8.3699999999999992</v>
      </c>
      <c r="BY1960">
        <v>14.85</v>
      </c>
      <c r="BZ1960">
        <v>10.8</v>
      </c>
      <c r="CA1960">
        <v>1.83</v>
      </c>
      <c r="CB1960">
        <v>0</v>
      </c>
      <c r="CC1960">
        <v>1.86</v>
      </c>
      <c r="CD1960">
        <v>1.57</v>
      </c>
      <c r="CE1960">
        <v>1.46</v>
      </c>
      <c r="CF1960">
        <v>1.36</v>
      </c>
      <c r="CG1960">
        <v>7.89</v>
      </c>
      <c r="CH1960">
        <v>1.39</v>
      </c>
      <c r="CI1960">
        <v>-0.09</v>
      </c>
      <c r="CJ1960">
        <v>16825</v>
      </c>
      <c r="CK1960">
        <v>7042</v>
      </c>
      <c r="CL1960" t="s">
        <v>9719</v>
      </c>
      <c r="CM1960">
        <v>143.1</v>
      </c>
      <c r="CN1960">
        <v>91.5</v>
      </c>
      <c r="CO1960">
        <v>1.72</v>
      </c>
      <c r="CP1960">
        <v>23.67</v>
      </c>
      <c r="CQ1960">
        <v>2.21</v>
      </c>
      <c r="CR1960">
        <v>0.66</v>
      </c>
      <c r="CS1960" t="s">
        <v>9720</v>
      </c>
      <c r="CT1960">
        <v>8.48</v>
      </c>
      <c r="CU1960">
        <v>0</v>
      </c>
      <c r="CV1960">
        <v>3.72</v>
      </c>
      <c r="CW1960">
        <v>3.51</v>
      </c>
      <c r="CX1960">
        <v>0.62</v>
      </c>
      <c r="CY1960">
        <v>36.49</v>
      </c>
      <c r="CZ1960" t="s">
        <v>5716</v>
      </c>
      <c r="DA1960">
        <v>27.26</v>
      </c>
      <c r="DB1960">
        <v>12.35</v>
      </c>
      <c r="DC1960">
        <v>9.83</v>
      </c>
      <c r="DD1960">
        <v>0.34</v>
      </c>
      <c r="DE1960">
        <v>530</v>
      </c>
      <c r="DF1960">
        <v>300569</v>
      </c>
      <c r="DG1960" t="s">
        <v>116</v>
      </c>
      <c r="DH1960" t="s">
        <v>116</v>
      </c>
      <c r="DI1960" t="s">
        <v>116</v>
      </c>
    </row>
    <row r="1961" spans="1:113" x14ac:dyDescent="0.4">
      <c r="A1961" t="str">
        <f>"300570"</f>
        <v>300570</v>
      </c>
      <c r="B1961" t="s">
        <v>9721</v>
      </c>
      <c r="C1961">
        <v>-2.09</v>
      </c>
      <c r="D1961">
        <v>26.73</v>
      </c>
      <c r="E1961">
        <v>-0.56999999999999995</v>
      </c>
      <c r="F1961">
        <v>26.72</v>
      </c>
      <c r="G1961">
        <v>26.73</v>
      </c>
      <c r="H1961">
        <v>65138</v>
      </c>
      <c r="I1961">
        <v>383</v>
      </c>
      <c r="J1961">
        <v>-0.06</v>
      </c>
      <c r="K1961">
        <v>5.39</v>
      </c>
      <c r="L1961">
        <v>27.2</v>
      </c>
      <c r="M1961">
        <v>27.95</v>
      </c>
      <c r="N1961">
        <v>26.67</v>
      </c>
      <c r="O1961">
        <v>27.3</v>
      </c>
      <c r="P1961">
        <v>31.11</v>
      </c>
      <c r="Q1961">
        <v>178165520</v>
      </c>
      <c r="R1961">
        <v>1.57</v>
      </c>
      <c r="S1961" t="s">
        <v>233</v>
      </c>
      <c r="T1961" t="s">
        <v>115</v>
      </c>
      <c r="U1961">
        <v>4.6900000000000004</v>
      </c>
      <c r="V1961">
        <v>27.35</v>
      </c>
      <c r="W1961">
        <v>34433</v>
      </c>
      <c r="X1961">
        <v>30705</v>
      </c>
      <c r="Y1961">
        <v>1.1200000000000001</v>
      </c>
      <c r="Z1961">
        <v>213</v>
      </c>
      <c r="AA1961">
        <v>9</v>
      </c>
      <c r="AB1961" t="s">
        <v>116</v>
      </c>
      <c r="AC1961">
        <v>399800</v>
      </c>
      <c r="AD1961">
        <v>0.01</v>
      </c>
      <c r="AE1961" t="s">
        <v>116</v>
      </c>
      <c r="AF1961" t="s">
        <v>116</v>
      </c>
      <c r="AG1961">
        <v>1.21</v>
      </c>
      <c r="AH1961" t="s">
        <v>1588</v>
      </c>
      <c r="AI1961" t="s">
        <v>9722</v>
      </c>
      <c r="AJ1961">
        <v>-1.41</v>
      </c>
      <c r="AK1961">
        <v>3108</v>
      </c>
      <c r="AL1961">
        <v>21</v>
      </c>
      <c r="AM1961">
        <v>1.6999999999999999E-3</v>
      </c>
      <c r="AN1961">
        <v>-2</v>
      </c>
      <c r="AO1961">
        <v>-0.37</v>
      </c>
      <c r="AP1961">
        <v>11.38</v>
      </c>
      <c r="AQ1961">
        <v>-12.93</v>
      </c>
      <c r="AR1961">
        <v>48.5</v>
      </c>
      <c r="AS1961">
        <v>6.41</v>
      </c>
      <c r="AT1961" t="s">
        <v>2174</v>
      </c>
      <c r="AU1961">
        <v>31.83</v>
      </c>
      <c r="AV1961">
        <v>40.25</v>
      </c>
      <c r="AW1961">
        <v>1.67</v>
      </c>
      <c r="BA1961">
        <v>-0.37</v>
      </c>
      <c r="BB1961">
        <v>2.38</v>
      </c>
      <c r="BC1961">
        <v>-2.31</v>
      </c>
      <c r="BD1961">
        <v>0.19</v>
      </c>
      <c r="BE1961">
        <v>-1.73</v>
      </c>
      <c r="BF1961">
        <v>-4.3600000000000003</v>
      </c>
      <c r="BG1961">
        <v>0.22</v>
      </c>
      <c r="BH1961">
        <v>-2.2799999999999998</v>
      </c>
      <c r="BI1961">
        <v>20191205</v>
      </c>
      <c r="BJ1961">
        <v>20161206</v>
      </c>
      <c r="BK1961">
        <v>2.2999999999999998</v>
      </c>
      <c r="BL1961" t="s">
        <v>116</v>
      </c>
      <c r="BM1961" t="s">
        <v>116</v>
      </c>
      <c r="BN1961">
        <v>14.49</v>
      </c>
      <c r="BO1961">
        <v>12.83</v>
      </c>
      <c r="BP1961">
        <v>0.11</v>
      </c>
      <c r="BQ1961">
        <v>10.71</v>
      </c>
      <c r="BR1961">
        <v>11.57</v>
      </c>
      <c r="BS1961">
        <v>2.15</v>
      </c>
      <c r="BT1961">
        <v>0.57999999999999996</v>
      </c>
      <c r="BU1961">
        <v>1.38</v>
      </c>
      <c r="BV1961">
        <v>1.43</v>
      </c>
      <c r="BW1961">
        <v>1.32</v>
      </c>
      <c r="BX1961">
        <v>5.12</v>
      </c>
      <c r="BY1961">
        <v>6.24</v>
      </c>
      <c r="BZ1961">
        <v>4.1100000000000003</v>
      </c>
      <c r="CA1961">
        <v>1.71</v>
      </c>
      <c r="CB1961">
        <v>0.12</v>
      </c>
      <c r="CC1961">
        <v>1.71</v>
      </c>
      <c r="CD1961">
        <v>1.47</v>
      </c>
      <c r="CE1961">
        <v>1.48</v>
      </c>
      <c r="CF1961">
        <v>1.28</v>
      </c>
      <c r="CG1961">
        <v>4.59</v>
      </c>
      <c r="CH1961">
        <v>1.59</v>
      </c>
      <c r="CI1961">
        <v>1.71</v>
      </c>
      <c r="CJ1961">
        <v>18061</v>
      </c>
      <c r="CK1961">
        <v>5629</v>
      </c>
      <c r="CL1961" t="s">
        <v>6534</v>
      </c>
      <c r="CM1961">
        <v>37.49</v>
      </c>
      <c r="CN1961">
        <v>28.19</v>
      </c>
      <c r="CO1961">
        <v>4.79</v>
      </c>
      <c r="CP1961">
        <v>38.67</v>
      </c>
      <c r="CQ1961">
        <v>9.86</v>
      </c>
      <c r="CR1961">
        <v>1.35</v>
      </c>
      <c r="CS1961" t="s">
        <v>477</v>
      </c>
      <c r="CT1961">
        <v>5.58</v>
      </c>
      <c r="CU1961">
        <v>0</v>
      </c>
      <c r="CV1961">
        <v>2.23</v>
      </c>
      <c r="CW1961">
        <v>2</v>
      </c>
      <c r="CX1961">
        <v>0.69</v>
      </c>
      <c r="CY1961">
        <v>88.52</v>
      </c>
      <c r="CZ1961" t="s">
        <v>815</v>
      </c>
      <c r="DA1961">
        <v>34.159999999999997</v>
      </c>
      <c r="DB1961">
        <v>27.38</v>
      </c>
      <c r="DC1961">
        <v>23.77</v>
      </c>
      <c r="DD1961">
        <v>0.3</v>
      </c>
      <c r="DE1961">
        <v>1657</v>
      </c>
      <c r="DF1961">
        <v>300570</v>
      </c>
      <c r="DG1961" t="s">
        <v>116</v>
      </c>
      <c r="DH1961" t="s">
        <v>116</v>
      </c>
      <c r="DI1961" t="s">
        <v>116</v>
      </c>
    </row>
    <row r="1962" spans="1:113" x14ac:dyDescent="0.4">
      <c r="A1962" t="str">
        <f>"300571"</f>
        <v>300571</v>
      </c>
      <c r="B1962" t="s">
        <v>9723</v>
      </c>
      <c r="C1962">
        <v>4.6100000000000003</v>
      </c>
      <c r="D1962">
        <v>57.9</v>
      </c>
      <c r="E1962">
        <v>2.5499999999999998</v>
      </c>
      <c r="F1962">
        <v>57.8</v>
      </c>
      <c r="G1962">
        <v>57.9</v>
      </c>
      <c r="H1962">
        <v>50331</v>
      </c>
      <c r="I1962">
        <v>238</v>
      </c>
      <c r="J1962">
        <v>0.23</v>
      </c>
      <c r="K1962">
        <v>6.9</v>
      </c>
      <c r="L1962">
        <v>55.8</v>
      </c>
      <c r="M1962">
        <v>58.2</v>
      </c>
      <c r="N1962">
        <v>54.2</v>
      </c>
      <c r="O1962">
        <v>55.35</v>
      </c>
      <c r="P1962">
        <v>23.43</v>
      </c>
      <c r="Q1962">
        <v>281530144</v>
      </c>
      <c r="R1962">
        <v>2.8</v>
      </c>
      <c r="S1962" t="s">
        <v>1384</v>
      </c>
      <c r="T1962" t="s">
        <v>590</v>
      </c>
      <c r="U1962">
        <v>7.23</v>
      </c>
      <c r="V1962">
        <v>55.94</v>
      </c>
      <c r="W1962">
        <v>24408</v>
      </c>
      <c r="X1962">
        <v>25923</v>
      </c>
      <c r="Y1962">
        <v>0.94</v>
      </c>
      <c r="Z1962">
        <v>1</v>
      </c>
      <c r="AA1962">
        <v>206</v>
      </c>
      <c r="AB1962" t="s">
        <v>116</v>
      </c>
      <c r="AC1962">
        <v>1166200</v>
      </c>
      <c r="AD1962">
        <v>0.04</v>
      </c>
      <c r="AE1962" t="s">
        <v>116</v>
      </c>
      <c r="AF1962" t="s">
        <v>116</v>
      </c>
      <c r="AG1962">
        <v>0.73</v>
      </c>
      <c r="AH1962" t="s">
        <v>9724</v>
      </c>
      <c r="AI1962" t="s">
        <v>9725</v>
      </c>
      <c r="AJ1962">
        <v>5.29</v>
      </c>
      <c r="AK1962">
        <v>3184</v>
      </c>
      <c r="AL1962">
        <v>16</v>
      </c>
      <c r="AM1962">
        <v>2.2000000000000001E-3</v>
      </c>
      <c r="AN1962">
        <v>4</v>
      </c>
      <c r="AO1962">
        <v>11.54</v>
      </c>
      <c r="AP1962">
        <v>24.36</v>
      </c>
      <c r="AQ1962">
        <v>11.39</v>
      </c>
      <c r="AR1962">
        <v>32.25</v>
      </c>
      <c r="AS1962">
        <v>8.48</v>
      </c>
      <c r="AT1962" t="s">
        <v>9726</v>
      </c>
      <c r="AU1962">
        <v>28.89</v>
      </c>
      <c r="AV1962">
        <v>36.590000000000003</v>
      </c>
      <c r="AW1962">
        <v>0.83</v>
      </c>
      <c r="BA1962">
        <v>0.81</v>
      </c>
      <c r="BB1962">
        <v>5.15</v>
      </c>
      <c r="BC1962">
        <v>-2.08</v>
      </c>
      <c r="BD1962">
        <v>1.06</v>
      </c>
      <c r="BE1962">
        <v>3.76</v>
      </c>
      <c r="BF1962">
        <v>-0.52</v>
      </c>
      <c r="BG1962">
        <v>6.83</v>
      </c>
      <c r="BH1962">
        <v>3.55</v>
      </c>
      <c r="BI1962">
        <v>20191224</v>
      </c>
      <c r="BJ1962">
        <v>20161213</v>
      </c>
      <c r="BK1962">
        <v>1.25</v>
      </c>
      <c r="BL1962" t="s">
        <v>116</v>
      </c>
      <c r="BM1962" t="s">
        <v>116</v>
      </c>
      <c r="BN1962">
        <v>20.88</v>
      </c>
      <c r="BO1962">
        <v>6.37</v>
      </c>
      <c r="BP1962">
        <v>0.94</v>
      </c>
      <c r="BQ1962">
        <v>65</v>
      </c>
      <c r="BR1962">
        <v>17.25</v>
      </c>
      <c r="BS1962">
        <v>0.67</v>
      </c>
      <c r="BT1962">
        <v>0.56000000000000005</v>
      </c>
      <c r="BU1962">
        <v>12.2</v>
      </c>
      <c r="BV1962">
        <v>2.2599999999999998</v>
      </c>
      <c r="BW1962">
        <v>8.6199999999999992</v>
      </c>
      <c r="BX1962">
        <v>0.31</v>
      </c>
      <c r="BY1962">
        <v>13.83</v>
      </c>
      <c r="BZ1962">
        <v>8.93</v>
      </c>
      <c r="CA1962">
        <v>3.43</v>
      </c>
      <c r="CB1962">
        <v>-0.01</v>
      </c>
      <c r="CC1962">
        <v>3.47</v>
      </c>
      <c r="CD1962">
        <v>2.88</v>
      </c>
      <c r="CE1962">
        <v>2.31</v>
      </c>
      <c r="CF1962">
        <v>2.2599999999999998</v>
      </c>
      <c r="CG1962">
        <v>4.95</v>
      </c>
      <c r="CH1962">
        <v>-0.72</v>
      </c>
      <c r="CI1962">
        <v>0.67</v>
      </c>
      <c r="CJ1962">
        <v>7494</v>
      </c>
      <c r="CK1962">
        <v>7917</v>
      </c>
      <c r="CL1962" t="s">
        <v>9727</v>
      </c>
      <c r="CM1962">
        <v>29.51</v>
      </c>
      <c r="CN1962">
        <v>49.54</v>
      </c>
      <c r="CO1962">
        <v>10.95</v>
      </c>
      <c r="CP1962">
        <v>-99.75</v>
      </c>
      <c r="CQ1962">
        <v>5.21</v>
      </c>
      <c r="CR1962">
        <v>0.33</v>
      </c>
      <c r="CS1962" t="s">
        <v>1683</v>
      </c>
      <c r="CT1962">
        <v>5.29</v>
      </c>
      <c r="CU1962">
        <v>5.29</v>
      </c>
      <c r="CV1962">
        <v>0.25</v>
      </c>
      <c r="CW1962">
        <v>3.97</v>
      </c>
      <c r="CX1962">
        <v>-0.57999999999999996</v>
      </c>
      <c r="CY1962">
        <v>30.5</v>
      </c>
      <c r="CZ1962" t="s">
        <v>9728</v>
      </c>
      <c r="DA1962">
        <v>35.450000000000003</v>
      </c>
      <c r="DB1962">
        <v>24.82</v>
      </c>
      <c r="DC1962">
        <v>16.690000000000001</v>
      </c>
      <c r="DD1962">
        <v>0.35</v>
      </c>
      <c r="DE1962">
        <v>393</v>
      </c>
      <c r="DF1962">
        <v>300571</v>
      </c>
      <c r="DG1962" t="s">
        <v>116</v>
      </c>
      <c r="DH1962" t="s">
        <v>116</v>
      </c>
      <c r="DI1962" t="s">
        <v>116</v>
      </c>
    </row>
    <row r="1963" spans="1:113" x14ac:dyDescent="0.4">
      <c r="A1963" t="str">
        <f>"300572"</f>
        <v>300572</v>
      </c>
      <c r="B1963" t="s">
        <v>9729</v>
      </c>
      <c r="C1963">
        <v>-2.0499999999999998</v>
      </c>
      <c r="D1963">
        <v>46.91</v>
      </c>
      <c r="E1963">
        <v>-0.98</v>
      </c>
      <c r="F1963">
        <v>46.91</v>
      </c>
      <c r="G1963">
        <v>46.98</v>
      </c>
      <c r="H1963">
        <v>21367</v>
      </c>
      <c r="I1963">
        <v>86</v>
      </c>
      <c r="J1963">
        <v>-0.16</v>
      </c>
      <c r="K1963">
        <v>1.1100000000000001</v>
      </c>
      <c r="L1963">
        <v>47.5</v>
      </c>
      <c r="M1963">
        <v>48.38</v>
      </c>
      <c r="N1963">
        <v>46.8</v>
      </c>
      <c r="O1963">
        <v>47.89</v>
      </c>
      <c r="P1963">
        <v>42.52</v>
      </c>
      <c r="Q1963">
        <v>100816608</v>
      </c>
      <c r="R1963">
        <v>1.41</v>
      </c>
      <c r="S1963" t="s">
        <v>2977</v>
      </c>
      <c r="T1963" t="s">
        <v>115</v>
      </c>
      <c r="U1963">
        <v>3.3</v>
      </c>
      <c r="V1963">
        <v>47.18</v>
      </c>
      <c r="W1963">
        <v>13149</v>
      </c>
      <c r="X1963">
        <v>8218</v>
      </c>
      <c r="Y1963">
        <v>1.6</v>
      </c>
      <c r="Z1963">
        <v>92</v>
      </c>
      <c r="AA1963">
        <v>6</v>
      </c>
      <c r="AB1963" t="s">
        <v>116</v>
      </c>
      <c r="AC1963">
        <v>470300</v>
      </c>
      <c r="AD1963">
        <v>0.01</v>
      </c>
      <c r="AE1963" t="s">
        <v>116</v>
      </c>
      <c r="AF1963" t="s">
        <v>116</v>
      </c>
      <c r="AG1963">
        <v>1.93</v>
      </c>
      <c r="AH1963" t="s">
        <v>244</v>
      </c>
      <c r="AI1963" t="s">
        <v>9730</v>
      </c>
      <c r="AJ1963">
        <v>-1.37</v>
      </c>
      <c r="AK1963">
        <v>2025</v>
      </c>
      <c r="AL1963">
        <v>11</v>
      </c>
      <c r="AM1963">
        <v>5.0000000000000001E-4</v>
      </c>
      <c r="AN1963">
        <v>-1</v>
      </c>
      <c r="AO1963">
        <v>-0.51</v>
      </c>
      <c r="AP1963">
        <v>7.49</v>
      </c>
      <c r="AQ1963">
        <v>-10.51</v>
      </c>
      <c r="AR1963">
        <v>73.94</v>
      </c>
      <c r="AS1963">
        <v>2.19</v>
      </c>
      <c r="AT1963" t="s">
        <v>9731</v>
      </c>
      <c r="AU1963">
        <v>47.42</v>
      </c>
      <c r="AV1963">
        <v>72.5</v>
      </c>
      <c r="AW1963">
        <v>1.01</v>
      </c>
      <c r="BA1963">
        <v>-0.81</v>
      </c>
      <c r="BB1963">
        <v>1.02</v>
      </c>
      <c r="BC1963">
        <v>-2.2799999999999998</v>
      </c>
      <c r="BD1963">
        <v>-1.47</v>
      </c>
      <c r="BE1963">
        <v>-1.24</v>
      </c>
      <c r="BF1963">
        <v>-3.04</v>
      </c>
      <c r="BG1963">
        <v>0.24</v>
      </c>
      <c r="BH1963">
        <v>-0.56999999999999995</v>
      </c>
      <c r="BI1963">
        <v>20191205</v>
      </c>
      <c r="BJ1963">
        <v>20161206</v>
      </c>
      <c r="BK1963">
        <v>1.94</v>
      </c>
      <c r="BL1963" t="s">
        <v>116</v>
      </c>
      <c r="BM1963" t="s">
        <v>116</v>
      </c>
      <c r="BN1963">
        <v>15.02</v>
      </c>
      <c r="BO1963">
        <v>8.11</v>
      </c>
      <c r="BP1963">
        <v>0.18</v>
      </c>
      <c r="BQ1963">
        <v>44.77</v>
      </c>
      <c r="BR1963">
        <v>13.1</v>
      </c>
      <c r="BS1963">
        <v>0.63</v>
      </c>
      <c r="BT1963">
        <v>0.32</v>
      </c>
      <c r="BU1963">
        <v>6.72</v>
      </c>
      <c r="BV1963">
        <v>2.7</v>
      </c>
      <c r="BW1963">
        <v>1.63</v>
      </c>
      <c r="BX1963">
        <v>1.55</v>
      </c>
      <c r="BY1963">
        <v>6.17</v>
      </c>
      <c r="BZ1963">
        <v>3.32</v>
      </c>
      <c r="CA1963">
        <v>1.77</v>
      </c>
      <c r="CB1963">
        <v>0.12</v>
      </c>
      <c r="CC1963">
        <v>1.84</v>
      </c>
      <c r="CD1963">
        <v>1.57</v>
      </c>
      <c r="CE1963">
        <v>1.6</v>
      </c>
      <c r="CF1963">
        <v>1.42</v>
      </c>
      <c r="CG1963">
        <v>4.26</v>
      </c>
      <c r="CH1963">
        <v>2.27</v>
      </c>
      <c r="CI1963">
        <v>0.68</v>
      </c>
      <c r="CJ1963">
        <v>6903</v>
      </c>
      <c r="CK1963">
        <v>14124</v>
      </c>
      <c r="CL1963" t="s">
        <v>9732</v>
      </c>
      <c r="CM1963">
        <v>70.569999999999993</v>
      </c>
      <c r="CN1963">
        <v>70.290000000000006</v>
      </c>
      <c r="CO1963">
        <v>11.2</v>
      </c>
      <c r="CP1963">
        <v>39.93</v>
      </c>
      <c r="CQ1963">
        <v>14.71</v>
      </c>
      <c r="CR1963">
        <v>0.27</v>
      </c>
      <c r="CS1963" t="s">
        <v>9733</v>
      </c>
      <c r="CT1963">
        <v>4.1900000000000004</v>
      </c>
      <c r="CU1963">
        <v>0</v>
      </c>
      <c r="CV1963">
        <v>0.8</v>
      </c>
      <c r="CW1963">
        <v>2.2000000000000002</v>
      </c>
      <c r="CX1963">
        <v>1.17</v>
      </c>
      <c r="CY1963">
        <v>54.01</v>
      </c>
      <c r="CZ1963" t="s">
        <v>9701</v>
      </c>
      <c r="DA1963">
        <v>46.17</v>
      </c>
      <c r="DB1963">
        <v>28.71</v>
      </c>
      <c r="DC1963">
        <v>25.95</v>
      </c>
      <c r="DD1963">
        <v>0.34</v>
      </c>
      <c r="DE1963">
        <v>944</v>
      </c>
      <c r="DF1963">
        <v>300572</v>
      </c>
      <c r="DG1963" t="s">
        <v>116</v>
      </c>
      <c r="DH1963" t="s">
        <v>116</v>
      </c>
      <c r="DI1963" t="s">
        <v>116</v>
      </c>
    </row>
    <row r="1964" spans="1:113" x14ac:dyDescent="0.4">
      <c r="A1964" t="str">
        <f>"300573"</f>
        <v>300573</v>
      </c>
      <c r="B1964" t="s">
        <v>9734</v>
      </c>
      <c r="C1964">
        <v>-2.1</v>
      </c>
      <c r="D1964">
        <v>70.88</v>
      </c>
      <c r="E1964">
        <v>-1.52</v>
      </c>
      <c r="F1964">
        <v>70.88</v>
      </c>
      <c r="G1964">
        <v>70.89</v>
      </c>
      <c r="H1964">
        <v>13956</v>
      </c>
      <c r="I1964">
        <v>141</v>
      </c>
      <c r="J1964">
        <v>0.08</v>
      </c>
      <c r="K1964">
        <v>2.4</v>
      </c>
      <c r="L1964">
        <v>72.2</v>
      </c>
      <c r="M1964">
        <v>72.33</v>
      </c>
      <c r="N1964">
        <v>70.5</v>
      </c>
      <c r="O1964">
        <v>72.400000000000006</v>
      </c>
      <c r="P1964">
        <v>153.47999999999999</v>
      </c>
      <c r="Q1964">
        <v>99637256</v>
      </c>
      <c r="R1964">
        <v>0.76</v>
      </c>
      <c r="S1964" t="s">
        <v>574</v>
      </c>
      <c r="T1964" t="s">
        <v>434</v>
      </c>
      <c r="U1964">
        <v>2.5299999999999998</v>
      </c>
      <c r="V1964">
        <v>71.39</v>
      </c>
      <c r="W1964">
        <v>8081</v>
      </c>
      <c r="X1964">
        <v>5875</v>
      </c>
      <c r="Y1964">
        <v>1.38</v>
      </c>
      <c r="Z1964">
        <v>87</v>
      </c>
      <c r="AA1964">
        <v>15</v>
      </c>
      <c r="AB1964" t="s">
        <v>116</v>
      </c>
      <c r="AC1964">
        <v>628100</v>
      </c>
      <c r="AD1964">
        <v>0.02</v>
      </c>
      <c r="AE1964" t="s">
        <v>116</v>
      </c>
      <c r="AF1964" t="s">
        <v>116</v>
      </c>
      <c r="AG1964">
        <v>0.57999999999999996</v>
      </c>
      <c r="AH1964" t="s">
        <v>9735</v>
      </c>
      <c r="AI1964" t="s">
        <v>310</v>
      </c>
      <c r="AJ1964">
        <v>-1.42</v>
      </c>
      <c r="AK1964">
        <v>1767</v>
      </c>
      <c r="AL1964">
        <v>8</v>
      </c>
      <c r="AM1964">
        <v>1.4E-3</v>
      </c>
      <c r="AN1964">
        <v>-1</v>
      </c>
      <c r="AO1964">
        <v>-4.1500000000000004</v>
      </c>
      <c r="AP1964">
        <v>-16.420000000000002</v>
      </c>
      <c r="AQ1964">
        <v>-8.5399999999999991</v>
      </c>
      <c r="AR1964">
        <v>328.02</v>
      </c>
      <c r="AS1964">
        <v>3.43</v>
      </c>
      <c r="AT1964" t="s">
        <v>9736</v>
      </c>
      <c r="AU1964">
        <v>201.38</v>
      </c>
      <c r="AV1964">
        <v>427.76</v>
      </c>
      <c r="AW1964">
        <v>0.67</v>
      </c>
      <c r="BA1964">
        <v>-0.28000000000000003</v>
      </c>
      <c r="BB1964">
        <v>-0.1</v>
      </c>
      <c r="BC1964">
        <v>-2.62</v>
      </c>
      <c r="BD1964">
        <v>-1.39</v>
      </c>
      <c r="BE1964">
        <v>-1.83</v>
      </c>
      <c r="BF1964">
        <v>-2</v>
      </c>
      <c r="BG1964">
        <v>0.54</v>
      </c>
      <c r="BH1964">
        <v>-0.71</v>
      </c>
      <c r="BI1964">
        <v>20191206</v>
      </c>
      <c r="BJ1964">
        <v>20161208</v>
      </c>
      <c r="BK1964">
        <v>0.82</v>
      </c>
      <c r="BL1964" t="s">
        <v>116</v>
      </c>
      <c r="BM1964" t="s">
        <v>116</v>
      </c>
      <c r="BN1964">
        <v>8.2799999999999994</v>
      </c>
      <c r="BO1964">
        <v>5.59</v>
      </c>
      <c r="BP1964">
        <v>0.08</v>
      </c>
      <c r="BQ1964">
        <v>31.5</v>
      </c>
      <c r="BR1964">
        <v>2.75</v>
      </c>
      <c r="BS1964">
        <v>4.16</v>
      </c>
      <c r="BT1964">
        <v>0.24</v>
      </c>
      <c r="BU1964">
        <v>2.06</v>
      </c>
      <c r="BV1964">
        <v>0.68</v>
      </c>
      <c r="BW1964">
        <v>1.19</v>
      </c>
      <c r="BX1964">
        <v>2.54</v>
      </c>
      <c r="BY1964">
        <v>4.0999999999999996</v>
      </c>
      <c r="BZ1964">
        <v>1.0900000000000001</v>
      </c>
      <c r="CA1964">
        <v>0.31</v>
      </c>
      <c r="CB1964">
        <v>0</v>
      </c>
      <c r="CC1964">
        <v>0.3</v>
      </c>
      <c r="CD1964">
        <v>0.24</v>
      </c>
      <c r="CE1964">
        <v>0.28999999999999998</v>
      </c>
      <c r="CF1964">
        <v>0.25</v>
      </c>
      <c r="CG1964">
        <v>2.12</v>
      </c>
      <c r="CH1964">
        <v>0.59</v>
      </c>
      <c r="CI1964">
        <v>0.19</v>
      </c>
      <c r="CJ1964">
        <v>7469</v>
      </c>
      <c r="CK1964">
        <v>5444</v>
      </c>
      <c r="CL1964" t="s">
        <v>9737</v>
      </c>
      <c r="CM1964">
        <v>116.35</v>
      </c>
      <c r="CN1964">
        <v>21.69</v>
      </c>
      <c r="CO1964">
        <v>10.45</v>
      </c>
      <c r="CP1964">
        <v>98.93</v>
      </c>
      <c r="CQ1964">
        <v>14.25</v>
      </c>
      <c r="CR1964">
        <v>0.35</v>
      </c>
      <c r="CS1964" t="s">
        <v>7771</v>
      </c>
      <c r="CT1964">
        <v>6.78</v>
      </c>
      <c r="CU1964">
        <v>0</v>
      </c>
      <c r="CV1964">
        <v>3.08</v>
      </c>
      <c r="CW1964">
        <v>2.57</v>
      </c>
      <c r="CX1964">
        <v>0.72</v>
      </c>
      <c r="CY1964">
        <v>67.5</v>
      </c>
      <c r="CZ1964" t="s">
        <v>9738</v>
      </c>
      <c r="DA1964">
        <v>73.44</v>
      </c>
      <c r="DB1964">
        <v>7.64</v>
      </c>
      <c r="DC1964">
        <v>6.96</v>
      </c>
      <c r="DD1964">
        <v>0.41</v>
      </c>
      <c r="DE1964">
        <v>858</v>
      </c>
      <c r="DF1964">
        <v>300573</v>
      </c>
      <c r="DG1964" t="s">
        <v>116</v>
      </c>
      <c r="DH1964" t="s">
        <v>116</v>
      </c>
      <c r="DI1964" t="s">
        <v>116</v>
      </c>
    </row>
    <row r="1965" spans="1:113" x14ac:dyDescent="0.4">
      <c r="A1965" t="str">
        <f>"300575"</f>
        <v>300575</v>
      </c>
      <c r="B1965" t="s">
        <v>9739</v>
      </c>
      <c r="C1965">
        <v>-2.5</v>
      </c>
      <c r="D1965">
        <v>28.13</v>
      </c>
      <c r="E1965">
        <v>-0.72</v>
      </c>
      <c r="F1965">
        <v>28.13</v>
      </c>
      <c r="G1965">
        <v>28.16</v>
      </c>
      <c r="H1965">
        <v>23960</v>
      </c>
      <c r="I1965">
        <v>136</v>
      </c>
      <c r="J1965">
        <v>-0.06</v>
      </c>
      <c r="K1965">
        <v>2.75</v>
      </c>
      <c r="L1965">
        <v>28.86</v>
      </c>
      <c r="M1965">
        <v>29.05</v>
      </c>
      <c r="N1965">
        <v>28.06</v>
      </c>
      <c r="O1965">
        <v>28.85</v>
      </c>
      <c r="P1965">
        <v>22.92</v>
      </c>
      <c r="Q1965">
        <v>68447944</v>
      </c>
      <c r="R1965">
        <v>0.56000000000000005</v>
      </c>
      <c r="S1965" t="s">
        <v>697</v>
      </c>
      <c r="T1965" t="s">
        <v>323</v>
      </c>
      <c r="U1965">
        <v>3.43</v>
      </c>
      <c r="V1965">
        <v>28.57</v>
      </c>
      <c r="W1965">
        <v>15898</v>
      </c>
      <c r="X1965">
        <v>8062</v>
      </c>
      <c r="Y1965">
        <v>1.97</v>
      </c>
      <c r="Z1965">
        <v>10</v>
      </c>
      <c r="AA1965">
        <v>5</v>
      </c>
      <c r="AB1965" t="s">
        <v>116</v>
      </c>
      <c r="AC1965">
        <v>228000</v>
      </c>
      <c r="AD1965">
        <v>0.01</v>
      </c>
      <c r="AE1965" t="s">
        <v>116</v>
      </c>
      <c r="AF1965" t="s">
        <v>116</v>
      </c>
      <c r="AG1965">
        <v>0.87</v>
      </c>
      <c r="AH1965" t="s">
        <v>9619</v>
      </c>
      <c r="AI1965" t="s">
        <v>9740</v>
      </c>
      <c r="AJ1965">
        <v>-1.82</v>
      </c>
      <c r="AK1965">
        <v>1546</v>
      </c>
      <c r="AL1965">
        <v>15</v>
      </c>
      <c r="AM1965">
        <v>1.8E-3</v>
      </c>
      <c r="AN1965">
        <v>-1</v>
      </c>
      <c r="AO1965">
        <v>-1.69</v>
      </c>
      <c r="AP1965">
        <v>-5.29</v>
      </c>
      <c r="AQ1965">
        <v>19.399999999999999</v>
      </c>
      <c r="AR1965">
        <v>20.56</v>
      </c>
      <c r="AS1965">
        <v>4.03</v>
      </c>
      <c r="AT1965" t="s">
        <v>4388</v>
      </c>
      <c r="AU1965">
        <v>18.829999999999998</v>
      </c>
      <c r="AV1965">
        <v>17.760000000000002</v>
      </c>
      <c r="AW1965">
        <v>0.83</v>
      </c>
      <c r="BA1965">
        <v>0.03</v>
      </c>
      <c r="BB1965">
        <v>0.69</v>
      </c>
      <c r="BC1965">
        <v>-2.74</v>
      </c>
      <c r="BD1965">
        <v>-0.98</v>
      </c>
      <c r="BE1965">
        <v>-2.5299999999999998</v>
      </c>
      <c r="BF1965">
        <v>-3.17</v>
      </c>
      <c r="BG1965">
        <v>0.25</v>
      </c>
      <c r="BH1965">
        <v>-1.52</v>
      </c>
      <c r="BI1965">
        <v>20191224</v>
      </c>
      <c r="BJ1965">
        <v>20161220</v>
      </c>
      <c r="BK1965">
        <v>1.32</v>
      </c>
      <c r="BL1965" t="s">
        <v>116</v>
      </c>
      <c r="BM1965" t="s">
        <v>116</v>
      </c>
      <c r="BN1965">
        <v>21.59</v>
      </c>
      <c r="BO1965">
        <v>12.61</v>
      </c>
      <c r="BP1965">
        <v>0.09</v>
      </c>
      <c r="BQ1965">
        <v>41.16</v>
      </c>
      <c r="BR1965">
        <v>9.84</v>
      </c>
      <c r="BS1965">
        <v>8.4700000000000006</v>
      </c>
      <c r="BT1965">
        <v>0.63</v>
      </c>
      <c r="BU1965">
        <v>6.12</v>
      </c>
      <c r="BV1965">
        <v>2.87</v>
      </c>
      <c r="BW1965">
        <v>1.58</v>
      </c>
      <c r="BX1965">
        <v>4.13</v>
      </c>
      <c r="BY1965">
        <v>12.04</v>
      </c>
      <c r="BZ1965">
        <v>9.3000000000000007</v>
      </c>
      <c r="CA1965">
        <v>1.42</v>
      </c>
      <c r="CB1965">
        <v>0.03</v>
      </c>
      <c r="CC1965">
        <v>1.4</v>
      </c>
      <c r="CD1965">
        <v>1.2</v>
      </c>
      <c r="CE1965">
        <v>1.22</v>
      </c>
      <c r="CF1965">
        <v>1.19</v>
      </c>
      <c r="CG1965">
        <v>6.33</v>
      </c>
      <c r="CH1965">
        <v>1.26</v>
      </c>
      <c r="CI1965">
        <v>-1.48</v>
      </c>
      <c r="CJ1965">
        <v>11188</v>
      </c>
      <c r="CK1965">
        <v>5317</v>
      </c>
      <c r="CL1965" t="s">
        <v>6933</v>
      </c>
      <c r="CM1965">
        <v>-8.91</v>
      </c>
      <c r="CN1965">
        <v>2.11</v>
      </c>
      <c r="CO1965">
        <v>2.95</v>
      </c>
      <c r="CP1965">
        <v>29.47</v>
      </c>
      <c r="CQ1965">
        <v>3.08</v>
      </c>
      <c r="CR1965">
        <v>1.58</v>
      </c>
      <c r="CS1965" t="s">
        <v>9741</v>
      </c>
      <c r="CT1965">
        <v>9.5500000000000007</v>
      </c>
      <c r="CU1965">
        <v>0</v>
      </c>
      <c r="CV1965">
        <v>3.13</v>
      </c>
      <c r="CW1965">
        <v>4.8</v>
      </c>
      <c r="CX1965">
        <v>0.95</v>
      </c>
      <c r="CY1965">
        <v>58.42</v>
      </c>
      <c r="CZ1965" t="s">
        <v>1979</v>
      </c>
      <c r="DA1965">
        <v>22.73</v>
      </c>
      <c r="DB1965">
        <v>11.77</v>
      </c>
      <c r="DC1965">
        <v>10.09</v>
      </c>
      <c r="DD1965">
        <v>0.35</v>
      </c>
      <c r="DE1965">
        <v>1331</v>
      </c>
      <c r="DF1965">
        <v>300575</v>
      </c>
      <c r="DG1965" t="s">
        <v>116</v>
      </c>
      <c r="DH1965" t="s">
        <v>116</v>
      </c>
      <c r="DI1965" t="s">
        <v>116</v>
      </c>
    </row>
    <row r="1966" spans="1:113" x14ac:dyDescent="0.4">
      <c r="A1966" t="str">
        <f>"300576"</f>
        <v>300576</v>
      </c>
      <c r="B1966" t="s">
        <v>9742</v>
      </c>
      <c r="C1966">
        <v>9.99</v>
      </c>
      <c r="D1966">
        <v>30.49</v>
      </c>
      <c r="E1966">
        <v>2.77</v>
      </c>
      <c r="F1966">
        <v>30.49</v>
      </c>
      <c r="G1966" t="s">
        <v>116</v>
      </c>
      <c r="H1966">
        <v>224566</v>
      </c>
      <c r="I1966">
        <v>526</v>
      </c>
      <c r="J1966">
        <v>0</v>
      </c>
      <c r="K1966">
        <v>38.04</v>
      </c>
      <c r="L1966">
        <v>30</v>
      </c>
      <c r="M1966">
        <v>30.49</v>
      </c>
      <c r="N1966">
        <v>28.5</v>
      </c>
      <c r="O1966">
        <v>27.72</v>
      </c>
      <c r="P1966">
        <v>104.41</v>
      </c>
      <c r="Q1966">
        <v>672745920</v>
      </c>
      <c r="R1966">
        <v>2.27</v>
      </c>
      <c r="S1966" t="s">
        <v>1192</v>
      </c>
      <c r="T1966" t="s">
        <v>115</v>
      </c>
      <c r="U1966">
        <v>7.18</v>
      </c>
      <c r="V1966">
        <v>29.96</v>
      </c>
      <c r="W1966">
        <v>122428</v>
      </c>
      <c r="X1966">
        <v>102138</v>
      </c>
      <c r="Y1966">
        <v>1.2</v>
      </c>
      <c r="Z1966">
        <v>9724</v>
      </c>
      <c r="AA1966">
        <v>0</v>
      </c>
      <c r="AB1966" t="s">
        <v>116</v>
      </c>
      <c r="AC1966">
        <v>16836000</v>
      </c>
      <c r="AD1966">
        <v>1.4</v>
      </c>
      <c r="AE1966">
        <v>0.04</v>
      </c>
      <c r="AF1966">
        <v>29648476</v>
      </c>
      <c r="AG1966">
        <v>0.59</v>
      </c>
      <c r="AH1966" t="s">
        <v>9743</v>
      </c>
      <c r="AI1966" t="s">
        <v>4231</v>
      </c>
      <c r="AJ1966">
        <v>10.67</v>
      </c>
      <c r="AK1966">
        <v>3539</v>
      </c>
      <c r="AL1966">
        <v>63</v>
      </c>
      <c r="AM1966">
        <v>1.0699999999999999E-2</v>
      </c>
      <c r="AN1966">
        <v>7</v>
      </c>
      <c r="AO1966">
        <v>33.090000000000003</v>
      </c>
      <c r="AP1966">
        <v>67.900000000000006</v>
      </c>
      <c r="AQ1966">
        <v>25.68</v>
      </c>
      <c r="AR1966">
        <v>120.46</v>
      </c>
      <c r="AS1966">
        <v>55.98</v>
      </c>
      <c r="AT1966" t="s">
        <v>9744</v>
      </c>
      <c r="AU1966">
        <v>98.18</v>
      </c>
      <c r="AV1966">
        <v>86.83</v>
      </c>
      <c r="AW1966">
        <v>1.77</v>
      </c>
      <c r="BA1966">
        <v>8.23</v>
      </c>
      <c r="BB1966">
        <v>9.99</v>
      </c>
      <c r="BC1966">
        <v>2.81</v>
      </c>
      <c r="BD1966">
        <v>8.07</v>
      </c>
      <c r="BE1966">
        <v>1.63</v>
      </c>
      <c r="BF1966">
        <v>0</v>
      </c>
      <c r="BG1966">
        <v>6.98</v>
      </c>
      <c r="BH1966">
        <v>1.92</v>
      </c>
      <c r="BI1966">
        <v>20191225</v>
      </c>
      <c r="BJ1966">
        <v>20161220</v>
      </c>
      <c r="BK1966">
        <v>1.2</v>
      </c>
      <c r="BL1966" t="s">
        <v>116</v>
      </c>
      <c r="BM1966" t="s">
        <v>116</v>
      </c>
      <c r="BN1966">
        <v>6.23</v>
      </c>
      <c r="BO1966">
        <v>4.5199999999999996</v>
      </c>
      <c r="BP1966">
        <v>0</v>
      </c>
      <c r="BQ1966">
        <v>27.44</v>
      </c>
      <c r="BR1966">
        <v>4.13</v>
      </c>
      <c r="BS1966">
        <v>1.31</v>
      </c>
      <c r="BT1966">
        <v>0.16</v>
      </c>
      <c r="BU1966">
        <v>1.66</v>
      </c>
      <c r="BV1966">
        <v>0.77</v>
      </c>
      <c r="BW1966">
        <v>1.82</v>
      </c>
      <c r="BX1966">
        <v>1.36</v>
      </c>
      <c r="BY1966">
        <v>3.26</v>
      </c>
      <c r="BZ1966">
        <v>2.23</v>
      </c>
      <c r="CA1966">
        <v>0.35</v>
      </c>
      <c r="CB1966">
        <v>0</v>
      </c>
      <c r="CC1966">
        <v>0.35</v>
      </c>
      <c r="CD1966">
        <v>0.26</v>
      </c>
      <c r="CE1966">
        <v>0.26</v>
      </c>
      <c r="CF1966">
        <v>0.25</v>
      </c>
      <c r="CG1966">
        <v>1.79</v>
      </c>
      <c r="CH1966">
        <v>0.2</v>
      </c>
      <c r="CI1966">
        <v>-0.11</v>
      </c>
      <c r="CJ1966">
        <v>11058</v>
      </c>
      <c r="CK1966">
        <v>3628</v>
      </c>
      <c r="CL1966" t="s">
        <v>7125</v>
      </c>
      <c r="CM1966">
        <v>-15.64</v>
      </c>
      <c r="CN1966">
        <v>4.7300000000000004</v>
      </c>
      <c r="CO1966">
        <v>8.1</v>
      </c>
      <c r="CP1966">
        <v>178.52</v>
      </c>
      <c r="CQ1966">
        <v>11.23</v>
      </c>
      <c r="CR1966">
        <v>0.33</v>
      </c>
      <c r="CS1966" t="s">
        <v>4880</v>
      </c>
      <c r="CT1966">
        <v>3.77</v>
      </c>
      <c r="CU1966">
        <v>0</v>
      </c>
      <c r="CV1966">
        <v>1.1299999999999999</v>
      </c>
      <c r="CW1966">
        <v>1.49</v>
      </c>
      <c r="CX1966">
        <v>0.17</v>
      </c>
      <c r="CY1966">
        <v>72.56</v>
      </c>
      <c r="CZ1966" t="s">
        <v>9745</v>
      </c>
      <c r="DA1966">
        <v>31.57</v>
      </c>
      <c r="DB1966">
        <v>10.68</v>
      </c>
      <c r="DC1966">
        <v>8.06</v>
      </c>
      <c r="DD1966">
        <v>0.18</v>
      </c>
      <c r="DE1966">
        <v>338</v>
      </c>
      <c r="DF1966">
        <v>300576</v>
      </c>
      <c r="DG1966" t="s">
        <v>116</v>
      </c>
      <c r="DH1966" t="s">
        <v>116</v>
      </c>
      <c r="DI1966" t="s">
        <v>116</v>
      </c>
    </row>
    <row r="1967" spans="1:113" x14ac:dyDescent="0.4">
      <c r="A1967" t="str">
        <f>"300577"</f>
        <v>300577</v>
      </c>
      <c r="B1967" t="s">
        <v>9746</v>
      </c>
      <c r="C1967">
        <v>-1.1499999999999999</v>
      </c>
      <c r="D1967">
        <v>34.42</v>
      </c>
      <c r="E1967">
        <v>-0.4</v>
      </c>
      <c r="F1967">
        <v>34.33</v>
      </c>
      <c r="G1967">
        <v>34.42</v>
      </c>
      <c r="H1967">
        <v>14234</v>
      </c>
      <c r="I1967">
        <v>82</v>
      </c>
      <c r="J1967">
        <v>-0.11</v>
      </c>
      <c r="K1967">
        <v>1.54</v>
      </c>
      <c r="L1967">
        <v>34.6</v>
      </c>
      <c r="M1967">
        <v>34.799999999999997</v>
      </c>
      <c r="N1967">
        <v>33.549999999999997</v>
      </c>
      <c r="O1967">
        <v>34.82</v>
      </c>
      <c r="P1967">
        <v>32</v>
      </c>
      <c r="Q1967">
        <v>48654240</v>
      </c>
      <c r="R1967">
        <v>0.81</v>
      </c>
      <c r="S1967" t="s">
        <v>1420</v>
      </c>
      <c r="T1967" t="s">
        <v>575</v>
      </c>
      <c r="U1967">
        <v>3.59</v>
      </c>
      <c r="V1967">
        <v>34.18</v>
      </c>
      <c r="W1967">
        <v>7588</v>
      </c>
      <c r="X1967">
        <v>6646</v>
      </c>
      <c r="Y1967">
        <v>1.1399999999999999</v>
      </c>
      <c r="Z1967">
        <v>11</v>
      </c>
      <c r="AA1967">
        <v>29</v>
      </c>
      <c r="AB1967" t="s">
        <v>116</v>
      </c>
      <c r="AC1967">
        <v>83000</v>
      </c>
      <c r="AD1967">
        <v>0</v>
      </c>
      <c r="AE1967" t="s">
        <v>116</v>
      </c>
      <c r="AF1967" t="s">
        <v>116</v>
      </c>
      <c r="AG1967">
        <v>0.92</v>
      </c>
      <c r="AH1967" t="s">
        <v>9294</v>
      </c>
      <c r="AI1967" t="s">
        <v>8924</v>
      </c>
      <c r="AJ1967">
        <v>-0.47</v>
      </c>
      <c r="AK1967">
        <v>1582</v>
      </c>
      <c r="AL1967">
        <v>9</v>
      </c>
      <c r="AM1967">
        <v>1E-3</v>
      </c>
      <c r="AN1967">
        <v>-1</v>
      </c>
      <c r="AO1967">
        <v>2.66</v>
      </c>
      <c r="AP1967">
        <v>15.66</v>
      </c>
      <c r="AQ1967">
        <v>7.43</v>
      </c>
      <c r="AR1967">
        <v>11.1</v>
      </c>
      <c r="AS1967">
        <v>2.0099999999999998</v>
      </c>
      <c r="AT1967" t="s">
        <v>2431</v>
      </c>
      <c r="AU1967">
        <v>33.86</v>
      </c>
      <c r="AV1967">
        <v>43.07</v>
      </c>
      <c r="AW1967">
        <v>0.62</v>
      </c>
      <c r="BA1967">
        <v>-0.63</v>
      </c>
      <c r="BB1967">
        <v>-0.06</v>
      </c>
      <c r="BC1967">
        <v>-3.65</v>
      </c>
      <c r="BD1967">
        <v>-1.83</v>
      </c>
      <c r="BE1967">
        <v>-0.52</v>
      </c>
      <c r="BF1967">
        <v>-1.0900000000000001</v>
      </c>
      <c r="BG1967">
        <v>2.59</v>
      </c>
      <c r="BH1967">
        <v>0.68</v>
      </c>
      <c r="BI1967">
        <v>20191220</v>
      </c>
      <c r="BJ1967">
        <v>20161221</v>
      </c>
      <c r="BK1967">
        <v>2.17</v>
      </c>
      <c r="BL1967" t="s">
        <v>116</v>
      </c>
      <c r="BM1967" t="s">
        <v>116</v>
      </c>
      <c r="BN1967">
        <v>17.57</v>
      </c>
      <c r="BO1967">
        <v>7.78</v>
      </c>
      <c r="BP1967">
        <v>0.61</v>
      </c>
      <c r="BQ1967">
        <v>52.27</v>
      </c>
      <c r="BR1967">
        <v>12.81</v>
      </c>
      <c r="BS1967">
        <v>1.59</v>
      </c>
      <c r="BT1967">
        <v>0.26</v>
      </c>
      <c r="BU1967">
        <v>9.0399999999999991</v>
      </c>
      <c r="BV1967">
        <v>4.26</v>
      </c>
      <c r="BW1967">
        <v>4.6100000000000003</v>
      </c>
      <c r="BX1967">
        <v>0.75</v>
      </c>
      <c r="BY1967">
        <v>19.54</v>
      </c>
      <c r="BZ1967">
        <v>14.13</v>
      </c>
      <c r="CA1967">
        <v>2.19</v>
      </c>
      <c r="CB1967">
        <v>0.04</v>
      </c>
      <c r="CC1967">
        <v>2.19</v>
      </c>
      <c r="CD1967">
        <v>1.81</v>
      </c>
      <c r="CE1967">
        <v>1.75</v>
      </c>
      <c r="CF1967">
        <v>1.63</v>
      </c>
      <c r="CG1967">
        <v>4.58</v>
      </c>
      <c r="CH1967">
        <v>0.09</v>
      </c>
      <c r="CI1967">
        <v>0.08</v>
      </c>
      <c r="CJ1967">
        <v>4682</v>
      </c>
      <c r="CK1967">
        <v>15099</v>
      </c>
      <c r="CL1967" t="s">
        <v>9747</v>
      </c>
      <c r="CM1967">
        <v>36.909999999999997</v>
      </c>
      <c r="CN1967">
        <v>35.479999999999997</v>
      </c>
      <c r="CO1967">
        <v>9.6199999999999992</v>
      </c>
      <c r="CP1967">
        <v>812.91</v>
      </c>
      <c r="CQ1967">
        <v>3.83</v>
      </c>
      <c r="CR1967">
        <v>0.57999999999999996</v>
      </c>
      <c r="CS1967" t="s">
        <v>9748</v>
      </c>
      <c r="CT1967">
        <v>3.58</v>
      </c>
      <c r="CU1967">
        <v>0</v>
      </c>
      <c r="CV1967">
        <v>0.35</v>
      </c>
      <c r="CW1967">
        <v>2.11</v>
      </c>
      <c r="CX1967">
        <v>0.04</v>
      </c>
      <c r="CY1967">
        <v>44.27</v>
      </c>
      <c r="CZ1967" t="s">
        <v>9749</v>
      </c>
      <c r="DA1967">
        <v>27.69</v>
      </c>
      <c r="DB1967">
        <v>11.21</v>
      </c>
      <c r="DC1967">
        <v>8.98</v>
      </c>
      <c r="DD1967">
        <v>0.62</v>
      </c>
      <c r="DE1967">
        <v>2323</v>
      </c>
      <c r="DF1967">
        <v>300577</v>
      </c>
      <c r="DG1967" t="s">
        <v>116</v>
      </c>
      <c r="DH1967" t="s">
        <v>116</v>
      </c>
      <c r="DI1967" t="s">
        <v>116</v>
      </c>
    </row>
    <row r="1968" spans="1:113" x14ac:dyDescent="0.4">
      <c r="A1968" t="str">
        <f>"300578"</f>
        <v>300578</v>
      </c>
      <c r="B1968" t="s">
        <v>9750</v>
      </c>
      <c r="C1968">
        <v>-2.67</v>
      </c>
      <c r="D1968">
        <v>25.56</v>
      </c>
      <c r="E1968">
        <v>-0.7</v>
      </c>
      <c r="F1968">
        <v>25.55</v>
      </c>
      <c r="G1968">
        <v>25.56</v>
      </c>
      <c r="H1968">
        <v>42127</v>
      </c>
      <c r="I1968">
        <v>406</v>
      </c>
      <c r="J1968">
        <v>0.08</v>
      </c>
      <c r="K1968">
        <v>6.96</v>
      </c>
      <c r="L1968">
        <v>26.33</v>
      </c>
      <c r="M1968">
        <v>26.45</v>
      </c>
      <c r="N1968">
        <v>25.45</v>
      </c>
      <c r="O1968">
        <v>26.26</v>
      </c>
      <c r="P1968">
        <v>51.14</v>
      </c>
      <c r="Q1968">
        <v>109331784</v>
      </c>
      <c r="R1968">
        <v>0.71</v>
      </c>
      <c r="S1968" t="s">
        <v>465</v>
      </c>
      <c r="T1968" t="s">
        <v>1653</v>
      </c>
      <c r="U1968">
        <v>3.81</v>
      </c>
      <c r="V1968">
        <v>25.95</v>
      </c>
      <c r="W1968">
        <v>25970</v>
      </c>
      <c r="X1968">
        <v>16157</v>
      </c>
      <c r="Y1968">
        <v>1.61</v>
      </c>
      <c r="Z1968">
        <v>11</v>
      </c>
      <c r="AA1968">
        <v>588</v>
      </c>
      <c r="AB1968" t="s">
        <v>116</v>
      </c>
      <c r="AC1968">
        <v>450200</v>
      </c>
      <c r="AD1968">
        <v>0.03</v>
      </c>
      <c r="AE1968" t="s">
        <v>116</v>
      </c>
      <c r="AF1968" t="s">
        <v>116</v>
      </c>
      <c r="AG1968">
        <v>0.61</v>
      </c>
      <c r="AH1968" t="s">
        <v>1290</v>
      </c>
      <c r="AI1968" t="s">
        <v>9751</v>
      </c>
      <c r="AJ1968">
        <v>-1.99</v>
      </c>
      <c r="AK1968">
        <v>2091</v>
      </c>
      <c r="AL1968">
        <v>20</v>
      </c>
      <c r="AM1968">
        <v>3.3E-3</v>
      </c>
      <c r="AN1968">
        <v>-2</v>
      </c>
      <c r="AO1968">
        <v>-1.69</v>
      </c>
      <c r="AP1968">
        <v>16.93</v>
      </c>
      <c r="AQ1968">
        <v>-6.37</v>
      </c>
      <c r="AR1968">
        <v>50.8</v>
      </c>
      <c r="AS1968">
        <v>6.96</v>
      </c>
      <c r="AT1968" t="s">
        <v>1290</v>
      </c>
      <c r="AU1968">
        <v>86.6</v>
      </c>
      <c r="AV1968">
        <v>276.02999999999997</v>
      </c>
      <c r="AW1968">
        <v>1.52</v>
      </c>
      <c r="BA1968">
        <v>0.27</v>
      </c>
      <c r="BB1968">
        <v>0.72</v>
      </c>
      <c r="BC1968">
        <v>-3.08</v>
      </c>
      <c r="BD1968">
        <v>-1.17</v>
      </c>
      <c r="BE1968">
        <v>-2.92</v>
      </c>
      <c r="BF1968">
        <v>-3.36</v>
      </c>
      <c r="BG1968">
        <v>0.43</v>
      </c>
      <c r="BH1968">
        <v>-1.5</v>
      </c>
      <c r="BI1968">
        <v>20191128</v>
      </c>
      <c r="BJ1968">
        <v>20170125</v>
      </c>
      <c r="BK1968">
        <v>1.74</v>
      </c>
      <c r="BL1968" t="s">
        <v>116</v>
      </c>
      <c r="BM1968" t="s">
        <v>116</v>
      </c>
      <c r="BN1968">
        <v>16.03</v>
      </c>
      <c r="BO1968">
        <v>10.18</v>
      </c>
      <c r="BP1968">
        <v>0.03</v>
      </c>
      <c r="BQ1968">
        <v>36.32</v>
      </c>
      <c r="BR1968">
        <v>7.23</v>
      </c>
      <c r="BS1968">
        <v>0.4</v>
      </c>
      <c r="BT1968">
        <v>0.25</v>
      </c>
      <c r="BU1968">
        <v>5.72</v>
      </c>
      <c r="BV1968">
        <v>0.77</v>
      </c>
      <c r="BW1968">
        <v>2.68</v>
      </c>
      <c r="BX1968">
        <v>7.83</v>
      </c>
      <c r="BY1968">
        <v>3.6</v>
      </c>
      <c r="BZ1968">
        <v>1.71</v>
      </c>
      <c r="CA1968">
        <v>0.74</v>
      </c>
      <c r="CB1968">
        <v>0.05</v>
      </c>
      <c r="CC1968">
        <v>0.75</v>
      </c>
      <c r="CD1968">
        <v>0.65</v>
      </c>
      <c r="CE1968">
        <v>0.65</v>
      </c>
      <c r="CF1968">
        <v>0.61</v>
      </c>
      <c r="CG1968">
        <v>1.0900000000000001</v>
      </c>
      <c r="CH1968">
        <v>-0.11</v>
      </c>
      <c r="CI1968">
        <v>0.81</v>
      </c>
      <c r="CJ1968">
        <v>13303</v>
      </c>
      <c r="CK1968">
        <v>4551</v>
      </c>
      <c r="CL1968" t="s">
        <v>9752</v>
      </c>
      <c r="CM1968">
        <v>117.54</v>
      </c>
      <c r="CN1968">
        <v>105.88</v>
      </c>
      <c r="CO1968">
        <v>4.3</v>
      </c>
      <c r="CP1968">
        <v>-404.65</v>
      </c>
      <c r="CQ1968">
        <v>12.37</v>
      </c>
      <c r="CR1968">
        <v>0.38</v>
      </c>
      <c r="CS1968" t="s">
        <v>335</v>
      </c>
      <c r="CT1968">
        <v>5.94</v>
      </c>
      <c r="CU1968">
        <v>5.94</v>
      </c>
      <c r="CV1968">
        <v>4.5</v>
      </c>
      <c r="CW1968">
        <v>0.63</v>
      </c>
      <c r="CX1968">
        <v>-0.06</v>
      </c>
      <c r="CY1968">
        <v>63.5</v>
      </c>
      <c r="CZ1968" t="s">
        <v>9753</v>
      </c>
      <c r="DA1968">
        <v>52.53</v>
      </c>
      <c r="DB1968">
        <v>20.61</v>
      </c>
      <c r="DC1968">
        <v>18.14</v>
      </c>
      <c r="DD1968">
        <v>0.33</v>
      </c>
      <c r="DE1968">
        <v>582</v>
      </c>
      <c r="DF1968">
        <v>300578</v>
      </c>
      <c r="DG1968" t="s">
        <v>116</v>
      </c>
      <c r="DH1968" t="s">
        <v>116</v>
      </c>
      <c r="DI1968" t="s">
        <v>116</v>
      </c>
    </row>
    <row r="1969" spans="1:113" x14ac:dyDescent="0.4">
      <c r="A1969" t="str">
        <f>"300579"</f>
        <v>300579</v>
      </c>
      <c r="B1969" t="s">
        <v>9754</v>
      </c>
      <c r="C1969">
        <v>-4.12</v>
      </c>
      <c r="D1969">
        <v>38.17</v>
      </c>
      <c r="E1969">
        <v>-1.64</v>
      </c>
      <c r="F1969">
        <v>38.159999999999997</v>
      </c>
      <c r="G1969">
        <v>38.17</v>
      </c>
      <c r="H1969">
        <v>41556</v>
      </c>
      <c r="I1969">
        <v>822</v>
      </c>
      <c r="J1969">
        <v>-0.2</v>
      </c>
      <c r="K1969">
        <v>4.8499999999999996</v>
      </c>
      <c r="L1969">
        <v>39.130000000000003</v>
      </c>
      <c r="M1969">
        <v>39.36</v>
      </c>
      <c r="N1969">
        <v>38.11</v>
      </c>
      <c r="O1969">
        <v>39.81</v>
      </c>
      <c r="P1969">
        <v>121.81</v>
      </c>
      <c r="Q1969">
        <v>161223232</v>
      </c>
      <c r="R1969">
        <v>0.87</v>
      </c>
      <c r="S1969" t="s">
        <v>607</v>
      </c>
      <c r="T1969" t="s">
        <v>165</v>
      </c>
      <c r="U1969">
        <v>3.14</v>
      </c>
      <c r="V1969">
        <v>38.799999999999997</v>
      </c>
      <c r="W1969">
        <v>25571</v>
      </c>
      <c r="X1969">
        <v>15985</v>
      </c>
      <c r="Y1969">
        <v>1.6</v>
      </c>
      <c r="Z1969">
        <v>68</v>
      </c>
      <c r="AA1969">
        <v>264</v>
      </c>
      <c r="AB1969" t="s">
        <v>116</v>
      </c>
      <c r="AC1969">
        <v>1991700</v>
      </c>
      <c r="AD1969">
        <v>7.0000000000000007E-2</v>
      </c>
      <c r="AE1969" t="s">
        <v>116</v>
      </c>
      <c r="AF1969" t="s">
        <v>116</v>
      </c>
      <c r="AG1969">
        <v>0.86</v>
      </c>
      <c r="AH1969" t="s">
        <v>799</v>
      </c>
      <c r="AI1969" t="s">
        <v>9755</v>
      </c>
      <c r="AJ1969">
        <v>-3.44</v>
      </c>
      <c r="AK1969">
        <v>2619</v>
      </c>
      <c r="AL1969">
        <v>16</v>
      </c>
      <c r="AM1969">
        <v>1.9E-3</v>
      </c>
      <c r="AN1969">
        <v>-2</v>
      </c>
      <c r="AO1969">
        <v>-1.93</v>
      </c>
      <c r="AP1969">
        <v>-4.57</v>
      </c>
      <c r="AQ1969">
        <v>-0.99</v>
      </c>
      <c r="AR1969">
        <v>154.02000000000001</v>
      </c>
      <c r="AS1969">
        <v>6.08</v>
      </c>
      <c r="AT1969" t="s">
        <v>5969</v>
      </c>
      <c r="AU1969">
        <v>76.69</v>
      </c>
      <c r="AV1969">
        <v>79.47</v>
      </c>
      <c r="AW1969">
        <v>1.41</v>
      </c>
      <c r="BA1969">
        <v>-1.71</v>
      </c>
      <c r="BB1969">
        <v>-1.1299999999999999</v>
      </c>
      <c r="BC1969">
        <v>-4.2699999999999996</v>
      </c>
      <c r="BD1969">
        <v>-2.54</v>
      </c>
      <c r="BE1969">
        <v>-2.4500000000000002</v>
      </c>
      <c r="BF1969">
        <v>-3.02</v>
      </c>
      <c r="BG1969">
        <v>0.16</v>
      </c>
      <c r="BH1969">
        <v>-1.57</v>
      </c>
      <c r="BI1969">
        <v>20191220</v>
      </c>
      <c r="BJ1969">
        <v>20161223</v>
      </c>
      <c r="BK1969">
        <v>1.8</v>
      </c>
      <c r="BL1969" t="s">
        <v>116</v>
      </c>
      <c r="BM1969" t="s">
        <v>116</v>
      </c>
      <c r="BN1969">
        <v>11.47</v>
      </c>
      <c r="BO1969">
        <v>6.23</v>
      </c>
      <c r="BP1969">
        <v>0</v>
      </c>
      <c r="BQ1969">
        <v>45.73</v>
      </c>
      <c r="BR1969">
        <v>10.31</v>
      </c>
      <c r="BS1969">
        <v>0.22</v>
      </c>
      <c r="BT1969">
        <v>0.1</v>
      </c>
      <c r="BU1969">
        <v>5.12</v>
      </c>
      <c r="BV1969">
        <v>2.0499999999999998</v>
      </c>
      <c r="BW1969">
        <v>2.84</v>
      </c>
      <c r="BX1969">
        <v>1.47</v>
      </c>
      <c r="BY1969">
        <v>4.04</v>
      </c>
      <c r="BZ1969">
        <v>1.53</v>
      </c>
      <c r="CA1969">
        <v>0.48</v>
      </c>
      <c r="CB1969">
        <v>0.05</v>
      </c>
      <c r="CC1969">
        <v>0.48</v>
      </c>
      <c r="CD1969">
        <v>0.42</v>
      </c>
      <c r="CE1969">
        <v>0.42</v>
      </c>
      <c r="CF1969">
        <v>0.34</v>
      </c>
      <c r="CG1969">
        <v>2.64</v>
      </c>
      <c r="CH1969">
        <v>-1.51</v>
      </c>
      <c r="CI1969">
        <v>-4.5599999999999996</v>
      </c>
      <c r="CJ1969">
        <v>15900</v>
      </c>
      <c r="CK1969">
        <v>4297</v>
      </c>
      <c r="CL1969" t="s">
        <v>3520</v>
      </c>
      <c r="CM1969">
        <v>8.02</v>
      </c>
      <c r="CN1969">
        <v>23.78</v>
      </c>
      <c r="CO1969">
        <v>11.03</v>
      </c>
      <c r="CP1969">
        <v>-45.49</v>
      </c>
      <c r="CQ1969">
        <v>17.02</v>
      </c>
      <c r="CR1969">
        <v>0.35</v>
      </c>
      <c r="CS1969" t="s">
        <v>8523</v>
      </c>
      <c r="CT1969">
        <v>3.46</v>
      </c>
      <c r="CU1969">
        <v>0</v>
      </c>
      <c r="CV1969">
        <v>0.81</v>
      </c>
      <c r="CW1969">
        <v>1.47</v>
      </c>
      <c r="CX1969">
        <v>-0.84</v>
      </c>
      <c r="CY1969">
        <v>54.27</v>
      </c>
      <c r="CZ1969" t="s">
        <v>1659</v>
      </c>
      <c r="DA1969">
        <v>62.05</v>
      </c>
      <c r="DB1969">
        <v>11.91</v>
      </c>
      <c r="DC1969">
        <v>10.48</v>
      </c>
      <c r="DD1969">
        <v>1.01</v>
      </c>
      <c r="DE1969">
        <v>1172</v>
      </c>
      <c r="DF1969">
        <v>300579</v>
      </c>
      <c r="DG1969" t="s">
        <v>116</v>
      </c>
      <c r="DH1969" t="s">
        <v>116</v>
      </c>
      <c r="DI1969" t="s">
        <v>116</v>
      </c>
    </row>
    <row r="1970" spans="1:113" x14ac:dyDescent="0.4">
      <c r="A1970" t="str">
        <f>"300580"</f>
        <v>300580</v>
      </c>
      <c r="B1970" t="s">
        <v>9756</v>
      </c>
      <c r="C1970">
        <v>-1.31</v>
      </c>
      <c r="D1970">
        <v>15.12</v>
      </c>
      <c r="E1970">
        <v>-0.2</v>
      </c>
      <c r="F1970">
        <v>15.11</v>
      </c>
      <c r="G1970">
        <v>15.12</v>
      </c>
      <c r="H1970">
        <v>24397</v>
      </c>
      <c r="I1970">
        <v>264</v>
      </c>
      <c r="J1970">
        <v>0.27</v>
      </c>
      <c r="K1970">
        <v>3.69</v>
      </c>
      <c r="L1970">
        <v>15.37</v>
      </c>
      <c r="M1970">
        <v>15.42</v>
      </c>
      <c r="N1970">
        <v>15.07</v>
      </c>
      <c r="O1970">
        <v>15.32</v>
      </c>
      <c r="P1970">
        <v>19.38</v>
      </c>
      <c r="Q1970">
        <v>37191660</v>
      </c>
      <c r="R1970">
        <v>1.22</v>
      </c>
      <c r="S1970" t="s">
        <v>293</v>
      </c>
      <c r="T1970" t="s">
        <v>323</v>
      </c>
      <c r="U1970">
        <v>2.2799999999999998</v>
      </c>
      <c r="V1970">
        <v>15.24</v>
      </c>
      <c r="W1970">
        <v>14228</v>
      </c>
      <c r="X1970">
        <v>10169</v>
      </c>
      <c r="Y1970">
        <v>1.4</v>
      </c>
      <c r="Z1970">
        <v>10</v>
      </c>
      <c r="AA1970">
        <v>196</v>
      </c>
      <c r="AB1970" t="s">
        <v>116</v>
      </c>
      <c r="AC1970">
        <v>422700</v>
      </c>
      <c r="AD1970">
        <v>0.05</v>
      </c>
      <c r="AE1970" t="s">
        <v>116</v>
      </c>
      <c r="AF1970" t="s">
        <v>116</v>
      </c>
      <c r="AG1970">
        <v>0.66</v>
      </c>
      <c r="AH1970" t="s">
        <v>9511</v>
      </c>
      <c r="AI1970" t="s">
        <v>9757</v>
      </c>
      <c r="AJ1970">
        <v>-0.63</v>
      </c>
      <c r="AK1970">
        <v>1021</v>
      </c>
      <c r="AL1970">
        <v>24</v>
      </c>
      <c r="AM1970">
        <v>3.5999999999999999E-3</v>
      </c>
      <c r="AN1970">
        <v>-1</v>
      </c>
      <c r="AO1970">
        <v>-0.59</v>
      </c>
      <c r="AP1970">
        <v>9.33</v>
      </c>
      <c r="AQ1970">
        <v>-2.77</v>
      </c>
      <c r="AR1970">
        <v>17.760000000000002</v>
      </c>
      <c r="AS1970">
        <v>4.08</v>
      </c>
      <c r="AT1970" t="s">
        <v>9758</v>
      </c>
      <c r="AU1970">
        <v>18.32</v>
      </c>
      <c r="AV1970">
        <v>19.05</v>
      </c>
      <c r="AW1970">
        <v>1.1200000000000001</v>
      </c>
      <c r="BA1970">
        <v>0.33</v>
      </c>
      <c r="BB1970">
        <v>0.65</v>
      </c>
      <c r="BC1970">
        <v>-1.63</v>
      </c>
      <c r="BD1970">
        <v>-0.49</v>
      </c>
      <c r="BE1970">
        <v>-1.63</v>
      </c>
      <c r="BF1970">
        <v>-1.95</v>
      </c>
      <c r="BG1970">
        <v>0.33</v>
      </c>
      <c r="BH1970">
        <v>-0.81</v>
      </c>
      <c r="BI1970">
        <v>20191030</v>
      </c>
      <c r="BJ1970">
        <v>20170111</v>
      </c>
      <c r="BK1970">
        <v>2</v>
      </c>
      <c r="BL1970" t="s">
        <v>116</v>
      </c>
      <c r="BM1970" t="s">
        <v>116</v>
      </c>
      <c r="BN1970">
        <v>17.489999999999998</v>
      </c>
      <c r="BO1970">
        <v>14.69</v>
      </c>
      <c r="BP1970">
        <v>0</v>
      </c>
      <c r="BQ1970">
        <v>15.98</v>
      </c>
      <c r="BR1970">
        <v>7.48</v>
      </c>
      <c r="BS1970">
        <v>6.25</v>
      </c>
      <c r="BT1970">
        <v>1.1599999999999999</v>
      </c>
      <c r="BU1970">
        <v>2.37</v>
      </c>
      <c r="BV1970">
        <v>2.1</v>
      </c>
      <c r="BW1970">
        <v>3.16</v>
      </c>
      <c r="BX1970">
        <v>6.81</v>
      </c>
      <c r="BY1970">
        <v>5.66</v>
      </c>
      <c r="BZ1970">
        <v>3.45</v>
      </c>
      <c r="CA1970">
        <v>1.34</v>
      </c>
      <c r="CB1970">
        <v>7.0000000000000007E-2</v>
      </c>
      <c r="CC1970">
        <v>1.34</v>
      </c>
      <c r="CD1970">
        <v>1.17</v>
      </c>
      <c r="CE1970">
        <v>1.17</v>
      </c>
      <c r="CF1970">
        <v>1.06</v>
      </c>
      <c r="CG1970">
        <v>5.27</v>
      </c>
      <c r="CH1970">
        <v>0.89</v>
      </c>
      <c r="CI1970">
        <v>-0.03</v>
      </c>
      <c r="CJ1970">
        <v>17665</v>
      </c>
      <c r="CK1970">
        <v>3386</v>
      </c>
      <c r="CL1970" t="s">
        <v>5929</v>
      </c>
      <c r="CM1970">
        <v>5.72</v>
      </c>
      <c r="CN1970">
        <v>5.66</v>
      </c>
      <c r="CO1970">
        <v>2.06</v>
      </c>
      <c r="CP1970">
        <v>34.049999999999997</v>
      </c>
      <c r="CQ1970">
        <v>5.34</v>
      </c>
      <c r="CR1970">
        <v>1.06</v>
      </c>
      <c r="CS1970" t="s">
        <v>9759</v>
      </c>
      <c r="CT1970">
        <v>7.35</v>
      </c>
      <c r="CU1970">
        <v>0</v>
      </c>
      <c r="CV1970">
        <v>3.4</v>
      </c>
      <c r="CW1970">
        <v>2.64</v>
      </c>
      <c r="CX1970">
        <v>0.44</v>
      </c>
      <c r="CY1970">
        <v>84.02</v>
      </c>
      <c r="CZ1970" t="s">
        <v>9760</v>
      </c>
      <c r="DA1970">
        <v>38.94</v>
      </c>
      <c r="DB1970">
        <v>23.61</v>
      </c>
      <c r="DC1970">
        <v>20.68</v>
      </c>
      <c r="DD1970">
        <v>0.24</v>
      </c>
      <c r="DE1970">
        <v>1107</v>
      </c>
      <c r="DF1970">
        <v>300580</v>
      </c>
      <c r="DG1970" t="s">
        <v>116</v>
      </c>
      <c r="DH1970" t="s">
        <v>116</v>
      </c>
      <c r="DI1970" t="s">
        <v>116</v>
      </c>
    </row>
    <row r="1971" spans="1:113" x14ac:dyDescent="0.4">
      <c r="A1971" t="str">
        <f>"300581"</f>
        <v>300581</v>
      </c>
      <c r="B1971" t="s">
        <v>9761</v>
      </c>
      <c r="C1971">
        <v>-0.38</v>
      </c>
      <c r="D1971">
        <v>15.69</v>
      </c>
      <c r="E1971">
        <v>-0.06</v>
      </c>
      <c r="F1971">
        <v>15.68</v>
      </c>
      <c r="G1971">
        <v>15.69</v>
      </c>
      <c r="H1971">
        <v>35629</v>
      </c>
      <c r="I1971">
        <v>393</v>
      </c>
      <c r="J1971">
        <v>-0.05</v>
      </c>
      <c r="K1971">
        <v>2.0699999999999998</v>
      </c>
      <c r="L1971">
        <v>15.78</v>
      </c>
      <c r="M1971">
        <v>16.010000000000002</v>
      </c>
      <c r="N1971">
        <v>15.64</v>
      </c>
      <c r="O1971">
        <v>15.75</v>
      </c>
      <c r="P1971">
        <v>71.22</v>
      </c>
      <c r="Q1971">
        <v>56520524</v>
      </c>
      <c r="R1971">
        <v>1.22</v>
      </c>
      <c r="S1971" t="s">
        <v>1789</v>
      </c>
      <c r="T1971" t="s">
        <v>913</v>
      </c>
      <c r="U1971">
        <v>2.35</v>
      </c>
      <c r="V1971">
        <v>15.86</v>
      </c>
      <c r="W1971">
        <v>17301</v>
      </c>
      <c r="X1971">
        <v>18328</v>
      </c>
      <c r="Y1971">
        <v>0.94</v>
      </c>
      <c r="Z1971">
        <v>42</v>
      </c>
      <c r="AA1971">
        <v>135</v>
      </c>
      <c r="AB1971" t="s">
        <v>116</v>
      </c>
      <c r="AC1971">
        <v>273000</v>
      </c>
      <c r="AD1971">
        <v>0.03</v>
      </c>
      <c r="AE1971" t="s">
        <v>116</v>
      </c>
      <c r="AF1971" t="s">
        <v>116</v>
      </c>
      <c r="AG1971">
        <v>1.72</v>
      </c>
      <c r="AH1971" t="s">
        <v>4432</v>
      </c>
      <c r="AI1971" t="s">
        <v>4432</v>
      </c>
      <c r="AJ1971">
        <v>0.3</v>
      </c>
      <c r="AK1971">
        <v>1870</v>
      </c>
      <c r="AL1971">
        <v>19</v>
      </c>
      <c r="AM1971">
        <v>1.1000000000000001E-3</v>
      </c>
      <c r="AN1971">
        <v>-2</v>
      </c>
      <c r="AO1971">
        <v>-0.26</v>
      </c>
      <c r="AP1971">
        <v>4.5999999999999996</v>
      </c>
      <c r="AQ1971">
        <v>-22.4</v>
      </c>
      <c r="AR1971">
        <v>30.06</v>
      </c>
      <c r="AS1971">
        <v>5.97</v>
      </c>
      <c r="AT1971" t="s">
        <v>7132</v>
      </c>
      <c r="AU1971">
        <v>44.27</v>
      </c>
      <c r="AV1971">
        <v>41.72</v>
      </c>
      <c r="AW1971">
        <v>0.97</v>
      </c>
      <c r="BA1971">
        <v>0.19</v>
      </c>
      <c r="BB1971">
        <v>1.65</v>
      </c>
      <c r="BC1971">
        <v>-0.7</v>
      </c>
      <c r="BD1971">
        <v>0.72</v>
      </c>
      <c r="BE1971">
        <v>-0.56999999999999995</v>
      </c>
      <c r="BF1971">
        <v>-2</v>
      </c>
      <c r="BG1971">
        <v>0.32</v>
      </c>
      <c r="BH1971">
        <v>-1.1000000000000001</v>
      </c>
      <c r="BI1971">
        <v>20191224</v>
      </c>
      <c r="BJ1971">
        <v>20161220</v>
      </c>
      <c r="BK1971">
        <v>1.72</v>
      </c>
      <c r="BL1971" t="s">
        <v>116</v>
      </c>
      <c r="BM1971" t="s">
        <v>116</v>
      </c>
      <c r="BN1971">
        <v>7.78</v>
      </c>
      <c r="BO1971">
        <v>6.42</v>
      </c>
      <c r="BP1971">
        <v>0</v>
      </c>
      <c r="BQ1971">
        <v>17.46</v>
      </c>
      <c r="BR1971">
        <v>6.49</v>
      </c>
      <c r="BS1971">
        <v>0.49</v>
      </c>
      <c r="BT1971">
        <v>0.24</v>
      </c>
      <c r="BU1971">
        <v>1.32</v>
      </c>
      <c r="BV1971">
        <v>2.0299999999999998</v>
      </c>
      <c r="BW1971">
        <v>2.42</v>
      </c>
      <c r="BX1971">
        <v>1.45</v>
      </c>
      <c r="BY1971">
        <v>1.4</v>
      </c>
      <c r="BZ1971">
        <v>0.79</v>
      </c>
      <c r="CA1971">
        <v>0.24</v>
      </c>
      <c r="CB1971">
        <v>0.01</v>
      </c>
      <c r="CC1971">
        <v>0.32</v>
      </c>
      <c r="CD1971">
        <v>0.28000000000000003</v>
      </c>
      <c r="CE1971">
        <v>0.28000000000000003</v>
      </c>
      <c r="CF1971">
        <v>0.2</v>
      </c>
      <c r="CG1971">
        <v>2.8</v>
      </c>
      <c r="CH1971">
        <v>-0.43</v>
      </c>
      <c r="CI1971">
        <v>-0.45</v>
      </c>
      <c r="CJ1971">
        <v>15000</v>
      </c>
      <c r="CK1971">
        <v>3977</v>
      </c>
      <c r="CL1971" t="s">
        <v>7025</v>
      </c>
      <c r="CM1971">
        <v>-11.59</v>
      </c>
      <c r="CN1971">
        <v>66.790000000000006</v>
      </c>
      <c r="CO1971">
        <v>4.2</v>
      </c>
      <c r="CP1971">
        <v>-63.18</v>
      </c>
      <c r="CQ1971">
        <v>19.23</v>
      </c>
      <c r="CR1971">
        <v>0.48</v>
      </c>
      <c r="CS1971" t="s">
        <v>1025</v>
      </c>
      <c r="CT1971">
        <v>3.74</v>
      </c>
      <c r="CU1971">
        <v>0</v>
      </c>
      <c r="CV1971">
        <v>0.84</v>
      </c>
      <c r="CW1971">
        <v>1.63</v>
      </c>
      <c r="CX1971">
        <v>-0.25</v>
      </c>
      <c r="CY1971">
        <v>82.54</v>
      </c>
      <c r="CZ1971" t="s">
        <v>9762</v>
      </c>
      <c r="DA1971">
        <v>43.93</v>
      </c>
      <c r="DB1971">
        <v>17.29</v>
      </c>
      <c r="DC1971">
        <v>20.25</v>
      </c>
      <c r="DD1971">
        <v>0.14000000000000001</v>
      </c>
      <c r="DE1971">
        <v>336</v>
      </c>
      <c r="DF1971">
        <v>300581</v>
      </c>
      <c r="DG1971" t="s">
        <v>116</v>
      </c>
      <c r="DH1971" t="s">
        <v>116</v>
      </c>
      <c r="DI1971" t="s">
        <v>116</v>
      </c>
    </row>
    <row r="1972" spans="1:113" x14ac:dyDescent="0.4">
      <c r="A1972" t="str">
        <f>"300582"</f>
        <v>300582</v>
      </c>
      <c r="B1972" t="s">
        <v>9763</v>
      </c>
      <c r="C1972">
        <v>-2.84</v>
      </c>
      <c r="D1972">
        <v>11.3</v>
      </c>
      <c r="E1972">
        <v>-0.33</v>
      </c>
      <c r="F1972">
        <v>11.29</v>
      </c>
      <c r="G1972">
        <v>11.3</v>
      </c>
      <c r="H1972">
        <v>37267</v>
      </c>
      <c r="I1972">
        <v>253</v>
      </c>
      <c r="J1972">
        <v>0.44</v>
      </c>
      <c r="K1972">
        <v>2.86</v>
      </c>
      <c r="L1972">
        <v>11.59</v>
      </c>
      <c r="M1972">
        <v>11.66</v>
      </c>
      <c r="N1972">
        <v>11.23</v>
      </c>
      <c r="O1972">
        <v>11.63</v>
      </c>
      <c r="P1972">
        <v>26.13</v>
      </c>
      <c r="Q1972">
        <v>42623584</v>
      </c>
      <c r="R1972">
        <v>1.1200000000000001</v>
      </c>
      <c r="S1972" t="s">
        <v>3507</v>
      </c>
      <c r="T1972" t="s">
        <v>590</v>
      </c>
      <c r="U1972">
        <v>3.7</v>
      </c>
      <c r="V1972">
        <v>11.44</v>
      </c>
      <c r="W1972">
        <v>24615</v>
      </c>
      <c r="X1972">
        <v>12652</v>
      </c>
      <c r="Y1972">
        <v>1.95</v>
      </c>
      <c r="Z1972">
        <v>20</v>
      </c>
      <c r="AA1972">
        <v>47</v>
      </c>
      <c r="AB1972" t="s">
        <v>116</v>
      </c>
      <c r="AC1972">
        <v>76500</v>
      </c>
      <c r="AD1972">
        <v>0.01</v>
      </c>
      <c r="AE1972" t="s">
        <v>116</v>
      </c>
      <c r="AF1972" t="s">
        <v>116</v>
      </c>
      <c r="AG1972">
        <v>1.3</v>
      </c>
      <c r="AH1972" t="s">
        <v>6583</v>
      </c>
      <c r="AI1972" t="s">
        <v>1193</v>
      </c>
      <c r="AJ1972">
        <v>-2.16</v>
      </c>
      <c r="AK1972">
        <v>1345</v>
      </c>
      <c r="AL1972">
        <v>28</v>
      </c>
      <c r="AM1972">
        <v>2.0999999999999999E-3</v>
      </c>
      <c r="AN1972">
        <v>-1</v>
      </c>
      <c r="AO1972">
        <v>-0.62</v>
      </c>
      <c r="AP1972">
        <v>11.88</v>
      </c>
      <c r="AQ1972">
        <v>0.98</v>
      </c>
      <c r="AR1972">
        <v>13.42</v>
      </c>
      <c r="AS1972">
        <v>4.1399999999999997</v>
      </c>
      <c r="AT1972" t="s">
        <v>7276</v>
      </c>
      <c r="AU1972">
        <v>27.23</v>
      </c>
      <c r="AV1972">
        <v>31.83</v>
      </c>
      <c r="AW1972">
        <v>1.51</v>
      </c>
      <c r="BA1972">
        <v>-0.34</v>
      </c>
      <c r="BB1972">
        <v>0.26</v>
      </c>
      <c r="BC1972">
        <v>-3.44</v>
      </c>
      <c r="BD1972">
        <v>-1.66</v>
      </c>
      <c r="BE1972">
        <v>-2.5</v>
      </c>
      <c r="BF1972">
        <v>-3.09</v>
      </c>
      <c r="BG1972">
        <v>0.62</v>
      </c>
      <c r="BH1972">
        <v>-1.18</v>
      </c>
      <c r="BI1972">
        <v>20191227</v>
      </c>
      <c r="BJ1972">
        <v>20161228</v>
      </c>
      <c r="BK1972">
        <v>1.98</v>
      </c>
      <c r="BL1972" t="s">
        <v>116</v>
      </c>
      <c r="BM1972" t="s">
        <v>116</v>
      </c>
      <c r="BN1972">
        <v>16.29</v>
      </c>
      <c r="BO1972">
        <v>10.32</v>
      </c>
      <c r="BP1972">
        <v>0</v>
      </c>
      <c r="BQ1972">
        <v>36.61</v>
      </c>
      <c r="BR1972">
        <v>5.79</v>
      </c>
      <c r="BS1972">
        <v>4.7699999999999996</v>
      </c>
      <c r="BT1972">
        <v>0.8</v>
      </c>
      <c r="BU1972">
        <v>4.82</v>
      </c>
      <c r="BV1972">
        <v>1.27</v>
      </c>
      <c r="BW1972">
        <v>1.94</v>
      </c>
      <c r="BX1972">
        <v>4.96</v>
      </c>
      <c r="BY1972">
        <v>7.19</v>
      </c>
      <c r="BZ1972">
        <v>4.49</v>
      </c>
      <c r="CA1972">
        <v>0.77</v>
      </c>
      <c r="CB1972">
        <v>0</v>
      </c>
      <c r="CC1972">
        <v>0.77</v>
      </c>
      <c r="CD1972">
        <v>0.64</v>
      </c>
      <c r="CE1972">
        <v>0.64</v>
      </c>
      <c r="CF1972">
        <v>0.61</v>
      </c>
      <c r="CG1972">
        <v>3.2</v>
      </c>
      <c r="CH1972">
        <v>0.89</v>
      </c>
      <c r="CI1972">
        <v>-0.48</v>
      </c>
      <c r="CJ1972">
        <v>16405</v>
      </c>
      <c r="CK1972">
        <v>5493</v>
      </c>
      <c r="CL1972" t="s">
        <v>6652</v>
      </c>
      <c r="CM1972">
        <v>22.71</v>
      </c>
      <c r="CN1972">
        <v>2.91</v>
      </c>
      <c r="CO1972">
        <v>2.17</v>
      </c>
      <c r="CP1972">
        <v>25.14</v>
      </c>
      <c r="CQ1972">
        <v>3.11</v>
      </c>
      <c r="CR1972">
        <v>0.4</v>
      </c>
      <c r="CS1972" t="s">
        <v>2343</v>
      </c>
      <c r="CT1972">
        <v>5.21</v>
      </c>
      <c r="CU1972">
        <v>0</v>
      </c>
      <c r="CV1972">
        <v>2.5</v>
      </c>
      <c r="CW1972">
        <v>1.61</v>
      </c>
      <c r="CX1972">
        <v>0.45</v>
      </c>
      <c r="CY1972">
        <v>63.39</v>
      </c>
      <c r="CZ1972" t="s">
        <v>6687</v>
      </c>
      <c r="DA1972">
        <v>37.56</v>
      </c>
      <c r="DB1972">
        <v>10.74</v>
      </c>
      <c r="DC1972">
        <v>8.94</v>
      </c>
      <c r="DD1972">
        <v>0.5</v>
      </c>
      <c r="DE1972">
        <v>1042</v>
      </c>
      <c r="DF1972">
        <v>300582</v>
      </c>
      <c r="DG1972" t="s">
        <v>116</v>
      </c>
      <c r="DH1972" t="s">
        <v>116</v>
      </c>
      <c r="DI1972" t="s">
        <v>116</v>
      </c>
    </row>
    <row r="1973" spans="1:113" x14ac:dyDescent="0.4">
      <c r="A1973" t="str">
        <f>"300583"</f>
        <v>300583</v>
      </c>
      <c r="B1973" t="s">
        <v>9764</v>
      </c>
      <c r="C1973">
        <v>3.41</v>
      </c>
      <c r="D1973">
        <v>34.85</v>
      </c>
      <c r="E1973">
        <v>1.1499999999999999</v>
      </c>
      <c r="F1973">
        <v>34.83</v>
      </c>
      <c r="G1973">
        <v>34.85</v>
      </c>
      <c r="H1973">
        <v>25611</v>
      </c>
      <c r="I1973">
        <v>351</v>
      </c>
      <c r="J1973">
        <v>0.35</v>
      </c>
      <c r="K1973">
        <v>7.42</v>
      </c>
      <c r="L1973">
        <v>33.35</v>
      </c>
      <c r="M1973">
        <v>35.35</v>
      </c>
      <c r="N1973">
        <v>33.35</v>
      </c>
      <c r="O1973">
        <v>33.700000000000003</v>
      </c>
      <c r="P1973">
        <v>33.85</v>
      </c>
      <c r="Q1973">
        <v>88064088</v>
      </c>
      <c r="R1973">
        <v>3.05</v>
      </c>
      <c r="S1973" t="s">
        <v>132</v>
      </c>
      <c r="T1973" t="s">
        <v>645</v>
      </c>
      <c r="U1973">
        <v>5.93</v>
      </c>
      <c r="V1973">
        <v>34.380000000000003</v>
      </c>
      <c r="W1973">
        <v>11787</v>
      </c>
      <c r="X1973">
        <v>13824</v>
      </c>
      <c r="Y1973">
        <v>0.85</v>
      </c>
      <c r="Z1973">
        <v>3</v>
      </c>
      <c r="AA1973">
        <v>218</v>
      </c>
      <c r="AB1973" t="s">
        <v>116</v>
      </c>
      <c r="AC1973">
        <v>243500</v>
      </c>
      <c r="AD1973">
        <v>0.02</v>
      </c>
      <c r="AE1973" t="s">
        <v>116</v>
      </c>
      <c r="AF1973" t="s">
        <v>116</v>
      </c>
      <c r="AG1973">
        <v>0.35</v>
      </c>
      <c r="AH1973" t="s">
        <v>9765</v>
      </c>
      <c r="AI1973" t="s">
        <v>9370</v>
      </c>
      <c r="AJ1973">
        <v>4.09</v>
      </c>
      <c r="AK1973">
        <v>1449</v>
      </c>
      <c r="AL1973">
        <v>18</v>
      </c>
      <c r="AM1973">
        <v>5.1000000000000004E-3</v>
      </c>
      <c r="AN1973">
        <v>3</v>
      </c>
      <c r="AO1973">
        <v>7.13</v>
      </c>
      <c r="AP1973">
        <v>9.25</v>
      </c>
      <c r="AQ1973">
        <v>11.7</v>
      </c>
      <c r="AR1973">
        <v>5.57</v>
      </c>
      <c r="AS1973">
        <v>7.42</v>
      </c>
      <c r="AT1973" t="s">
        <v>9765</v>
      </c>
      <c r="AU1973">
        <v>33.96</v>
      </c>
      <c r="AV1973">
        <v>29.61</v>
      </c>
      <c r="AW1973">
        <v>0.6</v>
      </c>
      <c r="BA1973">
        <v>-1.04</v>
      </c>
      <c r="BB1973">
        <v>4.9000000000000004</v>
      </c>
      <c r="BC1973">
        <v>-1.04</v>
      </c>
      <c r="BD1973">
        <v>2.0299999999999998</v>
      </c>
      <c r="BE1973">
        <v>4.5</v>
      </c>
      <c r="BF1973">
        <v>-1.41</v>
      </c>
      <c r="BG1973">
        <v>4.5</v>
      </c>
      <c r="BH1973">
        <v>1.38</v>
      </c>
      <c r="BI1973">
        <v>20191202</v>
      </c>
      <c r="BJ1973">
        <v>20170106</v>
      </c>
      <c r="BK1973">
        <v>1.08</v>
      </c>
      <c r="BL1973" t="s">
        <v>116</v>
      </c>
      <c r="BM1973" t="s">
        <v>116</v>
      </c>
      <c r="BN1973">
        <v>29.56</v>
      </c>
      <c r="BO1973">
        <v>18.66</v>
      </c>
      <c r="BP1973">
        <v>0.53</v>
      </c>
      <c r="BQ1973">
        <v>35.1</v>
      </c>
      <c r="BR1973">
        <v>15.74</v>
      </c>
      <c r="BS1973">
        <v>5.42</v>
      </c>
      <c r="BT1973">
        <v>1.46</v>
      </c>
      <c r="BU1973">
        <v>9.4600000000000009</v>
      </c>
      <c r="BV1973">
        <v>6.75</v>
      </c>
      <c r="BW1973">
        <v>2.1800000000000002</v>
      </c>
      <c r="BX1973">
        <v>11.49</v>
      </c>
      <c r="BY1973">
        <v>7.87</v>
      </c>
      <c r="BZ1973">
        <v>5.84</v>
      </c>
      <c r="CA1973">
        <v>0.97</v>
      </c>
      <c r="CB1973">
        <v>0.11</v>
      </c>
      <c r="CC1973">
        <v>0.97</v>
      </c>
      <c r="CD1973">
        <v>0.82</v>
      </c>
      <c r="CE1973">
        <v>0.83</v>
      </c>
      <c r="CF1973">
        <v>0.72</v>
      </c>
      <c r="CG1973">
        <v>5.74</v>
      </c>
      <c r="CH1973">
        <v>0.81</v>
      </c>
      <c r="CI1973">
        <v>0.56000000000000005</v>
      </c>
      <c r="CJ1973">
        <v>14817</v>
      </c>
      <c r="CK1973">
        <v>2329</v>
      </c>
      <c r="CL1973" t="s">
        <v>8364</v>
      </c>
      <c r="CM1973">
        <v>-16.32</v>
      </c>
      <c r="CN1973">
        <v>-7.12</v>
      </c>
      <c r="CO1973">
        <v>2.0099999999999998</v>
      </c>
      <c r="CP1973">
        <v>46.53</v>
      </c>
      <c r="CQ1973">
        <v>4.7699999999999996</v>
      </c>
      <c r="CR1973">
        <v>0.4</v>
      </c>
      <c r="CS1973" t="s">
        <v>320</v>
      </c>
      <c r="CT1973">
        <v>17.309999999999999</v>
      </c>
      <c r="CU1973">
        <v>0</v>
      </c>
      <c r="CV1973">
        <v>10.66</v>
      </c>
      <c r="CW1973">
        <v>5.33</v>
      </c>
      <c r="CX1973">
        <v>0.75</v>
      </c>
      <c r="CY1973">
        <v>63.11</v>
      </c>
      <c r="CZ1973" t="s">
        <v>1832</v>
      </c>
      <c r="DA1973">
        <v>25.81</v>
      </c>
      <c r="DB1973">
        <v>12.29</v>
      </c>
      <c r="DC1973">
        <v>10.58</v>
      </c>
      <c r="DD1973">
        <v>0.31</v>
      </c>
      <c r="DE1973">
        <v>686</v>
      </c>
      <c r="DF1973">
        <v>300583</v>
      </c>
      <c r="DG1973" t="s">
        <v>116</v>
      </c>
      <c r="DH1973" t="s">
        <v>116</v>
      </c>
      <c r="DI1973" t="s">
        <v>116</v>
      </c>
    </row>
    <row r="1974" spans="1:113" x14ac:dyDescent="0.4">
      <c r="A1974" t="str">
        <f>"300584"</f>
        <v>300584</v>
      </c>
      <c r="B1974" t="s">
        <v>9766</v>
      </c>
      <c r="C1974">
        <v>1.07</v>
      </c>
      <c r="D1974">
        <v>27.39</v>
      </c>
      <c r="E1974">
        <v>0.28999999999999998</v>
      </c>
      <c r="F1974">
        <v>27.37</v>
      </c>
      <c r="G1974">
        <v>27.39</v>
      </c>
      <c r="H1974">
        <v>10607</v>
      </c>
      <c r="I1974">
        <v>80</v>
      </c>
      <c r="J1974">
        <v>0.18</v>
      </c>
      <c r="K1974">
        <v>2.21</v>
      </c>
      <c r="L1974">
        <v>27.21</v>
      </c>
      <c r="M1974">
        <v>27.7</v>
      </c>
      <c r="N1974">
        <v>27.06</v>
      </c>
      <c r="O1974">
        <v>27.1</v>
      </c>
      <c r="P1974">
        <v>31.82</v>
      </c>
      <c r="Q1974">
        <v>29107968</v>
      </c>
      <c r="R1974">
        <v>1.38</v>
      </c>
      <c r="S1974" t="s">
        <v>574</v>
      </c>
      <c r="T1974" t="s">
        <v>323</v>
      </c>
      <c r="U1974">
        <v>2.36</v>
      </c>
      <c r="V1974">
        <v>27.44</v>
      </c>
      <c r="W1974">
        <v>5650</v>
      </c>
      <c r="X1974">
        <v>4957</v>
      </c>
      <c r="Y1974">
        <v>1.1399999999999999</v>
      </c>
      <c r="Z1974">
        <v>22</v>
      </c>
      <c r="AA1974">
        <v>90</v>
      </c>
      <c r="AB1974" t="s">
        <v>116</v>
      </c>
      <c r="AC1974">
        <v>21800</v>
      </c>
      <c r="AD1974">
        <v>0</v>
      </c>
      <c r="AE1974" t="s">
        <v>116</v>
      </c>
      <c r="AF1974" t="s">
        <v>116</v>
      </c>
      <c r="AG1974">
        <v>0.48</v>
      </c>
      <c r="AH1974" t="s">
        <v>9767</v>
      </c>
      <c r="AI1974" t="s">
        <v>9768</v>
      </c>
      <c r="AJ1974">
        <v>1.75</v>
      </c>
      <c r="AK1974">
        <v>1030</v>
      </c>
      <c r="AL1974">
        <v>10</v>
      </c>
      <c r="AM1974">
        <v>2.0999999999999999E-3</v>
      </c>
      <c r="AN1974">
        <v>2</v>
      </c>
      <c r="AO1974">
        <v>0.77</v>
      </c>
      <c r="AP1974">
        <v>1.75</v>
      </c>
      <c r="AQ1974">
        <v>-8.6999999999999993</v>
      </c>
      <c r="AR1974">
        <v>14.41</v>
      </c>
      <c r="AS1974">
        <v>2.2999999999999998</v>
      </c>
      <c r="AT1974" t="s">
        <v>8591</v>
      </c>
      <c r="AU1974">
        <v>33.409999999999997</v>
      </c>
      <c r="AV1974">
        <v>39.49</v>
      </c>
      <c r="AW1974">
        <v>1.35</v>
      </c>
      <c r="BA1974">
        <v>0.41</v>
      </c>
      <c r="BB1974">
        <v>2.21</v>
      </c>
      <c r="BC1974">
        <v>-0.15</v>
      </c>
      <c r="BD1974">
        <v>1.27</v>
      </c>
      <c r="BE1974">
        <v>0.66</v>
      </c>
      <c r="BF1974">
        <v>-1.1200000000000001</v>
      </c>
      <c r="BG1974">
        <v>1.22</v>
      </c>
      <c r="BH1974">
        <v>-0.2</v>
      </c>
      <c r="BI1974">
        <v>20191023</v>
      </c>
      <c r="BJ1974">
        <v>20170112</v>
      </c>
      <c r="BK1974">
        <v>1.2</v>
      </c>
      <c r="BL1974" t="s">
        <v>116</v>
      </c>
      <c r="BM1974" t="s">
        <v>116</v>
      </c>
      <c r="BN1974">
        <v>8.31</v>
      </c>
      <c r="BO1974">
        <v>6.34</v>
      </c>
      <c r="BP1974">
        <v>0</v>
      </c>
      <c r="BQ1974">
        <v>23.6</v>
      </c>
      <c r="BR1974">
        <v>3.1</v>
      </c>
      <c r="BS1974">
        <v>3</v>
      </c>
      <c r="BT1974">
        <v>0.22</v>
      </c>
      <c r="BU1974">
        <v>1.86</v>
      </c>
      <c r="BV1974">
        <v>0.87</v>
      </c>
      <c r="BW1974">
        <v>0.99</v>
      </c>
      <c r="BX1974">
        <v>2.12</v>
      </c>
      <c r="BY1974">
        <v>6.85</v>
      </c>
      <c r="BZ1974">
        <v>1.27</v>
      </c>
      <c r="CA1974">
        <v>0.9</v>
      </c>
      <c r="CB1974">
        <v>0.01</v>
      </c>
      <c r="CC1974">
        <v>0.91</v>
      </c>
      <c r="CD1974">
        <v>0.77</v>
      </c>
      <c r="CE1974">
        <v>0.77</v>
      </c>
      <c r="CF1974">
        <v>0.75</v>
      </c>
      <c r="CG1974">
        <v>2.71</v>
      </c>
      <c r="CH1974">
        <v>0.44</v>
      </c>
      <c r="CI1974">
        <v>-0.01</v>
      </c>
      <c r="CJ1974">
        <v>8342</v>
      </c>
      <c r="CK1974">
        <v>5516</v>
      </c>
      <c r="CL1974" t="s">
        <v>3766</v>
      </c>
      <c r="CM1974">
        <v>24.34</v>
      </c>
      <c r="CN1974">
        <v>30.24</v>
      </c>
      <c r="CO1974">
        <v>5.18</v>
      </c>
      <c r="CP1974">
        <v>75.260000000000005</v>
      </c>
      <c r="CQ1974">
        <v>4.8</v>
      </c>
      <c r="CR1974">
        <v>0.73</v>
      </c>
      <c r="CS1974" t="s">
        <v>5835</v>
      </c>
      <c r="CT1974">
        <v>5.29</v>
      </c>
      <c r="CU1974">
        <v>0</v>
      </c>
      <c r="CV1974">
        <v>1.77</v>
      </c>
      <c r="CW1974">
        <v>2.2599999999999998</v>
      </c>
      <c r="CX1974">
        <v>0.36</v>
      </c>
      <c r="CY1974">
        <v>76.400000000000006</v>
      </c>
      <c r="CZ1974" t="s">
        <v>9769</v>
      </c>
      <c r="DA1974">
        <v>81.489999999999995</v>
      </c>
      <c r="DB1974">
        <v>13.22</v>
      </c>
      <c r="DC1974">
        <v>11.31</v>
      </c>
      <c r="DD1974">
        <v>0.24</v>
      </c>
      <c r="DE1974">
        <v>557</v>
      </c>
      <c r="DF1974">
        <v>300584</v>
      </c>
      <c r="DG1974" t="s">
        <v>116</v>
      </c>
      <c r="DH1974" t="s">
        <v>116</v>
      </c>
      <c r="DI1974" t="s">
        <v>116</v>
      </c>
    </row>
    <row r="1975" spans="1:113" x14ac:dyDescent="0.4">
      <c r="A1975" t="str">
        <f>"300585"</f>
        <v>300585</v>
      </c>
      <c r="B1975" t="s">
        <v>9770</v>
      </c>
      <c r="C1975">
        <v>-7.37</v>
      </c>
      <c r="D1975">
        <v>16.46</v>
      </c>
      <c r="E1975">
        <v>-1.31</v>
      </c>
      <c r="F1975">
        <v>16.45</v>
      </c>
      <c r="G1975">
        <v>16.46</v>
      </c>
      <c r="H1975">
        <v>221874</v>
      </c>
      <c r="I1975">
        <v>3869</v>
      </c>
      <c r="J1975">
        <v>-0.35</v>
      </c>
      <c r="K1975">
        <v>25.07</v>
      </c>
      <c r="L1975">
        <v>17.78</v>
      </c>
      <c r="M1975">
        <v>17.78</v>
      </c>
      <c r="N1975">
        <v>16.309999999999999</v>
      </c>
      <c r="O1975">
        <v>17.77</v>
      </c>
      <c r="P1975">
        <v>87.26</v>
      </c>
      <c r="Q1975">
        <v>377147488</v>
      </c>
      <c r="R1975">
        <v>1.2</v>
      </c>
      <c r="S1975" t="s">
        <v>293</v>
      </c>
      <c r="T1975" t="s">
        <v>323</v>
      </c>
      <c r="U1975">
        <v>8.27</v>
      </c>
      <c r="V1975">
        <v>17</v>
      </c>
      <c r="W1975">
        <v>127120</v>
      </c>
      <c r="X1975">
        <v>94754</v>
      </c>
      <c r="Y1975">
        <v>1.34</v>
      </c>
      <c r="Z1975">
        <v>288</v>
      </c>
      <c r="AA1975">
        <v>30</v>
      </c>
      <c r="AB1975" t="s">
        <v>116</v>
      </c>
      <c r="AC1975">
        <v>4153400</v>
      </c>
      <c r="AD1975">
        <v>0.32</v>
      </c>
      <c r="AE1975" t="s">
        <v>116</v>
      </c>
      <c r="AF1975" t="s">
        <v>116</v>
      </c>
      <c r="AG1975">
        <v>0.88</v>
      </c>
      <c r="AH1975" t="s">
        <v>9771</v>
      </c>
      <c r="AI1975" t="s">
        <v>9772</v>
      </c>
      <c r="AJ1975">
        <v>-6.69</v>
      </c>
      <c r="AK1975">
        <v>3841</v>
      </c>
      <c r="AL1975">
        <v>58</v>
      </c>
      <c r="AM1975">
        <v>6.4999999999999997E-3</v>
      </c>
      <c r="AN1975">
        <v>-1</v>
      </c>
      <c r="AO1975">
        <v>7.72</v>
      </c>
      <c r="AP1975">
        <v>25.08</v>
      </c>
      <c r="AQ1975">
        <v>0.86</v>
      </c>
      <c r="AR1975">
        <v>86.2</v>
      </c>
      <c r="AS1975">
        <v>30.39</v>
      </c>
      <c r="AT1975" t="s">
        <v>9773</v>
      </c>
      <c r="AU1975">
        <v>80.34</v>
      </c>
      <c r="AV1975">
        <v>59.05</v>
      </c>
      <c r="AW1975">
        <v>1.1100000000000001</v>
      </c>
      <c r="BA1975">
        <v>0.06</v>
      </c>
      <c r="BB1975">
        <v>0.06</v>
      </c>
      <c r="BC1975">
        <v>-8.2200000000000006</v>
      </c>
      <c r="BD1975">
        <v>-4.34</v>
      </c>
      <c r="BE1975">
        <v>-7.42</v>
      </c>
      <c r="BF1975">
        <v>-7.42</v>
      </c>
      <c r="BG1975">
        <v>0.92</v>
      </c>
      <c r="BH1975">
        <v>-3.03</v>
      </c>
      <c r="BI1975">
        <v>20191227</v>
      </c>
      <c r="BJ1975">
        <v>20161229</v>
      </c>
      <c r="BK1975">
        <v>1.6</v>
      </c>
      <c r="BL1975" t="s">
        <v>116</v>
      </c>
      <c r="BM1975" t="s">
        <v>116</v>
      </c>
      <c r="BN1975">
        <v>7.8</v>
      </c>
      <c r="BO1975">
        <v>4.8600000000000003</v>
      </c>
      <c r="BP1975">
        <v>0.11</v>
      </c>
      <c r="BQ1975">
        <v>36.380000000000003</v>
      </c>
      <c r="BR1975">
        <v>3.69</v>
      </c>
      <c r="BS1975">
        <v>1.45</v>
      </c>
      <c r="BT1975">
        <v>0.2</v>
      </c>
      <c r="BU1975">
        <v>2.41</v>
      </c>
      <c r="BV1975">
        <v>0.91</v>
      </c>
      <c r="BW1975">
        <v>1.21</v>
      </c>
      <c r="BX1975">
        <v>1.32</v>
      </c>
      <c r="BY1975">
        <v>2.69</v>
      </c>
      <c r="BZ1975">
        <v>1.73</v>
      </c>
      <c r="CA1975">
        <v>0.17</v>
      </c>
      <c r="CB1975">
        <v>0.03</v>
      </c>
      <c r="CC1975">
        <v>0.23</v>
      </c>
      <c r="CD1975">
        <v>0.22</v>
      </c>
      <c r="CE1975">
        <v>0.23</v>
      </c>
      <c r="CF1975">
        <v>0.18</v>
      </c>
      <c r="CG1975">
        <v>1.71</v>
      </c>
      <c r="CH1975">
        <v>0.13</v>
      </c>
      <c r="CI1975">
        <v>-0.43</v>
      </c>
      <c r="CJ1975">
        <v>21024</v>
      </c>
      <c r="CK1975">
        <v>3473</v>
      </c>
      <c r="CL1975" t="s">
        <v>378</v>
      </c>
      <c r="CM1975">
        <v>-34.299999999999997</v>
      </c>
      <c r="CN1975">
        <v>5.56</v>
      </c>
      <c r="CO1975">
        <v>5.42</v>
      </c>
      <c r="CP1975">
        <v>202.89</v>
      </c>
      <c r="CQ1975">
        <v>9.7799999999999994</v>
      </c>
      <c r="CR1975">
        <v>0</v>
      </c>
      <c r="CS1975" t="s">
        <v>5207</v>
      </c>
      <c r="CT1975">
        <v>3.03</v>
      </c>
      <c r="CU1975">
        <v>0</v>
      </c>
      <c r="CV1975">
        <v>0.83</v>
      </c>
      <c r="CW1975">
        <v>1.07</v>
      </c>
      <c r="CX1975">
        <v>0.08</v>
      </c>
      <c r="CY1975">
        <v>62.24</v>
      </c>
      <c r="CZ1975" t="s">
        <v>596</v>
      </c>
      <c r="DA1975">
        <v>35.94</v>
      </c>
      <c r="DB1975">
        <v>6.36</v>
      </c>
      <c r="DC1975">
        <v>8.4</v>
      </c>
      <c r="DD1975">
        <v>0.28999999999999998</v>
      </c>
      <c r="DE1975">
        <v>810</v>
      </c>
      <c r="DF1975">
        <v>300585</v>
      </c>
      <c r="DG1975" t="s">
        <v>116</v>
      </c>
      <c r="DH1975" t="s">
        <v>116</v>
      </c>
      <c r="DI1975" t="s">
        <v>116</v>
      </c>
    </row>
    <row r="1976" spans="1:113" x14ac:dyDescent="0.4">
      <c r="A1976" t="str">
        <f>"300586"</f>
        <v>300586</v>
      </c>
      <c r="B1976" t="s">
        <v>9774</v>
      </c>
      <c r="C1976">
        <v>5.51</v>
      </c>
      <c r="D1976">
        <v>25.85</v>
      </c>
      <c r="E1976">
        <v>1.35</v>
      </c>
      <c r="F1976">
        <v>25.85</v>
      </c>
      <c r="G1976">
        <v>25.86</v>
      </c>
      <c r="H1976">
        <v>408052</v>
      </c>
      <c r="I1976">
        <v>7905</v>
      </c>
      <c r="J1976">
        <v>0.62</v>
      </c>
      <c r="K1976">
        <v>64.319999999999993</v>
      </c>
      <c r="L1976">
        <v>24.3</v>
      </c>
      <c r="M1976">
        <v>26.74</v>
      </c>
      <c r="N1976">
        <v>23.77</v>
      </c>
      <c r="O1976">
        <v>24.5</v>
      </c>
      <c r="P1976">
        <v>55.29</v>
      </c>
      <c r="Q1976">
        <v>1023972992</v>
      </c>
      <c r="R1976">
        <v>1.2</v>
      </c>
      <c r="S1976" t="s">
        <v>891</v>
      </c>
      <c r="T1976" t="s">
        <v>551</v>
      </c>
      <c r="U1976">
        <v>12.12</v>
      </c>
      <c r="V1976">
        <v>25.09</v>
      </c>
      <c r="W1976">
        <v>196849</v>
      </c>
      <c r="X1976">
        <v>211203</v>
      </c>
      <c r="Y1976">
        <v>0.93</v>
      </c>
      <c r="Z1976">
        <v>622</v>
      </c>
      <c r="AA1976">
        <v>279</v>
      </c>
      <c r="AB1976" t="s">
        <v>116</v>
      </c>
      <c r="AC1976">
        <v>11088101</v>
      </c>
      <c r="AD1976">
        <v>0.72</v>
      </c>
      <c r="AE1976" t="s">
        <v>116</v>
      </c>
      <c r="AF1976" t="s">
        <v>116</v>
      </c>
      <c r="AG1976">
        <v>0.63</v>
      </c>
      <c r="AH1976" t="s">
        <v>4450</v>
      </c>
      <c r="AI1976" t="s">
        <v>9775</v>
      </c>
      <c r="AJ1976">
        <v>6.19</v>
      </c>
      <c r="AK1976">
        <v>4533</v>
      </c>
      <c r="AL1976">
        <v>90</v>
      </c>
      <c r="AM1976">
        <v>1.4200000000000001E-2</v>
      </c>
      <c r="AN1976">
        <v>2</v>
      </c>
      <c r="AO1976">
        <v>4.6500000000000004</v>
      </c>
      <c r="AP1976">
        <v>98.54</v>
      </c>
      <c r="AQ1976">
        <v>93.34</v>
      </c>
      <c r="AR1976">
        <v>149.76</v>
      </c>
      <c r="AS1976">
        <v>64.319999999999993</v>
      </c>
      <c r="AT1976" t="s">
        <v>4450</v>
      </c>
      <c r="AU1976">
        <v>59.21</v>
      </c>
      <c r="AV1976">
        <v>98.02</v>
      </c>
      <c r="AW1976">
        <v>1.01</v>
      </c>
      <c r="BA1976">
        <v>-0.82</v>
      </c>
      <c r="BB1976">
        <v>9.14</v>
      </c>
      <c r="BC1976">
        <v>-2.98</v>
      </c>
      <c r="BD1976">
        <v>2.4300000000000002</v>
      </c>
      <c r="BE1976">
        <v>6.38</v>
      </c>
      <c r="BF1976">
        <v>-3.33</v>
      </c>
      <c r="BG1976">
        <v>8.75</v>
      </c>
      <c r="BH1976">
        <v>3.08</v>
      </c>
      <c r="BI1976">
        <v>20191223</v>
      </c>
      <c r="BJ1976">
        <v>20170104</v>
      </c>
      <c r="BK1976">
        <v>2.4</v>
      </c>
      <c r="BL1976" t="s">
        <v>116</v>
      </c>
      <c r="BM1976" t="s">
        <v>116</v>
      </c>
      <c r="BN1976">
        <v>19.57</v>
      </c>
      <c r="BO1976">
        <v>6.89</v>
      </c>
      <c r="BP1976">
        <v>2.98</v>
      </c>
      <c r="BQ1976">
        <v>49.56</v>
      </c>
      <c r="BR1976">
        <v>6.98</v>
      </c>
      <c r="BS1976">
        <v>5.26</v>
      </c>
      <c r="BT1976">
        <v>1.37</v>
      </c>
      <c r="BU1976">
        <v>6.25</v>
      </c>
      <c r="BV1976">
        <v>1.78</v>
      </c>
      <c r="BW1976">
        <v>1.77</v>
      </c>
      <c r="BX1976">
        <v>1.46</v>
      </c>
      <c r="BY1976">
        <v>8.83</v>
      </c>
      <c r="BZ1976">
        <v>6.7</v>
      </c>
      <c r="CA1976">
        <v>1.03</v>
      </c>
      <c r="CB1976">
        <v>0.25</v>
      </c>
      <c r="CC1976">
        <v>1.05</v>
      </c>
      <c r="CD1976">
        <v>1.02</v>
      </c>
      <c r="CE1976">
        <v>0.84</v>
      </c>
      <c r="CF1976">
        <v>0.82</v>
      </c>
      <c r="CG1976">
        <v>2.74</v>
      </c>
      <c r="CH1976">
        <v>0.5</v>
      </c>
      <c r="CI1976">
        <v>0.28000000000000003</v>
      </c>
      <c r="CJ1976">
        <v>8403</v>
      </c>
      <c r="CK1976">
        <v>7550</v>
      </c>
      <c r="CL1976" t="s">
        <v>6317</v>
      </c>
      <c r="CM1976">
        <v>97.19</v>
      </c>
      <c r="CN1976">
        <v>117.92</v>
      </c>
      <c r="CO1976">
        <v>9.01</v>
      </c>
      <c r="CP1976">
        <v>124.75</v>
      </c>
      <c r="CQ1976">
        <v>7.03</v>
      </c>
      <c r="CR1976">
        <v>0</v>
      </c>
      <c r="CS1976" t="s">
        <v>9776</v>
      </c>
      <c r="CT1976">
        <v>2.87</v>
      </c>
      <c r="CU1976">
        <v>0</v>
      </c>
      <c r="CV1976">
        <v>0.61</v>
      </c>
      <c r="CW1976">
        <v>1.1399999999999999</v>
      </c>
      <c r="CX1976">
        <v>0.21</v>
      </c>
      <c r="CY1976">
        <v>35.19</v>
      </c>
      <c r="CZ1976" t="s">
        <v>3622</v>
      </c>
      <c r="DA1976">
        <v>24.08</v>
      </c>
      <c r="DB1976">
        <v>11.7</v>
      </c>
      <c r="DC1976">
        <v>9.5299999999999994</v>
      </c>
      <c r="DD1976">
        <v>0.39</v>
      </c>
      <c r="DE1976">
        <v>263</v>
      </c>
      <c r="DF1976">
        <v>300586</v>
      </c>
      <c r="DG1976" t="s">
        <v>116</v>
      </c>
      <c r="DH1976" t="s">
        <v>116</v>
      </c>
      <c r="DI1976" t="s">
        <v>116</v>
      </c>
    </row>
    <row r="1977" spans="1:113" x14ac:dyDescent="0.4">
      <c r="A1977" t="str">
        <f>"300587"</f>
        <v>300587</v>
      </c>
      <c r="B1977" t="s">
        <v>9777</v>
      </c>
      <c r="C1977">
        <v>1.27</v>
      </c>
      <c r="D1977">
        <v>15.12</v>
      </c>
      <c r="E1977">
        <v>0.19</v>
      </c>
      <c r="F1977">
        <v>15.11</v>
      </c>
      <c r="G1977">
        <v>15.12</v>
      </c>
      <c r="H1977">
        <v>35996</v>
      </c>
      <c r="I1977">
        <v>472</v>
      </c>
      <c r="J1977">
        <v>0.27</v>
      </c>
      <c r="K1977">
        <v>4.92</v>
      </c>
      <c r="L1977">
        <v>14.9</v>
      </c>
      <c r="M1977">
        <v>15.31</v>
      </c>
      <c r="N1977">
        <v>14.8</v>
      </c>
      <c r="O1977">
        <v>14.93</v>
      </c>
      <c r="P1977">
        <v>40.96</v>
      </c>
      <c r="Q1977">
        <v>54268616</v>
      </c>
      <c r="R1977">
        <v>1.36</v>
      </c>
      <c r="S1977" t="s">
        <v>2541</v>
      </c>
      <c r="T1977" t="s">
        <v>590</v>
      </c>
      <c r="U1977">
        <v>3.42</v>
      </c>
      <c r="V1977">
        <v>15.08</v>
      </c>
      <c r="W1977">
        <v>19331</v>
      </c>
      <c r="X1977">
        <v>16665</v>
      </c>
      <c r="Y1977">
        <v>1.1599999999999999</v>
      </c>
      <c r="Z1977">
        <v>260</v>
      </c>
      <c r="AA1977">
        <v>143</v>
      </c>
      <c r="AB1977" t="s">
        <v>116</v>
      </c>
      <c r="AC1977">
        <v>0</v>
      </c>
      <c r="AD1977">
        <v>0</v>
      </c>
      <c r="AE1977" t="s">
        <v>116</v>
      </c>
      <c r="AF1977" t="s">
        <v>116</v>
      </c>
      <c r="AG1977">
        <v>0.73</v>
      </c>
      <c r="AH1977" t="s">
        <v>5871</v>
      </c>
      <c r="AI1977" t="s">
        <v>9385</v>
      </c>
      <c r="AJ1977">
        <v>1.95</v>
      </c>
      <c r="AK1977">
        <v>1284</v>
      </c>
      <c r="AL1977">
        <v>28</v>
      </c>
      <c r="AM1977">
        <v>3.8E-3</v>
      </c>
      <c r="AN1977">
        <v>1</v>
      </c>
      <c r="AO1977">
        <v>2.5</v>
      </c>
      <c r="AP1977">
        <v>0.53</v>
      </c>
      <c r="AQ1977">
        <v>19.899999999999999</v>
      </c>
      <c r="AR1977">
        <v>49.62</v>
      </c>
      <c r="AS1977">
        <v>4.92</v>
      </c>
      <c r="AT1977" t="s">
        <v>5871</v>
      </c>
      <c r="AU1977">
        <v>31.93</v>
      </c>
      <c r="AV1977">
        <v>35.24</v>
      </c>
      <c r="AW1977">
        <v>0.45</v>
      </c>
      <c r="BA1977">
        <v>-0.2</v>
      </c>
      <c r="BB1977">
        <v>2.5499999999999998</v>
      </c>
      <c r="BC1977">
        <v>-0.87</v>
      </c>
      <c r="BD1977">
        <v>0.98</v>
      </c>
      <c r="BE1977">
        <v>1.48</v>
      </c>
      <c r="BF1977">
        <v>-1.24</v>
      </c>
      <c r="BG1977">
        <v>2.16</v>
      </c>
      <c r="BH1977">
        <v>0.28999999999999998</v>
      </c>
      <c r="BI1977">
        <v>20191106</v>
      </c>
      <c r="BJ1977">
        <v>20170105</v>
      </c>
      <c r="BK1977">
        <v>1.82</v>
      </c>
      <c r="BL1977" t="s">
        <v>116</v>
      </c>
      <c r="BM1977" t="s">
        <v>116</v>
      </c>
      <c r="BN1977">
        <v>21.17</v>
      </c>
      <c r="BO1977">
        <v>9.6999999999999993</v>
      </c>
      <c r="BP1977">
        <v>1.51</v>
      </c>
      <c r="BQ1977">
        <v>47.05</v>
      </c>
      <c r="BR1977">
        <v>11.96</v>
      </c>
      <c r="BS1977">
        <v>4.1399999999999997</v>
      </c>
      <c r="BT1977">
        <v>1.1100000000000001</v>
      </c>
      <c r="BU1977">
        <v>7.75</v>
      </c>
      <c r="BV1977">
        <v>2.36</v>
      </c>
      <c r="BW1977">
        <v>7.09</v>
      </c>
      <c r="BX1977">
        <v>4.4000000000000004</v>
      </c>
      <c r="BY1977">
        <v>5.74</v>
      </c>
      <c r="BZ1977">
        <v>2.73</v>
      </c>
      <c r="CA1977">
        <v>0.83</v>
      </c>
      <c r="CB1977">
        <v>0</v>
      </c>
      <c r="CC1977">
        <v>0.82</v>
      </c>
      <c r="CD1977">
        <v>0.64</v>
      </c>
      <c r="CE1977">
        <v>0.5</v>
      </c>
      <c r="CF1977">
        <v>0.49</v>
      </c>
      <c r="CG1977">
        <v>3.2</v>
      </c>
      <c r="CH1977">
        <v>-0.98</v>
      </c>
      <c r="CI1977">
        <v>-0.16</v>
      </c>
      <c r="CJ1977">
        <v>12200</v>
      </c>
      <c r="CK1977">
        <v>5995</v>
      </c>
      <c r="CL1977" t="s">
        <v>7431</v>
      </c>
      <c r="CM1977">
        <v>19.14</v>
      </c>
      <c r="CN1977">
        <v>77.33</v>
      </c>
      <c r="CO1977">
        <v>2.83</v>
      </c>
      <c r="CP1977">
        <v>-28.15</v>
      </c>
      <c r="CQ1977">
        <v>4.79</v>
      </c>
      <c r="CR1977">
        <v>0.57999999999999996</v>
      </c>
      <c r="CS1977" t="s">
        <v>4379</v>
      </c>
      <c r="CT1977">
        <v>5.34</v>
      </c>
      <c r="CU1977">
        <v>0</v>
      </c>
      <c r="CV1977">
        <v>2.42</v>
      </c>
      <c r="CW1977">
        <v>1.76</v>
      </c>
      <c r="CX1977">
        <v>-0.54</v>
      </c>
      <c r="CY1977">
        <v>45.84</v>
      </c>
      <c r="CZ1977" t="s">
        <v>9778</v>
      </c>
      <c r="DA1977">
        <v>52.52</v>
      </c>
      <c r="DB1977">
        <v>14.55</v>
      </c>
      <c r="DC1977">
        <v>8.77</v>
      </c>
      <c r="DD1977">
        <v>0.17</v>
      </c>
      <c r="DE1977">
        <v>786</v>
      </c>
      <c r="DF1977">
        <v>300587</v>
      </c>
      <c r="DG1977" t="s">
        <v>116</v>
      </c>
      <c r="DH1977" t="s">
        <v>116</v>
      </c>
      <c r="DI1977" t="s">
        <v>116</v>
      </c>
    </row>
    <row r="1978" spans="1:113" x14ac:dyDescent="0.4">
      <c r="A1978" t="str">
        <f>"300588"</f>
        <v>300588</v>
      </c>
      <c r="B1978" t="s">
        <v>9779</v>
      </c>
      <c r="C1978">
        <v>-1.18</v>
      </c>
      <c r="D1978">
        <v>10.07</v>
      </c>
      <c r="E1978">
        <v>-0.12</v>
      </c>
      <c r="F1978">
        <v>10.06</v>
      </c>
      <c r="G1978">
        <v>10.07</v>
      </c>
      <c r="H1978">
        <v>20593</v>
      </c>
      <c r="I1978">
        <v>93</v>
      </c>
      <c r="J1978">
        <v>-0.09</v>
      </c>
      <c r="K1978">
        <v>2.58</v>
      </c>
      <c r="L1978">
        <v>10.199999999999999</v>
      </c>
      <c r="M1978">
        <v>10.27</v>
      </c>
      <c r="N1978">
        <v>10.039999999999999</v>
      </c>
      <c r="O1978">
        <v>10.19</v>
      </c>
      <c r="P1978" t="s">
        <v>116</v>
      </c>
      <c r="Q1978">
        <v>20963536</v>
      </c>
      <c r="R1978">
        <v>0.87</v>
      </c>
      <c r="S1978" t="s">
        <v>607</v>
      </c>
      <c r="T1978" t="s">
        <v>616</v>
      </c>
      <c r="U1978">
        <v>2.2599999999999998</v>
      </c>
      <c r="V1978">
        <v>10.18</v>
      </c>
      <c r="W1978">
        <v>11496</v>
      </c>
      <c r="X1978">
        <v>9097</v>
      </c>
      <c r="Y1978">
        <v>1.26</v>
      </c>
      <c r="Z1978">
        <v>68</v>
      </c>
      <c r="AA1978">
        <v>4</v>
      </c>
      <c r="AB1978" t="s">
        <v>116</v>
      </c>
      <c r="AC1978">
        <v>175400</v>
      </c>
      <c r="AD1978">
        <v>0.02</v>
      </c>
      <c r="AE1978" t="s">
        <v>116</v>
      </c>
      <c r="AF1978" t="s">
        <v>116</v>
      </c>
      <c r="AG1978">
        <v>0.8</v>
      </c>
      <c r="AH1978" t="s">
        <v>7280</v>
      </c>
      <c r="AI1978" t="s">
        <v>3961</v>
      </c>
      <c r="AJ1978">
        <v>-0.5</v>
      </c>
      <c r="AK1978">
        <v>1142</v>
      </c>
      <c r="AL1978">
        <v>18</v>
      </c>
      <c r="AM1978">
        <v>2.3E-3</v>
      </c>
      <c r="AN1978">
        <v>-1</v>
      </c>
      <c r="AO1978">
        <v>0.2</v>
      </c>
      <c r="AP1978">
        <v>4.24</v>
      </c>
      <c r="AQ1978">
        <v>-14.81</v>
      </c>
      <c r="AR1978">
        <v>-7.15</v>
      </c>
      <c r="AS1978">
        <v>2.64</v>
      </c>
      <c r="AT1978" t="s">
        <v>9611</v>
      </c>
      <c r="AU1978" t="s">
        <v>116</v>
      </c>
      <c r="AV1978">
        <v>73.209999999999994</v>
      </c>
      <c r="AW1978">
        <v>1.37</v>
      </c>
      <c r="BA1978">
        <v>0.1</v>
      </c>
      <c r="BB1978">
        <v>0.79</v>
      </c>
      <c r="BC1978">
        <v>-1.47</v>
      </c>
      <c r="BD1978">
        <v>-0.1</v>
      </c>
      <c r="BE1978">
        <v>-1.27</v>
      </c>
      <c r="BF1978">
        <v>-1.95</v>
      </c>
      <c r="BG1978">
        <v>0.3</v>
      </c>
      <c r="BH1978">
        <v>-1.08</v>
      </c>
      <c r="BI1978">
        <v>20191216</v>
      </c>
      <c r="BJ1978">
        <v>20170105</v>
      </c>
      <c r="BK1978">
        <v>1.63</v>
      </c>
      <c r="BL1978" t="s">
        <v>116</v>
      </c>
      <c r="BM1978" t="s">
        <v>116</v>
      </c>
      <c r="BN1978">
        <v>8.92</v>
      </c>
      <c r="BO1978">
        <v>3.73</v>
      </c>
      <c r="BP1978">
        <v>-0.01</v>
      </c>
      <c r="BQ1978">
        <v>58.32</v>
      </c>
      <c r="BR1978">
        <v>6.95</v>
      </c>
      <c r="BS1978">
        <v>7.0000000000000007E-2</v>
      </c>
      <c r="BT1978">
        <v>0.01</v>
      </c>
      <c r="BU1978">
        <v>5.12</v>
      </c>
      <c r="BV1978">
        <v>0.71</v>
      </c>
      <c r="BW1978">
        <v>4.45</v>
      </c>
      <c r="BX1978">
        <v>0.68</v>
      </c>
      <c r="BY1978">
        <v>1.62</v>
      </c>
      <c r="BZ1978">
        <v>1.06</v>
      </c>
      <c r="CA1978">
        <v>-0.36</v>
      </c>
      <c r="CB1978">
        <v>0.04</v>
      </c>
      <c r="CC1978">
        <v>-0.36</v>
      </c>
      <c r="CD1978">
        <v>-0.32</v>
      </c>
      <c r="CE1978">
        <v>-0.28000000000000003</v>
      </c>
      <c r="CF1978">
        <v>-0.36</v>
      </c>
      <c r="CG1978">
        <v>1.51</v>
      </c>
      <c r="CH1978">
        <v>-0.16</v>
      </c>
      <c r="CI1978">
        <v>-0.55000000000000004</v>
      </c>
      <c r="CJ1978">
        <v>15960</v>
      </c>
      <c r="CK1978">
        <v>4890</v>
      </c>
      <c r="CL1978" t="s">
        <v>6947</v>
      </c>
      <c r="CM1978">
        <v>-905.47</v>
      </c>
      <c r="CN1978">
        <v>-68.14</v>
      </c>
      <c r="CO1978">
        <v>4.41</v>
      </c>
      <c r="CP1978">
        <v>-104.86</v>
      </c>
      <c r="CQ1978">
        <v>10.130000000000001</v>
      </c>
      <c r="CR1978">
        <v>0.14000000000000001</v>
      </c>
      <c r="CS1978" t="s">
        <v>9780</v>
      </c>
      <c r="CT1978">
        <v>2.2799999999999998</v>
      </c>
      <c r="CU1978">
        <v>0</v>
      </c>
      <c r="CV1978">
        <v>0.41</v>
      </c>
      <c r="CW1978">
        <v>0.93</v>
      </c>
      <c r="CX1978">
        <v>-0.1</v>
      </c>
      <c r="CY1978">
        <v>41.83</v>
      </c>
      <c r="CZ1978" t="s">
        <v>9781</v>
      </c>
      <c r="DA1978">
        <v>34.46</v>
      </c>
      <c r="DB1978">
        <v>-22.17</v>
      </c>
      <c r="DC1978">
        <v>-17.559999999999999</v>
      </c>
      <c r="DD1978">
        <v>0.1</v>
      </c>
      <c r="DE1978">
        <v>522</v>
      </c>
      <c r="DF1978">
        <v>300588</v>
      </c>
      <c r="DG1978" t="s">
        <v>116</v>
      </c>
      <c r="DH1978" t="s">
        <v>116</v>
      </c>
      <c r="DI1978" t="s">
        <v>116</v>
      </c>
    </row>
    <row r="1979" spans="1:113" x14ac:dyDescent="0.4">
      <c r="A1979" t="str">
        <f>"300589"</f>
        <v>300589</v>
      </c>
      <c r="B1979" t="s">
        <v>9782</v>
      </c>
      <c r="C1979">
        <v>-2.72</v>
      </c>
      <c r="D1979">
        <v>12.86</v>
      </c>
      <c r="E1979">
        <v>-0.36</v>
      </c>
      <c r="F1979">
        <v>12.85</v>
      </c>
      <c r="G1979">
        <v>12.86</v>
      </c>
      <c r="H1979">
        <v>35886</v>
      </c>
      <c r="I1979">
        <v>502</v>
      </c>
      <c r="J1979">
        <v>0.39</v>
      </c>
      <c r="K1979">
        <v>5.69</v>
      </c>
      <c r="L1979">
        <v>13.21</v>
      </c>
      <c r="M1979">
        <v>13.26</v>
      </c>
      <c r="N1979">
        <v>12.81</v>
      </c>
      <c r="O1979">
        <v>13.22</v>
      </c>
      <c r="P1979">
        <v>117.89</v>
      </c>
      <c r="Q1979">
        <v>46913196</v>
      </c>
      <c r="R1979">
        <v>1.32</v>
      </c>
      <c r="S1979" t="s">
        <v>7623</v>
      </c>
      <c r="T1979" t="s">
        <v>551</v>
      </c>
      <c r="U1979">
        <v>3.4</v>
      </c>
      <c r="V1979">
        <v>13.07</v>
      </c>
      <c r="W1979">
        <v>23799</v>
      </c>
      <c r="X1979">
        <v>12087</v>
      </c>
      <c r="Y1979">
        <v>1.97</v>
      </c>
      <c r="Z1979">
        <v>39</v>
      </c>
      <c r="AA1979">
        <v>8</v>
      </c>
      <c r="AB1979" t="s">
        <v>116</v>
      </c>
      <c r="AC1979">
        <v>85900</v>
      </c>
      <c r="AD1979">
        <v>0.01</v>
      </c>
      <c r="AE1979" t="s">
        <v>116</v>
      </c>
      <c r="AF1979" t="s">
        <v>116</v>
      </c>
      <c r="AG1979">
        <v>0.63</v>
      </c>
      <c r="AH1979" t="s">
        <v>7312</v>
      </c>
      <c r="AI1979" t="s">
        <v>5969</v>
      </c>
      <c r="AJ1979">
        <v>-2.04</v>
      </c>
      <c r="AK1979">
        <v>1357</v>
      </c>
      <c r="AL1979">
        <v>26</v>
      </c>
      <c r="AM1979">
        <v>4.1999999999999997E-3</v>
      </c>
      <c r="AN1979">
        <v>-1</v>
      </c>
      <c r="AO1979">
        <v>-1.37</v>
      </c>
      <c r="AP1979">
        <v>2.39</v>
      </c>
      <c r="AQ1979">
        <v>-2.94</v>
      </c>
      <c r="AR1979">
        <v>17.28</v>
      </c>
      <c r="AS1979">
        <v>6.28</v>
      </c>
      <c r="AT1979" t="s">
        <v>9783</v>
      </c>
      <c r="AU1979">
        <v>78.73</v>
      </c>
      <c r="AV1979">
        <v>83.78</v>
      </c>
      <c r="AW1979">
        <v>0.95</v>
      </c>
      <c r="BA1979">
        <v>-0.08</v>
      </c>
      <c r="BB1979">
        <v>0.3</v>
      </c>
      <c r="BC1979">
        <v>-3.1</v>
      </c>
      <c r="BD1979">
        <v>-1.1100000000000001</v>
      </c>
      <c r="BE1979">
        <v>-2.65</v>
      </c>
      <c r="BF1979">
        <v>-3.02</v>
      </c>
      <c r="BG1979">
        <v>0.39</v>
      </c>
      <c r="BH1979">
        <v>-1.61</v>
      </c>
      <c r="BI1979">
        <v>20191029</v>
      </c>
      <c r="BJ1979">
        <v>20170113</v>
      </c>
      <c r="BK1979">
        <v>2.0299999999999998</v>
      </c>
      <c r="BL1979" t="s">
        <v>116</v>
      </c>
      <c r="BM1979" t="s">
        <v>116</v>
      </c>
      <c r="BN1979">
        <v>8.39</v>
      </c>
      <c r="BO1979">
        <v>3.48</v>
      </c>
      <c r="BP1979">
        <v>0</v>
      </c>
      <c r="BQ1979">
        <v>58.57</v>
      </c>
      <c r="BR1979">
        <v>4.9400000000000004</v>
      </c>
      <c r="BS1979">
        <v>2.25</v>
      </c>
      <c r="BT1979">
        <v>0.39</v>
      </c>
      <c r="BU1979">
        <v>4.7</v>
      </c>
      <c r="BV1979">
        <v>2.14</v>
      </c>
      <c r="BW1979">
        <v>0.46</v>
      </c>
      <c r="BX1979">
        <v>0.1</v>
      </c>
      <c r="BY1979">
        <v>3.48</v>
      </c>
      <c r="BZ1979">
        <v>2.84</v>
      </c>
      <c r="CA1979">
        <v>0.17</v>
      </c>
      <c r="CB1979">
        <v>0.02</v>
      </c>
      <c r="CC1979">
        <v>0.17</v>
      </c>
      <c r="CD1979">
        <v>0.17</v>
      </c>
      <c r="CE1979">
        <v>0.17</v>
      </c>
      <c r="CF1979">
        <v>0.16</v>
      </c>
      <c r="CG1979">
        <v>1.2</v>
      </c>
      <c r="CH1979">
        <v>-0.49</v>
      </c>
      <c r="CI1979">
        <v>-1.1399999999999999</v>
      </c>
      <c r="CJ1979">
        <v>17928</v>
      </c>
      <c r="CK1979">
        <v>3186</v>
      </c>
      <c r="CL1979" t="s">
        <v>950</v>
      </c>
      <c r="CM1979">
        <v>13.67</v>
      </c>
      <c r="CN1979">
        <v>21.78</v>
      </c>
      <c r="CO1979">
        <v>7.5</v>
      </c>
      <c r="CP1979">
        <v>-53.43</v>
      </c>
      <c r="CQ1979">
        <v>7.49</v>
      </c>
      <c r="CR1979">
        <v>0.27</v>
      </c>
      <c r="CS1979" t="s">
        <v>1272</v>
      </c>
      <c r="CT1979">
        <v>1.71</v>
      </c>
      <c r="CU1979">
        <v>0</v>
      </c>
      <c r="CV1979">
        <v>0.05</v>
      </c>
      <c r="CW1979">
        <v>0.59</v>
      </c>
      <c r="CX1979">
        <v>-0.24</v>
      </c>
      <c r="CY1979">
        <v>41.43</v>
      </c>
      <c r="CZ1979" t="s">
        <v>1507</v>
      </c>
      <c r="DA1979">
        <v>18.350000000000001</v>
      </c>
      <c r="DB1979">
        <v>4.9000000000000004</v>
      </c>
      <c r="DC1979">
        <v>4.7699999999999996</v>
      </c>
      <c r="DD1979">
        <v>0.08</v>
      </c>
      <c r="DE1979">
        <v>731</v>
      </c>
      <c r="DF1979">
        <v>300589</v>
      </c>
      <c r="DG1979" t="s">
        <v>116</v>
      </c>
      <c r="DH1979" t="s">
        <v>116</v>
      </c>
      <c r="DI1979" t="s">
        <v>116</v>
      </c>
    </row>
    <row r="1980" spans="1:113" x14ac:dyDescent="0.4">
      <c r="A1980" t="str">
        <f>"300590"</f>
        <v>300590</v>
      </c>
      <c r="B1980" t="s">
        <v>9784</v>
      </c>
      <c r="C1980">
        <v>-2.5299999999999998</v>
      </c>
      <c r="D1980">
        <v>36.24</v>
      </c>
      <c r="E1980">
        <v>-0.94</v>
      </c>
      <c r="F1980">
        <v>36.24</v>
      </c>
      <c r="G1980">
        <v>36.25</v>
      </c>
      <c r="H1980">
        <v>28336</v>
      </c>
      <c r="I1980">
        <v>604</v>
      </c>
      <c r="J1980">
        <v>-0.4</v>
      </c>
      <c r="K1980">
        <v>2.89</v>
      </c>
      <c r="L1980">
        <v>37.19</v>
      </c>
      <c r="M1980">
        <v>37.869999999999997</v>
      </c>
      <c r="N1980">
        <v>36.24</v>
      </c>
      <c r="O1980">
        <v>37.18</v>
      </c>
      <c r="P1980">
        <v>44.22</v>
      </c>
      <c r="Q1980">
        <v>105076648</v>
      </c>
      <c r="R1980">
        <v>0.83</v>
      </c>
      <c r="S1980" t="s">
        <v>465</v>
      </c>
      <c r="T1980" t="s">
        <v>1653</v>
      </c>
      <c r="U1980">
        <v>4.38</v>
      </c>
      <c r="V1980">
        <v>37.08</v>
      </c>
      <c r="W1980">
        <v>17141</v>
      </c>
      <c r="X1980">
        <v>11195</v>
      </c>
      <c r="Y1980">
        <v>1.53</v>
      </c>
      <c r="Z1980">
        <v>108</v>
      </c>
      <c r="AA1980">
        <v>4</v>
      </c>
      <c r="AB1980" t="s">
        <v>116</v>
      </c>
      <c r="AC1980">
        <v>74400</v>
      </c>
      <c r="AD1980">
        <v>0</v>
      </c>
      <c r="AE1980" t="s">
        <v>116</v>
      </c>
      <c r="AF1980" t="s">
        <v>116</v>
      </c>
      <c r="AG1980">
        <v>0.98</v>
      </c>
      <c r="AH1980" t="s">
        <v>9785</v>
      </c>
      <c r="AI1980" t="s">
        <v>9786</v>
      </c>
      <c r="AJ1980">
        <v>-1.85</v>
      </c>
      <c r="AK1980">
        <v>2160</v>
      </c>
      <c r="AL1980">
        <v>13</v>
      </c>
      <c r="AM1980">
        <v>1.2999999999999999E-3</v>
      </c>
      <c r="AN1980">
        <v>-2</v>
      </c>
      <c r="AO1980">
        <v>-0.11</v>
      </c>
      <c r="AP1980">
        <v>7.19</v>
      </c>
      <c r="AQ1980">
        <v>-3.05</v>
      </c>
      <c r="AR1980">
        <v>47.74</v>
      </c>
      <c r="AS1980">
        <v>5.4</v>
      </c>
      <c r="AT1980" t="s">
        <v>977</v>
      </c>
      <c r="AU1980">
        <v>41.39</v>
      </c>
      <c r="AV1980">
        <v>46.97</v>
      </c>
      <c r="AW1980">
        <v>1.51</v>
      </c>
      <c r="BA1980">
        <v>0.03</v>
      </c>
      <c r="BB1980">
        <v>1.86</v>
      </c>
      <c r="BC1980">
        <v>-2.5299999999999998</v>
      </c>
      <c r="BD1980">
        <v>-0.26</v>
      </c>
      <c r="BE1980">
        <v>-2.5499999999999998</v>
      </c>
      <c r="BF1980">
        <v>-4.3</v>
      </c>
      <c r="BG1980">
        <v>0</v>
      </c>
      <c r="BH1980">
        <v>-2.27</v>
      </c>
      <c r="BI1980">
        <v>20191030</v>
      </c>
      <c r="BJ1980">
        <v>20170111</v>
      </c>
      <c r="BK1980">
        <v>1.61</v>
      </c>
      <c r="BL1980" t="s">
        <v>116</v>
      </c>
      <c r="BM1980" t="s">
        <v>116</v>
      </c>
      <c r="BN1980">
        <v>10.89</v>
      </c>
      <c r="BO1980">
        <v>9.2899999999999991</v>
      </c>
      <c r="BP1980">
        <v>0</v>
      </c>
      <c r="BQ1980">
        <v>14.68</v>
      </c>
      <c r="BR1980">
        <v>7.75</v>
      </c>
      <c r="BS1980">
        <v>0.95</v>
      </c>
      <c r="BT1980">
        <v>0</v>
      </c>
      <c r="BU1980">
        <v>1.56</v>
      </c>
      <c r="BV1980">
        <v>1.3</v>
      </c>
      <c r="BW1980">
        <v>1.26</v>
      </c>
      <c r="BX1980">
        <v>4.5999999999999996</v>
      </c>
      <c r="BY1980">
        <v>4.33</v>
      </c>
      <c r="BZ1980">
        <v>2.38</v>
      </c>
      <c r="CA1980">
        <v>1.0900000000000001</v>
      </c>
      <c r="CB1980">
        <v>0.04</v>
      </c>
      <c r="CC1980">
        <v>1.1200000000000001</v>
      </c>
      <c r="CD1980">
        <v>0.99</v>
      </c>
      <c r="CE1980">
        <v>0.99</v>
      </c>
      <c r="CF1980">
        <v>0.82</v>
      </c>
      <c r="CG1980">
        <v>2.83</v>
      </c>
      <c r="CH1980">
        <v>0.26</v>
      </c>
      <c r="CI1980">
        <v>-0.53</v>
      </c>
      <c r="CJ1980">
        <v>14863</v>
      </c>
      <c r="CK1980">
        <v>3528</v>
      </c>
      <c r="CL1980" t="s">
        <v>8353</v>
      </c>
      <c r="CM1980">
        <v>20.36</v>
      </c>
      <c r="CN1980">
        <v>42.21</v>
      </c>
      <c r="CO1980">
        <v>6.3</v>
      </c>
      <c r="CP1980">
        <v>221.2</v>
      </c>
      <c r="CQ1980">
        <v>13.51</v>
      </c>
      <c r="CR1980">
        <v>0.69</v>
      </c>
      <c r="CS1980" t="s">
        <v>9787</v>
      </c>
      <c r="CT1980">
        <v>5.75</v>
      </c>
      <c r="CU1980">
        <v>0</v>
      </c>
      <c r="CV1980">
        <v>2.85</v>
      </c>
      <c r="CW1980">
        <v>1.75</v>
      </c>
      <c r="CX1980">
        <v>0.16</v>
      </c>
      <c r="CY1980">
        <v>85.32</v>
      </c>
      <c r="CZ1980" t="s">
        <v>9500</v>
      </c>
      <c r="DA1980">
        <v>44.96</v>
      </c>
      <c r="DB1980">
        <v>25.12</v>
      </c>
      <c r="DC1980">
        <v>22.91</v>
      </c>
      <c r="DD1980">
        <v>0.59</v>
      </c>
      <c r="DE1980">
        <v>318</v>
      </c>
      <c r="DF1980">
        <v>300590</v>
      </c>
      <c r="DG1980" t="s">
        <v>116</v>
      </c>
      <c r="DH1980" t="s">
        <v>116</v>
      </c>
      <c r="DI1980" t="s">
        <v>116</v>
      </c>
    </row>
    <row r="1981" spans="1:113" x14ac:dyDescent="0.4">
      <c r="A1981" t="str">
        <f>"300591"</f>
        <v>300591</v>
      </c>
      <c r="B1981" t="s">
        <v>9788</v>
      </c>
      <c r="C1981">
        <v>-1.58</v>
      </c>
      <c r="D1981">
        <v>5.62</v>
      </c>
      <c r="E1981">
        <v>-0.09</v>
      </c>
      <c r="F1981">
        <v>5.61</v>
      </c>
      <c r="G1981">
        <v>5.62</v>
      </c>
      <c r="H1981">
        <v>54682</v>
      </c>
      <c r="I1981">
        <v>649</v>
      </c>
      <c r="J1981">
        <v>-0.17</v>
      </c>
      <c r="K1981">
        <v>4.78</v>
      </c>
      <c r="L1981">
        <v>5.68</v>
      </c>
      <c r="M1981">
        <v>5.78</v>
      </c>
      <c r="N1981">
        <v>5.59</v>
      </c>
      <c r="O1981">
        <v>5.71</v>
      </c>
      <c r="P1981">
        <v>115.68</v>
      </c>
      <c r="Q1981">
        <v>31151482</v>
      </c>
      <c r="R1981">
        <v>1.21</v>
      </c>
      <c r="S1981" t="s">
        <v>3070</v>
      </c>
      <c r="T1981" t="s">
        <v>551</v>
      </c>
      <c r="U1981">
        <v>3.33</v>
      </c>
      <c r="V1981">
        <v>5.7</v>
      </c>
      <c r="W1981">
        <v>31892</v>
      </c>
      <c r="X1981">
        <v>22790</v>
      </c>
      <c r="Y1981">
        <v>1.4</v>
      </c>
      <c r="Z1981">
        <v>508</v>
      </c>
      <c r="AA1981">
        <v>54</v>
      </c>
      <c r="AB1981" t="s">
        <v>116</v>
      </c>
      <c r="AC1981">
        <v>165900</v>
      </c>
      <c r="AD1981">
        <v>0.03</v>
      </c>
      <c r="AE1981" t="s">
        <v>116</v>
      </c>
      <c r="AF1981" t="s">
        <v>116</v>
      </c>
      <c r="AG1981">
        <v>1.1399999999999999</v>
      </c>
      <c r="AH1981" t="s">
        <v>9789</v>
      </c>
      <c r="AI1981" t="s">
        <v>7358</v>
      </c>
      <c r="AJ1981">
        <v>-0.9</v>
      </c>
      <c r="AK1981">
        <v>1280</v>
      </c>
      <c r="AL1981">
        <v>43</v>
      </c>
      <c r="AM1981">
        <v>3.7000000000000002E-3</v>
      </c>
      <c r="AN1981">
        <v>-1</v>
      </c>
      <c r="AO1981">
        <v>1.25</v>
      </c>
      <c r="AP1981">
        <v>1.81</v>
      </c>
      <c r="AQ1981">
        <v>-8.77</v>
      </c>
      <c r="AR1981">
        <v>-2.4300000000000002</v>
      </c>
      <c r="AS1981">
        <v>4.78</v>
      </c>
      <c r="AT1981" t="s">
        <v>9789</v>
      </c>
      <c r="AU1981">
        <v>47.89</v>
      </c>
      <c r="AV1981">
        <v>46.39</v>
      </c>
      <c r="AW1981">
        <v>1.23</v>
      </c>
      <c r="BA1981">
        <v>-0.53</v>
      </c>
      <c r="BB1981">
        <v>1.23</v>
      </c>
      <c r="BC1981">
        <v>-2.1</v>
      </c>
      <c r="BD1981">
        <v>-0.23</v>
      </c>
      <c r="BE1981">
        <v>-1.06</v>
      </c>
      <c r="BF1981">
        <v>-2.77</v>
      </c>
      <c r="BG1981">
        <v>0.54</v>
      </c>
      <c r="BH1981">
        <v>-1.35</v>
      </c>
      <c r="BI1981">
        <v>20191030</v>
      </c>
      <c r="BJ1981">
        <v>20170110</v>
      </c>
      <c r="BK1981">
        <v>3.12</v>
      </c>
      <c r="BL1981" t="s">
        <v>116</v>
      </c>
      <c r="BM1981" t="s">
        <v>116</v>
      </c>
      <c r="BN1981">
        <v>11.51</v>
      </c>
      <c r="BO1981">
        <v>5.05</v>
      </c>
      <c r="BP1981">
        <v>0.32</v>
      </c>
      <c r="BQ1981">
        <v>53.37</v>
      </c>
      <c r="BR1981">
        <v>8.85</v>
      </c>
      <c r="BS1981">
        <v>1.69</v>
      </c>
      <c r="BT1981">
        <v>0.09</v>
      </c>
      <c r="BU1981">
        <v>5.56</v>
      </c>
      <c r="BV1981">
        <v>2.46</v>
      </c>
      <c r="BW1981">
        <v>3.6</v>
      </c>
      <c r="BX1981">
        <v>0.95</v>
      </c>
      <c r="BY1981">
        <v>4.49</v>
      </c>
      <c r="BZ1981">
        <v>3.09</v>
      </c>
      <c r="CA1981">
        <v>0.17</v>
      </c>
      <c r="CB1981">
        <v>0</v>
      </c>
      <c r="CC1981">
        <v>0.17</v>
      </c>
      <c r="CD1981">
        <v>0.14000000000000001</v>
      </c>
      <c r="CE1981">
        <v>0.11</v>
      </c>
      <c r="CF1981">
        <v>0.11</v>
      </c>
      <c r="CG1981">
        <v>0.81</v>
      </c>
      <c r="CH1981">
        <v>0.64</v>
      </c>
      <c r="CI1981">
        <v>0.77</v>
      </c>
      <c r="CJ1981">
        <v>20125</v>
      </c>
      <c r="CK1981">
        <v>5684</v>
      </c>
      <c r="CL1981" t="s">
        <v>9790</v>
      </c>
      <c r="CM1981">
        <v>-9.4</v>
      </c>
      <c r="CN1981">
        <v>-3.57</v>
      </c>
      <c r="CO1981">
        <v>3.47</v>
      </c>
      <c r="CP1981">
        <v>27.28</v>
      </c>
      <c r="CQ1981">
        <v>3.9</v>
      </c>
      <c r="CR1981">
        <v>0</v>
      </c>
      <c r="CS1981" t="s">
        <v>1223</v>
      </c>
      <c r="CT1981">
        <v>1.62</v>
      </c>
      <c r="CU1981">
        <v>0</v>
      </c>
      <c r="CV1981">
        <v>0.31</v>
      </c>
      <c r="CW1981">
        <v>0.26</v>
      </c>
      <c r="CX1981">
        <v>0.21</v>
      </c>
      <c r="CY1981">
        <v>43.88</v>
      </c>
      <c r="CZ1981" t="s">
        <v>9791</v>
      </c>
      <c r="DA1981">
        <v>31.17</v>
      </c>
      <c r="DB1981">
        <v>3.83</v>
      </c>
      <c r="DC1981">
        <v>2.5299999999999998</v>
      </c>
      <c r="DD1981">
        <v>0.19</v>
      </c>
      <c r="DE1981">
        <v>2018</v>
      </c>
      <c r="DF1981">
        <v>300591</v>
      </c>
      <c r="DG1981" t="s">
        <v>116</v>
      </c>
      <c r="DH1981" t="s">
        <v>116</v>
      </c>
      <c r="DI1981" t="s">
        <v>116</v>
      </c>
    </row>
    <row r="1982" spans="1:113" x14ac:dyDescent="0.4">
      <c r="A1982" t="str">
        <f>"300592"</f>
        <v>300592</v>
      </c>
      <c r="B1982" t="s">
        <v>9792</v>
      </c>
      <c r="C1982">
        <v>-2.02</v>
      </c>
      <c r="D1982">
        <v>11.64</v>
      </c>
      <c r="E1982">
        <v>-0.24</v>
      </c>
      <c r="F1982">
        <v>11.63</v>
      </c>
      <c r="G1982">
        <v>11.64</v>
      </c>
      <c r="H1982">
        <v>25157</v>
      </c>
      <c r="I1982">
        <v>278</v>
      </c>
      <c r="J1982">
        <v>0.43</v>
      </c>
      <c r="K1982">
        <v>2.9</v>
      </c>
      <c r="L1982">
        <v>11.93</v>
      </c>
      <c r="M1982">
        <v>11.96</v>
      </c>
      <c r="N1982">
        <v>11.57</v>
      </c>
      <c r="O1982">
        <v>11.88</v>
      </c>
      <c r="P1982">
        <v>74.260000000000005</v>
      </c>
      <c r="Q1982">
        <v>29632262</v>
      </c>
      <c r="R1982">
        <v>0.89</v>
      </c>
      <c r="S1982" t="s">
        <v>607</v>
      </c>
      <c r="T1982" t="s">
        <v>599</v>
      </c>
      <c r="U1982">
        <v>3.28</v>
      </c>
      <c r="V1982">
        <v>11.78</v>
      </c>
      <c r="W1982">
        <v>15997</v>
      </c>
      <c r="X1982">
        <v>9160</v>
      </c>
      <c r="Y1982">
        <v>1.75</v>
      </c>
      <c r="Z1982">
        <v>123</v>
      </c>
      <c r="AA1982">
        <v>23</v>
      </c>
      <c r="AB1982" t="s">
        <v>116</v>
      </c>
      <c r="AC1982">
        <v>6000</v>
      </c>
      <c r="AD1982">
        <v>0</v>
      </c>
      <c r="AE1982" t="s">
        <v>116</v>
      </c>
      <c r="AF1982" t="s">
        <v>116</v>
      </c>
      <c r="AG1982">
        <v>0.87</v>
      </c>
      <c r="AH1982" t="s">
        <v>9793</v>
      </c>
      <c r="AI1982" t="s">
        <v>5139</v>
      </c>
      <c r="AJ1982">
        <v>-1.34</v>
      </c>
      <c r="AK1982">
        <v>1155</v>
      </c>
      <c r="AL1982">
        <v>22</v>
      </c>
      <c r="AM1982">
        <v>2.5000000000000001E-3</v>
      </c>
      <c r="AN1982">
        <v>-1</v>
      </c>
      <c r="AO1982">
        <v>-1.1000000000000001</v>
      </c>
      <c r="AP1982">
        <v>6.11</v>
      </c>
      <c r="AQ1982">
        <v>6.01</v>
      </c>
      <c r="AR1982">
        <v>28.9</v>
      </c>
      <c r="AS1982">
        <v>3.25</v>
      </c>
      <c r="AT1982" t="s">
        <v>9314</v>
      </c>
      <c r="AU1982">
        <v>128.56</v>
      </c>
      <c r="AV1982">
        <v>90.78</v>
      </c>
      <c r="AW1982">
        <v>1</v>
      </c>
      <c r="BA1982">
        <v>0.42</v>
      </c>
      <c r="BB1982">
        <v>0.67</v>
      </c>
      <c r="BC1982">
        <v>-2.61</v>
      </c>
      <c r="BD1982">
        <v>-0.85</v>
      </c>
      <c r="BE1982">
        <v>-2.4300000000000002</v>
      </c>
      <c r="BF1982">
        <v>-2.68</v>
      </c>
      <c r="BG1982">
        <v>0.61</v>
      </c>
      <c r="BH1982">
        <v>-1.17</v>
      </c>
      <c r="BI1982">
        <v>20191029</v>
      </c>
      <c r="BJ1982">
        <v>20170120</v>
      </c>
      <c r="BK1982">
        <v>1.22</v>
      </c>
      <c r="BL1982" t="s">
        <v>116</v>
      </c>
      <c r="BM1982" t="s">
        <v>116</v>
      </c>
      <c r="BN1982">
        <v>11.16</v>
      </c>
      <c r="BO1982">
        <v>5.19</v>
      </c>
      <c r="BP1982">
        <v>0</v>
      </c>
      <c r="BQ1982">
        <v>53.46</v>
      </c>
      <c r="BR1982">
        <v>8.7799999999999994</v>
      </c>
      <c r="BS1982">
        <v>0.49</v>
      </c>
      <c r="BT1982">
        <v>0.26</v>
      </c>
      <c r="BU1982">
        <v>5.43</v>
      </c>
      <c r="BV1982">
        <v>4.46</v>
      </c>
      <c r="BW1982">
        <v>2.83</v>
      </c>
      <c r="BX1982">
        <v>1.7</v>
      </c>
      <c r="BY1982">
        <v>2.75</v>
      </c>
      <c r="BZ1982">
        <v>1.86</v>
      </c>
      <c r="CA1982">
        <v>0.17</v>
      </c>
      <c r="CB1982">
        <v>0</v>
      </c>
      <c r="CC1982">
        <v>0.18</v>
      </c>
      <c r="CD1982">
        <v>0.14000000000000001</v>
      </c>
      <c r="CE1982">
        <v>0.14000000000000001</v>
      </c>
      <c r="CF1982">
        <v>0.09</v>
      </c>
      <c r="CG1982">
        <v>2.2200000000000002</v>
      </c>
      <c r="CH1982">
        <v>-0.1</v>
      </c>
      <c r="CI1982">
        <v>-0.14000000000000001</v>
      </c>
      <c r="CJ1982">
        <v>10765</v>
      </c>
      <c r="CK1982">
        <v>7181</v>
      </c>
      <c r="CL1982" t="s">
        <v>7928</v>
      </c>
      <c r="CM1982">
        <v>-24.27</v>
      </c>
      <c r="CN1982">
        <v>2.4</v>
      </c>
      <c r="CO1982">
        <v>2.74</v>
      </c>
      <c r="CP1982">
        <v>-146.11000000000001</v>
      </c>
      <c r="CQ1982">
        <v>5.18</v>
      </c>
      <c r="CR1982">
        <v>0</v>
      </c>
      <c r="CS1982" t="s">
        <v>7083</v>
      </c>
      <c r="CT1982">
        <v>4.24</v>
      </c>
      <c r="CU1982">
        <v>0</v>
      </c>
      <c r="CV1982">
        <v>1.39</v>
      </c>
      <c r="CW1982">
        <v>1.81</v>
      </c>
      <c r="CX1982">
        <v>-0.08</v>
      </c>
      <c r="CY1982">
        <v>46.54</v>
      </c>
      <c r="CZ1982" t="s">
        <v>883</v>
      </c>
      <c r="DA1982">
        <v>32.5</v>
      </c>
      <c r="DB1982">
        <v>6.37</v>
      </c>
      <c r="DC1982">
        <v>5.24</v>
      </c>
      <c r="DD1982">
        <v>0.08</v>
      </c>
      <c r="DE1982">
        <v>359</v>
      </c>
      <c r="DF1982">
        <v>300592</v>
      </c>
      <c r="DG1982" t="s">
        <v>116</v>
      </c>
      <c r="DH1982" t="s">
        <v>116</v>
      </c>
      <c r="DI1982" t="s">
        <v>116</v>
      </c>
    </row>
    <row r="1983" spans="1:113" x14ac:dyDescent="0.4">
      <c r="A1983" t="str">
        <f>"300593"</f>
        <v>300593</v>
      </c>
      <c r="B1983" t="s">
        <v>9794</v>
      </c>
      <c r="C1983">
        <v>-2.21</v>
      </c>
      <c r="D1983">
        <v>18.13</v>
      </c>
      <c r="E1983">
        <v>-0.41</v>
      </c>
      <c r="F1983">
        <v>18.13</v>
      </c>
      <c r="G1983">
        <v>18.14</v>
      </c>
      <c r="H1983">
        <v>23798</v>
      </c>
      <c r="I1983">
        <v>635</v>
      </c>
      <c r="J1983">
        <v>-0.1</v>
      </c>
      <c r="K1983">
        <v>2.54</v>
      </c>
      <c r="L1983">
        <v>18.71</v>
      </c>
      <c r="M1983">
        <v>18.72</v>
      </c>
      <c r="N1983">
        <v>18.09</v>
      </c>
      <c r="O1983">
        <v>18.54</v>
      </c>
      <c r="P1983">
        <v>44.8</v>
      </c>
      <c r="Q1983">
        <v>43779392</v>
      </c>
      <c r="R1983">
        <v>0.7</v>
      </c>
      <c r="S1983" t="s">
        <v>397</v>
      </c>
      <c r="T1983" t="s">
        <v>165</v>
      </c>
      <c r="U1983">
        <v>3.4</v>
      </c>
      <c r="V1983">
        <v>18.399999999999999</v>
      </c>
      <c r="W1983">
        <v>14636</v>
      </c>
      <c r="X1983">
        <v>9162</v>
      </c>
      <c r="Y1983">
        <v>1.6</v>
      </c>
      <c r="Z1983">
        <v>149</v>
      </c>
      <c r="AA1983">
        <v>25</v>
      </c>
      <c r="AB1983" t="s">
        <v>116</v>
      </c>
      <c r="AC1983">
        <v>126500</v>
      </c>
      <c r="AD1983">
        <v>0.01</v>
      </c>
      <c r="AE1983" t="s">
        <v>116</v>
      </c>
      <c r="AF1983" t="s">
        <v>116</v>
      </c>
      <c r="AG1983">
        <v>0.94</v>
      </c>
      <c r="AH1983" t="s">
        <v>9795</v>
      </c>
      <c r="AI1983" t="s">
        <v>2132</v>
      </c>
      <c r="AJ1983">
        <v>-1.53</v>
      </c>
      <c r="AK1983">
        <v>2135</v>
      </c>
      <c r="AL1983">
        <v>11</v>
      </c>
      <c r="AM1983">
        <v>1.1999999999999999E-3</v>
      </c>
      <c r="AN1983">
        <v>-1</v>
      </c>
      <c r="AO1983">
        <v>-0.6</v>
      </c>
      <c r="AP1983">
        <v>-4.63</v>
      </c>
      <c r="AQ1983">
        <v>-12.79</v>
      </c>
      <c r="AR1983">
        <v>56.2</v>
      </c>
      <c r="AS1983">
        <v>2.54</v>
      </c>
      <c r="AT1983" t="s">
        <v>9795</v>
      </c>
      <c r="AU1983">
        <v>56.93</v>
      </c>
      <c r="AV1983">
        <v>83.87</v>
      </c>
      <c r="AW1983">
        <v>1.59</v>
      </c>
      <c r="BA1983">
        <v>0.92</v>
      </c>
      <c r="BB1983">
        <v>0.97</v>
      </c>
      <c r="BC1983">
        <v>-2.4300000000000002</v>
      </c>
      <c r="BD1983">
        <v>-0.78</v>
      </c>
      <c r="BE1983">
        <v>-3.1</v>
      </c>
      <c r="BF1983">
        <v>-3.15</v>
      </c>
      <c r="BG1983">
        <v>0.22</v>
      </c>
      <c r="BH1983">
        <v>-1.44</v>
      </c>
      <c r="BI1983">
        <v>20191031</v>
      </c>
      <c r="BJ1983">
        <v>20170113</v>
      </c>
      <c r="BK1983">
        <v>1.66</v>
      </c>
      <c r="BL1983" t="s">
        <v>116</v>
      </c>
      <c r="BM1983" t="s">
        <v>116</v>
      </c>
      <c r="BN1983">
        <v>14.01</v>
      </c>
      <c r="BO1983">
        <v>6.42</v>
      </c>
      <c r="BP1983">
        <v>1.59</v>
      </c>
      <c r="BQ1983">
        <v>42.85</v>
      </c>
      <c r="BR1983">
        <v>9.14</v>
      </c>
      <c r="BS1983">
        <v>2.77</v>
      </c>
      <c r="BT1983">
        <v>0.4</v>
      </c>
      <c r="BU1983">
        <v>3.68</v>
      </c>
      <c r="BV1983">
        <v>3.05</v>
      </c>
      <c r="BW1983">
        <v>2.88</v>
      </c>
      <c r="BX1983">
        <v>2.0699999999999998</v>
      </c>
      <c r="BY1983">
        <v>5.57</v>
      </c>
      <c r="BZ1983">
        <v>3.18</v>
      </c>
      <c r="CA1983">
        <v>0.56999999999999995</v>
      </c>
      <c r="CB1983">
        <v>0.01</v>
      </c>
      <c r="CC1983">
        <v>0.56000000000000005</v>
      </c>
      <c r="CD1983">
        <v>0.54</v>
      </c>
      <c r="CE1983">
        <v>0.5</v>
      </c>
      <c r="CF1983">
        <v>0.46</v>
      </c>
      <c r="CG1983">
        <v>2.69</v>
      </c>
      <c r="CH1983">
        <v>0.39</v>
      </c>
      <c r="CI1983">
        <v>-0.28000000000000003</v>
      </c>
      <c r="CJ1983">
        <v>10572</v>
      </c>
      <c r="CK1983">
        <v>8861</v>
      </c>
      <c r="CL1983" t="s">
        <v>9796</v>
      </c>
      <c r="CM1983">
        <v>50.84</v>
      </c>
      <c r="CN1983">
        <v>67.16</v>
      </c>
      <c r="CO1983">
        <v>4.66</v>
      </c>
      <c r="CP1983">
        <v>77.790000000000006</v>
      </c>
      <c r="CQ1983">
        <v>5.39</v>
      </c>
      <c r="CR1983">
        <v>0.2</v>
      </c>
      <c r="CS1983" t="s">
        <v>4088</v>
      </c>
      <c r="CT1983">
        <v>3.89</v>
      </c>
      <c r="CU1983">
        <v>3.89</v>
      </c>
      <c r="CV1983">
        <v>1.25</v>
      </c>
      <c r="CW1983">
        <v>1.63</v>
      </c>
      <c r="CX1983">
        <v>0.23</v>
      </c>
      <c r="CY1983">
        <v>45.82</v>
      </c>
      <c r="CZ1983" t="s">
        <v>9797</v>
      </c>
      <c r="DA1983">
        <v>42.77</v>
      </c>
      <c r="DB1983">
        <v>10.16</v>
      </c>
      <c r="DC1983">
        <v>9.0299999999999994</v>
      </c>
      <c r="DD1983">
        <v>0.89</v>
      </c>
      <c r="DE1983">
        <v>1477</v>
      </c>
      <c r="DF1983">
        <v>300593</v>
      </c>
      <c r="DG1983" t="s">
        <v>116</v>
      </c>
      <c r="DH1983" t="s">
        <v>116</v>
      </c>
      <c r="DI1983" t="s">
        <v>116</v>
      </c>
    </row>
    <row r="1984" spans="1:113" x14ac:dyDescent="0.4">
      <c r="A1984" t="str">
        <f>"300594"</f>
        <v>300594</v>
      </c>
      <c r="B1984" t="s">
        <v>9798</v>
      </c>
      <c r="C1984">
        <v>-0.91</v>
      </c>
      <c r="D1984">
        <v>34.99</v>
      </c>
      <c r="E1984">
        <v>-0.32</v>
      </c>
      <c r="F1984">
        <v>34.979999999999997</v>
      </c>
      <c r="G1984">
        <v>34.99</v>
      </c>
      <c r="H1984">
        <v>18714</v>
      </c>
      <c r="I1984">
        <v>279</v>
      </c>
      <c r="J1984">
        <v>0.26</v>
      </c>
      <c r="K1984">
        <v>8.42</v>
      </c>
      <c r="L1984">
        <v>35.26</v>
      </c>
      <c r="M1984">
        <v>35.450000000000003</v>
      </c>
      <c r="N1984">
        <v>34.770000000000003</v>
      </c>
      <c r="O1984">
        <v>35.31</v>
      </c>
      <c r="P1984">
        <v>38.56</v>
      </c>
      <c r="Q1984">
        <v>65658808</v>
      </c>
      <c r="R1984">
        <v>0.9</v>
      </c>
      <c r="S1984" t="s">
        <v>164</v>
      </c>
      <c r="T1984" t="s">
        <v>645</v>
      </c>
      <c r="U1984">
        <v>1.93</v>
      </c>
      <c r="V1984">
        <v>35.090000000000003</v>
      </c>
      <c r="W1984">
        <v>10687</v>
      </c>
      <c r="X1984">
        <v>8027</v>
      </c>
      <c r="Y1984">
        <v>1.33</v>
      </c>
      <c r="Z1984">
        <v>11</v>
      </c>
      <c r="AA1984">
        <v>58</v>
      </c>
      <c r="AB1984" t="s">
        <v>116</v>
      </c>
      <c r="AC1984">
        <v>91700</v>
      </c>
      <c r="AD1984">
        <v>0.01</v>
      </c>
      <c r="AE1984" t="s">
        <v>116</v>
      </c>
      <c r="AF1984" t="s">
        <v>116</v>
      </c>
      <c r="AG1984">
        <v>0.22</v>
      </c>
      <c r="AH1984" t="s">
        <v>9799</v>
      </c>
      <c r="AI1984" t="s">
        <v>1719</v>
      </c>
      <c r="AJ1984">
        <v>-0.23</v>
      </c>
      <c r="AK1984">
        <v>1750</v>
      </c>
      <c r="AL1984">
        <v>11</v>
      </c>
      <c r="AM1984">
        <v>4.7999999999999996E-3</v>
      </c>
      <c r="AN1984">
        <v>-1</v>
      </c>
      <c r="AO1984">
        <v>-7.0000000000000007E-2</v>
      </c>
      <c r="AP1984">
        <v>7.27</v>
      </c>
      <c r="AQ1984">
        <v>-5.59</v>
      </c>
      <c r="AR1984">
        <v>83.96</v>
      </c>
      <c r="AS1984">
        <v>8.42</v>
      </c>
      <c r="AT1984" t="s">
        <v>9799</v>
      </c>
      <c r="AU1984">
        <v>35.64</v>
      </c>
      <c r="AV1984">
        <v>40.78</v>
      </c>
      <c r="AW1984">
        <v>1.32</v>
      </c>
      <c r="BA1984">
        <v>-0.14000000000000001</v>
      </c>
      <c r="BB1984">
        <v>0.4</v>
      </c>
      <c r="BC1984">
        <v>-1.53</v>
      </c>
      <c r="BD1984">
        <v>-0.63</v>
      </c>
      <c r="BE1984">
        <v>-0.77</v>
      </c>
      <c r="BF1984">
        <v>-1.3</v>
      </c>
      <c r="BG1984">
        <v>0.63</v>
      </c>
      <c r="BH1984">
        <v>-0.27</v>
      </c>
      <c r="BI1984">
        <v>20191028</v>
      </c>
      <c r="BJ1984">
        <v>20190621</v>
      </c>
      <c r="BK1984">
        <v>0.89</v>
      </c>
      <c r="BL1984" t="s">
        <v>116</v>
      </c>
      <c r="BM1984" t="s">
        <v>116</v>
      </c>
      <c r="BN1984">
        <v>10.63</v>
      </c>
      <c r="BO1984">
        <v>7.94</v>
      </c>
      <c r="BP1984">
        <v>0</v>
      </c>
      <c r="BQ1984">
        <v>25.27</v>
      </c>
      <c r="BR1984">
        <v>9.69</v>
      </c>
      <c r="BS1984">
        <v>0.49</v>
      </c>
      <c r="BT1984">
        <v>0.24</v>
      </c>
      <c r="BU1984">
        <v>2.61</v>
      </c>
      <c r="BV1984">
        <v>0.78</v>
      </c>
      <c r="BW1984">
        <v>4.72</v>
      </c>
      <c r="BX1984">
        <v>5.0599999999999996</v>
      </c>
      <c r="BY1984">
        <v>3.75</v>
      </c>
      <c r="BZ1984">
        <v>2.2999999999999998</v>
      </c>
      <c r="CA1984">
        <v>0.63</v>
      </c>
      <c r="CB1984">
        <v>0</v>
      </c>
      <c r="CC1984">
        <v>0.7</v>
      </c>
      <c r="CD1984">
        <v>0.6</v>
      </c>
      <c r="CE1984">
        <v>0.6</v>
      </c>
      <c r="CF1984">
        <v>0.54</v>
      </c>
      <c r="CG1984">
        <v>1.77</v>
      </c>
      <c r="CH1984">
        <v>-1.2</v>
      </c>
      <c r="CI1984">
        <v>2.33</v>
      </c>
      <c r="CJ1984">
        <v>16829</v>
      </c>
      <c r="CK1984">
        <v>1321</v>
      </c>
      <c r="CL1984" t="s">
        <v>1571</v>
      </c>
      <c r="CM1984">
        <v>0</v>
      </c>
      <c r="CN1984">
        <v>0</v>
      </c>
      <c r="CO1984">
        <v>3.92</v>
      </c>
      <c r="CP1984">
        <v>-25.96</v>
      </c>
      <c r="CQ1984">
        <v>8.3000000000000007</v>
      </c>
      <c r="CR1984">
        <v>0</v>
      </c>
      <c r="CS1984" t="s">
        <v>9381</v>
      </c>
      <c r="CT1984">
        <v>8.93</v>
      </c>
      <c r="CU1984">
        <v>0</v>
      </c>
      <c r="CV1984">
        <v>5.69</v>
      </c>
      <c r="CW1984">
        <v>1.99</v>
      </c>
      <c r="CX1984">
        <v>-1.35</v>
      </c>
      <c r="CY1984">
        <v>74.72</v>
      </c>
      <c r="CZ1984" t="s">
        <v>9800</v>
      </c>
      <c r="DA1984">
        <v>38.590000000000003</v>
      </c>
      <c r="DB1984">
        <v>16.93</v>
      </c>
      <c r="DC1984">
        <v>16.14</v>
      </c>
      <c r="DD1984">
        <v>0.21</v>
      </c>
      <c r="DE1984">
        <v>633</v>
      </c>
      <c r="DF1984">
        <v>300594</v>
      </c>
      <c r="DG1984" t="s">
        <v>116</v>
      </c>
      <c r="DH1984" t="s">
        <v>116</v>
      </c>
      <c r="DI1984" t="s">
        <v>116</v>
      </c>
    </row>
    <row r="1985" spans="1:113" x14ac:dyDescent="0.4">
      <c r="A1985" t="str">
        <f>"300595"</f>
        <v>300595</v>
      </c>
      <c r="B1985" t="s">
        <v>9801</v>
      </c>
      <c r="C1985">
        <v>-1.18</v>
      </c>
      <c r="D1985">
        <v>46.88</v>
      </c>
      <c r="E1985">
        <v>-0.56000000000000005</v>
      </c>
      <c r="F1985">
        <v>46.87</v>
      </c>
      <c r="G1985">
        <v>46.88</v>
      </c>
      <c r="H1985">
        <v>38432</v>
      </c>
      <c r="I1985">
        <v>339</v>
      </c>
      <c r="J1985">
        <v>-0.03</v>
      </c>
      <c r="K1985">
        <v>1.54</v>
      </c>
      <c r="L1985">
        <v>47.54</v>
      </c>
      <c r="M1985">
        <v>47.98</v>
      </c>
      <c r="N1985">
        <v>46.4</v>
      </c>
      <c r="O1985">
        <v>47.44</v>
      </c>
      <c r="P1985">
        <v>62.03</v>
      </c>
      <c r="Q1985">
        <v>180690064</v>
      </c>
      <c r="R1985">
        <v>1.18</v>
      </c>
      <c r="S1985" t="s">
        <v>559</v>
      </c>
      <c r="T1985" t="s">
        <v>575</v>
      </c>
      <c r="U1985">
        <v>3.33</v>
      </c>
      <c r="V1985">
        <v>47.02</v>
      </c>
      <c r="W1985">
        <v>20928</v>
      </c>
      <c r="X1985">
        <v>17504</v>
      </c>
      <c r="Y1985">
        <v>1.2</v>
      </c>
      <c r="Z1985">
        <v>61</v>
      </c>
      <c r="AA1985">
        <v>172</v>
      </c>
      <c r="AB1985" t="s">
        <v>116</v>
      </c>
      <c r="AC1985">
        <v>172300</v>
      </c>
      <c r="AD1985">
        <v>0</v>
      </c>
      <c r="AE1985" t="s">
        <v>116</v>
      </c>
      <c r="AF1985" t="s">
        <v>116</v>
      </c>
      <c r="AG1985">
        <v>2.5</v>
      </c>
      <c r="AH1985" t="s">
        <v>9802</v>
      </c>
      <c r="AI1985" t="s">
        <v>9803</v>
      </c>
      <c r="AJ1985">
        <v>-0.5</v>
      </c>
      <c r="AK1985">
        <v>2957</v>
      </c>
      <c r="AL1985">
        <v>13</v>
      </c>
      <c r="AM1985">
        <v>5.0000000000000001E-4</v>
      </c>
      <c r="AN1985">
        <v>-1</v>
      </c>
      <c r="AO1985">
        <v>-3.39</v>
      </c>
      <c r="AP1985">
        <v>-3.54</v>
      </c>
      <c r="AQ1985">
        <v>-2.84</v>
      </c>
      <c r="AR1985">
        <v>118.61</v>
      </c>
      <c r="AS1985">
        <v>2.34</v>
      </c>
      <c r="AT1985" t="s">
        <v>5166</v>
      </c>
      <c r="AU1985">
        <v>67.72</v>
      </c>
      <c r="AV1985">
        <v>87.72</v>
      </c>
      <c r="AW1985">
        <v>1.17</v>
      </c>
      <c r="BA1985">
        <v>0.21</v>
      </c>
      <c r="BB1985">
        <v>1.1399999999999999</v>
      </c>
      <c r="BC1985">
        <v>-2.19</v>
      </c>
      <c r="BD1985">
        <v>-0.89</v>
      </c>
      <c r="BE1985">
        <v>-1.39</v>
      </c>
      <c r="BF1985">
        <v>-2.29</v>
      </c>
      <c r="BG1985">
        <v>1.03</v>
      </c>
      <c r="BH1985">
        <v>-0.28999999999999998</v>
      </c>
      <c r="BI1985">
        <v>20191226</v>
      </c>
      <c r="BJ1985">
        <v>20170117</v>
      </c>
      <c r="BK1985">
        <v>4.05</v>
      </c>
      <c r="BL1985" t="s">
        <v>116</v>
      </c>
      <c r="BM1985" t="s">
        <v>116</v>
      </c>
      <c r="BN1985">
        <v>15.11</v>
      </c>
      <c r="BO1985">
        <v>12.47</v>
      </c>
      <c r="BP1985">
        <v>0.86</v>
      </c>
      <c r="BQ1985">
        <v>11.79</v>
      </c>
      <c r="BR1985">
        <v>11.68</v>
      </c>
      <c r="BS1985">
        <v>1.35</v>
      </c>
      <c r="BT1985">
        <v>0.08</v>
      </c>
      <c r="BU1985">
        <v>1.68</v>
      </c>
      <c r="BV1985">
        <v>0.54</v>
      </c>
      <c r="BW1985">
        <v>1.08</v>
      </c>
      <c r="BX1985">
        <v>2.2599999999999998</v>
      </c>
      <c r="BY1985">
        <v>4.8499999999999996</v>
      </c>
      <c r="BZ1985">
        <v>0.97</v>
      </c>
      <c r="CA1985">
        <v>2.68</v>
      </c>
      <c r="CB1985">
        <v>0.28999999999999998</v>
      </c>
      <c r="CC1985">
        <v>2.68</v>
      </c>
      <c r="CD1985">
        <v>2.23</v>
      </c>
      <c r="CE1985">
        <v>2.29</v>
      </c>
      <c r="CF1985">
        <v>2.02</v>
      </c>
      <c r="CG1985">
        <v>5.94</v>
      </c>
      <c r="CH1985">
        <v>2.09</v>
      </c>
      <c r="CI1985">
        <v>0.86</v>
      </c>
      <c r="CJ1985">
        <v>15483</v>
      </c>
      <c r="CK1985">
        <v>10629</v>
      </c>
      <c r="CL1985" t="s">
        <v>9804</v>
      </c>
      <c r="CM1985">
        <v>38.6</v>
      </c>
      <c r="CN1985">
        <v>46.9</v>
      </c>
      <c r="CO1985">
        <v>15.18</v>
      </c>
      <c r="CP1985">
        <v>90.83</v>
      </c>
      <c r="CQ1985">
        <v>39.11</v>
      </c>
      <c r="CR1985">
        <v>0.17</v>
      </c>
      <c r="CS1985" t="s">
        <v>2367</v>
      </c>
      <c r="CT1985">
        <v>3.09</v>
      </c>
      <c r="CU1985">
        <v>3.09</v>
      </c>
      <c r="CV1985">
        <v>0.56000000000000005</v>
      </c>
      <c r="CW1985">
        <v>1.47</v>
      </c>
      <c r="CX1985">
        <v>0.52</v>
      </c>
      <c r="CY1985">
        <v>82.55</v>
      </c>
      <c r="CZ1985" t="s">
        <v>8529</v>
      </c>
      <c r="DA1985">
        <v>79.989999999999995</v>
      </c>
      <c r="DB1985">
        <v>55.26</v>
      </c>
      <c r="DC1985">
        <v>47.29</v>
      </c>
      <c r="DD1985">
        <v>0.11</v>
      </c>
      <c r="DE1985">
        <v>898</v>
      </c>
      <c r="DF1985">
        <v>300595</v>
      </c>
      <c r="DG1985" t="s">
        <v>116</v>
      </c>
      <c r="DH1985" t="s">
        <v>116</v>
      </c>
      <c r="DI1985" t="s">
        <v>116</v>
      </c>
    </row>
    <row r="1986" spans="1:113" x14ac:dyDescent="0.4">
      <c r="A1986" t="str">
        <f>"300596"</f>
        <v>300596</v>
      </c>
      <c r="B1986" t="s">
        <v>9805</v>
      </c>
      <c r="C1986">
        <v>3.28</v>
      </c>
      <c r="D1986">
        <v>35.9</v>
      </c>
      <c r="E1986">
        <v>1.1399999999999999</v>
      </c>
      <c r="F1986">
        <v>35.9</v>
      </c>
      <c r="G1986">
        <v>35.92</v>
      </c>
      <c r="H1986">
        <v>17244</v>
      </c>
      <c r="I1986">
        <v>171</v>
      </c>
      <c r="J1986">
        <v>-0.05</v>
      </c>
      <c r="K1986">
        <v>1.41</v>
      </c>
      <c r="L1986">
        <v>34.75</v>
      </c>
      <c r="M1986">
        <v>36.549999999999997</v>
      </c>
      <c r="N1986">
        <v>34.53</v>
      </c>
      <c r="O1986">
        <v>34.76</v>
      </c>
      <c r="P1986">
        <v>25.21</v>
      </c>
      <c r="Q1986">
        <v>61736564</v>
      </c>
      <c r="R1986">
        <v>1.8</v>
      </c>
      <c r="S1986" t="s">
        <v>891</v>
      </c>
      <c r="T1986" t="s">
        <v>1035</v>
      </c>
      <c r="U1986">
        <v>5.81</v>
      </c>
      <c r="V1986">
        <v>35.799999999999997</v>
      </c>
      <c r="W1986">
        <v>7077</v>
      </c>
      <c r="X1986">
        <v>10167</v>
      </c>
      <c r="Y1986">
        <v>0.7</v>
      </c>
      <c r="Z1986">
        <v>32</v>
      </c>
      <c r="AA1986">
        <v>51</v>
      </c>
      <c r="AB1986" t="s">
        <v>116</v>
      </c>
      <c r="AC1986">
        <v>0</v>
      </c>
      <c r="AD1986">
        <v>0</v>
      </c>
      <c r="AE1986" t="s">
        <v>116</v>
      </c>
      <c r="AF1986" t="s">
        <v>116</v>
      </c>
      <c r="AG1986">
        <v>1.22</v>
      </c>
      <c r="AH1986" t="s">
        <v>9806</v>
      </c>
      <c r="AI1986" t="s">
        <v>9807</v>
      </c>
      <c r="AJ1986">
        <v>3.96</v>
      </c>
      <c r="AK1986">
        <v>1943</v>
      </c>
      <c r="AL1986">
        <v>9</v>
      </c>
      <c r="AM1986">
        <v>6.9999999999999999E-4</v>
      </c>
      <c r="AN1986">
        <v>1</v>
      </c>
      <c r="AO1986">
        <v>3.16</v>
      </c>
      <c r="AP1986">
        <v>7.49</v>
      </c>
      <c r="AQ1986">
        <v>8.36</v>
      </c>
      <c r="AR1986">
        <v>16.41</v>
      </c>
      <c r="AS1986">
        <v>1.91</v>
      </c>
      <c r="AT1986" t="s">
        <v>9808</v>
      </c>
      <c r="AU1986">
        <v>27.88</v>
      </c>
      <c r="AV1986">
        <v>38.119999999999997</v>
      </c>
      <c r="AW1986">
        <v>0.84</v>
      </c>
      <c r="BA1986">
        <v>-0.03</v>
      </c>
      <c r="BB1986">
        <v>5.15</v>
      </c>
      <c r="BC1986">
        <v>-0.66</v>
      </c>
      <c r="BD1986">
        <v>3</v>
      </c>
      <c r="BE1986">
        <v>3.31</v>
      </c>
      <c r="BF1986">
        <v>-1.78</v>
      </c>
      <c r="BG1986">
        <v>3.97</v>
      </c>
      <c r="BH1986">
        <v>0.28000000000000003</v>
      </c>
      <c r="BI1986">
        <v>20191024</v>
      </c>
      <c r="BJ1986">
        <v>20170119</v>
      </c>
      <c r="BK1986">
        <v>2.0499999999999998</v>
      </c>
      <c r="BL1986" t="s">
        <v>116</v>
      </c>
      <c r="BM1986" t="s">
        <v>116</v>
      </c>
      <c r="BN1986">
        <v>31.78</v>
      </c>
      <c r="BO1986">
        <v>18.670000000000002</v>
      </c>
      <c r="BP1986">
        <v>0.28999999999999998</v>
      </c>
      <c r="BQ1986">
        <v>40.33</v>
      </c>
      <c r="BR1986">
        <v>15.59</v>
      </c>
      <c r="BS1986">
        <v>5.7</v>
      </c>
      <c r="BT1986">
        <v>1.96</v>
      </c>
      <c r="BU1986">
        <v>10.3</v>
      </c>
      <c r="BV1986">
        <v>6.33</v>
      </c>
      <c r="BW1986">
        <v>3.69</v>
      </c>
      <c r="BX1986">
        <v>9.15</v>
      </c>
      <c r="BY1986">
        <v>14.34</v>
      </c>
      <c r="BZ1986">
        <v>9.91</v>
      </c>
      <c r="CA1986">
        <v>2.56</v>
      </c>
      <c r="CB1986">
        <v>0</v>
      </c>
      <c r="CC1986">
        <v>2.58</v>
      </c>
      <c r="CD1986">
        <v>2.2000000000000002</v>
      </c>
      <c r="CE1986">
        <v>2.19</v>
      </c>
      <c r="CF1986">
        <v>2.0099999999999998</v>
      </c>
      <c r="CG1986">
        <v>6.97</v>
      </c>
      <c r="CH1986">
        <v>-0.18</v>
      </c>
      <c r="CI1986">
        <v>0.28000000000000003</v>
      </c>
      <c r="CJ1986">
        <v>6662</v>
      </c>
      <c r="CK1986">
        <v>13559</v>
      </c>
      <c r="CL1986" t="s">
        <v>9809</v>
      </c>
      <c r="CM1986">
        <v>47.85</v>
      </c>
      <c r="CN1986">
        <v>26.92</v>
      </c>
      <c r="CO1986">
        <v>3.94</v>
      </c>
      <c r="CP1986">
        <v>-401.43</v>
      </c>
      <c r="CQ1986">
        <v>5.13</v>
      </c>
      <c r="CR1986">
        <v>0.39</v>
      </c>
      <c r="CS1986" t="s">
        <v>9810</v>
      </c>
      <c r="CT1986">
        <v>9.11</v>
      </c>
      <c r="CU1986">
        <v>0</v>
      </c>
      <c r="CV1986">
        <v>4.46</v>
      </c>
      <c r="CW1986">
        <v>3.4</v>
      </c>
      <c r="CX1986">
        <v>-0.09</v>
      </c>
      <c r="CY1986">
        <v>58.75</v>
      </c>
      <c r="CZ1986" t="s">
        <v>4753</v>
      </c>
      <c r="DA1986">
        <v>30.9</v>
      </c>
      <c r="DB1986">
        <v>17.88</v>
      </c>
      <c r="DC1986">
        <v>15.27</v>
      </c>
      <c r="DD1986">
        <v>0.57999999999999996</v>
      </c>
      <c r="DE1986">
        <v>1051</v>
      </c>
      <c r="DF1986">
        <v>300596</v>
      </c>
      <c r="DG1986" t="s">
        <v>116</v>
      </c>
      <c r="DH1986" t="s">
        <v>116</v>
      </c>
      <c r="DI1986" t="s">
        <v>116</v>
      </c>
    </row>
    <row r="1987" spans="1:113" x14ac:dyDescent="0.4">
      <c r="A1987" t="str">
        <f>"300597"</f>
        <v>300597</v>
      </c>
      <c r="B1987" t="s">
        <v>9811</v>
      </c>
      <c r="C1987">
        <v>-1.59</v>
      </c>
      <c r="D1987">
        <v>11.77</v>
      </c>
      <c r="E1987">
        <v>-0.19</v>
      </c>
      <c r="F1987">
        <v>11.77</v>
      </c>
      <c r="G1987">
        <v>11.78</v>
      </c>
      <c r="H1987">
        <v>27349</v>
      </c>
      <c r="I1987">
        <v>382</v>
      </c>
      <c r="J1987">
        <v>-0.16</v>
      </c>
      <c r="K1987">
        <v>1.99</v>
      </c>
      <c r="L1987">
        <v>11.97</v>
      </c>
      <c r="M1987">
        <v>12.1</v>
      </c>
      <c r="N1987">
        <v>11.77</v>
      </c>
      <c r="O1987">
        <v>11.96</v>
      </c>
      <c r="P1987">
        <v>113.31</v>
      </c>
      <c r="Q1987">
        <v>32692360</v>
      </c>
      <c r="R1987">
        <v>0.99</v>
      </c>
      <c r="S1987" t="s">
        <v>465</v>
      </c>
      <c r="T1987" t="s">
        <v>294</v>
      </c>
      <c r="U1987">
        <v>2.76</v>
      </c>
      <c r="V1987">
        <v>11.95</v>
      </c>
      <c r="W1987">
        <v>17172</v>
      </c>
      <c r="X1987">
        <v>10177</v>
      </c>
      <c r="Y1987">
        <v>1.69</v>
      </c>
      <c r="Z1987">
        <v>492</v>
      </c>
      <c r="AA1987">
        <v>218</v>
      </c>
      <c r="AB1987" t="s">
        <v>116</v>
      </c>
      <c r="AC1987">
        <v>214300</v>
      </c>
      <c r="AD1987">
        <v>0.01</v>
      </c>
      <c r="AE1987" t="s">
        <v>116</v>
      </c>
      <c r="AF1987" t="s">
        <v>116</v>
      </c>
      <c r="AG1987">
        <v>1.37</v>
      </c>
      <c r="AH1987" t="s">
        <v>1536</v>
      </c>
      <c r="AI1987" t="s">
        <v>9812</v>
      </c>
      <c r="AJ1987">
        <v>-0.91</v>
      </c>
      <c r="AK1987">
        <v>1329</v>
      </c>
      <c r="AL1987">
        <v>21</v>
      </c>
      <c r="AM1987">
        <v>1.5E-3</v>
      </c>
      <c r="AN1987">
        <v>-1</v>
      </c>
      <c r="AO1987">
        <v>-0.67</v>
      </c>
      <c r="AP1987">
        <v>3.79</v>
      </c>
      <c r="AQ1987">
        <v>-18.04</v>
      </c>
      <c r="AR1987">
        <v>-19.39</v>
      </c>
      <c r="AS1987">
        <v>1.99</v>
      </c>
      <c r="AT1987" t="s">
        <v>1536</v>
      </c>
      <c r="AU1987">
        <v>73.86</v>
      </c>
      <c r="AV1987">
        <v>64.37</v>
      </c>
      <c r="AW1987">
        <v>1.75</v>
      </c>
      <c r="BA1987">
        <v>0.08</v>
      </c>
      <c r="BB1987">
        <v>1.17</v>
      </c>
      <c r="BC1987">
        <v>-1.59</v>
      </c>
      <c r="BD1987">
        <v>-0.05</v>
      </c>
      <c r="BE1987">
        <v>-1.67</v>
      </c>
      <c r="BF1987">
        <v>-2.73</v>
      </c>
      <c r="BG1987">
        <v>0</v>
      </c>
      <c r="BH1987">
        <v>-1.54</v>
      </c>
      <c r="BI1987">
        <v>20191206</v>
      </c>
      <c r="BJ1987">
        <v>20170123</v>
      </c>
      <c r="BK1987">
        <v>2.4</v>
      </c>
      <c r="BL1987" t="s">
        <v>116</v>
      </c>
      <c r="BM1987" t="s">
        <v>116</v>
      </c>
      <c r="BN1987">
        <v>10.210000000000001</v>
      </c>
      <c r="BO1987">
        <v>7.85</v>
      </c>
      <c r="BP1987">
        <v>0</v>
      </c>
      <c r="BQ1987">
        <v>23.06</v>
      </c>
      <c r="BR1987">
        <v>9.11</v>
      </c>
      <c r="BS1987">
        <v>0.34</v>
      </c>
      <c r="BT1987">
        <v>0.05</v>
      </c>
      <c r="BU1987">
        <v>2.35</v>
      </c>
      <c r="BV1987">
        <v>2.37</v>
      </c>
      <c r="BW1987">
        <v>3.63</v>
      </c>
      <c r="BX1987">
        <v>2.13</v>
      </c>
      <c r="BY1987">
        <v>2.27</v>
      </c>
      <c r="BZ1987">
        <v>1.68</v>
      </c>
      <c r="CA1987">
        <v>0.24</v>
      </c>
      <c r="CB1987">
        <v>0.01</v>
      </c>
      <c r="CC1987">
        <v>0.24</v>
      </c>
      <c r="CD1987">
        <v>0.19</v>
      </c>
      <c r="CE1987">
        <v>0.19</v>
      </c>
      <c r="CF1987">
        <v>0.18</v>
      </c>
      <c r="CG1987">
        <v>2.99</v>
      </c>
      <c r="CH1987">
        <v>-0.23</v>
      </c>
      <c r="CI1987">
        <v>-0.34</v>
      </c>
      <c r="CJ1987">
        <v>28991</v>
      </c>
      <c r="CK1987">
        <v>4729</v>
      </c>
      <c r="CL1987" t="s">
        <v>504</v>
      </c>
      <c r="CM1987">
        <v>-23.17</v>
      </c>
      <c r="CN1987">
        <v>-9.86</v>
      </c>
      <c r="CO1987">
        <v>3.6</v>
      </c>
      <c r="CP1987">
        <v>-122.71</v>
      </c>
      <c r="CQ1987">
        <v>12.43</v>
      </c>
      <c r="CR1987">
        <v>0.16</v>
      </c>
      <c r="CS1987" t="s">
        <v>178</v>
      </c>
      <c r="CT1987">
        <v>3.27</v>
      </c>
      <c r="CU1987">
        <v>0</v>
      </c>
      <c r="CV1987">
        <v>0.89</v>
      </c>
      <c r="CW1987">
        <v>1.24</v>
      </c>
      <c r="CX1987">
        <v>-0.1</v>
      </c>
      <c r="CY1987">
        <v>76.94</v>
      </c>
      <c r="CZ1987" t="s">
        <v>6815</v>
      </c>
      <c r="DA1987">
        <v>26.11</v>
      </c>
      <c r="DB1987">
        <v>10.44</v>
      </c>
      <c r="DC1987">
        <v>8.23</v>
      </c>
      <c r="DD1987">
        <v>0.09</v>
      </c>
      <c r="DE1987">
        <v>1353</v>
      </c>
      <c r="DF1987">
        <v>300597</v>
      </c>
      <c r="DG1987" t="s">
        <v>116</v>
      </c>
      <c r="DH1987" t="s">
        <v>116</v>
      </c>
      <c r="DI1987" t="s">
        <v>116</v>
      </c>
    </row>
    <row r="1988" spans="1:113" x14ac:dyDescent="0.4">
      <c r="A1988" t="str">
        <f>"300598"</f>
        <v>300598</v>
      </c>
      <c r="B1988" t="s">
        <v>9813</v>
      </c>
      <c r="C1988">
        <v>-1.71</v>
      </c>
      <c r="D1988">
        <v>126.79</v>
      </c>
      <c r="E1988">
        <v>-2.2000000000000002</v>
      </c>
      <c r="F1988">
        <v>126.78</v>
      </c>
      <c r="G1988">
        <v>126.79</v>
      </c>
      <c r="H1988">
        <v>25777</v>
      </c>
      <c r="I1988">
        <v>437</v>
      </c>
      <c r="J1988">
        <v>0</v>
      </c>
      <c r="K1988">
        <v>5.33</v>
      </c>
      <c r="L1988">
        <v>128.43</v>
      </c>
      <c r="M1988">
        <v>132.94999999999999</v>
      </c>
      <c r="N1988">
        <v>126.52</v>
      </c>
      <c r="O1988">
        <v>128.99</v>
      </c>
      <c r="P1988">
        <v>1335.4</v>
      </c>
      <c r="Q1988">
        <v>333439424</v>
      </c>
      <c r="R1988">
        <v>0.59</v>
      </c>
      <c r="S1988" t="s">
        <v>607</v>
      </c>
      <c r="T1988" t="s">
        <v>323</v>
      </c>
      <c r="U1988">
        <v>4.9800000000000004</v>
      </c>
      <c r="V1988">
        <v>129.35</v>
      </c>
      <c r="W1988">
        <v>13939</v>
      </c>
      <c r="X1988">
        <v>11838</v>
      </c>
      <c r="Y1988">
        <v>1.18</v>
      </c>
      <c r="Z1988">
        <v>17</v>
      </c>
      <c r="AA1988">
        <v>74</v>
      </c>
      <c r="AB1988" t="s">
        <v>116</v>
      </c>
      <c r="AC1988">
        <v>3730800</v>
      </c>
      <c r="AD1988">
        <v>0.08</v>
      </c>
      <c r="AE1988" t="s">
        <v>116</v>
      </c>
      <c r="AF1988" t="s">
        <v>116</v>
      </c>
      <c r="AG1988">
        <v>0.48</v>
      </c>
      <c r="AH1988" t="s">
        <v>9814</v>
      </c>
      <c r="AI1988" t="s">
        <v>9815</v>
      </c>
      <c r="AJ1988">
        <v>-1.03</v>
      </c>
      <c r="AK1988">
        <v>2954</v>
      </c>
      <c r="AL1988">
        <v>9</v>
      </c>
      <c r="AM1988">
        <v>1.8E-3</v>
      </c>
      <c r="AN1988">
        <v>-2</v>
      </c>
      <c r="AO1988">
        <v>-0.91</v>
      </c>
      <c r="AP1988">
        <v>17.39</v>
      </c>
      <c r="AQ1988">
        <v>257.36</v>
      </c>
      <c r="AR1988">
        <v>483.21</v>
      </c>
      <c r="AS1988">
        <v>6.9</v>
      </c>
      <c r="AT1988" t="s">
        <v>510</v>
      </c>
      <c r="AU1988">
        <v>859.3</v>
      </c>
      <c r="AV1988">
        <v>637.22</v>
      </c>
      <c r="AW1988">
        <v>1.98</v>
      </c>
      <c r="BA1988">
        <v>-0.43</v>
      </c>
      <c r="BB1988">
        <v>3.07</v>
      </c>
      <c r="BC1988">
        <v>-1.91</v>
      </c>
      <c r="BD1988">
        <v>0.28000000000000003</v>
      </c>
      <c r="BE1988">
        <v>-1.28</v>
      </c>
      <c r="BF1988">
        <v>-4.63</v>
      </c>
      <c r="BG1988">
        <v>0.21</v>
      </c>
      <c r="BH1988">
        <v>-1.99</v>
      </c>
      <c r="BI1988">
        <v>20191217</v>
      </c>
      <c r="BJ1988">
        <v>20170120</v>
      </c>
      <c r="BK1988">
        <v>0.8</v>
      </c>
      <c r="BL1988" t="s">
        <v>116</v>
      </c>
      <c r="BM1988" t="s">
        <v>116</v>
      </c>
      <c r="BN1988">
        <v>6.19</v>
      </c>
      <c r="BO1988">
        <v>4.6500000000000004</v>
      </c>
      <c r="BP1988">
        <v>-0.02</v>
      </c>
      <c r="BQ1988">
        <v>25.2</v>
      </c>
      <c r="BR1988">
        <v>4.67</v>
      </c>
      <c r="BS1988">
        <v>1.1200000000000001</v>
      </c>
      <c r="BT1988">
        <v>0.24</v>
      </c>
      <c r="BU1988">
        <v>1.37</v>
      </c>
      <c r="BV1988">
        <v>0.11</v>
      </c>
      <c r="BW1988">
        <v>3.28</v>
      </c>
      <c r="BX1988">
        <v>1.75</v>
      </c>
      <c r="BY1988">
        <v>4.6500000000000004</v>
      </c>
      <c r="BZ1988">
        <v>3.51</v>
      </c>
      <c r="CA1988">
        <v>0.04</v>
      </c>
      <c r="CB1988">
        <v>0</v>
      </c>
      <c r="CC1988">
        <v>0.04</v>
      </c>
      <c r="CD1988">
        <v>0.04</v>
      </c>
      <c r="CE1988">
        <v>0.06</v>
      </c>
      <c r="CF1988">
        <v>0.01</v>
      </c>
      <c r="CG1988">
        <v>1.88</v>
      </c>
      <c r="CH1988">
        <v>-0.31</v>
      </c>
      <c r="CI1988">
        <v>-0.64</v>
      </c>
      <c r="CJ1988">
        <v>16613</v>
      </c>
      <c r="CK1988">
        <v>2249</v>
      </c>
      <c r="CL1988" t="s">
        <v>9816</v>
      </c>
      <c r="CM1988">
        <v>-41.93</v>
      </c>
      <c r="CN1988">
        <v>22.52</v>
      </c>
      <c r="CO1988">
        <v>21.83</v>
      </c>
      <c r="CP1988">
        <v>-326.62</v>
      </c>
      <c r="CQ1988">
        <v>21.8</v>
      </c>
      <c r="CR1988">
        <v>0.02</v>
      </c>
      <c r="CS1988" t="s">
        <v>9070</v>
      </c>
      <c r="CT1988">
        <v>5.81</v>
      </c>
      <c r="CU1988">
        <v>0</v>
      </c>
      <c r="CV1988">
        <v>2.19</v>
      </c>
      <c r="CW1988">
        <v>2.35</v>
      </c>
      <c r="CX1988">
        <v>-0.39</v>
      </c>
      <c r="CY1988">
        <v>75.040000000000006</v>
      </c>
      <c r="CZ1988" t="s">
        <v>4578</v>
      </c>
      <c r="DA1988">
        <v>24.6</v>
      </c>
      <c r="DB1988">
        <v>0.77</v>
      </c>
      <c r="DC1988">
        <v>1.22</v>
      </c>
      <c r="DD1988">
        <v>0.41</v>
      </c>
      <c r="DE1988">
        <v>2807</v>
      </c>
      <c r="DF1988">
        <v>300598</v>
      </c>
      <c r="DG1988" t="s">
        <v>116</v>
      </c>
      <c r="DH1988" t="s">
        <v>116</v>
      </c>
      <c r="DI1988" t="s">
        <v>116</v>
      </c>
    </row>
    <row r="1989" spans="1:113" x14ac:dyDescent="0.4">
      <c r="A1989" t="str">
        <f>"300599"</f>
        <v>300599</v>
      </c>
      <c r="B1989" t="s">
        <v>9817</v>
      </c>
      <c r="C1989">
        <v>-0.77</v>
      </c>
      <c r="D1989">
        <v>10.26</v>
      </c>
      <c r="E1989">
        <v>-0.08</v>
      </c>
      <c r="F1989">
        <v>10.26</v>
      </c>
      <c r="G1989">
        <v>10.27</v>
      </c>
      <c r="H1989">
        <v>16848</v>
      </c>
      <c r="I1989">
        <v>24</v>
      </c>
      <c r="J1989">
        <v>0</v>
      </c>
      <c r="K1989">
        <v>1.86</v>
      </c>
      <c r="L1989">
        <v>10.37</v>
      </c>
      <c r="M1989">
        <v>10.41</v>
      </c>
      <c r="N1989">
        <v>10.25</v>
      </c>
      <c r="O1989">
        <v>10.34</v>
      </c>
      <c r="P1989">
        <v>13.04</v>
      </c>
      <c r="Q1989">
        <v>17423806</v>
      </c>
      <c r="R1989">
        <v>1.38</v>
      </c>
      <c r="S1989" t="s">
        <v>2444</v>
      </c>
      <c r="T1989" t="s">
        <v>551</v>
      </c>
      <c r="U1989">
        <v>1.55</v>
      </c>
      <c r="V1989">
        <v>10.34</v>
      </c>
      <c r="W1989">
        <v>9889</v>
      </c>
      <c r="X1989">
        <v>6959</v>
      </c>
      <c r="Y1989">
        <v>1.42</v>
      </c>
      <c r="Z1989">
        <v>1</v>
      </c>
      <c r="AA1989">
        <v>293</v>
      </c>
      <c r="AB1989" t="s">
        <v>116</v>
      </c>
      <c r="AC1989">
        <v>1000</v>
      </c>
      <c r="AD1989">
        <v>0</v>
      </c>
      <c r="AE1989" t="s">
        <v>116</v>
      </c>
      <c r="AF1989" t="s">
        <v>116</v>
      </c>
      <c r="AG1989">
        <v>0.91</v>
      </c>
      <c r="AH1989" t="s">
        <v>6999</v>
      </c>
      <c r="AI1989" t="s">
        <v>3396</v>
      </c>
      <c r="AJ1989">
        <v>-0.09</v>
      </c>
      <c r="AK1989">
        <v>715</v>
      </c>
      <c r="AL1989">
        <v>24</v>
      </c>
      <c r="AM1989">
        <v>2.5999999999999999E-3</v>
      </c>
      <c r="AN1989">
        <v>-1</v>
      </c>
      <c r="AO1989">
        <v>0</v>
      </c>
      <c r="AP1989">
        <v>4.6900000000000004</v>
      </c>
      <c r="AQ1989">
        <v>-0.77</v>
      </c>
      <c r="AR1989">
        <v>3.12</v>
      </c>
      <c r="AS1989">
        <v>1.86</v>
      </c>
      <c r="AT1989" t="s">
        <v>6999</v>
      </c>
      <c r="AU1989">
        <v>13.49</v>
      </c>
      <c r="AV1989">
        <v>15.29</v>
      </c>
      <c r="AW1989">
        <v>0.82</v>
      </c>
      <c r="BA1989">
        <v>0.28999999999999998</v>
      </c>
      <c r="BB1989">
        <v>0.68</v>
      </c>
      <c r="BC1989">
        <v>-0.87</v>
      </c>
      <c r="BD1989">
        <v>0.02</v>
      </c>
      <c r="BE1989">
        <v>-1.06</v>
      </c>
      <c r="BF1989">
        <v>-1.44</v>
      </c>
      <c r="BG1989">
        <v>0.1</v>
      </c>
      <c r="BH1989">
        <v>-0.79</v>
      </c>
      <c r="BI1989">
        <v>20191025</v>
      </c>
      <c r="BJ1989">
        <v>20170123</v>
      </c>
      <c r="BK1989">
        <v>3.04</v>
      </c>
      <c r="BL1989" t="s">
        <v>116</v>
      </c>
      <c r="BM1989" t="s">
        <v>116</v>
      </c>
      <c r="BN1989">
        <v>18.36</v>
      </c>
      <c r="BO1989">
        <v>15.43</v>
      </c>
      <c r="BP1989">
        <v>0</v>
      </c>
      <c r="BQ1989">
        <v>15.96</v>
      </c>
      <c r="BR1989">
        <v>10.8</v>
      </c>
      <c r="BS1989">
        <v>3.96</v>
      </c>
      <c r="BT1989">
        <v>1.85</v>
      </c>
      <c r="BU1989">
        <v>2.4500000000000002</v>
      </c>
      <c r="BV1989">
        <v>2.98</v>
      </c>
      <c r="BW1989">
        <v>2.38</v>
      </c>
      <c r="BX1989">
        <v>5.75</v>
      </c>
      <c r="BY1989">
        <v>14.57</v>
      </c>
      <c r="BZ1989">
        <v>10.78</v>
      </c>
      <c r="CA1989">
        <v>2.25</v>
      </c>
      <c r="CB1989">
        <v>0.02</v>
      </c>
      <c r="CC1989">
        <v>2.2400000000000002</v>
      </c>
      <c r="CD1989">
        <v>1.79</v>
      </c>
      <c r="CE1989">
        <v>1.79</v>
      </c>
      <c r="CF1989">
        <v>1.76</v>
      </c>
      <c r="CG1989">
        <v>5.97</v>
      </c>
      <c r="CH1989">
        <v>0.57999999999999996</v>
      </c>
      <c r="CI1989">
        <v>-1.25</v>
      </c>
      <c r="CJ1989">
        <v>20944</v>
      </c>
      <c r="CK1989">
        <v>4325</v>
      </c>
      <c r="CL1989" t="s">
        <v>5775</v>
      </c>
      <c r="CM1989">
        <v>17.88</v>
      </c>
      <c r="CN1989">
        <v>11.05</v>
      </c>
      <c r="CO1989">
        <v>2.02</v>
      </c>
      <c r="CP1989">
        <v>53.64</v>
      </c>
      <c r="CQ1989">
        <v>2.14</v>
      </c>
      <c r="CR1989">
        <v>1.56</v>
      </c>
      <c r="CS1989" t="s">
        <v>3264</v>
      </c>
      <c r="CT1989">
        <v>5.08</v>
      </c>
      <c r="CU1989">
        <v>0</v>
      </c>
      <c r="CV1989">
        <v>1.89</v>
      </c>
      <c r="CW1989">
        <v>1.96</v>
      </c>
      <c r="CX1989">
        <v>0.19</v>
      </c>
      <c r="CY1989">
        <v>84.04</v>
      </c>
      <c r="CZ1989" t="s">
        <v>3075</v>
      </c>
      <c r="DA1989">
        <v>26.03</v>
      </c>
      <c r="DB1989">
        <v>15.48</v>
      </c>
      <c r="DC1989">
        <v>12.32</v>
      </c>
      <c r="DD1989">
        <v>0.44</v>
      </c>
      <c r="DE1989">
        <v>1815</v>
      </c>
      <c r="DF1989">
        <v>300599</v>
      </c>
      <c r="DG1989" t="s">
        <v>116</v>
      </c>
      <c r="DH1989" t="s">
        <v>116</v>
      </c>
      <c r="DI1989" t="s">
        <v>116</v>
      </c>
    </row>
    <row r="1990" spans="1:113" x14ac:dyDescent="0.4">
      <c r="A1990" t="str">
        <f>"300600"</f>
        <v>300600</v>
      </c>
      <c r="B1990" t="s">
        <v>9818</v>
      </c>
      <c r="C1990">
        <v>-1.69</v>
      </c>
      <c r="D1990">
        <v>9.8699999999999992</v>
      </c>
      <c r="E1990">
        <v>-0.17</v>
      </c>
      <c r="F1990">
        <v>9.86</v>
      </c>
      <c r="G1990">
        <v>9.8699999999999992</v>
      </c>
      <c r="H1990">
        <v>49298</v>
      </c>
      <c r="I1990">
        <v>1113</v>
      </c>
      <c r="J1990">
        <v>0.3</v>
      </c>
      <c r="K1990">
        <v>4.1500000000000004</v>
      </c>
      <c r="L1990">
        <v>10.1</v>
      </c>
      <c r="M1990">
        <v>10.1</v>
      </c>
      <c r="N1990">
        <v>9.82</v>
      </c>
      <c r="O1990">
        <v>10.039999999999999</v>
      </c>
      <c r="P1990">
        <v>30.29</v>
      </c>
      <c r="Q1990">
        <v>49053476</v>
      </c>
      <c r="R1990">
        <v>0.9</v>
      </c>
      <c r="S1990" t="s">
        <v>397</v>
      </c>
      <c r="T1990" t="s">
        <v>323</v>
      </c>
      <c r="U1990">
        <v>2.79</v>
      </c>
      <c r="V1990">
        <v>9.9499999999999993</v>
      </c>
      <c r="W1990">
        <v>31510</v>
      </c>
      <c r="X1990">
        <v>17788</v>
      </c>
      <c r="Y1990">
        <v>1.77</v>
      </c>
      <c r="Z1990">
        <v>103</v>
      </c>
      <c r="AA1990">
        <v>286</v>
      </c>
      <c r="AB1990" t="s">
        <v>116</v>
      </c>
      <c r="AC1990">
        <v>119200</v>
      </c>
      <c r="AD1990">
        <v>0.01</v>
      </c>
      <c r="AE1990" t="s">
        <v>116</v>
      </c>
      <c r="AF1990" t="s">
        <v>116</v>
      </c>
      <c r="AG1990">
        <v>1.19</v>
      </c>
      <c r="AH1990" t="s">
        <v>4242</v>
      </c>
      <c r="AI1990" t="s">
        <v>9819</v>
      </c>
      <c r="AJ1990">
        <v>-1.01</v>
      </c>
      <c r="AK1990">
        <v>1467</v>
      </c>
      <c r="AL1990">
        <v>34</v>
      </c>
      <c r="AM1990">
        <v>2.8E-3</v>
      </c>
      <c r="AN1990">
        <v>-2</v>
      </c>
      <c r="AO1990">
        <v>-1.49</v>
      </c>
      <c r="AP1990">
        <v>8.82</v>
      </c>
      <c r="AQ1990">
        <v>-3.89</v>
      </c>
      <c r="AR1990">
        <v>11.39</v>
      </c>
      <c r="AS1990">
        <v>4.1500000000000004</v>
      </c>
      <c r="AT1990" t="s">
        <v>4242</v>
      </c>
      <c r="AU1990">
        <v>31.21</v>
      </c>
      <c r="AV1990">
        <v>27.66</v>
      </c>
      <c r="AW1990">
        <v>1.29</v>
      </c>
      <c r="BA1990">
        <v>0.6</v>
      </c>
      <c r="BB1990">
        <v>0.6</v>
      </c>
      <c r="BC1990">
        <v>-2.19</v>
      </c>
      <c r="BD1990">
        <v>-0.89</v>
      </c>
      <c r="BE1990">
        <v>-2.2799999999999998</v>
      </c>
      <c r="BF1990">
        <v>-2.2799999999999998</v>
      </c>
      <c r="BG1990">
        <v>0.51</v>
      </c>
      <c r="BH1990">
        <v>-0.8</v>
      </c>
      <c r="BI1990">
        <v>20191202</v>
      </c>
      <c r="BJ1990">
        <v>20170125</v>
      </c>
      <c r="BK1990">
        <v>3.04</v>
      </c>
      <c r="BL1990" t="s">
        <v>116</v>
      </c>
      <c r="BM1990" t="s">
        <v>116</v>
      </c>
      <c r="BN1990">
        <v>18.23</v>
      </c>
      <c r="BO1990">
        <v>11.44</v>
      </c>
      <c r="BP1990">
        <v>0</v>
      </c>
      <c r="BQ1990">
        <v>37.270000000000003</v>
      </c>
      <c r="BR1990">
        <v>13.76</v>
      </c>
      <c r="BS1990">
        <v>3.47</v>
      </c>
      <c r="BT1990">
        <v>0.52</v>
      </c>
      <c r="BU1990">
        <v>6.78</v>
      </c>
      <c r="BV1990">
        <v>2.3199999999999998</v>
      </c>
      <c r="BW1990">
        <v>4.25</v>
      </c>
      <c r="BX1990">
        <v>3.67</v>
      </c>
      <c r="BY1990">
        <v>3.57</v>
      </c>
      <c r="BZ1990">
        <v>2</v>
      </c>
      <c r="CA1990">
        <v>0.86</v>
      </c>
      <c r="CB1990">
        <v>-0.01</v>
      </c>
      <c r="CC1990">
        <v>0.86</v>
      </c>
      <c r="CD1990">
        <v>0.74</v>
      </c>
      <c r="CE1990">
        <v>0.74</v>
      </c>
      <c r="CF1990">
        <v>0.59</v>
      </c>
      <c r="CG1990">
        <v>4.17</v>
      </c>
      <c r="CH1990">
        <v>-0.62</v>
      </c>
      <c r="CI1990">
        <v>-1.02</v>
      </c>
      <c r="CJ1990">
        <v>16024</v>
      </c>
      <c r="CK1990">
        <v>7418</v>
      </c>
      <c r="CL1990" t="s">
        <v>7482</v>
      </c>
      <c r="CM1990">
        <v>-14.24</v>
      </c>
      <c r="CN1990">
        <v>5.2</v>
      </c>
      <c r="CO1990">
        <v>2.62</v>
      </c>
      <c r="CP1990">
        <v>-48.25</v>
      </c>
      <c r="CQ1990">
        <v>8.4</v>
      </c>
      <c r="CR1990">
        <v>1.01</v>
      </c>
      <c r="CS1990" t="s">
        <v>604</v>
      </c>
      <c r="CT1990">
        <v>3.77</v>
      </c>
      <c r="CU1990">
        <v>0</v>
      </c>
      <c r="CV1990">
        <v>1.21</v>
      </c>
      <c r="CW1990">
        <v>1.37</v>
      </c>
      <c r="CX1990">
        <v>-0.2</v>
      </c>
      <c r="CY1990">
        <v>62.73</v>
      </c>
      <c r="CZ1990" t="s">
        <v>9820</v>
      </c>
      <c r="DA1990">
        <v>43.82</v>
      </c>
      <c r="DB1990">
        <v>24.16</v>
      </c>
      <c r="DC1990">
        <v>20.8</v>
      </c>
      <c r="DD1990">
        <v>0.16</v>
      </c>
      <c r="DE1990">
        <v>580</v>
      </c>
      <c r="DF1990">
        <v>300600</v>
      </c>
      <c r="DG1990" t="s">
        <v>116</v>
      </c>
      <c r="DH1990" t="s">
        <v>116</v>
      </c>
      <c r="DI1990" t="s">
        <v>116</v>
      </c>
    </row>
    <row r="1991" spans="1:113" x14ac:dyDescent="0.4">
      <c r="A1991" t="str">
        <f>"300601"</f>
        <v>300601</v>
      </c>
      <c r="B1991" t="s">
        <v>9821</v>
      </c>
      <c r="C1991">
        <v>-0.43</v>
      </c>
      <c r="D1991">
        <v>87.62</v>
      </c>
      <c r="E1991">
        <v>-0.38</v>
      </c>
      <c r="F1991">
        <v>87.62</v>
      </c>
      <c r="G1991">
        <v>87.63</v>
      </c>
      <c r="H1991">
        <v>27109</v>
      </c>
      <c r="I1991">
        <v>206</v>
      </c>
      <c r="J1991">
        <v>-0.08</v>
      </c>
      <c r="K1991">
        <v>1.03</v>
      </c>
      <c r="L1991">
        <v>87.99</v>
      </c>
      <c r="M1991">
        <v>87.99</v>
      </c>
      <c r="N1991">
        <v>86.53</v>
      </c>
      <c r="O1991">
        <v>88</v>
      </c>
      <c r="P1991">
        <v>98.41</v>
      </c>
      <c r="Q1991">
        <v>236735952</v>
      </c>
      <c r="R1991">
        <v>0.89</v>
      </c>
      <c r="S1991" t="s">
        <v>132</v>
      </c>
      <c r="T1991" t="s">
        <v>115</v>
      </c>
      <c r="U1991">
        <v>1.66</v>
      </c>
      <c r="V1991">
        <v>87.33</v>
      </c>
      <c r="W1991">
        <v>15787</v>
      </c>
      <c r="X1991">
        <v>11322</v>
      </c>
      <c r="Y1991">
        <v>1.39</v>
      </c>
      <c r="Z1991">
        <v>1</v>
      </c>
      <c r="AA1991">
        <v>100</v>
      </c>
      <c r="AB1991" t="s">
        <v>116</v>
      </c>
      <c r="AC1991">
        <v>422400</v>
      </c>
      <c r="AD1991">
        <v>0</v>
      </c>
      <c r="AE1991" t="s">
        <v>116</v>
      </c>
      <c r="AF1991" t="s">
        <v>116</v>
      </c>
      <c r="AG1991">
        <v>2.62</v>
      </c>
      <c r="AH1991" t="s">
        <v>9822</v>
      </c>
      <c r="AI1991" t="s">
        <v>9823</v>
      </c>
      <c r="AJ1991">
        <v>0.25</v>
      </c>
      <c r="AK1991">
        <v>2160</v>
      </c>
      <c r="AL1991">
        <v>13</v>
      </c>
      <c r="AM1991">
        <v>5.0000000000000001E-4</v>
      </c>
      <c r="AN1991">
        <v>-1</v>
      </c>
      <c r="AO1991">
        <v>1.31</v>
      </c>
      <c r="AP1991">
        <v>14.64</v>
      </c>
      <c r="AQ1991">
        <v>18.89</v>
      </c>
      <c r="AR1991">
        <v>146.61000000000001</v>
      </c>
      <c r="AS1991">
        <v>1.03</v>
      </c>
      <c r="AT1991" t="s">
        <v>9822</v>
      </c>
      <c r="AU1991">
        <v>115.3</v>
      </c>
      <c r="AV1991">
        <v>129.76</v>
      </c>
      <c r="AW1991">
        <v>1.08</v>
      </c>
      <c r="BA1991">
        <v>-0.01</v>
      </c>
      <c r="BB1991">
        <v>-0.01</v>
      </c>
      <c r="BC1991">
        <v>-1.67</v>
      </c>
      <c r="BD1991">
        <v>-0.77</v>
      </c>
      <c r="BE1991">
        <v>-0.42</v>
      </c>
      <c r="BF1991">
        <v>-0.42</v>
      </c>
      <c r="BG1991">
        <v>1.26</v>
      </c>
      <c r="BH1991">
        <v>0.33</v>
      </c>
      <c r="BI1991">
        <v>20191029</v>
      </c>
      <c r="BJ1991">
        <v>20170207</v>
      </c>
      <c r="BK1991">
        <v>6.45</v>
      </c>
      <c r="BL1991" t="s">
        <v>116</v>
      </c>
      <c r="BM1991" t="s">
        <v>116</v>
      </c>
      <c r="BN1991">
        <v>36.46</v>
      </c>
      <c r="BO1991">
        <v>24.48</v>
      </c>
      <c r="BP1991">
        <v>0</v>
      </c>
      <c r="BQ1991">
        <v>32.85</v>
      </c>
      <c r="BR1991">
        <v>17</v>
      </c>
      <c r="BS1991">
        <v>8.02</v>
      </c>
      <c r="BT1991">
        <v>3.16</v>
      </c>
      <c r="BU1991">
        <v>8.6300000000000008</v>
      </c>
      <c r="BV1991">
        <v>2.14</v>
      </c>
      <c r="BW1991">
        <v>10.72</v>
      </c>
      <c r="BX1991">
        <v>9.59</v>
      </c>
      <c r="BY1991">
        <v>13.94</v>
      </c>
      <c r="BZ1991">
        <v>1.1299999999999999</v>
      </c>
      <c r="CA1991">
        <v>4.96</v>
      </c>
      <c r="CB1991">
        <v>0.06</v>
      </c>
      <c r="CC1991">
        <v>4.99</v>
      </c>
      <c r="CD1991">
        <v>4.3099999999999996</v>
      </c>
      <c r="CE1991">
        <v>4.3099999999999996</v>
      </c>
      <c r="CF1991">
        <v>4.16</v>
      </c>
      <c r="CG1991">
        <v>8.86</v>
      </c>
      <c r="CH1991">
        <v>2.68</v>
      </c>
      <c r="CI1991">
        <v>-4.41</v>
      </c>
      <c r="CJ1991">
        <v>15383</v>
      </c>
      <c r="CK1991">
        <v>17050</v>
      </c>
      <c r="CL1991" t="s">
        <v>9824</v>
      </c>
      <c r="CM1991">
        <v>14.53</v>
      </c>
      <c r="CN1991">
        <v>-7.05</v>
      </c>
      <c r="CO1991">
        <v>23.09</v>
      </c>
      <c r="CP1991">
        <v>210.79</v>
      </c>
      <c r="CQ1991">
        <v>40.549999999999997</v>
      </c>
      <c r="CR1991">
        <v>0.28999999999999998</v>
      </c>
      <c r="CS1991" t="s">
        <v>1945</v>
      </c>
      <c r="CT1991">
        <v>3.79</v>
      </c>
      <c r="CU1991">
        <v>0</v>
      </c>
      <c r="CV1991">
        <v>1.49</v>
      </c>
      <c r="CW1991">
        <v>1.37</v>
      </c>
      <c r="CX1991">
        <v>0.42</v>
      </c>
      <c r="CY1991">
        <v>67.150000000000006</v>
      </c>
      <c r="CZ1991" t="s">
        <v>9825</v>
      </c>
      <c r="DA1991">
        <v>91.89</v>
      </c>
      <c r="DB1991">
        <v>35.549999999999997</v>
      </c>
      <c r="DC1991">
        <v>30.9</v>
      </c>
      <c r="DD1991">
        <v>1.26</v>
      </c>
      <c r="DE1991">
        <v>1146</v>
      </c>
      <c r="DF1991">
        <v>300601</v>
      </c>
      <c r="DG1991" t="s">
        <v>116</v>
      </c>
      <c r="DH1991" t="s">
        <v>116</v>
      </c>
      <c r="DI1991" t="s">
        <v>116</v>
      </c>
    </row>
    <row r="1992" spans="1:113" x14ac:dyDescent="0.4">
      <c r="A1992" t="str">
        <f>"300602"</f>
        <v>300602</v>
      </c>
      <c r="B1992" t="s">
        <v>9826</v>
      </c>
      <c r="C1992">
        <v>-2.25</v>
      </c>
      <c r="D1992">
        <v>42.18</v>
      </c>
      <c r="E1992">
        <v>-0.97</v>
      </c>
      <c r="F1992">
        <v>42.18</v>
      </c>
      <c r="G1992">
        <v>42.19</v>
      </c>
      <c r="H1992">
        <v>42424</v>
      </c>
      <c r="I1992">
        <v>461</v>
      </c>
      <c r="J1992">
        <v>0.14000000000000001</v>
      </c>
      <c r="K1992">
        <v>4.46</v>
      </c>
      <c r="L1992">
        <v>42.98</v>
      </c>
      <c r="M1992">
        <v>43.29</v>
      </c>
      <c r="N1992">
        <v>42</v>
      </c>
      <c r="O1992">
        <v>43.15</v>
      </c>
      <c r="P1992">
        <v>37.35</v>
      </c>
      <c r="Q1992">
        <v>180753552</v>
      </c>
      <c r="R1992">
        <v>1.0900000000000001</v>
      </c>
      <c r="S1992" t="s">
        <v>233</v>
      </c>
      <c r="T1992" t="s">
        <v>115</v>
      </c>
      <c r="U1992">
        <v>2.99</v>
      </c>
      <c r="V1992">
        <v>42.61</v>
      </c>
      <c r="W1992">
        <v>24587</v>
      </c>
      <c r="X1992">
        <v>17837</v>
      </c>
      <c r="Y1992">
        <v>1.38</v>
      </c>
      <c r="Z1992">
        <v>6</v>
      </c>
      <c r="AA1992">
        <v>10</v>
      </c>
      <c r="AB1992" t="s">
        <v>116</v>
      </c>
      <c r="AC1992">
        <v>747900</v>
      </c>
      <c r="AD1992">
        <v>0.02</v>
      </c>
      <c r="AE1992" t="s">
        <v>116</v>
      </c>
      <c r="AF1992" t="s">
        <v>116</v>
      </c>
      <c r="AG1992">
        <v>0.95</v>
      </c>
      <c r="AH1992" t="s">
        <v>9827</v>
      </c>
      <c r="AI1992" t="s">
        <v>2347</v>
      </c>
      <c r="AJ1992">
        <v>-1.57</v>
      </c>
      <c r="AK1992">
        <v>2766</v>
      </c>
      <c r="AL1992">
        <v>15</v>
      </c>
      <c r="AM1992">
        <v>1.6000000000000001E-3</v>
      </c>
      <c r="AN1992">
        <v>-1</v>
      </c>
      <c r="AO1992">
        <v>-1.63</v>
      </c>
      <c r="AP1992">
        <v>-5.17</v>
      </c>
      <c r="AQ1992">
        <v>-7.5</v>
      </c>
      <c r="AR1992">
        <v>89.94</v>
      </c>
      <c r="AS1992">
        <v>4.46</v>
      </c>
      <c r="AT1992" t="s">
        <v>9827</v>
      </c>
      <c r="AU1992">
        <v>42.88</v>
      </c>
      <c r="AV1992">
        <v>79.510000000000005</v>
      </c>
      <c r="AW1992">
        <v>1.88</v>
      </c>
      <c r="BA1992">
        <v>-0.39</v>
      </c>
      <c r="BB1992">
        <v>0.32</v>
      </c>
      <c r="BC1992">
        <v>-2.67</v>
      </c>
      <c r="BD1992">
        <v>-1.26</v>
      </c>
      <c r="BE1992">
        <v>-1.86</v>
      </c>
      <c r="BF1992">
        <v>-2.56</v>
      </c>
      <c r="BG1992">
        <v>0.43</v>
      </c>
      <c r="BH1992">
        <v>-0.99</v>
      </c>
      <c r="BI1992">
        <v>20191224</v>
      </c>
      <c r="BJ1992">
        <v>20170126</v>
      </c>
      <c r="BK1992">
        <v>3.06</v>
      </c>
      <c r="BL1992" t="s">
        <v>116</v>
      </c>
      <c r="BM1992" t="s">
        <v>116</v>
      </c>
      <c r="BN1992">
        <v>32.21</v>
      </c>
      <c r="BO1992">
        <v>14.25</v>
      </c>
      <c r="BP1992">
        <v>2.58</v>
      </c>
      <c r="BQ1992">
        <v>47.72</v>
      </c>
      <c r="BR1992">
        <v>19.18</v>
      </c>
      <c r="BS1992">
        <v>4.84</v>
      </c>
      <c r="BT1992">
        <v>1.92</v>
      </c>
      <c r="BU1992">
        <v>11.95</v>
      </c>
      <c r="BV1992">
        <v>4.8</v>
      </c>
      <c r="BW1992">
        <v>8.92</v>
      </c>
      <c r="BX1992">
        <v>2.39</v>
      </c>
      <c r="BY1992">
        <v>16.75</v>
      </c>
      <c r="BZ1992">
        <v>11.67</v>
      </c>
      <c r="CA1992">
        <v>3.03</v>
      </c>
      <c r="CB1992">
        <v>0</v>
      </c>
      <c r="CC1992">
        <v>3.14</v>
      </c>
      <c r="CD1992">
        <v>2.7</v>
      </c>
      <c r="CE1992">
        <v>2.59</v>
      </c>
      <c r="CF1992">
        <v>1.97</v>
      </c>
      <c r="CG1992">
        <v>8.39</v>
      </c>
      <c r="CH1992">
        <v>2.85</v>
      </c>
      <c r="CI1992">
        <v>-1.9</v>
      </c>
      <c r="CJ1992">
        <v>21862</v>
      </c>
      <c r="CK1992">
        <v>4353</v>
      </c>
      <c r="CL1992" t="s">
        <v>9828</v>
      </c>
      <c r="CM1992">
        <v>115.08</v>
      </c>
      <c r="CN1992">
        <v>84.72</v>
      </c>
      <c r="CO1992">
        <v>9.06</v>
      </c>
      <c r="CP1992">
        <v>45.27</v>
      </c>
      <c r="CQ1992">
        <v>7.71</v>
      </c>
      <c r="CR1992">
        <v>0.16</v>
      </c>
      <c r="CS1992" t="s">
        <v>6786</v>
      </c>
      <c r="CT1992">
        <v>4.6500000000000004</v>
      </c>
      <c r="CU1992">
        <v>0</v>
      </c>
      <c r="CV1992">
        <v>0.78</v>
      </c>
      <c r="CW1992">
        <v>2.74</v>
      </c>
      <c r="CX1992">
        <v>0.93</v>
      </c>
      <c r="CY1992">
        <v>44.25</v>
      </c>
      <c r="CZ1992" t="s">
        <v>9829</v>
      </c>
      <c r="DA1992">
        <v>30.31</v>
      </c>
      <c r="DB1992">
        <v>18.100000000000001</v>
      </c>
      <c r="DC1992">
        <v>15.49</v>
      </c>
      <c r="DD1992">
        <v>0.84</v>
      </c>
      <c r="DE1992">
        <v>3250</v>
      </c>
      <c r="DF1992">
        <v>300602</v>
      </c>
      <c r="DG1992" t="s">
        <v>116</v>
      </c>
      <c r="DH1992" t="s">
        <v>116</v>
      </c>
      <c r="DI1992" t="s">
        <v>116</v>
      </c>
    </row>
    <row r="1993" spans="1:113" x14ac:dyDescent="0.4">
      <c r="A1993" t="str">
        <f>"300603"</f>
        <v>300603</v>
      </c>
      <c r="B1993" t="s">
        <v>9830</v>
      </c>
      <c r="C1993">
        <v>-2.2200000000000002</v>
      </c>
      <c r="D1993">
        <v>17.16</v>
      </c>
      <c r="E1993">
        <v>-0.39</v>
      </c>
      <c r="F1993">
        <v>17.149999999999999</v>
      </c>
      <c r="G1993">
        <v>17.16</v>
      </c>
      <c r="H1993">
        <v>36168</v>
      </c>
      <c r="I1993">
        <v>503</v>
      </c>
      <c r="J1993">
        <v>0</v>
      </c>
      <c r="K1993">
        <v>4.41</v>
      </c>
      <c r="L1993">
        <v>17.57</v>
      </c>
      <c r="M1993">
        <v>17.71</v>
      </c>
      <c r="N1993">
        <v>17.13</v>
      </c>
      <c r="O1993">
        <v>17.55</v>
      </c>
      <c r="P1993">
        <v>38.39</v>
      </c>
      <c r="Q1993">
        <v>63033024</v>
      </c>
      <c r="R1993">
        <v>1.0900000000000001</v>
      </c>
      <c r="S1993" t="s">
        <v>465</v>
      </c>
      <c r="T1993" t="s">
        <v>616</v>
      </c>
      <c r="U1993">
        <v>3.3</v>
      </c>
      <c r="V1993">
        <v>17.43</v>
      </c>
      <c r="W1993">
        <v>22349</v>
      </c>
      <c r="X1993">
        <v>13819</v>
      </c>
      <c r="Y1993">
        <v>1.62</v>
      </c>
      <c r="Z1993">
        <v>210</v>
      </c>
      <c r="AA1993">
        <v>205</v>
      </c>
      <c r="AB1993" t="s">
        <v>116</v>
      </c>
      <c r="AC1993">
        <v>35100</v>
      </c>
      <c r="AD1993">
        <v>0</v>
      </c>
      <c r="AE1993" t="s">
        <v>116</v>
      </c>
      <c r="AF1993" t="s">
        <v>116</v>
      </c>
      <c r="AG1993">
        <v>0.82</v>
      </c>
      <c r="AH1993" t="s">
        <v>2572</v>
      </c>
      <c r="AI1993" t="s">
        <v>9831</v>
      </c>
      <c r="AJ1993">
        <v>-1.54</v>
      </c>
      <c r="AK1993">
        <v>1595</v>
      </c>
      <c r="AL1993">
        <v>23</v>
      </c>
      <c r="AM1993">
        <v>2.8E-3</v>
      </c>
      <c r="AN1993">
        <v>-2</v>
      </c>
      <c r="AO1993">
        <v>-2.44</v>
      </c>
      <c r="AP1993">
        <v>-0.81</v>
      </c>
      <c r="AQ1993">
        <v>-5.77</v>
      </c>
      <c r="AR1993">
        <v>22.78</v>
      </c>
      <c r="AS1993">
        <v>4.78</v>
      </c>
      <c r="AT1993" t="s">
        <v>9832</v>
      </c>
      <c r="AU1993">
        <v>48.59</v>
      </c>
      <c r="AV1993">
        <v>116.63</v>
      </c>
      <c r="AW1993">
        <v>1.32</v>
      </c>
      <c r="BA1993">
        <v>0.11</v>
      </c>
      <c r="BB1993">
        <v>0.91</v>
      </c>
      <c r="BC1993">
        <v>-2.39</v>
      </c>
      <c r="BD1993">
        <v>-0.7</v>
      </c>
      <c r="BE1993">
        <v>-2.33</v>
      </c>
      <c r="BF1993">
        <v>-3.11</v>
      </c>
      <c r="BG1993">
        <v>0.18</v>
      </c>
      <c r="BH1993">
        <v>-1.53</v>
      </c>
      <c r="BI1993">
        <v>20191223</v>
      </c>
      <c r="BJ1993">
        <v>20170126</v>
      </c>
      <c r="BK1993">
        <v>2.81</v>
      </c>
      <c r="BL1993" t="s">
        <v>116</v>
      </c>
      <c r="BM1993" t="s">
        <v>116</v>
      </c>
      <c r="BN1993">
        <v>34.270000000000003</v>
      </c>
      <c r="BO1993">
        <v>23.76</v>
      </c>
      <c r="BP1993">
        <v>0</v>
      </c>
      <c r="BQ1993">
        <v>30.65</v>
      </c>
      <c r="BR1993">
        <v>16.100000000000001</v>
      </c>
      <c r="BS1993">
        <v>1.86</v>
      </c>
      <c r="BT1993">
        <v>0.16</v>
      </c>
      <c r="BU1993">
        <v>9.16</v>
      </c>
      <c r="BV1993">
        <v>0.9</v>
      </c>
      <c r="BW1993">
        <v>11.16</v>
      </c>
      <c r="BX1993">
        <v>17.89</v>
      </c>
      <c r="BY1993">
        <v>8.6300000000000008</v>
      </c>
      <c r="BZ1993">
        <v>5.7</v>
      </c>
      <c r="CA1993">
        <v>1.2</v>
      </c>
      <c r="CB1993">
        <v>-0.02</v>
      </c>
      <c r="CC1993">
        <v>1.2</v>
      </c>
      <c r="CD1993">
        <v>0.96</v>
      </c>
      <c r="CE1993">
        <v>0.94</v>
      </c>
      <c r="CF1993">
        <v>0.9</v>
      </c>
      <c r="CG1993">
        <v>2.86</v>
      </c>
      <c r="CH1993">
        <v>-1.5</v>
      </c>
      <c r="CI1993">
        <v>1.58</v>
      </c>
      <c r="CJ1993">
        <v>15718</v>
      </c>
      <c r="CK1993">
        <v>4814</v>
      </c>
      <c r="CL1993" t="s">
        <v>3149</v>
      </c>
      <c r="CM1993">
        <v>159.41999999999999</v>
      </c>
      <c r="CN1993">
        <v>83.53</v>
      </c>
      <c r="CO1993">
        <v>1.99</v>
      </c>
      <c r="CP1993">
        <v>-32.18</v>
      </c>
      <c r="CQ1993">
        <v>5.59</v>
      </c>
      <c r="CR1993">
        <v>0.34</v>
      </c>
      <c r="CS1993" t="s">
        <v>793</v>
      </c>
      <c r="CT1993">
        <v>8.6300000000000008</v>
      </c>
      <c r="CU1993">
        <v>8.6300000000000008</v>
      </c>
      <c r="CV1993">
        <v>6.36</v>
      </c>
      <c r="CW1993">
        <v>1.02</v>
      </c>
      <c r="CX1993">
        <v>-0.53</v>
      </c>
      <c r="CY1993">
        <v>69.34</v>
      </c>
      <c r="CZ1993" t="s">
        <v>9833</v>
      </c>
      <c r="DA1993">
        <v>34</v>
      </c>
      <c r="DB1993">
        <v>13.88</v>
      </c>
      <c r="DC1993">
        <v>10.91</v>
      </c>
      <c r="DD1993">
        <v>0.27</v>
      </c>
      <c r="DE1993">
        <v>663</v>
      </c>
      <c r="DF1993">
        <v>300603</v>
      </c>
      <c r="DG1993" t="s">
        <v>116</v>
      </c>
      <c r="DH1993" t="s">
        <v>116</v>
      </c>
      <c r="DI1993" t="s">
        <v>116</v>
      </c>
    </row>
    <row r="1994" spans="1:113" x14ac:dyDescent="0.4">
      <c r="A1994" t="str">
        <f>"300604"</f>
        <v>300604</v>
      </c>
      <c r="B1994" t="s">
        <v>9834</v>
      </c>
      <c r="C1994">
        <v>-4.87</v>
      </c>
      <c r="D1994">
        <v>24.01</v>
      </c>
      <c r="E1994">
        <v>-1.23</v>
      </c>
      <c r="F1994">
        <v>24.01</v>
      </c>
      <c r="G1994">
        <v>24.02</v>
      </c>
      <c r="H1994">
        <v>146512</v>
      </c>
      <c r="I1994">
        <v>1024</v>
      </c>
      <c r="J1994">
        <v>-0.16</v>
      </c>
      <c r="K1994">
        <v>11.56</v>
      </c>
      <c r="L1994">
        <v>25.01</v>
      </c>
      <c r="M1994">
        <v>25.09</v>
      </c>
      <c r="N1994">
        <v>23.91</v>
      </c>
      <c r="O1994">
        <v>25.24</v>
      </c>
      <c r="P1994">
        <v>4285.7299999999996</v>
      </c>
      <c r="Q1994">
        <v>358412832</v>
      </c>
      <c r="R1994">
        <v>1.07</v>
      </c>
      <c r="S1994" t="s">
        <v>682</v>
      </c>
      <c r="T1994" t="s">
        <v>590</v>
      </c>
      <c r="U1994">
        <v>4.68</v>
      </c>
      <c r="V1994">
        <v>24.46</v>
      </c>
      <c r="W1994">
        <v>85198</v>
      </c>
      <c r="X1994">
        <v>61314</v>
      </c>
      <c r="Y1994">
        <v>1.39</v>
      </c>
      <c r="Z1994">
        <v>278</v>
      </c>
      <c r="AA1994">
        <v>26</v>
      </c>
      <c r="AB1994" t="s">
        <v>116</v>
      </c>
      <c r="AC1994">
        <v>1588100</v>
      </c>
      <c r="AD1994">
        <v>0.06</v>
      </c>
      <c r="AE1994" t="s">
        <v>116</v>
      </c>
      <c r="AF1994" t="s">
        <v>116</v>
      </c>
      <c r="AG1994">
        <v>1.27</v>
      </c>
      <c r="AH1994" t="s">
        <v>6747</v>
      </c>
      <c r="AI1994" t="s">
        <v>9835</v>
      </c>
      <c r="AJ1994">
        <v>-4.1900000000000004</v>
      </c>
      <c r="AK1994">
        <v>3824</v>
      </c>
      <c r="AL1994">
        <v>38</v>
      </c>
      <c r="AM1994">
        <v>3.0000000000000001E-3</v>
      </c>
      <c r="AN1994">
        <v>-1</v>
      </c>
      <c r="AO1994">
        <v>1.99</v>
      </c>
      <c r="AP1994">
        <v>22.56</v>
      </c>
      <c r="AQ1994">
        <v>10.29</v>
      </c>
      <c r="AR1994">
        <v>49.58</v>
      </c>
      <c r="AS1994">
        <v>13.81</v>
      </c>
      <c r="AT1994" t="s">
        <v>8919</v>
      </c>
      <c r="AU1994">
        <v>1357.5</v>
      </c>
      <c r="AV1994">
        <v>206.9</v>
      </c>
      <c r="AW1994">
        <v>1.69</v>
      </c>
      <c r="BA1994">
        <v>-0.91</v>
      </c>
      <c r="BB1994">
        <v>-0.59</v>
      </c>
      <c r="BC1994">
        <v>-5.27</v>
      </c>
      <c r="BD1994">
        <v>-3.08</v>
      </c>
      <c r="BE1994">
        <v>-4</v>
      </c>
      <c r="BF1994">
        <v>-4.3</v>
      </c>
      <c r="BG1994">
        <v>0.42</v>
      </c>
      <c r="BH1994">
        <v>-1.79</v>
      </c>
      <c r="BI1994">
        <v>20191028</v>
      </c>
      <c r="BJ1994">
        <v>20170417</v>
      </c>
      <c r="BK1994">
        <v>3.14</v>
      </c>
      <c r="BL1994" t="s">
        <v>116</v>
      </c>
      <c r="BM1994" t="s">
        <v>116</v>
      </c>
      <c r="BN1994">
        <v>13.39</v>
      </c>
      <c r="BO1994">
        <v>9.65</v>
      </c>
      <c r="BP1994">
        <v>0</v>
      </c>
      <c r="BQ1994">
        <v>27.96</v>
      </c>
      <c r="BR1994">
        <v>8.4600000000000009</v>
      </c>
      <c r="BS1994">
        <v>1.42</v>
      </c>
      <c r="BT1994">
        <v>0.54</v>
      </c>
      <c r="BU1994">
        <v>3.6</v>
      </c>
      <c r="BV1994">
        <v>3.41</v>
      </c>
      <c r="BW1994">
        <v>2.99</v>
      </c>
      <c r="BX1994">
        <v>5.8</v>
      </c>
      <c r="BY1994">
        <v>2.02</v>
      </c>
      <c r="BZ1994">
        <v>1</v>
      </c>
      <c r="CA1994">
        <v>-0.08</v>
      </c>
      <c r="CB1994">
        <v>0</v>
      </c>
      <c r="CC1994">
        <v>-7.0000000000000007E-2</v>
      </c>
      <c r="CD1994">
        <v>0.01</v>
      </c>
      <c r="CE1994">
        <v>0.01</v>
      </c>
      <c r="CF1994">
        <v>-0.15</v>
      </c>
      <c r="CG1994">
        <v>1.07</v>
      </c>
      <c r="CH1994">
        <v>-0.63</v>
      </c>
      <c r="CI1994">
        <v>-1.07</v>
      </c>
      <c r="CJ1994">
        <v>17363</v>
      </c>
      <c r="CK1994">
        <v>6110</v>
      </c>
      <c r="CL1994" t="s">
        <v>6982</v>
      </c>
      <c r="CM1994">
        <v>-95.9</v>
      </c>
      <c r="CN1994">
        <v>17.93</v>
      </c>
      <c r="CO1994">
        <v>7.82</v>
      </c>
      <c r="CP1994">
        <v>-118.95</v>
      </c>
      <c r="CQ1994">
        <v>37.270000000000003</v>
      </c>
      <c r="CR1994">
        <v>0.2</v>
      </c>
      <c r="CS1994" t="s">
        <v>2001</v>
      </c>
      <c r="CT1994">
        <v>3.07</v>
      </c>
      <c r="CU1994">
        <v>0</v>
      </c>
      <c r="CV1994">
        <v>1.85</v>
      </c>
      <c r="CW1994">
        <v>0.34</v>
      </c>
      <c r="CX1994">
        <v>-0.2</v>
      </c>
      <c r="CY1994">
        <v>72.040000000000006</v>
      </c>
      <c r="CZ1994" t="s">
        <v>9836</v>
      </c>
      <c r="DA1994">
        <v>50.72</v>
      </c>
      <c r="DB1994">
        <v>-3.71</v>
      </c>
      <c r="DC1994">
        <v>0.65</v>
      </c>
      <c r="DD1994">
        <v>0.69</v>
      </c>
      <c r="DE1994">
        <v>452</v>
      </c>
      <c r="DF1994">
        <v>300604</v>
      </c>
      <c r="DG1994" t="s">
        <v>116</v>
      </c>
      <c r="DH1994" t="s">
        <v>116</v>
      </c>
      <c r="DI1994" t="s">
        <v>116</v>
      </c>
    </row>
    <row r="1995" spans="1:113" x14ac:dyDescent="0.4">
      <c r="A1995" t="str">
        <f>"300605"</f>
        <v>300605</v>
      </c>
      <c r="B1995" t="s">
        <v>9837</v>
      </c>
      <c r="C1995">
        <v>0.47</v>
      </c>
      <c r="D1995">
        <v>12.93</v>
      </c>
      <c r="E1995">
        <v>0.06</v>
      </c>
      <c r="F1995">
        <v>12.93</v>
      </c>
      <c r="G1995">
        <v>12.94</v>
      </c>
      <c r="H1995">
        <v>45475</v>
      </c>
      <c r="I1995">
        <v>231</v>
      </c>
      <c r="J1995">
        <v>-0.3</v>
      </c>
      <c r="K1995">
        <v>6.19</v>
      </c>
      <c r="L1995">
        <v>12.89</v>
      </c>
      <c r="M1995">
        <v>13.31</v>
      </c>
      <c r="N1995">
        <v>12.86</v>
      </c>
      <c r="O1995">
        <v>12.87</v>
      </c>
      <c r="P1995">
        <v>45.28</v>
      </c>
      <c r="Q1995">
        <v>59466864</v>
      </c>
      <c r="R1995">
        <v>1.59</v>
      </c>
      <c r="S1995" t="s">
        <v>607</v>
      </c>
      <c r="T1995" t="s">
        <v>975</v>
      </c>
      <c r="U1995">
        <v>3.5</v>
      </c>
      <c r="V1995">
        <v>13.08</v>
      </c>
      <c r="W1995">
        <v>21748</v>
      </c>
      <c r="X1995">
        <v>23727</v>
      </c>
      <c r="Y1995">
        <v>0.92</v>
      </c>
      <c r="Z1995">
        <v>83</v>
      </c>
      <c r="AA1995">
        <v>120</v>
      </c>
      <c r="AB1995" t="s">
        <v>116</v>
      </c>
      <c r="AC1995">
        <v>158500</v>
      </c>
      <c r="AD1995">
        <v>0.02</v>
      </c>
      <c r="AE1995" t="s">
        <v>116</v>
      </c>
      <c r="AF1995" t="s">
        <v>116</v>
      </c>
      <c r="AG1995">
        <v>0.73</v>
      </c>
      <c r="AH1995" t="s">
        <v>9838</v>
      </c>
      <c r="AI1995" t="s">
        <v>7204</v>
      </c>
      <c r="AJ1995">
        <v>1.1499999999999999</v>
      </c>
      <c r="AK1995">
        <v>1837</v>
      </c>
      <c r="AL1995">
        <v>25</v>
      </c>
      <c r="AM1995">
        <v>3.3999999999999998E-3</v>
      </c>
      <c r="AN1995">
        <v>4</v>
      </c>
      <c r="AO1995">
        <v>2.0499999999999998</v>
      </c>
      <c r="AP1995">
        <v>5.9</v>
      </c>
      <c r="AQ1995">
        <v>1.0900000000000001</v>
      </c>
      <c r="AR1995">
        <v>29.82</v>
      </c>
      <c r="AS1995">
        <v>7.06</v>
      </c>
      <c r="AT1995" t="s">
        <v>9560</v>
      </c>
      <c r="AU1995">
        <v>36.299999999999997</v>
      </c>
      <c r="AV1995">
        <v>39.93</v>
      </c>
      <c r="AW1995">
        <v>1.88</v>
      </c>
      <c r="BA1995">
        <v>0.16</v>
      </c>
      <c r="BB1995">
        <v>3.42</v>
      </c>
      <c r="BC1995">
        <v>-0.08</v>
      </c>
      <c r="BD1995">
        <v>1.61</v>
      </c>
      <c r="BE1995">
        <v>0.31</v>
      </c>
      <c r="BF1995">
        <v>-2.85</v>
      </c>
      <c r="BG1995">
        <v>0.54</v>
      </c>
      <c r="BH1995">
        <v>-1.1399999999999999</v>
      </c>
      <c r="BI1995">
        <v>20191026</v>
      </c>
      <c r="BJ1995">
        <v>20170208</v>
      </c>
      <c r="BK1995">
        <v>1.65</v>
      </c>
      <c r="BL1995" t="s">
        <v>116</v>
      </c>
      <c r="BM1995" t="s">
        <v>116</v>
      </c>
      <c r="BN1995">
        <v>7.85</v>
      </c>
      <c r="BO1995">
        <v>5.27</v>
      </c>
      <c r="BP1995">
        <v>0.02</v>
      </c>
      <c r="BQ1995">
        <v>32.590000000000003</v>
      </c>
      <c r="BR1995">
        <v>7.3</v>
      </c>
      <c r="BS1995">
        <v>0.42</v>
      </c>
      <c r="BT1995">
        <v>0.04</v>
      </c>
      <c r="BU1995">
        <v>2.54</v>
      </c>
      <c r="BV1995">
        <v>5.04</v>
      </c>
      <c r="BW1995">
        <v>1.18</v>
      </c>
      <c r="BX1995">
        <v>1.69</v>
      </c>
      <c r="BY1995">
        <v>3.47</v>
      </c>
      <c r="BZ1995">
        <v>2.46</v>
      </c>
      <c r="CA1995">
        <v>0.41</v>
      </c>
      <c r="CB1995">
        <v>0</v>
      </c>
      <c r="CC1995">
        <v>0.41</v>
      </c>
      <c r="CD1995">
        <v>0.35</v>
      </c>
      <c r="CE1995">
        <v>0.35</v>
      </c>
      <c r="CF1995">
        <v>0.35</v>
      </c>
      <c r="CG1995">
        <v>1.83</v>
      </c>
      <c r="CH1995">
        <v>-1.53</v>
      </c>
      <c r="CI1995">
        <v>-1.55</v>
      </c>
      <c r="CJ1995">
        <v>13429</v>
      </c>
      <c r="CK1995">
        <v>4795</v>
      </c>
      <c r="CL1995" t="s">
        <v>3380</v>
      </c>
      <c r="CM1995">
        <v>17.809999999999999</v>
      </c>
      <c r="CN1995">
        <v>19.07</v>
      </c>
      <c r="CO1995">
        <v>4.0599999999999996</v>
      </c>
      <c r="CP1995">
        <v>-13.99</v>
      </c>
      <c r="CQ1995">
        <v>6.17</v>
      </c>
      <c r="CR1995">
        <v>0.31</v>
      </c>
      <c r="CS1995" t="s">
        <v>1061</v>
      </c>
      <c r="CT1995">
        <v>3.19</v>
      </c>
      <c r="CU1995">
        <v>0</v>
      </c>
      <c r="CV1995">
        <v>1.02</v>
      </c>
      <c r="CW1995">
        <v>1.1100000000000001</v>
      </c>
      <c r="CX1995">
        <v>-0.92</v>
      </c>
      <c r="CY1995">
        <v>67.13</v>
      </c>
      <c r="CZ1995" t="s">
        <v>5350</v>
      </c>
      <c r="DA1995">
        <v>28.94</v>
      </c>
      <c r="DB1995">
        <v>11.81</v>
      </c>
      <c r="DC1995">
        <v>10.210000000000001</v>
      </c>
      <c r="DD1995">
        <v>0.21</v>
      </c>
      <c r="DE1995">
        <v>544</v>
      </c>
      <c r="DF1995">
        <v>300605</v>
      </c>
      <c r="DG1995" t="s">
        <v>116</v>
      </c>
      <c r="DH1995" t="s">
        <v>116</v>
      </c>
      <c r="DI1995" t="s">
        <v>116</v>
      </c>
    </row>
    <row r="1996" spans="1:113" x14ac:dyDescent="0.4">
      <c r="A1996" t="str">
        <f>"300606"</f>
        <v>300606</v>
      </c>
      <c r="B1996" t="s">
        <v>9839</v>
      </c>
      <c r="C1996">
        <v>-2.23</v>
      </c>
      <c r="D1996">
        <v>21.01</v>
      </c>
      <c r="E1996">
        <v>-0.48</v>
      </c>
      <c r="F1996">
        <v>20.98</v>
      </c>
      <c r="G1996">
        <v>21.01</v>
      </c>
      <c r="H1996">
        <v>17757</v>
      </c>
      <c r="I1996">
        <v>332</v>
      </c>
      <c r="J1996">
        <v>0.05</v>
      </c>
      <c r="K1996">
        <v>4.57</v>
      </c>
      <c r="L1996">
        <v>21.7</v>
      </c>
      <c r="M1996">
        <v>21.7</v>
      </c>
      <c r="N1996">
        <v>20.83</v>
      </c>
      <c r="O1996">
        <v>21.49</v>
      </c>
      <c r="P1996">
        <v>37.68</v>
      </c>
      <c r="Q1996">
        <v>37586856</v>
      </c>
      <c r="R1996">
        <v>1.23</v>
      </c>
      <c r="S1996" t="s">
        <v>933</v>
      </c>
      <c r="T1996" t="s">
        <v>551</v>
      </c>
      <c r="U1996">
        <v>4.05</v>
      </c>
      <c r="V1996">
        <v>21.17</v>
      </c>
      <c r="W1996">
        <v>9958</v>
      </c>
      <c r="X1996">
        <v>7799</v>
      </c>
      <c r="Y1996">
        <v>1.28</v>
      </c>
      <c r="Z1996">
        <v>5</v>
      </c>
      <c r="AA1996">
        <v>126</v>
      </c>
      <c r="AB1996" t="s">
        <v>116</v>
      </c>
      <c r="AC1996">
        <v>568500</v>
      </c>
      <c r="AD1996">
        <v>7.0000000000000007E-2</v>
      </c>
      <c r="AE1996" t="s">
        <v>116</v>
      </c>
      <c r="AF1996" t="s">
        <v>116</v>
      </c>
      <c r="AG1996">
        <v>0.39</v>
      </c>
      <c r="AH1996" t="s">
        <v>9840</v>
      </c>
      <c r="AI1996" t="s">
        <v>203</v>
      </c>
      <c r="AJ1996">
        <v>-1.55</v>
      </c>
      <c r="AK1996">
        <v>992</v>
      </c>
      <c r="AL1996">
        <v>18</v>
      </c>
      <c r="AM1996">
        <v>4.5999999999999999E-3</v>
      </c>
      <c r="AN1996">
        <v>-1</v>
      </c>
      <c r="AO1996">
        <v>-0.85</v>
      </c>
      <c r="AP1996">
        <v>11.34</v>
      </c>
      <c r="AQ1996">
        <v>12.78</v>
      </c>
      <c r="AR1996">
        <v>16.59</v>
      </c>
      <c r="AS1996">
        <v>4.57</v>
      </c>
      <c r="AT1996" t="s">
        <v>9840</v>
      </c>
      <c r="AU1996">
        <v>39.1</v>
      </c>
      <c r="AV1996">
        <v>34.96</v>
      </c>
      <c r="AW1996">
        <v>1.1100000000000001</v>
      </c>
      <c r="BA1996">
        <v>0.98</v>
      </c>
      <c r="BB1996">
        <v>0.98</v>
      </c>
      <c r="BC1996">
        <v>-3.07</v>
      </c>
      <c r="BD1996">
        <v>-1.5</v>
      </c>
      <c r="BE1996">
        <v>-3.18</v>
      </c>
      <c r="BF1996">
        <v>-3.18</v>
      </c>
      <c r="BG1996">
        <v>0.86</v>
      </c>
      <c r="BH1996">
        <v>-0.73</v>
      </c>
      <c r="BI1996">
        <v>20191029</v>
      </c>
      <c r="BJ1996">
        <v>20170208</v>
      </c>
      <c r="BK1996">
        <v>0.89</v>
      </c>
      <c r="BL1996" t="s">
        <v>116</v>
      </c>
      <c r="BM1996" t="s">
        <v>116</v>
      </c>
      <c r="BN1996">
        <v>7.67</v>
      </c>
      <c r="BO1996">
        <v>5.43</v>
      </c>
      <c r="BP1996">
        <v>0.76</v>
      </c>
      <c r="BQ1996">
        <v>19.28</v>
      </c>
      <c r="BR1996">
        <v>5.4</v>
      </c>
      <c r="BS1996">
        <v>1.38</v>
      </c>
      <c r="BT1996">
        <v>0.28999999999999998</v>
      </c>
      <c r="BU1996">
        <v>1.44</v>
      </c>
      <c r="BV1996">
        <v>1.04</v>
      </c>
      <c r="BW1996">
        <v>1.44</v>
      </c>
      <c r="BX1996">
        <v>1.71</v>
      </c>
      <c r="BY1996">
        <v>2.97</v>
      </c>
      <c r="BZ1996">
        <v>2.1</v>
      </c>
      <c r="CA1996">
        <v>0.53</v>
      </c>
      <c r="CB1996">
        <v>0.03</v>
      </c>
      <c r="CC1996">
        <v>0.53</v>
      </c>
      <c r="CD1996">
        <v>0.45</v>
      </c>
      <c r="CE1996">
        <v>0.37</v>
      </c>
      <c r="CF1996">
        <v>0.33</v>
      </c>
      <c r="CG1996">
        <v>2.56</v>
      </c>
      <c r="CH1996">
        <v>0.45</v>
      </c>
      <c r="CI1996">
        <v>7.0000000000000007E-2</v>
      </c>
      <c r="CJ1996">
        <v>7801</v>
      </c>
      <c r="CK1996">
        <v>4979</v>
      </c>
      <c r="CL1996" t="s">
        <v>9841</v>
      </c>
      <c r="CM1996">
        <v>-13.21</v>
      </c>
      <c r="CN1996">
        <v>0.21</v>
      </c>
      <c r="CO1996">
        <v>3.45</v>
      </c>
      <c r="CP1996">
        <v>42.02</v>
      </c>
      <c r="CQ1996">
        <v>6.32</v>
      </c>
      <c r="CR1996">
        <v>0.24</v>
      </c>
      <c r="CS1996" t="s">
        <v>2968</v>
      </c>
      <c r="CT1996">
        <v>6.09</v>
      </c>
      <c r="CU1996">
        <v>0</v>
      </c>
      <c r="CV1996">
        <v>1.92</v>
      </c>
      <c r="CW1996">
        <v>2.87</v>
      </c>
      <c r="CX1996">
        <v>0.5</v>
      </c>
      <c r="CY1996">
        <v>70.87</v>
      </c>
      <c r="CZ1996" t="s">
        <v>3768</v>
      </c>
      <c r="DA1996">
        <v>29.14</v>
      </c>
      <c r="DB1996">
        <v>17.91</v>
      </c>
      <c r="DC1996">
        <v>12.58</v>
      </c>
      <c r="DD1996">
        <v>0.14000000000000001</v>
      </c>
      <c r="DE1996">
        <v>621</v>
      </c>
      <c r="DF1996">
        <v>300606</v>
      </c>
      <c r="DG1996" t="s">
        <v>116</v>
      </c>
      <c r="DH1996" t="s">
        <v>116</v>
      </c>
      <c r="DI1996" t="s">
        <v>116</v>
      </c>
    </row>
    <row r="1997" spans="1:113" x14ac:dyDescent="0.4">
      <c r="A1997" t="str">
        <f>"300607"</f>
        <v>300607</v>
      </c>
      <c r="B1997" t="s">
        <v>9842</v>
      </c>
      <c r="C1997">
        <v>3.26</v>
      </c>
      <c r="D1997">
        <v>49.77</v>
      </c>
      <c r="E1997">
        <v>1.57</v>
      </c>
      <c r="F1997">
        <v>49.77</v>
      </c>
      <c r="G1997">
        <v>49.78</v>
      </c>
      <c r="H1997">
        <v>40201</v>
      </c>
      <c r="I1997">
        <v>628</v>
      </c>
      <c r="J1997">
        <v>0.32</v>
      </c>
      <c r="K1997">
        <v>5.46</v>
      </c>
      <c r="L1997">
        <v>48.73</v>
      </c>
      <c r="M1997">
        <v>50.41</v>
      </c>
      <c r="N1997">
        <v>48</v>
      </c>
      <c r="O1997">
        <v>48.2</v>
      </c>
      <c r="P1997">
        <v>38.57</v>
      </c>
      <c r="Q1997">
        <v>197518064</v>
      </c>
      <c r="R1997">
        <v>1.61</v>
      </c>
      <c r="S1997" t="s">
        <v>682</v>
      </c>
      <c r="T1997" t="s">
        <v>551</v>
      </c>
      <c r="U1997">
        <v>5</v>
      </c>
      <c r="V1997">
        <v>49.13</v>
      </c>
      <c r="W1997">
        <v>18742</v>
      </c>
      <c r="X1997">
        <v>21459</v>
      </c>
      <c r="Y1997">
        <v>0.87</v>
      </c>
      <c r="Z1997">
        <v>8</v>
      </c>
      <c r="AA1997">
        <v>1</v>
      </c>
      <c r="AB1997" t="s">
        <v>116</v>
      </c>
      <c r="AC1997">
        <v>263100</v>
      </c>
      <c r="AD1997">
        <v>0.01</v>
      </c>
      <c r="AE1997" t="s">
        <v>116</v>
      </c>
      <c r="AF1997" t="s">
        <v>116</v>
      </c>
      <c r="AG1997">
        <v>0.74</v>
      </c>
      <c r="AH1997" t="s">
        <v>7932</v>
      </c>
      <c r="AI1997" t="s">
        <v>9843</v>
      </c>
      <c r="AJ1997">
        <v>3.94</v>
      </c>
      <c r="AK1997">
        <v>2229</v>
      </c>
      <c r="AL1997">
        <v>18</v>
      </c>
      <c r="AM1997">
        <v>2.3999999999999998E-3</v>
      </c>
      <c r="AN1997">
        <v>1</v>
      </c>
      <c r="AO1997">
        <v>3.26</v>
      </c>
      <c r="AP1997">
        <v>24.8</v>
      </c>
      <c r="AQ1997">
        <v>29.74</v>
      </c>
      <c r="AR1997">
        <v>63.43</v>
      </c>
      <c r="AS1997">
        <v>5.93</v>
      </c>
      <c r="AT1997" t="s">
        <v>9844</v>
      </c>
      <c r="AU1997">
        <v>39.56</v>
      </c>
      <c r="AV1997">
        <v>42.85</v>
      </c>
      <c r="AW1997">
        <v>1.23</v>
      </c>
      <c r="BA1997">
        <v>1.1000000000000001</v>
      </c>
      <c r="BB1997">
        <v>4.59</v>
      </c>
      <c r="BC1997">
        <v>-0.41</v>
      </c>
      <c r="BD1997">
        <v>1.94</v>
      </c>
      <c r="BE1997">
        <v>2.13</v>
      </c>
      <c r="BF1997">
        <v>-1.27</v>
      </c>
      <c r="BG1997">
        <v>3.69</v>
      </c>
      <c r="BH1997">
        <v>1.32</v>
      </c>
      <c r="BI1997">
        <v>20191127</v>
      </c>
      <c r="BJ1997">
        <v>20170209</v>
      </c>
      <c r="BK1997">
        <v>1.48</v>
      </c>
      <c r="BL1997" t="s">
        <v>116</v>
      </c>
      <c r="BM1997" t="s">
        <v>116</v>
      </c>
      <c r="BN1997">
        <v>19.39</v>
      </c>
      <c r="BO1997">
        <v>10.18</v>
      </c>
      <c r="BP1997">
        <v>0.01</v>
      </c>
      <c r="BQ1997">
        <v>47.41</v>
      </c>
      <c r="BR1997">
        <v>15.1</v>
      </c>
      <c r="BS1997">
        <v>2.16</v>
      </c>
      <c r="BT1997">
        <v>0.62</v>
      </c>
      <c r="BU1997">
        <v>7.93</v>
      </c>
      <c r="BV1997">
        <v>2.35</v>
      </c>
      <c r="BW1997">
        <v>6.52</v>
      </c>
      <c r="BX1997">
        <v>4.03</v>
      </c>
      <c r="BY1997">
        <v>10.89</v>
      </c>
      <c r="BZ1997">
        <v>6.92</v>
      </c>
      <c r="CA1997">
        <v>1.65</v>
      </c>
      <c r="CB1997">
        <v>0</v>
      </c>
      <c r="CC1997">
        <v>1.65</v>
      </c>
      <c r="CD1997">
        <v>1.43</v>
      </c>
      <c r="CE1997">
        <v>1.43</v>
      </c>
      <c r="CF1997">
        <v>1.42</v>
      </c>
      <c r="CG1997">
        <v>4.6399999999999997</v>
      </c>
      <c r="CH1997">
        <v>0.34</v>
      </c>
      <c r="CI1997">
        <v>0.35</v>
      </c>
      <c r="CJ1997">
        <v>10723</v>
      </c>
      <c r="CK1997">
        <v>6322</v>
      </c>
      <c r="CL1997" t="s">
        <v>9845</v>
      </c>
      <c r="CM1997">
        <v>11.1</v>
      </c>
      <c r="CN1997">
        <v>28.01</v>
      </c>
      <c r="CO1997">
        <v>6.44</v>
      </c>
      <c r="CP1997">
        <v>217.52</v>
      </c>
      <c r="CQ1997">
        <v>6.76</v>
      </c>
      <c r="CR1997">
        <v>0.53</v>
      </c>
      <c r="CS1997" t="s">
        <v>9846</v>
      </c>
      <c r="CT1997">
        <v>7.72</v>
      </c>
      <c r="CU1997">
        <v>7.72</v>
      </c>
      <c r="CV1997">
        <v>2.72</v>
      </c>
      <c r="CW1997">
        <v>3.14</v>
      </c>
      <c r="CX1997">
        <v>0.23</v>
      </c>
      <c r="CY1997">
        <v>52.52</v>
      </c>
      <c r="CZ1997" t="s">
        <v>9847</v>
      </c>
      <c r="DA1997">
        <v>36.44</v>
      </c>
      <c r="DB1997">
        <v>15.17</v>
      </c>
      <c r="DC1997">
        <v>13.14</v>
      </c>
      <c r="DD1997">
        <v>0.5</v>
      </c>
      <c r="DE1997">
        <v>1718</v>
      </c>
      <c r="DF1997">
        <v>300607</v>
      </c>
      <c r="DG1997" t="s">
        <v>116</v>
      </c>
      <c r="DH1997" t="s">
        <v>116</v>
      </c>
      <c r="DI1997" t="s">
        <v>116</v>
      </c>
    </row>
    <row r="1998" spans="1:113" x14ac:dyDescent="0.4">
      <c r="A1998" t="str">
        <f>"300608"</f>
        <v>300608</v>
      </c>
      <c r="B1998" t="s">
        <v>9848</v>
      </c>
      <c r="C1998">
        <v>-2.11</v>
      </c>
      <c r="D1998">
        <v>16.71</v>
      </c>
      <c r="E1998">
        <v>-0.36</v>
      </c>
      <c r="F1998">
        <v>16.71</v>
      </c>
      <c r="G1998">
        <v>16.72</v>
      </c>
      <c r="H1998">
        <v>19584</v>
      </c>
      <c r="I1998">
        <v>130</v>
      </c>
      <c r="J1998">
        <v>-0.11</v>
      </c>
      <c r="K1998">
        <v>1.91</v>
      </c>
      <c r="L1998">
        <v>17.07</v>
      </c>
      <c r="M1998">
        <v>17.170000000000002</v>
      </c>
      <c r="N1998">
        <v>16.670000000000002</v>
      </c>
      <c r="O1998">
        <v>17.07</v>
      </c>
      <c r="P1998">
        <v>550.34</v>
      </c>
      <c r="Q1998">
        <v>33213626</v>
      </c>
      <c r="R1998">
        <v>1.01</v>
      </c>
      <c r="S1998" t="s">
        <v>607</v>
      </c>
      <c r="T1998" t="s">
        <v>165</v>
      </c>
      <c r="U1998">
        <v>2.93</v>
      </c>
      <c r="V1998">
        <v>16.96</v>
      </c>
      <c r="W1998">
        <v>12721</v>
      </c>
      <c r="X1998">
        <v>6863</v>
      </c>
      <c r="Y1998">
        <v>1.85</v>
      </c>
      <c r="Z1998">
        <v>163</v>
      </c>
      <c r="AA1998">
        <v>6</v>
      </c>
      <c r="AB1998" t="s">
        <v>116</v>
      </c>
      <c r="AC1998">
        <v>426800</v>
      </c>
      <c r="AD1998">
        <v>0.04</v>
      </c>
      <c r="AE1998" t="s">
        <v>116</v>
      </c>
      <c r="AF1998" t="s">
        <v>116</v>
      </c>
      <c r="AG1998">
        <v>1.03</v>
      </c>
      <c r="AH1998" t="s">
        <v>9849</v>
      </c>
      <c r="AI1998" t="s">
        <v>9772</v>
      </c>
      <c r="AJ1998">
        <v>-1.43</v>
      </c>
      <c r="AK1998">
        <v>1064</v>
      </c>
      <c r="AL1998">
        <v>18</v>
      </c>
      <c r="AM1998">
        <v>1.8E-3</v>
      </c>
      <c r="AN1998">
        <v>-1</v>
      </c>
      <c r="AO1998">
        <v>-1.3</v>
      </c>
      <c r="AP1998">
        <v>10.3</v>
      </c>
      <c r="AQ1998">
        <v>-8.64</v>
      </c>
      <c r="AR1998">
        <v>46.49</v>
      </c>
      <c r="AS1998">
        <v>2.96</v>
      </c>
      <c r="AT1998" t="s">
        <v>5871</v>
      </c>
      <c r="AU1998">
        <v>30.72</v>
      </c>
      <c r="AV1998">
        <v>30.88</v>
      </c>
      <c r="AW1998">
        <v>2.14</v>
      </c>
      <c r="BA1998">
        <v>0</v>
      </c>
      <c r="BB1998">
        <v>0.59</v>
      </c>
      <c r="BC1998">
        <v>-2.34</v>
      </c>
      <c r="BD1998">
        <v>-0.65</v>
      </c>
      <c r="BE1998">
        <v>-2.11</v>
      </c>
      <c r="BF1998">
        <v>-2.68</v>
      </c>
      <c r="BG1998">
        <v>0.24</v>
      </c>
      <c r="BH1998">
        <v>-1.46</v>
      </c>
      <c r="BI1998">
        <v>20191226</v>
      </c>
      <c r="BJ1998">
        <v>20170213</v>
      </c>
      <c r="BK1998">
        <v>1.58</v>
      </c>
      <c r="BL1998" t="s">
        <v>116</v>
      </c>
      <c r="BM1998" t="s">
        <v>116</v>
      </c>
      <c r="BN1998">
        <v>12.7</v>
      </c>
      <c r="BO1998">
        <v>6.91</v>
      </c>
      <c r="BP1998">
        <v>0.02</v>
      </c>
      <c r="BQ1998">
        <v>45.49</v>
      </c>
      <c r="BR1998">
        <v>9.2200000000000006</v>
      </c>
      <c r="BS1998">
        <v>0.71</v>
      </c>
      <c r="BT1998">
        <v>0.11</v>
      </c>
      <c r="BU1998">
        <v>5.75</v>
      </c>
      <c r="BV1998">
        <v>2.74</v>
      </c>
      <c r="BW1998">
        <v>3.23</v>
      </c>
      <c r="BX1998">
        <v>2.31</v>
      </c>
      <c r="BY1998">
        <v>4.49</v>
      </c>
      <c r="BZ1998">
        <v>2.25</v>
      </c>
      <c r="CA1998">
        <v>-0.02</v>
      </c>
      <c r="CB1998">
        <v>0</v>
      </c>
      <c r="CC1998">
        <v>0.02</v>
      </c>
      <c r="CD1998">
        <v>0.02</v>
      </c>
      <c r="CE1998">
        <v>0.04</v>
      </c>
      <c r="CF1998">
        <v>0.02</v>
      </c>
      <c r="CG1998">
        <v>2.61</v>
      </c>
      <c r="CH1998">
        <v>-0.04</v>
      </c>
      <c r="CI1998">
        <v>-0.79</v>
      </c>
      <c r="CJ1998">
        <v>10667</v>
      </c>
      <c r="CK1998">
        <v>6206</v>
      </c>
      <c r="CL1998" t="s">
        <v>9850</v>
      </c>
      <c r="CM1998">
        <v>13.81</v>
      </c>
      <c r="CN1998">
        <v>16.22</v>
      </c>
      <c r="CO1998">
        <v>3.82</v>
      </c>
      <c r="CP1998">
        <v>-590.94000000000005</v>
      </c>
      <c r="CQ1998">
        <v>5.87</v>
      </c>
      <c r="CR1998">
        <v>1.04</v>
      </c>
      <c r="CS1998" t="s">
        <v>1432</v>
      </c>
      <c r="CT1998">
        <v>4.38</v>
      </c>
      <c r="CU1998">
        <v>0</v>
      </c>
      <c r="CV1998">
        <v>1.47</v>
      </c>
      <c r="CW1998">
        <v>1.65</v>
      </c>
      <c r="CX1998">
        <v>-0.03</v>
      </c>
      <c r="CY1998">
        <v>54.36</v>
      </c>
      <c r="CZ1998" t="s">
        <v>9851</v>
      </c>
      <c r="DA1998">
        <v>49.8</v>
      </c>
      <c r="DB1998">
        <v>-0.34</v>
      </c>
      <c r="DC1998">
        <v>0.8</v>
      </c>
      <c r="DD1998">
        <v>1.1599999999999999</v>
      </c>
      <c r="DE1998">
        <v>2875</v>
      </c>
      <c r="DF1998">
        <v>300608</v>
      </c>
      <c r="DG1998" t="s">
        <v>116</v>
      </c>
      <c r="DH1998" t="s">
        <v>116</v>
      </c>
      <c r="DI1998" t="s">
        <v>116</v>
      </c>
    </row>
    <row r="1999" spans="1:113" x14ac:dyDescent="0.4">
      <c r="A1999" t="str">
        <f>"300609"</f>
        <v>300609</v>
      </c>
      <c r="B1999" t="s">
        <v>9852</v>
      </c>
      <c r="C1999">
        <v>-3.15</v>
      </c>
      <c r="D1999">
        <v>36.299999999999997</v>
      </c>
      <c r="E1999">
        <v>-1.18</v>
      </c>
      <c r="F1999">
        <v>36.29</v>
      </c>
      <c r="G1999">
        <v>36.299999999999997</v>
      </c>
      <c r="H1999">
        <v>12372</v>
      </c>
      <c r="I1999">
        <v>94</v>
      </c>
      <c r="J1999">
        <v>-0.24</v>
      </c>
      <c r="K1999">
        <v>2.23</v>
      </c>
      <c r="L1999">
        <v>37.200000000000003</v>
      </c>
      <c r="M1999">
        <v>37.75</v>
      </c>
      <c r="N1999">
        <v>36.299999999999997</v>
      </c>
      <c r="O1999">
        <v>37.479999999999997</v>
      </c>
      <c r="P1999">
        <v>54.56</v>
      </c>
      <c r="Q1999">
        <v>45666608</v>
      </c>
      <c r="R1999">
        <v>1.84</v>
      </c>
      <c r="S1999" t="s">
        <v>1384</v>
      </c>
      <c r="T1999" t="s">
        <v>1653</v>
      </c>
      <c r="U1999">
        <v>3.87</v>
      </c>
      <c r="V1999">
        <v>36.909999999999997</v>
      </c>
      <c r="W1999">
        <v>7499</v>
      </c>
      <c r="X1999">
        <v>4873</v>
      </c>
      <c r="Y1999">
        <v>1.54</v>
      </c>
      <c r="Z1999">
        <v>37</v>
      </c>
      <c r="AA1999">
        <v>34</v>
      </c>
      <c r="AB1999" t="s">
        <v>116</v>
      </c>
      <c r="AC1999">
        <v>654700</v>
      </c>
      <c r="AD1999">
        <v>0.05</v>
      </c>
      <c r="AE1999" t="s">
        <v>116</v>
      </c>
      <c r="AF1999" t="s">
        <v>116</v>
      </c>
      <c r="AG1999">
        <v>0.55000000000000004</v>
      </c>
      <c r="AH1999" t="s">
        <v>1400</v>
      </c>
      <c r="AI1999" t="s">
        <v>9853</v>
      </c>
      <c r="AJ1999">
        <v>-2.4700000000000002</v>
      </c>
      <c r="AK1999">
        <v>1378</v>
      </c>
      <c r="AL1999">
        <v>9</v>
      </c>
      <c r="AM1999">
        <v>1.6000000000000001E-3</v>
      </c>
      <c r="AN1999">
        <v>-1</v>
      </c>
      <c r="AO1999">
        <v>-3.95</v>
      </c>
      <c r="AP1999">
        <v>6.45</v>
      </c>
      <c r="AQ1999">
        <v>-6.99</v>
      </c>
      <c r="AR1999">
        <v>35.04</v>
      </c>
      <c r="AS1999">
        <v>3.44</v>
      </c>
      <c r="AT1999" t="s">
        <v>6997</v>
      </c>
      <c r="AU1999">
        <v>47.86</v>
      </c>
      <c r="AV1999">
        <v>55.98</v>
      </c>
      <c r="AW1999">
        <v>1.37</v>
      </c>
      <c r="BA1999">
        <v>-0.75</v>
      </c>
      <c r="BB1999">
        <v>0.72</v>
      </c>
      <c r="BC1999">
        <v>-3.15</v>
      </c>
      <c r="BD1999">
        <v>-1.52</v>
      </c>
      <c r="BE1999">
        <v>-2.42</v>
      </c>
      <c r="BF1999">
        <v>-3.84</v>
      </c>
      <c r="BG1999">
        <v>0</v>
      </c>
      <c r="BH1999">
        <v>-1.63</v>
      </c>
      <c r="BI1999">
        <v>20191212</v>
      </c>
      <c r="BJ1999">
        <v>20170215</v>
      </c>
      <c r="BK1999">
        <v>1.01</v>
      </c>
      <c r="BL1999" t="s">
        <v>116</v>
      </c>
      <c r="BM1999" t="s">
        <v>116</v>
      </c>
      <c r="BN1999">
        <v>6.51</v>
      </c>
      <c r="BO1999">
        <v>5.38</v>
      </c>
      <c r="BP1999">
        <v>0.17</v>
      </c>
      <c r="BQ1999">
        <v>14.85</v>
      </c>
      <c r="BR1999">
        <v>3.6</v>
      </c>
      <c r="BS1999">
        <v>0.16</v>
      </c>
      <c r="BT1999">
        <v>0.14000000000000001</v>
      </c>
      <c r="BU1999">
        <v>0.95</v>
      </c>
      <c r="BV1999">
        <v>0.43</v>
      </c>
      <c r="BW1999">
        <v>1.83</v>
      </c>
      <c r="BX1999">
        <v>2.5299999999999998</v>
      </c>
      <c r="BY1999">
        <v>1.97</v>
      </c>
      <c r="BZ1999">
        <v>0.76</v>
      </c>
      <c r="CA1999">
        <v>0.42</v>
      </c>
      <c r="CB1999">
        <v>0.17</v>
      </c>
      <c r="CC1999">
        <v>0.49</v>
      </c>
      <c r="CD1999">
        <v>0.5</v>
      </c>
      <c r="CE1999">
        <v>0.5</v>
      </c>
      <c r="CF1999">
        <v>0.46</v>
      </c>
      <c r="CG1999">
        <v>2.0299999999999998</v>
      </c>
      <c r="CH1999">
        <v>0.16</v>
      </c>
      <c r="CI1999">
        <v>-1.27</v>
      </c>
      <c r="CJ1999">
        <v>8743</v>
      </c>
      <c r="CK1999">
        <v>4116</v>
      </c>
      <c r="CL1999" t="s">
        <v>9854</v>
      </c>
      <c r="CM1999">
        <v>28.29</v>
      </c>
      <c r="CN1999">
        <v>31.91</v>
      </c>
      <c r="CO1999">
        <v>6.82</v>
      </c>
      <c r="CP1999">
        <v>224.56</v>
      </c>
      <c r="CQ1999">
        <v>18.649999999999999</v>
      </c>
      <c r="CR1999">
        <v>0.68</v>
      </c>
      <c r="CS1999" t="s">
        <v>9855</v>
      </c>
      <c r="CT1999">
        <v>5.32</v>
      </c>
      <c r="CU1999">
        <v>0</v>
      </c>
      <c r="CV1999">
        <v>2.5</v>
      </c>
      <c r="CW1999">
        <v>2.0099999999999998</v>
      </c>
      <c r="CX1999">
        <v>0.16</v>
      </c>
      <c r="CY1999">
        <v>82.58</v>
      </c>
      <c r="CZ1999" t="s">
        <v>9856</v>
      </c>
      <c r="DA1999">
        <v>61.45</v>
      </c>
      <c r="DB1999">
        <v>21.45</v>
      </c>
      <c r="DC1999">
        <v>25.63</v>
      </c>
      <c r="DD1999">
        <v>0.34</v>
      </c>
      <c r="DE1999">
        <v>648</v>
      </c>
      <c r="DF1999">
        <v>300609</v>
      </c>
      <c r="DG1999" t="s">
        <v>116</v>
      </c>
      <c r="DH1999" t="s">
        <v>116</v>
      </c>
      <c r="DI1999" t="s">
        <v>116</v>
      </c>
    </row>
    <row r="2000" spans="1:113" x14ac:dyDescent="0.4">
      <c r="A2000" t="str">
        <f>"300610"</f>
        <v>300610</v>
      </c>
      <c r="B2000" t="s">
        <v>9857</v>
      </c>
      <c r="C2000">
        <v>-1.06</v>
      </c>
      <c r="D2000">
        <v>12.17</v>
      </c>
      <c r="E2000">
        <v>-0.13</v>
      </c>
      <c r="F2000">
        <v>12.17</v>
      </c>
      <c r="G2000">
        <v>12.19</v>
      </c>
      <c r="H2000">
        <v>8884</v>
      </c>
      <c r="I2000">
        <v>130</v>
      </c>
      <c r="J2000">
        <v>-0.32</v>
      </c>
      <c r="K2000">
        <v>1.78</v>
      </c>
      <c r="L2000">
        <v>12.28</v>
      </c>
      <c r="M2000">
        <v>12.37</v>
      </c>
      <c r="N2000">
        <v>12.13</v>
      </c>
      <c r="O2000">
        <v>12.3</v>
      </c>
      <c r="P2000">
        <v>20.440000000000001</v>
      </c>
      <c r="Q2000">
        <v>10884727</v>
      </c>
      <c r="R2000">
        <v>0.66</v>
      </c>
      <c r="S2000" t="s">
        <v>891</v>
      </c>
      <c r="T2000" t="s">
        <v>323</v>
      </c>
      <c r="U2000">
        <v>1.95</v>
      </c>
      <c r="V2000">
        <v>12.25</v>
      </c>
      <c r="W2000">
        <v>4985</v>
      </c>
      <c r="X2000">
        <v>3899</v>
      </c>
      <c r="Y2000">
        <v>1.28</v>
      </c>
      <c r="Z2000">
        <v>25</v>
      </c>
      <c r="AA2000">
        <v>30</v>
      </c>
      <c r="AB2000" t="s">
        <v>116</v>
      </c>
      <c r="AC2000">
        <v>0</v>
      </c>
      <c r="AD2000">
        <v>0</v>
      </c>
      <c r="AE2000" t="s">
        <v>116</v>
      </c>
      <c r="AF2000" t="s">
        <v>116</v>
      </c>
      <c r="AG2000">
        <v>0.5</v>
      </c>
      <c r="AH2000" t="s">
        <v>9858</v>
      </c>
      <c r="AI2000" t="s">
        <v>6187</v>
      </c>
      <c r="AJ2000">
        <v>-0.38</v>
      </c>
      <c r="AK2000">
        <v>656</v>
      </c>
      <c r="AL2000">
        <v>14</v>
      </c>
      <c r="AM2000">
        <v>2.7000000000000001E-3</v>
      </c>
      <c r="AN2000">
        <v>-1</v>
      </c>
      <c r="AO2000">
        <v>0.65</v>
      </c>
      <c r="AP2000">
        <v>6.57</v>
      </c>
      <c r="AQ2000">
        <v>0.66</v>
      </c>
      <c r="AR2000">
        <v>-3.87</v>
      </c>
      <c r="AS2000">
        <v>1.78</v>
      </c>
      <c r="AT2000" t="s">
        <v>9858</v>
      </c>
      <c r="AU2000">
        <v>20.47</v>
      </c>
      <c r="AV2000">
        <v>21.27</v>
      </c>
      <c r="AW2000">
        <v>1.03</v>
      </c>
      <c r="BA2000">
        <v>-0.16</v>
      </c>
      <c r="BB2000">
        <v>0.56999999999999995</v>
      </c>
      <c r="BC2000">
        <v>-1.38</v>
      </c>
      <c r="BD2000">
        <v>-0.39</v>
      </c>
      <c r="BE2000">
        <v>-0.9</v>
      </c>
      <c r="BF2000">
        <v>-1.62</v>
      </c>
      <c r="BG2000">
        <v>0.33</v>
      </c>
      <c r="BH2000">
        <v>-0.67</v>
      </c>
      <c r="BI2000">
        <v>20191223</v>
      </c>
      <c r="BJ2000">
        <v>20170213</v>
      </c>
      <c r="BK2000">
        <v>1.51</v>
      </c>
      <c r="BL2000" t="s">
        <v>116</v>
      </c>
      <c r="BM2000" t="s">
        <v>116</v>
      </c>
      <c r="BN2000">
        <v>9.8000000000000007</v>
      </c>
      <c r="BO2000">
        <v>8.1300000000000008</v>
      </c>
      <c r="BP2000">
        <v>0.3</v>
      </c>
      <c r="BQ2000">
        <v>14.06</v>
      </c>
      <c r="BR2000">
        <v>6.78</v>
      </c>
      <c r="BS2000">
        <v>1.55</v>
      </c>
      <c r="BT2000">
        <v>0.76</v>
      </c>
      <c r="BU2000">
        <v>1.1100000000000001</v>
      </c>
      <c r="BV2000">
        <v>0.93</v>
      </c>
      <c r="BW2000">
        <v>0.88</v>
      </c>
      <c r="BX2000">
        <v>2.79</v>
      </c>
      <c r="BY2000">
        <v>5.99</v>
      </c>
      <c r="BZ2000">
        <v>4.49</v>
      </c>
      <c r="CA2000">
        <v>0.8</v>
      </c>
      <c r="CB2000">
        <v>0.05</v>
      </c>
      <c r="CC2000">
        <v>0.75</v>
      </c>
      <c r="CD2000">
        <v>0.67</v>
      </c>
      <c r="CE2000">
        <v>0.67</v>
      </c>
      <c r="CF2000">
        <v>0.56999999999999995</v>
      </c>
      <c r="CG2000">
        <v>3.1</v>
      </c>
      <c r="CH2000">
        <v>0.85</v>
      </c>
      <c r="CI2000">
        <v>-0.24</v>
      </c>
      <c r="CJ2000">
        <v>10600</v>
      </c>
      <c r="CK2000">
        <v>4712</v>
      </c>
      <c r="CL2000" t="s">
        <v>7464</v>
      </c>
      <c r="CM2000">
        <v>5.32</v>
      </c>
      <c r="CN2000">
        <v>-0.27</v>
      </c>
      <c r="CO2000">
        <v>2.2599999999999998</v>
      </c>
      <c r="CP2000">
        <v>21.46</v>
      </c>
      <c r="CQ2000">
        <v>3.06</v>
      </c>
      <c r="CR2000">
        <v>0.9</v>
      </c>
      <c r="CS2000" t="s">
        <v>4446</v>
      </c>
      <c r="CT2000">
        <v>5.4</v>
      </c>
      <c r="CU2000">
        <v>0</v>
      </c>
      <c r="CV2000">
        <v>1.85</v>
      </c>
      <c r="CW2000">
        <v>2.06</v>
      </c>
      <c r="CX2000">
        <v>0.56999999999999995</v>
      </c>
      <c r="CY2000">
        <v>82.92</v>
      </c>
      <c r="CZ2000" t="s">
        <v>724</v>
      </c>
      <c r="DA2000">
        <v>25.03</v>
      </c>
      <c r="DB2000">
        <v>13.32</v>
      </c>
      <c r="DC2000">
        <v>11.24</v>
      </c>
      <c r="DD2000">
        <v>0.19</v>
      </c>
      <c r="DE2000">
        <v>681</v>
      </c>
      <c r="DF2000">
        <v>300610</v>
      </c>
      <c r="DG2000" t="s">
        <v>116</v>
      </c>
      <c r="DH2000" t="s">
        <v>116</v>
      </c>
      <c r="DI2000" t="s">
        <v>116</v>
      </c>
    </row>
    <row r="2001" spans="1:113" x14ac:dyDescent="0.4">
      <c r="A2001" t="str">
        <f>"300611"</f>
        <v>300611</v>
      </c>
      <c r="B2001" t="s">
        <v>9859</v>
      </c>
      <c r="C2001">
        <v>-4.29</v>
      </c>
      <c r="D2001">
        <v>10.029999999999999</v>
      </c>
      <c r="E2001">
        <v>-0.45</v>
      </c>
      <c r="F2001">
        <v>10.02</v>
      </c>
      <c r="G2001">
        <v>10.029999999999999</v>
      </c>
      <c r="H2001">
        <v>107530</v>
      </c>
      <c r="I2001">
        <v>549</v>
      </c>
      <c r="J2001">
        <v>0.3</v>
      </c>
      <c r="K2001">
        <v>14.41</v>
      </c>
      <c r="L2001">
        <v>10.58</v>
      </c>
      <c r="M2001">
        <v>10.98</v>
      </c>
      <c r="N2001">
        <v>9.9499999999999993</v>
      </c>
      <c r="O2001">
        <v>10.48</v>
      </c>
      <c r="P2001">
        <v>57.25</v>
      </c>
      <c r="Q2001">
        <v>112338544</v>
      </c>
      <c r="R2001">
        <v>4.4800000000000004</v>
      </c>
      <c r="S2001" t="s">
        <v>996</v>
      </c>
      <c r="T2001" t="s">
        <v>590</v>
      </c>
      <c r="U2001">
        <v>9.83</v>
      </c>
      <c r="V2001">
        <v>10.45</v>
      </c>
      <c r="W2001">
        <v>60243</v>
      </c>
      <c r="X2001">
        <v>47287</v>
      </c>
      <c r="Y2001">
        <v>1.27</v>
      </c>
      <c r="Z2001">
        <v>34</v>
      </c>
      <c r="AA2001">
        <v>96</v>
      </c>
      <c r="AB2001" t="s">
        <v>116</v>
      </c>
      <c r="AC2001">
        <v>3028000</v>
      </c>
      <c r="AD2001">
        <v>0.45</v>
      </c>
      <c r="AE2001" t="s">
        <v>116</v>
      </c>
      <c r="AF2001" t="s">
        <v>116</v>
      </c>
      <c r="AG2001">
        <v>0.75</v>
      </c>
      <c r="AH2001" t="s">
        <v>9860</v>
      </c>
      <c r="AI2001" t="s">
        <v>1504</v>
      </c>
      <c r="AJ2001">
        <v>-3.62</v>
      </c>
      <c r="AK2001">
        <v>2564</v>
      </c>
      <c r="AL2001">
        <v>42</v>
      </c>
      <c r="AM2001">
        <v>5.5999999999999999E-3</v>
      </c>
      <c r="AN2001">
        <v>-1</v>
      </c>
      <c r="AO2001">
        <v>5.25</v>
      </c>
      <c r="AP2001">
        <v>15.82</v>
      </c>
      <c r="AQ2001">
        <v>3.3</v>
      </c>
      <c r="AR2001">
        <v>18.420000000000002</v>
      </c>
      <c r="AS2001">
        <v>16.98</v>
      </c>
      <c r="AT2001" t="s">
        <v>9861</v>
      </c>
      <c r="AU2001">
        <v>106.33</v>
      </c>
      <c r="AV2001">
        <v>90.1</v>
      </c>
      <c r="AW2001">
        <v>1.08</v>
      </c>
      <c r="BA2001">
        <v>0.95</v>
      </c>
      <c r="BB2001">
        <v>4.7699999999999996</v>
      </c>
      <c r="BC2001">
        <v>-5.0599999999999996</v>
      </c>
      <c r="BD2001">
        <v>-0.31</v>
      </c>
      <c r="BE2001">
        <v>-5.2</v>
      </c>
      <c r="BF2001">
        <v>-8.65</v>
      </c>
      <c r="BG2001">
        <v>0.8</v>
      </c>
      <c r="BH2001">
        <v>-3.98</v>
      </c>
      <c r="BI2001">
        <v>20191224</v>
      </c>
      <c r="BJ2001">
        <v>20170220</v>
      </c>
      <c r="BK2001">
        <v>1.79</v>
      </c>
      <c r="BL2001" t="s">
        <v>116</v>
      </c>
      <c r="BM2001" t="s">
        <v>116</v>
      </c>
      <c r="BN2001">
        <v>11</v>
      </c>
      <c r="BO2001">
        <v>6.71</v>
      </c>
      <c r="BP2001">
        <v>-0.06</v>
      </c>
      <c r="BQ2001">
        <v>39.61</v>
      </c>
      <c r="BR2001">
        <v>5.45</v>
      </c>
      <c r="BS2001">
        <v>3.44</v>
      </c>
      <c r="BT2001">
        <v>0.67</v>
      </c>
      <c r="BU2001">
        <v>2.87</v>
      </c>
      <c r="BV2001">
        <v>1.54</v>
      </c>
      <c r="BW2001">
        <v>1.84</v>
      </c>
      <c r="BX2001">
        <v>2.6</v>
      </c>
      <c r="BY2001">
        <v>4.03</v>
      </c>
      <c r="BZ2001">
        <v>2.84</v>
      </c>
      <c r="CA2001">
        <v>0.26</v>
      </c>
      <c r="CB2001">
        <v>0</v>
      </c>
      <c r="CC2001">
        <v>0.26</v>
      </c>
      <c r="CD2001">
        <v>0.22</v>
      </c>
      <c r="CE2001">
        <v>0.24</v>
      </c>
      <c r="CF2001">
        <v>0.22</v>
      </c>
      <c r="CG2001">
        <v>2.14</v>
      </c>
      <c r="CH2001">
        <v>0.66</v>
      </c>
      <c r="CI2001">
        <v>0.51</v>
      </c>
      <c r="CJ2001">
        <v>12177</v>
      </c>
      <c r="CK2001">
        <v>5202</v>
      </c>
      <c r="CL2001" t="s">
        <v>3404</v>
      </c>
      <c r="CM2001">
        <v>-11.45</v>
      </c>
      <c r="CN2001">
        <v>3.47</v>
      </c>
      <c r="CO2001">
        <v>2.68</v>
      </c>
      <c r="CP2001">
        <v>27</v>
      </c>
      <c r="CQ2001">
        <v>4.46</v>
      </c>
      <c r="CR2001">
        <v>0.5</v>
      </c>
      <c r="CS2001" t="s">
        <v>5815</v>
      </c>
      <c r="CT2001">
        <v>3.75</v>
      </c>
      <c r="CU2001">
        <v>0</v>
      </c>
      <c r="CV2001">
        <v>1.45</v>
      </c>
      <c r="CW2001">
        <v>1.2</v>
      </c>
      <c r="CX2001">
        <v>0.37</v>
      </c>
      <c r="CY2001">
        <v>60.98</v>
      </c>
      <c r="CZ2001" t="s">
        <v>938</v>
      </c>
      <c r="DA2001">
        <v>29.38</v>
      </c>
      <c r="DB2001">
        <v>6.5</v>
      </c>
      <c r="DC2001">
        <v>5.84</v>
      </c>
      <c r="DD2001">
        <v>0.24</v>
      </c>
      <c r="DE2001">
        <v>1052</v>
      </c>
      <c r="DF2001">
        <v>300611</v>
      </c>
      <c r="DG2001" t="s">
        <v>116</v>
      </c>
      <c r="DH2001" t="s">
        <v>116</v>
      </c>
      <c r="DI2001" t="s">
        <v>116</v>
      </c>
    </row>
    <row r="2002" spans="1:113" x14ac:dyDescent="0.4">
      <c r="A2002" t="str">
        <f>"300612"</f>
        <v>300612</v>
      </c>
      <c r="B2002" t="s">
        <v>9862</v>
      </c>
      <c r="C2002">
        <v>-3.02</v>
      </c>
      <c r="D2002">
        <v>17.34</v>
      </c>
      <c r="E2002">
        <v>-0.54</v>
      </c>
      <c r="F2002">
        <v>17.34</v>
      </c>
      <c r="G2002">
        <v>17.350000000000001</v>
      </c>
      <c r="H2002">
        <v>62630</v>
      </c>
      <c r="I2002">
        <v>655</v>
      </c>
      <c r="J2002">
        <v>-0.28000000000000003</v>
      </c>
      <c r="K2002">
        <v>13.81</v>
      </c>
      <c r="L2002">
        <v>17.8</v>
      </c>
      <c r="M2002">
        <v>18.329999999999998</v>
      </c>
      <c r="N2002">
        <v>17.329999999999998</v>
      </c>
      <c r="O2002">
        <v>17.88</v>
      </c>
      <c r="P2002" t="s">
        <v>116</v>
      </c>
      <c r="Q2002">
        <v>111719448</v>
      </c>
      <c r="R2002">
        <v>1.82</v>
      </c>
      <c r="S2002" t="s">
        <v>345</v>
      </c>
      <c r="T2002" t="s">
        <v>165</v>
      </c>
      <c r="U2002">
        <v>5.59</v>
      </c>
      <c r="V2002">
        <v>17.84</v>
      </c>
      <c r="W2002">
        <v>37489</v>
      </c>
      <c r="X2002">
        <v>25141</v>
      </c>
      <c r="Y2002">
        <v>1.49</v>
      </c>
      <c r="Z2002">
        <v>86</v>
      </c>
      <c r="AA2002">
        <v>171</v>
      </c>
      <c r="AB2002" t="s">
        <v>116</v>
      </c>
      <c r="AC2002">
        <v>3188000</v>
      </c>
      <c r="AD2002">
        <v>0.4</v>
      </c>
      <c r="AE2002" t="s">
        <v>116</v>
      </c>
      <c r="AF2002" t="s">
        <v>116</v>
      </c>
      <c r="AG2002">
        <v>0.45</v>
      </c>
      <c r="AH2002" t="s">
        <v>9611</v>
      </c>
      <c r="AI2002" t="s">
        <v>5588</v>
      </c>
      <c r="AJ2002">
        <v>-2.34</v>
      </c>
      <c r="AK2002">
        <v>2012</v>
      </c>
      <c r="AL2002">
        <v>31</v>
      </c>
      <c r="AM2002">
        <v>6.8999999999999999E-3</v>
      </c>
      <c r="AN2002">
        <v>-1</v>
      </c>
      <c r="AO2002">
        <v>4.28</v>
      </c>
      <c r="AP2002">
        <v>7.37</v>
      </c>
      <c r="AQ2002">
        <v>4.0199999999999996</v>
      </c>
      <c r="AR2002">
        <v>16.22</v>
      </c>
      <c r="AS2002">
        <v>13.94</v>
      </c>
      <c r="AT2002" t="s">
        <v>9863</v>
      </c>
      <c r="AU2002">
        <v>367.97</v>
      </c>
      <c r="AV2002">
        <v>133.37</v>
      </c>
      <c r="AW2002">
        <v>1.71</v>
      </c>
      <c r="BA2002">
        <v>-0.45</v>
      </c>
      <c r="BB2002">
        <v>2.52</v>
      </c>
      <c r="BC2002">
        <v>-3.08</v>
      </c>
      <c r="BD2002">
        <v>-0.23</v>
      </c>
      <c r="BE2002">
        <v>-2.58</v>
      </c>
      <c r="BF2002">
        <v>-5.4</v>
      </c>
      <c r="BG2002">
        <v>0.06</v>
      </c>
      <c r="BH2002">
        <v>-2.79</v>
      </c>
      <c r="BI2002">
        <v>20191025</v>
      </c>
      <c r="BJ2002">
        <v>20170215</v>
      </c>
      <c r="BK2002">
        <v>1.62</v>
      </c>
      <c r="BL2002" t="s">
        <v>116</v>
      </c>
      <c r="BM2002" t="s">
        <v>116</v>
      </c>
      <c r="BN2002">
        <v>4.92</v>
      </c>
      <c r="BO2002">
        <v>4.03</v>
      </c>
      <c r="BP2002">
        <v>0.09</v>
      </c>
      <c r="BQ2002">
        <v>16.149999999999999</v>
      </c>
      <c r="BR2002">
        <v>3.27</v>
      </c>
      <c r="BS2002">
        <v>0.05</v>
      </c>
      <c r="BT2002">
        <v>0.01</v>
      </c>
      <c r="BU2002">
        <v>0.79</v>
      </c>
      <c r="BV2002">
        <v>0.16</v>
      </c>
      <c r="BW2002">
        <v>1.29</v>
      </c>
      <c r="BX2002">
        <v>2.0699999999999998</v>
      </c>
      <c r="BY2002">
        <v>1.96</v>
      </c>
      <c r="BZ2002">
        <v>1.08</v>
      </c>
      <c r="CA2002">
        <v>-0.08</v>
      </c>
      <c r="CB2002">
        <v>-0.05</v>
      </c>
      <c r="CC2002">
        <v>-0.08</v>
      </c>
      <c r="CD2002">
        <v>-0.09</v>
      </c>
      <c r="CE2002">
        <v>-0.06</v>
      </c>
      <c r="CF2002">
        <v>-7.0000000000000007E-2</v>
      </c>
      <c r="CG2002">
        <v>0.52</v>
      </c>
      <c r="CH2002">
        <v>0.11</v>
      </c>
      <c r="CI2002">
        <v>-0.72</v>
      </c>
      <c r="CJ2002">
        <v>13333</v>
      </c>
      <c r="CK2002">
        <v>3369</v>
      </c>
      <c r="CL2002" t="s">
        <v>3001</v>
      </c>
      <c r="CM2002">
        <v>-178.61</v>
      </c>
      <c r="CN2002">
        <v>-27.51</v>
      </c>
      <c r="CO2002">
        <v>6.97</v>
      </c>
      <c r="CP2002">
        <v>247.37</v>
      </c>
      <c r="CQ2002">
        <v>14.37</v>
      </c>
      <c r="CR2002">
        <v>0</v>
      </c>
      <c r="CS2002" t="s">
        <v>1992</v>
      </c>
      <c r="CT2002">
        <v>2.4900000000000002</v>
      </c>
      <c r="CU2002">
        <v>0</v>
      </c>
      <c r="CV2002">
        <v>1.28</v>
      </c>
      <c r="CW2002">
        <v>0.32</v>
      </c>
      <c r="CX2002">
        <v>7.0000000000000007E-2</v>
      </c>
      <c r="CY2002">
        <v>81.99</v>
      </c>
      <c r="CZ2002" t="s">
        <v>4494</v>
      </c>
      <c r="DA2002">
        <v>44.57</v>
      </c>
      <c r="DB2002">
        <v>-3.88</v>
      </c>
      <c r="DC2002">
        <v>-3.02</v>
      </c>
      <c r="DD2002">
        <v>0.16</v>
      </c>
      <c r="DE2002">
        <v>257</v>
      </c>
      <c r="DF2002">
        <v>300612</v>
      </c>
      <c r="DG2002" t="s">
        <v>116</v>
      </c>
      <c r="DH2002" t="s">
        <v>116</v>
      </c>
      <c r="DI2002" t="s">
        <v>116</v>
      </c>
    </row>
    <row r="2003" spans="1:113" x14ac:dyDescent="0.4">
      <c r="A2003" t="str">
        <f>"300613"</f>
        <v>300613</v>
      </c>
      <c r="B2003" t="s">
        <v>9864</v>
      </c>
      <c r="C2003">
        <v>1.75</v>
      </c>
      <c r="D2003">
        <v>159.6</v>
      </c>
      <c r="E2003">
        <v>2.74</v>
      </c>
      <c r="F2003">
        <v>159.30000000000001</v>
      </c>
      <c r="G2003">
        <v>159.6</v>
      </c>
      <c r="H2003">
        <v>12525</v>
      </c>
      <c r="I2003">
        <v>161</v>
      </c>
      <c r="J2003">
        <v>0.38</v>
      </c>
      <c r="K2003">
        <v>9.68</v>
      </c>
      <c r="L2003">
        <v>159</v>
      </c>
      <c r="M2003">
        <v>165</v>
      </c>
      <c r="N2003">
        <v>157.01</v>
      </c>
      <c r="O2003">
        <v>156.86000000000001</v>
      </c>
      <c r="P2003">
        <v>69.12</v>
      </c>
      <c r="Q2003">
        <v>201433920</v>
      </c>
      <c r="R2003">
        <v>1.07</v>
      </c>
      <c r="S2003" t="s">
        <v>3507</v>
      </c>
      <c r="T2003" t="s">
        <v>1653</v>
      </c>
      <c r="U2003">
        <v>5.09</v>
      </c>
      <c r="V2003">
        <v>160.82</v>
      </c>
      <c r="W2003">
        <v>5938</v>
      </c>
      <c r="X2003">
        <v>6587</v>
      </c>
      <c r="Y2003">
        <v>0.9</v>
      </c>
      <c r="Z2003">
        <v>15</v>
      </c>
      <c r="AA2003">
        <v>16</v>
      </c>
      <c r="AB2003" t="s">
        <v>116</v>
      </c>
      <c r="AC2003">
        <v>1192500</v>
      </c>
      <c r="AD2003">
        <v>0.06</v>
      </c>
      <c r="AE2003" t="s">
        <v>116</v>
      </c>
      <c r="AF2003" t="s">
        <v>116</v>
      </c>
      <c r="AG2003">
        <v>0.13</v>
      </c>
      <c r="AH2003" t="s">
        <v>8211</v>
      </c>
      <c r="AI2003" t="s">
        <v>9865</v>
      </c>
      <c r="AJ2003">
        <v>2.4300000000000002</v>
      </c>
      <c r="AK2003">
        <v>2384</v>
      </c>
      <c r="AL2003">
        <v>5</v>
      </c>
      <c r="AM2003">
        <v>4.1000000000000003E-3</v>
      </c>
      <c r="AN2003">
        <v>4</v>
      </c>
      <c r="AO2003">
        <v>9.3699999999999992</v>
      </c>
      <c r="AP2003">
        <v>5.87</v>
      </c>
      <c r="AQ2003">
        <v>18.420000000000002</v>
      </c>
      <c r="AR2003">
        <v>77.62</v>
      </c>
      <c r="AS2003">
        <v>9.68</v>
      </c>
      <c r="AT2003" t="s">
        <v>8211</v>
      </c>
      <c r="AU2003">
        <v>85.49</v>
      </c>
      <c r="AV2003">
        <v>130.16</v>
      </c>
      <c r="AW2003">
        <v>0.91</v>
      </c>
      <c r="BA2003">
        <v>1.36</v>
      </c>
      <c r="BB2003">
        <v>5.19</v>
      </c>
      <c r="BC2003">
        <v>0.1</v>
      </c>
      <c r="BD2003">
        <v>2.5299999999999998</v>
      </c>
      <c r="BE2003">
        <v>0.38</v>
      </c>
      <c r="BF2003">
        <v>-3.27</v>
      </c>
      <c r="BG2003">
        <v>1.65</v>
      </c>
      <c r="BH2003">
        <v>-0.78</v>
      </c>
      <c r="BI2003">
        <v>20191216</v>
      </c>
      <c r="BJ2003">
        <v>20170220</v>
      </c>
      <c r="BK2003">
        <v>0.44</v>
      </c>
      <c r="BL2003" t="s">
        <v>116</v>
      </c>
      <c r="BM2003" t="s">
        <v>116</v>
      </c>
      <c r="BN2003">
        <v>12.2</v>
      </c>
      <c r="BO2003">
        <v>11.31</v>
      </c>
      <c r="BP2003">
        <v>-0.01</v>
      </c>
      <c r="BQ2003">
        <v>7.43</v>
      </c>
      <c r="BR2003">
        <v>9.31</v>
      </c>
      <c r="BS2003">
        <v>1.81</v>
      </c>
      <c r="BT2003">
        <v>0.19</v>
      </c>
      <c r="BU2003">
        <v>0.8</v>
      </c>
      <c r="BV2003">
        <v>1.1499999999999999</v>
      </c>
      <c r="BW2003">
        <v>1.39</v>
      </c>
      <c r="BX2003">
        <v>6.64</v>
      </c>
      <c r="BY2003">
        <v>3.73</v>
      </c>
      <c r="BZ2003">
        <v>2.35</v>
      </c>
      <c r="CA2003">
        <v>0.62</v>
      </c>
      <c r="CB2003">
        <v>0.51</v>
      </c>
      <c r="CC2003">
        <v>0.71</v>
      </c>
      <c r="CD2003">
        <v>0.7</v>
      </c>
      <c r="CE2003">
        <v>0.77</v>
      </c>
      <c r="CF2003">
        <v>0.45</v>
      </c>
      <c r="CG2003">
        <v>3.99</v>
      </c>
      <c r="CH2003">
        <v>-0.02</v>
      </c>
      <c r="CI2003">
        <v>1.1299999999999999</v>
      </c>
      <c r="CJ2003">
        <v>10542</v>
      </c>
      <c r="CK2003">
        <v>1228</v>
      </c>
      <c r="CL2003" t="s">
        <v>4295</v>
      </c>
      <c r="CM2003">
        <v>58.72</v>
      </c>
      <c r="CN2003">
        <v>25.12</v>
      </c>
      <c r="CO2003">
        <v>6.27</v>
      </c>
      <c r="CP2003">
        <v>-4616.28</v>
      </c>
      <c r="CQ2003">
        <v>19.010000000000002</v>
      </c>
      <c r="CR2003">
        <v>0.08</v>
      </c>
      <c r="CS2003" t="s">
        <v>9866</v>
      </c>
      <c r="CT2003">
        <v>25.44</v>
      </c>
      <c r="CU2003">
        <v>0</v>
      </c>
      <c r="CV2003">
        <v>14.94</v>
      </c>
      <c r="CW2003">
        <v>8.98</v>
      </c>
      <c r="CX2003">
        <v>-0.03</v>
      </c>
      <c r="CY2003">
        <v>92.66</v>
      </c>
      <c r="CZ2003" t="s">
        <v>9066</v>
      </c>
      <c r="DA2003">
        <v>37.130000000000003</v>
      </c>
      <c r="DB2003">
        <v>16.66</v>
      </c>
      <c r="DC2003">
        <v>20.62</v>
      </c>
      <c r="DD2003">
        <v>1.05</v>
      </c>
      <c r="DE2003">
        <v>274</v>
      </c>
      <c r="DF2003">
        <v>300613</v>
      </c>
      <c r="DG2003" t="s">
        <v>116</v>
      </c>
      <c r="DH2003" t="s">
        <v>116</v>
      </c>
      <c r="DI2003" t="s">
        <v>116</v>
      </c>
    </row>
    <row r="2004" spans="1:113" x14ac:dyDescent="0.4">
      <c r="A2004" t="str">
        <f>"300615"</f>
        <v>300615</v>
      </c>
      <c r="B2004" t="s">
        <v>9867</v>
      </c>
      <c r="C2004">
        <v>-1.95</v>
      </c>
      <c r="D2004">
        <v>20.09</v>
      </c>
      <c r="E2004">
        <v>-0.4</v>
      </c>
      <c r="F2004">
        <v>20.09</v>
      </c>
      <c r="G2004">
        <v>20.100000000000001</v>
      </c>
      <c r="H2004">
        <v>24602</v>
      </c>
      <c r="I2004">
        <v>580</v>
      </c>
      <c r="J2004">
        <v>-0.49</v>
      </c>
      <c r="K2004">
        <v>4.58</v>
      </c>
      <c r="L2004">
        <v>20.56</v>
      </c>
      <c r="M2004">
        <v>20.72</v>
      </c>
      <c r="N2004">
        <v>20.09</v>
      </c>
      <c r="O2004">
        <v>20.49</v>
      </c>
      <c r="P2004">
        <v>199.04</v>
      </c>
      <c r="Q2004">
        <v>50373712</v>
      </c>
      <c r="R2004">
        <v>1.01</v>
      </c>
      <c r="S2004" t="s">
        <v>233</v>
      </c>
      <c r="T2004" t="s">
        <v>115</v>
      </c>
      <c r="U2004">
        <v>3.07</v>
      </c>
      <c r="V2004">
        <v>20.48</v>
      </c>
      <c r="W2004">
        <v>14528</v>
      </c>
      <c r="X2004">
        <v>10074</v>
      </c>
      <c r="Y2004">
        <v>1.44</v>
      </c>
      <c r="Z2004">
        <v>283</v>
      </c>
      <c r="AA2004">
        <v>51</v>
      </c>
      <c r="AB2004" t="s">
        <v>116</v>
      </c>
      <c r="AC2004">
        <v>24700</v>
      </c>
      <c r="AD2004">
        <v>0</v>
      </c>
      <c r="AE2004" t="s">
        <v>116</v>
      </c>
      <c r="AF2004" t="s">
        <v>116</v>
      </c>
      <c r="AG2004">
        <v>0.54</v>
      </c>
      <c r="AH2004" t="s">
        <v>6646</v>
      </c>
      <c r="AI2004" t="s">
        <v>6301</v>
      </c>
      <c r="AJ2004">
        <v>-1.27</v>
      </c>
      <c r="AK2004">
        <v>1721</v>
      </c>
      <c r="AL2004">
        <v>14</v>
      </c>
      <c r="AM2004">
        <v>2.7000000000000001E-3</v>
      </c>
      <c r="AN2004">
        <v>-2</v>
      </c>
      <c r="AO2004">
        <v>-2.04</v>
      </c>
      <c r="AP2004">
        <v>1.31</v>
      </c>
      <c r="AQ2004">
        <v>-13.41</v>
      </c>
      <c r="AR2004">
        <v>50.7</v>
      </c>
      <c r="AS2004">
        <v>4.58</v>
      </c>
      <c r="AT2004" t="s">
        <v>6646</v>
      </c>
      <c r="AU2004">
        <v>339.42</v>
      </c>
      <c r="AV2004">
        <v>244.91</v>
      </c>
      <c r="AW2004">
        <v>1.42</v>
      </c>
      <c r="BA2004">
        <v>0.34</v>
      </c>
      <c r="BB2004">
        <v>1.1200000000000001</v>
      </c>
      <c r="BC2004">
        <v>-1.95</v>
      </c>
      <c r="BD2004">
        <v>-7.0000000000000007E-2</v>
      </c>
      <c r="BE2004">
        <v>-2.29</v>
      </c>
      <c r="BF2004">
        <v>-3.04</v>
      </c>
      <c r="BG2004">
        <v>0</v>
      </c>
      <c r="BH2004">
        <v>-1.88</v>
      </c>
      <c r="BI2004">
        <v>20191223</v>
      </c>
      <c r="BJ2004">
        <v>20170215</v>
      </c>
      <c r="BK2004">
        <v>1.9</v>
      </c>
      <c r="BL2004" t="s">
        <v>116</v>
      </c>
      <c r="BM2004" t="s">
        <v>116</v>
      </c>
      <c r="BN2004">
        <v>5.39</v>
      </c>
      <c r="BO2004">
        <v>4.75</v>
      </c>
      <c r="BP2004">
        <v>0</v>
      </c>
      <c r="BQ2004">
        <v>11.9</v>
      </c>
      <c r="BR2004">
        <v>4.0199999999999996</v>
      </c>
      <c r="BS2004">
        <v>1.0900000000000001</v>
      </c>
      <c r="BT2004">
        <v>0.09</v>
      </c>
      <c r="BU2004">
        <v>0.64</v>
      </c>
      <c r="BV2004">
        <v>0.41</v>
      </c>
      <c r="BW2004">
        <v>0.99</v>
      </c>
      <c r="BX2004">
        <v>1.58</v>
      </c>
      <c r="BY2004">
        <v>1.67</v>
      </c>
      <c r="BZ2004">
        <v>1.19</v>
      </c>
      <c r="CA2004">
        <v>0.15</v>
      </c>
      <c r="CB2004">
        <v>0</v>
      </c>
      <c r="CC2004">
        <v>0.17</v>
      </c>
      <c r="CD2004">
        <v>0.14000000000000001</v>
      </c>
      <c r="CE2004">
        <v>0.14000000000000001</v>
      </c>
      <c r="CF2004">
        <v>0.09</v>
      </c>
      <c r="CG2004">
        <v>1.1000000000000001</v>
      </c>
      <c r="CH2004">
        <v>0.3</v>
      </c>
      <c r="CI2004">
        <v>-0.25</v>
      </c>
      <c r="CJ2004">
        <v>18927</v>
      </c>
      <c r="CK2004">
        <v>2839</v>
      </c>
      <c r="CL2004" t="s">
        <v>6814</v>
      </c>
      <c r="CM2004">
        <v>-23.18</v>
      </c>
      <c r="CN2004">
        <v>-4.3899999999999997</v>
      </c>
      <c r="CO2004">
        <v>8.0399999999999991</v>
      </c>
      <c r="CP2004">
        <v>126.59</v>
      </c>
      <c r="CQ2004">
        <v>22.8</v>
      </c>
      <c r="CR2004">
        <v>0.19</v>
      </c>
      <c r="CS2004" t="s">
        <v>3475</v>
      </c>
      <c r="CT2004">
        <v>2.5</v>
      </c>
      <c r="CU2004">
        <v>0</v>
      </c>
      <c r="CV2004">
        <v>0.83</v>
      </c>
      <c r="CW2004">
        <v>0.57999999999999996</v>
      </c>
      <c r="CX2004">
        <v>0.16</v>
      </c>
      <c r="CY2004">
        <v>88.1</v>
      </c>
      <c r="CZ2004" t="s">
        <v>8314</v>
      </c>
      <c r="DA2004">
        <v>28.66</v>
      </c>
      <c r="DB2004">
        <v>8.73</v>
      </c>
      <c r="DC2004">
        <v>8.59</v>
      </c>
      <c r="DD2004">
        <v>0.16</v>
      </c>
      <c r="DE2004">
        <v>532</v>
      </c>
      <c r="DF2004">
        <v>300615</v>
      </c>
      <c r="DG2004" t="s">
        <v>116</v>
      </c>
      <c r="DH2004" t="s">
        <v>116</v>
      </c>
      <c r="DI2004" t="s">
        <v>116</v>
      </c>
    </row>
    <row r="2005" spans="1:113" x14ac:dyDescent="0.4">
      <c r="A2005" t="str">
        <f>"300616"</f>
        <v>300616</v>
      </c>
      <c r="B2005" t="s">
        <v>9868</v>
      </c>
      <c r="C2005">
        <v>-0.93</v>
      </c>
      <c r="D2005">
        <v>72.8</v>
      </c>
      <c r="E2005">
        <v>-0.68</v>
      </c>
      <c r="F2005">
        <v>72.8</v>
      </c>
      <c r="G2005">
        <v>72.86</v>
      </c>
      <c r="H2005">
        <v>3733</v>
      </c>
      <c r="I2005">
        <v>49</v>
      </c>
      <c r="J2005">
        <v>-0.26</v>
      </c>
      <c r="K2005">
        <v>0.54</v>
      </c>
      <c r="L2005">
        <v>73.3</v>
      </c>
      <c r="M2005">
        <v>74.8</v>
      </c>
      <c r="N2005">
        <v>72.8</v>
      </c>
      <c r="O2005">
        <v>73.48</v>
      </c>
      <c r="P2005">
        <v>32.36</v>
      </c>
      <c r="Q2005">
        <v>27401148</v>
      </c>
      <c r="R2005">
        <v>0.68</v>
      </c>
      <c r="S2005" t="s">
        <v>2640</v>
      </c>
      <c r="T2005" t="s">
        <v>551</v>
      </c>
      <c r="U2005">
        <v>2.72</v>
      </c>
      <c r="V2005">
        <v>73.400000000000006</v>
      </c>
      <c r="W2005">
        <v>2192</v>
      </c>
      <c r="X2005">
        <v>1541</v>
      </c>
      <c r="Y2005">
        <v>1.42</v>
      </c>
      <c r="Z2005">
        <v>26</v>
      </c>
      <c r="AA2005">
        <v>7</v>
      </c>
      <c r="AB2005" t="s">
        <v>116</v>
      </c>
      <c r="AC2005">
        <v>29300</v>
      </c>
      <c r="AD2005">
        <v>0</v>
      </c>
      <c r="AE2005" t="s">
        <v>116</v>
      </c>
      <c r="AF2005" t="s">
        <v>116</v>
      </c>
      <c r="AG2005">
        <v>0.69</v>
      </c>
      <c r="AH2005" t="s">
        <v>9869</v>
      </c>
      <c r="AI2005" t="s">
        <v>9870</v>
      </c>
      <c r="AJ2005">
        <v>-0.25</v>
      </c>
      <c r="AK2005">
        <v>865</v>
      </c>
      <c r="AL2005">
        <v>4</v>
      </c>
      <c r="AM2005">
        <v>5.9999999999999995E-4</v>
      </c>
      <c r="AN2005">
        <v>-1</v>
      </c>
      <c r="AO2005">
        <v>1.1599999999999999</v>
      </c>
      <c r="AP2005">
        <v>9.23</v>
      </c>
      <c r="AQ2005">
        <v>-6.68</v>
      </c>
      <c r="AR2005">
        <v>20.99</v>
      </c>
      <c r="AS2005">
        <v>0.57999999999999996</v>
      </c>
      <c r="AT2005" t="s">
        <v>9871</v>
      </c>
      <c r="AU2005">
        <v>27.84</v>
      </c>
      <c r="AV2005">
        <v>30.32</v>
      </c>
      <c r="AW2005">
        <v>0.78</v>
      </c>
      <c r="BA2005">
        <v>-0.24</v>
      </c>
      <c r="BB2005">
        <v>1.8</v>
      </c>
      <c r="BC2005">
        <v>-0.93</v>
      </c>
      <c r="BD2005">
        <v>-0.11</v>
      </c>
      <c r="BE2005">
        <v>-0.68</v>
      </c>
      <c r="BF2005">
        <v>-2.67</v>
      </c>
      <c r="BG2005">
        <v>0</v>
      </c>
      <c r="BH2005">
        <v>-0.82</v>
      </c>
      <c r="BI2005">
        <v>20191030</v>
      </c>
      <c r="BJ2005">
        <v>20170307</v>
      </c>
      <c r="BK2005">
        <v>1.99</v>
      </c>
      <c r="BL2005" t="s">
        <v>116</v>
      </c>
      <c r="BM2005" t="s">
        <v>116</v>
      </c>
      <c r="BN2005">
        <v>55.08</v>
      </c>
      <c r="BO2005">
        <v>33.200000000000003</v>
      </c>
      <c r="BP2005">
        <v>0</v>
      </c>
      <c r="BQ2005">
        <v>39.72</v>
      </c>
      <c r="BR2005">
        <v>33.92</v>
      </c>
      <c r="BS2005">
        <v>8.49</v>
      </c>
      <c r="BT2005">
        <v>3.01</v>
      </c>
      <c r="BU2005">
        <v>21.31</v>
      </c>
      <c r="BV2005">
        <v>7.43</v>
      </c>
      <c r="BW2005">
        <v>0.62</v>
      </c>
      <c r="BX2005">
        <v>15</v>
      </c>
      <c r="BY2005">
        <v>50.58</v>
      </c>
      <c r="BZ2005">
        <v>29.19</v>
      </c>
      <c r="CA2005">
        <v>4.09</v>
      </c>
      <c r="CB2005">
        <v>0.41</v>
      </c>
      <c r="CC2005">
        <v>4.09</v>
      </c>
      <c r="CD2005">
        <v>3.35</v>
      </c>
      <c r="CE2005">
        <v>3.35</v>
      </c>
      <c r="CF2005">
        <v>2.85</v>
      </c>
      <c r="CG2005">
        <v>16.16</v>
      </c>
      <c r="CH2005">
        <v>0.46</v>
      </c>
      <c r="CI2005">
        <v>-0.7</v>
      </c>
      <c r="CJ2005">
        <v>5684</v>
      </c>
      <c r="CK2005">
        <v>11397</v>
      </c>
      <c r="CL2005" t="s">
        <v>9872</v>
      </c>
      <c r="CM2005">
        <v>14.48</v>
      </c>
      <c r="CN2005">
        <v>9.0399999999999991</v>
      </c>
      <c r="CO2005">
        <v>4.3600000000000003</v>
      </c>
      <c r="CP2005">
        <v>316.74</v>
      </c>
      <c r="CQ2005">
        <v>2.86</v>
      </c>
      <c r="CR2005">
        <v>0.82</v>
      </c>
      <c r="CS2005" t="s">
        <v>9873</v>
      </c>
      <c r="CT2005">
        <v>16.71</v>
      </c>
      <c r="CU2005">
        <v>0</v>
      </c>
      <c r="CV2005">
        <v>7.55</v>
      </c>
      <c r="CW2005">
        <v>8.1300000000000008</v>
      </c>
      <c r="CX2005">
        <v>0.23</v>
      </c>
      <c r="CY2005">
        <v>60.27</v>
      </c>
      <c r="CZ2005" t="s">
        <v>3217</v>
      </c>
      <c r="DA2005">
        <v>42.29</v>
      </c>
      <c r="DB2005">
        <v>8.09</v>
      </c>
      <c r="DC2005">
        <v>6.63</v>
      </c>
      <c r="DD2005">
        <v>0.86</v>
      </c>
      <c r="DE2005">
        <v>16237</v>
      </c>
      <c r="DF2005">
        <v>300616</v>
      </c>
      <c r="DG2005" t="s">
        <v>116</v>
      </c>
      <c r="DH2005" t="s">
        <v>116</v>
      </c>
      <c r="DI2005" t="s">
        <v>116</v>
      </c>
    </row>
    <row r="2006" spans="1:113" x14ac:dyDescent="0.4">
      <c r="A2006" t="str">
        <f>"300617"</f>
        <v>300617</v>
      </c>
      <c r="B2006" t="s">
        <v>9874</v>
      </c>
      <c r="C2006">
        <v>6.64</v>
      </c>
      <c r="D2006">
        <v>24.1</v>
      </c>
      <c r="E2006">
        <v>1.5</v>
      </c>
      <c r="F2006">
        <v>24.08</v>
      </c>
      <c r="G2006">
        <v>24.1</v>
      </c>
      <c r="H2006">
        <v>28888</v>
      </c>
      <c r="I2006">
        <v>828</v>
      </c>
      <c r="J2006">
        <v>0.42</v>
      </c>
      <c r="K2006">
        <v>7.87</v>
      </c>
      <c r="L2006">
        <v>22.62</v>
      </c>
      <c r="M2006">
        <v>24.67</v>
      </c>
      <c r="N2006">
        <v>22.62</v>
      </c>
      <c r="O2006">
        <v>22.6</v>
      </c>
      <c r="P2006">
        <v>39.299999999999997</v>
      </c>
      <c r="Q2006">
        <v>68693560</v>
      </c>
      <c r="R2006">
        <v>8.6</v>
      </c>
      <c r="S2006" t="s">
        <v>397</v>
      </c>
      <c r="T2006" t="s">
        <v>323</v>
      </c>
      <c r="U2006">
        <v>9.07</v>
      </c>
      <c r="V2006">
        <v>23.78</v>
      </c>
      <c r="W2006">
        <v>12269</v>
      </c>
      <c r="X2006">
        <v>16619</v>
      </c>
      <c r="Y2006">
        <v>0.74</v>
      </c>
      <c r="Z2006">
        <v>5</v>
      </c>
      <c r="AA2006">
        <v>73</v>
      </c>
      <c r="AB2006" t="s">
        <v>116</v>
      </c>
      <c r="AC2006">
        <v>35100</v>
      </c>
      <c r="AD2006">
        <v>0</v>
      </c>
      <c r="AE2006" t="s">
        <v>116</v>
      </c>
      <c r="AF2006" t="s">
        <v>116</v>
      </c>
      <c r="AG2006">
        <v>0.37</v>
      </c>
      <c r="AH2006" t="s">
        <v>9065</v>
      </c>
      <c r="AI2006" t="s">
        <v>6690</v>
      </c>
      <c r="AJ2006">
        <v>7.32</v>
      </c>
      <c r="AK2006">
        <v>1439</v>
      </c>
      <c r="AL2006">
        <v>20</v>
      </c>
      <c r="AM2006">
        <v>5.4999999999999997E-3</v>
      </c>
      <c r="AN2006">
        <v>4</v>
      </c>
      <c r="AO2006">
        <v>8.61</v>
      </c>
      <c r="AP2006">
        <v>17.39</v>
      </c>
      <c r="AQ2006">
        <v>7.45</v>
      </c>
      <c r="AR2006">
        <v>13.09</v>
      </c>
      <c r="AS2006">
        <v>7.87</v>
      </c>
      <c r="AT2006" t="s">
        <v>9065</v>
      </c>
      <c r="AU2006">
        <v>39.4</v>
      </c>
      <c r="AV2006">
        <v>32.020000000000003</v>
      </c>
      <c r="AW2006">
        <v>1.01</v>
      </c>
      <c r="BA2006">
        <v>0.09</v>
      </c>
      <c r="BB2006">
        <v>9.16</v>
      </c>
      <c r="BC2006">
        <v>0.09</v>
      </c>
      <c r="BD2006">
        <v>5.22</v>
      </c>
      <c r="BE2006">
        <v>6.54</v>
      </c>
      <c r="BF2006">
        <v>-2.31</v>
      </c>
      <c r="BG2006">
        <v>6.54</v>
      </c>
      <c r="BH2006">
        <v>1.42</v>
      </c>
      <c r="BI2006">
        <v>20191029</v>
      </c>
      <c r="BJ2006">
        <v>20170228</v>
      </c>
      <c r="BK2006">
        <v>1</v>
      </c>
      <c r="BL2006" t="s">
        <v>116</v>
      </c>
      <c r="BM2006" t="s">
        <v>116</v>
      </c>
      <c r="BN2006">
        <v>10.44</v>
      </c>
      <c r="BO2006">
        <v>8.01</v>
      </c>
      <c r="BP2006">
        <v>0.02</v>
      </c>
      <c r="BQ2006">
        <v>22.99</v>
      </c>
      <c r="BR2006">
        <v>8.11</v>
      </c>
      <c r="BS2006">
        <v>1.76</v>
      </c>
      <c r="BT2006">
        <v>0.28000000000000003</v>
      </c>
      <c r="BU2006">
        <v>2.17</v>
      </c>
      <c r="BV2006">
        <v>1.34</v>
      </c>
      <c r="BW2006">
        <v>2.29</v>
      </c>
      <c r="BX2006">
        <v>4.03</v>
      </c>
      <c r="BY2006">
        <v>2</v>
      </c>
      <c r="BZ2006">
        <v>0.96</v>
      </c>
      <c r="CA2006">
        <v>0.55000000000000004</v>
      </c>
      <c r="CB2006">
        <v>0.15</v>
      </c>
      <c r="CC2006">
        <v>0.54</v>
      </c>
      <c r="CD2006">
        <v>0.47</v>
      </c>
      <c r="CE2006">
        <v>0.46</v>
      </c>
      <c r="CF2006">
        <v>0.31</v>
      </c>
      <c r="CG2006">
        <v>3.04</v>
      </c>
      <c r="CH2006">
        <v>0.33</v>
      </c>
      <c r="CI2006">
        <v>-0.27</v>
      </c>
      <c r="CJ2006">
        <v>10225</v>
      </c>
      <c r="CK2006">
        <v>3590</v>
      </c>
      <c r="CL2006" t="s">
        <v>9875</v>
      </c>
      <c r="CM2006">
        <v>-23.46</v>
      </c>
      <c r="CN2006">
        <v>-11.03</v>
      </c>
      <c r="CO2006">
        <v>3.01</v>
      </c>
      <c r="CP2006">
        <v>73.239999999999995</v>
      </c>
      <c r="CQ2006">
        <v>12.03</v>
      </c>
      <c r="CR2006">
        <v>2.0299999999999998</v>
      </c>
      <c r="CS2006" t="s">
        <v>7005</v>
      </c>
      <c r="CT2006">
        <v>8.01</v>
      </c>
      <c r="CU2006">
        <v>0</v>
      </c>
      <c r="CV2006">
        <v>4.03</v>
      </c>
      <c r="CW2006">
        <v>3.04</v>
      </c>
      <c r="CX2006">
        <v>0.33</v>
      </c>
      <c r="CY2006">
        <v>76.790000000000006</v>
      </c>
      <c r="CZ2006" t="s">
        <v>4869</v>
      </c>
      <c r="DA2006">
        <v>52.34</v>
      </c>
      <c r="DB2006">
        <v>27.29</v>
      </c>
      <c r="DC2006">
        <v>22.95</v>
      </c>
      <c r="DD2006">
        <v>0.19</v>
      </c>
      <c r="DE2006">
        <v>570</v>
      </c>
      <c r="DF2006">
        <v>300617</v>
      </c>
      <c r="DG2006" t="s">
        <v>116</v>
      </c>
      <c r="DH2006" t="s">
        <v>116</v>
      </c>
      <c r="DI2006" t="s">
        <v>116</v>
      </c>
    </row>
    <row r="2007" spans="1:113" x14ac:dyDescent="0.4">
      <c r="A2007" t="str">
        <f>"300618"</f>
        <v>300618</v>
      </c>
      <c r="B2007" t="s">
        <v>9876</v>
      </c>
      <c r="C2007">
        <v>2.91</v>
      </c>
      <c r="D2007">
        <v>79.14</v>
      </c>
      <c r="E2007">
        <v>2.2400000000000002</v>
      </c>
      <c r="F2007">
        <v>79.13</v>
      </c>
      <c r="G2007">
        <v>79.14</v>
      </c>
      <c r="H2007">
        <v>98699</v>
      </c>
      <c r="I2007">
        <v>893</v>
      </c>
      <c r="J2007">
        <v>-0.63</v>
      </c>
      <c r="K2007">
        <v>6.18</v>
      </c>
      <c r="L2007">
        <v>77.5</v>
      </c>
      <c r="M2007">
        <v>84.58</v>
      </c>
      <c r="N2007">
        <v>76.67</v>
      </c>
      <c r="O2007">
        <v>76.900000000000006</v>
      </c>
      <c r="P2007" t="s">
        <v>116</v>
      </c>
      <c r="Q2007">
        <v>796195584</v>
      </c>
      <c r="R2007">
        <v>1.22</v>
      </c>
      <c r="S2007" t="s">
        <v>1509</v>
      </c>
      <c r="T2007" t="s">
        <v>323</v>
      </c>
      <c r="U2007">
        <v>10.29</v>
      </c>
      <c r="V2007">
        <v>80.67</v>
      </c>
      <c r="W2007">
        <v>46712</v>
      </c>
      <c r="X2007">
        <v>51987</v>
      </c>
      <c r="Y2007">
        <v>0.9</v>
      </c>
      <c r="Z2007">
        <v>1</v>
      </c>
      <c r="AA2007">
        <v>75</v>
      </c>
      <c r="AB2007" t="s">
        <v>116</v>
      </c>
      <c r="AC2007">
        <v>3231800</v>
      </c>
      <c r="AD2007">
        <v>0.04</v>
      </c>
      <c r="AE2007" t="s">
        <v>116</v>
      </c>
      <c r="AF2007" t="s">
        <v>116</v>
      </c>
      <c r="AG2007">
        <v>1.6</v>
      </c>
      <c r="AH2007" t="s">
        <v>9877</v>
      </c>
      <c r="AI2007" t="s">
        <v>9878</v>
      </c>
      <c r="AJ2007">
        <v>3.59</v>
      </c>
      <c r="AK2007">
        <v>4160</v>
      </c>
      <c r="AL2007">
        <v>24</v>
      </c>
      <c r="AM2007">
        <v>1.5E-3</v>
      </c>
      <c r="AN2007">
        <v>1</v>
      </c>
      <c r="AO2007">
        <v>1.33</v>
      </c>
      <c r="AP2007">
        <v>20.9</v>
      </c>
      <c r="AQ2007">
        <v>17</v>
      </c>
      <c r="AR2007">
        <v>51.61</v>
      </c>
      <c r="AS2007">
        <v>8.32</v>
      </c>
      <c r="AT2007" t="s">
        <v>4318</v>
      </c>
      <c r="AU2007" t="s">
        <v>116</v>
      </c>
      <c r="AV2007">
        <v>30.06</v>
      </c>
      <c r="AW2007">
        <v>1.46</v>
      </c>
      <c r="BA2007">
        <v>0.78</v>
      </c>
      <c r="BB2007">
        <v>9.99</v>
      </c>
      <c r="BC2007">
        <v>-0.3</v>
      </c>
      <c r="BD2007">
        <v>4.9000000000000004</v>
      </c>
      <c r="BE2007">
        <v>2.12</v>
      </c>
      <c r="BF2007">
        <v>-6.43</v>
      </c>
      <c r="BG2007">
        <v>3.22</v>
      </c>
      <c r="BH2007">
        <v>-1.99</v>
      </c>
      <c r="BI2007">
        <v>20191026</v>
      </c>
      <c r="BJ2007">
        <v>20170306</v>
      </c>
      <c r="BK2007">
        <v>2.69</v>
      </c>
      <c r="BL2007" t="s">
        <v>116</v>
      </c>
      <c r="BM2007" t="s">
        <v>116</v>
      </c>
      <c r="BN2007">
        <v>32</v>
      </c>
      <c r="BO2007">
        <v>17.309999999999999</v>
      </c>
      <c r="BP2007">
        <v>-0.01</v>
      </c>
      <c r="BQ2007">
        <v>45.94</v>
      </c>
      <c r="BR2007">
        <v>20.72</v>
      </c>
      <c r="BS2007">
        <v>3.79</v>
      </c>
      <c r="BT2007">
        <v>0.32</v>
      </c>
      <c r="BU2007">
        <v>8.6</v>
      </c>
      <c r="BV2007">
        <v>13.16</v>
      </c>
      <c r="BW2007">
        <v>1.71</v>
      </c>
      <c r="BX2007">
        <v>2.85</v>
      </c>
      <c r="BY2007">
        <v>12.43</v>
      </c>
      <c r="BZ2007">
        <v>11.45</v>
      </c>
      <c r="CA2007">
        <v>-0.63</v>
      </c>
      <c r="CB2007">
        <v>0.03</v>
      </c>
      <c r="CC2007">
        <v>-0.64</v>
      </c>
      <c r="CD2007">
        <v>-0.41</v>
      </c>
      <c r="CE2007">
        <v>-0.4</v>
      </c>
      <c r="CF2007">
        <v>-0.44</v>
      </c>
      <c r="CG2007">
        <v>9.09</v>
      </c>
      <c r="CH2007">
        <v>1.75</v>
      </c>
      <c r="CI2007">
        <v>-4.6399999999999997</v>
      </c>
      <c r="CJ2007">
        <v>28295</v>
      </c>
      <c r="CK2007">
        <v>4192</v>
      </c>
      <c r="CL2007" t="s">
        <v>9879</v>
      </c>
      <c r="CM2007">
        <v>-105.75</v>
      </c>
      <c r="CN2007">
        <v>-42.41</v>
      </c>
      <c r="CO2007">
        <v>13.24</v>
      </c>
      <c r="CP2007">
        <v>121.77</v>
      </c>
      <c r="CQ2007">
        <v>17.11</v>
      </c>
      <c r="CR2007">
        <v>0.9</v>
      </c>
      <c r="CS2007" t="s">
        <v>6804</v>
      </c>
      <c r="CT2007">
        <v>5.98</v>
      </c>
      <c r="CU2007">
        <v>5.98</v>
      </c>
      <c r="CV2007">
        <v>1.06</v>
      </c>
      <c r="CW2007">
        <v>3.38</v>
      </c>
      <c r="CX2007">
        <v>0.65</v>
      </c>
      <c r="CY2007">
        <v>54.1</v>
      </c>
      <c r="CZ2007" t="s">
        <v>1795</v>
      </c>
      <c r="DA2007">
        <v>7.93</v>
      </c>
      <c r="DB2007">
        <v>-5.08</v>
      </c>
      <c r="DC2007">
        <v>-3.24</v>
      </c>
      <c r="DD2007">
        <v>0.23</v>
      </c>
      <c r="DE2007">
        <v>887</v>
      </c>
      <c r="DF2007">
        <v>300618</v>
      </c>
      <c r="DG2007" t="s">
        <v>116</v>
      </c>
      <c r="DH2007" t="s">
        <v>116</v>
      </c>
      <c r="DI2007" t="s">
        <v>116</v>
      </c>
    </row>
    <row r="2008" spans="1:113" x14ac:dyDescent="0.4">
      <c r="A2008" t="str">
        <f>"300619"</f>
        <v>300619</v>
      </c>
      <c r="B2008" t="s">
        <v>9880</v>
      </c>
      <c r="C2008">
        <v>-1.64</v>
      </c>
      <c r="D2008">
        <v>23.4</v>
      </c>
      <c r="E2008">
        <v>-0.39</v>
      </c>
      <c r="F2008">
        <v>23.39</v>
      </c>
      <c r="G2008">
        <v>23.4</v>
      </c>
      <c r="H2008">
        <v>8813</v>
      </c>
      <c r="I2008">
        <v>279</v>
      </c>
      <c r="J2008">
        <v>-0.03</v>
      </c>
      <c r="K2008">
        <v>2.93</v>
      </c>
      <c r="L2008">
        <v>23.7</v>
      </c>
      <c r="M2008">
        <v>23.94</v>
      </c>
      <c r="N2008">
        <v>23.39</v>
      </c>
      <c r="O2008">
        <v>23.79</v>
      </c>
      <c r="P2008">
        <v>34.56</v>
      </c>
      <c r="Q2008">
        <v>20835444</v>
      </c>
      <c r="R2008">
        <v>0.97</v>
      </c>
      <c r="S2008" t="s">
        <v>682</v>
      </c>
      <c r="T2008" t="s">
        <v>551</v>
      </c>
      <c r="U2008">
        <v>2.31</v>
      </c>
      <c r="V2008">
        <v>23.64</v>
      </c>
      <c r="W2008">
        <v>5381</v>
      </c>
      <c r="X2008">
        <v>3432</v>
      </c>
      <c r="Y2008">
        <v>1.57</v>
      </c>
      <c r="Z2008">
        <v>11</v>
      </c>
      <c r="AA2008">
        <v>43</v>
      </c>
      <c r="AB2008" t="s">
        <v>116</v>
      </c>
      <c r="AC2008">
        <v>56900</v>
      </c>
      <c r="AD2008">
        <v>0.01</v>
      </c>
      <c r="AE2008" t="s">
        <v>116</v>
      </c>
      <c r="AF2008" t="s">
        <v>116</v>
      </c>
      <c r="AG2008">
        <v>0.3</v>
      </c>
      <c r="AH2008" t="s">
        <v>9881</v>
      </c>
      <c r="AI2008" t="s">
        <v>6627</v>
      </c>
      <c r="AJ2008">
        <v>-0.96</v>
      </c>
      <c r="AK2008">
        <v>704</v>
      </c>
      <c r="AL2008">
        <v>13</v>
      </c>
      <c r="AM2008">
        <v>4.1999999999999997E-3</v>
      </c>
      <c r="AN2008">
        <v>-1</v>
      </c>
      <c r="AO2008">
        <v>0.42</v>
      </c>
      <c r="AP2008">
        <v>8.5299999999999994</v>
      </c>
      <c r="AQ2008">
        <v>-0.93</v>
      </c>
      <c r="AR2008">
        <v>-14.71</v>
      </c>
      <c r="AS2008">
        <v>2.93</v>
      </c>
      <c r="AT2008" t="s">
        <v>9881</v>
      </c>
      <c r="AU2008">
        <v>39.17</v>
      </c>
      <c r="AV2008">
        <v>37.69</v>
      </c>
      <c r="AW2008">
        <v>1.21</v>
      </c>
      <c r="BA2008">
        <v>-0.38</v>
      </c>
      <c r="BB2008">
        <v>0.63</v>
      </c>
      <c r="BC2008">
        <v>-1.68</v>
      </c>
      <c r="BD2008">
        <v>-0.63</v>
      </c>
      <c r="BE2008">
        <v>-1.27</v>
      </c>
      <c r="BF2008">
        <v>-2.2599999999999998</v>
      </c>
      <c r="BG2008">
        <v>0.04</v>
      </c>
      <c r="BH2008">
        <v>-1.01</v>
      </c>
      <c r="BI2008">
        <v>20191030</v>
      </c>
      <c r="BJ2008">
        <v>20170301</v>
      </c>
      <c r="BK2008">
        <v>0.75</v>
      </c>
      <c r="BL2008" t="s">
        <v>116</v>
      </c>
      <c r="BM2008" t="s">
        <v>116</v>
      </c>
      <c r="BN2008">
        <v>11.51</v>
      </c>
      <c r="BO2008">
        <v>4.9000000000000004</v>
      </c>
      <c r="BP2008">
        <v>0</v>
      </c>
      <c r="BQ2008">
        <v>57.42</v>
      </c>
      <c r="BR2008">
        <v>7.14</v>
      </c>
      <c r="BS2008">
        <v>1.88</v>
      </c>
      <c r="BT2008">
        <v>0.46</v>
      </c>
      <c r="BU2008">
        <v>4.6399999999999997</v>
      </c>
      <c r="BV2008">
        <v>0.94</v>
      </c>
      <c r="BW2008">
        <v>3.77</v>
      </c>
      <c r="BX2008">
        <v>1.88</v>
      </c>
      <c r="BY2008">
        <v>4.57</v>
      </c>
      <c r="BZ2008">
        <v>3.2</v>
      </c>
      <c r="CA2008">
        <v>0.45</v>
      </c>
      <c r="CB2008">
        <v>0</v>
      </c>
      <c r="CC2008">
        <v>0.45</v>
      </c>
      <c r="CD2008">
        <v>0.38</v>
      </c>
      <c r="CE2008">
        <v>0.38</v>
      </c>
      <c r="CF2008">
        <v>0.32</v>
      </c>
      <c r="CG2008">
        <v>1.98</v>
      </c>
      <c r="CH2008">
        <v>0.13</v>
      </c>
      <c r="CI2008">
        <v>-0.23</v>
      </c>
      <c r="CJ2008">
        <v>9990</v>
      </c>
      <c r="CK2008">
        <v>3012</v>
      </c>
      <c r="CL2008" t="s">
        <v>453</v>
      </c>
      <c r="CM2008">
        <v>-4.41</v>
      </c>
      <c r="CN2008">
        <v>8.5399999999999991</v>
      </c>
      <c r="CO2008">
        <v>3.56</v>
      </c>
      <c r="CP2008">
        <v>138.44999999999999</v>
      </c>
      <c r="CQ2008">
        <v>3.82</v>
      </c>
      <c r="CR2008">
        <v>0.28000000000000003</v>
      </c>
      <c r="CS2008" t="s">
        <v>9882</v>
      </c>
      <c r="CT2008">
        <v>6.57</v>
      </c>
      <c r="CU2008">
        <v>0</v>
      </c>
      <c r="CV2008">
        <v>2.52</v>
      </c>
      <c r="CW2008">
        <v>2.65</v>
      </c>
      <c r="CX2008">
        <v>0.17</v>
      </c>
      <c r="CY2008">
        <v>42.59</v>
      </c>
      <c r="CZ2008" t="s">
        <v>284</v>
      </c>
      <c r="DA2008">
        <v>30.02</v>
      </c>
      <c r="DB2008">
        <v>9.7799999999999994</v>
      </c>
      <c r="DC2008">
        <v>8.2899999999999991</v>
      </c>
      <c r="DD2008">
        <v>0.2</v>
      </c>
      <c r="DE2008">
        <v>709</v>
      </c>
      <c r="DF2008">
        <v>300619</v>
      </c>
      <c r="DG2008" t="s">
        <v>116</v>
      </c>
      <c r="DH2008" t="s">
        <v>116</v>
      </c>
      <c r="DI2008" t="s">
        <v>116</v>
      </c>
    </row>
    <row r="2009" spans="1:113" x14ac:dyDescent="0.4">
      <c r="A2009" t="str">
        <f>"300620"</f>
        <v>300620</v>
      </c>
      <c r="B2009" t="s">
        <v>9883</v>
      </c>
      <c r="C2009">
        <v>-2.83</v>
      </c>
      <c r="D2009">
        <v>39.840000000000003</v>
      </c>
      <c r="E2009">
        <v>-1.1599999999999999</v>
      </c>
      <c r="F2009">
        <v>39.83</v>
      </c>
      <c r="G2009">
        <v>39.840000000000003</v>
      </c>
      <c r="H2009">
        <v>16116</v>
      </c>
      <c r="I2009">
        <v>234</v>
      </c>
      <c r="J2009">
        <v>-0.28999999999999998</v>
      </c>
      <c r="K2009">
        <v>7.07</v>
      </c>
      <c r="L2009">
        <v>41.29</v>
      </c>
      <c r="M2009">
        <v>41.41</v>
      </c>
      <c r="N2009">
        <v>39.75</v>
      </c>
      <c r="O2009">
        <v>41</v>
      </c>
      <c r="P2009">
        <v>55.61</v>
      </c>
      <c r="Q2009">
        <v>65448672</v>
      </c>
      <c r="R2009">
        <v>0.82</v>
      </c>
      <c r="S2009" t="s">
        <v>233</v>
      </c>
      <c r="T2009" t="s">
        <v>551</v>
      </c>
      <c r="U2009">
        <v>4.05</v>
      </c>
      <c r="V2009">
        <v>40.61</v>
      </c>
      <c r="W2009">
        <v>9422</v>
      </c>
      <c r="X2009">
        <v>6694</v>
      </c>
      <c r="Y2009">
        <v>1.41</v>
      </c>
      <c r="Z2009">
        <v>6</v>
      </c>
      <c r="AA2009">
        <v>6</v>
      </c>
      <c r="AB2009" t="s">
        <v>116</v>
      </c>
      <c r="AC2009">
        <v>540900</v>
      </c>
      <c r="AD2009">
        <v>0.06</v>
      </c>
      <c r="AE2009" t="s">
        <v>116</v>
      </c>
      <c r="AF2009" t="s">
        <v>116</v>
      </c>
      <c r="AG2009">
        <v>0.23</v>
      </c>
      <c r="AH2009" t="s">
        <v>9156</v>
      </c>
      <c r="AI2009" t="s">
        <v>8143</v>
      </c>
      <c r="AJ2009">
        <v>-2.15</v>
      </c>
      <c r="AK2009">
        <v>1696</v>
      </c>
      <c r="AL2009">
        <v>10</v>
      </c>
      <c r="AM2009">
        <v>4.1999999999999997E-3</v>
      </c>
      <c r="AN2009">
        <v>-3</v>
      </c>
      <c r="AO2009">
        <v>-5.85</v>
      </c>
      <c r="AP2009">
        <v>7.33</v>
      </c>
      <c r="AQ2009">
        <v>2.68</v>
      </c>
      <c r="AR2009">
        <v>-9.14</v>
      </c>
      <c r="AS2009">
        <v>7.07</v>
      </c>
      <c r="AT2009" t="s">
        <v>9156</v>
      </c>
      <c r="AU2009">
        <v>60.67</v>
      </c>
      <c r="AV2009">
        <v>45.03</v>
      </c>
      <c r="AW2009">
        <v>1.04</v>
      </c>
      <c r="BA2009">
        <v>0.71</v>
      </c>
      <c r="BB2009">
        <v>1</v>
      </c>
      <c r="BC2009">
        <v>-3.05</v>
      </c>
      <c r="BD2009">
        <v>-0.95</v>
      </c>
      <c r="BE2009">
        <v>-3.51</v>
      </c>
      <c r="BF2009">
        <v>-3.79</v>
      </c>
      <c r="BG2009">
        <v>0.23</v>
      </c>
      <c r="BH2009">
        <v>-1.88</v>
      </c>
      <c r="BI2009">
        <v>20191025</v>
      </c>
      <c r="BJ2009">
        <v>20170310</v>
      </c>
      <c r="BK2009">
        <v>0.9</v>
      </c>
      <c r="BL2009" t="s">
        <v>116</v>
      </c>
      <c r="BM2009" t="s">
        <v>116</v>
      </c>
      <c r="BN2009">
        <v>8.3800000000000008</v>
      </c>
      <c r="BO2009">
        <v>6.23</v>
      </c>
      <c r="BP2009">
        <v>0.05</v>
      </c>
      <c r="BQ2009">
        <v>24.99</v>
      </c>
      <c r="BR2009">
        <v>5.58</v>
      </c>
      <c r="BS2009">
        <v>1.48</v>
      </c>
      <c r="BT2009">
        <v>0.13</v>
      </c>
      <c r="BU2009">
        <v>1.59</v>
      </c>
      <c r="BV2009">
        <v>0.76</v>
      </c>
      <c r="BW2009">
        <v>0.93</v>
      </c>
      <c r="BX2009">
        <v>3.38</v>
      </c>
      <c r="BY2009">
        <v>2.78</v>
      </c>
      <c r="BZ2009">
        <v>1.61</v>
      </c>
      <c r="CA2009">
        <v>0.56000000000000005</v>
      </c>
      <c r="CB2009">
        <v>0.02</v>
      </c>
      <c r="CC2009">
        <v>0.56000000000000005</v>
      </c>
      <c r="CD2009">
        <v>0.5</v>
      </c>
      <c r="CE2009">
        <v>0.49</v>
      </c>
      <c r="CF2009">
        <v>0.41</v>
      </c>
      <c r="CG2009">
        <v>2.0099999999999998</v>
      </c>
      <c r="CH2009">
        <v>0.71</v>
      </c>
      <c r="CI2009">
        <v>-0.02</v>
      </c>
      <c r="CJ2009">
        <v>9244</v>
      </c>
      <c r="CK2009">
        <v>2466</v>
      </c>
      <c r="CL2009" t="s">
        <v>1748</v>
      </c>
      <c r="CM2009">
        <v>-29.79</v>
      </c>
      <c r="CN2009">
        <v>35.450000000000003</v>
      </c>
      <c r="CO2009">
        <v>5.78</v>
      </c>
      <c r="CP2009">
        <v>50.86</v>
      </c>
      <c r="CQ2009">
        <v>12.94</v>
      </c>
      <c r="CR2009">
        <v>0.5</v>
      </c>
      <c r="CS2009" t="s">
        <v>2154</v>
      </c>
      <c r="CT2009">
        <v>6.89</v>
      </c>
      <c r="CU2009">
        <v>0</v>
      </c>
      <c r="CV2009">
        <v>3.74</v>
      </c>
      <c r="CW2009">
        <v>2.23</v>
      </c>
      <c r="CX2009">
        <v>0.78</v>
      </c>
      <c r="CY2009">
        <v>74.36</v>
      </c>
      <c r="CZ2009" t="s">
        <v>9884</v>
      </c>
      <c r="DA2009">
        <v>41.95</v>
      </c>
      <c r="DB2009">
        <v>20.309999999999999</v>
      </c>
      <c r="DC2009">
        <v>17.45</v>
      </c>
      <c r="DD2009">
        <v>0.26</v>
      </c>
      <c r="DE2009">
        <v>956</v>
      </c>
      <c r="DF2009">
        <v>300620</v>
      </c>
      <c r="DG2009" t="s">
        <v>116</v>
      </c>
      <c r="DH2009" t="s">
        <v>116</v>
      </c>
      <c r="DI2009" t="s">
        <v>116</v>
      </c>
    </row>
    <row r="2010" spans="1:113" x14ac:dyDescent="0.4">
      <c r="A2010" t="str">
        <f>"300621"</f>
        <v>300621</v>
      </c>
      <c r="B2010" t="s">
        <v>9885</v>
      </c>
      <c r="C2010">
        <v>-1.3</v>
      </c>
      <c r="D2010">
        <v>10.61</v>
      </c>
      <c r="E2010">
        <v>-0.14000000000000001</v>
      </c>
      <c r="F2010">
        <v>10.6</v>
      </c>
      <c r="G2010">
        <v>10.61</v>
      </c>
      <c r="H2010">
        <v>14074</v>
      </c>
      <c r="I2010">
        <v>288</v>
      </c>
      <c r="J2010">
        <v>-0.27</v>
      </c>
      <c r="K2010">
        <v>2.14</v>
      </c>
      <c r="L2010">
        <v>10.76</v>
      </c>
      <c r="M2010">
        <v>10.82</v>
      </c>
      <c r="N2010">
        <v>10.51</v>
      </c>
      <c r="O2010">
        <v>10.75</v>
      </c>
      <c r="P2010">
        <v>21.45</v>
      </c>
      <c r="Q2010">
        <v>15021910</v>
      </c>
      <c r="R2010">
        <v>1.17</v>
      </c>
      <c r="S2010" t="s">
        <v>3331</v>
      </c>
      <c r="T2010" t="s">
        <v>115</v>
      </c>
      <c r="U2010">
        <v>2.88</v>
      </c>
      <c r="V2010">
        <v>10.67</v>
      </c>
      <c r="W2010">
        <v>8700</v>
      </c>
      <c r="X2010">
        <v>5374</v>
      </c>
      <c r="Y2010">
        <v>1.62</v>
      </c>
      <c r="Z2010">
        <v>475</v>
      </c>
      <c r="AA2010">
        <v>54</v>
      </c>
      <c r="AB2010" t="s">
        <v>116</v>
      </c>
      <c r="AC2010">
        <v>1100</v>
      </c>
      <c r="AD2010">
        <v>0</v>
      </c>
      <c r="AE2010" t="s">
        <v>116</v>
      </c>
      <c r="AF2010" t="s">
        <v>116</v>
      </c>
      <c r="AG2010">
        <v>0.66</v>
      </c>
      <c r="AH2010" t="s">
        <v>9886</v>
      </c>
      <c r="AI2010" t="s">
        <v>5183</v>
      </c>
      <c r="AJ2010">
        <v>-0.62</v>
      </c>
      <c r="AK2010">
        <v>717</v>
      </c>
      <c r="AL2010">
        <v>20</v>
      </c>
      <c r="AM2010">
        <v>3.0000000000000001E-3</v>
      </c>
      <c r="AN2010">
        <v>-2</v>
      </c>
      <c r="AO2010">
        <v>0.01</v>
      </c>
      <c r="AP2010">
        <v>5.15</v>
      </c>
      <c r="AQ2010">
        <v>-3.46</v>
      </c>
      <c r="AR2010">
        <v>11.45</v>
      </c>
      <c r="AS2010">
        <v>2.14</v>
      </c>
      <c r="AT2010" t="s">
        <v>9886</v>
      </c>
      <c r="AU2010">
        <v>31.09</v>
      </c>
      <c r="AV2010">
        <v>32.119999999999997</v>
      </c>
      <c r="AW2010">
        <v>1.37</v>
      </c>
      <c r="BA2010">
        <v>0.09</v>
      </c>
      <c r="BB2010">
        <v>0.65</v>
      </c>
      <c r="BC2010">
        <v>-2.23</v>
      </c>
      <c r="BD2010">
        <v>-0.71</v>
      </c>
      <c r="BE2010">
        <v>-1.39</v>
      </c>
      <c r="BF2010">
        <v>-1.94</v>
      </c>
      <c r="BG2010">
        <v>0.95</v>
      </c>
      <c r="BH2010">
        <v>-0.59</v>
      </c>
      <c r="BI2010">
        <v>20191227</v>
      </c>
      <c r="BJ2010">
        <v>20170316</v>
      </c>
      <c r="BK2010">
        <v>2.08</v>
      </c>
      <c r="BL2010" t="s">
        <v>116</v>
      </c>
      <c r="BM2010" t="s">
        <v>116</v>
      </c>
      <c r="BN2010">
        <v>26.19</v>
      </c>
      <c r="BO2010">
        <v>9.3699999999999992</v>
      </c>
      <c r="BP2010">
        <v>0.36</v>
      </c>
      <c r="BQ2010">
        <v>62.84</v>
      </c>
      <c r="BR2010">
        <v>23.28</v>
      </c>
      <c r="BS2010">
        <v>1.1399999999999999</v>
      </c>
      <c r="BT2010">
        <v>0.14000000000000001</v>
      </c>
      <c r="BU2010">
        <v>16.399999999999999</v>
      </c>
      <c r="BV2010">
        <v>1.1299999999999999</v>
      </c>
      <c r="BW2010">
        <v>16.27</v>
      </c>
      <c r="BX2010">
        <v>2.95</v>
      </c>
      <c r="BY2010">
        <v>18.55</v>
      </c>
      <c r="BZ2010">
        <v>15.8</v>
      </c>
      <c r="CA2010">
        <v>0.9</v>
      </c>
      <c r="CB2010">
        <v>0.01</v>
      </c>
      <c r="CC2010">
        <v>0.9</v>
      </c>
      <c r="CD2010">
        <v>0.77</v>
      </c>
      <c r="CE2010">
        <v>0.77</v>
      </c>
      <c r="CF2010">
        <v>0.75</v>
      </c>
      <c r="CG2010">
        <v>3.86</v>
      </c>
      <c r="CH2010">
        <v>0.33</v>
      </c>
      <c r="CI2010">
        <v>0.76</v>
      </c>
      <c r="CJ2010">
        <v>14429</v>
      </c>
      <c r="CK2010">
        <v>4556</v>
      </c>
      <c r="CL2010" t="s">
        <v>1188</v>
      </c>
      <c r="CM2010">
        <v>3.05</v>
      </c>
      <c r="CN2010">
        <v>6.79</v>
      </c>
      <c r="CO2010">
        <v>2.36</v>
      </c>
      <c r="CP2010">
        <v>67.540000000000006</v>
      </c>
      <c r="CQ2010">
        <v>1.19</v>
      </c>
      <c r="CR2010">
        <v>0.75</v>
      </c>
      <c r="CS2010" t="s">
        <v>8566</v>
      </c>
      <c r="CT2010">
        <v>4.5</v>
      </c>
      <c r="CU2010">
        <v>0</v>
      </c>
      <c r="CV2010">
        <v>1.42</v>
      </c>
      <c r="CW2010">
        <v>1.86</v>
      </c>
      <c r="CX2010">
        <v>0.16</v>
      </c>
      <c r="CY2010">
        <v>35.78</v>
      </c>
      <c r="CZ2010" t="s">
        <v>2051</v>
      </c>
      <c r="DA2010">
        <v>14.82</v>
      </c>
      <c r="DB2010">
        <v>4.8600000000000003</v>
      </c>
      <c r="DC2010">
        <v>4.17</v>
      </c>
      <c r="DD2010">
        <v>0.51</v>
      </c>
      <c r="DE2010">
        <v>867</v>
      </c>
      <c r="DF2010">
        <v>300621</v>
      </c>
      <c r="DG2010" t="s">
        <v>116</v>
      </c>
      <c r="DH2010" t="s">
        <v>116</v>
      </c>
      <c r="DI2010" t="s">
        <v>116</v>
      </c>
    </row>
    <row r="2011" spans="1:113" x14ac:dyDescent="0.4">
      <c r="A2011" t="str">
        <f>"300622"</f>
        <v>300622</v>
      </c>
      <c r="B2011" t="s">
        <v>9887</v>
      </c>
      <c r="C2011">
        <v>-2.4700000000000002</v>
      </c>
      <c r="D2011">
        <v>19.350000000000001</v>
      </c>
      <c r="E2011">
        <v>-0.49</v>
      </c>
      <c r="F2011">
        <v>19.329999999999998</v>
      </c>
      <c r="G2011">
        <v>19.350000000000001</v>
      </c>
      <c r="H2011">
        <v>15621</v>
      </c>
      <c r="I2011">
        <v>186</v>
      </c>
      <c r="J2011">
        <v>0.26</v>
      </c>
      <c r="K2011">
        <v>2.87</v>
      </c>
      <c r="L2011">
        <v>19.850000000000001</v>
      </c>
      <c r="M2011">
        <v>20.04</v>
      </c>
      <c r="N2011">
        <v>19.29</v>
      </c>
      <c r="O2011">
        <v>19.84</v>
      </c>
      <c r="P2011">
        <v>42.86</v>
      </c>
      <c r="Q2011">
        <v>30738910</v>
      </c>
      <c r="R2011">
        <v>1.51</v>
      </c>
      <c r="S2011" t="s">
        <v>225</v>
      </c>
      <c r="T2011" t="s">
        <v>115</v>
      </c>
      <c r="U2011">
        <v>3.78</v>
      </c>
      <c r="V2011">
        <v>19.68</v>
      </c>
      <c r="W2011">
        <v>11775</v>
      </c>
      <c r="X2011">
        <v>3846</v>
      </c>
      <c r="Y2011">
        <v>3.06</v>
      </c>
      <c r="Z2011">
        <v>3</v>
      </c>
      <c r="AA2011">
        <v>36</v>
      </c>
      <c r="AB2011" t="s">
        <v>116</v>
      </c>
      <c r="AC2011">
        <v>275500</v>
      </c>
      <c r="AD2011">
        <v>0.03</v>
      </c>
      <c r="AE2011" t="s">
        <v>116</v>
      </c>
      <c r="AF2011" t="s">
        <v>116</v>
      </c>
      <c r="AG2011">
        <v>0.54</v>
      </c>
      <c r="AH2011" t="s">
        <v>8260</v>
      </c>
      <c r="AI2011" t="s">
        <v>6290</v>
      </c>
      <c r="AJ2011">
        <v>-1.79</v>
      </c>
      <c r="AK2011">
        <v>858</v>
      </c>
      <c r="AL2011">
        <v>18</v>
      </c>
      <c r="AM2011">
        <v>3.3E-3</v>
      </c>
      <c r="AN2011">
        <v>-1</v>
      </c>
      <c r="AO2011">
        <v>-3.01</v>
      </c>
      <c r="AP2011">
        <v>-6.48</v>
      </c>
      <c r="AQ2011">
        <v>-23.37</v>
      </c>
      <c r="AR2011">
        <v>68.19</v>
      </c>
      <c r="AS2011">
        <v>2.87</v>
      </c>
      <c r="AT2011" t="s">
        <v>8260</v>
      </c>
      <c r="AU2011">
        <v>41.9</v>
      </c>
      <c r="AV2011">
        <v>39.83</v>
      </c>
      <c r="AW2011">
        <v>1.76</v>
      </c>
      <c r="BA2011">
        <v>0.05</v>
      </c>
      <c r="BB2011">
        <v>1.01</v>
      </c>
      <c r="BC2011">
        <v>-2.77</v>
      </c>
      <c r="BD2011">
        <v>-0.82</v>
      </c>
      <c r="BE2011">
        <v>-2.52</v>
      </c>
      <c r="BF2011">
        <v>-3.44</v>
      </c>
      <c r="BG2011">
        <v>0.31</v>
      </c>
      <c r="BH2011">
        <v>-1.65</v>
      </c>
      <c r="BI2011">
        <v>20191029</v>
      </c>
      <c r="BJ2011">
        <v>20170315</v>
      </c>
      <c r="BK2011">
        <v>1.22</v>
      </c>
      <c r="BL2011" t="s">
        <v>116</v>
      </c>
      <c r="BM2011" t="s">
        <v>116</v>
      </c>
      <c r="BN2011">
        <v>6.35</v>
      </c>
      <c r="BO2011">
        <v>5.14</v>
      </c>
      <c r="BP2011">
        <v>0.02</v>
      </c>
      <c r="BQ2011">
        <v>18.68</v>
      </c>
      <c r="BR2011">
        <v>5.09</v>
      </c>
      <c r="BS2011">
        <v>0.47</v>
      </c>
      <c r="BT2011">
        <v>0.05</v>
      </c>
      <c r="BU2011">
        <v>1.08</v>
      </c>
      <c r="BV2011">
        <v>1.05</v>
      </c>
      <c r="BW2011">
        <v>0.32</v>
      </c>
      <c r="BX2011">
        <v>2.4300000000000002</v>
      </c>
      <c r="BY2011">
        <v>4.88</v>
      </c>
      <c r="BZ2011">
        <v>1.52</v>
      </c>
      <c r="CA2011">
        <v>0.55000000000000004</v>
      </c>
      <c r="CB2011">
        <v>0.03</v>
      </c>
      <c r="CC2011">
        <v>0.55000000000000004</v>
      </c>
      <c r="CD2011">
        <v>0.4</v>
      </c>
      <c r="CE2011">
        <v>0.41</v>
      </c>
      <c r="CF2011">
        <v>0.34</v>
      </c>
      <c r="CG2011">
        <v>1.3</v>
      </c>
      <c r="CH2011">
        <v>0.74</v>
      </c>
      <c r="CI2011">
        <v>-1.0900000000000001</v>
      </c>
      <c r="CJ2011">
        <v>6369</v>
      </c>
      <c r="CK2011">
        <v>8539</v>
      </c>
      <c r="CL2011" t="s">
        <v>9888</v>
      </c>
      <c r="CM2011">
        <v>-6.62</v>
      </c>
      <c r="CN2011">
        <v>15.25</v>
      </c>
      <c r="CO2011">
        <v>4.59</v>
      </c>
      <c r="CP2011">
        <v>31.89</v>
      </c>
      <c r="CQ2011">
        <v>4.84</v>
      </c>
      <c r="CR2011">
        <v>1.84</v>
      </c>
      <c r="CS2011" t="s">
        <v>1696</v>
      </c>
      <c r="CT2011">
        <v>4.21</v>
      </c>
      <c r="CU2011">
        <v>0</v>
      </c>
      <c r="CV2011">
        <v>1.99</v>
      </c>
      <c r="CW2011">
        <v>1.07</v>
      </c>
      <c r="CX2011">
        <v>0.61</v>
      </c>
      <c r="CY2011">
        <v>81.010000000000005</v>
      </c>
      <c r="CZ2011" t="s">
        <v>9889</v>
      </c>
      <c r="DA2011">
        <v>68.84</v>
      </c>
      <c r="DB2011">
        <v>11.28</v>
      </c>
      <c r="DC2011">
        <v>8.4700000000000006</v>
      </c>
      <c r="DD2011">
        <v>0</v>
      </c>
      <c r="DE2011">
        <v>1731</v>
      </c>
      <c r="DF2011">
        <v>300622</v>
      </c>
      <c r="DG2011" t="s">
        <v>116</v>
      </c>
      <c r="DH2011" t="s">
        <v>116</v>
      </c>
      <c r="DI2011" t="s">
        <v>116</v>
      </c>
    </row>
    <row r="2012" spans="1:113" x14ac:dyDescent="0.4">
      <c r="A2012" t="str">
        <f>"300623"</f>
        <v>300623</v>
      </c>
      <c r="B2012" t="s">
        <v>9890</v>
      </c>
      <c r="C2012">
        <v>-4.54</v>
      </c>
      <c r="D2012">
        <v>26.06</v>
      </c>
      <c r="E2012">
        <v>-1.24</v>
      </c>
      <c r="F2012">
        <v>26.06</v>
      </c>
      <c r="G2012">
        <v>26.07</v>
      </c>
      <c r="H2012">
        <v>108328</v>
      </c>
      <c r="I2012">
        <v>1650</v>
      </c>
      <c r="J2012">
        <v>-0.3</v>
      </c>
      <c r="K2012">
        <v>10.19</v>
      </c>
      <c r="L2012">
        <v>27.23</v>
      </c>
      <c r="M2012">
        <v>27.26</v>
      </c>
      <c r="N2012">
        <v>26.05</v>
      </c>
      <c r="O2012">
        <v>27.3</v>
      </c>
      <c r="P2012">
        <v>38.86</v>
      </c>
      <c r="Q2012">
        <v>288286752</v>
      </c>
      <c r="R2012">
        <v>0.87</v>
      </c>
      <c r="S2012" t="s">
        <v>3507</v>
      </c>
      <c r="T2012" t="s">
        <v>323</v>
      </c>
      <c r="U2012">
        <v>4.43</v>
      </c>
      <c r="V2012">
        <v>26.61</v>
      </c>
      <c r="W2012">
        <v>63753</v>
      </c>
      <c r="X2012">
        <v>44575</v>
      </c>
      <c r="Y2012">
        <v>1.43</v>
      </c>
      <c r="Z2012">
        <v>33</v>
      </c>
      <c r="AA2012">
        <v>5</v>
      </c>
      <c r="AB2012" t="s">
        <v>116</v>
      </c>
      <c r="AC2012">
        <v>1119200</v>
      </c>
      <c r="AD2012">
        <v>0.05</v>
      </c>
      <c r="AE2012" t="s">
        <v>116</v>
      </c>
      <c r="AF2012" t="s">
        <v>116</v>
      </c>
      <c r="AG2012">
        <v>1.06</v>
      </c>
      <c r="AH2012" t="s">
        <v>1449</v>
      </c>
      <c r="AI2012" t="s">
        <v>9891</v>
      </c>
      <c r="AJ2012">
        <v>-3.86</v>
      </c>
      <c r="AK2012">
        <v>3500</v>
      </c>
      <c r="AL2012">
        <v>31</v>
      </c>
      <c r="AM2012">
        <v>2.8999999999999998E-3</v>
      </c>
      <c r="AN2012">
        <v>-2</v>
      </c>
      <c r="AO2012">
        <v>-2.25</v>
      </c>
      <c r="AP2012">
        <v>7.2</v>
      </c>
      <c r="AQ2012">
        <v>22.23</v>
      </c>
      <c r="AR2012">
        <v>68.64</v>
      </c>
      <c r="AS2012">
        <v>12.98</v>
      </c>
      <c r="AT2012" t="s">
        <v>8615</v>
      </c>
      <c r="AU2012">
        <v>41.61</v>
      </c>
      <c r="AV2012">
        <v>42.41</v>
      </c>
      <c r="AW2012">
        <v>1.78</v>
      </c>
      <c r="BA2012">
        <v>-0.26</v>
      </c>
      <c r="BB2012">
        <v>-0.15</v>
      </c>
      <c r="BC2012">
        <v>-4.58</v>
      </c>
      <c r="BD2012">
        <v>-2.52</v>
      </c>
      <c r="BE2012">
        <v>-4.3</v>
      </c>
      <c r="BF2012">
        <v>-4.4000000000000004</v>
      </c>
      <c r="BG2012">
        <v>0.04</v>
      </c>
      <c r="BH2012">
        <v>-2.02</v>
      </c>
      <c r="BI2012">
        <v>20191209</v>
      </c>
      <c r="BJ2012">
        <v>20170314</v>
      </c>
      <c r="BK2012">
        <v>2.7</v>
      </c>
      <c r="BL2012" t="s">
        <v>116</v>
      </c>
      <c r="BM2012" t="s">
        <v>116</v>
      </c>
      <c r="BN2012">
        <v>16.260000000000002</v>
      </c>
      <c r="BO2012">
        <v>14.53</v>
      </c>
      <c r="BP2012">
        <v>0</v>
      </c>
      <c r="BQ2012">
        <v>10.61</v>
      </c>
      <c r="BR2012">
        <v>9.4499999999999993</v>
      </c>
      <c r="BS2012">
        <v>3.7</v>
      </c>
      <c r="BT2012">
        <v>0.5</v>
      </c>
      <c r="BU2012">
        <v>1.49</v>
      </c>
      <c r="BV2012">
        <v>1.18</v>
      </c>
      <c r="BW2012">
        <v>1.73</v>
      </c>
      <c r="BX2012">
        <v>5.93</v>
      </c>
      <c r="BY2012">
        <v>4.6500000000000004</v>
      </c>
      <c r="BZ2012">
        <v>2.52</v>
      </c>
      <c r="CA2012">
        <v>1.62</v>
      </c>
      <c r="CB2012">
        <v>0</v>
      </c>
      <c r="CC2012">
        <v>1.63</v>
      </c>
      <c r="CD2012">
        <v>1.36</v>
      </c>
      <c r="CE2012">
        <v>1.36</v>
      </c>
      <c r="CF2012">
        <v>1.31</v>
      </c>
      <c r="CG2012">
        <v>5.43</v>
      </c>
      <c r="CH2012">
        <v>1.54</v>
      </c>
      <c r="CI2012">
        <v>-2.2000000000000002</v>
      </c>
      <c r="CJ2012">
        <v>26949</v>
      </c>
      <c r="CK2012">
        <v>3098</v>
      </c>
      <c r="CL2012" t="s">
        <v>9892</v>
      </c>
      <c r="CM2012">
        <v>2.4</v>
      </c>
      <c r="CN2012">
        <v>15.29</v>
      </c>
      <c r="CO2012">
        <v>4.83</v>
      </c>
      <c r="CP2012">
        <v>45.66</v>
      </c>
      <c r="CQ2012">
        <v>15.1</v>
      </c>
      <c r="CR2012">
        <v>0.77</v>
      </c>
      <c r="CS2012" t="s">
        <v>6070</v>
      </c>
      <c r="CT2012">
        <v>5.39</v>
      </c>
      <c r="CU2012">
        <v>0</v>
      </c>
      <c r="CV2012">
        <v>2.2000000000000002</v>
      </c>
      <c r="CW2012">
        <v>2.0099999999999998</v>
      </c>
      <c r="CX2012">
        <v>0.56999999999999995</v>
      </c>
      <c r="CY2012">
        <v>89.39</v>
      </c>
      <c r="CZ2012" t="s">
        <v>9893</v>
      </c>
      <c r="DA2012">
        <v>45.92</v>
      </c>
      <c r="DB2012">
        <v>34.880000000000003</v>
      </c>
      <c r="DC2012">
        <v>29.15</v>
      </c>
      <c r="DD2012">
        <v>0.24</v>
      </c>
      <c r="DE2012">
        <v>874</v>
      </c>
      <c r="DF2012">
        <v>300623</v>
      </c>
      <c r="DG2012" t="s">
        <v>116</v>
      </c>
      <c r="DH2012" t="s">
        <v>116</v>
      </c>
      <c r="DI2012" t="s">
        <v>116</v>
      </c>
    </row>
    <row r="2013" spans="1:113" x14ac:dyDescent="0.4">
      <c r="A2013" t="str">
        <f>"300624"</f>
        <v>300624</v>
      </c>
      <c r="B2013" t="s">
        <v>9894</v>
      </c>
      <c r="C2013">
        <v>-3.79</v>
      </c>
      <c r="D2013">
        <v>62.21</v>
      </c>
      <c r="E2013">
        <v>-2.4500000000000002</v>
      </c>
      <c r="F2013">
        <v>62.21</v>
      </c>
      <c r="G2013">
        <v>62.26</v>
      </c>
      <c r="H2013">
        <v>25183</v>
      </c>
      <c r="I2013">
        <v>181</v>
      </c>
      <c r="J2013">
        <v>-0.21</v>
      </c>
      <c r="K2013">
        <v>5.0599999999999996</v>
      </c>
      <c r="L2013">
        <v>64.900000000000006</v>
      </c>
      <c r="M2013">
        <v>64.900000000000006</v>
      </c>
      <c r="N2013">
        <v>62.19</v>
      </c>
      <c r="O2013">
        <v>64.66</v>
      </c>
      <c r="P2013">
        <v>41.89</v>
      </c>
      <c r="Q2013">
        <v>159953920</v>
      </c>
      <c r="R2013">
        <v>1.23</v>
      </c>
      <c r="S2013" t="s">
        <v>607</v>
      </c>
      <c r="T2013" t="s">
        <v>2028</v>
      </c>
      <c r="U2013">
        <v>4.1900000000000004</v>
      </c>
      <c r="V2013">
        <v>63.52</v>
      </c>
      <c r="W2013">
        <v>15070</v>
      </c>
      <c r="X2013">
        <v>10113</v>
      </c>
      <c r="Y2013">
        <v>1.49</v>
      </c>
      <c r="Z2013">
        <v>7</v>
      </c>
      <c r="AA2013">
        <v>4</v>
      </c>
      <c r="AB2013" t="s">
        <v>116</v>
      </c>
      <c r="AC2013">
        <v>480300</v>
      </c>
      <c r="AD2013">
        <v>0.02</v>
      </c>
      <c r="AE2013" t="s">
        <v>116</v>
      </c>
      <c r="AF2013" t="s">
        <v>116</v>
      </c>
      <c r="AG2013">
        <v>0.5</v>
      </c>
      <c r="AH2013" t="s">
        <v>9895</v>
      </c>
      <c r="AI2013" t="s">
        <v>3378</v>
      </c>
      <c r="AJ2013">
        <v>-3.11</v>
      </c>
      <c r="AK2013">
        <v>2426</v>
      </c>
      <c r="AL2013">
        <v>10</v>
      </c>
      <c r="AM2013">
        <v>2.0999999999999999E-3</v>
      </c>
      <c r="AN2013">
        <v>-2</v>
      </c>
      <c r="AO2013">
        <v>-6.18</v>
      </c>
      <c r="AP2013">
        <v>0.66</v>
      </c>
      <c r="AQ2013">
        <v>-13.86</v>
      </c>
      <c r="AR2013">
        <v>15.61</v>
      </c>
      <c r="AS2013">
        <v>8.06</v>
      </c>
      <c r="AT2013" t="s">
        <v>1155</v>
      </c>
      <c r="AU2013">
        <v>50.17</v>
      </c>
      <c r="AV2013">
        <v>61.28</v>
      </c>
      <c r="AW2013">
        <v>0.84</v>
      </c>
      <c r="BA2013">
        <v>0.37</v>
      </c>
      <c r="BB2013">
        <v>0.37</v>
      </c>
      <c r="BC2013">
        <v>-3.82</v>
      </c>
      <c r="BD2013">
        <v>-1.77</v>
      </c>
      <c r="BE2013">
        <v>-4.1399999999999997</v>
      </c>
      <c r="BF2013">
        <v>-4.1399999999999997</v>
      </c>
      <c r="BG2013">
        <v>0.03</v>
      </c>
      <c r="BH2013">
        <v>-2.02</v>
      </c>
      <c r="BI2013">
        <v>20191224</v>
      </c>
      <c r="BJ2013">
        <v>20180118</v>
      </c>
      <c r="BK2013">
        <v>0.81</v>
      </c>
      <c r="BL2013" t="s">
        <v>116</v>
      </c>
      <c r="BM2013" t="s">
        <v>116</v>
      </c>
      <c r="BN2013">
        <v>8.58</v>
      </c>
      <c r="BO2013">
        <v>7.19</v>
      </c>
      <c r="BP2013">
        <v>-0.28000000000000003</v>
      </c>
      <c r="BQ2013">
        <v>19.489999999999998</v>
      </c>
      <c r="BR2013">
        <v>5.12</v>
      </c>
      <c r="BS2013">
        <v>1.42</v>
      </c>
      <c r="BT2013">
        <v>0.03</v>
      </c>
      <c r="BU2013">
        <v>0.9</v>
      </c>
      <c r="BV2013">
        <v>0.11</v>
      </c>
      <c r="BW2013">
        <v>0.32</v>
      </c>
      <c r="BX2013">
        <v>3.58</v>
      </c>
      <c r="BY2013">
        <v>5.15</v>
      </c>
      <c r="BZ2013">
        <v>0.35</v>
      </c>
      <c r="CA2013">
        <v>0.92</v>
      </c>
      <c r="CB2013">
        <v>0.16</v>
      </c>
      <c r="CC2013">
        <v>0.92</v>
      </c>
      <c r="CD2013">
        <v>0.87</v>
      </c>
      <c r="CE2013">
        <v>0.91</v>
      </c>
      <c r="CF2013">
        <v>0.72</v>
      </c>
      <c r="CG2013">
        <v>2.9</v>
      </c>
      <c r="CH2013">
        <v>0.55000000000000004</v>
      </c>
      <c r="CI2013">
        <v>-0.73</v>
      </c>
      <c r="CJ2013">
        <v>11936</v>
      </c>
      <c r="CK2013">
        <v>2617</v>
      </c>
      <c r="CL2013" t="s">
        <v>9896</v>
      </c>
      <c r="CM2013">
        <v>25.29</v>
      </c>
      <c r="CN2013">
        <v>34.42</v>
      </c>
      <c r="CO2013">
        <v>7.05</v>
      </c>
      <c r="CP2013">
        <v>91.99</v>
      </c>
      <c r="CQ2013">
        <v>9.83</v>
      </c>
      <c r="CR2013">
        <v>0.4</v>
      </c>
      <c r="CS2013" t="s">
        <v>3780</v>
      </c>
      <c r="CT2013">
        <v>8.83</v>
      </c>
      <c r="CU2013">
        <v>0</v>
      </c>
      <c r="CV2013">
        <v>4.3899999999999997</v>
      </c>
      <c r="CW2013">
        <v>3.56</v>
      </c>
      <c r="CX2013">
        <v>0.68</v>
      </c>
      <c r="CY2013">
        <v>83.83</v>
      </c>
      <c r="CZ2013" t="s">
        <v>7020</v>
      </c>
      <c r="DA2013">
        <v>93.29</v>
      </c>
      <c r="DB2013">
        <v>17.89</v>
      </c>
      <c r="DC2013">
        <v>17.61</v>
      </c>
      <c r="DD2013">
        <v>0.88</v>
      </c>
      <c r="DE2013">
        <v>578</v>
      </c>
      <c r="DF2013">
        <v>300624</v>
      </c>
      <c r="DG2013" t="s">
        <v>116</v>
      </c>
      <c r="DH2013" t="s">
        <v>116</v>
      </c>
      <c r="DI2013" t="s">
        <v>116</v>
      </c>
    </row>
    <row r="2014" spans="1:113" x14ac:dyDescent="0.4">
      <c r="A2014" t="str">
        <f>"300625"</f>
        <v>300625</v>
      </c>
      <c r="B2014" t="s">
        <v>9897</v>
      </c>
      <c r="C2014">
        <v>-2.16</v>
      </c>
      <c r="D2014">
        <v>16.3</v>
      </c>
      <c r="E2014">
        <v>-0.36</v>
      </c>
      <c r="F2014">
        <v>16.3</v>
      </c>
      <c r="G2014">
        <v>16.309999999999999</v>
      </c>
      <c r="H2014">
        <v>21733</v>
      </c>
      <c r="I2014">
        <v>313</v>
      </c>
      <c r="J2014">
        <v>0.18</v>
      </c>
      <c r="K2014">
        <v>2.35</v>
      </c>
      <c r="L2014">
        <v>16.66</v>
      </c>
      <c r="M2014">
        <v>16.760000000000002</v>
      </c>
      <c r="N2014">
        <v>16.25</v>
      </c>
      <c r="O2014">
        <v>16.66</v>
      </c>
      <c r="P2014">
        <v>22.12</v>
      </c>
      <c r="Q2014">
        <v>35709596</v>
      </c>
      <c r="R2014">
        <v>0.78</v>
      </c>
      <c r="S2014" t="s">
        <v>3507</v>
      </c>
      <c r="T2014" t="s">
        <v>551</v>
      </c>
      <c r="U2014">
        <v>3.06</v>
      </c>
      <c r="V2014">
        <v>16.43</v>
      </c>
      <c r="W2014">
        <v>14844</v>
      </c>
      <c r="X2014">
        <v>6889</v>
      </c>
      <c r="Y2014">
        <v>2.15</v>
      </c>
      <c r="Z2014">
        <v>159</v>
      </c>
      <c r="AA2014">
        <v>26</v>
      </c>
      <c r="AB2014" t="s">
        <v>116</v>
      </c>
      <c r="AC2014">
        <v>378200</v>
      </c>
      <c r="AD2014">
        <v>0.02</v>
      </c>
      <c r="AE2014" t="s">
        <v>116</v>
      </c>
      <c r="AF2014" t="s">
        <v>116</v>
      </c>
      <c r="AG2014">
        <v>0.92</v>
      </c>
      <c r="AH2014" t="s">
        <v>9898</v>
      </c>
      <c r="AI2014" t="s">
        <v>954</v>
      </c>
      <c r="AJ2014">
        <v>-1.48</v>
      </c>
      <c r="AK2014">
        <v>1296</v>
      </c>
      <c r="AL2014">
        <v>17</v>
      </c>
      <c r="AM2014">
        <v>1.8E-3</v>
      </c>
      <c r="AN2014">
        <v>-1</v>
      </c>
      <c r="AO2014">
        <v>1.24</v>
      </c>
      <c r="AP2014">
        <v>12.18</v>
      </c>
      <c r="AQ2014">
        <v>17.100000000000001</v>
      </c>
      <c r="AR2014">
        <v>16.89</v>
      </c>
      <c r="AS2014">
        <v>2.37</v>
      </c>
      <c r="AT2014" t="s">
        <v>5778</v>
      </c>
      <c r="AU2014">
        <v>22.24</v>
      </c>
      <c r="AV2014">
        <v>25.32</v>
      </c>
      <c r="AW2014">
        <v>0.95</v>
      </c>
      <c r="BA2014">
        <v>0</v>
      </c>
      <c r="BB2014">
        <v>0.6</v>
      </c>
      <c r="BC2014">
        <v>-2.46</v>
      </c>
      <c r="BD2014">
        <v>-1.37</v>
      </c>
      <c r="BE2014">
        <v>-2.16</v>
      </c>
      <c r="BF2014">
        <v>-2.74</v>
      </c>
      <c r="BG2014">
        <v>0.31</v>
      </c>
      <c r="BH2014">
        <v>-0.79</v>
      </c>
      <c r="BI2014">
        <v>20191030</v>
      </c>
      <c r="BJ2014">
        <v>20170317</v>
      </c>
      <c r="BK2014">
        <v>2.8</v>
      </c>
      <c r="BL2014" t="s">
        <v>116</v>
      </c>
      <c r="BM2014" t="s">
        <v>116</v>
      </c>
      <c r="BN2014">
        <v>28.9</v>
      </c>
      <c r="BO2014">
        <v>21.55</v>
      </c>
      <c r="BP2014">
        <v>0</v>
      </c>
      <c r="BQ2014">
        <v>25.44</v>
      </c>
      <c r="BR2014">
        <v>22.94</v>
      </c>
      <c r="BS2014">
        <v>3.54</v>
      </c>
      <c r="BT2014">
        <v>1.28</v>
      </c>
      <c r="BU2014">
        <v>7.06</v>
      </c>
      <c r="BV2014">
        <v>4.07</v>
      </c>
      <c r="BW2014">
        <v>5.35</v>
      </c>
      <c r="BX2014">
        <v>12.08</v>
      </c>
      <c r="BY2014">
        <v>17.96</v>
      </c>
      <c r="BZ2014">
        <v>11.85</v>
      </c>
      <c r="CA2014">
        <v>1.82</v>
      </c>
      <c r="CB2014">
        <v>0.23</v>
      </c>
      <c r="CC2014">
        <v>1.81</v>
      </c>
      <c r="CD2014">
        <v>1.55</v>
      </c>
      <c r="CE2014">
        <v>1.55</v>
      </c>
      <c r="CF2014">
        <v>1.25</v>
      </c>
      <c r="CG2014">
        <v>6.01</v>
      </c>
      <c r="CH2014">
        <v>1.58</v>
      </c>
      <c r="CI2014">
        <v>0.21</v>
      </c>
      <c r="CJ2014">
        <v>27755</v>
      </c>
      <c r="CK2014">
        <v>3305</v>
      </c>
      <c r="CL2014" t="s">
        <v>3211</v>
      </c>
      <c r="CM2014">
        <v>19.239999999999998</v>
      </c>
      <c r="CN2014">
        <v>2.2200000000000002</v>
      </c>
      <c r="CO2014">
        <v>2.12</v>
      </c>
      <c r="CP2014">
        <v>28.82</v>
      </c>
      <c r="CQ2014">
        <v>2.54</v>
      </c>
      <c r="CR2014">
        <v>0.76</v>
      </c>
      <c r="CS2014" t="s">
        <v>6801</v>
      </c>
      <c r="CT2014">
        <v>7.7</v>
      </c>
      <c r="CU2014">
        <v>0</v>
      </c>
      <c r="CV2014">
        <v>4.32</v>
      </c>
      <c r="CW2014">
        <v>2.15</v>
      </c>
      <c r="CX2014">
        <v>0.56999999999999995</v>
      </c>
      <c r="CY2014">
        <v>74.56</v>
      </c>
      <c r="CZ2014" t="s">
        <v>9899</v>
      </c>
      <c r="DA2014">
        <v>34.020000000000003</v>
      </c>
      <c r="DB2014">
        <v>10.11</v>
      </c>
      <c r="DC2014">
        <v>8.6199999999999992</v>
      </c>
      <c r="DD2014">
        <v>0.46</v>
      </c>
      <c r="DE2014">
        <v>4822</v>
      </c>
      <c r="DF2014">
        <v>300625</v>
      </c>
      <c r="DG2014" t="s">
        <v>116</v>
      </c>
      <c r="DH2014" t="s">
        <v>116</v>
      </c>
      <c r="DI2014" t="s">
        <v>116</v>
      </c>
    </row>
    <row r="2015" spans="1:113" x14ac:dyDescent="0.4">
      <c r="A2015" t="str">
        <f>"300626"</f>
        <v>300626</v>
      </c>
      <c r="B2015" t="s">
        <v>9900</v>
      </c>
      <c r="C2015">
        <v>0</v>
      </c>
      <c r="D2015">
        <v>8.3000000000000007</v>
      </c>
      <c r="E2015">
        <v>0</v>
      </c>
      <c r="F2015">
        <v>8.2899999999999991</v>
      </c>
      <c r="G2015">
        <v>8.3000000000000007</v>
      </c>
      <c r="H2015">
        <v>46959</v>
      </c>
      <c r="I2015">
        <v>1442</v>
      </c>
      <c r="J2015">
        <v>1.22</v>
      </c>
      <c r="K2015">
        <v>4.88</v>
      </c>
      <c r="L2015">
        <v>8.2799999999999994</v>
      </c>
      <c r="M2015">
        <v>8.4499999999999993</v>
      </c>
      <c r="N2015">
        <v>8.19</v>
      </c>
      <c r="O2015">
        <v>8.3000000000000007</v>
      </c>
      <c r="P2015">
        <v>60.53</v>
      </c>
      <c r="Q2015">
        <v>38899700</v>
      </c>
      <c r="R2015">
        <v>1.35</v>
      </c>
      <c r="S2015" t="s">
        <v>397</v>
      </c>
      <c r="T2015" t="s">
        <v>590</v>
      </c>
      <c r="U2015">
        <v>3.13</v>
      </c>
      <c r="V2015">
        <v>8.2799999999999994</v>
      </c>
      <c r="W2015">
        <v>26373</v>
      </c>
      <c r="X2015">
        <v>20586</v>
      </c>
      <c r="Y2015">
        <v>1.28</v>
      </c>
      <c r="Z2015">
        <v>10</v>
      </c>
      <c r="AA2015">
        <v>355</v>
      </c>
      <c r="AB2015" t="s">
        <v>116</v>
      </c>
      <c r="AC2015">
        <v>36400</v>
      </c>
      <c r="AD2015">
        <v>0.01</v>
      </c>
      <c r="AE2015" t="s">
        <v>116</v>
      </c>
      <c r="AF2015" t="s">
        <v>116</v>
      </c>
      <c r="AG2015">
        <v>0.96</v>
      </c>
      <c r="AH2015" t="s">
        <v>9901</v>
      </c>
      <c r="AI2015" t="s">
        <v>9902</v>
      </c>
      <c r="AJ2015">
        <v>0.68</v>
      </c>
      <c r="AK2015">
        <v>1040</v>
      </c>
      <c r="AL2015">
        <v>45</v>
      </c>
      <c r="AM2015">
        <v>4.7000000000000002E-3</v>
      </c>
      <c r="AN2015">
        <v>0</v>
      </c>
      <c r="AO2015">
        <v>2.4700000000000002</v>
      </c>
      <c r="AP2015">
        <v>4.4000000000000004</v>
      </c>
      <c r="AQ2015">
        <v>0.48</v>
      </c>
      <c r="AR2015">
        <v>-6.11</v>
      </c>
      <c r="AS2015">
        <v>6.01</v>
      </c>
      <c r="AT2015" t="s">
        <v>7214</v>
      </c>
      <c r="AU2015">
        <v>53.06</v>
      </c>
      <c r="AV2015">
        <v>33.89</v>
      </c>
      <c r="AW2015">
        <v>0.79</v>
      </c>
      <c r="BA2015">
        <v>-0.24</v>
      </c>
      <c r="BB2015">
        <v>1.81</v>
      </c>
      <c r="BC2015">
        <v>-1.33</v>
      </c>
      <c r="BD2015">
        <v>-0.2</v>
      </c>
      <c r="BE2015">
        <v>0.24</v>
      </c>
      <c r="BF2015">
        <v>-1.78</v>
      </c>
      <c r="BG2015">
        <v>1.34</v>
      </c>
      <c r="BH2015">
        <v>0.2</v>
      </c>
      <c r="BI2015">
        <v>20191029</v>
      </c>
      <c r="BJ2015">
        <v>20170320</v>
      </c>
      <c r="BK2015">
        <v>1.8</v>
      </c>
      <c r="BL2015" t="s">
        <v>116</v>
      </c>
      <c r="BM2015" t="s">
        <v>116</v>
      </c>
      <c r="BN2015">
        <v>9.66</v>
      </c>
      <c r="BO2015">
        <v>5.38</v>
      </c>
      <c r="BP2015">
        <v>0</v>
      </c>
      <c r="BQ2015">
        <v>44.33</v>
      </c>
      <c r="BR2015">
        <v>5.07</v>
      </c>
      <c r="BS2015">
        <v>2.4</v>
      </c>
      <c r="BT2015">
        <v>0.57999999999999996</v>
      </c>
      <c r="BU2015">
        <v>3.74</v>
      </c>
      <c r="BV2015">
        <v>1.62</v>
      </c>
      <c r="BW2015">
        <v>1.57</v>
      </c>
      <c r="BX2015">
        <v>1.3</v>
      </c>
      <c r="BY2015">
        <v>5.48</v>
      </c>
      <c r="BZ2015">
        <v>4.49</v>
      </c>
      <c r="CA2015">
        <v>0.22</v>
      </c>
      <c r="CB2015">
        <v>0</v>
      </c>
      <c r="CC2015">
        <v>0.22</v>
      </c>
      <c r="CD2015">
        <v>0.19</v>
      </c>
      <c r="CE2015">
        <v>0.19</v>
      </c>
      <c r="CF2015">
        <v>0.17</v>
      </c>
      <c r="CG2015">
        <v>2.19</v>
      </c>
      <c r="CH2015">
        <v>1.29</v>
      </c>
      <c r="CI2015">
        <v>-0.23</v>
      </c>
      <c r="CJ2015">
        <v>9146</v>
      </c>
      <c r="CK2015">
        <v>8537</v>
      </c>
      <c r="CL2015" t="s">
        <v>9903</v>
      </c>
      <c r="CM2015">
        <v>-46.25</v>
      </c>
      <c r="CN2015">
        <v>-14.61</v>
      </c>
      <c r="CO2015">
        <v>2.78</v>
      </c>
      <c r="CP2015">
        <v>11.58</v>
      </c>
      <c r="CQ2015">
        <v>2.73</v>
      </c>
      <c r="CR2015">
        <v>0</v>
      </c>
      <c r="CS2015" t="s">
        <v>2918</v>
      </c>
      <c r="CT2015">
        <v>2.99</v>
      </c>
      <c r="CU2015">
        <v>0</v>
      </c>
      <c r="CV2015">
        <v>0.72</v>
      </c>
      <c r="CW2015">
        <v>1.22</v>
      </c>
      <c r="CX2015">
        <v>0.72</v>
      </c>
      <c r="CY2015">
        <v>55.67</v>
      </c>
      <c r="CZ2015" t="s">
        <v>2903</v>
      </c>
      <c r="DA2015">
        <v>17.96</v>
      </c>
      <c r="DB2015">
        <v>3.99</v>
      </c>
      <c r="DC2015">
        <v>3.38</v>
      </c>
      <c r="DD2015">
        <v>0.21</v>
      </c>
      <c r="DE2015">
        <v>1697</v>
      </c>
      <c r="DF2015">
        <v>300626</v>
      </c>
      <c r="DG2015" t="s">
        <v>116</v>
      </c>
      <c r="DH2015" t="s">
        <v>116</v>
      </c>
      <c r="DI2015" t="s">
        <v>116</v>
      </c>
    </row>
    <row r="2016" spans="1:113" x14ac:dyDescent="0.4">
      <c r="A2016" t="str">
        <f>"300627"</f>
        <v>300627</v>
      </c>
      <c r="B2016" t="s">
        <v>9904</v>
      </c>
      <c r="C2016">
        <v>9.98</v>
      </c>
      <c r="D2016">
        <v>21.15</v>
      </c>
      <c r="E2016">
        <v>1.92</v>
      </c>
      <c r="F2016">
        <v>21.15</v>
      </c>
      <c r="G2016" t="s">
        <v>116</v>
      </c>
      <c r="H2016">
        <v>138708</v>
      </c>
      <c r="I2016">
        <v>1305</v>
      </c>
      <c r="J2016">
        <v>0</v>
      </c>
      <c r="K2016">
        <v>13.45</v>
      </c>
      <c r="L2016">
        <v>21</v>
      </c>
      <c r="M2016">
        <v>21.15</v>
      </c>
      <c r="N2016">
        <v>19.88</v>
      </c>
      <c r="O2016">
        <v>19.23</v>
      </c>
      <c r="P2016">
        <v>55.18</v>
      </c>
      <c r="Q2016">
        <v>291148032</v>
      </c>
      <c r="R2016">
        <v>5.1100000000000003</v>
      </c>
      <c r="S2016" t="s">
        <v>465</v>
      </c>
      <c r="T2016" t="s">
        <v>1653</v>
      </c>
      <c r="U2016">
        <v>6.6</v>
      </c>
      <c r="V2016">
        <v>20.99</v>
      </c>
      <c r="W2016">
        <v>98426</v>
      </c>
      <c r="X2016">
        <v>40282</v>
      </c>
      <c r="Y2016">
        <v>2.44</v>
      </c>
      <c r="Z2016">
        <v>3867</v>
      </c>
      <c r="AA2016">
        <v>0</v>
      </c>
      <c r="AB2016" t="s">
        <v>116</v>
      </c>
      <c r="AC2016">
        <v>9298800</v>
      </c>
      <c r="AD2016">
        <v>0.56000000000000005</v>
      </c>
      <c r="AE2016">
        <v>0.03</v>
      </c>
      <c r="AF2016">
        <v>8178705</v>
      </c>
      <c r="AG2016">
        <v>1.03</v>
      </c>
      <c r="AH2016" t="s">
        <v>6538</v>
      </c>
      <c r="AI2016" t="s">
        <v>9905</v>
      </c>
      <c r="AJ2016">
        <v>10.66</v>
      </c>
      <c r="AK2016">
        <v>2075</v>
      </c>
      <c r="AL2016">
        <v>67</v>
      </c>
      <c r="AM2016">
        <v>6.4999999999999997E-3</v>
      </c>
      <c r="AN2016">
        <v>2</v>
      </c>
      <c r="AO2016">
        <v>9.8000000000000007</v>
      </c>
      <c r="AP2016">
        <v>24.71</v>
      </c>
      <c r="AQ2016">
        <v>13.4</v>
      </c>
      <c r="AR2016">
        <v>24.12</v>
      </c>
      <c r="AS2016">
        <v>17.62</v>
      </c>
      <c r="AT2016" t="s">
        <v>4064</v>
      </c>
      <c r="AU2016">
        <v>47.03</v>
      </c>
      <c r="AV2016">
        <v>49.06</v>
      </c>
      <c r="AW2016">
        <v>0.85</v>
      </c>
      <c r="BA2016">
        <v>9.1999999999999993</v>
      </c>
      <c r="BB2016">
        <v>9.98</v>
      </c>
      <c r="BC2016">
        <v>3.38</v>
      </c>
      <c r="BD2016">
        <v>9.15</v>
      </c>
      <c r="BE2016">
        <v>0.71</v>
      </c>
      <c r="BF2016">
        <v>0</v>
      </c>
      <c r="BG2016">
        <v>6.39</v>
      </c>
      <c r="BH2016">
        <v>0.83</v>
      </c>
      <c r="BI2016">
        <v>20191028</v>
      </c>
      <c r="BJ2016">
        <v>20170321</v>
      </c>
      <c r="BK2016">
        <v>2.44</v>
      </c>
      <c r="BL2016" t="s">
        <v>116</v>
      </c>
      <c r="BM2016" t="s">
        <v>116</v>
      </c>
      <c r="BN2016">
        <v>13.38</v>
      </c>
      <c r="BO2016">
        <v>9.2200000000000006</v>
      </c>
      <c r="BP2016">
        <v>0.24</v>
      </c>
      <c r="BQ2016">
        <v>29.33</v>
      </c>
      <c r="BR2016">
        <v>11.13</v>
      </c>
      <c r="BS2016">
        <v>0.46</v>
      </c>
      <c r="BT2016">
        <v>1.01</v>
      </c>
      <c r="BU2016">
        <v>3.25</v>
      </c>
      <c r="BV2016">
        <v>1.68</v>
      </c>
      <c r="BW2016">
        <v>4.57</v>
      </c>
      <c r="BX2016">
        <v>3.54</v>
      </c>
      <c r="BY2016">
        <v>6.99</v>
      </c>
      <c r="BZ2016">
        <v>3.18</v>
      </c>
      <c r="CA2016">
        <v>0.77</v>
      </c>
      <c r="CB2016">
        <v>0.06</v>
      </c>
      <c r="CC2016">
        <v>0.78</v>
      </c>
      <c r="CD2016">
        <v>0.71</v>
      </c>
      <c r="CE2016">
        <v>0.7</v>
      </c>
      <c r="CF2016">
        <v>0.49</v>
      </c>
      <c r="CG2016">
        <v>3.25</v>
      </c>
      <c r="CH2016">
        <v>-0.84</v>
      </c>
      <c r="CI2016">
        <v>-1.87</v>
      </c>
      <c r="CJ2016">
        <v>17656</v>
      </c>
      <c r="CK2016">
        <v>4459</v>
      </c>
      <c r="CL2016" t="s">
        <v>4868</v>
      </c>
      <c r="CM2016">
        <v>6.93</v>
      </c>
      <c r="CN2016">
        <v>11.52</v>
      </c>
      <c r="CO2016">
        <v>5.59</v>
      </c>
      <c r="CP2016">
        <v>-61.63</v>
      </c>
      <c r="CQ2016">
        <v>7.38</v>
      </c>
      <c r="CR2016">
        <v>0.95</v>
      </c>
      <c r="CS2016" t="s">
        <v>1912</v>
      </c>
      <c r="CT2016">
        <v>3.78</v>
      </c>
      <c r="CU2016">
        <v>0</v>
      </c>
      <c r="CV2016">
        <v>1.45</v>
      </c>
      <c r="CW2016">
        <v>1.33</v>
      </c>
      <c r="CX2016">
        <v>-0.34</v>
      </c>
      <c r="CY2016">
        <v>68.91</v>
      </c>
      <c r="CZ2016" t="s">
        <v>2981</v>
      </c>
      <c r="DA2016">
        <v>54.46</v>
      </c>
      <c r="DB2016">
        <v>11.02</v>
      </c>
      <c r="DC2016">
        <v>10.029999999999999</v>
      </c>
      <c r="DD2016">
        <v>1.0900000000000001</v>
      </c>
      <c r="DE2016">
        <v>1405</v>
      </c>
      <c r="DF2016">
        <v>300627</v>
      </c>
      <c r="DG2016" t="s">
        <v>116</v>
      </c>
      <c r="DH2016" t="s">
        <v>116</v>
      </c>
      <c r="DI2016" t="s">
        <v>116</v>
      </c>
    </row>
    <row r="2017" spans="1:113" x14ac:dyDescent="0.4">
      <c r="A2017" t="str">
        <f>"300628"</f>
        <v>300628</v>
      </c>
      <c r="B2017" t="s">
        <v>9906</v>
      </c>
      <c r="C2017">
        <v>-1.08</v>
      </c>
      <c r="D2017">
        <v>73.180000000000007</v>
      </c>
      <c r="E2017">
        <v>-0.8</v>
      </c>
      <c r="F2017">
        <v>73.17</v>
      </c>
      <c r="G2017">
        <v>73.180000000000007</v>
      </c>
      <c r="H2017">
        <v>24627</v>
      </c>
      <c r="I2017">
        <v>208</v>
      </c>
      <c r="J2017">
        <v>0.04</v>
      </c>
      <c r="K2017">
        <v>2.48</v>
      </c>
      <c r="L2017">
        <v>73.59</v>
      </c>
      <c r="M2017">
        <v>74.849999999999994</v>
      </c>
      <c r="N2017">
        <v>73.069999999999993</v>
      </c>
      <c r="O2017">
        <v>73.98</v>
      </c>
      <c r="P2017">
        <v>33.479999999999997</v>
      </c>
      <c r="Q2017">
        <v>182326032</v>
      </c>
      <c r="R2017">
        <v>1.1399999999999999</v>
      </c>
      <c r="S2017" t="s">
        <v>465</v>
      </c>
      <c r="T2017" t="s">
        <v>975</v>
      </c>
      <c r="U2017">
        <v>2.41</v>
      </c>
      <c r="V2017">
        <v>74.040000000000006</v>
      </c>
      <c r="W2017">
        <v>13989</v>
      </c>
      <c r="X2017">
        <v>10638</v>
      </c>
      <c r="Y2017">
        <v>1.32</v>
      </c>
      <c r="Z2017">
        <v>7</v>
      </c>
      <c r="AA2017">
        <v>36</v>
      </c>
      <c r="AB2017" t="s">
        <v>116</v>
      </c>
      <c r="AC2017">
        <v>353200</v>
      </c>
      <c r="AD2017">
        <v>0</v>
      </c>
      <c r="AE2017" t="s">
        <v>116</v>
      </c>
      <c r="AF2017" t="s">
        <v>116</v>
      </c>
      <c r="AG2017">
        <v>0.99</v>
      </c>
      <c r="AH2017" t="s">
        <v>9907</v>
      </c>
      <c r="AI2017" t="s">
        <v>9908</v>
      </c>
      <c r="AJ2017">
        <v>-0.4</v>
      </c>
      <c r="AK2017">
        <v>2615</v>
      </c>
      <c r="AL2017">
        <v>9</v>
      </c>
      <c r="AM2017">
        <v>8.9999999999999998E-4</v>
      </c>
      <c r="AN2017">
        <v>-1</v>
      </c>
      <c r="AO2017">
        <v>1.46</v>
      </c>
      <c r="AP2017">
        <v>5.86</v>
      </c>
      <c r="AQ2017">
        <v>18.899999999999999</v>
      </c>
      <c r="AR2017">
        <v>91.42</v>
      </c>
      <c r="AS2017">
        <v>2.48</v>
      </c>
      <c r="AT2017" t="s">
        <v>9907</v>
      </c>
      <c r="AU2017">
        <v>37.47</v>
      </c>
      <c r="AV2017">
        <v>51.52</v>
      </c>
      <c r="AW2017">
        <v>1.1399999999999999</v>
      </c>
      <c r="BA2017">
        <v>-0.53</v>
      </c>
      <c r="BB2017">
        <v>1.18</v>
      </c>
      <c r="BC2017">
        <v>-1.23</v>
      </c>
      <c r="BD2017">
        <v>0.08</v>
      </c>
      <c r="BE2017">
        <v>-0.56000000000000005</v>
      </c>
      <c r="BF2017">
        <v>-2.23</v>
      </c>
      <c r="BG2017">
        <v>0.15</v>
      </c>
      <c r="BH2017">
        <v>-1.1599999999999999</v>
      </c>
      <c r="BI2017">
        <v>20191224</v>
      </c>
      <c r="BJ2017">
        <v>20170317</v>
      </c>
      <c r="BK2017">
        <v>5.99</v>
      </c>
      <c r="BL2017" t="s">
        <v>116</v>
      </c>
      <c r="BM2017" t="s">
        <v>116</v>
      </c>
      <c r="BN2017">
        <v>44.59</v>
      </c>
      <c r="BO2017">
        <v>41.23</v>
      </c>
      <c r="BP2017">
        <v>0</v>
      </c>
      <c r="BQ2017">
        <v>7.55</v>
      </c>
      <c r="BR2017">
        <v>42.76</v>
      </c>
      <c r="BS2017">
        <v>0.94</v>
      </c>
      <c r="BT2017">
        <v>0.36</v>
      </c>
      <c r="BU2017">
        <v>3.36</v>
      </c>
      <c r="BV2017">
        <v>2.2200000000000002</v>
      </c>
      <c r="BW2017">
        <v>4.5599999999999996</v>
      </c>
      <c r="BX2017">
        <v>11.06</v>
      </c>
      <c r="BY2017">
        <v>18.559999999999999</v>
      </c>
      <c r="BZ2017">
        <v>6.37</v>
      </c>
      <c r="CA2017">
        <v>10.77</v>
      </c>
      <c r="CB2017">
        <v>0.97</v>
      </c>
      <c r="CC2017">
        <v>10.77</v>
      </c>
      <c r="CD2017">
        <v>9.83</v>
      </c>
      <c r="CE2017">
        <v>9.83</v>
      </c>
      <c r="CF2017">
        <v>8.91</v>
      </c>
      <c r="CG2017">
        <v>22.94</v>
      </c>
      <c r="CH2017">
        <v>7.68</v>
      </c>
      <c r="CI2017">
        <v>0.16</v>
      </c>
      <c r="CJ2017">
        <v>18297</v>
      </c>
      <c r="CK2017">
        <v>5430</v>
      </c>
      <c r="CL2017" t="s">
        <v>9909</v>
      </c>
      <c r="CM2017">
        <v>48.11</v>
      </c>
      <c r="CN2017">
        <v>40.69</v>
      </c>
      <c r="CO2017">
        <v>10.63</v>
      </c>
      <c r="CP2017">
        <v>57.13</v>
      </c>
      <c r="CQ2017">
        <v>23.64</v>
      </c>
      <c r="CR2017">
        <v>0.82</v>
      </c>
      <c r="CS2017" t="s">
        <v>9910</v>
      </c>
      <c r="CT2017">
        <v>6.88</v>
      </c>
      <c r="CU2017">
        <v>6.88</v>
      </c>
      <c r="CV2017">
        <v>1.84</v>
      </c>
      <c r="CW2017">
        <v>3.83</v>
      </c>
      <c r="CX2017">
        <v>1.28</v>
      </c>
      <c r="CY2017">
        <v>92.45</v>
      </c>
      <c r="CZ2017" t="s">
        <v>9911</v>
      </c>
      <c r="DA2017">
        <v>65.69</v>
      </c>
      <c r="DB2017">
        <v>58.05</v>
      </c>
      <c r="DC2017">
        <v>52.96</v>
      </c>
      <c r="DD2017">
        <v>1.02</v>
      </c>
      <c r="DE2017">
        <v>842</v>
      </c>
      <c r="DF2017">
        <v>300628</v>
      </c>
      <c r="DG2017" t="s">
        <v>116</v>
      </c>
      <c r="DH2017" t="s">
        <v>116</v>
      </c>
      <c r="DI2017" t="s">
        <v>116</v>
      </c>
    </row>
    <row r="2018" spans="1:113" x14ac:dyDescent="0.4">
      <c r="A2018" t="str">
        <f>"300629"</f>
        <v>300629</v>
      </c>
      <c r="B2018" t="s">
        <v>9912</v>
      </c>
      <c r="C2018">
        <v>-5.4</v>
      </c>
      <c r="D2018">
        <v>17.52</v>
      </c>
      <c r="E2018">
        <v>-1</v>
      </c>
      <c r="F2018">
        <v>17.510000000000002</v>
      </c>
      <c r="G2018">
        <v>17.52</v>
      </c>
      <c r="H2018">
        <v>32812</v>
      </c>
      <c r="I2018">
        <v>809</v>
      </c>
      <c r="J2018">
        <v>0.06</v>
      </c>
      <c r="K2018">
        <v>7.54</v>
      </c>
      <c r="L2018">
        <v>18.29</v>
      </c>
      <c r="M2018">
        <v>18.5</v>
      </c>
      <c r="N2018">
        <v>17.37</v>
      </c>
      <c r="O2018">
        <v>18.52</v>
      </c>
      <c r="P2018" t="s">
        <v>116</v>
      </c>
      <c r="Q2018">
        <v>59103492</v>
      </c>
      <c r="R2018">
        <v>0.78</v>
      </c>
      <c r="S2018" t="s">
        <v>933</v>
      </c>
      <c r="T2018" t="s">
        <v>551</v>
      </c>
      <c r="U2018">
        <v>6.1</v>
      </c>
      <c r="V2018">
        <v>18.010000000000002</v>
      </c>
      <c r="W2018">
        <v>20256</v>
      </c>
      <c r="X2018">
        <v>12556</v>
      </c>
      <c r="Y2018">
        <v>1.61</v>
      </c>
      <c r="Z2018">
        <v>69</v>
      </c>
      <c r="AA2018">
        <v>274</v>
      </c>
      <c r="AB2018" t="s">
        <v>116</v>
      </c>
      <c r="AC2018">
        <v>58500</v>
      </c>
      <c r="AD2018">
        <v>0.01</v>
      </c>
      <c r="AE2018" t="s">
        <v>116</v>
      </c>
      <c r="AF2018" t="s">
        <v>116</v>
      </c>
      <c r="AG2018">
        <v>0.44</v>
      </c>
      <c r="AH2018" t="s">
        <v>6439</v>
      </c>
      <c r="AI2018" t="s">
        <v>1874</v>
      </c>
      <c r="AJ2018">
        <v>-4.72</v>
      </c>
      <c r="AK2018">
        <v>1658</v>
      </c>
      <c r="AL2018">
        <v>20</v>
      </c>
      <c r="AM2018">
        <v>4.4999999999999997E-3</v>
      </c>
      <c r="AN2018">
        <v>-2</v>
      </c>
      <c r="AO2018">
        <v>-6.7</v>
      </c>
      <c r="AP2018">
        <v>10.82</v>
      </c>
      <c r="AQ2018">
        <v>-9.69</v>
      </c>
      <c r="AR2018">
        <v>13.91</v>
      </c>
      <c r="AS2018">
        <v>8.74</v>
      </c>
      <c r="AT2018" t="s">
        <v>9913</v>
      </c>
      <c r="AU2018" t="s">
        <v>116</v>
      </c>
      <c r="AV2018">
        <v>259.42</v>
      </c>
      <c r="AW2018">
        <v>0.52</v>
      </c>
      <c r="BA2018">
        <v>-1.24</v>
      </c>
      <c r="BB2018">
        <v>-0.11</v>
      </c>
      <c r="BC2018">
        <v>-6.21</v>
      </c>
      <c r="BD2018">
        <v>-2.74</v>
      </c>
      <c r="BE2018">
        <v>-4.21</v>
      </c>
      <c r="BF2018">
        <v>-5.3</v>
      </c>
      <c r="BG2018">
        <v>0.86</v>
      </c>
      <c r="BH2018">
        <v>-2.66</v>
      </c>
      <c r="BI2018">
        <v>20191226</v>
      </c>
      <c r="BJ2018">
        <v>20170324</v>
      </c>
      <c r="BK2018">
        <v>1.21</v>
      </c>
      <c r="BL2018" t="s">
        <v>116</v>
      </c>
      <c r="BM2018" t="s">
        <v>116</v>
      </c>
      <c r="BN2018">
        <v>11.73</v>
      </c>
      <c r="BO2018">
        <v>6.63</v>
      </c>
      <c r="BP2018">
        <v>0</v>
      </c>
      <c r="BQ2018">
        <v>43.51</v>
      </c>
      <c r="BR2018">
        <v>5.51</v>
      </c>
      <c r="BS2018">
        <v>1.1399999999999999</v>
      </c>
      <c r="BT2018">
        <v>0.35</v>
      </c>
      <c r="BU2018">
        <v>2.87</v>
      </c>
      <c r="BV2018">
        <v>1.47</v>
      </c>
      <c r="BW2018">
        <v>2.56</v>
      </c>
      <c r="BX2018">
        <v>4.17</v>
      </c>
      <c r="BY2018">
        <v>1.1499999999999999</v>
      </c>
      <c r="BZ2018">
        <v>0.84</v>
      </c>
      <c r="CA2018">
        <v>-0.13</v>
      </c>
      <c r="CB2018">
        <v>0</v>
      </c>
      <c r="CC2018">
        <v>-0.13</v>
      </c>
      <c r="CD2018">
        <v>-0.12</v>
      </c>
      <c r="CE2018">
        <v>-0.12</v>
      </c>
      <c r="CF2018">
        <v>-0.14000000000000001</v>
      </c>
      <c r="CG2018">
        <v>1.1000000000000001</v>
      </c>
      <c r="CH2018">
        <v>0.1</v>
      </c>
      <c r="CI2018">
        <v>-0.11</v>
      </c>
      <c r="CJ2018">
        <v>7722</v>
      </c>
      <c r="CK2018">
        <v>4861</v>
      </c>
      <c r="CL2018" t="s">
        <v>9264</v>
      </c>
      <c r="CM2018">
        <v>-202.38</v>
      </c>
      <c r="CN2018">
        <v>-31.56</v>
      </c>
      <c r="CO2018">
        <v>3.21</v>
      </c>
      <c r="CP2018">
        <v>221.37</v>
      </c>
      <c r="CQ2018">
        <v>18.53</v>
      </c>
      <c r="CR2018">
        <v>0.05</v>
      </c>
      <c r="CS2018" t="s">
        <v>2384</v>
      </c>
      <c r="CT2018">
        <v>5.47</v>
      </c>
      <c r="CU2018">
        <v>0</v>
      </c>
      <c r="CV2018">
        <v>3.44</v>
      </c>
      <c r="CW2018">
        <v>0.91</v>
      </c>
      <c r="CX2018">
        <v>0.08</v>
      </c>
      <c r="CY2018">
        <v>56.49</v>
      </c>
      <c r="CZ2018" t="s">
        <v>2831</v>
      </c>
      <c r="DA2018">
        <v>26.46</v>
      </c>
      <c r="DB2018">
        <v>-11.67</v>
      </c>
      <c r="DC2018">
        <v>-10.79</v>
      </c>
      <c r="DD2018">
        <v>0.1</v>
      </c>
      <c r="DE2018">
        <v>342</v>
      </c>
      <c r="DF2018">
        <v>300629</v>
      </c>
      <c r="DG2018" t="s">
        <v>116</v>
      </c>
      <c r="DH2018" t="s">
        <v>116</v>
      </c>
      <c r="DI2018" t="s">
        <v>116</v>
      </c>
    </row>
    <row r="2019" spans="1:113" x14ac:dyDescent="0.4">
      <c r="A2019" t="str">
        <f>"300630"</f>
        <v>300630</v>
      </c>
      <c r="B2019" t="s">
        <v>9914</v>
      </c>
      <c r="C2019">
        <v>-0.56999999999999995</v>
      </c>
      <c r="D2019">
        <v>55.87</v>
      </c>
      <c r="E2019">
        <v>-0.32</v>
      </c>
      <c r="F2019">
        <v>55.77</v>
      </c>
      <c r="G2019">
        <v>55.87</v>
      </c>
      <c r="H2019">
        <v>15428</v>
      </c>
      <c r="I2019">
        <v>83</v>
      </c>
      <c r="J2019">
        <v>-0.04</v>
      </c>
      <c r="K2019">
        <v>1.04</v>
      </c>
      <c r="L2019">
        <v>56.6</v>
      </c>
      <c r="M2019">
        <v>56.6</v>
      </c>
      <c r="N2019">
        <v>55.53</v>
      </c>
      <c r="O2019">
        <v>56.19</v>
      </c>
      <c r="P2019">
        <v>55.88</v>
      </c>
      <c r="Q2019">
        <v>86334592</v>
      </c>
      <c r="R2019">
        <v>1</v>
      </c>
      <c r="S2019" t="s">
        <v>574</v>
      </c>
      <c r="T2019" t="s">
        <v>851</v>
      </c>
      <c r="U2019">
        <v>1.9</v>
      </c>
      <c r="V2019">
        <v>55.96</v>
      </c>
      <c r="W2019">
        <v>7484</v>
      </c>
      <c r="X2019">
        <v>7944</v>
      </c>
      <c r="Y2019">
        <v>0.94</v>
      </c>
      <c r="Z2019">
        <v>2</v>
      </c>
      <c r="AA2019">
        <v>0</v>
      </c>
      <c r="AB2019" t="s">
        <v>116</v>
      </c>
      <c r="AC2019">
        <v>288700</v>
      </c>
      <c r="AD2019">
        <v>0</v>
      </c>
      <c r="AE2019" t="s">
        <v>116</v>
      </c>
      <c r="AF2019" t="s">
        <v>116</v>
      </c>
      <c r="AG2019">
        <v>1.48</v>
      </c>
      <c r="AH2019" t="s">
        <v>9915</v>
      </c>
      <c r="AI2019" t="s">
        <v>9916</v>
      </c>
      <c r="AJ2019">
        <v>0.11</v>
      </c>
      <c r="AK2019">
        <v>1686</v>
      </c>
      <c r="AL2019">
        <v>9</v>
      </c>
      <c r="AM2019">
        <v>5.9999999999999995E-4</v>
      </c>
      <c r="AN2019">
        <v>-1</v>
      </c>
      <c r="AO2019">
        <v>-1.47</v>
      </c>
      <c r="AP2019">
        <v>-9.58</v>
      </c>
      <c r="AQ2019">
        <v>9.44</v>
      </c>
      <c r="AR2019">
        <v>91.12</v>
      </c>
      <c r="AS2019">
        <v>1.27</v>
      </c>
      <c r="AT2019" t="s">
        <v>9917</v>
      </c>
      <c r="AU2019">
        <v>57.65</v>
      </c>
      <c r="AV2019">
        <v>84.61</v>
      </c>
      <c r="AW2019">
        <v>1.23</v>
      </c>
      <c r="BA2019">
        <v>0.73</v>
      </c>
      <c r="BB2019">
        <v>0.73</v>
      </c>
      <c r="BC2019">
        <v>-1.17</v>
      </c>
      <c r="BD2019">
        <v>-0.41</v>
      </c>
      <c r="BE2019">
        <v>-1.29</v>
      </c>
      <c r="BF2019">
        <v>-1.29</v>
      </c>
      <c r="BG2019">
        <v>0.61</v>
      </c>
      <c r="BH2019">
        <v>-0.16</v>
      </c>
      <c r="BI2019">
        <v>20191025</v>
      </c>
      <c r="BJ2019">
        <v>20170328</v>
      </c>
      <c r="BK2019">
        <v>2.75</v>
      </c>
      <c r="BL2019" t="s">
        <v>116</v>
      </c>
      <c r="BM2019" t="s">
        <v>116</v>
      </c>
      <c r="BN2019">
        <v>14.19</v>
      </c>
      <c r="BO2019">
        <v>10.51</v>
      </c>
      <c r="BP2019">
        <v>0</v>
      </c>
      <c r="BQ2019">
        <v>25.96</v>
      </c>
      <c r="BR2019">
        <v>4.72</v>
      </c>
      <c r="BS2019">
        <v>3.2</v>
      </c>
      <c r="BT2019">
        <v>0.87</v>
      </c>
      <c r="BU2019">
        <v>3.08</v>
      </c>
      <c r="BV2019">
        <v>0.98</v>
      </c>
      <c r="BW2019">
        <v>2.2400000000000002</v>
      </c>
      <c r="BX2019">
        <v>2.35</v>
      </c>
      <c r="BY2019">
        <v>6.09</v>
      </c>
      <c r="BZ2019">
        <v>1.05</v>
      </c>
      <c r="CA2019">
        <v>2.16</v>
      </c>
      <c r="CB2019">
        <v>0</v>
      </c>
      <c r="CC2019">
        <v>2.16</v>
      </c>
      <c r="CD2019">
        <v>2.06</v>
      </c>
      <c r="CE2019">
        <v>2.06</v>
      </c>
      <c r="CF2019">
        <v>1.99</v>
      </c>
      <c r="CG2019">
        <v>4.92</v>
      </c>
      <c r="CH2019">
        <v>0.74</v>
      </c>
      <c r="CI2019">
        <v>-1.1299999999999999</v>
      </c>
      <c r="CJ2019">
        <v>8758</v>
      </c>
      <c r="CK2019">
        <v>13904</v>
      </c>
      <c r="CL2019" t="s">
        <v>9918</v>
      </c>
      <c r="CM2019">
        <v>70.05</v>
      </c>
      <c r="CN2019">
        <v>51.31</v>
      </c>
      <c r="CO2019">
        <v>14.61</v>
      </c>
      <c r="CP2019">
        <v>207.37</v>
      </c>
      <c r="CQ2019">
        <v>25.23</v>
      </c>
      <c r="CR2019">
        <v>0.25</v>
      </c>
      <c r="CS2019" t="s">
        <v>5125</v>
      </c>
      <c r="CT2019">
        <v>3.82</v>
      </c>
      <c r="CU2019">
        <v>0</v>
      </c>
      <c r="CV2019">
        <v>0.85</v>
      </c>
      <c r="CW2019">
        <v>1.79</v>
      </c>
      <c r="CX2019">
        <v>0.27</v>
      </c>
      <c r="CY2019">
        <v>74.040000000000006</v>
      </c>
      <c r="CZ2019" t="s">
        <v>9919</v>
      </c>
      <c r="DA2019">
        <v>82.68</v>
      </c>
      <c r="DB2019">
        <v>35.44</v>
      </c>
      <c r="DC2019">
        <v>33.86</v>
      </c>
      <c r="DD2019">
        <v>1.1299999999999999</v>
      </c>
      <c r="DE2019">
        <v>554</v>
      </c>
      <c r="DF2019">
        <v>300630</v>
      </c>
      <c r="DG2019" t="s">
        <v>116</v>
      </c>
      <c r="DH2019" t="s">
        <v>116</v>
      </c>
      <c r="DI2019" t="s">
        <v>116</v>
      </c>
    </row>
    <row r="2020" spans="1:113" x14ac:dyDescent="0.4">
      <c r="A2020" t="str">
        <f>"300631"</f>
        <v>300631</v>
      </c>
      <c r="B2020" t="s">
        <v>9920</v>
      </c>
      <c r="C2020">
        <v>0</v>
      </c>
      <c r="D2020">
        <v>16.829999999999998</v>
      </c>
      <c r="E2020">
        <v>0</v>
      </c>
      <c r="F2020">
        <v>16.829999999999998</v>
      </c>
      <c r="G2020">
        <v>16.84</v>
      </c>
      <c r="H2020">
        <v>12566</v>
      </c>
      <c r="I2020">
        <v>243</v>
      </c>
      <c r="J2020">
        <v>0</v>
      </c>
      <c r="K2020">
        <v>1.79</v>
      </c>
      <c r="L2020">
        <v>16.91</v>
      </c>
      <c r="M2020">
        <v>17.11</v>
      </c>
      <c r="N2020">
        <v>16.760000000000002</v>
      </c>
      <c r="O2020">
        <v>16.829999999999998</v>
      </c>
      <c r="P2020">
        <v>41.31</v>
      </c>
      <c r="Q2020">
        <v>21247132</v>
      </c>
      <c r="R2020">
        <v>0.62</v>
      </c>
      <c r="S2020" t="s">
        <v>140</v>
      </c>
      <c r="T2020" t="s">
        <v>323</v>
      </c>
      <c r="U2020">
        <v>2.08</v>
      </c>
      <c r="V2020">
        <v>16.91</v>
      </c>
      <c r="W2020">
        <v>6495</v>
      </c>
      <c r="X2020">
        <v>6071</v>
      </c>
      <c r="Y2020">
        <v>1.07</v>
      </c>
      <c r="Z2020">
        <v>1</v>
      </c>
      <c r="AA2020">
        <v>8</v>
      </c>
      <c r="AB2020" t="s">
        <v>116</v>
      </c>
      <c r="AC2020">
        <v>30400</v>
      </c>
      <c r="AD2020">
        <v>0</v>
      </c>
      <c r="AE2020" t="s">
        <v>116</v>
      </c>
      <c r="AF2020" t="s">
        <v>116</v>
      </c>
      <c r="AG2020">
        <v>0.7</v>
      </c>
      <c r="AH2020" t="s">
        <v>8982</v>
      </c>
      <c r="AI2020" t="s">
        <v>9588</v>
      </c>
      <c r="AJ2020">
        <v>0.68</v>
      </c>
      <c r="AK2020">
        <v>796</v>
      </c>
      <c r="AL2020">
        <v>16</v>
      </c>
      <c r="AM2020">
        <v>2.2000000000000001E-3</v>
      </c>
      <c r="AN2020">
        <v>0</v>
      </c>
      <c r="AO2020">
        <v>-0.53</v>
      </c>
      <c r="AP2020">
        <v>9.7100000000000009</v>
      </c>
      <c r="AQ2020">
        <v>-1.98</v>
      </c>
      <c r="AR2020">
        <v>13.72</v>
      </c>
      <c r="AS2020">
        <v>2</v>
      </c>
      <c r="AT2020" t="s">
        <v>6761</v>
      </c>
      <c r="AU2020">
        <v>31.78</v>
      </c>
      <c r="AV2020">
        <v>32.29</v>
      </c>
      <c r="AW2020">
        <v>0.99</v>
      </c>
      <c r="BA2020">
        <v>0.48</v>
      </c>
      <c r="BB2020">
        <v>1.66</v>
      </c>
      <c r="BC2020">
        <v>-0.42</v>
      </c>
      <c r="BD2020">
        <v>0.47</v>
      </c>
      <c r="BE2020">
        <v>-0.47</v>
      </c>
      <c r="BF2020">
        <v>-1.64</v>
      </c>
      <c r="BG2020">
        <v>0.42</v>
      </c>
      <c r="BH2020">
        <v>-0.47</v>
      </c>
      <c r="BI2020">
        <v>20191210</v>
      </c>
      <c r="BJ2020">
        <v>20170323</v>
      </c>
      <c r="BK2020">
        <v>1.06</v>
      </c>
      <c r="BL2020" t="s">
        <v>116</v>
      </c>
      <c r="BM2020" t="s">
        <v>116</v>
      </c>
      <c r="BN2020">
        <v>12.24</v>
      </c>
      <c r="BO2020">
        <v>6.49</v>
      </c>
      <c r="BP2020">
        <v>0.1</v>
      </c>
      <c r="BQ2020">
        <v>46.1</v>
      </c>
      <c r="BR2020">
        <v>8.73</v>
      </c>
      <c r="BS2020">
        <v>1.1399999999999999</v>
      </c>
      <c r="BT2020">
        <v>0.53</v>
      </c>
      <c r="BU2020">
        <v>5.31</v>
      </c>
      <c r="BV2020">
        <v>1.62</v>
      </c>
      <c r="BW2020">
        <v>2.88</v>
      </c>
      <c r="BX2020">
        <v>1.75</v>
      </c>
      <c r="BY2020">
        <v>2.91</v>
      </c>
      <c r="BZ2020">
        <v>1.69</v>
      </c>
      <c r="CA2020">
        <v>0.42</v>
      </c>
      <c r="CB2020">
        <v>0.01</v>
      </c>
      <c r="CC2020">
        <v>0.42</v>
      </c>
      <c r="CD2020">
        <v>0.37</v>
      </c>
      <c r="CE2020">
        <v>0.32</v>
      </c>
      <c r="CF2020">
        <v>0.27</v>
      </c>
      <c r="CG2020">
        <v>3.6</v>
      </c>
      <c r="CH2020">
        <v>0.15</v>
      </c>
      <c r="CI2020">
        <v>1.61</v>
      </c>
      <c r="CJ2020">
        <v>10535</v>
      </c>
      <c r="CK2020">
        <v>5963</v>
      </c>
      <c r="CL2020" t="s">
        <v>5110</v>
      </c>
      <c r="CM2020">
        <v>2.84</v>
      </c>
      <c r="CN2020">
        <v>7.73</v>
      </c>
      <c r="CO2020">
        <v>2.74</v>
      </c>
      <c r="CP2020">
        <v>118.91</v>
      </c>
      <c r="CQ2020">
        <v>6.11</v>
      </c>
      <c r="CR2020">
        <v>0.89</v>
      </c>
      <c r="CS2020" t="s">
        <v>9921</v>
      </c>
      <c r="CT2020">
        <v>6.15</v>
      </c>
      <c r="CU2020">
        <v>0</v>
      </c>
      <c r="CV2020">
        <v>1.66</v>
      </c>
      <c r="CW2020">
        <v>3.41</v>
      </c>
      <c r="CX2020">
        <v>0.14000000000000001</v>
      </c>
      <c r="CY2020">
        <v>53.07</v>
      </c>
      <c r="CZ2020" t="s">
        <v>9486</v>
      </c>
      <c r="DA2020">
        <v>41.79</v>
      </c>
      <c r="DB2020">
        <v>14.62</v>
      </c>
      <c r="DC2020">
        <v>11.09</v>
      </c>
      <c r="DD2020">
        <v>0.15</v>
      </c>
      <c r="DE2020">
        <v>363</v>
      </c>
      <c r="DF2020">
        <v>300631</v>
      </c>
      <c r="DG2020" t="s">
        <v>116</v>
      </c>
      <c r="DH2020" t="s">
        <v>116</v>
      </c>
      <c r="DI2020" t="s">
        <v>116</v>
      </c>
    </row>
    <row r="2021" spans="1:113" x14ac:dyDescent="0.4">
      <c r="A2021" t="str">
        <f>"300632"</f>
        <v>300632</v>
      </c>
      <c r="B2021" t="s">
        <v>9922</v>
      </c>
      <c r="C2021">
        <v>-2.94</v>
      </c>
      <c r="D2021">
        <v>23.76</v>
      </c>
      <c r="E2021">
        <v>-0.72</v>
      </c>
      <c r="F2021">
        <v>23.75</v>
      </c>
      <c r="G2021">
        <v>23.76</v>
      </c>
      <c r="H2021">
        <v>52020</v>
      </c>
      <c r="I2021">
        <v>980</v>
      </c>
      <c r="J2021">
        <v>-0.37</v>
      </c>
      <c r="K2021">
        <v>9</v>
      </c>
      <c r="L2021">
        <v>24.4</v>
      </c>
      <c r="M2021">
        <v>24.45</v>
      </c>
      <c r="N2021">
        <v>23.7</v>
      </c>
      <c r="O2021">
        <v>24.48</v>
      </c>
      <c r="P2021">
        <v>23.46</v>
      </c>
      <c r="Q2021">
        <v>125165880</v>
      </c>
      <c r="R2021">
        <v>0.8</v>
      </c>
      <c r="S2021" t="s">
        <v>3507</v>
      </c>
      <c r="T2021" t="s">
        <v>975</v>
      </c>
      <c r="U2021">
        <v>3.06</v>
      </c>
      <c r="V2021">
        <v>24.06</v>
      </c>
      <c r="W2021">
        <v>31028</v>
      </c>
      <c r="X2021">
        <v>20992</v>
      </c>
      <c r="Y2021">
        <v>1.48</v>
      </c>
      <c r="Z2021">
        <v>29</v>
      </c>
      <c r="AA2021">
        <v>30</v>
      </c>
      <c r="AB2021" t="s">
        <v>116</v>
      </c>
      <c r="AC2021">
        <v>1237100</v>
      </c>
      <c r="AD2021">
        <v>0.09</v>
      </c>
      <c r="AE2021" t="s">
        <v>116</v>
      </c>
      <c r="AF2021" t="s">
        <v>116</v>
      </c>
      <c r="AG2021">
        <v>0.57999999999999996</v>
      </c>
      <c r="AH2021" t="s">
        <v>8249</v>
      </c>
      <c r="AI2021" t="s">
        <v>1173</v>
      </c>
      <c r="AJ2021">
        <v>-2.2599999999999998</v>
      </c>
      <c r="AK2021">
        <v>2644</v>
      </c>
      <c r="AL2021">
        <v>20</v>
      </c>
      <c r="AM2021">
        <v>3.3999999999999998E-3</v>
      </c>
      <c r="AN2021">
        <v>-1</v>
      </c>
      <c r="AO2021">
        <v>-2.54</v>
      </c>
      <c r="AP2021">
        <v>-2.1</v>
      </c>
      <c r="AQ2021">
        <v>19.940000000000001</v>
      </c>
      <c r="AR2021">
        <v>100.41</v>
      </c>
      <c r="AS2021">
        <v>9</v>
      </c>
      <c r="AT2021" t="s">
        <v>8249</v>
      </c>
      <c r="AU2021">
        <v>23.35</v>
      </c>
      <c r="AV2021">
        <v>36.67</v>
      </c>
      <c r="AW2021">
        <v>1.0900000000000001</v>
      </c>
      <c r="BA2021">
        <v>-0.33</v>
      </c>
      <c r="BB2021">
        <v>-0.12</v>
      </c>
      <c r="BC2021">
        <v>-3.19</v>
      </c>
      <c r="BD2021">
        <v>-1.71</v>
      </c>
      <c r="BE2021">
        <v>-2.62</v>
      </c>
      <c r="BF2021">
        <v>-2.82</v>
      </c>
      <c r="BG2021">
        <v>0.25</v>
      </c>
      <c r="BH2021">
        <v>-1.23</v>
      </c>
      <c r="BI2021">
        <v>20191223</v>
      </c>
      <c r="BJ2021">
        <v>20170406</v>
      </c>
      <c r="BK2021">
        <v>1.83</v>
      </c>
      <c r="BL2021" t="s">
        <v>116</v>
      </c>
      <c r="BM2021" t="s">
        <v>116</v>
      </c>
      <c r="BN2021">
        <v>12.68</v>
      </c>
      <c r="BO2021">
        <v>7.55</v>
      </c>
      <c r="BP2021">
        <v>7.0000000000000007E-2</v>
      </c>
      <c r="BQ2021">
        <v>39.94</v>
      </c>
      <c r="BR2021">
        <v>9.9700000000000006</v>
      </c>
      <c r="BS2021">
        <v>1.87</v>
      </c>
      <c r="BT2021">
        <v>0.13</v>
      </c>
      <c r="BU2021">
        <v>5.04</v>
      </c>
      <c r="BV2021">
        <v>0.74</v>
      </c>
      <c r="BW2021">
        <v>3.06</v>
      </c>
      <c r="BX2021">
        <v>1.42</v>
      </c>
      <c r="BY2021">
        <v>7.45</v>
      </c>
      <c r="BZ2021">
        <v>4.74</v>
      </c>
      <c r="CA2021">
        <v>1.67</v>
      </c>
      <c r="CB2021">
        <v>-0.03</v>
      </c>
      <c r="CC2021">
        <v>1.67</v>
      </c>
      <c r="CD2021">
        <v>1.41</v>
      </c>
      <c r="CE2021">
        <v>1.39</v>
      </c>
      <c r="CF2021">
        <v>1.28</v>
      </c>
      <c r="CG2021">
        <v>4.3</v>
      </c>
      <c r="CH2021">
        <v>1.24</v>
      </c>
      <c r="CI2021">
        <v>0.16</v>
      </c>
      <c r="CJ2021">
        <v>18162</v>
      </c>
      <c r="CK2021">
        <v>3184</v>
      </c>
      <c r="CL2021" t="s">
        <v>9923</v>
      </c>
      <c r="CM2021">
        <v>94.89</v>
      </c>
      <c r="CN2021">
        <v>49.86</v>
      </c>
      <c r="CO2021">
        <v>5.76</v>
      </c>
      <c r="CP2021">
        <v>35.19</v>
      </c>
      <c r="CQ2021">
        <v>5.84</v>
      </c>
      <c r="CR2021">
        <v>0.17</v>
      </c>
      <c r="CS2021" t="s">
        <v>9924</v>
      </c>
      <c r="CT2021">
        <v>4.13</v>
      </c>
      <c r="CU2021">
        <v>0</v>
      </c>
      <c r="CV2021">
        <v>0.78</v>
      </c>
      <c r="CW2021">
        <v>2.35</v>
      </c>
      <c r="CX2021">
        <v>0.68</v>
      </c>
      <c r="CY2021">
        <v>59.52</v>
      </c>
      <c r="CZ2021" t="s">
        <v>9925</v>
      </c>
      <c r="DA2021">
        <v>36.28</v>
      </c>
      <c r="DB2021">
        <v>22.38</v>
      </c>
      <c r="DC2021">
        <v>18.66</v>
      </c>
      <c r="DD2021">
        <v>0.32</v>
      </c>
      <c r="DE2021">
        <v>1224</v>
      </c>
      <c r="DF2021">
        <v>300632</v>
      </c>
      <c r="DG2021" t="s">
        <v>116</v>
      </c>
      <c r="DH2021" t="s">
        <v>116</v>
      </c>
      <c r="DI2021" t="s">
        <v>116</v>
      </c>
    </row>
    <row r="2022" spans="1:113" x14ac:dyDescent="0.4">
      <c r="A2022" t="str">
        <f>"300633"</f>
        <v>300633</v>
      </c>
      <c r="B2022" t="s">
        <v>9926</v>
      </c>
      <c r="C2022">
        <v>0.04</v>
      </c>
      <c r="D2022">
        <v>23.61</v>
      </c>
      <c r="E2022">
        <v>0.01</v>
      </c>
      <c r="F2022">
        <v>23.6</v>
      </c>
      <c r="G2022">
        <v>23.61</v>
      </c>
      <c r="H2022">
        <v>14783</v>
      </c>
      <c r="I2022">
        <v>142</v>
      </c>
      <c r="J2022">
        <v>0</v>
      </c>
      <c r="K2022">
        <v>0.75</v>
      </c>
      <c r="L2022">
        <v>23.62</v>
      </c>
      <c r="M2022">
        <v>23.98</v>
      </c>
      <c r="N2022">
        <v>23.11</v>
      </c>
      <c r="O2022">
        <v>23.6</v>
      </c>
      <c r="P2022">
        <v>113.08</v>
      </c>
      <c r="Q2022">
        <v>34812916</v>
      </c>
      <c r="R2022">
        <v>0.92</v>
      </c>
      <c r="S2022" t="s">
        <v>559</v>
      </c>
      <c r="T2022" t="s">
        <v>115</v>
      </c>
      <c r="U2022">
        <v>3.69</v>
      </c>
      <c r="V2022">
        <v>23.55</v>
      </c>
      <c r="W2022">
        <v>7567</v>
      </c>
      <c r="X2022">
        <v>7216</v>
      </c>
      <c r="Y2022">
        <v>1.05</v>
      </c>
      <c r="Z2022">
        <v>1</v>
      </c>
      <c r="AA2022">
        <v>33</v>
      </c>
      <c r="AB2022" t="s">
        <v>116</v>
      </c>
      <c r="AC2022">
        <v>118100</v>
      </c>
      <c r="AD2022">
        <v>0</v>
      </c>
      <c r="AE2022" t="s">
        <v>116</v>
      </c>
      <c r="AF2022" t="s">
        <v>116</v>
      </c>
      <c r="AG2022">
        <v>1.97</v>
      </c>
      <c r="AH2022" t="s">
        <v>7596</v>
      </c>
      <c r="AI2022" t="s">
        <v>9927</v>
      </c>
      <c r="AJ2022">
        <v>0.72</v>
      </c>
      <c r="AK2022">
        <v>1363</v>
      </c>
      <c r="AL2022">
        <v>11</v>
      </c>
      <c r="AM2022">
        <v>5.9999999999999995E-4</v>
      </c>
      <c r="AN2022">
        <v>4</v>
      </c>
      <c r="AO2022">
        <v>1.32</v>
      </c>
      <c r="AP2022">
        <v>12.91</v>
      </c>
      <c r="AQ2022">
        <v>-8.1300000000000008</v>
      </c>
      <c r="AR2022">
        <v>-14.1</v>
      </c>
      <c r="AS2022">
        <v>1.07</v>
      </c>
      <c r="AT2022" t="s">
        <v>4762</v>
      </c>
      <c r="AU2022">
        <v>65.73</v>
      </c>
      <c r="AV2022">
        <v>37.92</v>
      </c>
      <c r="AW2022">
        <v>1.1599999999999999</v>
      </c>
      <c r="BA2022">
        <v>0.08</v>
      </c>
      <c r="BB2022">
        <v>1.61</v>
      </c>
      <c r="BC2022">
        <v>-2.08</v>
      </c>
      <c r="BD2022">
        <v>-0.22</v>
      </c>
      <c r="BE2022">
        <v>-0.04</v>
      </c>
      <c r="BF2022">
        <v>-1.54</v>
      </c>
      <c r="BG2022">
        <v>2.16</v>
      </c>
      <c r="BH2022">
        <v>0.26</v>
      </c>
      <c r="BI2022">
        <v>20191223</v>
      </c>
      <c r="BJ2022">
        <v>20170406</v>
      </c>
      <c r="BK2022">
        <v>4.0599999999999996</v>
      </c>
      <c r="BL2022" t="s">
        <v>116</v>
      </c>
      <c r="BM2022" t="s">
        <v>116</v>
      </c>
      <c r="BN2022">
        <v>22.43</v>
      </c>
      <c r="BO2022">
        <v>13.65</v>
      </c>
      <c r="BP2022">
        <v>0</v>
      </c>
      <c r="BQ2022">
        <v>39.14</v>
      </c>
      <c r="BR2022">
        <v>14.23</v>
      </c>
      <c r="BS2022">
        <v>0.66</v>
      </c>
      <c r="BT2022">
        <v>0.67</v>
      </c>
      <c r="BU2022">
        <v>6.11</v>
      </c>
      <c r="BV2022">
        <v>3.19</v>
      </c>
      <c r="BW2022">
        <v>3.03</v>
      </c>
      <c r="BX2022">
        <v>3.07</v>
      </c>
      <c r="BY2022">
        <v>7.9</v>
      </c>
      <c r="BZ2022">
        <v>2.71</v>
      </c>
      <c r="CA2022">
        <v>0.73</v>
      </c>
      <c r="CB2022">
        <v>0.08</v>
      </c>
      <c r="CC2022">
        <v>0.74</v>
      </c>
      <c r="CD2022">
        <v>0.64</v>
      </c>
      <c r="CE2022">
        <v>0.64</v>
      </c>
      <c r="CF2022">
        <v>0.37</v>
      </c>
      <c r="CG2022">
        <v>6.3</v>
      </c>
      <c r="CH2022">
        <v>0.27</v>
      </c>
      <c r="CI2022">
        <v>-0.28000000000000003</v>
      </c>
      <c r="CJ2022">
        <v>9635</v>
      </c>
      <c r="CK2022">
        <v>14405</v>
      </c>
      <c r="CL2022" t="s">
        <v>9928</v>
      </c>
      <c r="CM2022">
        <v>-62.71</v>
      </c>
      <c r="CN2022">
        <v>-0.38</v>
      </c>
      <c r="CO2022">
        <v>7.02</v>
      </c>
      <c r="CP2022">
        <v>350.17</v>
      </c>
      <c r="CQ2022">
        <v>12.13</v>
      </c>
      <c r="CR2022">
        <v>0.27</v>
      </c>
      <c r="CS2022" t="s">
        <v>3137</v>
      </c>
      <c r="CT2022">
        <v>3.36</v>
      </c>
      <c r="CU2022">
        <v>0</v>
      </c>
      <c r="CV2022">
        <v>0.76</v>
      </c>
      <c r="CW2022">
        <v>1.55</v>
      </c>
      <c r="CX2022">
        <v>7.0000000000000007E-2</v>
      </c>
      <c r="CY2022">
        <v>60.86</v>
      </c>
      <c r="CZ2022" t="s">
        <v>5340</v>
      </c>
      <c r="DA2022">
        <v>65.709999999999994</v>
      </c>
      <c r="DB2022">
        <v>9.24</v>
      </c>
      <c r="DC2022">
        <v>8.0500000000000007</v>
      </c>
      <c r="DD2022">
        <v>1.73</v>
      </c>
      <c r="DE2022">
        <v>2140</v>
      </c>
      <c r="DF2022">
        <v>300633</v>
      </c>
      <c r="DG2022" t="s">
        <v>116</v>
      </c>
      <c r="DH2022" t="s">
        <v>116</v>
      </c>
      <c r="DI2022" t="s">
        <v>116</v>
      </c>
    </row>
    <row r="2023" spans="1:113" x14ac:dyDescent="0.4">
      <c r="A2023" t="str">
        <f>"300634"</f>
        <v>300634</v>
      </c>
      <c r="B2023" t="s">
        <v>9929</v>
      </c>
      <c r="C2023">
        <v>-1.23</v>
      </c>
      <c r="D2023">
        <v>17.62</v>
      </c>
      <c r="E2023">
        <v>-0.22</v>
      </c>
      <c r="F2023">
        <v>17.62</v>
      </c>
      <c r="G2023">
        <v>17.64</v>
      </c>
      <c r="H2023">
        <v>18731</v>
      </c>
      <c r="I2023">
        <v>253</v>
      </c>
      <c r="J2023">
        <v>0</v>
      </c>
      <c r="K2023">
        <v>0.93</v>
      </c>
      <c r="L2023">
        <v>17.78</v>
      </c>
      <c r="M2023">
        <v>17.97</v>
      </c>
      <c r="N2023">
        <v>17.559999999999999</v>
      </c>
      <c r="O2023">
        <v>17.84</v>
      </c>
      <c r="P2023">
        <v>59.05</v>
      </c>
      <c r="Q2023">
        <v>33328990</v>
      </c>
      <c r="R2023">
        <v>0.95</v>
      </c>
      <c r="S2023" t="s">
        <v>607</v>
      </c>
      <c r="T2023" t="s">
        <v>115</v>
      </c>
      <c r="U2023">
        <v>2.2999999999999998</v>
      </c>
      <c r="V2023">
        <v>17.79</v>
      </c>
      <c r="W2023">
        <v>11459</v>
      </c>
      <c r="X2023">
        <v>7272</v>
      </c>
      <c r="Y2023">
        <v>1.58</v>
      </c>
      <c r="Z2023">
        <v>199</v>
      </c>
      <c r="AA2023">
        <v>20</v>
      </c>
      <c r="AB2023" t="s">
        <v>116</v>
      </c>
      <c r="AC2023">
        <v>28600</v>
      </c>
      <c r="AD2023">
        <v>0</v>
      </c>
      <c r="AE2023" t="s">
        <v>116</v>
      </c>
      <c r="AF2023" t="s">
        <v>116</v>
      </c>
      <c r="AG2023">
        <v>2.0099999999999998</v>
      </c>
      <c r="AH2023" t="s">
        <v>5534</v>
      </c>
      <c r="AI2023" t="s">
        <v>2094</v>
      </c>
      <c r="AJ2023">
        <v>-0.55000000000000004</v>
      </c>
      <c r="AK2023">
        <v>1720</v>
      </c>
      <c r="AL2023">
        <v>11</v>
      </c>
      <c r="AM2023">
        <v>5.0000000000000001E-4</v>
      </c>
      <c r="AN2023">
        <v>-1</v>
      </c>
      <c r="AO2023">
        <v>0.98</v>
      </c>
      <c r="AP2023">
        <v>6.14</v>
      </c>
      <c r="AQ2023">
        <v>-10.42</v>
      </c>
      <c r="AR2023">
        <v>-25.94</v>
      </c>
      <c r="AS2023">
        <v>2.76</v>
      </c>
      <c r="AT2023" t="s">
        <v>7966</v>
      </c>
      <c r="AU2023">
        <v>42.52</v>
      </c>
      <c r="AV2023">
        <v>44.45</v>
      </c>
      <c r="AW2023">
        <v>1.76</v>
      </c>
      <c r="BA2023">
        <v>-0.34</v>
      </c>
      <c r="BB2023">
        <v>0.73</v>
      </c>
      <c r="BC2023">
        <v>-1.57</v>
      </c>
      <c r="BD2023">
        <v>-0.26</v>
      </c>
      <c r="BE2023">
        <v>-0.9</v>
      </c>
      <c r="BF2023">
        <v>-1.95</v>
      </c>
      <c r="BG2023">
        <v>0.34</v>
      </c>
      <c r="BH2023">
        <v>-0.97</v>
      </c>
      <c r="BI2023">
        <v>20191128</v>
      </c>
      <c r="BJ2023">
        <v>20180323</v>
      </c>
      <c r="BK2023">
        <v>4</v>
      </c>
      <c r="BL2023" t="s">
        <v>116</v>
      </c>
      <c r="BM2023" t="s">
        <v>116</v>
      </c>
      <c r="BN2023">
        <v>16.46</v>
      </c>
      <c r="BO2023">
        <v>12.91</v>
      </c>
      <c r="BP2023">
        <v>0.46</v>
      </c>
      <c r="BQ2023">
        <v>18.78</v>
      </c>
      <c r="BR2023">
        <v>10</v>
      </c>
      <c r="BS2023">
        <v>2.23</v>
      </c>
      <c r="BT2023">
        <v>0.17</v>
      </c>
      <c r="BU2023">
        <v>2.27</v>
      </c>
      <c r="BV2023">
        <v>0.45</v>
      </c>
      <c r="BW2023">
        <v>3.89</v>
      </c>
      <c r="BX2023">
        <v>4.6900000000000004</v>
      </c>
      <c r="BY2023">
        <v>4.97</v>
      </c>
      <c r="BZ2023">
        <v>2.73</v>
      </c>
      <c r="CA2023">
        <v>0.98</v>
      </c>
      <c r="CB2023">
        <v>0.16</v>
      </c>
      <c r="CC2023">
        <v>1.04</v>
      </c>
      <c r="CD2023">
        <v>0.93</v>
      </c>
      <c r="CE2023">
        <v>0.9</v>
      </c>
      <c r="CF2023">
        <v>0.71</v>
      </c>
      <c r="CG2023">
        <v>3.97</v>
      </c>
      <c r="CH2023">
        <v>-0.06</v>
      </c>
      <c r="CI2023">
        <v>-4.8899999999999997</v>
      </c>
      <c r="CJ2023">
        <v>17703</v>
      </c>
      <c r="CK2023">
        <v>3831</v>
      </c>
      <c r="CL2023" t="s">
        <v>9451</v>
      </c>
      <c r="CM2023">
        <v>8.7799999999999994</v>
      </c>
      <c r="CN2023">
        <v>-2.13</v>
      </c>
      <c r="CO2023">
        <v>5.46</v>
      </c>
      <c r="CP2023">
        <v>-1162.72</v>
      </c>
      <c r="CQ2023">
        <v>14.2</v>
      </c>
      <c r="CR2023">
        <v>0.45</v>
      </c>
      <c r="CS2023" t="s">
        <v>6486</v>
      </c>
      <c r="CT2023">
        <v>3.23</v>
      </c>
      <c r="CU2023">
        <v>0</v>
      </c>
      <c r="CV2023">
        <v>1.17</v>
      </c>
      <c r="CW2023">
        <v>0.99</v>
      </c>
      <c r="CX2023">
        <v>-0.02</v>
      </c>
      <c r="CY2023">
        <v>78.430000000000007</v>
      </c>
      <c r="CZ2023" t="s">
        <v>3792</v>
      </c>
      <c r="DA2023">
        <v>45.1</v>
      </c>
      <c r="DB2023">
        <v>19.649999999999999</v>
      </c>
      <c r="DC2023">
        <v>18.03</v>
      </c>
      <c r="DD2023">
        <v>0.79</v>
      </c>
      <c r="DE2023">
        <v>1761</v>
      </c>
      <c r="DF2023">
        <v>300634</v>
      </c>
      <c r="DG2023" t="s">
        <v>116</v>
      </c>
      <c r="DH2023" t="s">
        <v>116</v>
      </c>
      <c r="DI2023" t="s">
        <v>116</v>
      </c>
    </row>
    <row r="2024" spans="1:113" x14ac:dyDescent="0.4">
      <c r="A2024" t="str">
        <f>"300635"</f>
        <v>300635</v>
      </c>
      <c r="B2024" t="s">
        <v>9930</v>
      </c>
      <c r="C2024">
        <v>-0.76</v>
      </c>
      <c r="D2024">
        <v>15.63</v>
      </c>
      <c r="E2024">
        <v>-0.12</v>
      </c>
      <c r="F2024">
        <v>15.61</v>
      </c>
      <c r="G2024">
        <v>15.63</v>
      </c>
      <c r="H2024">
        <v>9509</v>
      </c>
      <c r="I2024">
        <v>273</v>
      </c>
      <c r="J2024">
        <v>0</v>
      </c>
      <c r="K2024">
        <v>1.6</v>
      </c>
      <c r="L2024">
        <v>15.73</v>
      </c>
      <c r="M2024">
        <v>15.81</v>
      </c>
      <c r="N2024">
        <v>15.61</v>
      </c>
      <c r="O2024">
        <v>15.75</v>
      </c>
      <c r="P2024">
        <v>38.380000000000003</v>
      </c>
      <c r="Q2024">
        <v>14940612</v>
      </c>
      <c r="R2024">
        <v>0.86</v>
      </c>
      <c r="S2024" t="s">
        <v>181</v>
      </c>
      <c r="T2024" t="s">
        <v>551</v>
      </c>
      <c r="U2024">
        <v>1.27</v>
      </c>
      <c r="V2024">
        <v>15.71</v>
      </c>
      <c r="W2024">
        <v>5943</v>
      </c>
      <c r="X2024">
        <v>3566</v>
      </c>
      <c r="Y2024">
        <v>1.67</v>
      </c>
      <c r="Z2024">
        <v>17</v>
      </c>
      <c r="AA2024">
        <v>193</v>
      </c>
      <c r="AB2024" t="s">
        <v>116</v>
      </c>
      <c r="AC2024">
        <v>25200</v>
      </c>
      <c r="AD2024">
        <v>0</v>
      </c>
      <c r="AE2024" t="s">
        <v>116</v>
      </c>
      <c r="AF2024" t="s">
        <v>116</v>
      </c>
      <c r="AG2024">
        <v>0.59</v>
      </c>
      <c r="AH2024" t="s">
        <v>4081</v>
      </c>
      <c r="AI2024" t="s">
        <v>1699</v>
      </c>
      <c r="AJ2024">
        <v>-0.08</v>
      </c>
      <c r="AK2024">
        <v>813</v>
      </c>
      <c r="AL2024">
        <v>12</v>
      </c>
      <c r="AM2024">
        <v>2E-3</v>
      </c>
      <c r="AN2024">
        <v>-1</v>
      </c>
      <c r="AO2024">
        <v>0.32</v>
      </c>
      <c r="AP2024">
        <v>1.96</v>
      </c>
      <c r="AQ2024">
        <v>-6.69</v>
      </c>
      <c r="AR2024">
        <v>-18.16</v>
      </c>
      <c r="AS2024">
        <v>1.97</v>
      </c>
      <c r="AT2024" t="s">
        <v>6629</v>
      </c>
      <c r="AU2024">
        <v>38.130000000000003</v>
      </c>
      <c r="AV2024">
        <v>38.79</v>
      </c>
      <c r="AW2024">
        <v>1.26</v>
      </c>
      <c r="BA2024">
        <v>-0.13</v>
      </c>
      <c r="BB2024">
        <v>0.38</v>
      </c>
      <c r="BC2024">
        <v>-0.89</v>
      </c>
      <c r="BD2024">
        <v>-0.24</v>
      </c>
      <c r="BE2024">
        <v>-0.64</v>
      </c>
      <c r="BF2024">
        <v>-1.1399999999999999</v>
      </c>
      <c r="BG2024">
        <v>0.13</v>
      </c>
      <c r="BH2024">
        <v>-0.53</v>
      </c>
      <c r="BI2024">
        <v>20191224</v>
      </c>
      <c r="BJ2024">
        <v>20170331</v>
      </c>
      <c r="BK2024">
        <v>1.36</v>
      </c>
      <c r="BL2024" t="s">
        <v>116</v>
      </c>
      <c r="BM2024" t="s">
        <v>116</v>
      </c>
      <c r="BN2024">
        <v>11.71</v>
      </c>
      <c r="BO2024">
        <v>6.3</v>
      </c>
      <c r="BP2024">
        <v>0.3</v>
      </c>
      <c r="BQ2024">
        <v>43.69</v>
      </c>
      <c r="BR2024">
        <v>8.43</v>
      </c>
      <c r="BS2024">
        <v>0.42</v>
      </c>
      <c r="BT2024">
        <v>0.02</v>
      </c>
      <c r="BU2024">
        <v>3.87</v>
      </c>
      <c r="BV2024">
        <v>0</v>
      </c>
      <c r="BW2024">
        <v>6.85</v>
      </c>
      <c r="BX2024">
        <v>1.72</v>
      </c>
      <c r="BY2024">
        <v>3.7</v>
      </c>
      <c r="BZ2024">
        <v>2.37</v>
      </c>
      <c r="CA2024">
        <v>0.6</v>
      </c>
      <c r="CB2024">
        <v>0</v>
      </c>
      <c r="CC2024">
        <v>0.6</v>
      </c>
      <c r="CD2024">
        <v>0.47</v>
      </c>
      <c r="CE2024">
        <v>0.42</v>
      </c>
      <c r="CF2024">
        <v>0.41</v>
      </c>
      <c r="CG2024">
        <v>2.93</v>
      </c>
      <c r="CH2024">
        <v>-0.06</v>
      </c>
      <c r="CI2024">
        <v>-1.24</v>
      </c>
      <c r="CJ2024">
        <v>9760</v>
      </c>
      <c r="CK2024">
        <v>4947</v>
      </c>
      <c r="CL2024" t="s">
        <v>2411</v>
      </c>
      <c r="CM2024">
        <v>2.34</v>
      </c>
      <c r="CN2024">
        <v>7.39</v>
      </c>
      <c r="CO2024">
        <v>3.39</v>
      </c>
      <c r="CP2024">
        <v>-341.26</v>
      </c>
      <c r="CQ2024">
        <v>5.76</v>
      </c>
      <c r="CR2024">
        <v>0.26</v>
      </c>
      <c r="CS2024" t="s">
        <v>1996</v>
      </c>
      <c r="CT2024">
        <v>4.62</v>
      </c>
      <c r="CU2024">
        <v>0</v>
      </c>
      <c r="CV2024">
        <v>1.26</v>
      </c>
      <c r="CW2024">
        <v>2.15</v>
      </c>
      <c r="CX2024">
        <v>-0.05</v>
      </c>
      <c r="CY2024">
        <v>53.75</v>
      </c>
      <c r="CZ2024" t="s">
        <v>9931</v>
      </c>
      <c r="DA2024">
        <v>35.89</v>
      </c>
      <c r="DB2024">
        <v>16.34</v>
      </c>
      <c r="DC2024">
        <v>11.26</v>
      </c>
      <c r="DD2024">
        <v>0.23</v>
      </c>
      <c r="DE2024">
        <v>2778</v>
      </c>
      <c r="DF2024">
        <v>300635</v>
      </c>
      <c r="DG2024" t="s">
        <v>116</v>
      </c>
      <c r="DH2024" t="s">
        <v>116</v>
      </c>
      <c r="DI2024" t="s">
        <v>116</v>
      </c>
    </row>
    <row r="2025" spans="1:113" x14ac:dyDescent="0.4">
      <c r="A2025" t="str">
        <f>"300636"</f>
        <v>300636</v>
      </c>
      <c r="B2025" t="s">
        <v>9932</v>
      </c>
      <c r="C2025">
        <v>0.32</v>
      </c>
      <c r="D2025">
        <v>27.86</v>
      </c>
      <c r="E2025">
        <v>0.09</v>
      </c>
      <c r="F2025">
        <v>27.86</v>
      </c>
      <c r="G2025">
        <v>27.88</v>
      </c>
      <c r="H2025">
        <v>7475</v>
      </c>
      <c r="I2025">
        <v>50</v>
      </c>
      <c r="J2025">
        <v>-0.13</v>
      </c>
      <c r="K2025">
        <v>1.59</v>
      </c>
      <c r="L2025">
        <v>27.98</v>
      </c>
      <c r="M2025">
        <v>28.17</v>
      </c>
      <c r="N2025">
        <v>27.41</v>
      </c>
      <c r="O2025">
        <v>27.77</v>
      </c>
      <c r="P2025">
        <v>40.39</v>
      </c>
      <c r="Q2025">
        <v>20772938</v>
      </c>
      <c r="R2025">
        <v>0.71</v>
      </c>
      <c r="S2025" t="s">
        <v>574</v>
      </c>
      <c r="T2025" t="s">
        <v>683</v>
      </c>
      <c r="U2025">
        <v>2.74</v>
      </c>
      <c r="V2025">
        <v>27.79</v>
      </c>
      <c r="W2025">
        <v>3702</v>
      </c>
      <c r="X2025">
        <v>3773</v>
      </c>
      <c r="Y2025">
        <v>0.98</v>
      </c>
      <c r="Z2025">
        <v>39</v>
      </c>
      <c r="AA2025">
        <v>19</v>
      </c>
      <c r="AB2025" t="s">
        <v>116</v>
      </c>
      <c r="AC2025">
        <v>53200</v>
      </c>
      <c r="AD2025">
        <v>0.01</v>
      </c>
      <c r="AE2025" t="s">
        <v>116</v>
      </c>
      <c r="AF2025" t="s">
        <v>116</v>
      </c>
      <c r="AG2025">
        <v>0.47</v>
      </c>
      <c r="AH2025" t="s">
        <v>9933</v>
      </c>
      <c r="AI2025" t="s">
        <v>9934</v>
      </c>
      <c r="AJ2025">
        <v>1</v>
      </c>
      <c r="AK2025">
        <v>1085</v>
      </c>
      <c r="AL2025">
        <v>7</v>
      </c>
      <c r="AM2025">
        <v>1.5E-3</v>
      </c>
      <c r="AN2025">
        <v>4</v>
      </c>
      <c r="AO2025">
        <v>2.5</v>
      </c>
      <c r="AP2025">
        <v>13.95</v>
      </c>
      <c r="AQ2025">
        <v>27.8</v>
      </c>
      <c r="AR2025">
        <v>56.62</v>
      </c>
      <c r="AS2025">
        <v>2.35</v>
      </c>
      <c r="AT2025" t="s">
        <v>9935</v>
      </c>
      <c r="AU2025">
        <v>56.11</v>
      </c>
      <c r="AV2025">
        <v>91.94</v>
      </c>
      <c r="AW2025">
        <v>0.82</v>
      </c>
      <c r="BA2025">
        <v>0.76</v>
      </c>
      <c r="BB2025">
        <v>1.44</v>
      </c>
      <c r="BC2025">
        <v>-1.3</v>
      </c>
      <c r="BD2025">
        <v>7.0000000000000007E-2</v>
      </c>
      <c r="BE2025">
        <v>-0.43</v>
      </c>
      <c r="BF2025">
        <v>-1.1000000000000001</v>
      </c>
      <c r="BG2025">
        <v>1.64</v>
      </c>
      <c r="BH2025">
        <v>0.25</v>
      </c>
      <c r="BI2025">
        <v>20191125</v>
      </c>
      <c r="BJ2025">
        <v>20170331</v>
      </c>
      <c r="BK2025">
        <v>0.81</v>
      </c>
      <c r="BL2025" t="s">
        <v>116</v>
      </c>
      <c r="BM2025" t="s">
        <v>116</v>
      </c>
      <c r="BN2025">
        <v>9.36</v>
      </c>
      <c r="BO2025">
        <v>6.99</v>
      </c>
      <c r="BP2025">
        <v>0</v>
      </c>
      <c r="BQ2025">
        <v>25.36</v>
      </c>
      <c r="BR2025">
        <v>3.32</v>
      </c>
      <c r="BS2025">
        <v>4.1900000000000004</v>
      </c>
      <c r="BT2025">
        <v>0.22</v>
      </c>
      <c r="BU2025">
        <v>1.72</v>
      </c>
      <c r="BV2025">
        <v>2.56</v>
      </c>
      <c r="BW2025">
        <v>0.24</v>
      </c>
      <c r="BX2025">
        <v>3.9</v>
      </c>
      <c r="BY2025">
        <v>2.81</v>
      </c>
      <c r="BZ2025">
        <v>1.95</v>
      </c>
      <c r="CA2025">
        <v>0.47</v>
      </c>
      <c r="CB2025">
        <v>0</v>
      </c>
      <c r="CC2025">
        <v>0.47</v>
      </c>
      <c r="CD2025">
        <v>0.42</v>
      </c>
      <c r="CE2025">
        <v>0.42</v>
      </c>
      <c r="CF2025">
        <v>0.39</v>
      </c>
      <c r="CG2025">
        <v>2.23</v>
      </c>
      <c r="CH2025">
        <v>-0.11</v>
      </c>
      <c r="CI2025">
        <v>-0.28000000000000003</v>
      </c>
      <c r="CJ2025">
        <v>9002</v>
      </c>
      <c r="CK2025">
        <v>3533</v>
      </c>
      <c r="CL2025" t="s">
        <v>9936</v>
      </c>
      <c r="CM2025">
        <v>59.75</v>
      </c>
      <c r="CN2025">
        <v>50.09</v>
      </c>
      <c r="CO2025">
        <v>3.23</v>
      </c>
      <c r="CP2025">
        <v>-212.22</v>
      </c>
      <c r="CQ2025">
        <v>8.02</v>
      </c>
      <c r="CR2025">
        <v>0.15</v>
      </c>
      <c r="CS2025" t="s">
        <v>9937</v>
      </c>
      <c r="CT2025">
        <v>8.6300000000000008</v>
      </c>
      <c r="CU2025">
        <v>0</v>
      </c>
      <c r="CV2025">
        <v>4.82</v>
      </c>
      <c r="CW2025">
        <v>2.75</v>
      </c>
      <c r="CX2025">
        <v>-0.13</v>
      </c>
      <c r="CY2025">
        <v>74.64</v>
      </c>
      <c r="CZ2025" t="s">
        <v>9938</v>
      </c>
      <c r="DA2025">
        <v>30.53</v>
      </c>
      <c r="DB2025">
        <v>16.57</v>
      </c>
      <c r="DC2025">
        <v>14.89</v>
      </c>
      <c r="DD2025">
        <v>0.19</v>
      </c>
      <c r="DE2025">
        <v>739</v>
      </c>
      <c r="DF2025">
        <v>300636</v>
      </c>
      <c r="DG2025" t="s">
        <v>116</v>
      </c>
      <c r="DH2025" t="s">
        <v>116</v>
      </c>
      <c r="DI2025" t="s">
        <v>116</v>
      </c>
    </row>
    <row r="2026" spans="1:113" x14ac:dyDescent="0.4">
      <c r="A2026" t="str">
        <f>"300637"</f>
        <v>300637</v>
      </c>
      <c r="B2026" t="s">
        <v>9939</v>
      </c>
      <c r="C2026">
        <v>-1.67</v>
      </c>
      <c r="D2026">
        <v>12.39</v>
      </c>
      <c r="E2026">
        <v>-0.21</v>
      </c>
      <c r="F2026">
        <v>12.39</v>
      </c>
      <c r="G2026">
        <v>12.41</v>
      </c>
      <c r="H2026">
        <v>36051</v>
      </c>
      <c r="I2026">
        <v>727</v>
      </c>
      <c r="J2026">
        <v>-0.31</v>
      </c>
      <c r="K2026">
        <v>2.86</v>
      </c>
      <c r="L2026">
        <v>12.63</v>
      </c>
      <c r="M2026">
        <v>12.7</v>
      </c>
      <c r="N2026">
        <v>12.36</v>
      </c>
      <c r="O2026">
        <v>12.6</v>
      </c>
      <c r="P2026">
        <v>23.34</v>
      </c>
      <c r="Q2026">
        <v>45025856</v>
      </c>
      <c r="R2026">
        <v>0.94</v>
      </c>
      <c r="S2026" t="s">
        <v>891</v>
      </c>
      <c r="T2026" t="s">
        <v>590</v>
      </c>
      <c r="U2026">
        <v>2.7</v>
      </c>
      <c r="V2026">
        <v>12.49</v>
      </c>
      <c r="W2026">
        <v>19829</v>
      </c>
      <c r="X2026">
        <v>16222</v>
      </c>
      <c r="Y2026">
        <v>1.22</v>
      </c>
      <c r="Z2026">
        <v>82</v>
      </c>
      <c r="AA2026">
        <v>125</v>
      </c>
      <c r="AB2026" t="s">
        <v>116</v>
      </c>
      <c r="AC2026">
        <v>358700</v>
      </c>
      <c r="AD2026">
        <v>0.02</v>
      </c>
      <c r="AE2026" t="s">
        <v>116</v>
      </c>
      <c r="AF2026" t="s">
        <v>116</v>
      </c>
      <c r="AG2026">
        <v>1.26</v>
      </c>
      <c r="AH2026" t="s">
        <v>9940</v>
      </c>
      <c r="AI2026" t="s">
        <v>4030</v>
      </c>
      <c r="AJ2026">
        <v>-0.99</v>
      </c>
      <c r="AK2026">
        <v>1585</v>
      </c>
      <c r="AL2026">
        <v>23</v>
      </c>
      <c r="AM2026">
        <v>1.8E-3</v>
      </c>
      <c r="AN2026">
        <v>-1</v>
      </c>
      <c r="AO2026">
        <v>5.09</v>
      </c>
      <c r="AP2026">
        <v>4.21</v>
      </c>
      <c r="AQ2026">
        <v>-5.2</v>
      </c>
      <c r="AR2026">
        <v>-3.24</v>
      </c>
      <c r="AS2026">
        <v>2.86</v>
      </c>
      <c r="AT2026" t="s">
        <v>9940</v>
      </c>
      <c r="AU2026">
        <v>23.51</v>
      </c>
      <c r="AV2026">
        <v>21.16</v>
      </c>
      <c r="AW2026">
        <v>1.03</v>
      </c>
      <c r="BA2026">
        <v>0.24</v>
      </c>
      <c r="BB2026">
        <v>0.79</v>
      </c>
      <c r="BC2026">
        <v>-1.9</v>
      </c>
      <c r="BD2026">
        <v>-0.88</v>
      </c>
      <c r="BE2026">
        <v>-1.9</v>
      </c>
      <c r="BF2026">
        <v>-2.44</v>
      </c>
      <c r="BG2026">
        <v>0.24</v>
      </c>
      <c r="BH2026">
        <v>-0.79</v>
      </c>
      <c r="BI2026">
        <v>20191202</v>
      </c>
      <c r="BJ2026">
        <v>20170412</v>
      </c>
      <c r="BK2026">
        <v>2.35</v>
      </c>
      <c r="BL2026" t="s">
        <v>116</v>
      </c>
      <c r="BM2026" t="s">
        <v>116</v>
      </c>
      <c r="BN2026">
        <v>9.26</v>
      </c>
      <c r="BO2026">
        <v>7.61</v>
      </c>
      <c r="BP2026">
        <v>0</v>
      </c>
      <c r="BQ2026">
        <v>17.78</v>
      </c>
      <c r="BR2026">
        <v>2.58</v>
      </c>
      <c r="BS2026">
        <v>1.93</v>
      </c>
      <c r="BT2026">
        <v>0.37</v>
      </c>
      <c r="BU2026">
        <v>1.61</v>
      </c>
      <c r="BV2026">
        <v>1.26</v>
      </c>
      <c r="BW2026">
        <v>0.36</v>
      </c>
      <c r="BX2026">
        <v>2.35</v>
      </c>
      <c r="BY2026">
        <v>4.05</v>
      </c>
      <c r="BZ2026">
        <v>2.2999999999999998</v>
      </c>
      <c r="CA2026">
        <v>1.08</v>
      </c>
      <c r="CB2026">
        <v>0.03</v>
      </c>
      <c r="CC2026">
        <v>1.0900000000000001</v>
      </c>
      <c r="CD2026">
        <v>0.93</v>
      </c>
      <c r="CE2026">
        <v>0.93</v>
      </c>
      <c r="CF2026">
        <v>0.9</v>
      </c>
      <c r="CG2026">
        <v>2.79</v>
      </c>
      <c r="CH2026">
        <v>0.53</v>
      </c>
      <c r="CI2026">
        <v>-0.87</v>
      </c>
      <c r="CJ2026">
        <v>13716</v>
      </c>
      <c r="CK2026">
        <v>9190</v>
      </c>
      <c r="CL2026" t="s">
        <v>8517</v>
      </c>
      <c r="CM2026">
        <v>-12.82</v>
      </c>
      <c r="CN2026">
        <v>2.96</v>
      </c>
      <c r="CO2026">
        <v>3.82</v>
      </c>
      <c r="CP2026">
        <v>54.46</v>
      </c>
      <c r="CQ2026">
        <v>7.18</v>
      </c>
      <c r="CR2026">
        <v>1.27</v>
      </c>
      <c r="CS2026" t="s">
        <v>9941</v>
      </c>
      <c r="CT2026">
        <v>3.24</v>
      </c>
      <c r="CU2026">
        <v>0</v>
      </c>
      <c r="CV2026">
        <v>1</v>
      </c>
      <c r="CW2026">
        <v>1.19</v>
      </c>
      <c r="CX2026">
        <v>0.23</v>
      </c>
      <c r="CY2026">
        <v>82.22</v>
      </c>
      <c r="CZ2026" t="s">
        <v>9942</v>
      </c>
      <c r="DA2026">
        <v>43.19</v>
      </c>
      <c r="DB2026">
        <v>26.64</v>
      </c>
      <c r="DC2026">
        <v>23.06</v>
      </c>
      <c r="DD2026">
        <v>0.2</v>
      </c>
      <c r="DE2026">
        <v>709</v>
      </c>
      <c r="DF2026">
        <v>300637</v>
      </c>
      <c r="DG2026" t="s">
        <v>116</v>
      </c>
      <c r="DH2026" t="s">
        <v>116</v>
      </c>
      <c r="DI2026" t="s">
        <v>116</v>
      </c>
    </row>
    <row r="2027" spans="1:113" x14ac:dyDescent="0.4">
      <c r="A2027" t="str">
        <f>"300638"</f>
        <v>300638</v>
      </c>
      <c r="B2027" t="s">
        <v>9943</v>
      </c>
      <c r="C2027">
        <v>-2.17</v>
      </c>
      <c r="D2027">
        <v>62.67</v>
      </c>
      <c r="E2027">
        <v>-1.39</v>
      </c>
      <c r="F2027">
        <v>62.67</v>
      </c>
      <c r="G2027">
        <v>62.68</v>
      </c>
      <c r="H2027">
        <v>23122</v>
      </c>
      <c r="I2027">
        <v>152</v>
      </c>
      <c r="J2027">
        <v>0.16</v>
      </c>
      <c r="K2027">
        <v>5.71</v>
      </c>
      <c r="L2027">
        <v>64.05</v>
      </c>
      <c r="M2027">
        <v>65.400000000000006</v>
      </c>
      <c r="N2027">
        <v>62.56</v>
      </c>
      <c r="O2027">
        <v>64.06</v>
      </c>
      <c r="P2027">
        <v>52.35</v>
      </c>
      <c r="Q2027">
        <v>147700448</v>
      </c>
      <c r="R2027">
        <v>1.27</v>
      </c>
      <c r="S2027" t="s">
        <v>465</v>
      </c>
      <c r="T2027" t="s">
        <v>115</v>
      </c>
      <c r="U2027">
        <v>4.43</v>
      </c>
      <c r="V2027">
        <v>63.88</v>
      </c>
      <c r="W2027">
        <v>12987</v>
      </c>
      <c r="X2027">
        <v>10135</v>
      </c>
      <c r="Y2027">
        <v>1.28</v>
      </c>
      <c r="Z2027">
        <v>2</v>
      </c>
      <c r="AA2027">
        <v>48</v>
      </c>
      <c r="AB2027" t="s">
        <v>116</v>
      </c>
      <c r="AC2027">
        <v>121700</v>
      </c>
      <c r="AD2027">
        <v>0</v>
      </c>
      <c r="AE2027" t="s">
        <v>116</v>
      </c>
      <c r="AF2027" t="s">
        <v>116</v>
      </c>
      <c r="AG2027">
        <v>0.4</v>
      </c>
      <c r="AH2027" t="s">
        <v>4874</v>
      </c>
      <c r="AI2027" t="s">
        <v>9944</v>
      </c>
      <c r="AJ2027">
        <v>-1.49</v>
      </c>
      <c r="AK2027">
        <v>2528</v>
      </c>
      <c r="AL2027">
        <v>9</v>
      </c>
      <c r="AM2027">
        <v>2.3E-3</v>
      </c>
      <c r="AN2027">
        <v>-3</v>
      </c>
      <c r="AO2027">
        <v>-3.36</v>
      </c>
      <c r="AP2027">
        <v>6.49</v>
      </c>
      <c r="AQ2027">
        <v>-3.95</v>
      </c>
      <c r="AR2027">
        <v>129.22</v>
      </c>
      <c r="AS2027">
        <v>5.71</v>
      </c>
      <c r="AT2027" t="s">
        <v>4874</v>
      </c>
      <c r="AU2027">
        <v>56.25</v>
      </c>
      <c r="AV2027">
        <v>96.91</v>
      </c>
      <c r="AW2027">
        <v>1.77</v>
      </c>
      <c r="BA2027">
        <v>-0.02</v>
      </c>
      <c r="BB2027">
        <v>2.09</v>
      </c>
      <c r="BC2027">
        <v>-2.34</v>
      </c>
      <c r="BD2027">
        <v>-0.28000000000000003</v>
      </c>
      <c r="BE2027">
        <v>-2.15</v>
      </c>
      <c r="BF2027">
        <v>-4.17</v>
      </c>
      <c r="BG2027">
        <v>0.18</v>
      </c>
      <c r="BH2027">
        <v>-1.89</v>
      </c>
      <c r="BI2027">
        <v>20191223</v>
      </c>
      <c r="BJ2027">
        <v>20170413</v>
      </c>
      <c r="BK2027">
        <v>1.34</v>
      </c>
      <c r="BL2027" t="s">
        <v>116</v>
      </c>
      <c r="BM2027" t="s">
        <v>116</v>
      </c>
      <c r="BN2027">
        <v>12.72</v>
      </c>
      <c r="BO2027">
        <v>5.53</v>
      </c>
      <c r="BP2027">
        <v>0</v>
      </c>
      <c r="BQ2027">
        <v>56.55</v>
      </c>
      <c r="BR2027">
        <v>10.87</v>
      </c>
      <c r="BS2027">
        <v>0.25</v>
      </c>
      <c r="BT2027">
        <v>0.41</v>
      </c>
      <c r="BU2027">
        <v>7.15</v>
      </c>
      <c r="BV2027">
        <v>1.77</v>
      </c>
      <c r="BW2027">
        <v>4.13</v>
      </c>
      <c r="BX2027">
        <v>1.62</v>
      </c>
      <c r="BY2027">
        <v>13.29</v>
      </c>
      <c r="BZ2027">
        <v>9.6999999999999993</v>
      </c>
      <c r="CA2027">
        <v>1.35</v>
      </c>
      <c r="CB2027">
        <v>0</v>
      </c>
      <c r="CC2027">
        <v>1.34</v>
      </c>
      <c r="CD2027">
        <v>1.21</v>
      </c>
      <c r="CE2027">
        <v>1.21</v>
      </c>
      <c r="CF2027">
        <v>1.1100000000000001</v>
      </c>
      <c r="CG2027">
        <v>2.66</v>
      </c>
      <c r="CH2027">
        <v>2.3199999999999998</v>
      </c>
      <c r="CI2027">
        <v>0.6</v>
      </c>
      <c r="CJ2027">
        <v>15098</v>
      </c>
      <c r="CK2027">
        <v>2681</v>
      </c>
      <c r="CL2027" t="s">
        <v>9945</v>
      </c>
      <c r="CM2027">
        <v>108.61</v>
      </c>
      <c r="CN2027">
        <v>53.53</v>
      </c>
      <c r="CO2027">
        <v>13.74</v>
      </c>
      <c r="CP2027">
        <v>36.299999999999997</v>
      </c>
      <c r="CQ2027">
        <v>6.33</v>
      </c>
      <c r="CR2027">
        <v>0.36</v>
      </c>
      <c r="CS2027" t="s">
        <v>6691</v>
      </c>
      <c r="CT2027">
        <v>4.5599999999999996</v>
      </c>
      <c r="CU2027">
        <v>4.5599999999999996</v>
      </c>
      <c r="CV2027">
        <v>1.21</v>
      </c>
      <c r="CW2027">
        <v>1.98</v>
      </c>
      <c r="CX2027">
        <v>1.73</v>
      </c>
      <c r="CY2027">
        <v>43.45</v>
      </c>
      <c r="CZ2027" t="s">
        <v>9946</v>
      </c>
      <c r="DA2027">
        <v>27.02</v>
      </c>
      <c r="DB2027">
        <v>10.14</v>
      </c>
      <c r="DC2027">
        <v>9.07</v>
      </c>
      <c r="DD2027">
        <v>1.44</v>
      </c>
      <c r="DE2027">
        <v>567</v>
      </c>
      <c r="DF2027">
        <v>300638</v>
      </c>
      <c r="DG2027" t="s">
        <v>116</v>
      </c>
      <c r="DH2027" t="s">
        <v>116</v>
      </c>
      <c r="DI2027" t="s">
        <v>116</v>
      </c>
    </row>
    <row r="2028" spans="1:113" x14ac:dyDescent="0.4">
      <c r="A2028" t="str">
        <f>"300639"</f>
        <v>300639</v>
      </c>
      <c r="B2028" t="s">
        <v>9947</v>
      </c>
      <c r="C2028">
        <v>0.13</v>
      </c>
      <c r="D2028">
        <v>23.55</v>
      </c>
      <c r="E2028">
        <v>0.03</v>
      </c>
      <c r="F2028">
        <v>23.55</v>
      </c>
      <c r="G2028">
        <v>23.56</v>
      </c>
      <c r="H2028">
        <v>29504</v>
      </c>
      <c r="I2028">
        <v>89</v>
      </c>
      <c r="J2028">
        <v>-0.03</v>
      </c>
      <c r="K2028">
        <v>2.72</v>
      </c>
      <c r="L2028">
        <v>23.69</v>
      </c>
      <c r="M2028">
        <v>24.09</v>
      </c>
      <c r="N2028">
        <v>23.48</v>
      </c>
      <c r="O2028">
        <v>23.52</v>
      </c>
      <c r="P2028">
        <v>36.57</v>
      </c>
      <c r="Q2028">
        <v>69927528</v>
      </c>
      <c r="R2028">
        <v>1.1100000000000001</v>
      </c>
      <c r="S2028" t="s">
        <v>559</v>
      </c>
      <c r="T2028" t="s">
        <v>551</v>
      </c>
      <c r="U2028">
        <v>2.59</v>
      </c>
      <c r="V2028">
        <v>23.7</v>
      </c>
      <c r="W2028">
        <v>14252</v>
      </c>
      <c r="X2028">
        <v>15252</v>
      </c>
      <c r="Y2028">
        <v>0.93</v>
      </c>
      <c r="Z2028">
        <v>205</v>
      </c>
      <c r="AA2028">
        <v>25</v>
      </c>
      <c r="AB2028" t="s">
        <v>116</v>
      </c>
      <c r="AC2028">
        <v>168200</v>
      </c>
      <c r="AD2028">
        <v>0.01</v>
      </c>
      <c r="AE2028" t="s">
        <v>116</v>
      </c>
      <c r="AF2028" t="s">
        <v>116</v>
      </c>
      <c r="AG2028">
        <v>1.08</v>
      </c>
      <c r="AH2028" t="s">
        <v>8022</v>
      </c>
      <c r="AI2028" t="s">
        <v>4789</v>
      </c>
      <c r="AJ2028">
        <v>0.81</v>
      </c>
      <c r="AK2028">
        <v>2041</v>
      </c>
      <c r="AL2028">
        <v>14</v>
      </c>
      <c r="AM2028">
        <v>1.2999999999999999E-3</v>
      </c>
      <c r="AN2028">
        <v>2</v>
      </c>
      <c r="AO2028">
        <v>0.48</v>
      </c>
      <c r="AP2028">
        <v>-6.92</v>
      </c>
      <c r="AQ2028">
        <v>18.100000000000001</v>
      </c>
      <c r="AR2028">
        <v>95.71</v>
      </c>
      <c r="AS2028">
        <v>2.72</v>
      </c>
      <c r="AT2028" t="s">
        <v>8022</v>
      </c>
      <c r="AU2028">
        <v>36.42</v>
      </c>
      <c r="AV2028">
        <v>44.88</v>
      </c>
      <c r="AW2028">
        <v>1.81</v>
      </c>
      <c r="BA2028">
        <v>0.72</v>
      </c>
      <c r="BB2028">
        <v>2.42</v>
      </c>
      <c r="BC2028">
        <v>-0.17</v>
      </c>
      <c r="BD2028">
        <v>0.77</v>
      </c>
      <c r="BE2028">
        <v>-0.59</v>
      </c>
      <c r="BF2028">
        <v>-2.2400000000000002</v>
      </c>
      <c r="BG2028">
        <v>0.3</v>
      </c>
      <c r="BH2028">
        <v>-0.64</v>
      </c>
      <c r="BI2028">
        <v>20191223</v>
      </c>
      <c r="BJ2028">
        <v>20170412</v>
      </c>
      <c r="BK2028">
        <v>2.17</v>
      </c>
      <c r="BL2028" t="s">
        <v>116</v>
      </c>
      <c r="BM2028" t="s">
        <v>116</v>
      </c>
      <c r="BN2028">
        <v>12.4</v>
      </c>
      <c r="BO2028">
        <v>10.38</v>
      </c>
      <c r="BP2028">
        <v>1.06</v>
      </c>
      <c r="BQ2028">
        <v>7.75</v>
      </c>
      <c r="BR2028">
        <v>6.44</v>
      </c>
      <c r="BS2028">
        <v>3.42</v>
      </c>
      <c r="BT2028">
        <v>0.95</v>
      </c>
      <c r="BU2028">
        <v>0.86</v>
      </c>
      <c r="BV2028">
        <v>0.53</v>
      </c>
      <c r="BW2028">
        <v>3.16</v>
      </c>
      <c r="BX2028">
        <v>4.24</v>
      </c>
      <c r="BY2028">
        <v>5.18</v>
      </c>
      <c r="BZ2028">
        <v>0.97</v>
      </c>
      <c r="CA2028">
        <v>1.1200000000000001</v>
      </c>
      <c r="CB2028">
        <v>0.08</v>
      </c>
      <c r="CC2028">
        <v>1.0900000000000001</v>
      </c>
      <c r="CD2028">
        <v>0.98</v>
      </c>
      <c r="CE2028">
        <v>1.05</v>
      </c>
      <c r="CF2028">
        <v>0.99</v>
      </c>
      <c r="CG2028">
        <v>4.55</v>
      </c>
      <c r="CH2028">
        <v>0.5</v>
      </c>
      <c r="CI2028">
        <v>-0.09</v>
      </c>
      <c r="CJ2028">
        <v>14045</v>
      </c>
      <c r="CK2028">
        <v>7712</v>
      </c>
      <c r="CL2028" t="s">
        <v>7770</v>
      </c>
      <c r="CM2028">
        <v>33.72</v>
      </c>
      <c r="CN2028">
        <v>27.88</v>
      </c>
      <c r="CO2028">
        <v>4.93</v>
      </c>
      <c r="CP2028">
        <v>102.33</v>
      </c>
      <c r="CQ2028">
        <v>9.89</v>
      </c>
      <c r="CR2028">
        <v>0.86</v>
      </c>
      <c r="CS2028" t="s">
        <v>1677</v>
      </c>
      <c r="CT2028">
        <v>4.7699999999999996</v>
      </c>
      <c r="CU2028">
        <v>0</v>
      </c>
      <c r="CV2028">
        <v>1.95</v>
      </c>
      <c r="CW2028">
        <v>2.09</v>
      </c>
      <c r="CX2028">
        <v>0.23</v>
      </c>
      <c r="CY2028">
        <v>83.73</v>
      </c>
      <c r="CZ2028" t="s">
        <v>3206</v>
      </c>
      <c r="DA2028">
        <v>81.19</v>
      </c>
      <c r="DB2028">
        <v>21.55</v>
      </c>
      <c r="DC2028">
        <v>20.28</v>
      </c>
      <c r="DD2028">
        <v>0.4</v>
      </c>
      <c r="DE2028">
        <v>1180</v>
      </c>
      <c r="DF2028">
        <v>300639</v>
      </c>
      <c r="DG2028" t="s">
        <v>116</v>
      </c>
      <c r="DH2028" t="s">
        <v>116</v>
      </c>
      <c r="DI2028" t="s">
        <v>116</v>
      </c>
    </row>
    <row r="2029" spans="1:113" x14ac:dyDescent="0.4">
      <c r="A2029" t="str">
        <f>"300640"</f>
        <v>300640</v>
      </c>
      <c r="B2029" t="s">
        <v>9948</v>
      </c>
      <c r="C2029">
        <v>-0.98</v>
      </c>
      <c r="D2029">
        <v>8.1</v>
      </c>
      <c r="E2029">
        <v>-0.08</v>
      </c>
      <c r="F2029">
        <v>8.08</v>
      </c>
      <c r="G2029">
        <v>8.1</v>
      </c>
      <c r="H2029">
        <v>16801</v>
      </c>
      <c r="I2029">
        <v>150</v>
      </c>
      <c r="J2029">
        <v>0.12</v>
      </c>
      <c r="K2029">
        <v>2.12</v>
      </c>
      <c r="L2029">
        <v>8.18</v>
      </c>
      <c r="M2029">
        <v>8.23</v>
      </c>
      <c r="N2029">
        <v>8.07</v>
      </c>
      <c r="O2029">
        <v>8.18</v>
      </c>
      <c r="P2029">
        <v>31.91</v>
      </c>
      <c r="Q2029">
        <v>13693810</v>
      </c>
      <c r="R2029">
        <v>0.7</v>
      </c>
      <c r="S2029" t="s">
        <v>217</v>
      </c>
      <c r="T2029" t="s">
        <v>975</v>
      </c>
      <c r="U2029">
        <v>1.96</v>
      </c>
      <c r="V2029">
        <v>8.15</v>
      </c>
      <c r="W2029">
        <v>8935</v>
      </c>
      <c r="X2029">
        <v>7866</v>
      </c>
      <c r="Y2029">
        <v>1.1399999999999999</v>
      </c>
      <c r="Z2029">
        <v>47</v>
      </c>
      <c r="AA2029">
        <v>148</v>
      </c>
      <c r="AB2029" t="s">
        <v>116</v>
      </c>
      <c r="AC2029">
        <v>0</v>
      </c>
      <c r="AD2029">
        <v>0</v>
      </c>
      <c r="AE2029" t="s">
        <v>116</v>
      </c>
      <c r="AF2029" t="s">
        <v>116</v>
      </c>
      <c r="AG2029">
        <v>0.79</v>
      </c>
      <c r="AH2029" t="s">
        <v>9789</v>
      </c>
      <c r="AI2029" t="s">
        <v>5425</v>
      </c>
      <c r="AJ2029">
        <v>-0.3</v>
      </c>
      <c r="AK2029">
        <v>1076</v>
      </c>
      <c r="AL2029">
        <v>16</v>
      </c>
      <c r="AM2029">
        <v>2E-3</v>
      </c>
      <c r="AN2029">
        <v>-1</v>
      </c>
      <c r="AO2029">
        <v>1.63</v>
      </c>
      <c r="AP2029">
        <v>11.72</v>
      </c>
      <c r="AQ2029">
        <v>2.79</v>
      </c>
      <c r="AR2029">
        <v>30.23</v>
      </c>
      <c r="AS2029">
        <v>2.23</v>
      </c>
      <c r="AT2029" t="s">
        <v>7189</v>
      </c>
      <c r="AU2029">
        <v>32.89</v>
      </c>
      <c r="AV2029">
        <v>44.49</v>
      </c>
      <c r="AW2029">
        <v>0.99</v>
      </c>
      <c r="BA2029">
        <v>0</v>
      </c>
      <c r="BB2029">
        <v>0.61</v>
      </c>
      <c r="BC2029">
        <v>-1.34</v>
      </c>
      <c r="BD2029">
        <v>-0.36</v>
      </c>
      <c r="BE2029">
        <v>-0.98</v>
      </c>
      <c r="BF2029">
        <v>-1.58</v>
      </c>
      <c r="BG2029">
        <v>0.37</v>
      </c>
      <c r="BH2029">
        <v>-0.62</v>
      </c>
      <c r="BI2029">
        <v>20191218</v>
      </c>
      <c r="BJ2029">
        <v>20170417</v>
      </c>
      <c r="BK2029">
        <v>2.21</v>
      </c>
      <c r="BL2029" t="s">
        <v>116</v>
      </c>
      <c r="BM2029" t="s">
        <v>116</v>
      </c>
      <c r="BN2029">
        <v>4.16</v>
      </c>
      <c r="BO2029">
        <v>3.23</v>
      </c>
      <c r="BP2029">
        <v>0</v>
      </c>
      <c r="BQ2029">
        <v>22.33</v>
      </c>
      <c r="BR2029">
        <v>3.37</v>
      </c>
      <c r="BS2029">
        <v>0.17</v>
      </c>
      <c r="BT2029">
        <v>0.14000000000000001</v>
      </c>
      <c r="BU2029">
        <v>0.87</v>
      </c>
      <c r="BV2029">
        <v>7.0000000000000007E-2</v>
      </c>
      <c r="BW2029">
        <v>1.1100000000000001</v>
      </c>
      <c r="BX2029">
        <v>0.18</v>
      </c>
      <c r="BY2029">
        <v>4.7699999999999996</v>
      </c>
      <c r="BZ2029">
        <v>3.76</v>
      </c>
      <c r="CA2029">
        <v>0.48</v>
      </c>
      <c r="CB2029">
        <v>0</v>
      </c>
      <c r="CC2029">
        <v>0.47</v>
      </c>
      <c r="CD2029">
        <v>0.42</v>
      </c>
      <c r="CE2029">
        <v>0.42</v>
      </c>
      <c r="CF2029">
        <v>0.39</v>
      </c>
      <c r="CG2029">
        <v>0.74</v>
      </c>
      <c r="CH2029">
        <v>0.31</v>
      </c>
      <c r="CI2029">
        <v>0.05</v>
      </c>
      <c r="CJ2029">
        <v>7662</v>
      </c>
      <c r="CK2029">
        <v>9829</v>
      </c>
      <c r="CL2029" t="s">
        <v>6791</v>
      </c>
      <c r="CM2029">
        <v>50.87</v>
      </c>
      <c r="CN2029">
        <v>13.39</v>
      </c>
      <c r="CO2029">
        <v>5.53</v>
      </c>
      <c r="CP2029">
        <v>57.9</v>
      </c>
      <c r="CQ2029">
        <v>3.75</v>
      </c>
      <c r="CR2029">
        <v>1.64</v>
      </c>
      <c r="CS2029" t="s">
        <v>3553</v>
      </c>
      <c r="CT2029">
        <v>1.46</v>
      </c>
      <c r="CU2029">
        <v>1.46</v>
      </c>
      <c r="CV2029">
        <v>0.08</v>
      </c>
      <c r="CW2029">
        <v>0.34</v>
      </c>
      <c r="CX2029">
        <v>0.14000000000000001</v>
      </c>
      <c r="CY2029">
        <v>77.67</v>
      </c>
      <c r="CZ2029" t="s">
        <v>8483</v>
      </c>
      <c r="DA2029">
        <v>21.19</v>
      </c>
      <c r="DB2029">
        <v>10.06</v>
      </c>
      <c r="DC2029">
        <v>8.8000000000000007</v>
      </c>
      <c r="DD2029">
        <v>0.16</v>
      </c>
      <c r="DE2029">
        <v>300</v>
      </c>
      <c r="DF2029">
        <v>300640</v>
      </c>
      <c r="DG2029" t="s">
        <v>116</v>
      </c>
      <c r="DH2029" t="s">
        <v>116</v>
      </c>
      <c r="DI2029" t="s">
        <v>116</v>
      </c>
    </row>
    <row r="2030" spans="1:113" x14ac:dyDescent="0.4">
      <c r="A2030" t="str">
        <f>"300641"</f>
        <v>300641</v>
      </c>
      <c r="B2030" t="s">
        <v>9949</v>
      </c>
      <c r="C2030">
        <v>-1.8</v>
      </c>
      <c r="D2030">
        <v>4.91</v>
      </c>
      <c r="E2030">
        <v>-0.09</v>
      </c>
      <c r="F2030">
        <v>4.9000000000000004</v>
      </c>
      <c r="G2030">
        <v>4.91</v>
      </c>
      <c r="H2030">
        <v>22618</v>
      </c>
      <c r="I2030">
        <v>305</v>
      </c>
      <c r="J2030">
        <v>0.41</v>
      </c>
      <c r="K2030">
        <v>1.01</v>
      </c>
      <c r="L2030">
        <v>4.99</v>
      </c>
      <c r="M2030">
        <v>5.03</v>
      </c>
      <c r="N2030">
        <v>4.8899999999999997</v>
      </c>
      <c r="O2030">
        <v>5</v>
      </c>
      <c r="P2030">
        <v>50.58</v>
      </c>
      <c r="Q2030">
        <v>11225470</v>
      </c>
      <c r="R2030">
        <v>1.1200000000000001</v>
      </c>
      <c r="S2030" t="s">
        <v>891</v>
      </c>
      <c r="T2030" t="s">
        <v>323</v>
      </c>
      <c r="U2030">
        <v>2.8</v>
      </c>
      <c r="V2030">
        <v>4.96</v>
      </c>
      <c r="W2030">
        <v>14398</v>
      </c>
      <c r="X2030">
        <v>8220</v>
      </c>
      <c r="Y2030">
        <v>1.75</v>
      </c>
      <c r="Z2030">
        <v>212</v>
      </c>
      <c r="AA2030">
        <v>313</v>
      </c>
      <c r="AB2030" t="s">
        <v>116</v>
      </c>
      <c r="AC2030">
        <v>5000</v>
      </c>
      <c r="AD2030">
        <v>0</v>
      </c>
      <c r="AE2030" t="s">
        <v>116</v>
      </c>
      <c r="AF2030" t="s">
        <v>116</v>
      </c>
      <c r="AG2030">
        <v>2.23</v>
      </c>
      <c r="AH2030" t="s">
        <v>6094</v>
      </c>
      <c r="AI2030" t="s">
        <v>749</v>
      </c>
      <c r="AJ2030">
        <v>-1.1200000000000001</v>
      </c>
      <c r="AK2030">
        <v>531</v>
      </c>
      <c r="AL2030">
        <v>43</v>
      </c>
      <c r="AM2030">
        <v>1.9E-3</v>
      </c>
      <c r="AN2030">
        <v>-1</v>
      </c>
      <c r="AO2030">
        <v>-0.21</v>
      </c>
      <c r="AP2030">
        <v>3.59</v>
      </c>
      <c r="AQ2030">
        <v>-3.54</v>
      </c>
      <c r="AR2030">
        <v>-0.2</v>
      </c>
      <c r="AS2030">
        <v>1.65</v>
      </c>
      <c r="AT2030" t="s">
        <v>9950</v>
      </c>
      <c r="AU2030">
        <v>77.349999999999994</v>
      </c>
      <c r="AV2030">
        <v>39.840000000000003</v>
      </c>
      <c r="AW2030">
        <v>0.96</v>
      </c>
      <c r="BA2030">
        <v>-0.2</v>
      </c>
      <c r="BB2030">
        <v>0.6</v>
      </c>
      <c r="BC2030">
        <v>-2.2000000000000002</v>
      </c>
      <c r="BD2030">
        <v>-0.74</v>
      </c>
      <c r="BE2030">
        <v>-1.6</v>
      </c>
      <c r="BF2030">
        <v>-2.39</v>
      </c>
      <c r="BG2030">
        <v>0.41</v>
      </c>
      <c r="BH2030">
        <v>-1.06</v>
      </c>
      <c r="BI2030">
        <v>20191224</v>
      </c>
      <c r="BJ2030">
        <v>20170418</v>
      </c>
      <c r="BK2030">
        <v>4.9000000000000004</v>
      </c>
      <c r="BL2030" t="s">
        <v>116</v>
      </c>
      <c r="BM2030" t="s">
        <v>116</v>
      </c>
      <c r="BN2030">
        <v>16.77</v>
      </c>
      <c r="BO2030">
        <v>13.21</v>
      </c>
      <c r="BP2030">
        <v>0</v>
      </c>
      <c r="BQ2030">
        <v>21.21</v>
      </c>
      <c r="BR2030">
        <v>10.15</v>
      </c>
      <c r="BS2030">
        <v>1.85</v>
      </c>
      <c r="BT2030">
        <v>0.35</v>
      </c>
      <c r="BU2030">
        <v>3.56</v>
      </c>
      <c r="BV2030">
        <v>1.52</v>
      </c>
      <c r="BW2030">
        <v>1.33</v>
      </c>
      <c r="BX2030">
        <v>4.6900000000000004</v>
      </c>
      <c r="BY2030">
        <v>9.26</v>
      </c>
      <c r="BZ2030">
        <v>8.25</v>
      </c>
      <c r="CA2030">
        <v>0.42</v>
      </c>
      <c r="CB2030">
        <v>0.06</v>
      </c>
      <c r="CC2030">
        <v>0.42</v>
      </c>
      <c r="CD2030">
        <v>0.36</v>
      </c>
      <c r="CE2030">
        <v>0.36</v>
      </c>
      <c r="CF2030">
        <v>0.28999999999999998</v>
      </c>
      <c r="CG2030">
        <v>3.3</v>
      </c>
      <c r="CH2030">
        <v>-0.87</v>
      </c>
      <c r="CI2030">
        <v>-2.21</v>
      </c>
      <c r="CJ2030">
        <v>23446</v>
      </c>
      <c r="CK2030">
        <v>5864</v>
      </c>
      <c r="CL2030" t="s">
        <v>9951</v>
      </c>
      <c r="CM2030">
        <v>-45.08</v>
      </c>
      <c r="CN2030">
        <v>0.18</v>
      </c>
      <c r="CO2030">
        <v>1.82</v>
      </c>
      <c r="CP2030">
        <v>-27.53</v>
      </c>
      <c r="CQ2030">
        <v>2.59</v>
      </c>
      <c r="CR2030">
        <v>0.81</v>
      </c>
      <c r="CS2030" t="s">
        <v>1012</v>
      </c>
      <c r="CT2030">
        <v>2.7</v>
      </c>
      <c r="CU2030">
        <v>0</v>
      </c>
      <c r="CV2030">
        <v>0.96</v>
      </c>
      <c r="CW2030">
        <v>0.67</v>
      </c>
      <c r="CX2030">
        <v>-0.18</v>
      </c>
      <c r="CY2030">
        <v>78.790000000000006</v>
      </c>
      <c r="CZ2030" t="s">
        <v>8688</v>
      </c>
      <c r="DA2030">
        <v>10.93</v>
      </c>
      <c r="DB2030">
        <v>4.5599999999999996</v>
      </c>
      <c r="DC2030">
        <v>3.85</v>
      </c>
      <c r="DD2030">
        <v>0.22</v>
      </c>
      <c r="DE2030">
        <v>437</v>
      </c>
      <c r="DF2030">
        <v>300641</v>
      </c>
      <c r="DG2030" t="s">
        <v>116</v>
      </c>
      <c r="DH2030" t="s">
        <v>116</v>
      </c>
      <c r="DI2030" t="s">
        <v>116</v>
      </c>
    </row>
    <row r="2031" spans="1:113" x14ac:dyDescent="0.4">
      <c r="A2031" t="str">
        <f>"300642"</f>
        <v>300642</v>
      </c>
      <c r="B2031" t="s">
        <v>9952</v>
      </c>
      <c r="C2031">
        <v>-0.62</v>
      </c>
      <c r="D2031">
        <v>40.35</v>
      </c>
      <c r="E2031">
        <v>-0.25</v>
      </c>
      <c r="F2031">
        <v>40.35</v>
      </c>
      <c r="G2031">
        <v>40.380000000000003</v>
      </c>
      <c r="H2031">
        <v>7711</v>
      </c>
      <c r="I2031">
        <v>64</v>
      </c>
      <c r="J2031">
        <v>-0.11</v>
      </c>
      <c r="K2031">
        <v>1.44</v>
      </c>
      <c r="L2031">
        <v>40.58</v>
      </c>
      <c r="M2031">
        <v>40.99</v>
      </c>
      <c r="N2031">
        <v>40.25</v>
      </c>
      <c r="O2031">
        <v>40.6</v>
      </c>
      <c r="P2031">
        <v>28</v>
      </c>
      <c r="Q2031">
        <v>31328616</v>
      </c>
      <c r="R2031">
        <v>1.1100000000000001</v>
      </c>
      <c r="S2031" t="s">
        <v>559</v>
      </c>
      <c r="T2031" t="s">
        <v>1653</v>
      </c>
      <c r="U2031">
        <v>1.82</v>
      </c>
      <c r="V2031">
        <v>40.630000000000003</v>
      </c>
      <c r="W2031">
        <v>5266</v>
      </c>
      <c r="X2031">
        <v>2445</v>
      </c>
      <c r="Y2031">
        <v>2.15</v>
      </c>
      <c r="Z2031">
        <v>35</v>
      </c>
      <c r="AA2031">
        <v>1</v>
      </c>
      <c r="AB2031" t="s">
        <v>116</v>
      </c>
      <c r="AC2031">
        <v>12200</v>
      </c>
      <c r="AD2031">
        <v>0</v>
      </c>
      <c r="AE2031" t="s">
        <v>116</v>
      </c>
      <c r="AF2031" t="s">
        <v>116</v>
      </c>
      <c r="AG2031">
        <v>0.54</v>
      </c>
      <c r="AH2031" t="s">
        <v>763</v>
      </c>
      <c r="AI2031" t="s">
        <v>9953</v>
      </c>
      <c r="AJ2031">
        <v>0.06</v>
      </c>
      <c r="AK2031">
        <v>962</v>
      </c>
      <c r="AL2031">
        <v>8</v>
      </c>
      <c r="AM2031">
        <v>1.5E-3</v>
      </c>
      <c r="AN2031">
        <v>-1</v>
      </c>
      <c r="AO2031">
        <v>-0.05</v>
      </c>
      <c r="AP2031">
        <v>-0.71</v>
      </c>
      <c r="AQ2031">
        <v>-0.84</v>
      </c>
      <c r="AR2031">
        <v>7.43</v>
      </c>
      <c r="AS2031">
        <v>2.5499999999999998</v>
      </c>
      <c r="AT2031" t="s">
        <v>9954</v>
      </c>
      <c r="AU2031">
        <v>24.62</v>
      </c>
      <c r="AV2031">
        <v>25.86</v>
      </c>
      <c r="AW2031">
        <v>0.55000000000000004</v>
      </c>
      <c r="BA2031">
        <v>-0.05</v>
      </c>
      <c r="BB2031">
        <v>0.96</v>
      </c>
      <c r="BC2031">
        <v>-0.86</v>
      </c>
      <c r="BD2031">
        <v>0.08</v>
      </c>
      <c r="BE2031">
        <v>-0.56999999999999995</v>
      </c>
      <c r="BF2031">
        <v>-1.56</v>
      </c>
      <c r="BG2031">
        <v>0.25</v>
      </c>
      <c r="BH2031">
        <v>-0.69</v>
      </c>
      <c r="BI2031">
        <v>20191026</v>
      </c>
      <c r="BJ2031">
        <v>20170421</v>
      </c>
      <c r="BK2031">
        <v>0.91</v>
      </c>
      <c r="BL2031" t="s">
        <v>116</v>
      </c>
      <c r="BM2031" t="s">
        <v>116</v>
      </c>
      <c r="BN2031">
        <v>11.7</v>
      </c>
      <c r="BO2031">
        <v>11.07</v>
      </c>
      <c r="BP2031">
        <v>0</v>
      </c>
      <c r="BQ2031">
        <v>5.34</v>
      </c>
      <c r="BR2031">
        <v>8.34</v>
      </c>
      <c r="BS2031">
        <v>1.81</v>
      </c>
      <c r="BT2031">
        <v>0.11</v>
      </c>
      <c r="BU2031">
        <v>0.55000000000000004</v>
      </c>
      <c r="BV2031">
        <v>1.1000000000000001</v>
      </c>
      <c r="BW2031">
        <v>1.03</v>
      </c>
      <c r="BX2031">
        <v>5.59</v>
      </c>
      <c r="BY2031">
        <v>2.91</v>
      </c>
      <c r="BZ2031">
        <v>0.62</v>
      </c>
      <c r="CA2031">
        <v>1.1499999999999999</v>
      </c>
      <c r="CB2031">
        <v>0.06</v>
      </c>
      <c r="CC2031">
        <v>1.1499999999999999</v>
      </c>
      <c r="CD2031">
        <v>0.98</v>
      </c>
      <c r="CE2031">
        <v>0.98</v>
      </c>
      <c r="CF2031">
        <v>0.85</v>
      </c>
      <c r="CG2031">
        <v>4.29</v>
      </c>
      <c r="CH2031">
        <v>0.79</v>
      </c>
      <c r="CI2031">
        <v>-3.37</v>
      </c>
      <c r="CJ2031">
        <v>9254</v>
      </c>
      <c r="CK2031">
        <v>3268</v>
      </c>
      <c r="CL2031" t="s">
        <v>9955</v>
      </c>
      <c r="CM2031">
        <v>7.84</v>
      </c>
      <c r="CN2031">
        <v>21.48</v>
      </c>
      <c r="CO2031">
        <v>3.31</v>
      </c>
      <c r="CP2031">
        <v>46.11</v>
      </c>
      <c r="CQ2031">
        <v>12.58</v>
      </c>
      <c r="CR2031">
        <v>0.74</v>
      </c>
      <c r="CS2031" t="s">
        <v>9846</v>
      </c>
      <c r="CT2031">
        <v>12.19</v>
      </c>
      <c r="CU2031">
        <v>0</v>
      </c>
      <c r="CV2031">
        <v>6.15</v>
      </c>
      <c r="CW2031">
        <v>4.72</v>
      </c>
      <c r="CX2031">
        <v>0.88</v>
      </c>
      <c r="CY2031">
        <v>94.66</v>
      </c>
      <c r="CZ2031" t="s">
        <v>3655</v>
      </c>
      <c r="DA2031">
        <v>78.61</v>
      </c>
      <c r="DB2031">
        <v>39.39</v>
      </c>
      <c r="DC2031">
        <v>33.69</v>
      </c>
      <c r="DD2031">
        <v>0.38</v>
      </c>
      <c r="DE2031">
        <v>385</v>
      </c>
      <c r="DF2031">
        <v>300642</v>
      </c>
      <c r="DG2031" t="s">
        <v>116</v>
      </c>
      <c r="DH2031" t="s">
        <v>116</v>
      </c>
      <c r="DI2031" t="s">
        <v>116</v>
      </c>
    </row>
    <row r="2032" spans="1:113" x14ac:dyDescent="0.4">
      <c r="A2032" t="str">
        <f>"300643"</f>
        <v>300643</v>
      </c>
      <c r="B2032" t="s">
        <v>9956</v>
      </c>
      <c r="C2032">
        <v>0.61</v>
      </c>
      <c r="D2032">
        <v>24.6</v>
      </c>
      <c r="E2032">
        <v>0.15</v>
      </c>
      <c r="F2032">
        <v>24.59</v>
      </c>
      <c r="G2032">
        <v>24.6</v>
      </c>
      <c r="H2032">
        <v>271391</v>
      </c>
      <c r="I2032">
        <v>7450</v>
      </c>
      <c r="J2032">
        <v>0.08</v>
      </c>
      <c r="K2032">
        <v>32.409999999999997</v>
      </c>
      <c r="L2032">
        <v>24.57</v>
      </c>
      <c r="M2032">
        <v>25.5</v>
      </c>
      <c r="N2032">
        <v>24.02</v>
      </c>
      <c r="O2032">
        <v>24.45</v>
      </c>
      <c r="P2032">
        <v>187.55</v>
      </c>
      <c r="Q2032">
        <v>671439488</v>
      </c>
      <c r="R2032">
        <v>0.95</v>
      </c>
      <c r="S2032" t="s">
        <v>293</v>
      </c>
      <c r="T2032" t="s">
        <v>590</v>
      </c>
      <c r="U2032">
        <v>6.05</v>
      </c>
      <c r="V2032">
        <v>24.74</v>
      </c>
      <c r="W2032">
        <v>136119</v>
      </c>
      <c r="X2032">
        <v>135272</v>
      </c>
      <c r="Y2032">
        <v>1.01</v>
      </c>
      <c r="Z2032">
        <v>8</v>
      </c>
      <c r="AA2032">
        <v>336</v>
      </c>
      <c r="AB2032" t="s">
        <v>116</v>
      </c>
      <c r="AC2032">
        <v>4847700</v>
      </c>
      <c r="AD2032">
        <v>0.26</v>
      </c>
      <c r="AE2032" t="s">
        <v>116</v>
      </c>
      <c r="AF2032" t="s">
        <v>116</v>
      </c>
      <c r="AG2032">
        <v>0.84</v>
      </c>
      <c r="AH2032" t="s">
        <v>9957</v>
      </c>
      <c r="AI2032" t="s">
        <v>9958</v>
      </c>
      <c r="AJ2032">
        <v>1.29</v>
      </c>
      <c r="AK2032">
        <v>4249</v>
      </c>
      <c r="AL2032">
        <v>64</v>
      </c>
      <c r="AM2032">
        <v>7.6E-3</v>
      </c>
      <c r="AN2032">
        <v>1</v>
      </c>
      <c r="AO2032">
        <v>-3.94</v>
      </c>
      <c r="AP2032">
        <v>109.72</v>
      </c>
      <c r="AQ2032">
        <v>171.22</v>
      </c>
      <c r="AR2032">
        <v>132.51</v>
      </c>
      <c r="AS2032">
        <v>35.44</v>
      </c>
      <c r="AT2032" t="s">
        <v>1077</v>
      </c>
      <c r="AU2032">
        <v>208.39</v>
      </c>
      <c r="AV2032">
        <v>151.51</v>
      </c>
      <c r="AW2032">
        <v>1.22</v>
      </c>
      <c r="BA2032">
        <v>0.49</v>
      </c>
      <c r="BB2032">
        <v>4.29</v>
      </c>
      <c r="BC2032">
        <v>-1.76</v>
      </c>
      <c r="BD2032">
        <v>1.19</v>
      </c>
      <c r="BE2032">
        <v>0.12</v>
      </c>
      <c r="BF2032">
        <v>-3.53</v>
      </c>
      <c r="BG2032">
        <v>2.41</v>
      </c>
      <c r="BH2032">
        <v>-0.57999999999999996</v>
      </c>
      <c r="BI2032">
        <v>20191026</v>
      </c>
      <c r="BJ2032">
        <v>20170505</v>
      </c>
      <c r="BK2032">
        <v>2</v>
      </c>
      <c r="BL2032" t="s">
        <v>116</v>
      </c>
      <c r="BM2032" t="s">
        <v>116</v>
      </c>
      <c r="BN2032">
        <v>7.28</v>
      </c>
      <c r="BO2032">
        <v>4.3</v>
      </c>
      <c r="BP2032">
        <v>-0.01</v>
      </c>
      <c r="BQ2032">
        <v>41.04</v>
      </c>
      <c r="BR2032">
        <v>2.74</v>
      </c>
      <c r="BS2032">
        <v>0.94</v>
      </c>
      <c r="BT2032">
        <v>0.22</v>
      </c>
      <c r="BU2032">
        <v>1.28</v>
      </c>
      <c r="BV2032">
        <v>0.56000000000000005</v>
      </c>
      <c r="BW2032">
        <v>0.66</v>
      </c>
      <c r="BX2032">
        <v>1.33</v>
      </c>
      <c r="BY2032">
        <v>2.38</v>
      </c>
      <c r="BZ2032">
        <v>1.67</v>
      </c>
      <c r="CA2032">
        <v>0.22</v>
      </c>
      <c r="CB2032">
        <v>0.03</v>
      </c>
      <c r="CC2032">
        <v>0.22</v>
      </c>
      <c r="CD2032">
        <v>0.2</v>
      </c>
      <c r="CE2032">
        <v>0.2</v>
      </c>
      <c r="CF2032">
        <v>0.15</v>
      </c>
      <c r="CG2032">
        <v>0.83</v>
      </c>
      <c r="CH2032">
        <v>0.45</v>
      </c>
      <c r="CI2032">
        <v>0.09</v>
      </c>
      <c r="CJ2032">
        <v>14113</v>
      </c>
      <c r="CK2032">
        <v>5427</v>
      </c>
      <c r="CL2032" t="s">
        <v>9959</v>
      </c>
      <c r="CM2032">
        <v>-31.06</v>
      </c>
      <c r="CN2032">
        <v>7.1</v>
      </c>
      <c r="CO2032">
        <v>11.45</v>
      </c>
      <c r="CP2032">
        <v>109.79</v>
      </c>
      <c r="CQ2032">
        <v>20.67</v>
      </c>
      <c r="CR2032">
        <v>0.24</v>
      </c>
      <c r="CS2032" t="s">
        <v>821</v>
      </c>
      <c r="CT2032">
        <v>2.15</v>
      </c>
      <c r="CU2032">
        <v>0</v>
      </c>
      <c r="CV2032">
        <v>0.66</v>
      </c>
      <c r="CW2032">
        <v>0.42</v>
      </c>
      <c r="CX2032">
        <v>0.22</v>
      </c>
      <c r="CY2032">
        <v>59.08</v>
      </c>
      <c r="CZ2032" t="s">
        <v>5505</v>
      </c>
      <c r="DA2032">
        <v>29.97</v>
      </c>
      <c r="DB2032">
        <v>9.15</v>
      </c>
      <c r="DC2032">
        <v>8.27</v>
      </c>
      <c r="DD2032">
        <v>0.11</v>
      </c>
      <c r="DE2032">
        <v>456</v>
      </c>
      <c r="DF2032">
        <v>300643</v>
      </c>
      <c r="DG2032" t="s">
        <v>116</v>
      </c>
      <c r="DH2032" t="s">
        <v>116</v>
      </c>
      <c r="DI2032" t="s">
        <v>116</v>
      </c>
    </row>
    <row r="2033" spans="1:113" x14ac:dyDescent="0.4">
      <c r="A2033" t="str">
        <f>"300644"</f>
        <v>300644</v>
      </c>
      <c r="B2033" t="s">
        <v>9960</v>
      </c>
      <c r="C2033">
        <v>-1.3</v>
      </c>
      <c r="D2033">
        <v>29.5</v>
      </c>
      <c r="E2033">
        <v>-0.39</v>
      </c>
      <c r="F2033">
        <v>29.5</v>
      </c>
      <c r="G2033">
        <v>29.51</v>
      </c>
      <c r="H2033">
        <v>10582</v>
      </c>
      <c r="I2033">
        <v>227</v>
      </c>
      <c r="J2033">
        <v>0</v>
      </c>
      <c r="K2033">
        <v>2.57</v>
      </c>
      <c r="L2033">
        <v>30.01</v>
      </c>
      <c r="M2033">
        <v>30.17</v>
      </c>
      <c r="N2033">
        <v>29.41</v>
      </c>
      <c r="O2033">
        <v>29.89</v>
      </c>
      <c r="P2033">
        <v>81.81</v>
      </c>
      <c r="Q2033">
        <v>31583640</v>
      </c>
      <c r="R2033">
        <v>0.82</v>
      </c>
      <c r="S2033" t="s">
        <v>2444</v>
      </c>
      <c r="T2033" t="s">
        <v>323</v>
      </c>
      <c r="U2033">
        <v>2.54</v>
      </c>
      <c r="V2033">
        <v>29.85</v>
      </c>
      <c r="W2033">
        <v>6238</v>
      </c>
      <c r="X2033">
        <v>4344</v>
      </c>
      <c r="Y2033">
        <v>1.44</v>
      </c>
      <c r="Z2033">
        <v>58</v>
      </c>
      <c r="AA2033">
        <v>55</v>
      </c>
      <c r="AB2033" t="s">
        <v>116</v>
      </c>
      <c r="AC2033">
        <v>195100</v>
      </c>
      <c r="AD2033">
        <v>0.02</v>
      </c>
      <c r="AE2033" t="s">
        <v>116</v>
      </c>
      <c r="AF2033" t="s">
        <v>116</v>
      </c>
      <c r="AG2033">
        <v>0.41</v>
      </c>
      <c r="AH2033" t="s">
        <v>6956</v>
      </c>
      <c r="AI2033" t="s">
        <v>2324</v>
      </c>
      <c r="AJ2033">
        <v>-0.63</v>
      </c>
      <c r="AK2033">
        <v>1032</v>
      </c>
      <c r="AL2033">
        <v>10</v>
      </c>
      <c r="AM2033">
        <v>2.5000000000000001E-3</v>
      </c>
      <c r="AN2033">
        <v>-2</v>
      </c>
      <c r="AO2033">
        <v>-1.63</v>
      </c>
      <c r="AP2033">
        <v>8.3800000000000008</v>
      </c>
      <c r="AQ2033">
        <v>-6.29</v>
      </c>
      <c r="AR2033">
        <v>-16.309999999999999</v>
      </c>
      <c r="AS2033">
        <v>3.42</v>
      </c>
      <c r="AT2033" t="s">
        <v>6338</v>
      </c>
      <c r="AU2033">
        <v>73.52</v>
      </c>
      <c r="AV2033">
        <v>82</v>
      </c>
      <c r="AW2033">
        <v>1.26</v>
      </c>
      <c r="BA2033">
        <v>0.4</v>
      </c>
      <c r="BB2033">
        <v>0.94</v>
      </c>
      <c r="BC2033">
        <v>-1.61</v>
      </c>
      <c r="BD2033">
        <v>-0.15</v>
      </c>
      <c r="BE2033">
        <v>-1.7</v>
      </c>
      <c r="BF2033">
        <v>-2.2200000000000002</v>
      </c>
      <c r="BG2033">
        <v>0.31</v>
      </c>
      <c r="BH2033">
        <v>-1.1599999999999999</v>
      </c>
      <c r="BI2033">
        <v>20191223</v>
      </c>
      <c r="BJ2033">
        <v>20180206</v>
      </c>
      <c r="BK2033">
        <v>0.64</v>
      </c>
      <c r="BL2033" t="s">
        <v>116</v>
      </c>
      <c r="BM2033" t="s">
        <v>116</v>
      </c>
      <c r="BN2033">
        <v>9.84</v>
      </c>
      <c r="BO2033">
        <v>6.94</v>
      </c>
      <c r="BP2033">
        <v>0.04</v>
      </c>
      <c r="BQ2033">
        <v>28.99</v>
      </c>
      <c r="BR2033">
        <v>7.28</v>
      </c>
      <c r="BS2033">
        <v>1.89</v>
      </c>
      <c r="BT2033">
        <v>0.22</v>
      </c>
      <c r="BU2033">
        <v>2.72</v>
      </c>
      <c r="BV2033">
        <v>1.77</v>
      </c>
      <c r="BW2033">
        <v>2.35</v>
      </c>
      <c r="BX2033">
        <v>3.18</v>
      </c>
      <c r="BY2033">
        <v>6.72</v>
      </c>
      <c r="BZ2033">
        <v>5.72</v>
      </c>
      <c r="CA2033">
        <v>0.18</v>
      </c>
      <c r="CB2033">
        <v>0.03</v>
      </c>
      <c r="CC2033">
        <v>0.18</v>
      </c>
      <c r="CD2033">
        <v>0.17</v>
      </c>
      <c r="CE2033">
        <v>0.17</v>
      </c>
      <c r="CF2033">
        <v>0.09</v>
      </c>
      <c r="CG2033">
        <v>2.69</v>
      </c>
      <c r="CH2033">
        <v>0.14000000000000001</v>
      </c>
      <c r="CI2033">
        <v>-1.49</v>
      </c>
      <c r="CJ2033">
        <v>8621</v>
      </c>
      <c r="CK2033">
        <v>3590</v>
      </c>
      <c r="CL2033" t="s">
        <v>1098</v>
      </c>
      <c r="CM2033">
        <v>18.11</v>
      </c>
      <c r="CN2033">
        <v>-10.19</v>
      </c>
      <c r="CO2033">
        <v>2.72</v>
      </c>
      <c r="CP2033">
        <v>131.38</v>
      </c>
      <c r="CQ2033">
        <v>2.81</v>
      </c>
      <c r="CR2033">
        <v>0.51</v>
      </c>
      <c r="CS2033" t="s">
        <v>2326</v>
      </c>
      <c r="CT2033">
        <v>10.85</v>
      </c>
      <c r="CU2033">
        <v>0</v>
      </c>
      <c r="CV2033">
        <v>4.96</v>
      </c>
      <c r="CW2033">
        <v>4.2</v>
      </c>
      <c r="CX2033">
        <v>0.22</v>
      </c>
      <c r="CY2033">
        <v>70.569999999999993</v>
      </c>
      <c r="CZ2033" t="s">
        <v>1086</v>
      </c>
      <c r="DA2033">
        <v>14.86</v>
      </c>
      <c r="DB2033">
        <v>2.74</v>
      </c>
      <c r="DC2033">
        <v>2.57</v>
      </c>
      <c r="DD2033">
        <v>0.26</v>
      </c>
      <c r="DE2033">
        <v>596</v>
      </c>
      <c r="DF2033">
        <v>300644</v>
      </c>
      <c r="DG2033" t="s">
        <v>116</v>
      </c>
      <c r="DH2033" t="s">
        <v>116</v>
      </c>
      <c r="DI2033" t="s">
        <v>116</v>
      </c>
    </row>
    <row r="2034" spans="1:113" x14ac:dyDescent="0.4">
      <c r="A2034" t="str">
        <f>"300645"</f>
        <v>300645</v>
      </c>
      <c r="B2034" t="s">
        <v>9961</v>
      </c>
      <c r="C2034">
        <v>-7.0000000000000007E-2</v>
      </c>
      <c r="D2034">
        <v>14.6</v>
      </c>
      <c r="E2034">
        <v>-0.01</v>
      </c>
      <c r="F2034">
        <v>14.6</v>
      </c>
      <c r="G2034">
        <v>14.61</v>
      </c>
      <c r="H2034">
        <v>29218</v>
      </c>
      <c r="I2034">
        <v>181</v>
      </c>
      <c r="J2034">
        <v>0</v>
      </c>
      <c r="K2034">
        <v>3.39</v>
      </c>
      <c r="L2034">
        <v>14.61</v>
      </c>
      <c r="M2034">
        <v>14.98</v>
      </c>
      <c r="N2034">
        <v>14.53</v>
      </c>
      <c r="O2034">
        <v>14.61</v>
      </c>
      <c r="P2034">
        <v>228.09</v>
      </c>
      <c r="Q2034">
        <v>43161988</v>
      </c>
      <c r="R2034">
        <v>0.94</v>
      </c>
      <c r="S2034" t="s">
        <v>607</v>
      </c>
      <c r="T2034" t="s">
        <v>590</v>
      </c>
      <c r="U2034">
        <v>3.08</v>
      </c>
      <c r="V2034">
        <v>14.77</v>
      </c>
      <c r="W2034">
        <v>16133</v>
      </c>
      <c r="X2034">
        <v>13085</v>
      </c>
      <c r="Y2034">
        <v>1.23</v>
      </c>
      <c r="Z2034">
        <v>124</v>
      </c>
      <c r="AA2034">
        <v>43</v>
      </c>
      <c r="AB2034" t="s">
        <v>116</v>
      </c>
      <c r="AC2034">
        <v>59900</v>
      </c>
      <c r="AD2034">
        <v>0.01</v>
      </c>
      <c r="AE2034" t="s">
        <v>116</v>
      </c>
      <c r="AF2034" t="s">
        <v>116</v>
      </c>
      <c r="AG2034">
        <v>0.86</v>
      </c>
      <c r="AH2034" t="s">
        <v>8591</v>
      </c>
      <c r="AI2034" t="s">
        <v>3249</v>
      </c>
      <c r="AJ2034">
        <v>0.61</v>
      </c>
      <c r="AK2034">
        <v>1287</v>
      </c>
      <c r="AL2034">
        <v>23</v>
      </c>
      <c r="AM2034">
        <v>2.5999999999999999E-3</v>
      </c>
      <c r="AN2034">
        <v>-1</v>
      </c>
      <c r="AO2034">
        <v>1.59</v>
      </c>
      <c r="AP2034">
        <v>6.96</v>
      </c>
      <c r="AQ2034">
        <v>-1.62</v>
      </c>
      <c r="AR2034">
        <v>-10.57</v>
      </c>
      <c r="AS2034">
        <v>4.09</v>
      </c>
      <c r="AT2034" t="s">
        <v>3885</v>
      </c>
      <c r="AU2034">
        <v>35.619999999999997</v>
      </c>
      <c r="AV2034">
        <v>36.729999999999997</v>
      </c>
      <c r="AW2034">
        <v>1.08</v>
      </c>
      <c r="BA2034">
        <v>0</v>
      </c>
      <c r="BB2034">
        <v>2.5299999999999998</v>
      </c>
      <c r="BC2034">
        <v>-0.55000000000000004</v>
      </c>
      <c r="BD2034">
        <v>1.1100000000000001</v>
      </c>
      <c r="BE2034">
        <v>-7.0000000000000007E-2</v>
      </c>
      <c r="BF2034">
        <v>-2.54</v>
      </c>
      <c r="BG2034">
        <v>0.48</v>
      </c>
      <c r="BH2034">
        <v>-1.18</v>
      </c>
      <c r="BI2034">
        <v>20191203</v>
      </c>
      <c r="BJ2034">
        <v>20170421</v>
      </c>
      <c r="BK2034">
        <v>1.27</v>
      </c>
      <c r="BL2034" t="s">
        <v>116</v>
      </c>
      <c r="BM2034" t="s">
        <v>116</v>
      </c>
      <c r="BN2034">
        <v>12.47</v>
      </c>
      <c r="BO2034">
        <v>5.82</v>
      </c>
      <c r="BP2034">
        <v>0.51</v>
      </c>
      <c r="BQ2034">
        <v>49.23</v>
      </c>
      <c r="BR2034">
        <v>9.94</v>
      </c>
      <c r="BS2034">
        <v>0.34</v>
      </c>
      <c r="BT2034">
        <v>0.51</v>
      </c>
      <c r="BU2034">
        <v>6.05</v>
      </c>
      <c r="BV2034">
        <v>3.03</v>
      </c>
      <c r="BW2034">
        <v>4.3499999999999996</v>
      </c>
      <c r="BX2034">
        <v>2.2200000000000002</v>
      </c>
      <c r="BY2034">
        <v>3.67</v>
      </c>
      <c r="BZ2034">
        <v>2.11</v>
      </c>
      <c r="CA2034">
        <v>0.05</v>
      </c>
      <c r="CB2034">
        <v>0.01</v>
      </c>
      <c r="CC2034">
        <v>0.02</v>
      </c>
      <c r="CD2034">
        <v>0.02</v>
      </c>
      <c r="CE2034">
        <v>0.06</v>
      </c>
      <c r="CF2034">
        <v>0.06</v>
      </c>
      <c r="CG2034">
        <v>2.0699999999999998</v>
      </c>
      <c r="CH2034">
        <v>-2.76</v>
      </c>
      <c r="CI2034">
        <v>-1.24</v>
      </c>
      <c r="CJ2034">
        <v>11149</v>
      </c>
      <c r="CK2034">
        <v>6415</v>
      </c>
      <c r="CL2034" t="s">
        <v>971</v>
      </c>
      <c r="CM2034">
        <v>34.590000000000003</v>
      </c>
      <c r="CN2034">
        <v>31.25</v>
      </c>
      <c r="CO2034">
        <v>3.18</v>
      </c>
      <c r="CP2034">
        <v>-6.7</v>
      </c>
      <c r="CQ2034">
        <v>5.04</v>
      </c>
      <c r="CR2034">
        <v>0.54</v>
      </c>
      <c r="CS2034" t="s">
        <v>2674</v>
      </c>
      <c r="CT2034">
        <v>4.59</v>
      </c>
      <c r="CU2034">
        <v>0</v>
      </c>
      <c r="CV2034">
        <v>1.75</v>
      </c>
      <c r="CW2034">
        <v>1.64</v>
      </c>
      <c r="CX2034">
        <v>-2.1800000000000002</v>
      </c>
      <c r="CY2034">
        <v>46.65</v>
      </c>
      <c r="CZ2034" t="s">
        <v>3548</v>
      </c>
      <c r="DA2034">
        <v>42.61</v>
      </c>
      <c r="DB2034">
        <v>1.39</v>
      </c>
      <c r="DC2034">
        <v>1.66</v>
      </c>
      <c r="DD2034">
        <v>0.61</v>
      </c>
      <c r="DE2034">
        <v>1021</v>
      </c>
      <c r="DF2034">
        <v>300645</v>
      </c>
      <c r="DG2034" t="s">
        <v>116</v>
      </c>
      <c r="DH2034" t="s">
        <v>116</v>
      </c>
      <c r="DI2034" t="s">
        <v>116</v>
      </c>
    </row>
    <row r="2035" spans="1:113" x14ac:dyDescent="0.4">
      <c r="A2035" t="str">
        <f>"300647"</f>
        <v>300647</v>
      </c>
      <c r="B2035" t="s">
        <v>9962</v>
      </c>
      <c r="C2035">
        <v>-2.5</v>
      </c>
      <c r="D2035">
        <v>13.26</v>
      </c>
      <c r="E2035">
        <v>-0.34</v>
      </c>
      <c r="F2035">
        <v>13.25</v>
      </c>
      <c r="G2035">
        <v>13.26</v>
      </c>
      <c r="H2035">
        <v>29115</v>
      </c>
      <c r="I2035">
        <v>697</v>
      </c>
      <c r="J2035">
        <v>0</v>
      </c>
      <c r="K2035">
        <v>3.39</v>
      </c>
      <c r="L2035">
        <v>13.59</v>
      </c>
      <c r="M2035">
        <v>13.64</v>
      </c>
      <c r="N2035">
        <v>13.23</v>
      </c>
      <c r="O2035">
        <v>13.6</v>
      </c>
      <c r="P2035">
        <v>195.85</v>
      </c>
      <c r="Q2035">
        <v>39114700</v>
      </c>
      <c r="R2035">
        <v>0.66</v>
      </c>
      <c r="S2035" t="s">
        <v>233</v>
      </c>
      <c r="T2035" t="s">
        <v>115</v>
      </c>
      <c r="U2035">
        <v>3.01</v>
      </c>
      <c r="V2035">
        <v>13.43</v>
      </c>
      <c r="W2035">
        <v>19249</v>
      </c>
      <c r="X2035">
        <v>9866</v>
      </c>
      <c r="Y2035">
        <v>1.95</v>
      </c>
      <c r="Z2035">
        <v>671</v>
      </c>
      <c r="AA2035">
        <v>245</v>
      </c>
      <c r="AB2035" t="s">
        <v>116</v>
      </c>
      <c r="AC2035">
        <v>34000</v>
      </c>
      <c r="AD2035">
        <v>0</v>
      </c>
      <c r="AE2035" t="s">
        <v>116</v>
      </c>
      <c r="AF2035" t="s">
        <v>116</v>
      </c>
      <c r="AG2035">
        <v>0.86</v>
      </c>
      <c r="AH2035" t="s">
        <v>9963</v>
      </c>
      <c r="AI2035" t="s">
        <v>9964</v>
      </c>
      <c r="AJ2035">
        <v>-1.82</v>
      </c>
      <c r="AK2035">
        <v>1321</v>
      </c>
      <c r="AL2035">
        <v>22</v>
      </c>
      <c r="AM2035">
        <v>2.5999999999999999E-3</v>
      </c>
      <c r="AN2035">
        <v>-2</v>
      </c>
      <c r="AO2035">
        <v>-2.78</v>
      </c>
      <c r="AP2035">
        <v>6.59</v>
      </c>
      <c r="AQ2035">
        <v>-8.99</v>
      </c>
      <c r="AR2035">
        <v>-9.02</v>
      </c>
      <c r="AS2035">
        <v>4.04</v>
      </c>
      <c r="AT2035" t="s">
        <v>9965</v>
      </c>
      <c r="AU2035">
        <v>384.88</v>
      </c>
      <c r="AV2035">
        <v>316.74</v>
      </c>
      <c r="AW2035">
        <v>1.47</v>
      </c>
      <c r="BA2035">
        <v>-7.0000000000000007E-2</v>
      </c>
      <c r="BB2035">
        <v>0.28999999999999998</v>
      </c>
      <c r="BC2035">
        <v>-2.72</v>
      </c>
      <c r="BD2035">
        <v>-1.22</v>
      </c>
      <c r="BE2035">
        <v>-2.4300000000000002</v>
      </c>
      <c r="BF2035">
        <v>-2.79</v>
      </c>
      <c r="BG2035">
        <v>0.23</v>
      </c>
      <c r="BH2035">
        <v>-1.28</v>
      </c>
      <c r="BI2035">
        <v>20191216</v>
      </c>
      <c r="BJ2035">
        <v>20170503</v>
      </c>
      <c r="BK2035">
        <v>2.38</v>
      </c>
      <c r="BL2035" t="s">
        <v>116</v>
      </c>
      <c r="BM2035" t="s">
        <v>116</v>
      </c>
      <c r="BN2035">
        <v>12.4</v>
      </c>
      <c r="BO2035">
        <v>5.98</v>
      </c>
      <c r="BP2035">
        <v>0.12</v>
      </c>
      <c r="BQ2035">
        <v>50.84</v>
      </c>
      <c r="BR2035">
        <v>5.58</v>
      </c>
      <c r="BS2035">
        <v>3.26</v>
      </c>
      <c r="BT2035">
        <v>0.17</v>
      </c>
      <c r="BU2035">
        <v>5.27</v>
      </c>
      <c r="BV2035">
        <v>0.9</v>
      </c>
      <c r="BW2035">
        <v>1.63</v>
      </c>
      <c r="BX2035">
        <v>2.5299999999999998</v>
      </c>
      <c r="BY2035">
        <v>3.46</v>
      </c>
      <c r="BZ2035">
        <v>2.19</v>
      </c>
      <c r="CA2035">
        <v>0.02</v>
      </c>
      <c r="CB2035">
        <v>-0.02</v>
      </c>
      <c r="CC2035">
        <v>0.03</v>
      </c>
      <c r="CD2035">
        <v>0.09</v>
      </c>
      <c r="CE2035">
        <v>0.12</v>
      </c>
      <c r="CF2035">
        <v>0.08</v>
      </c>
      <c r="CG2035">
        <v>1.28</v>
      </c>
      <c r="CH2035">
        <v>0.11</v>
      </c>
      <c r="CI2035">
        <v>-1.0900000000000001</v>
      </c>
      <c r="CJ2035">
        <v>21314</v>
      </c>
      <c r="CK2035">
        <v>3381</v>
      </c>
      <c r="CL2035" t="s">
        <v>2342</v>
      </c>
      <c r="CM2035">
        <v>-12.74</v>
      </c>
      <c r="CN2035">
        <v>-10</v>
      </c>
      <c r="CO2035">
        <v>5.28</v>
      </c>
      <c r="CP2035">
        <v>292.95999999999998</v>
      </c>
      <c r="CQ2035">
        <v>9.1300000000000008</v>
      </c>
      <c r="CR2035">
        <v>0.11</v>
      </c>
      <c r="CS2035" t="s">
        <v>9364</v>
      </c>
      <c r="CT2035">
        <v>2.5099999999999998</v>
      </c>
      <c r="CU2035">
        <v>0</v>
      </c>
      <c r="CV2035">
        <v>1.06</v>
      </c>
      <c r="CW2035">
        <v>0.54</v>
      </c>
      <c r="CX2035">
        <v>0.05</v>
      </c>
      <c r="CY2035">
        <v>48.21</v>
      </c>
      <c r="CZ2035" t="s">
        <v>4692</v>
      </c>
      <c r="DA2035">
        <v>36.76</v>
      </c>
      <c r="DB2035">
        <v>0.57999999999999996</v>
      </c>
      <c r="DC2035">
        <v>3.5</v>
      </c>
      <c r="DD2035">
        <v>0.23</v>
      </c>
      <c r="DE2035">
        <v>794</v>
      </c>
      <c r="DF2035">
        <v>300647</v>
      </c>
      <c r="DG2035" t="s">
        <v>116</v>
      </c>
      <c r="DH2035" t="s">
        <v>116</v>
      </c>
      <c r="DI2035" t="s">
        <v>116</v>
      </c>
    </row>
    <row r="2036" spans="1:113" x14ac:dyDescent="0.4">
      <c r="A2036" t="str">
        <f>"300648"</f>
        <v>300648</v>
      </c>
      <c r="B2036" t="s">
        <v>9966</v>
      </c>
      <c r="C2036">
        <v>-0.19</v>
      </c>
      <c r="D2036">
        <v>16.07</v>
      </c>
      <c r="E2036">
        <v>-0.03</v>
      </c>
      <c r="F2036">
        <v>16.059999999999999</v>
      </c>
      <c r="G2036">
        <v>16.07</v>
      </c>
      <c r="H2036">
        <v>43608</v>
      </c>
      <c r="I2036">
        <v>434</v>
      </c>
      <c r="J2036">
        <v>-0.05</v>
      </c>
      <c r="K2036">
        <v>7.26</v>
      </c>
      <c r="L2036">
        <v>16.170000000000002</v>
      </c>
      <c r="M2036">
        <v>16.59</v>
      </c>
      <c r="N2036">
        <v>15.88</v>
      </c>
      <c r="O2036">
        <v>16.100000000000001</v>
      </c>
      <c r="P2036">
        <v>256.83999999999997</v>
      </c>
      <c r="Q2036">
        <v>70636168</v>
      </c>
      <c r="R2036">
        <v>1.84</v>
      </c>
      <c r="S2036" t="s">
        <v>2977</v>
      </c>
      <c r="T2036" t="s">
        <v>975</v>
      </c>
      <c r="U2036">
        <v>4.41</v>
      </c>
      <c r="V2036">
        <v>16.2</v>
      </c>
      <c r="W2036">
        <v>20636</v>
      </c>
      <c r="X2036">
        <v>22972</v>
      </c>
      <c r="Y2036">
        <v>0.9</v>
      </c>
      <c r="Z2036">
        <v>17</v>
      </c>
      <c r="AA2036">
        <v>27</v>
      </c>
      <c r="AB2036" t="s">
        <v>116</v>
      </c>
      <c r="AC2036">
        <v>507700</v>
      </c>
      <c r="AD2036">
        <v>0.05</v>
      </c>
      <c r="AE2036" t="s">
        <v>116</v>
      </c>
      <c r="AF2036" t="s">
        <v>116</v>
      </c>
      <c r="AG2036">
        <v>0.6</v>
      </c>
      <c r="AH2036" t="s">
        <v>9967</v>
      </c>
      <c r="AI2036" t="s">
        <v>8615</v>
      </c>
      <c r="AJ2036">
        <v>0.49</v>
      </c>
      <c r="AK2036">
        <v>2055</v>
      </c>
      <c r="AL2036">
        <v>21</v>
      </c>
      <c r="AM2036">
        <v>3.5000000000000001E-3</v>
      </c>
      <c r="AN2036">
        <v>-1</v>
      </c>
      <c r="AO2036">
        <v>1.06</v>
      </c>
      <c r="AP2036">
        <v>9.32</v>
      </c>
      <c r="AQ2036">
        <v>-5.19</v>
      </c>
      <c r="AR2036">
        <v>-2.1</v>
      </c>
      <c r="AS2036">
        <v>7.26</v>
      </c>
      <c r="AT2036" t="s">
        <v>9967</v>
      </c>
      <c r="AU2036">
        <v>930.95</v>
      </c>
      <c r="AV2036">
        <v>106.06</v>
      </c>
      <c r="AW2036">
        <v>1.1599999999999999</v>
      </c>
      <c r="BA2036">
        <v>0.43</v>
      </c>
      <c r="BB2036">
        <v>3.04</v>
      </c>
      <c r="BC2036">
        <v>-1.37</v>
      </c>
      <c r="BD2036">
        <v>0.61</v>
      </c>
      <c r="BE2036">
        <v>-0.62</v>
      </c>
      <c r="BF2036">
        <v>-3.13</v>
      </c>
      <c r="BG2036">
        <v>1.2</v>
      </c>
      <c r="BH2036">
        <v>-0.8</v>
      </c>
      <c r="BI2036">
        <v>20191029</v>
      </c>
      <c r="BJ2036">
        <v>20170425</v>
      </c>
      <c r="BK2036">
        <v>1.35</v>
      </c>
      <c r="BL2036" t="s">
        <v>116</v>
      </c>
      <c r="BM2036" t="s">
        <v>116</v>
      </c>
      <c r="BN2036">
        <v>8.44</v>
      </c>
      <c r="BO2036">
        <v>5.35</v>
      </c>
      <c r="BP2036">
        <v>0.04</v>
      </c>
      <c r="BQ2036">
        <v>36.14</v>
      </c>
      <c r="BR2036">
        <v>5.44</v>
      </c>
      <c r="BS2036">
        <v>1.1100000000000001</v>
      </c>
      <c r="BT2036">
        <v>0.68</v>
      </c>
      <c r="BU2036">
        <v>2.76</v>
      </c>
      <c r="BV2036">
        <v>1.71</v>
      </c>
      <c r="BW2036">
        <v>2.15</v>
      </c>
      <c r="BX2036">
        <v>2.2599999999999998</v>
      </c>
      <c r="BY2036">
        <v>2.63</v>
      </c>
      <c r="BZ2036">
        <v>1.48</v>
      </c>
      <c r="CA2036">
        <v>0.06</v>
      </c>
      <c r="CB2036">
        <v>-0.01</v>
      </c>
      <c r="CC2036">
        <v>0.06</v>
      </c>
      <c r="CD2036">
        <v>0.09</v>
      </c>
      <c r="CE2036">
        <v>0.06</v>
      </c>
      <c r="CF2036">
        <v>0.03</v>
      </c>
      <c r="CG2036">
        <v>1.55</v>
      </c>
      <c r="CH2036">
        <v>-0.8</v>
      </c>
      <c r="CI2036">
        <v>-0.81</v>
      </c>
      <c r="CJ2036">
        <v>13936</v>
      </c>
      <c r="CK2036">
        <v>4308</v>
      </c>
      <c r="CL2036" t="s">
        <v>9968</v>
      </c>
      <c r="CM2036">
        <v>-74.099999999999994</v>
      </c>
      <c r="CN2036">
        <v>14.3</v>
      </c>
      <c r="CO2036">
        <v>4.07</v>
      </c>
      <c r="CP2036">
        <v>-27.11</v>
      </c>
      <c r="CQ2036">
        <v>8.2799999999999994</v>
      </c>
      <c r="CR2036">
        <v>0.09</v>
      </c>
      <c r="CS2036" t="s">
        <v>9504</v>
      </c>
      <c r="CT2036">
        <v>3.95</v>
      </c>
      <c r="CU2036">
        <v>0</v>
      </c>
      <c r="CV2036">
        <v>1.67</v>
      </c>
      <c r="CW2036">
        <v>1.1399999999999999</v>
      </c>
      <c r="CX2036">
        <v>-0.59</v>
      </c>
      <c r="CY2036">
        <v>63.34</v>
      </c>
      <c r="CZ2036" t="s">
        <v>9969</v>
      </c>
      <c r="DA2036">
        <v>43.48</v>
      </c>
      <c r="DB2036">
        <v>2.34</v>
      </c>
      <c r="DC2036">
        <v>2.42</v>
      </c>
      <c r="DD2036">
        <v>0.41</v>
      </c>
      <c r="DE2036">
        <v>1016</v>
      </c>
      <c r="DF2036">
        <v>300648</v>
      </c>
      <c r="DG2036" t="s">
        <v>116</v>
      </c>
      <c r="DH2036" t="s">
        <v>116</v>
      </c>
      <c r="DI2036" t="s">
        <v>116</v>
      </c>
    </row>
    <row r="2037" spans="1:113" x14ac:dyDescent="0.4">
      <c r="A2037" t="str">
        <f>"300649"</f>
        <v>300649</v>
      </c>
      <c r="B2037" t="s">
        <v>9970</v>
      </c>
      <c r="C2037">
        <v>0</v>
      </c>
      <c r="D2037">
        <v>19.77</v>
      </c>
      <c r="E2037">
        <v>0</v>
      </c>
      <c r="F2037">
        <v>19.77</v>
      </c>
      <c r="G2037">
        <v>19.79</v>
      </c>
      <c r="H2037">
        <v>5371</v>
      </c>
      <c r="I2037">
        <v>101</v>
      </c>
      <c r="J2037">
        <v>0</v>
      </c>
      <c r="K2037">
        <v>1.68</v>
      </c>
      <c r="L2037">
        <v>20.07</v>
      </c>
      <c r="M2037">
        <v>20.09</v>
      </c>
      <c r="N2037">
        <v>19.73</v>
      </c>
      <c r="O2037">
        <v>19.77</v>
      </c>
      <c r="P2037">
        <v>45.04</v>
      </c>
      <c r="Q2037">
        <v>10686678</v>
      </c>
      <c r="R2037">
        <v>1.1200000000000001</v>
      </c>
      <c r="S2037" t="s">
        <v>181</v>
      </c>
      <c r="T2037" t="s">
        <v>590</v>
      </c>
      <c r="U2037">
        <v>1.82</v>
      </c>
      <c r="V2037">
        <v>19.899999999999999</v>
      </c>
      <c r="W2037">
        <v>2885</v>
      </c>
      <c r="X2037">
        <v>2486</v>
      </c>
      <c r="Y2037">
        <v>1.1599999999999999</v>
      </c>
      <c r="Z2037">
        <v>17</v>
      </c>
      <c r="AA2037">
        <v>5</v>
      </c>
      <c r="AB2037" t="s">
        <v>116</v>
      </c>
      <c r="AC2037">
        <v>513800</v>
      </c>
      <c r="AD2037">
        <v>0.08</v>
      </c>
      <c r="AE2037" t="s">
        <v>116</v>
      </c>
      <c r="AF2037" t="s">
        <v>116</v>
      </c>
      <c r="AG2037">
        <v>0.32</v>
      </c>
      <c r="AH2037" t="s">
        <v>7393</v>
      </c>
      <c r="AI2037" t="s">
        <v>3804</v>
      </c>
      <c r="AJ2037">
        <v>0.68</v>
      </c>
      <c r="AK2037">
        <v>460</v>
      </c>
      <c r="AL2037">
        <v>12</v>
      </c>
      <c r="AM2037">
        <v>3.5999999999999999E-3</v>
      </c>
      <c r="AN2037">
        <v>0</v>
      </c>
      <c r="AO2037">
        <v>0.4</v>
      </c>
      <c r="AP2037">
        <v>2.97</v>
      </c>
      <c r="AQ2037">
        <v>-1.89</v>
      </c>
      <c r="AR2037">
        <v>-18.37</v>
      </c>
      <c r="AS2037">
        <v>1.68</v>
      </c>
      <c r="AT2037" t="s">
        <v>7393</v>
      </c>
      <c r="AU2037">
        <v>40.21</v>
      </c>
      <c r="AV2037">
        <v>48.37</v>
      </c>
      <c r="AW2037">
        <v>0.82</v>
      </c>
      <c r="BA2037">
        <v>1.52</v>
      </c>
      <c r="BB2037">
        <v>1.62</v>
      </c>
      <c r="BC2037">
        <v>-0.2</v>
      </c>
      <c r="BD2037">
        <v>0.64</v>
      </c>
      <c r="BE2037">
        <v>-1.49</v>
      </c>
      <c r="BF2037">
        <v>-1.59</v>
      </c>
      <c r="BG2037">
        <v>0.2</v>
      </c>
      <c r="BH2037">
        <v>-0.64</v>
      </c>
      <c r="BI2037">
        <v>20191030</v>
      </c>
      <c r="BJ2037">
        <v>20170505</v>
      </c>
      <c r="BK2037">
        <v>1.28</v>
      </c>
      <c r="BL2037" t="s">
        <v>116</v>
      </c>
      <c r="BM2037" t="s">
        <v>116</v>
      </c>
      <c r="BN2037">
        <v>8.6</v>
      </c>
      <c r="BO2037">
        <v>3.85</v>
      </c>
      <c r="BP2037">
        <v>0</v>
      </c>
      <c r="BQ2037">
        <v>55.19</v>
      </c>
      <c r="BR2037">
        <v>6.47</v>
      </c>
      <c r="BS2037">
        <v>1.93</v>
      </c>
      <c r="BT2037">
        <v>0</v>
      </c>
      <c r="BU2037">
        <v>4.7300000000000004</v>
      </c>
      <c r="BV2037">
        <v>3.53</v>
      </c>
      <c r="BW2037">
        <v>1.89</v>
      </c>
      <c r="BX2037">
        <v>0.67</v>
      </c>
      <c r="BY2037">
        <v>5.38</v>
      </c>
      <c r="BZ2037">
        <v>4.2300000000000004</v>
      </c>
      <c r="CA2037">
        <v>0.46</v>
      </c>
      <c r="CB2037">
        <v>0</v>
      </c>
      <c r="CC2037">
        <v>0.46</v>
      </c>
      <c r="CD2037">
        <v>0.42</v>
      </c>
      <c r="CE2037">
        <v>0.42</v>
      </c>
      <c r="CF2037">
        <v>0.4</v>
      </c>
      <c r="CG2037">
        <v>1.64</v>
      </c>
      <c r="CH2037">
        <v>0.14000000000000001</v>
      </c>
      <c r="CI2037">
        <v>-0.11</v>
      </c>
      <c r="CJ2037">
        <v>12745</v>
      </c>
      <c r="CK2037">
        <v>2511</v>
      </c>
      <c r="CL2037" t="s">
        <v>1463</v>
      </c>
      <c r="CM2037">
        <v>33.64</v>
      </c>
      <c r="CN2037">
        <v>43.11</v>
      </c>
      <c r="CO2037">
        <v>6.57</v>
      </c>
      <c r="CP2037">
        <v>185.02</v>
      </c>
      <c r="CQ2037">
        <v>4.7</v>
      </c>
      <c r="CR2037">
        <v>0.51</v>
      </c>
      <c r="CS2037" t="s">
        <v>4936</v>
      </c>
      <c r="CT2037">
        <v>3.01</v>
      </c>
      <c r="CU2037">
        <v>0</v>
      </c>
      <c r="CV2037">
        <v>0.52</v>
      </c>
      <c r="CW2037">
        <v>1.28</v>
      </c>
      <c r="CX2037">
        <v>0.11</v>
      </c>
      <c r="CY2037">
        <v>44.81</v>
      </c>
      <c r="CZ2037" t="s">
        <v>7391</v>
      </c>
      <c r="DA2037">
        <v>21.37</v>
      </c>
      <c r="DB2037">
        <v>8.59</v>
      </c>
      <c r="DC2037">
        <v>7.83</v>
      </c>
      <c r="DD2037">
        <v>0.28999999999999998</v>
      </c>
      <c r="DE2037">
        <v>247</v>
      </c>
      <c r="DF2037">
        <v>300649</v>
      </c>
      <c r="DG2037" t="s">
        <v>116</v>
      </c>
      <c r="DH2037" t="s">
        <v>116</v>
      </c>
      <c r="DI2037" t="s">
        <v>116</v>
      </c>
    </row>
    <row r="2038" spans="1:113" x14ac:dyDescent="0.4">
      <c r="A2038" t="str">
        <f>"300650"</f>
        <v>300650</v>
      </c>
      <c r="B2038" t="s">
        <v>9971</v>
      </c>
      <c r="C2038">
        <v>-3.59</v>
      </c>
      <c r="D2038">
        <v>16.899999999999999</v>
      </c>
      <c r="E2038">
        <v>-0.63</v>
      </c>
      <c r="F2038">
        <v>16.88</v>
      </c>
      <c r="G2038">
        <v>16.899999999999999</v>
      </c>
      <c r="H2038">
        <v>10317</v>
      </c>
      <c r="I2038">
        <v>205</v>
      </c>
      <c r="J2038">
        <v>-0.64</v>
      </c>
      <c r="K2038">
        <v>2.25</v>
      </c>
      <c r="L2038">
        <v>17.53</v>
      </c>
      <c r="M2038">
        <v>17.68</v>
      </c>
      <c r="N2038">
        <v>16.899999999999999</v>
      </c>
      <c r="O2038">
        <v>17.53</v>
      </c>
      <c r="P2038">
        <v>32.950000000000003</v>
      </c>
      <c r="Q2038">
        <v>17830268</v>
      </c>
      <c r="R2038">
        <v>1.23</v>
      </c>
      <c r="S2038" t="s">
        <v>397</v>
      </c>
      <c r="T2038" t="s">
        <v>975</v>
      </c>
      <c r="U2038">
        <v>4.45</v>
      </c>
      <c r="V2038">
        <v>17.28</v>
      </c>
      <c r="W2038">
        <v>5995</v>
      </c>
      <c r="X2038">
        <v>4322</v>
      </c>
      <c r="Y2038">
        <v>1.39</v>
      </c>
      <c r="Z2038">
        <v>37</v>
      </c>
      <c r="AA2038">
        <v>75</v>
      </c>
      <c r="AB2038" t="s">
        <v>116</v>
      </c>
      <c r="AC2038">
        <v>0</v>
      </c>
      <c r="AD2038">
        <v>0</v>
      </c>
      <c r="AE2038" t="s">
        <v>116</v>
      </c>
      <c r="AF2038" t="s">
        <v>116</v>
      </c>
      <c r="AG2038">
        <v>0.46</v>
      </c>
      <c r="AH2038" t="s">
        <v>9972</v>
      </c>
      <c r="AI2038" t="s">
        <v>9973</v>
      </c>
      <c r="AJ2038">
        <v>-2.91</v>
      </c>
      <c r="AK2038">
        <v>750</v>
      </c>
      <c r="AL2038">
        <v>14</v>
      </c>
      <c r="AM2038">
        <v>3.0000000000000001E-3</v>
      </c>
      <c r="AN2038">
        <v>-1</v>
      </c>
      <c r="AO2038">
        <v>-3.37</v>
      </c>
      <c r="AP2038">
        <v>1.38</v>
      </c>
      <c r="AQ2038">
        <v>-1.97</v>
      </c>
      <c r="AR2038">
        <v>26.69</v>
      </c>
      <c r="AS2038">
        <v>2.65</v>
      </c>
      <c r="AT2038" t="s">
        <v>9974</v>
      </c>
      <c r="AU2038">
        <v>33.869999999999997</v>
      </c>
      <c r="AV2038">
        <v>31.63</v>
      </c>
      <c r="AW2038">
        <v>1.37</v>
      </c>
      <c r="BA2038">
        <v>0</v>
      </c>
      <c r="BB2038">
        <v>0.86</v>
      </c>
      <c r="BC2038">
        <v>-3.59</v>
      </c>
      <c r="BD2038">
        <v>-1.41</v>
      </c>
      <c r="BE2038">
        <v>-3.59</v>
      </c>
      <c r="BF2038">
        <v>-4.41</v>
      </c>
      <c r="BG2038">
        <v>0</v>
      </c>
      <c r="BH2038">
        <v>-2.1800000000000002</v>
      </c>
      <c r="BI2038">
        <v>20191202</v>
      </c>
      <c r="BJ2038">
        <v>20170503</v>
      </c>
      <c r="BK2038">
        <v>1.07</v>
      </c>
      <c r="BL2038" t="s">
        <v>116</v>
      </c>
      <c r="BM2038" t="s">
        <v>116</v>
      </c>
      <c r="BN2038">
        <v>7.93</v>
      </c>
      <c r="BO2038">
        <v>5.16</v>
      </c>
      <c r="BP2038">
        <v>0.19</v>
      </c>
      <c r="BQ2038">
        <v>32.6</v>
      </c>
      <c r="BR2038">
        <v>5.08</v>
      </c>
      <c r="BS2038">
        <v>1.39</v>
      </c>
      <c r="BT2038">
        <v>0.2</v>
      </c>
      <c r="BU2038">
        <v>1.77</v>
      </c>
      <c r="BV2038">
        <v>1.33</v>
      </c>
      <c r="BW2038">
        <v>1.5</v>
      </c>
      <c r="BX2038">
        <v>1.69</v>
      </c>
      <c r="BY2038">
        <v>3.88</v>
      </c>
      <c r="BZ2038">
        <v>2.5499999999999998</v>
      </c>
      <c r="CA2038">
        <v>0.49</v>
      </c>
      <c r="CB2038">
        <v>0.03</v>
      </c>
      <c r="CC2038">
        <v>0.49</v>
      </c>
      <c r="CD2038">
        <v>0.42</v>
      </c>
      <c r="CE2038">
        <v>0.41</v>
      </c>
      <c r="CF2038">
        <v>0.38</v>
      </c>
      <c r="CG2038">
        <v>2.36</v>
      </c>
      <c r="CH2038">
        <v>0.19</v>
      </c>
      <c r="CI2038">
        <v>0.12</v>
      </c>
      <c r="CJ2038">
        <v>6512</v>
      </c>
      <c r="CK2038">
        <v>5988</v>
      </c>
      <c r="CL2038" t="s">
        <v>2231</v>
      </c>
      <c r="CM2038">
        <v>-8.4</v>
      </c>
      <c r="CN2038">
        <v>16.03</v>
      </c>
      <c r="CO2038">
        <v>3.52</v>
      </c>
      <c r="CP2038">
        <v>95.5</v>
      </c>
      <c r="CQ2038">
        <v>4.67</v>
      </c>
      <c r="CR2038">
        <v>0.71</v>
      </c>
      <c r="CS2038" t="s">
        <v>6158</v>
      </c>
      <c r="CT2038">
        <v>4.8</v>
      </c>
      <c r="CU2038">
        <v>0</v>
      </c>
      <c r="CV2038">
        <v>1.57</v>
      </c>
      <c r="CW2038">
        <v>2.2000000000000002</v>
      </c>
      <c r="CX2038">
        <v>0.18</v>
      </c>
      <c r="CY2038">
        <v>65.06</v>
      </c>
      <c r="CZ2038" t="s">
        <v>6912</v>
      </c>
      <c r="DA2038">
        <v>34.35</v>
      </c>
      <c r="DB2038">
        <v>12.51</v>
      </c>
      <c r="DC2038">
        <v>10.63</v>
      </c>
      <c r="DD2038">
        <v>0.2</v>
      </c>
      <c r="DE2038">
        <v>902</v>
      </c>
      <c r="DF2038">
        <v>300650</v>
      </c>
      <c r="DG2038" t="s">
        <v>116</v>
      </c>
      <c r="DH2038" t="s">
        <v>116</v>
      </c>
      <c r="DI2038" t="s">
        <v>116</v>
      </c>
    </row>
    <row r="2039" spans="1:113" x14ac:dyDescent="0.4">
      <c r="A2039" t="str">
        <f>"300651"</f>
        <v>300651</v>
      </c>
      <c r="B2039" t="s">
        <v>9975</v>
      </c>
      <c r="C2039">
        <v>-0.9</v>
      </c>
      <c r="D2039">
        <v>27.51</v>
      </c>
      <c r="E2039">
        <v>-0.25</v>
      </c>
      <c r="F2039">
        <v>27.51</v>
      </c>
      <c r="G2039">
        <v>27.56</v>
      </c>
      <c r="H2039">
        <v>5594</v>
      </c>
      <c r="I2039">
        <v>148</v>
      </c>
      <c r="J2039">
        <v>0.11</v>
      </c>
      <c r="K2039">
        <v>1.25</v>
      </c>
      <c r="L2039">
        <v>27.76</v>
      </c>
      <c r="M2039">
        <v>27.96</v>
      </c>
      <c r="N2039">
        <v>27.48</v>
      </c>
      <c r="O2039">
        <v>27.76</v>
      </c>
      <c r="P2039">
        <v>97.51</v>
      </c>
      <c r="Q2039">
        <v>15524874</v>
      </c>
      <c r="R2039">
        <v>0.83</v>
      </c>
      <c r="S2039" t="s">
        <v>217</v>
      </c>
      <c r="T2039" t="s">
        <v>323</v>
      </c>
      <c r="U2039">
        <v>1.73</v>
      </c>
      <c r="V2039">
        <v>27.75</v>
      </c>
      <c r="W2039">
        <v>3135</v>
      </c>
      <c r="X2039">
        <v>2459</v>
      </c>
      <c r="Y2039">
        <v>1.27</v>
      </c>
      <c r="Z2039">
        <v>481</v>
      </c>
      <c r="AA2039">
        <v>30</v>
      </c>
      <c r="AB2039" t="s">
        <v>116</v>
      </c>
      <c r="AC2039">
        <v>27800</v>
      </c>
      <c r="AD2039">
        <v>0</v>
      </c>
      <c r="AE2039" t="s">
        <v>116</v>
      </c>
      <c r="AF2039" t="s">
        <v>116</v>
      </c>
      <c r="AG2039">
        <v>0.45</v>
      </c>
      <c r="AH2039" t="s">
        <v>9976</v>
      </c>
      <c r="AI2039" t="s">
        <v>9977</v>
      </c>
      <c r="AJ2039">
        <v>-0.22</v>
      </c>
      <c r="AK2039">
        <v>743</v>
      </c>
      <c r="AL2039">
        <v>8</v>
      </c>
      <c r="AM2039">
        <v>1.6999999999999999E-3</v>
      </c>
      <c r="AN2039">
        <v>-1</v>
      </c>
      <c r="AO2039">
        <v>-0.79</v>
      </c>
      <c r="AP2039">
        <v>7.25</v>
      </c>
      <c r="AQ2039">
        <v>-13.84</v>
      </c>
      <c r="AR2039">
        <v>8.51</v>
      </c>
      <c r="AS2039">
        <v>1.25</v>
      </c>
      <c r="AT2039" t="s">
        <v>9976</v>
      </c>
      <c r="AU2039">
        <v>99.4</v>
      </c>
      <c r="AV2039">
        <v>100.04</v>
      </c>
      <c r="AW2039">
        <v>0.7</v>
      </c>
      <c r="BA2039">
        <v>0</v>
      </c>
      <c r="BB2039">
        <v>0.72</v>
      </c>
      <c r="BC2039">
        <v>-1.01</v>
      </c>
      <c r="BD2039">
        <v>-0.03</v>
      </c>
      <c r="BE2039">
        <v>-0.9</v>
      </c>
      <c r="BF2039">
        <v>-1.61</v>
      </c>
      <c r="BG2039">
        <v>0.11</v>
      </c>
      <c r="BH2039">
        <v>-0.87</v>
      </c>
      <c r="BI2039">
        <v>20191203</v>
      </c>
      <c r="BJ2039">
        <v>20170509</v>
      </c>
      <c r="BK2039">
        <v>1.29</v>
      </c>
      <c r="BL2039" t="s">
        <v>116</v>
      </c>
      <c r="BM2039" t="s">
        <v>116</v>
      </c>
      <c r="BN2039">
        <v>9.2899999999999991</v>
      </c>
      <c r="BO2039">
        <v>6.54</v>
      </c>
      <c r="BP2039">
        <v>0.03</v>
      </c>
      <c r="BQ2039">
        <v>29.25</v>
      </c>
      <c r="BR2039">
        <v>4.5</v>
      </c>
      <c r="BS2039">
        <v>3.21</v>
      </c>
      <c r="BT2039">
        <v>0.55000000000000004</v>
      </c>
      <c r="BU2039">
        <v>2.65</v>
      </c>
      <c r="BV2039">
        <v>1.36</v>
      </c>
      <c r="BW2039">
        <v>1.72</v>
      </c>
      <c r="BX2039">
        <v>1.96</v>
      </c>
      <c r="BY2039">
        <v>3.1</v>
      </c>
      <c r="BZ2039">
        <v>2.0299999999999998</v>
      </c>
      <c r="CA2039">
        <v>0.34</v>
      </c>
      <c r="CB2039">
        <v>-0.06</v>
      </c>
      <c r="CC2039">
        <v>0.33</v>
      </c>
      <c r="CD2039">
        <v>0.27</v>
      </c>
      <c r="CE2039">
        <v>0.27</v>
      </c>
      <c r="CF2039">
        <v>0.22</v>
      </c>
      <c r="CG2039">
        <v>3.01</v>
      </c>
      <c r="CH2039">
        <v>0.25</v>
      </c>
      <c r="CI2039">
        <v>-0.6</v>
      </c>
      <c r="CJ2039">
        <v>5563</v>
      </c>
      <c r="CK2039">
        <v>8046</v>
      </c>
      <c r="CL2039" t="s">
        <v>9978</v>
      </c>
      <c r="CM2039">
        <v>0.84</v>
      </c>
      <c r="CN2039">
        <v>20.57</v>
      </c>
      <c r="CO2039">
        <v>5.42</v>
      </c>
      <c r="CP2039">
        <v>144.38999999999999</v>
      </c>
      <c r="CQ2039">
        <v>11.43</v>
      </c>
      <c r="CR2039">
        <v>0.6</v>
      </c>
      <c r="CS2039" t="s">
        <v>313</v>
      </c>
      <c r="CT2039">
        <v>5.08</v>
      </c>
      <c r="CU2039">
        <v>0</v>
      </c>
      <c r="CV2039">
        <v>1.52</v>
      </c>
      <c r="CW2039">
        <v>2.34</v>
      </c>
      <c r="CX2039">
        <v>0.19</v>
      </c>
      <c r="CY2039">
        <v>70.39</v>
      </c>
      <c r="CZ2039" t="s">
        <v>2919</v>
      </c>
      <c r="DA2039">
        <v>34.31</v>
      </c>
      <c r="DB2039">
        <v>10.86</v>
      </c>
      <c r="DC2039">
        <v>8.7899999999999991</v>
      </c>
      <c r="DD2039">
        <v>0.08</v>
      </c>
      <c r="DE2039">
        <v>747</v>
      </c>
      <c r="DF2039">
        <v>300651</v>
      </c>
      <c r="DG2039" t="s">
        <v>116</v>
      </c>
      <c r="DH2039" t="s">
        <v>116</v>
      </c>
      <c r="DI2039" t="s">
        <v>116</v>
      </c>
    </row>
    <row r="2040" spans="1:113" x14ac:dyDescent="0.4">
      <c r="A2040" t="str">
        <f>"300652"</f>
        <v>300652</v>
      </c>
      <c r="B2040" t="s">
        <v>9979</v>
      </c>
      <c r="C2040">
        <v>-0.25</v>
      </c>
      <c r="D2040">
        <v>20.059999999999999</v>
      </c>
      <c r="E2040">
        <v>-0.05</v>
      </c>
      <c r="F2040">
        <v>19.97</v>
      </c>
      <c r="G2040">
        <v>20.059999999999999</v>
      </c>
      <c r="H2040">
        <v>3887</v>
      </c>
      <c r="I2040">
        <v>61</v>
      </c>
      <c r="J2040">
        <v>0.4</v>
      </c>
      <c r="K2040">
        <v>1.32</v>
      </c>
      <c r="L2040">
        <v>20</v>
      </c>
      <c r="M2040">
        <v>20.28</v>
      </c>
      <c r="N2040">
        <v>19.899999999999999</v>
      </c>
      <c r="O2040">
        <v>20.11</v>
      </c>
      <c r="P2040">
        <v>27.96</v>
      </c>
      <c r="Q2040">
        <v>7808361</v>
      </c>
      <c r="R2040">
        <v>1.08</v>
      </c>
      <c r="S2040" t="s">
        <v>293</v>
      </c>
      <c r="T2040" t="s">
        <v>590</v>
      </c>
      <c r="U2040">
        <v>1.89</v>
      </c>
      <c r="V2040">
        <v>20.09</v>
      </c>
      <c r="W2040">
        <v>1549</v>
      </c>
      <c r="X2040">
        <v>2338</v>
      </c>
      <c r="Y2040">
        <v>0.66</v>
      </c>
      <c r="Z2040">
        <v>10</v>
      </c>
      <c r="AA2040">
        <v>44</v>
      </c>
      <c r="AB2040" t="s">
        <v>116</v>
      </c>
      <c r="AC2040">
        <v>0</v>
      </c>
      <c r="AD2040">
        <v>0</v>
      </c>
      <c r="AE2040" t="s">
        <v>116</v>
      </c>
      <c r="AF2040" t="s">
        <v>116</v>
      </c>
      <c r="AG2040">
        <v>0.3</v>
      </c>
      <c r="AH2040" t="s">
        <v>9980</v>
      </c>
      <c r="AI2040" t="s">
        <v>3362</v>
      </c>
      <c r="AJ2040">
        <v>0.43</v>
      </c>
      <c r="AK2040">
        <v>411</v>
      </c>
      <c r="AL2040">
        <v>9</v>
      </c>
      <c r="AM2040">
        <v>3.2000000000000002E-3</v>
      </c>
      <c r="AN2040">
        <v>-1</v>
      </c>
      <c r="AO2040">
        <v>0.15</v>
      </c>
      <c r="AP2040">
        <v>6.03</v>
      </c>
      <c r="AQ2040">
        <v>-1.62</v>
      </c>
      <c r="AR2040">
        <v>5.75</v>
      </c>
      <c r="AS2040">
        <v>1.32</v>
      </c>
      <c r="AT2040" t="s">
        <v>9980</v>
      </c>
      <c r="AU2040">
        <v>26.99</v>
      </c>
      <c r="AV2040">
        <v>21.29</v>
      </c>
      <c r="AW2040">
        <v>0.84</v>
      </c>
      <c r="BA2040">
        <v>-0.55000000000000004</v>
      </c>
      <c r="BB2040">
        <v>0.85</v>
      </c>
      <c r="BC2040">
        <v>-1.04</v>
      </c>
      <c r="BD2040">
        <v>-0.1</v>
      </c>
      <c r="BE2040">
        <v>0.3</v>
      </c>
      <c r="BF2040">
        <v>-1.08</v>
      </c>
      <c r="BG2040">
        <v>0.8</v>
      </c>
      <c r="BH2040">
        <v>-0.15</v>
      </c>
      <c r="BI2040">
        <v>20191219</v>
      </c>
      <c r="BJ2040">
        <v>20170516</v>
      </c>
      <c r="BK2040">
        <v>0.88</v>
      </c>
      <c r="BL2040" t="s">
        <v>116</v>
      </c>
      <c r="BM2040" t="s">
        <v>116</v>
      </c>
      <c r="BN2040">
        <v>14.35</v>
      </c>
      <c r="BO2040">
        <v>7.6</v>
      </c>
      <c r="BP2040">
        <v>0</v>
      </c>
      <c r="BQ2040">
        <v>47.04</v>
      </c>
      <c r="BR2040">
        <v>11.38</v>
      </c>
      <c r="BS2040">
        <v>1.84</v>
      </c>
      <c r="BT2040">
        <v>0.61</v>
      </c>
      <c r="BU2040">
        <v>6.72</v>
      </c>
      <c r="BV2040">
        <v>1.4</v>
      </c>
      <c r="BW2040">
        <v>0.86</v>
      </c>
      <c r="BX2040">
        <v>3.51</v>
      </c>
      <c r="BY2040">
        <v>3.3</v>
      </c>
      <c r="BZ2040">
        <v>2.29</v>
      </c>
      <c r="CA2040">
        <v>0.54</v>
      </c>
      <c r="CB2040">
        <v>0.1</v>
      </c>
      <c r="CC2040">
        <v>0.55000000000000004</v>
      </c>
      <c r="CD2040">
        <v>0.47</v>
      </c>
      <c r="CE2040">
        <v>0.47</v>
      </c>
      <c r="CF2040">
        <v>0.46</v>
      </c>
      <c r="CG2040">
        <v>2.9</v>
      </c>
      <c r="CH2040">
        <v>0.63</v>
      </c>
      <c r="CI2040">
        <v>-2.41</v>
      </c>
      <c r="CJ2040">
        <v>7702</v>
      </c>
      <c r="CK2040">
        <v>3833</v>
      </c>
      <c r="CL2040" t="s">
        <v>9981</v>
      </c>
      <c r="CM2040">
        <v>-26.97</v>
      </c>
      <c r="CN2040">
        <v>-0.88</v>
      </c>
      <c r="CO2040">
        <v>2.3199999999999998</v>
      </c>
      <c r="CP2040">
        <v>28.08</v>
      </c>
      <c r="CQ2040">
        <v>5.36</v>
      </c>
      <c r="CR2040">
        <v>1</v>
      </c>
      <c r="CS2040" t="s">
        <v>3049</v>
      </c>
      <c r="CT2040">
        <v>8.64</v>
      </c>
      <c r="CU2040">
        <v>0</v>
      </c>
      <c r="CV2040">
        <v>3.99</v>
      </c>
      <c r="CW2040">
        <v>3.3</v>
      </c>
      <c r="CX2040">
        <v>0.71</v>
      </c>
      <c r="CY2040">
        <v>52.96</v>
      </c>
      <c r="CZ2040" t="s">
        <v>5245</v>
      </c>
      <c r="DA2040">
        <v>30.4</v>
      </c>
      <c r="DB2040">
        <v>16.5</v>
      </c>
      <c r="DC2040">
        <v>14.37</v>
      </c>
      <c r="DD2040">
        <v>0.09</v>
      </c>
      <c r="DE2040">
        <v>773</v>
      </c>
      <c r="DF2040">
        <v>300652</v>
      </c>
      <c r="DG2040" t="s">
        <v>116</v>
      </c>
      <c r="DH2040" t="s">
        <v>116</v>
      </c>
      <c r="DI2040" t="s">
        <v>116</v>
      </c>
    </row>
    <row r="2041" spans="1:113" x14ac:dyDescent="0.4">
      <c r="A2041" t="str">
        <f>"300653"</f>
        <v>300653</v>
      </c>
      <c r="B2041" t="s">
        <v>9982</v>
      </c>
      <c r="C2041">
        <v>-1.3</v>
      </c>
      <c r="D2041">
        <v>69.88</v>
      </c>
      <c r="E2041">
        <v>-0.92</v>
      </c>
      <c r="F2041">
        <v>69.87</v>
      </c>
      <c r="G2041">
        <v>69.88</v>
      </c>
      <c r="H2041">
        <v>8437</v>
      </c>
      <c r="I2041">
        <v>60</v>
      </c>
      <c r="J2041">
        <v>-0.15</v>
      </c>
      <c r="K2041">
        <v>1.95</v>
      </c>
      <c r="L2041">
        <v>71.38</v>
      </c>
      <c r="M2041">
        <v>71.38</v>
      </c>
      <c r="N2041">
        <v>69.819999999999993</v>
      </c>
      <c r="O2041">
        <v>70.8</v>
      </c>
      <c r="P2041">
        <v>52.67</v>
      </c>
      <c r="Q2041">
        <v>59439376</v>
      </c>
      <c r="R2041">
        <v>1.1000000000000001</v>
      </c>
      <c r="S2041" t="s">
        <v>559</v>
      </c>
      <c r="T2041" t="s">
        <v>645</v>
      </c>
      <c r="U2041">
        <v>2.2000000000000002</v>
      </c>
      <c r="V2041">
        <v>70.45</v>
      </c>
      <c r="W2041">
        <v>4996</v>
      </c>
      <c r="X2041">
        <v>3441</v>
      </c>
      <c r="Y2041">
        <v>1.45</v>
      </c>
      <c r="Z2041">
        <v>35</v>
      </c>
      <c r="AA2041">
        <v>6</v>
      </c>
      <c r="AB2041" t="s">
        <v>116</v>
      </c>
      <c r="AC2041">
        <v>178500</v>
      </c>
      <c r="AD2041">
        <v>0.01</v>
      </c>
      <c r="AE2041" t="s">
        <v>116</v>
      </c>
      <c r="AF2041" t="s">
        <v>116</v>
      </c>
      <c r="AG2041">
        <v>0.43</v>
      </c>
      <c r="AH2041" t="s">
        <v>9757</v>
      </c>
      <c r="AI2041" t="s">
        <v>9983</v>
      </c>
      <c r="AJ2041">
        <v>-0.62</v>
      </c>
      <c r="AK2041">
        <v>1154</v>
      </c>
      <c r="AL2041">
        <v>7</v>
      </c>
      <c r="AM2041">
        <v>1.6999999999999999E-3</v>
      </c>
      <c r="AN2041">
        <v>-2</v>
      </c>
      <c r="AO2041">
        <v>-1.9</v>
      </c>
      <c r="AP2041">
        <v>-7.57</v>
      </c>
      <c r="AQ2041">
        <v>-12.78</v>
      </c>
      <c r="AR2041">
        <v>53.01</v>
      </c>
      <c r="AS2041">
        <v>2.52</v>
      </c>
      <c r="AT2041" t="s">
        <v>4135</v>
      </c>
      <c r="AU2041">
        <v>55.75</v>
      </c>
      <c r="AV2041">
        <v>65.14</v>
      </c>
      <c r="AW2041">
        <v>1.1599999999999999</v>
      </c>
      <c r="BA2041">
        <v>0.82</v>
      </c>
      <c r="BB2041">
        <v>0.82</v>
      </c>
      <c r="BC2041">
        <v>-1.38</v>
      </c>
      <c r="BD2041">
        <v>-0.49</v>
      </c>
      <c r="BE2041">
        <v>-2.1</v>
      </c>
      <c r="BF2041">
        <v>-2.1</v>
      </c>
      <c r="BG2041">
        <v>0.09</v>
      </c>
      <c r="BH2041">
        <v>-0.81</v>
      </c>
      <c r="BI2041">
        <v>20191216</v>
      </c>
      <c r="BJ2041">
        <v>20170516</v>
      </c>
      <c r="BK2041">
        <v>0.8</v>
      </c>
      <c r="BL2041" t="s">
        <v>116</v>
      </c>
      <c r="BM2041" t="s">
        <v>116</v>
      </c>
      <c r="BN2041">
        <v>6.41</v>
      </c>
      <c r="BO2041">
        <v>5.61</v>
      </c>
      <c r="BP2041">
        <v>0</v>
      </c>
      <c r="BQ2041">
        <v>12.55</v>
      </c>
      <c r="BR2041">
        <v>5.16</v>
      </c>
      <c r="BS2041">
        <v>0.27</v>
      </c>
      <c r="BT2041">
        <v>0.42</v>
      </c>
      <c r="BU2041">
        <v>0.66</v>
      </c>
      <c r="BV2041">
        <v>0.19</v>
      </c>
      <c r="BW2041">
        <v>0.56000000000000005</v>
      </c>
      <c r="BX2041">
        <v>2.69</v>
      </c>
      <c r="BY2041">
        <v>2.0099999999999998</v>
      </c>
      <c r="BZ2041">
        <v>0.13</v>
      </c>
      <c r="CA2041">
        <v>0.93</v>
      </c>
      <c r="CB2041">
        <v>0.1</v>
      </c>
      <c r="CC2041">
        <v>0.94</v>
      </c>
      <c r="CD2041">
        <v>0.8</v>
      </c>
      <c r="CE2041">
        <v>0.8</v>
      </c>
      <c r="CF2041">
        <v>0.77</v>
      </c>
      <c r="CG2041">
        <v>1.89</v>
      </c>
      <c r="CH2041">
        <v>0.72</v>
      </c>
      <c r="CI2041">
        <v>-0.25</v>
      </c>
      <c r="CJ2041">
        <v>10000</v>
      </c>
      <c r="CK2041">
        <v>3352</v>
      </c>
      <c r="CL2041" t="s">
        <v>9984</v>
      </c>
      <c r="CM2041">
        <v>22.19</v>
      </c>
      <c r="CN2041">
        <v>21.64</v>
      </c>
      <c r="CO2041">
        <v>9.9700000000000006</v>
      </c>
      <c r="CP2041">
        <v>77.430000000000007</v>
      </c>
      <c r="CQ2041">
        <v>27.77</v>
      </c>
      <c r="CR2041">
        <v>0.86</v>
      </c>
      <c r="CS2041" t="s">
        <v>9985</v>
      </c>
      <c r="CT2041">
        <v>7.01</v>
      </c>
      <c r="CU2041">
        <v>0</v>
      </c>
      <c r="CV2041">
        <v>3.37</v>
      </c>
      <c r="CW2041">
        <v>2.36</v>
      </c>
      <c r="CX2041">
        <v>0.9</v>
      </c>
      <c r="CY2041">
        <v>87.45</v>
      </c>
      <c r="CZ2041" t="s">
        <v>9986</v>
      </c>
      <c r="DA2041">
        <v>93.78</v>
      </c>
      <c r="DB2041">
        <v>46.39</v>
      </c>
      <c r="DC2041">
        <v>39.549999999999997</v>
      </c>
      <c r="DD2041">
        <v>0.15</v>
      </c>
      <c r="DE2041">
        <v>256</v>
      </c>
      <c r="DF2041">
        <v>300653</v>
      </c>
      <c r="DG2041" t="s">
        <v>116</v>
      </c>
      <c r="DH2041" t="s">
        <v>116</v>
      </c>
      <c r="DI2041" t="s">
        <v>116</v>
      </c>
    </row>
    <row r="2042" spans="1:113" x14ac:dyDescent="0.4">
      <c r="A2042" t="str">
        <f>"300654"</f>
        <v>300654</v>
      </c>
      <c r="B2042" t="s">
        <v>9987</v>
      </c>
      <c r="C2042">
        <v>-0.88</v>
      </c>
      <c r="D2042">
        <v>11.2</v>
      </c>
      <c r="E2042">
        <v>-0.1</v>
      </c>
      <c r="F2042">
        <v>11.18</v>
      </c>
      <c r="G2042">
        <v>11.2</v>
      </c>
      <c r="H2042">
        <v>14704</v>
      </c>
      <c r="I2042">
        <v>145</v>
      </c>
      <c r="J2042">
        <v>-0.08</v>
      </c>
      <c r="K2042">
        <v>2.2400000000000002</v>
      </c>
      <c r="L2042">
        <v>11.34</v>
      </c>
      <c r="M2042">
        <v>11.48</v>
      </c>
      <c r="N2042">
        <v>11.15</v>
      </c>
      <c r="O2042">
        <v>11.3</v>
      </c>
      <c r="P2042">
        <v>58.09</v>
      </c>
      <c r="Q2042">
        <v>16581963</v>
      </c>
      <c r="R2042">
        <v>0.85</v>
      </c>
      <c r="S2042" t="s">
        <v>1902</v>
      </c>
      <c r="T2042" t="s">
        <v>645</v>
      </c>
      <c r="U2042">
        <v>2.92</v>
      </c>
      <c r="V2042">
        <v>11.28</v>
      </c>
      <c r="W2042">
        <v>8522</v>
      </c>
      <c r="X2042">
        <v>6182</v>
      </c>
      <c r="Y2042">
        <v>1.38</v>
      </c>
      <c r="Z2042">
        <v>3</v>
      </c>
      <c r="AA2042">
        <v>1</v>
      </c>
      <c r="AB2042" t="s">
        <v>116</v>
      </c>
      <c r="AC2042">
        <v>63500</v>
      </c>
      <c r="AD2042">
        <v>0.01</v>
      </c>
      <c r="AE2042" t="s">
        <v>116</v>
      </c>
      <c r="AF2042" t="s">
        <v>116</v>
      </c>
      <c r="AG2042">
        <v>0.66</v>
      </c>
      <c r="AH2042" t="s">
        <v>5528</v>
      </c>
      <c r="AI2042" t="s">
        <v>9988</v>
      </c>
      <c r="AJ2042">
        <v>-0.21</v>
      </c>
      <c r="AK2042">
        <v>1134</v>
      </c>
      <c r="AL2042">
        <v>13</v>
      </c>
      <c r="AM2042">
        <v>2E-3</v>
      </c>
      <c r="AN2042">
        <v>-1</v>
      </c>
      <c r="AO2042">
        <v>0.45</v>
      </c>
      <c r="AP2042">
        <v>6.46</v>
      </c>
      <c r="AQ2042">
        <v>-6.74</v>
      </c>
      <c r="AR2042">
        <v>-19.13</v>
      </c>
      <c r="AS2042">
        <v>2.52</v>
      </c>
      <c r="AT2042" t="s">
        <v>9989</v>
      </c>
      <c r="AU2042">
        <v>52.4</v>
      </c>
      <c r="AV2042">
        <v>49.31</v>
      </c>
      <c r="AW2042">
        <v>0.99</v>
      </c>
      <c r="BA2042">
        <v>0.35</v>
      </c>
      <c r="BB2042">
        <v>1.59</v>
      </c>
      <c r="BC2042">
        <v>-1.33</v>
      </c>
      <c r="BD2042">
        <v>-0.2</v>
      </c>
      <c r="BE2042">
        <v>-1.23</v>
      </c>
      <c r="BF2042">
        <v>-2.44</v>
      </c>
      <c r="BG2042">
        <v>0.45</v>
      </c>
      <c r="BH2042">
        <v>-0.68</v>
      </c>
      <c r="BI2042">
        <v>20191202</v>
      </c>
      <c r="BJ2042">
        <v>20170926</v>
      </c>
      <c r="BK2042">
        <v>1.4</v>
      </c>
      <c r="BL2042" t="s">
        <v>116</v>
      </c>
      <c r="BM2042" t="s">
        <v>116</v>
      </c>
      <c r="BN2042">
        <v>6.96</v>
      </c>
      <c r="BO2042">
        <v>4.7</v>
      </c>
      <c r="BP2042">
        <v>0.08</v>
      </c>
      <c r="BQ2042">
        <v>31.29</v>
      </c>
      <c r="BR2042">
        <v>5.59</v>
      </c>
      <c r="BS2042">
        <v>0.34</v>
      </c>
      <c r="BT2042">
        <v>0.36</v>
      </c>
      <c r="BU2042">
        <v>2.04</v>
      </c>
      <c r="BV2042">
        <v>0.48</v>
      </c>
      <c r="BW2042">
        <v>1.86</v>
      </c>
      <c r="BX2042">
        <v>1.59</v>
      </c>
      <c r="BY2042">
        <v>2.66</v>
      </c>
      <c r="BZ2042">
        <v>1.78</v>
      </c>
      <c r="CA2042">
        <v>0.32</v>
      </c>
      <c r="CB2042">
        <v>0.04</v>
      </c>
      <c r="CC2042">
        <v>0.27</v>
      </c>
      <c r="CD2042">
        <v>0.2</v>
      </c>
      <c r="CE2042">
        <v>0.2</v>
      </c>
      <c r="CF2042">
        <v>0.19</v>
      </c>
      <c r="CG2042">
        <v>1.4</v>
      </c>
      <c r="CH2042">
        <v>0.12</v>
      </c>
      <c r="CI2042">
        <v>-0.69</v>
      </c>
      <c r="CJ2042">
        <v>11442</v>
      </c>
      <c r="CK2042">
        <v>5103</v>
      </c>
      <c r="CL2042" t="s">
        <v>378</v>
      </c>
      <c r="CM2042">
        <v>-8.48</v>
      </c>
      <c r="CN2042">
        <v>-0.37</v>
      </c>
      <c r="CO2042">
        <v>3.34</v>
      </c>
      <c r="CP2042">
        <v>130.05000000000001</v>
      </c>
      <c r="CQ2042">
        <v>5.9</v>
      </c>
      <c r="CR2042">
        <v>0.63</v>
      </c>
      <c r="CS2042" t="s">
        <v>4857</v>
      </c>
      <c r="CT2042">
        <v>3.36</v>
      </c>
      <c r="CU2042">
        <v>0</v>
      </c>
      <c r="CV2042">
        <v>1.1299999999999999</v>
      </c>
      <c r="CW2042">
        <v>1</v>
      </c>
      <c r="CX2042">
        <v>0.09</v>
      </c>
      <c r="CY2042">
        <v>67.56</v>
      </c>
      <c r="CZ2042" t="s">
        <v>3857</v>
      </c>
      <c r="DA2042">
        <v>32.83</v>
      </c>
      <c r="DB2042">
        <v>11.88</v>
      </c>
      <c r="DC2042">
        <v>7.62</v>
      </c>
      <c r="DD2042">
        <v>0.01</v>
      </c>
      <c r="DE2042">
        <v>541</v>
      </c>
      <c r="DF2042">
        <v>300654</v>
      </c>
      <c r="DG2042" t="s">
        <v>116</v>
      </c>
      <c r="DH2042" t="s">
        <v>116</v>
      </c>
      <c r="DI2042" t="s">
        <v>116</v>
      </c>
    </row>
    <row r="2043" spans="1:113" x14ac:dyDescent="0.4">
      <c r="A2043" t="str">
        <f>"300655"</f>
        <v>300655</v>
      </c>
      <c r="B2043" t="s">
        <v>9990</v>
      </c>
      <c r="C2043">
        <v>-4.8899999999999997</v>
      </c>
      <c r="D2043">
        <v>32.700000000000003</v>
      </c>
      <c r="E2043">
        <v>-1.68</v>
      </c>
      <c r="F2043">
        <v>32.700000000000003</v>
      </c>
      <c r="G2043">
        <v>32.71</v>
      </c>
      <c r="H2043">
        <v>71618</v>
      </c>
      <c r="I2043">
        <v>711</v>
      </c>
      <c r="J2043">
        <v>0.62</v>
      </c>
      <c r="K2043">
        <v>6.92</v>
      </c>
      <c r="L2043">
        <v>34.58</v>
      </c>
      <c r="M2043">
        <v>35.119999999999997</v>
      </c>
      <c r="N2043">
        <v>32.229999999999997</v>
      </c>
      <c r="O2043">
        <v>34.380000000000003</v>
      </c>
      <c r="P2043">
        <v>178.53</v>
      </c>
      <c r="Q2043">
        <v>240858208</v>
      </c>
      <c r="R2043">
        <v>1</v>
      </c>
      <c r="S2043" t="s">
        <v>891</v>
      </c>
      <c r="T2043" t="s">
        <v>323</v>
      </c>
      <c r="U2043">
        <v>8.41</v>
      </c>
      <c r="V2043">
        <v>33.630000000000003</v>
      </c>
      <c r="W2043">
        <v>43247</v>
      </c>
      <c r="X2043">
        <v>28371</v>
      </c>
      <c r="Y2043">
        <v>1.52</v>
      </c>
      <c r="Z2043">
        <v>81</v>
      </c>
      <c r="AA2043">
        <v>4</v>
      </c>
      <c r="AB2043" t="s">
        <v>116</v>
      </c>
      <c r="AC2043">
        <v>750400</v>
      </c>
      <c r="AD2043">
        <v>0.03</v>
      </c>
      <c r="AE2043" t="s">
        <v>116</v>
      </c>
      <c r="AF2043" t="s">
        <v>116</v>
      </c>
      <c r="AG2043">
        <v>1.03</v>
      </c>
      <c r="AH2043" t="s">
        <v>7561</v>
      </c>
      <c r="AI2043" t="s">
        <v>9991</v>
      </c>
      <c r="AJ2043">
        <v>-4.21</v>
      </c>
      <c r="AK2043">
        <v>3193</v>
      </c>
      <c r="AL2043">
        <v>22</v>
      </c>
      <c r="AM2043">
        <v>2.2000000000000001E-3</v>
      </c>
      <c r="AN2043">
        <v>-2</v>
      </c>
      <c r="AO2043">
        <v>-4.91</v>
      </c>
      <c r="AP2043">
        <v>20.440000000000001</v>
      </c>
      <c r="AQ2043">
        <v>51.46</v>
      </c>
      <c r="AR2043">
        <v>144.21</v>
      </c>
      <c r="AS2043">
        <v>8.32</v>
      </c>
      <c r="AT2043" t="s">
        <v>4486</v>
      </c>
      <c r="AU2043">
        <v>156.72999999999999</v>
      </c>
      <c r="AV2043">
        <v>98.6</v>
      </c>
      <c r="AW2043">
        <v>2.06</v>
      </c>
      <c r="BA2043">
        <v>0.57999999999999996</v>
      </c>
      <c r="BB2043">
        <v>2.15</v>
      </c>
      <c r="BC2043">
        <v>-6.25</v>
      </c>
      <c r="BD2043">
        <v>-2.1800000000000002</v>
      </c>
      <c r="BE2043">
        <v>-5.44</v>
      </c>
      <c r="BF2043">
        <v>-6.89</v>
      </c>
      <c r="BG2043">
        <v>1.46</v>
      </c>
      <c r="BH2043">
        <v>-2.71</v>
      </c>
      <c r="BI2043">
        <v>20191225</v>
      </c>
      <c r="BJ2043">
        <v>20170523</v>
      </c>
      <c r="BK2043">
        <v>1.51</v>
      </c>
      <c r="BL2043" t="s">
        <v>116</v>
      </c>
      <c r="BM2043" t="s">
        <v>116</v>
      </c>
      <c r="BN2043">
        <v>13.36</v>
      </c>
      <c r="BO2043">
        <v>5.59</v>
      </c>
      <c r="BP2043">
        <v>0.56999999999999995</v>
      </c>
      <c r="BQ2043">
        <v>53.9</v>
      </c>
      <c r="BR2043">
        <v>7.26</v>
      </c>
      <c r="BS2043">
        <v>3.54</v>
      </c>
      <c r="BT2043">
        <v>0.56000000000000005</v>
      </c>
      <c r="BU2043">
        <v>3.7</v>
      </c>
      <c r="BV2043">
        <v>0.87</v>
      </c>
      <c r="BW2043">
        <v>2.41</v>
      </c>
      <c r="BX2043">
        <v>2.2000000000000002</v>
      </c>
      <c r="BY2043">
        <v>5.7</v>
      </c>
      <c r="BZ2043">
        <v>4.1900000000000004</v>
      </c>
      <c r="CA2043">
        <v>0.28999999999999998</v>
      </c>
      <c r="CB2043">
        <v>0.01</v>
      </c>
      <c r="CC2043">
        <v>0.28999999999999998</v>
      </c>
      <c r="CD2043">
        <v>0.25</v>
      </c>
      <c r="CE2043">
        <v>0.21</v>
      </c>
      <c r="CF2043">
        <v>0.14000000000000001</v>
      </c>
      <c r="CG2043">
        <v>1.33</v>
      </c>
      <c r="CH2043">
        <v>0.75</v>
      </c>
      <c r="CI2043">
        <v>1.9</v>
      </c>
      <c r="CJ2043">
        <v>12146</v>
      </c>
      <c r="CK2043">
        <v>7090</v>
      </c>
      <c r="CL2043" t="s">
        <v>9992</v>
      </c>
      <c r="CM2043">
        <v>-47.24</v>
      </c>
      <c r="CN2043">
        <v>-3.61</v>
      </c>
      <c r="CO2043">
        <v>9.52</v>
      </c>
      <c r="CP2043">
        <v>65.94</v>
      </c>
      <c r="CQ2043">
        <v>8.69</v>
      </c>
      <c r="CR2043">
        <v>0.46</v>
      </c>
      <c r="CS2043" t="s">
        <v>519</v>
      </c>
      <c r="CT2043">
        <v>3.43</v>
      </c>
      <c r="CU2043">
        <v>3.43</v>
      </c>
      <c r="CV2043">
        <v>1.46</v>
      </c>
      <c r="CW2043">
        <v>0.88</v>
      </c>
      <c r="CX2043">
        <v>0.5</v>
      </c>
      <c r="CY2043">
        <v>41.86</v>
      </c>
      <c r="CZ2043" t="s">
        <v>179</v>
      </c>
      <c r="DA2043">
        <v>26.51</v>
      </c>
      <c r="DB2043">
        <v>5.12</v>
      </c>
      <c r="DC2043">
        <v>3.65</v>
      </c>
      <c r="DD2043">
        <v>0.22</v>
      </c>
      <c r="DE2043">
        <v>430</v>
      </c>
      <c r="DF2043">
        <v>300655</v>
      </c>
      <c r="DG2043" t="s">
        <v>116</v>
      </c>
      <c r="DH2043" t="s">
        <v>116</v>
      </c>
      <c r="DI2043" t="s">
        <v>116</v>
      </c>
    </row>
    <row r="2044" spans="1:113" x14ac:dyDescent="0.4">
      <c r="A2044" t="str">
        <f>"300656"</f>
        <v>300656</v>
      </c>
      <c r="B2044" t="s">
        <v>9993</v>
      </c>
      <c r="C2044">
        <v>1.2</v>
      </c>
      <c r="D2044">
        <v>21.84</v>
      </c>
      <c r="E2044">
        <v>0.26</v>
      </c>
      <c r="F2044">
        <v>21.83</v>
      </c>
      <c r="G2044">
        <v>21.84</v>
      </c>
      <c r="H2044">
        <v>44963</v>
      </c>
      <c r="I2044">
        <v>338</v>
      </c>
      <c r="J2044">
        <v>-0.17</v>
      </c>
      <c r="K2044">
        <v>8.7899999999999991</v>
      </c>
      <c r="L2044">
        <v>22.42</v>
      </c>
      <c r="M2044">
        <v>23.68</v>
      </c>
      <c r="N2044">
        <v>21.8</v>
      </c>
      <c r="O2044">
        <v>21.58</v>
      </c>
      <c r="P2044">
        <v>69.98</v>
      </c>
      <c r="Q2044">
        <v>101967088</v>
      </c>
      <c r="R2044">
        <v>2.4300000000000002</v>
      </c>
      <c r="S2044" t="s">
        <v>241</v>
      </c>
      <c r="T2044" t="s">
        <v>115</v>
      </c>
      <c r="U2044">
        <v>8.7100000000000009</v>
      </c>
      <c r="V2044">
        <v>22.68</v>
      </c>
      <c r="W2044">
        <v>22500</v>
      </c>
      <c r="X2044">
        <v>22463</v>
      </c>
      <c r="Y2044">
        <v>1</v>
      </c>
      <c r="Z2044">
        <v>6</v>
      </c>
      <c r="AA2044">
        <v>90</v>
      </c>
      <c r="AB2044" t="s">
        <v>116</v>
      </c>
      <c r="AC2044">
        <v>2714200</v>
      </c>
      <c r="AD2044">
        <v>0.4</v>
      </c>
      <c r="AE2044" t="s">
        <v>116</v>
      </c>
      <c r="AF2044" t="s">
        <v>116</v>
      </c>
      <c r="AG2044">
        <v>0.51</v>
      </c>
      <c r="AH2044" t="s">
        <v>9994</v>
      </c>
      <c r="AI2044" t="s">
        <v>1414</v>
      </c>
      <c r="AJ2044">
        <v>1.88</v>
      </c>
      <c r="AK2044">
        <v>1832</v>
      </c>
      <c r="AL2044">
        <v>25</v>
      </c>
      <c r="AM2044">
        <v>4.7999999999999996E-3</v>
      </c>
      <c r="AN2044">
        <v>1</v>
      </c>
      <c r="AO2044">
        <v>1.25</v>
      </c>
      <c r="AP2044">
        <v>14.17</v>
      </c>
      <c r="AQ2044">
        <v>-3.45</v>
      </c>
      <c r="AR2044">
        <v>17.190000000000001</v>
      </c>
      <c r="AS2044">
        <v>14.76</v>
      </c>
      <c r="AT2044" t="s">
        <v>9995</v>
      </c>
      <c r="AU2044">
        <v>60.26</v>
      </c>
      <c r="AV2044">
        <v>40.46</v>
      </c>
      <c r="AW2044">
        <v>0.98</v>
      </c>
      <c r="BA2044">
        <v>3.89</v>
      </c>
      <c r="BB2044">
        <v>9.73</v>
      </c>
      <c r="BC2044">
        <v>1.02</v>
      </c>
      <c r="BD2044">
        <v>5.09</v>
      </c>
      <c r="BE2044">
        <v>-2.59</v>
      </c>
      <c r="BF2044">
        <v>-7.77</v>
      </c>
      <c r="BG2044">
        <v>0.18</v>
      </c>
      <c r="BH2044">
        <v>-3.88</v>
      </c>
      <c r="BI2044">
        <v>20191223</v>
      </c>
      <c r="BJ2044">
        <v>20170519</v>
      </c>
      <c r="BK2044">
        <v>0.99</v>
      </c>
      <c r="BL2044" t="s">
        <v>116</v>
      </c>
      <c r="BM2044" t="s">
        <v>116</v>
      </c>
      <c r="BN2044">
        <v>6.16</v>
      </c>
      <c r="BO2044">
        <v>4.68</v>
      </c>
      <c r="BP2044">
        <v>0.09</v>
      </c>
      <c r="BQ2044">
        <v>22.44</v>
      </c>
      <c r="BR2044">
        <v>4.51</v>
      </c>
      <c r="BS2044">
        <v>0.06</v>
      </c>
      <c r="BT2044">
        <v>0</v>
      </c>
      <c r="BU2044">
        <v>0.79</v>
      </c>
      <c r="BV2044">
        <v>1.05</v>
      </c>
      <c r="BW2044">
        <v>1.02</v>
      </c>
      <c r="BX2044">
        <v>1.89</v>
      </c>
      <c r="BY2044">
        <v>1.78</v>
      </c>
      <c r="BZ2044">
        <v>1.1599999999999999</v>
      </c>
      <c r="CA2044">
        <v>0.25</v>
      </c>
      <c r="CB2044">
        <v>0.03</v>
      </c>
      <c r="CC2044">
        <v>0.25</v>
      </c>
      <c r="CD2044">
        <v>0.23</v>
      </c>
      <c r="CE2044">
        <v>0.23</v>
      </c>
      <c r="CF2044">
        <v>0.18</v>
      </c>
      <c r="CG2044">
        <v>1.6</v>
      </c>
      <c r="CH2044">
        <v>0.36</v>
      </c>
      <c r="CI2044">
        <v>-7.0000000000000007E-2</v>
      </c>
      <c r="CJ2044">
        <v>7721</v>
      </c>
      <c r="CK2044">
        <v>3946</v>
      </c>
      <c r="CL2044" t="s">
        <v>3621</v>
      </c>
      <c r="CM2044">
        <v>-43.11</v>
      </c>
      <c r="CN2044">
        <v>-9.06</v>
      </c>
      <c r="CO2044">
        <v>4.62</v>
      </c>
      <c r="CP2044">
        <v>59.57</v>
      </c>
      <c r="CQ2044">
        <v>12.17</v>
      </c>
      <c r="CR2044">
        <v>0.62</v>
      </c>
      <c r="CS2044" t="s">
        <v>526</v>
      </c>
      <c r="CT2044">
        <v>4.7300000000000004</v>
      </c>
      <c r="CU2044">
        <v>0</v>
      </c>
      <c r="CV2044">
        <v>1.91</v>
      </c>
      <c r="CW2044">
        <v>1.61</v>
      </c>
      <c r="CX2044">
        <v>0.37</v>
      </c>
      <c r="CY2044">
        <v>76.08</v>
      </c>
      <c r="CZ2044" t="s">
        <v>9996</v>
      </c>
      <c r="DA2044">
        <v>34.590000000000003</v>
      </c>
      <c r="DB2044">
        <v>14.23</v>
      </c>
      <c r="DC2044">
        <v>13.04</v>
      </c>
      <c r="DD2044">
        <v>0.12</v>
      </c>
      <c r="DE2044">
        <v>226</v>
      </c>
      <c r="DF2044">
        <v>300656</v>
      </c>
      <c r="DG2044" t="s">
        <v>116</v>
      </c>
      <c r="DH2044" t="s">
        <v>116</v>
      </c>
      <c r="DI2044" t="s">
        <v>116</v>
      </c>
    </row>
    <row r="2045" spans="1:113" x14ac:dyDescent="0.4">
      <c r="A2045" t="str">
        <f>"300657"</f>
        <v>300657</v>
      </c>
      <c r="B2045" t="s">
        <v>9997</v>
      </c>
      <c r="C2045">
        <v>-4.03</v>
      </c>
      <c r="D2045">
        <v>35.68</v>
      </c>
      <c r="E2045">
        <v>-1.5</v>
      </c>
      <c r="F2045">
        <v>35.630000000000003</v>
      </c>
      <c r="G2045">
        <v>35.68</v>
      </c>
      <c r="H2045">
        <v>40499</v>
      </c>
      <c r="I2045">
        <v>465</v>
      </c>
      <c r="J2045">
        <v>0.22</v>
      </c>
      <c r="K2045">
        <v>3.63</v>
      </c>
      <c r="L2045">
        <v>36.99</v>
      </c>
      <c r="M2045">
        <v>37.42</v>
      </c>
      <c r="N2045">
        <v>35.520000000000003</v>
      </c>
      <c r="O2045">
        <v>37.18</v>
      </c>
      <c r="P2045">
        <v>39.24</v>
      </c>
      <c r="Q2045">
        <v>147317952</v>
      </c>
      <c r="R2045">
        <v>0.94</v>
      </c>
      <c r="S2045" t="s">
        <v>233</v>
      </c>
      <c r="T2045" t="s">
        <v>975</v>
      </c>
      <c r="U2045">
        <v>5.1100000000000003</v>
      </c>
      <c r="V2045">
        <v>36.380000000000003</v>
      </c>
      <c r="W2045">
        <v>23304</v>
      </c>
      <c r="X2045">
        <v>17195</v>
      </c>
      <c r="Y2045">
        <v>1.36</v>
      </c>
      <c r="Z2045">
        <v>4</v>
      </c>
      <c r="AA2045">
        <v>16</v>
      </c>
      <c r="AB2045" t="s">
        <v>116</v>
      </c>
      <c r="AC2045">
        <v>532700</v>
      </c>
      <c r="AD2045">
        <v>0.01</v>
      </c>
      <c r="AE2045" t="s">
        <v>116</v>
      </c>
      <c r="AF2045" t="s">
        <v>116</v>
      </c>
      <c r="AG2045">
        <v>1.1200000000000001</v>
      </c>
      <c r="AH2045" t="s">
        <v>812</v>
      </c>
      <c r="AI2045" t="s">
        <v>9998</v>
      </c>
      <c r="AJ2045">
        <v>-3.36</v>
      </c>
      <c r="AK2045">
        <v>2632</v>
      </c>
      <c r="AL2045">
        <v>15</v>
      </c>
      <c r="AM2045">
        <v>1.4E-3</v>
      </c>
      <c r="AN2045">
        <v>-2</v>
      </c>
      <c r="AO2045">
        <v>-2.62</v>
      </c>
      <c r="AP2045">
        <v>16.64</v>
      </c>
      <c r="AQ2045">
        <v>-0.61</v>
      </c>
      <c r="AR2045">
        <v>110.25</v>
      </c>
      <c r="AS2045">
        <v>4.13</v>
      </c>
      <c r="AT2045" t="s">
        <v>9999</v>
      </c>
      <c r="AU2045">
        <v>43.1</v>
      </c>
      <c r="AV2045">
        <v>62.66</v>
      </c>
      <c r="AW2045">
        <v>1.5</v>
      </c>
      <c r="BA2045">
        <v>-0.51</v>
      </c>
      <c r="BB2045">
        <v>0.65</v>
      </c>
      <c r="BC2045">
        <v>-4.46</v>
      </c>
      <c r="BD2045">
        <v>-2.16</v>
      </c>
      <c r="BE2045">
        <v>-3.54</v>
      </c>
      <c r="BF2045">
        <v>-4.6500000000000004</v>
      </c>
      <c r="BG2045">
        <v>0.45</v>
      </c>
      <c r="BH2045">
        <v>-1.87</v>
      </c>
      <c r="BI2045">
        <v>20191023</v>
      </c>
      <c r="BJ2045">
        <v>20170523</v>
      </c>
      <c r="BK2045">
        <v>2.0699999999999998</v>
      </c>
      <c r="BL2045" t="s">
        <v>116</v>
      </c>
      <c r="BM2045" t="s">
        <v>116</v>
      </c>
      <c r="BN2045">
        <v>35.299999999999997</v>
      </c>
      <c r="BO2045">
        <v>14.14</v>
      </c>
      <c r="BP2045">
        <v>0.24</v>
      </c>
      <c r="BQ2045">
        <v>59.28</v>
      </c>
      <c r="BR2045">
        <v>25.02</v>
      </c>
      <c r="BS2045">
        <v>7.98</v>
      </c>
      <c r="BT2045">
        <v>0.44</v>
      </c>
      <c r="BU2045">
        <v>18.03</v>
      </c>
      <c r="BV2045">
        <v>2.23</v>
      </c>
      <c r="BW2045">
        <v>9.4700000000000006</v>
      </c>
      <c r="BX2045">
        <v>7.78</v>
      </c>
      <c r="BY2045">
        <v>19.399999999999999</v>
      </c>
      <c r="BZ2045">
        <v>16.64</v>
      </c>
      <c r="CA2045">
        <v>1.84</v>
      </c>
      <c r="CB2045">
        <v>0</v>
      </c>
      <c r="CC2045">
        <v>1.83</v>
      </c>
      <c r="CD2045">
        <v>1.33</v>
      </c>
      <c r="CE2045">
        <v>1.41</v>
      </c>
      <c r="CF2045">
        <v>0.82</v>
      </c>
      <c r="CG2045">
        <v>3.98</v>
      </c>
      <c r="CH2045">
        <v>0.84</v>
      </c>
      <c r="CI2045">
        <v>5.05</v>
      </c>
      <c r="CJ2045">
        <v>9760</v>
      </c>
      <c r="CK2045">
        <v>10050</v>
      </c>
      <c r="CL2045" t="s">
        <v>10000</v>
      </c>
      <c r="CM2045">
        <v>60.97</v>
      </c>
      <c r="CN2045">
        <v>15.22</v>
      </c>
      <c r="CO2045">
        <v>5.23</v>
      </c>
      <c r="CP2045">
        <v>87.61</v>
      </c>
      <c r="CQ2045">
        <v>3.81</v>
      </c>
      <c r="CR2045">
        <v>0.35</v>
      </c>
      <c r="CS2045" t="s">
        <v>320</v>
      </c>
      <c r="CT2045">
        <v>6.82</v>
      </c>
      <c r="CU2045">
        <v>0</v>
      </c>
      <c r="CV2045">
        <v>3.76</v>
      </c>
      <c r="CW2045">
        <v>1.92</v>
      </c>
      <c r="CX2045">
        <v>0.41</v>
      </c>
      <c r="CY2045">
        <v>40.04</v>
      </c>
      <c r="CZ2045" t="s">
        <v>10001</v>
      </c>
      <c r="DA2045">
        <v>14.25</v>
      </c>
      <c r="DB2045">
        <v>9.5</v>
      </c>
      <c r="DC2045">
        <v>7.28</v>
      </c>
      <c r="DD2045">
        <v>0.72</v>
      </c>
      <c r="DE2045">
        <v>4004</v>
      </c>
      <c r="DF2045">
        <v>300657</v>
      </c>
      <c r="DG2045" t="s">
        <v>116</v>
      </c>
      <c r="DH2045" t="s">
        <v>116</v>
      </c>
      <c r="DI2045" t="s">
        <v>116</v>
      </c>
    </row>
    <row r="2046" spans="1:113" x14ac:dyDescent="0.4">
      <c r="A2046" t="str">
        <f>"300658"</f>
        <v>300658</v>
      </c>
      <c r="B2046" t="s">
        <v>10002</v>
      </c>
      <c r="C2046">
        <v>-0.99</v>
      </c>
      <c r="D2046">
        <v>15.03</v>
      </c>
      <c r="E2046">
        <v>-0.15</v>
      </c>
      <c r="F2046">
        <v>14.87</v>
      </c>
      <c r="G2046">
        <v>15.03</v>
      </c>
      <c r="H2046">
        <v>25739</v>
      </c>
      <c r="I2046">
        <v>501</v>
      </c>
      <c r="J2046">
        <v>0.87</v>
      </c>
      <c r="K2046">
        <v>6.13</v>
      </c>
      <c r="L2046">
        <v>15.23</v>
      </c>
      <c r="M2046">
        <v>15.29</v>
      </c>
      <c r="N2046">
        <v>14.81</v>
      </c>
      <c r="O2046">
        <v>15.18</v>
      </c>
      <c r="P2046">
        <v>26.82</v>
      </c>
      <c r="Q2046">
        <v>38705888</v>
      </c>
      <c r="R2046">
        <v>1.28</v>
      </c>
      <c r="S2046" t="s">
        <v>1420</v>
      </c>
      <c r="T2046" t="s">
        <v>975</v>
      </c>
      <c r="U2046">
        <v>3.16</v>
      </c>
      <c r="V2046">
        <v>15.04</v>
      </c>
      <c r="W2046">
        <v>16731</v>
      </c>
      <c r="X2046">
        <v>9008</v>
      </c>
      <c r="Y2046">
        <v>1.86</v>
      </c>
      <c r="Z2046">
        <v>22</v>
      </c>
      <c r="AA2046">
        <v>22</v>
      </c>
      <c r="AB2046" t="s">
        <v>116</v>
      </c>
      <c r="AC2046">
        <v>74600</v>
      </c>
      <c r="AD2046">
        <v>0.01</v>
      </c>
      <c r="AE2046" t="s">
        <v>116</v>
      </c>
      <c r="AF2046" t="s">
        <v>116</v>
      </c>
      <c r="AG2046">
        <v>0.42</v>
      </c>
      <c r="AH2046" t="s">
        <v>10003</v>
      </c>
      <c r="AI2046" t="s">
        <v>10004</v>
      </c>
      <c r="AJ2046">
        <v>-0.31</v>
      </c>
      <c r="AK2046">
        <v>815</v>
      </c>
      <c r="AL2046">
        <v>32</v>
      </c>
      <c r="AM2046">
        <v>7.4999999999999997E-3</v>
      </c>
      <c r="AN2046">
        <v>-1</v>
      </c>
      <c r="AO2046">
        <v>2.2400000000000002</v>
      </c>
      <c r="AP2046">
        <v>5.18</v>
      </c>
      <c r="AQ2046">
        <v>7.36</v>
      </c>
      <c r="AR2046">
        <v>34.68</v>
      </c>
      <c r="AS2046">
        <v>6.13</v>
      </c>
      <c r="AT2046" t="s">
        <v>10003</v>
      </c>
      <c r="AU2046">
        <v>29.03</v>
      </c>
      <c r="AV2046">
        <v>46.9</v>
      </c>
      <c r="AW2046">
        <v>0.61</v>
      </c>
      <c r="BA2046">
        <v>0.33</v>
      </c>
      <c r="BB2046">
        <v>0.72</v>
      </c>
      <c r="BC2046">
        <v>-2.44</v>
      </c>
      <c r="BD2046">
        <v>-0.94</v>
      </c>
      <c r="BE2046">
        <v>-1.31</v>
      </c>
      <c r="BF2046">
        <v>-1.7</v>
      </c>
      <c r="BG2046">
        <v>1.49</v>
      </c>
      <c r="BH2046">
        <v>-0.05</v>
      </c>
      <c r="BI2046">
        <v>20191213</v>
      </c>
      <c r="BJ2046">
        <v>20170602</v>
      </c>
      <c r="BK2046">
        <v>1.52</v>
      </c>
      <c r="BL2046" t="s">
        <v>116</v>
      </c>
      <c r="BM2046" t="s">
        <v>116</v>
      </c>
      <c r="BN2046">
        <v>14.1</v>
      </c>
      <c r="BO2046">
        <v>8.1999999999999993</v>
      </c>
      <c r="BP2046">
        <v>0.08</v>
      </c>
      <c r="BQ2046">
        <v>41.27</v>
      </c>
      <c r="BR2046">
        <v>7.05</v>
      </c>
      <c r="BS2046">
        <v>3.18</v>
      </c>
      <c r="BT2046">
        <v>0.11</v>
      </c>
      <c r="BU2046">
        <v>5.46</v>
      </c>
      <c r="BV2046">
        <v>1.34</v>
      </c>
      <c r="BW2046">
        <v>1.86</v>
      </c>
      <c r="BX2046">
        <v>4.18</v>
      </c>
      <c r="BY2046">
        <v>7.69</v>
      </c>
      <c r="BZ2046">
        <v>5.52</v>
      </c>
      <c r="CA2046">
        <v>0.69</v>
      </c>
      <c r="CB2046">
        <v>-0.01</v>
      </c>
      <c r="CC2046">
        <v>0.78</v>
      </c>
      <c r="CD2046">
        <v>0.63</v>
      </c>
      <c r="CE2046">
        <v>0.64</v>
      </c>
      <c r="CF2046">
        <v>0.56000000000000005</v>
      </c>
      <c r="CG2046">
        <v>2.25</v>
      </c>
      <c r="CH2046">
        <v>0.67</v>
      </c>
      <c r="CI2046">
        <v>-0.23</v>
      </c>
      <c r="CJ2046">
        <v>7127</v>
      </c>
      <c r="CK2046">
        <v>5893</v>
      </c>
      <c r="CL2046" t="s">
        <v>10005</v>
      </c>
      <c r="CM2046">
        <v>88.43</v>
      </c>
      <c r="CN2046">
        <v>45.06</v>
      </c>
      <c r="CO2046">
        <v>2.78</v>
      </c>
      <c r="CP2046">
        <v>33.9</v>
      </c>
      <c r="CQ2046">
        <v>2.96</v>
      </c>
      <c r="CR2046">
        <v>0.99</v>
      </c>
      <c r="CS2046" t="s">
        <v>2820</v>
      </c>
      <c r="CT2046">
        <v>5.4</v>
      </c>
      <c r="CU2046">
        <v>0</v>
      </c>
      <c r="CV2046">
        <v>2.75</v>
      </c>
      <c r="CW2046">
        <v>1.48</v>
      </c>
      <c r="CX2046">
        <v>0.44</v>
      </c>
      <c r="CY2046">
        <v>58.15</v>
      </c>
      <c r="CZ2046" t="s">
        <v>2975</v>
      </c>
      <c r="DA2046">
        <v>28.22</v>
      </c>
      <c r="DB2046">
        <v>8.9499999999999993</v>
      </c>
      <c r="DC2046">
        <v>8.2899999999999991</v>
      </c>
      <c r="DD2046">
        <v>0.26</v>
      </c>
      <c r="DE2046">
        <v>1133</v>
      </c>
      <c r="DF2046">
        <v>300658</v>
      </c>
      <c r="DG2046" t="s">
        <v>116</v>
      </c>
      <c r="DH2046" t="s">
        <v>116</v>
      </c>
      <c r="DI2046" t="s">
        <v>116</v>
      </c>
    </row>
    <row r="2047" spans="1:113" x14ac:dyDescent="0.4">
      <c r="A2047" t="str">
        <f>"300659"</f>
        <v>300659</v>
      </c>
      <c r="B2047" t="s">
        <v>10006</v>
      </c>
      <c r="C2047">
        <v>-0.79</v>
      </c>
      <c r="D2047">
        <v>60</v>
      </c>
      <c r="E2047">
        <v>-0.48</v>
      </c>
      <c r="F2047">
        <v>59.4</v>
      </c>
      <c r="G2047">
        <v>60</v>
      </c>
      <c r="H2047">
        <v>14477</v>
      </c>
      <c r="I2047">
        <v>337</v>
      </c>
      <c r="J2047">
        <v>1.99</v>
      </c>
      <c r="K2047">
        <v>2.21</v>
      </c>
      <c r="L2047">
        <v>60.48</v>
      </c>
      <c r="M2047">
        <v>60.95</v>
      </c>
      <c r="N2047">
        <v>58.75</v>
      </c>
      <c r="O2047">
        <v>60.48</v>
      </c>
      <c r="P2047">
        <v>435.33</v>
      </c>
      <c r="Q2047">
        <v>86185800</v>
      </c>
      <c r="R2047">
        <v>0.6</v>
      </c>
      <c r="S2047" t="s">
        <v>607</v>
      </c>
      <c r="T2047" t="s">
        <v>645</v>
      </c>
      <c r="U2047">
        <v>3.64</v>
      </c>
      <c r="V2047">
        <v>59.53</v>
      </c>
      <c r="W2047">
        <v>7156</v>
      </c>
      <c r="X2047">
        <v>7321</v>
      </c>
      <c r="Y2047">
        <v>0.98</v>
      </c>
      <c r="Z2047">
        <v>15</v>
      </c>
      <c r="AA2047">
        <v>9</v>
      </c>
      <c r="AB2047" t="s">
        <v>116</v>
      </c>
      <c r="AC2047">
        <v>139100</v>
      </c>
      <c r="AD2047">
        <v>0</v>
      </c>
      <c r="AE2047" t="s">
        <v>116</v>
      </c>
      <c r="AF2047" t="s">
        <v>116</v>
      </c>
      <c r="AG2047">
        <v>0.66</v>
      </c>
      <c r="AH2047" t="s">
        <v>9690</v>
      </c>
      <c r="AI2047" t="s">
        <v>10007</v>
      </c>
      <c r="AJ2047">
        <v>-0.11</v>
      </c>
      <c r="AK2047">
        <v>1821</v>
      </c>
      <c r="AL2047">
        <v>8</v>
      </c>
      <c r="AM2047">
        <v>1.1999999999999999E-3</v>
      </c>
      <c r="AN2047">
        <v>-2</v>
      </c>
      <c r="AO2047">
        <v>-0.52</v>
      </c>
      <c r="AP2047">
        <v>16.53</v>
      </c>
      <c r="AQ2047">
        <v>12.91</v>
      </c>
      <c r="AR2047">
        <v>204.72</v>
      </c>
      <c r="AS2047">
        <v>2.4500000000000002</v>
      </c>
      <c r="AT2047" t="s">
        <v>10008</v>
      </c>
      <c r="AU2047">
        <v>133.04</v>
      </c>
      <c r="AV2047">
        <v>187.82</v>
      </c>
      <c r="AW2047">
        <v>1.78</v>
      </c>
      <c r="BA2047">
        <v>0</v>
      </c>
      <c r="BB2047">
        <v>0.78</v>
      </c>
      <c r="BC2047">
        <v>-2.86</v>
      </c>
      <c r="BD2047">
        <v>-1.56</v>
      </c>
      <c r="BE2047">
        <v>-0.79</v>
      </c>
      <c r="BF2047">
        <v>-1.56</v>
      </c>
      <c r="BG2047">
        <v>2.13</v>
      </c>
      <c r="BH2047">
        <v>0.77</v>
      </c>
      <c r="BI2047">
        <v>20191029</v>
      </c>
      <c r="BJ2047">
        <v>20170526</v>
      </c>
      <c r="BK2047">
        <v>1.33</v>
      </c>
      <c r="BL2047" t="s">
        <v>116</v>
      </c>
      <c r="BM2047" t="s">
        <v>116</v>
      </c>
      <c r="BN2047">
        <v>6.01</v>
      </c>
      <c r="BO2047">
        <v>4.59</v>
      </c>
      <c r="BP2047">
        <v>0</v>
      </c>
      <c r="BQ2047">
        <v>23.68</v>
      </c>
      <c r="BR2047">
        <v>5.19</v>
      </c>
      <c r="BS2047">
        <v>0.49</v>
      </c>
      <c r="BT2047">
        <v>0.03</v>
      </c>
      <c r="BU2047">
        <v>1.35</v>
      </c>
      <c r="BV2047">
        <v>0.84</v>
      </c>
      <c r="BW2047">
        <v>1.97</v>
      </c>
      <c r="BX2047">
        <v>2.2599999999999998</v>
      </c>
      <c r="BY2047">
        <v>3.03</v>
      </c>
      <c r="BZ2047">
        <v>0.9</v>
      </c>
      <c r="CA2047">
        <v>0.15</v>
      </c>
      <c r="CB2047">
        <v>0</v>
      </c>
      <c r="CC2047">
        <v>0.14000000000000001</v>
      </c>
      <c r="CD2047">
        <v>0.14000000000000001</v>
      </c>
      <c r="CE2047">
        <v>0.14000000000000001</v>
      </c>
      <c r="CF2047">
        <v>0.12</v>
      </c>
      <c r="CG2047">
        <v>0.94</v>
      </c>
      <c r="CH2047">
        <v>-0.78</v>
      </c>
      <c r="CI2047">
        <v>-1.03</v>
      </c>
      <c r="CJ2047">
        <v>5374</v>
      </c>
      <c r="CK2047">
        <v>10982</v>
      </c>
      <c r="CL2047" t="s">
        <v>10009</v>
      </c>
      <c r="CM2047">
        <v>467.26</v>
      </c>
      <c r="CN2047">
        <v>72.77</v>
      </c>
      <c r="CO2047">
        <v>17.37</v>
      </c>
      <c r="CP2047">
        <v>-102.04</v>
      </c>
      <c r="CQ2047">
        <v>26.34</v>
      </c>
      <c r="CR2047">
        <v>0.17</v>
      </c>
      <c r="CS2047" t="s">
        <v>2918</v>
      </c>
      <c r="CT2047">
        <v>3.45</v>
      </c>
      <c r="CU2047">
        <v>0</v>
      </c>
      <c r="CV2047">
        <v>1.7</v>
      </c>
      <c r="CW2047">
        <v>0.71</v>
      </c>
      <c r="CX2047">
        <v>-0.59</v>
      </c>
      <c r="CY2047">
        <v>76.319999999999993</v>
      </c>
      <c r="CZ2047" t="s">
        <v>5079</v>
      </c>
      <c r="DA2047">
        <v>70.260000000000005</v>
      </c>
      <c r="DB2047">
        <v>5.09</v>
      </c>
      <c r="DC2047">
        <v>4.54</v>
      </c>
      <c r="DD2047">
        <v>0.68</v>
      </c>
      <c r="DE2047">
        <v>690</v>
      </c>
      <c r="DF2047">
        <v>300659</v>
      </c>
      <c r="DG2047" t="s">
        <v>116</v>
      </c>
      <c r="DH2047" t="s">
        <v>116</v>
      </c>
      <c r="DI2047" t="s">
        <v>116</v>
      </c>
    </row>
    <row r="2048" spans="1:113" x14ac:dyDescent="0.4">
      <c r="A2048" t="str">
        <f>"300660"</f>
        <v>300660</v>
      </c>
      <c r="B2048" t="s">
        <v>10010</v>
      </c>
      <c r="C2048">
        <v>-1.61</v>
      </c>
      <c r="D2048">
        <v>15.85</v>
      </c>
      <c r="E2048">
        <v>-0.26</v>
      </c>
      <c r="F2048">
        <v>15.85</v>
      </c>
      <c r="G2048">
        <v>15.88</v>
      </c>
      <c r="H2048">
        <v>12101</v>
      </c>
      <c r="I2048">
        <v>231</v>
      </c>
      <c r="J2048">
        <v>-0.3</v>
      </c>
      <c r="K2048">
        <v>1.85</v>
      </c>
      <c r="L2048">
        <v>16.11</v>
      </c>
      <c r="M2048">
        <v>16.190000000000001</v>
      </c>
      <c r="N2048">
        <v>15.85</v>
      </c>
      <c r="O2048">
        <v>16.11</v>
      </c>
      <c r="P2048">
        <v>15.79</v>
      </c>
      <c r="Q2048">
        <v>19403952</v>
      </c>
      <c r="R2048">
        <v>1.1000000000000001</v>
      </c>
      <c r="S2048" t="s">
        <v>397</v>
      </c>
      <c r="T2048" t="s">
        <v>323</v>
      </c>
      <c r="U2048">
        <v>2.11</v>
      </c>
      <c r="V2048">
        <v>16.04</v>
      </c>
      <c r="W2048">
        <v>7247</v>
      </c>
      <c r="X2048">
        <v>4854</v>
      </c>
      <c r="Y2048">
        <v>1.49</v>
      </c>
      <c r="Z2048">
        <v>32</v>
      </c>
      <c r="AA2048">
        <v>15</v>
      </c>
      <c r="AB2048" t="s">
        <v>116</v>
      </c>
      <c r="AC2048">
        <v>24200</v>
      </c>
      <c r="AD2048">
        <v>0</v>
      </c>
      <c r="AE2048" t="s">
        <v>116</v>
      </c>
      <c r="AF2048" t="s">
        <v>116</v>
      </c>
      <c r="AG2048">
        <v>0.65</v>
      </c>
      <c r="AH2048" t="s">
        <v>6797</v>
      </c>
      <c r="AI2048" t="s">
        <v>10011</v>
      </c>
      <c r="AJ2048">
        <v>-0.94</v>
      </c>
      <c r="AK2048">
        <v>1053</v>
      </c>
      <c r="AL2048">
        <v>11</v>
      </c>
      <c r="AM2048">
        <v>1.8E-3</v>
      </c>
      <c r="AN2048">
        <v>-1</v>
      </c>
      <c r="AO2048">
        <v>-1.24</v>
      </c>
      <c r="AP2048">
        <v>6.38</v>
      </c>
      <c r="AQ2048">
        <v>-1.55</v>
      </c>
      <c r="AR2048">
        <v>17.91</v>
      </c>
      <c r="AS2048">
        <v>1.85</v>
      </c>
      <c r="AT2048" t="s">
        <v>6797</v>
      </c>
      <c r="AU2048">
        <v>18.18</v>
      </c>
      <c r="AV2048">
        <v>20.51</v>
      </c>
      <c r="AW2048">
        <v>1.06</v>
      </c>
      <c r="BA2048">
        <v>0</v>
      </c>
      <c r="BB2048">
        <v>0.5</v>
      </c>
      <c r="BC2048">
        <v>-1.61</v>
      </c>
      <c r="BD2048">
        <v>-0.46</v>
      </c>
      <c r="BE2048">
        <v>-1.61</v>
      </c>
      <c r="BF2048">
        <v>-2.1</v>
      </c>
      <c r="BG2048">
        <v>0</v>
      </c>
      <c r="BH2048">
        <v>-1.1499999999999999</v>
      </c>
      <c r="BI2048">
        <v>20191218</v>
      </c>
      <c r="BJ2048">
        <v>20170602</v>
      </c>
      <c r="BK2048">
        <v>2.59</v>
      </c>
      <c r="BL2048" t="s">
        <v>116</v>
      </c>
      <c r="BM2048" t="s">
        <v>116</v>
      </c>
      <c r="BN2048">
        <v>32.21</v>
      </c>
      <c r="BO2048">
        <v>22.45</v>
      </c>
      <c r="BP2048">
        <v>0.22</v>
      </c>
      <c r="BQ2048">
        <v>29.59</v>
      </c>
      <c r="BR2048">
        <v>26.89</v>
      </c>
      <c r="BS2048">
        <v>2.86</v>
      </c>
      <c r="BT2048">
        <v>0.95</v>
      </c>
      <c r="BU2048">
        <v>8.8800000000000008</v>
      </c>
      <c r="BV2048">
        <v>3.68</v>
      </c>
      <c r="BW2048">
        <v>6.06</v>
      </c>
      <c r="BX2048">
        <v>14.06</v>
      </c>
      <c r="BY2048">
        <v>17.64</v>
      </c>
      <c r="BZ2048">
        <v>13.26</v>
      </c>
      <c r="CA2048">
        <v>2.25</v>
      </c>
      <c r="CB2048">
        <v>0.12</v>
      </c>
      <c r="CC2048">
        <v>2.23</v>
      </c>
      <c r="CD2048">
        <v>1.96</v>
      </c>
      <c r="CE2048">
        <v>1.95</v>
      </c>
      <c r="CF2048">
        <v>1.69</v>
      </c>
      <c r="CG2048">
        <v>5.79</v>
      </c>
      <c r="CH2048">
        <v>2.6</v>
      </c>
      <c r="CI2048">
        <v>1.99</v>
      </c>
      <c r="CJ2048">
        <v>16042</v>
      </c>
      <c r="CK2048">
        <v>4076</v>
      </c>
      <c r="CL2048" t="s">
        <v>8954</v>
      </c>
      <c r="CM2048">
        <v>15.14</v>
      </c>
      <c r="CN2048">
        <v>3.18</v>
      </c>
      <c r="CO2048">
        <v>1.83</v>
      </c>
      <c r="CP2048">
        <v>15.83</v>
      </c>
      <c r="CQ2048">
        <v>2.33</v>
      </c>
      <c r="CR2048">
        <v>1.8</v>
      </c>
      <c r="CS2048" t="s">
        <v>10012</v>
      </c>
      <c r="CT2048">
        <v>8.66</v>
      </c>
      <c r="CU2048">
        <v>8.66</v>
      </c>
      <c r="CV2048">
        <v>5.42</v>
      </c>
      <c r="CW2048">
        <v>2.23</v>
      </c>
      <c r="CX2048">
        <v>1</v>
      </c>
      <c r="CY2048">
        <v>69.709999999999994</v>
      </c>
      <c r="CZ2048" t="s">
        <v>987</v>
      </c>
      <c r="DA2048">
        <v>24.84</v>
      </c>
      <c r="DB2048">
        <v>12.73</v>
      </c>
      <c r="DC2048">
        <v>11.07</v>
      </c>
      <c r="DD2048">
        <v>0.74</v>
      </c>
      <c r="DE2048">
        <v>3896</v>
      </c>
      <c r="DF2048">
        <v>300660</v>
      </c>
      <c r="DG2048" t="s">
        <v>116</v>
      </c>
      <c r="DH2048" t="s">
        <v>116</v>
      </c>
      <c r="DI2048" t="s">
        <v>116</v>
      </c>
    </row>
    <row r="2049" spans="1:113" x14ac:dyDescent="0.4">
      <c r="A2049" t="str">
        <f>"300661"</f>
        <v>300661</v>
      </c>
      <c r="B2049" t="s">
        <v>10013</v>
      </c>
      <c r="C2049">
        <v>-7.66</v>
      </c>
      <c r="D2049">
        <v>258.10000000000002</v>
      </c>
      <c r="E2049">
        <v>-21.4</v>
      </c>
      <c r="F2049">
        <v>258</v>
      </c>
      <c r="G2049">
        <v>258.10000000000002</v>
      </c>
      <c r="H2049">
        <v>25401</v>
      </c>
      <c r="I2049">
        <v>281</v>
      </c>
      <c r="J2049">
        <v>-0.22</v>
      </c>
      <c r="K2049">
        <v>4.54</v>
      </c>
      <c r="L2049">
        <v>275.77</v>
      </c>
      <c r="M2049">
        <v>275.79000000000002</v>
      </c>
      <c r="N2049">
        <v>255.49</v>
      </c>
      <c r="O2049">
        <v>279.5</v>
      </c>
      <c r="P2049">
        <v>167.28</v>
      </c>
      <c r="Q2049">
        <v>672311040</v>
      </c>
      <c r="R2049">
        <v>0.85</v>
      </c>
      <c r="S2049" t="s">
        <v>233</v>
      </c>
      <c r="T2049" t="s">
        <v>165</v>
      </c>
      <c r="U2049">
        <v>7.26</v>
      </c>
      <c r="V2049">
        <v>264.68</v>
      </c>
      <c r="W2049">
        <v>13632</v>
      </c>
      <c r="X2049">
        <v>11769</v>
      </c>
      <c r="Y2049">
        <v>1.1599999999999999</v>
      </c>
      <c r="Z2049">
        <v>7</v>
      </c>
      <c r="AA2049">
        <v>52</v>
      </c>
      <c r="AB2049" t="s">
        <v>116</v>
      </c>
      <c r="AC2049">
        <v>4881100</v>
      </c>
      <c r="AD2049">
        <v>0.03</v>
      </c>
      <c r="AE2049" t="s">
        <v>116</v>
      </c>
      <c r="AF2049" t="s">
        <v>116</v>
      </c>
      <c r="AG2049">
        <v>0.56000000000000005</v>
      </c>
      <c r="AH2049" t="s">
        <v>10014</v>
      </c>
      <c r="AI2049" t="s">
        <v>10015</v>
      </c>
      <c r="AJ2049">
        <v>-6.98</v>
      </c>
      <c r="AK2049">
        <v>3474</v>
      </c>
      <c r="AL2049">
        <v>7</v>
      </c>
      <c r="AM2049">
        <v>1.2999999999999999E-3</v>
      </c>
      <c r="AN2049">
        <v>-2</v>
      </c>
      <c r="AO2049">
        <v>-9.41</v>
      </c>
      <c r="AP2049">
        <v>20.61</v>
      </c>
      <c r="AQ2049">
        <v>52.79</v>
      </c>
      <c r="AR2049">
        <v>391.62</v>
      </c>
      <c r="AS2049">
        <v>4.54</v>
      </c>
      <c r="AT2049" t="s">
        <v>10014</v>
      </c>
      <c r="AU2049">
        <v>176.66</v>
      </c>
      <c r="AV2049">
        <v>257.92</v>
      </c>
      <c r="AW2049">
        <v>2</v>
      </c>
      <c r="BA2049">
        <v>-1.33</v>
      </c>
      <c r="BB2049">
        <v>-1.33</v>
      </c>
      <c r="BC2049">
        <v>-8.59</v>
      </c>
      <c r="BD2049">
        <v>-5.3</v>
      </c>
      <c r="BE2049">
        <v>-6.41</v>
      </c>
      <c r="BF2049">
        <v>-6.41</v>
      </c>
      <c r="BG2049">
        <v>1.02</v>
      </c>
      <c r="BH2049">
        <v>-2.35</v>
      </c>
      <c r="BI2049">
        <v>20191121</v>
      </c>
      <c r="BJ2049">
        <v>20170606</v>
      </c>
      <c r="BK2049">
        <v>1.04</v>
      </c>
      <c r="BL2049" t="s">
        <v>116</v>
      </c>
      <c r="BM2049" t="s">
        <v>116</v>
      </c>
      <c r="BN2049">
        <v>12.81</v>
      </c>
      <c r="BO2049">
        <v>10.029999999999999</v>
      </c>
      <c r="BP2049">
        <v>0.06</v>
      </c>
      <c r="BQ2049">
        <v>21.21</v>
      </c>
      <c r="BR2049">
        <v>10.58</v>
      </c>
      <c r="BS2049">
        <v>0.22</v>
      </c>
      <c r="BT2049">
        <v>0.06</v>
      </c>
      <c r="BU2049">
        <v>2.2400000000000002</v>
      </c>
      <c r="BV2049">
        <v>1.4</v>
      </c>
      <c r="BW2049">
        <v>0.85</v>
      </c>
      <c r="BX2049">
        <v>4.97</v>
      </c>
      <c r="BY2049">
        <v>5.34</v>
      </c>
      <c r="BZ2049">
        <v>2.8</v>
      </c>
      <c r="CA2049">
        <v>1.32</v>
      </c>
      <c r="CB2049">
        <v>0.36</v>
      </c>
      <c r="CC2049">
        <v>1.32</v>
      </c>
      <c r="CD2049">
        <v>1.2</v>
      </c>
      <c r="CE2049">
        <v>1.2</v>
      </c>
      <c r="CF2049">
        <v>1.1399999999999999</v>
      </c>
      <c r="CG2049">
        <v>3.8</v>
      </c>
      <c r="CH2049">
        <v>1.08</v>
      </c>
      <c r="CI2049">
        <v>-0.54</v>
      </c>
      <c r="CJ2049">
        <v>8558</v>
      </c>
      <c r="CK2049">
        <v>6539</v>
      </c>
      <c r="CL2049" t="s">
        <v>10016</v>
      </c>
      <c r="CM2049">
        <v>66.05</v>
      </c>
      <c r="CN2049">
        <v>22.74</v>
      </c>
      <c r="CO2049">
        <v>26.62</v>
      </c>
      <c r="CP2049">
        <v>247.59</v>
      </c>
      <c r="CQ2049">
        <v>50.08</v>
      </c>
      <c r="CR2049">
        <v>0.1</v>
      </c>
      <c r="CS2049" t="s">
        <v>9482</v>
      </c>
      <c r="CT2049">
        <v>9.6999999999999993</v>
      </c>
      <c r="CU2049">
        <v>9.6999999999999993</v>
      </c>
      <c r="CV2049">
        <v>4.79</v>
      </c>
      <c r="CW2049">
        <v>3.67</v>
      </c>
      <c r="CX2049">
        <v>1.04</v>
      </c>
      <c r="CY2049">
        <v>78.290000000000006</v>
      </c>
      <c r="CZ2049" t="s">
        <v>10017</v>
      </c>
      <c r="DA2049">
        <v>47.54</v>
      </c>
      <c r="DB2049">
        <v>24.72</v>
      </c>
      <c r="DC2049">
        <v>22.45</v>
      </c>
      <c r="DD2049">
        <v>0.9</v>
      </c>
      <c r="DE2049">
        <v>328</v>
      </c>
      <c r="DF2049">
        <v>300661</v>
      </c>
      <c r="DG2049" t="s">
        <v>116</v>
      </c>
      <c r="DH2049" t="s">
        <v>116</v>
      </c>
      <c r="DI2049" t="s">
        <v>116</v>
      </c>
    </row>
    <row r="2050" spans="1:113" x14ac:dyDescent="0.4">
      <c r="A2050" t="str">
        <f>"300662"</f>
        <v>300662</v>
      </c>
      <c r="B2050" t="s">
        <v>10018</v>
      </c>
      <c r="C2050">
        <v>2.5099999999999998</v>
      </c>
      <c r="D2050">
        <v>31.06</v>
      </c>
      <c r="E2050">
        <v>0.76</v>
      </c>
      <c r="F2050">
        <v>31.05</v>
      </c>
      <c r="G2050">
        <v>31.06</v>
      </c>
      <c r="H2050">
        <v>23667</v>
      </c>
      <c r="I2050">
        <v>344</v>
      </c>
      <c r="J2050">
        <v>-0.09</v>
      </c>
      <c r="K2050">
        <v>2.61</v>
      </c>
      <c r="L2050">
        <v>30.35</v>
      </c>
      <c r="M2050">
        <v>31.66</v>
      </c>
      <c r="N2050">
        <v>30.34</v>
      </c>
      <c r="O2050">
        <v>30.3</v>
      </c>
      <c r="P2050">
        <v>36.49</v>
      </c>
      <c r="Q2050">
        <v>73341128</v>
      </c>
      <c r="R2050">
        <v>1.52</v>
      </c>
      <c r="S2050" t="s">
        <v>173</v>
      </c>
      <c r="T2050" t="s">
        <v>165</v>
      </c>
      <c r="U2050">
        <v>4.3600000000000003</v>
      </c>
      <c r="V2050">
        <v>30.99</v>
      </c>
      <c r="W2050">
        <v>11645</v>
      </c>
      <c r="X2050">
        <v>12022</v>
      </c>
      <c r="Y2050">
        <v>0.97</v>
      </c>
      <c r="Z2050">
        <v>8</v>
      </c>
      <c r="AA2050">
        <v>195</v>
      </c>
      <c r="AB2050" t="s">
        <v>116</v>
      </c>
      <c r="AC2050">
        <v>100200</v>
      </c>
      <c r="AD2050">
        <v>0</v>
      </c>
      <c r="AE2050" t="s">
        <v>116</v>
      </c>
      <c r="AF2050" t="s">
        <v>116</v>
      </c>
      <c r="AG2050">
        <v>0.91</v>
      </c>
      <c r="AH2050" t="s">
        <v>10019</v>
      </c>
      <c r="AI2050" t="s">
        <v>10020</v>
      </c>
      <c r="AJ2050">
        <v>3.19</v>
      </c>
      <c r="AK2050">
        <v>2062</v>
      </c>
      <c r="AL2050">
        <v>11</v>
      </c>
      <c r="AM2050">
        <v>1.2999999999999999E-3</v>
      </c>
      <c r="AN2050">
        <v>2</v>
      </c>
      <c r="AO2050">
        <v>2.58</v>
      </c>
      <c r="AP2050">
        <v>6.66</v>
      </c>
      <c r="AQ2050">
        <v>8.26</v>
      </c>
      <c r="AR2050">
        <v>17.34</v>
      </c>
      <c r="AS2050">
        <v>3.45</v>
      </c>
      <c r="AT2050" t="s">
        <v>1023</v>
      </c>
      <c r="AU2050">
        <v>39.79</v>
      </c>
      <c r="AV2050">
        <v>47.51</v>
      </c>
      <c r="AW2050">
        <v>1.1200000000000001</v>
      </c>
      <c r="BA2050">
        <v>0.17</v>
      </c>
      <c r="BB2050">
        <v>4.49</v>
      </c>
      <c r="BC2050">
        <v>0.13</v>
      </c>
      <c r="BD2050">
        <v>2.27</v>
      </c>
      <c r="BE2050">
        <v>2.34</v>
      </c>
      <c r="BF2050">
        <v>-1.9</v>
      </c>
      <c r="BG2050">
        <v>2.37</v>
      </c>
      <c r="BH2050">
        <v>0.24</v>
      </c>
      <c r="BI2050">
        <v>20191223</v>
      </c>
      <c r="BJ2050">
        <v>20170608</v>
      </c>
      <c r="BK2050">
        <v>1.8</v>
      </c>
      <c r="BL2050" t="s">
        <v>116</v>
      </c>
      <c r="BM2050" t="s">
        <v>116</v>
      </c>
      <c r="BN2050">
        <v>15.74</v>
      </c>
      <c r="BO2050">
        <v>8.2100000000000009</v>
      </c>
      <c r="BP2050">
        <v>1.25</v>
      </c>
      <c r="BQ2050">
        <v>39.909999999999997</v>
      </c>
      <c r="BR2050">
        <v>11.52</v>
      </c>
      <c r="BS2050">
        <v>0.11</v>
      </c>
      <c r="BT2050">
        <v>1.1499999999999999</v>
      </c>
      <c r="BU2050">
        <v>5.93</v>
      </c>
      <c r="BV2050">
        <v>0</v>
      </c>
      <c r="BW2050">
        <v>7.84</v>
      </c>
      <c r="BX2050">
        <v>2.2599999999999998</v>
      </c>
      <c r="BY2050">
        <v>26.16</v>
      </c>
      <c r="BZ2050">
        <v>22.4</v>
      </c>
      <c r="CA2050">
        <v>1.71</v>
      </c>
      <c r="CB2050">
        <v>0.01</v>
      </c>
      <c r="CC2050">
        <v>1.83</v>
      </c>
      <c r="CD2050">
        <v>1.39</v>
      </c>
      <c r="CE2050">
        <v>1.1499999999999999</v>
      </c>
      <c r="CF2050">
        <v>1.02</v>
      </c>
      <c r="CG2050">
        <v>3.96</v>
      </c>
      <c r="CH2050">
        <v>0.08</v>
      </c>
      <c r="CI2050">
        <v>-0.45</v>
      </c>
      <c r="CJ2050">
        <v>6730</v>
      </c>
      <c r="CK2050">
        <v>10200</v>
      </c>
      <c r="CL2050" t="s">
        <v>10021</v>
      </c>
      <c r="CM2050">
        <v>24.81</v>
      </c>
      <c r="CN2050">
        <v>80.14</v>
      </c>
      <c r="CO2050">
        <v>6.81</v>
      </c>
      <c r="CP2050">
        <v>679.61</v>
      </c>
      <c r="CQ2050">
        <v>2.14</v>
      </c>
      <c r="CR2050">
        <v>0.42</v>
      </c>
      <c r="CS2050" t="s">
        <v>10022</v>
      </c>
      <c r="CT2050">
        <v>4.5599999999999996</v>
      </c>
      <c r="CU2050">
        <v>0</v>
      </c>
      <c r="CV2050">
        <v>1.26</v>
      </c>
      <c r="CW2050">
        <v>2.2000000000000002</v>
      </c>
      <c r="CX2050">
        <v>0.05</v>
      </c>
      <c r="CY2050">
        <v>52.15</v>
      </c>
      <c r="CZ2050" t="s">
        <v>10023</v>
      </c>
      <c r="DA2050">
        <v>14.34</v>
      </c>
      <c r="DB2050">
        <v>6.56</v>
      </c>
      <c r="DC2050">
        <v>4.3899999999999997</v>
      </c>
      <c r="DD2050">
        <v>0.04</v>
      </c>
      <c r="DE2050">
        <v>2213</v>
      </c>
      <c r="DF2050">
        <v>300662</v>
      </c>
      <c r="DG2050" t="s">
        <v>116</v>
      </c>
      <c r="DH2050" t="s">
        <v>116</v>
      </c>
      <c r="DI2050" t="s">
        <v>116</v>
      </c>
    </row>
    <row r="2051" spans="1:113" x14ac:dyDescent="0.4">
      <c r="A2051" t="str">
        <f>"300663"</f>
        <v>300663</v>
      </c>
      <c r="B2051" t="s">
        <v>10024</v>
      </c>
      <c r="C2051">
        <v>-2.2000000000000002</v>
      </c>
      <c r="D2051">
        <v>25.32</v>
      </c>
      <c r="E2051">
        <v>-0.56999999999999995</v>
      </c>
      <c r="F2051">
        <v>25.31</v>
      </c>
      <c r="G2051">
        <v>25.32</v>
      </c>
      <c r="H2051">
        <v>58317</v>
      </c>
      <c r="I2051">
        <v>1141</v>
      </c>
      <c r="J2051">
        <v>-7.0000000000000007E-2</v>
      </c>
      <c r="K2051">
        <v>3.16</v>
      </c>
      <c r="L2051">
        <v>26.04</v>
      </c>
      <c r="M2051">
        <v>26.04</v>
      </c>
      <c r="N2051">
        <v>25.3</v>
      </c>
      <c r="O2051">
        <v>25.89</v>
      </c>
      <c r="P2051" t="s">
        <v>116</v>
      </c>
      <c r="Q2051">
        <v>149595232</v>
      </c>
      <c r="R2051">
        <v>0.87</v>
      </c>
      <c r="S2051" t="s">
        <v>607</v>
      </c>
      <c r="T2051" t="s">
        <v>165</v>
      </c>
      <c r="U2051">
        <v>2.86</v>
      </c>
      <c r="V2051">
        <v>25.65</v>
      </c>
      <c r="W2051">
        <v>35266</v>
      </c>
      <c r="X2051">
        <v>23051</v>
      </c>
      <c r="Y2051">
        <v>1.53</v>
      </c>
      <c r="Z2051">
        <v>152</v>
      </c>
      <c r="AA2051">
        <v>204</v>
      </c>
      <c r="AB2051" t="s">
        <v>116</v>
      </c>
      <c r="AC2051">
        <v>669200</v>
      </c>
      <c r="AD2051">
        <v>0.02</v>
      </c>
      <c r="AE2051" t="s">
        <v>116</v>
      </c>
      <c r="AF2051" t="s">
        <v>116</v>
      </c>
      <c r="AG2051">
        <v>1.85</v>
      </c>
      <c r="AH2051" t="s">
        <v>10025</v>
      </c>
      <c r="AI2051" t="s">
        <v>2371</v>
      </c>
      <c r="AJ2051">
        <v>-1.52</v>
      </c>
      <c r="AK2051">
        <v>2553</v>
      </c>
      <c r="AL2051">
        <v>23</v>
      </c>
      <c r="AM2051">
        <v>1.1999999999999999E-3</v>
      </c>
      <c r="AN2051">
        <v>-2</v>
      </c>
      <c r="AO2051">
        <v>-1.41</v>
      </c>
      <c r="AP2051">
        <v>1.52</v>
      </c>
      <c r="AQ2051">
        <v>-12.39</v>
      </c>
      <c r="AR2051">
        <v>174.92</v>
      </c>
      <c r="AS2051">
        <v>3.86</v>
      </c>
      <c r="AT2051" t="s">
        <v>9422</v>
      </c>
      <c r="AU2051">
        <v>178.68</v>
      </c>
      <c r="AV2051">
        <v>179.72</v>
      </c>
      <c r="AW2051">
        <v>2.0499999999999998</v>
      </c>
      <c r="BA2051">
        <v>0.57999999999999996</v>
      </c>
      <c r="BB2051">
        <v>0.57999999999999996</v>
      </c>
      <c r="BC2051">
        <v>-2.2799999999999998</v>
      </c>
      <c r="BD2051">
        <v>-0.92</v>
      </c>
      <c r="BE2051">
        <v>-2.76</v>
      </c>
      <c r="BF2051">
        <v>-2.76</v>
      </c>
      <c r="BG2051">
        <v>0.08</v>
      </c>
      <c r="BH2051">
        <v>-1.28</v>
      </c>
      <c r="BI2051">
        <v>20191030</v>
      </c>
      <c r="BJ2051">
        <v>20170608</v>
      </c>
      <c r="BK2051">
        <v>3.02</v>
      </c>
      <c r="BL2051" t="s">
        <v>116</v>
      </c>
      <c r="BM2051" t="s">
        <v>116</v>
      </c>
      <c r="BN2051">
        <v>15.12</v>
      </c>
      <c r="BO2051">
        <v>6.57</v>
      </c>
      <c r="BP2051">
        <v>0.12</v>
      </c>
      <c r="BQ2051">
        <v>55.75</v>
      </c>
      <c r="BR2051">
        <v>12.24</v>
      </c>
      <c r="BS2051">
        <v>7.0000000000000007E-2</v>
      </c>
      <c r="BT2051">
        <v>0.89</v>
      </c>
      <c r="BU2051">
        <v>7.87</v>
      </c>
      <c r="BV2051">
        <v>3.3</v>
      </c>
      <c r="BW2051">
        <v>6.95</v>
      </c>
      <c r="BX2051">
        <v>2.59</v>
      </c>
      <c r="BY2051">
        <v>4.74</v>
      </c>
      <c r="BZ2051">
        <v>3.25</v>
      </c>
      <c r="CA2051">
        <v>-0.82</v>
      </c>
      <c r="CB2051">
        <v>0.02</v>
      </c>
      <c r="CC2051">
        <v>-0.82</v>
      </c>
      <c r="CD2051">
        <v>-0.64</v>
      </c>
      <c r="CE2051">
        <v>-0.61</v>
      </c>
      <c r="CF2051">
        <v>-0.64</v>
      </c>
      <c r="CG2051">
        <v>1.19</v>
      </c>
      <c r="CH2051">
        <v>-2.36</v>
      </c>
      <c r="CI2051">
        <v>-2.82</v>
      </c>
      <c r="CJ2051">
        <v>37057</v>
      </c>
      <c r="CK2051">
        <v>4081</v>
      </c>
      <c r="CL2051" t="s">
        <v>10026</v>
      </c>
      <c r="CM2051">
        <v>0.41</v>
      </c>
      <c r="CN2051">
        <v>51.06</v>
      </c>
      <c r="CO2051">
        <v>11.65</v>
      </c>
      <c r="CP2051">
        <v>-32.47</v>
      </c>
      <c r="CQ2051">
        <v>16.13</v>
      </c>
      <c r="CR2051">
        <v>0.09</v>
      </c>
      <c r="CS2051" t="s">
        <v>7223</v>
      </c>
      <c r="CT2051">
        <v>2.17</v>
      </c>
      <c r="CU2051">
        <v>0</v>
      </c>
      <c r="CV2051">
        <v>0.86</v>
      </c>
      <c r="CW2051">
        <v>0.39</v>
      </c>
      <c r="CX2051">
        <v>-0.78</v>
      </c>
      <c r="CY2051">
        <v>43.43</v>
      </c>
      <c r="CZ2051" t="s">
        <v>10027</v>
      </c>
      <c r="DA2051">
        <v>31.46</v>
      </c>
      <c r="DB2051">
        <v>-17.23</v>
      </c>
      <c r="DC2051">
        <v>-12.8</v>
      </c>
      <c r="DD2051">
        <v>0.7</v>
      </c>
      <c r="DE2051">
        <v>3477</v>
      </c>
      <c r="DF2051">
        <v>300663</v>
      </c>
      <c r="DG2051" t="s">
        <v>116</v>
      </c>
      <c r="DH2051" t="s">
        <v>116</v>
      </c>
      <c r="DI2051" t="s">
        <v>116</v>
      </c>
    </row>
    <row r="2052" spans="1:113" x14ac:dyDescent="0.4">
      <c r="A2052" t="str">
        <f>"300664"</f>
        <v>300664</v>
      </c>
      <c r="B2052" t="s">
        <v>10028</v>
      </c>
      <c r="C2052">
        <v>-0.83</v>
      </c>
      <c r="D2052">
        <v>13.2</v>
      </c>
      <c r="E2052">
        <v>-0.11</v>
      </c>
      <c r="F2052">
        <v>13.2</v>
      </c>
      <c r="G2052">
        <v>13.24</v>
      </c>
      <c r="H2052">
        <v>128123</v>
      </c>
      <c r="I2052">
        <v>1356</v>
      </c>
      <c r="J2052">
        <v>0.08</v>
      </c>
      <c r="K2052">
        <v>3.82</v>
      </c>
      <c r="L2052">
        <v>13.32</v>
      </c>
      <c r="M2052">
        <v>13.5</v>
      </c>
      <c r="N2052">
        <v>13.14</v>
      </c>
      <c r="O2052">
        <v>13.31</v>
      </c>
      <c r="P2052">
        <v>24.97</v>
      </c>
      <c r="Q2052">
        <v>170472384</v>
      </c>
      <c r="R2052">
        <v>1</v>
      </c>
      <c r="S2052" t="s">
        <v>140</v>
      </c>
      <c r="T2052" t="s">
        <v>323</v>
      </c>
      <c r="U2052">
        <v>2.7</v>
      </c>
      <c r="V2052">
        <v>13.31</v>
      </c>
      <c r="W2052">
        <v>57012</v>
      </c>
      <c r="X2052">
        <v>71111</v>
      </c>
      <c r="Y2052">
        <v>0.8</v>
      </c>
      <c r="Z2052">
        <v>71</v>
      </c>
      <c r="AA2052">
        <v>10</v>
      </c>
      <c r="AB2052" t="s">
        <v>116</v>
      </c>
      <c r="AC2052">
        <v>330300</v>
      </c>
      <c r="AD2052">
        <v>0.01</v>
      </c>
      <c r="AE2052" t="s">
        <v>116</v>
      </c>
      <c r="AF2052" t="s">
        <v>116</v>
      </c>
      <c r="AG2052">
        <v>3.36</v>
      </c>
      <c r="AH2052" t="s">
        <v>10029</v>
      </c>
      <c r="AI2052" t="s">
        <v>3620</v>
      </c>
      <c r="AJ2052">
        <v>-0.15</v>
      </c>
      <c r="AK2052">
        <v>2785</v>
      </c>
      <c r="AL2052">
        <v>46</v>
      </c>
      <c r="AM2052">
        <v>1.4E-3</v>
      </c>
      <c r="AN2052">
        <v>-1</v>
      </c>
      <c r="AO2052">
        <v>4.26</v>
      </c>
      <c r="AP2052">
        <v>11.96</v>
      </c>
      <c r="AQ2052">
        <v>17.75</v>
      </c>
      <c r="AR2052">
        <v>10.32</v>
      </c>
      <c r="AS2052">
        <v>5.35</v>
      </c>
      <c r="AT2052" t="s">
        <v>7972</v>
      </c>
      <c r="AU2052">
        <v>30.18</v>
      </c>
      <c r="AV2052">
        <v>37.659999999999997</v>
      </c>
      <c r="AW2052">
        <v>0.39</v>
      </c>
      <c r="BA2052">
        <v>0.08</v>
      </c>
      <c r="BB2052">
        <v>1.43</v>
      </c>
      <c r="BC2052">
        <v>-1.28</v>
      </c>
      <c r="BD2052">
        <v>-0.03</v>
      </c>
      <c r="BE2052">
        <v>-0.9</v>
      </c>
      <c r="BF2052">
        <v>-2.2200000000000002</v>
      </c>
      <c r="BG2052">
        <v>0.46</v>
      </c>
      <c r="BH2052">
        <v>-0.79</v>
      </c>
      <c r="BI2052">
        <v>20191030</v>
      </c>
      <c r="BJ2052">
        <v>20180105</v>
      </c>
      <c r="BK2052">
        <v>4.8</v>
      </c>
      <c r="BL2052" t="s">
        <v>116</v>
      </c>
      <c r="BM2052" t="s">
        <v>116</v>
      </c>
      <c r="BN2052">
        <v>57.69</v>
      </c>
      <c r="BO2052">
        <v>32.200000000000003</v>
      </c>
      <c r="BP2052">
        <v>2.44</v>
      </c>
      <c r="BQ2052">
        <v>39.950000000000003</v>
      </c>
      <c r="BR2052">
        <v>19.53</v>
      </c>
      <c r="BS2052">
        <v>3.25</v>
      </c>
      <c r="BT2052">
        <v>1.1599999999999999</v>
      </c>
      <c r="BU2052">
        <v>12.98</v>
      </c>
      <c r="BV2052">
        <v>1.75</v>
      </c>
      <c r="BW2052">
        <v>8.2799999999999994</v>
      </c>
      <c r="BX2052">
        <v>12.79</v>
      </c>
      <c r="BY2052">
        <v>10.5</v>
      </c>
      <c r="BZ2052">
        <v>6.59</v>
      </c>
      <c r="CA2052">
        <v>2.25</v>
      </c>
      <c r="CB2052">
        <v>0.05</v>
      </c>
      <c r="CC2052">
        <v>2.37</v>
      </c>
      <c r="CD2052">
        <v>1.91</v>
      </c>
      <c r="CE2052">
        <v>1.9</v>
      </c>
      <c r="CF2052">
        <v>1.74</v>
      </c>
      <c r="CG2052">
        <v>14.1</v>
      </c>
      <c r="CH2052">
        <v>-3.02</v>
      </c>
      <c r="CI2052">
        <v>-2.42</v>
      </c>
      <c r="CJ2052">
        <v>28134</v>
      </c>
      <c r="CK2052">
        <v>8515</v>
      </c>
      <c r="CL2052" t="s">
        <v>5821</v>
      </c>
      <c r="CM2052">
        <v>28.05</v>
      </c>
      <c r="CN2052">
        <v>99.84</v>
      </c>
      <c r="CO2052">
        <v>1.97</v>
      </c>
      <c r="CP2052">
        <v>-20.98</v>
      </c>
      <c r="CQ2052">
        <v>6.04</v>
      </c>
      <c r="CR2052">
        <v>0.27</v>
      </c>
      <c r="CS2052" t="s">
        <v>7662</v>
      </c>
      <c r="CT2052">
        <v>6.71</v>
      </c>
      <c r="CU2052">
        <v>0</v>
      </c>
      <c r="CV2052">
        <v>2.66</v>
      </c>
      <c r="CW2052">
        <v>2.94</v>
      </c>
      <c r="CX2052">
        <v>-0.63</v>
      </c>
      <c r="CY2052">
        <v>55.82</v>
      </c>
      <c r="CZ2052" t="s">
        <v>10030</v>
      </c>
      <c r="DA2052">
        <v>37.24</v>
      </c>
      <c r="DB2052">
        <v>21.43</v>
      </c>
      <c r="DC2052">
        <v>18.13</v>
      </c>
      <c r="DD2052">
        <v>0.14000000000000001</v>
      </c>
      <c r="DE2052">
        <v>920</v>
      </c>
      <c r="DF2052">
        <v>300664</v>
      </c>
      <c r="DG2052" t="s">
        <v>116</v>
      </c>
      <c r="DH2052" t="s">
        <v>116</v>
      </c>
      <c r="DI2052" t="s">
        <v>116</v>
      </c>
    </row>
    <row r="2053" spans="1:113" x14ac:dyDescent="0.4">
      <c r="A2053" t="str">
        <f>"300665"</f>
        <v>300665</v>
      </c>
      <c r="B2053" t="s">
        <v>10031</v>
      </c>
      <c r="C2053">
        <v>-0.84</v>
      </c>
      <c r="D2053">
        <v>10.57</v>
      </c>
      <c r="E2053">
        <v>-0.09</v>
      </c>
      <c r="F2053">
        <v>10.57</v>
      </c>
      <c r="G2053">
        <v>10.58</v>
      </c>
      <c r="H2053">
        <v>13019</v>
      </c>
      <c r="I2053">
        <v>140</v>
      </c>
      <c r="J2053">
        <v>-0.08</v>
      </c>
      <c r="K2053">
        <v>1.79</v>
      </c>
      <c r="L2053">
        <v>10.67</v>
      </c>
      <c r="M2053">
        <v>10.74</v>
      </c>
      <c r="N2053">
        <v>10.55</v>
      </c>
      <c r="O2053">
        <v>10.66</v>
      </c>
      <c r="P2053">
        <v>85.65</v>
      </c>
      <c r="Q2053">
        <v>13884474</v>
      </c>
      <c r="R2053">
        <v>0.65</v>
      </c>
      <c r="S2053" t="s">
        <v>1192</v>
      </c>
      <c r="T2053" t="s">
        <v>599</v>
      </c>
      <c r="U2053">
        <v>1.78</v>
      </c>
      <c r="V2053">
        <v>10.66</v>
      </c>
      <c r="W2053">
        <v>7163</v>
      </c>
      <c r="X2053">
        <v>5856</v>
      </c>
      <c r="Y2053">
        <v>1.22</v>
      </c>
      <c r="Z2053">
        <v>63</v>
      </c>
      <c r="AA2053">
        <v>9</v>
      </c>
      <c r="AB2053" t="s">
        <v>116</v>
      </c>
      <c r="AC2053">
        <v>105600</v>
      </c>
      <c r="AD2053">
        <v>0.01</v>
      </c>
      <c r="AE2053" t="s">
        <v>116</v>
      </c>
      <c r="AF2053" t="s">
        <v>116</v>
      </c>
      <c r="AG2053">
        <v>0.73</v>
      </c>
      <c r="AH2053" t="s">
        <v>6401</v>
      </c>
      <c r="AI2053" t="s">
        <v>7351</v>
      </c>
      <c r="AJ2053">
        <v>-0.17</v>
      </c>
      <c r="AK2053">
        <v>841</v>
      </c>
      <c r="AL2053">
        <v>15</v>
      </c>
      <c r="AM2053">
        <v>2.0999999999999999E-3</v>
      </c>
      <c r="AN2053">
        <v>-1</v>
      </c>
      <c r="AO2053">
        <v>-0.09</v>
      </c>
      <c r="AP2053">
        <v>6.66</v>
      </c>
      <c r="AQ2053">
        <v>3.22</v>
      </c>
      <c r="AR2053">
        <v>10.8</v>
      </c>
      <c r="AS2053">
        <v>1.79</v>
      </c>
      <c r="AT2053" t="s">
        <v>6401</v>
      </c>
      <c r="AU2053">
        <v>70.44</v>
      </c>
      <c r="AV2053">
        <v>50.85</v>
      </c>
      <c r="AW2053">
        <v>0.85</v>
      </c>
      <c r="BA2053">
        <v>0.09</v>
      </c>
      <c r="BB2053">
        <v>0.75</v>
      </c>
      <c r="BC2053">
        <v>-1.03</v>
      </c>
      <c r="BD2053">
        <v>0.04</v>
      </c>
      <c r="BE2053">
        <v>-0.94</v>
      </c>
      <c r="BF2053">
        <v>-1.58</v>
      </c>
      <c r="BG2053">
        <v>0.19</v>
      </c>
      <c r="BH2053">
        <v>-0.89</v>
      </c>
      <c r="BI2053">
        <v>20191028</v>
      </c>
      <c r="BJ2053">
        <v>20170613</v>
      </c>
      <c r="BK2053">
        <v>1.22</v>
      </c>
      <c r="BL2053" t="s">
        <v>116</v>
      </c>
      <c r="BM2053" t="s">
        <v>116</v>
      </c>
      <c r="BN2053">
        <v>9.09</v>
      </c>
      <c r="BO2053">
        <v>4.43</v>
      </c>
      <c r="BP2053">
        <v>0.04</v>
      </c>
      <c r="BQ2053">
        <v>50.81</v>
      </c>
      <c r="BR2053">
        <v>5.76</v>
      </c>
      <c r="BS2053">
        <v>1.66</v>
      </c>
      <c r="BT2053">
        <v>0.57999999999999996</v>
      </c>
      <c r="BU2053">
        <v>4.55</v>
      </c>
      <c r="BV2053">
        <v>1.31</v>
      </c>
      <c r="BW2053">
        <v>3.13</v>
      </c>
      <c r="BX2053">
        <v>1.53</v>
      </c>
      <c r="BY2053">
        <v>3.06</v>
      </c>
      <c r="BZ2053">
        <v>2.23</v>
      </c>
      <c r="CA2053">
        <v>0.16</v>
      </c>
      <c r="CB2053">
        <v>0</v>
      </c>
      <c r="CC2053">
        <v>0.15</v>
      </c>
      <c r="CD2053">
        <v>0.13</v>
      </c>
      <c r="CE2053">
        <v>0.11</v>
      </c>
      <c r="CF2053">
        <v>0.08</v>
      </c>
      <c r="CG2053">
        <v>1.6</v>
      </c>
      <c r="CH2053">
        <v>-0.17</v>
      </c>
      <c r="CI2053">
        <v>-1.05</v>
      </c>
      <c r="CJ2053">
        <v>8876</v>
      </c>
      <c r="CK2053">
        <v>8216</v>
      </c>
      <c r="CL2053" t="s">
        <v>5572</v>
      </c>
      <c r="CM2053">
        <v>-38.43</v>
      </c>
      <c r="CN2053">
        <v>22.79</v>
      </c>
      <c r="CO2053">
        <v>2.9</v>
      </c>
      <c r="CP2053">
        <v>-77.45</v>
      </c>
      <c r="CQ2053">
        <v>4.1900000000000004</v>
      </c>
      <c r="CR2053">
        <v>0.47</v>
      </c>
      <c r="CS2053" t="s">
        <v>2836</v>
      </c>
      <c r="CT2053">
        <v>3.64</v>
      </c>
      <c r="CU2053">
        <v>0</v>
      </c>
      <c r="CV2053">
        <v>1.26</v>
      </c>
      <c r="CW2053">
        <v>1.32</v>
      </c>
      <c r="CX2053">
        <v>-0.14000000000000001</v>
      </c>
      <c r="CY2053">
        <v>48.72</v>
      </c>
      <c r="CZ2053" t="s">
        <v>9271</v>
      </c>
      <c r="DA2053">
        <v>27.08</v>
      </c>
      <c r="DB2053">
        <v>5.0999999999999996</v>
      </c>
      <c r="DC2053">
        <v>3.67</v>
      </c>
      <c r="DD2053">
        <v>0.1</v>
      </c>
      <c r="DE2053">
        <v>402</v>
      </c>
      <c r="DF2053">
        <v>300665</v>
      </c>
      <c r="DG2053" t="s">
        <v>116</v>
      </c>
      <c r="DH2053" t="s">
        <v>116</v>
      </c>
      <c r="DI2053" t="s">
        <v>116</v>
      </c>
    </row>
    <row r="2054" spans="1:113" x14ac:dyDescent="0.4">
      <c r="A2054" t="str">
        <f>"300666"</f>
        <v>300666</v>
      </c>
      <c r="B2054" t="s">
        <v>10032</v>
      </c>
      <c r="C2054">
        <v>-2.2000000000000002</v>
      </c>
      <c r="D2054">
        <v>43.65</v>
      </c>
      <c r="E2054">
        <v>-0.98</v>
      </c>
      <c r="F2054">
        <v>43.65</v>
      </c>
      <c r="G2054">
        <v>43.66</v>
      </c>
      <c r="H2054">
        <v>69026</v>
      </c>
      <c r="I2054">
        <v>1200</v>
      </c>
      <c r="J2054">
        <v>-0.42</v>
      </c>
      <c r="K2054">
        <v>7.35</v>
      </c>
      <c r="L2054">
        <v>44.23</v>
      </c>
      <c r="M2054">
        <v>44.78</v>
      </c>
      <c r="N2054">
        <v>43.11</v>
      </c>
      <c r="O2054">
        <v>44.63</v>
      </c>
      <c r="P2054">
        <v>220.16</v>
      </c>
      <c r="Q2054">
        <v>302439072</v>
      </c>
      <c r="R2054">
        <v>1.1399999999999999</v>
      </c>
      <c r="S2054" t="s">
        <v>233</v>
      </c>
      <c r="T2054" t="s">
        <v>590</v>
      </c>
      <c r="U2054">
        <v>3.74</v>
      </c>
      <c r="V2054">
        <v>43.82</v>
      </c>
      <c r="W2054">
        <v>36746</v>
      </c>
      <c r="X2054">
        <v>32280</v>
      </c>
      <c r="Y2054">
        <v>1.1399999999999999</v>
      </c>
      <c r="Z2054">
        <v>27</v>
      </c>
      <c r="AA2054">
        <v>2</v>
      </c>
      <c r="AB2054" t="s">
        <v>116</v>
      </c>
      <c r="AC2054">
        <v>2981100</v>
      </c>
      <c r="AD2054">
        <v>0.08</v>
      </c>
      <c r="AE2054" t="s">
        <v>116</v>
      </c>
      <c r="AF2054" t="s">
        <v>116</v>
      </c>
      <c r="AG2054">
        <v>0.94</v>
      </c>
      <c r="AH2054" t="s">
        <v>487</v>
      </c>
      <c r="AI2054" t="s">
        <v>10033</v>
      </c>
      <c r="AJ2054">
        <v>-1.52</v>
      </c>
      <c r="AK2054">
        <v>3371</v>
      </c>
      <c r="AL2054">
        <v>20</v>
      </c>
      <c r="AM2054">
        <v>2.2000000000000001E-3</v>
      </c>
      <c r="AN2054">
        <v>-1</v>
      </c>
      <c r="AO2054">
        <v>2</v>
      </c>
      <c r="AP2054">
        <v>18.13</v>
      </c>
      <c r="AQ2054">
        <v>-1.8</v>
      </c>
      <c r="AR2054">
        <v>5.79</v>
      </c>
      <c r="AS2054">
        <v>7.7</v>
      </c>
      <c r="AT2054" t="s">
        <v>4382</v>
      </c>
      <c r="AU2054">
        <v>206.92</v>
      </c>
      <c r="AV2054">
        <v>162.37</v>
      </c>
      <c r="AW2054">
        <v>1.2</v>
      </c>
      <c r="BA2054">
        <v>-0.9</v>
      </c>
      <c r="BB2054">
        <v>0.34</v>
      </c>
      <c r="BC2054">
        <v>-3.41</v>
      </c>
      <c r="BD2054">
        <v>-1.83</v>
      </c>
      <c r="BE2054">
        <v>-1.31</v>
      </c>
      <c r="BF2054">
        <v>-2.52</v>
      </c>
      <c r="BG2054">
        <v>1.25</v>
      </c>
      <c r="BH2054">
        <v>-0.37</v>
      </c>
      <c r="BI2054">
        <v>20191224</v>
      </c>
      <c r="BJ2054">
        <v>20170615</v>
      </c>
      <c r="BK2054">
        <v>2.19</v>
      </c>
      <c r="BL2054" t="s">
        <v>116</v>
      </c>
      <c r="BM2054" t="s">
        <v>116</v>
      </c>
      <c r="BN2054">
        <v>14.68</v>
      </c>
      <c r="BO2054">
        <v>6.45</v>
      </c>
      <c r="BP2054">
        <v>7.0000000000000007E-2</v>
      </c>
      <c r="BQ2054">
        <v>55.58</v>
      </c>
      <c r="BR2054">
        <v>8.34</v>
      </c>
      <c r="BS2054">
        <v>3.76</v>
      </c>
      <c r="BT2054">
        <v>0.22</v>
      </c>
      <c r="BU2054">
        <v>7.36</v>
      </c>
      <c r="BV2054">
        <v>2.65</v>
      </c>
      <c r="BW2054">
        <v>1.83</v>
      </c>
      <c r="BX2054">
        <v>2</v>
      </c>
      <c r="BY2054">
        <v>5.69</v>
      </c>
      <c r="BZ2054">
        <v>4</v>
      </c>
      <c r="CA2054">
        <v>0.33</v>
      </c>
      <c r="CB2054">
        <v>-0.01</v>
      </c>
      <c r="CC2054">
        <v>0.35</v>
      </c>
      <c r="CD2054">
        <v>0.33</v>
      </c>
      <c r="CE2054">
        <v>0.33</v>
      </c>
      <c r="CF2054">
        <v>0.08</v>
      </c>
      <c r="CG2054">
        <v>2.0099999999999998</v>
      </c>
      <c r="CH2054">
        <v>1.1100000000000001</v>
      </c>
      <c r="CI2054">
        <v>-2.73</v>
      </c>
      <c r="CJ2054">
        <v>31248</v>
      </c>
      <c r="CK2054">
        <v>2870</v>
      </c>
      <c r="CL2054" t="s">
        <v>10034</v>
      </c>
      <c r="CM2054">
        <v>-28.02</v>
      </c>
      <c r="CN2054">
        <v>21.23</v>
      </c>
      <c r="CO2054">
        <v>14.8</v>
      </c>
      <c r="CP2054">
        <v>86.19</v>
      </c>
      <c r="CQ2054">
        <v>16.79</v>
      </c>
      <c r="CR2054">
        <v>0.13</v>
      </c>
      <c r="CS2054" t="s">
        <v>261</v>
      </c>
      <c r="CT2054">
        <v>2.95</v>
      </c>
      <c r="CU2054">
        <v>0</v>
      </c>
      <c r="CV2054">
        <v>0.91</v>
      </c>
      <c r="CW2054">
        <v>0.92</v>
      </c>
      <c r="CX2054">
        <v>0.51</v>
      </c>
      <c r="CY2054">
        <v>43.97</v>
      </c>
      <c r="CZ2054" t="s">
        <v>1128</v>
      </c>
      <c r="DA2054">
        <v>29.73</v>
      </c>
      <c r="DB2054">
        <v>5.86</v>
      </c>
      <c r="DC2054">
        <v>5.72</v>
      </c>
      <c r="DD2054">
        <v>0.45</v>
      </c>
      <c r="DE2054">
        <v>787</v>
      </c>
      <c r="DF2054">
        <v>300666</v>
      </c>
      <c r="DG2054" t="s">
        <v>116</v>
      </c>
      <c r="DH2054" t="s">
        <v>116</v>
      </c>
      <c r="DI2054" t="s">
        <v>116</v>
      </c>
    </row>
    <row r="2055" spans="1:113" x14ac:dyDescent="0.4">
      <c r="A2055" t="str">
        <f>"300667"</f>
        <v>300667</v>
      </c>
      <c r="B2055" t="s">
        <v>10035</v>
      </c>
      <c r="C2055">
        <v>-5.69</v>
      </c>
      <c r="D2055">
        <v>31</v>
      </c>
      <c r="E2055">
        <v>-1.87</v>
      </c>
      <c r="F2055">
        <v>30.99</v>
      </c>
      <c r="G2055">
        <v>31</v>
      </c>
      <c r="H2055">
        <v>57472</v>
      </c>
      <c r="I2055">
        <v>1542</v>
      </c>
      <c r="J2055">
        <v>-0.66</v>
      </c>
      <c r="K2055">
        <v>10.69</v>
      </c>
      <c r="L2055">
        <v>32.33</v>
      </c>
      <c r="M2055">
        <v>32.65</v>
      </c>
      <c r="N2055">
        <v>31</v>
      </c>
      <c r="O2055">
        <v>32.869999999999997</v>
      </c>
      <c r="P2055">
        <v>242.35</v>
      </c>
      <c r="Q2055">
        <v>182791680</v>
      </c>
      <c r="R2055">
        <v>0.77</v>
      </c>
      <c r="S2055" t="s">
        <v>2977</v>
      </c>
      <c r="T2055" t="s">
        <v>165</v>
      </c>
      <c r="U2055">
        <v>5.0199999999999996</v>
      </c>
      <c r="V2055">
        <v>31.81</v>
      </c>
      <c r="W2055">
        <v>33116</v>
      </c>
      <c r="X2055">
        <v>24356</v>
      </c>
      <c r="Y2055">
        <v>1.36</v>
      </c>
      <c r="Z2055">
        <v>10</v>
      </c>
      <c r="AA2055">
        <v>118</v>
      </c>
      <c r="AB2055" t="s">
        <v>116</v>
      </c>
      <c r="AC2055">
        <v>2858000</v>
      </c>
      <c r="AD2055">
        <v>0.21</v>
      </c>
      <c r="AE2055" t="s">
        <v>116</v>
      </c>
      <c r="AF2055" t="s">
        <v>116</v>
      </c>
      <c r="AG2055">
        <v>0.54</v>
      </c>
      <c r="AH2055" t="s">
        <v>3374</v>
      </c>
      <c r="AI2055" t="s">
        <v>10036</v>
      </c>
      <c r="AJ2055">
        <v>-5.01</v>
      </c>
      <c r="AK2055">
        <v>2745</v>
      </c>
      <c r="AL2055">
        <v>21</v>
      </c>
      <c r="AM2055">
        <v>3.8999999999999998E-3</v>
      </c>
      <c r="AN2055">
        <v>-1</v>
      </c>
      <c r="AO2055">
        <v>-1.06</v>
      </c>
      <c r="AP2055">
        <v>16.32</v>
      </c>
      <c r="AQ2055">
        <v>6.49</v>
      </c>
      <c r="AR2055">
        <v>16.850000000000001</v>
      </c>
      <c r="AS2055">
        <v>13.83</v>
      </c>
      <c r="AT2055" t="s">
        <v>2139</v>
      </c>
      <c r="AU2055">
        <v>79.180000000000007</v>
      </c>
      <c r="AV2055">
        <v>79.64</v>
      </c>
      <c r="AW2055">
        <v>0.44</v>
      </c>
      <c r="BA2055">
        <v>-1.64</v>
      </c>
      <c r="BB2055">
        <v>-0.67</v>
      </c>
      <c r="BC2055">
        <v>-5.69</v>
      </c>
      <c r="BD2055">
        <v>-3.24</v>
      </c>
      <c r="BE2055">
        <v>-4.1100000000000003</v>
      </c>
      <c r="BF2055">
        <v>-5.05</v>
      </c>
      <c r="BG2055">
        <v>0</v>
      </c>
      <c r="BH2055">
        <v>-2.4500000000000002</v>
      </c>
      <c r="BI2055">
        <v>20191224</v>
      </c>
      <c r="BJ2055">
        <v>20170619</v>
      </c>
      <c r="BK2055">
        <v>1.22</v>
      </c>
      <c r="BL2055" t="s">
        <v>116</v>
      </c>
      <c r="BM2055" t="s">
        <v>116</v>
      </c>
      <c r="BN2055">
        <v>5.68</v>
      </c>
      <c r="BO2055">
        <v>4.13</v>
      </c>
      <c r="BP2055">
        <v>0</v>
      </c>
      <c r="BQ2055">
        <v>27.29</v>
      </c>
      <c r="BR2055">
        <v>4.29</v>
      </c>
      <c r="BS2055">
        <v>0.49</v>
      </c>
      <c r="BT2055">
        <v>0.06</v>
      </c>
      <c r="BU2055">
        <v>1.55</v>
      </c>
      <c r="BV2055">
        <v>1</v>
      </c>
      <c r="BW2055">
        <v>1.33</v>
      </c>
      <c r="BX2055">
        <v>1.57</v>
      </c>
      <c r="BY2055">
        <v>1.52</v>
      </c>
      <c r="BZ2055">
        <v>0.95</v>
      </c>
      <c r="CA2055">
        <v>0.12</v>
      </c>
      <c r="CB2055">
        <v>0</v>
      </c>
      <c r="CC2055">
        <v>0.12</v>
      </c>
      <c r="CD2055">
        <v>0.12</v>
      </c>
      <c r="CE2055">
        <v>0.12</v>
      </c>
      <c r="CF2055">
        <v>0.13</v>
      </c>
      <c r="CG2055">
        <v>1.7</v>
      </c>
      <c r="CH2055">
        <v>0.01</v>
      </c>
      <c r="CI2055">
        <v>-0.25</v>
      </c>
      <c r="CJ2055">
        <v>12499</v>
      </c>
      <c r="CK2055">
        <v>3325</v>
      </c>
      <c r="CL2055" t="s">
        <v>9311</v>
      </c>
      <c r="CM2055">
        <v>2.44</v>
      </c>
      <c r="CN2055">
        <v>87.9</v>
      </c>
      <c r="CO2055">
        <v>7.81</v>
      </c>
      <c r="CP2055">
        <v>6142.71</v>
      </c>
      <c r="CQ2055">
        <v>24.79</v>
      </c>
      <c r="CR2055">
        <v>0.16</v>
      </c>
      <c r="CS2055" t="s">
        <v>424</v>
      </c>
      <c r="CT2055">
        <v>3.97</v>
      </c>
      <c r="CU2055">
        <v>3.97</v>
      </c>
      <c r="CV2055">
        <v>1.29</v>
      </c>
      <c r="CW2055">
        <v>1.4</v>
      </c>
      <c r="CX2055">
        <v>0.01</v>
      </c>
      <c r="CY2055">
        <v>72.709999999999994</v>
      </c>
      <c r="CZ2055" t="s">
        <v>485</v>
      </c>
      <c r="DA2055">
        <v>37.229999999999997</v>
      </c>
      <c r="DB2055">
        <v>8.18</v>
      </c>
      <c r="DC2055">
        <v>7.67</v>
      </c>
      <c r="DD2055">
        <v>0.18</v>
      </c>
      <c r="DE2055">
        <v>226</v>
      </c>
      <c r="DF2055">
        <v>300667</v>
      </c>
      <c r="DG2055" t="s">
        <v>116</v>
      </c>
      <c r="DH2055" t="s">
        <v>116</v>
      </c>
      <c r="DI2055" t="s">
        <v>116</v>
      </c>
    </row>
    <row r="2056" spans="1:113" x14ac:dyDescent="0.4">
      <c r="A2056" t="str">
        <f>"300668"</f>
        <v>300668</v>
      </c>
      <c r="B2056" t="s">
        <v>10037</v>
      </c>
      <c r="C2056">
        <v>-0.65</v>
      </c>
      <c r="D2056">
        <v>16.86</v>
      </c>
      <c r="E2056">
        <v>-0.11</v>
      </c>
      <c r="F2056">
        <v>16.86</v>
      </c>
      <c r="G2056">
        <v>16.87</v>
      </c>
      <c r="H2056">
        <v>8586</v>
      </c>
      <c r="I2056">
        <v>92</v>
      </c>
      <c r="J2056">
        <v>0.06</v>
      </c>
      <c r="K2056">
        <v>1.92</v>
      </c>
      <c r="L2056">
        <v>16.97</v>
      </c>
      <c r="M2056">
        <v>17.12</v>
      </c>
      <c r="N2056">
        <v>16.809999999999999</v>
      </c>
      <c r="O2056">
        <v>16.97</v>
      </c>
      <c r="P2056">
        <v>20.47</v>
      </c>
      <c r="Q2056">
        <v>14568123</v>
      </c>
      <c r="R2056">
        <v>0.81</v>
      </c>
      <c r="S2056" t="s">
        <v>3331</v>
      </c>
      <c r="T2056" t="s">
        <v>115</v>
      </c>
      <c r="U2056">
        <v>1.83</v>
      </c>
      <c r="V2056">
        <v>16.97</v>
      </c>
      <c r="W2056">
        <v>4827</v>
      </c>
      <c r="X2056">
        <v>3759</v>
      </c>
      <c r="Y2056">
        <v>1.28</v>
      </c>
      <c r="Z2056">
        <v>77</v>
      </c>
      <c r="AA2056">
        <v>8</v>
      </c>
      <c r="AB2056" t="s">
        <v>116</v>
      </c>
      <c r="AC2056">
        <v>18700</v>
      </c>
      <c r="AD2056">
        <v>0</v>
      </c>
      <c r="AE2056" t="s">
        <v>116</v>
      </c>
      <c r="AF2056" t="s">
        <v>116</v>
      </c>
      <c r="AG2056">
        <v>0.45</v>
      </c>
      <c r="AH2056" t="s">
        <v>10038</v>
      </c>
      <c r="AI2056" t="s">
        <v>3155</v>
      </c>
      <c r="AJ2056">
        <v>0.03</v>
      </c>
      <c r="AK2056">
        <v>809</v>
      </c>
      <c r="AL2056">
        <v>11</v>
      </c>
      <c r="AM2056">
        <v>2.3999999999999998E-3</v>
      </c>
      <c r="AN2056">
        <v>-1</v>
      </c>
      <c r="AO2056">
        <v>1.56</v>
      </c>
      <c r="AP2056">
        <v>4.07</v>
      </c>
      <c r="AQ2056">
        <v>-7.67</v>
      </c>
      <c r="AR2056">
        <v>-6.49</v>
      </c>
      <c r="AS2056">
        <v>2.64</v>
      </c>
      <c r="AT2056" t="s">
        <v>10039</v>
      </c>
      <c r="AU2056">
        <v>20.48</v>
      </c>
      <c r="AV2056">
        <v>21.45</v>
      </c>
      <c r="AW2056">
        <v>1.1399999999999999</v>
      </c>
      <c r="BA2056">
        <v>0</v>
      </c>
      <c r="BB2056">
        <v>0.88</v>
      </c>
      <c r="BC2056">
        <v>-0.94</v>
      </c>
      <c r="BD2056">
        <v>-0.01</v>
      </c>
      <c r="BE2056">
        <v>-0.65</v>
      </c>
      <c r="BF2056">
        <v>-1.52</v>
      </c>
      <c r="BG2056">
        <v>0.3</v>
      </c>
      <c r="BH2056">
        <v>-0.64</v>
      </c>
      <c r="BI2056">
        <v>20191216</v>
      </c>
      <c r="BJ2056">
        <v>20170619</v>
      </c>
      <c r="BK2056">
        <v>1.06</v>
      </c>
      <c r="BL2056" t="s">
        <v>116</v>
      </c>
      <c r="BM2056" t="s">
        <v>116</v>
      </c>
      <c r="BN2056">
        <v>5.51</v>
      </c>
      <c r="BO2056">
        <v>4.87</v>
      </c>
      <c r="BP2056">
        <v>0</v>
      </c>
      <c r="BQ2056">
        <v>11.66</v>
      </c>
      <c r="BR2056">
        <v>4.47</v>
      </c>
      <c r="BS2056">
        <v>0.85</v>
      </c>
      <c r="BT2056">
        <v>0.04</v>
      </c>
      <c r="BU2056">
        <v>0.64</v>
      </c>
      <c r="BV2056">
        <v>0</v>
      </c>
      <c r="BW2056">
        <v>2.48</v>
      </c>
      <c r="BX2056">
        <v>1.55</v>
      </c>
      <c r="BY2056">
        <v>2.69</v>
      </c>
      <c r="BZ2056">
        <v>1.29</v>
      </c>
      <c r="CA2056">
        <v>0.73</v>
      </c>
      <c r="CB2056">
        <v>0</v>
      </c>
      <c r="CC2056">
        <v>0.73</v>
      </c>
      <c r="CD2056">
        <v>0.66</v>
      </c>
      <c r="CE2056">
        <v>0.66</v>
      </c>
      <c r="CF2056">
        <v>0.62</v>
      </c>
      <c r="CG2056">
        <v>2.11</v>
      </c>
      <c r="CH2056">
        <v>-0.03</v>
      </c>
      <c r="CI2056">
        <v>-0.28999999999999998</v>
      </c>
      <c r="CJ2056">
        <v>8752</v>
      </c>
      <c r="CK2056">
        <v>3719</v>
      </c>
      <c r="CL2056" t="s">
        <v>6402</v>
      </c>
      <c r="CM2056">
        <v>6.37</v>
      </c>
      <c r="CN2056">
        <v>9.3000000000000007</v>
      </c>
      <c r="CO2056">
        <v>3.69</v>
      </c>
      <c r="CP2056">
        <v>-650.62</v>
      </c>
      <c r="CQ2056">
        <v>6.68</v>
      </c>
      <c r="CR2056">
        <v>0</v>
      </c>
      <c r="CS2056" t="s">
        <v>10040</v>
      </c>
      <c r="CT2056">
        <v>4.58</v>
      </c>
      <c r="CU2056">
        <v>0</v>
      </c>
      <c r="CV2056">
        <v>1.46</v>
      </c>
      <c r="CW2056">
        <v>1.99</v>
      </c>
      <c r="CX2056">
        <v>-0.03</v>
      </c>
      <c r="CY2056">
        <v>88.34</v>
      </c>
      <c r="CZ2056" t="s">
        <v>10041</v>
      </c>
      <c r="DA2056">
        <v>52.02</v>
      </c>
      <c r="DB2056">
        <v>27.29</v>
      </c>
      <c r="DC2056">
        <v>24.46</v>
      </c>
      <c r="DD2056">
        <v>0.15</v>
      </c>
      <c r="DE2056">
        <v>663</v>
      </c>
      <c r="DF2056">
        <v>300668</v>
      </c>
      <c r="DG2056" t="s">
        <v>116</v>
      </c>
      <c r="DH2056" t="s">
        <v>116</v>
      </c>
      <c r="DI2056" t="s">
        <v>116</v>
      </c>
    </row>
    <row r="2057" spans="1:113" x14ac:dyDescent="0.4">
      <c r="A2057" t="str">
        <f>"300669"</f>
        <v>300669</v>
      </c>
      <c r="B2057" t="s">
        <v>10042</v>
      </c>
      <c r="C2057">
        <v>-1.01</v>
      </c>
      <c r="D2057">
        <v>28.33</v>
      </c>
      <c r="E2057">
        <v>-0.28999999999999998</v>
      </c>
      <c r="F2057">
        <v>28.33</v>
      </c>
      <c r="G2057">
        <v>28.35</v>
      </c>
      <c r="H2057">
        <v>7482</v>
      </c>
      <c r="I2057">
        <v>82</v>
      </c>
      <c r="J2057">
        <v>0.6</v>
      </c>
      <c r="K2057">
        <v>2.93</v>
      </c>
      <c r="L2057">
        <v>28.67</v>
      </c>
      <c r="M2057">
        <v>28.77</v>
      </c>
      <c r="N2057">
        <v>28</v>
      </c>
      <c r="O2057">
        <v>28.62</v>
      </c>
      <c r="P2057">
        <v>42.98</v>
      </c>
      <c r="Q2057">
        <v>21131566</v>
      </c>
      <c r="R2057">
        <v>0.92</v>
      </c>
      <c r="S2057" t="s">
        <v>996</v>
      </c>
      <c r="T2057" t="s">
        <v>590</v>
      </c>
      <c r="U2057">
        <v>2.69</v>
      </c>
      <c r="V2057">
        <v>28.24</v>
      </c>
      <c r="W2057">
        <v>5060</v>
      </c>
      <c r="X2057">
        <v>2422</v>
      </c>
      <c r="Y2057">
        <v>2.09</v>
      </c>
      <c r="Z2057">
        <v>95</v>
      </c>
      <c r="AA2057">
        <v>40</v>
      </c>
      <c r="AB2057" t="s">
        <v>116</v>
      </c>
      <c r="AC2057">
        <v>54500</v>
      </c>
      <c r="AD2057">
        <v>0.01</v>
      </c>
      <c r="AE2057" t="s">
        <v>116</v>
      </c>
      <c r="AF2057" t="s">
        <v>116</v>
      </c>
      <c r="AG2057">
        <v>0.26</v>
      </c>
      <c r="AH2057" t="s">
        <v>10043</v>
      </c>
      <c r="AI2057" t="s">
        <v>2634</v>
      </c>
      <c r="AJ2057">
        <v>-0.33</v>
      </c>
      <c r="AK2057">
        <v>844</v>
      </c>
      <c r="AL2057">
        <v>9</v>
      </c>
      <c r="AM2057">
        <v>3.5000000000000001E-3</v>
      </c>
      <c r="AN2057">
        <v>-1</v>
      </c>
      <c r="AO2057">
        <v>3.28</v>
      </c>
      <c r="AP2057">
        <v>13.27</v>
      </c>
      <c r="AQ2057">
        <v>25.69</v>
      </c>
      <c r="AR2057">
        <v>57.02</v>
      </c>
      <c r="AS2057">
        <v>2.93</v>
      </c>
      <c r="AT2057" t="s">
        <v>10043</v>
      </c>
      <c r="AU2057">
        <v>49.56</v>
      </c>
      <c r="AV2057">
        <v>63.79</v>
      </c>
      <c r="AW2057">
        <v>0.47</v>
      </c>
      <c r="BA2057">
        <v>0.17</v>
      </c>
      <c r="BB2057">
        <v>0.52</v>
      </c>
      <c r="BC2057">
        <v>-2.17</v>
      </c>
      <c r="BD2057">
        <v>-1.32</v>
      </c>
      <c r="BE2057">
        <v>-1.19</v>
      </c>
      <c r="BF2057">
        <v>-1.53</v>
      </c>
      <c r="BG2057">
        <v>1.18</v>
      </c>
      <c r="BH2057">
        <v>0.3</v>
      </c>
      <c r="BI2057">
        <v>20191217</v>
      </c>
      <c r="BJ2057">
        <v>20170629</v>
      </c>
      <c r="BK2057">
        <v>0.85</v>
      </c>
      <c r="BL2057" t="s">
        <v>116</v>
      </c>
      <c r="BM2057" t="s">
        <v>116</v>
      </c>
      <c r="BN2057">
        <v>5.56</v>
      </c>
      <c r="BO2057">
        <v>4.9800000000000004</v>
      </c>
      <c r="BP2057">
        <v>0</v>
      </c>
      <c r="BQ2057">
        <v>10.39</v>
      </c>
      <c r="BR2057">
        <v>3.79</v>
      </c>
      <c r="BS2057">
        <v>0.84</v>
      </c>
      <c r="BT2057">
        <v>0.28000000000000003</v>
      </c>
      <c r="BU2057">
        <v>0.53</v>
      </c>
      <c r="BV2057">
        <v>0.4</v>
      </c>
      <c r="BW2057">
        <v>1.1499999999999999</v>
      </c>
      <c r="BX2057">
        <v>3.01</v>
      </c>
      <c r="BY2057">
        <v>2.57</v>
      </c>
      <c r="BZ2057">
        <v>1.66</v>
      </c>
      <c r="CA2057">
        <v>0.5</v>
      </c>
      <c r="CB2057">
        <v>0.03</v>
      </c>
      <c r="CC2057">
        <v>0.5</v>
      </c>
      <c r="CD2057">
        <v>0.42</v>
      </c>
      <c r="CE2057">
        <v>0.42</v>
      </c>
      <c r="CF2057">
        <v>0.37</v>
      </c>
      <c r="CG2057">
        <v>1.06</v>
      </c>
      <c r="CH2057">
        <v>0.27</v>
      </c>
      <c r="CI2057">
        <v>0.13</v>
      </c>
      <c r="CJ2057">
        <v>5430</v>
      </c>
      <c r="CK2057">
        <v>4705</v>
      </c>
      <c r="CL2057" t="s">
        <v>3034</v>
      </c>
      <c r="CM2057">
        <v>34.78</v>
      </c>
      <c r="CN2057">
        <v>26.21</v>
      </c>
      <c r="CO2057">
        <v>4.8499999999999996</v>
      </c>
      <c r="CP2057">
        <v>91.25</v>
      </c>
      <c r="CQ2057">
        <v>9.41</v>
      </c>
      <c r="CR2057">
        <v>0.7</v>
      </c>
      <c r="CS2057" t="s">
        <v>1744</v>
      </c>
      <c r="CT2057">
        <v>5.84</v>
      </c>
      <c r="CU2057">
        <v>5.84</v>
      </c>
      <c r="CV2057">
        <v>3.52</v>
      </c>
      <c r="CW2057">
        <v>1.25</v>
      </c>
      <c r="CX2057">
        <v>0.31</v>
      </c>
      <c r="CY2057">
        <v>89.61</v>
      </c>
      <c r="CZ2057" t="s">
        <v>557</v>
      </c>
      <c r="DA2057">
        <v>35.299999999999997</v>
      </c>
      <c r="DB2057">
        <v>19.45</v>
      </c>
      <c r="DC2057">
        <v>16.43</v>
      </c>
      <c r="DD2057">
        <v>0.11</v>
      </c>
      <c r="DE2057">
        <v>576</v>
      </c>
      <c r="DF2057">
        <v>300669</v>
      </c>
      <c r="DG2057" t="s">
        <v>116</v>
      </c>
      <c r="DH2057" t="s">
        <v>116</v>
      </c>
      <c r="DI2057" t="s">
        <v>116</v>
      </c>
    </row>
    <row r="2058" spans="1:113" x14ac:dyDescent="0.4">
      <c r="A2058" t="str">
        <f>"300670"</f>
        <v>300670</v>
      </c>
      <c r="B2058" t="s">
        <v>10044</v>
      </c>
      <c r="C2058">
        <v>1.66</v>
      </c>
      <c r="D2058">
        <v>8.56</v>
      </c>
      <c r="E2058">
        <v>0.14000000000000001</v>
      </c>
      <c r="F2058">
        <v>8.56</v>
      </c>
      <c r="G2058">
        <v>8.57</v>
      </c>
      <c r="H2058">
        <v>44149</v>
      </c>
      <c r="I2058">
        <v>536</v>
      </c>
      <c r="J2058">
        <v>-0.11</v>
      </c>
      <c r="K2058">
        <v>3.14</v>
      </c>
      <c r="L2058">
        <v>8.44</v>
      </c>
      <c r="M2058">
        <v>8.67</v>
      </c>
      <c r="N2058">
        <v>8.43</v>
      </c>
      <c r="O2058">
        <v>8.42</v>
      </c>
      <c r="P2058">
        <v>84.38</v>
      </c>
      <c r="Q2058">
        <v>37829888</v>
      </c>
      <c r="R2058">
        <v>1.64</v>
      </c>
      <c r="S2058" t="s">
        <v>397</v>
      </c>
      <c r="T2058" t="s">
        <v>323</v>
      </c>
      <c r="U2058">
        <v>2.85</v>
      </c>
      <c r="V2058">
        <v>8.57</v>
      </c>
      <c r="W2058">
        <v>22053</v>
      </c>
      <c r="X2058">
        <v>22096</v>
      </c>
      <c r="Y2058">
        <v>1</v>
      </c>
      <c r="Z2058">
        <v>4</v>
      </c>
      <c r="AA2058">
        <v>262</v>
      </c>
      <c r="AB2058" t="s">
        <v>116</v>
      </c>
      <c r="AC2058">
        <v>62500</v>
      </c>
      <c r="AD2058">
        <v>0.01</v>
      </c>
      <c r="AE2058" t="s">
        <v>116</v>
      </c>
      <c r="AF2058" t="s">
        <v>116</v>
      </c>
      <c r="AG2058">
        <v>1.4</v>
      </c>
      <c r="AH2058" t="s">
        <v>9773</v>
      </c>
      <c r="AI2058" t="s">
        <v>1798</v>
      </c>
      <c r="AJ2058">
        <v>2.34</v>
      </c>
      <c r="AK2058">
        <v>1545</v>
      </c>
      <c r="AL2058">
        <v>29</v>
      </c>
      <c r="AM2058">
        <v>2E-3</v>
      </c>
      <c r="AN2058">
        <v>1</v>
      </c>
      <c r="AO2058">
        <v>1.66</v>
      </c>
      <c r="AP2058">
        <v>6.07</v>
      </c>
      <c r="AQ2058">
        <v>-9.42</v>
      </c>
      <c r="AR2058">
        <v>-21.71</v>
      </c>
      <c r="AS2058">
        <v>4.8600000000000003</v>
      </c>
      <c r="AT2058" t="s">
        <v>9799</v>
      </c>
      <c r="AU2058">
        <v>67.040000000000006</v>
      </c>
      <c r="AV2058">
        <v>69.73</v>
      </c>
      <c r="AW2058">
        <v>1.32</v>
      </c>
      <c r="BA2058">
        <v>0.24</v>
      </c>
      <c r="BB2058">
        <v>2.97</v>
      </c>
      <c r="BC2058">
        <v>0.12</v>
      </c>
      <c r="BD2058">
        <v>1.77</v>
      </c>
      <c r="BE2058">
        <v>1.42</v>
      </c>
      <c r="BF2058">
        <v>-1.27</v>
      </c>
      <c r="BG2058">
        <v>1.54</v>
      </c>
      <c r="BH2058">
        <v>-0.1</v>
      </c>
      <c r="BI2058">
        <v>20191227</v>
      </c>
      <c r="BJ2058">
        <v>20170703</v>
      </c>
      <c r="BK2058">
        <v>3.16</v>
      </c>
      <c r="BL2058" t="s">
        <v>116</v>
      </c>
      <c r="BM2058" t="s">
        <v>116</v>
      </c>
      <c r="BN2058">
        <v>8.1</v>
      </c>
      <c r="BO2058">
        <v>6.12</v>
      </c>
      <c r="BP2058">
        <v>0.01</v>
      </c>
      <c r="BQ2058">
        <v>24.26</v>
      </c>
      <c r="BR2058">
        <v>6.64</v>
      </c>
      <c r="BS2058">
        <v>0.66</v>
      </c>
      <c r="BT2058">
        <v>0.28999999999999998</v>
      </c>
      <c r="BU2058">
        <v>1.9</v>
      </c>
      <c r="BV2058">
        <v>0.6</v>
      </c>
      <c r="BW2058">
        <v>2.71</v>
      </c>
      <c r="BX2058">
        <v>1.07</v>
      </c>
      <c r="BY2058">
        <v>2.68</v>
      </c>
      <c r="BZ2058">
        <v>1.97</v>
      </c>
      <c r="CA2058">
        <v>0.28000000000000003</v>
      </c>
      <c r="CB2058">
        <v>0</v>
      </c>
      <c r="CC2058">
        <v>0.28000000000000003</v>
      </c>
      <c r="CD2058">
        <v>0.24</v>
      </c>
      <c r="CE2058">
        <v>0.24</v>
      </c>
      <c r="CF2058">
        <v>0.23</v>
      </c>
      <c r="CG2058">
        <v>1.92</v>
      </c>
      <c r="CH2058">
        <v>-7.0000000000000007E-2</v>
      </c>
      <c r="CI2058">
        <v>0.17</v>
      </c>
      <c r="CJ2058">
        <v>17453</v>
      </c>
      <c r="CK2058">
        <v>5207</v>
      </c>
      <c r="CL2058" t="s">
        <v>8731</v>
      </c>
      <c r="CM2058">
        <v>6.37</v>
      </c>
      <c r="CN2058">
        <v>21.5</v>
      </c>
      <c r="CO2058">
        <v>4.08</v>
      </c>
      <c r="CP2058">
        <v>-392.54</v>
      </c>
      <c r="CQ2058">
        <v>10.07</v>
      </c>
      <c r="CR2058">
        <v>0</v>
      </c>
      <c r="CS2058" t="s">
        <v>2516</v>
      </c>
      <c r="CT2058">
        <v>2.1</v>
      </c>
      <c r="CU2058">
        <v>2.1</v>
      </c>
      <c r="CV2058">
        <v>0.34</v>
      </c>
      <c r="CW2058">
        <v>0.61</v>
      </c>
      <c r="CX2058">
        <v>-0.02</v>
      </c>
      <c r="CY2058">
        <v>75.56</v>
      </c>
      <c r="CZ2058" t="s">
        <v>329</v>
      </c>
      <c r="DA2058">
        <v>26.75</v>
      </c>
      <c r="DB2058">
        <v>10.48</v>
      </c>
      <c r="DC2058">
        <v>8.9499999999999993</v>
      </c>
      <c r="DD2058">
        <v>0.11</v>
      </c>
      <c r="DE2058">
        <v>347</v>
      </c>
      <c r="DF2058">
        <v>300670</v>
      </c>
      <c r="DG2058" t="s">
        <v>116</v>
      </c>
      <c r="DH2058" t="s">
        <v>116</v>
      </c>
      <c r="DI2058" t="s">
        <v>116</v>
      </c>
    </row>
    <row r="2059" spans="1:113" x14ac:dyDescent="0.4">
      <c r="A2059" t="str">
        <f>"300671"</f>
        <v>300671</v>
      </c>
      <c r="B2059" t="s">
        <v>10045</v>
      </c>
      <c r="C2059">
        <v>-1.66</v>
      </c>
      <c r="D2059">
        <v>22.57</v>
      </c>
      <c r="E2059">
        <v>-0.38</v>
      </c>
      <c r="F2059">
        <v>22.56</v>
      </c>
      <c r="G2059">
        <v>22.57</v>
      </c>
      <c r="H2059">
        <v>37637</v>
      </c>
      <c r="I2059">
        <v>277</v>
      </c>
      <c r="J2059">
        <v>0.49</v>
      </c>
      <c r="K2059">
        <v>4.79</v>
      </c>
      <c r="L2059">
        <v>23.01</v>
      </c>
      <c r="M2059">
        <v>23.2</v>
      </c>
      <c r="N2059">
        <v>22.4</v>
      </c>
      <c r="O2059">
        <v>22.95</v>
      </c>
      <c r="P2059">
        <v>98.64</v>
      </c>
      <c r="Q2059">
        <v>85526960</v>
      </c>
      <c r="R2059">
        <v>0.75</v>
      </c>
      <c r="S2059" t="s">
        <v>3507</v>
      </c>
      <c r="T2059" t="s">
        <v>115</v>
      </c>
      <c r="U2059">
        <v>3.49</v>
      </c>
      <c r="V2059">
        <v>22.72</v>
      </c>
      <c r="W2059">
        <v>22379</v>
      </c>
      <c r="X2059">
        <v>15258</v>
      </c>
      <c r="Y2059">
        <v>1.47</v>
      </c>
      <c r="Z2059">
        <v>2</v>
      </c>
      <c r="AA2059">
        <v>110</v>
      </c>
      <c r="AB2059" t="s">
        <v>116</v>
      </c>
      <c r="AC2059">
        <v>370600</v>
      </c>
      <c r="AD2059">
        <v>0.02</v>
      </c>
      <c r="AE2059" t="s">
        <v>116</v>
      </c>
      <c r="AF2059" t="s">
        <v>116</v>
      </c>
      <c r="AG2059">
        <v>0.79</v>
      </c>
      <c r="AH2059" t="s">
        <v>10046</v>
      </c>
      <c r="AI2059" t="s">
        <v>5713</v>
      </c>
      <c r="AJ2059">
        <v>-0.98</v>
      </c>
      <c r="AK2059">
        <v>2492</v>
      </c>
      <c r="AL2059">
        <v>15</v>
      </c>
      <c r="AM2059">
        <v>1.9E-3</v>
      </c>
      <c r="AN2059">
        <v>-1</v>
      </c>
      <c r="AO2059">
        <v>2.2999999999999998</v>
      </c>
      <c r="AP2059">
        <v>16.34</v>
      </c>
      <c r="AQ2059">
        <v>3.39</v>
      </c>
      <c r="AR2059">
        <v>31.68</v>
      </c>
      <c r="AS2059">
        <v>5.36</v>
      </c>
      <c r="AT2059" t="s">
        <v>10047</v>
      </c>
      <c r="AU2059">
        <v>107.76</v>
      </c>
      <c r="AV2059">
        <v>59.1</v>
      </c>
      <c r="AW2059">
        <v>1.45</v>
      </c>
      <c r="BA2059">
        <v>0.26</v>
      </c>
      <c r="BB2059">
        <v>1.0900000000000001</v>
      </c>
      <c r="BC2059">
        <v>-2.4</v>
      </c>
      <c r="BD2059">
        <v>-0.98</v>
      </c>
      <c r="BE2059">
        <v>-1.91</v>
      </c>
      <c r="BF2059">
        <v>-2.72</v>
      </c>
      <c r="BG2059">
        <v>0.76</v>
      </c>
      <c r="BH2059">
        <v>-0.67</v>
      </c>
      <c r="BI2059">
        <v>20191223</v>
      </c>
      <c r="BJ2059">
        <v>20170705</v>
      </c>
      <c r="BK2059">
        <v>1.42</v>
      </c>
      <c r="BL2059" t="s">
        <v>116</v>
      </c>
      <c r="BM2059" t="s">
        <v>116</v>
      </c>
      <c r="BN2059">
        <v>9.26</v>
      </c>
      <c r="BO2059">
        <v>5.8</v>
      </c>
      <c r="BP2059">
        <v>-0.02</v>
      </c>
      <c r="BQ2059">
        <v>37.61</v>
      </c>
      <c r="BR2059">
        <v>6.61</v>
      </c>
      <c r="BS2059">
        <v>2.06</v>
      </c>
      <c r="BT2059">
        <v>0.01</v>
      </c>
      <c r="BU2059">
        <v>3.09</v>
      </c>
      <c r="BV2059">
        <v>2.21</v>
      </c>
      <c r="BW2059">
        <v>2.73</v>
      </c>
      <c r="BX2059">
        <v>2.19</v>
      </c>
      <c r="BY2059">
        <v>4.17</v>
      </c>
      <c r="BZ2059">
        <v>3.26</v>
      </c>
      <c r="CA2059">
        <v>0.25</v>
      </c>
      <c r="CB2059">
        <v>0.02</v>
      </c>
      <c r="CC2059">
        <v>0.26</v>
      </c>
      <c r="CD2059">
        <v>0.24</v>
      </c>
      <c r="CE2059">
        <v>0.24</v>
      </c>
      <c r="CF2059">
        <v>0.14000000000000001</v>
      </c>
      <c r="CG2059">
        <v>2.04</v>
      </c>
      <c r="CH2059">
        <v>-0.17</v>
      </c>
      <c r="CI2059">
        <v>-0.1</v>
      </c>
      <c r="CJ2059">
        <v>12662</v>
      </c>
      <c r="CK2059">
        <v>5547</v>
      </c>
      <c r="CL2059" t="s">
        <v>2146</v>
      </c>
      <c r="CM2059">
        <v>-50.12</v>
      </c>
      <c r="CN2059">
        <v>10.43</v>
      </c>
      <c r="CO2059">
        <v>5.52</v>
      </c>
      <c r="CP2059">
        <v>-188.56</v>
      </c>
      <c r="CQ2059">
        <v>7.68</v>
      </c>
      <c r="CR2059">
        <v>0</v>
      </c>
      <c r="CS2059" t="s">
        <v>5990</v>
      </c>
      <c r="CT2059">
        <v>4.09</v>
      </c>
      <c r="CU2059">
        <v>0</v>
      </c>
      <c r="CV2059">
        <v>1.54</v>
      </c>
      <c r="CW2059">
        <v>1.44</v>
      </c>
      <c r="CX2059">
        <v>-0.12</v>
      </c>
      <c r="CY2059">
        <v>62.59</v>
      </c>
      <c r="CZ2059" t="s">
        <v>7310</v>
      </c>
      <c r="DA2059">
        <v>21.79</v>
      </c>
      <c r="DB2059">
        <v>6.07</v>
      </c>
      <c r="DC2059">
        <v>5.84</v>
      </c>
      <c r="DD2059">
        <v>0.3</v>
      </c>
      <c r="DE2059">
        <v>716</v>
      </c>
      <c r="DF2059">
        <v>300671</v>
      </c>
      <c r="DG2059" t="s">
        <v>116</v>
      </c>
      <c r="DH2059" t="s">
        <v>116</v>
      </c>
      <c r="DI2059" t="s">
        <v>116</v>
      </c>
    </row>
    <row r="2060" spans="1:113" x14ac:dyDescent="0.4">
      <c r="A2060" t="str">
        <f>"300672"</f>
        <v>300672</v>
      </c>
      <c r="B2060" t="s">
        <v>10048</v>
      </c>
      <c r="C2060">
        <v>-4.92</v>
      </c>
      <c r="D2060">
        <v>40.78</v>
      </c>
      <c r="E2060">
        <v>-2.11</v>
      </c>
      <c r="F2060">
        <v>40.78</v>
      </c>
      <c r="G2060">
        <v>40.79</v>
      </c>
      <c r="H2060">
        <v>52552</v>
      </c>
      <c r="I2060">
        <v>613</v>
      </c>
      <c r="J2060">
        <v>-0.04</v>
      </c>
      <c r="K2060">
        <v>4.8</v>
      </c>
      <c r="L2060">
        <v>43.58</v>
      </c>
      <c r="M2060">
        <v>43.77</v>
      </c>
      <c r="N2060">
        <v>40.549999999999997</v>
      </c>
      <c r="O2060">
        <v>42.89</v>
      </c>
      <c r="P2060">
        <v>7387.45</v>
      </c>
      <c r="Q2060">
        <v>220358384</v>
      </c>
      <c r="R2060">
        <v>0.7</v>
      </c>
      <c r="S2060" t="s">
        <v>3507</v>
      </c>
      <c r="T2060" t="s">
        <v>599</v>
      </c>
      <c r="U2060">
        <v>7.51</v>
      </c>
      <c r="V2060">
        <v>41.93</v>
      </c>
      <c r="W2060">
        <v>30073</v>
      </c>
      <c r="X2060">
        <v>22479</v>
      </c>
      <c r="Y2060">
        <v>1.34</v>
      </c>
      <c r="Z2060">
        <v>21</v>
      </c>
      <c r="AA2060">
        <v>10</v>
      </c>
      <c r="AB2060" t="s">
        <v>116</v>
      </c>
      <c r="AC2060">
        <v>1688100</v>
      </c>
      <c r="AD2060">
        <v>0.06</v>
      </c>
      <c r="AE2060" t="s">
        <v>116</v>
      </c>
      <c r="AF2060" t="s">
        <v>116</v>
      </c>
      <c r="AG2060">
        <v>1.1000000000000001</v>
      </c>
      <c r="AH2060" t="s">
        <v>10049</v>
      </c>
      <c r="AI2060" t="s">
        <v>10050</v>
      </c>
      <c r="AJ2060">
        <v>-4.24</v>
      </c>
      <c r="AK2060">
        <v>3256</v>
      </c>
      <c r="AL2060">
        <v>16</v>
      </c>
      <c r="AM2060">
        <v>1.5E-3</v>
      </c>
      <c r="AN2060">
        <v>-2</v>
      </c>
      <c r="AO2060">
        <v>3.32</v>
      </c>
      <c r="AP2060">
        <v>11.45</v>
      </c>
      <c r="AQ2060">
        <v>8.52</v>
      </c>
      <c r="AR2060">
        <v>79.489999999999995</v>
      </c>
      <c r="AS2060">
        <v>7.52</v>
      </c>
      <c r="AT2060" t="s">
        <v>10051</v>
      </c>
      <c r="AU2060">
        <v>69.760000000000005</v>
      </c>
      <c r="AV2060">
        <v>130.68</v>
      </c>
      <c r="AW2060">
        <v>1.2</v>
      </c>
      <c r="BA2060">
        <v>1.61</v>
      </c>
      <c r="BB2060">
        <v>2.0499999999999998</v>
      </c>
      <c r="BC2060">
        <v>-5.46</v>
      </c>
      <c r="BD2060">
        <v>-2.23</v>
      </c>
      <c r="BE2060">
        <v>-6.42</v>
      </c>
      <c r="BF2060">
        <v>-6.83</v>
      </c>
      <c r="BG2060">
        <v>0.56999999999999995</v>
      </c>
      <c r="BH2060">
        <v>-2.69</v>
      </c>
      <c r="BI2060">
        <v>20191209</v>
      </c>
      <c r="BJ2060">
        <v>20170712</v>
      </c>
      <c r="BK2060">
        <v>1.8</v>
      </c>
      <c r="BL2060" t="s">
        <v>116</v>
      </c>
      <c r="BM2060" t="s">
        <v>116</v>
      </c>
      <c r="BN2060">
        <v>18.02</v>
      </c>
      <c r="BO2060">
        <v>10.68</v>
      </c>
      <c r="BP2060">
        <v>-0.18</v>
      </c>
      <c r="BQ2060">
        <v>41.69</v>
      </c>
      <c r="BR2060">
        <v>9.24</v>
      </c>
      <c r="BS2060">
        <v>0.73</v>
      </c>
      <c r="BT2060">
        <v>0.94</v>
      </c>
      <c r="BU2060">
        <v>5.18</v>
      </c>
      <c r="BV2060">
        <v>1.55</v>
      </c>
      <c r="BW2060">
        <v>3.44</v>
      </c>
      <c r="BX2060">
        <v>6.59</v>
      </c>
      <c r="BY2060">
        <v>2.96</v>
      </c>
      <c r="BZ2060">
        <v>1.75</v>
      </c>
      <c r="CA2060">
        <v>0.01</v>
      </c>
      <c r="CB2060">
        <v>-0.02</v>
      </c>
      <c r="CC2060">
        <v>0.01</v>
      </c>
      <c r="CD2060">
        <v>0.04</v>
      </c>
      <c r="CE2060">
        <v>0.01</v>
      </c>
      <c r="CF2060">
        <v>-0.52</v>
      </c>
      <c r="CG2060">
        <v>1.73</v>
      </c>
      <c r="CH2060">
        <v>-0.01</v>
      </c>
      <c r="CI2060">
        <v>-1.24</v>
      </c>
      <c r="CJ2060">
        <v>15504</v>
      </c>
      <c r="CK2060">
        <v>4508</v>
      </c>
      <c r="CL2060" t="s">
        <v>10052</v>
      </c>
      <c r="CM2060">
        <v>101.54</v>
      </c>
      <c r="CN2060">
        <v>69.37</v>
      </c>
      <c r="CO2060">
        <v>6.87</v>
      </c>
      <c r="CP2060">
        <v>-9780.3700000000008</v>
      </c>
      <c r="CQ2060">
        <v>24.79</v>
      </c>
      <c r="CR2060">
        <v>0.15</v>
      </c>
      <c r="CS2060" t="s">
        <v>2001</v>
      </c>
      <c r="CT2060">
        <v>5.94</v>
      </c>
      <c r="CU2060">
        <v>0</v>
      </c>
      <c r="CV2060">
        <v>3.66</v>
      </c>
      <c r="CW2060">
        <v>0.96</v>
      </c>
      <c r="CX2060">
        <v>0</v>
      </c>
      <c r="CY2060">
        <v>59.29</v>
      </c>
      <c r="CZ2060" t="s">
        <v>3893</v>
      </c>
      <c r="DA2060">
        <v>40.950000000000003</v>
      </c>
      <c r="DB2060">
        <v>0.41</v>
      </c>
      <c r="DC2060">
        <v>0.25</v>
      </c>
      <c r="DD2060">
        <v>0.88</v>
      </c>
      <c r="DE2060">
        <v>447</v>
      </c>
      <c r="DF2060">
        <v>300672</v>
      </c>
      <c r="DG2060" t="s">
        <v>116</v>
      </c>
      <c r="DH2060" t="s">
        <v>116</v>
      </c>
      <c r="DI2060" t="s">
        <v>116</v>
      </c>
    </row>
    <row r="2061" spans="1:113" x14ac:dyDescent="0.4">
      <c r="A2061" t="str">
        <f>"300673"</f>
        <v>300673</v>
      </c>
      <c r="B2061" t="s">
        <v>10053</v>
      </c>
      <c r="C2061">
        <v>-0.92</v>
      </c>
      <c r="D2061">
        <v>27.98</v>
      </c>
      <c r="E2061">
        <v>-0.26</v>
      </c>
      <c r="F2061">
        <v>27.93</v>
      </c>
      <c r="G2061">
        <v>27.98</v>
      </c>
      <c r="H2061">
        <v>14028</v>
      </c>
      <c r="I2061">
        <v>129</v>
      </c>
      <c r="J2061">
        <v>0.47</v>
      </c>
      <c r="K2061">
        <v>3</v>
      </c>
      <c r="L2061">
        <v>28.07</v>
      </c>
      <c r="M2061">
        <v>28.3</v>
      </c>
      <c r="N2061">
        <v>27.55</v>
      </c>
      <c r="O2061">
        <v>28.24</v>
      </c>
      <c r="P2061">
        <v>98.88</v>
      </c>
      <c r="Q2061">
        <v>39121576</v>
      </c>
      <c r="R2061">
        <v>0.79</v>
      </c>
      <c r="S2061" t="s">
        <v>389</v>
      </c>
      <c r="T2061" t="s">
        <v>590</v>
      </c>
      <c r="U2061">
        <v>2.66</v>
      </c>
      <c r="V2061">
        <v>27.89</v>
      </c>
      <c r="W2061">
        <v>9101</v>
      </c>
      <c r="X2061">
        <v>4927</v>
      </c>
      <c r="Y2061">
        <v>1.85</v>
      </c>
      <c r="Z2061">
        <v>8</v>
      </c>
      <c r="AA2061">
        <v>2</v>
      </c>
      <c r="AB2061" t="s">
        <v>116</v>
      </c>
      <c r="AC2061">
        <v>87000</v>
      </c>
      <c r="AD2061">
        <v>0.01</v>
      </c>
      <c r="AE2061" t="s">
        <v>116</v>
      </c>
      <c r="AF2061" t="s">
        <v>116</v>
      </c>
      <c r="AG2061">
        <v>0.47</v>
      </c>
      <c r="AH2061" t="s">
        <v>10054</v>
      </c>
      <c r="AI2061" t="s">
        <v>10055</v>
      </c>
      <c r="AJ2061">
        <v>-0.24</v>
      </c>
      <c r="AK2061">
        <v>1391</v>
      </c>
      <c r="AL2061">
        <v>10</v>
      </c>
      <c r="AM2061">
        <v>2.2000000000000001E-3</v>
      </c>
      <c r="AN2061">
        <v>-1</v>
      </c>
      <c r="AO2061">
        <v>-1.24</v>
      </c>
      <c r="AP2061">
        <v>16.68</v>
      </c>
      <c r="AQ2061">
        <v>-3.25</v>
      </c>
      <c r="AR2061">
        <v>-19.670000000000002</v>
      </c>
      <c r="AS2061">
        <v>3</v>
      </c>
      <c r="AT2061" t="s">
        <v>10054</v>
      </c>
      <c r="AU2061">
        <v>60.23</v>
      </c>
      <c r="AV2061">
        <v>29.24</v>
      </c>
      <c r="AW2061">
        <v>1.26</v>
      </c>
      <c r="BA2061">
        <v>-0.6</v>
      </c>
      <c r="BB2061">
        <v>0.21</v>
      </c>
      <c r="BC2061">
        <v>-2.44</v>
      </c>
      <c r="BD2061">
        <v>-1.24</v>
      </c>
      <c r="BE2061">
        <v>-0.32</v>
      </c>
      <c r="BF2061">
        <v>-1.1299999999999999</v>
      </c>
      <c r="BG2061">
        <v>1.56</v>
      </c>
      <c r="BH2061">
        <v>0.32</v>
      </c>
      <c r="BI2061">
        <v>20191223</v>
      </c>
      <c r="BJ2061">
        <v>20170711</v>
      </c>
      <c r="BK2061">
        <v>1.47</v>
      </c>
      <c r="BL2061" t="s">
        <v>116</v>
      </c>
      <c r="BM2061" t="s">
        <v>116</v>
      </c>
      <c r="BN2061">
        <v>13.25</v>
      </c>
      <c r="BO2061">
        <v>9.84</v>
      </c>
      <c r="BP2061">
        <v>0.12</v>
      </c>
      <c r="BQ2061">
        <v>24.83</v>
      </c>
      <c r="BR2061">
        <v>8.4600000000000009</v>
      </c>
      <c r="BS2061">
        <v>1.92</v>
      </c>
      <c r="BT2061">
        <v>0.51</v>
      </c>
      <c r="BU2061">
        <v>3.22</v>
      </c>
      <c r="BV2061">
        <v>2.1</v>
      </c>
      <c r="BW2061">
        <v>2.74</v>
      </c>
      <c r="BX2061">
        <v>6.02</v>
      </c>
      <c r="BY2061">
        <v>6.99</v>
      </c>
      <c r="BZ2061">
        <v>5.21</v>
      </c>
      <c r="CA2061">
        <v>0.39</v>
      </c>
      <c r="CB2061">
        <v>0.02</v>
      </c>
      <c r="CC2061">
        <v>0.39</v>
      </c>
      <c r="CD2061">
        <v>0.35</v>
      </c>
      <c r="CE2061">
        <v>0.31</v>
      </c>
      <c r="CF2061">
        <v>0.27</v>
      </c>
      <c r="CG2061">
        <v>2.29</v>
      </c>
      <c r="CH2061">
        <v>-1.62</v>
      </c>
      <c r="CI2061">
        <v>-1.03</v>
      </c>
      <c r="CJ2061">
        <v>10323</v>
      </c>
      <c r="CK2061">
        <v>4524</v>
      </c>
      <c r="CL2061" t="s">
        <v>8911</v>
      </c>
      <c r="CM2061">
        <v>-69.88</v>
      </c>
      <c r="CN2061">
        <v>14.68</v>
      </c>
      <c r="CO2061">
        <v>4.17</v>
      </c>
      <c r="CP2061">
        <v>-25.29</v>
      </c>
      <c r="CQ2061">
        <v>5.86</v>
      </c>
      <c r="CR2061">
        <v>1.49</v>
      </c>
      <c r="CS2061" t="s">
        <v>313</v>
      </c>
      <c r="CT2061">
        <v>6.71</v>
      </c>
      <c r="CU2061">
        <v>0</v>
      </c>
      <c r="CV2061">
        <v>4.1100000000000003</v>
      </c>
      <c r="CW2061">
        <v>1.56</v>
      </c>
      <c r="CX2061">
        <v>-1.1100000000000001</v>
      </c>
      <c r="CY2061">
        <v>74.3</v>
      </c>
      <c r="CZ2061" t="s">
        <v>193</v>
      </c>
      <c r="DA2061">
        <v>25.57</v>
      </c>
      <c r="DB2061">
        <v>5.56</v>
      </c>
      <c r="DC2061">
        <v>4.45</v>
      </c>
      <c r="DD2061">
        <v>0.19</v>
      </c>
      <c r="DE2061">
        <v>2972</v>
      </c>
      <c r="DF2061">
        <v>300673</v>
      </c>
      <c r="DG2061" t="s">
        <v>116</v>
      </c>
      <c r="DH2061" t="s">
        <v>116</v>
      </c>
      <c r="DI2061" t="s">
        <v>116</v>
      </c>
    </row>
    <row r="2062" spans="1:113" x14ac:dyDescent="0.4">
      <c r="A2062" t="str">
        <f>"300674"</f>
        <v>300674</v>
      </c>
      <c r="B2062" t="s">
        <v>10056</v>
      </c>
      <c r="C2062">
        <v>-2.23</v>
      </c>
      <c r="D2062">
        <v>25.41</v>
      </c>
      <c r="E2062">
        <v>-0.57999999999999996</v>
      </c>
      <c r="F2062">
        <v>25.4</v>
      </c>
      <c r="G2062">
        <v>25.41</v>
      </c>
      <c r="H2062">
        <v>19246</v>
      </c>
      <c r="I2062">
        <v>322</v>
      </c>
      <c r="J2062">
        <v>0.43</v>
      </c>
      <c r="K2062">
        <v>0.7</v>
      </c>
      <c r="L2062">
        <v>26.19</v>
      </c>
      <c r="M2062">
        <v>26.2</v>
      </c>
      <c r="N2062">
        <v>25.2</v>
      </c>
      <c r="O2062">
        <v>25.99</v>
      </c>
      <c r="P2062">
        <v>85.11</v>
      </c>
      <c r="Q2062">
        <v>49530328</v>
      </c>
      <c r="R2062">
        <v>1.03</v>
      </c>
      <c r="S2062" t="s">
        <v>607</v>
      </c>
      <c r="T2062" t="s">
        <v>165</v>
      </c>
      <c r="U2062">
        <v>3.85</v>
      </c>
      <c r="V2062">
        <v>25.74</v>
      </c>
      <c r="W2062">
        <v>12013</v>
      </c>
      <c r="X2062">
        <v>7233</v>
      </c>
      <c r="Y2062">
        <v>1.66</v>
      </c>
      <c r="Z2062">
        <v>18</v>
      </c>
      <c r="AA2062">
        <v>75</v>
      </c>
      <c r="AB2062" t="s">
        <v>116</v>
      </c>
      <c r="AC2062">
        <v>0</v>
      </c>
      <c r="AD2062">
        <v>0</v>
      </c>
      <c r="AE2062" t="s">
        <v>116</v>
      </c>
      <c r="AF2062" t="s">
        <v>116</v>
      </c>
      <c r="AG2062">
        <v>2.76</v>
      </c>
      <c r="AH2062" t="s">
        <v>10057</v>
      </c>
      <c r="AI2062" t="s">
        <v>10058</v>
      </c>
      <c r="AJ2062">
        <v>-1.55</v>
      </c>
      <c r="AK2062">
        <v>1699</v>
      </c>
      <c r="AL2062">
        <v>11</v>
      </c>
      <c r="AM2062">
        <v>4.0000000000000002E-4</v>
      </c>
      <c r="AN2062">
        <v>-2</v>
      </c>
      <c r="AO2062">
        <v>-1.32</v>
      </c>
      <c r="AP2062">
        <v>10</v>
      </c>
      <c r="AQ2062">
        <v>-18.510000000000002</v>
      </c>
      <c r="AR2062">
        <v>-2.46</v>
      </c>
      <c r="AS2062">
        <v>4.8099999999999996</v>
      </c>
      <c r="AT2062" t="s">
        <v>3653</v>
      </c>
      <c r="AU2062">
        <v>50.05</v>
      </c>
      <c r="AV2062">
        <v>51.96</v>
      </c>
      <c r="AW2062">
        <v>1.83</v>
      </c>
      <c r="BA2062">
        <v>0.77</v>
      </c>
      <c r="BB2062">
        <v>0.81</v>
      </c>
      <c r="BC2062">
        <v>-3.04</v>
      </c>
      <c r="BD2062">
        <v>-0.98</v>
      </c>
      <c r="BE2062">
        <v>-2.98</v>
      </c>
      <c r="BF2062">
        <v>-3.02</v>
      </c>
      <c r="BG2062">
        <v>0.83</v>
      </c>
      <c r="BH2062">
        <v>-1.25</v>
      </c>
      <c r="BI2062">
        <v>20191106</v>
      </c>
      <c r="BJ2062">
        <v>20181107</v>
      </c>
      <c r="BK2062">
        <v>4</v>
      </c>
      <c r="BL2062" t="s">
        <v>116</v>
      </c>
      <c r="BM2062" t="s">
        <v>116</v>
      </c>
      <c r="BN2062">
        <v>34.97</v>
      </c>
      <c r="BO2062">
        <v>16.68</v>
      </c>
      <c r="BP2062">
        <v>0.54</v>
      </c>
      <c r="BQ2062">
        <v>50.77</v>
      </c>
      <c r="BR2062">
        <v>21.22</v>
      </c>
      <c r="BS2062">
        <v>1.23</v>
      </c>
      <c r="BT2062">
        <v>2.25</v>
      </c>
      <c r="BU2062">
        <v>14.12</v>
      </c>
      <c r="BV2062">
        <v>6.96</v>
      </c>
      <c r="BW2062">
        <v>8.4499999999999993</v>
      </c>
      <c r="BX2062">
        <v>6.46</v>
      </c>
      <c r="BY2062">
        <v>15.43</v>
      </c>
      <c r="BZ2062">
        <v>10.47</v>
      </c>
      <c r="CA2062">
        <v>0.94</v>
      </c>
      <c r="CB2062">
        <v>0.17</v>
      </c>
      <c r="CC2062">
        <v>0.94</v>
      </c>
      <c r="CD2062">
        <v>0.8</v>
      </c>
      <c r="CE2062">
        <v>0.9</v>
      </c>
      <c r="CF2062">
        <v>0.83</v>
      </c>
      <c r="CG2062">
        <v>5.87</v>
      </c>
      <c r="CH2062">
        <v>-4.38</v>
      </c>
      <c r="CI2062">
        <v>-4.75</v>
      </c>
      <c r="CJ2062">
        <v>18395</v>
      </c>
      <c r="CK2062">
        <v>2175</v>
      </c>
      <c r="CL2062" t="s">
        <v>4634</v>
      </c>
      <c r="CM2062">
        <v>9.07</v>
      </c>
      <c r="CN2062">
        <v>45.23</v>
      </c>
      <c r="CO2062">
        <v>6.09</v>
      </c>
      <c r="CP2062">
        <v>-23.23</v>
      </c>
      <c r="CQ2062">
        <v>6.59</v>
      </c>
      <c r="CR2062">
        <v>0.79</v>
      </c>
      <c r="CS2062" t="s">
        <v>6486</v>
      </c>
      <c r="CT2062">
        <v>4.17</v>
      </c>
      <c r="CU2062">
        <v>0</v>
      </c>
      <c r="CV2062">
        <v>1.62</v>
      </c>
      <c r="CW2062">
        <v>1.47</v>
      </c>
      <c r="CX2062">
        <v>-1.0900000000000001</v>
      </c>
      <c r="CY2062">
        <v>47.69</v>
      </c>
      <c r="CZ2062" t="s">
        <v>10059</v>
      </c>
      <c r="DA2062">
        <v>32.159999999999997</v>
      </c>
      <c r="DB2062">
        <v>6.08</v>
      </c>
      <c r="DC2062">
        <v>5.8</v>
      </c>
      <c r="DD2062">
        <v>1.77</v>
      </c>
      <c r="DE2062">
        <v>7676</v>
      </c>
      <c r="DF2062">
        <v>300674</v>
      </c>
      <c r="DG2062" t="s">
        <v>116</v>
      </c>
      <c r="DH2062" t="s">
        <v>116</v>
      </c>
      <c r="DI2062" t="s">
        <v>116</v>
      </c>
    </row>
    <row r="2063" spans="1:113" x14ac:dyDescent="0.4">
      <c r="A2063" t="str">
        <f>"300675"</f>
        <v>300675</v>
      </c>
      <c r="B2063" t="s">
        <v>10060</v>
      </c>
      <c r="C2063">
        <v>-0.41</v>
      </c>
      <c r="D2063">
        <v>14.44</v>
      </c>
      <c r="E2063">
        <v>-0.06</v>
      </c>
      <c r="F2063">
        <v>14.44</v>
      </c>
      <c r="G2063">
        <v>14.45</v>
      </c>
      <c r="H2063">
        <v>13014</v>
      </c>
      <c r="I2063">
        <v>474</v>
      </c>
      <c r="J2063">
        <v>-0.06</v>
      </c>
      <c r="K2063">
        <v>1.61</v>
      </c>
      <c r="L2063">
        <v>14.53</v>
      </c>
      <c r="M2063">
        <v>14.58</v>
      </c>
      <c r="N2063">
        <v>14.44</v>
      </c>
      <c r="O2063">
        <v>14.5</v>
      </c>
      <c r="P2063" t="s">
        <v>116</v>
      </c>
      <c r="Q2063">
        <v>18883084</v>
      </c>
      <c r="R2063">
        <v>0.65</v>
      </c>
      <c r="S2063" t="s">
        <v>181</v>
      </c>
      <c r="T2063" t="s">
        <v>115</v>
      </c>
      <c r="U2063">
        <v>0.97</v>
      </c>
      <c r="V2063">
        <v>14.51</v>
      </c>
      <c r="W2063">
        <v>7084</v>
      </c>
      <c r="X2063">
        <v>5930</v>
      </c>
      <c r="Y2063">
        <v>1.19</v>
      </c>
      <c r="Z2063">
        <v>86</v>
      </c>
      <c r="AA2063">
        <v>90</v>
      </c>
      <c r="AB2063" t="s">
        <v>116</v>
      </c>
      <c r="AC2063">
        <v>5800</v>
      </c>
      <c r="AD2063">
        <v>0</v>
      </c>
      <c r="AE2063" t="s">
        <v>116</v>
      </c>
      <c r="AF2063" t="s">
        <v>116</v>
      </c>
      <c r="AG2063">
        <v>0.81</v>
      </c>
      <c r="AH2063" t="s">
        <v>3871</v>
      </c>
      <c r="AI2063" t="s">
        <v>9206</v>
      </c>
      <c r="AJ2063">
        <v>0.27</v>
      </c>
      <c r="AK2063">
        <v>811</v>
      </c>
      <c r="AL2063">
        <v>16</v>
      </c>
      <c r="AM2063">
        <v>2E-3</v>
      </c>
      <c r="AN2063">
        <v>-1</v>
      </c>
      <c r="AO2063">
        <v>-0.68</v>
      </c>
      <c r="AP2063">
        <v>-6.11</v>
      </c>
      <c r="AQ2063">
        <v>-8.3800000000000008</v>
      </c>
      <c r="AR2063">
        <v>-43.59</v>
      </c>
      <c r="AS2063">
        <v>2.72</v>
      </c>
      <c r="AT2063" t="s">
        <v>10061</v>
      </c>
      <c r="AU2063">
        <v>314.55</v>
      </c>
      <c r="AV2063">
        <v>61.16</v>
      </c>
      <c r="AW2063">
        <v>1.47</v>
      </c>
      <c r="BA2063">
        <v>0.21</v>
      </c>
      <c r="BB2063">
        <v>0.55000000000000004</v>
      </c>
      <c r="BC2063">
        <v>-0.41</v>
      </c>
      <c r="BD2063">
        <v>7.0000000000000007E-2</v>
      </c>
      <c r="BE2063">
        <v>-0.62</v>
      </c>
      <c r="BF2063">
        <v>-0.96</v>
      </c>
      <c r="BG2063">
        <v>0</v>
      </c>
      <c r="BH2063">
        <v>-0.48</v>
      </c>
      <c r="BI2063">
        <v>20191224</v>
      </c>
      <c r="BJ2063">
        <v>20170719</v>
      </c>
      <c r="BK2063">
        <v>1.47</v>
      </c>
      <c r="BL2063" t="s">
        <v>116</v>
      </c>
      <c r="BM2063" t="s">
        <v>116</v>
      </c>
      <c r="BN2063">
        <v>8.3000000000000007</v>
      </c>
      <c r="BO2063">
        <v>4.08</v>
      </c>
      <c r="BP2063">
        <v>0</v>
      </c>
      <c r="BQ2063">
        <v>50.79</v>
      </c>
      <c r="BR2063">
        <v>4.42</v>
      </c>
      <c r="BS2063">
        <v>1</v>
      </c>
      <c r="BT2063">
        <v>0.88</v>
      </c>
      <c r="BU2063">
        <v>2.73</v>
      </c>
      <c r="BV2063">
        <v>0</v>
      </c>
      <c r="BW2063">
        <v>2.41</v>
      </c>
      <c r="BX2063">
        <v>1.28</v>
      </c>
      <c r="BY2063">
        <v>2.37</v>
      </c>
      <c r="BZ2063">
        <v>1.9</v>
      </c>
      <c r="CA2063">
        <v>-0.3</v>
      </c>
      <c r="CB2063">
        <v>-0.01</v>
      </c>
      <c r="CC2063">
        <v>-0.24</v>
      </c>
      <c r="CD2063">
        <v>-0.25</v>
      </c>
      <c r="CE2063">
        <v>-0.24</v>
      </c>
      <c r="CF2063">
        <v>-0.41</v>
      </c>
      <c r="CG2063">
        <v>1.19</v>
      </c>
      <c r="CH2063">
        <v>-0.38</v>
      </c>
      <c r="CI2063">
        <v>-0.23</v>
      </c>
      <c r="CJ2063">
        <v>18256</v>
      </c>
      <c r="CK2063">
        <v>2623</v>
      </c>
      <c r="CL2063" t="s">
        <v>5253</v>
      </c>
      <c r="CM2063">
        <v>-759.8</v>
      </c>
      <c r="CN2063">
        <v>-3.07</v>
      </c>
      <c r="CO2063">
        <v>5.19</v>
      </c>
      <c r="CP2063">
        <v>-55.12</v>
      </c>
      <c r="CQ2063">
        <v>8.9499999999999993</v>
      </c>
      <c r="CR2063">
        <v>0.48</v>
      </c>
      <c r="CS2063" t="s">
        <v>10062</v>
      </c>
      <c r="CT2063">
        <v>2.78</v>
      </c>
      <c r="CU2063">
        <v>0</v>
      </c>
      <c r="CV2063">
        <v>0.87</v>
      </c>
      <c r="CW2063">
        <v>0.81</v>
      </c>
      <c r="CX2063">
        <v>-0.26</v>
      </c>
      <c r="CY2063">
        <v>49.17</v>
      </c>
      <c r="CZ2063" t="s">
        <v>10063</v>
      </c>
      <c r="DA2063">
        <v>19.739999999999998</v>
      </c>
      <c r="DB2063">
        <v>-12.49</v>
      </c>
      <c r="DC2063">
        <v>-10.23</v>
      </c>
      <c r="DD2063">
        <v>0.2</v>
      </c>
      <c r="DE2063">
        <v>681</v>
      </c>
      <c r="DF2063">
        <v>300675</v>
      </c>
      <c r="DG2063" t="s">
        <v>116</v>
      </c>
      <c r="DH2063" t="s">
        <v>116</v>
      </c>
      <c r="DI2063" t="s">
        <v>116</v>
      </c>
    </row>
    <row r="2064" spans="1:113" x14ac:dyDescent="0.4">
      <c r="A2064" t="str">
        <f>"300676"</f>
        <v>300676</v>
      </c>
      <c r="B2064" t="s">
        <v>10064</v>
      </c>
      <c r="C2064">
        <v>-0.26</v>
      </c>
      <c r="D2064">
        <v>65.56</v>
      </c>
      <c r="E2064">
        <v>-0.17</v>
      </c>
      <c r="F2064">
        <v>65.56</v>
      </c>
      <c r="G2064">
        <v>65.599999999999994</v>
      </c>
      <c r="H2064">
        <v>50858</v>
      </c>
      <c r="I2064">
        <v>512</v>
      </c>
      <c r="J2064">
        <v>0.08</v>
      </c>
      <c r="K2064">
        <v>2.08</v>
      </c>
      <c r="L2064">
        <v>65.89</v>
      </c>
      <c r="M2064">
        <v>67.19</v>
      </c>
      <c r="N2064">
        <v>65.38</v>
      </c>
      <c r="O2064">
        <v>65.73</v>
      </c>
      <c r="P2064">
        <v>72.84</v>
      </c>
      <c r="Q2064">
        <v>336239616</v>
      </c>
      <c r="R2064">
        <v>1.04</v>
      </c>
      <c r="S2064" t="s">
        <v>559</v>
      </c>
      <c r="T2064" t="s">
        <v>115</v>
      </c>
      <c r="U2064">
        <v>2.75</v>
      </c>
      <c r="V2064">
        <v>66.11</v>
      </c>
      <c r="W2064">
        <v>26187</v>
      </c>
      <c r="X2064">
        <v>24671</v>
      </c>
      <c r="Y2064">
        <v>1.06</v>
      </c>
      <c r="Z2064">
        <v>46</v>
      </c>
      <c r="AA2064">
        <v>10</v>
      </c>
      <c r="AB2064" t="s">
        <v>116</v>
      </c>
      <c r="AC2064">
        <v>645700</v>
      </c>
      <c r="AD2064">
        <v>0.01</v>
      </c>
      <c r="AE2064" t="s">
        <v>116</v>
      </c>
      <c r="AF2064" t="s">
        <v>116</v>
      </c>
      <c r="AG2064">
        <v>2.4500000000000002</v>
      </c>
      <c r="AH2064" t="s">
        <v>10065</v>
      </c>
      <c r="AI2064" t="s">
        <v>10066</v>
      </c>
      <c r="AJ2064">
        <v>0.42</v>
      </c>
      <c r="AK2064">
        <v>3021</v>
      </c>
      <c r="AL2064">
        <v>17</v>
      </c>
      <c r="AM2064">
        <v>6.9999999999999999E-4</v>
      </c>
      <c r="AN2064">
        <v>-2</v>
      </c>
      <c r="AO2064">
        <v>0.87</v>
      </c>
      <c r="AP2064">
        <v>10.58</v>
      </c>
      <c r="AQ2064">
        <v>1.88</v>
      </c>
      <c r="AR2064">
        <v>9.4499999999999993</v>
      </c>
      <c r="AS2064">
        <v>3.22</v>
      </c>
      <c r="AT2064" t="s">
        <v>10067</v>
      </c>
      <c r="AU2064">
        <v>77.94</v>
      </c>
      <c r="AV2064">
        <v>67.84</v>
      </c>
      <c r="AW2064">
        <v>1.31</v>
      </c>
      <c r="BA2064">
        <v>0.24</v>
      </c>
      <c r="BB2064">
        <v>2.2200000000000002</v>
      </c>
      <c r="BC2064">
        <v>-0.53</v>
      </c>
      <c r="BD2064">
        <v>0.57999999999999996</v>
      </c>
      <c r="BE2064">
        <v>-0.5</v>
      </c>
      <c r="BF2064">
        <v>-2.4300000000000002</v>
      </c>
      <c r="BG2064">
        <v>0.28000000000000003</v>
      </c>
      <c r="BH2064">
        <v>-0.84</v>
      </c>
      <c r="BI2064">
        <v>20191026</v>
      </c>
      <c r="BJ2064">
        <v>20170714</v>
      </c>
      <c r="BK2064">
        <v>4</v>
      </c>
      <c r="BL2064" t="s">
        <v>116</v>
      </c>
      <c r="BM2064" t="s">
        <v>116</v>
      </c>
      <c r="BN2064">
        <v>56.29</v>
      </c>
      <c r="BO2064">
        <v>44.61</v>
      </c>
      <c r="BP2064">
        <v>0.93</v>
      </c>
      <c r="BQ2064">
        <v>19.09</v>
      </c>
      <c r="BR2064">
        <v>32.57</v>
      </c>
      <c r="BS2064">
        <v>11.17</v>
      </c>
      <c r="BT2064">
        <v>1.54</v>
      </c>
      <c r="BU2064">
        <v>9.76</v>
      </c>
      <c r="BV2064">
        <v>3.63</v>
      </c>
      <c r="BW2064">
        <v>15.47</v>
      </c>
      <c r="BX2064">
        <v>28.84</v>
      </c>
      <c r="BY2064">
        <v>20.72</v>
      </c>
      <c r="BZ2064">
        <v>9.1999999999999993</v>
      </c>
      <c r="CA2064">
        <v>3.22</v>
      </c>
      <c r="CB2064">
        <v>0.05</v>
      </c>
      <c r="CC2064">
        <v>3.21</v>
      </c>
      <c r="CD2064">
        <v>2.69</v>
      </c>
      <c r="CE2064">
        <v>2.7</v>
      </c>
      <c r="CF2064">
        <v>2.2799999999999998</v>
      </c>
      <c r="CG2064">
        <v>10.56</v>
      </c>
      <c r="CH2064">
        <v>-1.47</v>
      </c>
      <c r="CI2064">
        <v>-2.5499999999999998</v>
      </c>
      <c r="CJ2064">
        <v>44279</v>
      </c>
      <c r="CK2064">
        <v>3562</v>
      </c>
      <c r="CL2064" t="s">
        <v>10068</v>
      </c>
      <c r="CM2064">
        <v>-15.64</v>
      </c>
      <c r="CN2064">
        <v>14.25</v>
      </c>
      <c r="CO2064">
        <v>5.88</v>
      </c>
      <c r="CP2064">
        <v>-178.7</v>
      </c>
      <c r="CQ2064">
        <v>12.66</v>
      </c>
      <c r="CR2064">
        <v>0.15</v>
      </c>
      <c r="CS2064" t="s">
        <v>10069</v>
      </c>
      <c r="CT2064">
        <v>11.15</v>
      </c>
      <c r="CU2064">
        <v>0</v>
      </c>
      <c r="CV2064">
        <v>7.21</v>
      </c>
      <c r="CW2064">
        <v>2.64</v>
      </c>
      <c r="CX2064">
        <v>-0.37</v>
      </c>
      <c r="CY2064">
        <v>79.25</v>
      </c>
      <c r="CZ2064" t="s">
        <v>6672</v>
      </c>
      <c r="DA2064">
        <v>55.62</v>
      </c>
      <c r="DB2064">
        <v>15.54</v>
      </c>
      <c r="DC2064">
        <v>13.03</v>
      </c>
      <c r="DD2064">
        <v>2.2799999999999998</v>
      </c>
      <c r="DE2064">
        <v>3150</v>
      </c>
      <c r="DF2064">
        <v>300676</v>
      </c>
      <c r="DG2064" t="s">
        <v>116</v>
      </c>
      <c r="DH2064" t="s">
        <v>116</v>
      </c>
      <c r="DI2064" t="s">
        <v>116</v>
      </c>
    </row>
    <row r="2065" spans="1:113" x14ac:dyDescent="0.4">
      <c r="A2065" t="str">
        <f>"300677"</f>
        <v>300677</v>
      </c>
      <c r="B2065" t="s">
        <v>10070</v>
      </c>
      <c r="C2065">
        <v>1.1200000000000001</v>
      </c>
      <c r="D2065">
        <v>16.239999999999998</v>
      </c>
      <c r="E2065">
        <v>0.18</v>
      </c>
      <c r="F2065">
        <v>16.239999999999998</v>
      </c>
      <c r="G2065">
        <v>16.25</v>
      </c>
      <c r="H2065">
        <v>24324</v>
      </c>
      <c r="I2065">
        <v>164</v>
      </c>
      <c r="J2065">
        <v>-0.05</v>
      </c>
      <c r="K2065">
        <v>2.15</v>
      </c>
      <c r="L2065">
        <v>16.239999999999998</v>
      </c>
      <c r="M2065">
        <v>16.61</v>
      </c>
      <c r="N2065">
        <v>16.11</v>
      </c>
      <c r="O2065">
        <v>16.059999999999999</v>
      </c>
      <c r="P2065">
        <v>19.2</v>
      </c>
      <c r="Q2065">
        <v>39861440</v>
      </c>
      <c r="R2065">
        <v>2.67</v>
      </c>
      <c r="S2065" t="s">
        <v>559</v>
      </c>
      <c r="T2065" t="s">
        <v>645</v>
      </c>
      <c r="U2065">
        <v>3.11</v>
      </c>
      <c r="V2065">
        <v>16.39</v>
      </c>
      <c r="W2065">
        <v>12641</v>
      </c>
      <c r="X2065">
        <v>11683</v>
      </c>
      <c r="Y2065">
        <v>1.08</v>
      </c>
      <c r="Z2065">
        <v>275</v>
      </c>
      <c r="AA2065">
        <v>61</v>
      </c>
      <c r="AB2065" t="s">
        <v>116</v>
      </c>
      <c r="AC2065">
        <v>509900</v>
      </c>
      <c r="AD2065">
        <v>0.04</v>
      </c>
      <c r="AE2065" t="s">
        <v>116</v>
      </c>
      <c r="AF2065" t="s">
        <v>116</v>
      </c>
      <c r="AG2065">
        <v>1.1299999999999999</v>
      </c>
      <c r="AH2065" t="s">
        <v>10071</v>
      </c>
      <c r="AI2065" t="s">
        <v>5352</v>
      </c>
      <c r="AJ2065">
        <v>1.8</v>
      </c>
      <c r="AK2065">
        <v>1164</v>
      </c>
      <c r="AL2065">
        <v>21</v>
      </c>
      <c r="AM2065">
        <v>1.8E-3</v>
      </c>
      <c r="AN2065">
        <v>2</v>
      </c>
      <c r="AO2065">
        <v>1.62</v>
      </c>
      <c r="AP2065">
        <v>6.56</v>
      </c>
      <c r="AQ2065">
        <v>3.24</v>
      </c>
      <c r="AR2065">
        <v>11.54</v>
      </c>
      <c r="AS2065">
        <v>2.79</v>
      </c>
      <c r="AT2065" t="s">
        <v>578</v>
      </c>
      <c r="AU2065">
        <v>18.260000000000002</v>
      </c>
      <c r="AV2065">
        <v>17.96</v>
      </c>
      <c r="AW2065">
        <v>0.93</v>
      </c>
      <c r="BA2065">
        <v>1.1200000000000001</v>
      </c>
      <c r="BB2065">
        <v>3.42</v>
      </c>
      <c r="BC2065">
        <v>0.31</v>
      </c>
      <c r="BD2065">
        <v>2.04</v>
      </c>
      <c r="BE2065">
        <v>0</v>
      </c>
      <c r="BF2065">
        <v>-2.23</v>
      </c>
      <c r="BG2065">
        <v>0.81</v>
      </c>
      <c r="BH2065">
        <v>-0.92</v>
      </c>
      <c r="BI2065">
        <v>20191224</v>
      </c>
      <c r="BJ2065">
        <v>20170721</v>
      </c>
      <c r="BK2065">
        <v>1.98</v>
      </c>
      <c r="BL2065" t="s">
        <v>116</v>
      </c>
      <c r="BM2065" t="s">
        <v>116</v>
      </c>
      <c r="BN2065">
        <v>27.47</v>
      </c>
      <c r="BO2065">
        <v>14.18</v>
      </c>
      <c r="BP2065">
        <v>0.25</v>
      </c>
      <c r="BQ2065">
        <v>47.47</v>
      </c>
      <c r="BR2065">
        <v>15.14</v>
      </c>
      <c r="BS2065">
        <v>9.2200000000000006</v>
      </c>
      <c r="BT2065">
        <v>1</v>
      </c>
      <c r="BU2065">
        <v>7.18</v>
      </c>
      <c r="BV2065">
        <v>2.08</v>
      </c>
      <c r="BW2065">
        <v>3.32</v>
      </c>
      <c r="BX2065">
        <v>6.37</v>
      </c>
      <c r="BY2065">
        <v>15.25</v>
      </c>
      <c r="BZ2065">
        <v>11.53</v>
      </c>
      <c r="CA2065">
        <v>1.45</v>
      </c>
      <c r="CB2065">
        <v>0</v>
      </c>
      <c r="CC2065">
        <v>1.44</v>
      </c>
      <c r="CD2065">
        <v>1.26</v>
      </c>
      <c r="CE2065">
        <v>1.26</v>
      </c>
      <c r="CF2065">
        <v>1.24</v>
      </c>
      <c r="CG2065">
        <v>5.58</v>
      </c>
      <c r="CH2065">
        <v>1.1100000000000001</v>
      </c>
      <c r="CI2065">
        <v>0.78</v>
      </c>
      <c r="CJ2065">
        <v>13874</v>
      </c>
      <c r="CK2065">
        <v>6292</v>
      </c>
      <c r="CL2065" t="s">
        <v>1547</v>
      </c>
      <c r="CM2065">
        <v>-2.33</v>
      </c>
      <c r="CN2065">
        <v>10.89</v>
      </c>
      <c r="CO2065">
        <v>2.34</v>
      </c>
      <c r="CP2065">
        <v>29.1</v>
      </c>
      <c r="CQ2065">
        <v>2.11</v>
      </c>
      <c r="CR2065">
        <v>0.92</v>
      </c>
      <c r="CS2065" t="s">
        <v>4250</v>
      </c>
      <c r="CT2065">
        <v>6.95</v>
      </c>
      <c r="CU2065">
        <v>6.95</v>
      </c>
      <c r="CV2065">
        <v>3.21</v>
      </c>
      <c r="CW2065">
        <v>2.81</v>
      </c>
      <c r="CX2065">
        <v>0.56000000000000005</v>
      </c>
      <c r="CY2065">
        <v>51.64</v>
      </c>
      <c r="CZ2065" t="s">
        <v>10072</v>
      </c>
      <c r="DA2065">
        <v>24.42</v>
      </c>
      <c r="DB2065">
        <v>9.51</v>
      </c>
      <c r="DC2065">
        <v>8.25</v>
      </c>
      <c r="DD2065">
        <v>0.52</v>
      </c>
      <c r="DE2065">
        <v>3523</v>
      </c>
      <c r="DF2065">
        <v>300677</v>
      </c>
      <c r="DG2065" t="s">
        <v>116</v>
      </c>
      <c r="DH2065" t="s">
        <v>116</v>
      </c>
      <c r="DI2065" t="s">
        <v>116</v>
      </c>
    </row>
    <row r="2066" spans="1:113" x14ac:dyDescent="0.4">
      <c r="A2066" t="str">
        <f>"300678"</f>
        <v>300678</v>
      </c>
      <c r="B2066" t="s">
        <v>10073</v>
      </c>
      <c r="C2066">
        <v>-2.02</v>
      </c>
      <c r="D2066">
        <v>21.87</v>
      </c>
      <c r="E2066">
        <v>-0.45</v>
      </c>
      <c r="F2066">
        <v>21.87</v>
      </c>
      <c r="G2066">
        <v>21.9</v>
      </c>
      <c r="H2066">
        <v>42581</v>
      </c>
      <c r="I2066">
        <v>340</v>
      </c>
      <c r="J2066">
        <v>0.05</v>
      </c>
      <c r="K2066">
        <v>3.97</v>
      </c>
      <c r="L2066">
        <v>22.11</v>
      </c>
      <c r="M2066">
        <v>22.64</v>
      </c>
      <c r="N2066">
        <v>21.83</v>
      </c>
      <c r="O2066">
        <v>22.32</v>
      </c>
      <c r="P2066">
        <v>240.73</v>
      </c>
      <c r="Q2066">
        <v>94751488</v>
      </c>
      <c r="R2066">
        <v>0.88</v>
      </c>
      <c r="S2066" t="s">
        <v>607</v>
      </c>
      <c r="T2066" t="s">
        <v>582</v>
      </c>
      <c r="U2066">
        <v>3.63</v>
      </c>
      <c r="V2066">
        <v>22.25</v>
      </c>
      <c r="W2066">
        <v>22866</v>
      </c>
      <c r="X2066">
        <v>19715</v>
      </c>
      <c r="Y2066">
        <v>1.1599999999999999</v>
      </c>
      <c r="Z2066">
        <v>186</v>
      </c>
      <c r="AA2066">
        <v>28</v>
      </c>
      <c r="AB2066" t="s">
        <v>116</v>
      </c>
      <c r="AC2066">
        <v>210000</v>
      </c>
      <c r="AD2066">
        <v>0.02</v>
      </c>
      <c r="AE2066" t="s">
        <v>116</v>
      </c>
      <c r="AF2066" t="s">
        <v>116</v>
      </c>
      <c r="AG2066">
        <v>1.07</v>
      </c>
      <c r="AH2066" t="s">
        <v>8236</v>
      </c>
      <c r="AI2066" t="s">
        <v>10074</v>
      </c>
      <c r="AJ2066">
        <v>-1.34</v>
      </c>
      <c r="AK2066">
        <v>2402</v>
      </c>
      <c r="AL2066">
        <v>18</v>
      </c>
      <c r="AM2066">
        <v>1.6999999999999999E-3</v>
      </c>
      <c r="AN2066">
        <v>-2</v>
      </c>
      <c r="AO2066">
        <v>-3.61</v>
      </c>
      <c r="AP2066">
        <v>7.63</v>
      </c>
      <c r="AQ2066">
        <v>-1.49</v>
      </c>
      <c r="AR2066">
        <v>16.52</v>
      </c>
      <c r="AS2066">
        <v>7.03</v>
      </c>
      <c r="AT2066" t="s">
        <v>10075</v>
      </c>
      <c r="AU2066">
        <v>85.91</v>
      </c>
      <c r="AV2066">
        <v>84.1</v>
      </c>
      <c r="AW2066">
        <v>1.54</v>
      </c>
      <c r="BA2066">
        <v>-0.94</v>
      </c>
      <c r="BB2066">
        <v>1.43</v>
      </c>
      <c r="BC2066">
        <v>-2.2000000000000002</v>
      </c>
      <c r="BD2066">
        <v>-0.3</v>
      </c>
      <c r="BE2066">
        <v>-1.0900000000000001</v>
      </c>
      <c r="BF2066">
        <v>-3.4</v>
      </c>
      <c r="BG2066">
        <v>0.18</v>
      </c>
      <c r="BH2066">
        <v>-1.71</v>
      </c>
      <c r="BI2066">
        <v>20191028</v>
      </c>
      <c r="BJ2066">
        <v>20170728</v>
      </c>
      <c r="BK2066">
        <v>1.8</v>
      </c>
      <c r="BL2066" t="s">
        <v>116</v>
      </c>
      <c r="BM2066" t="s">
        <v>116</v>
      </c>
      <c r="BN2066">
        <v>7.47</v>
      </c>
      <c r="BO2066">
        <v>5.7</v>
      </c>
      <c r="BP2066">
        <v>0</v>
      </c>
      <c r="BQ2066">
        <v>23.73</v>
      </c>
      <c r="BR2066">
        <v>6.05</v>
      </c>
      <c r="BS2066">
        <v>0.2</v>
      </c>
      <c r="BT2066">
        <v>0.1</v>
      </c>
      <c r="BU2066">
        <v>1.74</v>
      </c>
      <c r="BV2066">
        <v>1.34</v>
      </c>
      <c r="BW2066">
        <v>1.88</v>
      </c>
      <c r="BX2066">
        <v>1.78</v>
      </c>
      <c r="BY2066">
        <v>1.48</v>
      </c>
      <c r="BZ2066">
        <v>1.0900000000000001</v>
      </c>
      <c r="CA2066">
        <v>0.15</v>
      </c>
      <c r="CB2066">
        <v>0.06</v>
      </c>
      <c r="CC2066">
        <v>0.15</v>
      </c>
      <c r="CD2066">
        <v>0.13</v>
      </c>
      <c r="CE2066">
        <v>0.12</v>
      </c>
      <c r="CF2066">
        <v>0.06</v>
      </c>
      <c r="CG2066">
        <v>1.8</v>
      </c>
      <c r="CH2066">
        <v>-0.69</v>
      </c>
      <c r="CI2066">
        <v>-0.09</v>
      </c>
      <c r="CJ2066">
        <v>18539</v>
      </c>
      <c r="CK2066">
        <v>3266</v>
      </c>
      <c r="CL2066" t="s">
        <v>7262</v>
      </c>
      <c r="CM2066">
        <v>-7.42</v>
      </c>
      <c r="CN2066">
        <v>-1.23</v>
      </c>
      <c r="CO2066">
        <v>6.91</v>
      </c>
      <c r="CP2066">
        <v>-56.9</v>
      </c>
      <c r="CQ2066">
        <v>26.58</v>
      </c>
      <c r="CR2066">
        <v>0.23</v>
      </c>
      <c r="CS2066" t="s">
        <v>4067</v>
      </c>
      <c r="CT2066">
        <v>3.17</v>
      </c>
      <c r="CU2066">
        <v>0</v>
      </c>
      <c r="CV2066">
        <v>0.99</v>
      </c>
      <c r="CW2066">
        <v>1</v>
      </c>
      <c r="CX2066">
        <v>-0.38</v>
      </c>
      <c r="CY2066">
        <v>76.27</v>
      </c>
      <c r="CZ2066" t="s">
        <v>10076</v>
      </c>
      <c r="DA2066">
        <v>26.43</v>
      </c>
      <c r="DB2066">
        <v>10.09</v>
      </c>
      <c r="DC2066">
        <v>8.2799999999999994</v>
      </c>
      <c r="DD2066">
        <v>0.09</v>
      </c>
      <c r="DE2066">
        <v>448</v>
      </c>
      <c r="DF2066">
        <v>300678</v>
      </c>
      <c r="DG2066" t="s">
        <v>116</v>
      </c>
      <c r="DH2066" t="s">
        <v>116</v>
      </c>
      <c r="DI2066" t="s">
        <v>116</v>
      </c>
    </row>
    <row r="2067" spans="1:113" x14ac:dyDescent="0.4">
      <c r="A2067" t="str">
        <f>"300679"</f>
        <v>300679</v>
      </c>
      <c r="B2067" t="s">
        <v>10077</v>
      </c>
      <c r="C2067">
        <v>-2.46</v>
      </c>
      <c r="D2067">
        <v>38.14</v>
      </c>
      <c r="E2067">
        <v>-0.96</v>
      </c>
      <c r="F2067">
        <v>38.130000000000003</v>
      </c>
      <c r="G2067">
        <v>38.14</v>
      </c>
      <c r="H2067">
        <v>45944</v>
      </c>
      <c r="I2067">
        <v>273</v>
      </c>
      <c r="J2067">
        <v>-0.02</v>
      </c>
      <c r="K2067">
        <v>3.44</v>
      </c>
      <c r="L2067">
        <v>38.950000000000003</v>
      </c>
      <c r="M2067">
        <v>39.630000000000003</v>
      </c>
      <c r="N2067">
        <v>38.08</v>
      </c>
      <c r="O2067">
        <v>39.1</v>
      </c>
      <c r="P2067">
        <v>57.57</v>
      </c>
      <c r="Q2067">
        <v>177926528</v>
      </c>
      <c r="R2067">
        <v>0.9</v>
      </c>
      <c r="S2067" t="s">
        <v>233</v>
      </c>
      <c r="T2067" t="s">
        <v>115</v>
      </c>
      <c r="U2067">
        <v>3.96</v>
      </c>
      <c r="V2067">
        <v>38.729999999999997</v>
      </c>
      <c r="W2067">
        <v>26019</v>
      </c>
      <c r="X2067">
        <v>19925</v>
      </c>
      <c r="Y2067">
        <v>1.31</v>
      </c>
      <c r="Z2067">
        <v>51</v>
      </c>
      <c r="AA2067">
        <v>530</v>
      </c>
      <c r="AB2067" t="s">
        <v>116</v>
      </c>
      <c r="AC2067">
        <v>669900</v>
      </c>
      <c r="AD2067">
        <v>0.01</v>
      </c>
      <c r="AE2067" t="s">
        <v>116</v>
      </c>
      <c r="AF2067" t="s">
        <v>116</v>
      </c>
      <c r="AG2067">
        <v>1.33</v>
      </c>
      <c r="AH2067" t="s">
        <v>10078</v>
      </c>
      <c r="AI2067" t="s">
        <v>10079</v>
      </c>
      <c r="AJ2067">
        <v>-1.78</v>
      </c>
      <c r="AK2067">
        <v>2270</v>
      </c>
      <c r="AL2067">
        <v>20</v>
      </c>
      <c r="AM2067">
        <v>1.5E-3</v>
      </c>
      <c r="AN2067">
        <v>-1</v>
      </c>
      <c r="AO2067">
        <v>-2.04</v>
      </c>
      <c r="AP2067">
        <v>-3.44</v>
      </c>
      <c r="AQ2067">
        <v>2.42</v>
      </c>
      <c r="AR2067">
        <v>82.62</v>
      </c>
      <c r="AS2067">
        <v>3.61</v>
      </c>
      <c r="AT2067" t="s">
        <v>10080</v>
      </c>
      <c r="AU2067">
        <v>60.16</v>
      </c>
      <c r="AV2067">
        <v>44.65</v>
      </c>
      <c r="AW2067">
        <v>1.38</v>
      </c>
      <c r="BA2067">
        <v>-0.38</v>
      </c>
      <c r="BB2067">
        <v>1.36</v>
      </c>
      <c r="BC2067">
        <v>-2.61</v>
      </c>
      <c r="BD2067">
        <v>-0.96</v>
      </c>
      <c r="BE2067">
        <v>-2.08</v>
      </c>
      <c r="BF2067">
        <v>-3.76</v>
      </c>
      <c r="BG2067">
        <v>0.16</v>
      </c>
      <c r="BH2067">
        <v>-1.5</v>
      </c>
      <c r="BI2067">
        <v>20191223</v>
      </c>
      <c r="BJ2067">
        <v>20170731</v>
      </c>
      <c r="BK2067">
        <v>2.81</v>
      </c>
      <c r="BL2067" t="s">
        <v>116</v>
      </c>
      <c r="BM2067" t="s">
        <v>116</v>
      </c>
      <c r="BN2067">
        <v>41.69</v>
      </c>
      <c r="BO2067">
        <v>34.61</v>
      </c>
      <c r="BP2067">
        <v>0.74</v>
      </c>
      <c r="BQ2067">
        <v>15.22</v>
      </c>
      <c r="BR2067">
        <v>32.520000000000003</v>
      </c>
      <c r="BS2067">
        <v>4.37</v>
      </c>
      <c r="BT2067">
        <v>0.72</v>
      </c>
      <c r="BU2067">
        <v>6.23</v>
      </c>
      <c r="BV2067">
        <v>3.61</v>
      </c>
      <c r="BW2067">
        <v>5.16</v>
      </c>
      <c r="BX2067">
        <v>20.97</v>
      </c>
      <c r="BY2067">
        <v>14.92</v>
      </c>
      <c r="BZ2067">
        <v>10.79</v>
      </c>
      <c r="CA2067">
        <v>1.63</v>
      </c>
      <c r="CB2067">
        <v>0.31</v>
      </c>
      <c r="CC2067">
        <v>1.63</v>
      </c>
      <c r="CD2067">
        <v>1.38</v>
      </c>
      <c r="CE2067">
        <v>1.4</v>
      </c>
      <c r="CF2067">
        <v>1.06</v>
      </c>
      <c r="CG2067">
        <v>9.99</v>
      </c>
      <c r="CH2067">
        <v>0.5</v>
      </c>
      <c r="CI2067">
        <v>1.81</v>
      </c>
      <c r="CJ2067">
        <v>20297</v>
      </c>
      <c r="CK2067">
        <v>6279</v>
      </c>
      <c r="CL2067" t="s">
        <v>10081</v>
      </c>
      <c r="CM2067">
        <v>-30.71</v>
      </c>
      <c r="CN2067">
        <v>58.75</v>
      </c>
      <c r="CO2067">
        <v>3.09</v>
      </c>
      <c r="CP2067">
        <v>213.37</v>
      </c>
      <c r="CQ2067">
        <v>7.18</v>
      </c>
      <c r="CR2067">
        <v>0.24</v>
      </c>
      <c r="CS2067" t="s">
        <v>10082</v>
      </c>
      <c r="CT2067">
        <v>12.33</v>
      </c>
      <c r="CU2067">
        <v>0</v>
      </c>
      <c r="CV2067">
        <v>7.47</v>
      </c>
      <c r="CW2067">
        <v>3.56</v>
      </c>
      <c r="CX2067">
        <v>0.18</v>
      </c>
      <c r="CY2067">
        <v>83.02</v>
      </c>
      <c r="CZ2067" t="s">
        <v>2745</v>
      </c>
      <c r="DA2067">
        <v>27.68</v>
      </c>
      <c r="DB2067">
        <v>10.92</v>
      </c>
      <c r="DC2067">
        <v>9.35</v>
      </c>
      <c r="DD2067">
        <v>1.42</v>
      </c>
      <c r="DE2067">
        <v>4120</v>
      </c>
      <c r="DF2067">
        <v>300679</v>
      </c>
      <c r="DG2067" t="s">
        <v>116</v>
      </c>
      <c r="DH2067" t="s">
        <v>116</v>
      </c>
      <c r="DI2067" t="s">
        <v>116</v>
      </c>
    </row>
    <row r="2068" spans="1:113" x14ac:dyDescent="0.4">
      <c r="A2068" t="str">
        <f>"300680"</f>
        <v>300680</v>
      </c>
      <c r="B2068" t="s">
        <v>10083</v>
      </c>
      <c r="C2068">
        <v>-1.7</v>
      </c>
      <c r="D2068">
        <v>21.97</v>
      </c>
      <c r="E2068">
        <v>-0.38</v>
      </c>
      <c r="F2068">
        <v>21.97</v>
      </c>
      <c r="G2068">
        <v>21.98</v>
      </c>
      <c r="H2068">
        <v>21516</v>
      </c>
      <c r="I2068">
        <v>99</v>
      </c>
      <c r="J2068">
        <v>0</v>
      </c>
      <c r="K2068">
        <v>5.19</v>
      </c>
      <c r="L2068">
        <v>22.47</v>
      </c>
      <c r="M2068">
        <v>22.59</v>
      </c>
      <c r="N2068">
        <v>21.86</v>
      </c>
      <c r="O2068">
        <v>22.35</v>
      </c>
      <c r="P2068">
        <v>60.57</v>
      </c>
      <c r="Q2068">
        <v>47514984</v>
      </c>
      <c r="R2068">
        <v>0.9</v>
      </c>
      <c r="S2068" t="s">
        <v>293</v>
      </c>
      <c r="T2068" t="s">
        <v>323</v>
      </c>
      <c r="U2068">
        <v>3.27</v>
      </c>
      <c r="V2068">
        <v>22.08</v>
      </c>
      <c r="W2068">
        <v>12005</v>
      </c>
      <c r="X2068">
        <v>9511</v>
      </c>
      <c r="Y2068">
        <v>1.26</v>
      </c>
      <c r="Z2068">
        <v>10</v>
      </c>
      <c r="AA2068">
        <v>84</v>
      </c>
      <c r="AB2068" t="s">
        <v>116</v>
      </c>
      <c r="AC2068">
        <v>6700</v>
      </c>
      <c r="AD2068">
        <v>0</v>
      </c>
      <c r="AE2068" t="s">
        <v>116</v>
      </c>
      <c r="AF2068" t="s">
        <v>116</v>
      </c>
      <c r="AG2068">
        <v>0.41</v>
      </c>
      <c r="AH2068" t="s">
        <v>10084</v>
      </c>
      <c r="AI2068" t="s">
        <v>228</v>
      </c>
      <c r="AJ2068">
        <v>-1.02</v>
      </c>
      <c r="AK2068">
        <v>1554</v>
      </c>
      <c r="AL2068">
        <v>14</v>
      </c>
      <c r="AM2068">
        <v>3.3E-3</v>
      </c>
      <c r="AN2068">
        <v>-1</v>
      </c>
      <c r="AO2068">
        <v>-2.82</v>
      </c>
      <c r="AP2068">
        <v>16.8</v>
      </c>
      <c r="AQ2068">
        <v>10.9</v>
      </c>
      <c r="AR2068">
        <v>29.85</v>
      </c>
      <c r="AS2068">
        <v>5.19</v>
      </c>
      <c r="AT2068" t="s">
        <v>10084</v>
      </c>
      <c r="AU2068">
        <v>97.34</v>
      </c>
      <c r="AV2068">
        <v>426.59</v>
      </c>
      <c r="AW2068">
        <v>0.98</v>
      </c>
      <c r="BA2068">
        <v>0.54</v>
      </c>
      <c r="BB2068">
        <v>1.07</v>
      </c>
      <c r="BC2068">
        <v>-2.19</v>
      </c>
      <c r="BD2068">
        <v>-1.19</v>
      </c>
      <c r="BE2068">
        <v>-2.23</v>
      </c>
      <c r="BF2068">
        <v>-2.74</v>
      </c>
      <c r="BG2068">
        <v>0.5</v>
      </c>
      <c r="BH2068">
        <v>-0.51</v>
      </c>
      <c r="BI2068">
        <v>20191101</v>
      </c>
      <c r="BJ2068">
        <v>20170725</v>
      </c>
      <c r="BK2068">
        <v>0.74</v>
      </c>
      <c r="BL2068" t="s">
        <v>116</v>
      </c>
      <c r="BM2068" t="s">
        <v>116</v>
      </c>
      <c r="BN2068">
        <v>9.64</v>
      </c>
      <c r="BO2068">
        <v>5.37</v>
      </c>
      <c r="BP2068">
        <v>0.41</v>
      </c>
      <c r="BQ2068">
        <v>40</v>
      </c>
      <c r="BR2068">
        <v>3.78</v>
      </c>
      <c r="BS2068">
        <v>2.08</v>
      </c>
      <c r="BT2068">
        <v>0.55000000000000004</v>
      </c>
      <c r="BU2068">
        <v>3.12</v>
      </c>
      <c r="BV2068">
        <v>1.24</v>
      </c>
      <c r="BW2068">
        <v>1.39</v>
      </c>
      <c r="BX2068">
        <v>3.61</v>
      </c>
      <c r="BY2068">
        <v>2.76</v>
      </c>
      <c r="BZ2068">
        <v>1.99</v>
      </c>
      <c r="CA2068">
        <v>0.23</v>
      </c>
      <c r="CB2068">
        <v>0</v>
      </c>
      <c r="CC2068">
        <v>0.23</v>
      </c>
      <c r="CD2068">
        <v>0.2</v>
      </c>
      <c r="CE2068">
        <v>0.2</v>
      </c>
      <c r="CF2068">
        <v>0.17</v>
      </c>
      <c r="CG2068">
        <v>0.89</v>
      </c>
      <c r="CH2068">
        <v>0.25</v>
      </c>
      <c r="CI2068">
        <v>7.0000000000000007E-2</v>
      </c>
      <c r="CJ2068">
        <v>7912</v>
      </c>
      <c r="CK2068">
        <v>5238</v>
      </c>
      <c r="CL2068" t="s">
        <v>1944</v>
      </c>
      <c r="CM2068">
        <v>178.01</v>
      </c>
      <c r="CN2068">
        <v>132.25</v>
      </c>
      <c r="CO2068">
        <v>3.04</v>
      </c>
      <c r="CP2068">
        <v>65.650000000000006</v>
      </c>
      <c r="CQ2068">
        <v>5.92</v>
      </c>
      <c r="CR2068">
        <v>0.46</v>
      </c>
      <c r="CS2068" t="s">
        <v>1170</v>
      </c>
      <c r="CT2068">
        <v>7.23</v>
      </c>
      <c r="CU2068">
        <v>0</v>
      </c>
      <c r="CV2068">
        <v>4.8600000000000003</v>
      </c>
      <c r="CW2068">
        <v>1.19</v>
      </c>
      <c r="CX2068">
        <v>0.33</v>
      </c>
      <c r="CY2068">
        <v>55.77</v>
      </c>
      <c r="CZ2068" t="s">
        <v>1972</v>
      </c>
      <c r="DA2068">
        <v>27.99</v>
      </c>
      <c r="DB2068">
        <v>8.16</v>
      </c>
      <c r="DC2068">
        <v>7.33</v>
      </c>
      <c r="DD2068">
        <v>0.16</v>
      </c>
      <c r="DE2068">
        <v>558</v>
      </c>
      <c r="DF2068">
        <v>300680</v>
      </c>
      <c r="DG2068" t="s">
        <v>116</v>
      </c>
      <c r="DH2068" t="s">
        <v>116</v>
      </c>
      <c r="DI2068" t="s">
        <v>116</v>
      </c>
    </row>
    <row r="2069" spans="1:113" x14ac:dyDescent="0.4">
      <c r="A2069" t="str">
        <f>"300681"</f>
        <v>300681</v>
      </c>
      <c r="B2069" t="s">
        <v>10085</v>
      </c>
      <c r="C2069">
        <v>-0.49</v>
      </c>
      <c r="D2069">
        <v>34.33</v>
      </c>
      <c r="E2069">
        <v>-0.17</v>
      </c>
      <c r="F2069">
        <v>34.32</v>
      </c>
      <c r="G2069">
        <v>34.340000000000003</v>
      </c>
      <c r="H2069">
        <v>2471</v>
      </c>
      <c r="I2069">
        <v>10</v>
      </c>
      <c r="J2069">
        <v>-0.16</v>
      </c>
      <c r="K2069">
        <v>1.31</v>
      </c>
      <c r="L2069">
        <v>34.549999999999997</v>
      </c>
      <c r="M2069">
        <v>34.86</v>
      </c>
      <c r="N2069">
        <v>34.28</v>
      </c>
      <c r="O2069">
        <v>34.5</v>
      </c>
      <c r="P2069" t="s">
        <v>116</v>
      </c>
      <c r="Q2069">
        <v>8509393</v>
      </c>
      <c r="R2069">
        <v>0.69</v>
      </c>
      <c r="S2069" t="s">
        <v>233</v>
      </c>
      <c r="T2069" t="s">
        <v>551</v>
      </c>
      <c r="U2069">
        <v>1.68</v>
      </c>
      <c r="V2069">
        <v>34.44</v>
      </c>
      <c r="W2069">
        <v>1311</v>
      </c>
      <c r="X2069">
        <v>1160</v>
      </c>
      <c r="Y2069">
        <v>1.1299999999999999</v>
      </c>
      <c r="Z2069">
        <v>2</v>
      </c>
      <c r="AA2069">
        <v>1</v>
      </c>
      <c r="AB2069" t="s">
        <v>116</v>
      </c>
      <c r="AC2069">
        <v>0</v>
      </c>
      <c r="AD2069">
        <v>0</v>
      </c>
      <c r="AE2069" t="s">
        <v>116</v>
      </c>
      <c r="AF2069" t="s">
        <v>116</v>
      </c>
      <c r="AG2069">
        <v>0.19</v>
      </c>
      <c r="AH2069" t="s">
        <v>10086</v>
      </c>
      <c r="AI2069" t="s">
        <v>775</v>
      </c>
      <c r="AJ2069">
        <v>0.19</v>
      </c>
      <c r="AK2069">
        <v>431</v>
      </c>
      <c r="AL2069">
        <v>6</v>
      </c>
      <c r="AM2069">
        <v>3.0000000000000001E-3</v>
      </c>
      <c r="AN2069">
        <v>-2</v>
      </c>
      <c r="AO2069">
        <v>1.27</v>
      </c>
      <c r="AP2069">
        <v>8.81</v>
      </c>
      <c r="AQ2069">
        <v>15.86</v>
      </c>
      <c r="AR2069">
        <v>-0.46</v>
      </c>
      <c r="AS2069">
        <v>1.31</v>
      </c>
      <c r="AT2069" t="s">
        <v>10086</v>
      </c>
      <c r="AU2069" t="s">
        <v>116</v>
      </c>
      <c r="AV2069">
        <v>48.9</v>
      </c>
      <c r="AW2069">
        <v>0.26</v>
      </c>
      <c r="BA2069">
        <v>0.14000000000000001</v>
      </c>
      <c r="BB2069">
        <v>1.04</v>
      </c>
      <c r="BC2069">
        <v>-0.64</v>
      </c>
      <c r="BD2069">
        <v>-0.18</v>
      </c>
      <c r="BE2069">
        <v>-0.64</v>
      </c>
      <c r="BF2069">
        <v>-1.52</v>
      </c>
      <c r="BG2069">
        <v>0.15</v>
      </c>
      <c r="BH2069">
        <v>-0.31</v>
      </c>
      <c r="BI2069">
        <v>20191026</v>
      </c>
      <c r="BJ2069">
        <v>20170725</v>
      </c>
      <c r="BK2069">
        <v>0.76</v>
      </c>
      <c r="BL2069" t="s">
        <v>116</v>
      </c>
      <c r="BM2069" t="s">
        <v>116</v>
      </c>
      <c r="BN2069">
        <v>9.2799999999999994</v>
      </c>
      <c r="BO2069">
        <v>5.92</v>
      </c>
      <c r="BP2069">
        <v>0</v>
      </c>
      <c r="BQ2069">
        <v>36.229999999999997</v>
      </c>
      <c r="BR2069">
        <v>5.29</v>
      </c>
      <c r="BS2069">
        <v>2.34</v>
      </c>
      <c r="BT2069">
        <v>0.23</v>
      </c>
      <c r="BU2069">
        <v>2.0499999999999998</v>
      </c>
      <c r="BV2069">
        <v>1.97</v>
      </c>
      <c r="BW2069">
        <v>1.46</v>
      </c>
      <c r="BX2069">
        <v>3.61</v>
      </c>
      <c r="BY2069">
        <v>2.23</v>
      </c>
      <c r="BZ2069">
        <v>2</v>
      </c>
      <c r="CA2069">
        <v>-0.62</v>
      </c>
      <c r="CB2069">
        <v>0</v>
      </c>
      <c r="CC2069">
        <v>-0.63</v>
      </c>
      <c r="CD2069">
        <v>-0.51</v>
      </c>
      <c r="CE2069">
        <v>-0.51</v>
      </c>
      <c r="CF2069">
        <v>-0.59</v>
      </c>
      <c r="CG2069">
        <v>1.26</v>
      </c>
      <c r="CH2069">
        <v>1.32</v>
      </c>
      <c r="CI2069">
        <v>-1.87</v>
      </c>
      <c r="CJ2069">
        <v>6094</v>
      </c>
      <c r="CK2069">
        <v>3101</v>
      </c>
      <c r="CL2069" t="s">
        <v>10087</v>
      </c>
      <c r="CM2069">
        <v>-193.98</v>
      </c>
      <c r="CN2069">
        <v>-48.6</v>
      </c>
      <c r="CO2069">
        <v>4.3899999999999997</v>
      </c>
      <c r="CP2069">
        <v>19.649999999999999</v>
      </c>
      <c r="CQ2069">
        <v>11.65</v>
      </c>
      <c r="CR2069">
        <v>0.28999999999999998</v>
      </c>
      <c r="CS2069" t="s">
        <v>10088</v>
      </c>
      <c r="CT2069">
        <v>7.83</v>
      </c>
      <c r="CU2069">
        <v>0</v>
      </c>
      <c r="CV2069">
        <v>4.7699999999999996</v>
      </c>
      <c r="CW2069">
        <v>1.66</v>
      </c>
      <c r="CX2069">
        <v>1.75</v>
      </c>
      <c r="CY2069">
        <v>63.77</v>
      </c>
      <c r="CZ2069" t="s">
        <v>10089</v>
      </c>
      <c r="DA2069">
        <v>10.29</v>
      </c>
      <c r="DB2069">
        <v>-28.04</v>
      </c>
      <c r="DC2069">
        <v>-22.89</v>
      </c>
      <c r="DD2069">
        <v>0.37</v>
      </c>
      <c r="DE2069">
        <v>963</v>
      </c>
      <c r="DF2069">
        <v>300681</v>
      </c>
      <c r="DG2069" t="s">
        <v>116</v>
      </c>
      <c r="DH2069" t="s">
        <v>116</v>
      </c>
      <c r="DI2069" t="s">
        <v>116</v>
      </c>
    </row>
    <row r="2070" spans="1:113" x14ac:dyDescent="0.4">
      <c r="A2070" t="str">
        <f>"300682"</f>
        <v>300682</v>
      </c>
      <c r="B2070" t="s">
        <v>10090</v>
      </c>
      <c r="C2070">
        <v>-2.71</v>
      </c>
      <c r="D2070">
        <v>22.64</v>
      </c>
      <c r="E2070">
        <v>-0.63</v>
      </c>
      <c r="F2070">
        <v>22.63</v>
      </c>
      <c r="G2070">
        <v>22.68</v>
      </c>
      <c r="H2070">
        <v>46416</v>
      </c>
      <c r="I2070">
        <v>407</v>
      </c>
      <c r="J2070">
        <v>-0.39</v>
      </c>
      <c r="K2070">
        <v>2.71</v>
      </c>
      <c r="L2070">
        <v>23.15</v>
      </c>
      <c r="M2070">
        <v>23.28</v>
      </c>
      <c r="N2070">
        <v>22.59</v>
      </c>
      <c r="O2070">
        <v>23.27</v>
      </c>
      <c r="P2070">
        <v>19.420000000000002</v>
      </c>
      <c r="Q2070">
        <v>106283840</v>
      </c>
      <c r="R2070">
        <v>1.01</v>
      </c>
      <c r="S2070" t="s">
        <v>607</v>
      </c>
      <c r="T2070" t="s">
        <v>323</v>
      </c>
      <c r="U2070">
        <v>2.97</v>
      </c>
      <c r="V2070">
        <v>22.9</v>
      </c>
      <c r="W2070">
        <v>28774</v>
      </c>
      <c r="X2070">
        <v>17642</v>
      </c>
      <c r="Y2070">
        <v>1.63</v>
      </c>
      <c r="Z2070">
        <v>3</v>
      </c>
      <c r="AA2070">
        <v>6</v>
      </c>
      <c r="AB2070" t="s">
        <v>116</v>
      </c>
      <c r="AC2070">
        <v>280600</v>
      </c>
      <c r="AD2070">
        <v>0.01</v>
      </c>
      <c r="AE2070" t="s">
        <v>116</v>
      </c>
      <c r="AF2070" t="s">
        <v>116</v>
      </c>
      <c r="AG2070">
        <v>1.71</v>
      </c>
      <c r="AH2070" t="s">
        <v>990</v>
      </c>
      <c r="AI2070" t="s">
        <v>10091</v>
      </c>
      <c r="AJ2070">
        <v>-2.0299999999999998</v>
      </c>
      <c r="AK2070">
        <v>2845</v>
      </c>
      <c r="AL2070">
        <v>16</v>
      </c>
      <c r="AM2070">
        <v>1E-3</v>
      </c>
      <c r="AN2070">
        <v>-1</v>
      </c>
      <c r="AO2070">
        <v>4.38</v>
      </c>
      <c r="AP2070">
        <v>11.2</v>
      </c>
      <c r="AQ2070">
        <v>-3.66</v>
      </c>
      <c r="AR2070">
        <v>39.159999999999997</v>
      </c>
      <c r="AS2070">
        <v>4.92</v>
      </c>
      <c r="AT2070" t="s">
        <v>7204</v>
      </c>
      <c r="AU2070">
        <v>21.98</v>
      </c>
      <c r="AV2070">
        <v>115.2</v>
      </c>
      <c r="AW2070">
        <v>1.77</v>
      </c>
      <c r="BA2070">
        <v>-0.52</v>
      </c>
      <c r="BB2070">
        <v>0.04</v>
      </c>
      <c r="BC2070">
        <v>-2.92</v>
      </c>
      <c r="BD2070">
        <v>-1.6</v>
      </c>
      <c r="BE2070">
        <v>-2.2000000000000002</v>
      </c>
      <c r="BF2070">
        <v>-2.75</v>
      </c>
      <c r="BG2070">
        <v>0.22</v>
      </c>
      <c r="BH2070">
        <v>-1.1100000000000001</v>
      </c>
      <c r="BI2070">
        <v>20191220</v>
      </c>
      <c r="BJ2070">
        <v>20170801</v>
      </c>
      <c r="BK2070">
        <v>6.8</v>
      </c>
      <c r="BL2070" t="s">
        <v>116</v>
      </c>
      <c r="BM2070" t="s">
        <v>116</v>
      </c>
      <c r="BN2070">
        <v>52.62</v>
      </c>
      <c r="BO2070">
        <v>40.450000000000003</v>
      </c>
      <c r="BP2070">
        <v>0.9</v>
      </c>
      <c r="BQ2070">
        <v>21.41</v>
      </c>
      <c r="BR2070">
        <v>37.28</v>
      </c>
      <c r="BS2070">
        <v>0.48</v>
      </c>
      <c r="BT2070">
        <v>0.14000000000000001</v>
      </c>
      <c r="BU2070">
        <v>10.9</v>
      </c>
      <c r="BV2070">
        <v>5.57</v>
      </c>
      <c r="BW2070">
        <v>13.35</v>
      </c>
      <c r="BX2070">
        <v>25.36</v>
      </c>
      <c r="BY2070">
        <v>12.84</v>
      </c>
      <c r="BZ2070">
        <v>7.66</v>
      </c>
      <c r="CA2070">
        <v>5.93</v>
      </c>
      <c r="CB2070">
        <v>5.29</v>
      </c>
      <c r="CC2070">
        <v>5.93</v>
      </c>
      <c r="CD2070">
        <v>5.81</v>
      </c>
      <c r="CE2070">
        <v>5.95</v>
      </c>
      <c r="CF2070">
        <v>-0.17</v>
      </c>
      <c r="CG2070">
        <v>9.9499999999999993</v>
      </c>
      <c r="CH2070">
        <v>2.38</v>
      </c>
      <c r="CI2070">
        <v>2.41</v>
      </c>
      <c r="CJ2070">
        <v>18687</v>
      </c>
      <c r="CK2070">
        <v>5053</v>
      </c>
      <c r="CL2070" t="s">
        <v>1373</v>
      </c>
      <c r="CM2070">
        <v>2042.41</v>
      </c>
      <c r="CN2070">
        <v>-7.8</v>
      </c>
      <c r="CO2070">
        <v>3.81</v>
      </c>
      <c r="CP2070">
        <v>64.59</v>
      </c>
      <c r="CQ2070">
        <v>12</v>
      </c>
      <c r="CR2070">
        <v>0.23</v>
      </c>
      <c r="CS2070" t="s">
        <v>10092</v>
      </c>
      <c r="CT2070">
        <v>5.95</v>
      </c>
      <c r="CU2070">
        <v>0</v>
      </c>
      <c r="CV2070">
        <v>3.73</v>
      </c>
      <c r="CW2070">
        <v>1.46</v>
      </c>
      <c r="CX2070">
        <v>0.35</v>
      </c>
      <c r="CY2070">
        <v>76.87</v>
      </c>
      <c r="CZ2070" t="s">
        <v>10093</v>
      </c>
      <c r="DA2070">
        <v>40.36</v>
      </c>
      <c r="DB2070">
        <v>46.19</v>
      </c>
      <c r="DC2070">
        <v>46.33</v>
      </c>
      <c r="DD2070">
        <v>2.21</v>
      </c>
      <c r="DE2070">
        <v>2249</v>
      </c>
      <c r="DF2070">
        <v>300682</v>
      </c>
      <c r="DG2070" t="s">
        <v>116</v>
      </c>
      <c r="DH2070" t="s">
        <v>116</v>
      </c>
      <c r="DI2070" t="s">
        <v>116</v>
      </c>
    </row>
    <row r="2071" spans="1:113" x14ac:dyDescent="0.4">
      <c r="A2071" t="str">
        <f>"300683"</f>
        <v>300683</v>
      </c>
      <c r="B2071" t="s">
        <v>10094</v>
      </c>
      <c r="C2071">
        <v>0.48</v>
      </c>
      <c r="D2071">
        <v>29.46</v>
      </c>
      <c r="E2071">
        <v>0.14000000000000001</v>
      </c>
      <c r="F2071">
        <v>29.46</v>
      </c>
      <c r="G2071">
        <v>29.48</v>
      </c>
      <c r="H2071">
        <v>6524</v>
      </c>
      <c r="I2071">
        <v>143</v>
      </c>
      <c r="J2071">
        <v>-0.09</v>
      </c>
      <c r="K2071">
        <v>1.37</v>
      </c>
      <c r="L2071">
        <v>29.33</v>
      </c>
      <c r="M2071">
        <v>29.86</v>
      </c>
      <c r="N2071">
        <v>29.32</v>
      </c>
      <c r="O2071">
        <v>29.32</v>
      </c>
      <c r="P2071">
        <v>33.520000000000003</v>
      </c>
      <c r="Q2071">
        <v>19260180</v>
      </c>
      <c r="R2071">
        <v>1.29</v>
      </c>
      <c r="S2071" t="s">
        <v>132</v>
      </c>
      <c r="T2071" t="s">
        <v>774</v>
      </c>
      <c r="U2071">
        <v>1.84</v>
      </c>
      <c r="V2071">
        <v>29.52</v>
      </c>
      <c r="W2071">
        <v>3565</v>
      </c>
      <c r="X2071">
        <v>2959</v>
      </c>
      <c r="Y2071">
        <v>1.2</v>
      </c>
      <c r="Z2071">
        <v>30</v>
      </c>
      <c r="AA2071">
        <v>16</v>
      </c>
      <c r="AB2071" t="s">
        <v>116</v>
      </c>
      <c r="AC2071">
        <v>0</v>
      </c>
      <c r="AD2071">
        <v>0</v>
      </c>
      <c r="AE2071" t="s">
        <v>116</v>
      </c>
      <c r="AF2071" t="s">
        <v>116</v>
      </c>
      <c r="AG2071">
        <v>0.47</v>
      </c>
      <c r="AH2071" t="s">
        <v>5961</v>
      </c>
      <c r="AI2071" t="s">
        <v>10095</v>
      </c>
      <c r="AJ2071">
        <v>1.1599999999999999</v>
      </c>
      <c r="AK2071">
        <v>754</v>
      </c>
      <c r="AL2071">
        <v>9</v>
      </c>
      <c r="AM2071">
        <v>1.8E-3</v>
      </c>
      <c r="AN2071">
        <v>1</v>
      </c>
      <c r="AO2071">
        <v>-0.47</v>
      </c>
      <c r="AP2071">
        <v>3.04</v>
      </c>
      <c r="AQ2071">
        <v>-4.4400000000000004</v>
      </c>
      <c r="AR2071">
        <v>8.91</v>
      </c>
      <c r="AS2071">
        <v>1.37</v>
      </c>
      <c r="AT2071" t="s">
        <v>5961</v>
      </c>
      <c r="AU2071">
        <v>35.29</v>
      </c>
      <c r="AV2071">
        <v>32.340000000000003</v>
      </c>
      <c r="AW2071">
        <v>0.89</v>
      </c>
      <c r="BA2071">
        <v>0.03</v>
      </c>
      <c r="BB2071">
        <v>1.84</v>
      </c>
      <c r="BC2071">
        <v>0</v>
      </c>
      <c r="BD2071">
        <v>0.7</v>
      </c>
      <c r="BE2071">
        <v>0.44</v>
      </c>
      <c r="BF2071">
        <v>-1.34</v>
      </c>
      <c r="BG2071">
        <v>0.48</v>
      </c>
      <c r="BH2071">
        <v>-0.22</v>
      </c>
      <c r="BI2071">
        <v>20191224</v>
      </c>
      <c r="BJ2071">
        <v>20170808</v>
      </c>
      <c r="BK2071">
        <v>1.03</v>
      </c>
      <c r="BL2071" t="s">
        <v>116</v>
      </c>
      <c r="BM2071" t="s">
        <v>116</v>
      </c>
      <c r="BN2071">
        <v>21.61</v>
      </c>
      <c r="BO2071">
        <v>17.579999999999998</v>
      </c>
      <c r="BP2071">
        <v>0.09</v>
      </c>
      <c r="BQ2071">
        <v>18.22</v>
      </c>
      <c r="BR2071">
        <v>15.23</v>
      </c>
      <c r="BS2071">
        <v>2</v>
      </c>
      <c r="BT2071">
        <v>0.64</v>
      </c>
      <c r="BU2071">
        <v>3.79</v>
      </c>
      <c r="BV2071">
        <v>0.44</v>
      </c>
      <c r="BW2071">
        <v>2.2400000000000002</v>
      </c>
      <c r="BX2071">
        <v>9.9</v>
      </c>
      <c r="BY2071">
        <v>4.71</v>
      </c>
      <c r="BZ2071">
        <v>0.74</v>
      </c>
      <c r="CA2071">
        <v>0.84</v>
      </c>
      <c r="CB2071">
        <v>0.24</v>
      </c>
      <c r="CC2071">
        <v>0.82</v>
      </c>
      <c r="CD2071">
        <v>0.67</v>
      </c>
      <c r="CE2071">
        <v>0.68</v>
      </c>
      <c r="CF2071">
        <v>0.45</v>
      </c>
      <c r="CG2071">
        <v>6.12</v>
      </c>
      <c r="CH2071">
        <v>0.27</v>
      </c>
      <c r="CI2071">
        <v>4.18</v>
      </c>
      <c r="CJ2071">
        <v>14462</v>
      </c>
      <c r="CK2071">
        <v>3281</v>
      </c>
      <c r="CL2071" t="s">
        <v>10096</v>
      </c>
      <c r="CM2071">
        <v>-10.34</v>
      </c>
      <c r="CN2071">
        <v>14.19</v>
      </c>
      <c r="CO2071">
        <v>1.73</v>
      </c>
      <c r="CP2071">
        <v>114.79</v>
      </c>
      <c r="CQ2071">
        <v>6.47</v>
      </c>
      <c r="CR2071">
        <v>0.68</v>
      </c>
      <c r="CS2071" t="s">
        <v>2668</v>
      </c>
      <c r="CT2071">
        <v>17.010000000000002</v>
      </c>
      <c r="CU2071">
        <v>0</v>
      </c>
      <c r="CV2071">
        <v>9.57</v>
      </c>
      <c r="CW2071">
        <v>5.92</v>
      </c>
      <c r="CX2071">
        <v>0.26</v>
      </c>
      <c r="CY2071">
        <v>81.37</v>
      </c>
      <c r="CZ2071" t="s">
        <v>10097</v>
      </c>
      <c r="DA2071">
        <v>84.37</v>
      </c>
      <c r="DB2071">
        <v>17.809999999999999</v>
      </c>
      <c r="DC2071">
        <v>14.48</v>
      </c>
      <c r="DD2071">
        <v>0.42</v>
      </c>
      <c r="DE2071">
        <v>659</v>
      </c>
      <c r="DF2071">
        <v>300683</v>
      </c>
      <c r="DG2071" t="s">
        <v>116</v>
      </c>
      <c r="DH2071" t="s">
        <v>116</v>
      </c>
      <c r="DI2071" t="s">
        <v>116</v>
      </c>
    </row>
    <row r="2072" spans="1:113" x14ac:dyDescent="0.4">
      <c r="A2072" t="str">
        <f>"300684"</f>
        <v>300684</v>
      </c>
      <c r="B2072" t="s">
        <v>10098</v>
      </c>
      <c r="C2072">
        <v>-4.17</v>
      </c>
      <c r="D2072">
        <v>25.77</v>
      </c>
      <c r="E2072">
        <v>-1.1200000000000001</v>
      </c>
      <c r="F2072">
        <v>25.76</v>
      </c>
      <c r="G2072">
        <v>25.77</v>
      </c>
      <c r="H2072">
        <v>40753</v>
      </c>
      <c r="I2072">
        <v>384</v>
      </c>
      <c r="J2072">
        <v>-0.03</v>
      </c>
      <c r="K2072">
        <v>4.1500000000000004</v>
      </c>
      <c r="L2072">
        <v>27.1</v>
      </c>
      <c r="M2072">
        <v>27.1</v>
      </c>
      <c r="N2072">
        <v>25.7</v>
      </c>
      <c r="O2072">
        <v>26.89</v>
      </c>
      <c r="P2072">
        <v>63.77</v>
      </c>
      <c r="Q2072">
        <v>107499400</v>
      </c>
      <c r="R2072">
        <v>1.1299999999999999</v>
      </c>
      <c r="S2072" t="s">
        <v>891</v>
      </c>
      <c r="T2072" t="s">
        <v>165</v>
      </c>
      <c r="U2072">
        <v>5.21</v>
      </c>
      <c r="V2072">
        <v>26.38</v>
      </c>
      <c r="W2072">
        <v>24780</v>
      </c>
      <c r="X2072">
        <v>15973</v>
      </c>
      <c r="Y2072">
        <v>1.55</v>
      </c>
      <c r="Z2072">
        <v>127</v>
      </c>
      <c r="AA2072">
        <v>80</v>
      </c>
      <c r="AB2072" t="s">
        <v>116</v>
      </c>
      <c r="AC2072">
        <v>330600</v>
      </c>
      <c r="AD2072">
        <v>0.02</v>
      </c>
      <c r="AE2072" t="s">
        <v>116</v>
      </c>
      <c r="AF2072" t="s">
        <v>116</v>
      </c>
      <c r="AG2072">
        <v>0.98</v>
      </c>
      <c r="AH2072" t="s">
        <v>2567</v>
      </c>
      <c r="AI2072" t="s">
        <v>10099</v>
      </c>
      <c r="AJ2072">
        <v>-3.49</v>
      </c>
      <c r="AK2072">
        <v>2034</v>
      </c>
      <c r="AL2072">
        <v>20</v>
      </c>
      <c r="AM2072">
        <v>2E-3</v>
      </c>
      <c r="AN2072">
        <v>-1</v>
      </c>
      <c r="AO2072">
        <v>-2.39</v>
      </c>
      <c r="AP2072">
        <v>2.4700000000000002</v>
      </c>
      <c r="AQ2072">
        <v>6.62</v>
      </c>
      <c r="AR2072">
        <v>34.79</v>
      </c>
      <c r="AS2072">
        <v>5.0599999999999996</v>
      </c>
      <c r="AT2072" t="s">
        <v>8485</v>
      </c>
      <c r="AU2072">
        <v>59.46</v>
      </c>
      <c r="AV2072">
        <v>46.16</v>
      </c>
      <c r="AW2072">
        <v>1.24</v>
      </c>
      <c r="BA2072">
        <v>0.78</v>
      </c>
      <c r="BB2072">
        <v>0.78</v>
      </c>
      <c r="BC2072">
        <v>-4.43</v>
      </c>
      <c r="BD2072">
        <v>-1.9</v>
      </c>
      <c r="BE2072">
        <v>-4.91</v>
      </c>
      <c r="BF2072">
        <v>-4.91</v>
      </c>
      <c r="BG2072">
        <v>0.27</v>
      </c>
      <c r="BH2072">
        <v>-2.2599999999999998</v>
      </c>
      <c r="BI2072">
        <v>20191227</v>
      </c>
      <c r="BJ2072">
        <v>20171227</v>
      </c>
      <c r="BK2072">
        <v>2.52</v>
      </c>
      <c r="BL2072" t="s">
        <v>116</v>
      </c>
      <c r="BM2072" t="s">
        <v>116</v>
      </c>
      <c r="BN2072">
        <v>9.75</v>
      </c>
      <c r="BO2072">
        <v>7.32</v>
      </c>
      <c r="BP2072">
        <v>0.11</v>
      </c>
      <c r="BQ2072">
        <v>23.76</v>
      </c>
      <c r="BR2072">
        <v>6.48</v>
      </c>
      <c r="BS2072">
        <v>2.7</v>
      </c>
      <c r="BT2072">
        <v>0.28000000000000003</v>
      </c>
      <c r="BU2072">
        <v>2.31</v>
      </c>
      <c r="BV2072">
        <v>0.91</v>
      </c>
      <c r="BW2072">
        <v>2.66</v>
      </c>
      <c r="BX2072">
        <v>1.08</v>
      </c>
      <c r="BY2072">
        <v>5.04</v>
      </c>
      <c r="BZ2072">
        <v>3.29</v>
      </c>
      <c r="CA2072">
        <v>0.92</v>
      </c>
      <c r="CB2072">
        <v>0.02</v>
      </c>
      <c r="CC2072">
        <v>0.92</v>
      </c>
      <c r="CD2072">
        <v>0.77</v>
      </c>
      <c r="CE2072">
        <v>0.76</v>
      </c>
      <c r="CF2072">
        <v>0.72</v>
      </c>
      <c r="CG2072">
        <v>3.69</v>
      </c>
      <c r="CH2072">
        <v>0.3</v>
      </c>
      <c r="CI2072">
        <v>-1.95</v>
      </c>
      <c r="CJ2072">
        <v>18377</v>
      </c>
      <c r="CK2072">
        <v>4381</v>
      </c>
      <c r="CL2072" t="s">
        <v>2851</v>
      </c>
      <c r="CM2072">
        <v>-29.18</v>
      </c>
      <c r="CN2072">
        <v>-11.23</v>
      </c>
      <c r="CO2072">
        <v>8.8699999999999992</v>
      </c>
      <c r="CP2072">
        <v>218.54</v>
      </c>
      <c r="CQ2072">
        <v>12.89</v>
      </c>
      <c r="CR2072">
        <v>0.44</v>
      </c>
      <c r="CS2072" t="s">
        <v>3386</v>
      </c>
      <c r="CT2072">
        <v>2.91</v>
      </c>
      <c r="CU2072">
        <v>0</v>
      </c>
      <c r="CV2072">
        <v>0.43</v>
      </c>
      <c r="CW2072">
        <v>1.46</v>
      </c>
      <c r="CX2072">
        <v>0.12</v>
      </c>
      <c r="CY2072">
        <v>75.13</v>
      </c>
      <c r="CZ2072" t="s">
        <v>10100</v>
      </c>
      <c r="DA2072">
        <v>34.75</v>
      </c>
      <c r="DB2072">
        <v>18.309999999999999</v>
      </c>
      <c r="DC2072">
        <v>15.16</v>
      </c>
      <c r="DD2072">
        <v>0.31</v>
      </c>
      <c r="DE2072">
        <v>592</v>
      </c>
      <c r="DF2072">
        <v>300684</v>
      </c>
      <c r="DG2072" t="s">
        <v>116</v>
      </c>
      <c r="DH2072" t="s">
        <v>116</v>
      </c>
      <c r="DI2072" t="s">
        <v>116</v>
      </c>
    </row>
    <row r="2073" spans="1:113" x14ac:dyDescent="0.4">
      <c r="A2073" t="str">
        <f>"300685"</f>
        <v>300685</v>
      </c>
      <c r="B2073" t="s">
        <v>10101</v>
      </c>
      <c r="C2073">
        <v>-2</v>
      </c>
      <c r="D2073">
        <v>64.17</v>
      </c>
      <c r="E2073">
        <v>-1.31</v>
      </c>
      <c r="F2073">
        <v>64.150000000000006</v>
      </c>
      <c r="G2073">
        <v>64.17</v>
      </c>
      <c r="H2073">
        <v>15858</v>
      </c>
      <c r="I2073">
        <v>62</v>
      </c>
      <c r="J2073">
        <v>0.12</v>
      </c>
      <c r="K2073">
        <v>1.74</v>
      </c>
      <c r="L2073">
        <v>65.28</v>
      </c>
      <c r="M2073">
        <v>66.3</v>
      </c>
      <c r="N2073">
        <v>64</v>
      </c>
      <c r="O2073">
        <v>65.48</v>
      </c>
      <c r="P2073">
        <v>65.08</v>
      </c>
      <c r="Q2073">
        <v>102537792</v>
      </c>
      <c r="R2073">
        <v>0.97</v>
      </c>
      <c r="S2073" t="s">
        <v>132</v>
      </c>
      <c r="T2073" t="s">
        <v>975</v>
      </c>
      <c r="U2073">
        <v>3.51</v>
      </c>
      <c r="V2073">
        <v>64.66</v>
      </c>
      <c r="W2073">
        <v>10251</v>
      </c>
      <c r="X2073">
        <v>5607</v>
      </c>
      <c r="Y2073">
        <v>1.83</v>
      </c>
      <c r="Z2073">
        <v>1</v>
      </c>
      <c r="AA2073">
        <v>84</v>
      </c>
      <c r="AB2073" t="s">
        <v>116</v>
      </c>
      <c r="AC2073">
        <v>26100</v>
      </c>
      <c r="AD2073">
        <v>0</v>
      </c>
      <c r="AE2073" t="s">
        <v>116</v>
      </c>
      <c r="AF2073" t="s">
        <v>116</v>
      </c>
      <c r="AG2073">
        <v>0.91</v>
      </c>
      <c r="AH2073" t="s">
        <v>10102</v>
      </c>
      <c r="AI2073" t="s">
        <v>10103</v>
      </c>
      <c r="AJ2073">
        <v>-1.32</v>
      </c>
      <c r="AK2073">
        <v>2310</v>
      </c>
      <c r="AL2073">
        <v>7</v>
      </c>
      <c r="AM2073">
        <v>8.0000000000000004E-4</v>
      </c>
      <c r="AN2073">
        <v>-3</v>
      </c>
      <c r="AO2073">
        <v>-3.33</v>
      </c>
      <c r="AP2073">
        <v>-9.0399999999999991</v>
      </c>
      <c r="AQ2073">
        <v>-1.75</v>
      </c>
      <c r="AR2073">
        <v>57.55</v>
      </c>
      <c r="AS2073">
        <v>2.02</v>
      </c>
      <c r="AT2073" t="s">
        <v>4352</v>
      </c>
      <c r="AU2073">
        <v>67.61</v>
      </c>
      <c r="AV2073">
        <v>74.53</v>
      </c>
      <c r="AW2073">
        <v>1.58</v>
      </c>
      <c r="BA2073">
        <v>-0.31</v>
      </c>
      <c r="BB2073">
        <v>1.25</v>
      </c>
      <c r="BC2073">
        <v>-2.2599999999999998</v>
      </c>
      <c r="BD2073">
        <v>-1.25</v>
      </c>
      <c r="BE2073">
        <v>-1.7</v>
      </c>
      <c r="BF2073">
        <v>-3.21</v>
      </c>
      <c r="BG2073">
        <v>0.27</v>
      </c>
      <c r="BH2073">
        <v>-0.75</v>
      </c>
      <c r="BI2073">
        <v>20191022</v>
      </c>
      <c r="BJ2073">
        <v>20170802</v>
      </c>
      <c r="BK2073">
        <v>1.47</v>
      </c>
      <c r="BL2073" t="s">
        <v>116</v>
      </c>
      <c r="BM2073" t="s">
        <v>116</v>
      </c>
      <c r="BN2073">
        <v>10.06</v>
      </c>
      <c r="BO2073">
        <v>8.6199999999999992</v>
      </c>
      <c r="BP2073">
        <v>0</v>
      </c>
      <c r="BQ2073">
        <v>14.32</v>
      </c>
      <c r="BR2073">
        <v>7.61</v>
      </c>
      <c r="BS2073">
        <v>1.41</v>
      </c>
      <c r="BT2073">
        <v>0.15</v>
      </c>
      <c r="BU2073">
        <v>1.4</v>
      </c>
      <c r="BV2073">
        <v>0.18</v>
      </c>
      <c r="BW2073">
        <v>2.2000000000000002</v>
      </c>
      <c r="BX2073">
        <v>4.24</v>
      </c>
      <c r="BY2073">
        <v>4.12</v>
      </c>
      <c r="BZ2073">
        <v>0.4</v>
      </c>
      <c r="CA2073">
        <v>1.29</v>
      </c>
      <c r="CB2073">
        <v>0</v>
      </c>
      <c r="CC2073">
        <v>1.29</v>
      </c>
      <c r="CD2073">
        <v>1.0900000000000001</v>
      </c>
      <c r="CE2073">
        <v>1.0900000000000001</v>
      </c>
      <c r="CF2073">
        <v>0.92</v>
      </c>
      <c r="CG2073">
        <v>3.33</v>
      </c>
      <c r="CH2073">
        <v>1.34</v>
      </c>
      <c r="CI2073">
        <v>0.59</v>
      </c>
      <c r="CJ2073">
        <v>9180</v>
      </c>
      <c r="CK2073">
        <v>8545</v>
      </c>
      <c r="CL2073" t="s">
        <v>10104</v>
      </c>
      <c r="CM2073">
        <v>13.54</v>
      </c>
      <c r="CN2073">
        <v>32.840000000000003</v>
      </c>
      <c r="CO2073">
        <v>10.96</v>
      </c>
      <c r="CP2073">
        <v>70.33</v>
      </c>
      <c r="CQ2073">
        <v>22.9</v>
      </c>
      <c r="CR2073">
        <v>0.28000000000000003</v>
      </c>
      <c r="CS2073" t="s">
        <v>5125</v>
      </c>
      <c r="CT2073">
        <v>5.86</v>
      </c>
      <c r="CU2073">
        <v>0</v>
      </c>
      <c r="CV2073">
        <v>2.88</v>
      </c>
      <c r="CW2073">
        <v>2.2599999999999998</v>
      </c>
      <c r="CX2073">
        <v>0.91</v>
      </c>
      <c r="CY2073">
        <v>85.68</v>
      </c>
      <c r="CZ2073" t="s">
        <v>7259</v>
      </c>
      <c r="DA2073">
        <v>90.32</v>
      </c>
      <c r="DB2073">
        <v>31.21</v>
      </c>
      <c r="DC2073">
        <v>26.39</v>
      </c>
      <c r="DD2073">
        <v>0.65</v>
      </c>
      <c r="DE2073">
        <v>541</v>
      </c>
      <c r="DF2073">
        <v>300685</v>
      </c>
      <c r="DG2073" t="s">
        <v>116</v>
      </c>
      <c r="DH2073" t="s">
        <v>116</v>
      </c>
      <c r="DI2073" t="s">
        <v>116</v>
      </c>
    </row>
    <row r="2074" spans="1:113" x14ac:dyDescent="0.4">
      <c r="A2074" t="str">
        <f>"300686"</f>
        <v>300686</v>
      </c>
      <c r="B2074" t="s">
        <v>10105</v>
      </c>
      <c r="C2074">
        <v>-2.23</v>
      </c>
      <c r="D2074">
        <v>20.63</v>
      </c>
      <c r="E2074">
        <v>-0.47</v>
      </c>
      <c r="F2074">
        <v>20.62</v>
      </c>
      <c r="G2074">
        <v>20.63</v>
      </c>
      <c r="H2074">
        <v>122835</v>
      </c>
      <c r="I2074">
        <v>2063</v>
      </c>
      <c r="J2074">
        <v>-0.56999999999999995</v>
      </c>
      <c r="K2074">
        <v>13.95</v>
      </c>
      <c r="L2074">
        <v>21.1</v>
      </c>
      <c r="M2074">
        <v>21.86</v>
      </c>
      <c r="N2074">
        <v>20.63</v>
      </c>
      <c r="O2074">
        <v>21.1</v>
      </c>
      <c r="P2074">
        <v>32.51</v>
      </c>
      <c r="Q2074">
        <v>261009504</v>
      </c>
      <c r="R2074">
        <v>1.19</v>
      </c>
      <c r="S2074" t="s">
        <v>233</v>
      </c>
      <c r="T2074" t="s">
        <v>115</v>
      </c>
      <c r="U2074">
        <v>5.83</v>
      </c>
      <c r="V2074">
        <v>21.25</v>
      </c>
      <c r="W2074">
        <v>67120</v>
      </c>
      <c r="X2074">
        <v>55715</v>
      </c>
      <c r="Y2074">
        <v>1.2</v>
      </c>
      <c r="Z2074">
        <v>2</v>
      </c>
      <c r="AA2074">
        <v>172</v>
      </c>
      <c r="AB2074" t="s">
        <v>116</v>
      </c>
      <c r="AC2074">
        <v>947400</v>
      </c>
      <c r="AD2074">
        <v>0.05</v>
      </c>
      <c r="AE2074" t="s">
        <v>116</v>
      </c>
      <c r="AF2074" t="s">
        <v>116</v>
      </c>
      <c r="AG2074">
        <v>0.88</v>
      </c>
      <c r="AH2074" t="s">
        <v>10106</v>
      </c>
      <c r="AI2074" t="s">
        <v>5155</v>
      </c>
      <c r="AJ2074">
        <v>-1.55</v>
      </c>
      <c r="AK2074">
        <v>3567</v>
      </c>
      <c r="AL2074">
        <v>34</v>
      </c>
      <c r="AM2074">
        <v>3.8999999999999998E-3</v>
      </c>
      <c r="AN2074">
        <v>-1</v>
      </c>
      <c r="AO2074">
        <v>-0.68</v>
      </c>
      <c r="AP2074">
        <v>27.11</v>
      </c>
      <c r="AQ2074">
        <v>2.69</v>
      </c>
      <c r="AR2074">
        <v>87.21</v>
      </c>
      <c r="AS2074">
        <v>13.95</v>
      </c>
      <c r="AT2074" t="s">
        <v>10106</v>
      </c>
      <c r="AU2074">
        <v>44.61</v>
      </c>
      <c r="AV2074">
        <v>617.69000000000005</v>
      </c>
      <c r="AW2074">
        <v>1.88</v>
      </c>
      <c r="BA2074">
        <v>0</v>
      </c>
      <c r="BB2074">
        <v>3.6</v>
      </c>
      <c r="BC2074">
        <v>-2.23</v>
      </c>
      <c r="BD2074">
        <v>0.71</v>
      </c>
      <c r="BE2074">
        <v>-2.23</v>
      </c>
      <c r="BF2074">
        <v>-5.63</v>
      </c>
      <c r="BG2074">
        <v>0</v>
      </c>
      <c r="BH2074">
        <v>-2.93</v>
      </c>
      <c r="BI2074">
        <v>20191125</v>
      </c>
      <c r="BJ2074">
        <v>20170804</v>
      </c>
      <c r="BK2074">
        <v>2.04</v>
      </c>
      <c r="BL2074" t="s">
        <v>116</v>
      </c>
      <c r="BM2074" t="s">
        <v>116</v>
      </c>
      <c r="BN2074">
        <v>17.489999999999998</v>
      </c>
      <c r="BO2074">
        <v>7.37</v>
      </c>
      <c r="BP2074">
        <v>0.84</v>
      </c>
      <c r="BQ2074">
        <v>53.07</v>
      </c>
      <c r="BR2074">
        <v>8.34</v>
      </c>
      <c r="BS2074">
        <v>4.4400000000000004</v>
      </c>
      <c r="BT2074">
        <v>0.39</v>
      </c>
      <c r="BU2074">
        <v>7.94</v>
      </c>
      <c r="BV2074">
        <v>2.2000000000000002</v>
      </c>
      <c r="BW2074">
        <v>4.08</v>
      </c>
      <c r="BX2074">
        <v>1.9</v>
      </c>
      <c r="BY2074">
        <v>13.04</v>
      </c>
      <c r="BZ2074">
        <v>10.050000000000001</v>
      </c>
      <c r="CA2074">
        <v>1.39</v>
      </c>
      <c r="CB2074">
        <v>0.3</v>
      </c>
      <c r="CC2074">
        <v>1.43</v>
      </c>
      <c r="CD2074">
        <v>1.28</v>
      </c>
      <c r="CE2074">
        <v>0.97</v>
      </c>
      <c r="CF2074">
        <v>0.62</v>
      </c>
      <c r="CG2074">
        <v>3.29</v>
      </c>
      <c r="CH2074">
        <v>0.98</v>
      </c>
      <c r="CI2074">
        <v>0.27</v>
      </c>
      <c r="CJ2074">
        <v>25750</v>
      </c>
      <c r="CK2074">
        <v>3420</v>
      </c>
      <c r="CL2074" t="s">
        <v>10107</v>
      </c>
      <c r="CM2074">
        <v>914.25</v>
      </c>
      <c r="CN2074">
        <v>194.08</v>
      </c>
      <c r="CO2074">
        <v>5.73</v>
      </c>
      <c r="CP2074">
        <v>43.09</v>
      </c>
      <c r="CQ2074">
        <v>3.24</v>
      </c>
      <c r="CR2074">
        <v>0.05</v>
      </c>
      <c r="CS2074" t="s">
        <v>7321</v>
      </c>
      <c r="CT2074">
        <v>3.6</v>
      </c>
      <c r="CU2074">
        <v>0</v>
      </c>
      <c r="CV2074">
        <v>0.93</v>
      </c>
      <c r="CW2074">
        <v>1.61</v>
      </c>
      <c r="CX2074">
        <v>0.48</v>
      </c>
      <c r="CY2074">
        <v>42.12</v>
      </c>
      <c r="CZ2074" t="s">
        <v>10108</v>
      </c>
      <c r="DA2074">
        <v>22.9</v>
      </c>
      <c r="DB2074">
        <v>10.63</v>
      </c>
      <c r="DC2074">
        <v>7.47</v>
      </c>
      <c r="DD2074">
        <v>0.56999999999999995</v>
      </c>
      <c r="DE2074">
        <v>2189</v>
      </c>
      <c r="DF2074">
        <v>300686</v>
      </c>
      <c r="DG2074" t="s">
        <v>116</v>
      </c>
      <c r="DH2074" t="s">
        <v>116</v>
      </c>
      <c r="DI2074" t="s">
        <v>116</v>
      </c>
    </row>
    <row r="2075" spans="1:113" x14ac:dyDescent="0.4">
      <c r="A2075" t="str">
        <f>"300687"</f>
        <v>300687</v>
      </c>
      <c r="B2075" t="s">
        <v>10109</v>
      </c>
      <c r="C2075">
        <v>-2.67</v>
      </c>
      <c r="D2075">
        <v>15.65</v>
      </c>
      <c r="E2075">
        <v>-0.43</v>
      </c>
      <c r="F2075">
        <v>15.65</v>
      </c>
      <c r="G2075">
        <v>15.66</v>
      </c>
      <c r="H2075">
        <v>32779</v>
      </c>
      <c r="I2075">
        <v>353</v>
      </c>
      <c r="J2075">
        <v>-0.18</v>
      </c>
      <c r="K2075">
        <v>3.47</v>
      </c>
      <c r="L2075">
        <v>16.100000000000001</v>
      </c>
      <c r="M2075">
        <v>16.14</v>
      </c>
      <c r="N2075">
        <v>15.65</v>
      </c>
      <c r="O2075">
        <v>16.079999999999998</v>
      </c>
      <c r="P2075">
        <v>49.32</v>
      </c>
      <c r="Q2075">
        <v>52060552</v>
      </c>
      <c r="R2075">
        <v>1.06</v>
      </c>
      <c r="S2075" t="s">
        <v>607</v>
      </c>
      <c r="T2075" t="s">
        <v>551</v>
      </c>
      <c r="U2075">
        <v>3.05</v>
      </c>
      <c r="V2075">
        <v>15.88</v>
      </c>
      <c r="W2075">
        <v>20684</v>
      </c>
      <c r="X2075">
        <v>12095</v>
      </c>
      <c r="Y2075">
        <v>1.71</v>
      </c>
      <c r="Z2075">
        <v>58</v>
      </c>
      <c r="AA2075">
        <v>30</v>
      </c>
      <c r="AB2075" t="s">
        <v>116</v>
      </c>
      <c r="AC2075">
        <v>116700</v>
      </c>
      <c r="AD2075">
        <v>0.01</v>
      </c>
      <c r="AE2075" t="s">
        <v>116</v>
      </c>
      <c r="AF2075" t="s">
        <v>116</v>
      </c>
      <c r="AG2075">
        <v>0.94</v>
      </c>
      <c r="AH2075" t="s">
        <v>6584</v>
      </c>
      <c r="AI2075" t="s">
        <v>10110</v>
      </c>
      <c r="AJ2075">
        <v>-2</v>
      </c>
      <c r="AK2075">
        <v>1709</v>
      </c>
      <c r="AL2075">
        <v>19</v>
      </c>
      <c r="AM2075">
        <v>2E-3</v>
      </c>
      <c r="AN2075">
        <v>-1</v>
      </c>
      <c r="AO2075">
        <v>-1.75</v>
      </c>
      <c r="AP2075">
        <v>-0.56999999999999995</v>
      </c>
      <c r="AQ2075">
        <v>-2.5499999999999998</v>
      </c>
      <c r="AR2075">
        <v>17.850000000000001</v>
      </c>
      <c r="AS2075">
        <v>4.26</v>
      </c>
      <c r="AT2075" t="s">
        <v>10111</v>
      </c>
      <c r="AU2075">
        <v>35.159999999999997</v>
      </c>
      <c r="AV2075">
        <v>29.99</v>
      </c>
      <c r="AW2075">
        <v>1.25</v>
      </c>
      <c r="BA2075">
        <v>0.12</v>
      </c>
      <c r="BB2075">
        <v>0.37</v>
      </c>
      <c r="BC2075">
        <v>-2.67</v>
      </c>
      <c r="BD2075">
        <v>-1.23</v>
      </c>
      <c r="BE2075">
        <v>-2.8</v>
      </c>
      <c r="BF2075">
        <v>-3.04</v>
      </c>
      <c r="BG2075">
        <v>0</v>
      </c>
      <c r="BH2075">
        <v>-1.44</v>
      </c>
      <c r="BI2075">
        <v>20191113</v>
      </c>
      <c r="BJ2075">
        <v>20170803</v>
      </c>
      <c r="BK2075">
        <v>2.1800000000000002</v>
      </c>
      <c r="BL2075" t="s">
        <v>116</v>
      </c>
      <c r="BM2075" t="s">
        <v>116</v>
      </c>
      <c r="BN2075">
        <v>12.68</v>
      </c>
      <c r="BO2075">
        <v>8.1999999999999993</v>
      </c>
      <c r="BP2075">
        <v>1.51</v>
      </c>
      <c r="BQ2075">
        <v>23.43</v>
      </c>
      <c r="BR2075">
        <v>10.23</v>
      </c>
      <c r="BS2075">
        <v>0.19</v>
      </c>
      <c r="BT2075">
        <v>0.14000000000000001</v>
      </c>
      <c r="BU2075">
        <v>2.95</v>
      </c>
      <c r="BV2075">
        <v>0.02</v>
      </c>
      <c r="BW2075">
        <v>4.6900000000000004</v>
      </c>
      <c r="BX2075">
        <v>2.96</v>
      </c>
      <c r="BY2075">
        <v>7.6</v>
      </c>
      <c r="BZ2075">
        <v>5.66</v>
      </c>
      <c r="CA2075">
        <v>0.55000000000000004</v>
      </c>
      <c r="CB2075">
        <v>7.0000000000000007E-2</v>
      </c>
      <c r="CC2075">
        <v>0.56000000000000005</v>
      </c>
      <c r="CD2075">
        <v>0.55000000000000004</v>
      </c>
      <c r="CE2075">
        <v>0.52</v>
      </c>
      <c r="CF2075">
        <v>0.43</v>
      </c>
      <c r="CG2075">
        <v>2.95</v>
      </c>
      <c r="CH2075">
        <v>-0.05</v>
      </c>
      <c r="CI2075">
        <v>1.63</v>
      </c>
      <c r="CJ2075">
        <v>13678</v>
      </c>
      <c r="CK2075">
        <v>5626</v>
      </c>
      <c r="CL2075" t="s">
        <v>10112</v>
      </c>
      <c r="CM2075">
        <v>-24.38</v>
      </c>
      <c r="CN2075">
        <v>23.96</v>
      </c>
      <c r="CO2075">
        <v>4.1500000000000004</v>
      </c>
      <c r="CP2075">
        <v>-680.47</v>
      </c>
      <c r="CQ2075">
        <v>4.4800000000000004</v>
      </c>
      <c r="CR2075">
        <v>0.43</v>
      </c>
      <c r="CS2075" t="s">
        <v>6697</v>
      </c>
      <c r="CT2075">
        <v>3.77</v>
      </c>
      <c r="CU2075">
        <v>0</v>
      </c>
      <c r="CV2075">
        <v>1.36</v>
      </c>
      <c r="CW2075">
        <v>1.35</v>
      </c>
      <c r="CX2075">
        <v>-0.02</v>
      </c>
      <c r="CY2075">
        <v>64.66</v>
      </c>
      <c r="CZ2075" t="s">
        <v>3119</v>
      </c>
      <c r="DA2075">
        <v>25.53</v>
      </c>
      <c r="DB2075">
        <v>7.3</v>
      </c>
      <c r="DC2075">
        <v>6.82</v>
      </c>
      <c r="DD2075">
        <v>0.62</v>
      </c>
      <c r="DE2075">
        <v>3406</v>
      </c>
      <c r="DF2075">
        <v>300687</v>
      </c>
      <c r="DG2075" t="s">
        <v>116</v>
      </c>
      <c r="DH2075" t="s">
        <v>116</v>
      </c>
      <c r="DI2075" t="s">
        <v>116</v>
      </c>
    </row>
    <row r="2076" spans="1:113" x14ac:dyDescent="0.4">
      <c r="A2076" t="str">
        <f>"300688"</f>
        <v>300688</v>
      </c>
      <c r="B2076" t="s">
        <v>10113</v>
      </c>
      <c r="C2076">
        <v>-1.94</v>
      </c>
      <c r="D2076">
        <v>22.21</v>
      </c>
      <c r="E2076">
        <v>-0.44</v>
      </c>
      <c r="F2076">
        <v>22.2</v>
      </c>
      <c r="G2076">
        <v>22.21</v>
      </c>
      <c r="H2076">
        <v>12657</v>
      </c>
      <c r="I2076">
        <v>98</v>
      </c>
      <c r="J2076">
        <v>-0.03</v>
      </c>
      <c r="K2076">
        <v>2.4700000000000002</v>
      </c>
      <c r="L2076">
        <v>22.65</v>
      </c>
      <c r="M2076">
        <v>22.83</v>
      </c>
      <c r="N2076">
        <v>22.16</v>
      </c>
      <c r="O2076">
        <v>22.65</v>
      </c>
      <c r="P2076">
        <v>82.07</v>
      </c>
      <c r="Q2076">
        <v>28567684</v>
      </c>
      <c r="R2076">
        <v>1.01</v>
      </c>
      <c r="S2076" t="s">
        <v>173</v>
      </c>
      <c r="T2076" t="s">
        <v>165</v>
      </c>
      <c r="U2076">
        <v>2.96</v>
      </c>
      <c r="V2076">
        <v>22.57</v>
      </c>
      <c r="W2076">
        <v>6377</v>
      </c>
      <c r="X2076">
        <v>6280</v>
      </c>
      <c r="Y2076">
        <v>1.02</v>
      </c>
      <c r="Z2076">
        <v>56</v>
      </c>
      <c r="AA2076">
        <v>81</v>
      </c>
      <c r="AB2076" t="s">
        <v>116</v>
      </c>
      <c r="AC2076">
        <v>34000</v>
      </c>
      <c r="AD2076">
        <v>0</v>
      </c>
      <c r="AE2076" t="s">
        <v>116</v>
      </c>
      <c r="AF2076" t="s">
        <v>116</v>
      </c>
      <c r="AG2076">
        <v>0.51</v>
      </c>
      <c r="AH2076" t="s">
        <v>6400</v>
      </c>
      <c r="AI2076" t="s">
        <v>10114</v>
      </c>
      <c r="AJ2076">
        <v>-1.26</v>
      </c>
      <c r="AK2076">
        <v>1122</v>
      </c>
      <c r="AL2076">
        <v>11</v>
      </c>
      <c r="AM2076">
        <v>2.2000000000000001E-3</v>
      </c>
      <c r="AN2076">
        <v>-1</v>
      </c>
      <c r="AO2076">
        <v>-0.76</v>
      </c>
      <c r="AP2076">
        <v>9.84</v>
      </c>
      <c r="AQ2076">
        <v>-8.19</v>
      </c>
      <c r="AR2076">
        <v>-21.87</v>
      </c>
      <c r="AS2076">
        <v>3.26</v>
      </c>
      <c r="AT2076" t="s">
        <v>2030</v>
      </c>
      <c r="AU2076">
        <v>214.08</v>
      </c>
      <c r="AV2076">
        <v>157.26</v>
      </c>
      <c r="AW2076">
        <v>1.38</v>
      </c>
      <c r="BA2076">
        <v>0</v>
      </c>
      <c r="BB2076">
        <v>0.79</v>
      </c>
      <c r="BC2076">
        <v>-2.16</v>
      </c>
      <c r="BD2076">
        <v>-0.35</v>
      </c>
      <c r="BE2076">
        <v>-1.94</v>
      </c>
      <c r="BF2076">
        <v>-2.72</v>
      </c>
      <c r="BG2076">
        <v>0.23</v>
      </c>
      <c r="BH2076">
        <v>-1.59</v>
      </c>
      <c r="BI2076">
        <v>20191029</v>
      </c>
      <c r="BJ2076">
        <v>20170810</v>
      </c>
      <c r="BK2076">
        <v>0.95</v>
      </c>
      <c r="BL2076" t="s">
        <v>116</v>
      </c>
      <c r="BM2076" t="s">
        <v>116</v>
      </c>
      <c r="BN2076">
        <v>4.67</v>
      </c>
      <c r="BO2076">
        <v>3.81</v>
      </c>
      <c r="BP2076">
        <v>0.01</v>
      </c>
      <c r="BQ2076">
        <v>18.329999999999998</v>
      </c>
      <c r="BR2076">
        <v>3.81</v>
      </c>
      <c r="BS2076">
        <v>0.04</v>
      </c>
      <c r="BT2076">
        <v>0.05</v>
      </c>
      <c r="BU2076">
        <v>0.85</v>
      </c>
      <c r="BV2076">
        <v>0</v>
      </c>
      <c r="BW2076">
        <v>0.57999999999999996</v>
      </c>
      <c r="BX2076">
        <v>1.74</v>
      </c>
      <c r="BY2076">
        <v>1.44</v>
      </c>
      <c r="BZ2076">
        <v>0.68</v>
      </c>
      <c r="CA2076">
        <v>0.19</v>
      </c>
      <c r="CB2076">
        <v>0.01</v>
      </c>
      <c r="CC2076">
        <v>0.19</v>
      </c>
      <c r="CD2076">
        <v>0.17</v>
      </c>
      <c r="CE2076">
        <v>0.19</v>
      </c>
      <c r="CF2076">
        <v>0.18</v>
      </c>
      <c r="CG2076">
        <v>1.04</v>
      </c>
      <c r="CH2076">
        <v>0.18</v>
      </c>
      <c r="CI2076">
        <v>1.01</v>
      </c>
      <c r="CJ2076">
        <v>13016</v>
      </c>
      <c r="CK2076">
        <v>2986</v>
      </c>
      <c r="CL2076" t="s">
        <v>10115</v>
      </c>
      <c r="CM2076">
        <v>-15.59</v>
      </c>
      <c r="CN2076">
        <v>-33.28</v>
      </c>
      <c r="CO2076">
        <v>5.56</v>
      </c>
      <c r="CP2076">
        <v>119.58</v>
      </c>
      <c r="CQ2076">
        <v>14.72</v>
      </c>
      <c r="CR2076">
        <v>0.32</v>
      </c>
      <c r="CS2076" t="s">
        <v>7925</v>
      </c>
      <c r="CT2076">
        <v>4</v>
      </c>
      <c r="CU2076">
        <v>0</v>
      </c>
      <c r="CV2076">
        <v>1.83</v>
      </c>
      <c r="CW2076">
        <v>1.0900000000000001</v>
      </c>
      <c r="CX2076">
        <v>0.19</v>
      </c>
      <c r="CY2076">
        <v>81.42</v>
      </c>
      <c r="CZ2076" t="s">
        <v>5141</v>
      </c>
      <c r="DA2076">
        <v>52.84</v>
      </c>
      <c r="DB2076">
        <v>13.54</v>
      </c>
      <c r="DC2076">
        <v>13.45</v>
      </c>
      <c r="DD2076">
        <v>0.05</v>
      </c>
      <c r="DE2076">
        <v>303</v>
      </c>
      <c r="DF2076">
        <v>300688</v>
      </c>
      <c r="DG2076" t="s">
        <v>116</v>
      </c>
      <c r="DH2076" t="s">
        <v>116</v>
      </c>
      <c r="DI2076" t="s">
        <v>116</v>
      </c>
    </row>
    <row r="2077" spans="1:113" x14ac:dyDescent="0.4">
      <c r="A2077" t="str">
        <f>"300689"</f>
        <v>300689</v>
      </c>
      <c r="B2077" t="s">
        <v>10116</v>
      </c>
      <c r="C2077">
        <v>-3.29</v>
      </c>
      <c r="D2077">
        <v>40.61</v>
      </c>
      <c r="E2077">
        <v>-1.38</v>
      </c>
      <c r="F2077">
        <v>40.61</v>
      </c>
      <c r="G2077">
        <v>40.619999999999997</v>
      </c>
      <c r="H2077">
        <v>11084</v>
      </c>
      <c r="I2077">
        <v>181</v>
      </c>
      <c r="J2077">
        <v>-0.38</v>
      </c>
      <c r="K2077">
        <v>5.82</v>
      </c>
      <c r="L2077">
        <v>41.99</v>
      </c>
      <c r="M2077">
        <v>42.15</v>
      </c>
      <c r="N2077">
        <v>40.61</v>
      </c>
      <c r="O2077">
        <v>41.99</v>
      </c>
      <c r="P2077">
        <v>62.85</v>
      </c>
      <c r="Q2077">
        <v>45737060</v>
      </c>
      <c r="R2077">
        <v>0.92</v>
      </c>
      <c r="S2077" t="s">
        <v>233</v>
      </c>
      <c r="T2077" t="s">
        <v>115</v>
      </c>
      <c r="U2077">
        <v>3.67</v>
      </c>
      <c r="V2077">
        <v>41.26</v>
      </c>
      <c r="W2077">
        <v>6382</v>
      </c>
      <c r="X2077">
        <v>4702</v>
      </c>
      <c r="Y2077">
        <v>1.36</v>
      </c>
      <c r="Z2077">
        <v>4</v>
      </c>
      <c r="AA2077">
        <v>75</v>
      </c>
      <c r="AB2077" t="s">
        <v>116</v>
      </c>
      <c r="AC2077">
        <v>151200</v>
      </c>
      <c r="AD2077">
        <v>0.02</v>
      </c>
      <c r="AE2077" t="s">
        <v>116</v>
      </c>
      <c r="AF2077" t="s">
        <v>116</v>
      </c>
      <c r="AG2077">
        <v>0.19</v>
      </c>
      <c r="AH2077" t="s">
        <v>7165</v>
      </c>
      <c r="AI2077" t="s">
        <v>1300</v>
      </c>
      <c r="AJ2077">
        <v>-2.61</v>
      </c>
      <c r="AK2077">
        <v>1335</v>
      </c>
      <c r="AL2077">
        <v>8</v>
      </c>
      <c r="AM2077">
        <v>4.4000000000000003E-3</v>
      </c>
      <c r="AN2077">
        <v>-2</v>
      </c>
      <c r="AO2077">
        <v>-0.19</v>
      </c>
      <c r="AP2077">
        <v>4.0999999999999996</v>
      </c>
      <c r="AQ2077">
        <v>3.6</v>
      </c>
      <c r="AR2077">
        <v>29.39</v>
      </c>
      <c r="AS2077">
        <v>5.82</v>
      </c>
      <c r="AT2077" t="s">
        <v>7165</v>
      </c>
      <c r="AU2077">
        <v>54.84</v>
      </c>
      <c r="AV2077">
        <v>50.38</v>
      </c>
      <c r="AW2077">
        <v>1.27</v>
      </c>
      <c r="BA2077">
        <v>0</v>
      </c>
      <c r="BB2077">
        <v>0.38</v>
      </c>
      <c r="BC2077">
        <v>-3.29</v>
      </c>
      <c r="BD2077">
        <v>-1.73</v>
      </c>
      <c r="BE2077">
        <v>-3.29</v>
      </c>
      <c r="BF2077">
        <v>-3.65</v>
      </c>
      <c r="BG2077">
        <v>0</v>
      </c>
      <c r="BH2077">
        <v>-1.56</v>
      </c>
      <c r="BI2077">
        <v>20191028</v>
      </c>
      <c r="BJ2077">
        <v>20170809</v>
      </c>
      <c r="BK2077">
        <v>0.68</v>
      </c>
      <c r="BL2077" t="s">
        <v>116</v>
      </c>
      <c r="BM2077" t="s">
        <v>116</v>
      </c>
      <c r="BN2077">
        <v>6.81</v>
      </c>
      <c r="BO2077">
        <v>5.84</v>
      </c>
      <c r="BP2077">
        <v>0.06</v>
      </c>
      <c r="BQ2077">
        <v>13.37</v>
      </c>
      <c r="BR2077">
        <v>3.16</v>
      </c>
      <c r="BS2077">
        <v>1.95</v>
      </c>
      <c r="BT2077">
        <v>0.11</v>
      </c>
      <c r="BU2077">
        <v>0.83</v>
      </c>
      <c r="BV2077">
        <v>0.31</v>
      </c>
      <c r="BW2077">
        <v>1.06</v>
      </c>
      <c r="BX2077">
        <v>2.44</v>
      </c>
      <c r="BY2077">
        <v>2.4700000000000002</v>
      </c>
      <c r="BZ2077">
        <v>1.78</v>
      </c>
      <c r="CA2077">
        <v>0.39</v>
      </c>
      <c r="CB2077">
        <v>0.04</v>
      </c>
      <c r="CC2077">
        <v>0.39</v>
      </c>
      <c r="CD2077">
        <v>0.31</v>
      </c>
      <c r="CE2077">
        <v>0.33</v>
      </c>
      <c r="CF2077">
        <v>0.21</v>
      </c>
      <c r="CG2077">
        <v>2.65</v>
      </c>
      <c r="CH2077">
        <v>0.35</v>
      </c>
      <c r="CI2077">
        <v>-0.23</v>
      </c>
      <c r="CJ2077">
        <v>10067</v>
      </c>
      <c r="CK2077">
        <v>1891</v>
      </c>
      <c r="CL2077" t="s">
        <v>6849</v>
      </c>
      <c r="CM2077">
        <v>-11.94</v>
      </c>
      <c r="CN2077">
        <v>1.75</v>
      </c>
      <c r="CO2077">
        <v>4.7300000000000004</v>
      </c>
      <c r="CP2077">
        <v>79.64</v>
      </c>
      <c r="CQ2077">
        <v>11.2</v>
      </c>
      <c r="CR2077">
        <v>0.41</v>
      </c>
      <c r="CS2077" t="s">
        <v>4667</v>
      </c>
      <c r="CT2077">
        <v>8.59</v>
      </c>
      <c r="CU2077">
        <v>0</v>
      </c>
      <c r="CV2077">
        <v>3.59</v>
      </c>
      <c r="CW2077">
        <v>3.9</v>
      </c>
      <c r="CX2077">
        <v>0.51</v>
      </c>
      <c r="CY2077">
        <v>85.8</v>
      </c>
      <c r="CZ2077" t="s">
        <v>4373</v>
      </c>
      <c r="DA2077">
        <v>27.81</v>
      </c>
      <c r="DB2077">
        <v>15.9</v>
      </c>
      <c r="DC2077">
        <v>13.37</v>
      </c>
      <c r="DD2077">
        <v>0.11</v>
      </c>
      <c r="DE2077">
        <v>792</v>
      </c>
      <c r="DF2077">
        <v>300689</v>
      </c>
      <c r="DG2077" t="s">
        <v>116</v>
      </c>
      <c r="DH2077" t="s">
        <v>116</v>
      </c>
      <c r="DI2077" t="s">
        <v>116</v>
      </c>
    </row>
    <row r="2078" spans="1:113" x14ac:dyDescent="0.4">
      <c r="A2078" t="str">
        <f>"300690"</f>
        <v>300690</v>
      </c>
      <c r="B2078" t="s">
        <v>10117</v>
      </c>
      <c r="C2078">
        <v>-1.79</v>
      </c>
      <c r="D2078">
        <v>24.65</v>
      </c>
      <c r="E2078">
        <v>-0.45</v>
      </c>
      <c r="F2078">
        <v>24.64</v>
      </c>
      <c r="G2078">
        <v>24.65</v>
      </c>
      <c r="H2078">
        <v>12375</v>
      </c>
      <c r="I2078">
        <v>267</v>
      </c>
      <c r="J2078">
        <v>0</v>
      </c>
      <c r="K2078">
        <v>2.37</v>
      </c>
      <c r="L2078">
        <v>25.1</v>
      </c>
      <c r="M2078">
        <v>25.26</v>
      </c>
      <c r="N2078">
        <v>24.58</v>
      </c>
      <c r="O2078">
        <v>25.1</v>
      </c>
      <c r="P2078">
        <v>16.899999999999999</v>
      </c>
      <c r="Q2078">
        <v>30917936</v>
      </c>
      <c r="R2078">
        <v>0.94</v>
      </c>
      <c r="S2078" t="s">
        <v>397</v>
      </c>
      <c r="T2078" t="s">
        <v>645</v>
      </c>
      <c r="U2078">
        <v>2.71</v>
      </c>
      <c r="V2078">
        <v>24.98</v>
      </c>
      <c r="W2078">
        <v>6722</v>
      </c>
      <c r="X2078">
        <v>5653</v>
      </c>
      <c r="Y2078">
        <v>1.19</v>
      </c>
      <c r="Z2078">
        <v>34</v>
      </c>
      <c r="AA2078">
        <v>4</v>
      </c>
      <c r="AB2078" t="s">
        <v>116</v>
      </c>
      <c r="AC2078">
        <v>30100</v>
      </c>
      <c r="AD2078">
        <v>0</v>
      </c>
      <c r="AE2078" t="s">
        <v>116</v>
      </c>
      <c r="AF2078" t="s">
        <v>116</v>
      </c>
      <c r="AG2078">
        <v>0.52</v>
      </c>
      <c r="AH2078" t="s">
        <v>2139</v>
      </c>
      <c r="AI2078" t="s">
        <v>3085</v>
      </c>
      <c r="AJ2078">
        <v>-1.1100000000000001</v>
      </c>
      <c r="AK2078">
        <v>1456</v>
      </c>
      <c r="AL2078">
        <v>8</v>
      </c>
      <c r="AM2078">
        <v>1.6000000000000001E-3</v>
      </c>
      <c r="AN2078">
        <v>-1</v>
      </c>
      <c r="AO2078">
        <v>-2.29</v>
      </c>
      <c r="AP2078">
        <v>7.13</v>
      </c>
      <c r="AQ2078">
        <v>-0.6</v>
      </c>
      <c r="AR2078">
        <v>38.880000000000003</v>
      </c>
      <c r="AS2078">
        <v>2.37</v>
      </c>
      <c r="AT2078" t="s">
        <v>2139</v>
      </c>
      <c r="AU2078">
        <v>20.76</v>
      </c>
      <c r="AV2078">
        <v>31.11</v>
      </c>
      <c r="AW2078">
        <v>0.9</v>
      </c>
      <c r="BA2078">
        <v>0</v>
      </c>
      <c r="BB2078">
        <v>0.64</v>
      </c>
      <c r="BC2078">
        <v>-2.0699999999999998</v>
      </c>
      <c r="BD2078">
        <v>-0.46</v>
      </c>
      <c r="BE2078">
        <v>-1.79</v>
      </c>
      <c r="BF2078">
        <v>-2.41</v>
      </c>
      <c r="BG2078">
        <v>0.28000000000000003</v>
      </c>
      <c r="BH2078">
        <v>-1.33</v>
      </c>
      <c r="BI2078">
        <v>20191226</v>
      </c>
      <c r="BJ2078">
        <v>20170808</v>
      </c>
      <c r="BK2078">
        <v>1.1100000000000001</v>
      </c>
      <c r="BL2078" t="s">
        <v>116</v>
      </c>
      <c r="BM2078" t="s">
        <v>116</v>
      </c>
      <c r="BN2078">
        <v>12.32</v>
      </c>
      <c r="BO2078">
        <v>9.86</v>
      </c>
      <c r="BP2078">
        <v>0</v>
      </c>
      <c r="BQ2078">
        <v>20.010000000000002</v>
      </c>
      <c r="BR2078">
        <v>9.64</v>
      </c>
      <c r="BS2078">
        <v>1.8</v>
      </c>
      <c r="BT2078">
        <v>0.45</v>
      </c>
      <c r="BU2078">
        <v>2.4700000000000002</v>
      </c>
      <c r="BV2078">
        <v>1.64</v>
      </c>
      <c r="BW2078">
        <v>3.07</v>
      </c>
      <c r="BX2078">
        <v>5.59</v>
      </c>
      <c r="BY2078">
        <v>5.56</v>
      </c>
      <c r="BZ2078">
        <v>3.33</v>
      </c>
      <c r="CA2078">
        <v>1.39</v>
      </c>
      <c r="CB2078">
        <v>0.11</v>
      </c>
      <c r="CC2078">
        <v>1.44</v>
      </c>
      <c r="CD2078">
        <v>1.21</v>
      </c>
      <c r="CE2078">
        <v>1.21</v>
      </c>
      <c r="CF2078">
        <v>1.07</v>
      </c>
      <c r="CG2078">
        <v>3.06</v>
      </c>
      <c r="CH2078">
        <v>0.51</v>
      </c>
      <c r="CI2078">
        <v>-0.25</v>
      </c>
      <c r="CJ2078">
        <v>11474</v>
      </c>
      <c r="CK2078">
        <v>4553</v>
      </c>
      <c r="CL2078" t="s">
        <v>3583</v>
      </c>
      <c r="CM2078">
        <v>56.54</v>
      </c>
      <c r="CN2078">
        <v>49.35</v>
      </c>
      <c r="CO2078">
        <v>2.77</v>
      </c>
      <c r="CP2078">
        <v>53.74</v>
      </c>
      <c r="CQ2078">
        <v>4.92</v>
      </c>
      <c r="CR2078">
        <v>1.83</v>
      </c>
      <c r="CS2078" t="s">
        <v>10118</v>
      </c>
      <c r="CT2078">
        <v>8.8800000000000008</v>
      </c>
      <c r="CU2078">
        <v>0</v>
      </c>
      <c r="CV2078">
        <v>5.04</v>
      </c>
      <c r="CW2078">
        <v>2.76</v>
      </c>
      <c r="CX2078">
        <v>0.46</v>
      </c>
      <c r="CY2078">
        <v>80.02</v>
      </c>
      <c r="CZ2078" t="s">
        <v>10119</v>
      </c>
      <c r="DA2078">
        <v>40.19</v>
      </c>
      <c r="DB2078">
        <v>24.97</v>
      </c>
      <c r="DC2078">
        <v>21.83</v>
      </c>
      <c r="DD2078">
        <v>0.21</v>
      </c>
      <c r="DE2078">
        <v>1297</v>
      </c>
      <c r="DF2078">
        <v>300690</v>
      </c>
      <c r="DG2078" t="s">
        <v>116</v>
      </c>
      <c r="DH2078" t="s">
        <v>116</v>
      </c>
      <c r="DI2078" t="s">
        <v>116</v>
      </c>
    </row>
    <row r="2079" spans="1:113" x14ac:dyDescent="0.4">
      <c r="A2079" t="str">
        <f>"300691"</f>
        <v>300691</v>
      </c>
      <c r="B2079" t="s">
        <v>10120</v>
      </c>
      <c r="C2079">
        <v>-3.64</v>
      </c>
      <c r="D2079">
        <v>18.53</v>
      </c>
      <c r="E2079">
        <v>-0.7</v>
      </c>
      <c r="F2079">
        <v>18.52</v>
      </c>
      <c r="G2079">
        <v>18.53</v>
      </c>
      <c r="H2079">
        <v>42951</v>
      </c>
      <c r="I2079">
        <v>1168</v>
      </c>
      <c r="J2079">
        <v>-0.1</v>
      </c>
      <c r="K2079">
        <v>4.42</v>
      </c>
      <c r="L2079">
        <v>19.14</v>
      </c>
      <c r="M2079">
        <v>19.260000000000002</v>
      </c>
      <c r="N2079">
        <v>18.47</v>
      </c>
      <c r="O2079">
        <v>19.23</v>
      </c>
      <c r="P2079">
        <v>67.540000000000006</v>
      </c>
      <c r="Q2079">
        <v>80912488</v>
      </c>
      <c r="R2079">
        <v>1.48</v>
      </c>
      <c r="S2079" t="s">
        <v>233</v>
      </c>
      <c r="T2079" t="s">
        <v>551</v>
      </c>
      <c r="U2079">
        <v>4.1100000000000003</v>
      </c>
      <c r="V2079">
        <v>18.84</v>
      </c>
      <c r="W2079">
        <v>27203</v>
      </c>
      <c r="X2079">
        <v>15748</v>
      </c>
      <c r="Y2079">
        <v>1.73</v>
      </c>
      <c r="Z2079">
        <v>13</v>
      </c>
      <c r="AA2079">
        <v>446</v>
      </c>
      <c r="AB2079" t="s">
        <v>116</v>
      </c>
      <c r="AC2079">
        <v>120600</v>
      </c>
      <c r="AD2079">
        <v>0.01</v>
      </c>
      <c r="AE2079" t="s">
        <v>116</v>
      </c>
      <c r="AF2079" t="s">
        <v>116</v>
      </c>
      <c r="AG2079">
        <v>0.97</v>
      </c>
      <c r="AH2079" t="s">
        <v>10121</v>
      </c>
      <c r="AI2079" t="s">
        <v>9459</v>
      </c>
      <c r="AJ2079">
        <v>-2.96</v>
      </c>
      <c r="AK2079">
        <v>1877</v>
      </c>
      <c r="AL2079">
        <v>23</v>
      </c>
      <c r="AM2079">
        <v>2.3999999999999998E-3</v>
      </c>
      <c r="AN2079">
        <v>-1</v>
      </c>
      <c r="AO2079">
        <v>-2.48</v>
      </c>
      <c r="AP2079">
        <v>9.26</v>
      </c>
      <c r="AQ2079">
        <v>-16.149999999999999</v>
      </c>
      <c r="AR2079">
        <v>35.01</v>
      </c>
      <c r="AS2079">
        <v>4.42</v>
      </c>
      <c r="AT2079" t="s">
        <v>10121</v>
      </c>
      <c r="AU2079">
        <v>65.95</v>
      </c>
      <c r="AV2079">
        <v>57.67</v>
      </c>
      <c r="AW2079">
        <v>1.79</v>
      </c>
      <c r="BA2079">
        <v>-0.47</v>
      </c>
      <c r="BB2079">
        <v>0.16</v>
      </c>
      <c r="BC2079">
        <v>-3.95</v>
      </c>
      <c r="BD2079">
        <v>-2.04</v>
      </c>
      <c r="BE2079">
        <v>-3.19</v>
      </c>
      <c r="BF2079">
        <v>-3.79</v>
      </c>
      <c r="BG2079">
        <v>0.32</v>
      </c>
      <c r="BH2079">
        <v>-1.6</v>
      </c>
      <c r="BI2079">
        <v>20191225</v>
      </c>
      <c r="BJ2079">
        <v>20170811</v>
      </c>
      <c r="BK2079">
        <v>2.25</v>
      </c>
      <c r="BL2079" t="s">
        <v>116</v>
      </c>
      <c r="BM2079" t="s">
        <v>116</v>
      </c>
      <c r="BN2079">
        <v>14.58</v>
      </c>
      <c r="BO2079">
        <v>8.81</v>
      </c>
      <c r="BP2079">
        <v>0</v>
      </c>
      <c r="BQ2079">
        <v>39.520000000000003</v>
      </c>
      <c r="BR2079">
        <v>10.050000000000001</v>
      </c>
      <c r="BS2079">
        <v>3.18</v>
      </c>
      <c r="BT2079">
        <v>0.23</v>
      </c>
      <c r="BU2079">
        <v>5.63</v>
      </c>
      <c r="BV2079">
        <v>2.46</v>
      </c>
      <c r="BW2079">
        <v>2.78</v>
      </c>
      <c r="BX2079">
        <v>4.62</v>
      </c>
      <c r="BY2079">
        <v>8.7100000000000009</v>
      </c>
      <c r="BZ2079">
        <v>6.85</v>
      </c>
      <c r="CA2079">
        <v>0.45</v>
      </c>
      <c r="CB2079">
        <v>0.03</v>
      </c>
      <c r="CC2079">
        <v>0.44</v>
      </c>
      <c r="CD2079">
        <v>0.46</v>
      </c>
      <c r="CE2079">
        <v>0.46</v>
      </c>
      <c r="CF2079">
        <v>0.42</v>
      </c>
      <c r="CG2079">
        <v>2.29</v>
      </c>
      <c r="CH2079">
        <v>-0.11</v>
      </c>
      <c r="CI2079">
        <v>-0.24</v>
      </c>
      <c r="CJ2079">
        <v>13402</v>
      </c>
      <c r="CK2079">
        <v>7258</v>
      </c>
      <c r="CL2079" t="s">
        <v>10122</v>
      </c>
      <c r="CM2079">
        <v>-16.399999999999999</v>
      </c>
      <c r="CN2079">
        <v>8.75</v>
      </c>
      <c r="CO2079">
        <v>4.7300000000000004</v>
      </c>
      <c r="CP2079">
        <v>-376.35</v>
      </c>
      <c r="CQ2079">
        <v>4.79</v>
      </c>
      <c r="CR2079">
        <v>1.01</v>
      </c>
      <c r="CS2079" t="s">
        <v>751</v>
      </c>
      <c r="CT2079">
        <v>3.92</v>
      </c>
      <c r="CU2079">
        <v>0</v>
      </c>
      <c r="CV2079">
        <v>2.0499999999999998</v>
      </c>
      <c r="CW2079">
        <v>1.02</v>
      </c>
      <c r="CX2079">
        <v>-0.05</v>
      </c>
      <c r="CY2079">
        <v>60.48</v>
      </c>
      <c r="CZ2079" t="s">
        <v>1482</v>
      </c>
      <c r="DA2079">
        <v>21.4</v>
      </c>
      <c r="DB2079">
        <v>5.12</v>
      </c>
      <c r="DC2079">
        <v>5.32</v>
      </c>
      <c r="DD2079">
        <v>0.84</v>
      </c>
      <c r="DE2079">
        <v>1177</v>
      </c>
      <c r="DF2079">
        <v>300691</v>
      </c>
      <c r="DG2079" t="s">
        <v>116</v>
      </c>
      <c r="DH2079" t="s">
        <v>116</v>
      </c>
      <c r="DI2079" t="s">
        <v>116</v>
      </c>
    </row>
    <row r="2080" spans="1:113" x14ac:dyDescent="0.4">
      <c r="A2080" t="str">
        <f>"300692"</f>
        <v>300692</v>
      </c>
      <c r="B2080" t="s">
        <v>10123</v>
      </c>
      <c r="C2080">
        <v>-0.49</v>
      </c>
      <c r="D2080">
        <v>12.23</v>
      </c>
      <c r="E2080">
        <v>-0.06</v>
      </c>
      <c r="F2080">
        <v>12.22</v>
      </c>
      <c r="G2080">
        <v>12.23</v>
      </c>
      <c r="H2080">
        <v>21133</v>
      </c>
      <c r="I2080">
        <v>257</v>
      </c>
      <c r="J2080">
        <v>-0.32</v>
      </c>
      <c r="K2080">
        <v>2.1800000000000002</v>
      </c>
      <c r="L2080">
        <v>12.39</v>
      </c>
      <c r="M2080">
        <v>12.45</v>
      </c>
      <c r="N2080">
        <v>12.23</v>
      </c>
      <c r="O2080">
        <v>12.29</v>
      </c>
      <c r="P2080">
        <v>24.22</v>
      </c>
      <c r="Q2080">
        <v>26098870</v>
      </c>
      <c r="R2080">
        <v>1.06</v>
      </c>
      <c r="S2080" t="s">
        <v>140</v>
      </c>
      <c r="T2080" t="s">
        <v>575</v>
      </c>
      <c r="U2080">
        <v>1.79</v>
      </c>
      <c r="V2080">
        <v>12.35</v>
      </c>
      <c r="W2080">
        <v>10484</v>
      </c>
      <c r="X2080">
        <v>10649</v>
      </c>
      <c r="Y2080">
        <v>0.98</v>
      </c>
      <c r="Z2080">
        <v>11</v>
      </c>
      <c r="AA2080">
        <v>3</v>
      </c>
      <c r="AB2080" t="s">
        <v>116</v>
      </c>
      <c r="AC2080">
        <v>106600</v>
      </c>
      <c r="AD2080">
        <v>0.01</v>
      </c>
      <c r="AE2080" t="s">
        <v>116</v>
      </c>
      <c r="AF2080" t="s">
        <v>116</v>
      </c>
      <c r="AG2080">
        <v>0.97</v>
      </c>
      <c r="AH2080" t="s">
        <v>6233</v>
      </c>
      <c r="AI2080" t="s">
        <v>1004</v>
      </c>
      <c r="AJ2080">
        <v>0.19</v>
      </c>
      <c r="AK2080">
        <v>1461</v>
      </c>
      <c r="AL2080">
        <v>14</v>
      </c>
      <c r="AM2080">
        <v>1.5E-3</v>
      </c>
      <c r="AN2080">
        <v>-1</v>
      </c>
      <c r="AO2080">
        <v>-0.49</v>
      </c>
      <c r="AP2080">
        <v>3.64</v>
      </c>
      <c r="AQ2080">
        <v>-3.01</v>
      </c>
      <c r="AR2080">
        <v>-6.71</v>
      </c>
      <c r="AS2080">
        <v>2.96</v>
      </c>
      <c r="AT2080" t="s">
        <v>10124</v>
      </c>
      <c r="AU2080">
        <v>24.58</v>
      </c>
      <c r="AV2080">
        <v>32.369999999999997</v>
      </c>
      <c r="AW2080">
        <v>0.94</v>
      </c>
      <c r="BA2080">
        <v>0.81</v>
      </c>
      <c r="BB2080">
        <v>1.3</v>
      </c>
      <c r="BC2080">
        <v>-0.49</v>
      </c>
      <c r="BD2080">
        <v>0.49</v>
      </c>
      <c r="BE2080">
        <v>-1.29</v>
      </c>
      <c r="BF2080">
        <v>-1.77</v>
      </c>
      <c r="BG2080">
        <v>0</v>
      </c>
      <c r="BH2080">
        <v>-0.97</v>
      </c>
      <c r="BI2080">
        <v>20191105</v>
      </c>
      <c r="BJ2080">
        <v>20170821</v>
      </c>
      <c r="BK2080">
        <v>1.6</v>
      </c>
      <c r="BL2080" t="s">
        <v>116</v>
      </c>
      <c r="BM2080" t="s">
        <v>116</v>
      </c>
      <c r="BN2080">
        <v>23.63</v>
      </c>
      <c r="BO2080">
        <v>8.41</v>
      </c>
      <c r="BP2080">
        <v>0.92</v>
      </c>
      <c r="BQ2080">
        <v>60.52</v>
      </c>
      <c r="BR2080">
        <v>5.61</v>
      </c>
      <c r="BS2080">
        <v>0.97</v>
      </c>
      <c r="BT2080">
        <v>0.36</v>
      </c>
      <c r="BU2080">
        <v>7.47</v>
      </c>
      <c r="BV2080">
        <v>0.31</v>
      </c>
      <c r="BW2080">
        <v>1.98</v>
      </c>
      <c r="BX2080">
        <v>3.62</v>
      </c>
      <c r="BY2080">
        <v>4.3</v>
      </c>
      <c r="BZ2080">
        <v>3.02</v>
      </c>
      <c r="CA2080">
        <v>0.72</v>
      </c>
      <c r="CB2080">
        <v>0</v>
      </c>
      <c r="CC2080">
        <v>0.72</v>
      </c>
      <c r="CD2080">
        <v>0.63</v>
      </c>
      <c r="CE2080">
        <v>0.61</v>
      </c>
      <c r="CF2080">
        <v>0.59</v>
      </c>
      <c r="CG2080">
        <v>2.76</v>
      </c>
      <c r="CH2080">
        <v>-1.29</v>
      </c>
      <c r="CI2080">
        <v>-0.03</v>
      </c>
      <c r="CJ2080">
        <v>16863</v>
      </c>
      <c r="CK2080">
        <v>4238</v>
      </c>
      <c r="CL2080" t="s">
        <v>6831</v>
      </c>
      <c r="CM2080">
        <v>46.23</v>
      </c>
      <c r="CN2080">
        <v>69.83</v>
      </c>
      <c r="CO2080">
        <v>2.4300000000000002</v>
      </c>
      <c r="CP2080">
        <v>-15.17</v>
      </c>
      <c r="CQ2080">
        <v>4.55</v>
      </c>
      <c r="CR2080">
        <v>0.33</v>
      </c>
      <c r="CS2080" t="s">
        <v>10125</v>
      </c>
      <c r="CT2080">
        <v>5.04</v>
      </c>
      <c r="CU2080">
        <v>5.04</v>
      </c>
      <c r="CV2080">
        <v>2.2599999999999998</v>
      </c>
      <c r="CW2080">
        <v>1.73</v>
      </c>
      <c r="CX2080">
        <v>-0.81</v>
      </c>
      <c r="CY2080">
        <v>35.57</v>
      </c>
      <c r="CZ2080" t="s">
        <v>7828</v>
      </c>
      <c r="DA2080">
        <v>29.8</v>
      </c>
      <c r="DB2080">
        <v>16.68</v>
      </c>
      <c r="DC2080">
        <v>14.11</v>
      </c>
      <c r="DD2080">
        <v>0.13</v>
      </c>
      <c r="DE2080">
        <v>432</v>
      </c>
      <c r="DF2080">
        <v>300692</v>
      </c>
      <c r="DG2080" t="s">
        <v>116</v>
      </c>
      <c r="DH2080" t="s">
        <v>116</v>
      </c>
      <c r="DI2080" t="s">
        <v>116</v>
      </c>
    </row>
    <row r="2081" spans="1:113" x14ac:dyDescent="0.4">
      <c r="A2081" t="str">
        <f>"300693"</f>
        <v>300693</v>
      </c>
      <c r="B2081" t="s">
        <v>10126</v>
      </c>
      <c r="C2081">
        <v>-1.22</v>
      </c>
      <c r="D2081">
        <v>13</v>
      </c>
      <c r="E2081">
        <v>-0.16</v>
      </c>
      <c r="F2081">
        <v>12.99</v>
      </c>
      <c r="G2081">
        <v>13</v>
      </c>
      <c r="H2081">
        <v>25503</v>
      </c>
      <c r="I2081">
        <v>313</v>
      </c>
      <c r="J2081">
        <v>0.15</v>
      </c>
      <c r="K2081">
        <v>3.62</v>
      </c>
      <c r="L2081">
        <v>13.21</v>
      </c>
      <c r="M2081">
        <v>13.44</v>
      </c>
      <c r="N2081">
        <v>12.94</v>
      </c>
      <c r="O2081">
        <v>13.16</v>
      </c>
      <c r="P2081">
        <v>32.56</v>
      </c>
      <c r="Q2081">
        <v>33661636</v>
      </c>
      <c r="R2081">
        <v>0.7</v>
      </c>
      <c r="S2081" t="s">
        <v>397</v>
      </c>
      <c r="T2081" t="s">
        <v>115</v>
      </c>
      <c r="U2081">
        <v>3.8</v>
      </c>
      <c r="V2081">
        <v>13.2</v>
      </c>
      <c r="W2081">
        <v>13961</v>
      </c>
      <c r="X2081">
        <v>11542</v>
      </c>
      <c r="Y2081">
        <v>1.21</v>
      </c>
      <c r="Z2081">
        <v>92</v>
      </c>
      <c r="AA2081">
        <v>81</v>
      </c>
      <c r="AB2081" t="s">
        <v>116</v>
      </c>
      <c r="AC2081">
        <v>0</v>
      </c>
      <c r="AD2081">
        <v>0</v>
      </c>
      <c r="AE2081" t="s">
        <v>116</v>
      </c>
      <c r="AF2081" t="s">
        <v>116</v>
      </c>
      <c r="AG2081">
        <v>0.7</v>
      </c>
      <c r="AH2081" t="s">
        <v>10127</v>
      </c>
      <c r="AI2081" t="s">
        <v>10128</v>
      </c>
      <c r="AJ2081">
        <v>-0.54</v>
      </c>
      <c r="AK2081">
        <v>1481</v>
      </c>
      <c r="AL2081">
        <v>17</v>
      </c>
      <c r="AM2081">
        <v>2.3999999999999998E-3</v>
      </c>
      <c r="AN2081">
        <v>-1</v>
      </c>
      <c r="AO2081">
        <v>-2.63</v>
      </c>
      <c r="AP2081">
        <v>10.17</v>
      </c>
      <c r="AQ2081">
        <v>9.8000000000000007</v>
      </c>
      <c r="AR2081">
        <v>-11.98</v>
      </c>
      <c r="AS2081">
        <v>4.01</v>
      </c>
      <c r="AT2081" t="s">
        <v>10129</v>
      </c>
      <c r="AU2081">
        <v>39.61</v>
      </c>
      <c r="AV2081">
        <v>36.700000000000003</v>
      </c>
      <c r="AW2081">
        <v>1.1599999999999999</v>
      </c>
      <c r="BA2081">
        <v>0.38</v>
      </c>
      <c r="BB2081">
        <v>2.13</v>
      </c>
      <c r="BC2081">
        <v>-1.67</v>
      </c>
      <c r="BD2081">
        <v>0.3</v>
      </c>
      <c r="BE2081">
        <v>-1.59</v>
      </c>
      <c r="BF2081">
        <v>-3.27</v>
      </c>
      <c r="BG2081">
        <v>0.46</v>
      </c>
      <c r="BH2081">
        <v>-1.51</v>
      </c>
      <c r="BI2081">
        <v>20191203</v>
      </c>
      <c r="BJ2081">
        <v>20170822</v>
      </c>
      <c r="BK2081">
        <v>1.37</v>
      </c>
      <c r="BL2081" t="s">
        <v>116</v>
      </c>
      <c r="BM2081" t="s">
        <v>116</v>
      </c>
      <c r="BN2081">
        <v>10.029999999999999</v>
      </c>
      <c r="BO2081">
        <v>6.4</v>
      </c>
      <c r="BP2081">
        <v>0</v>
      </c>
      <c r="BQ2081">
        <v>36.159999999999997</v>
      </c>
      <c r="BR2081">
        <v>8.6199999999999992</v>
      </c>
      <c r="BS2081">
        <v>0.16</v>
      </c>
      <c r="BT2081">
        <v>0.93</v>
      </c>
      <c r="BU2081">
        <v>3.62</v>
      </c>
      <c r="BV2081">
        <v>1.33</v>
      </c>
      <c r="BW2081">
        <v>2.79</v>
      </c>
      <c r="BX2081">
        <v>3.13</v>
      </c>
      <c r="BY2081">
        <v>4.1500000000000004</v>
      </c>
      <c r="BZ2081">
        <v>2.17</v>
      </c>
      <c r="CA2081">
        <v>0.48</v>
      </c>
      <c r="CB2081">
        <v>0.06</v>
      </c>
      <c r="CC2081">
        <v>0.48</v>
      </c>
      <c r="CD2081">
        <v>0.41</v>
      </c>
      <c r="CE2081">
        <v>0.41</v>
      </c>
      <c r="CF2081">
        <v>0.36</v>
      </c>
      <c r="CG2081">
        <v>1.7</v>
      </c>
      <c r="CH2081">
        <v>0.52</v>
      </c>
      <c r="CI2081">
        <v>0.06</v>
      </c>
      <c r="CJ2081">
        <v>12848</v>
      </c>
      <c r="CK2081">
        <v>4948</v>
      </c>
      <c r="CL2081" t="s">
        <v>10130</v>
      </c>
      <c r="CM2081">
        <v>-8.01</v>
      </c>
      <c r="CN2081">
        <v>5.82</v>
      </c>
      <c r="CO2081">
        <v>2.78</v>
      </c>
      <c r="CP2081">
        <v>34.270000000000003</v>
      </c>
      <c r="CQ2081">
        <v>4.28</v>
      </c>
      <c r="CR2081">
        <v>0.77</v>
      </c>
      <c r="CS2081" t="s">
        <v>6529</v>
      </c>
      <c r="CT2081">
        <v>4.68</v>
      </c>
      <c r="CU2081">
        <v>0</v>
      </c>
      <c r="CV2081">
        <v>2.2799999999999998</v>
      </c>
      <c r="CW2081">
        <v>1.24</v>
      </c>
      <c r="CX2081">
        <v>0.38</v>
      </c>
      <c r="CY2081">
        <v>63.84</v>
      </c>
      <c r="CZ2081" t="s">
        <v>5739</v>
      </c>
      <c r="DA2081">
        <v>47.82</v>
      </c>
      <c r="DB2081">
        <v>11.51</v>
      </c>
      <c r="DC2081">
        <v>9.8699999999999992</v>
      </c>
      <c r="DD2081">
        <v>0.42</v>
      </c>
      <c r="DE2081">
        <v>683</v>
      </c>
      <c r="DF2081">
        <v>300693</v>
      </c>
      <c r="DG2081" t="s">
        <v>116</v>
      </c>
      <c r="DH2081" t="s">
        <v>116</v>
      </c>
      <c r="DI2081" t="s">
        <v>116</v>
      </c>
    </row>
    <row r="2082" spans="1:113" x14ac:dyDescent="0.4">
      <c r="A2082" t="str">
        <f>"300694"</f>
        <v>300694</v>
      </c>
      <c r="B2082" t="s">
        <v>10131</v>
      </c>
      <c r="C2082">
        <v>-3.13</v>
      </c>
      <c r="D2082">
        <v>14.87</v>
      </c>
      <c r="E2082">
        <v>-0.48</v>
      </c>
      <c r="F2082">
        <v>14.86</v>
      </c>
      <c r="G2082">
        <v>14.87</v>
      </c>
      <c r="H2082">
        <v>61477</v>
      </c>
      <c r="I2082">
        <v>1028</v>
      </c>
      <c r="J2082">
        <v>-0.06</v>
      </c>
      <c r="K2082">
        <v>4.58</v>
      </c>
      <c r="L2082">
        <v>15.26</v>
      </c>
      <c r="M2082">
        <v>15.32</v>
      </c>
      <c r="N2082">
        <v>14.85</v>
      </c>
      <c r="O2082">
        <v>15.35</v>
      </c>
      <c r="P2082">
        <v>26.53</v>
      </c>
      <c r="Q2082">
        <v>92676376</v>
      </c>
      <c r="R2082">
        <v>0.66</v>
      </c>
      <c r="S2082" t="s">
        <v>293</v>
      </c>
      <c r="T2082" t="s">
        <v>323</v>
      </c>
      <c r="U2082">
        <v>3.06</v>
      </c>
      <c r="V2082">
        <v>15.07</v>
      </c>
      <c r="W2082">
        <v>36712</v>
      </c>
      <c r="X2082">
        <v>24765</v>
      </c>
      <c r="Y2082">
        <v>1.48</v>
      </c>
      <c r="Z2082">
        <v>344</v>
      </c>
      <c r="AA2082">
        <v>561</v>
      </c>
      <c r="AB2082" t="s">
        <v>116</v>
      </c>
      <c r="AC2082">
        <v>360100</v>
      </c>
      <c r="AD2082">
        <v>0.02</v>
      </c>
      <c r="AE2082" t="s">
        <v>116</v>
      </c>
      <c r="AF2082" t="s">
        <v>116</v>
      </c>
      <c r="AG2082">
        <v>1.34</v>
      </c>
      <c r="AH2082" t="s">
        <v>6854</v>
      </c>
      <c r="AI2082" t="s">
        <v>5713</v>
      </c>
      <c r="AJ2082">
        <v>-2.4500000000000002</v>
      </c>
      <c r="AK2082">
        <v>2115</v>
      </c>
      <c r="AL2082">
        <v>29</v>
      </c>
      <c r="AM2082">
        <v>2.2000000000000001E-3</v>
      </c>
      <c r="AN2082">
        <v>-1</v>
      </c>
      <c r="AO2082">
        <v>-3.75</v>
      </c>
      <c r="AP2082">
        <v>8.86</v>
      </c>
      <c r="AQ2082">
        <v>-11.7</v>
      </c>
      <c r="AR2082">
        <v>-19.399999999999999</v>
      </c>
      <c r="AS2082">
        <v>6.03</v>
      </c>
      <c r="AT2082" t="s">
        <v>10132</v>
      </c>
      <c r="AU2082">
        <v>35.869999999999997</v>
      </c>
      <c r="AV2082">
        <v>39.979999999999997</v>
      </c>
      <c r="AW2082">
        <v>0.87</v>
      </c>
      <c r="BA2082">
        <v>-0.59</v>
      </c>
      <c r="BB2082">
        <v>-0.2</v>
      </c>
      <c r="BC2082">
        <v>-3.26</v>
      </c>
      <c r="BD2082">
        <v>-1.79</v>
      </c>
      <c r="BE2082">
        <v>-2.56</v>
      </c>
      <c r="BF2082">
        <v>-2.94</v>
      </c>
      <c r="BG2082">
        <v>0.13</v>
      </c>
      <c r="BH2082">
        <v>-1.34</v>
      </c>
      <c r="BI2082">
        <v>20191025</v>
      </c>
      <c r="BJ2082">
        <v>20181015</v>
      </c>
      <c r="BK2082">
        <v>2.15</v>
      </c>
      <c r="BL2082" t="s">
        <v>116</v>
      </c>
      <c r="BM2082" t="s">
        <v>116</v>
      </c>
      <c r="BN2082">
        <v>20.260000000000002</v>
      </c>
      <c r="BO2082">
        <v>12.04</v>
      </c>
      <c r="BP2082">
        <v>0</v>
      </c>
      <c r="BQ2082">
        <v>40.549999999999997</v>
      </c>
      <c r="BR2082">
        <v>12.02</v>
      </c>
      <c r="BS2082">
        <v>5.9</v>
      </c>
      <c r="BT2082">
        <v>0.47</v>
      </c>
      <c r="BU2082">
        <v>7.88</v>
      </c>
      <c r="BV2082">
        <v>4.03</v>
      </c>
      <c r="BW2082">
        <v>3.57</v>
      </c>
      <c r="BX2082">
        <v>6.62</v>
      </c>
      <c r="BY2082">
        <v>8.3800000000000008</v>
      </c>
      <c r="BZ2082">
        <v>6.18</v>
      </c>
      <c r="CA2082">
        <v>1.1100000000000001</v>
      </c>
      <c r="CB2082">
        <v>0.06</v>
      </c>
      <c r="CC2082">
        <v>1.1100000000000001</v>
      </c>
      <c r="CD2082">
        <v>0.91</v>
      </c>
      <c r="CE2082">
        <v>0.91</v>
      </c>
      <c r="CF2082">
        <v>0.8</v>
      </c>
      <c r="CG2082">
        <v>2.93</v>
      </c>
      <c r="CH2082">
        <v>1.1000000000000001</v>
      </c>
      <c r="CI2082">
        <v>0.42</v>
      </c>
      <c r="CJ2082">
        <v>21070</v>
      </c>
      <c r="CK2082">
        <v>4837</v>
      </c>
      <c r="CL2082" t="s">
        <v>5747</v>
      </c>
      <c r="CM2082">
        <v>11.29</v>
      </c>
      <c r="CN2082">
        <v>7.32</v>
      </c>
      <c r="CO2082">
        <v>2.66</v>
      </c>
      <c r="CP2082">
        <v>28.98</v>
      </c>
      <c r="CQ2082">
        <v>3.82</v>
      </c>
      <c r="CR2082">
        <v>0.4</v>
      </c>
      <c r="CS2082" t="s">
        <v>2820</v>
      </c>
      <c r="CT2082">
        <v>5.59</v>
      </c>
      <c r="CU2082">
        <v>0</v>
      </c>
      <c r="CV2082">
        <v>3.07</v>
      </c>
      <c r="CW2082">
        <v>1.36</v>
      </c>
      <c r="CX2082">
        <v>0.51</v>
      </c>
      <c r="CY2082">
        <v>59.45</v>
      </c>
      <c r="CZ2082" t="s">
        <v>1266</v>
      </c>
      <c r="DA2082">
        <v>26.24</v>
      </c>
      <c r="DB2082">
        <v>13.26</v>
      </c>
      <c r="DC2082">
        <v>10.8</v>
      </c>
      <c r="DD2082">
        <v>0.36</v>
      </c>
      <c r="DE2082">
        <v>2378</v>
      </c>
      <c r="DF2082">
        <v>300694</v>
      </c>
      <c r="DG2082" t="s">
        <v>116</v>
      </c>
      <c r="DH2082" t="s">
        <v>116</v>
      </c>
      <c r="DI2082" t="s">
        <v>116</v>
      </c>
    </row>
    <row r="2083" spans="1:113" x14ac:dyDescent="0.4">
      <c r="A2083" t="str">
        <f>"300695"</f>
        <v>300695</v>
      </c>
      <c r="B2083" t="s">
        <v>10133</v>
      </c>
      <c r="C2083">
        <v>0.1</v>
      </c>
      <c r="D2083">
        <v>58.99</v>
      </c>
      <c r="E2083">
        <v>0.06</v>
      </c>
      <c r="F2083">
        <v>58.99</v>
      </c>
      <c r="G2083">
        <v>59</v>
      </c>
      <c r="H2083">
        <v>4270</v>
      </c>
      <c r="I2083">
        <v>59</v>
      </c>
      <c r="J2083">
        <v>0.02</v>
      </c>
      <c r="K2083">
        <v>2.56</v>
      </c>
      <c r="L2083">
        <v>58.93</v>
      </c>
      <c r="M2083">
        <v>59.38</v>
      </c>
      <c r="N2083">
        <v>58.53</v>
      </c>
      <c r="O2083">
        <v>58.93</v>
      </c>
      <c r="P2083">
        <v>21.22</v>
      </c>
      <c r="Q2083">
        <v>25199840</v>
      </c>
      <c r="R2083">
        <v>1.37</v>
      </c>
      <c r="S2083" t="s">
        <v>293</v>
      </c>
      <c r="T2083" t="s">
        <v>590</v>
      </c>
      <c r="U2083">
        <v>1.44</v>
      </c>
      <c r="V2083">
        <v>59.02</v>
      </c>
      <c r="W2083">
        <v>2167</v>
      </c>
      <c r="X2083">
        <v>2103</v>
      </c>
      <c r="Y2083">
        <v>1.03</v>
      </c>
      <c r="Z2083">
        <v>21</v>
      </c>
      <c r="AA2083">
        <v>11</v>
      </c>
      <c r="AB2083" t="s">
        <v>116</v>
      </c>
      <c r="AC2083">
        <v>11800</v>
      </c>
      <c r="AD2083">
        <v>0</v>
      </c>
      <c r="AE2083" t="s">
        <v>116</v>
      </c>
      <c r="AF2083" t="s">
        <v>116</v>
      </c>
      <c r="AG2083">
        <v>0.17</v>
      </c>
      <c r="AH2083" t="s">
        <v>10134</v>
      </c>
      <c r="AI2083" t="s">
        <v>3801</v>
      </c>
      <c r="AJ2083">
        <v>0.78</v>
      </c>
      <c r="AK2083">
        <v>750</v>
      </c>
      <c r="AL2083">
        <v>6</v>
      </c>
      <c r="AM2083">
        <v>3.3999999999999998E-3</v>
      </c>
      <c r="AN2083">
        <v>4</v>
      </c>
      <c r="AO2083">
        <v>0.92</v>
      </c>
      <c r="AP2083">
        <v>6.23</v>
      </c>
      <c r="AQ2083">
        <v>12.79</v>
      </c>
      <c r="AR2083">
        <v>6.48</v>
      </c>
      <c r="AS2083">
        <v>2.56</v>
      </c>
      <c r="AT2083" t="s">
        <v>10134</v>
      </c>
      <c r="AU2083">
        <v>19.68</v>
      </c>
      <c r="AV2083">
        <v>20.07</v>
      </c>
      <c r="AW2083">
        <v>0.97</v>
      </c>
      <c r="BA2083">
        <v>0</v>
      </c>
      <c r="BB2083">
        <v>0.76</v>
      </c>
      <c r="BC2083">
        <v>-0.68</v>
      </c>
      <c r="BD2083">
        <v>0.15</v>
      </c>
      <c r="BE2083">
        <v>0.1</v>
      </c>
      <c r="BF2083">
        <v>-0.66</v>
      </c>
      <c r="BG2083">
        <v>0.79</v>
      </c>
      <c r="BH2083">
        <v>-0.04</v>
      </c>
      <c r="BI2083">
        <v>20191030</v>
      </c>
      <c r="BJ2083">
        <v>20170908</v>
      </c>
      <c r="BK2083">
        <v>0.67</v>
      </c>
      <c r="BL2083" t="s">
        <v>116</v>
      </c>
      <c r="BM2083" t="s">
        <v>116</v>
      </c>
      <c r="BN2083">
        <v>21.1</v>
      </c>
      <c r="BO2083">
        <v>17.989999999999998</v>
      </c>
      <c r="BP2083">
        <v>0.01</v>
      </c>
      <c r="BQ2083">
        <v>14.71</v>
      </c>
      <c r="BR2083">
        <v>17.43</v>
      </c>
      <c r="BS2083">
        <v>1.83</v>
      </c>
      <c r="BT2083">
        <v>0.57999999999999996</v>
      </c>
      <c r="BU2083">
        <v>2.9</v>
      </c>
      <c r="BV2083">
        <v>0.65</v>
      </c>
      <c r="BW2083">
        <v>2.52</v>
      </c>
      <c r="BX2083">
        <v>10</v>
      </c>
      <c r="BY2083">
        <v>3.81</v>
      </c>
      <c r="BZ2083">
        <v>2.17</v>
      </c>
      <c r="CA2083">
        <v>1.62</v>
      </c>
      <c r="CB2083">
        <v>0.01</v>
      </c>
      <c r="CC2083">
        <v>1.62</v>
      </c>
      <c r="CD2083">
        <v>1.39</v>
      </c>
      <c r="CE2083">
        <v>1.39</v>
      </c>
      <c r="CF2083">
        <v>1.31</v>
      </c>
      <c r="CG2083">
        <v>6.26</v>
      </c>
      <c r="CH2083">
        <v>0.77</v>
      </c>
      <c r="CI2083">
        <v>0.64</v>
      </c>
      <c r="CJ2083">
        <v>12230</v>
      </c>
      <c r="CK2083">
        <v>1364</v>
      </c>
      <c r="CL2083" t="s">
        <v>4543</v>
      </c>
      <c r="CM2083">
        <v>2.9</v>
      </c>
      <c r="CN2083">
        <v>3.54</v>
      </c>
      <c r="CO2083">
        <v>2.19</v>
      </c>
      <c r="CP2083">
        <v>50.97</v>
      </c>
      <c r="CQ2083">
        <v>10.32</v>
      </c>
      <c r="CR2083">
        <v>1.7</v>
      </c>
      <c r="CS2083" t="s">
        <v>10135</v>
      </c>
      <c r="CT2083">
        <v>26.98</v>
      </c>
      <c r="CU2083">
        <v>0</v>
      </c>
      <c r="CV2083">
        <v>14.99</v>
      </c>
      <c r="CW2083">
        <v>9.4</v>
      </c>
      <c r="CX2083">
        <v>1.1599999999999999</v>
      </c>
      <c r="CY2083">
        <v>85.25</v>
      </c>
      <c r="CZ2083" t="s">
        <v>284</v>
      </c>
      <c r="DA2083">
        <v>43.03</v>
      </c>
      <c r="DB2083">
        <v>42.45</v>
      </c>
      <c r="DC2083">
        <v>36.479999999999997</v>
      </c>
      <c r="DD2083">
        <v>0.22</v>
      </c>
      <c r="DE2083">
        <v>642</v>
      </c>
      <c r="DF2083">
        <v>300695</v>
      </c>
      <c r="DG2083" t="s">
        <v>116</v>
      </c>
      <c r="DH2083" t="s">
        <v>116</v>
      </c>
      <c r="DI2083" t="s">
        <v>116</v>
      </c>
    </row>
    <row r="2084" spans="1:113" x14ac:dyDescent="0.4">
      <c r="A2084" t="str">
        <f>"300696"</f>
        <v>300696</v>
      </c>
      <c r="B2084" t="s">
        <v>10136</v>
      </c>
      <c r="C2084">
        <v>0.31</v>
      </c>
      <c r="D2084">
        <v>22.9</v>
      </c>
      <c r="E2084">
        <v>7.0000000000000007E-2</v>
      </c>
      <c r="F2084">
        <v>22.89</v>
      </c>
      <c r="G2084">
        <v>22.9</v>
      </c>
      <c r="H2084">
        <v>16918</v>
      </c>
      <c r="I2084">
        <v>591</v>
      </c>
      <c r="J2084">
        <v>0.22</v>
      </c>
      <c r="K2084">
        <v>3.44</v>
      </c>
      <c r="L2084">
        <v>22.83</v>
      </c>
      <c r="M2084">
        <v>23.1</v>
      </c>
      <c r="N2084">
        <v>22.77</v>
      </c>
      <c r="O2084">
        <v>22.83</v>
      </c>
      <c r="P2084">
        <v>46.19</v>
      </c>
      <c r="Q2084">
        <v>38775396</v>
      </c>
      <c r="R2084">
        <v>1.57</v>
      </c>
      <c r="S2084" t="s">
        <v>1789</v>
      </c>
      <c r="T2084" t="s">
        <v>582</v>
      </c>
      <c r="U2084">
        <v>1.45</v>
      </c>
      <c r="V2084">
        <v>22.92</v>
      </c>
      <c r="W2084">
        <v>9760</v>
      </c>
      <c r="X2084">
        <v>7158</v>
      </c>
      <c r="Y2084">
        <v>1.36</v>
      </c>
      <c r="Z2084">
        <v>15</v>
      </c>
      <c r="AA2084">
        <v>52</v>
      </c>
      <c r="AB2084" t="s">
        <v>116</v>
      </c>
      <c r="AC2084">
        <v>27400</v>
      </c>
      <c r="AD2084">
        <v>0</v>
      </c>
      <c r="AE2084" t="s">
        <v>116</v>
      </c>
      <c r="AF2084" t="s">
        <v>116</v>
      </c>
      <c r="AG2084">
        <v>0.49</v>
      </c>
      <c r="AH2084" t="s">
        <v>251</v>
      </c>
      <c r="AI2084" t="s">
        <v>8904</v>
      </c>
      <c r="AJ2084">
        <v>0.99</v>
      </c>
      <c r="AK2084">
        <v>1266</v>
      </c>
      <c r="AL2084">
        <v>13</v>
      </c>
      <c r="AM2084">
        <v>2.7000000000000001E-3</v>
      </c>
      <c r="AN2084">
        <v>1</v>
      </c>
      <c r="AO2084">
        <v>-1.84</v>
      </c>
      <c r="AP2084">
        <v>0.17</v>
      </c>
      <c r="AQ2084">
        <v>-16.55</v>
      </c>
      <c r="AR2084">
        <v>3.51</v>
      </c>
      <c r="AS2084">
        <v>3.44</v>
      </c>
      <c r="AT2084" t="s">
        <v>251</v>
      </c>
      <c r="AU2084">
        <v>41.47</v>
      </c>
      <c r="AV2084">
        <v>39.86</v>
      </c>
      <c r="AW2084">
        <v>1.1299999999999999</v>
      </c>
      <c r="BA2084">
        <v>0</v>
      </c>
      <c r="BB2084">
        <v>1.18</v>
      </c>
      <c r="BC2084">
        <v>-0.26</v>
      </c>
      <c r="BD2084">
        <v>0.39</v>
      </c>
      <c r="BE2084">
        <v>0.31</v>
      </c>
      <c r="BF2084">
        <v>-0.87</v>
      </c>
      <c r="BG2084">
        <v>0.56999999999999995</v>
      </c>
      <c r="BH2084">
        <v>-0.08</v>
      </c>
      <c r="BI2084">
        <v>20191028</v>
      </c>
      <c r="BJ2084">
        <v>20170822</v>
      </c>
      <c r="BK2084">
        <v>1.19</v>
      </c>
      <c r="BL2084" t="s">
        <v>116</v>
      </c>
      <c r="BM2084" t="s">
        <v>116</v>
      </c>
      <c r="BN2084">
        <v>8.7799999999999994</v>
      </c>
      <c r="BO2084">
        <v>8.06</v>
      </c>
      <c r="BP2084">
        <v>0</v>
      </c>
      <c r="BQ2084">
        <v>8.2100000000000009</v>
      </c>
      <c r="BR2084">
        <v>5.81</v>
      </c>
      <c r="BS2084">
        <v>2.0299999999999998</v>
      </c>
      <c r="BT2084">
        <v>0.18</v>
      </c>
      <c r="BU2084">
        <v>0.24</v>
      </c>
      <c r="BV2084">
        <v>1.1399999999999999</v>
      </c>
      <c r="BW2084">
        <v>0.9</v>
      </c>
      <c r="BX2084">
        <v>4.6500000000000004</v>
      </c>
      <c r="BY2084">
        <v>0.97</v>
      </c>
      <c r="BZ2084">
        <v>0.25</v>
      </c>
      <c r="CA2084">
        <v>0.52</v>
      </c>
      <c r="CB2084">
        <v>0.06</v>
      </c>
      <c r="CC2084">
        <v>0.52</v>
      </c>
      <c r="CD2084">
        <v>0.44</v>
      </c>
      <c r="CE2084">
        <v>0.44</v>
      </c>
      <c r="CF2084">
        <v>0.39</v>
      </c>
      <c r="CG2084">
        <v>1.9</v>
      </c>
      <c r="CH2084">
        <v>0.46</v>
      </c>
      <c r="CI2084">
        <v>0.05</v>
      </c>
      <c r="CJ2084">
        <v>10996</v>
      </c>
      <c r="CK2084">
        <v>4473</v>
      </c>
      <c r="CL2084" t="s">
        <v>10137</v>
      </c>
      <c r="CM2084">
        <v>-5.67</v>
      </c>
      <c r="CN2084">
        <v>8.6199999999999992</v>
      </c>
      <c r="CO2084">
        <v>3.39</v>
      </c>
      <c r="CP2084">
        <v>59.21</v>
      </c>
      <c r="CQ2084">
        <v>28.21</v>
      </c>
      <c r="CR2084">
        <v>0.77</v>
      </c>
      <c r="CS2084" t="s">
        <v>8703</v>
      </c>
      <c r="CT2084">
        <v>6.76</v>
      </c>
      <c r="CU2084">
        <v>0</v>
      </c>
      <c r="CV2084">
        <v>3.91</v>
      </c>
      <c r="CW2084">
        <v>1.59</v>
      </c>
      <c r="CX2084">
        <v>0.39</v>
      </c>
      <c r="CY2084">
        <v>91.79</v>
      </c>
      <c r="CZ2084" t="s">
        <v>8488</v>
      </c>
      <c r="DA2084">
        <v>74.52</v>
      </c>
      <c r="DB2084">
        <v>54.22</v>
      </c>
      <c r="DC2084">
        <v>45.8</v>
      </c>
      <c r="DD2084">
        <v>0.08</v>
      </c>
      <c r="DE2084">
        <v>393</v>
      </c>
      <c r="DF2084">
        <v>300696</v>
      </c>
      <c r="DG2084" t="s">
        <v>116</v>
      </c>
      <c r="DH2084" t="s">
        <v>116</v>
      </c>
      <c r="DI2084" t="s">
        <v>116</v>
      </c>
    </row>
    <row r="2085" spans="1:113" x14ac:dyDescent="0.4">
      <c r="A2085" t="str">
        <f>"300697"</f>
        <v>300697</v>
      </c>
      <c r="B2085" t="s">
        <v>10138</v>
      </c>
      <c r="C2085">
        <v>-1.0900000000000001</v>
      </c>
      <c r="D2085">
        <v>14.56</v>
      </c>
      <c r="E2085">
        <v>-0.16</v>
      </c>
      <c r="F2085">
        <v>14.55</v>
      </c>
      <c r="G2085">
        <v>14.56</v>
      </c>
      <c r="H2085">
        <v>43732</v>
      </c>
      <c r="I2085">
        <v>389</v>
      </c>
      <c r="J2085">
        <v>-0.13</v>
      </c>
      <c r="K2085">
        <v>8.41</v>
      </c>
      <c r="L2085">
        <v>14.71</v>
      </c>
      <c r="M2085">
        <v>15.1</v>
      </c>
      <c r="N2085">
        <v>14.54</v>
      </c>
      <c r="O2085">
        <v>14.72</v>
      </c>
      <c r="P2085">
        <v>20</v>
      </c>
      <c r="Q2085">
        <v>64577440</v>
      </c>
      <c r="R2085">
        <v>1.8</v>
      </c>
      <c r="S2085" t="s">
        <v>1517</v>
      </c>
      <c r="T2085" t="s">
        <v>323</v>
      </c>
      <c r="U2085">
        <v>3.8</v>
      </c>
      <c r="V2085">
        <v>14.77</v>
      </c>
      <c r="W2085">
        <v>24719</v>
      </c>
      <c r="X2085">
        <v>19013</v>
      </c>
      <c r="Y2085">
        <v>1.3</v>
      </c>
      <c r="Z2085">
        <v>199</v>
      </c>
      <c r="AA2085">
        <v>63</v>
      </c>
      <c r="AB2085" t="s">
        <v>116</v>
      </c>
      <c r="AC2085">
        <v>407500</v>
      </c>
      <c r="AD2085">
        <v>0.05</v>
      </c>
      <c r="AE2085" t="s">
        <v>116</v>
      </c>
      <c r="AF2085" t="s">
        <v>116</v>
      </c>
      <c r="AG2085">
        <v>0.52</v>
      </c>
      <c r="AH2085" t="s">
        <v>2966</v>
      </c>
      <c r="AI2085" t="s">
        <v>1969</v>
      </c>
      <c r="AJ2085">
        <v>-0.41</v>
      </c>
      <c r="AK2085">
        <v>1991</v>
      </c>
      <c r="AL2085">
        <v>22</v>
      </c>
      <c r="AM2085">
        <v>4.1999999999999997E-3</v>
      </c>
      <c r="AN2085">
        <v>-1</v>
      </c>
      <c r="AO2085">
        <v>1.04</v>
      </c>
      <c r="AP2085">
        <v>8.66</v>
      </c>
      <c r="AQ2085">
        <v>-4.46</v>
      </c>
      <c r="AR2085">
        <v>35.06</v>
      </c>
      <c r="AS2085">
        <v>8.41</v>
      </c>
      <c r="AT2085" t="s">
        <v>2966</v>
      </c>
      <c r="AU2085">
        <v>23.83</v>
      </c>
      <c r="AV2085">
        <v>45.65</v>
      </c>
      <c r="AW2085">
        <v>1.24</v>
      </c>
      <c r="BA2085">
        <v>-7.0000000000000007E-2</v>
      </c>
      <c r="BB2085">
        <v>2.58</v>
      </c>
      <c r="BC2085">
        <v>-1.22</v>
      </c>
      <c r="BD2085">
        <v>0.32</v>
      </c>
      <c r="BE2085">
        <v>-1.02</v>
      </c>
      <c r="BF2085">
        <v>-3.58</v>
      </c>
      <c r="BG2085">
        <v>0.14000000000000001</v>
      </c>
      <c r="BH2085">
        <v>-1.4</v>
      </c>
      <c r="BI2085">
        <v>20191026</v>
      </c>
      <c r="BJ2085">
        <v>20170907</v>
      </c>
      <c r="BK2085">
        <v>2.08</v>
      </c>
      <c r="BL2085" t="s">
        <v>116</v>
      </c>
      <c r="BM2085" t="s">
        <v>116</v>
      </c>
      <c r="BN2085">
        <v>12.45</v>
      </c>
      <c r="BO2085">
        <v>8.2200000000000006</v>
      </c>
      <c r="BP2085">
        <v>0.02</v>
      </c>
      <c r="BQ2085">
        <v>33.81</v>
      </c>
      <c r="BR2085">
        <v>10.25</v>
      </c>
      <c r="BS2085">
        <v>1.48</v>
      </c>
      <c r="BT2085">
        <v>0.24</v>
      </c>
      <c r="BU2085">
        <v>4.21</v>
      </c>
      <c r="BV2085">
        <v>2.2200000000000002</v>
      </c>
      <c r="BW2085">
        <v>3.99</v>
      </c>
      <c r="BX2085">
        <v>3.17</v>
      </c>
      <c r="BY2085">
        <v>14.83</v>
      </c>
      <c r="BZ2085">
        <v>12.59</v>
      </c>
      <c r="CA2085">
        <v>1.4</v>
      </c>
      <c r="CB2085">
        <v>0.04</v>
      </c>
      <c r="CC2085">
        <v>1.4</v>
      </c>
      <c r="CD2085">
        <v>1.1399999999999999</v>
      </c>
      <c r="CE2085">
        <v>1.1399999999999999</v>
      </c>
      <c r="CF2085">
        <v>1.08</v>
      </c>
      <c r="CG2085">
        <v>2.87</v>
      </c>
      <c r="CH2085">
        <v>1.62</v>
      </c>
      <c r="CI2085">
        <v>-0.19</v>
      </c>
      <c r="CJ2085">
        <v>17051</v>
      </c>
      <c r="CK2085">
        <v>3050</v>
      </c>
      <c r="CL2085" t="s">
        <v>5775</v>
      </c>
      <c r="CM2085">
        <v>114.98</v>
      </c>
      <c r="CN2085">
        <v>42.31</v>
      </c>
      <c r="CO2085">
        <v>3.68</v>
      </c>
      <c r="CP2085">
        <v>18.75</v>
      </c>
      <c r="CQ2085">
        <v>2.04</v>
      </c>
      <c r="CR2085">
        <v>1.65</v>
      </c>
      <c r="CS2085" t="s">
        <v>6389</v>
      </c>
      <c r="CT2085">
        <v>3.95</v>
      </c>
      <c r="CU2085">
        <v>0</v>
      </c>
      <c r="CV2085">
        <v>1.52</v>
      </c>
      <c r="CW2085">
        <v>1.38</v>
      </c>
      <c r="CX2085">
        <v>0.78</v>
      </c>
      <c r="CY2085">
        <v>66.010000000000005</v>
      </c>
      <c r="CZ2085" t="s">
        <v>10139</v>
      </c>
      <c r="DA2085">
        <v>15.16</v>
      </c>
      <c r="DB2085">
        <v>9.43</v>
      </c>
      <c r="DC2085">
        <v>7.66</v>
      </c>
      <c r="DD2085">
        <v>0.27</v>
      </c>
      <c r="DE2085">
        <v>495</v>
      </c>
      <c r="DF2085">
        <v>300697</v>
      </c>
      <c r="DG2085" t="s">
        <v>116</v>
      </c>
      <c r="DH2085" t="s">
        <v>116</v>
      </c>
      <c r="DI2085" t="s">
        <v>116</v>
      </c>
    </row>
    <row r="2086" spans="1:113" x14ac:dyDescent="0.4">
      <c r="A2086" t="str">
        <f>"300698"</f>
        <v>300698</v>
      </c>
      <c r="B2086" t="s">
        <v>10140</v>
      </c>
      <c r="C2086">
        <v>-2.3199999999999998</v>
      </c>
      <c r="D2086">
        <v>16.45</v>
      </c>
      <c r="E2086">
        <v>-0.39</v>
      </c>
      <c r="F2086">
        <v>16.440000000000001</v>
      </c>
      <c r="G2086">
        <v>16.45</v>
      </c>
      <c r="H2086">
        <v>22131</v>
      </c>
      <c r="I2086">
        <v>283</v>
      </c>
      <c r="J2086">
        <v>-0.05</v>
      </c>
      <c r="K2086">
        <v>5.25</v>
      </c>
      <c r="L2086">
        <v>16.77</v>
      </c>
      <c r="M2086">
        <v>16.829999999999998</v>
      </c>
      <c r="N2086">
        <v>16.41</v>
      </c>
      <c r="O2086">
        <v>16.84</v>
      </c>
      <c r="P2086">
        <v>366.49</v>
      </c>
      <c r="Q2086">
        <v>36771980</v>
      </c>
      <c r="R2086">
        <v>0.56000000000000005</v>
      </c>
      <c r="S2086" t="s">
        <v>465</v>
      </c>
      <c r="T2086" t="s">
        <v>590</v>
      </c>
      <c r="U2086">
        <v>2.4900000000000002</v>
      </c>
      <c r="V2086">
        <v>16.62</v>
      </c>
      <c r="W2086">
        <v>13885</v>
      </c>
      <c r="X2086">
        <v>8246</v>
      </c>
      <c r="Y2086">
        <v>1.68</v>
      </c>
      <c r="Z2086">
        <v>96</v>
      </c>
      <c r="AA2086">
        <v>215</v>
      </c>
      <c r="AB2086" t="s">
        <v>116</v>
      </c>
      <c r="AC2086">
        <v>172700</v>
      </c>
      <c r="AD2086">
        <v>0.03</v>
      </c>
      <c r="AE2086" t="s">
        <v>116</v>
      </c>
      <c r="AF2086" t="s">
        <v>116</v>
      </c>
      <c r="AG2086">
        <v>0.42</v>
      </c>
      <c r="AH2086" t="s">
        <v>7177</v>
      </c>
      <c r="AI2086" t="s">
        <v>4271</v>
      </c>
      <c r="AJ2086">
        <v>-1.64</v>
      </c>
      <c r="AK2086">
        <v>1387</v>
      </c>
      <c r="AL2086">
        <v>16</v>
      </c>
      <c r="AM2086">
        <v>3.8E-3</v>
      </c>
      <c r="AN2086">
        <v>-1</v>
      </c>
      <c r="AO2086">
        <v>-1.91</v>
      </c>
      <c r="AP2086">
        <v>5.31</v>
      </c>
      <c r="AQ2086">
        <v>-8.15</v>
      </c>
      <c r="AR2086">
        <v>-9.76</v>
      </c>
      <c r="AS2086">
        <v>6.43</v>
      </c>
      <c r="AT2086" t="s">
        <v>10141</v>
      </c>
      <c r="AU2086">
        <v>850.47</v>
      </c>
      <c r="AV2086">
        <v>514.26</v>
      </c>
      <c r="AW2086">
        <v>1.21</v>
      </c>
      <c r="BA2086">
        <v>-0.42</v>
      </c>
      <c r="BB2086">
        <v>-0.06</v>
      </c>
      <c r="BC2086">
        <v>-2.5499999999999998</v>
      </c>
      <c r="BD2086">
        <v>-1.33</v>
      </c>
      <c r="BE2086">
        <v>-1.91</v>
      </c>
      <c r="BF2086">
        <v>-2.2599999999999998</v>
      </c>
      <c r="BG2086">
        <v>0.24</v>
      </c>
      <c r="BH2086">
        <v>-0.98</v>
      </c>
      <c r="BI2086">
        <v>20191029</v>
      </c>
      <c r="BJ2086">
        <v>20170831</v>
      </c>
      <c r="BK2086">
        <v>1.34</v>
      </c>
      <c r="BL2086" t="s">
        <v>116</v>
      </c>
      <c r="BM2086" t="s">
        <v>116</v>
      </c>
      <c r="BN2086">
        <v>6.68</v>
      </c>
      <c r="BO2086">
        <v>3.85</v>
      </c>
      <c r="BP2086">
        <v>0.51</v>
      </c>
      <c r="BQ2086">
        <v>34.67</v>
      </c>
      <c r="BR2086">
        <v>5.42</v>
      </c>
      <c r="BS2086">
        <v>0.64</v>
      </c>
      <c r="BT2086">
        <v>0.43</v>
      </c>
      <c r="BU2086">
        <v>2.23</v>
      </c>
      <c r="BV2086">
        <v>1.2</v>
      </c>
      <c r="BW2086">
        <v>2.27</v>
      </c>
      <c r="BX2086">
        <v>1.61</v>
      </c>
      <c r="BY2086">
        <v>2.76</v>
      </c>
      <c r="BZ2086">
        <v>1.97</v>
      </c>
      <c r="CA2086">
        <v>0.06</v>
      </c>
      <c r="CB2086">
        <v>0.04</v>
      </c>
      <c r="CC2086">
        <v>7.0000000000000007E-2</v>
      </c>
      <c r="CD2086">
        <v>0.06</v>
      </c>
      <c r="CE2086">
        <v>0.05</v>
      </c>
      <c r="CF2086">
        <v>0.01</v>
      </c>
      <c r="CG2086">
        <v>0.8</v>
      </c>
      <c r="CH2086">
        <v>-0.47</v>
      </c>
      <c r="CI2086">
        <v>-0.3</v>
      </c>
      <c r="CJ2086">
        <v>17868</v>
      </c>
      <c r="CK2086">
        <v>1926</v>
      </c>
      <c r="CL2086" t="s">
        <v>511</v>
      </c>
      <c r="CM2086">
        <v>-27.31</v>
      </c>
      <c r="CN2086">
        <v>27.84</v>
      </c>
      <c r="CO2086">
        <v>5.72</v>
      </c>
      <c r="CP2086">
        <v>-46.6</v>
      </c>
      <c r="CQ2086">
        <v>7.98</v>
      </c>
      <c r="CR2086">
        <v>0</v>
      </c>
      <c r="CS2086" t="s">
        <v>2388</v>
      </c>
      <c r="CT2086">
        <v>2.87</v>
      </c>
      <c r="CU2086">
        <v>0</v>
      </c>
      <c r="CV2086">
        <v>1.2</v>
      </c>
      <c r="CW2086">
        <v>0.6</v>
      </c>
      <c r="CX2086">
        <v>-0.35</v>
      </c>
      <c r="CY2086">
        <v>57.63</v>
      </c>
      <c r="CZ2086" t="s">
        <v>5667</v>
      </c>
      <c r="DA2086">
        <v>28.49</v>
      </c>
      <c r="DB2086">
        <v>2.3199999999999998</v>
      </c>
      <c r="DC2086">
        <v>1.63</v>
      </c>
      <c r="DD2086">
        <v>0.1</v>
      </c>
      <c r="DE2086">
        <v>538</v>
      </c>
      <c r="DF2086">
        <v>300698</v>
      </c>
      <c r="DG2086" t="s">
        <v>116</v>
      </c>
      <c r="DH2086" t="s">
        <v>116</v>
      </c>
      <c r="DI2086" t="s">
        <v>116</v>
      </c>
    </row>
    <row r="2087" spans="1:113" x14ac:dyDescent="0.4">
      <c r="A2087" t="str">
        <f>"300699"</f>
        <v>300699</v>
      </c>
      <c r="B2087" t="s">
        <v>10142</v>
      </c>
      <c r="C2087">
        <v>-0.76</v>
      </c>
      <c r="D2087">
        <v>45.65</v>
      </c>
      <c r="E2087">
        <v>-0.35</v>
      </c>
      <c r="F2087">
        <v>45.65</v>
      </c>
      <c r="G2087">
        <v>45.66</v>
      </c>
      <c r="H2087">
        <v>71238</v>
      </c>
      <c r="I2087">
        <v>857</v>
      </c>
      <c r="J2087">
        <v>0</v>
      </c>
      <c r="K2087">
        <v>2.21</v>
      </c>
      <c r="L2087">
        <v>45.76</v>
      </c>
      <c r="M2087">
        <v>46.35</v>
      </c>
      <c r="N2087">
        <v>45.4</v>
      </c>
      <c r="O2087">
        <v>46</v>
      </c>
      <c r="P2087">
        <v>39.950000000000003</v>
      </c>
      <c r="Q2087">
        <v>326301344</v>
      </c>
      <c r="R2087">
        <v>1.03</v>
      </c>
      <c r="S2087" t="s">
        <v>891</v>
      </c>
      <c r="T2087" t="s">
        <v>645</v>
      </c>
      <c r="U2087">
        <v>2.0699999999999998</v>
      </c>
      <c r="V2087">
        <v>45.8</v>
      </c>
      <c r="W2087">
        <v>37592</v>
      </c>
      <c r="X2087">
        <v>33646</v>
      </c>
      <c r="Y2087">
        <v>1.1200000000000001</v>
      </c>
      <c r="Z2087">
        <v>123</v>
      </c>
      <c r="AA2087">
        <v>11</v>
      </c>
      <c r="AB2087" t="s">
        <v>116</v>
      </c>
      <c r="AC2087">
        <v>3214200</v>
      </c>
      <c r="AD2087">
        <v>0.03</v>
      </c>
      <c r="AE2087" t="s">
        <v>116</v>
      </c>
      <c r="AF2087" t="s">
        <v>116</v>
      </c>
      <c r="AG2087">
        <v>3.23</v>
      </c>
      <c r="AH2087" t="s">
        <v>10143</v>
      </c>
      <c r="AI2087" t="s">
        <v>10144</v>
      </c>
      <c r="AJ2087">
        <v>-0.08</v>
      </c>
      <c r="AK2087">
        <v>3565</v>
      </c>
      <c r="AL2087">
        <v>20</v>
      </c>
      <c r="AM2087">
        <v>5.9999999999999995E-4</v>
      </c>
      <c r="AN2087">
        <v>-1</v>
      </c>
      <c r="AO2087">
        <v>5.87</v>
      </c>
      <c r="AP2087">
        <v>21.54</v>
      </c>
      <c r="AQ2087">
        <v>17.84</v>
      </c>
      <c r="AR2087">
        <v>81.05</v>
      </c>
      <c r="AS2087">
        <v>2.99</v>
      </c>
      <c r="AT2087" t="s">
        <v>10145</v>
      </c>
      <c r="AU2087">
        <v>46.38</v>
      </c>
      <c r="AV2087">
        <v>62.84</v>
      </c>
      <c r="AW2087">
        <v>0.99</v>
      </c>
      <c r="BA2087">
        <v>-0.52</v>
      </c>
      <c r="BB2087">
        <v>0.76</v>
      </c>
      <c r="BC2087">
        <v>-1.3</v>
      </c>
      <c r="BD2087">
        <v>-0.43</v>
      </c>
      <c r="BE2087">
        <v>-0.24</v>
      </c>
      <c r="BF2087">
        <v>-1.51</v>
      </c>
      <c r="BG2087">
        <v>0.55000000000000004</v>
      </c>
      <c r="BH2087">
        <v>-0.34</v>
      </c>
      <c r="BI2087">
        <v>20191223</v>
      </c>
      <c r="BJ2087">
        <v>20170901</v>
      </c>
      <c r="BK2087">
        <v>5.18</v>
      </c>
      <c r="BL2087" t="s">
        <v>116</v>
      </c>
      <c r="BM2087" t="s">
        <v>116</v>
      </c>
      <c r="BN2087">
        <v>38.549999999999997</v>
      </c>
      <c r="BO2087">
        <v>31.46</v>
      </c>
      <c r="BP2087">
        <v>0</v>
      </c>
      <c r="BQ2087">
        <v>18.39</v>
      </c>
      <c r="BR2087">
        <v>25.97</v>
      </c>
      <c r="BS2087">
        <v>5.68</v>
      </c>
      <c r="BT2087">
        <v>1.47</v>
      </c>
      <c r="BU2087">
        <v>3.78</v>
      </c>
      <c r="BV2087">
        <v>2.2200000000000002</v>
      </c>
      <c r="BW2087">
        <v>10.99</v>
      </c>
      <c r="BX2087">
        <v>15.1</v>
      </c>
      <c r="BY2087">
        <v>13.09</v>
      </c>
      <c r="BZ2087">
        <v>6.66</v>
      </c>
      <c r="CA2087">
        <v>5.18</v>
      </c>
      <c r="CB2087">
        <v>0.18</v>
      </c>
      <c r="CC2087">
        <v>5.15</v>
      </c>
      <c r="CD2087">
        <v>4.4400000000000004</v>
      </c>
      <c r="CE2087">
        <v>4.4400000000000004</v>
      </c>
      <c r="CF2087">
        <v>3.94</v>
      </c>
      <c r="CG2087">
        <v>10.87</v>
      </c>
      <c r="CH2087">
        <v>5.39</v>
      </c>
      <c r="CI2087">
        <v>4.82</v>
      </c>
      <c r="CJ2087">
        <v>31532</v>
      </c>
      <c r="CK2087">
        <v>7566</v>
      </c>
      <c r="CL2087" t="s">
        <v>10146</v>
      </c>
      <c r="CM2087">
        <v>43</v>
      </c>
      <c r="CN2087">
        <v>33.049999999999997</v>
      </c>
      <c r="CO2087">
        <v>7.52</v>
      </c>
      <c r="CP2087">
        <v>43.94</v>
      </c>
      <c r="CQ2087">
        <v>18.079999999999998</v>
      </c>
      <c r="CR2087">
        <v>0.78</v>
      </c>
      <c r="CS2087" t="s">
        <v>6222</v>
      </c>
      <c r="CT2087">
        <v>6.07</v>
      </c>
      <c r="CU2087">
        <v>0</v>
      </c>
      <c r="CV2087">
        <v>2.91</v>
      </c>
      <c r="CW2087">
        <v>2.1</v>
      </c>
      <c r="CX2087">
        <v>1.04</v>
      </c>
      <c r="CY2087">
        <v>81.61</v>
      </c>
      <c r="CZ2087" t="s">
        <v>307</v>
      </c>
      <c r="DA2087">
        <v>49.08</v>
      </c>
      <c r="DB2087">
        <v>39.619999999999997</v>
      </c>
      <c r="DC2087">
        <v>33.94</v>
      </c>
      <c r="DD2087">
        <v>1.37</v>
      </c>
      <c r="DE2087">
        <v>1514</v>
      </c>
      <c r="DF2087">
        <v>300699</v>
      </c>
      <c r="DG2087" t="s">
        <v>116</v>
      </c>
      <c r="DH2087" t="s">
        <v>116</v>
      </c>
      <c r="DI2087" t="s">
        <v>116</v>
      </c>
    </row>
    <row r="2088" spans="1:113" x14ac:dyDescent="0.4">
      <c r="A2088" t="str">
        <f>"300700"</f>
        <v>300700</v>
      </c>
      <c r="B2088" t="s">
        <v>10147</v>
      </c>
      <c r="C2088">
        <v>1.72</v>
      </c>
      <c r="D2088">
        <v>20.149999999999999</v>
      </c>
      <c r="E2088">
        <v>0.34</v>
      </c>
      <c r="F2088">
        <v>20.149999999999999</v>
      </c>
      <c r="G2088">
        <v>20.16</v>
      </c>
      <c r="H2088">
        <v>48966</v>
      </c>
      <c r="I2088">
        <v>1137</v>
      </c>
      <c r="J2088">
        <v>0.05</v>
      </c>
      <c r="K2088">
        <v>11.05</v>
      </c>
      <c r="L2088">
        <v>19.75</v>
      </c>
      <c r="M2088">
        <v>21</v>
      </c>
      <c r="N2088">
        <v>19.62</v>
      </c>
      <c r="O2088">
        <v>19.809999999999999</v>
      </c>
      <c r="P2088" t="s">
        <v>116</v>
      </c>
      <c r="Q2088">
        <v>98946872</v>
      </c>
      <c r="R2088">
        <v>1.57</v>
      </c>
      <c r="S2088" t="s">
        <v>933</v>
      </c>
      <c r="T2088" t="s">
        <v>599</v>
      </c>
      <c r="U2088">
        <v>6.97</v>
      </c>
      <c r="V2088">
        <v>20.21</v>
      </c>
      <c r="W2088">
        <v>25558</v>
      </c>
      <c r="X2088">
        <v>23408</v>
      </c>
      <c r="Y2088">
        <v>1.0900000000000001</v>
      </c>
      <c r="Z2088">
        <v>46</v>
      </c>
      <c r="AA2088">
        <v>130</v>
      </c>
      <c r="AB2088" t="s">
        <v>116</v>
      </c>
      <c r="AC2088">
        <v>213300</v>
      </c>
      <c r="AD2088">
        <v>0.02</v>
      </c>
      <c r="AE2088" t="s">
        <v>116</v>
      </c>
      <c r="AF2088" t="s">
        <v>116</v>
      </c>
      <c r="AG2088">
        <v>0.44</v>
      </c>
      <c r="AH2088" t="s">
        <v>7261</v>
      </c>
      <c r="AI2088" t="s">
        <v>9410</v>
      </c>
      <c r="AJ2088">
        <v>2.4</v>
      </c>
      <c r="AK2088">
        <v>2233</v>
      </c>
      <c r="AL2088">
        <v>22</v>
      </c>
      <c r="AM2088">
        <v>4.8999999999999998E-3</v>
      </c>
      <c r="AN2088">
        <v>2</v>
      </c>
      <c r="AO2088">
        <v>-0.49</v>
      </c>
      <c r="AP2088">
        <v>9.99</v>
      </c>
      <c r="AQ2088">
        <v>-11.62</v>
      </c>
      <c r="AR2088">
        <v>-19.04</v>
      </c>
      <c r="AS2088">
        <v>11.05</v>
      </c>
      <c r="AT2088" t="s">
        <v>7261</v>
      </c>
      <c r="AU2088" t="s">
        <v>116</v>
      </c>
      <c r="AV2088">
        <v>48.82</v>
      </c>
      <c r="AW2088">
        <v>1.44</v>
      </c>
      <c r="BA2088">
        <v>-0.3</v>
      </c>
      <c r="BB2088">
        <v>6.01</v>
      </c>
      <c r="BC2088">
        <v>-0.96</v>
      </c>
      <c r="BD2088">
        <v>2.0099999999999998</v>
      </c>
      <c r="BE2088">
        <v>2.0299999999999998</v>
      </c>
      <c r="BF2088">
        <v>-4.05</v>
      </c>
      <c r="BG2088">
        <v>2.7</v>
      </c>
      <c r="BH2088">
        <v>-0.28999999999999998</v>
      </c>
      <c r="BI2088">
        <v>20191030</v>
      </c>
      <c r="BJ2088">
        <v>20170912</v>
      </c>
      <c r="BK2088">
        <v>0.82</v>
      </c>
      <c r="BL2088" t="s">
        <v>116</v>
      </c>
      <c r="BM2088" t="s">
        <v>116</v>
      </c>
      <c r="BN2088">
        <v>10.87</v>
      </c>
      <c r="BO2088">
        <v>5.62</v>
      </c>
      <c r="BP2088">
        <v>0</v>
      </c>
      <c r="BQ2088">
        <v>48.3</v>
      </c>
      <c r="BR2088">
        <v>5.62</v>
      </c>
      <c r="BS2088">
        <v>3.54</v>
      </c>
      <c r="BT2088">
        <v>0.41</v>
      </c>
      <c r="BU2088">
        <v>3.29</v>
      </c>
      <c r="BV2088">
        <v>1.46</v>
      </c>
      <c r="BW2088">
        <v>1.26</v>
      </c>
      <c r="BX2088">
        <v>2.39</v>
      </c>
      <c r="BY2088">
        <v>1.93</v>
      </c>
      <c r="BZ2088">
        <v>1.63</v>
      </c>
      <c r="CA2088">
        <v>-0.22</v>
      </c>
      <c r="CB2088">
        <v>-0.01</v>
      </c>
      <c r="CC2088">
        <v>-0.21</v>
      </c>
      <c r="CD2088">
        <v>-0.15</v>
      </c>
      <c r="CE2088">
        <v>-0.15</v>
      </c>
      <c r="CF2088">
        <v>-0.18</v>
      </c>
      <c r="CG2088">
        <v>1.72</v>
      </c>
      <c r="CH2088">
        <v>-0.38</v>
      </c>
      <c r="CI2088">
        <v>-0.01</v>
      </c>
      <c r="CJ2088">
        <v>14794</v>
      </c>
      <c r="CK2088">
        <v>2995</v>
      </c>
      <c r="CL2088" t="s">
        <v>6458</v>
      </c>
      <c r="CM2088">
        <v>-131.65</v>
      </c>
      <c r="CN2088">
        <v>-30.36</v>
      </c>
      <c r="CO2088">
        <v>3.2</v>
      </c>
      <c r="CP2088">
        <v>-43.44</v>
      </c>
      <c r="CQ2088">
        <v>8.59</v>
      </c>
      <c r="CR2088">
        <v>0.45</v>
      </c>
      <c r="CS2088" t="s">
        <v>10148</v>
      </c>
      <c r="CT2088">
        <v>6.3</v>
      </c>
      <c r="CU2088">
        <v>6.3</v>
      </c>
      <c r="CV2088">
        <v>2.9</v>
      </c>
      <c r="CW2088">
        <v>2.08</v>
      </c>
      <c r="CX2088">
        <v>-0.46</v>
      </c>
      <c r="CY2088">
        <v>51.7</v>
      </c>
      <c r="CZ2088" t="s">
        <v>10149</v>
      </c>
      <c r="DA2088">
        <v>15.82</v>
      </c>
      <c r="DB2088">
        <v>-11.36</v>
      </c>
      <c r="DC2088">
        <v>-8.01</v>
      </c>
      <c r="DD2088">
        <v>0.13</v>
      </c>
      <c r="DE2088">
        <v>895</v>
      </c>
      <c r="DF2088">
        <v>300700</v>
      </c>
      <c r="DG2088" t="s">
        <v>116</v>
      </c>
      <c r="DH2088" t="s">
        <v>116</v>
      </c>
      <c r="DI2088" t="s">
        <v>116</v>
      </c>
    </row>
    <row r="2089" spans="1:113" x14ac:dyDescent="0.4">
      <c r="A2089" t="str">
        <f>"300701"</f>
        <v>300701</v>
      </c>
      <c r="B2089" t="s">
        <v>10150</v>
      </c>
      <c r="C2089">
        <v>-1.3</v>
      </c>
      <c r="D2089">
        <v>34.200000000000003</v>
      </c>
      <c r="E2089">
        <v>-0.45</v>
      </c>
      <c r="F2089">
        <v>34.200000000000003</v>
      </c>
      <c r="G2089">
        <v>34.21</v>
      </c>
      <c r="H2089">
        <v>160202</v>
      </c>
      <c r="I2089">
        <v>2341</v>
      </c>
      <c r="J2089">
        <v>-0.86</v>
      </c>
      <c r="K2089">
        <v>43.44</v>
      </c>
      <c r="L2089">
        <v>34.979999999999997</v>
      </c>
      <c r="M2089">
        <v>37.75</v>
      </c>
      <c r="N2089">
        <v>33.33</v>
      </c>
      <c r="O2089">
        <v>34.65</v>
      </c>
      <c r="P2089">
        <v>53.91</v>
      </c>
      <c r="Q2089">
        <v>563344640</v>
      </c>
      <c r="R2089">
        <v>1.58</v>
      </c>
      <c r="S2089" t="s">
        <v>233</v>
      </c>
      <c r="T2089" t="s">
        <v>652</v>
      </c>
      <c r="U2089">
        <v>12.76</v>
      </c>
      <c r="V2089">
        <v>35.159999999999997</v>
      </c>
      <c r="W2089">
        <v>82455</v>
      </c>
      <c r="X2089">
        <v>77747</v>
      </c>
      <c r="Y2089">
        <v>1.06</v>
      </c>
      <c r="Z2089">
        <v>27</v>
      </c>
      <c r="AA2089">
        <v>169</v>
      </c>
      <c r="AB2089" t="s">
        <v>116</v>
      </c>
      <c r="AC2089">
        <v>10322600</v>
      </c>
      <c r="AD2089">
        <v>0.8</v>
      </c>
      <c r="AE2089" t="s">
        <v>116</v>
      </c>
      <c r="AF2089" t="s">
        <v>116</v>
      </c>
      <c r="AG2089">
        <v>0.37</v>
      </c>
      <c r="AH2089" t="s">
        <v>9629</v>
      </c>
      <c r="AI2089" t="s">
        <v>10151</v>
      </c>
      <c r="AJ2089">
        <v>-0.62</v>
      </c>
      <c r="AK2089">
        <v>4015</v>
      </c>
      <c r="AL2089">
        <v>40</v>
      </c>
      <c r="AM2089">
        <v>1.0800000000000001E-2</v>
      </c>
      <c r="AN2089">
        <v>-1</v>
      </c>
      <c r="AO2089">
        <v>5.71</v>
      </c>
      <c r="AP2089">
        <v>36.47</v>
      </c>
      <c r="AQ2089">
        <v>32.97</v>
      </c>
      <c r="AR2089">
        <v>66.23</v>
      </c>
      <c r="AS2089">
        <v>43.44</v>
      </c>
      <c r="AT2089" t="s">
        <v>9629</v>
      </c>
      <c r="AU2089">
        <v>54.6</v>
      </c>
      <c r="AV2089">
        <v>58.36</v>
      </c>
      <c r="AW2089">
        <v>0.99</v>
      </c>
      <c r="BA2089">
        <v>0.95</v>
      </c>
      <c r="BB2089">
        <v>8.9499999999999993</v>
      </c>
      <c r="BC2089">
        <v>-3.81</v>
      </c>
      <c r="BD2089">
        <v>1.49</v>
      </c>
      <c r="BE2089">
        <v>-2.23</v>
      </c>
      <c r="BF2089">
        <v>-9.4</v>
      </c>
      <c r="BG2089">
        <v>2.61</v>
      </c>
      <c r="BH2089">
        <v>-2.78</v>
      </c>
      <c r="BI2089">
        <v>20191025</v>
      </c>
      <c r="BJ2089">
        <v>20170915</v>
      </c>
      <c r="BK2089">
        <v>1.2</v>
      </c>
      <c r="BL2089" t="s">
        <v>116</v>
      </c>
      <c r="BM2089" t="s">
        <v>116</v>
      </c>
      <c r="BN2089">
        <v>5.43</v>
      </c>
      <c r="BO2089">
        <v>5.14</v>
      </c>
      <c r="BP2089">
        <v>0</v>
      </c>
      <c r="BQ2089">
        <v>5.23</v>
      </c>
      <c r="BR2089">
        <v>4.53</v>
      </c>
      <c r="BS2089">
        <v>0.43</v>
      </c>
      <c r="BT2089">
        <v>0.08</v>
      </c>
      <c r="BU2089">
        <v>0.26</v>
      </c>
      <c r="BV2089">
        <v>0.19</v>
      </c>
      <c r="BW2089">
        <v>0.15</v>
      </c>
      <c r="BX2089">
        <v>1.83</v>
      </c>
      <c r="BY2089">
        <v>1.41</v>
      </c>
      <c r="BZ2089">
        <v>0.67</v>
      </c>
      <c r="CA2089">
        <v>0.67</v>
      </c>
      <c r="CB2089">
        <v>0.1</v>
      </c>
      <c r="CC2089">
        <v>0.67</v>
      </c>
      <c r="CD2089">
        <v>0.56999999999999995</v>
      </c>
      <c r="CE2089">
        <v>0.56999999999999995</v>
      </c>
      <c r="CF2089">
        <v>0.47</v>
      </c>
      <c r="CG2089">
        <v>1.82</v>
      </c>
      <c r="CH2089">
        <v>0.59</v>
      </c>
      <c r="CI2089">
        <v>0.05</v>
      </c>
      <c r="CJ2089">
        <v>12951</v>
      </c>
      <c r="CK2089">
        <v>2847</v>
      </c>
      <c r="CL2089" t="s">
        <v>10152</v>
      </c>
      <c r="CM2089">
        <v>9.27</v>
      </c>
      <c r="CN2089">
        <v>6.61</v>
      </c>
      <c r="CO2089">
        <v>7.98</v>
      </c>
      <c r="CP2089">
        <v>69.22</v>
      </c>
      <c r="CQ2089">
        <v>29.08</v>
      </c>
      <c r="CR2089">
        <v>0.49</v>
      </c>
      <c r="CS2089" t="s">
        <v>7321</v>
      </c>
      <c r="CT2089">
        <v>4.29</v>
      </c>
      <c r="CU2089">
        <v>0</v>
      </c>
      <c r="CV2089">
        <v>1.53</v>
      </c>
      <c r="CW2089">
        <v>1.52</v>
      </c>
      <c r="CX2089">
        <v>0.49</v>
      </c>
      <c r="CY2089">
        <v>94.77</v>
      </c>
      <c r="CZ2089" t="s">
        <v>10153</v>
      </c>
      <c r="DA2089">
        <v>52.85</v>
      </c>
      <c r="DB2089">
        <v>47.42</v>
      </c>
      <c r="DC2089">
        <v>40.450000000000003</v>
      </c>
      <c r="DD2089">
        <v>0.06</v>
      </c>
      <c r="DE2089">
        <v>585</v>
      </c>
      <c r="DF2089">
        <v>300701</v>
      </c>
      <c r="DG2089" t="s">
        <v>116</v>
      </c>
      <c r="DH2089" t="s">
        <v>116</v>
      </c>
      <c r="DI2089" t="s">
        <v>116</v>
      </c>
    </row>
    <row r="2090" spans="1:113" x14ac:dyDescent="0.4">
      <c r="A2090" t="str">
        <f>"300702"</f>
        <v>300702</v>
      </c>
      <c r="B2090" t="s">
        <v>10154</v>
      </c>
      <c r="C2090">
        <v>5.53</v>
      </c>
      <c r="D2090">
        <v>54.16</v>
      </c>
      <c r="E2090">
        <v>2.84</v>
      </c>
      <c r="F2090">
        <v>54.16</v>
      </c>
      <c r="G2090">
        <v>54.17</v>
      </c>
      <c r="H2090">
        <v>45981</v>
      </c>
      <c r="I2090">
        <v>634</v>
      </c>
      <c r="J2090">
        <v>0.48</v>
      </c>
      <c r="K2090">
        <v>8.67</v>
      </c>
      <c r="L2090">
        <v>50.84</v>
      </c>
      <c r="M2090">
        <v>54.95</v>
      </c>
      <c r="N2090">
        <v>50.84</v>
      </c>
      <c r="O2090">
        <v>51.32</v>
      </c>
      <c r="P2090">
        <v>16.66</v>
      </c>
      <c r="Q2090">
        <v>244828720</v>
      </c>
      <c r="R2090">
        <v>2.62</v>
      </c>
      <c r="S2090" t="s">
        <v>574</v>
      </c>
      <c r="T2090" t="s">
        <v>590</v>
      </c>
      <c r="U2090">
        <v>8.01</v>
      </c>
      <c r="V2090">
        <v>53.25</v>
      </c>
      <c r="W2090">
        <v>20582</v>
      </c>
      <c r="X2090">
        <v>25399</v>
      </c>
      <c r="Y2090">
        <v>0.81</v>
      </c>
      <c r="Z2090">
        <v>170</v>
      </c>
      <c r="AA2090">
        <v>32</v>
      </c>
      <c r="AB2090" t="s">
        <v>116</v>
      </c>
      <c r="AC2090">
        <v>803300</v>
      </c>
      <c r="AD2090">
        <v>0.03</v>
      </c>
      <c r="AE2090" t="s">
        <v>116</v>
      </c>
      <c r="AF2090" t="s">
        <v>116</v>
      </c>
      <c r="AG2090">
        <v>0.53</v>
      </c>
      <c r="AH2090" t="s">
        <v>10155</v>
      </c>
      <c r="AI2090" t="s">
        <v>10156</v>
      </c>
      <c r="AJ2090">
        <v>6.21</v>
      </c>
      <c r="AK2090">
        <v>3335</v>
      </c>
      <c r="AL2090">
        <v>14</v>
      </c>
      <c r="AM2090">
        <v>2.5999999999999999E-3</v>
      </c>
      <c r="AN2090">
        <v>2</v>
      </c>
      <c r="AO2090">
        <v>6</v>
      </c>
      <c r="AP2090">
        <v>7.8</v>
      </c>
      <c r="AQ2090">
        <v>32.58</v>
      </c>
      <c r="AR2090">
        <v>149.59</v>
      </c>
      <c r="AS2090">
        <v>8.67</v>
      </c>
      <c r="AT2090" t="s">
        <v>10155</v>
      </c>
      <c r="AU2090">
        <v>18.649999999999999</v>
      </c>
      <c r="AV2090">
        <v>60.31</v>
      </c>
      <c r="AW2090">
        <v>0.74</v>
      </c>
      <c r="BA2090">
        <v>-0.94</v>
      </c>
      <c r="BB2090">
        <v>7.07</v>
      </c>
      <c r="BC2090">
        <v>-0.94</v>
      </c>
      <c r="BD2090">
        <v>3.75</v>
      </c>
      <c r="BE2090">
        <v>6.53</v>
      </c>
      <c r="BF2090">
        <v>-1.44</v>
      </c>
      <c r="BG2090">
        <v>6.53</v>
      </c>
      <c r="BH2090">
        <v>1.78</v>
      </c>
      <c r="BI2090">
        <v>20191025</v>
      </c>
      <c r="BJ2090">
        <v>20170919</v>
      </c>
      <c r="BK2090">
        <v>1.82</v>
      </c>
      <c r="BL2090" t="s">
        <v>116</v>
      </c>
      <c r="BM2090" t="s">
        <v>116</v>
      </c>
      <c r="BN2090">
        <v>27.48</v>
      </c>
      <c r="BO2090">
        <v>18.88</v>
      </c>
      <c r="BP2090">
        <v>0</v>
      </c>
      <c r="BQ2090">
        <v>31.29</v>
      </c>
      <c r="BR2090">
        <v>14.53</v>
      </c>
      <c r="BS2090">
        <v>7.75</v>
      </c>
      <c r="BT2090">
        <v>1.67</v>
      </c>
      <c r="BU2090">
        <v>7.92</v>
      </c>
      <c r="BV2090">
        <v>7.16</v>
      </c>
      <c r="BW2090">
        <v>3.59</v>
      </c>
      <c r="BX2090">
        <v>6.97</v>
      </c>
      <c r="BY2090">
        <v>15.83</v>
      </c>
      <c r="BZ2090">
        <v>7.22</v>
      </c>
      <c r="CA2090">
        <v>5.22</v>
      </c>
      <c r="CB2090">
        <v>-0.09</v>
      </c>
      <c r="CC2090">
        <v>5.2</v>
      </c>
      <c r="CD2090">
        <v>4.4400000000000004</v>
      </c>
      <c r="CE2090">
        <v>4.4400000000000004</v>
      </c>
      <c r="CF2090">
        <v>4.3600000000000003</v>
      </c>
      <c r="CG2090">
        <v>9.67</v>
      </c>
      <c r="CH2090">
        <v>3.9</v>
      </c>
      <c r="CI2090">
        <v>-1.1299999999999999</v>
      </c>
      <c r="CJ2090">
        <v>16563</v>
      </c>
      <c r="CK2090">
        <v>3203</v>
      </c>
      <c r="CL2090" t="s">
        <v>10157</v>
      </c>
      <c r="CM2090">
        <v>463.43</v>
      </c>
      <c r="CN2090">
        <v>57.71</v>
      </c>
      <c r="CO2090">
        <v>5.23</v>
      </c>
      <c r="CP2090">
        <v>25.31</v>
      </c>
      <c r="CQ2090">
        <v>6.24</v>
      </c>
      <c r="CR2090">
        <v>0.28000000000000003</v>
      </c>
      <c r="CS2090" t="s">
        <v>10158</v>
      </c>
      <c r="CT2090">
        <v>10.36</v>
      </c>
      <c r="CU2090">
        <v>0</v>
      </c>
      <c r="CV2090">
        <v>3.82</v>
      </c>
      <c r="CW2090">
        <v>5.31</v>
      </c>
      <c r="CX2090">
        <v>2.14</v>
      </c>
      <c r="CY2090">
        <v>68.709999999999994</v>
      </c>
      <c r="CZ2090" t="s">
        <v>10159</v>
      </c>
      <c r="DA2090">
        <v>54.38</v>
      </c>
      <c r="DB2090">
        <v>32.97</v>
      </c>
      <c r="DC2090">
        <v>28.07</v>
      </c>
      <c r="DD2090">
        <v>0.78</v>
      </c>
      <c r="DE2090">
        <v>2893</v>
      </c>
      <c r="DF2090">
        <v>300702</v>
      </c>
      <c r="DG2090" t="s">
        <v>116</v>
      </c>
      <c r="DH2090" t="s">
        <v>116</v>
      </c>
      <c r="DI2090" t="s">
        <v>116</v>
      </c>
    </row>
    <row r="2091" spans="1:113" x14ac:dyDescent="0.4">
      <c r="A2091" t="str">
        <f>"300703"</f>
        <v>300703</v>
      </c>
      <c r="B2091" t="s">
        <v>10160</v>
      </c>
      <c r="C2091">
        <v>-1.73</v>
      </c>
      <c r="D2091">
        <v>11.94</v>
      </c>
      <c r="E2091">
        <v>-0.21</v>
      </c>
      <c r="F2091">
        <v>11.94</v>
      </c>
      <c r="G2091">
        <v>11.95</v>
      </c>
      <c r="H2091">
        <v>27664</v>
      </c>
      <c r="I2091">
        <v>731</v>
      </c>
      <c r="J2091">
        <v>0.34</v>
      </c>
      <c r="K2091">
        <v>2.79</v>
      </c>
      <c r="L2091">
        <v>12.18</v>
      </c>
      <c r="M2091">
        <v>12.24</v>
      </c>
      <c r="N2091">
        <v>11.88</v>
      </c>
      <c r="O2091">
        <v>12.15</v>
      </c>
      <c r="P2091">
        <v>17.100000000000001</v>
      </c>
      <c r="Q2091">
        <v>33423142</v>
      </c>
      <c r="R2091">
        <v>0.62</v>
      </c>
      <c r="S2091" t="s">
        <v>217</v>
      </c>
      <c r="T2091" t="s">
        <v>590</v>
      </c>
      <c r="U2091">
        <v>2.96</v>
      </c>
      <c r="V2091">
        <v>12.08</v>
      </c>
      <c r="W2091">
        <v>16512</v>
      </c>
      <c r="X2091">
        <v>11152</v>
      </c>
      <c r="Y2091">
        <v>1.48</v>
      </c>
      <c r="Z2091">
        <v>175</v>
      </c>
      <c r="AA2091">
        <v>170</v>
      </c>
      <c r="AB2091" t="s">
        <v>116</v>
      </c>
      <c r="AC2091">
        <v>53600</v>
      </c>
      <c r="AD2091">
        <v>0</v>
      </c>
      <c r="AE2091" t="s">
        <v>116</v>
      </c>
      <c r="AF2091" t="s">
        <v>116</v>
      </c>
      <c r="AG2091">
        <v>0.99</v>
      </c>
      <c r="AH2091" t="s">
        <v>6896</v>
      </c>
      <c r="AI2091" t="s">
        <v>8414</v>
      </c>
      <c r="AJ2091">
        <v>-1.05</v>
      </c>
      <c r="AK2091">
        <v>1284</v>
      </c>
      <c r="AL2091">
        <v>22</v>
      </c>
      <c r="AM2091">
        <v>2.2000000000000001E-3</v>
      </c>
      <c r="AN2091">
        <v>-1</v>
      </c>
      <c r="AO2091">
        <v>-2.5299999999999998</v>
      </c>
      <c r="AP2091">
        <v>1.19</v>
      </c>
      <c r="AQ2091">
        <v>10.66</v>
      </c>
      <c r="AR2091">
        <v>24.72</v>
      </c>
      <c r="AS2091">
        <v>2.82</v>
      </c>
      <c r="AT2091" t="s">
        <v>769</v>
      </c>
      <c r="AU2091">
        <v>19.05</v>
      </c>
      <c r="AV2091">
        <v>26.18</v>
      </c>
      <c r="AW2091">
        <v>1.24</v>
      </c>
      <c r="BA2091">
        <v>0.25</v>
      </c>
      <c r="BB2091">
        <v>0.74</v>
      </c>
      <c r="BC2091">
        <v>-2.2200000000000002</v>
      </c>
      <c r="BD2091">
        <v>-0.56000000000000005</v>
      </c>
      <c r="BE2091">
        <v>-1.97</v>
      </c>
      <c r="BF2091">
        <v>-2.4500000000000002</v>
      </c>
      <c r="BG2091">
        <v>0.51</v>
      </c>
      <c r="BH2091">
        <v>-1.17</v>
      </c>
      <c r="BI2091">
        <v>20191028</v>
      </c>
      <c r="BJ2091">
        <v>20170919</v>
      </c>
      <c r="BK2091">
        <v>1.83</v>
      </c>
      <c r="BL2091" t="s">
        <v>116</v>
      </c>
      <c r="BM2091" t="s">
        <v>116</v>
      </c>
      <c r="BN2091">
        <v>10.82</v>
      </c>
      <c r="BO2091">
        <v>7</v>
      </c>
      <c r="BP2091">
        <v>0.03</v>
      </c>
      <c r="BQ2091">
        <v>35</v>
      </c>
      <c r="BR2091">
        <v>7.23</v>
      </c>
      <c r="BS2091">
        <v>2.8</v>
      </c>
      <c r="BT2091">
        <v>0.22</v>
      </c>
      <c r="BU2091">
        <v>3.75</v>
      </c>
      <c r="BV2091">
        <v>0.85</v>
      </c>
      <c r="BW2091">
        <v>2.2000000000000002</v>
      </c>
      <c r="BX2091">
        <v>2.87</v>
      </c>
      <c r="BY2091">
        <v>7.2</v>
      </c>
      <c r="BZ2091">
        <v>4.66</v>
      </c>
      <c r="CA2091">
        <v>1.05</v>
      </c>
      <c r="CB2091">
        <v>0.06</v>
      </c>
      <c r="CC2091">
        <v>1.1499999999999999</v>
      </c>
      <c r="CD2091">
        <v>0.95</v>
      </c>
      <c r="CE2091">
        <v>0.96</v>
      </c>
      <c r="CF2091">
        <v>0.82</v>
      </c>
      <c r="CG2091">
        <v>2.08</v>
      </c>
      <c r="CH2091">
        <v>0.84</v>
      </c>
      <c r="CI2091">
        <v>0.06</v>
      </c>
      <c r="CJ2091">
        <v>13674</v>
      </c>
      <c r="CK2091">
        <v>7172</v>
      </c>
      <c r="CL2091" t="s">
        <v>10161</v>
      </c>
      <c r="CM2091">
        <v>48.31</v>
      </c>
      <c r="CN2091">
        <v>17.82</v>
      </c>
      <c r="CO2091">
        <v>3.11</v>
      </c>
      <c r="CP2091">
        <v>25.87</v>
      </c>
      <c r="CQ2091">
        <v>3.03</v>
      </c>
      <c r="CR2091">
        <v>1.65</v>
      </c>
      <c r="CS2091" t="s">
        <v>814</v>
      </c>
      <c r="CT2091">
        <v>3.84</v>
      </c>
      <c r="CU2091">
        <v>0</v>
      </c>
      <c r="CV2091">
        <v>1.57</v>
      </c>
      <c r="CW2091">
        <v>1.1399999999999999</v>
      </c>
      <c r="CX2091">
        <v>0.46</v>
      </c>
      <c r="CY2091">
        <v>64.709999999999994</v>
      </c>
      <c r="CZ2091" t="s">
        <v>10162</v>
      </c>
      <c r="DA2091">
        <v>35.24</v>
      </c>
      <c r="DB2091">
        <v>14.56</v>
      </c>
      <c r="DC2091">
        <v>13.28</v>
      </c>
      <c r="DD2091">
        <v>0.33</v>
      </c>
      <c r="DE2091">
        <v>1794</v>
      </c>
      <c r="DF2091">
        <v>300703</v>
      </c>
      <c r="DG2091" t="s">
        <v>116</v>
      </c>
      <c r="DH2091" t="s">
        <v>116</v>
      </c>
      <c r="DI2091" t="s">
        <v>116</v>
      </c>
    </row>
    <row r="2092" spans="1:113" x14ac:dyDescent="0.4">
      <c r="A2092" t="str">
        <f>"300705"</f>
        <v>300705</v>
      </c>
      <c r="B2092" t="s">
        <v>10163</v>
      </c>
      <c r="C2092">
        <v>-1.64</v>
      </c>
      <c r="D2092">
        <v>11.98</v>
      </c>
      <c r="E2092">
        <v>-0.2</v>
      </c>
      <c r="F2092">
        <v>11.98</v>
      </c>
      <c r="G2092">
        <v>11.99</v>
      </c>
      <c r="H2092">
        <v>26201</v>
      </c>
      <c r="I2092">
        <v>405</v>
      </c>
      <c r="J2092">
        <v>0.08</v>
      </c>
      <c r="K2092">
        <v>2.64</v>
      </c>
      <c r="L2092">
        <v>12.17</v>
      </c>
      <c r="M2092">
        <v>12.25</v>
      </c>
      <c r="N2092">
        <v>11.93</v>
      </c>
      <c r="O2092">
        <v>12.18</v>
      </c>
      <c r="P2092">
        <v>55.7</v>
      </c>
      <c r="Q2092">
        <v>31794468</v>
      </c>
      <c r="R2092">
        <v>0.84</v>
      </c>
      <c r="S2092" t="s">
        <v>574</v>
      </c>
      <c r="T2092" t="s">
        <v>599</v>
      </c>
      <c r="U2092">
        <v>2.63</v>
      </c>
      <c r="V2092">
        <v>12.13</v>
      </c>
      <c r="W2092">
        <v>15871</v>
      </c>
      <c r="X2092">
        <v>10330</v>
      </c>
      <c r="Y2092">
        <v>1.54</v>
      </c>
      <c r="Z2092">
        <v>551</v>
      </c>
      <c r="AA2092">
        <v>10</v>
      </c>
      <c r="AB2092" t="s">
        <v>116</v>
      </c>
      <c r="AC2092">
        <v>63300</v>
      </c>
      <c r="AD2092">
        <v>0.01</v>
      </c>
      <c r="AE2092" t="s">
        <v>116</v>
      </c>
      <c r="AF2092" t="s">
        <v>116</v>
      </c>
      <c r="AG2092">
        <v>0.99</v>
      </c>
      <c r="AH2092" t="s">
        <v>9647</v>
      </c>
      <c r="AI2092" t="s">
        <v>5575</v>
      </c>
      <c r="AJ2092">
        <v>-0.96</v>
      </c>
      <c r="AK2092">
        <v>1080</v>
      </c>
      <c r="AL2092">
        <v>24</v>
      </c>
      <c r="AM2092">
        <v>2.3999999999999998E-3</v>
      </c>
      <c r="AN2092">
        <v>-1</v>
      </c>
      <c r="AO2092">
        <v>-2.4500000000000002</v>
      </c>
      <c r="AP2092">
        <v>2.74</v>
      </c>
      <c r="AQ2092">
        <v>3.45</v>
      </c>
      <c r="AR2092">
        <v>2.54</v>
      </c>
      <c r="AS2092">
        <v>2.64</v>
      </c>
      <c r="AT2092" t="s">
        <v>9647</v>
      </c>
      <c r="AU2092">
        <v>42.97</v>
      </c>
      <c r="AV2092">
        <v>39.06</v>
      </c>
      <c r="AW2092">
        <v>0.83</v>
      </c>
      <c r="BA2092">
        <v>-0.08</v>
      </c>
      <c r="BB2092">
        <v>0.56999999999999995</v>
      </c>
      <c r="BC2092">
        <v>-2.0499999999999998</v>
      </c>
      <c r="BD2092">
        <v>-0.37</v>
      </c>
      <c r="BE2092">
        <v>-1.56</v>
      </c>
      <c r="BF2092">
        <v>-2.2000000000000002</v>
      </c>
      <c r="BG2092">
        <v>0.42</v>
      </c>
      <c r="BH2092">
        <v>-1.27</v>
      </c>
      <c r="BI2092">
        <v>20191030</v>
      </c>
      <c r="BJ2092">
        <v>20171010</v>
      </c>
      <c r="BK2092">
        <v>2.35</v>
      </c>
      <c r="BL2092" t="s">
        <v>116</v>
      </c>
      <c r="BM2092" t="s">
        <v>116</v>
      </c>
      <c r="BN2092">
        <v>10.43</v>
      </c>
      <c r="BO2092">
        <v>7.45</v>
      </c>
      <c r="BP2092">
        <v>0</v>
      </c>
      <c r="BQ2092">
        <v>28.59</v>
      </c>
      <c r="BR2092">
        <v>4.45</v>
      </c>
      <c r="BS2092">
        <v>4.9800000000000004</v>
      </c>
      <c r="BT2092">
        <v>0.53</v>
      </c>
      <c r="BU2092">
        <v>2.04</v>
      </c>
      <c r="BV2092">
        <v>1.45</v>
      </c>
      <c r="BW2092">
        <v>1.44</v>
      </c>
      <c r="BX2092">
        <v>2.79</v>
      </c>
      <c r="BY2092">
        <v>6.59</v>
      </c>
      <c r="BZ2092">
        <v>2.2400000000000002</v>
      </c>
      <c r="CA2092">
        <v>0.44</v>
      </c>
      <c r="CB2092">
        <v>0</v>
      </c>
      <c r="CC2092">
        <v>0.42</v>
      </c>
      <c r="CD2092">
        <v>0.38</v>
      </c>
      <c r="CE2092">
        <v>0.38</v>
      </c>
      <c r="CF2092">
        <v>0.36</v>
      </c>
      <c r="CG2092">
        <v>2.0299999999999998</v>
      </c>
      <c r="CH2092">
        <v>0.04</v>
      </c>
      <c r="CI2092">
        <v>-0.91</v>
      </c>
      <c r="CJ2092">
        <v>24449</v>
      </c>
      <c r="CK2092">
        <v>4052</v>
      </c>
      <c r="CL2092" t="s">
        <v>4967</v>
      </c>
      <c r="CM2092">
        <v>-14.78</v>
      </c>
      <c r="CN2092">
        <v>17.48</v>
      </c>
      <c r="CO2092">
        <v>3.77</v>
      </c>
      <c r="CP2092">
        <v>716.52</v>
      </c>
      <c r="CQ2092">
        <v>4.26</v>
      </c>
      <c r="CR2092">
        <v>0.39</v>
      </c>
      <c r="CS2092" t="s">
        <v>6361</v>
      </c>
      <c r="CT2092">
        <v>3.17</v>
      </c>
      <c r="CU2092">
        <v>0</v>
      </c>
      <c r="CV2092">
        <v>1.19</v>
      </c>
      <c r="CW2092">
        <v>0.87</v>
      </c>
      <c r="CX2092">
        <v>0.02</v>
      </c>
      <c r="CY2092">
        <v>71.41</v>
      </c>
      <c r="CZ2092" t="s">
        <v>5141</v>
      </c>
      <c r="DA2092">
        <v>66.02</v>
      </c>
      <c r="DB2092">
        <v>6.6</v>
      </c>
      <c r="DC2092">
        <v>5.74</v>
      </c>
      <c r="DD2092">
        <v>0.78</v>
      </c>
      <c r="DE2092">
        <v>862</v>
      </c>
      <c r="DF2092">
        <v>300705</v>
      </c>
      <c r="DG2092" t="s">
        <v>116</v>
      </c>
      <c r="DH2092" t="s">
        <v>116</v>
      </c>
      <c r="DI2092" t="s">
        <v>116</v>
      </c>
    </row>
    <row r="2093" spans="1:113" x14ac:dyDescent="0.4">
      <c r="A2093" t="str">
        <f>"300706"</f>
        <v>300706</v>
      </c>
      <c r="B2093" t="s">
        <v>10164</v>
      </c>
      <c r="C2093">
        <v>4.5999999999999996</v>
      </c>
      <c r="D2093">
        <v>27.95</v>
      </c>
      <c r="E2093">
        <v>1.23</v>
      </c>
      <c r="F2093">
        <v>27.93</v>
      </c>
      <c r="G2093">
        <v>27.95</v>
      </c>
      <c r="H2093">
        <v>147958</v>
      </c>
      <c r="I2093">
        <v>3856</v>
      </c>
      <c r="J2093">
        <v>-0.13</v>
      </c>
      <c r="K2093">
        <v>23.95</v>
      </c>
      <c r="L2093">
        <v>26.37</v>
      </c>
      <c r="M2093">
        <v>28.3</v>
      </c>
      <c r="N2093">
        <v>25.7</v>
      </c>
      <c r="O2093">
        <v>26.72</v>
      </c>
      <c r="P2093">
        <v>205.02</v>
      </c>
      <c r="Q2093">
        <v>395290528</v>
      </c>
      <c r="R2093">
        <v>1.87</v>
      </c>
      <c r="S2093" t="s">
        <v>233</v>
      </c>
      <c r="T2093" t="s">
        <v>975</v>
      </c>
      <c r="U2093">
        <v>9.73</v>
      </c>
      <c r="V2093">
        <v>26.72</v>
      </c>
      <c r="W2093">
        <v>77909</v>
      </c>
      <c r="X2093">
        <v>70049</v>
      </c>
      <c r="Y2093">
        <v>1.1100000000000001</v>
      </c>
      <c r="Z2093">
        <v>69</v>
      </c>
      <c r="AA2093">
        <v>1860</v>
      </c>
      <c r="AB2093" t="s">
        <v>116</v>
      </c>
      <c r="AC2093">
        <v>2241500</v>
      </c>
      <c r="AD2093">
        <v>0.14000000000000001</v>
      </c>
      <c r="AE2093" t="s">
        <v>116</v>
      </c>
      <c r="AF2093" t="s">
        <v>116</v>
      </c>
      <c r="AG2093">
        <v>0.62</v>
      </c>
      <c r="AH2093" t="s">
        <v>7956</v>
      </c>
      <c r="AI2093" t="s">
        <v>10165</v>
      </c>
      <c r="AJ2093">
        <v>5.28</v>
      </c>
      <c r="AK2093">
        <v>3380</v>
      </c>
      <c r="AL2093">
        <v>44</v>
      </c>
      <c r="AM2093">
        <v>7.1000000000000004E-3</v>
      </c>
      <c r="AN2093">
        <v>4</v>
      </c>
      <c r="AO2093">
        <v>12.66</v>
      </c>
      <c r="AP2093">
        <v>34.049999999999997</v>
      </c>
      <c r="AQ2093">
        <v>11.44</v>
      </c>
      <c r="AR2093">
        <v>15.93</v>
      </c>
      <c r="AS2093">
        <v>23.95</v>
      </c>
      <c r="AT2093" t="s">
        <v>7956</v>
      </c>
      <c r="AU2093">
        <v>257.07</v>
      </c>
      <c r="AV2093">
        <v>142.22999999999999</v>
      </c>
      <c r="AW2093">
        <v>1.25</v>
      </c>
      <c r="BA2093">
        <v>-1.31</v>
      </c>
      <c r="BB2093">
        <v>5.91</v>
      </c>
      <c r="BC2093">
        <v>-3.82</v>
      </c>
      <c r="BD2093">
        <v>-0.01</v>
      </c>
      <c r="BE2093">
        <v>5.99</v>
      </c>
      <c r="BF2093">
        <v>-1.24</v>
      </c>
      <c r="BG2093">
        <v>8.75</v>
      </c>
      <c r="BH2093">
        <v>4.62</v>
      </c>
      <c r="BI2093">
        <v>20191226</v>
      </c>
      <c r="BJ2093">
        <v>20170926</v>
      </c>
      <c r="BK2093">
        <v>1.41</v>
      </c>
      <c r="BL2093" t="s">
        <v>116</v>
      </c>
      <c r="BM2093" t="s">
        <v>116</v>
      </c>
      <c r="BN2093">
        <v>6.65</v>
      </c>
      <c r="BO2093">
        <v>4.41</v>
      </c>
      <c r="BP2093">
        <v>0</v>
      </c>
      <c r="BQ2093">
        <v>33.630000000000003</v>
      </c>
      <c r="BR2093">
        <v>3.18</v>
      </c>
      <c r="BS2093">
        <v>1.8</v>
      </c>
      <c r="BT2093">
        <v>0.16</v>
      </c>
      <c r="BU2093">
        <v>2.1</v>
      </c>
      <c r="BV2093">
        <v>1.02</v>
      </c>
      <c r="BW2093">
        <v>1.24</v>
      </c>
      <c r="BX2093">
        <v>1.7</v>
      </c>
      <c r="BY2093">
        <v>2.4300000000000002</v>
      </c>
      <c r="BZ2093">
        <v>1.94</v>
      </c>
      <c r="CA2093">
        <v>0.16</v>
      </c>
      <c r="CB2093">
        <v>0</v>
      </c>
      <c r="CC2093">
        <v>0.16</v>
      </c>
      <c r="CD2093">
        <v>0.14000000000000001</v>
      </c>
      <c r="CE2093">
        <v>0.14000000000000001</v>
      </c>
      <c r="CF2093">
        <v>0.13</v>
      </c>
      <c r="CG2093">
        <v>1.18</v>
      </c>
      <c r="CH2093">
        <v>-7.0000000000000007E-2</v>
      </c>
      <c r="CI2093">
        <v>-0.24</v>
      </c>
      <c r="CJ2093">
        <v>21418</v>
      </c>
      <c r="CK2093">
        <v>2884</v>
      </c>
      <c r="CL2093" t="s">
        <v>5751</v>
      </c>
      <c r="CM2093">
        <v>-46.2</v>
      </c>
      <c r="CN2093">
        <v>36.03</v>
      </c>
      <c r="CO2093">
        <v>8.93</v>
      </c>
      <c r="CP2093">
        <v>-549.54</v>
      </c>
      <c r="CQ2093">
        <v>16.260000000000002</v>
      </c>
      <c r="CR2093">
        <v>0.11</v>
      </c>
      <c r="CS2093" t="s">
        <v>4514</v>
      </c>
      <c r="CT2093">
        <v>3.13</v>
      </c>
      <c r="CU2093">
        <v>0</v>
      </c>
      <c r="CV2093">
        <v>1.2</v>
      </c>
      <c r="CW2093">
        <v>0.84</v>
      </c>
      <c r="CX2093">
        <v>-0.05</v>
      </c>
      <c r="CY2093">
        <v>66.37</v>
      </c>
      <c r="CZ2093" t="s">
        <v>4785</v>
      </c>
      <c r="DA2093">
        <v>19.84</v>
      </c>
      <c r="DB2093">
        <v>6.75</v>
      </c>
      <c r="DC2093">
        <v>5.95</v>
      </c>
      <c r="DD2093">
        <v>0.08</v>
      </c>
      <c r="DE2093">
        <v>244</v>
      </c>
      <c r="DF2093">
        <v>300706</v>
      </c>
      <c r="DG2093" t="s">
        <v>116</v>
      </c>
      <c r="DH2093" t="s">
        <v>116</v>
      </c>
      <c r="DI2093" t="s">
        <v>116</v>
      </c>
    </row>
    <row r="2094" spans="1:113" x14ac:dyDescent="0.4">
      <c r="A2094" t="str">
        <f>"300707"</f>
        <v>300707</v>
      </c>
      <c r="B2094" t="s">
        <v>10166</v>
      </c>
      <c r="C2094">
        <v>10.029999999999999</v>
      </c>
      <c r="D2094">
        <v>21.29</v>
      </c>
      <c r="E2094">
        <v>1.94</v>
      </c>
      <c r="F2094">
        <v>21.29</v>
      </c>
      <c r="G2094" t="s">
        <v>116</v>
      </c>
      <c r="H2094">
        <v>305028</v>
      </c>
      <c r="I2094">
        <v>179</v>
      </c>
      <c r="J2094">
        <v>0</v>
      </c>
      <c r="K2094">
        <v>39.51</v>
      </c>
      <c r="L2094">
        <v>20.7</v>
      </c>
      <c r="M2094">
        <v>21.29</v>
      </c>
      <c r="N2094">
        <v>20.260000000000002</v>
      </c>
      <c r="O2094">
        <v>19.350000000000001</v>
      </c>
      <c r="P2094">
        <v>89.26</v>
      </c>
      <c r="Q2094">
        <v>640876864</v>
      </c>
      <c r="R2094">
        <v>2.81</v>
      </c>
      <c r="S2094" t="s">
        <v>682</v>
      </c>
      <c r="T2094" t="s">
        <v>323</v>
      </c>
      <c r="U2094">
        <v>5.32</v>
      </c>
      <c r="V2094">
        <v>21.01</v>
      </c>
      <c r="W2094">
        <v>164269</v>
      </c>
      <c r="X2094">
        <v>140759</v>
      </c>
      <c r="Y2094">
        <v>1.17</v>
      </c>
      <c r="Z2094">
        <v>5347</v>
      </c>
      <c r="AA2094">
        <v>0</v>
      </c>
      <c r="AB2094" t="s">
        <v>116</v>
      </c>
      <c r="AC2094">
        <v>24072000</v>
      </c>
      <c r="AD2094">
        <v>1.51</v>
      </c>
      <c r="AE2094">
        <v>0.02</v>
      </c>
      <c r="AF2094">
        <v>11383763</v>
      </c>
      <c r="AG2094">
        <v>0.77</v>
      </c>
      <c r="AH2094" t="s">
        <v>999</v>
      </c>
      <c r="AI2094" t="s">
        <v>10167</v>
      </c>
      <c r="AJ2094">
        <v>10.7</v>
      </c>
      <c r="AK2094">
        <v>3041</v>
      </c>
      <c r="AL2094">
        <v>100</v>
      </c>
      <c r="AM2094">
        <v>1.2999999999999999E-2</v>
      </c>
      <c r="AN2094">
        <v>6</v>
      </c>
      <c r="AO2094">
        <v>33.159999999999997</v>
      </c>
      <c r="AP2094">
        <v>90.6</v>
      </c>
      <c r="AQ2094">
        <v>65.3</v>
      </c>
      <c r="AR2094">
        <v>28.56</v>
      </c>
      <c r="AS2094">
        <v>39.51</v>
      </c>
      <c r="AT2094" t="s">
        <v>999</v>
      </c>
      <c r="AU2094">
        <v>110.4</v>
      </c>
      <c r="AV2094">
        <v>40.450000000000003</v>
      </c>
      <c r="AW2094">
        <v>0.52</v>
      </c>
      <c r="BA2094">
        <v>6.98</v>
      </c>
      <c r="BB2094">
        <v>10.029999999999999</v>
      </c>
      <c r="BC2094">
        <v>4.7</v>
      </c>
      <c r="BD2094">
        <v>8.58</v>
      </c>
      <c r="BE2094">
        <v>2.85</v>
      </c>
      <c r="BF2094">
        <v>0</v>
      </c>
      <c r="BG2094">
        <v>5.08</v>
      </c>
      <c r="BH2094">
        <v>1.44</v>
      </c>
      <c r="BI2094">
        <v>20191026</v>
      </c>
      <c r="BJ2094">
        <v>20171010</v>
      </c>
      <c r="BK2094">
        <v>1.57</v>
      </c>
      <c r="BL2094" t="s">
        <v>116</v>
      </c>
      <c r="BM2094" t="s">
        <v>116</v>
      </c>
      <c r="BN2094">
        <v>8.2200000000000006</v>
      </c>
      <c r="BO2094">
        <v>6.4</v>
      </c>
      <c r="BP2094">
        <v>0.09</v>
      </c>
      <c r="BQ2094">
        <v>21.13</v>
      </c>
      <c r="BR2094">
        <v>5.09</v>
      </c>
      <c r="BS2094">
        <v>2.2999999999999998</v>
      </c>
      <c r="BT2094">
        <v>0.38</v>
      </c>
      <c r="BU2094">
        <v>1.62</v>
      </c>
      <c r="BV2094">
        <v>1.57</v>
      </c>
      <c r="BW2094">
        <v>1.03</v>
      </c>
      <c r="BX2094">
        <v>2.46</v>
      </c>
      <c r="BY2094">
        <v>2.89</v>
      </c>
      <c r="BZ2094">
        <v>1.68</v>
      </c>
      <c r="CA2094">
        <v>0.33</v>
      </c>
      <c r="CB2094">
        <v>0.01</v>
      </c>
      <c r="CC2094">
        <v>0.34</v>
      </c>
      <c r="CD2094">
        <v>0.28000000000000003</v>
      </c>
      <c r="CE2094">
        <v>0.28000000000000003</v>
      </c>
      <c r="CF2094">
        <v>0.26</v>
      </c>
      <c r="CG2094">
        <v>2.14</v>
      </c>
      <c r="CH2094">
        <v>0.69</v>
      </c>
      <c r="CI2094">
        <v>-0.7</v>
      </c>
      <c r="CJ2094">
        <v>13189</v>
      </c>
      <c r="CK2094">
        <v>5853</v>
      </c>
      <c r="CL2094" t="s">
        <v>10168</v>
      </c>
      <c r="CM2094">
        <v>-65.09</v>
      </c>
      <c r="CN2094">
        <v>-28.53</v>
      </c>
      <c r="CO2094">
        <v>5.23</v>
      </c>
      <c r="CP2094">
        <v>48.22</v>
      </c>
      <c r="CQ2094">
        <v>11.57</v>
      </c>
      <c r="CR2094">
        <v>0.47</v>
      </c>
      <c r="CS2094" t="s">
        <v>5426</v>
      </c>
      <c r="CT2094">
        <v>4.07</v>
      </c>
      <c r="CU2094">
        <v>0</v>
      </c>
      <c r="CV2094">
        <v>1.56</v>
      </c>
      <c r="CW2094">
        <v>1.36</v>
      </c>
      <c r="CX2094">
        <v>0.44</v>
      </c>
      <c r="CY2094">
        <v>77.819999999999993</v>
      </c>
      <c r="CZ2094" t="s">
        <v>2510</v>
      </c>
      <c r="DA2094">
        <v>42.1</v>
      </c>
      <c r="DB2094">
        <v>11.37</v>
      </c>
      <c r="DC2094">
        <v>9.7200000000000006</v>
      </c>
      <c r="DD2094">
        <v>0.16</v>
      </c>
      <c r="DE2094">
        <v>782</v>
      </c>
      <c r="DF2094">
        <v>300707</v>
      </c>
      <c r="DG2094" t="s">
        <v>116</v>
      </c>
      <c r="DH2094" t="s">
        <v>116</v>
      </c>
      <c r="DI2094" t="s">
        <v>116</v>
      </c>
    </row>
    <row r="2095" spans="1:113" x14ac:dyDescent="0.4">
      <c r="A2095" t="str">
        <f>"300708"</f>
        <v>300708</v>
      </c>
      <c r="B2095" t="s">
        <v>10169</v>
      </c>
      <c r="C2095">
        <v>-3.53</v>
      </c>
      <c r="D2095">
        <v>13.41</v>
      </c>
      <c r="E2095">
        <v>-0.49</v>
      </c>
      <c r="F2095">
        <v>13.4</v>
      </c>
      <c r="G2095">
        <v>13.41</v>
      </c>
      <c r="H2095">
        <v>54410</v>
      </c>
      <c r="I2095">
        <v>1219</v>
      </c>
      <c r="J2095">
        <v>-0.14000000000000001</v>
      </c>
      <c r="K2095">
        <v>6.22</v>
      </c>
      <c r="L2095">
        <v>13.85</v>
      </c>
      <c r="M2095">
        <v>14.02</v>
      </c>
      <c r="N2095">
        <v>13.41</v>
      </c>
      <c r="O2095">
        <v>13.9</v>
      </c>
      <c r="P2095">
        <v>183.74</v>
      </c>
      <c r="Q2095">
        <v>74538272</v>
      </c>
      <c r="R2095">
        <v>1.1200000000000001</v>
      </c>
      <c r="S2095" t="s">
        <v>3507</v>
      </c>
      <c r="T2095" t="s">
        <v>323</v>
      </c>
      <c r="U2095">
        <v>4.3899999999999997</v>
      </c>
      <c r="V2095">
        <v>13.7</v>
      </c>
      <c r="W2095">
        <v>33877</v>
      </c>
      <c r="X2095">
        <v>20533</v>
      </c>
      <c r="Y2095">
        <v>1.65</v>
      </c>
      <c r="Z2095">
        <v>314</v>
      </c>
      <c r="AA2095">
        <v>165</v>
      </c>
      <c r="AB2095" t="s">
        <v>116</v>
      </c>
      <c r="AC2095">
        <v>160700</v>
      </c>
      <c r="AD2095">
        <v>0.01</v>
      </c>
      <c r="AE2095" t="s">
        <v>116</v>
      </c>
      <c r="AF2095" t="s">
        <v>116</v>
      </c>
      <c r="AG2095">
        <v>0.87</v>
      </c>
      <c r="AH2095" t="s">
        <v>4242</v>
      </c>
      <c r="AI2095" t="s">
        <v>10170</v>
      </c>
      <c r="AJ2095">
        <v>-2.85</v>
      </c>
      <c r="AK2095">
        <v>2122</v>
      </c>
      <c r="AL2095">
        <v>26</v>
      </c>
      <c r="AM2095">
        <v>2.8999999999999998E-3</v>
      </c>
      <c r="AN2095">
        <v>-1</v>
      </c>
      <c r="AO2095">
        <v>-0.45</v>
      </c>
      <c r="AP2095">
        <v>9.1999999999999993</v>
      </c>
      <c r="AQ2095">
        <v>-8.2100000000000009</v>
      </c>
      <c r="AR2095">
        <v>24.98</v>
      </c>
      <c r="AS2095">
        <v>6.56</v>
      </c>
      <c r="AT2095" t="s">
        <v>10171</v>
      </c>
      <c r="AU2095">
        <v>29.7</v>
      </c>
      <c r="AV2095">
        <v>171.09</v>
      </c>
      <c r="AW2095">
        <v>1.67</v>
      </c>
      <c r="BA2095">
        <v>-0.36</v>
      </c>
      <c r="BB2095">
        <v>0.86</v>
      </c>
      <c r="BC2095">
        <v>-3.53</v>
      </c>
      <c r="BD2095">
        <v>-1.44</v>
      </c>
      <c r="BE2095">
        <v>-3.18</v>
      </c>
      <c r="BF2095">
        <v>-4.3499999999999996</v>
      </c>
      <c r="BG2095">
        <v>0</v>
      </c>
      <c r="BH2095">
        <v>-2.08</v>
      </c>
      <c r="BI2095">
        <v>20191114</v>
      </c>
      <c r="BJ2095">
        <v>20171016</v>
      </c>
      <c r="BK2095">
        <v>2.6</v>
      </c>
      <c r="BL2095" t="s">
        <v>116</v>
      </c>
      <c r="BM2095" t="s">
        <v>116</v>
      </c>
      <c r="BN2095">
        <v>25.82</v>
      </c>
      <c r="BO2095">
        <v>7.47</v>
      </c>
      <c r="BP2095">
        <v>0</v>
      </c>
      <c r="BQ2095">
        <v>71.08</v>
      </c>
      <c r="BR2095">
        <v>13.59</v>
      </c>
      <c r="BS2095">
        <v>9.24</v>
      </c>
      <c r="BT2095">
        <v>0.44</v>
      </c>
      <c r="BU2095">
        <v>13.17</v>
      </c>
      <c r="BV2095">
        <v>2.48</v>
      </c>
      <c r="BW2095">
        <v>3.77</v>
      </c>
      <c r="BX2095">
        <v>2.72</v>
      </c>
      <c r="BY2095">
        <v>7.88</v>
      </c>
      <c r="BZ2095">
        <v>6.82</v>
      </c>
      <c r="CA2095">
        <v>0.16</v>
      </c>
      <c r="CB2095">
        <v>0</v>
      </c>
      <c r="CC2095">
        <v>0.16</v>
      </c>
      <c r="CD2095">
        <v>0.14000000000000001</v>
      </c>
      <c r="CE2095">
        <v>0.14000000000000001</v>
      </c>
      <c r="CF2095">
        <v>-0.18</v>
      </c>
      <c r="CG2095">
        <v>1.8</v>
      </c>
      <c r="CH2095">
        <v>3.36</v>
      </c>
      <c r="CI2095">
        <v>-0.84</v>
      </c>
      <c r="CJ2095">
        <v>27859</v>
      </c>
      <c r="CK2095">
        <v>2976</v>
      </c>
      <c r="CL2095" t="s">
        <v>2417</v>
      </c>
      <c r="CM2095">
        <v>117.19</v>
      </c>
      <c r="CN2095">
        <v>107.97</v>
      </c>
      <c r="CO2095">
        <v>4.66</v>
      </c>
      <c r="CP2095">
        <v>10.37</v>
      </c>
      <c r="CQ2095">
        <v>4.42</v>
      </c>
      <c r="CR2095">
        <v>0.15</v>
      </c>
      <c r="CS2095" t="s">
        <v>365</v>
      </c>
      <c r="CT2095">
        <v>2.88</v>
      </c>
      <c r="CU2095">
        <v>2.88</v>
      </c>
      <c r="CV2095">
        <v>1.05</v>
      </c>
      <c r="CW2095">
        <v>0.69</v>
      </c>
      <c r="CX2095">
        <v>1.29</v>
      </c>
      <c r="CY2095">
        <v>28.92</v>
      </c>
      <c r="CZ2095" t="s">
        <v>2429</v>
      </c>
      <c r="DA2095">
        <v>13.48</v>
      </c>
      <c r="DB2095">
        <v>1.99</v>
      </c>
      <c r="DC2095">
        <v>1.81</v>
      </c>
      <c r="DD2095">
        <v>0.25</v>
      </c>
      <c r="DE2095">
        <v>1054</v>
      </c>
      <c r="DF2095">
        <v>300708</v>
      </c>
      <c r="DG2095" t="s">
        <v>116</v>
      </c>
      <c r="DH2095" t="s">
        <v>116</v>
      </c>
      <c r="DI2095" t="s">
        <v>116</v>
      </c>
    </row>
    <row r="2096" spans="1:113" x14ac:dyDescent="0.4">
      <c r="A2096" t="str">
        <f>"300709"</f>
        <v>300709</v>
      </c>
      <c r="B2096" t="s">
        <v>10172</v>
      </c>
      <c r="C2096">
        <v>-4.78</v>
      </c>
      <c r="D2096">
        <v>99.98</v>
      </c>
      <c r="E2096">
        <v>-5.0199999999999996</v>
      </c>
      <c r="F2096">
        <v>99.98</v>
      </c>
      <c r="G2096">
        <v>100</v>
      </c>
      <c r="H2096">
        <v>24769</v>
      </c>
      <c r="I2096">
        <v>337</v>
      </c>
      <c r="J2096">
        <v>-0.8</v>
      </c>
      <c r="K2096">
        <v>4.38</v>
      </c>
      <c r="L2096">
        <v>104.66</v>
      </c>
      <c r="M2096">
        <v>107</v>
      </c>
      <c r="N2096">
        <v>99.77</v>
      </c>
      <c r="O2096">
        <v>105</v>
      </c>
      <c r="P2096">
        <v>64.97</v>
      </c>
      <c r="Q2096">
        <v>254670096</v>
      </c>
      <c r="R2096">
        <v>0.85</v>
      </c>
      <c r="S2096" t="s">
        <v>233</v>
      </c>
      <c r="T2096" t="s">
        <v>323</v>
      </c>
      <c r="U2096">
        <v>6.89</v>
      </c>
      <c r="V2096">
        <v>102.82</v>
      </c>
      <c r="W2096">
        <v>13758</v>
      </c>
      <c r="X2096">
        <v>11011</v>
      </c>
      <c r="Y2096">
        <v>1.25</v>
      </c>
      <c r="Z2096">
        <v>71</v>
      </c>
      <c r="AA2096">
        <v>92</v>
      </c>
      <c r="AB2096" t="s">
        <v>116</v>
      </c>
      <c r="AC2096">
        <v>1067500</v>
      </c>
      <c r="AD2096">
        <v>0.02</v>
      </c>
      <c r="AE2096" t="s">
        <v>116</v>
      </c>
      <c r="AF2096" t="s">
        <v>116</v>
      </c>
      <c r="AG2096">
        <v>0.56999999999999995</v>
      </c>
      <c r="AH2096" t="s">
        <v>10173</v>
      </c>
      <c r="AI2096" t="s">
        <v>10174</v>
      </c>
      <c r="AJ2096">
        <v>-4.0999999999999996</v>
      </c>
      <c r="AK2096">
        <v>2732</v>
      </c>
      <c r="AL2096">
        <v>9</v>
      </c>
      <c r="AM2096">
        <v>1.6000000000000001E-3</v>
      </c>
      <c r="AN2096">
        <v>-1</v>
      </c>
      <c r="AO2096">
        <v>-7.85</v>
      </c>
      <c r="AP2096">
        <v>26.43</v>
      </c>
      <c r="AQ2096">
        <v>70.61</v>
      </c>
      <c r="AR2096">
        <v>280.44</v>
      </c>
      <c r="AS2096">
        <v>4.8600000000000003</v>
      </c>
      <c r="AT2096" t="s">
        <v>10175</v>
      </c>
      <c r="AU2096">
        <v>73.33</v>
      </c>
      <c r="AV2096">
        <v>238.63</v>
      </c>
      <c r="AW2096">
        <v>1.36</v>
      </c>
      <c r="BA2096">
        <v>-0.32</v>
      </c>
      <c r="BB2096">
        <v>1.9</v>
      </c>
      <c r="BC2096">
        <v>-4.9800000000000004</v>
      </c>
      <c r="BD2096">
        <v>-2.08</v>
      </c>
      <c r="BE2096">
        <v>-4.47</v>
      </c>
      <c r="BF2096">
        <v>-6.56</v>
      </c>
      <c r="BG2096">
        <v>0.21</v>
      </c>
      <c r="BH2096">
        <v>-2.7</v>
      </c>
      <c r="BI2096">
        <v>20191029</v>
      </c>
      <c r="BJ2096">
        <v>20171019</v>
      </c>
      <c r="BK2096">
        <v>0.89</v>
      </c>
      <c r="BL2096" t="s">
        <v>116</v>
      </c>
      <c r="BM2096" t="s">
        <v>116</v>
      </c>
      <c r="BN2096">
        <v>20.2</v>
      </c>
      <c r="BO2096">
        <v>13.79</v>
      </c>
      <c r="BP2096">
        <v>0</v>
      </c>
      <c r="BQ2096">
        <v>31.76</v>
      </c>
      <c r="BR2096">
        <v>12.44</v>
      </c>
      <c r="BS2096">
        <v>6.49</v>
      </c>
      <c r="BT2096">
        <v>0.48</v>
      </c>
      <c r="BU2096">
        <v>6.27</v>
      </c>
      <c r="BV2096">
        <v>2.0299999999999998</v>
      </c>
      <c r="BW2096">
        <v>4.9000000000000004</v>
      </c>
      <c r="BX2096">
        <v>8.76</v>
      </c>
      <c r="BY2096">
        <v>10.3</v>
      </c>
      <c r="BZ2096">
        <v>6.29</v>
      </c>
      <c r="CA2096">
        <v>1.27</v>
      </c>
      <c r="CB2096">
        <v>0.05</v>
      </c>
      <c r="CC2096">
        <v>1.2</v>
      </c>
      <c r="CD2096">
        <v>1.02</v>
      </c>
      <c r="CE2096">
        <v>1.02</v>
      </c>
      <c r="CF2096">
        <v>1.1499999999999999</v>
      </c>
      <c r="CG2096">
        <v>3.66</v>
      </c>
      <c r="CH2096">
        <v>2.39</v>
      </c>
      <c r="CI2096">
        <v>-2.09</v>
      </c>
      <c r="CJ2096">
        <v>8400</v>
      </c>
      <c r="CK2096">
        <v>6069</v>
      </c>
      <c r="CL2096" t="s">
        <v>10176</v>
      </c>
      <c r="CM2096">
        <v>450.4</v>
      </c>
      <c r="CN2096">
        <v>76.17</v>
      </c>
      <c r="CO2096">
        <v>6.44</v>
      </c>
      <c r="CP2096">
        <v>37.200000000000003</v>
      </c>
      <c r="CQ2096">
        <v>8.61</v>
      </c>
      <c r="CR2096">
        <v>0.11</v>
      </c>
      <c r="CS2096" t="s">
        <v>9482</v>
      </c>
      <c r="CT2096">
        <v>15.53</v>
      </c>
      <c r="CU2096">
        <v>0</v>
      </c>
      <c r="CV2096">
        <v>9.8699999999999992</v>
      </c>
      <c r="CW2096">
        <v>4.13</v>
      </c>
      <c r="CX2096">
        <v>2.69</v>
      </c>
      <c r="CY2096">
        <v>68.239999999999995</v>
      </c>
      <c r="CZ2096" t="s">
        <v>3068</v>
      </c>
      <c r="DA2096">
        <v>38.979999999999997</v>
      </c>
      <c r="DB2096">
        <v>12.32</v>
      </c>
      <c r="DC2096">
        <v>9.94</v>
      </c>
      <c r="DD2096">
        <v>1.03</v>
      </c>
      <c r="DE2096">
        <v>2340</v>
      </c>
      <c r="DF2096">
        <v>300709</v>
      </c>
      <c r="DG2096" t="s">
        <v>116</v>
      </c>
      <c r="DH2096" t="s">
        <v>116</v>
      </c>
      <c r="DI2096" t="s">
        <v>116</v>
      </c>
    </row>
    <row r="2097" spans="1:113" x14ac:dyDescent="0.4">
      <c r="A2097" t="str">
        <f>"300710"</f>
        <v>300710</v>
      </c>
      <c r="B2097" t="s">
        <v>10177</v>
      </c>
      <c r="C2097">
        <v>-1.55</v>
      </c>
      <c r="D2097">
        <v>28.6</v>
      </c>
      <c r="E2097">
        <v>-0.45</v>
      </c>
      <c r="F2097">
        <v>28.6</v>
      </c>
      <c r="G2097">
        <v>28.61</v>
      </c>
      <c r="H2097">
        <v>10937</v>
      </c>
      <c r="I2097">
        <v>120</v>
      </c>
      <c r="J2097">
        <v>-0.2</v>
      </c>
      <c r="K2097">
        <v>3.26</v>
      </c>
      <c r="L2097">
        <v>29.06</v>
      </c>
      <c r="M2097">
        <v>29.47</v>
      </c>
      <c r="N2097">
        <v>28.6</v>
      </c>
      <c r="O2097">
        <v>29.05</v>
      </c>
      <c r="P2097">
        <v>73.790000000000006</v>
      </c>
      <c r="Q2097">
        <v>31738160</v>
      </c>
      <c r="R2097">
        <v>0.95</v>
      </c>
      <c r="S2097" t="s">
        <v>465</v>
      </c>
      <c r="T2097" t="s">
        <v>590</v>
      </c>
      <c r="U2097">
        <v>2.99</v>
      </c>
      <c r="V2097">
        <v>29.02</v>
      </c>
      <c r="W2097">
        <v>6337</v>
      </c>
      <c r="X2097">
        <v>4600</v>
      </c>
      <c r="Y2097">
        <v>1.38</v>
      </c>
      <c r="Z2097">
        <v>26</v>
      </c>
      <c r="AA2097">
        <v>3</v>
      </c>
      <c r="AB2097" t="s">
        <v>116</v>
      </c>
      <c r="AC2097">
        <v>37800</v>
      </c>
      <c r="AD2097">
        <v>0</v>
      </c>
      <c r="AE2097" t="s">
        <v>116</v>
      </c>
      <c r="AF2097" t="s">
        <v>116</v>
      </c>
      <c r="AG2097">
        <v>0.34</v>
      </c>
      <c r="AH2097" t="s">
        <v>10178</v>
      </c>
      <c r="AI2097" t="s">
        <v>8787</v>
      </c>
      <c r="AJ2097">
        <v>-0.87</v>
      </c>
      <c r="AK2097">
        <v>1135</v>
      </c>
      <c r="AL2097">
        <v>10</v>
      </c>
      <c r="AM2097">
        <v>2.8999999999999998E-3</v>
      </c>
      <c r="AN2097">
        <v>-1</v>
      </c>
      <c r="AO2097">
        <v>-0.77</v>
      </c>
      <c r="AP2097">
        <v>8.0500000000000007</v>
      </c>
      <c r="AQ2097">
        <v>2.44</v>
      </c>
      <c r="AR2097">
        <v>24.24</v>
      </c>
      <c r="AS2097">
        <v>3.26</v>
      </c>
      <c r="AT2097" t="s">
        <v>10178</v>
      </c>
      <c r="AU2097">
        <v>94.14</v>
      </c>
      <c r="AV2097">
        <v>135.87</v>
      </c>
      <c r="AW2097">
        <v>1.41</v>
      </c>
      <c r="BA2097">
        <v>0.03</v>
      </c>
      <c r="BB2097">
        <v>1.45</v>
      </c>
      <c r="BC2097">
        <v>-1.55</v>
      </c>
      <c r="BD2097">
        <v>-0.11</v>
      </c>
      <c r="BE2097">
        <v>-1.58</v>
      </c>
      <c r="BF2097">
        <v>-2.95</v>
      </c>
      <c r="BG2097">
        <v>0</v>
      </c>
      <c r="BH2097">
        <v>-1.44</v>
      </c>
      <c r="BI2097">
        <v>20191029</v>
      </c>
      <c r="BJ2097">
        <v>20171019</v>
      </c>
      <c r="BK2097">
        <v>0.69</v>
      </c>
      <c r="BL2097" t="s">
        <v>116</v>
      </c>
      <c r="BM2097" t="s">
        <v>116</v>
      </c>
      <c r="BN2097">
        <v>9.57</v>
      </c>
      <c r="BO2097">
        <v>5.94</v>
      </c>
      <c r="BP2097">
        <v>0.43</v>
      </c>
      <c r="BQ2097">
        <v>33.44</v>
      </c>
      <c r="BR2097">
        <v>7.9</v>
      </c>
      <c r="BS2097">
        <v>0.37</v>
      </c>
      <c r="BT2097">
        <v>0.14000000000000001</v>
      </c>
      <c r="BU2097">
        <v>3.2</v>
      </c>
      <c r="BV2097">
        <v>0.95</v>
      </c>
      <c r="BW2097">
        <v>2.86</v>
      </c>
      <c r="BX2097">
        <v>3.3</v>
      </c>
      <c r="BY2097">
        <v>2.88</v>
      </c>
      <c r="BZ2097">
        <v>2.06</v>
      </c>
      <c r="CA2097">
        <v>0.23</v>
      </c>
      <c r="CB2097">
        <v>0.05</v>
      </c>
      <c r="CC2097">
        <v>0.27</v>
      </c>
      <c r="CD2097">
        <v>0.25</v>
      </c>
      <c r="CE2097">
        <v>0.2</v>
      </c>
      <c r="CF2097">
        <v>0.08</v>
      </c>
      <c r="CG2097">
        <v>1.72</v>
      </c>
      <c r="CH2097">
        <v>0.78</v>
      </c>
      <c r="CI2097">
        <v>0.16</v>
      </c>
      <c r="CJ2097">
        <v>11344</v>
      </c>
      <c r="CK2097">
        <v>2955</v>
      </c>
      <c r="CL2097" t="s">
        <v>5554</v>
      </c>
      <c r="CM2097">
        <v>47.27</v>
      </c>
      <c r="CN2097">
        <v>14.27</v>
      </c>
      <c r="CO2097">
        <v>3.3</v>
      </c>
      <c r="CP2097">
        <v>25.05</v>
      </c>
      <c r="CQ2097">
        <v>6.81</v>
      </c>
      <c r="CR2097">
        <v>0.14000000000000001</v>
      </c>
      <c r="CS2097" t="s">
        <v>8343</v>
      </c>
      <c r="CT2097">
        <v>8.66</v>
      </c>
      <c r="CU2097">
        <v>0</v>
      </c>
      <c r="CV2097">
        <v>4.8099999999999996</v>
      </c>
      <c r="CW2097">
        <v>2.5099999999999998</v>
      </c>
      <c r="CX2097">
        <v>1.1399999999999999</v>
      </c>
      <c r="CY2097">
        <v>62.03</v>
      </c>
      <c r="CZ2097" t="s">
        <v>5854</v>
      </c>
      <c r="DA2097">
        <v>28.41</v>
      </c>
      <c r="DB2097">
        <v>8.0299999999999994</v>
      </c>
      <c r="DC2097">
        <v>6.92</v>
      </c>
      <c r="DD2097">
        <v>0.15</v>
      </c>
      <c r="DE2097">
        <v>583</v>
      </c>
      <c r="DF2097">
        <v>300710</v>
      </c>
      <c r="DG2097" t="s">
        <v>116</v>
      </c>
      <c r="DH2097" t="s">
        <v>116</v>
      </c>
      <c r="DI2097" t="s">
        <v>116</v>
      </c>
    </row>
    <row r="2098" spans="1:113" x14ac:dyDescent="0.4">
      <c r="A2098" t="str">
        <f>"300711"</f>
        <v>300711</v>
      </c>
      <c r="B2098" t="s">
        <v>10179</v>
      </c>
      <c r="C2098">
        <v>-0.8</v>
      </c>
      <c r="D2098">
        <v>14.79</v>
      </c>
      <c r="E2098">
        <v>-0.12</v>
      </c>
      <c r="F2098">
        <v>14.78</v>
      </c>
      <c r="G2098">
        <v>14.79</v>
      </c>
      <c r="H2098">
        <v>14530</v>
      </c>
      <c r="I2098">
        <v>711</v>
      </c>
      <c r="J2098">
        <v>0.96</v>
      </c>
      <c r="K2098">
        <v>2.61</v>
      </c>
      <c r="L2098">
        <v>14.93</v>
      </c>
      <c r="M2098">
        <v>15.01</v>
      </c>
      <c r="N2098">
        <v>14.6</v>
      </c>
      <c r="O2098">
        <v>14.91</v>
      </c>
      <c r="P2098" t="s">
        <v>116</v>
      </c>
      <c r="Q2098">
        <v>21528282</v>
      </c>
      <c r="R2098">
        <v>0.61</v>
      </c>
      <c r="S2098" t="s">
        <v>465</v>
      </c>
      <c r="T2098" t="s">
        <v>551</v>
      </c>
      <c r="U2098">
        <v>2.75</v>
      </c>
      <c r="V2098">
        <v>14.82</v>
      </c>
      <c r="W2098">
        <v>8877</v>
      </c>
      <c r="X2098">
        <v>5653</v>
      </c>
      <c r="Y2098">
        <v>1.57</v>
      </c>
      <c r="Z2098">
        <v>19</v>
      </c>
      <c r="AA2098">
        <v>214</v>
      </c>
      <c r="AB2098" t="s">
        <v>116</v>
      </c>
      <c r="AC2098">
        <v>22400</v>
      </c>
      <c r="AD2098">
        <v>0</v>
      </c>
      <c r="AE2098" t="s">
        <v>116</v>
      </c>
      <c r="AF2098" t="s">
        <v>116</v>
      </c>
      <c r="AG2098">
        <v>0.56000000000000005</v>
      </c>
      <c r="AH2098" t="s">
        <v>7346</v>
      </c>
      <c r="AI2098" t="s">
        <v>1608</v>
      </c>
      <c r="AJ2098">
        <v>-0.13</v>
      </c>
      <c r="AK2098">
        <v>712</v>
      </c>
      <c r="AL2098">
        <v>20</v>
      </c>
      <c r="AM2098">
        <v>3.7000000000000002E-3</v>
      </c>
      <c r="AN2098">
        <v>-1</v>
      </c>
      <c r="AO2098">
        <v>-1.59</v>
      </c>
      <c r="AP2098">
        <v>9.4700000000000006</v>
      </c>
      <c r="AQ2098">
        <v>-9.93</v>
      </c>
      <c r="AR2098">
        <v>-9.5</v>
      </c>
      <c r="AS2098">
        <v>2.61</v>
      </c>
      <c r="AT2098" t="s">
        <v>7346</v>
      </c>
      <c r="AU2098" t="s">
        <v>116</v>
      </c>
      <c r="AV2098">
        <v>163.85</v>
      </c>
      <c r="AW2098">
        <v>1.24</v>
      </c>
      <c r="BA2098">
        <v>0.13</v>
      </c>
      <c r="BB2098">
        <v>0.67</v>
      </c>
      <c r="BC2098">
        <v>-2.08</v>
      </c>
      <c r="BD2098">
        <v>-0.62</v>
      </c>
      <c r="BE2098">
        <v>-0.94</v>
      </c>
      <c r="BF2098">
        <v>-1.47</v>
      </c>
      <c r="BG2098">
        <v>1.3</v>
      </c>
      <c r="BH2098">
        <v>-0.18</v>
      </c>
      <c r="BI2098">
        <v>20191025</v>
      </c>
      <c r="BJ2098">
        <v>20171101</v>
      </c>
      <c r="BK2098">
        <v>1.73</v>
      </c>
      <c r="BL2098" t="s">
        <v>116</v>
      </c>
      <c r="BM2098" t="s">
        <v>116</v>
      </c>
      <c r="BN2098">
        <v>6.35</v>
      </c>
      <c r="BO2098">
        <v>5.33</v>
      </c>
      <c r="BP2098">
        <v>0</v>
      </c>
      <c r="BQ2098">
        <v>16.170000000000002</v>
      </c>
      <c r="BR2098">
        <v>5.54</v>
      </c>
      <c r="BS2098">
        <v>0.57999999999999996</v>
      </c>
      <c r="BT2098">
        <v>0.08</v>
      </c>
      <c r="BU2098">
        <v>1</v>
      </c>
      <c r="BV2098">
        <v>1.55</v>
      </c>
      <c r="BW2098">
        <v>1.6</v>
      </c>
      <c r="BX2098">
        <v>2.27</v>
      </c>
      <c r="BY2098">
        <v>1.03</v>
      </c>
      <c r="BZ2098">
        <v>0.55000000000000004</v>
      </c>
      <c r="CA2098">
        <v>-0.26</v>
      </c>
      <c r="CB2098">
        <v>0</v>
      </c>
      <c r="CC2098">
        <v>-0.26</v>
      </c>
      <c r="CD2098">
        <v>-0.23</v>
      </c>
      <c r="CE2098">
        <v>-0.23</v>
      </c>
      <c r="CF2098">
        <v>-0.24</v>
      </c>
      <c r="CG2098">
        <v>1.08</v>
      </c>
      <c r="CH2098">
        <v>-0.49</v>
      </c>
      <c r="CI2098">
        <v>-0.56000000000000005</v>
      </c>
      <c r="CJ2098">
        <v>16281</v>
      </c>
      <c r="CK2098">
        <v>3425</v>
      </c>
      <c r="CL2098" t="s">
        <v>5710</v>
      </c>
      <c r="CM2098">
        <v>-222.5</v>
      </c>
      <c r="CN2098">
        <v>-20.57</v>
      </c>
      <c r="CO2098">
        <v>4.8099999999999996</v>
      </c>
      <c r="CP2098">
        <v>-52.68</v>
      </c>
      <c r="CQ2098">
        <v>24.79</v>
      </c>
      <c r="CR2098">
        <v>0.16</v>
      </c>
      <c r="CS2098" t="s">
        <v>10180</v>
      </c>
      <c r="CT2098">
        <v>3.08</v>
      </c>
      <c r="CU2098">
        <v>0</v>
      </c>
      <c r="CV2098">
        <v>1.31</v>
      </c>
      <c r="CW2098">
        <v>0.63</v>
      </c>
      <c r="CX2098">
        <v>-0.28000000000000003</v>
      </c>
      <c r="CY2098">
        <v>83.83</v>
      </c>
      <c r="CZ2098" t="s">
        <v>10181</v>
      </c>
      <c r="DA2098">
        <v>46.3</v>
      </c>
      <c r="DB2098">
        <v>-25.62</v>
      </c>
      <c r="DC2098">
        <v>-22.1</v>
      </c>
      <c r="DD2098">
        <v>0.3</v>
      </c>
      <c r="DE2098">
        <v>365</v>
      </c>
      <c r="DF2098">
        <v>300711</v>
      </c>
      <c r="DG2098" t="s">
        <v>116</v>
      </c>
      <c r="DH2098" t="s">
        <v>116</v>
      </c>
      <c r="DI2098" t="s">
        <v>116</v>
      </c>
    </row>
    <row r="2099" spans="1:113" x14ac:dyDescent="0.4">
      <c r="A2099" t="str">
        <f>"300712"</f>
        <v>300712</v>
      </c>
      <c r="B2099" t="s">
        <v>10182</v>
      </c>
      <c r="C2099">
        <v>-1.44</v>
      </c>
      <c r="D2099">
        <v>11.63</v>
      </c>
      <c r="E2099">
        <v>-0.17</v>
      </c>
      <c r="F2099">
        <v>11.62</v>
      </c>
      <c r="G2099">
        <v>11.63</v>
      </c>
      <c r="H2099">
        <v>13882</v>
      </c>
      <c r="I2099">
        <v>316</v>
      </c>
      <c r="J2099">
        <v>-0.16</v>
      </c>
      <c r="K2099">
        <v>1.77</v>
      </c>
      <c r="L2099">
        <v>11.79</v>
      </c>
      <c r="M2099">
        <v>11.83</v>
      </c>
      <c r="N2099">
        <v>11.61</v>
      </c>
      <c r="O2099">
        <v>11.8</v>
      </c>
      <c r="P2099">
        <v>31.3</v>
      </c>
      <c r="Q2099">
        <v>16309620</v>
      </c>
      <c r="R2099">
        <v>0.68</v>
      </c>
      <c r="S2099" t="s">
        <v>181</v>
      </c>
      <c r="T2099" t="s">
        <v>975</v>
      </c>
      <c r="U2099">
        <v>1.86</v>
      </c>
      <c r="V2099">
        <v>11.75</v>
      </c>
      <c r="W2099">
        <v>8037</v>
      </c>
      <c r="X2099">
        <v>5845</v>
      </c>
      <c r="Y2099">
        <v>1.38</v>
      </c>
      <c r="Z2099">
        <v>106</v>
      </c>
      <c r="AA2099">
        <v>93</v>
      </c>
      <c r="AB2099" t="s">
        <v>116</v>
      </c>
      <c r="AC2099">
        <v>17700</v>
      </c>
      <c r="AD2099">
        <v>0</v>
      </c>
      <c r="AE2099" t="s">
        <v>116</v>
      </c>
      <c r="AF2099" t="s">
        <v>116</v>
      </c>
      <c r="AG2099">
        <v>0.78</v>
      </c>
      <c r="AH2099" t="s">
        <v>6338</v>
      </c>
      <c r="AI2099" t="s">
        <v>9206</v>
      </c>
      <c r="AJ2099">
        <v>-0.76</v>
      </c>
      <c r="AK2099">
        <v>632</v>
      </c>
      <c r="AL2099">
        <v>22</v>
      </c>
      <c r="AM2099">
        <v>2.8E-3</v>
      </c>
      <c r="AN2099">
        <v>-1</v>
      </c>
      <c r="AO2099">
        <v>0.09</v>
      </c>
      <c r="AP2099">
        <v>0.17</v>
      </c>
      <c r="AQ2099">
        <v>-13.79</v>
      </c>
      <c r="AR2099">
        <v>4.13</v>
      </c>
      <c r="AS2099">
        <v>1.77</v>
      </c>
      <c r="AT2099" t="s">
        <v>6338</v>
      </c>
      <c r="AU2099">
        <v>30.95</v>
      </c>
      <c r="AV2099">
        <v>28.8</v>
      </c>
      <c r="AW2099">
        <v>1.1200000000000001</v>
      </c>
      <c r="BA2099">
        <v>-0.08</v>
      </c>
      <c r="BB2099">
        <v>0.25</v>
      </c>
      <c r="BC2099">
        <v>-1.61</v>
      </c>
      <c r="BD2099">
        <v>-0.43</v>
      </c>
      <c r="BE2099">
        <v>-1.36</v>
      </c>
      <c r="BF2099">
        <v>-1.69</v>
      </c>
      <c r="BG2099">
        <v>0.17</v>
      </c>
      <c r="BH2099">
        <v>-1.01</v>
      </c>
      <c r="BI2099">
        <v>20191029</v>
      </c>
      <c r="BJ2099">
        <v>20171031</v>
      </c>
      <c r="BK2099">
        <v>1.82</v>
      </c>
      <c r="BL2099" t="s">
        <v>116</v>
      </c>
      <c r="BM2099" t="s">
        <v>116</v>
      </c>
      <c r="BN2099">
        <v>18.670000000000002</v>
      </c>
      <c r="BO2099">
        <v>9.67</v>
      </c>
      <c r="BP2099">
        <v>0.04</v>
      </c>
      <c r="BQ2099">
        <v>48.03</v>
      </c>
      <c r="BR2099">
        <v>15.49</v>
      </c>
      <c r="BS2099">
        <v>2.27</v>
      </c>
      <c r="BT2099">
        <v>0.17</v>
      </c>
      <c r="BU2099">
        <v>8.9600000000000009</v>
      </c>
      <c r="BV2099">
        <v>3.72</v>
      </c>
      <c r="BW2099">
        <v>8.77</v>
      </c>
      <c r="BX2099">
        <v>4.6500000000000004</v>
      </c>
      <c r="BY2099">
        <v>8.35</v>
      </c>
      <c r="BZ2099">
        <v>6.66</v>
      </c>
      <c r="CA2099">
        <v>0.56999999999999995</v>
      </c>
      <c r="CB2099">
        <v>0.01</v>
      </c>
      <c r="CC2099">
        <v>0.57999999999999996</v>
      </c>
      <c r="CD2099">
        <v>0.49</v>
      </c>
      <c r="CE2099">
        <v>0.51</v>
      </c>
      <c r="CF2099">
        <v>0.48</v>
      </c>
      <c r="CG2099">
        <v>2.94</v>
      </c>
      <c r="CH2099">
        <v>-4.2</v>
      </c>
      <c r="CI2099">
        <v>-1.52</v>
      </c>
      <c r="CJ2099">
        <v>13125</v>
      </c>
      <c r="CK2099">
        <v>5981</v>
      </c>
      <c r="CL2099" t="s">
        <v>10183</v>
      </c>
      <c r="CM2099">
        <v>-9.1199999999999992</v>
      </c>
      <c r="CN2099">
        <v>77.290000000000006</v>
      </c>
      <c r="CO2099">
        <v>2.19</v>
      </c>
      <c r="CP2099">
        <v>-5.04</v>
      </c>
      <c r="CQ2099">
        <v>2.54</v>
      </c>
      <c r="CR2099">
        <v>0.66</v>
      </c>
      <c r="CS2099" t="s">
        <v>5434</v>
      </c>
      <c r="CT2099">
        <v>5.31</v>
      </c>
      <c r="CU2099">
        <v>0</v>
      </c>
      <c r="CV2099">
        <v>2.5499999999999998</v>
      </c>
      <c r="CW2099">
        <v>1.61</v>
      </c>
      <c r="CX2099">
        <v>-2.31</v>
      </c>
      <c r="CY2099">
        <v>51.76</v>
      </c>
      <c r="CZ2099" t="s">
        <v>1482</v>
      </c>
      <c r="DA2099">
        <v>20.23</v>
      </c>
      <c r="DB2099">
        <v>6.8</v>
      </c>
      <c r="DC2099">
        <v>6.08</v>
      </c>
      <c r="DD2099">
        <v>0.19</v>
      </c>
      <c r="DE2099">
        <v>659</v>
      </c>
      <c r="DF2099">
        <v>300712</v>
      </c>
      <c r="DG2099" t="s">
        <v>116</v>
      </c>
      <c r="DH2099" t="s">
        <v>116</v>
      </c>
      <c r="DI2099" t="s">
        <v>116</v>
      </c>
    </row>
    <row r="2100" spans="1:113" x14ac:dyDescent="0.4">
      <c r="A2100" t="str">
        <f>"300713"</f>
        <v>300713</v>
      </c>
      <c r="B2100" t="s">
        <v>10184</v>
      </c>
      <c r="C2100">
        <v>-2.17</v>
      </c>
      <c r="D2100">
        <v>13.54</v>
      </c>
      <c r="E2100">
        <v>-0.3</v>
      </c>
      <c r="F2100">
        <v>13.54</v>
      </c>
      <c r="G2100">
        <v>13.55</v>
      </c>
      <c r="H2100">
        <v>34045</v>
      </c>
      <c r="I2100">
        <v>282</v>
      </c>
      <c r="J2100">
        <v>-0.06</v>
      </c>
      <c r="K2100">
        <v>5.3</v>
      </c>
      <c r="L2100">
        <v>13.87</v>
      </c>
      <c r="M2100">
        <v>13.9</v>
      </c>
      <c r="N2100">
        <v>13.5</v>
      </c>
      <c r="O2100">
        <v>13.84</v>
      </c>
      <c r="P2100">
        <v>276.7</v>
      </c>
      <c r="Q2100">
        <v>46521720</v>
      </c>
      <c r="R2100">
        <v>1.1599999999999999</v>
      </c>
      <c r="S2100" t="s">
        <v>397</v>
      </c>
      <c r="T2100" t="s">
        <v>115</v>
      </c>
      <c r="U2100">
        <v>2.89</v>
      </c>
      <c r="V2100">
        <v>13.66</v>
      </c>
      <c r="W2100">
        <v>19367</v>
      </c>
      <c r="X2100">
        <v>14678</v>
      </c>
      <c r="Y2100">
        <v>1.32</v>
      </c>
      <c r="Z2100">
        <v>44</v>
      </c>
      <c r="AA2100">
        <v>63</v>
      </c>
      <c r="AB2100" t="s">
        <v>116</v>
      </c>
      <c r="AC2100">
        <v>307900</v>
      </c>
      <c r="AD2100">
        <v>0.05</v>
      </c>
      <c r="AE2100" t="s">
        <v>116</v>
      </c>
      <c r="AF2100" t="s">
        <v>116</v>
      </c>
      <c r="AG2100">
        <v>0.64</v>
      </c>
      <c r="AH2100" t="s">
        <v>10185</v>
      </c>
      <c r="AI2100" t="s">
        <v>7085</v>
      </c>
      <c r="AJ2100">
        <v>-1.49</v>
      </c>
      <c r="AK2100">
        <v>1606</v>
      </c>
      <c r="AL2100">
        <v>21</v>
      </c>
      <c r="AM2100">
        <v>3.3E-3</v>
      </c>
      <c r="AN2100">
        <v>-1</v>
      </c>
      <c r="AO2100">
        <v>1.19</v>
      </c>
      <c r="AP2100">
        <v>6.45</v>
      </c>
      <c r="AQ2100">
        <v>-8.82</v>
      </c>
      <c r="AR2100">
        <v>-5.75</v>
      </c>
      <c r="AS2100">
        <v>8.3699999999999992</v>
      </c>
      <c r="AT2100" t="s">
        <v>10186</v>
      </c>
      <c r="AU2100" t="s">
        <v>116</v>
      </c>
      <c r="AV2100">
        <v>161.69</v>
      </c>
      <c r="AW2100">
        <v>1.59</v>
      </c>
      <c r="BA2100">
        <v>0.22</v>
      </c>
      <c r="BB2100">
        <v>0.43</v>
      </c>
      <c r="BC2100">
        <v>-2.46</v>
      </c>
      <c r="BD2100">
        <v>-1.27</v>
      </c>
      <c r="BE2100">
        <v>-2.38</v>
      </c>
      <c r="BF2100">
        <v>-2.59</v>
      </c>
      <c r="BG2100">
        <v>0.3</v>
      </c>
      <c r="BH2100">
        <v>-0.9</v>
      </c>
      <c r="BI2100">
        <v>20191030</v>
      </c>
      <c r="BJ2100">
        <v>20171101</v>
      </c>
      <c r="BK2100">
        <v>1.43</v>
      </c>
      <c r="BL2100" t="s">
        <v>116</v>
      </c>
      <c r="BM2100" t="s">
        <v>116</v>
      </c>
      <c r="BN2100">
        <v>9.7100000000000009</v>
      </c>
      <c r="BO2100">
        <v>7.23</v>
      </c>
      <c r="BP2100">
        <v>0.32</v>
      </c>
      <c r="BQ2100">
        <v>22.2</v>
      </c>
      <c r="BR2100">
        <v>7.46</v>
      </c>
      <c r="BS2100">
        <v>0.6</v>
      </c>
      <c r="BT2100">
        <v>0.26</v>
      </c>
      <c r="BU2100">
        <v>2.12</v>
      </c>
      <c r="BV2100">
        <v>1.21</v>
      </c>
      <c r="BW2100">
        <v>2.5099999999999998</v>
      </c>
      <c r="BX2100">
        <v>3.58</v>
      </c>
      <c r="BY2100">
        <v>1.94</v>
      </c>
      <c r="BZ2100">
        <v>1.29</v>
      </c>
      <c r="CA2100">
        <v>-0.04</v>
      </c>
      <c r="CB2100">
        <v>0</v>
      </c>
      <c r="CC2100">
        <v>-0.02</v>
      </c>
      <c r="CD2100">
        <v>0.01</v>
      </c>
      <c r="CE2100">
        <v>0.05</v>
      </c>
      <c r="CF2100">
        <v>0.03</v>
      </c>
      <c r="CG2100">
        <v>1.97</v>
      </c>
      <c r="CH2100">
        <v>0.37</v>
      </c>
      <c r="CI2100">
        <v>0.34</v>
      </c>
      <c r="CJ2100">
        <v>11584</v>
      </c>
      <c r="CK2100">
        <v>3510</v>
      </c>
      <c r="CL2100" t="s">
        <v>1609</v>
      </c>
      <c r="CM2100">
        <v>-87.56</v>
      </c>
      <c r="CN2100">
        <v>-7.98</v>
      </c>
      <c r="CO2100">
        <v>2.69</v>
      </c>
      <c r="CP2100">
        <v>52.6</v>
      </c>
      <c r="CQ2100">
        <v>10.02</v>
      </c>
      <c r="CR2100">
        <v>0</v>
      </c>
      <c r="CS2100" t="s">
        <v>6004</v>
      </c>
      <c r="CT2100">
        <v>5.04</v>
      </c>
      <c r="CU2100">
        <v>0</v>
      </c>
      <c r="CV2100">
        <v>2.5</v>
      </c>
      <c r="CW2100">
        <v>1.38</v>
      </c>
      <c r="CX2100">
        <v>0.26</v>
      </c>
      <c r="CY2100">
        <v>74.459999999999994</v>
      </c>
      <c r="CZ2100" t="s">
        <v>8426</v>
      </c>
      <c r="DA2100">
        <v>33.29</v>
      </c>
      <c r="DB2100">
        <v>-2.09</v>
      </c>
      <c r="DC2100">
        <v>2.72</v>
      </c>
      <c r="DD2100">
        <v>0.37</v>
      </c>
      <c r="DE2100">
        <v>477</v>
      </c>
      <c r="DF2100">
        <v>300713</v>
      </c>
      <c r="DG2100" t="s">
        <v>116</v>
      </c>
      <c r="DH2100" t="s">
        <v>116</v>
      </c>
      <c r="DI2100" t="s">
        <v>116</v>
      </c>
    </row>
    <row r="2101" spans="1:113" x14ac:dyDescent="0.4">
      <c r="A2101" t="str">
        <f>"300715"</f>
        <v>300715</v>
      </c>
      <c r="B2101" t="s">
        <v>10187</v>
      </c>
      <c r="C2101" t="s">
        <v>116</v>
      </c>
      <c r="D2101">
        <v>23.3</v>
      </c>
      <c r="E2101" t="s">
        <v>116</v>
      </c>
      <c r="G2101" t="s">
        <v>116</v>
      </c>
      <c r="H2101">
        <v>0</v>
      </c>
      <c r="I2101">
        <v>0</v>
      </c>
      <c r="J2101" t="s">
        <v>116</v>
      </c>
      <c r="K2101">
        <v>0</v>
      </c>
      <c r="L2101" t="s">
        <v>116</v>
      </c>
      <c r="M2101" t="s">
        <v>116</v>
      </c>
      <c r="N2101" t="s">
        <v>116</v>
      </c>
      <c r="O2101">
        <v>23.3</v>
      </c>
      <c r="P2101">
        <v>32.380000000000003</v>
      </c>
      <c r="Q2101">
        <v>0</v>
      </c>
      <c r="R2101">
        <v>0</v>
      </c>
      <c r="S2101" t="s">
        <v>249</v>
      </c>
      <c r="T2101" t="s">
        <v>323</v>
      </c>
      <c r="U2101">
        <v>0</v>
      </c>
      <c r="V2101">
        <v>23.3</v>
      </c>
      <c r="W2101">
        <v>0</v>
      </c>
      <c r="X2101">
        <v>0</v>
      </c>
      <c r="Y2101" t="s">
        <v>116</v>
      </c>
      <c r="Z2101">
        <v>0</v>
      </c>
      <c r="AA2101">
        <v>0</v>
      </c>
      <c r="AB2101" t="s">
        <v>116</v>
      </c>
      <c r="AC2101">
        <v>0</v>
      </c>
      <c r="AD2101" t="s">
        <v>116</v>
      </c>
      <c r="AE2101" t="s">
        <v>116</v>
      </c>
      <c r="AF2101" t="s">
        <v>116</v>
      </c>
      <c r="AG2101">
        <v>0.39</v>
      </c>
      <c r="AH2101" t="s">
        <v>10127</v>
      </c>
      <c r="AI2101" t="s">
        <v>10188</v>
      </c>
      <c r="AJ2101">
        <v>0.68</v>
      </c>
      <c r="AK2101">
        <v>0</v>
      </c>
      <c r="AL2101" t="s">
        <v>116</v>
      </c>
      <c r="AM2101" t="s">
        <v>116</v>
      </c>
      <c r="AN2101">
        <v>-1</v>
      </c>
      <c r="AO2101">
        <v>-1.48</v>
      </c>
      <c r="AP2101">
        <v>2.92</v>
      </c>
      <c r="AQ2101">
        <v>18.88</v>
      </c>
      <c r="AR2101">
        <v>29.73</v>
      </c>
      <c r="AS2101" t="s">
        <v>116</v>
      </c>
      <c r="AT2101" t="s">
        <v>10127</v>
      </c>
      <c r="AU2101">
        <v>32.14</v>
      </c>
      <c r="AV2101">
        <v>47.18</v>
      </c>
      <c r="AW2101">
        <v>0.87</v>
      </c>
      <c r="BA2101" t="s">
        <v>116</v>
      </c>
      <c r="BB2101" t="s">
        <v>116</v>
      </c>
      <c r="BC2101" t="s">
        <v>116</v>
      </c>
      <c r="BD2101">
        <v>0</v>
      </c>
      <c r="BE2101" t="s">
        <v>116</v>
      </c>
      <c r="BF2101" t="s">
        <v>116</v>
      </c>
      <c r="BG2101" t="s">
        <v>116</v>
      </c>
      <c r="BH2101" t="s">
        <v>116</v>
      </c>
      <c r="BI2101">
        <v>20191212</v>
      </c>
      <c r="BJ2101">
        <v>20171026</v>
      </c>
      <c r="BK2101">
        <v>1.32</v>
      </c>
      <c r="BL2101" t="s">
        <v>116</v>
      </c>
      <c r="BM2101" t="s">
        <v>116</v>
      </c>
      <c r="BN2101">
        <v>13.52</v>
      </c>
      <c r="BO2101">
        <v>5.01</v>
      </c>
      <c r="BP2101">
        <v>0</v>
      </c>
      <c r="BQ2101">
        <v>62.98</v>
      </c>
      <c r="BR2101">
        <v>9.93</v>
      </c>
      <c r="BS2101">
        <v>1.45</v>
      </c>
      <c r="BT2101">
        <v>0.62</v>
      </c>
      <c r="BU2101">
        <v>7.99</v>
      </c>
      <c r="BV2101">
        <v>1.73</v>
      </c>
      <c r="BW2101">
        <v>3.92</v>
      </c>
      <c r="BX2101">
        <v>1.66</v>
      </c>
      <c r="BY2101">
        <v>6.9</v>
      </c>
      <c r="BZ2101">
        <v>4.3099999999999996</v>
      </c>
      <c r="CA2101">
        <v>0.88</v>
      </c>
      <c r="CB2101">
        <v>0</v>
      </c>
      <c r="CC2101">
        <v>0.87</v>
      </c>
      <c r="CD2101">
        <v>0.71</v>
      </c>
      <c r="CE2101">
        <v>0.71</v>
      </c>
      <c r="CF2101">
        <v>0.67</v>
      </c>
      <c r="CG2101">
        <v>2.11</v>
      </c>
      <c r="CH2101">
        <v>-1.1599999999999999</v>
      </c>
      <c r="CI2101">
        <v>-1.06</v>
      </c>
      <c r="CJ2101">
        <v>7021</v>
      </c>
      <c r="CK2101">
        <v>5594</v>
      </c>
      <c r="CL2101" t="s">
        <v>10189</v>
      </c>
      <c r="CM2101">
        <v>74.88</v>
      </c>
      <c r="CN2101">
        <v>66.430000000000007</v>
      </c>
      <c r="CO2101">
        <v>6.14</v>
      </c>
      <c r="CP2101">
        <v>-26.39</v>
      </c>
      <c r="CQ2101">
        <v>4.45</v>
      </c>
      <c r="CR2101">
        <v>0.21</v>
      </c>
      <c r="CS2101" t="s">
        <v>9389</v>
      </c>
      <c r="CT2101">
        <v>3.8</v>
      </c>
      <c r="CU2101">
        <v>0</v>
      </c>
      <c r="CV2101">
        <v>1.26</v>
      </c>
      <c r="CW2101">
        <v>1.6</v>
      </c>
      <c r="CX2101">
        <v>-0.88</v>
      </c>
      <c r="CY2101">
        <v>37.020000000000003</v>
      </c>
      <c r="CZ2101" t="s">
        <v>10190</v>
      </c>
      <c r="DA2101">
        <v>37.479999999999997</v>
      </c>
      <c r="DB2101">
        <v>12.71</v>
      </c>
      <c r="DC2101">
        <v>10.31</v>
      </c>
      <c r="DD2101">
        <v>0.26</v>
      </c>
      <c r="DE2101">
        <v>671</v>
      </c>
      <c r="DF2101">
        <v>300715</v>
      </c>
      <c r="DG2101" t="s">
        <v>116</v>
      </c>
      <c r="DH2101" t="s">
        <v>116</v>
      </c>
      <c r="DI2101" t="s">
        <v>116</v>
      </c>
    </row>
    <row r="2102" spans="1:113" x14ac:dyDescent="0.4">
      <c r="A2102" t="str">
        <f>"300716"</f>
        <v>300716</v>
      </c>
      <c r="B2102" t="s">
        <v>10191</v>
      </c>
      <c r="C2102">
        <v>-1.24</v>
      </c>
      <c r="D2102">
        <v>10.34</v>
      </c>
      <c r="E2102">
        <v>-0.13</v>
      </c>
      <c r="F2102">
        <v>10.33</v>
      </c>
      <c r="G2102">
        <v>10.34</v>
      </c>
      <c r="H2102">
        <v>30662</v>
      </c>
      <c r="I2102">
        <v>564</v>
      </c>
      <c r="J2102">
        <v>0</v>
      </c>
      <c r="K2102">
        <v>3.24</v>
      </c>
      <c r="L2102">
        <v>10.49</v>
      </c>
      <c r="M2102">
        <v>10.55</v>
      </c>
      <c r="N2102">
        <v>10.33</v>
      </c>
      <c r="O2102">
        <v>10.47</v>
      </c>
      <c r="P2102">
        <v>43.12</v>
      </c>
      <c r="Q2102">
        <v>31942966</v>
      </c>
      <c r="R2102">
        <v>0.73</v>
      </c>
      <c r="S2102" t="s">
        <v>2444</v>
      </c>
      <c r="T2102" t="s">
        <v>551</v>
      </c>
      <c r="U2102">
        <v>2.1</v>
      </c>
      <c r="V2102">
        <v>10.42</v>
      </c>
      <c r="W2102">
        <v>18899</v>
      </c>
      <c r="X2102">
        <v>11763</v>
      </c>
      <c r="Y2102">
        <v>1.61</v>
      </c>
      <c r="Z2102">
        <v>176</v>
      </c>
      <c r="AA2102">
        <v>3</v>
      </c>
      <c r="AB2102" t="s">
        <v>116</v>
      </c>
      <c r="AC2102">
        <v>62900</v>
      </c>
      <c r="AD2102">
        <v>0.01</v>
      </c>
      <c r="AE2102" t="s">
        <v>116</v>
      </c>
      <c r="AF2102" t="s">
        <v>116</v>
      </c>
      <c r="AG2102">
        <v>0.95</v>
      </c>
      <c r="AH2102" t="s">
        <v>5963</v>
      </c>
      <c r="AI2102" t="s">
        <v>6848</v>
      </c>
      <c r="AJ2102">
        <v>-0.56000000000000005</v>
      </c>
      <c r="AK2102">
        <v>1012</v>
      </c>
      <c r="AL2102">
        <v>30</v>
      </c>
      <c r="AM2102">
        <v>3.2000000000000002E-3</v>
      </c>
      <c r="AN2102">
        <v>-1</v>
      </c>
      <c r="AO2102">
        <v>-0.67</v>
      </c>
      <c r="AP2102">
        <v>8.84</v>
      </c>
      <c r="AQ2102">
        <v>-6</v>
      </c>
      <c r="AR2102">
        <v>-7.55</v>
      </c>
      <c r="AS2102">
        <v>5.52</v>
      </c>
      <c r="AT2102" t="s">
        <v>10192</v>
      </c>
      <c r="AU2102">
        <v>38.590000000000003</v>
      </c>
      <c r="AV2102">
        <v>29.81</v>
      </c>
      <c r="AW2102">
        <v>1.27</v>
      </c>
      <c r="BA2102">
        <v>0.19</v>
      </c>
      <c r="BB2102">
        <v>0.76</v>
      </c>
      <c r="BC2102">
        <v>-1.34</v>
      </c>
      <c r="BD2102">
        <v>-0.5</v>
      </c>
      <c r="BE2102">
        <v>-1.43</v>
      </c>
      <c r="BF2102">
        <v>-1.99</v>
      </c>
      <c r="BG2102">
        <v>0.1</v>
      </c>
      <c r="BH2102">
        <v>-0.74</v>
      </c>
      <c r="BI2102">
        <v>20191028</v>
      </c>
      <c r="BJ2102">
        <v>20171109</v>
      </c>
      <c r="BK2102">
        <v>1.6</v>
      </c>
      <c r="BL2102" t="s">
        <v>116</v>
      </c>
      <c r="BM2102" t="s">
        <v>116</v>
      </c>
      <c r="BN2102">
        <v>17.25</v>
      </c>
      <c r="BO2102">
        <v>8.4700000000000006</v>
      </c>
      <c r="BP2102">
        <v>0.79</v>
      </c>
      <c r="BQ2102">
        <v>46.3</v>
      </c>
      <c r="BR2102">
        <v>10.11</v>
      </c>
      <c r="BS2102">
        <v>4.99</v>
      </c>
      <c r="BT2102">
        <v>0.27</v>
      </c>
      <c r="BU2102">
        <v>7.86</v>
      </c>
      <c r="BV2102">
        <v>2.38</v>
      </c>
      <c r="BW2102">
        <v>4.45</v>
      </c>
      <c r="BX2102">
        <v>4.5599999999999996</v>
      </c>
      <c r="BY2102">
        <v>17.46</v>
      </c>
      <c r="BZ2102">
        <v>15.79</v>
      </c>
      <c r="CA2102">
        <v>0.28000000000000003</v>
      </c>
      <c r="CB2102">
        <v>-0.01</v>
      </c>
      <c r="CC2102">
        <v>0.28000000000000003</v>
      </c>
      <c r="CD2102">
        <v>0.22</v>
      </c>
      <c r="CE2102">
        <v>0.28999999999999998</v>
      </c>
      <c r="CF2102">
        <v>0.28000000000000003</v>
      </c>
      <c r="CG2102">
        <v>2.09</v>
      </c>
      <c r="CH2102">
        <v>-0.37</v>
      </c>
      <c r="CI2102">
        <v>-0.51</v>
      </c>
      <c r="CJ2102">
        <v>13429</v>
      </c>
      <c r="CK2102">
        <v>4134</v>
      </c>
      <c r="CL2102" t="s">
        <v>4052</v>
      </c>
      <c r="CM2102">
        <v>-30.5</v>
      </c>
      <c r="CN2102">
        <v>129.49</v>
      </c>
      <c r="CO2102">
        <v>1.95</v>
      </c>
      <c r="CP2102">
        <v>-44.12</v>
      </c>
      <c r="CQ2102">
        <v>0.95</v>
      </c>
      <c r="CR2102">
        <v>0.64</v>
      </c>
      <c r="CS2102" t="s">
        <v>1971</v>
      </c>
      <c r="CT2102">
        <v>5.29</v>
      </c>
      <c r="CU2102">
        <v>0</v>
      </c>
      <c r="CV2102">
        <v>2.85</v>
      </c>
      <c r="CW2102">
        <v>1.3</v>
      </c>
      <c r="CX2102">
        <v>-0.23</v>
      </c>
      <c r="CY2102">
        <v>49.1</v>
      </c>
      <c r="CZ2102" t="s">
        <v>2262</v>
      </c>
      <c r="DA2102">
        <v>9.59</v>
      </c>
      <c r="DB2102">
        <v>1.58</v>
      </c>
      <c r="DC2102">
        <v>1.65</v>
      </c>
      <c r="DD2102">
        <v>0.4</v>
      </c>
      <c r="DE2102">
        <v>2494</v>
      </c>
      <c r="DF2102">
        <v>300716</v>
      </c>
      <c r="DG2102" t="s">
        <v>116</v>
      </c>
      <c r="DH2102" t="s">
        <v>116</v>
      </c>
      <c r="DI2102" t="s">
        <v>116</v>
      </c>
    </row>
    <row r="2103" spans="1:113" x14ac:dyDescent="0.4">
      <c r="A2103" t="str">
        <f>"300717"</f>
        <v>300717</v>
      </c>
      <c r="B2103" t="s">
        <v>10193</v>
      </c>
      <c r="C2103">
        <v>1.53</v>
      </c>
      <c r="D2103">
        <v>16.63</v>
      </c>
      <c r="E2103">
        <v>0.25</v>
      </c>
      <c r="F2103">
        <v>16.62</v>
      </c>
      <c r="G2103">
        <v>16.63</v>
      </c>
      <c r="H2103">
        <v>32792</v>
      </c>
      <c r="I2103">
        <v>276</v>
      </c>
      <c r="J2103">
        <v>0.24</v>
      </c>
      <c r="K2103">
        <v>7.72</v>
      </c>
      <c r="L2103">
        <v>16.38</v>
      </c>
      <c r="M2103">
        <v>16.78</v>
      </c>
      <c r="N2103">
        <v>16.260000000000002</v>
      </c>
      <c r="O2103">
        <v>16.38</v>
      </c>
      <c r="P2103">
        <v>33.81</v>
      </c>
      <c r="Q2103">
        <v>54390824</v>
      </c>
      <c r="R2103">
        <v>2.0099999999999998</v>
      </c>
      <c r="S2103" t="s">
        <v>2444</v>
      </c>
      <c r="T2103" t="s">
        <v>323</v>
      </c>
      <c r="U2103">
        <v>3.17</v>
      </c>
      <c r="V2103">
        <v>16.59</v>
      </c>
      <c r="W2103">
        <v>16668</v>
      </c>
      <c r="X2103">
        <v>16124</v>
      </c>
      <c r="Y2103">
        <v>1.03</v>
      </c>
      <c r="Z2103">
        <v>4</v>
      </c>
      <c r="AA2103">
        <v>244</v>
      </c>
      <c r="AB2103" t="s">
        <v>116</v>
      </c>
      <c r="AC2103">
        <v>70400</v>
      </c>
      <c r="AD2103">
        <v>0.01</v>
      </c>
      <c r="AE2103" t="s">
        <v>116</v>
      </c>
      <c r="AF2103" t="s">
        <v>116</v>
      </c>
      <c r="AG2103">
        <v>0.42</v>
      </c>
      <c r="AH2103" t="s">
        <v>10194</v>
      </c>
      <c r="AI2103" t="s">
        <v>2432</v>
      </c>
      <c r="AJ2103">
        <v>2.21</v>
      </c>
      <c r="AK2103">
        <v>1637</v>
      </c>
      <c r="AL2103">
        <v>20</v>
      </c>
      <c r="AM2103">
        <v>4.7000000000000002E-3</v>
      </c>
      <c r="AN2103">
        <v>4</v>
      </c>
      <c r="AO2103">
        <v>3.36</v>
      </c>
      <c r="AP2103">
        <v>9.6199999999999992</v>
      </c>
      <c r="AQ2103">
        <v>2.2799999999999998</v>
      </c>
      <c r="AR2103">
        <v>16.46</v>
      </c>
      <c r="AS2103">
        <v>9.11</v>
      </c>
      <c r="AT2103" t="s">
        <v>7160</v>
      </c>
      <c r="AU2103">
        <v>34.74</v>
      </c>
      <c r="AV2103">
        <v>36.479999999999997</v>
      </c>
      <c r="AW2103">
        <v>1.18</v>
      </c>
      <c r="BA2103">
        <v>0</v>
      </c>
      <c r="BB2103">
        <v>2.44</v>
      </c>
      <c r="BC2103">
        <v>-0.73</v>
      </c>
      <c r="BD2103">
        <v>1.26</v>
      </c>
      <c r="BE2103">
        <v>1.53</v>
      </c>
      <c r="BF2103">
        <v>-0.89</v>
      </c>
      <c r="BG2103">
        <v>2.2799999999999998</v>
      </c>
      <c r="BH2103">
        <v>0.27</v>
      </c>
      <c r="BI2103">
        <v>20191026</v>
      </c>
      <c r="BJ2103">
        <v>20171106</v>
      </c>
      <c r="BK2103">
        <v>1.02</v>
      </c>
      <c r="BL2103" t="s">
        <v>116</v>
      </c>
      <c r="BM2103" t="s">
        <v>116</v>
      </c>
      <c r="BN2103">
        <v>6.32</v>
      </c>
      <c r="BO2103">
        <v>5.71</v>
      </c>
      <c r="BP2103">
        <v>0</v>
      </c>
      <c r="BQ2103">
        <v>9.58</v>
      </c>
      <c r="BR2103">
        <v>3.09</v>
      </c>
      <c r="BS2103">
        <v>2.2599999999999998</v>
      </c>
      <c r="BT2103">
        <v>0.26</v>
      </c>
      <c r="BU2103">
        <v>0.44</v>
      </c>
      <c r="BV2103">
        <v>0.45</v>
      </c>
      <c r="BW2103">
        <v>1.3</v>
      </c>
      <c r="BX2103">
        <v>2.38</v>
      </c>
      <c r="BY2103">
        <v>2.2799999999999998</v>
      </c>
      <c r="BZ2103">
        <v>1.62</v>
      </c>
      <c r="CA2103">
        <v>0.42</v>
      </c>
      <c r="CB2103">
        <v>0.01</v>
      </c>
      <c r="CC2103">
        <v>0.45</v>
      </c>
      <c r="CD2103">
        <v>0.38</v>
      </c>
      <c r="CE2103">
        <v>0.38</v>
      </c>
      <c r="CF2103">
        <v>0.32</v>
      </c>
      <c r="CG2103">
        <v>2.08</v>
      </c>
      <c r="CH2103">
        <v>0.37</v>
      </c>
      <c r="CI2103">
        <v>-0.28999999999999998</v>
      </c>
      <c r="CJ2103">
        <v>10601</v>
      </c>
      <c r="CK2103">
        <v>3396</v>
      </c>
      <c r="CL2103" t="s">
        <v>847</v>
      </c>
      <c r="CM2103">
        <v>6.6</v>
      </c>
      <c r="CN2103">
        <v>2.5099999999999998</v>
      </c>
      <c r="CO2103">
        <v>2.98</v>
      </c>
      <c r="CP2103">
        <v>46.4</v>
      </c>
      <c r="CQ2103">
        <v>7.45</v>
      </c>
      <c r="CR2103">
        <v>0.36</v>
      </c>
      <c r="CS2103" t="s">
        <v>3074</v>
      </c>
      <c r="CT2103">
        <v>5.58</v>
      </c>
      <c r="CU2103">
        <v>0</v>
      </c>
      <c r="CV2103">
        <v>2.3199999999999998</v>
      </c>
      <c r="CW2103">
        <v>2.0299999999999998</v>
      </c>
      <c r="CX2103">
        <v>0.36</v>
      </c>
      <c r="CY2103">
        <v>90.42</v>
      </c>
      <c r="CZ2103" t="s">
        <v>9931</v>
      </c>
      <c r="DA2103">
        <v>29.16</v>
      </c>
      <c r="DB2103">
        <v>18.36</v>
      </c>
      <c r="DC2103">
        <v>16.53</v>
      </c>
      <c r="DD2103">
        <v>0.08</v>
      </c>
      <c r="DE2103">
        <v>397</v>
      </c>
      <c r="DF2103">
        <v>300717</v>
      </c>
      <c r="DG2103" t="s">
        <v>116</v>
      </c>
      <c r="DH2103" t="s">
        <v>116</v>
      </c>
      <c r="DI2103" t="s">
        <v>116</v>
      </c>
    </row>
    <row r="2104" spans="1:113" x14ac:dyDescent="0.4">
      <c r="A2104" t="str">
        <f>"300718"</f>
        <v>300718</v>
      </c>
      <c r="B2104" t="s">
        <v>10195</v>
      </c>
      <c r="C2104">
        <v>-1.7</v>
      </c>
      <c r="D2104">
        <v>20.21</v>
      </c>
      <c r="E2104">
        <v>-0.35</v>
      </c>
      <c r="F2104">
        <v>20.21</v>
      </c>
      <c r="G2104">
        <v>20.3</v>
      </c>
      <c r="H2104">
        <v>30255</v>
      </c>
      <c r="I2104">
        <v>451</v>
      </c>
      <c r="J2104">
        <v>-0.24</v>
      </c>
      <c r="K2104">
        <v>6.11</v>
      </c>
      <c r="L2104">
        <v>20.7</v>
      </c>
      <c r="M2104">
        <v>20.72</v>
      </c>
      <c r="N2104">
        <v>19.34</v>
      </c>
      <c r="O2104">
        <v>20.56</v>
      </c>
      <c r="P2104">
        <v>33.950000000000003</v>
      </c>
      <c r="Q2104">
        <v>61438036</v>
      </c>
      <c r="R2104">
        <v>1.37</v>
      </c>
      <c r="S2104" t="s">
        <v>996</v>
      </c>
      <c r="T2104" t="s">
        <v>590</v>
      </c>
      <c r="U2104">
        <v>6.71</v>
      </c>
      <c r="V2104">
        <v>20.309999999999999</v>
      </c>
      <c r="W2104">
        <v>10366</v>
      </c>
      <c r="X2104">
        <v>19889</v>
      </c>
      <c r="Y2104">
        <v>0.52</v>
      </c>
      <c r="Z2104">
        <v>15</v>
      </c>
      <c r="AA2104">
        <v>4</v>
      </c>
      <c r="AB2104" t="s">
        <v>116</v>
      </c>
      <c r="AC2104">
        <v>35200</v>
      </c>
      <c r="AD2104">
        <v>0</v>
      </c>
      <c r="AE2104" t="s">
        <v>116</v>
      </c>
      <c r="AF2104" t="s">
        <v>116</v>
      </c>
      <c r="AG2104">
        <v>0.5</v>
      </c>
      <c r="AH2104" t="s">
        <v>9511</v>
      </c>
      <c r="AI2104" t="s">
        <v>10196</v>
      </c>
      <c r="AJ2104">
        <v>-1.02</v>
      </c>
      <c r="AK2104">
        <v>2006</v>
      </c>
      <c r="AL2104">
        <v>15</v>
      </c>
      <c r="AM2104">
        <v>3.0000000000000001E-3</v>
      </c>
      <c r="AN2104">
        <v>-4</v>
      </c>
      <c r="AO2104">
        <v>-3.76</v>
      </c>
      <c r="AP2104">
        <v>9.84</v>
      </c>
      <c r="AQ2104">
        <v>9.36</v>
      </c>
      <c r="AR2104">
        <v>42.93</v>
      </c>
      <c r="AS2104">
        <v>6.11</v>
      </c>
      <c r="AT2104" t="s">
        <v>9511</v>
      </c>
      <c r="AU2104">
        <v>30.48</v>
      </c>
      <c r="AV2104">
        <v>27.16</v>
      </c>
      <c r="AW2104">
        <v>0.17</v>
      </c>
      <c r="BA2104">
        <v>0.68</v>
      </c>
      <c r="BB2104">
        <v>0.78</v>
      </c>
      <c r="BC2104">
        <v>-5.93</v>
      </c>
      <c r="BD2104">
        <v>-1.23</v>
      </c>
      <c r="BE2104">
        <v>-2.37</v>
      </c>
      <c r="BF2104">
        <v>-2.46</v>
      </c>
      <c r="BG2104">
        <v>4.5</v>
      </c>
      <c r="BH2104">
        <v>-0.47</v>
      </c>
      <c r="BI2104">
        <v>20191223</v>
      </c>
      <c r="BJ2104">
        <v>20171106</v>
      </c>
      <c r="BK2104">
        <v>1.98</v>
      </c>
      <c r="BL2104" t="s">
        <v>116</v>
      </c>
      <c r="BM2104" t="s">
        <v>116</v>
      </c>
      <c r="BN2104">
        <v>12.66</v>
      </c>
      <c r="BO2104">
        <v>11.45</v>
      </c>
      <c r="BP2104">
        <v>0.19</v>
      </c>
      <c r="BQ2104">
        <v>8.07</v>
      </c>
      <c r="BR2104">
        <v>8.14</v>
      </c>
      <c r="BS2104">
        <v>3.19</v>
      </c>
      <c r="BT2104">
        <v>0.31</v>
      </c>
      <c r="BU2104">
        <v>0.84</v>
      </c>
      <c r="BV2104">
        <v>0.79</v>
      </c>
      <c r="BW2104">
        <v>1.1399999999999999</v>
      </c>
      <c r="BX2104">
        <v>4.1100000000000003</v>
      </c>
      <c r="BY2104">
        <v>4.47</v>
      </c>
      <c r="BZ2104">
        <v>2.86</v>
      </c>
      <c r="CA2104">
        <v>1.05</v>
      </c>
      <c r="CB2104">
        <v>0.14000000000000001</v>
      </c>
      <c r="CC2104">
        <v>1.06</v>
      </c>
      <c r="CD2104">
        <v>0.9</v>
      </c>
      <c r="CE2104">
        <v>0.88</v>
      </c>
      <c r="CF2104">
        <v>0.75</v>
      </c>
      <c r="CG2104">
        <v>4.7300000000000004</v>
      </c>
      <c r="CH2104">
        <v>1.43</v>
      </c>
      <c r="CI2104">
        <v>-1.1100000000000001</v>
      </c>
      <c r="CJ2104">
        <v>7596</v>
      </c>
      <c r="CK2104">
        <v>6517</v>
      </c>
      <c r="CL2104" t="s">
        <v>10197</v>
      </c>
      <c r="CM2104">
        <v>-15.36</v>
      </c>
      <c r="CN2104">
        <v>-10.93</v>
      </c>
      <c r="CO2104">
        <v>3.49</v>
      </c>
      <c r="CP2104">
        <v>28.01</v>
      </c>
      <c r="CQ2104">
        <v>8.9600000000000009</v>
      </c>
      <c r="CR2104">
        <v>1.73</v>
      </c>
      <c r="CS2104" t="s">
        <v>1658</v>
      </c>
      <c r="CT2104">
        <v>5.78</v>
      </c>
      <c r="CU2104">
        <v>0</v>
      </c>
      <c r="CV2104">
        <v>2.0699999999999998</v>
      </c>
      <c r="CW2104">
        <v>2.39</v>
      </c>
      <c r="CX2104">
        <v>0.72</v>
      </c>
      <c r="CY2104">
        <v>90.41</v>
      </c>
      <c r="CZ2104" t="s">
        <v>5797</v>
      </c>
      <c r="DA2104">
        <v>35.93</v>
      </c>
      <c r="DB2104">
        <v>23.58</v>
      </c>
      <c r="DC2104">
        <v>19.78</v>
      </c>
      <c r="DD2104">
        <v>0.22</v>
      </c>
      <c r="DE2104">
        <v>841</v>
      </c>
      <c r="DF2104">
        <v>300718</v>
      </c>
      <c r="DG2104" t="s">
        <v>116</v>
      </c>
      <c r="DH2104" t="s">
        <v>116</v>
      </c>
      <c r="DI2104" t="s">
        <v>116</v>
      </c>
    </row>
    <row r="2105" spans="1:113" x14ac:dyDescent="0.4">
      <c r="A2105" t="str">
        <f>"300719"</f>
        <v>300719</v>
      </c>
      <c r="B2105" t="s">
        <v>10198</v>
      </c>
      <c r="C2105">
        <v>-1.93</v>
      </c>
      <c r="D2105">
        <v>11.7</v>
      </c>
      <c r="E2105">
        <v>-0.23</v>
      </c>
      <c r="F2105">
        <v>11.7</v>
      </c>
      <c r="G2105">
        <v>11.74</v>
      </c>
      <c r="H2105">
        <v>26405</v>
      </c>
      <c r="I2105">
        <v>185</v>
      </c>
      <c r="J2105">
        <v>-0.67</v>
      </c>
      <c r="K2105">
        <v>2.02</v>
      </c>
      <c r="L2105">
        <v>11.87</v>
      </c>
      <c r="M2105">
        <v>11.97</v>
      </c>
      <c r="N2105">
        <v>11.7</v>
      </c>
      <c r="O2105">
        <v>11.93</v>
      </c>
      <c r="P2105">
        <v>70.63</v>
      </c>
      <c r="Q2105">
        <v>31316988</v>
      </c>
      <c r="R2105">
        <v>1.07</v>
      </c>
      <c r="S2105" t="s">
        <v>1789</v>
      </c>
      <c r="T2105" t="s">
        <v>165</v>
      </c>
      <c r="U2105">
        <v>2.2599999999999998</v>
      </c>
      <c r="V2105">
        <v>11.86</v>
      </c>
      <c r="W2105">
        <v>15721</v>
      </c>
      <c r="X2105">
        <v>10684</v>
      </c>
      <c r="Y2105">
        <v>1.47</v>
      </c>
      <c r="Z2105">
        <v>302</v>
      </c>
      <c r="AA2105">
        <v>10</v>
      </c>
      <c r="AB2105" t="s">
        <v>116</v>
      </c>
      <c r="AC2105">
        <v>11300</v>
      </c>
      <c r="AD2105">
        <v>0</v>
      </c>
      <c r="AE2105" t="s">
        <v>116</v>
      </c>
      <c r="AF2105" t="s">
        <v>116</v>
      </c>
      <c r="AG2105">
        <v>1.31</v>
      </c>
      <c r="AH2105" t="s">
        <v>4542</v>
      </c>
      <c r="AI2105" t="s">
        <v>1467</v>
      </c>
      <c r="AJ2105">
        <v>-1.25</v>
      </c>
      <c r="AK2105">
        <v>1848</v>
      </c>
      <c r="AL2105">
        <v>14</v>
      </c>
      <c r="AM2105">
        <v>1.1000000000000001E-3</v>
      </c>
      <c r="AN2105">
        <v>-1</v>
      </c>
      <c r="AO2105">
        <v>0.26</v>
      </c>
      <c r="AP2105">
        <v>5.79</v>
      </c>
      <c r="AQ2105">
        <v>-8.9499999999999993</v>
      </c>
      <c r="AR2105">
        <v>16.079999999999998</v>
      </c>
      <c r="AS2105">
        <v>2.5099999999999998</v>
      </c>
      <c r="AT2105" t="s">
        <v>8245</v>
      </c>
      <c r="AU2105">
        <v>27.98</v>
      </c>
      <c r="AV2105">
        <v>53.66</v>
      </c>
      <c r="AW2105">
        <v>1.23</v>
      </c>
      <c r="BA2105">
        <v>-0.5</v>
      </c>
      <c r="BB2105">
        <v>0.34</v>
      </c>
      <c r="BC2105">
        <v>-1.93</v>
      </c>
      <c r="BD2105">
        <v>-0.59</v>
      </c>
      <c r="BE2105">
        <v>-1.43</v>
      </c>
      <c r="BF2105">
        <v>-2.2599999999999998</v>
      </c>
      <c r="BG2105">
        <v>0</v>
      </c>
      <c r="BH2105">
        <v>-1.34</v>
      </c>
      <c r="BI2105">
        <v>20191101</v>
      </c>
      <c r="BJ2105">
        <v>20171109</v>
      </c>
      <c r="BK2105">
        <v>2.54</v>
      </c>
      <c r="BL2105" t="s">
        <v>116</v>
      </c>
      <c r="BM2105" t="s">
        <v>116</v>
      </c>
      <c r="BN2105">
        <v>11.46</v>
      </c>
      <c r="BO2105">
        <v>9.36</v>
      </c>
      <c r="BP2105">
        <v>0</v>
      </c>
      <c r="BQ2105">
        <v>18.260000000000002</v>
      </c>
      <c r="BR2105">
        <v>9.9600000000000009</v>
      </c>
      <c r="BS2105">
        <v>1.23</v>
      </c>
      <c r="BT2105">
        <v>0.12</v>
      </c>
      <c r="BU2105">
        <v>2.0499999999999998</v>
      </c>
      <c r="BV2105">
        <v>2.23</v>
      </c>
      <c r="BW2105">
        <v>4.49</v>
      </c>
      <c r="BX2105">
        <v>4.5</v>
      </c>
      <c r="BY2105">
        <v>3.09</v>
      </c>
      <c r="BZ2105">
        <v>1.44</v>
      </c>
      <c r="CA2105">
        <v>0.36</v>
      </c>
      <c r="CB2105">
        <v>0.02</v>
      </c>
      <c r="CC2105">
        <v>0.36</v>
      </c>
      <c r="CD2105">
        <v>0.32</v>
      </c>
      <c r="CE2105">
        <v>0.32</v>
      </c>
      <c r="CF2105">
        <v>0.3</v>
      </c>
      <c r="CG2105">
        <v>2.13</v>
      </c>
      <c r="CH2105">
        <v>-7.0000000000000007E-2</v>
      </c>
      <c r="CI2105">
        <v>0.34</v>
      </c>
      <c r="CJ2105">
        <v>20166</v>
      </c>
      <c r="CK2105">
        <v>5214</v>
      </c>
      <c r="CL2105" t="s">
        <v>2605</v>
      </c>
      <c r="CM2105">
        <v>263.64999999999998</v>
      </c>
      <c r="CN2105">
        <v>39.1</v>
      </c>
      <c r="CO2105">
        <v>3.18</v>
      </c>
      <c r="CP2105">
        <v>-427.23</v>
      </c>
      <c r="CQ2105">
        <v>9.6199999999999992</v>
      </c>
      <c r="CR2105">
        <v>1.7</v>
      </c>
      <c r="CS2105" t="s">
        <v>868</v>
      </c>
      <c r="CT2105">
        <v>3.68</v>
      </c>
      <c r="CU2105">
        <v>3.68</v>
      </c>
      <c r="CV2105">
        <v>1.77</v>
      </c>
      <c r="CW2105">
        <v>0.84</v>
      </c>
      <c r="CX2105">
        <v>-0.03</v>
      </c>
      <c r="CY2105">
        <v>81.739999999999995</v>
      </c>
      <c r="CZ2105" t="s">
        <v>772</v>
      </c>
      <c r="DA2105">
        <v>53.42</v>
      </c>
      <c r="DB2105">
        <v>11.77</v>
      </c>
      <c r="DC2105">
        <v>10.210000000000001</v>
      </c>
      <c r="DD2105">
        <v>0.38</v>
      </c>
      <c r="DE2105">
        <v>644</v>
      </c>
      <c r="DF2105">
        <v>300719</v>
      </c>
      <c r="DG2105" t="s">
        <v>116</v>
      </c>
      <c r="DH2105" t="s">
        <v>116</v>
      </c>
      <c r="DI2105" t="s">
        <v>116</v>
      </c>
    </row>
    <row r="2106" spans="1:113" x14ac:dyDescent="0.4">
      <c r="A2106" t="str">
        <f>"300720"</f>
        <v>300720</v>
      </c>
      <c r="B2106" t="s">
        <v>10199</v>
      </c>
      <c r="C2106">
        <v>-2.12</v>
      </c>
      <c r="D2106">
        <v>15.22</v>
      </c>
      <c r="E2106">
        <v>-0.33</v>
      </c>
      <c r="F2106">
        <v>15.21</v>
      </c>
      <c r="G2106">
        <v>15.22</v>
      </c>
      <c r="H2106">
        <v>14924</v>
      </c>
      <c r="I2106">
        <v>172</v>
      </c>
      <c r="J2106">
        <v>0.13</v>
      </c>
      <c r="K2106">
        <v>3.57</v>
      </c>
      <c r="L2106">
        <v>15.57</v>
      </c>
      <c r="M2106">
        <v>15.58</v>
      </c>
      <c r="N2106">
        <v>15.17</v>
      </c>
      <c r="O2106">
        <v>15.55</v>
      </c>
      <c r="P2106">
        <v>39.68</v>
      </c>
      <c r="Q2106">
        <v>22939714</v>
      </c>
      <c r="R2106">
        <v>0.71</v>
      </c>
      <c r="S2106" t="s">
        <v>2977</v>
      </c>
      <c r="T2106" t="s">
        <v>551</v>
      </c>
      <c r="U2106">
        <v>2.64</v>
      </c>
      <c r="V2106">
        <v>15.37</v>
      </c>
      <c r="W2106">
        <v>9413</v>
      </c>
      <c r="X2106">
        <v>5511</v>
      </c>
      <c r="Y2106">
        <v>1.71</v>
      </c>
      <c r="Z2106">
        <v>25</v>
      </c>
      <c r="AA2106">
        <v>212</v>
      </c>
      <c r="AB2106" t="s">
        <v>116</v>
      </c>
      <c r="AC2106">
        <v>88700</v>
      </c>
      <c r="AD2106">
        <v>0.01</v>
      </c>
      <c r="AE2106" t="s">
        <v>116</v>
      </c>
      <c r="AF2106" t="s">
        <v>116</v>
      </c>
      <c r="AG2106">
        <v>0.42</v>
      </c>
      <c r="AH2106" t="s">
        <v>10200</v>
      </c>
      <c r="AI2106" t="s">
        <v>3961</v>
      </c>
      <c r="AJ2106">
        <v>-1.44</v>
      </c>
      <c r="AK2106">
        <v>903</v>
      </c>
      <c r="AL2106">
        <v>17</v>
      </c>
      <c r="AM2106">
        <v>4.0000000000000001E-3</v>
      </c>
      <c r="AN2106">
        <v>-3</v>
      </c>
      <c r="AO2106">
        <v>-3.23</v>
      </c>
      <c r="AP2106">
        <v>8.17</v>
      </c>
      <c r="AQ2106">
        <v>-4.22</v>
      </c>
      <c r="AR2106">
        <v>-9.3000000000000007</v>
      </c>
      <c r="AS2106">
        <v>3.73</v>
      </c>
      <c r="AT2106" t="s">
        <v>9858</v>
      </c>
      <c r="AU2106">
        <v>34.049999999999997</v>
      </c>
      <c r="AV2106">
        <v>35.24</v>
      </c>
      <c r="AW2106">
        <v>0.93</v>
      </c>
      <c r="BA2106">
        <v>0.13</v>
      </c>
      <c r="BB2106">
        <v>0.19</v>
      </c>
      <c r="BC2106">
        <v>-2.44</v>
      </c>
      <c r="BD2106">
        <v>-1.1499999999999999</v>
      </c>
      <c r="BE2106">
        <v>-2.25</v>
      </c>
      <c r="BF2106">
        <v>-2.31</v>
      </c>
      <c r="BG2106">
        <v>0.33</v>
      </c>
      <c r="BH2106">
        <v>-0.97</v>
      </c>
      <c r="BI2106">
        <v>20191030</v>
      </c>
      <c r="BJ2106">
        <v>20171106</v>
      </c>
      <c r="BK2106">
        <v>1.08</v>
      </c>
      <c r="BL2106" t="s">
        <v>116</v>
      </c>
      <c r="BM2106" t="s">
        <v>116</v>
      </c>
      <c r="BN2106">
        <v>5.1100000000000003</v>
      </c>
      <c r="BO2106">
        <v>4.67</v>
      </c>
      <c r="BP2106">
        <v>0</v>
      </c>
      <c r="BQ2106">
        <v>8.59</v>
      </c>
      <c r="BR2106">
        <v>3.81</v>
      </c>
      <c r="BS2106">
        <v>0.9</v>
      </c>
      <c r="BT2106">
        <v>0.18</v>
      </c>
      <c r="BU2106">
        <v>0.44</v>
      </c>
      <c r="BV2106">
        <v>0.84</v>
      </c>
      <c r="BW2106">
        <v>0.06</v>
      </c>
      <c r="BX2106">
        <v>1.53</v>
      </c>
      <c r="BY2106">
        <v>1.17</v>
      </c>
      <c r="BZ2106">
        <v>0.44</v>
      </c>
      <c r="CA2106">
        <v>0.36</v>
      </c>
      <c r="CB2106">
        <v>0.03</v>
      </c>
      <c r="CC2106">
        <v>0.36</v>
      </c>
      <c r="CD2106">
        <v>0.31</v>
      </c>
      <c r="CE2106">
        <v>0.31</v>
      </c>
      <c r="CF2106">
        <v>0.27</v>
      </c>
      <c r="CG2106">
        <v>1.8</v>
      </c>
      <c r="CH2106">
        <v>0.25</v>
      </c>
      <c r="CI2106">
        <v>-0.99</v>
      </c>
      <c r="CJ2106">
        <v>9237</v>
      </c>
      <c r="CK2106">
        <v>4327</v>
      </c>
      <c r="CL2106" t="s">
        <v>7724</v>
      </c>
      <c r="CM2106">
        <v>5.57</v>
      </c>
      <c r="CN2106">
        <v>5.75</v>
      </c>
      <c r="CO2106">
        <v>3.52</v>
      </c>
      <c r="CP2106">
        <v>65.180000000000007</v>
      </c>
      <c r="CQ2106">
        <v>14.02</v>
      </c>
      <c r="CR2106">
        <v>1.31</v>
      </c>
      <c r="CS2106" t="s">
        <v>4215</v>
      </c>
      <c r="CT2106">
        <v>4.32</v>
      </c>
      <c r="CU2106">
        <v>0</v>
      </c>
      <c r="CV2106">
        <v>1.41</v>
      </c>
      <c r="CW2106">
        <v>1.66</v>
      </c>
      <c r="CX2106">
        <v>0.23</v>
      </c>
      <c r="CY2106">
        <v>91.41</v>
      </c>
      <c r="CZ2106" t="s">
        <v>1907</v>
      </c>
      <c r="DA2106">
        <v>62.73</v>
      </c>
      <c r="DB2106">
        <v>30.82</v>
      </c>
      <c r="DC2106">
        <v>26.49</v>
      </c>
      <c r="DD2106">
        <v>0.08</v>
      </c>
      <c r="DE2106">
        <v>483</v>
      </c>
      <c r="DF2106">
        <v>300720</v>
      </c>
      <c r="DG2106" t="s">
        <v>116</v>
      </c>
      <c r="DH2106" t="s">
        <v>116</v>
      </c>
      <c r="DI2106" t="s">
        <v>116</v>
      </c>
    </row>
    <row r="2107" spans="1:113" x14ac:dyDescent="0.4">
      <c r="A2107" t="str">
        <f>"300721"</f>
        <v>300721</v>
      </c>
      <c r="B2107" t="s">
        <v>10201</v>
      </c>
      <c r="C2107">
        <v>-4.12</v>
      </c>
      <c r="D2107">
        <v>19.3</v>
      </c>
      <c r="E2107">
        <v>-0.83</v>
      </c>
      <c r="F2107">
        <v>19.28</v>
      </c>
      <c r="G2107">
        <v>19.3</v>
      </c>
      <c r="H2107">
        <v>48127</v>
      </c>
      <c r="I2107">
        <v>534</v>
      </c>
      <c r="J2107">
        <v>0.16</v>
      </c>
      <c r="K2107">
        <v>11.46</v>
      </c>
      <c r="L2107">
        <v>19.899999999999999</v>
      </c>
      <c r="M2107">
        <v>20</v>
      </c>
      <c r="N2107">
        <v>19.22</v>
      </c>
      <c r="O2107">
        <v>20.13</v>
      </c>
      <c r="P2107">
        <v>121.3</v>
      </c>
      <c r="Q2107">
        <v>94045392</v>
      </c>
      <c r="R2107">
        <v>1.28</v>
      </c>
      <c r="S2107" t="s">
        <v>891</v>
      </c>
      <c r="T2107" t="s">
        <v>323</v>
      </c>
      <c r="U2107">
        <v>3.87</v>
      </c>
      <c r="V2107">
        <v>19.54</v>
      </c>
      <c r="W2107">
        <v>28788</v>
      </c>
      <c r="X2107">
        <v>19339</v>
      </c>
      <c r="Y2107">
        <v>1.49</v>
      </c>
      <c r="Z2107">
        <v>5</v>
      </c>
      <c r="AA2107">
        <v>98</v>
      </c>
      <c r="AB2107" t="s">
        <v>116</v>
      </c>
      <c r="AC2107">
        <v>973100</v>
      </c>
      <c r="AD2107">
        <v>0.12</v>
      </c>
      <c r="AE2107" t="s">
        <v>116</v>
      </c>
      <c r="AF2107" t="s">
        <v>116</v>
      </c>
      <c r="AG2107">
        <v>0.42</v>
      </c>
      <c r="AH2107" t="s">
        <v>7312</v>
      </c>
      <c r="AI2107" t="s">
        <v>10202</v>
      </c>
      <c r="AJ2107">
        <v>-3.44</v>
      </c>
      <c r="AK2107">
        <v>2117</v>
      </c>
      <c r="AL2107">
        <v>23</v>
      </c>
      <c r="AM2107">
        <v>5.4000000000000003E-3</v>
      </c>
      <c r="AN2107">
        <v>-1</v>
      </c>
      <c r="AO2107">
        <v>2.83</v>
      </c>
      <c r="AP2107">
        <v>10.220000000000001</v>
      </c>
      <c r="AQ2107">
        <v>-0.16</v>
      </c>
      <c r="AR2107">
        <v>-3.15</v>
      </c>
      <c r="AS2107">
        <v>11.84</v>
      </c>
      <c r="AT2107" t="s">
        <v>7302</v>
      </c>
      <c r="AU2107">
        <v>141.09</v>
      </c>
      <c r="AV2107">
        <v>43.53</v>
      </c>
      <c r="AW2107">
        <v>1.28</v>
      </c>
      <c r="BA2107">
        <v>-1.1399999999999999</v>
      </c>
      <c r="BB2107">
        <v>-0.65</v>
      </c>
      <c r="BC2107">
        <v>-4.5199999999999996</v>
      </c>
      <c r="BD2107">
        <v>-2.93</v>
      </c>
      <c r="BE2107">
        <v>-3.02</v>
      </c>
      <c r="BF2107">
        <v>-3.5</v>
      </c>
      <c r="BG2107">
        <v>0.42</v>
      </c>
      <c r="BH2107">
        <v>-1.2</v>
      </c>
      <c r="BI2107">
        <v>20191212</v>
      </c>
      <c r="BJ2107">
        <v>20171115</v>
      </c>
      <c r="BK2107">
        <v>0.81</v>
      </c>
      <c r="BL2107" t="s">
        <v>116</v>
      </c>
      <c r="BM2107" t="s">
        <v>116</v>
      </c>
      <c r="BN2107">
        <v>15.89</v>
      </c>
      <c r="BO2107">
        <v>8.5299999999999994</v>
      </c>
      <c r="BP2107">
        <v>0.54</v>
      </c>
      <c r="BQ2107">
        <v>42.9</v>
      </c>
      <c r="BR2107">
        <v>5.85</v>
      </c>
      <c r="BS2107">
        <v>3.59</v>
      </c>
      <c r="BT2107">
        <v>1.64</v>
      </c>
      <c r="BU2107">
        <v>5.6</v>
      </c>
      <c r="BV2107">
        <v>1.93</v>
      </c>
      <c r="BW2107">
        <v>0.85</v>
      </c>
      <c r="BX2107">
        <v>5.42</v>
      </c>
      <c r="BY2107">
        <v>7.05</v>
      </c>
      <c r="BZ2107">
        <v>6.12</v>
      </c>
      <c r="CA2107">
        <v>0.09</v>
      </c>
      <c r="CB2107">
        <v>0.03</v>
      </c>
      <c r="CC2107">
        <v>7.0000000000000007E-2</v>
      </c>
      <c r="CD2107">
        <v>0.09</v>
      </c>
      <c r="CE2107">
        <v>0.1</v>
      </c>
      <c r="CF2107">
        <v>0.06</v>
      </c>
      <c r="CG2107">
        <v>2.0699999999999998</v>
      </c>
      <c r="CH2107">
        <v>-0.2</v>
      </c>
      <c r="CI2107">
        <v>-1.93</v>
      </c>
      <c r="CJ2107">
        <v>10274</v>
      </c>
      <c r="CK2107">
        <v>3955</v>
      </c>
      <c r="CL2107" t="s">
        <v>10203</v>
      </c>
      <c r="CM2107">
        <v>-71.989999999999995</v>
      </c>
      <c r="CN2107">
        <v>-19.850000000000001</v>
      </c>
      <c r="CO2107">
        <v>1.82</v>
      </c>
      <c r="CP2107">
        <v>-78.17</v>
      </c>
      <c r="CQ2107">
        <v>2.21</v>
      </c>
      <c r="CR2107">
        <v>0.78</v>
      </c>
      <c r="CS2107" t="s">
        <v>5567</v>
      </c>
      <c r="CT2107">
        <v>10.59</v>
      </c>
      <c r="CU2107">
        <v>0</v>
      </c>
      <c r="CV2107">
        <v>6.72</v>
      </c>
      <c r="CW2107">
        <v>2.57</v>
      </c>
      <c r="CX2107">
        <v>-0.25</v>
      </c>
      <c r="CY2107">
        <v>53.71</v>
      </c>
      <c r="CZ2107" t="s">
        <v>959</v>
      </c>
      <c r="DA2107">
        <v>13.11</v>
      </c>
      <c r="DB2107">
        <v>1.31</v>
      </c>
      <c r="DC2107">
        <v>1.36</v>
      </c>
      <c r="DD2107">
        <v>0.16</v>
      </c>
      <c r="DE2107">
        <v>668</v>
      </c>
      <c r="DF2107">
        <v>300721</v>
      </c>
      <c r="DG2107" t="s">
        <v>116</v>
      </c>
      <c r="DH2107" t="s">
        <v>116</v>
      </c>
      <c r="DI2107" t="s">
        <v>116</v>
      </c>
    </row>
    <row r="2108" spans="1:113" x14ac:dyDescent="0.4">
      <c r="A2108" t="str">
        <f>"300722"</f>
        <v>300722</v>
      </c>
      <c r="B2108" t="s">
        <v>10204</v>
      </c>
      <c r="C2108">
        <v>-1.04</v>
      </c>
      <c r="D2108">
        <v>20.96</v>
      </c>
      <c r="E2108">
        <v>-0.22</v>
      </c>
      <c r="F2108">
        <v>20.96</v>
      </c>
      <c r="G2108">
        <v>21.05</v>
      </c>
      <c r="H2108">
        <v>8020</v>
      </c>
      <c r="I2108">
        <v>130</v>
      </c>
      <c r="J2108">
        <v>-0.13</v>
      </c>
      <c r="K2108">
        <v>2.86</v>
      </c>
      <c r="L2108">
        <v>21.18</v>
      </c>
      <c r="M2108">
        <v>21.42</v>
      </c>
      <c r="N2108">
        <v>20.96</v>
      </c>
      <c r="O2108">
        <v>21.18</v>
      </c>
      <c r="P2108">
        <v>81.17</v>
      </c>
      <c r="Q2108">
        <v>17004458</v>
      </c>
      <c r="R2108">
        <v>1.19</v>
      </c>
      <c r="S2108" t="s">
        <v>682</v>
      </c>
      <c r="T2108" t="s">
        <v>683</v>
      </c>
      <c r="U2108">
        <v>2.17</v>
      </c>
      <c r="V2108">
        <v>21.2</v>
      </c>
      <c r="W2108">
        <v>3945</v>
      </c>
      <c r="X2108">
        <v>4075</v>
      </c>
      <c r="Y2108">
        <v>0.97</v>
      </c>
      <c r="Z2108">
        <v>69</v>
      </c>
      <c r="AA2108">
        <v>3</v>
      </c>
      <c r="AB2108" t="s">
        <v>116</v>
      </c>
      <c r="AC2108">
        <v>0</v>
      </c>
      <c r="AD2108">
        <v>0</v>
      </c>
      <c r="AE2108" t="s">
        <v>116</v>
      </c>
      <c r="AF2108" t="s">
        <v>116</v>
      </c>
      <c r="AG2108">
        <v>0.28000000000000003</v>
      </c>
      <c r="AH2108" t="s">
        <v>10205</v>
      </c>
      <c r="AI2108" t="s">
        <v>2817</v>
      </c>
      <c r="AJ2108">
        <v>-0.36</v>
      </c>
      <c r="AK2108">
        <v>746</v>
      </c>
      <c r="AL2108">
        <v>11</v>
      </c>
      <c r="AM2108">
        <v>3.8E-3</v>
      </c>
      <c r="AN2108">
        <v>-1</v>
      </c>
      <c r="AO2108">
        <v>0.24</v>
      </c>
      <c r="AP2108">
        <v>4.0199999999999996</v>
      </c>
      <c r="AQ2108">
        <v>-10.16</v>
      </c>
      <c r="AR2108">
        <v>-3.76</v>
      </c>
      <c r="AS2108">
        <v>2.86</v>
      </c>
      <c r="AT2108" t="s">
        <v>10205</v>
      </c>
      <c r="AU2108">
        <v>38.96</v>
      </c>
      <c r="AV2108">
        <v>31.71</v>
      </c>
      <c r="AW2108">
        <v>1</v>
      </c>
      <c r="BA2108">
        <v>0</v>
      </c>
      <c r="BB2108">
        <v>1.1299999999999999</v>
      </c>
      <c r="BC2108">
        <v>-1.04</v>
      </c>
      <c r="BD2108">
        <v>0.11</v>
      </c>
      <c r="BE2108">
        <v>-1.04</v>
      </c>
      <c r="BF2108">
        <v>-2.15</v>
      </c>
      <c r="BG2108">
        <v>0</v>
      </c>
      <c r="BH2108">
        <v>-1.1499999999999999</v>
      </c>
      <c r="BI2108">
        <v>20191028</v>
      </c>
      <c r="BJ2108">
        <v>20171110</v>
      </c>
      <c r="BK2108">
        <v>1.1200000000000001</v>
      </c>
      <c r="BL2108" t="s">
        <v>116</v>
      </c>
      <c r="BM2108" t="s">
        <v>116</v>
      </c>
      <c r="BN2108">
        <v>5.25</v>
      </c>
      <c r="BO2108">
        <v>4.3</v>
      </c>
      <c r="BP2108">
        <v>0.01</v>
      </c>
      <c r="BQ2108">
        <v>18.059999999999999</v>
      </c>
      <c r="BR2108">
        <v>2.89</v>
      </c>
      <c r="BS2108">
        <v>1.78</v>
      </c>
      <c r="BT2108">
        <v>0.35</v>
      </c>
      <c r="BU2108">
        <v>0.67</v>
      </c>
      <c r="BV2108">
        <v>0.69</v>
      </c>
      <c r="BW2108">
        <v>0.82</v>
      </c>
      <c r="BX2108">
        <v>1.72</v>
      </c>
      <c r="BY2108">
        <v>1.48</v>
      </c>
      <c r="BZ2108">
        <v>0.78</v>
      </c>
      <c r="CA2108">
        <v>0.25</v>
      </c>
      <c r="CB2108">
        <v>0.01</v>
      </c>
      <c r="CC2108">
        <v>0.25</v>
      </c>
      <c r="CD2108">
        <v>0.22</v>
      </c>
      <c r="CE2108">
        <v>0.22</v>
      </c>
      <c r="CF2108">
        <v>0.19</v>
      </c>
      <c r="CG2108">
        <v>1.18</v>
      </c>
      <c r="CH2108">
        <v>-0.24</v>
      </c>
      <c r="CI2108">
        <v>-0.96</v>
      </c>
      <c r="CJ2108">
        <v>11365</v>
      </c>
      <c r="CK2108">
        <v>2464</v>
      </c>
      <c r="CL2108" t="s">
        <v>3589</v>
      </c>
      <c r="CM2108">
        <v>-38.83</v>
      </c>
      <c r="CN2108">
        <v>-1.69</v>
      </c>
      <c r="CO2108">
        <v>5.46</v>
      </c>
      <c r="CP2108">
        <v>-97.7</v>
      </c>
      <c r="CQ2108">
        <v>15.84</v>
      </c>
      <c r="CR2108">
        <v>1.19</v>
      </c>
      <c r="CS2108" t="s">
        <v>7352</v>
      </c>
      <c r="CT2108">
        <v>3.84</v>
      </c>
      <c r="CU2108">
        <v>0</v>
      </c>
      <c r="CV2108">
        <v>1.54</v>
      </c>
      <c r="CW2108">
        <v>1.05</v>
      </c>
      <c r="CX2108">
        <v>-0.21</v>
      </c>
      <c r="CY2108">
        <v>81.790000000000006</v>
      </c>
      <c r="CZ2108" t="s">
        <v>3787</v>
      </c>
      <c r="DA2108">
        <v>47.17</v>
      </c>
      <c r="DB2108">
        <v>16.559999999999999</v>
      </c>
      <c r="DC2108">
        <v>14.64</v>
      </c>
      <c r="DD2108">
        <v>0.17</v>
      </c>
      <c r="DE2108">
        <v>612</v>
      </c>
      <c r="DF2108">
        <v>300722</v>
      </c>
      <c r="DG2108" t="s">
        <v>116</v>
      </c>
      <c r="DH2108" t="s">
        <v>116</v>
      </c>
      <c r="DI2108" t="s">
        <v>116</v>
      </c>
    </row>
    <row r="2109" spans="1:113" x14ac:dyDescent="0.4">
      <c r="A2109" t="str">
        <f>"300723"</f>
        <v>300723</v>
      </c>
      <c r="B2109" t="s">
        <v>10206</v>
      </c>
      <c r="C2109">
        <v>1.02</v>
      </c>
      <c r="D2109">
        <v>37.729999999999997</v>
      </c>
      <c r="E2109">
        <v>0.38</v>
      </c>
      <c r="F2109">
        <v>37.630000000000003</v>
      </c>
      <c r="G2109">
        <v>37.729999999999997</v>
      </c>
      <c r="H2109">
        <v>15678</v>
      </c>
      <c r="I2109">
        <v>33</v>
      </c>
      <c r="J2109">
        <v>0.16</v>
      </c>
      <c r="K2109">
        <v>3.38</v>
      </c>
      <c r="L2109">
        <v>37.369999999999997</v>
      </c>
      <c r="M2109">
        <v>38.18</v>
      </c>
      <c r="N2109">
        <v>37.1</v>
      </c>
      <c r="O2109">
        <v>37.35</v>
      </c>
      <c r="P2109">
        <v>27.18</v>
      </c>
      <c r="Q2109">
        <v>59071880</v>
      </c>
      <c r="R2109">
        <v>1.48</v>
      </c>
      <c r="S2109" t="s">
        <v>574</v>
      </c>
      <c r="T2109" t="s">
        <v>551</v>
      </c>
      <c r="U2109">
        <v>2.89</v>
      </c>
      <c r="V2109">
        <v>37.68</v>
      </c>
      <c r="W2109">
        <v>7962</v>
      </c>
      <c r="X2109">
        <v>7716</v>
      </c>
      <c r="Y2109">
        <v>1.03</v>
      </c>
      <c r="Z2109">
        <v>2</v>
      </c>
      <c r="AA2109">
        <v>24</v>
      </c>
      <c r="AB2109" t="s">
        <v>116</v>
      </c>
      <c r="AC2109">
        <v>108400</v>
      </c>
      <c r="AD2109">
        <v>0.01</v>
      </c>
      <c r="AE2109" t="s">
        <v>116</v>
      </c>
      <c r="AF2109" t="s">
        <v>116</v>
      </c>
      <c r="AG2109">
        <v>0.46</v>
      </c>
      <c r="AH2109" t="s">
        <v>6627</v>
      </c>
      <c r="AI2109" t="s">
        <v>10207</v>
      </c>
      <c r="AJ2109">
        <v>1.7</v>
      </c>
      <c r="AK2109">
        <v>1657</v>
      </c>
      <c r="AL2109">
        <v>9</v>
      </c>
      <c r="AM2109">
        <v>2E-3</v>
      </c>
      <c r="AN2109">
        <v>1</v>
      </c>
      <c r="AO2109">
        <v>1.46</v>
      </c>
      <c r="AP2109">
        <v>18.61</v>
      </c>
      <c r="AQ2109">
        <v>-3.03</v>
      </c>
      <c r="AR2109">
        <v>42.43</v>
      </c>
      <c r="AS2109">
        <v>3.38</v>
      </c>
      <c r="AT2109" t="s">
        <v>6627</v>
      </c>
      <c r="AU2109">
        <v>25.05</v>
      </c>
      <c r="AV2109">
        <v>29.2</v>
      </c>
      <c r="AW2109">
        <v>1.3</v>
      </c>
      <c r="BA2109">
        <v>0.05</v>
      </c>
      <c r="BB2109">
        <v>2.2200000000000002</v>
      </c>
      <c r="BC2109">
        <v>-0.67</v>
      </c>
      <c r="BD2109">
        <v>0.88</v>
      </c>
      <c r="BE2109">
        <v>0.96</v>
      </c>
      <c r="BF2109">
        <v>-1.18</v>
      </c>
      <c r="BG2109">
        <v>1.7</v>
      </c>
      <c r="BH2109">
        <v>0.14000000000000001</v>
      </c>
      <c r="BI2109">
        <v>20191223</v>
      </c>
      <c r="BJ2109">
        <v>20171116</v>
      </c>
      <c r="BK2109">
        <v>1.61</v>
      </c>
      <c r="BL2109" t="s">
        <v>116</v>
      </c>
      <c r="BM2109" t="s">
        <v>116</v>
      </c>
      <c r="BN2109">
        <v>17.64</v>
      </c>
      <c r="BO2109">
        <v>13.84</v>
      </c>
      <c r="BP2109">
        <v>0.13</v>
      </c>
      <c r="BQ2109">
        <v>20.8</v>
      </c>
      <c r="BR2109">
        <v>11.82</v>
      </c>
      <c r="BS2109">
        <v>1.77</v>
      </c>
      <c r="BT2109">
        <v>3.18</v>
      </c>
      <c r="BU2109">
        <v>2.95</v>
      </c>
      <c r="BV2109">
        <v>0.96</v>
      </c>
      <c r="BW2109">
        <v>2.34</v>
      </c>
      <c r="BX2109">
        <v>6.62</v>
      </c>
      <c r="BY2109">
        <v>11.91</v>
      </c>
      <c r="BZ2109">
        <v>2.54</v>
      </c>
      <c r="CA2109">
        <v>2.0099999999999998</v>
      </c>
      <c r="CB2109">
        <v>0.06</v>
      </c>
      <c r="CC2109">
        <v>2.06</v>
      </c>
      <c r="CD2109">
        <v>1.68</v>
      </c>
      <c r="CE2109">
        <v>1.68</v>
      </c>
      <c r="CF2109">
        <v>1.5</v>
      </c>
      <c r="CG2109">
        <v>6.16</v>
      </c>
      <c r="CH2109">
        <v>2.11</v>
      </c>
      <c r="CI2109">
        <v>-3.63</v>
      </c>
      <c r="CJ2109">
        <v>9618</v>
      </c>
      <c r="CK2109">
        <v>4816</v>
      </c>
      <c r="CL2109" t="s">
        <v>10208</v>
      </c>
      <c r="CM2109">
        <v>25.85</v>
      </c>
      <c r="CN2109">
        <v>9.9499999999999993</v>
      </c>
      <c r="CO2109">
        <v>4.3899999999999997</v>
      </c>
      <c r="CP2109">
        <v>28.88</v>
      </c>
      <c r="CQ2109">
        <v>5.0999999999999996</v>
      </c>
      <c r="CR2109">
        <v>0.53</v>
      </c>
      <c r="CS2109" t="s">
        <v>10209</v>
      </c>
      <c r="CT2109">
        <v>8.59</v>
      </c>
      <c r="CU2109">
        <v>0</v>
      </c>
      <c r="CV2109">
        <v>4.1100000000000003</v>
      </c>
      <c r="CW2109">
        <v>3.82</v>
      </c>
      <c r="CX2109">
        <v>1.31</v>
      </c>
      <c r="CY2109">
        <v>78.47</v>
      </c>
      <c r="CZ2109" t="s">
        <v>10210</v>
      </c>
      <c r="DA2109">
        <v>78.650000000000006</v>
      </c>
      <c r="DB2109">
        <v>16.899999999999999</v>
      </c>
      <c r="DC2109">
        <v>14.08</v>
      </c>
      <c r="DD2109">
        <v>0.53</v>
      </c>
      <c r="DE2109">
        <v>829</v>
      </c>
      <c r="DF2109">
        <v>300723</v>
      </c>
      <c r="DG2109" t="s">
        <v>116</v>
      </c>
      <c r="DH2109" t="s">
        <v>116</v>
      </c>
      <c r="DI2109" t="s">
        <v>116</v>
      </c>
    </row>
    <row r="2110" spans="1:113" x14ac:dyDescent="0.4">
      <c r="A2110" t="str">
        <f>"300724"</f>
        <v>300724</v>
      </c>
      <c r="B2110" t="s">
        <v>10211</v>
      </c>
      <c r="C2110">
        <v>-0.1</v>
      </c>
      <c r="D2110">
        <v>38.08</v>
      </c>
      <c r="E2110">
        <v>-0.04</v>
      </c>
      <c r="F2110">
        <v>38.06</v>
      </c>
      <c r="G2110">
        <v>38.08</v>
      </c>
      <c r="H2110">
        <v>44124</v>
      </c>
      <c r="I2110">
        <v>403</v>
      </c>
      <c r="J2110">
        <v>-0.3</v>
      </c>
      <c r="K2110">
        <v>2.6</v>
      </c>
      <c r="L2110">
        <v>38.5</v>
      </c>
      <c r="M2110">
        <v>39.58</v>
      </c>
      <c r="N2110">
        <v>37.75</v>
      </c>
      <c r="O2110">
        <v>38.119999999999997</v>
      </c>
      <c r="P2110">
        <v>26.81</v>
      </c>
      <c r="Q2110">
        <v>171101280</v>
      </c>
      <c r="R2110">
        <v>1.52</v>
      </c>
      <c r="S2110" t="s">
        <v>682</v>
      </c>
      <c r="T2110" t="s">
        <v>115</v>
      </c>
      <c r="U2110">
        <v>4.8</v>
      </c>
      <c r="V2110">
        <v>38.78</v>
      </c>
      <c r="W2110">
        <v>24564</v>
      </c>
      <c r="X2110">
        <v>19560</v>
      </c>
      <c r="Y2110">
        <v>1.26</v>
      </c>
      <c r="Z2110">
        <v>5</v>
      </c>
      <c r="AA2110">
        <v>14</v>
      </c>
      <c r="AB2110" t="s">
        <v>116</v>
      </c>
      <c r="AC2110">
        <v>1081900</v>
      </c>
      <c r="AD2110">
        <v>0.02</v>
      </c>
      <c r="AE2110" t="s">
        <v>116</v>
      </c>
      <c r="AF2110" t="s">
        <v>116</v>
      </c>
      <c r="AG2110">
        <v>1.7</v>
      </c>
      <c r="AH2110" t="s">
        <v>10212</v>
      </c>
      <c r="AI2110" t="s">
        <v>10213</v>
      </c>
      <c r="AJ2110">
        <v>0.56999999999999995</v>
      </c>
      <c r="AK2110">
        <v>2891</v>
      </c>
      <c r="AL2110">
        <v>15</v>
      </c>
      <c r="AM2110">
        <v>8.9999999999999998E-4</v>
      </c>
      <c r="AN2110">
        <v>-1</v>
      </c>
      <c r="AO2110">
        <v>3.74</v>
      </c>
      <c r="AP2110">
        <v>12.53</v>
      </c>
      <c r="AQ2110">
        <v>14.25</v>
      </c>
      <c r="AR2110">
        <v>34.56</v>
      </c>
      <c r="AS2110">
        <v>3.15</v>
      </c>
      <c r="AT2110" t="s">
        <v>5749</v>
      </c>
      <c r="AU2110">
        <v>31.59</v>
      </c>
      <c r="AV2110">
        <v>39.799999999999997</v>
      </c>
      <c r="AW2110">
        <v>0.98</v>
      </c>
      <c r="BA2110">
        <v>1</v>
      </c>
      <c r="BB2110">
        <v>3.83</v>
      </c>
      <c r="BC2110">
        <v>-0.97</v>
      </c>
      <c r="BD2110">
        <v>1.72</v>
      </c>
      <c r="BE2110">
        <v>-1.0900000000000001</v>
      </c>
      <c r="BF2110">
        <v>-3.79</v>
      </c>
      <c r="BG2110">
        <v>0.87</v>
      </c>
      <c r="BH2110">
        <v>-1.83</v>
      </c>
      <c r="BI2110">
        <v>20191223</v>
      </c>
      <c r="BJ2110">
        <v>20180810</v>
      </c>
      <c r="BK2110">
        <v>3.2</v>
      </c>
      <c r="BL2110" t="s">
        <v>116</v>
      </c>
      <c r="BM2110" t="s">
        <v>116</v>
      </c>
      <c r="BN2110">
        <v>54.89</v>
      </c>
      <c r="BO2110">
        <v>25.11</v>
      </c>
      <c r="BP2110">
        <v>0.03</v>
      </c>
      <c r="BQ2110">
        <v>54.21</v>
      </c>
      <c r="BR2110">
        <v>50.74</v>
      </c>
      <c r="BS2110">
        <v>2.12</v>
      </c>
      <c r="BT2110">
        <v>0.27</v>
      </c>
      <c r="BU2110">
        <v>29.61</v>
      </c>
      <c r="BV2110">
        <v>32.46</v>
      </c>
      <c r="BW2110">
        <v>3.47</v>
      </c>
      <c r="BX2110">
        <v>11.44</v>
      </c>
      <c r="BY2110">
        <v>18.04</v>
      </c>
      <c r="BZ2110">
        <v>11.97</v>
      </c>
      <c r="CA2110">
        <v>3.98</v>
      </c>
      <c r="CB2110">
        <v>0.12</v>
      </c>
      <c r="CC2110">
        <v>3.98</v>
      </c>
      <c r="CD2110">
        <v>3.37</v>
      </c>
      <c r="CE2110">
        <v>3.41</v>
      </c>
      <c r="CF2110">
        <v>3.22</v>
      </c>
      <c r="CG2110">
        <v>9.85</v>
      </c>
      <c r="CH2110">
        <v>-5.52</v>
      </c>
      <c r="CI2110">
        <v>1.81</v>
      </c>
      <c r="CJ2110">
        <v>12552</v>
      </c>
      <c r="CK2110">
        <v>11146</v>
      </c>
      <c r="CL2110" t="s">
        <v>10214</v>
      </c>
      <c r="CM2110">
        <v>30.47</v>
      </c>
      <c r="CN2110">
        <v>64.34</v>
      </c>
      <c r="CO2110">
        <v>4.8499999999999996</v>
      </c>
      <c r="CP2110">
        <v>-22.09</v>
      </c>
      <c r="CQ2110">
        <v>6.75</v>
      </c>
      <c r="CR2110">
        <v>0.47</v>
      </c>
      <c r="CS2110" t="s">
        <v>10215</v>
      </c>
      <c r="CT2110">
        <v>7.85</v>
      </c>
      <c r="CU2110">
        <v>0</v>
      </c>
      <c r="CV2110">
        <v>3.58</v>
      </c>
      <c r="CW2110">
        <v>3.08</v>
      </c>
      <c r="CX2110">
        <v>-1.72</v>
      </c>
      <c r="CY2110">
        <v>45.74</v>
      </c>
      <c r="CZ2110" t="s">
        <v>10216</v>
      </c>
      <c r="DA2110">
        <v>33.68</v>
      </c>
      <c r="DB2110">
        <v>22.05</v>
      </c>
      <c r="DC2110">
        <v>18.89</v>
      </c>
      <c r="DD2110">
        <v>0.71</v>
      </c>
      <c r="DE2110">
        <v>1579</v>
      </c>
      <c r="DF2110">
        <v>300724</v>
      </c>
      <c r="DG2110" t="s">
        <v>116</v>
      </c>
      <c r="DH2110" t="s">
        <v>116</v>
      </c>
      <c r="DI2110" t="s">
        <v>116</v>
      </c>
    </row>
    <row r="2111" spans="1:113" x14ac:dyDescent="0.4">
      <c r="A2111" t="str">
        <f>"300725"</f>
        <v>300725</v>
      </c>
      <c r="B2111" t="s">
        <v>10217</v>
      </c>
      <c r="C2111">
        <v>-2.0299999999999998</v>
      </c>
      <c r="D2111">
        <v>65.28</v>
      </c>
      <c r="E2111">
        <v>-1.35</v>
      </c>
      <c r="F2111">
        <v>65.27</v>
      </c>
      <c r="G2111">
        <v>65.28</v>
      </c>
      <c r="H2111">
        <v>16966</v>
      </c>
      <c r="I2111">
        <v>177</v>
      </c>
      <c r="J2111">
        <v>-0.16</v>
      </c>
      <c r="K2111">
        <v>1.74</v>
      </c>
      <c r="L2111">
        <v>66.95</v>
      </c>
      <c r="M2111">
        <v>67.180000000000007</v>
      </c>
      <c r="N2111">
        <v>64.95</v>
      </c>
      <c r="O2111">
        <v>66.63</v>
      </c>
      <c r="P2111">
        <v>60.37</v>
      </c>
      <c r="Q2111">
        <v>112321640</v>
      </c>
      <c r="R2111">
        <v>1.24</v>
      </c>
      <c r="S2111" t="s">
        <v>891</v>
      </c>
      <c r="T2111" t="s">
        <v>323</v>
      </c>
      <c r="U2111">
        <v>3.35</v>
      </c>
      <c r="V2111">
        <v>66.2</v>
      </c>
      <c r="W2111">
        <v>10013</v>
      </c>
      <c r="X2111">
        <v>6953</v>
      </c>
      <c r="Y2111">
        <v>1.44</v>
      </c>
      <c r="Z2111">
        <v>60</v>
      </c>
      <c r="AA2111">
        <v>47</v>
      </c>
      <c r="AB2111" t="s">
        <v>116</v>
      </c>
      <c r="AC2111">
        <v>749800</v>
      </c>
      <c r="AD2111">
        <v>0.01</v>
      </c>
      <c r="AE2111" t="s">
        <v>116</v>
      </c>
      <c r="AF2111" t="s">
        <v>116</v>
      </c>
      <c r="AG2111">
        <v>0.97</v>
      </c>
      <c r="AH2111" t="s">
        <v>10218</v>
      </c>
      <c r="AI2111" t="s">
        <v>10219</v>
      </c>
      <c r="AJ2111">
        <v>-1.35</v>
      </c>
      <c r="AK2111">
        <v>1760</v>
      </c>
      <c r="AL2111">
        <v>10</v>
      </c>
      <c r="AM2111">
        <v>1E-3</v>
      </c>
      <c r="AN2111">
        <v>-2</v>
      </c>
      <c r="AO2111">
        <v>-0.88</v>
      </c>
      <c r="AP2111">
        <v>2.5099999999999998</v>
      </c>
      <c r="AQ2111">
        <v>-20.87</v>
      </c>
      <c r="AR2111">
        <v>58.24</v>
      </c>
      <c r="AS2111">
        <v>2.12</v>
      </c>
      <c r="AT2111" t="s">
        <v>9218</v>
      </c>
      <c r="AU2111">
        <v>60.29</v>
      </c>
      <c r="AV2111">
        <v>70.87</v>
      </c>
      <c r="AW2111">
        <v>1.3</v>
      </c>
      <c r="BA2111">
        <v>0.48</v>
      </c>
      <c r="BB2111">
        <v>0.83</v>
      </c>
      <c r="BC2111">
        <v>-2.52</v>
      </c>
      <c r="BD2111">
        <v>-0.64</v>
      </c>
      <c r="BE2111">
        <v>-2.4900000000000002</v>
      </c>
      <c r="BF2111">
        <v>-2.83</v>
      </c>
      <c r="BG2111">
        <v>0.51</v>
      </c>
      <c r="BH2111">
        <v>-1.38</v>
      </c>
      <c r="BI2111">
        <v>20191223</v>
      </c>
      <c r="BJ2111">
        <v>20171110</v>
      </c>
      <c r="BK2111">
        <v>1.45</v>
      </c>
      <c r="BL2111" t="s">
        <v>116</v>
      </c>
      <c r="BM2111" t="s">
        <v>116</v>
      </c>
      <c r="BN2111">
        <v>9.36</v>
      </c>
      <c r="BO2111">
        <v>6.94</v>
      </c>
      <c r="BP2111">
        <v>0</v>
      </c>
      <c r="BQ2111">
        <v>25.78</v>
      </c>
      <c r="BR2111">
        <v>5.1100000000000003</v>
      </c>
      <c r="BS2111">
        <v>1.31</v>
      </c>
      <c r="BT2111">
        <v>0.25</v>
      </c>
      <c r="BU2111">
        <v>2.33</v>
      </c>
      <c r="BV2111">
        <v>2.0099999999999998</v>
      </c>
      <c r="BW2111">
        <v>0.75</v>
      </c>
      <c r="BX2111">
        <v>2.5499999999999998</v>
      </c>
      <c r="BY2111">
        <v>4.6399999999999997</v>
      </c>
      <c r="BZ2111">
        <v>2.13</v>
      </c>
      <c r="CA2111">
        <v>1.29</v>
      </c>
      <c r="CB2111">
        <v>-0.01</v>
      </c>
      <c r="CC2111">
        <v>1.33</v>
      </c>
      <c r="CD2111">
        <v>1.17</v>
      </c>
      <c r="CE2111">
        <v>1.17</v>
      </c>
      <c r="CF2111">
        <v>1.1100000000000001</v>
      </c>
      <c r="CG2111">
        <v>2.75</v>
      </c>
      <c r="CH2111">
        <v>0.57999999999999996</v>
      </c>
      <c r="CI2111">
        <v>-1.97</v>
      </c>
      <c r="CJ2111">
        <v>11118</v>
      </c>
      <c r="CK2111">
        <v>7199</v>
      </c>
      <c r="CL2111" t="s">
        <v>10220</v>
      </c>
      <c r="CM2111">
        <v>24.9</v>
      </c>
      <c r="CN2111">
        <v>36.880000000000003</v>
      </c>
      <c r="CO2111">
        <v>13.44</v>
      </c>
      <c r="CP2111">
        <v>164.22</v>
      </c>
      <c r="CQ2111">
        <v>20.36</v>
      </c>
      <c r="CR2111">
        <v>0.23</v>
      </c>
      <c r="CS2111" t="s">
        <v>9381</v>
      </c>
      <c r="CT2111">
        <v>4.8600000000000003</v>
      </c>
      <c r="CU2111">
        <v>4.8600000000000003</v>
      </c>
      <c r="CV2111">
        <v>1.76</v>
      </c>
      <c r="CW2111">
        <v>1.9</v>
      </c>
      <c r="CX2111">
        <v>0.4</v>
      </c>
      <c r="CY2111">
        <v>74.22</v>
      </c>
      <c r="CZ2111" t="s">
        <v>10221</v>
      </c>
      <c r="DA2111">
        <v>54.07</v>
      </c>
      <c r="DB2111">
        <v>27.76</v>
      </c>
      <c r="DC2111">
        <v>25.3</v>
      </c>
      <c r="DD2111">
        <v>0.5</v>
      </c>
      <c r="DE2111">
        <v>512</v>
      </c>
      <c r="DF2111">
        <v>300725</v>
      </c>
      <c r="DG2111" t="s">
        <v>116</v>
      </c>
      <c r="DH2111" t="s">
        <v>116</v>
      </c>
      <c r="DI2111" t="s">
        <v>116</v>
      </c>
    </row>
    <row r="2112" spans="1:113" x14ac:dyDescent="0.4">
      <c r="A2112" t="str">
        <f>"300726"</f>
        <v>300726</v>
      </c>
      <c r="B2112" t="s">
        <v>10222</v>
      </c>
      <c r="C2112">
        <v>-2.77</v>
      </c>
      <c r="D2112">
        <v>26.65</v>
      </c>
      <c r="E2112">
        <v>-0.76</v>
      </c>
      <c r="F2112">
        <v>26.64</v>
      </c>
      <c r="G2112">
        <v>26.65</v>
      </c>
      <c r="H2112">
        <v>48759</v>
      </c>
      <c r="I2112">
        <v>615</v>
      </c>
      <c r="J2112">
        <v>-0.14000000000000001</v>
      </c>
      <c r="K2112">
        <v>4.53</v>
      </c>
      <c r="L2112">
        <v>27.35</v>
      </c>
      <c r="M2112">
        <v>27.55</v>
      </c>
      <c r="N2112">
        <v>26.62</v>
      </c>
      <c r="O2112">
        <v>27.41</v>
      </c>
      <c r="P2112">
        <v>33.28</v>
      </c>
      <c r="Q2112">
        <v>132409488</v>
      </c>
      <c r="R2112">
        <v>1.05</v>
      </c>
      <c r="S2112" t="s">
        <v>233</v>
      </c>
      <c r="T2112" t="s">
        <v>599</v>
      </c>
      <c r="U2112">
        <v>3.39</v>
      </c>
      <c r="V2112">
        <v>27.16</v>
      </c>
      <c r="W2112">
        <v>26213</v>
      </c>
      <c r="X2112">
        <v>22546</v>
      </c>
      <c r="Y2112">
        <v>1.1599999999999999</v>
      </c>
      <c r="Z2112">
        <v>468</v>
      </c>
      <c r="AA2112">
        <v>114</v>
      </c>
      <c r="AB2112" t="s">
        <v>116</v>
      </c>
      <c r="AC2112">
        <v>746700</v>
      </c>
      <c r="AD2112">
        <v>0.03</v>
      </c>
      <c r="AE2112" t="s">
        <v>116</v>
      </c>
      <c r="AF2112" t="s">
        <v>116</v>
      </c>
      <c r="AG2112">
        <v>1.08</v>
      </c>
      <c r="AH2112" t="s">
        <v>3000</v>
      </c>
      <c r="AI2112" t="s">
        <v>10223</v>
      </c>
      <c r="AJ2112">
        <v>-2.09</v>
      </c>
      <c r="AK2112">
        <v>2782</v>
      </c>
      <c r="AL2112">
        <v>18</v>
      </c>
      <c r="AM2112">
        <v>1.6000000000000001E-3</v>
      </c>
      <c r="AN2112">
        <v>-1</v>
      </c>
      <c r="AO2112">
        <v>0.72</v>
      </c>
      <c r="AP2112">
        <v>8.64</v>
      </c>
      <c r="AQ2112">
        <v>-3.76</v>
      </c>
      <c r="AR2112">
        <v>49.47</v>
      </c>
      <c r="AS2112">
        <v>4.53</v>
      </c>
      <c r="AT2112" t="s">
        <v>3000</v>
      </c>
      <c r="AU2112">
        <v>37.36</v>
      </c>
      <c r="AV2112">
        <v>47.82</v>
      </c>
      <c r="AW2112">
        <v>1.34</v>
      </c>
      <c r="BA2112">
        <v>-0.22</v>
      </c>
      <c r="BB2112">
        <v>0.51</v>
      </c>
      <c r="BC2112">
        <v>-2.88</v>
      </c>
      <c r="BD2112">
        <v>-0.93</v>
      </c>
      <c r="BE2112">
        <v>-2.56</v>
      </c>
      <c r="BF2112">
        <v>-3.27</v>
      </c>
      <c r="BG2112">
        <v>0.11</v>
      </c>
      <c r="BH2112">
        <v>-1.85</v>
      </c>
      <c r="BI2112">
        <v>20191030</v>
      </c>
      <c r="BJ2112">
        <v>20171121</v>
      </c>
      <c r="BK2112">
        <v>4</v>
      </c>
      <c r="BL2112" t="s">
        <v>116</v>
      </c>
      <c r="BM2112" t="s">
        <v>116</v>
      </c>
      <c r="BN2112">
        <v>18.829999999999998</v>
      </c>
      <c r="BO2112">
        <v>16.98</v>
      </c>
      <c r="BP2112">
        <v>0.38</v>
      </c>
      <c r="BQ2112">
        <v>7.78</v>
      </c>
      <c r="BR2112">
        <v>16.07</v>
      </c>
      <c r="BS2112">
        <v>2.06</v>
      </c>
      <c r="BT2112">
        <v>0.1</v>
      </c>
      <c r="BU2112">
        <v>1.25</v>
      </c>
      <c r="BV2112">
        <v>3.11</v>
      </c>
      <c r="BW2112">
        <v>6.61</v>
      </c>
      <c r="BX2112">
        <v>6.69</v>
      </c>
      <c r="BY2112">
        <v>6.29</v>
      </c>
      <c r="BZ2112">
        <v>2.09</v>
      </c>
      <c r="CA2112">
        <v>2.84</v>
      </c>
      <c r="CB2112">
        <v>0.44</v>
      </c>
      <c r="CC2112">
        <v>2.9</v>
      </c>
      <c r="CD2112">
        <v>2.4900000000000002</v>
      </c>
      <c r="CE2112">
        <v>2.4</v>
      </c>
      <c r="CF2112">
        <v>1.98</v>
      </c>
      <c r="CG2112">
        <v>5.69</v>
      </c>
      <c r="CH2112">
        <v>0.47</v>
      </c>
      <c r="CI2112">
        <v>-1.59</v>
      </c>
      <c r="CJ2112">
        <v>29680</v>
      </c>
      <c r="CK2112">
        <v>3630</v>
      </c>
      <c r="CL2112" t="s">
        <v>10096</v>
      </c>
      <c r="CM2112">
        <v>35.1</v>
      </c>
      <c r="CN2112">
        <v>35.869999999999997</v>
      </c>
      <c r="CO2112">
        <v>6.28</v>
      </c>
      <c r="CP2112">
        <v>228.76</v>
      </c>
      <c r="CQ2112">
        <v>16.96</v>
      </c>
      <c r="CR2112">
        <v>0.94</v>
      </c>
      <c r="CS2112" t="s">
        <v>10224</v>
      </c>
      <c r="CT2112">
        <v>4.24</v>
      </c>
      <c r="CU2112">
        <v>0</v>
      </c>
      <c r="CV2112">
        <v>1.67</v>
      </c>
      <c r="CW2112">
        <v>1.42</v>
      </c>
      <c r="CX2112">
        <v>0.12</v>
      </c>
      <c r="CY2112">
        <v>90.2</v>
      </c>
      <c r="CZ2112" t="s">
        <v>10225</v>
      </c>
      <c r="DA2112">
        <v>66.790000000000006</v>
      </c>
      <c r="DB2112">
        <v>45.09</v>
      </c>
      <c r="DC2112">
        <v>38.21</v>
      </c>
      <c r="DD2112">
        <v>0.32</v>
      </c>
      <c r="DE2112">
        <v>1045</v>
      </c>
      <c r="DF2112">
        <v>300726</v>
      </c>
      <c r="DG2112" t="s">
        <v>116</v>
      </c>
      <c r="DH2112" t="s">
        <v>116</v>
      </c>
      <c r="DI2112" t="s">
        <v>116</v>
      </c>
    </row>
    <row r="2113" spans="1:113" x14ac:dyDescent="0.4">
      <c r="A2113" t="str">
        <f>"300727"</f>
        <v>300727</v>
      </c>
      <c r="B2113" t="s">
        <v>10226</v>
      </c>
      <c r="C2113">
        <v>-2</v>
      </c>
      <c r="D2113">
        <v>14.72</v>
      </c>
      <c r="E2113">
        <v>-0.3</v>
      </c>
      <c r="F2113">
        <v>14.72</v>
      </c>
      <c r="G2113">
        <v>14.75</v>
      </c>
      <c r="H2113">
        <v>18192</v>
      </c>
      <c r="I2113">
        <v>586</v>
      </c>
      <c r="J2113">
        <v>-0.4</v>
      </c>
      <c r="K2113">
        <v>4.71</v>
      </c>
      <c r="L2113">
        <v>14.98</v>
      </c>
      <c r="M2113">
        <v>15.14</v>
      </c>
      <c r="N2113">
        <v>14.7</v>
      </c>
      <c r="O2113">
        <v>15.02</v>
      </c>
      <c r="P2113">
        <v>31</v>
      </c>
      <c r="Q2113">
        <v>27199926</v>
      </c>
      <c r="R2113">
        <v>1.02</v>
      </c>
      <c r="S2113" t="s">
        <v>891</v>
      </c>
      <c r="T2113" t="s">
        <v>590</v>
      </c>
      <c r="U2113">
        <v>2.93</v>
      </c>
      <c r="V2113">
        <v>14.95</v>
      </c>
      <c r="W2113">
        <v>11045</v>
      </c>
      <c r="X2113">
        <v>7147</v>
      </c>
      <c r="Y2113">
        <v>1.55</v>
      </c>
      <c r="Z2113">
        <v>145</v>
      </c>
      <c r="AA2113">
        <v>18</v>
      </c>
      <c r="AB2113" t="s">
        <v>116</v>
      </c>
      <c r="AC2113">
        <v>4500</v>
      </c>
      <c r="AD2113">
        <v>0</v>
      </c>
      <c r="AE2113" t="s">
        <v>116</v>
      </c>
      <c r="AF2113" t="s">
        <v>116</v>
      </c>
      <c r="AG2113">
        <v>0.39</v>
      </c>
      <c r="AH2113" t="s">
        <v>10227</v>
      </c>
      <c r="AI2113" t="s">
        <v>1526</v>
      </c>
      <c r="AJ2113">
        <v>-1.32</v>
      </c>
      <c r="AK2113">
        <v>954</v>
      </c>
      <c r="AL2113">
        <v>19</v>
      </c>
      <c r="AM2113">
        <v>4.8999999999999998E-3</v>
      </c>
      <c r="AN2113">
        <v>-1</v>
      </c>
      <c r="AO2113">
        <v>-0.94</v>
      </c>
      <c r="AP2113">
        <v>0.89</v>
      </c>
      <c r="AQ2113">
        <v>-4.42</v>
      </c>
      <c r="AR2113">
        <v>-24.71</v>
      </c>
      <c r="AS2113">
        <v>4.71</v>
      </c>
      <c r="AT2113" t="s">
        <v>10227</v>
      </c>
      <c r="AU2113">
        <v>33.340000000000003</v>
      </c>
      <c r="AV2113">
        <v>28.23</v>
      </c>
      <c r="AW2113">
        <v>1</v>
      </c>
      <c r="BA2113">
        <v>-0.27</v>
      </c>
      <c r="BB2113">
        <v>0.8</v>
      </c>
      <c r="BC2113">
        <v>-2.13</v>
      </c>
      <c r="BD2113">
        <v>-0.45</v>
      </c>
      <c r="BE2113">
        <v>-1.74</v>
      </c>
      <c r="BF2113">
        <v>-2.77</v>
      </c>
      <c r="BG2113">
        <v>0.14000000000000001</v>
      </c>
      <c r="BH2113">
        <v>-1.54</v>
      </c>
      <c r="BI2113">
        <v>20191026</v>
      </c>
      <c r="BJ2113">
        <v>20171127</v>
      </c>
      <c r="BK2113">
        <v>1.27</v>
      </c>
      <c r="BL2113" t="s">
        <v>116</v>
      </c>
      <c r="BM2113" t="s">
        <v>116</v>
      </c>
      <c r="BN2113">
        <v>6.81</v>
      </c>
      <c r="BO2113">
        <v>5.55</v>
      </c>
      <c r="BP2113">
        <v>0</v>
      </c>
      <c r="BQ2113">
        <v>18.45</v>
      </c>
      <c r="BR2113">
        <v>3.94</v>
      </c>
      <c r="BS2113">
        <v>1.4</v>
      </c>
      <c r="BT2113">
        <v>0.52</v>
      </c>
      <c r="BU2113">
        <v>1.2</v>
      </c>
      <c r="BV2113">
        <v>0.56999999999999995</v>
      </c>
      <c r="BW2113">
        <v>1.59</v>
      </c>
      <c r="BX2113">
        <v>2.21</v>
      </c>
      <c r="BY2113">
        <v>4.59</v>
      </c>
      <c r="BZ2113">
        <v>3.28</v>
      </c>
      <c r="CA2113">
        <v>0.54</v>
      </c>
      <c r="CB2113">
        <v>0.01</v>
      </c>
      <c r="CC2113">
        <v>0.54</v>
      </c>
      <c r="CD2113">
        <v>0.45</v>
      </c>
      <c r="CE2113">
        <v>0.45</v>
      </c>
      <c r="CF2113">
        <v>0.42</v>
      </c>
      <c r="CG2113">
        <v>1.74</v>
      </c>
      <c r="CH2113">
        <v>1.08</v>
      </c>
      <c r="CI2113">
        <v>0.82</v>
      </c>
      <c r="CJ2113">
        <v>9959</v>
      </c>
      <c r="CK2113">
        <v>3875</v>
      </c>
      <c r="CL2113" t="s">
        <v>6814</v>
      </c>
      <c r="CM2113">
        <v>-18.329999999999998</v>
      </c>
      <c r="CN2113">
        <v>-5.55</v>
      </c>
      <c r="CO2113">
        <v>3.36</v>
      </c>
      <c r="CP2113">
        <v>17.23</v>
      </c>
      <c r="CQ2113">
        <v>4.07</v>
      </c>
      <c r="CR2113">
        <v>1.02</v>
      </c>
      <c r="CS2113" t="s">
        <v>5052</v>
      </c>
      <c r="CT2113">
        <v>4.38</v>
      </c>
      <c r="CU2113">
        <v>0</v>
      </c>
      <c r="CV2113">
        <v>1.74</v>
      </c>
      <c r="CW2113">
        <v>1.37</v>
      </c>
      <c r="CX2113">
        <v>0.85</v>
      </c>
      <c r="CY2113">
        <v>81.55</v>
      </c>
      <c r="CZ2113" t="s">
        <v>10228</v>
      </c>
      <c r="DA2113">
        <v>28.41</v>
      </c>
      <c r="DB2113">
        <v>11.86</v>
      </c>
      <c r="DC2113">
        <v>9.85</v>
      </c>
      <c r="DD2113">
        <v>0.19</v>
      </c>
      <c r="DE2113">
        <v>384</v>
      </c>
      <c r="DF2113">
        <v>300727</v>
      </c>
      <c r="DG2113" t="s">
        <v>116</v>
      </c>
      <c r="DH2113" t="s">
        <v>116</v>
      </c>
      <c r="DI2113" t="s">
        <v>116</v>
      </c>
    </row>
    <row r="2114" spans="1:113" x14ac:dyDescent="0.4">
      <c r="A2114" t="str">
        <f>"300729"</f>
        <v>300729</v>
      </c>
      <c r="B2114" t="s">
        <v>10229</v>
      </c>
      <c r="C2114">
        <v>-3.97</v>
      </c>
      <c r="D2114">
        <v>23.96</v>
      </c>
      <c r="E2114">
        <v>-0.99</v>
      </c>
      <c r="F2114">
        <v>23.96</v>
      </c>
      <c r="G2114">
        <v>23.97</v>
      </c>
      <c r="H2114">
        <v>33458</v>
      </c>
      <c r="I2114">
        <v>328</v>
      </c>
      <c r="J2114">
        <v>-0.16</v>
      </c>
      <c r="K2114">
        <v>13.3</v>
      </c>
      <c r="L2114">
        <v>24.9</v>
      </c>
      <c r="M2114">
        <v>24.9</v>
      </c>
      <c r="N2114">
        <v>23.95</v>
      </c>
      <c r="O2114">
        <v>24.95</v>
      </c>
      <c r="P2114">
        <v>40.78</v>
      </c>
      <c r="Q2114">
        <v>81774040</v>
      </c>
      <c r="R2114">
        <v>0.85</v>
      </c>
      <c r="S2114" t="s">
        <v>2640</v>
      </c>
      <c r="T2114" t="s">
        <v>590</v>
      </c>
      <c r="U2114">
        <v>3.81</v>
      </c>
      <c r="V2114">
        <v>24.44</v>
      </c>
      <c r="W2114">
        <v>20276</v>
      </c>
      <c r="X2114">
        <v>13182</v>
      </c>
      <c r="Y2114">
        <v>1.54</v>
      </c>
      <c r="Z2114">
        <v>3</v>
      </c>
      <c r="AA2114">
        <v>114</v>
      </c>
      <c r="AB2114" t="s">
        <v>116</v>
      </c>
      <c r="AC2114">
        <v>522900</v>
      </c>
      <c r="AD2114">
        <v>0.08</v>
      </c>
      <c r="AE2114" t="s">
        <v>116</v>
      </c>
      <c r="AF2114" t="s">
        <v>116</v>
      </c>
      <c r="AG2114">
        <v>0.25</v>
      </c>
      <c r="AH2114" t="s">
        <v>10230</v>
      </c>
      <c r="AI2114" t="s">
        <v>10231</v>
      </c>
      <c r="AJ2114">
        <v>-3.29</v>
      </c>
      <c r="AK2114">
        <v>2022</v>
      </c>
      <c r="AL2114">
        <v>17</v>
      </c>
      <c r="AM2114">
        <v>6.6E-3</v>
      </c>
      <c r="AN2114">
        <v>-1</v>
      </c>
      <c r="AO2114">
        <v>-3.08</v>
      </c>
      <c r="AP2114">
        <v>5.32</v>
      </c>
      <c r="AQ2114">
        <v>-12.59</v>
      </c>
      <c r="AR2114">
        <v>7.93</v>
      </c>
      <c r="AS2114">
        <v>13.3</v>
      </c>
      <c r="AT2114" t="s">
        <v>10230</v>
      </c>
      <c r="AU2114">
        <v>39.520000000000003</v>
      </c>
      <c r="AV2114">
        <v>36.29</v>
      </c>
      <c r="AW2114">
        <v>0.38</v>
      </c>
      <c r="BA2114">
        <v>-0.2</v>
      </c>
      <c r="BB2114">
        <v>-0.2</v>
      </c>
      <c r="BC2114">
        <v>-4.01</v>
      </c>
      <c r="BD2114">
        <v>-2.04</v>
      </c>
      <c r="BE2114">
        <v>-3.78</v>
      </c>
      <c r="BF2114">
        <v>-3.78</v>
      </c>
      <c r="BG2114">
        <v>0.04</v>
      </c>
      <c r="BH2114">
        <v>-1.93</v>
      </c>
      <c r="BI2114">
        <v>20191029</v>
      </c>
      <c r="BJ2114">
        <v>20171201</v>
      </c>
      <c r="BK2114">
        <v>0.87</v>
      </c>
      <c r="BL2114" t="s">
        <v>116</v>
      </c>
      <c r="BM2114" t="s">
        <v>116</v>
      </c>
      <c r="BN2114">
        <v>14.37</v>
      </c>
      <c r="BO2114">
        <v>7.7</v>
      </c>
      <c r="BP2114">
        <v>0</v>
      </c>
      <c r="BQ2114">
        <v>46.39</v>
      </c>
      <c r="BR2114">
        <v>10.26</v>
      </c>
      <c r="BS2114">
        <v>2.8</v>
      </c>
      <c r="BT2114">
        <v>0.52</v>
      </c>
      <c r="BU2114">
        <v>6.61</v>
      </c>
      <c r="BV2114">
        <v>1.72</v>
      </c>
      <c r="BW2114">
        <v>0.56999999999999995</v>
      </c>
      <c r="BX2114">
        <v>3.48</v>
      </c>
      <c r="BY2114">
        <v>7.04</v>
      </c>
      <c r="BZ2114">
        <v>3.81</v>
      </c>
      <c r="CA2114">
        <v>0.41</v>
      </c>
      <c r="CB2114">
        <v>0.01</v>
      </c>
      <c r="CC2114">
        <v>0.43</v>
      </c>
      <c r="CD2114">
        <v>0.38</v>
      </c>
      <c r="CE2114">
        <v>0.38</v>
      </c>
      <c r="CF2114">
        <v>0.37</v>
      </c>
      <c r="CG2114">
        <v>3.09</v>
      </c>
      <c r="CH2114">
        <v>0.9</v>
      </c>
      <c r="CI2114">
        <v>3.01</v>
      </c>
      <c r="CJ2114">
        <v>9118</v>
      </c>
      <c r="CK2114">
        <v>2759</v>
      </c>
      <c r="CL2114" t="s">
        <v>10232</v>
      </c>
      <c r="CM2114">
        <v>-10.91</v>
      </c>
      <c r="CN2114">
        <v>3.27</v>
      </c>
      <c r="CO2114">
        <v>2.71</v>
      </c>
      <c r="CP2114">
        <v>23.29</v>
      </c>
      <c r="CQ2114">
        <v>2.97</v>
      </c>
      <c r="CR2114">
        <v>0.84</v>
      </c>
      <c r="CS2114" t="s">
        <v>1265</v>
      </c>
      <c r="CT2114">
        <v>8.83</v>
      </c>
      <c r="CU2114">
        <v>0</v>
      </c>
      <c r="CV2114">
        <v>3.99</v>
      </c>
      <c r="CW2114">
        <v>3.55</v>
      </c>
      <c r="CX2114">
        <v>1.03</v>
      </c>
      <c r="CY2114">
        <v>53.62</v>
      </c>
      <c r="CZ2114" t="s">
        <v>5287</v>
      </c>
      <c r="DA2114">
        <v>45.87</v>
      </c>
      <c r="DB2114">
        <v>5.82</v>
      </c>
      <c r="DC2114">
        <v>5.46</v>
      </c>
      <c r="DD2114">
        <v>0.23</v>
      </c>
      <c r="DE2114">
        <v>1533</v>
      </c>
      <c r="DF2114">
        <v>300729</v>
      </c>
      <c r="DG2114" t="s">
        <v>116</v>
      </c>
      <c r="DH2114" t="s">
        <v>116</v>
      </c>
      <c r="DI2114" t="s">
        <v>116</v>
      </c>
    </row>
    <row r="2115" spans="1:113" x14ac:dyDescent="0.4">
      <c r="A2115" t="str">
        <f>"300730"</f>
        <v>300730</v>
      </c>
      <c r="B2115" t="s">
        <v>10233</v>
      </c>
      <c r="C2115">
        <v>-1.38</v>
      </c>
      <c r="D2115">
        <v>14.27</v>
      </c>
      <c r="E2115">
        <v>-0.2</v>
      </c>
      <c r="F2115">
        <v>14.26</v>
      </c>
      <c r="G2115">
        <v>14.27</v>
      </c>
      <c r="H2115">
        <v>25334</v>
      </c>
      <c r="I2115">
        <v>149</v>
      </c>
      <c r="J2115">
        <v>7.0000000000000007E-2</v>
      </c>
      <c r="K2115">
        <v>3</v>
      </c>
      <c r="L2115">
        <v>14.47</v>
      </c>
      <c r="M2115">
        <v>14.63</v>
      </c>
      <c r="N2115">
        <v>14.2</v>
      </c>
      <c r="O2115">
        <v>14.47</v>
      </c>
      <c r="P2115">
        <v>4319.5</v>
      </c>
      <c r="Q2115">
        <v>36497040</v>
      </c>
      <c r="R2115">
        <v>0.93</v>
      </c>
      <c r="S2115" t="s">
        <v>607</v>
      </c>
      <c r="T2115" t="s">
        <v>599</v>
      </c>
      <c r="U2115">
        <v>2.97</v>
      </c>
      <c r="V2115">
        <v>14.41</v>
      </c>
      <c r="W2115">
        <v>14329</v>
      </c>
      <c r="X2115">
        <v>11005</v>
      </c>
      <c r="Y2115">
        <v>1.3</v>
      </c>
      <c r="Z2115">
        <v>10</v>
      </c>
      <c r="AA2115">
        <v>2</v>
      </c>
      <c r="AB2115" t="s">
        <v>116</v>
      </c>
      <c r="AC2115">
        <v>202600</v>
      </c>
      <c r="AD2115">
        <v>0.02</v>
      </c>
      <c r="AE2115" t="s">
        <v>116</v>
      </c>
      <c r="AF2115" t="s">
        <v>116</v>
      </c>
      <c r="AG2115">
        <v>0.84</v>
      </c>
      <c r="AH2115" t="s">
        <v>10111</v>
      </c>
      <c r="AI2115" t="s">
        <v>9934</v>
      </c>
      <c r="AJ2115">
        <v>-0.7</v>
      </c>
      <c r="AK2115">
        <v>1781</v>
      </c>
      <c r="AL2115">
        <v>14</v>
      </c>
      <c r="AM2115">
        <v>1.6999999999999999E-3</v>
      </c>
      <c r="AN2115">
        <v>-2</v>
      </c>
      <c r="AO2115">
        <v>-0.98</v>
      </c>
      <c r="AP2115">
        <v>5.55</v>
      </c>
      <c r="AQ2115">
        <v>-13.72</v>
      </c>
      <c r="AR2115">
        <v>-19.79</v>
      </c>
      <c r="AS2115">
        <v>3</v>
      </c>
      <c r="AT2115" t="s">
        <v>10111</v>
      </c>
      <c r="AU2115">
        <v>71.209999999999994</v>
      </c>
      <c r="AV2115">
        <v>64.22</v>
      </c>
      <c r="AW2115">
        <v>1.17</v>
      </c>
      <c r="BA2115">
        <v>0</v>
      </c>
      <c r="BB2115">
        <v>1.1100000000000001</v>
      </c>
      <c r="BC2115">
        <v>-1.87</v>
      </c>
      <c r="BD2115">
        <v>-0.44</v>
      </c>
      <c r="BE2115">
        <v>-1.38</v>
      </c>
      <c r="BF2115">
        <v>-2.46</v>
      </c>
      <c r="BG2115">
        <v>0.49</v>
      </c>
      <c r="BH2115">
        <v>-0.94</v>
      </c>
      <c r="BI2115">
        <v>20191204</v>
      </c>
      <c r="BJ2115">
        <v>20171205</v>
      </c>
      <c r="BK2115">
        <v>1.58</v>
      </c>
      <c r="BL2115" t="s">
        <v>116</v>
      </c>
      <c r="BM2115" t="s">
        <v>116</v>
      </c>
      <c r="BN2115">
        <v>6.1</v>
      </c>
      <c r="BO2115">
        <v>3.96</v>
      </c>
      <c r="BP2115">
        <v>0.09</v>
      </c>
      <c r="BQ2115">
        <v>33.68</v>
      </c>
      <c r="BR2115">
        <v>4.5999999999999996</v>
      </c>
      <c r="BS2115">
        <v>0.71</v>
      </c>
      <c r="BT2115">
        <v>0.12</v>
      </c>
      <c r="BU2115">
        <v>1.8</v>
      </c>
      <c r="BV2115">
        <v>1.5</v>
      </c>
      <c r="BW2115">
        <v>1.91</v>
      </c>
      <c r="BX2115">
        <v>0.82</v>
      </c>
      <c r="BY2115">
        <v>1.93</v>
      </c>
      <c r="BZ2115">
        <v>1.36</v>
      </c>
      <c r="CA2115">
        <v>0</v>
      </c>
      <c r="CB2115">
        <v>0</v>
      </c>
      <c r="CC2115">
        <v>0</v>
      </c>
      <c r="CD2115">
        <v>0.01</v>
      </c>
      <c r="CE2115">
        <v>0</v>
      </c>
      <c r="CF2115">
        <v>-0.01</v>
      </c>
      <c r="CG2115">
        <v>1.33</v>
      </c>
      <c r="CH2115">
        <v>-1.1499999999999999</v>
      </c>
      <c r="CI2115">
        <v>-1.1599999999999999</v>
      </c>
      <c r="CJ2115">
        <v>19872</v>
      </c>
      <c r="CK2115">
        <v>4246</v>
      </c>
      <c r="CL2115" t="s">
        <v>634</v>
      </c>
      <c r="CM2115">
        <v>-89.8</v>
      </c>
      <c r="CN2115">
        <v>16.440000000000001</v>
      </c>
      <c r="CO2115">
        <v>5.7</v>
      </c>
      <c r="CP2115">
        <v>-19.559999999999999</v>
      </c>
      <c r="CQ2115">
        <v>11.66</v>
      </c>
      <c r="CR2115">
        <v>0.42</v>
      </c>
      <c r="CS2115" t="s">
        <v>1018</v>
      </c>
      <c r="CT2115">
        <v>2.5</v>
      </c>
      <c r="CU2115">
        <v>0</v>
      </c>
      <c r="CV2115">
        <v>0.52</v>
      </c>
      <c r="CW2115">
        <v>0.84</v>
      </c>
      <c r="CX2115">
        <v>-0.73</v>
      </c>
      <c r="CY2115">
        <v>64.849999999999994</v>
      </c>
      <c r="CZ2115" t="s">
        <v>8465</v>
      </c>
      <c r="DA2115">
        <v>29.87</v>
      </c>
      <c r="DB2115">
        <v>-0.03</v>
      </c>
      <c r="DC2115">
        <v>0.2</v>
      </c>
      <c r="DD2115">
        <v>0.2</v>
      </c>
      <c r="DE2115">
        <v>989</v>
      </c>
      <c r="DF2115">
        <v>300730</v>
      </c>
      <c r="DG2115" t="s">
        <v>116</v>
      </c>
      <c r="DH2115" t="s">
        <v>116</v>
      </c>
      <c r="DI2115" t="s">
        <v>116</v>
      </c>
    </row>
    <row r="2116" spans="1:113" x14ac:dyDescent="0.4">
      <c r="A2116" t="str">
        <f>"300731"</f>
        <v>300731</v>
      </c>
      <c r="B2116" t="s">
        <v>10234</v>
      </c>
      <c r="C2116">
        <v>-3.51</v>
      </c>
      <c r="D2116">
        <v>29.11</v>
      </c>
      <c r="E2116">
        <v>-1.06</v>
      </c>
      <c r="F2116">
        <v>29.11</v>
      </c>
      <c r="G2116">
        <v>29.12</v>
      </c>
      <c r="H2116">
        <v>40654</v>
      </c>
      <c r="I2116">
        <v>622</v>
      </c>
      <c r="J2116">
        <v>-0.06</v>
      </c>
      <c r="K2116">
        <v>4.9400000000000004</v>
      </c>
      <c r="L2116">
        <v>30.03</v>
      </c>
      <c r="M2116">
        <v>30.47</v>
      </c>
      <c r="N2116">
        <v>28.9</v>
      </c>
      <c r="O2116">
        <v>30.17</v>
      </c>
      <c r="P2116">
        <v>52.03</v>
      </c>
      <c r="Q2116">
        <v>120301488</v>
      </c>
      <c r="R2116">
        <v>0.69</v>
      </c>
      <c r="S2116" t="s">
        <v>2541</v>
      </c>
      <c r="T2116" t="s">
        <v>115</v>
      </c>
      <c r="U2116">
        <v>5.2</v>
      </c>
      <c r="V2116">
        <v>29.59</v>
      </c>
      <c r="W2116">
        <v>25538</v>
      </c>
      <c r="X2116">
        <v>15116</v>
      </c>
      <c r="Y2116">
        <v>1.69</v>
      </c>
      <c r="Z2116">
        <v>465</v>
      </c>
      <c r="AA2116">
        <v>8</v>
      </c>
      <c r="AB2116" t="s">
        <v>116</v>
      </c>
      <c r="AC2116">
        <v>399400</v>
      </c>
      <c r="AD2116">
        <v>0.03</v>
      </c>
      <c r="AE2116" t="s">
        <v>116</v>
      </c>
      <c r="AF2116" t="s">
        <v>116</v>
      </c>
      <c r="AG2116">
        <v>0.82</v>
      </c>
      <c r="AH2116" t="s">
        <v>10235</v>
      </c>
      <c r="AI2116" t="s">
        <v>1187</v>
      </c>
      <c r="AJ2116">
        <v>-2.83</v>
      </c>
      <c r="AK2116">
        <v>2321</v>
      </c>
      <c r="AL2116">
        <v>18</v>
      </c>
      <c r="AM2116">
        <v>2.0999999999999999E-3</v>
      </c>
      <c r="AN2116">
        <v>-2</v>
      </c>
      <c r="AO2116">
        <v>4.45</v>
      </c>
      <c r="AP2116">
        <v>7.1</v>
      </c>
      <c r="AQ2116">
        <v>31.24</v>
      </c>
      <c r="AR2116">
        <v>55.85</v>
      </c>
      <c r="AS2116">
        <v>7.95</v>
      </c>
      <c r="AT2116" t="s">
        <v>5373</v>
      </c>
      <c r="AU2116">
        <v>64.73</v>
      </c>
      <c r="AV2116">
        <v>82.04</v>
      </c>
      <c r="AW2116">
        <v>1.62</v>
      </c>
      <c r="BA2116">
        <v>-0.46</v>
      </c>
      <c r="BB2116">
        <v>0.99</v>
      </c>
      <c r="BC2116">
        <v>-4.21</v>
      </c>
      <c r="BD2116">
        <v>-1.92</v>
      </c>
      <c r="BE2116">
        <v>-3.06</v>
      </c>
      <c r="BF2116">
        <v>-4.46</v>
      </c>
      <c r="BG2116">
        <v>0.73</v>
      </c>
      <c r="BH2116">
        <v>-1.6</v>
      </c>
      <c r="BI2116">
        <v>20191024</v>
      </c>
      <c r="BJ2116">
        <v>20171208</v>
      </c>
      <c r="BK2116">
        <v>1.25</v>
      </c>
      <c r="BL2116" t="s">
        <v>116</v>
      </c>
      <c r="BM2116" t="s">
        <v>116</v>
      </c>
      <c r="BN2116">
        <v>7.03</v>
      </c>
      <c r="BO2116">
        <v>5.53</v>
      </c>
      <c r="BP2116">
        <v>0.06</v>
      </c>
      <c r="BQ2116">
        <v>20.59</v>
      </c>
      <c r="BR2116">
        <v>4.43</v>
      </c>
      <c r="BS2116">
        <v>0.39</v>
      </c>
      <c r="BT2116">
        <v>0.04</v>
      </c>
      <c r="BU2116">
        <v>1.37</v>
      </c>
      <c r="BV2116">
        <v>0.42</v>
      </c>
      <c r="BW2116">
        <v>0.59</v>
      </c>
      <c r="BX2116">
        <v>3.21</v>
      </c>
      <c r="BY2116">
        <v>2.35</v>
      </c>
      <c r="BZ2116">
        <v>1.4</v>
      </c>
      <c r="CA2116">
        <v>0.54</v>
      </c>
      <c r="CB2116">
        <v>0.14000000000000001</v>
      </c>
      <c r="CC2116">
        <v>0.55000000000000004</v>
      </c>
      <c r="CD2116">
        <v>0.44</v>
      </c>
      <c r="CE2116">
        <v>0.52</v>
      </c>
      <c r="CF2116">
        <v>0.2</v>
      </c>
      <c r="CG2116">
        <v>1.1599999999999999</v>
      </c>
      <c r="CH2116">
        <v>0.38</v>
      </c>
      <c r="CI2116">
        <v>0.04</v>
      </c>
      <c r="CJ2116">
        <v>12265</v>
      </c>
      <c r="CK2116">
        <v>4167</v>
      </c>
      <c r="CL2116" t="s">
        <v>10236</v>
      </c>
      <c r="CM2116">
        <v>29.21</v>
      </c>
      <c r="CN2116">
        <v>11.51</v>
      </c>
      <c r="CO2116">
        <v>6.58</v>
      </c>
      <c r="CP2116">
        <v>96.72</v>
      </c>
      <c r="CQ2116">
        <v>15.5</v>
      </c>
      <c r="CR2116">
        <v>0.25</v>
      </c>
      <c r="CS2116" t="s">
        <v>8649</v>
      </c>
      <c r="CT2116">
        <v>4.42</v>
      </c>
      <c r="CU2116">
        <v>0</v>
      </c>
      <c r="CV2116">
        <v>2.57</v>
      </c>
      <c r="CW2116">
        <v>0.93</v>
      </c>
      <c r="CX2116">
        <v>0.3</v>
      </c>
      <c r="CY2116">
        <v>78.55</v>
      </c>
      <c r="CZ2116" t="s">
        <v>10237</v>
      </c>
      <c r="DA2116">
        <v>40.21</v>
      </c>
      <c r="DB2116">
        <v>23.03</v>
      </c>
      <c r="DC2116">
        <v>22.34</v>
      </c>
      <c r="DD2116">
        <v>0.13</v>
      </c>
      <c r="DE2116">
        <v>374</v>
      </c>
      <c r="DF2116">
        <v>300731</v>
      </c>
      <c r="DG2116" t="s">
        <v>116</v>
      </c>
      <c r="DH2116" t="s">
        <v>116</v>
      </c>
      <c r="DI2116" t="s">
        <v>116</v>
      </c>
    </row>
    <row r="2117" spans="1:113" x14ac:dyDescent="0.4">
      <c r="A2117" t="str">
        <f>"300732"</f>
        <v>300732</v>
      </c>
      <c r="B2117" t="s">
        <v>10238</v>
      </c>
      <c r="C2117">
        <v>0.36</v>
      </c>
      <c r="D2117">
        <v>16.87</v>
      </c>
      <c r="E2117">
        <v>0.06</v>
      </c>
      <c r="F2117">
        <v>16.850000000000001</v>
      </c>
      <c r="G2117">
        <v>16.87</v>
      </c>
      <c r="H2117">
        <v>12442</v>
      </c>
      <c r="I2117">
        <v>109</v>
      </c>
      <c r="J2117">
        <v>0.12</v>
      </c>
      <c r="K2117">
        <v>1.05</v>
      </c>
      <c r="L2117">
        <v>16.84</v>
      </c>
      <c r="M2117">
        <v>16.96</v>
      </c>
      <c r="N2117">
        <v>16.79</v>
      </c>
      <c r="O2117">
        <v>16.809999999999999</v>
      </c>
      <c r="P2117">
        <v>15.91</v>
      </c>
      <c r="Q2117">
        <v>21005152</v>
      </c>
      <c r="R2117">
        <v>1.1499999999999999</v>
      </c>
      <c r="S2117" t="s">
        <v>181</v>
      </c>
      <c r="T2117" t="s">
        <v>652</v>
      </c>
      <c r="U2117">
        <v>1.01</v>
      </c>
      <c r="V2117">
        <v>16.88</v>
      </c>
      <c r="W2117">
        <v>5282</v>
      </c>
      <c r="X2117">
        <v>7160</v>
      </c>
      <c r="Y2117">
        <v>0.74</v>
      </c>
      <c r="Z2117">
        <v>22</v>
      </c>
      <c r="AA2117">
        <v>24</v>
      </c>
      <c r="AB2117" t="s">
        <v>116</v>
      </c>
      <c r="AC2117">
        <v>53900</v>
      </c>
      <c r="AD2117">
        <v>0</v>
      </c>
      <c r="AE2117" t="s">
        <v>116</v>
      </c>
      <c r="AF2117" t="s">
        <v>116</v>
      </c>
      <c r="AG2117">
        <v>1.18</v>
      </c>
      <c r="AH2117" t="s">
        <v>2416</v>
      </c>
      <c r="AI2117" t="s">
        <v>5402</v>
      </c>
      <c r="AJ2117">
        <v>1.04</v>
      </c>
      <c r="AK2117">
        <v>971</v>
      </c>
      <c r="AL2117">
        <v>13</v>
      </c>
      <c r="AM2117">
        <v>1.1000000000000001E-3</v>
      </c>
      <c r="AN2117">
        <v>2</v>
      </c>
      <c r="AO2117">
        <v>-0.28999999999999998</v>
      </c>
      <c r="AP2117">
        <v>2.06</v>
      </c>
      <c r="AQ2117">
        <v>-4.96</v>
      </c>
      <c r="AR2117">
        <v>-29.08</v>
      </c>
      <c r="AS2117">
        <v>1.37</v>
      </c>
      <c r="AT2117" t="s">
        <v>10239</v>
      </c>
      <c r="AU2117">
        <v>11.6</v>
      </c>
      <c r="AV2117">
        <v>10.73</v>
      </c>
      <c r="AW2117">
        <v>1</v>
      </c>
      <c r="BA2117">
        <v>0.18</v>
      </c>
      <c r="BB2117">
        <v>0.89</v>
      </c>
      <c r="BC2117">
        <v>-0.12</v>
      </c>
      <c r="BD2117">
        <v>0.43</v>
      </c>
      <c r="BE2117">
        <v>0.18</v>
      </c>
      <c r="BF2117">
        <v>-0.53</v>
      </c>
      <c r="BG2117">
        <v>0.48</v>
      </c>
      <c r="BH2117">
        <v>-7.0000000000000007E-2</v>
      </c>
      <c r="BI2117">
        <v>20191025</v>
      </c>
      <c r="BJ2117">
        <v>20171212</v>
      </c>
      <c r="BK2117">
        <v>1.92</v>
      </c>
      <c r="BL2117" t="s">
        <v>116</v>
      </c>
      <c r="BM2117" t="s">
        <v>116</v>
      </c>
      <c r="BN2117">
        <v>38.17</v>
      </c>
      <c r="BO2117">
        <v>22.05</v>
      </c>
      <c r="BP2117">
        <v>0.85</v>
      </c>
      <c r="BQ2117">
        <v>40.020000000000003</v>
      </c>
      <c r="BR2117">
        <v>28.93</v>
      </c>
      <c r="BS2117">
        <v>3.1</v>
      </c>
      <c r="BT2117">
        <v>0.88</v>
      </c>
      <c r="BU2117">
        <v>10.27</v>
      </c>
      <c r="BV2117">
        <v>4.76</v>
      </c>
      <c r="BW2117">
        <v>15.5</v>
      </c>
      <c r="BX2117">
        <v>11.75</v>
      </c>
      <c r="BY2117">
        <v>8.5</v>
      </c>
      <c r="BZ2117">
        <v>4.74</v>
      </c>
      <c r="CA2117">
        <v>1.83</v>
      </c>
      <c r="CB2117">
        <v>0.08</v>
      </c>
      <c r="CC2117">
        <v>1.84</v>
      </c>
      <c r="CD2117">
        <v>1.54</v>
      </c>
      <c r="CE2117">
        <v>1.53</v>
      </c>
      <c r="CF2117">
        <v>1.42</v>
      </c>
      <c r="CG2117">
        <v>7.72</v>
      </c>
      <c r="CH2117">
        <v>0.82</v>
      </c>
      <c r="CI2117">
        <v>-3.07</v>
      </c>
      <c r="CJ2117">
        <v>15569</v>
      </c>
      <c r="CK2117">
        <v>5835</v>
      </c>
      <c r="CL2117" t="s">
        <v>9936</v>
      </c>
      <c r="CM2117">
        <v>-12.89</v>
      </c>
      <c r="CN2117">
        <v>33.68</v>
      </c>
      <c r="CO2117">
        <v>1.47</v>
      </c>
      <c r="CP2117">
        <v>39.5</v>
      </c>
      <c r="CQ2117">
        <v>3.81</v>
      </c>
      <c r="CR2117">
        <v>1.27</v>
      </c>
      <c r="CS2117" t="s">
        <v>10240</v>
      </c>
      <c r="CT2117">
        <v>11.49</v>
      </c>
      <c r="CU2117">
        <v>0</v>
      </c>
      <c r="CV2117">
        <v>6.13</v>
      </c>
      <c r="CW2117">
        <v>4.03</v>
      </c>
      <c r="CX2117">
        <v>0.43</v>
      </c>
      <c r="CY2117">
        <v>57.76</v>
      </c>
      <c r="CZ2117" t="s">
        <v>5379</v>
      </c>
      <c r="DA2117">
        <v>44.19</v>
      </c>
      <c r="DB2117">
        <v>21.52</v>
      </c>
      <c r="DC2117">
        <v>17.96</v>
      </c>
      <c r="DD2117">
        <v>0.52</v>
      </c>
      <c r="DE2117">
        <v>1867</v>
      </c>
      <c r="DF2117">
        <v>300732</v>
      </c>
      <c r="DG2117" t="s">
        <v>116</v>
      </c>
      <c r="DH2117" t="s">
        <v>116</v>
      </c>
      <c r="DI2117" t="s">
        <v>116</v>
      </c>
    </row>
    <row r="2118" spans="1:113" x14ac:dyDescent="0.4">
      <c r="A2118" t="str">
        <f>"300733"</f>
        <v>300733</v>
      </c>
      <c r="B2118" t="s">
        <v>10241</v>
      </c>
      <c r="C2118">
        <v>-1.1100000000000001</v>
      </c>
      <c r="D2118">
        <v>11.62</v>
      </c>
      <c r="E2118">
        <v>-0.13</v>
      </c>
      <c r="F2118">
        <v>11.61</v>
      </c>
      <c r="G2118">
        <v>11.62</v>
      </c>
      <c r="H2118">
        <v>22976</v>
      </c>
      <c r="I2118">
        <v>370</v>
      </c>
      <c r="J2118">
        <v>0.09</v>
      </c>
      <c r="K2118">
        <v>3.39</v>
      </c>
      <c r="L2118">
        <v>11.74</v>
      </c>
      <c r="M2118">
        <v>11.89</v>
      </c>
      <c r="N2118">
        <v>11.61</v>
      </c>
      <c r="O2118">
        <v>11.75</v>
      </c>
      <c r="P2118">
        <v>93.85</v>
      </c>
      <c r="Q2118">
        <v>26976644</v>
      </c>
      <c r="R2118">
        <v>1.04</v>
      </c>
      <c r="S2118" t="s">
        <v>293</v>
      </c>
      <c r="T2118" t="s">
        <v>582</v>
      </c>
      <c r="U2118">
        <v>2.38</v>
      </c>
      <c r="V2118">
        <v>11.74</v>
      </c>
      <c r="W2118">
        <v>12836</v>
      </c>
      <c r="X2118">
        <v>10140</v>
      </c>
      <c r="Y2118">
        <v>1.27</v>
      </c>
      <c r="Z2118">
        <v>64</v>
      </c>
      <c r="AA2118">
        <v>22</v>
      </c>
      <c r="AB2118" t="s">
        <v>116</v>
      </c>
      <c r="AC2118">
        <v>84500</v>
      </c>
      <c r="AD2118">
        <v>0.01</v>
      </c>
      <c r="AE2118" t="s">
        <v>116</v>
      </c>
      <c r="AF2118" t="s">
        <v>116</v>
      </c>
      <c r="AG2118">
        <v>0.68</v>
      </c>
      <c r="AH2118" t="s">
        <v>10242</v>
      </c>
      <c r="AI2118" t="s">
        <v>9627</v>
      </c>
      <c r="AJ2118">
        <v>-0.43</v>
      </c>
      <c r="AK2118">
        <v>1437</v>
      </c>
      <c r="AL2118">
        <v>16</v>
      </c>
      <c r="AM2118">
        <v>2.3999999999999998E-3</v>
      </c>
      <c r="AN2118">
        <v>-1</v>
      </c>
      <c r="AO2118">
        <v>0.25</v>
      </c>
      <c r="AP2118">
        <v>4.3099999999999996</v>
      </c>
      <c r="AQ2118">
        <v>-7.04</v>
      </c>
      <c r="AR2118">
        <v>-26.34</v>
      </c>
      <c r="AS2118">
        <v>3.39</v>
      </c>
      <c r="AT2118" t="s">
        <v>10242</v>
      </c>
      <c r="AU2118">
        <v>79.959999999999994</v>
      </c>
      <c r="AV2118">
        <v>27.88</v>
      </c>
      <c r="AW2118">
        <v>1.07</v>
      </c>
      <c r="BA2118">
        <v>-0.09</v>
      </c>
      <c r="BB2118">
        <v>1.19</v>
      </c>
      <c r="BC2118">
        <v>-1.19</v>
      </c>
      <c r="BD2118">
        <v>-7.0000000000000007E-2</v>
      </c>
      <c r="BE2118">
        <v>-1.02</v>
      </c>
      <c r="BF2118">
        <v>-2.27</v>
      </c>
      <c r="BG2118">
        <v>0.09</v>
      </c>
      <c r="BH2118">
        <v>-1.03</v>
      </c>
      <c r="BI2118">
        <v>20191030</v>
      </c>
      <c r="BJ2118">
        <v>20180116</v>
      </c>
      <c r="BK2118">
        <v>1.6</v>
      </c>
      <c r="BL2118" t="s">
        <v>116</v>
      </c>
      <c r="BM2118" t="s">
        <v>116</v>
      </c>
      <c r="BN2118">
        <v>14.52</v>
      </c>
      <c r="BO2118">
        <v>11.34</v>
      </c>
      <c r="BP2118">
        <v>0</v>
      </c>
      <c r="BQ2118">
        <v>21.86</v>
      </c>
      <c r="BR2118">
        <v>6.02</v>
      </c>
      <c r="BS2118">
        <v>4.24</v>
      </c>
      <c r="BT2118">
        <v>0.74</v>
      </c>
      <c r="BU2118">
        <v>3.14</v>
      </c>
      <c r="BV2118">
        <v>1.62</v>
      </c>
      <c r="BW2118">
        <v>1.41</v>
      </c>
      <c r="BX2118">
        <v>6.03</v>
      </c>
      <c r="BY2118">
        <v>3.5</v>
      </c>
      <c r="BZ2118">
        <v>2.84</v>
      </c>
      <c r="CA2118">
        <v>0.16</v>
      </c>
      <c r="CB2118">
        <v>0.01</v>
      </c>
      <c r="CC2118">
        <v>0.16</v>
      </c>
      <c r="CD2118">
        <v>0.15</v>
      </c>
      <c r="CE2118">
        <v>0.15</v>
      </c>
      <c r="CF2118">
        <v>0.09</v>
      </c>
      <c r="CG2118">
        <v>3.45</v>
      </c>
      <c r="CH2118">
        <v>0.54</v>
      </c>
      <c r="CI2118">
        <v>0.28999999999999998</v>
      </c>
      <c r="CJ2118">
        <v>18414</v>
      </c>
      <c r="CK2118">
        <v>3684</v>
      </c>
      <c r="CL2118" t="s">
        <v>770</v>
      </c>
      <c r="CM2118">
        <v>-74.510000000000005</v>
      </c>
      <c r="CN2118">
        <v>-12.06</v>
      </c>
      <c r="CO2118">
        <v>1.64</v>
      </c>
      <c r="CP2118">
        <v>34.71</v>
      </c>
      <c r="CQ2118">
        <v>5.31</v>
      </c>
      <c r="CR2118">
        <v>1.08</v>
      </c>
      <c r="CS2118" t="s">
        <v>2836</v>
      </c>
      <c r="CT2118">
        <v>7.09</v>
      </c>
      <c r="CU2118">
        <v>0</v>
      </c>
      <c r="CV2118">
        <v>3.77</v>
      </c>
      <c r="CW2118">
        <v>2.15</v>
      </c>
      <c r="CX2118">
        <v>0.33</v>
      </c>
      <c r="CY2118">
        <v>78.14</v>
      </c>
      <c r="CZ2118" t="s">
        <v>10243</v>
      </c>
      <c r="DA2118">
        <v>19.010000000000002</v>
      </c>
      <c r="DB2118">
        <v>4.62</v>
      </c>
      <c r="DC2118">
        <v>4.24</v>
      </c>
      <c r="DD2118">
        <v>0.15</v>
      </c>
      <c r="DE2118">
        <v>1952</v>
      </c>
      <c r="DF2118">
        <v>300733</v>
      </c>
      <c r="DG2118" t="s">
        <v>116</v>
      </c>
      <c r="DH2118" t="s">
        <v>116</v>
      </c>
      <c r="DI2118" t="s">
        <v>116</v>
      </c>
    </row>
    <row r="2119" spans="1:113" x14ac:dyDescent="0.4">
      <c r="A2119" t="str">
        <f>"300735"</f>
        <v>300735</v>
      </c>
      <c r="B2119" t="s">
        <v>10244</v>
      </c>
      <c r="C2119">
        <v>-1.83</v>
      </c>
      <c r="D2119">
        <v>25.72</v>
      </c>
      <c r="E2119">
        <v>-0.48</v>
      </c>
      <c r="F2119">
        <v>25.72</v>
      </c>
      <c r="G2119">
        <v>25.73</v>
      </c>
      <c r="H2119">
        <v>74269</v>
      </c>
      <c r="I2119">
        <v>2282</v>
      </c>
      <c r="J2119">
        <v>-0.26</v>
      </c>
      <c r="K2119">
        <v>4.4800000000000004</v>
      </c>
      <c r="L2119">
        <v>26.07</v>
      </c>
      <c r="M2119">
        <v>26.4</v>
      </c>
      <c r="N2119">
        <v>25.71</v>
      </c>
      <c r="O2119">
        <v>26.2</v>
      </c>
      <c r="P2119">
        <v>29.03</v>
      </c>
      <c r="Q2119">
        <v>193863248</v>
      </c>
      <c r="R2119">
        <v>0.53</v>
      </c>
      <c r="S2119" t="s">
        <v>465</v>
      </c>
      <c r="T2119" t="s">
        <v>551</v>
      </c>
      <c r="U2119">
        <v>2.63</v>
      </c>
      <c r="V2119">
        <v>26.1</v>
      </c>
      <c r="W2119">
        <v>41591</v>
      </c>
      <c r="X2119">
        <v>32678</v>
      </c>
      <c r="Y2119">
        <v>1.27</v>
      </c>
      <c r="Z2119">
        <v>452</v>
      </c>
      <c r="AA2119">
        <v>432</v>
      </c>
      <c r="AB2119" t="s">
        <v>116</v>
      </c>
      <c r="AC2119">
        <v>831600</v>
      </c>
      <c r="AD2119">
        <v>0.02</v>
      </c>
      <c r="AE2119" t="s">
        <v>116</v>
      </c>
      <c r="AF2119" t="s">
        <v>116</v>
      </c>
      <c r="AG2119">
        <v>1.66</v>
      </c>
      <c r="AH2119" t="s">
        <v>10245</v>
      </c>
      <c r="AI2119" t="s">
        <v>10246</v>
      </c>
      <c r="AJ2119">
        <v>-1.1499999999999999</v>
      </c>
      <c r="AK2119">
        <v>3049</v>
      </c>
      <c r="AL2119">
        <v>24</v>
      </c>
      <c r="AM2119">
        <v>1.5E-3</v>
      </c>
      <c r="AN2119">
        <v>-1</v>
      </c>
      <c r="AO2119">
        <v>-2.31</v>
      </c>
      <c r="AP2119">
        <v>-3.49</v>
      </c>
      <c r="AQ2119">
        <v>-5.41</v>
      </c>
      <c r="AR2119">
        <v>113.24</v>
      </c>
      <c r="AS2119">
        <v>4.4800000000000004</v>
      </c>
      <c r="AT2119" t="s">
        <v>10245</v>
      </c>
      <c r="AU2119">
        <v>29.47</v>
      </c>
      <c r="AV2119">
        <v>43.39</v>
      </c>
      <c r="AW2119">
        <v>1.43</v>
      </c>
      <c r="BA2119">
        <v>-0.5</v>
      </c>
      <c r="BB2119">
        <v>0.76</v>
      </c>
      <c r="BC2119">
        <v>-1.87</v>
      </c>
      <c r="BD2119">
        <v>-0.37</v>
      </c>
      <c r="BE2119">
        <v>-1.34</v>
      </c>
      <c r="BF2119">
        <v>-2.58</v>
      </c>
      <c r="BG2119">
        <v>0.04</v>
      </c>
      <c r="BH2119">
        <v>-1.46</v>
      </c>
      <c r="BI2119">
        <v>20191025</v>
      </c>
      <c r="BJ2119">
        <v>20171229</v>
      </c>
      <c r="BK2119">
        <v>4.6100000000000003</v>
      </c>
      <c r="BL2119" t="s">
        <v>116</v>
      </c>
      <c r="BM2119" t="s">
        <v>116</v>
      </c>
      <c r="BN2119">
        <v>31.13</v>
      </c>
      <c r="BO2119">
        <v>20.16</v>
      </c>
      <c r="BP2119">
        <v>0.36</v>
      </c>
      <c r="BQ2119">
        <v>34.07</v>
      </c>
      <c r="BR2119">
        <v>20.079999999999998</v>
      </c>
      <c r="BS2119">
        <v>8.3699999999999992</v>
      </c>
      <c r="BT2119">
        <v>0.84</v>
      </c>
      <c r="BU2119">
        <v>9.65</v>
      </c>
      <c r="BV2119">
        <v>2.1800000000000002</v>
      </c>
      <c r="BW2119">
        <v>8.61</v>
      </c>
      <c r="BX2119">
        <v>8.6300000000000008</v>
      </c>
      <c r="BY2119">
        <v>20.48</v>
      </c>
      <c r="BZ2119">
        <v>15.43</v>
      </c>
      <c r="CA2119">
        <v>3.3</v>
      </c>
      <c r="CB2119">
        <v>0.13</v>
      </c>
      <c r="CC2119">
        <v>3.47</v>
      </c>
      <c r="CD2119">
        <v>3</v>
      </c>
      <c r="CE2119">
        <v>3.06</v>
      </c>
      <c r="CF2119">
        <v>2.76</v>
      </c>
      <c r="CG2119">
        <v>6.21</v>
      </c>
      <c r="CH2119">
        <v>3.67</v>
      </c>
      <c r="CI2119">
        <v>-0.51</v>
      </c>
      <c r="CJ2119">
        <v>35352</v>
      </c>
      <c r="CK2119">
        <v>4690</v>
      </c>
      <c r="CL2119" t="s">
        <v>10247</v>
      </c>
      <c r="CM2119">
        <v>72.84</v>
      </c>
      <c r="CN2119">
        <v>81.61</v>
      </c>
      <c r="CO2119">
        <v>5.88</v>
      </c>
      <c r="CP2119">
        <v>32.33</v>
      </c>
      <c r="CQ2119">
        <v>5.79</v>
      </c>
      <c r="CR2119">
        <v>0.9</v>
      </c>
      <c r="CS2119" t="s">
        <v>979</v>
      </c>
      <c r="CT2119">
        <v>4.37</v>
      </c>
      <c r="CU2119">
        <v>0</v>
      </c>
      <c r="CV2119">
        <v>1.87</v>
      </c>
      <c r="CW2119">
        <v>1.35</v>
      </c>
      <c r="CX2119">
        <v>0.8</v>
      </c>
      <c r="CY2119">
        <v>64.760000000000005</v>
      </c>
      <c r="CZ2119" t="s">
        <v>10248</v>
      </c>
      <c r="DA2119">
        <v>24.67</v>
      </c>
      <c r="DB2119">
        <v>16.13</v>
      </c>
      <c r="DC2119">
        <v>14.96</v>
      </c>
      <c r="DD2119">
        <v>0.52</v>
      </c>
      <c r="DE2119">
        <v>6648</v>
      </c>
      <c r="DF2119">
        <v>300735</v>
      </c>
      <c r="DG2119" t="s">
        <v>116</v>
      </c>
      <c r="DH2119" t="s">
        <v>116</v>
      </c>
      <c r="DI2119" t="s">
        <v>116</v>
      </c>
    </row>
    <row r="2120" spans="1:113" x14ac:dyDescent="0.4">
      <c r="A2120" t="str">
        <f>"300736"</f>
        <v>300736</v>
      </c>
      <c r="B2120" t="s">
        <v>10249</v>
      </c>
      <c r="C2120">
        <v>-1.53</v>
      </c>
      <c r="D2120">
        <v>10.97</v>
      </c>
      <c r="E2120">
        <v>-0.17</v>
      </c>
      <c r="F2120">
        <v>10.97</v>
      </c>
      <c r="G2120">
        <v>10.98</v>
      </c>
      <c r="H2120">
        <v>15724</v>
      </c>
      <c r="I2120">
        <v>511</v>
      </c>
      <c r="J2120">
        <v>-0.08</v>
      </c>
      <c r="K2120">
        <v>1.97</v>
      </c>
      <c r="L2120">
        <v>11.09</v>
      </c>
      <c r="M2120">
        <v>11.21</v>
      </c>
      <c r="N2120">
        <v>10.92</v>
      </c>
      <c r="O2120">
        <v>11.14</v>
      </c>
      <c r="P2120" t="s">
        <v>116</v>
      </c>
      <c r="Q2120">
        <v>17379866</v>
      </c>
      <c r="R2120">
        <v>0.98</v>
      </c>
      <c r="S2120" t="s">
        <v>465</v>
      </c>
      <c r="T2120" t="s">
        <v>165</v>
      </c>
      <c r="U2120">
        <v>2.6</v>
      </c>
      <c r="V2120">
        <v>11.05</v>
      </c>
      <c r="W2120">
        <v>9581</v>
      </c>
      <c r="X2120">
        <v>6143</v>
      </c>
      <c r="Y2120">
        <v>1.56</v>
      </c>
      <c r="Z2120">
        <v>401</v>
      </c>
      <c r="AA2120">
        <v>920</v>
      </c>
      <c r="AB2120" t="s">
        <v>116</v>
      </c>
      <c r="AC2120">
        <v>0</v>
      </c>
      <c r="AD2120">
        <v>0</v>
      </c>
      <c r="AE2120" t="s">
        <v>116</v>
      </c>
      <c r="AF2120" t="s">
        <v>116</v>
      </c>
      <c r="AG2120">
        <v>0.8</v>
      </c>
      <c r="AH2120" t="s">
        <v>10250</v>
      </c>
      <c r="AI2120" t="s">
        <v>6285</v>
      </c>
      <c r="AJ2120">
        <v>-0.85</v>
      </c>
      <c r="AK2120">
        <v>954</v>
      </c>
      <c r="AL2120">
        <v>16</v>
      </c>
      <c r="AM2120">
        <v>2.0999999999999999E-3</v>
      </c>
      <c r="AN2120">
        <v>-1</v>
      </c>
      <c r="AO2120">
        <v>0.08</v>
      </c>
      <c r="AP2120">
        <v>5.89</v>
      </c>
      <c r="AQ2120">
        <v>-4.0199999999999996</v>
      </c>
      <c r="AR2120">
        <v>-20.29</v>
      </c>
      <c r="AS2120">
        <v>3.36</v>
      </c>
      <c r="AT2120" t="s">
        <v>10251</v>
      </c>
      <c r="AU2120" t="s">
        <v>116</v>
      </c>
      <c r="AV2120">
        <v>52.99</v>
      </c>
      <c r="AW2120">
        <v>1.75</v>
      </c>
      <c r="BA2120">
        <v>-0.45</v>
      </c>
      <c r="BB2120">
        <v>0.63</v>
      </c>
      <c r="BC2120">
        <v>-1.97</v>
      </c>
      <c r="BD2120">
        <v>-0.78</v>
      </c>
      <c r="BE2120">
        <v>-1.08</v>
      </c>
      <c r="BF2120">
        <v>-2.14</v>
      </c>
      <c r="BG2120">
        <v>0.46</v>
      </c>
      <c r="BH2120">
        <v>-0.75</v>
      </c>
      <c r="BI2120">
        <v>20191029</v>
      </c>
      <c r="BJ2120">
        <v>20180109</v>
      </c>
      <c r="BK2120">
        <v>1.31</v>
      </c>
      <c r="BL2120" t="s">
        <v>116</v>
      </c>
      <c r="BM2120" t="s">
        <v>116</v>
      </c>
      <c r="BN2120">
        <v>4.18</v>
      </c>
      <c r="BO2120">
        <v>3.41</v>
      </c>
      <c r="BP2120">
        <v>0</v>
      </c>
      <c r="BQ2120">
        <v>18.34</v>
      </c>
      <c r="BR2120">
        <v>3.15</v>
      </c>
      <c r="BS2120">
        <v>0.06</v>
      </c>
      <c r="BT2120">
        <v>0.28999999999999998</v>
      </c>
      <c r="BU2120">
        <v>0.74</v>
      </c>
      <c r="BV2120">
        <v>0.66</v>
      </c>
      <c r="BW2120">
        <v>0.28999999999999998</v>
      </c>
      <c r="BX2120">
        <v>1.61</v>
      </c>
      <c r="BY2120">
        <v>1.98</v>
      </c>
      <c r="BZ2120">
        <v>1.62</v>
      </c>
      <c r="CA2120">
        <v>-0.34</v>
      </c>
      <c r="CB2120">
        <v>0.04</v>
      </c>
      <c r="CC2120">
        <v>-0.32</v>
      </c>
      <c r="CD2120">
        <v>-0.23</v>
      </c>
      <c r="CE2120">
        <v>-0.23</v>
      </c>
      <c r="CF2120">
        <v>-0.28999999999999998</v>
      </c>
      <c r="CG2120">
        <v>0.49</v>
      </c>
      <c r="CH2120">
        <v>-1.04</v>
      </c>
      <c r="CI2120">
        <v>-1.51</v>
      </c>
      <c r="CJ2120">
        <v>9437</v>
      </c>
      <c r="CK2120">
        <v>4952</v>
      </c>
      <c r="CL2120" t="s">
        <v>1208</v>
      </c>
      <c r="CM2120">
        <v>-207.98</v>
      </c>
      <c r="CN2120">
        <v>-42.45</v>
      </c>
      <c r="CO2120">
        <v>4.2</v>
      </c>
      <c r="CP2120">
        <v>-13.77</v>
      </c>
      <c r="CQ2120">
        <v>7.25</v>
      </c>
      <c r="CR2120">
        <v>1.71</v>
      </c>
      <c r="CS2120" t="s">
        <v>10252</v>
      </c>
      <c r="CT2120">
        <v>2.61</v>
      </c>
      <c r="CU2120">
        <v>0</v>
      </c>
      <c r="CV2120">
        <v>1.24</v>
      </c>
      <c r="CW2120">
        <v>0.38</v>
      </c>
      <c r="CX2120">
        <v>-0.8</v>
      </c>
      <c r="CY2120">
        <v>81.66</v>
      </c>
      <c r="CZ2120" t="s">
        <v>10253</v>
      </c>
      <c r="DA2120">
        <v>18.14</v>
      </c>
      <c r="DB2120">
        <v>-17.440000000000001</v>
      </c>
      <c r="DC2120">
        <v>-11.72</v>
      </c>
      <c r="DD2120">
        <v>7.0000000000000007E-2</v>
      </c>
      <c r="DE2120">
        <v>601</v>
      </c>
      <c r="DF2120">
        <v>300736</v>
      </c>
      <c r="DG2120" t="s">
        <v>116</v>
      </c>
      <c r="DH2120" t="s">
        <v>116</v>
      </c>
      <c r="DI2120" t="s">
        <v>116</v>
      </c>
    </row>
    <row r="2121" spans="1:113" x14ac:dyDescent="0.4">
      <c r="A2121" t="str">
        <f>"300737"</f>
        <v>300737</v>
      </c>
      <c r="B2121" t="s">
        <v>10254</v>
      </c>
      <c r="C2121">
        <v>-1.68</v>
      </c>
      <c r="D2121">
        <v>11.13</v>
      </c>
      <c r="E2121">
        <v>-0.19</v>
      </c>
      <c r="F2121">
        <v>11.12</v>
      </c>
      <c r="G2121">
        <v>11.13</v>
      </c>
      <c r="H2121">
        <v>51618</v>
      </c>
      <c r="I2121">
        <v>348</v>
      </c>
      <c r="J2121">
        <v>0.27</v>
      </c>
      <c r="K2121">
        <v>1.73</v>
      </c>
      <c r="L2121">
        <v>11.34</v>
      </c>
      <c r="M2121">
        <v>11.42</v>
      </c>
      <c r="N2121">
        <v>11.05</v>
      </c>
      <c r="O2121">
        <v>11.32</v>
      </c>
      <c r="P2121">
        <v>18.829999999999998</v>
      </c>
      <c r="Q2121">
        <v>57914052</v>
      </c>
      <c r="R2121">
        <v>1.06</v>
      </c>
      <c r="S2121" t="s">
        <v>249</v>
      </c>
      <c r="T2121" t="s">
        <v>551</v>
      </c>
      <c r="U2121">
        <v>3.27</v>
      </c>
      <c r="V2121">
        <v>11.22</v>
      </c>
      <c r="W2121">
        <v>30461</v>
      </c>
      <c r="X2121">
        <v>21157</v>
      </c>
      <c r="Y2121">
        <v>1.44</v>
      </c>
      <c r="Z2121">
        <v>321</v>
      </c>
      <c r="AA2121">
        <v>89</v>
      </c>
      <c r="AB2121" t="s">
        <v>116</v>
      </c>
      <c r="AC2121">
        <v>243800</v>
      </c>
      <c r="AD2121">
        <v>0.01</v>
      </c>
      <c r="AE2121" t="s">
        <v>116</v>
      </c>
      <c r="AF2121" t="s">
        <v>116</v>
      </c>
      <c r="AG2121">
        <v>2.98</v>
      </c>
      <c r="AH2121" t="s">
        <v>4811</v>
      </c>
      <c r="AI2121" t="s">
        <v>10255</v>
      </c>
      <c r="AJ2121">
        <v>-1</v>
      </c>
      <c r="AK2121">
        <v>1891</v>
      </c>
      <c r="AL2121">
        <v>27</v>
      </c>
      <c r="AM2121">
        <v>8.9999999999999998E-4</v>
      </c>
      <c r="AN2121">
        <v>-1</v>
      </c>
      <c r="AO2121">
        <v>0.63</v>
      </c>
      <c r="AP2121">
        <v>3.25</v>
      </c>
      <c r="AQ2121">
        <v>18.91</v>
      </c>
      <c r="AR2121">
        <v>27.49</v>
      </c>
      <c r="AS2121">
        <v>1.73</v>
      </c>
      <c r="AT2121" t="s">
        <v>4811</v>
      </c>
      <c r="AU2121">
        <v>23.09</v>
      </c>
      <c r="AV2121">
        <v>36.51</v>
      </c>
      <c r="AW2121">
        <v>1.04</v>
      </c>
      <c r="BA2121">
        <v>0.18</v>
      </c>
      <c r="BB2121">
        <v>0.88</v>
      </c>
      <c r="BC2121">
        <v>-2.39</v>
      </c>
      <c r="BD2121">
        <v>-0.89</v>
      </c>
      <c r="BE2121">
        <v>-1.85</v>
      </c>
      <c r="BF2121">
        <v>-2.54</v>
      </c>
      <c r="BG2121">
        <v>0.72</v>
      </c>
      <c r="BH2121">
        <v>-0.79</v>
      </c>
      <c r="BI2121">
        <v>20191029</v>
      </c>
      <c r="BJ2121">
        <v>20180125</v>
      </c>
      <c r="BK2121">
        <v>6.08</v>
      </c>
      <c r="BL2121" t="s">
        <v>116</v>
      </c>
      <c r="BM2121" t="s">
        <v>116</v>
      </c>
      <c r="BN2121">
        <v>57.34</v>
      </c>
      <c r="BO2121">
        <v>31.14</v>
      </c>
      <c r="BP2121">
        <v>0</v>
      </c>
      <c r="BQ2121">
        <v>45.69</v>
      </c>
      <c r="BR2121">
        <v>43.13</v>
      </c>
      <c r="BS2121">
        <v>6.2</v>
      </c>
      <c r="BT2121">
        <v>1.32</v>
      </c>
      <c r="BU2121">
        <v>25.14</v>
      </c>
      <c r="BV2121">
        <v>4.1900000000000004</v>
      </c>
      <c r="BW2121">
        <v>20.329999999999998</v>
      </c>
      <c r="BX2121">
        <v>18.23</v>
      </c>
      <c r="BY2121">
        <v>33.26</v>
      </c>
      <c r="BZ2121">
        <v>22.06</v>
      </c>
      <c r="CA2121">
        <v>3.27</v>
      </c>
      <c r="CB2121">
        <v>0.28000000000000003</v>
      </c>
      <c r="CC2121">
        <v>3.3</v>
      </c>
      <c r="CD2121">
        <v>2.69</v>
      </c>
      <c r="CE2121">
        <v>2.69</v>
      </c>
      <c r="CF2121">
        <v>2.61</v>
      </c>
      <c r="CG2121">
        <v>7.01</v>
      </c>
      <c r="CH2121">
        <v>-0.97</v>
      </c>
      <c r="CI2121">
        <v>0.9</v>
      </c>
      <c r="CJ2121">
        <v>49654</v>
      </c>
      <c r="CK2121">
        <v>6011</v>
      </c>
      <c r="CL2121" t="s">
        <v>10256</v>
      </c>
      <c r="CM2121">
        <v>66.56</v>
      </c>
      <c r="CN2121">
        <v>64.7</v>
      </c>
      <c r="CO2121">
        <v>2.17</v>
      </c>
      <c r="CP2121">
        <v>-69.64</v>
      </c>
      <c r="CQ2121">
        <v>2.0299999999999998</v>
      </c>
      <c r="CR2121">
        <v>0.45</v>
      </c>
      <c r="CS2121" t="s">
        <v>1368</v>
      </c>
      <c r="CT2121">
        <v>5.12</v>
      </c>
      <c r="CU2121">
        <v>0</v>
      </c>
      <c r="CV2121">
        <v>3</v>
      </c>
      <c r="CW2121">
        <v>1.1499999999999999</v>
      </c>
      <c r="CX2121">
        <v>-0.16</v>
      </c>
      <c r="CY2121">
        <v>54.31</v>
      </c>
      <c r="CZ2121" t="s">
        <v>10257</v>
      </c>
      <c r="DA2121">
        <v>33.69</v>
      </c>
      <c r="DB2121">
        <v>9.85</v>
      </c>
      <c r="DC2121">
        <v>8.1</v>
      </c>
      <c r="DD2121">
        <v>1.42</v>
      </c>
      <c r="DE2121">
        <v>2748</v>
      </c>
      <c r="DF2121">
        <v>300737</v>
      </c>
      <c r="DG2121" t="s">
        <v>116</v>
      </c>
      <c r="DH2121" t="s">
        <v>116</v>
      </c>
      <c r="DI2121" t="s">
        <v>116</v>
      </c>
    </row>
    <row r="2122" spans="1:113" x14ac:dyDescent="0.4">
      <c r="A2122" t="str">
        <f>"300738"</f>
        <v>300738</v>
      </c>
      <c r="B2122" t="s">
        <v>10258</v>
      </c>
      <c r="C2122">
        <v>0.7</v>
      </c>
      <c r="D2122">
        <v>34.700000000000003</v>
      </c>
      <c r="E2122">
        <v>0.24</v>
      </c>
      <c r="F2122">
        <v>34.69</v>
      </c>
      <c r="G2122">
        <v>34.700000000000003</v>
      </c>
      <c r="H2122">
        <v>35019</v>
      </c>
      <c r="I2122">
        <v>303</v>
      </c>
      <c r="J2122">
        <v>0</v>
      </c>
      <c r="K2122">
        <v>5.81</v>
      </c>
      <c r="L2122">
        <v>34.380000000000003</v>
      </c>
      <c r="M2122">
        <v>35.15</v>
      </c>
      <c r="N2122">
        <v>34.1</v>
      </c>
      <c r="O2122">
        <v>34.46</v>
      </c>
      <c r="P2122">
        <v>39.15</v>
      </c>
      <c r="Q2122">
        <v>121014264</v>
      </c>
      <c r="R2122">
        <v>1.62</v>
      </c>
      <c r="S2122" t="s">
        <v>3586</v>
      </c>
      <c r="T2122" t="s">
        <v>551</v>
      </c>
      <c r="U2122">
        <v>3.05</v>
      </c>
      <c r="V2122">
        <v>34.56</v>
      </c>
      <c r="W2122">
        <v>17227</v>
      </c>
      <c r="X2122">
        <v>17792</v>
      </c>
      <c r="Y2122">
        <v>0.97</v>
      </c>
      <c r="Z2122">
        <v>37</v>
      </c>
      <c r="AA2122">
        <v>158</v>
      </c>
      <c r="AB2122" t="s">
        <v>116</v>
      </c>
      <c r="AC2122">
        <v>938600</v>
      </c>
      <c r="AD2122">
        <v>0.05</v>
      </c>
      <c r="AE2122" t="s">
        <v>116</v>
      </c>
      <c r="AF2122" t="s">
        <v>116</v>
      </c>
      <c r="AG2122">
        <v>0.6</v>
      </c>
      <c r="AH2122" t="s">
        <v>4548</v>
      </c>
      <c r="AI2122" t="s">
        <v>6756</v>
      </c>
      <c r="AJ2122">
        <v>1.38</v>
      </c>
      <c r="AK2122">
        <v>2516</v>
      </c>
      <c r="AL2122">
        <v>14</v>
      </c>
      <c r="AM2122">
        <v>2.3E-3</v>
      </c>
      <c r="AN2122">
        <v>4</v>
      </c>
      <c r="AO2122">
        <v>7.1</v>
      </c>
      <c r="AP2122">
        <v>16.399999999999999</v>
      </c>
      <c r="AQ2122">
        <v>0.49</v>
      </c>
      <c r="AR2122">
        <v>54.72</v>
      </c>
      <c r="AS2122">
        <v>5.81</v>
      </c>
      <c r="AT2122" t="s">
        <v>4548</v>
      </c>
      <c r="AU2122">
        <v>42.77</v>
      </c>
      <c r="AV2122">
        <v>70.37</v>
      </c>
      <c r="AW2122">
        <v>1.64</v>
      </c>
      <c r="BA2122">
        <v>-0.23</v>
      </c>
      <c r="BB2122">
        <v>2</v>
      </c>
      <c r="BC2122">
        <v>-1.04</v>
      </c>
      <c r="BD2122">
        <v>0.28000000000000003</v>
      </c>
      <c r="BE2122">
        <v>0.93</v>
      </c>
      <c r="BF2122">
        <v>-1.28</v>
      </c>
      <c r="BG2122">
        <v>1.76</v>
      </c>
      <c r="BH2122">
        <v>0.42</v>
      </c>
      <c r="BI2122">
        <v>20191028</v>
      </c>
      <c r="BJ2122">
        <v>20180119</v>
      </c>
      <c r="BK2122">
        <v>1.17</v>
      </c>
      <c r="BL2122" t="s">
        <v>116</v>
      </c>
      <c r="BM2122" t="s">
        <v>116</v>
      </c>
      <c r="BN2122">
        <v>15.07</v>
      </c>
      <c r="BO2122">
        <v>6.61</v>
      </c>
      <c r="BP2122">
        <v>0.01</v>
      </c>
      <c r="BQ2122">
        <v>56.08</v>
      </c>
      <c r="BR2122">
        <v>5.24</v>
      </c>
      <c r="BS2122">
        <v>4.93</v>
      </c>
      <c r="BT2122">
        <v>0.09</v>
      </c>
      <c r="BU2122">
        <v>5.31</v>
      </c>
      <c r="BV2122">
        <v>0.02</v>
      </c>
      <c r="BW2122">
        <v>1.56</v>
      </c>
      <c r="BX2122">
        <v>2.68</v>
      </c>
      <c r="BY2122">
        <v>7.36</v>
      </c>
      <c r="BZ2122">
        <v>6.02</v>
      </c>
      <c r="CA2122">
        <v>0.88</v>
      </c>
      <c r="CB2122">
        <v>0.03</v>
      </c>
      <c r="CC2122">
        <v>0.95</v>
      </c>
      <c r="CD2122">
        <v>0.78</v>
      </c>
      <c r="CE2122">
        <v>0.78</v>
      </c>
      <c r="CF2122">
        <v>0.63</v>
      </c>
      <c r="CG2122">
        <v>2.56</v>
      </c>
      <c r="CH2122">
        <v>0.78</v>
      </c>
      <c r="CI2122">
        <v>-1.1000000000000001</v>
      </c>
      <c r="CJ2122">
        <v>14206</v>
      </c>
      <c r="CK2122">
        <v>4242</v>
      </c>
      <c r="CL2122" t="s">
        <v>2992</v>
      </c>
      <c r="CM2122">
        <v>91.83</v>
      </c>
      <c r="CN2122">
        <v>89.24</v>
      </c>
      <c r="CO2122">
        <v>6.17</v>
      </c>
      <c r="CP2122">
        <v>52.55</v>
      </c>
      <c r="CQ2122">
        <v>5.54</v>
      </c>
      <c r="CR2122">
        <v>0.28999999999999998</v>
      </c>
      <c r="CS2122" t="s">
        <v>979</v>
      </c>
      <c r="CT2122">
        <v>5.62</v>
      </c>
      <c r="CU2122">
        <v>0</v>
      </c>
      <c r="CV2122">
        <v>2.2799999999999998</v>
      </c>
      <c r="CW2122">
        <v>2.1800000000000002</v>
      </c>
      <c r="CX2122">
        <v>0.66</v>
      </c>
      <c r="CY2122">
        <v>43.83</v>
      </c>
      <c r="CZ2122" t="s">
        <v>8708</v>
      </c>
      <c r="DA2122">
        <v>18.28</v>
      </c>
      <c r="DB2122">
        <v>11.89</v>
      </c>
      <c r="DC2122">
        <v>10.6</v>
      </c>
      <c r="DD2122">
        <v>0.18</v>
      </c>
      <c r="DE2122">
        <v>248</v>
      </c>
      <c r="DF2122">
        <v>300738</v>
      </c>
      <c r="DG2122" t="s">
        <v>116</v>
      </c>
      <c r="DH2122" t="s">
        <v>116</v>
      </c>
      <c r="DI2122" t="s">
        <v>116</v>
      </c>
    </row>
    <row r="2123" spans="1:113" x14ac:dyDescent="0.4">
      <c r="A2123" t="str">
        <f>"300739"</f>
        <v>300739</v>
      </c>
      <c r="B2123" t="s">
        <v>10259</v>
      </c>
      <c r="C2123">
        <v>-3.86</v>
      </c>
      <c r="D2123">
        <v>19.43</v>
      </c>
      <c r="E2123">
        <v>-0.78</v>
      </c>
      <c r="F2123">
        <v>19.43</v>
      </c>
      <c r="G2123">
        <v>19.440000000000001</v>
      </c>
      <c r="H2123">
        <v>99430</v>
      </c>
      <c r="I2123">
        <v>482</v>
      </c>
      <c r="J2123">
        <v>0.47</v>
      </c>
      <c r="K2123">
        <v>14.16</v>
      </c>
      <c r="L2123">
        <v>19.95</v>
      </c>
      <c r="M2123">
        <v>20.079999999999998</v>
      </c>
      <c r="N2123">
        <v>19.3</v>
      </c>
      <c r="O2123">
        <v>20.21</v>
      </c>
      <c r="P2123">
        <v>39.43</v>
      </c>
      <c r="Q2123">
        <v>195744608</v>
      </c>
      <c r="R2123">
        <v>1.73</v>
      </c>
      <c r="S2123" t="s">
        <v>233</v>
      </c>
      <c r="T2123" t="s">
        <v>115</v>
      </c>
      <c r="U2123">
        <v>3.86</v>
      </c>
      <c r="V2123">
        <v>19.690000000000001</v>
      </c>
      <c r="W2123">
        <v>61032</v>
      </c>
      <c r="X2123">
        <v>38398</v>
      </c>
      <c r="Y2123">
        <v>1.59</v>
      </c>
      <c r="Z2123">
        <v>48</v>
      </c>
      <c r="AA2123">
        <v>49</v>
      </c>
      <c r="AB2123" t="s">
        <v>116</v>
      </c>
      <c r="AC2123">
        <v>2216400</v>
      </c>
      <c r="AD2123">
        <v>0.16</v>
      </c>
      <c r="AE2123" t="s">
        <v>116</v>
      </c>
      <c r="AF2123" t="s">
        <v>116</v>
      </c>
      <c r="AG2123">
        <v>0.7</v>
      </c>
      <c r="AH2123" t="s">
        <v>5513</v>
      </c>
      <c r="AI2123" t="s">
        <v>4346</v>
      </c>
      <c r="AJ2123">
        <v>-3.18</v>
      </c>
      <c r="AK2123">
        <v>3140</v>
      </c>
      <c r="AL2123">
        <v>32</v>
      </c>
      <c r="AM2123">
        <v>4.4999999999999997E-3</v>
      </c>
      <c r="AN2123">
        <v>-1</v>
      </c>
      <c r="AO2123">
        <v>6.05</v>
      </c>
      <c r="AP2123">
        <v>15.31</v>
      </c>
      <c r="AQ2123">
        <v>-2.41</v>
      </c>
      <c r="AR2123">
        <v>40.46</v>
      </c>
      <c r="AS2123">
        <v>14.16</v>
      </c>
      <c r="AT2123" t="s">
        <v>5513</v>
      </c>
      <c r="AU2123">
        <v>41.9</v>
      </c>
      <c r="AV2123">
        <v>44.42</v>
      </c>
      <c r="AW2123">
        <v>1.72</v>
      </c>
      <c r="BA2123">
        <v>-1.29</v>
      </c>
      <c r="BB2123">
        <v>-0.64</v>
      </c>
      <c r="BC2123">
        <v>-4.5</v>
      </c>
      <c r="BD2123">
        <v>-2.59</v>
      </c>
      <c r="BE2123">
        <v>-2.61</v>
      </c>
      <c r="BF2123">
        <v>-3.24</v>
      </c>
      <c r="BG2123">
        <v>0.67</v>
      </c>
      <c r="BH2123">
        <v>-1.27</v>
      </c>
      <c r="BI2123">
        <v>20191025</v>
      </c>
      <c r="BJ2123">
        <v>20180201</v>
      </c>
      <c r="BK2123">
        <v>2.77</v>
      </c>
      <c r="BL2123" t="s">
        <v>116</v>
      </c>
      <c r="BM2123" t="s">
        <v>116</v>
      </c>
      <c r="BN2123">
        <v>17.97</v>
      </c>
      <c r="BO2123">
        <v>12.93</v>
      </c>
      <c r="BP2123">
        <v>0</v>
      </c>
      <c r="BQ2123">
        <v>28</v>
      </c>
      <c r="BR2123">
        <v>10.99</v>
      </c>
      <c r="BS2123">
        <v>5.68</v>
      </c>
      <c r="BT2123">
        <v>0.22</v>
      </c>
      <c r="BU2123">
        <v>4.32</v>
      </c>
      <c r="BV2123">
        <v>1.23</v>
      </c>
      <c r="BW2123">
        <v>2.2200000000000002</v>
      </c>
      <c r="BX2123">
        <v>7.15</v>
      </c>
      <c r="BY2123">
        <v>8.49</v>
      </c>
      <c r="BZ2123">
        <v>6</v>
      </c>
      <c r="CA2123">
        <v>1.2</v>
      </c>
      <c r="CB2123">
        <v>0.08</v>
      </c>
      <c r="CC2123">
        <v>1.21</v>
      </c>
      <c r="CD2123">
        <v>1.02</v>
      </c>
      <c r="CE2123">
        <v>1.02</v>
      </c>
      <c r="CF2123">
        <v>0.72</v>
      </c>
      <c r="CG2123">
        <v>2.74</v>
      </c>
      <c r="CH2123">
        <v>1.47</v>
      </c>
      <c r="CI2123">
        <v>-0.38</v>
      </c>
      <c r="CJ2123">
        <v>19597</v>
      </c>
      <c r="CK2123">
        <v>3582</v>
      </c>
      <c r="CL2123" t="s">
        <v>10183</v>
      </c>
      <c r="CM2123">
        <v>7.65</v>
      </c>
      <c r="CN2123">
        <v>-1.07</v>
      </c>
      <c r="CO2123">
        <v>4.16</v>
      </c>
      <c r="CP2123">
        <v>36.64</v>
      </c>
      <c r="CQ2123">
        <v>6.35</v>
      </c>
      <c r="CR2123">
        <v>1.2</v>
      </c>
      <c r="CS2123" t="s">
        <v>1074</v>
      </c>
      <c r="CT2123">
        <v>4.67</v>
      </c>
      <c r="CU2123">
        <v>0</v>
      </c>
      <c r="CV2123">
        <v>2.58</v>
      </c>
      <c r="CW2123">
        <v>0.99</v>
      </c>
      <c r="CX2123">
        <v>0.53</v>
      </c>
      <c r="CY2123">
        <v>72</v>
      </c>
      <c r="CZ2123" t="s">
        <v>9491</v>
      </c>
      <c r="DA2123">
        <v>29.33</v>
      </c>
      <c r="DB2123">
        <v>14.17</v>
      </c>
      <c r="DC2123">
        <v>12.07</v>
      </c>
      <c r="DD2123">
        <v>0.38</v>
      </c>
      <c r="DE2123">
        <v>2209</v>
      </c>
      <c r="DF2123">
        <v>300739</v>
      </c>
      <c r="DG2123" t="s">
        <v>116</v>
      </c>
      <c r="DH2123" t="s">
        <v>116</v>
      </c>
      <c r="DI2123" t="s">
        <v>116</v>
      </c>
    </row>
    <row r="2124" spans="1:113" x14ac:dyDescent="0.4">
      <c r="A2124" t="str">
        <f>"300740"</f>
        <v>300740</v>
      </c>
      <c r="B2124" t="s">
        <v>10260</v>
      </c>
      <c r="C2124">
        <v>10.050000000000001</v>
      </c>
      <c r="D2124">
        <v>9.75</v>
      </c>
      <c r="E2124">
        <v>0.89</v>
      </c>
      <c r="F2124">
        <v>9.75</v>
      </c>
      <c r="G2124" t="s">
        <v>116</v>
      </c>
      <c r="H2124">
        <v>79768</v>
      </c>
      <c r="I2124">
        <v>776</v>
      </c>
      <c r="J2124">
        <v>0</v>
      </c>
      <c r="K2124">
        <v>3.57</v>
      </c>
      <c r="L2124">
        <v>8.92</v>
      </c>
      <c r="M2124">
        <v>9.75</v>
      </c>
      <c r="N2124">
        <v>8.8000000000000007</v>
      </c>
      <c r="O2124">
        <v>8.86</v>
      </c>
      <c r="P2124">
        <v>400.44</v>
      </c>
      <c r="Q2124">
        <v>75689328</v>
      </c>
      <c r="R2124">
        <v>1.19</v>
      </c>
      <c r="S2124" t="s">
        <v>953</v>
      </c>
      <c r="T2124" t="s">
        <v>599</v>
      </c>
      <c r="U2124">
        <v>10.72</v>
      </c>
      <c r="V2124">
        <v>9.49</v>
      </c>
      <c r="W2124">
        <v>55190</v>
      </c>
      <c r="X2124">
        <v>24578</v>
      </c>
      <c r="Y2124">
        <v>2.25</v>
      </c>
      <c r="Z2124">
        <v>50511</v>
      </c>
      <c r="AA2124">
        <v>0</v>
      </c>
      <c r="AB2124" t="s">
        <v>116</v>
      </c>
      <c r="AC2124">
        <v>470100</v>
      </c>
      <c r="AD2124">
        <v>0.03</v>
      </c>
      <c r="AE2124">
        <v>0.63</v>
      </c>
      <c r="AF2124">
        <v>49248224</v>
      </c>
      <c r="AG2124">
        <v>2.2400000000000002</v>
      </c>
      <c r="AH2124" t="s">
        <v>8206</v>
      </c>
      <c r="AI2124" t="s">
        <v>10261</v>
      </c>
      <c r="AJ2124">
        <v>10.72</v>
      </c>
      <c r="AK2124">
        <v>835</v>
      </c>
      <c r="AL2124">
        <v>96</v>
      </c>
      <c r="AM2124">
        <v>4.3E-3</v>
      </c>
      <c r="AN2124">
        <v>2</v>
      </c>
      <c r="AO2124">
        <v>11.17</v>
      </c>
      <c r="AP2124">
        <v>25.32</v>
      </c>
      <c r="AQ2124">
        <v>0.93</v>
      </c>
      <c r="AR2124">
        <v>-19.2</v>
      </c>
      <c r="AS2124">
        <v>4.7699999999999996</v>
      </c>
      <c r="AT2124" t="s">
        <v>10262</v>
      </c>
      <c r="AU2124">
        <v>142.86000000000001</v>
      </c>
      <c r="AV2124">
        <v>30.67</v>
      </c>
      <c r="AW2124">
        <v>1.04</v>
      </c>
      <c r="BA2124">
        <v>0.68</v>
      </c>
      <c r="BB2124">
        <v>10.050000000000001</v>
      </c>
      <c r="BC2124">
        <v>-0.68</v>
      </c>
      <c r="BD2124">
        <v>7.1</v>
      </c>
      <c r="BE2124">
        <v>9.3000000000000007</v>
      </c>
      <c r="BF2124">
        <v>0</v>
      </c>
      <c r="BG2124">
        <v>10.8</v>
      </c>
      <c r="BH2124">
        <v>2.95</v>
      </c>
      <c r="BI2124">
        <v>20191202</v>
      </c>
      <c r="BJ2124">
        <v>20180208</v>
      </c>
      <c r="BK2124">
        <v>4.1100000000000003</v>
      </c>
      <c r="BL2124" t="s">
        <v>116</v>
      </c>
      <c r="BM2124" t="s">
        <v>116</v>
      </c>
      <c r="BN2124">
        <v>18.7</v>
      </c>
      <c r="BO2124">
        <v>12.06</v>
      </c>
      <c r="BP2124">
        <v>-0.02</v>
      </c>
      <c r="BQ2124">
        <v>35.659999999999997</v>
      </c>
      <c r="BR2124">
        <v>16.39</v>
      </c>
      <c r="BS2124">
        <v>1.0900000000000001</v>
      </c>
      <c r="BT2124">
        <v>0.74</v>
      </c>
      <c r="BU2124">
        <v>6.39</v>
      </c>
      <c r="BV2124">
        <v>7.41</v>
      </c>
      <c r="BW2124">
        <v>1.6</v>
      </c>
      <c r="BX2124">
        <v>6.35</v>
      </c>
      <c r="BY2124">
        <v>15.76</v>
      </c>
      <c r="BZ2124">
        <v>7.75</v>
      </c>
      <c r="CA2124">
        <v>0.01</v>
      </c>
      <c r="CB2124">
        <v>0.13</v>
      </c>
      <c r="CC2124">
        <v>0.03</v>
      </c>
      <c r="CD2124">
        <v>0.06</v>
      </c>
      <c r="CE2124">
        <v>0.08</v>
      </c>
      <c r="CF2124">
        <v>-7.0000000000000007E-2</v>
      </c>
      <c r="CG2124">
        <v>3.61</v>
      </c>
      <c r="CH2124">
        <v>-2.52</v>
      </c>
      <c r="CI2124">
        <v>-3.21</v>
      </c>
      <c r="CJ2124">
        <v>22000</v>
      </c>
      <c r="CK2124">
        <v>7607</v>
      </c>
      <c r="CL2124" t="s">
        <v>2715</v>
      </c>
      <c r="CM2124">
        <v>-93.19</v>
      </c>
      <c r="CN2124">
        <v>-1.85</v>
      </c>
      <c r="CO2124">
        <v>3.32</v>
      </c>
      <c r="CP2124">
        <v>-15.94</v>
      </c>
      <c r="CQ2124">
        <v>2.54</v>
      </c>
      <c r="CR2124">
        <v>0</v>
      </c>
      <c r="CS2124" t="s">
        <v>4864</v>
      </c>
      <c r="CT2124">
        <v>2.93</v>
      </c>
      <c r="CU2124">
        <v>0</v>
      </c>
      <c r="CV2124">
        <v>1.54</v>
      </c>
      <c r="CW2124">
        <v>0.88</v>
      </c>
      <c r="CX2124">
        <v>-0.61</v>
      </c>
      <c r="CY2124">
        <v>64.459999999999994</v>
      </c>
      <c r="CZ2124" t="s">
        <v>1818</v>
      </c>
      <c r="DA2124">
        <v>50.85</v>
      </c>
      <c r="DB2124">
        <v>7.0000000000000007E-2</v>
      </c>
      <c r="DC2124">
        <v>0.48</v>
      </c>
      <c r="DD2124">
        <v>0.34</v>
      </c>
      <c r="DE2124">
        <v>1764</v>
      </c>
      <c r="DF2124">
        <v>300740</v>
      </c>
      <c r="DG2124" t="s">
        <v>116</v>
      </c>
      <c r="DH2124" t="s">
        <v>116</v>
      </c>
      <c r="DI2124" t="s">
        <v>116</v>
      </c>
    </row>
    <row r="2125" spans="1:113" x14ac:dyDescent="0.4">
      <c r="A2125" t="str">
        <f>"300741"</f>
        <v>300741</v>
      </c>
      <c r="B2125" t="s">
        <v>10263</v>
      </c>
      <c r="C2125">
        <v>-0.03</v>
      </c>
      <c r="D2125">
        <v>30.08</v>
      </c>
      <c r="E2125">
        <v>-0.01</v>
      </c>
      <c r="F2125">
        <v>30.07</v>
      </c>
      <c r="G2125">
        <v>30.08</v>
      </c>
      <c r="H2125">
        <v>10711</v>
      </c>
      <c r="I2125">
        <v>83</v>
      </c>
      <c r="J2125">
        <v>-0.12</v>
      </c>
      <c r="K2125">
        <v>0.92</v>
      </c>
      <c r="L2125">
        <v>30.22</v>
      </c>
      <c r="M2125">
        <v>30.57</v>
      </c>
      <c r="N2125">
        <v>30.06</v>
      </c>
      <c r="O2125">
        <v>30.09</v>
      </c>
      <c r="P2125">
        <v>16.68</v>
      </c>
      <c r="Q2125">
        <v>32440798</v>
      </c>
      <c r="R2125">
        <v>1.54</v>
      </c>
      <c r="S2125" t="s">
        <v>863</v>
      </c>
      <c r="T2125" t="s">
        <v>2028</v>
      </c>
      <c r="U2125">
        <v>1.69</v>
      </c>
      <c r="V2125">
        <v>30.29</v>
      </c>
      <c r="W2125">
        <v>4354</v>
      </c>
      <c r="X2125">
        <v>6357</v>
      </c>
      <c r="Y2125">
        <v>0.68</v>
      </c>
      <c r="Z2125">
        <v>33</v>
      </c>
      <c r="AA2125">
        <v>71</v>
      </c>
      <c r="AB2125" t="s">
        <v>116</v>
      </c>
      <c r="AC2125">
        <v>142000</v>
      </c>
      <c r="AD2125">
        <v>0</v>
      </c>
      <c r="AE2125" t="s">
        <v>116</v>
      </c>
      <c r="AF2125" t="s">
        <v>116</v>
      </c>
      <c r="AG2125">
        <v>1.1599999999999999</v>
      </c>
      <c r="AH2125" t="s">
        <v>5864</v>
      </c>
      <c r="AI2125" t="s">
        <v>10264</v>
      </c>
      <c r="AJ2125">
        <v>0.65</v>
      </c>
      <c r="AK2125">
        <v>1078</v>
      </c>
      <c r="AL2125">
        <v>10</v>
      </c>
      <c r="AM2125">
        <v>8.9999999999999998E-4</v>
      </c>
      <c r="AN2125">
        <v>-2</v>
      </c>
      <c r="AO2125">
        <v>-0.03</v>
      </c>
      <c r="AP2125">
        <v>5.14</v>
      </c>
      <c r="AQ2125">
        <v>-1.28</v>
      </c>
      <c r="AR2125">
        <v>11.12</v>
      </c>
      <c r="AS2125">
        <v>0.92</v>
      </c>
      <c r="AT2125" t="s">
        <v>5864</v>
      </c>
      <c r="AU2125">
        <v>15.13</v>
      </c>
      <c r="AV2125">
        <v>15.76</v>
      </c>
      <c r="AW2125">
        <v>0.71</v>
      </c>
      <c r="BA2125">
        <v>0.43</v>
      </c>
      <c r="BB2125">
        <v>1.6</v>
      </c>
      <c r="BC2125">
        <v>-0.1</v>
      </c>
      <c r="BD2125">
        <v>0.65</v>
      </c>
      <c r="BE2125">
        <v>-0.46</v>
      </c>
      <c r="BF2125">
        <v>-1.6</v>
      </c>
      <c r="BG2125">
        <v>7.0000000000000007E-2</v>
      </c>
      <c r="BH2125">
        <v>-0.69</v>
      </c>
      <c r="BI2125">
        <v>20191026</v>
      </c>
      <c r="BJ2125">
        <v>20180301</v>
      </c>
      <c r="BK2125">
        <v>6.16</v>
      </c>
      <c r="BL2125" t="s">
        <v>116</v>
      </c>
      <c r="BM2125" t="s">
        <v>116</v>
      </c>
      <c r="BN2125">
        <v>78.66</v>
      </c>
      <c r="BO2125">
        <v>73.73</v>
      </c>
      <c r="BP2125">
        <v>1.17</v>
      </c>
      <c r="BQ2125">
        <v>4.78</v>
      </c>
      <c r="BR2125">
        <v>61.55</v>
      </c>
      <c r="BS2125">
        <v>2.99</v>
      </c>
      <c r="BT2125">
        <v>0.64</v>
      </c>
      <c r="BU2125">
        <v>3.74</v>
      </c>
      <c r="BV2125">
        <v>4.2300000000000004</v>
      </c>
      <c r="BW2125">
        <v>5.05</v>
      </c>
      <c r="BX2125">
        <v>46.08</v>
      </c>
      <c r="BY2125">
        <v>14.98</v>
      </c>
      <c r="BZ2125">
        <v>3.59</v>
      </c>
      <c r="CA2125">
        <v>9.82</v>
      </c>
      <c r="CB2125">
        <v>0.11</v>
      </c>
      <c r="CC2125">
        <v>9.8000000000000007</v>
      </c>
      <c r="CD2125">
        <v>8.5</v>
      </c>
      <c r="CE2125">
        <v>8.33</v>
      </c>
      <c r="CF2125">
        <v>7.47</v>
      </c>
      <c r="CG2125">
        <v>18.010000000000002</v>
      </c>
      <c r="CH2125">
        <v>8.02</v>
      </c>
      <c r="CI2125">
        <v>-20.12</v>
      </c>
      <c r="CJ2125">
        <v>30653</v>
      </c>
      <c r="CK2125">
        <v>3780</v>
      </c>
      <c r="CL2125" t="s">
        <v>10265</v>
      </c>
      <c r="CM2125">
        <v>6.16</v>
      </c>
      <c r="CN2125">
        <v>2.0099999999999998</v>
      </c>
      <c r="CO2125">
        <v>2.5099999999999998</v>
      </c>
      <c r="CP2125">
        <v>23.09</v>
      </c>
      <c r="CQ2125">
        <v>12.37</v>
      </c>
      <c r="CR2125">
        <v>13.3</v>
      </c>
      <c r="CS2125" t="s">
        <v>10266</v>
      </c>
      <c r="CT2125">
        <v>11.97</v>
      </c>
      <c r="CU2125">
        <v>0</v>
      </c>
      <c r="CV2125">
        <v>7.48</v>
      </c>
      <c r="CW2125">
        <v>2.92</v>
      </c>
      <c r="CX2125">
        <v>1.3</v>
      </c>
      <c r="CY2125">
        <v>93.73</v>
      </c>
      <c r="CZ2125" t="s">
        <v>6405</v>
      </c>
      <c r="DA2125">
        <v>76.040000000000006</v>
      </c>
      <c r="DB2125">
        <v>65.569999999999993</v>
      </c>
      <c r="DC2125">
        <v>55.63</v>
      </c>
      <c r="DD2125">
        <v>1.17</v>
      </c>
      <c r="DE2125">
        <v>1008</v>
      </c>
      <c r="DF2125">
        <v>300741</v>
      </c>
      <c r="DG2125" t="s">
        <v>116</v>
      </c>
      <c r="DH2125" t="s">
        <v>116</v>
      </c>
      <c r="DI2125" t="s">
        <v>116</v>
      </c>
    </row>
    <row r="2126" spans="1:113" x14ac:dyDescent="0.4">
      <c r="A2126" t="str">
        <f>"300742"</f>
        <v>300742</v>
      </c>
      <c r="B2126" t="s">
        <v>10267</v>
      </c>
      <c r="C2126">
        <v>-1.98</v>
      </c>
      <c r="D2126">
        <v>21.8</v>
      </c>
      <c r="E2126">
        <v>-0.44</v>
      </c>
      <c r="F2126">
        <v>21.79</v>
      </c>
      <c r="G2126">
        <v>21.8</v>
      </c>
      <c r="H2126">
        <v>17772</v>
      </c>
      <c r="I2126">
        <v>270</v>
      </c>
      <c r="J2126">
        <v>-0.36</v>
      </c>
      <c r="K2126">
        <v>4.1399999999999997</v>
      </c>
      <c r="L2126">
        <v>22.26</v>
      </c>
      <c r="M2126">
        <v>22.39</v>
      </c>
      <c r="N2126">
        <v>21.71</v>
      </c>
      <c r="O2126">
        <v>22.24</v>
      </c>
      <c r="P2126" t="s">
        <v>116</v>
      </c>
      <c r="Q2126">
        <v>39349780</v>
      </c>
      <c r="R2126">
        <v>0.8</v>
      </c>
      <c r="S2126" t="s">
        <v>293</v>
      </c>
      <c r="T2126" t="s">
        <v>323</v>
      </c>
      <c r="U2126">
        <v>3.06</v>
      </c>
      <c r="V2126">
        <v>22.14</v>
      </c>
      <c r="W2126">
        <v>10306</v>
      </c>
      <c r="X2126">
        <v>7466</v>
      </c>
      <c r="Y2126">
        <v>1.38</v>
      </c>
      <c r="Z2126">
        <v>21</v>
      </c>
      <c r="AA2126">
        <v>34</v>
      </c>
      <c r="AB2126" t="s">
        <v>116</v>
      </c>
      <c r="AC2126">
        <v>24500</v>
      </c>
      <c r="AD2126">
        <v>0</v>
      </c>
      <c r="AE2126" t="s">
        <v>116</v>
      </c>
      <c r="AF2126" t="s">
        <v>116</v>
      </c>
      <c r="AG2126">
        <v>0.43</v>
      </c>
      <c r="AH2126" t="s">
        <v>6675</v>
      </c>
      <c r="AI2126" t="s">
        <v>4164</v>
      </c>
      <c r="AJ2126">
        <v>-1.3</v>
      </c>
      <c r="AK2126">
        <v>1296</v>
      </c>
      <c r="AL2126">
        <v>14</v>
      </c>
      <c r="AM2126">
        <v>3.2000000000000002E-3</v>
      </c>
      <c r="AN2126">
        <v>-2</v>
      </c>
      <c r="AO2126">
        <v>-0.77</v>
      </c>
      <c r="AP2126">
        <v>7.34</v>
      </c>
      <c r="AQ2126">
        <v>-32.020000000000003</v>
      </c>
      <c r="AR2126">
        <v>-44.5</v>
      </c>
      <c r="AS2126">
        <v>5.23</v>
      </c>
      <c r="AT2126" t="s">
        <v>10268</v>
      </c>
      <c r="AU2126" t="s">
        <v>116</v>
      </c>
      <c r="AV2126">
        <v>80.680000000000007</v>
      </c>
      <c r="AW2126">
        <v>1.35</v>
      </c>
      <c r="BA2126">
        <v>0.09</v>
      </c>
      <c r="BB2126">
        <v>0.67</v>
      </c>
      <c r="BC2126">
        <v>-2.38</v>
      </c>
      <c r="BD2126">
        <v>-0.44</v>
      </c>
      <c r="BE2126">
        <v>-2.0699999999999998</v>
      </c>
      <c r="BF2126">
        <v>-2.64</v>
      </c>
      <c r="BG2126">
        <v>0.41</v>
      </c>
      <c r="BH2126">
        <v>-1.54</v>
      </c>
      <c r="BI2126">
        <v>20191028</v>
      </c>
      <c r="BJ2126">
        <v>20180508</v>
      </c>
      <c r="BK2126">
        <v>0.78</v>
      </c>
      <c r="BL2126" t="s">
        <v>116</v>
      </c>
      <c r="BM2126" t="s">
        <v>116</v>
      </c>
      <c r="BN2126">
        <v>23.78</v>
      </c>
      <c r="BO2126">
        <v>10.55</v>
      </c>
      <c r="BP2126">
        <v>0</v>
      </c>
      <c r="BQ2126">
        <v>55.64</v>
      </c>
      <c r="BR2126">
        <v>15.91</v>
      </c>
      <c r="BS2126">
        <v>3.99</v>
      </c>
      <c r="BT2126">
        <v>0.65</v>
      </c>
      <c r="BU2126">
        <v>12.76</v>
      </c>
      <c r="BV2126">
        <v>1.74</v>
      </c>
      <c r="BW2126">
        <v>10.41</v>
      </c>
      <c r="BX2126">
        <v>8.27</v>
      </c>
      <c r="BY2126">
        <v>2.4500000000000002</v>
      </c>
      <c r="BZ2126">
        <v>1.85</v>
      </c>
      <c r="CA2126">
        <v>-0.9</v>
      </c>
      <c r="CB2126">
        <v>0.01</v>
      </c>
      <c r="CC2126">
        <v>-0.9</v>
      </c>
      <c r="CD2126">
        <v>-0.76</v>
      </c>
      <c r="CE2126">
        <v>-0.76</v>
      </c>
      <c r="CF2126">
        <v>-1.1000000000000001</v>
      </c>
      <c r="CG2126">
        <v>1.28</v>
      </c>
      <c r="CH2126">
        <v>-3.62</v>
      </c>
      <c r="CI2126">
        <v>-1.59</v>
      </c>
      <c r="CJ2126">
        <v>13953</v>
      </c>
      <c r="CK2126">
        <v>2434</v>
      </c>
      <c r="CL2126" t="s">
        <v>3421</v>
      </c>
      <c r="CM2126">
        <v>-728.73</v>
      </c>
      <c r="CN2126">
        <v>-44.27</v>
      </c>
      <c r="CO2126">
        <v>1.62</v>
      </c>
      <c r="CP2126">
        <v>-4.72</v>
      </c>
      <c r="CQ2126">
        <v>6.99</v>
      </c>
      <c r="CR2126">
        <v>0</v>
      </c>
      <c r="CS2126" t="s">
        <v>8222</v>
      </c>
      <c r="CT2126">
        <v>13.44</v>
      </c>
      <c r="CU2126">
        <v>0</v>
      </c>
      <c r="CV2126">
        <v>10.53</v>
      </c>
      <c r="CW2126">
        <v>1.64</v>
      </c>
      <c r="CX2126">
        <v>-4.62</v>
      </c>
      <c r="CY2126">
        <v>44.36</v>
      </c>
      <c r="CZ2126" t="s">
        <v>10269</v>
      </c>
      <c r="DA2126">
        <v>24.25</v>
      </c>
      <c r="DB2126">
        <v>-36.700000000000003</v>
      </c>
      <c r="DC2126">
        <v>-31.12</v>
      </c>
      <c r="DD2126">
        <v>0.35</v>
      </c>
      <c r="DE2126">
        <v>666</v>
      </c>
      <c r="DF2126">
        <v>300742</v>
      </c>
      <c r="DG2126" t="s">
        <v>116</v>
      </c>
      <c r="DH2126" t="s">
        <v>116</v>
      </c>
      <c r="DI2126" t="s">
        <v>116</v>
      </c>
    </row>
    <row r="2127" spans="1:113" x14ac:dyDescent="0.4">
      <c r="A2127" t="str">
        <f>"300743"</f>
        <v>300743</v>
      </c>
      <c r="B2127" t="s">
        <v>10270</v>
      </c>
      <c r="C2127">
        <v>-1.1200000000000001</v>
      </c>
      <c r="D2127">
        <v>20.28</v>
      </c>
      <c r="E2127">
        <v>-0.23</v>
      </c>
      <c r="F2127">
        <v>20.28</v>
      </c>
      <c r="G2127">
        <v>20.3</v>
      </c>
      <c r="H2127">
        <v>10933</v>
      </c>
      <c r="I2127">
        <v>99</v>
      </c>
      <c r="J2127">
        <v>-0.24</v>
      </c>
      <c r="K2127">
        <v>2</v>
      </c>
      <c r="L2127">
        <v>20.6</v>
      </c>
      <c r="M2127">
        <v>20.69</v>
      </c>
      <c r="N2127">
        <v>20.260000000000002</v>
      </c>
      <c r="O2127">
        <v>20.51</v>
      </c>
      <c r="P2127">
        <v>62.12</v>
      </c>
      <c r="Q2127">
        <v>22369148</v>
      </c>
      <c r="R2127">
        <v>1.04</v>
      </c>
      <c r="S2127" t="s">
        <v>241</v>
      </c>
      <c r="T2127" t="s">
        <v>590</v>
      </c>
      <c r="U2127">
        <v>2.1</v>
      </c>
      <c r="V2127">
        <v>20.46</v>
      </c>
      <c r="W2127">
        <v>5401</v>
      </c>
      <c r="X2127">
        <v>5532</v>
      </c>
      <c r="Y2127">
        <v>0.98</v>
      </c>
      <c r="Z2127">
        <v>34</v>
      </c>
      <c r="AA2127">
        <v>1</v>
      </c>
      <c r="AB2127" t="s">
        <v>116</v>
      </c>
      <c r="AC2127">
        <v>8200</v>
      </c>
      <c r="AD2127">
        <v>0</v>
      </c>
      <c r="AE2127" t="s">
        <v>116</v>
      </c>
      <c r="AF2127" t="s">
        <v>116</v>
      </c>
      <c r="AG2127">
        <v>0.55000000000000004</v>
      </c>
      <c r="AH2127" t="s">
        <v>135</v>
      </c>
      <c r="AI2127" t="s">
        <v>10271</v>
      </c>
      <c r="AJ2127">
        <v>-0.44</v>
      </c>
      <c r="AK2127">
        <v>1210</v>
      </c>
      <c r="AL2127">
        <v>9</v>
      </c>
      <c r="AM2127">
        <v>1.6999999999999999E-3</v>
      </c>
      <c r="AN2127">
        <v>-1</v>
      </c>
      <c r="AO2127">
        <v>1</v>
      </c>
      <c r="AP2127">
        <v>5.79</v>
      </c>
      <c r="AQ2127">
        <v>-7.27</v>
      </c>
      <c r="AR2127">
        <v>-25.44</v>
      </c>
      <c r="AS2127">
        <v>2.88</v>
      </c>
      <c r="AT2127" t="s">
        <v>10272</v>
      </c>
      <c r="AU2127">
        <v>63.21</v>
      </c>
      <c r="AV2127">
        <v>62.52</v>
      </c>
      <c r="AW2127">
        <v>1.1599999999999999</v>
      </c>
      <c r="BA2127">
        <v>0.44</v>
      </c>
      <c r="BB2127">
        <v>0.88</v>
      </c>
      <c r="BC2127">
        <v>-1.22</v>
      </c>
      <c r="BD2127">
        <v>-0.24</v>
      </c>
      <c r="BE2127">
        <v>-1.55</v>
      </c>
      <c r="BF2127">
        <v>-1.98</v>
      </c>
      <c r="BG2127">
        <v>0.1</v>
      </c>
      <c r="BH2127">
        <v>-0.88</v>
      </c>
      <c r="BI2127">
        <v>20191213</v>
      </c>
      <c r="BJ2127">
        <v>20180427</v>
      </c>
      <c r="BK2127">
        <v>0.98</v>
      </c>
      <c r="BL2127" t="s">
        <v>116</v>
      </c>
      <c r="BM2127" t="s">
        <v>116</v>
      </c>
      <c r="BN2127">
        <v>5.22</v>
      </c>
      <c r="BO2127">
        <v>3.9</v>
      </c>
      <c r="BP2127">
        <v>0.01</v>
      </c>
      <c r="BQ2127">
        <v>25.13</v>
      </c>
      <c r="BR2127">
        <v>3.67</v>
      </c>
      <c r="BS2127">
        <v>1.17</v>
      </c>
      <c r="BT2127">
        <v>0.17</v>
      </c>
      <c r="BU2127">
        <v>1.28</v>
      </c>
      <c r="BV2127">
        <v>1.05</v>
      </c>
      <c r="BW2127">
        <v>0.86</v>
      </c>
      <c r="BX2127">
        <v>1.62</v>
      </c>
      <c r="BY2127">
        <v>2.96</v>
      </c>
      <c r="BZ2127">
        <v>2.0499999999999998</v>
      </c>
      <c r="CA2127">
        <v>0.28000000000000003</v>
      </c>
      <c r="CB2127">
        <v>0.01</v>
      </c>
      <c r="CC2127">
        <v>0.28000000000000003</v>
      </c>
      <c r="CD2127">
        <v>0.24</v>
      </c>
      <c r="CE2127">
        <v>0.24</v>
      </c>
      <c r="CF2127">
        <v>0.23</v>
      </c>
      <c r="CG2127">
        <v>1.1200000000000001</v>
      </c>
      <c r="CH2127">
        <v>0.04</v>
      </c>
      <c r="CI2127">
        <v>-0.08</v>
      </c>
      <c r="CJ2127">
        <v>12480</v>
      </c>
      <c r="CK2127">
        <v>3038</v>
      </c>
      <c r="CL2127" t="s">
        <v>1271</v>
      </c>
      <c r="CM2127">
        <v>-1.42</v>
      </c>
      <c r="CN2127">
        <v>2.4500000000000002</v>
      </c>
      <c r="CO2127">
        <v>5.0999999999999996</v>
      </c>
      <c r="CP2127">
        <v>499.59</v>
      </c>
      <c r="CQ2127">
        <v>6.73</v>
      </c>
      <c r="CR2127">
        <v>0.99</v>
      </c>
      <c r="CS2127" t="s">
        <v>3774</v>
      </c>
      <c r="CT2127">
        <v>3.97</v>
      </c>
      <c r="CU2127">
        <v>0</v>
      </c>
      <c r="CV2127">
        <v>1.65</v>
      </c>
      <c r="CW2127">
        <v>1.1399999999999999</v>
      </c>
      <c r="CX2127">
        <v>0.04</v>
      </c>
      <c r="CY2127">
        <v>74.680000000000007</v>
      </c>
      <c r="CZ2127" t="s">
        <v>314</v>
      </c>
      <c r="DA2127">
        <v>30.68</v>
      </c>
      <c r="DB2127">
        <v>9.4700000000000006</v>
      </c>
      <c r="DC2127">
        <v>8.1199999999999992</v>
      </c>
      <c r="DD2127">
        <v>0.1</v>
      </c>
      <c r="DE2127">
        <v>532</v>
      </c>
      <c r="DF2127">
        <v>300743</v>
      </c>
      <c r="DG2127" t="s">
        <v>116</v>
      </c>
      <c r="DH2127" t="s">
        <v>116</v>
      </c>
      <c r="DI2127" t="s">
        <v>116</v>
      </c>
    </row>
    <row r="2128" spans="1:113" x14ac:dyDescent="0.4">
      <c r="A2128" t="str">
        <f>"300745"</f>
        <v>300745</v>
      </c>
      <c r="B2128" t="s">
        <v>10273</v>
      </c>
      <c r="C2128">
        <v>-2.46</v>
      </c>
      <c r="D2128">
        <v>22.16</v>
      </c>
      <c r="E2128">
        <v>-0.56000000000000005</v>
      </c>
      <c r="F2128">
        <v>22.16</v>
      </c>
      <c r="G2128">
        <v>22.17</v>
      </c>
      <c r="H2128">
        <v>18762</v>
      </c>
      <c r="I2128">
        <v>251</v>
      </c>
      <c r="J2128">
        <v>0.05</v>
      </c>
      <c r="K2128">
        <v>2.92</v>
      </c>
      <c r="L2128">
        <v>22.69</v>
      </c>
      <c r="M2128">
        <v>22.99</v>
      </c>
      <c r="N2128">
        <v>22.13</v>
      </c>
      <c r="O2128">
        <v>22.72</v>
      </c>
      <c r="P2128">
        <v>88.88</v>
      </c>
      <c r="Q2128">
        <v>42219148</v>
      </c>
      <c r="R2128">
        <v>0.93</v>
      </c>
      <c r="S2128" t="s">
        <v>293</v>
      </c>
      <c r="T2128" t="s">
        <v>115</v>
      </c>
      <c r="U2128">
        <v>3.79</v>
      </c>
      <c r="V2128">
        <v>22.5</v>
      </c>
      <c r="W2128">
        <v>11176</v>
      </c>
      <c r="X2128">
        <v>7586</v>
      </c>
      <c r="Y2128">
        <v>1.47</v>
      </c>
      <c r="Z2128">
        <v>242</v>
      </c>
      <c r="AA2128">
        <v>8</v>
      </c>
      <c r="AB2128" t="s">
        <v>116</v>
      </c>
      <c r="AC2128">
        <v>224600</v>
      </c>
      <c r="AD2128">
        <v>0.02</v>
      </c>
      <c r="AE2128" t="s">
        <v>116</v>
      </c>
      <c r="AF2128" t="s">
        <v>116</v>
      </c>
      <c r="AG2128">
        <v>0.64</v>
      </c>
      <c r="AH2128" t="s">
        <v>10274</v>
      </c>
      <c r="AI2128" t="s">
        <v>2353</v>
      </c>
      <c r="AJ2128">
        <v>-1.79</v>
      </c>
      <c r="AK2128">
        <v>1471</v>
      </c>
      <c r="AL2128">
        <v>13</v>
      </c>
      <c r="AM2128">
        <v>2E-3</v>
      </c>
      <c r="AN2128">
        <v>-1</v>
      </c>
      <c r="AO2128">
        <v>0.32</v>
      </c>
      <c r="AP2128">
        <v>6.95</v>
      </c>
      <c r="AQ2128">
        <v>-9.25</v>
      </c>
      <c r="AR2128">
        <v>-38.67</v>
      </c>
      <c r="AS2128">
        <v>3.58</v>
      </c>
      <c r="AT2128" t="s">
        <v>8072</v>
      </c>
      <c r="AU2128">
        <v>52.82</v>
      </c>
      <c r="AV2128">
        <v>30.77</v>
      </c>
      <c r="AW2128">
        <v>1.44</v>
      </c>
      <c r="BA2128">
        <v>-0.13</v>
      </c>
      <c r="BB2128">
        <v>1.19</v>
      </c>
      <c r="BC2128">
        <v>-2.6</v>
      </c>
      <c r="BD2128">
        <v>-0.96</v>
      </c>
      <c r="BE2128">
        <v>-2.34</v>
      </c>
      <c r="BF2128">
        <v>-3.61</v>
      </c>
      <c r="BG2128">
        <v>0.14000000000000001</v>
      </c>
      <c r="BH2128">
        <v>-1.51</v>
      </c>
      <c r="BI2128">
        <v>20191213</v>
      </c>
      <c r="BJ2128">
        <v>20180523</v>
      </c>
      <c r="BK2128">
        <v>1.1499999999999999</v>
      </c>
      <c r="BL2128" t="s">
        <v>116</v>
      </c>
      <c r="BM2128" t="s">
        <v>116</v>
      </c>
      <c r="BN2128">
        <v>16.239999999999998</v>
      </c>
      <c r="BO2128">
        <v>11.03</v>
      </c>
      <c r="BP2128">
        <v>0</v>
      </c>
      <c r="BQ2128">
        <v>32.090000000000003</v>
      </c>
      <c r="BR2128">
        <v>13.87</v>
      </c>
      <c r="BS2128">
        <v>1.1499999999999999</v>
      </c>
      <c r="BT2128">
        <v>0.25</v>
      </c>
      <c r="BU2128">
        <v>4.97</v>
      </c>
      <c r="BV2128">
        <v>3.52</v>
      </c>
      <c r="BW2128">
        <v>4.21</v>
      </c>
      <c r="BX2128">
        <v>6.06</v>
      </c>
      <c r="BY2128">
        <v>4.26</v>
      </c>
      <c r="BZ2128">
        <v>3.51</v>
      </c>
      <c r="CA2128">
        <v>0.22</v>
      </c>
      <c r="CB2128">
        <v>0</v>
      </c>
      <c r="CC2128">
        <v>0.23</v>
      </c>
      <c r="CD2128">
        <v>0.21</v>
      </c>
      <c r="CE2128">
        <v>0.21</v>
      </c>
      <c r="CF2128">
        <v>0.05</v>
      </c>
      <c r="CG2128">
        <v>3.43</v>
      </c>
      <c r="CH2128">
        <v>-0.96</v>
      </c>
      <c r="CI2128">
        <v>-0.27</v>
      </c>
      <c r="CJ2128">
        <v>15711</v>
      </c>
      <c r="CK2128">
        <v>3333</v>
      </c>
      <c r="CL2128" t="s">
        <v>2018</v>
      </c>
      <c r="CM2128">
        <v>-61.65</v>
      </c>
      <c r="CN2128">
        <v>-6.1</v>
      </c>
      <c r="CO2128">
        <v>2.2999999999999998</v>
      </c>
      <c r="CP2128">
        <v>-26.46</v>
      </c>
      <c r="CQ2128">
        <v>5.95</v>
      </c>
      <c r="CR2128">
        <v>0.36</v>
      </c>
      <c r="CS2128" t="s">
        <v>214</v>
      </c>
      <c r="CT2128">
        <v>9.6300000000000008</v>
      </c>
      <c r="CU2128">
        <v>0</v>
      </c>
      <c r="CV2128">
        <v>5.29</v>
      </c>
      <c r="CW2128">
        <v>3</v>
      </c>
      <c r="CX2128">
        <v>-0.84</v>
      </c>
      <c r="CY2128">
        <v>67.91</v>
      </c>
      <c r="CZ2128" t="s">
        <v>10275</v>
      </c>
      <c r="DA2128">
        <v>17.670000000000002</v>
      </c>
      <c r="DB2128">
        <v>5.23</v>
      </c>
      <c r="DC2128">
        <v>5.0199999999999996</v>
      </c>
      <c r="DD2128">
        <v>0.37</v>
      </c>
      <c r="DE2128">
        <v>1208</v>
      </c>
      <c r="DF2128">
        <v>300745</v>
      </c>
      <c r="DG2128" t="s">
        <v>116</v>
      </c>
      <c r="DH2128" t="s">
        <v>116</v>
      </c>
      <c r="DI2128" t="s">
        <v>116</v>
      </c>
    </row>
    <row r="2129" spans="1:113" x14ac:dyDescent="0.4">
      <c r="A2129" t="str">
        <f>"300746"</f>
        <v>300746</v>
      </c>
      <c r="B2129" t="s">
        <v>10276</v>
      </c>
      <c r="C2129">
        <v>-0.59</v>
      </c>
      <c r="D2129">
        <v>13.58</v>
      </c>
      <c r="E2129">
        <v>-0.08</v>
      </c>
      <c r="F2129">
        <v>13.58</v>
      </c>
      <c r="G2129">
        <v>13.59</v>
      </c>
      <c r="H2129">
        <v>17428</v>
      </c>
      <c r="I2129">
        <v>554</v>
      </c>
      <c r="J2129">
        <v>0.22</v>
      </c>
      <c r="K2129">
        <v>2.77</v>
      </c>
      <c r="L2129">
        <v>13.65</v>
      </c>
      <c r="M2129">
        <v>13.77</v>
      </c>
      <c r="N2129">
        <v>13.5</v>
      </c>
      <c r="O2129">
        <v>13.66</v>
      </c>
      <c r="P2129">
        <v>48.81</v>
      </c>
      <c r="Q2129">
        <v>23786218</v>
      </c>
      <c r="R2129">
        <v>0.93</v>
      </c>
      <c r="S2129" t="s">
        <v>181</v>
      </c>
      <c r="T2129" t="s">
        <v>590</v>
      </c>
      <c r="U2129">
        <v>1.98</v>
      </c>
      <c r="V2129">
        <v>13.65</v>
      </c>
      <c r="W2129">
        <v>10529</v>
      </c>
      <c r="X2129">
        <v>6899</v>
      </c>
      <c r="Y2129">
        <v>1.53</v>
      </c>
      <c r="Z2129">
        <v>303</v>
      </c>
      <c r="AA2129">
        <v>84</v>
      </c>
      <c r="AB2129" t="s">
        <v>116</v>
      </c>
      <c r="AC2129">
        <v>12300</v>
      </c>
      <c r="AD2129">
        <v>0</v>
      </c>
      <c r="AE2129" t="s">
        <v>116</v>
      </c>
      <c r="AF2129" t="s">
        <v>116</v>
      </c>
      <c r="AG2129">
        <v>0.63</v>
      </c>
      <c r="AH2129" t="s">
        <v>10277</v>
      </c>
      <c r="AI2129" t="s">
        <v>5784</v>
      </c>
      <c r="AJ2129">
        <v>0.09</v>
      </c>
      <c r="AK2129">
        <v>830</v>
      </c>
      <c r="AL2129">
        <v>21</v>
      </c>
      <c r="AM2129">
        <v>3.3E-3</v>
      </c>
      <c r="AN2129">
        <v>-1</v>
      </c>
      <c r="AO2129">
        <v>0.52</v>
      </c>
      <c r="AP2129">
        <v>6.26</v>
      </c>
      <c r="AQ2129">
        <v>-15.65</v>
      </c>
      <c r="AR2129">
        <v>-25.74</v>
      </c>
      <c r="AS2129">
        <v>2.77</v>
      </c>
      <c r="AT2129" t="s">
        <v>10277</v>
      </c>
      <c r="AU2129">
        <v>38.96</v>
      </c>
      <c r="AV2129">
        <v>40.520000000000003</v>
      </c>
      <c r="AW2129">
        <v>0.87</v>
      </c>
      <c r="BA2129">
        <v>-7.0000000000000007E-2</v>
      </c>
      <c r="BB2129">
        <v>0.81</v>
      </c>
      <c r="BC2129">
        <v>-1.17</v>
      </c>
      <c r="BD2129">
        <v>-0.09</v>
      </c>
      <c r="BE2129">
        <v>-0.51</v>
      </c>
      <c r="BF2129">
        <v>-1.38</v>
      </c>
      <c r="BG2129">
        <v>0.59</v>
      </c>
      <c r="BH2129">
        <v>-0.5</v>
      </c>
      <c r="BI2129">
        <v>20191028</v>
      </c>
      <c r="BJ2129">
        <v>20180525</v>
      </c>
      <c r="BK2129">
        <v>2.2599999999999998</v>
      </c>
      <c r="BL2129" t="s">
        <v>116</v>
      </c>
      <c r="BM2129" t="s">
        <v>116</v>
      </c>
      <c r="BN2129">
        <v>23.01</v>
      </c>
      <c r="BO2129">
        <v>11.5</v>
      </c>
      <c r="BP2129">
        <v>0.47</v>
      </c>
      <c r="BQ2129">
        <v>48</v>
      </c>
      <c r="BR2129">
        <v>8.56</v>
      </c>
      <c r="BS2129">
        <v>2.25</v>
      </c>
      <c r="BT2129">
        <v>0.11</v>
      </c>
      <c r="BU2129">
        <v>4.78</v>
      </c>
      <c r="BV2129">
        <v>0.15</v>
      </c>
      <c r="BW2129">
        <v>4.5199999999999996</v>
      </c>
      <c r="BX2129">
        <v>4.83</v>
      </c>
      <c r="BY2129">
        <v>6.98</v>
      </c>
      <c r="BZ2129">
        <v>5.73</v>
      </c>
      <c r="CA2129">
        <v>0.52</v>
      </c>
      <c r="CB2129">
        <v>0</v>
      </c>
      <c r="CC2129">
        <v>0.51</v>
      </c>
      <c r="CD2129">
        <v>0.46</v>
      </c>
      <c r="CE2129">
        <v>0.47</v>
      </c>
      <c r="CF2129">
        <v>0.33</v>
      </c>
      <c r="CG2129">
        <v>3.83</v>
      </c>
      <c r="CH2129">
        <v>0.2</v>
      </c>
      <c r="CI2129">
        <v>0.1</v>
      </c>
      <c r="CJ2129">
        <v>20878</v>
      </c>
      <c r="CK2129">
        <v>3019</v>
      </c>
      <c r="CL2129" t="s">
        <v>950</v>
      </c>
      <c r="CM2129">
        <v>6.88</v>
      </c>
      <c r="CN2129">
        <v>12.5</v>
      </c>
      <c r="CO2129">
        <v>2.67</v>
      </c>
      <c r="CP2129">
        <v>153.44</v>
      </c>
      <c r="CQ2129">
        <v>4.3899999999999997</v>
      </c>
      <c r="CR2129">
        <v>0.49</v>
      </c>
      <c r="CS2129" t="s">
        <v>1244</v>
      </c>
      <c r="CT2129">
        <v>5.09</v>
      </c>
      <c r="CU2129">
        <v>0</v>
      </c>
      <c r="CV2129">
        <v>2.14</v>
      </c>
      <c r="CW2129">
        <v>1.69</v>
      </c>
      <c r="CX2129">
        <v>0.09</v>
      </c>
      <c r="CY2129">
        <v>49.97</v>
      </c>
      <c r="CZ2129" t="s">
        <v>4488</v>
      </c>
      <c r="DA2129">
        <v>17.829999999999998</v>
      </c>
      <c r="DB2129">
        <v>7.47</v>
      </c>
      <c r="DC2129">
        <v>6.75</v>
      </c>
      <c r="DD2129">
        <v>0.28000000000000003</v>
      </c>
      <c r="DE2129">
        <v>1368</v>
      </c>
      <c r="DF2129">
        <v>300746</v>
      </c>
      <c r="DG2129" t="s">
        <v>116</v>
      </c>
      <c r="DH2129" t="s">
        <v>116</v>
      </c>
      <c r="DI2129" t="s">
        <v>116</v>
      </c>
    </row>
    <row r="2130" spans="1:113" x14ac:dyDescent="0.4">
      <c r="A2130" t="str">
        <f>"300747"</f>
        <v>300747</v>
      </c>
      <c r="B2130" t="s">
        <v>10278</v>
      </c>
      <c r="C2130">
        <v>-2.88</v>
      </c>
      <c r="D2130">
        <v>105.09</v>
      </c>
      <c r="E2130">
        <v>-3.12</v>
      </c>
      <c r="F2130">
        <v>105.06</v>
      </c>
      <c r="G2130">
        <v>105.09</v>
      </c>
      <c r="H2130">
        <v>9215</v>
      </c>
      <c r="I2130">
        <v>126</v>
      </c>
      <c r="J2130">
        <v>-0.06</v>
      </c>
      <c r="K2130">
        <v>0.94</v>
      </c>
      <c r="L2130">
        <v>107.9</v>
      </c>
      <c r="M2130">
        <v>109.87</v>
      </c>
      <c r="N2130">
        <v>104.82</v>
      </c>
      <c r="O2130">
        <v>108.21</v>
      </c>
      <c r="P2130">
        <v>54.03</v>
      </c>
      <c r="Q2130">
        <v>99041664</v>
      </c>
      <c r="R2130">
        <v>0.85</v>
      </c>
      <c r="S2130" t="s">
        <v>233</v>
      </c>
      <c r="T2130" t="s">
        <v>774</v>
      </c>
      <c r="U2130">
        <v>4.67</v>
      </c>
      <c r="V2130">
        <v>107.48</v>
      </c>
      <c r="W2130">
        <v>5716</v>
      </c>
      <c r="X2130">
        <v>3499</v>
      </c>
      <c r="Y2130">
        <v>1.63</v>
      </c>
      <c r="Z2130">
        <v>2</v>
      </c>
      <c r="AA2130">
        <v>19</v>
      </c>
      <c r="AB2130" t="s">
        <v>116</v>
      </c>
      <c r="AC2130">
        <v>2491800</v>
      </c>
      <c r="AD2130">
        <v>0.03</v>
      </c>
      <c r="AE2130" t="s">
        <v>116</v>
      </c>
      <c r="AF2130" t="s">
        <v>116</v>
      </c>
      <c r="AG2130">
        <v>0.98</v>
      </c>
      <c r="AH2130" t="s">
        <v>10279</v>
      </c>
      <c r="AI2130" t="s">
        <v>10280</v>
      </c>
      <c r="AJ2130">
        <v>-2.2000000000000002</v>
      </c>
      <c r="AK2130">
        <v>1499</v>
      </c>
      <c r="AL2130">
        <v>6</v>
      </c>
      <c r="AM2130">
        <v>5.9999999999999995E-4</v>
      </c>
      <c r="AN2130">
        <v>-2</v>
      </c>
      <c r="AO2130">
        <v>0.56999999999999995</v>
      </c>
      <c r="AP2130">
        <v>3.38</v>
      </c>
      <c r="AQ2130">
        <v>1.7</v>
      </c>
      <c r="AR2130">
        <v>14.98</v>
      </c>
      <c r="AS2130">
        <v>1.28</v>
      </c>
      <c r="AT2130" t="s">
        <v>10281</v>
      </c>
      <c r="AU2130">
        <v>57.93</v>
      </c>
      <c r="AV2130">
        <v>46.65</v>
      </c>
      <c r="AW2130">
        <v>0.83</v>
      </c>
      <c r="BA2130">
        <v>-0.28999999999999998</v>
      </c>
      <c r="BB2130">
        <v>1.53</v>
      </c>
      <c r="BC2130">
        <v>-3.13</v>
      </c>
      <c r="BD2130">
        <v>-0.67</v>
      </c>
      <c r="BE2130">
        <v>-2.6</v>
      </c>
      <c r="BF2130">
        <v>-4.3499999999999996</v>
      </c>
      <c r="BG2130">
        <v>0.26</v>
      </c>
      <c r="BH2130">
        <v>-2.21</v>
      </c>
      <c r="BI2130">
        <v>20191029</v>
      </c>
      <c r="BJ2130">
        <v>20180625</v>
      </c>
      <c r="BK2130">
        <v>1.92</v>
      </c>
      <c r="BL2130" t="s">
        <v>116</v>
      </c>
      <c r="BM2130" t="s">
        <v>116</v>
      </c>
      <c r="BN2130">
        <v>29.71</v>
      </c>
      <c r="BO2130">
        <v>22.5</v>
      </c>
      <c r="BP2130">
        <v>0.85</v>
      </c>
      <c r="BQ2130">
        <v>21.4</v>
      </c>
      <c r="BR2130">
        <v>24.9</v>
      </c>
      <c r="BS2130">
        <v>2.59</v>
      </c>
      <c r="BT2130">
        <v>0.64</v>
      </c>
      <c r="BU2130">
        <v>5.92</v>
      </c>
      <c r="BV2130">
        <v>6.51</v>
      </c>
      <c r="BW2130">
        <v>5.37</v>
      </c>
      <c r="BX2130">
        <v>10.65</v>
      </c>
      <c r="BY2130">
        <v>14.18</v>
      </c>
      <c r="BZ2130">
        <v>9.65</v>
      </c>
      <c r="CA2130">
        <v>3.31</v>
      </c>
      <c r="CB2130">
        <v>0.25</v>
      </c>
      <c r="CC2130">
        <v>3.36</v>
      </c>
      <c r="CD2130">
        <v>2.93</v>
      </c>
      <c r="CE2130">
        <v>2.8</v>
      </c>
      <c r="CF2130">
        <v>2.23</v>
      </c>
      <c r="CG2130">
        <v>9.15</v>
      </c>
      <c r="CH2130">
        <v>-1.1399999999999999</v>
      </c>
      <c r="CI2130">
        <v>-0.23</v>
      </c>
      <c r="CJ2130">
        <v>14112</v>
      </c>
      <c r="CK2130">
        <v>5089</v>
      </c>
      <c r="CL2130" t="s">
        <v>10282</v>
      </c>
      <c r="CM2130">
        <v>-23.12</v>
      </c>
      <c r="CN2130">
        <v>30.72</v>
      </c>
      <c r="CO2130">
        <v>8.9700000000000006</v>
      </c>
      <c r="CP2130">
        <v>-177.7</v>
      </c>
      <c r="CQ2130">
        <v>14.23</v>
      </c>
      <c r="CR2130">
        <v>0.32</v>
      </c>
      <c r="CS2130" t="s">
        <v>10283</v>
      </c>
      <c r="CT2130">
        <v>11.72</v>
      </c>
      <c r="CU2130">
        <v>0</v>
      </c>
      <c r="CV2130">
        <v>5.55</v>
      </c>
      <c r="CW2130">
        <v>4.76</v>
      </c>
      <c r="CX2130">
        <v>-0.59</v>
      </c>
      <c r="CY2130">
        <v>75.75</v>
      </c>
      <c r="CZ2130" t="s">
        <v>2881</v>
      </c>
      <c r="DA2130">
        <v>31.92</v>
      </c>
      <c r="DB2130">
        <v>23.35</v>
      </c>
      <c r="DC2130">
        <v>19.760000000000002</v>
      </c>
      <c r="DD2130">
        <v>0.73</v>
      </c>
      <c r="DE2130">
        <v>1377</v>
      </c>
      <c r="DF2130">
        <v>300747</v>
      </c>
      <c r="DG2130" t="s">
        <v>116</v>
      </c>
      <c r="DH2130" t="s">
        <v>116</v>
      </c>
      <c r="DI2130" t="s">
        <v>116</v>
      </c>
    </row>
    <row r="2131" spans="1:113" x14ac:dyDescent="0.4">
      <c r="A2131" t="str">
        <f>"300748"</f>
        <v>300748</v>
      </c>
      <c r="B2131" t="s">
        <v>10284</v>
      </c>
      <c r="C2131">
        <v>2.36</v>
      </c>
      <c r="D2131">
        <v>39.97</v>
      </c>
      <c r="E2131">
        <v>0.92</v>
      </c>
      <c r="F2131">
        <v>39.96</v>
      </c>
      <c r="G2131">
        <v>39.97</v>
      </c>
      <c r="H2131">
        <v>171439</v>
      </c>
      <c r="I2131">
        <v>3006</v>
      </c>
      <c r="J2131">
        <v>0.53</v>
      </c>
      <c r="K2131">
        <v>6.54</v>
      </c>
      <c r="L2131">
        <v>39.14</v>
      </c>
      <c r="M2131">
        <v>40.950000000000003</v>
      </c>
      <c r="N2131">
        <v>39.14</v>
      </c>
      <c r="O2131">
        <v>39.049999999999997</v>
      </c>
      <c r="P2131">
        <v>116.41</v>
      </c>
      <c r="Q2131">
        <v>684917888</v>
      </c>
      <c r="R2131">
        <v>1.46</v>
      </c>
      <c r="S2131" t="s">
        <v>233</v>
      </c>
      <c r="T2131" t="s">
        <v>683</v>
      </c>
      <c r="U2131">
        <v>4.6399999999999997</v>
      </c>
      <c r="V2131">
        <v>39.950000000000003</v>
      </c>
      <c r="W2131">
        <v>81679</v>
      </c>
      <c r="X2131">
        <v>89760</v>
      </c>
      <c r="Y2131">
        <v>0.91</v>
      </c>
      <c r="Z2131">
        <v>261</v>
      </c>
      <c r="AA2131">
        <v>138</v>
      </c>
      <c r="AB2131" t="s">
        <v>116</v>
      </c>
      <c r="AC2131">
        <v>747600</v>
      </c>
      <c r="AD2131">
        <v>0.02</v>
      </c>
      <c r="AE2131" t="s">
        <v>116</v>
      </c>
      <c r="AF2131" t="s">
        <v>116</v>
      </c>
      <c r="AG2131">
        <v>2.62</v>
      </c>
      <c r="AH2131" t="s">
        <v>10285</v>
      </c>
      <c r="AI2131" t="s">
        <v>10286</v>
      </c>
      <c r="AJ2131">
        <v>3.03</v>
      </c>
      <c r="AK2131">
        <v>4269</v>
      </c>
      <c r="AL2131">
        <v>40</v>
      </c>
      <c r="AM2131">
        <v>1.5E-3</v>
      </c>
      <c r="AN2131">
        <v>1</v>
      </c>
      <c r="AO2131">
        <v>1.86</v>
      </c>
      <c r="AP2131">
        <v>0.96</v>
      </c>
      <c r="AQ2131">
        <v>7.3</v>
      </c>
      <c r="AR2131">
        <v>85.05</v>
      </c>
      <c r="AS2131">
        <v>14.31</v>
      </c>
      <c r="AT2131" t="s">
        <v>5117</v>
      </c>
      <c r="AU2131">
        <v>118.8</v>
      </c>
      <c r="AV2131">
        <v>112.26</v>
      </c>
      <c r="AW2131">
        <v>0.45</v>
      </c>
      <c r="BA2131">
        <v>0.23</v>
      </c>
      <c r="BB2131">
        <v>4.87</v>
      </c>
      <c r="BC2131">
        <v>0.23</v>
      </c>
      <c r="BD2131">
        <v>2.31</v>
      </c>
      <c r="BE2131">
        <v>2.12</v>
      </c>
      <c r="BF2131">
        <v>-2.39</v>
      </c>
      <c r="BG2131">
        <v>2.12</v>
      </c>
      <c r="BH2131">
        <v>0.05</v>
      </c>
      <c r="BI2131">
        <v>20191225</v>
      </c>
      <c r="BJ2131">
        <v>20180921</v>
      </c>
      <c r="BK2131">
        <v>4.13</v>
      </c>
      <c r="BL2131" t="s">
        <v>116</v>
      </c>
      <c r="BM2131" t="s">
        <v>116</v>
      </c>
      <c r="BN2131">
        <v>22.59</v>
      </c>
      <c r="BO2131">
        <v>11.69</v>
      </c>
      <c r="BP2131">
        <v>-0.04</v>
      </c>
      <c r="BQ2131">
        <v>48.42</v>
      </c>
      <c r="BR2131">
        <v>17.47</v>
      </c>
      <c r="BS2131">
        <v>3.67</v>
      </c>
      <c r="BT2131">
        <v>0.31</v>
      </c>
      <c r="BU2131">
        <v>9.0500000000000007</v>
      </c>
      <c r="BV2131">
        <v>6.27</v>
      </c>
      <c r="BW2131">
        <v>6.4</v>
      </c>
      <c r="BX2131">
        <v>3.82</v>
      </c>
      <c r="BY2131">
        <v>11.7</v>
      </c>
      <c r="BZ2131">
        <v>9.31</v>
      </c>
      <c r="CA2131">
        <v>1.2</v>
      </c>
      <c r="CB2131">
        <v>0</v>
      </c>
      <c r="CC2131">
        <v>1.2</v>
      </c>
      <c r="CD2131">
        <v>1.06</v>
      </c>
      <c r="CE2131">
        <v>1.06</v>
      </c>
      <c r="CF2131">
        <v>1</v>
      </c>
      <c r="CG2131">
        <v>3.28</v>
      </c>
      <c r="CH2131">
        <v>0</v>
      </c>
      <c r="CI2131">
        <v>-2.02</v>
      </c>
      <c r="CJ2131">
        <v>48350</v>
      </c>
      <c r="CK2131">
        <v>2478</v>
      </c>
      <c r="CL2131" t="s">
        <v>10287</v>
      </c>
      <c r="CM2131">
        <v>-7.08</v>
      </c>
      <c r="CN2131">
        <v>18.95</v>
      </c>
      <c r="CO2131">
        <v>14.13</v>
      </c>
      <c r="CP2131">
        <v>34462.080000000002</v>
      </c>
      <c r="CQ2131">
        <v>14.13</v>
      </c>
      <c r="CR2131">
        <v>0.28000000000000003</v>
      </c>
      <c r="CS2131" t="s">
        <v>4726</v>
      </c>
      <c r="CT2131">
        <v>2.83</v>
      </c>
      <c r="CU2131">
        <v>0</v>
      </c>
      <c r="CV2131">
        <v>0.92</v>
      </c>
      <c r="CW2131">
        <v>0.79</v>
      </c>
      <c r="CX2131">
        <v>0</v>
      </c>
      <c r="CY2131">
        <v>51.76</v>
      </c>
      <c r="CZ2131" t="s">
        <v>8410</v>
      </c>
      <c r="DA2131">
        <v>20.39</v>
      </c>
      <c r="DB2131">
        <v>10.26</v>
      </c>
      <c r="DC2131">
        <v>9.1</v>
      </c>
      <c r="DD2131">
        <v>0.39</v>
      </c>
      <c r="DE2131">
        <v>1983</v>
      </c>
      <c r="DF2131">
        <v>300748</v>
      </c>
      <c r="DG2131" t="s">
        <v>116</v>
      </c>
      <c r="DH2131" t="s">
        <v>116</v>
      </c>
      <c r="DI2131" t="s">
        <v>116</v>
      </c>
    </row>
    <row r="2132" spans="1:113" x14ac:dyDescent="0.4">
      <c r="A2132" t="str">
        <f>"300749"</f>
        <v>300749</v>
      </c>
      <c r="B2132" t="s">
        <v>10288</v>
      </c>
      <c r="C2132">
        <v>-4.3499999999999996</v>
      </c>
      <c r="D2132">
        <v>12.96</v>
      </c>
      <c r="E2132">
        <v>-0.59</v>
      </c>
      <c r="F2132">
        <v>12.95</v>
      </c>
      <c r="G2132">
        <v>12.96</v>
      </c>
      <c r="H2132">
        <v>78605</v>
      </c>
      <c r="I2132">
        <v>665</v>
      </c>
      <c r="J2132">
        <v>0.08</v>
      </c>
      <c r="K2132">
        <v>9.11</v>
      </c>
      <c r="L2132">
        <v>13.28</v>
      </c>
      <c r="M2132">
        <v>13.48</v>
      </c>
      <c r="N2132">
        <v>12.86</v>
      </c>
      <c r="O2132">
        <v>13.55</v>
      </c>
      <c r="P2132">
        <v>37.69</v>
      </c>
      <c r="Q2132">
        <v>103222872</v>
      </c>
      <c r="R2132">
        <v>2.0699999999999998</v>
      </c>
      <c r="S2132" t="s">
        <v>2640</v>
      </c>
      <c r="T2132" t="s">
        <v>551</v>
      </c>
      <c r="U2132">
        <v>4.58</v>
      </c>
      <c r="V2132">
        <v>13.13</v>
      </c>
      <c r="W2132">
        <v>46837</v>
      </c>
      <c r="X2132">
        <v>31768</v>
      </c>
      <c r="Y2132">
        <v>1.47</v>
      </c>
      <c r="Z2132">
        <v>483</v>
      </c>
      <c r="AA2132">
        <v>62</v>
      </c>
      <c r="AB2132" t="s">
        <v>116</v>
      </c>
      <c r="AC2132">
        <v>2640100</v>
      </c>
      <c r="AD2132">
        <v>0.23</v>
      </c>
      <c r="AE2132" t="s">
        <v>116</v>
      </c>
      <c r="AF2132" t="s">
        <v>116</v>
      </c>
      <c r="AG2132">
        <v>0.86</v>
      </c>
      <c r="AH2132" t="s">
        <v>10289</v>
      </c>
      <c r="AI2132" t="s">
        <v>803</v>
      </c>
      <c r="AJ2132">
        <v>-3.68</v>
      </c>
      <c r="AK2132">
        <v>2381</v>
      </c>
      <c r="AL2132">
        <v>33</v>
      </c>
      <c r="AM2132">
        <v>3.8E-3</v>
      </c>
      <c r="AN2132">
        <v>-1</v>
      </c>
      <c r="AO2132">
        <v>7.83</v>
      </c>
      <c r="AP2132">
        <v>12.5</v>
      </c>
      <c r="AQ2132">
        <v>-7.82</v>
      </c>
      <c r="AR2132">
        <v>4.99</v>
      </c>
      <c r="AS2132">
        <v>9.11</v>
      </c>
      <c r="AT2132" t="s">
        <v>10289</v>
      </c>
      <c r="AU2132">
        <v>34.11</v>
      </c>
      <c r="AV2132">
        <v>34.75</v>
      </c>
      <c r="AW2132">
        <v>1.65</v>
      </c>
      <c r="BA2132">
        <v>-1.99</v>
      </c>
      <c r="BB2132">
        <v>-0.52</v>
      </c>
      <c r="BC2132">
        <v>-5.09</v>
      </c>
      <c r="BD2132">
        <v>-3.09</v>
      </c>
      <c r="BE2132">
        <v>-2.41</v>
      </c>
      <c r="BF2132">
        <v>-3.86</v>
      </c>
      <c r="BG2132">
        <v>0.78</v>
      </c>
      <c r="BH2132">
        <v>-1.27</v>
      </c>
      <c r="BI2132">
        <v>20191209</v>
      </c>
      <c r="BJ2132">
        <v>20180925</v>
      </c>
      <c r="BK2132">
        <v>2.0499999999999998</v>
      </c>
      <c r="BL2132" t="s">
        <v>116</v>
      </c>
      <c r="BM2132" t="s">
        <v>116</v>
      </c>
      <c r="BN2132">
        <v>10.59</v>
      </c>
      <c r="BO2132">
        <v>7.67</v>
      </c>
      <c r="BP2132">
        <v>0</v>
      </c>
      <c r="BQ2132">
        <v>27.5</v>
      </c>
      <c r="BR2132">
        <v>6.59</v>
      </c>
      <c r="BS2132">
        <v>2.31</v>
      </c>
      <c r="BT2132">
        <v>0.8</v>
      </c>
      <c r="BU2132">
        <v>2.74</v>
      </c>
      <c r="BV2132">
        <v>1.5</v>
      </c>
      <c r="BW2132">
        <v>1.17</v>
      </c>
      <c r="BX2132">
        <v>2.5099999999999998</v>
      </c>
      <c r="BY2132">
        <v>5.98</v>
      </c>
      <c r="BZ2132">
        <v>3.69</v>
      </c>
      <c r="CA2132">
        <v>0.63</v>
      </c>
      <c r="CB2132">
        <v>0.04</v>
      </c>
      <c r="CC2132">
        <v>0.63</v>
      </c>
      <c r="CD2132">
        <v>0.53</v>
      </c>
      <c r="CE2132">
        <v>0.53</v>
      </c>
      <c r="CF2132">
        <v>0.45</v>
      </c>
      <c r="CG2132">
        <v>2.78</v>
      </c>
      <c r="CH2132">
        <v>-0.04</v>
      </c>
      <c r="CI2132">
        <v>-0.23</v>
      </c>
      <c r="CJ2132">
        <v>15068</v>
      </c>
      <c r="CK2132">
        <v>5725</v>
      </c>
      <c r="CL2132" t="s">
        <v>2715</v>
      </c>
      <c r="CM2132">
        <v>2.79</v>
      </c>
      <c r="CN2132">
        <v>9.59</v>
      </c>
      <c r="CO2132">
        <v>3.46</v>
      </c>
      <c r="CP2132">
        <v>-706.43</v>
      </c>
      <c r="CQ2132">
        <v>4.4400000000000004</v>
      </c>
      <c r="CR2132">
        <v>0.94</v>
      </c>
      <c r="CS2132" t="s">
        <v>4726</v>
      </c>
      <c r="CT2132">
        <v>3.74</v>
      </c>
      <c r="CU2132">
        <v>0</v>
      </c>
      <c r="CV2132">
        <v>1.22</v>
      </c>
      <c r="CW2132">
        <v>1.35</v>
      </c>
      <c r="CX2132">
        <v>-0.02</v>
      </c>
      <c r="CY2132">
        <v>72.5</v>
      </c>
      <c r="CZ2132" t="s">
        <v>3537</v>
      </c>
      <c r="DA2132">
        <v>38.409999999999997</v>
      </c>
      <c r="DB2132">
        <v>10.59</v>
      </c>
      <c r="DC2132">
        <v>8.84</v>
      </c>
      <c r="DD2132">
        <v>0.24</v>
      </c>
      <c r="DE2132">
        <v>2169</v>
      </c>
      <c r="DF2132">
        <v>300749</v>
      </c>
      <c r="DG2132" t="s">
        <v>116</v>
      </c>
      <c r="DH2132" t="s">
        <v>116</v>
      </c>
      <c r="DI2132" t="s">
        <v>116</v>
      </c>
    </row>
    <row r="2133" spans="1:113" x14ac:dyDescent="0.4">
      <c r="A2133" t="str">
        <f>"300750"</f>
        <v>300750</v>
      </c>
      <c r="B2133" t="s">
        <v>10290</v>
      </c>
      <c r="C2133">
        <v>-0.88</v>
      </c>
      <c r="D2133">
        <v>104.2</v>
      </c>
      <c r="E2133">
        <v>-0.92</v>
      </c>
      <c r="F2133">
        <v>104.19</v>
      </c>
      <c r="G2133">
        <v>104.2</v>
      </c>
      <c r="H2133">
        <v>240550</v>
      </c>
      <c r="I2133">
        <v>1338</v>
      </c>
      <c r="J2133">
        <v>-0.18</v>
      </c>
      <c r="K2133">
        <v>2</v>
      </c>
      <c r="L2133">
        <v>105.12</v>
      </c>
      <c r="M2133">
        <v>110</v>
      </c>
      <c r="N2133">
        <v>103.15</v>
      </c>
      <c r="O2133">
        <v>105.12</v>
      </c>
      <c r="P2133">
        <v>49.82</v>
      </c>
      <c r="Q2133">
        <v>2568286464</v>
      </c>
      <c r="R2133">
        <v>1.3</v>
      </c>
      <c r="S2133" t="s">
        <v>397</v>
      </c>
      <c r="T2133" t="s">
        <v>975</v>
      </c>
      <c r="U2133">
        <v>6.52</v>
      </c>
      <c r="V2133">
        <v>106.77</v>
      </c>
      <c r="W2133">
        <v>114886</v>
      </c>
      <c r="X2133">
        <v>125664</v>
      </c>
      <c r="Y2133">
        <v>0.91</v>
      </c>
      <c r="Z2133">
        <v>1</v>
      </c>
      <c r="AA2133">
        <v>102</v>
      </c>
      <c r="AB2133" t="s">
        <v>116</v>
      </c>
      <c r="AC2133">
        <v>9229500</v>
      </c>
      <c r="AD2133">
        <v>0.01</v>
      </c>
      <c r="AE2133" t="s">
        <v>116</v>
      </c>
      <c r="AF2133" t="s">
        <v>116</v>
      </c>
      <c r="AG2133">
        <v>12.03</v>
      </c>
      <c r="AH2133" t="s">
        <v>10291</v>
      </c>
      <c r="AI2133" t="s">
        <v>10292</v>
      </c>
      <c r="AJ2133">
        <v>-0.2</v>
      </c>
      <c r="AK2133">
        <v>4599</v>
      </c>
      <c r="AL2133">
        <v>52</v>
      </c>
      <c r="AM2133">
        <v>4.0000000000000002E-4</v>
      </c>
      <c r="AN2133">
        <v>-2</v>
      </c>
      <c r="AO2133">
        <v>4.72</v>
      </c>
      <c r="AP2133">
        <v>19.21</v>
      </c>
      <c r="AQ2133">
        <v>45.82</v>
      </c>
      <c r="AR2133">
        <v>41.46</v>
      </c>
      <c r="AS2133">
        <v>2.68</v>
      </c>
      <c r="AT2133" t="s">
        <v>10293</v>
      </c>
      <c r="AU2133">
        <v>51.45</v>
      </c>
      <c r="AV2133">
        <v>67.94</v>
      </c>
      <c r="AW2133">
        <v>0.97</v>
      </c>
      <c r="BA2133">
        <v>0</v>
      </c>
      <c r="BB2133">
        <v>4.6399999999999997</v>
      </c>
      <c r="BC2133">
        <v>-1.87</v>
      </c>
      <c r="BD2133">
        <v>1.57</v>
      </c>
      <c r="BE2133">
        <v>-0.88</v>
      </c>
      <c r="BF2133">
        <v>-5.27</v>
      </c>
      <c r="BG2133">
        <v>1.02</v>
      </c>
      <c r="BH2133">
        <v>-2.44</v>
      </c>
      <c r="BI2133">
        <v>20191026</v>
      </c>
      <c r="BJ2133">
        <v>20180611</v>
      </c>
      <c r="BK2133">
        <v>22.08</v>
      </c>
      <c r="BL2133" t="s">
        <v>116</v>
      </c>
      <c r="BM2133" t="s">
        <v>116</v>
      </c>
      <c r="BN2133">
        <v>963.11</v>
      </c>
      <c r="BO2133">
        <v>369.44</v>
      </c>
      <c r="BP2133">
        <v>35.46</v>
      </c>
      <c r="BQ2133">
        <v>57.96</v>
      </c>
      <c r="BR2133">
        <v>686.89</v>
      </c>
      <c r="BS2133">
        <v>168.86</v>
      </c>
      <c r="BT2133">
        <v>15.19</v>
      </c>
      <c r="BU2133">
        <v>438.64</v>
      </c>
      <c r="BV2133">
        <v>100.05</v>
      </c>
      <c r="BW2133">
        <v>97.01</v>
      </c>
      <c r="BX2133">
        <v>215.22</v>
      </c>
      <c r="BY2133">
        <v>328.56</v>
      </c>
      <c r="BZ2133">
        <v>233.01</v>
      </c>
      <c r="CA2133">
        <v>44.46</v>
      </c>
      <c r="CB2133">
        <v>-0.63</v>
      </c>
      <c r="CC2133">
        <v>44.58</v>
      </c>
      <c r="CD2133">
        <v>37.6</v>
      </c>
      <c r="CE2133">
        <v>34.64</v>
      </c>
      <c r="CF2133">
        <v>29.65</v>
      </c>
      <c r="CG2133">
        <v>126.68</v>
      </c>
      <c r="CH2133">
        <v>103.25</v>
      </c>
      <c r="CI2133">
        <v>193.58</v>
      </c>
      <c r="CJ2133">
        <v>94339</v>
      </c>
      <c r="CK2133">
        <v>9511</v>
      </c>
      <c r="CL2133" t="s">
        <v>10294</v>
      </c>
      <c r="CM2133">
        <v>45.65</v>
      </c>
      <c r="CN2133">
        <v>71.7</v>
      </c>
      <c r="CO2133">
        <v>6.23</v>
      </c>
      <c r="CP2133">
        <v>22.29</v>
      </c>
      <c r="CQ2133">
        <v>7</v>
      </c>
      <c r="CR2133">
        <v>0.14000000000000001</v>
      </c>
      <c r="CS2133" t="s">
        <v>7034</v>
      </c>
      <c r="CT2133">
        <v>16.73</v>
      </c>
      <c r="CU2133">
        <v>0</v>
      </c>
      <c r="CV2133">
        <v>9.75</v>
      </c>
      <c r="CW2133">
        <v>5.74</v>
      </c>
      <c r="CX2133">
        <v>4.68</v>
      </c>
      <c r="CY2133">
        <v>38.36</v>
      </c>
      <c r="CZ2133" t="s">
        <v>9856</v>
      </c>
      <c r="DA2133">
        <v>29.08</v>
      </c>
      <c r="DB2133">
        <v>13.53</v>
      </c>
      <c r="DC2133">
        <v>10.54</v>
      </c>
      <c r="DD2133">
        <v>22.56</v>
      </c>
      <c r="DE2133">
        <v>24875</v>
      </c>
      <c r="DF2133">
        <v>300750</v>
      </c>
      <c r="DG2133" t="s">
        <v>116</v>
      </c>
      <c r="DH2133" t="s">
        <v>116</v>
      </c>
      <c r="DI2133" t="s">
        <v>116</v>
      </c>
    </row>
    <row r="2134" spans="1:113" x14ac:dyDescent="0.4">
      <c r="A2134" t="str">
        <f>"300751"</f>
        <v>300751</v>
      </c>
      <c r="B2134" t="s">
        <v>10295</v>
      </c>
      <c r="C2134">
        <v>0.01</v>
      </c>
      <c r="D2134">
        <v>139.02000000000001</v>
      </c>
      <c r="E2134">
        <v>0.02</v>
      </c>
      <c r="F2134">
        <v>139.02000000000001</v>
      </c>
      <c r="G2134">
        <v>139.04</v>
      </c>
      <c r="H2134">
        <v>9269</v>
      </c>
      <c r="I2134">
        <v>161</v>
      </c>
      <c r="J2134">
        <v>0.35</v>
      </c>
      <c r="K2134">
        <v>3.21</v>
      </c>
      <c r="L2134">
        <v>141</v>
      </c>
      <c r="M2134">
        <v>141.06</v>
      </c>
      <c r="N2134">
        <v>138.38</v>
      </c>
      <c r="O2134">
        <v>139</v>
      </c>
      <c r="P2134">
        <v>29.54</v>
      </c>
      <c r="Q2134">
        <v>129193208</v>
      </c>
      <c r="R2134">
        <v>1.07</v>
      </c>
      <c r="S2134" t="s">
        <v>682</v>
      </c>
      <c r="T2134" t="s">
        <v>323</v>
      </c>
      <c r="U2134">
        <v>1.93</v>
      </c>
      <c r="V2134">
        <v>139.38999999999999</v>
      </c>
      <c r="W2134">
        <v>4877</v>
      </c>
      <c r="X2134">
        <v>4392</v>
      </c>
      <c r="Y2134">
        <v>1.1100000000000001</v>
      </c>
      <c r="Z2134">
        <v>42</v>
      </c>
      <c r="AA2134">
        <v>4</v>
      </c>
      <c r="AB2134" t="s">
        <v>116</v>
      </c>
      <c r="AC2134">
        <v>1889400</v>
      </c>
      <c r="AD2134">
        <v>0.09</v>
      </c>
      <c r="AE2134" t="s">
        <v>116</v>
      </c>
      <c r="AF2134" t="s">
        <v>116</v>
      </c>
      <c r="AG2134">
        <v>0.28999999999999998</v>
      </c>
      <c r="AH2134" t="s">
        <v>10296</v>
      </c>
      <c r="AI2134" t="s">
        <v>10297</v>
      </c>
      <c r="AJ2134">
        <v>0.69</v>
      </c>
      <c r="AK2134">
        <v>1698</v>
      </c>
      <c r="AL2134">
        <v>5</v>
      </c>
      <c r="AM2134">
        <v>1.9E-3</v>
      </c>
      <c r="AN2134">
        <v>4</v>
      </c>
      <c r="AO2134">
        <v>4.1900000000000004</v>
      </c>
      <c r="AP2134">
        <v>13.9</v>
      </c>
      <c r="AQ2134">
        <v>-15.84</v>
      </c>
      <c r="AR2134">
        <v>16.8</v>
      </c>
      <c r="AS2134">
        <v>6.57</v>
      </c>
      <c r="AT2134" t="s">
        <v>8787</v>
      </c>
      <c r="AU2134">
        <v>33.81</v>
      </c>
      <c r="AV2134">
        <v>42.29</v>
      </c>
      <c r="AW2134">
        <v>0.91</v>
      </c>
      <c r="BA2134">
        <v>1.44</v>
      </c>
      <c r="BB2134">
        <v>1.48</v>
      </c>
      <c r="BC2134">
        <v>-0.45</v>
      </c>
      <c r="BD2134">
        <v>0.28000000000000003</v>
      </c>
      <c r="BE2134">
        <v>-1.4</v>
      </c>
      <c r="BF2134">
        <v>-1.45</v>
      </c>
      <c r="BG2134">
        <v>0.46</v>
      </c>
      <c r="BH2134">
        <v>-0.27</v>
      </c>
      <c r="BI2134">
        <v>20191206</v>
      </c>
      <c r="BJ2134">
        <v>20181109</v>
      </c>
      <c r="BK2134">
        <v>0.52</v>
      </c>
      <c r="BL2134" t="s">
        <v>116</v>
      </c>
      <c r="BM2134" t="s">
        <v>116</v>
      </c>
      <c r="BN2134">
        <v>35.9</v>
      </c>
      <c r="BO2134">
        <v>12.88</v>
      </c>
      <c r="BP2134">
        <v>0</v>
      </c>
      <c r="BQ2134">
        <v>64.12</v>
      </c>
      <c r="BR2134">
        <v>34.18</v>
      </c>
      <c r="BS2134">
        <v>0.2</v>
      </c>
      <c r="BT2134">
        <v>0.16</v>
      </c>
      <c r="BU2134">
        <v>22.92</v>
      </c>
      <c r="BV2134">
        <v>20.190000000000001</v>
      </c>
      <c r="BW2134">
        <v>2.56</v>
      </c>
      <c r="BX2134">
        <v>7.11</v>
      </c>
      <c r="BY2134">
        <v>10.220000000000001</v>
      </c>
      <c r="BZ2134">
        <v>6.97</v>
      </c>
      <c r="CA2134">
        <v>2.0299999999999998</v>
      </c>
      <c r="CB2134">
        <v>0</v>
      </c>
      <c r="CC2134">
        <v>2.23</v>
      </c>
      <c r="CD2134">
        <v>1.83</v>
      </c>
      <c r="CE2134">
        <v>1.84</v>
      </c>
      <c r="CF2134">
        <v>1.67</v>
      </c>
      <c r="CG2134">
        <v>4.87</v>
      </c>
      <c r="CH2134">
        <v>-1.03</v>
      </c>
      <c r="CI2134">
        <v>-2.34</v>
      </c>
      <c r="CJ2134">
        <v>7707</v>
      </c>
      <c r="CK2134">
        <v>1832</v>
      </c>
      <c r="CL2134" t="s">
        <v>10298</v>
      </c>
      <c r="CM2134">
        <v>30.46</v>
      </c>
      <c r="CN2134">
        <v>76.06</v>
      </c>
      <c r="CO2134">
        <v>5.61</v>
      </c>
      <c r="CP2134">
        <v>-70.2</v>
      </c>
      <c r="CQ2134">
        <v>7.07</v>
      </c>
      <c r="CR2134">
        <v>0.5</v>
      </c>
      <c r="CS2134" t="s">
        <v>10299</v>
      </c>
      <c r="CT2134">
        <v>24.78</v>
      </c>
      <c r="CU2134">
        <v>0</v>
      </c>
      <c r="CV2134">
        <v>13.67</v>
      </c>
      <c r="CW2134">
        <v>9.36</v>
      </c>
      <c r="CX2134">
        <v>-1.98</v>
      </c>
      <c r="CY2134">
        <v>35.89</v>
      </c>
      <c r="CZ2134" t="s">
        <v>10300</v>
      </c>
      <c r="DA2134">
        <v>31.83</v>
      </c>
      <c r="DB2134">
        <v>19.88</v>
      </c>
      <c r="DC2134">
        <v>17.96</v>
      </c>
      <c r="DD2134">
        <v>0.55000000000000004</v>
      </c>
      <c r="DE2134">
        <v>772</v>
      </c>
      <c r="DF2134">
        <v>300751</v>
      </c>
      <c r="DG2134" t="s">
        <v>116</v>
      </c>
      <c r="DH2134" t="s">
        <v>116</v>
      </c>
      <c r="DI2134" t="s">
        <v>116</v>
      </c>
    </row>
    <row r="2135" spans="1:113" x14ac:dyDescent="0.4">
      <c r="A2135" t="str">
        <f>"300752"</f>
        <v>300752</v>
      </c>
      <c r="B2135" t="s">
        <v>10301</v>
      </c>
      <c r="C2135">
        <v>-0.03</v>
      </c>
      <c r="D2135">
        <v>29.05</v>
      </c>
      <c r="E2135">
        <v>-0.01</v>
      </c>
      <c r="F2135">
        <v>29.05</v>
      </c>
      <c r="G2135">
        <v>29.07</v>
      </c>
      <c r="H2135">
        <v>17240</v>
      </c>
      <c r="I2135">
        <v>479</v>
      </c>
      <c r="J2135">
        <v>-0.16</v>
      </c>
      <c r="K2135">
        <v>5.93</v>
      </c>
      <c r="L2135">
        <v>29.15</v>
      </c>
      <c r="M2135">
        <v>29.68</v>
      </c>
      <c r="N2135">
        <v>28.5</v>
      </c>
      <c r="O2135">
        <v>29.06</v>
      </c>
      <c r="P2135">
        <v>35.89</v>
      </c>
      <c r="Q2135">
        <v>50139684</v>
      </c>
      <c r="R2135">
        <v>1.56</v>
      </c>
      <c r="S2135" t="s">
        <v>233</v>
      </c>
      <c r="T2135" t="s">
        <v>115</v>
      </c>
      <c r="U2135">
        <v>4.0599999999999996</v>
      </c>
      <c r="V2135">
        <v>29.08</v>
      </c>
      <c r="W2135">
        <v>9123</v>
      </c>
      <c r="X2135">
        <v>8117</v>
      </c>
      <c r="Y2135">
        <v>1.1200000000000001</v>
      </c>
      <c r="Z2135">
        <v>60</v>
      </c>
      <c r="AA2135">
        <v>3</v>
      </c>
      <c r="AB2135" t="s">
        <v>116</v>
      </c>
      <c r="AC2135">
        <v>128300</v>
      </c>
      <c r="AD2135">
        <v>0.02</v>
      </c>
      <c r="AE2135" t="s">
        <v>116</v>
      </c>
      <c r="AF2135" t="s">
        <v>116</v>
      </c>
      <c r="AG2135">
        <v>0.28999999999999998</v>
      </c>
      <c r="AH2135" t="s">
        <v>4300</v>
      </c>
      <c r="AI2135" t="s">
        <v>6742</v>
      </c>
      <c r="AJ2135">
        <v>0.64</v>
      </c>
      <c r="AK2135">
        <v>1239</v>
      </c>
      <c r="AL2135">
        <v>14</v>
      </c>
      <c r="AM2135">
        <v>4.7999999999999996E-3</v>
      </c>
      <c r="AN2135">
        <v>-1</v>
      </c>
      <c r="AO2135">
        <v>3.39</v>
      </c>
      <c r="AP2135">
        <v>14.78</v>
      </c>
      <c r="AQ2135">
        <v>-8.82</v>
      </c>
      <c r="AR2135">
        <v>-16.989999999999998</v>
      </c>
      <c r="AS2135">
        <v>5.93</v>
      </c>
      <c r="AT2135" t="s">
        <v>4300</v>
      </c>
      <c r="AU2135">
        <v>35.68</v>
      </c>
      <c r="AV2135">
        <v>20.88</v>
      </c>
      <c r="AW2135">
        <v>1.64</v>
      </c>
      <c r="BA2135">
        <v>0.31</v>
      </c>
      <c r="BB2135">
        <v>2.13</v>
      </c>
      <c r="BC2135">
        <v>-1.93</v>
      </c>
      <c r="BD2135">
        <v>0.08</v>
      </c>
      <c r="BE2135">
        <v>-0.34</v>
      </c>
      <c r="BF2135">
        <v>-2.12</v>
      </c>
      <c r="BG2135">
        <v>1.93</v>
      </c>
      <c r="BH2135">
        <v>-0.12</v>
      </c>
      <c r="BI2135">
        <v>20191017</v>
      </c>
      <c r="BJ2135">
        <v>20181130</v>
      </c>
      <c r="BK2135">
        <v>1.1599999999999999</v>
      </c>
      <c r="BL2135" t="s">
        <v>116</v>
      </c>
      <c r="BM2135" t="s">
        <v>116</v>
      </c>
      <c r="BN2135">
        <v>16.260000000000002</v>
      </c>
      <c r="BO2135">
        <v>7.96</v>
      </c>
      <c r="BP2135">
        <v>0</v>
      </c>
      <c r="BQ2135">
        <v>51.02</v>
      </c>
      <c r="BR2135">
        <v>13.16</v>
      </c>
      <c r="BS2135">
        <v>2.4300000000000002</v>
      </c>
      <c r="BT2135">
        <v>0.15</v>
      </c>
      <c r="BU2135">
        <v>8.09</v>
      </c>
      <c r="BV2135">
        <v>2.21</v>
      </c>
      <c r="BW2135">
        <v>4.18</v>
      </c>
      <c r="BX2135">
        <v>3.72</v>
      </c>
      <c r="BY2135">
        <v>11.88</v>
      </c>
      <c r="BZ2135">
        <v>9.9499999999999993</v>
      </c>
      <c r="CA2135">
        <v>0.8</v>
      </c>
      <c r="CB2135">
        <v>0</v>
      </c>
      <c r="CC2135">
        <v>0.8</v>
      </c>
      <c r="CD2135">
        <v>0.71</v>
      </c>
      <c r="CE2135">
        <v>0.71</v>
      </c>
      <c r="CF2135">
        <v>0.54</v>
      </c>
      <c r="CG2135">
        <v>2.77</v>
      </c>
      <c r="CH2135">
        <v>0.47</v>
      </c>
      <c r="CI2135">
        <v>-1.08</v>
      </c>
      <c r="CJ2135">
        <v>12998</v>
      </c>
      <c r="CK2135">
        <v>2236</v>
      </c>
      <c r="CL2135" t="s">
        <v>7229</v>
      </c>
      <c r="CM2135">
        <v>-48.72</v>
      </c>
      <c r="CN2135">
        <v>4.13</v>
      </c>
      <c r="CO2135">
        <v>4.24</v>
      </c>
      <c r="CP2135">
        <v>72.47</v>
      </c>
      <c r="CQ2135">
        <v>2.84</v>
      </c>
      <c r="CR2135">
        <v>2.15</v>
      </c>
      <c r="CS2135" t="s">
        <v>2859</v>
      </c>
      <c r="CT2135">
        <v>6.85</v>
      </c>
      <c r="CU2135">
        <v>0</v>
      </c>
      <c r="CV2135">
        <v>3.2</v>
      </c>
      <c r="CW2135">
        <v>2.38</v>
      </c>
      <c r="CX2135">
        <v>0.4</v>
      </c>
      <c r="CY2135">
        <v>48.98</v>
      </c>
      <c r="CZ2135" t="s">
        <v>3655</v>
      </c>
      <c r="DA2135">
        <v>16.190000000000001</v>
      </c>
      <c r="DB2135">
        <v>6.76</v>
      </c>
      <c r="DC2135">
        <v>5.94</v>
      </c>
      <c r="DD2135">
        <v>0.62</v>
      </c>
      <c r="DE2135">
        <v>2245</v>
      </c>
      <c r="DF2135">
        <v>300752</v>
      </c>
      <c r="DG2135" t="s">
        <v>116</v>
      </c>
      <c r="DH2135" t="s">
        <v>116</v>
      </c>
      <c r="DI2135" t="s">
        <v>116</v>
      </c>
    </row>
    <row r="2136" spans="1:113" x14ac:dyDescent="0.4">
      <c r="A2136" t="str">
        <f>"300753"</f>
        <v>300753</v>
      </c>
      <c r="B2136" t="s">
        <v>10302</v>
      </c>
      <c r="C2136">
        <v>2.17</v>
      </c>
      <c r="D2136">
        <v>40.090000000000003</v>
      </c>
      <c r="E2136">
        <v>0.85</v>
      </c>
      <c r="F2136">
        <v>40.08</v>
      </c>
      <c r="G2136">
        <v>40.090000000000003</v>
      </c>
      <c r="H2136">
        <v>17413</v>
      </c>
      <c r="I2136">
        <v>400</v>
      </c>
      <c r="J2136">
        <v>0.23</v>
      </c>
      <c r="K2136">
        <v>4.55</v>
      </c>
      <c r="L2136">
        <v>39.119999999999997</v>
      </c>
      <c r="M2136">
        <v>40.299999999999997</v>
      </c>
      <c r="N2136">
        <v>39</v>
      </c>
      <c r="O2136">
        <v>39.24</v>
      </c>
      <c r="P2136">
        <v>32.229999999999997</v>
      </c>
      <c r="Q2136">
        <v>69137928</v>
      </c>
      <c r="R2136">
        <v>1.58</v>
      </c>
      <c r="S2136" t="s">
        <v>559</v>
      </c>
      <c r="T2136" t="s">
        <v>323</v>
      </c>
      <c r="U2136">
        <v>3.31</v>
      </c>
      <c r="V2136">
        <v>39.700000000000003</v>
      </c>
      <c r="W2136">
        <v>8219</v>
      </c>
      <c r="X2136">
        <v>9194</v>
      </c>
      <c r="Y2136">
        <v>0.89</v>
      </c>
      <c r="Z2136">
        <v>7</v>
      </c>
      <c r="AA2136">
        <v>1</v>
      </c>
      <c r="AB2136" t="s">
        <v>116</v>
      </c>
      <c r="AC2136">
        <v>0</v>
      </c>
      <c r="AD2136">
        <v>0</v>
      </c>
      <c r="AE2136" t="s">
        <v>116</v>
      </c>
      <c r="AF2136" t="s">
        <v>116</v>
      </c>
      <c r="AG2136">
        <v>0.38</v>
      </c>
      <c r="AH2136" t="s">
        <v>1815</v>
      </c>
      <c r="AI2136" t="s">
        <v>10303</v>
      </c>
      <c r="AJ2136">
        <v>2.85</v>
      </c>
      <c r="AK2136">
        <v>1522</v>
      </c>
      <c r="AL2136">
        <v>11</v>
      </c>
      <c r="AM2136">
        <v>3.0000000000000001E-3</v>
      </c>
      <c r="AN2136">
        <v>1</v>
      </c>
      <c r="AO2136">
        <v>1.17</v>
      </c>
      <c r="AP2136">
        <v>-2.74</v>
      </c>
      <c r="AQ2136">
        <v>4.13</v>
      </c>
      <c r="AR2136">
        <v>0.93</v>
      </c>
      <c r="AS2136">
        <v>4.55</v>
      </c>
      <c r="AT2136" t="s">
        <v>1815</v>
      </c>
      <c r="AU2136">
        <v>33.78</v>
      </c>
      <c r="AV2136">
        <v>46.22</v>
      </c>
      <c r="AW2136">
        <v>0.65</v>
      </c>
      <c r="BA2136">
        <v>-0.31</v>
      </c>
      <c r="BB2136">
        <v>2.7</v>
      </c>
      <c r="BC2136">
        <v>-0.61</v>
      </c>
      <c r="BD2136">
        <v>1.18</v>
      </c>
      <c r="BE2136">
        <v>2.48</v>
      </c>
      <c r="BF2136">
        <v>-0.52</v>
      </c>
      <c r="BG2136">
        <v>2.79</v>
      </c>
      <c r="BH2136">
        <v>0.98</v>
      </c>
      <c r="BI2136">
        <v>20191212</v>
      </c>
      <c r="BJ2136">
        <v>20181213</v>
      </c>
      <c r="BK2136">
        <v>0.81</v>
      </c>
      <c r="BL2136" t="s">
        <v>116</v>
      </c>
      <c r="BM2136" t="s">
        <v>116</v>
      </c>
      <c r="BN2136">
        <v>7.08</v>
      </c>
      <c r="BO2136">
        <v>6.48</v>
      </c>
      <c r="BP2136">
        <v>0</v>
      </c>
      <c r="BQ2136">
        <v>8.5</v>
      </c>
      <c r="BR2136">
        <v>5.05</v>
      </c>
      <c r="BS2136">
        <v>0.34</v>
      </c>
      <c r="BT2136">
        <v>0.28999999999999998</v>
      </c>
      <c r="BU2136">
        <v>0.57999999999999996</v>
      </c>
      <c r="BV2136">
        <v>0.27</v>
      </c>
      <c r="BW2136">
        <v>0.66</v>
      </c>
      <c r="BX2136">
        <v>3.75</v>
      </c>
      <c r="BY2136">
        <v>2.61</v>
      </c>
      <c r="BZ2136">
        <v>0.71</v>
      </c>
      <c r="CA2136">
        <v>0.91</v>
      </c>
      <c r="CB2136">
        <v>0.22</v>
      </c>
      <c r="CC2136">
        <v>0.89</v>
      </c>
      <c r="CD2136">
        <v>0.76</v>
      </c>
      <c r="CE2136">
        <v>0.75</v>
      </c>
      <c r="CF2136">
        <v>0.56000000000000005</v>
      </c>
      <c r="CG2136">
        <v>1.76</v>
      </c>
      <c r="CH2136">
        <v>0.09</v>
      </c>
      <c r="CI2136">
        <v>-3.93</v>
      </c>
      <c r="CJ2136">
        <v>10226</v>
      </c>
      <c r="CK2136">
        <v>3739</v>
      </c>
      <c r="CL2136" t="s">
        <v>10304</v>
      </c>
      <c r="CM2136">
        <v>52.02</v>
      </c>
      <c r="CN2136">
        <v>29.31</v>
      </c>
      <c r="CO2136">
        <v>5</v>
      </c>
      <c r="CP2136">
        <v>356</v>
      </c>
      <c r="CQ2136">
        <v>12.42</v>
      </c>
      <c r="CR2136">
        <v>1</v>
      </c>
      <c r="CS2136" t="s">
        <v>10305</v>
      </c>
      <c r="CT2136">
        <v>8.02</v>
      </c>
      <c r="CU2136">
        <v>0</v>
      </c>
      <c r="CV2136">
        <v>4.6399999999999997</v>
      </c>
      <c r="CW2136">
        <v>2.17</v>
      </c>
      <c r="CX2136">
        <v>0.11</v>
      </c>
      <c r="CY2136">
        <v>91.5</v>
      </c>
      <c r="CZ2136" t="s">
        <v>3075</v>
      </c>
      <c r="DA2136">
        <v>72.64</v>
      </c>
      <c r="DB2136">
        <v>34.840000000000003</v>
      </c>
      <c r="DC2136">
        <v>28.9</v>
      </c>
      <c r="DD2136">
        <v>0.17</v>
      </c>
      <c r="DE2136">
        <v>669</v>
      </c>
      <c r="DF2136">
        <v>300753</v>
      </c>
      <c r="DG2136" t="s">
        <v>116</v>
      </c>
      <c r="DH2136" t="s">
        <v>116</v>
      </c>
      <c r="DI2136" t="s">
        <v>116</v>
      </c>
    </row>
    <row r="2137" spans="1:113" x14ac:dyDescent="0.4">
      <c r="A2137" t="str">
        <f>"300755"</f>
        <v>300755</v>
      </c>
      <c r="B2137" t="s">
        <v>10306</v>
      </c>
      <c r="C2137">
        <v>-0.81</v>
      </c>
      <c r="D2137">
        <v>22.17</v>
      </c>
      <c r="E2137">
        <v>-0.18</v>
      </c>
      <c r="F2137">
        <v>22.17</v>
      </c>
      <c r="G2137">
        <v>22.18</v>
      </c>
      <c r="H2137">
        <v>30002</v>
      </c>
      <c r="I2137">
        <v>693</v>
      </c>
      <c r="J2137">
        <v>-0.17</v>
      </c>
      <c r="K2137">
        <v>2.89</v>
      </c>
      <c r="L2137">
        <v>22.4</v>
      </c>
      <c r="M2137">
        <v>22.74</v>
      </c>
      <c r="N2137">
        <v>22.17</v>
      </c>
      <c r="O2137">
        <v>22.35</v>
      </c>
      <c r="P2137">
        <v>23.81</v>
      </c>
      <c r="Q2137">
        <v>67358736</v>
      </c>
      <c r="R2137">
        <v>1.04</v>
      </c>
      <c r="S2137" t="s">
        <v>225</v>
      </c>
      <c r="T2137" t="s">
        <v>1043</v>
      </c>
      <c r="U2137">
        <v>2.5499999999999998</v>
      </c>
      <c r="V2137">
        <v>22.45</v>
      </c>
      <c r="W2137">
        <v>16905</v>
      </c>
      <c r="X2137">
        <v>13097</v>
      </c>
      <c r="Y2137">
        <v>1.29</v>
      </c>
      <c r="Z2137">
        <v>75</v>
      </c>
      <c r="AA2137">
        <v>10</v>
      </c>
      <c r="AB2137" t="s">
        <v>116</v>
      </c>
      <c r="AC2137">
        <v>53800</v>
      </c>
      <c r="AD2137">
        <v>0</v>
      </c>
      <c r="AE2137" t="s">
        <v>116</v>
      </c>
      <c r="AF2137" t="s">
        <v>116</v>
      </c>
      <c r="AG2137">
        <v>1.04</v>
      </c>
      <c r="AH2137" t="s">
        <v>10307</v>
      </c>
      <c r="AI2137" t="s">
        <v>10308</v>
      </c>
      <c r="AJ2137">
        <v>-0.13</v>
      </c>
      <c r="AK2137">
        <v>1931</v>
      </c>
      <c r="AL2137">
        <v>16</v>
      </c>
      <c r="AM2137">
        <v>1.5E-3</v>
      </c>
      <c r="AN2137">
        <v>-1</v>
      </c>
      <c r="AO2137">
        <v>-1.56</v>
      </c>
      <c r="AP2137">
        <v>-3.15</v>
      </c>
      <c r="AQ2137">
        <v>-16.95</v>
      </c>
      <c r="AR2137">
        <v>140.54</v>
      </c>
      <c r="AS2137">
        <v>2.89</v>
      </c>
      <c r="AT2137" t="s">
        <v>10307</v>
      </c>
      <c r="AU2137">
        <v>29.12</v>
      </c>
      <c r="AV2137">
        <v>41.09</v>
      </c>
      <c r="AW2137">
        <v>1</v>
      </c>
      <c r="BA2137">
        <v>0.22</v>
      </c>
      <c r="BB2137">
        <v>1.74</v>
      </c>
      <c r="BC2137">
        <v>-0.81</v>
      </c>
      <c r="BD2137">
        <v>0.45</v>
      </c>
      <c r="BE2137">
        <v>-1.03</v>
      </c>
      <c r="BF2137">
        <v>-2.5099999999999998</v>
      </c>
      <c r="BG2137">
        <v>0</v>
      </c>
      <c r="BH2137">
        <v>-1.26</v>
      </c>
      <c r="BI2137">
        <v>20191022</v>
      </c>
      <c r="BJ2137">
        <v>20190129</v>
      </c>
      <c r="BK2137">
        <v>4.17</v>
      </c>
      <c r="BL2137" t="s">
        <v>116</v>
      </c>
      <c r="BM2137" t="s">
        <v>116</v>
      </c>
      <c r="BN2137">
        <v>36.450000000000003</v>
      </c>
      <c r="BO2137">
        <v>24.79</v>
      </c>
      <c r="BP2137">
        <v>0.35</v>
      </c>
      <c r="BQ2137">
        <v>31.03</v>
      </c>
      <c r="BR2137">
        <v>35.31</v>
      </c>
      <c r="BS2137">
        <v>0.08</v>
      </c>
      <c r="BT2137">
        <v>0</v>
      </c>
      <c r="BU2137">
        <v>11.31</v>
      </c>
      <c r="BV2137">
        <v>16.77</v>
      </c>
      <c r="BW2137">
        <v>1.23</v>
      </c>
      <c r="BX2137">
        <v>8.57</v>
      </c>
      <c r="BY2137">
        <v>28.53</v>
      </c>
      <c r="BZ2137">
        <v>22.26</v>
      </c>
      <c r="CA2137">
        <v>3.59</v>
      </c>
      <c r="CB2137">
        <v>0</v>
      </c>
      <c r="CC2137">
        <v>3.61</v>
      </c>
      <c r="CD2137">
        <v>2.96</v>
      </c>
      <c r="CE2137">
        <v>2.91</v>
      </c>
      <c r="CF2137">
        <v>2.67</v>
      </c>
      <c r="CG2137">
        <v>11.18</v>
      </c>
      <c r="CH2137">
        <v>-3.28</v>
      </c>
      <c r="CI2137">
        <v>5.4</v>
      </c>
      <c r="CJ2137">
        <v>17934</v>
      </c>
      <c r="CK2137">
        <v>5796</v>
      </c>
      <c r="CL2137" t="s">
        <v>10309</v>
      </c>
      <c r="CM2137">
        <v>46.53</v>
      </c>
      <c r="CN2137">
        <v>37.72</v>
      </c>
      <c r="CO2137">
        <v>3.73</v>
      </c>
      <c r="CP2137">
        <v>-28.13</v>
      </c>
      <c r="CQ2137">
        <v>3.24</v>
      </c>
      <c r="CR2137">
        <v>0.5</v>
      </c>
      <c r="CS2137" t="s">
        <v>7139</v>
      </c>
      <c r="CT2137">
        <v>5.95</v>
      </c>
      <c r="CU2137">
        <v>0</v>
      </c>
      <c r="CV2137">
        <v>2.06</v>
      </c>
      <c r="CW2137">
        <v>2.68</v>
      </c>
      <c r="CX2137">
        <v>-0.79</v>
      </c>
      <c r="CY2137">
        <v>68.02</v>
      </c>
      <c r="CZ2137" t="s">
        <v>10310</v>
      </c>
      <c r="DA2137">
        <v>21.97</v>
      </c>
      <c r="DB2137">
        <v>12.58</v>
      </c>
      <c r="DC2137">
        <v>10.199999999999999</v>
      </c>
      <c r="DD2137">
        <v>0</v>
      </c>
      <c r="DE2137">
        <v>596</v>
      </c>
      <c r="DF2137">
        <v>300755</v>
      </c>
      <c r="DG2137" t="s">
        <v>116</v>
      </c>
      <c r="DH2137" t="s">
        <v>116</v>
      </c>
      <c r="DI2137" t="s">
        <v>116</v>
      </c>
    </row>
    <row r="2138" spans="1:113" x14ac:dyDescent="0.4">
      <c r="A2138" t="str">
        <f>"300756"</f>
        <v>300756</v>
      </c>
      <c r="B2138" t="s">
        <v>10311</v>
      </c>
      <c r="C2138">
        <v>0.82</v>
      </c>
      <c r="D2138">
        <v>34.47</v>
      </c>
      <c r="E2138">
        <v>0.28000000000000003</v>
      </c>
      <c r="F2138">
        <v>34.47</v>
      </c>
      <c r="G2138">
        <v>34.49</v>
      </c>
      <c r="H2138">
        <v>6350</v>
      </c>
      <c r="I2138">
        <v>36</v>
      </c>
      <c r="J2138">
        <v>0.2</v>
      </c>
      <c r="K2138">
        <v>3.53</v>
      </c>
      <c r="L2138">
        <v>34.19</v>
      </c>
      <c r="M2138">
        <v>34.94</v>
      </c>
      <c r="N2138">
        <v>34.19</v>
      </c>
      <c r="O2138">
        <v>34.19</v>
      </c>
      <c r="P2138">
        <v>24.31</v>
      </c>
      <c r="Q2138">
        <v>21992396</v>
      </c>
      <c r="R2138">
        <v>1.47</v>
      </c>
      <c r="S2138" t="s">
        <v>682</v>
      </c>
      <c r="T2138" t="s">
        <v>551</v>
      </c>
      <c r="U2138">
        <v>2.19</v>
      </c>
      <c r="V2138">
        <v>34.630000000000003</v>
      </c>
      <c r="W2138">
        <v>3754</v>
      </c>
      <c r="X2138">
        <v>2596</v>
      </c>
      <c r="Y2138">
        <v>1.45</v>
      </c>
      <c r="Z2138">
        <v>2</v>
      </c>
      <c r="AA2138">
        <v>6</v>
      </c>
      <c r="AB2138" t="s">
        <v>116</v>
      </c>
      <c r="AC2138">
        <v>6800</v>
      </c>
      <c r="AD2138">
        <v>0</v>
      </c>
      <c r="AE2138" t="s">
        <v>116</v>
      </c>
      <c r="AF2138" t="s">
        <v>116</v>
      </c>
      <c r="AG2138">
        <v>0.18</v>
      </c>
      <c r="AH2138" t="s">
        <v>10312</v>
      </c>
      <c r="AI2138" t="s">
        <v>226</v>
      </c>
      <c r="AJ2138">
        <v>1.5</v>
      </c>
      <c r="AK2138">
        <v>884</v>
      </c>
      <c r="AL2138">
        <v>7</v>
      </c>
      <c r="AM2138">
        <v>4.0000000000000001E-3</v>
      </c>
      <c r="AN2138">
        <v>2</v>
      </c>
      <c r="AO2138">
        <v>0.82</v>
      </c>
      <c r="AP2138">
        <v>3.67</v>
      </c>
      <c r="AQ2138">
        <v>-16.23</v>
      </c>
      <c r="AR2138">
        <v>-19.170000000000002</v>
      </c>
      <c r="AS2138">
        <v>3.53</v>
      </c>
      <c r="AT2138" t="s">
        <v>10312</v>
      </c>
      <c r="AU2138">
        <v>31.03</v>
      </c>
      <c r="AV2138">
        <v>25.63</v>
      </c>
      <c r="AW2138">
        <v>1.39</v>
      </c>
      <c r="BA2138">
        <v>0</v>
      </c>
      <c r="BB2138">
        <v>2.19</v>
      </c>
      <c r="BC2138">
        <v>0</v>
      </c>
      <c r="BD2138">
        <v>1.3</v>
      </c>
      <c r="BE2138">
        <v>0.82</v>
      </c>
      <c r="BF2138">
        <v>-1.35</v>
      </c>
      <c r="BG2138">
        <v>0.82</v>
      </c>
      <c r="BH2138">
        <v>-0.48</v>
      </c>
      <c r="BI2138">
        <v>20191226</v>
      </c>
      <c r="BJ2138">
        <v>20181228</v>
      </c>
      <c r="BK2138">
        <v>0.73</v>
      </c>
      <c r="BL2138" t="s">
        <v>116</v>
      </c>
      <c r="BM2138" t="s">
        <v>116</v>
      </c>
      <c r="BN2138">
        <v>16.95</v>
      </c>
      <c r="BO2138">
        <v>10.210000000000001</v>
      </c>
      <c r="BP2138">
        <v>0</v>
      </c>
      <c r="BQ2138">
        <v>39.78</v>
      </c>
      <c r="BR2138">
        <v>14.41</v>
      </c>
      <c r="BS2138">
        <v>1.76</v>
      </c>
      <c r="BT2138">
        <v>0.38</v>
      </c>
      <c r="BU2138">
        <v>6.74</v>
      </c>
      <c r="BV2138">
        <v>3.48</v>
      </c>
      <c r="BW2138">
        <v>1.64</v>
      </c>
      <c r="BX2138">
        <v>4.63</v>
      </c>
      <c r="BY2138">
        <v>4.67</v>
      </c>
      <c r="BZ2138">
        <v>1.94</v>
      </c>
      <c r="CA2138">
        <v>0.91</v>
      </c>
      <c r="CB2138">
        <v>0.06</v>
      </c>
      <c r="CC2138">
        <v>0.9</v>
      </c>
      <c r="CD2138">
        <v>0.78</v>
      </c>
      <c r="CE2138">
        <v>0.78</v>
      </c>
      <c r="CF2138">
        <v>0.69</v>
      </c>
      <c r="CG2138">
        <v>4.5999999999999996</v>
      </c>
      <c r="CH2138">
        <v>0.04</v>
      </c>
      <c r="CI2138">
        <v>-4.17</v>
      </c>
      <c r="CJ2138">
        <v>8504</v>
      </c>
      <c r="CK2138">
        <v>2117</v>
      </c>
      <c r="CL2138" t="s">
        <v>4977</v>
      </c>
      <c r="CM2138">
        <v>-18.05</v>
      </c>
      <c r="CN2138">
        <v>19.86</v>
      </c>
      <c r="CO2138">
        <v>2.4300000000000002</v>
      </c>
      <c r="CP2138">
        <v>574.77</v>
      </c>
      <c r="CQ2138">
        <v>5.38</v>
      </c>
      <c r="CR2138">
        <v>1.27</v>
      </c>
      <c r="CS2138" t="s">
        <v>10313</v>
      </c>
      <c r="CT2138">
        <v>14.18</v>
      </c>
      <c r="CU2138">
        <v>14.18</v>
      </c>
      <c r="CV2138">
        <v>6.35</v>
      </c>
      <c r="CW2138">
        <v>6.32</v>
      </c>
      <c r="CX2138">
        <v>0.06</v>
      </c>
      <c r="CY2138">
        <v>60.22</v>
      </c>
      <c r="CZ2138" t="s">
        <v>10314</v>
      </c>
      <c r="DA2138">
        <v>58.35</v>
      </c>
      <c r="DB2138">
        <v>19.420000000000002</v>
      </c>
      <c r="DC2138">
        <v>16.61</v>
      </c>
      <c r="DD2138">
        <v>1.06</v>
      </c>
      <c r="DE2138">
        <v>1032</v>
      </c>
      <c r="DF2138">
        <v>300756</v>
      </c>
      <c r="DG2138" t="s">
        <v>116</v>
      </c>
      <c r="DH2138" t="s">
        <v>116</v>
      </c>
      <c r="DI2138" t="s">
        <v>116</v>
      </c>
    </row>
    <row r="2139" spans="1:113" x14ac:dyDescent="0.4">
      <c r="A2139" t="str">
        <f>"300757"</f>
        <v>300757</v>
      </c>
      <c r="B2139" t="s">
        <v>10315</v>
      </c>
      <c r="C2139">
        <v>3.26</v>
      </c>
      <c r="D2139">
        <v>33.92</v>
      </c>
      <c r="E2139">
        <v>1.07</v>
      </c>
      <c r="F2139">
        <v>33.92</v>
      </c>
      <c r="G2139">
        <v>33.93</v>
      </c>
      <c r="H2139">
        <v>13372</v>
      </c>
      <c r="I2139">
        <v>160</v>
      </c>
      <c r="J2139">
        <v>0.18</v>
      </c>
      <c r="K2139">
        <v>5.14</v>
      </c>
      <c r="L2139">
        <v>33</v>
      </c>
      <c r="M2139">
        <v>34.270000000000003</v>
      </c>
      <c r="N2139">
        <v>32.869999999999997</v>
      </c>
      <c r="O2139">
        <v>32.85</v>
      </c>
      <c r="P2139">
        <v>45.5</v>
      </c>
      <c r="Q2139">
        <v>45347488</v>
      </c>
      <c r="R2139">
        <v>2.14</v>
      </c>
      <c r="S2139" t="s">
        <v>682</v>
      </c>
      <c r="T2139" t="s">
        <v>323</v>
      </c>
      <c r="U2139">
        <v>4.26</v>
      </c>
      <c r="V2139">
        <v>33.909999999999997</v>
      </c>
      <c r="W2139">
        <v>5916</v>
      </c>
      <c r="X2139">
        <v>7456</v>
      </c>
      <c r="Y2139">
        <v>0.79</v>
      </c>
      <c r="Z2139">
        <v>22</v>
      </c>
      <c r="AA2139">
        <v>2</v>
      </c>
      <c r="AB2139" t="s">
        <v>116</v>
      </c>
      <c r="AC2139">
        <v>29700</v>
      </c>
      <c r="AD2139">
        <v>0</v>
      </c>
      <c r="AE2139" t="s">
        <v>116</v>
      </c>
      <c r="AF2139" t="s">
        <v>116</v>
      </c>
      <c r="AG2139">
        <v>0.26</v>
      </c>
      <c r="AH2139" t="s">
        <v>1556</v>
      </c>
      <c r="AI2139" t="s">
        <v>10316</v>
      </c>
      <c r="AJ2139">
        <v>3.94</v>
      </c>
      <c r="AK2139">
        <v>1313</v>
      </c>
      <c r="AL2139">
        <v>10</v>
      </c>
      <c r="AM2139">
        <v>3.8999999999999998E-3</v>
      </c>
      <c r="AN2139">
        <v>1</v>
      </c>
      <c r="AO2139">
        <v>5.18</v>
      </c>
      <c r="AP2139">
        <v>9.84</v>
      </c>
      <c r="AQ2139">
        <v>-14.69</v>
      </c>
      <c r="AR2139">
        <v>106.93</v>
      </c>
      <c r="AS2139">
        <v>5.14</v>
      </c>
      <c r="AT2139" t="s">
        <v>1556</v>
      </c>
      <c r="AU2139">
        <v>39.380000000000003</v>
      </c>
      <c r="AV2139">
        <v>37.01</v>
      </c>
      <c r="AW2139">
        <v>0.91</v>
      </c>
      <c r="BA2139">
        <v>0.46</v>
      </c>
      <c r="BB2139">
        <v>4.32</v>
      </c>
      <c r="BC2139">
        <v>0.06</v>
      </c>
      <c r="BD2139">
        <v>3.23</v>
      </c>
      <c r="BE2139">
        <v>2.79</v>
      </c>
      <c r="BF2139">
        <v>-1.02</v>
      </c>
      <c r="BG2139">
        <v>3.19</v>
      </c>
      <c r="BH2139">
        <v>0.03</v>
      </c>
      <c r="BI2139">
        <v>20191029</v>
      </c>
      <c r="BJ2139">
        <v>20190108</v>
      </c>
      <c r="BK2139">
        <v>1.04</v>
      </c>
      <c r="BL2139" t="s">
        <v>116</v>
      </c>
      <c r="BM2139" t="s">
        <v>116</v>
      </c>
      <c r="BN2139">
        <v>14.93</v>
      </c>
      <c r="BO2139">
        <v>7.06</v>
      </c>
      <c r="BP2139">
        <v>0</v>
      </c>
      <c r="BQ2139">
        <v>52.75</v>
      </c>
      <c r="BR2139">
        <v>13.21</v>
      </c>
      <c r="BS2139">
        <v>0.56000000000000005</v>
      </c>
      <c r="BT2139">
        <v>0.47</v>
      </c>
      <c r="BU2139">
        <v>7.87</v>
      </c>
      <c r="BV2139">
        <v>4.1500000000000004</v>
      </c>
      <c r="BW2139">
        <v>3.89</v>
      </c>
      <c r="BX2139">
        <v>3.42</v>
      </c>
      <c r="BY2139">
        <v>6.93</v>
      </c>
      <c r="BZ2139">
        <v>5.33</v>
      </c>
      <c r="CA2139">
        <v>0.66</v>
      </c>
      <c r="CB2139">
        <v>0.01</v>
      </c>
      <c r="CC2139">
        <v>0.66</v>
      </c>
      <c r="CD2139">
        <v>0.57999999999999996</v>
      </c>
      <c r="CE2139">
        <v>0.57999999999999996</v>
      </c>
      <c r="CF2139">
        <v>0.55000000000000004</v>
      </c>
      <c r="CG2139">
        <v>2.38</v>
      </c>
      <c r="CH2139">
        <v>-0.24</v>
      </c>
      <c r="CI2139">
        <v>0.45</v>
      </c>
      <c r="CJ2139">
        <v>11854</v>
      </c>
      <c r="CK2139">
        <v>2193</v>
      </c>
      <c r="CL2139" t="s">
        <v>10317</v>
      </c>
      <c r="CM2139">
        <v>-8.99</v>
      </c>
      <c r="CN2139">
        <v>34.1</v>
      </c>
      <c r="CO2139">
        <v>5</v>
      </c>
      <c r="CP2139">
        <v>-149.06</v>
      </c>
      <c r="CQ2139">
        <v>5.09</v>
      </c>
      <c r="CR2139">
        <v>0.56999999999999995</v>
      </c>
      <c r="CS2139" t="s">
        <v>2367</v>
      </c>
      <c r="CT2139">
        <v>6.78</v>
      </c>
      <c r="CU2139">
        <v>0</v>
      </c>
      <c r="CV2139">
        <v>3.29</v>
      </c>
      <c r="CW2139">
        <v>2.29</v>
      </c>
      <c r="CX2139">
        <v>-0.23</v>
      </c>
      <c r="CY2139">
        <v>47.26</v>
      </c>
      <c r="CZ2139" t="s">
        <v>10318</v>
      </c>
      <c r="DA2139">
        <v>23.07</v>
      </c>
      <c r="DB2139">
        <v>9.52</v>
      </c>
      <c r="DC2139">
        <v>8.39</v>
      </c>
      <c r="DD2139">
        <v>0.28000000000000003</v>
      </c>
      <c r="DE2139">
        <v>406</v>
      </c>
      <c r="DF2139">
        <v>300757</v>
      </c>
      <c r="DG2139" t="s">
        <v>116</v>
      </c>
      <c r="DH2139" t="s">
        <v>116</v>
      </c>
      <c r="DI2139" t="s">
        <v>116</v>
      </c>
    </row>
    <row r="2140" spans="1:113" x14ac:dyDescent="0.4">
      <c r="A2140" t="str">
        <f>"300758"</f>
        <v>300758</v>
      </c>
      <c r="B2140" t="s">
        <v>10319</v>
      </c>
      <c r="C2140">
        <v>6.79</v>
      </c>
      <c r="D2140">
        <v>38.979999999999997</v>
      </c>
      <c r="E2140">
        <v>2.48</v>
      </c>
      <c r="F2140">
        <v>38.979999999999997</v>
      </c>
      <c r="G2140">
        <v>38.99</v>
      </c>
      <c r="H2140">
        <v>37145</v>
      </c>
      <c r="I2140">
        <v>1311</v>
      </c>
      <c r="J2140">
        <v>2.23</v>
      </c>
      <c r="K2140">
        <v>13.92</v>
      </c>
      <c r="L2140">
        <v>36.549999999999997</v>
      </c>
      <c r="M2140">
        <v>38.979999999999997</v>
      </c>
      <c r="N2140">
        <v>36.11</v>
      </c>
      <c r="O2140">
        <v>36.5</v>
      </c>
      <c r="P2140">
        <v>31.09</v>
      </c>
      <c r="Q2140">
        <v>138894144</v>
      </c>
      <c r="R2140">
        <v>1.72</v>
      </c>
      <c r="S2140" t="s">
        <v>1192</v>
      </c>
      <c r="T2140" t="s">
        <v>434</v>
      </c>
      <c r="U2140">
        <v>7.86</v>
      </c>
      <c r="V2140">
        <v>37.39</v>
      </c>
      <c r="W2140">
        <v>15622</v>
      </c>
      <c r="X2140">
        <v>21523</v>
      </c>
      <c r="Y2140">
        <v>0.73</v>
      </c>
      <c r="Z2140">
        <v>16</v>
      </c>
      <c r="AA2140">
        <v>30</v>
      </c>
      <c r="AB2140" t="s">
        <v>116</v>
      </c>
      <c r="AC2140">
        <v>742000</v>
      </c>
      <c r="AD2140">
        <v>0.08</v>
      </c>
      <c r="AE2140" t="s">
        <v>116</v>
      </c>
      <c r="AF2140" t="s">
        <v>116</v>
      </c>
      <c r="AG2140">
        <v>0.27</v>
      </c>
      <c r="AH2140" t="s">
        <v>10320</v>
      </c>
      <c r="AI2140" t="s">
        <v>10321</v>
      </c>
      <c r="AJ2140">
        <v>7.47</v>
      </c>
      <c r="AK2140">
        <v>2212</v>
      </c>
      <c r="AL2140">
        <v>17</v>
      </c>
      <c r="AM2140">
        <v>6.3E-3</v>
      </c>
      <c r="AN2140">
        <v>1</v>
      </c>
      <c r="AO2140">
        <v>4.55</v>
      </c>
      <c r="AP2140">
        <v>15.94</v>
      </c>
      <c r="AQ2140">
        <v>18.809999999999999</v>
      </c>
      <c r="AR2140">
        <v>79.709999999999994</v>
      </c>
      <c r="AS2140">
        <v>13.92</v>
      </c>
      <c r="AT2140" t="s">
        <v>10320</v>
      </c>
      <c r="AU2140">
        <v>34.72</v>
      </c>
      <c r="AV2140">
        <v>39.46</v>
      </c>
      <c r="AW2140">
        <v>1.1200000000000001</v>
      </c>
      <c r="BA2140">
        <v>0.14000000000000001</v>
      </c>
      <c r="BB2140">
        <v>6.79</v>
      </c>
      <c r="BC2140">
        <v>-1.07</v>
      </c>
      <c r="BD2140">
        <v>2.4500000000000002</v>
      </c>
      <c r="BE2140">
        <v>6.65</v>
      </c>
      <c r="BF2140">
        <v>0</v>
      </c>
      <c r="BG2140">
        <v>7.95</v>
      </c>
      <c r="BH2140">
        <v>4.3499999999999996</v>
      </c>
      <c r="BI2140">
        <v>20191029</v>
      </c>
      <c r="BJ2140">
        <v>20190222</v>
      </c>
      <c r="BK2140">
        <v>1.07</v>
      </c>
      <c r="BL2140" t="s">
        <v>116</v>
      </c>
      <c r="BM2140" t="s">
        <v>116</v>
      </c>
      <c r="BN2140">
        <v>12.54</v>
      </c>
      <c r="BO2140">
        <v>11.16</v>
      </c>
      <c r="BP2140">
        <v>0</v>
      </c>
      <c r="BQ2140">
        <v>10.98</v>
      </c>
      <c r="BR2140">
        <v>7.64</v>
      </c>
      <c r="BS2140">
        <v>2.38</v>
      </c>
      <c r="BT2140">
        <v>0.5</v>
      </c>
      <c r="BU2140">
        <v>0.6</v>
      </c>
      <c r="BV2140">
        <v>1.24</v>
      </c>
      <c r="BW2140">
        <v>1.03</v>
      </c>
      <c r="BX2140">
        <v>6.34</v>
      </c>
      <c r="BY2140">
        <v>5.12</v>
      </c>
      <c r="BZ2140">
        <v>3.24</v>
      </c>
      <c r="CA2140">
        <v>1.1599999999999999</v>
      </c>
      <c r="CB2140">
        <v>0.02</v>
      </c>
      <c r="CC2140">
        <v>1.1499999999999999</v>
      </c>
      <c r="CD2140">
        <v>1</v>
      </c>
      <c r="CE2140">
        <v>1</v>
      </c>
      <c r="CF2140">
        <v>1.01</v>
      </c>
      <c r="CG2140">
        <v>3.29</v>
      </c>
      <c r="CH2140">
        <v>7.0000000000000007E-2</v>
      </c>
      <c r="CI2140">
        <v>3.11</v>
      </c>
      <c r="CJ2140">
        <v>17363</v>
      </c>
      <c r="CK2140">
        <v>1537</v>
      </c>
      <c r="CL2140" t="s">
        <v>3973</v>
      </c>
      <c r="CM2140">
        <v>16.73</v>
      </c>
      <c r="CN2140">
        <v>10.85</v>
      </c>
      <c r="CO2140">
        <v>3.72</v>
      </c>
      <c r="CP2140">
        <v>577.66999999999996</v>
      </c>
      <c r="CQ2140">
        <v>8.1199999999999992</v>
      </c>
      <c r="CR2140">
        <v>1.03</v>
      </c>
      <c r="CS2140" t="s">
        <v>6691</v>
      </c>
      <c r="CT2140">
        <v>10.46</v>
      </c>
      <c r="CU2140">
        <v>0</v>
      </c>
      <c r="CV2140">
        <v>5.95</v>
      </c>
      <c r="CW2140">
        <v>3.08</v>
      </c>
      <c r="CX2140">
        <v>7.0000000000000007E-2</v>
      </c>
      <c r="CY2140">
        <v>89.02</v>
      </c>
      <c r="CZ2140" t="s">
        <v>994</v>
      </c>
      <c r="DA2140">
        <v>36.64</v>
      </c>
      <c r="DB2140">
        <v>22.68</v>
      </c>
      <c r="DC2140">
        <v>19.600000000000001</v>
      </c>
      <c r="DD2140">
        <v>0.18</v>
      </c>
      <c r="DE2140">
        <v>956</v>
      </c>
      <c r="DF2140">
        <v>300758</v>
      </c>
      <c r="DG2140" t="s">
        <v>116</v>
      </c>
      <c r="DH2140" t="s">
        <v>116</v>
      </c>
      <c r="DI2140" t="s">
        <v>116</v>
      </c>
    </row>
    <row r="2141" spans="1:113" x14ac:dyDescent="0.4">
      <c r="A2141" t="str">
        <f>"300759"</f>
        <v>300759</v>
      </c>
      <c r="B2141" t="s">
        <v>10322</v>
      </c>
      <c r="C2141">
        <v>0.08</v>
      </c>
      <c r="D2141">
        <v>53.28</v>
      </c>
      <c r="E2141">
        <v>0.04</v>
      </c>
      <c r="F2141">
        <v>52.71</v>
      </c>
      <c r="G2141">
        <v>53.28</v>
      </c>
      <c r="H2141">
        <v>15242</v>
      </c>
      <c r="I2141">
        <v>363</v>
      </c>
      <c r="J2141">
        <v>1.27</v>
      </c>
      <c r="K2141">
        <v>2.3199999999999998</v>
      </c>
      <c r="L2141">
        <v>53.24</v>
      </c>
      <c r="M2141">
        <v>54.44</v>
      </c>
      <c r="N2141">
        <v>52.11</v>
      </c>
      <c r="O2141">
        <v>53.24</v>
      </c>
      <c r="P2141">
        <v>96.67</v>
      </c>
      <c r="Q2141">
        <v>80677552</v>
      </c>
      <c r="R2141">
        <v>0.92</v>
      </c>
      <c r="S2141" t="s">
        <v>574</v>
      </c>
      <c r="T2141" t="s">
        <v>165</v>
      </c>
      <c r="U2141">
        <v>4.38</v>
      </c>
      <c r="V2141">
        <v>52.93</v>
      </c>
      <c r="W2141">
        <v>8900</v>
      </c>
      <c r="X2141">
        <v>6342</v>
      </c>
      <c r="Y2141">
        <v>1.4</v>
      </c>
      <c r="Z2141">
        <v>1</v>
      </c>
      <c r="AA2141">
        <v>138</v>
      </c>
      <c r="AB2141" t="s">
        <v>116</v>
      </c>
      <c r="AC2141">
        <v>106500</v>
      </c>
      <c r="AD2141">
        <v>0</v>
      </c>
      <c r="AE2141" t="s">
        <v>116</v>
      </c>
      <c r="AF2141" t="s">
        <v>116</v>
      </c>
      <c r="AG2141">
        <v>0.66</v>
      </c>
      <c r="AH2141" t="s">
        <v>10323</v>
      </c>
      <c r="AI2141" t="s">
        <v>10324</v>
      </c>
      <c r="AJ2141">
        <v>0.75</v>
      </c>
      <c r="AK2141">
        <v>1516</v>
      </c>
      <c r="AL2141">
        <v>10</v>
      </c>
      <c r="AM2141">
        <v>1.5E-3</v>
      </c>
      <c r="AN2141">
        <v>3</v>
      </c>
      <c r="AO2141">
        <v>3.56</v>
      </c>
      <c r="AP2141">
        <v>11.23</v>
      </c>
      <c r="AQ2141">
        <v>16.739999999999998</v>
      </c>
      <c r="AR2141">
        <v>605.70000000000005</v>
      </c>
      <c r="AS2141">
        <v>2.3199999999999998</v>
      </c>
      <c r="AT2141" t="s">
        <v>10323</v>
      </c>
      <c r="AU2141">
        <v>95.53</v>
      </c>
      <c r="AV2141">
        <v>124.77</v>
      </c>
      <c r="AW2141">
        <v>1.85</v>
      </c>
      <c r="BA2141">
        <v>0</v>
      </c>
      <c r="BB2141">
        <v>2.25</v>
      </c>
      <c r="BC2141">
        <v>-2.12</v>
      </c>
      <c r="BD2141">
        <v>-0.57999999999999996</v>
      </c>
      <c r="BE2141">
        <v>0.08</v>
      </c>
      <c r="BF2141">
        <v>-2.13</v>
      </c>
      <c r="BG2141">
        <v>2.25</v>
      </c>
      <c r="BH2141">
        <v>0.66</v>
      </c>
      <c r="BI2141">
        <v>20191226</v>
      </c>
      <c r="BJ2141">
        <v>20190128</v>
      </c>
      <c r="BK2141">
        <v>7.94</v>
      </c>
      <c r="BL2141" t="s">
        <v>116</v>
      </c>
      <c r="BM2141">
        <v>1.34</v>
      </c>
      <c r="BN2141">
        <v>55.74</v>
      </c>
      <c r="BO2141">
        <v>29.95</v>
      </c>
      <c r="BP2141">
        <v>0.76</v>
      </c>
      <c r="BQ2141">
        <v>44.91</v>
      </c>
      <c r="BR2141">
        <v>17.16</v>
      </c>
      <c r="BS2141">
        <v>24.39</v>
      </c>
      <c r="BT2141">
        <v>4.18</v>
      </c>
      <c r="BU2141">
        <v>14.58</v>
      </c>
      <c r="BV2141">
        <v>1.61</v>
      </c>
      <c r="BW2141">
        <v>7.52</v>
      </c>
      <c r="BX2141">
        <v>14.96</v>
      </c>
      <c r="BY2141">
        <v>26.26</v>
      </c>
      <c r="BZ2141">
        <v>17.440000000000001</v>
      </c>
      <c r="CA2141">
        <v>3.68</v>
      </c>
      <c r="CB2141">
        <v>-0.19</v>
      </c>
      <c r="CC2141">
        <v>3.78</v>
      </c>
      <c r="CD2141">
        <v>3.17</v>
      </c>
      <c r="CE2141">
        <v>3.28</v>
      </c>
      <c r="CF2141">
        <v>3.27</v>
      </c>
      <c r="CG2141">
        <v>7.89</v>
      </c>
      <c r="CH2141">
        <v>5.33</v>
      </c>
      <c r="CI2141">
        <v>-0.01</v>
      </c>
      <c r="CJ2141">
        <v>16616</v>
      </c>
      <c r="CK2141">
        <v>3950</v>
      </c>
      <c r="CL2141" t="s">
        <v>10325</v>
      </c>
      <c r="CM2141">
        <v>46.25</v>
      </c>
      <c r="CN2141">
        <v>29.03</v>
      </c>
      <c r="CO2141">
        <v>11.68</v>
      </c>
      <c r="CP2141">
        <v>79.44</v>
      </c>
      <c r="CQ2141">
        <v>16.11</v>
      </c>
      <c r="CR2141">
        <v>0.17</v>
      </c>
      <c r="CS2141" t="s">
        <v>6070</v>
      </c>
      <c r="CT2141">
        <v>4.5599999999999996</v>
      </c>
      <c r="CU2141">
        <v>4.5599999999999996</v>
      </c>
      <c r="CV2141">
        <v>1.88</v>
      </c>
      <c r="CW2141">
        <v>0.99</v>
      </c>
      <c r="CX2141">
        <v>0.67</v>
      </c>
      <c r="CY2141">
        <v>53.72</v>
      </c>
      <c r="CZ2141" t="s">
        <v>4251</v>
      </c>
      <c r="DA2141">
        <v>33.590000000000003</v>
      </c>
      <c r="DB2141">
        <v>14</v>
      </c>
      <c r="DC2141">
        <v>12.5</v>
      </c>
      <c r="DD2141">
        <v>0.43</v>
      </c>
      <c r="DE2141">
        <v>6171</v>
      </c>
      <c r="DF2141">
        <v>300759</v>
      </c>
      <c r="DG2141" t="s">
        <v>116</v>
      </c>
      <c r="DH2141" t="s">
        <v>116</v>
      </c>
      <c r="DI2141" t="s">
        <v>116</v>
      </c>
    </row>
    <row r="2142" spans="1:113" x14ac:dyDescent="0.4">
      <c r="A2142" t="str">
        <f>"300760"</f>
        <v>300760</v>
      </c>
      <c r="B2142" t="s">
        <v>10326</v>
      </c>
      <c r="C2142">
        <v>-1.5</v>
      </c>
      <c r="D2142">
        <v>175.48</v>
      </c>
      <c r="E2142">
        <v>-2.67</v>
      </c>
      <c r="F2142">
        <v>175.47</v>
      </c>
      <c r="G2142">
        <v>175.48</v>
      </c>
      <c r="H2142">
        <v>28641</v>
      </c>
      <c r="I2142">
        <v>300</v>
      </c>
      <c r="J2142">
        <v>-0.02</v>
      </c>
      <c r="K2142">
        <v>0.56999999999999995</v>
      </c>
      <c r="L2142">
        <v>177.4</v>
      </c>
      <c r="M2142">
        <v>179.3</v>
      </c>
      <c r="N2142">
        <v>175.38</v>
      </c>
      <c r="O2142">
        <v>178.15</v>
      </c>
      <c r="P2142">
        <v>43.58</v>
      </c>
      <c r="Q2142">
        <v>507873568</v>
      </c>
      <c r="R2142">
        <v>0.76</v>
      </c>
      <c r="S2142" t="s">
        <v>559</v>
      </c>
      <c r="T2142" t="s">
        <v>115</v>
      </c>
      <c r="U2142">
        <v>2.2000000000000002</v>
      </c>
      <c r="V2142">
        <v>177.32</v>
      </c>
      <c r="W2142">
        <v>15009</v>
      </c>
      <c r="X2142">
        <v>13632</v>
      </c>
      <c r="Y2142">
        <v>1.1000000000000001</v>
      </c>
      <c r="Z2142">
        <v>1</v>
      </c>
      <c r="AA2142">
        <v>43</v>
      </c>
      <c r="AB2142" t="s">
        <v>116</v>
      </c>
      <c r="AC2142">
        <v>1206900</v>
      </c>
      <c r="AD2142">
        <v>0</v>
      </c>
      <c r="AE2142" t="s">
        <v>116</v>
      </c>
      <c r="AF2142" t="s">
        <v>116</v>
      </c>
      <c r="AG2142">
        <v>4.99</v>
      </c>
      <c r="AH2142" t="s">
        <v>10327</v>
      </c>
      <c r="AI2142" t="s">
        <v>10328</v>
      </c>
      <c r="AJ2142">
        <v>-0.82</v>
      </c>
      <c r="AK2142">
        <v>3471</v>
      </c>
      <c r="AL2142">
        <v>8</v>
      </c>
      <c r="AM2142">
        <v>2.0000000000000001E-4</v>
      </c>
      <c r="AN2142">
        <v>-1</v>
      </c>
      <c r="AO2142">
        <v>-0.36</v>
      </c>
      <c r="AP2142">
        <v>-2.35</v>
      </c>
      <c r="AQ2142">
        <v>-7.56</v>
      </c>
      <c r="AR2142">
        <v>62.15</v>
      </c>
      <c r="AS2142">
        <v>0.79</v>
      </c>
      <c r="AT2142" t="s">
        <v>10329</v>
      </c>
      <c r="AU2142">
        <v>47.47</v>
      </c>
      <c r="AV2142">
        <v>57.36</v>
      </c>
      <c r="AW2142">
        <v>1.0900000000000001</v>
      </c>
      <c r="BA2142">
        <v>-0.42</v>
      </c>
      <c r="BB2142">
        <v>0.65</v>
      </c>
      <c r="BC2142">
        <v>-1.55</v>
      </c>
      <c r="BD2142">
        <v>-0.47</v>
      </c>
      <c r="BE2142">
        <v>-1.08</v>
      </c>
      <c r="BF2142">
        <v>-2.13</v>
      </c>
      <c r="BG2142">
        <v>0.06</v>
      </c>
      <c r="BH2142">
        <v>-1.03</v>
      </c>
      <c r="BI2142">
        <v>20191030</v>
      </c>
      <c r="BJ2142">
        <v>20181016</v>
      </c>
      <c r="BK2142">
        <v>12.16</v>
      </c>
      <c r="BL2142" t="s">
        <v>116</v>
      </c>
      <c r="BM2142" t="s">
        <v>116</v>
      </c>
      <c r="BN2142">
        <v>244.79</v>
      </c>
      <c r="BO2142">
        <v>176.05</v>
      </c>
      <c r="BP2142">
        <v>0.22</v>
      </c>
      <c r="BQ2142">
        <v>27.99</v>
      </c>
      <c r="BR2142">
        <v>175.85</v>
      </c>
      <c r="BS2142">
        <v>26</v>
      </c>
      <c r="BT2142">
        <v>8.9</v>
      </c>
      <c r="BU2142">
        <v>49.39</v>
      </c>
      <c r="BV2142">
        <v>21.6</v>
      </c>
      <c r="BW2142">
        <v>17.72</v>
      </c>
      <c r="BX2142">
        <v>81.709999999999994</v>
      </c>
      <c r="BY2142">
        <v>123.79</v>
      </c>
      <c r="BZ2142">
        <v>43.07</v>
      </c>
      <c r="CA2142">
        <v>42.08</v>
      </c>
      <c r="CB2142">
        <v>0</v>
      </c>
      <c r="CC2142">
        <v>42.17</v>
      </c>
      <c r="CD2142">
        <v>36.74</v>
      </c>
      <c r="CE2142">
        <v>36.71</v>
      </c>
      <c r="CF2142">
        <v>36.229999999999997</v>
      </c>
      <c r="CG2142">
        <v>75.900000000000006</v>
      </c>
      <c r="CH2142">
        <v>32.840000000000003</v>
      </c>
      <c r="CI2142">
        <v>15.17</v>
      </c>
      <c r="CJ2142">
        <v>31462</v>
      </c>
      <c r="CK2142">
        <v>11588</v>
      </c>
      <c r="CL2142" t="s">
        <v>10330</v>
      </c>
      <c r="CM2142">
        <v>26.74</v>
      </c>
      <c r="CN2142">
        <v>20.420000000000002</v>
      </c>
      <c r="CO2142">
        <v>12.12</v>
      </c>
      <c r="CP2142">
        <v>64.95</v>
      </c>
      <c r="CQ2142">
        <v>17.23</v>
      </c>
      <c r="CR2142">
        <v>0.56999999999999995</v>
      </c>
      <c r="CS2142" t="s">
        <v>10331</v>
      </c>
      <c r="CT2142">
        <v>14.48</v>
      </c>
      <c r="CU2142">
        <v>0</v>
      </c>
      <c r="CV2142">
        <v>6.72</v>
      </c>
      <c r="CW2142">
        <v>6.24</v>
      </c>
      <c r="CX2142">
        <v>2.7</v>
      </c>
      <c r="CY2142">
        <v>71.92</v>
      </c>
      <c r="CZ2142" t="s">
        <v>10332</v>
      </c>
      <c r="DA2142">
        <v>65.209999999999994</v>
      </c>
      <c r="DB2142">
        <v>33.99</v>
      </c>
      <c r="DC2142">
        <v>29.66</v>
      </c>
      <c r="DD2142">
        <v>10.84</v>
      </c>
      <c r="DE2142">
        <v>9234</v>
      </c>
      <c r="DF2142">
        <v>300760</v>
      </c>
      <c r="DG2142" t="s">
        <v>116</v>
      </c>
      <c r="DH2142" t="s">
        <v>116</v>
      </c>
      <c r="DI2142" t="s">
        <v>116</v>
      </c>
    </row>
    <row r="2143" spans="1:113" x14ac:dyDescent="0.4">
      <c r="A2143" t="str">
        <f>"300761"</f>
        <v>300761</v>
      </c>
      <c r="B2143" t="s">
        <v>10333</v>
      </c>
      <c r="C2143">
        <v>1.04</v>
      </c>
      <c r="D2143">
        <v>57.39</v>
      </c>
      <c r="E2143">
        <v>0.59</v>
      </c>
      <c r="F2143">
        <v>57.38</v>
      </c>
      <c r="G2143">
        <v>57.39</v>
      </c>
      <c r="H2143">
        <v>23305</v>
      </c>
      <c r="I2143">
        <v>201</v>
      </c>
      <c r="J2143">
        <v>-0.08</v>
      </c>
      <c r="K2143">
        <v>5.65</v>
      </c>
      <c r="L2143">
        <v>56.8</v>
      </c>
      <c r="M2143">
        <v>58.25</v>
      </c>
      <c r="N2143">
        <v>56.8</v>
      </c>
      <c r="O2143">
        <v>56.8</v>
      </c>
      <c r="P2143">
        <v>13.68</v>
      </c>
      <c r="Q2143">
        <v>133942624</v>
      </c>
      <c r="R2143">
        <v>1.67</v>
      </c>
      <c r="S2143" t="s">
        <v>449</v>
      </c>
      <c r="T2143" t="s">
        <v>323</v>
      </c>
      <c r="U2143">
        <v>2.5499999999999998</v>
      </c>
      <c r="V2143">
        <v>57.47</v>
      </c>
      <c r="W2143">
        <v>11929</v>
      </c>
      <c r="X2143">
        <v>11376</v>
      </c>
      <c r="Y2143">
        <v>1.05</v>
      </c>
      <c r="Z2143">
        <v>10</v>
      </c>
      <c r="AA2143">
        <v>390</v>
      </c>
      <c r="AB2143" t="s">
        <v>116</v>
      </c>
      <c r="AC2143">
        <v>352200</v>
      </c>
      <c r="AD2143">
        <v>0.02</v>
      </c>
      <c r="AE2143" t="s">
        <v>116</v>
      </c>
      <c r="AF2143" t="s">
        <v>116</v>
      </c>
      <c r="AG2143">
        <v>0.41</v>
      </c>
      <c r="AH2143" t="s">
        <v>8541</v>
      </c>
      <c r="AI2143" t="s">
        <v>10334</v>
      </c>
      <c r="AJ2143">
        <v>1.72</v>
      </c>
      <c r="AK2143">
        <v>2535</v>
      </c>
      <c r="AL2143">
        <v>9</v>
      </c>
      <c r="AM2143">
        <v>2.2000000000000001E-3</v>
      </c>
      <c r="AN2143">
        <v>1</v>
      </c>
      <c r="AO2143">
        <v>0.6</v>
      </c>
      <c r="AP2143">
        <v>0.35</v>
      </c>
      <c r="AQ2143">
        <v>-14.06</v>
      </c>
      <c r="AR2143">
        <v>103.87</v>
      </c>
      <c r="AS2143">
        <v>5.65</v>
      </c>
      <c r="AT2143" t="s">
        <v>8541</v>
      </c>
      <c r="AU2143">
        <v>14.54</v>
      </c>
      <c r="AV2143">
        <v>17.829999999999998</v>
      </c>
      <c r="AW2143">
        <v>1.5</v>
      </c>
      <c r="BA2143">
        <v>0</v>
      </c>
      <c r="BB2143">
        <v>2.5499999999999998</v>
      </c>
      <c r="BC2143">
        <v>0</v>
      </c>
      <c r="BD2143">
        <v>1.18</v>
      </c>
      <c r="BE2143">
        <v>1.04</v>
      </c>
      <c r="BF2143">
        <v>-1.48</v>
      </c>
      <c r="BG2143">
        <v>1.04</v>
      </c>
      <c r="BH2143">
        <v>-0.15</v>
      </c>
      <c r="BI2143">
        <v>20191025</v>
      </c>
      <c r="BJ2143">
        <v>20190218</v>
      </c>
      <c r="BK2143">
        <v>4.04</v>
      </c>
      <c r="BL2143" t="s">
        <v>116</v>
      </c>
      <c r="BM2143" t="s">
        <v>116</v>
      </c>
      <c r="BN2143">
        <v>76.680000000000007</v>
      </c>
      <c r="BO2143">
        <v>60.84</v>
      </c>
      <c r="BP2143">
        <v>0</v>
      </c>
      <c r="BQ2143">
        <v>20.65</v>
      </c>
      <c r="BR2143">
        <v>46.35</v>
      </c>
      <c r="BS2143">
        <v>18.100000000000001</v>
      </c>
      <c r="BT2143">
        <v>1.83</v>
      </c>
      <c r="BU2143">
        <v>14.53</v>
      </c>
      <c r="BV2143">
        <v>9.44</v>
      </c>
      <c r="BW2143">
        <v>0.03</v>
      </c>
      <c r="BX2143">
        <v>14.88</v>
      </c>
      <c r="BY2143">
        <v>62.05</v>
      </c>
      <c r="BZ2143">
        <v>46.05</v>
      </c>
      <c r="CA2143">
        <v>12.63</v>
      </c>
      <c r="CB2143">
        <v>0.61</v>
      </c>
      <c r="CC2143">
        <v>12.71</v>
      </c>
      <c r="CD2143">
        <v>12.71</v>
      </c>
      <c r="CE2143">
        <v>12.71</v>
      </c>
      <c r="CF2143">
        <v>12.18</v>
      </c>
      <c r="CG2143">
        <v>40.82</v>
      </c>
      <c r="CH2143">
        <v>16.47</v>
      </c>
      <c r="CI2143">
        <v>1.26</v>
      </c>
      <c r="CJ2143">
        <v>14016</v>
      </c>
      <c r="CK2143">
        <v>2945</v>
      </c>
      <c r="CL2143" t="s">
        <v>10335</v>
      </c>
      <c r="CM2143">
        <v>30.15</v>
      </c>
      <c r="CN2143">
        <v>17.78</v>
      </c>
      <c r="CO2143">
        <v>3.81</v>
      </c>
      <c r="CP2143">
        <v>14.08</v>
      </c>
      <c r="CQ2143">
        <v>3.74</v>
      </c>
      <c r="CR2143">
        <v>2.09</v>
      </c>
      <c r="CS2143" t="s">
        <v>10336</v>
      </c>
      <c r="CT2143">
        <v>15.06</v>
      </c>
      <c r="CU2143">
        <v>0</v>
      </c>
      <c r="CV2143">
        <v>3.68</v>
      </c>
      <c r="CW2143">
        <v>10.11</v>
      </c>
      <c r="CX2143">
        <v>4.08</v>
      </c>
      <c r="CY2143">
        <v>79.349999999999994</v>
      </c>
      <c r="CZ2143" t="s">
        <v>10337</v>
      </c>
      <c r="DA2143">
        <v>25.78</v>
      </c>
      <c r="DB2143">
        <v>20.36</v>
      </c>
      <c r="DC2143">
        <v>20.48</v>
      </c>
      <c r="DD2143">
        <v>0.15</v>
      </c>
      <c r="DE2143">
        <v>4058</v>
      </c>
      <c r="DF2143">
        <v>300761</v>
      </c>
      <c r="DG2143" t="s">
        <v>116</v>
      </c>
      <c r="DH2143" t="s">
        <v>116</v>
      </c>
      <c r="DI2143" t="s">
        <v>116</v>
      </c>
    </row>
    <row r="2144" spans="1:113" x14ac:dyDescent="0.4">
      <c r="A2144" t="str">
        <f>"300762"</f>
        <v>300762</v>
      </c>
      <c r="B2144" t="s">
        <v>10338</v>
      </c>
      <c r="C2144">
        <v>-1.65</v>
      </c>
      <c r="D2144">
        <v>51.31</v>
      </c>
      <c r="E2144">
        <v>-0.86</v>
      </c>
      <c r="F2144">
        <v>51.3</v>
      </c>
      <c r="G2144">
        <v>51.31</v>
      </c>
      <c r="H2144">
        <v>7758</v>
      </c>
      <c r="I2144">
        <v>270</v>
      </c>
      <c r="J2144">
        <v>-0.11</v>
      </c>
      <c r="K2144">
        <v>2.33</v>
      </c>
      <c r="L2144">
        <v>52.15</v>
      </c>
      <c r="M2144">
        <v>52.27</v>
      </c>
      <c r="N2144">
        <v>51.11</v>
      </c>
      <c r="O2144">
        <v>52.17</v>
      </c>
      <c r="P2144">
        <v>125.47</v>
      </c>
      <c r="Q2144">
        <v>40249748</v>
      </c>
      <c r="R2144">
        <v>0.85</v>
      </c>
      <c r="S2144" t="s">
        <v>465</v>
      </c>
      <c r="T2144" t="s">
        <v>1653</v>
      </c>
      <c r="U2144">
        <v>2.2200000000000002</v>
      </c>
      <c r="V2144">
        <v>51.88</v>
      </c>
      <c r="W2144">
        <v>4632</v>
      </c>
      <c r="X2144">
        <v>3126</v>
      </c>
      <c r="Y2144">
        <v>1.48</v>
      </c>
      <c r="Z2144">
        <v>23</v>
      </c>
      <c r="AA2144">
        <v>12</v>
      </c>
      <c r="AB2144" t="s">
        <v>116</v>
      </c>
      <c r="AC2144">
        <v>208600</v>
      </c>
      <c r="AD2144">
        <v>0.01</v>
      </c>
      <c r="AE2144" t="s">
        <v>116</v>
      </c>
      <c r="AF2144" t="s">
        <v>116</v>
      </c>
      <c r="AG2144">
        <v>0.33</v>
      </c>
      <c r="AH2144" t="s">
        <v>7792</v>
      </c>
      <c r="AI2144" t="s">
        <v>10339</v>
      </c>
      <c r="AJ2144">
        <v>-0.97</v>
      </c>
      <c r="AK2144">
        <v>1303</v>
      </c>
      <c r="AL2144">
        <v>6</v>
      </c>
      <c r="AM2144">
        <v>1.8E-3</v>
      </c>
      <c r="AN2144">
        <v>-2</v>
      </c>
      <c r="AO2144">
        <v>-0.39</v>
      </c>
      <c r="AP2144">
        <v>5.92</v>
      </c>
      <c r="AQ2144">
        <v>-11.11</v>
      </c>
      <c r="AR2144">
        <v>215.17</v>
      </c>
      <c r="AS2144">
        <v>2.33</v>
      </c>
      <c r="AT2144" t="s">
        <v>7792</v>
      </c>
      <c r="AU2144">
        <v>63.07</v>
      </c>
      <c r="AV2144">
        <v>66.7</v>
      </c>
      <c r="AW2144">
        <v>1.42</v>
      </c>
      <c r="BA2144">
        <v>-0.04</v>
      </c>
      <c r="BB2144">
        <v>0.19</v>
      </c>
      <c r="BC2144">
        <v>-2.0299999999999998</v>
      </c>
      <c r="BD2144">
        <v>-0.55000000000000004</v>
      </c>
      <c r="BE2144">
        <v>-1.61</v>
      </c>
      <c r="BF2144">
        <v>-1.84</v>
      </c>
      <c r="BG2144">
        <v>0.39</v>
      </c>
      <c r="BH2144">
        <v>-1.1000000000000001</v>
      </c>
      <c r="BI2144">
        <v>20191026</v>
      </c>
      <c r="BJ2144">
        <v>20190314</v>
      </c>
      <c r="BK2144">
        <v>1.33</v>
      </c>
      <c r="BL2144" t="s">
        <v>116</v>
      </c>
      <c r="BM2144" t="s">
        <v>116</v>
      </c>
      <c r="BN2144">
        <v>14.95</v>
      </c>
      <c r="BO2144">
        <v>11.44</v>
      </c>
      <c r="BP2144">
        <v>0.02</v>
      </c>
      <c r="BQ2144">
        <v>23.37</v>
      </c>
      <c r="BR2144">
        <v>14.62</v>
      </c>
      <c r="BS2144">
        <v>7.0000000000000007E-2</v>
      </c>
      <c r="BT2144">
        <v>0.11</v>
      </c>
      <c r="BU2144">
        <v>3.39</v>
      </c>
      <c r="BV2144">
        <v>1.96</v>
      </c>
      <c r="BW2144">
        <v>7.67</v>
      </c>
      <c r="BX2144">
        <v>7.33</v>
      </c>
      <c r="BY2144">
        <v>2.83</v>
      </c>
      <c r="BZ2144">
        <v>1.04</v>
      </c>
      <c r="CA2144">
        <v>0.44</v>
      </c>
      <c r="CB2144">
        <v>0.02</v>
      </c>
      <c r="CC2144">
        <v>0.44</v>
      </c>
      <c r="CD2144">
        <v>0.4</v>
      </c>
      <c r="CE2144">
        <v>0.41</v>
      </c>
      <c r="CF2144">
        <v>0.33</v>
      </c>
      <c r="CG2144">
        <v>2.52</v>
      </c>
      <c r="CH2144">
        <v>-1.69</v>
      </c>
      <c r="CI2144">
        <v>0.33</v>
      </c>
      <c r="CJ2144">
        <v>19080</v>
      </c>
      <c r="CK2144">
        <v>1748</v>
      </c>
      <c r="CL2144" t="s">
        <v>6202</v>
      </c>
      <c r="CM2144">
        <v>0</v>
      </c>
      <c r="CN2144">
        <v>0</v>
      </c>
      <c r="CO2144">
        <v>5.98</v>
      </c>
      <c r="CP2144">
        <v>-40.520000000000003</v>
      </c>
      <c r="CQ2144">
        <v>24.18</v>
      </c>
      <c r="CR2144">
        <v>0</v>
      </c>
      <c r="CS2144" t="s">
        <v>1726</v>
      </c>
      <c r="CT2144">
        <v>8.58</v>
      </c>
      <c r="CU2144">
        <v>0</v>
      </c>
      <c r="CV2144">
        <v>5.5</v>
      </c>
      <c r="CW2144">
        <v>1.89</v>
      </c>
      <c r="CX2144">
        <v>-1.27</v>
      </c>
      <c r="CY2144">
        <v>76.52</v>
      </c>
      <c r="CZ2144" t="s">
        <v>4885</v>
      </c>
      <c r="DA2144">
        <v>63.13</v>
      </c>
      <c r="DB2144">
        <v>15.45</v>
      </c>
      <c r="DC2144">
        <v>14.46</v>
      </c>
      <c r="DD2144">
        <v>0.69</v>
      </c>
      <c r="DE2144">
        <v>314</v>
      </c>
      <c r="DF2144">
        <v>300762</v>
      </c>
      <c r="DG2144" t="s">
        <v>116</v>
      </c>
      <c r="DH2144" t="s">
        <v>116</v>
      </c>
      <c r="DI2144" t="s">
        <v>116</v>
      </c>
    </row>
    <row r="2145" spans="1:113" x14ac:dyDescent="0.4">
      <c r="A2145" t="str">
        <f>"300763"</f>
        <v>300763</v>
      </c>
      <c r="B2145" t="s">
        <v>10340</v>
      </c>
      <c r="C2145">
        <v>2.58</v>
      </c>
      <c r="D2145">
        <v>40.57</v>
      </c>
      <c r="E2145">
        <v>1.02</v>
      </c>
      <c r="F2145">
        <v>40.57</v>
      </c>
      <c r="G2145">
        <v>40.58</v>
      </c>
      <c r="H2145">
        <v>31487</v>
      </c>
      <c r="I2145">
        <v>246</v>
      </c>
      <c r="J2145">
        <v>0</v>
      </c>
      <c r="K2145">
        <v>15.74</v>
      </c>
      <c r="L2145">
        <v>39.520000000000003</v>
      </c>
      <c r="M2145">
        <v>41.65</v>
      </c>
      <c r="N2145">
        <v>39.5</v>
      </c>
      <c r="O2145">
        <v>39.549999999999997</v>
      </c>
      <c r="P2145">
        <v>33.450000000000003</v>
      </c>
      <c r="Q2145">
        <v>128603888</v>
      </c>
      <c r="R2145">
        <v>2.2999999999999998</v>
      </c>
      <c r="S2145" t="s">
        <v>397</v>
      </c>
      <c r="T2145" t="s">
        <v>590</v>
      </c>
      <c r="U2145">
        <v>5.44</v>
      </c>
      <c r="V2145">
        <v>40.840000000000003</v>
      </c>
      <c r="W2145">
        <v>14411</v>
      </c>
      <c r="X2145">
        <v>17076</v>
      </c>
      <c r="Y2145">
        <v>0.84</v>
      </c>
      <c r="Z2145">
        <v>120</v>
      </c>
      <c r="AA2145">
        <v>3</v>
      </c>
      <c r="AB2145" t="s">
        <v>116</v>
      </c>
      <c r="AC2145">
        <v>193600</v>
      </c>
      <c r="AD2145">
        <v>0.02</v>
      </c>
      <c r="AE2145" t="s">
        <v>116</v>
      </c>
      <c r="AF2145" t="s">
        <v>116</v>
      </c>
      <c r="AG2145">
        <v>0.2</v>
      </c>
      <c r="AH2145" t="s">
        <v>7312</v>
      </c>
      <c r="AI2145" t="s">
        <v>998</v>
      </c>
      <c r="AJ2145">
        <v>3.26</v>
      </c>
      <c r="AK2145">
        <v>2315</v>
      </c>
      <c r="AL2145">
        <v>14</v>
      </c>
      <c r="AM2145">
        <v>6.7999999999999996E-3</v>
      </c>
      <c r="AN2145">
        <v>2</v>
      </c>
      <c r="AO2145">
        <v>5.0999999999999996</v>
      </c>
      <c r="AP2145">
        <v>14.6</v>
      </c>
      <c r="AQ2145">
        <v>3.79</v>
      </c>
      <c r="AR2145">
        <v>58.23</v>
      </c>
      <c r="AS2145">
        <v>15.74</v>
      </c>
      <c r="AT2145" t="s">
        <v>7312</v>
      </c>
      <c r="AU2145">
        <v>29.56</v>
      </c>
      <c r="AV2145">
        <v>27.49</v>
      </c>
      <c r="AW2145">
        <v>0.85</v>
      </c>
      <c r="BA2145">
        <v>-0.08</v>
      </c>
      <c r="BB2145">
        <v>5.31</v>
      </c>
      <c r="BC2145">
        <v>-0.13</v>
      </c>
      <c r="BD2145">
        <v>3.27</v>
      </c>
      <c r="BE2145">
        <v>2.66</v>
      </c>
      <c r="BF2145">
        <v>-2.59</v>
      </c>
      <c r="BG2145">
        <v>2.71</v>
      </c>
      <c r="BH2145">
        <v>-0.69</v>
      </c>
      <c r="BI2145">
        <v>20191025</v>
      </c>
      <c r="BJ2145">
        <v>20190319</v>
      </c>
      <c r="BK2145">
        <v>0.8</v>
      </c>
      <c r="BL2145" t="s">
        <v>116</v>
      </c>
      <c r="BM2145" t="s">
        <v>116</v>
      </c>
      <c r="BN2145">
        <v>13.76</v>
      </c>
      <c r="BO2145">
        <v>8.15</v>
      </c>
      <c r="BP2145">
        <v>0</v>
      </c>
      <c r="BQ2145">
        <v>40.74</v>
      </c>
      <c r="BR2145">
        <v>12.25</v>
      </c>
      <c r="BS2145">
        <v>0.96</v>
      </c>
      <c r="BT2145">
        <v>0.34</v>
      </c>
      <c r="BU2145">
        <v>5.44</v>
      </c>
      <c r="BV2145">
        <v>1.62</v>
      </c>
      <c r="BW2145">
        <v>3.24</v>
      </c>
      <c r="BX2145">
        <v>4.8899999999999997</v>
      </c>
      <c r="BY2145">
        <v>7.75</v>
      </c>
      <c r="BZ2145">
        <v>5.29</v>
      </c>
      <c r="CA2145">
        <v>0.84</v>
      </c>
      <c r="CB2145">
        <v>-0.02</v>
      </c>
      <c r="CC2145">
        <v>0.83</v>
      </c>
      <c r="CD2145">
        <v>0.73</v>
      </c>
      <c r="CE2145">
        <v>0.73</v>
      </c>
      <c r="CF2145">
        <v>0.76</v>
      </c>
      <c r="CG2145">
        <v>2.1800000000000002</v>
      </c>
      <c r="CH2145">
        <v>0.54</v>
      </c>
      <c r="CI2145">
        <v>4.7300000000000004</v>
      </c>
      <c r="CJ2145">
        <v>14633</v>
      </c>
      <c r="CK2145">
        <v>1367</v>
      </c>
      <c r="CL2145" t="s">
        <v>937</v>
      </c>
      <c r="CM2145">
        <v>0</v>
      </c>
      <c r="CN2145">
        <v>0</v>
      </c>
      <c r="CO2145">
        <v>3.98</v>
      </c>
      <c r="CP2145">
        <v>60.45</v>
      </c>
      <c r="CQ2145">
        <v>4.1900000000000004</v>
      </c>
      <c r="CR2145">
        <v>2.46</v>
      </c>
      <c r="CS2145" t="s">
        <v>2697</v>
      </c>
      <c r="CT2145">
        <v>10.19</v>
      </c>
      <c r="CU2145">
        <v>0</v>
      </c>
      <c r="CV2145">
        <v>6.11</v>
      </c>
      <c r="CW2145">
        <v>2.73</v>
      </c>
      <c r="CX2145">
        <v>0.67</v>
      </c>
      <c r="CY2145">
        <v>59.26</v>
      </c>
      <c r="CZ2145" t="s">
        <v>8146</v>
      </c>
      <c r="DA2145">
        <v>31.8</v>
      </c>
      <c r="DB2145">
        <v>10.88</v>
      </c>
      <c r="DC2145">
        <v>9.39</v>
      </c>
      <c r="DD2145">
        <v>0.28999999999999998</v>
      </c>
      <c r="DE2145">
        <v>662</v>
      </c>
      <c r="DF2145">
        <v>300763</v>
      </c>
      <c r="DG2145" t="s">
        <v>116</v>
      </c>
      <c r="DH2145" t="s">
        <v>116</v>
      </c>
      <c r="DI2145" t="s">
        <v>116</v>
      </c>
    </row>
    <row r="2146" spans="1:113" x14ac:dyDescent="0.4">
      <c r="A2146" t="str">
        <f>"300765"</f>
        <v>300765</v>
      </c>
      <c r="B2146" t="s">
        <v>10341</v>
      </c>
      <c r="C2146">
        <v>1.45</v>
      </c>
      <c r="D2146">
        <v>35.049999999999997</v>
      </c>
      <c r="E2146">
        <v>0.5</v>
      </c>
      <c r="F2146">
        <v>35.04</v>
      </c>
      <c r="G2146">
        <v>35.049999999999997</v>
      </c>
      <c r="H2146">
        <v>19071</v>
      </c>
      <c r="I2146">
        <v>177</v>
      </c>
      <c r="J2146">
        <v>-0.08</v>
      </c>
      <c r="K2146">
        <v>3.81</v>
      </c>
      <c r="L2146">
        <v>34.549999999999997</v>
      </c>
      <c r="M2146">
        <v>35.44</v>
      </c>
      <c r="N2146">
        <v>34.51</v>
      </c>
      <c r="O2146">
        <v>34.549999999999997</v>
      </c>
      <c r="P2146">
        <v>24.65</v>
      </c>
      <c r="Q2146">
        <v>66761144</v>
      </c>
      <c r="R2146">
        <v>2.56</v>
      </c>
      <c r="S2146" t="s">
        <v>863</v>
      </c>
      <c r="T2146" t="s">
        <v>608</v>
      </c>
      <c r="U2146">
        <v>2.69</v>
      </c>
      <c r="V2146">
        <v>35.01</v>
      </c>
      <c r="W2146">
        <v>8567</v>
      </c>
      <c r="X2146">
        <v>10504</v>
      </c>
      <c r="Y2146">
        <v>0.82</v>
      </c>
      <c r="Z2146">
        <v>9</v>
      </c>
      <c r="AA2146">
        <v>16</v>
      </c>
      <c r="AB2146" t="s">
        <v>116</v>
      </c>
      <c r="AC2146">
        <v>51800</v>
      </c>
      <c r="AD2146">
        <v>0</v>
      </c>
      <c r="AE2146" t="s">
        <v>116</v>
      </c>
      <c r="AF2146" t="s">
        <v>116</v>
      </c>
      <c r="AG2146">
        <v>0.5</v>
      </c>
      <c r="AH2146" t="s">
        <v>10342</v>
      </c>
      <c r="AI2146" t="s">
        <v>10343</v>
      </c>
      <c r="AJ2146">
        <v>2.13</v>
      </c>
      <c r="AK2146">
        <v>1460</v>
      </c>
      <c r="AL2146">
        <v>13</v>
      </c>
      <c r="AM2146">
        <v>2.5999999999999999E-3</v>
      </c>
      <c r="AN2146">
        <v>2</v>
      </c>
      <c r="AO2146">
        <v>1.56</v>
      </c>
      <c r="AP2146">
        <v>4.07</v>
      </c>
      <c r="AQ2146">
        <v>-5.35</v>
      </c>
      <c r="AR2146">
        <v>43.24</v>
      </c>
      <c r="AS2146">
        <v>3.81</v>
      </c>
      <c r="AT2146" t="s">
        <v>10342</v>
      </c>
      <c r="AU2146">
        <v>26.31</v>
      </c>
      <c r="AV2146">
        <v>31.32</v>
      </c>
      <c r="AW2146">
        <v>0.68</v>
      </c>
      <c r="BA2146">
        <v>0</v>
      </c>
      <c r="BB2146">
        <v>2.58</v>
      </c>
      <c r="BC2146">
        <v>-0.12</v>
      </c>
      <c r="BD2146">
        <v>1.32</v>
      </c>
      <c r="BE2146">
        <v>1.45</v>
      </c>
      <c r="BF2146">
        <v>-1.1000000000000001</v>
      </c>
      <c r="BG2146">
        <v>1.56</v>
      </c>
      <c r="BH2146">
        <v>0.13</v>
      </c>
      <c r="BI2146">
        <v>20191224</v>
      </c>
      <c r="BJ2146">
        <v>20190322</v>
      </c>
      <c r="BK2146">
        <v>2</v>
      </c>
      <c r="BL2146" t="s">
        <v>116</v>
      </c>
      <c r="BM2146" t="s">
        <v>116</v>
      </c>
      <c r="BN2146">
        <v>26.7</v>
      </c>
      <c r="BO2146">
        <v>23.46</v>
      </c>
      <c r="BP2146">
        <v>0.09</v>
      </c>
      <c r="BQ2146">
        <v>11.78</v>
      </c>
      <c r="BR2146">
        <v>19.34</v>
      </c>
      <c r="BS2146">
        <v>5.18</v>
      </c>
      <c r="BT2146">
        <v>0.57999999999999996</v>
      </c>
      <c r="BU2146">
        <v>2.77</v>
      </c>
      <c r="BV2146">
        <v>1.48</v>
      </c>
      <c r="BW2146">
        <v>1.77</v>
      </c>
      <c r="BX2146">
        <v>11.02</v>
      </c>
      <c r="BY2146">
        <v>9.6</v>
      </c>
      <c r="BZ2146">
        <v>4.5999999999999996</v>
      </c>
      <c r="CA2146">
        <v>2.65</v>
      </c>
      <c r="CB2146">
        <v>0.04</v>
      </c>
      <c r="CC2146">
        <v>2.64</v>
      </c>
      <c r="CD2146">
        <v>2.14</v>
      </c>
      <c r="CE2146">
        <v>2.13</v>
      </c>
      <c r="CF2146">
        <v>1.99</v>
      </c>
      <c r="CG2146">
        <v>9.56</v>
      </c>
      <c r="CH2146">
        <v>1.89</v>
      </c>
      <c r="CI2146">
        <v>2.2000000000000002</v>
      </c>
      <c r="CJ2146">
        <v>27830</v>
      </c>
      <c r="CK2146">
        <v>1797</v>
      </c>
      <c r="CL2146" t="s">
        <v>7056</v>
      </c>
      <c r="CM2146">
        <v>0</v>
      </c>
      <c r="CN2146">
        <v>0</v>
      </c>
      <c r="CO2146">
        <v>2.99</v>
      </c>
      <c r="CP2146">
        <v>37.18</v>
      </c>
      <c r="CQ2146">
        <v>7.3</v>
      </c>
      <c r="CR2146">
        <v>0</v>
      </c>
      <c r="CS2146" t="s">
        <v>9482</v>
      </c>
      <c r="CT2146">
        <v>11.73</v>
      </c>
      <c r="CU2146">
        <v>0</v>
      </c>
      <c r="CV2146">
        <v>5.51</v>
      </c>
      <c r="CW2146">
        <v>4.78</v>
      </c>
      <c r="CX2146">
        <v>0.94</v>
      </c>
      <c r="CY2146">
        <v>87.89</v>
      </c>
      <c r="CZ2146" t="s">
        <v>1678</v>
      </c>
      <c r="DA2146">
        <v>52.12</v>
      </c>
      <c r="DB2146">
        <v>27.63</v>
      </c>
      <c r="DC2146">
        <v>22.22</v>
      </c>
      <c r="DD2146">
        <v>0.09</v>
      </c>
      <c r="DE2146">
        <v>1567</v>
      </c>
      <c r="DF2146">
        <v>300765</v>
      </c>
      <c r="DG2146" t="s">
        <v>116</v>
      </c>
      <c r="DH2146" t="s">
        <v>116</v>
      </c>
      <c r="DI2146" t="s">
        <v>116</v>
      </c>
    </row>
    <row r="2147" spans="1:113" x14ac:dyDescent="0.4">
      <c r="A2147" t="str">
        <f>"300766"</f>
        <v>300766</v>
      </c>
      <c r="B2147" t="s">
        <v>10344</v>
      </c>
      <c r="C2147">
        <v>-3.02</v>
      </c>
      <c r="D2147">
        <v>33.770000000000003</v>
      </c>
      <c r="E2147">
        <v>-1.05</v>
      </c>
      <c r="F2147">
        <v>33.75</v>
      </c>
      <c r="G2147">
        <v>33.770000000000003</v>
      </c>
      <c r="H2147">
        <v>18669</v>
      </c>
      <c r="I2147">
        <v>346</v>
      </c>
      <c r="J2147">
        <v>-0.02</v>
      </c>
      <c r="K2147">
        <v>4.66</v>
      </c>
      <c r="L2147">
        <v>34.74</v>
      </c>
      <c r="M2147">
        <v>34.74</v>
      </c>
      <c r="N2147">
        <v>33.71</v>
      </c>
      <c r="O2147">
        <v>34.82</v>
      </c>
      <c r="P2147">
        <v>86.07</v>
      </c>
      <c r="Q2147">
        <v>63753240</v>
      </c>
      <c r="R2147">
        <v>1.5</v>
      </c>
      <c r="S2147" t="s">
        <v>1384</v>
      </c>
      <c r="T2147" t="s">
        <v>590</v>
      </c>
      <c r="U2147">
        <v>2.96</v>
      </c>
      <c r="V2147">
        <v>34.15</v>
      </c>
      <c r="W2147">
        <v>12406</v>
      </c>
      <c r="X2147">
        <v>6263</v>
      </c>
      <c r="Y2147">
        <v>1.98</v>
      </c>
      <c r="Z2147">
        <v>31</v>
      </c>
      <c r="AA2147">
        <v>27</v>
      </c>
      <c r="AB2147" t="s">
        <v>116</v>
      </c>
      <c r="AC2147">
        <v>371700</v>
      </c>
      <c r="AD2147">
        <v>0.03</v>
      </c>
      <c r="AE2147" t="s">
        <v>116</v>
      </c>
      <c r="AF2147" t="s">
        <v>116</v>
      </c>
      <c r="AG2147">
        <v>0.4</v>
      </c>
      <c r="AH2147" t="s">
        <v>819</v>
      </c>
      <c r="AI2147" t="s">
        <v>10345</v>
      </c>
      <c r="AJ2147">
        <v>-2.34</v>
      </c>
      <c r="AK2147">
        <v>1768</v>
      </c>
      <c r="AL2147">
        <v>11</v>
      </c>
      <c r="AM2147">
        <v>2.5999999999999999E-3</v>
      </c>
      <c r="AN2147">
        <v>-1</v>
      </c>
      <c r="AO2147">
        <v>1.1000000000000001</v>
      </c>
      <c r="AP2147">
        <v>6.7</v>
      </c>
      <c r="AQ2147">
        <v>-12.67</v>
      </c>
      <c r="AR2147">
        <v>158.18</v>
      </c>
      <c r="AS2147">
        <v>4.66</v>
      </c>
      <c r="AT2147" t="s">
        <v>819</v>
      </c>
      <c r="AU2147">
        <v>76.489999999999995</v>
      </c>
      <c r="AV2147">
        <v>54.31</v>
      </c>
      <c r="AW2147">
        <v>1.71</v>
      </c>
      <c r="BA2147">
        <v>-0.23</v>
      </c>
      <c r="BB2147">
        <v>-0.23</v>
      </c>
      <c r="BC2147">
        <v>-3.19</v>
      </c>
      <c r="BD2147">
        <v>-1.92</v>
      </c>
      <c r="BE2147">
        <v>-2.79</v>
      </c>
      <c r="BF2147">
        <v>-2.79</v>
      </c>
      <c r="BG2147">
        <v>0.18</v>
      </c>
      <c r="BH2147">
        <v>-1.0900000000000001</v>
      </c>
      <c r="BI2147">
        <v>20191028</v>
      </c>
      <c r="BJ2147">
        <v>20190325</v>
      </c>
      <c r="BK2147">
        <v>4</v>
      </c>
      <c r="BL2147" t="s">
        <v>116</v>
      </c>
      <c r="BM2147" t="s">
        <v>116</v>
      </c>
      <c r="BN2147">
        <v>17.72</v>
      </c>
      <c r="BO2147">
        <v>16.98</v>
      </c>
      <c r="BP2147">
        <v>7.0000000000000007E-2</v>
      </c>
      <c r="BQ2147">
        <v>3.77</v>
      </c>
      <c r="BR2147">
        <v>16.260000000000002</v>
      </c>
      <c r="BS2147">
        <v>0.53</v>
      </c>
      <c r="BT2147">
        <v>0.04</v>
      </c>
      <c r="BU2147">
        <v>0.65</v>
      </c>
      <c r="BV2147">
        <v>0.04</v>
      </c>
      <c r="BW2147">
        <v>1.98</v>
      </c>
      <c r="BX2147">
        <v>8</v>
      </c>
      <c r="BY2147">
        <v>3.67</v>
      </c>
      <c r="BZ2147">
        <v>0.91</v>
      </c>
      <c r="CA2147">
        <v>1.32</v>
      </c>
      <c r="CB2147">
        <v>0.15</v>
      </c>
      <c r="CC2147">
        <v>1.32</v>
      </c>
      <c r="CD2147">
        <v>1.21</v>
      </c>
      <c r="CE2147">
        <v>1.18</v>
      </c>
      <c r="CF2147">
        <v>0.99</v>
      </c>
      <c r="CG2147">
        <v>4.55</v>
      </c>
      <c r="CH2147">
        <v>-0.86</v>
      </c>
      <c r="CI2147">
        <v>-7.73</v>
      </c>
      <c r="CJ2147">
        <v>17467</v>
      </c>
      <c r="CK2147">
        <v>2296</v>
      </c>
      <c r="CL2147" t="s">
        <v>7918</v>
      </c>
      <c r="CM2147">
        <v>0</v>
      </c>
      <c r="CN2147">
        <v>0</v>
      </c>
      <c r="CO2147">
        <v>7.96</v>
      </c>
      <c r="CP2147">
        <v>-157.94</v>
      </c>
      <c r="CQ2147">
        <v>36.79</v>
      </c>
      <c r="CR2147">
        <v>0</v>
      </c>
      <c r="CS2147" t="s">
        <v>4088</v>
      </c>
      <c r="CT2147">
        <v>4.24</v>
      </c>
      <c r="CU2147">
        <v>0</v>
      </c>
      <c r="CV2147">
        <v>2</v>
      </c>
      <c r="CW2147">
        <v>1.1399999999999999</v>
      </c>
      <c r="CX2147">
        <v>-0.21</v>
      </c>
      <c r="CY2147">
        <v>95.83</v>
      </c>
      <c r="CZ2147" t="s">
        <v>3792</v>
      </c>
      <c r="DA2147">
        <v>75.19</v>
      </c>
      <c r="DB2147">
        <v>35.909999999999997</v>
      </c>
      <c r="DC2147">
        <v>32.06</v>
      </c>
      <c r="DD2147">
        <v>0.83</v>
      </c>
      <c r="DE2147">
        <v>493</v>
      </c>
      <c r="DF2147">
        <v>300766</v>
      </c>
      <c r="DG2147" t="s">
        <v>116</v>
      </c>
      <c r="DH2147" t="s">
        <v>116</v>
      </c>
      <c r="DI2147" t="s">
        <v>116</v>
      </c>
    </row>
    <row r="2148" spans="1:113" x14ac:dyDescent="0.4">
      <c r="A2148" t="str">
        <f>"300767"</f>
        <v>300767</v>
      </c>
      <c r="B2148" t="s">
        <v>10346</v>
      </c>
      <c r="C2148">
        <v>-5.38</v>
      </c>
      <c r="D2148">
        <v>61.25</v>
      </c>
      <c r="E2148">
        <v>-3.48</v>
      </c>
      <c r="F2148">
        <v>61.25</v>
      </c>
      <c r="G2148">
        <v>61.29</v>
      </c>
      <c r="H2148">
        <v>18751</v>
      </c>
      <c r="I2148">
        <v>301</v>
      </c>
      <c r="J2148">
        <v>-0.23</v>
      </c>
      <c r="K2148">
        <v>9.3800000000000008</v>
      </c>
      <c r="L2148">
        <v>65.34</v>
      </c>
      <c r="M2148">
        <v>65.97</v>
      </c>
      <c r="N2148">
        <v>60.25</v>
      </c>
      <c r="O2148">
        <v>64.73</v>
      </c>
      <c r="P2148">
        <v>54.35</v>
      </c>
      <c r="Q2148">
        <v>117522520</v>
      </c>
      <c r="R2148">
        <v>1.24</v>
      </c>
      <c r="S2148" t="s">
        <v>2541</v>
      </c>
      <c r="T2148" t="s">
        <v>1043</v>
      </c>
      <c r="U2148">
        <v>8.84</v>
      </c>
      <c r="V2148">
        <v>62.67</v>
      </c>
      <c r="W2148">
        <v>12608</v>
      </c>
      <c r="X2148">
        <v>6143</v>
      </c>
      <c r="Y2148">
        <v>2.0499999999999998</v>
      </c>
      <c r="Z2148">
        <v>26</v>
      </c>
      <c r="AA2148">
        <v>1</v>
      </c>
      <c r="AB2148" t="s">
        <v>116</v>
      </c>
      <c r="AC2148">
        <v>771000</v>
      </c>
      <c r="AD2148">
        <v>0.06</v>
      </c>
      <c r="AE2148" t="s">
        <v>116</v>
      </c>
      <c r="AF2148" t="s">
        <v>116</v>
      </c>
      <c r="AG2148">
        <v>0.2</v>
      </c>
      <c r="AH2148" t="s">
        <v>1274</v>
      </c>
      <c r="AI2148" t="s">
        <v>8340</v>
      </c>
      <c r="AJ2148">
        <v>-4.7</v>
      </c>
      <c r="AK2148">
        <v>1738</v>
      </c>
      <c r="AL2148">
        <v>11</v>
      </c>
      <c r="AM2148">
        <v>5.4000000000000003E-3</v>
      </c>
      <c r="AN2148">
        <v>-1</v>
      </c>
      <c r="AO2148">
        <v>-5.12</v>
      </c>
      <c r="AP2148">
        <v>24.24</v>
      </c>
      <c r="AQ2148">
        <v>36.229999999999997</v>
      </c>
      <c r="AR2148">
        <v>219.18</v>
      </c>
      <c r="AS2148">
        <v>9.3800000000000008</v>
      </c>
      <c r="AT2148" t="s">
        <v>1274</v>
      </c>
      <c r="AU2148">
        <v>52.16</v>
      </c>
      <c r="AV2148">
        <v>42.82</v>
      </c>
      <c r="AW2148">
        <v>0.77</v>
      </c>
      <c r="BA2148">
        <v>0.94</v>
      </c>
      <c r="BB2148">
        <v>1.92</v>
      </c>
      <c r="BC2148">
        <v>-6.92</v>
      </c>
      <c r="BD2148">
        <v>-3.18</v>
      </c>
      <c r="BE2148">
        <v>-6.26</v>
      </c>
      <c r="BF2148">
        <v>-7.15</v>
      </c>
      <c r="BG2148">
        <v>1.66</v>
      </c>
      <c r="BH2148">
        <v>-2.2000000000000002</v>
      </c>
      <c r="BI2148">
        <v>20191030</v>
      </c>
      <c r="BJ2148">
        <v>20190329</v>
      </c>
      <c r="BK2148">
        <v>0.8</v>
      </c>
      <c r="BL2148" t="s">
        <v>116</v>
      </c>
      <c r="BM2148" t="s">
        <v>116</v>
      </c>
      <c r="BN2148">
        <v>10.92</v>
      </c>
      <c r="BO2148">
        <v>9.44</v>
      </c>
      <c r="BP2148">
        <v>0</v>
      </c>
      <c r="BQ2148">
        <v>13.58</v>
      </c>
      <c r="BR2148">
        <v>9.3000000000000007</v>
      </c>
      <c r="BS2148">
        <v>0.85</v>
      </c>
      <c r="BT2148">
        <v>0.06</v>
      </c>
      <c r="BU2148">
        <v>1.42</v>
      </c>
      <c r="BV2148">
        <v>1.32</v>
      </c>
      <c r="BW2148">
        <v>2.88</v>
      </c>
      <c r="BX2148">
        <v>4.8600000000000003</v>
      </c>
      <c r="BY2148">
        <v>2.89</v>
      </c>
      <c r="BZ2148">
        <v>1.28</v>
      </c>
      <c r="CA2148">
        <v>0.79</v>
      </c>
      <c r="CB2148">
        <v>0.01</v>
      </c>
      <c r="CC2148">
        <v>0.8</v>
      </c>
      <c r="CD2148">
        <v>0.68</v>
      </c>
      <c r="CE2148">
        <v>0.68</v>
      </c>
      <c r="CF2148">
        <v>0.64</v>
      </c>
      <c r="CG2148">
        <v>3.46</v>
      </c>
      <c r="CH2148">
        <v>-0.82</v>
      </c>
      <c r="CI2148">
        <v>2.19</v>
      </c>
      <c r="CJ2148">
        <v>10132</v>
      </c>
      <c r="CK2148">
        <v>1974</v>
      </c>
      <c r="CL2148" t="s">
        <v>813</v>
      </c>
      <c r="CM2148">
        <v>0</v>
      </c>
      <c r="CN2148">
        <v>0</v>
      </c>
      <c r="CO2148">
        <v>5.19</v>
      </c>
      <c r="CP2148">
        <v>-60.03</v>
      </c>
      <c r="CQ2148">
        <v>16.940000000000001</v>
      </c>
      <c r="CR2148">
        <v>0</v>
      </c>
      <c r="CS2148" t="s">
        <v>9741</v>
      </c>
      <c r="CT2148">
        <v>11.8</v>
      </c>
      <c r="CU2148">
        <v>0</v>
      </c>
      <c r="CV2148">
        <v>6.08</v>
      </c>
      <c r="CW2148">
        <v>4.32</v>
      </c>
      <c r="CX2148">
        <v>-1.02</v>
      </c>
      <c r="CY2148">
        <v>86.42</v>
      </c>
      <c r="CZ2148" t="s">
        <v>10347</v>
      </c>
      <c r="DA2148">
        <v>55.77</v>
      </c>
      <c r="DB2148">
        <v>27.37</v>
      </c>
      <c r="DC2148">
        <v>23.38</v>
      </c>
      <c r="DD2148">
        <v>0.08</v>
      </c>
      <c r="DE2148">
        <v>383</v>
      </c>
      <c r="DF2148">
        <v>300767</v>
      </c>
      <c r="DG2148" t="s">
        <v>116</v>
      </c>
      <c r="DH2148" t="s">
        <v>116</v>
      </c>
      <c r="DI2148" t="s">
        <v>116</v>
      </c>
    </row>
    <row r="2149" spans="1:113" x14ac:dyDescent="0.4">
      <c r="A2149" t="str">
        <f>"300768"</f>
        <v>300768</v>
      </c>
      <c r="B2149" t="s">
        <v>10348</v>
      </c>
      <c r="C2149">
        <v>-1.03</v>
      </c>
      <c r="D2149">
        <v>36.67</v>
      </c>
      <c r="E2149">
        <v>-0.38</v>
      </c>
      <c r="F2149">
        <v>36.659999999999997</v>
      </c>
      <c r="G2149">
        <v>36.67</v>
      </c>
      <c r="H2149">
        <v>21276</v>
      </c>
      <c r="I2149">
        <v>262</v>
      </c>
      <c r="J2149">
        <v>-0.04</v>
      </c>
      <c r="K2149">
        <v>5.32</v>
      </c>
      <c r="L2149">
        <v>37.01</v>
      </c>
      <c r="M2149">
        <v>37.520000000000003</v>
      </c>
      <c r="N2149">
        <v>36.6</v>
      </c>
      <c r="O2149">
        <v>37.049999999999997</v>
      </c>
      <c r="P2149">
        <v>69.819999999999993</v>
      </c>
      <c r="Q2149">
        <v>78721480</v>
      </c>
      <c r="R2149">
        <v>0.93</v>
      </c>
      <c r="S2149" t="s">
        <v>607</v>
      </c>
      <c r="T2149" t="s">
        <v>590</v>
      </c>
      <c r="U2149">
        <v>2.48</v>
      </c>
      <c r="V2149">
        <v>37</v>
      </c>
      <c r="W2149">
        <v>12764</v>
      </c>
      <c r="X2149">
        <v>8512</v>
      </c>
      <c r="Y2149">
        <v>1.5</v>
      </c>
      <c r="Z2149">
        <v>7</v>
      </c>
      <c r="AA2149">
        <v>32</v>
      </c>
      <c r="AB2149" t="s">
        <v>116</v>
      </c>
      <c r="AC2149">
        <v>196200</v>
      </c>
      <c r="AD2149">
        <v>0.01</v>
      </c>
      <c r="AE2149" t="s">
        <v>116</v>
      </c>
      <c r="AF2149" t="s">
        <v>116</v>
      </c>
      <c r="AG2149">
        <v>0.4</v>
      </c>
      <c r="AH2149" t="s">
        <v>10349</v>
      </c>
      <c r="AI2149" t="s">
        <v>10350</v>
      </c>
      <c r="AJ2149">
        <v>-0.35</v>
      </c>
      <c r="AK2149">
        <v>1990</v>
      </c>
      <c r="AL2149">
        <v>11</v>
      </c>
      <c r="AM2149">
        <v>2.7000000000000001E-3</v>
      </c>
      <c r="AN2149">
        <v>-1</v>
      </c>
      <c r="AO2149">
        <v>2.52</v>
      </c>
      <c r="AP2149">
        <v>9.99</v>
      </c>
      <c r="AQ2149">
        <v>-1.1599999999999999</v>
      </c>
      <c r="AR2149">
        <v>226.54</v>
      </c>
      <c r="AS2149">
        <v>5.32</v>
      </c>
      <c r="AT2149" t="s">
        <v>10349</v>
      </c>
      <c r="AU2149">
        <v>64.930000000000007</v>
      </c>
      <c r="AV2149">
        <v>72.97</v>
      </c>
      <c r="AW2149">
        <v>1.18</v>
      </c>
      <c r="BA2149">
        <v>-0.11</v>
      </c>
      <c r="BB2149">
        <v>1.27</v>
      </c>
      <c r="BC2149">
        <v>-1.21</v>
      </c>
      <c r="BD2149">
        <v>-0.13</v>
      </c>
      <c r="BE2149">
        <v>-0.92</v>
      </c>
      <c r="BF2149">
        <v>-2.27</v>
      </c>
      <c r="BG2149">
        <v>0.19</v>
      </c>
      <c r="BH2149">
        <v>-0.89</v>
      </c>
      <c r="BI2149">
        <v>20191029</v>
      </c>
      <c r="BJ2149">
        <v>20190412</v>
      </c>
      <c r="BK2149">
        <v>4</v>
      </c>
      <c r="BL2149" t="s">
        <v>116</v>
      </c>
      <c r="BM2149" t="s">
        <v>116</v>
      </c>
      <c r="BN2149">
        <v>19.649999999999999</v>
      </c>
      <c r="BO2149">
        <v>16.04</v>
      </c>
      <c r="BP2149">
        <v>0</v>
      </c>
      <c r="BQ2149">
        <v>18.39</v>
      </c>
      <c r="BR2149">
        <v>19.010000000000002</v>
      </c>
      <c r="BS2149">
        <v>0.2</v>
      </c>
      <c r="BT2149">
        <v>0.14000000000000001</v>
      </c>
      <c r="BU2149">
        <v>3.48</v>
      </c>
      <c r="BV2149">
        <v>1.78</v>
      </c>
      <c r="BW2149">
        <v>0.51</v>
      </c>
      <c r="BX2149">
        <v>6.83</v>
      </c>
      <c r="BY2149">
        <v>5.42</v>
      </c>
      <c r="BZ2149">
        <v>1.56</v>
      </c>
      <c r="CA2149">
        <v>1.74</v>
      </c>
      <c r="CB2149">
        <v>0</v>
      </c>
      <c r="CC2149">
        <v>1.74</v>
      </c>
      <c r="CD2149">
        <v>1.58</v>
      </c>
      <c r="CE2149">
        <v>1.58</v>
      </c>
      <c r="CF2149">
        <v>1.53</v>
      </c>
      <c r="CG2149">
        <v>4.84</v>
      </c>
      <c r="CH2149">
        <v>2.37</v>
      </c>
      <c r="CI2149">
        <v>6.21</v>
      </c>
      <c r="CJ2149">
        <v>20225</v>
      </c>
      <c r="CK2149">
        <v>1978</v>
      </c>
      <c r="CL2149" t="s">
        <v>1898</v>
      </c>
      <c r="CM2149">
        <v>0</v>
      </c>
      <c r="CN2149">
        <v>0</v>
      </c>
      <c r="CO2149">
        <v>9.15</v>
      </c>
      <c r="CP2149">
        <v>62.02</v>
      </c>
      <c r="CQ2149">
        <v>27.05</v>
      </c>
      <c r="CR2149">
        <v>0</v>
      </c>
      <c r="CS2149" t="s">
        <v>335</v>
      </c>
      <c r="CT2149">
        <v>4.01</v>
      </c>
      <c r="CU2149">
        <v>0</v>
      </c>
      <c r="CV2149">
        <v>1.71</v>
      </c>
      <c r="CW2149">
        <v>1.21</v>
      </c>
      <c r="CX2149">
        <v>0.59</v>
      </c>
      <c r="CY2149">
        <v>81.61</v>
      </c>
      <c r="CZ2149" t="s">
        <v>5386</v>
      </c>
      <c r="DA2149">
        <v>71.16</v>
      </c>
      <c r="DB2149">
        <v>32.06</v>
      </c>
      <c r="DC2149">
        <v>29.05</v>
      </c>
      <c r="DD2149">
        <v>1.2</v>
      </c>
      <c r="DE2149">
        <v>1094</v>
      </c>
      <c r="DF2149">
        <v>300768</v>
      </c>
      <c r="DG2149" t="s">
        <v>116</v>
      </c>
      <c r="DH2149" t="s">
        <v>116</v>
      </c>
      <c r="DI2149" t="s">
        <v>116</v>
      </c>
    </row>
    <row r="2150" spans="1:113" x14ac:dyDescent="0.4">
      <c r="A2150" t="str">
        <f>"300769"</f>
        <v>300769</v>
      </c>
      <c r="B2150" t="s">
        <v>10351</v>
      </c>
      <c r="C2150">
        <v>-1.4</v>
      </c>
      <c r="D2150">
        <v>109.8</v>
      </c>
      <c r="E2150">
        <v>-1.56</v>
      </c>
      <c r="F2150">
        <v>109.71</v>
      </c>
      <c r="G2150">
        <v>109.8</v>
      </c>
      <c r="H2150">
        <v>13174</v>
      </c>
      <c r="I2150">
        <v>361</v>
      </c>
      <c r="J2150">
        <v>-0.14000000000000001</v>
      </c>
      <c r="K2150">
        <v>12.32</v>
      </c>
      <c r="L2150">
        <v>112.8</v>
      </c>
      <c r="M2150">
        <v>116.7</v>
      </c>
      <c r="N2150">
        <v>108.28</v>
      </c>
      <c r="O2150">
        <v>111.36</v>
      </c>
      <c r="P2150">
        <v>55.03</v>
      </c>
      <c r="Q2150">
        <v>148509008</v>
      </c>
      <c r="R2150">
        <v>0.96</v>
      </c>
      <c r="S2150" t="s">
        <v>891</v>
      </c>
      <c r="T2150" t="s">
        <v>115</v>
      </c>
      <c r="U2150">
        <v>7.56</v>
      </c>
      <c r="V2150">
        <v>112.73</v>
      </c>
      <c r="W2150">
        <v>6747</v>
      </c>
      <c r="X2150">
        <v>6427</v>
      </c>
      <c r="Y2150">
        <v>1.05</v>
      </c>
      <c r="Z2150">
        <v>1</v>
      </c>
      <c r="AA2150">
        <v>288</v>
      </c>
      <c r="AB2150" t="s">
        <v>116</v>
      </c>
      <c r="AC2150">
        <v>1669400</v>
      </c>
      <c r="AD2150">
        <v>0.14000000000000001</v>
      </c>
      <c r="AE2150" t="s">
        <v>116</v>
      </c>
      <c r="AF2150" t="s">
        <v>116</v>
      </c>
      <c r="AG2150">
        <v>0.11</v>
      </c>
      <c r="AH2150" t="s">
        <v>3490</v>
      </c>
      <c r="AI2150" t="s">
        <v>10352</v>
      </c>
      <c r="AJ2150">
        <v>-0.72</v>
      </c>
      <c r="AK2150">
        <v>2088</v>
      </c>
      <c r="AL2150">
        <v>6</v>
      </c>
      <c r="AM2150">
        <v>5.8999999999999999E-3</v>
      </c>
      <c r="AN2150">
        <v>-2</v>
      </c>
      <c r="AO2150">
        <v>7.79</v>
      </c>
      <c r="AP2150">
        <v>20.89</v>
      </c>
      <c r="AQ2150">
        <v>20.73</v>
      </c>
      <c r="AR2150">
        <v>169.25</v>
      </c>
      <c r="AS2150">
        <v>12.32</v>
      </c>
      <c r="AT2150" t="s">
        <v>3490</v>
      </c>
      <c r="AU2150">
        <v>46.82</v>
      </c>
      <c r="AV2150">
        <v>47.84</v>
      </c>
      <c r="AW2150">
        <v>0.86</v>
      </c>
      <c r="BA2150">
        <v>1.29</v>
      </c>
      <c r="BB2150">
        <v>4.8</v>
      </c>
      <c r="BC2150">
        <v>-2.77</v>
      </c>
      <c r="BD2150">
        <v>1.23</v>
      </c>
      <c r="BE2150">
        <v>-2.66</v>
      </c>
      <c r="BF2150">
        <v>-5.91</v>
      </c>
      <c r="BG2150">
        <v>1.4</v>
      </c>
      <c r="BH2150">
        <v>-2.63</v>
      </c>
      <c r="BI2150">
        <v>20191212</v>
      </c>
      <c r="BJ2150">
        <v>20190415</v>
      </c>
      <c r="BK2150">
        <v>0.43</v>
      </c>
      <c r="BL2150" t="s">
        <v>116</v>
      </c>
      <c r="BM2150" t="s">
        <v>116</v>
      </c>
      <c r="BN2150">
        <v>15.3</v>
      </c>
      <c r="BO2150">
        <v>9.5500000000000007</v>
      </c>
      <c r="BP2150">
        <v>0</v>
      </c>
      <c r="BQ2150">
        <v>37.61</v>
      </c>
      <c r="BR2150">
        <v>9.16</v>
      </c>
      <c r="BS2150">
        <v>3.14</v>
      </c>
      <c r="BT2150">
        <v>1.03</v>
      </c>
      <c r="BU2150">
        <v>5.0599999999999996</v>
      </c>
      <c r="BV2150">
        <v>1.23</v>
      </c>
      <c r="BW2150">
        <v>2.29</v>
      </c>
      <c r="BX2150">
        <v>5.05</v>
      </c>
      <c r="BY2150">
        <v>7.4</v>
      </c>
      <c r="BZ2150">
        <v>5.75</v>
      </c>
      <c r="CA2150">
        <v>0.73</v>
      </c>
      <c r="CB2150">
        <v>0.02</v>
      </c>
      <c r="CC2150">
        <v>0.71</v>
      </c>
      <c r="CD2150">
        <v>0.64</v>
      </c>
      <c r="CE2150">
        <v>0.64</v>
      </c>
      <c r="CF2150">
        <v>0.48</v>
      </c>
      <c r="CG2150">
        <v>3.96</v>
      </c>
      <c r="CH2150">
        <v>1.5</v>
      </c>
      <c r="CI2150">
        <v>2.16</v>
      </c>
      <c r="CJ2150">
        <v>9557</v>
      </c>
      <c r="CK2150">
        <v>1119</v>
      </c>
      <c r="CL2150" t="s">
        <v>6372</v>
      </c>
      <c r="CM2150">
        <v>0</v>
      </c>
      <c r="CN2150">
        <v>0</v>
      </c>
      <c r="CO2150">
        <v>4.92</v>
      </c>
      <c r="CP2150">
        <v>31.36</v>
      </c>
      <c r="CQ2150">
        <v>6.34</v>
      </c>
      <c r="CR2150">
        <v>0.91</v>
      </c>
      <c r="CS2150" t="s">
        <v>10353</v>
      </c>
      <c r="CT2150">
        <v>22.33</v>
      </c>
      <c r="CU2150">
        <v>0</v>
      </c>
      <c r="CV2150">
        <v>11.81</v>
      </c>
      <c r="CW2150">
        <v>9.27</v>
      </c>
      <c r="CX2150">
        <v>3.5</v>
      </c>
      <c r="CY2150">
        <v>62.39</v>
      </c>
      <c r="CZ2150" t="s">
        <v>10354</v>
      </c>
      <c r="DA2150">
        <v>22.29</v>
      </c>
      <c r="DB2150">
        <v>9.84</v>
      </c>
      <c r="DC2150">
        <v>8.64</v>
      </c>
      <c r="DD2150">
        <v>0.36</v>
      </c>
      <c r="DE2150">
        <v>862</v>
      </c>
      <c r="DF2150">
        <v>300769</v>
      </c>
      <c r="DG2150" t="s">
        <v>116</v>
      </c>
      <c r="DH2150" t="s">
        <v>116</v>
      </c>
      <c r="DI2150" t="s">
        <v>116</v>
      </c>
    </row>
    <row r="2151" spans="1:113" x14ac:dyDescent="0.4">
      <c r="A2151" t="str">
        <f>"300770"</f>
        <v>300770</v>
      </c>
      <c r="B2151" t="s">
        <v>10355</v>
      </c>
      <c r="C2151">
        <v>-1.43</v>
      </c>
      <c r="D2151">
        <v>122.72</v>
      </c>
      <c r="E2151">
        <v>-1.78</v>
      </c>
      <c r="F2151">
        <v>122.72</v>
      </c>
      <c r="G2151">
        <v>122.75</v>
      </c>
      <c r="H2151">
        <v>9644</v>
      </c>
      <c r="I2151">
        <v>65</v>
      </c>
      <c r="J2151">
        <v>-0.46</v>
      </c>
      <c r="K2151">
        <v>3</v>
      </c>
      <c r="L2151">
        <v>124</v>
      </c>
      <c r="M2151">
        <v>127.37</v>
      </c>
      <c r="N2151">
        <v>121.77</v>
      </c>
      <c r="O2151">
        <v>124.5</v>
      </c>
      <c r="P2151">
        <v>42.64</v>
      </c>
      <c r="Q2151">
        <v>119550744</v>
      </c>
      <c r="R2151">
        <v>0.65</v>
      </c>
      <c r="S2151" t="s">
        <v>589</v>
      </c>
      <c r="T2151" t="s">
        <v>551</v>
      </c>
      <c r="U2151">
        <v>4.5</v>
      </c>
      <c r="V2151">
        <v>123.96</v>
      </c>
      <c r="W2151">
        <v>5863</v>
      </c>
      <c r="X2151">
        <v>3781</v>
      </c>
      <c r="Y2151">
        <v>1.55</v>
      </c>
      <c r="Z2151">
        <v>4</v>
      </c>
      <c r="AA2151">
        <v>1</v>
      </c>
      <c r="AB2151" t="s">
        <v>116</v>
      </c>
      <c r="AC2151">
        <v>421600</v>
      </c>
      <c r="AD2151">
        <v>0.01</v>
      </c>
      <c r="AE2151" t="s">
        <v>116</v>
      </c>
      <c r="AF2151" t="s">
        <v>116</v>
      </c>
      <c r="AG2151">
        <v>0.32</v>
      </c>
      <c r="AH2151" t="s">
        <v>9716</v>
      </c>
      <c r="AI2151" t="s">
        <v>10356</v>
      </c>
      <c r="AJ2151">
        <v>-0.75</v>
      </c>
      <c r="AK2151">
        <v>1862</v>
      </c>
      <c r="AL2151">
        <v>5</v>
      </c>
      <c r="AM2151">
        <v>1.6000000000000001E-3</v>
      </c>
      <c r="AN2151">
        <v>-2</v>
      </c>
      <c r="AO2151">
        <v>5.03</v>
      </c>
      <c r="AP2151">
        <v>9.17</v>
      </c>
      <c r="AQ2151">
        <v>37.46</v>
      </c>
      <c r="AR2151">
        <v>239.29</v>
      </c>
      <c r="AS2151">
        <v>3</v>
      </c>
      <c r="AT2151" t="s">
        <v>9716</v>
      </c>
      <c r="AU2151">
        <v>48.31</v>
      </c>
      <c r="AV2151">
        <v>76.77</v>
      </c>
      <c r="AW2151">
        <v>1.28</v>
      </c>
      <c r="BA2151">
        <v>-0.4</v>
      </c>
      <c r="BB2151">
        <v>2.31</v>
      </c>
      <c r="BC2151">
        <v>-2.19</v>
      </c>
      <c r="BD2151">
        <v>-0.43</v>
      </c>
      <c r="BE2151">
        <v>-1.03</v>
      </c>
      <c r="BF2151">
        <v>-3.65</v>
      </c>
      <c r="BG2151">
        <v>0.78</v>
      </c>
      <c r="BH2151">
        <v>-0.99</v>
      </c>
      <c r="BI2151">
        <v>20191223</v>
      </c>
      <c r="BJ2151">
        <v>20190419</v>
      </c>
      <c r="BK2151">
        <v>1.28</v>
      </c>
      <c r="BL2151" t="s">
        <v>116</v>
      </c>
      <c r="BM2151" t="s">
        <v>116</v>
      </c>
      <c r="BN2151">
        <v>27.36</v>
      </c>
      <c r="BO2151">
        <v>20.64</v>
      </c>
      <c r="BP2151">
        <v>0.01</v>
      </c>
      <c r="BQ2151">
        <v>24.52</v>
      </c>
      <c r="BR2151">
        <v>22.7</v>
      </c>
      <c r="BS2151">
        <v>1</v>
      </c>
      <c r="BT2151">
        <v>2.74</v>
      </c>
      <c r="BU2151">
        <v>6.48</v>
      </c>
      <c r="BV2151">
        <v>0</v>
      </c>
      <c r="BW2151">
        <v>2.86</v>
      </c>
      <c r="BX2151">
        <v>13.59</v>
      </c>
      <c r="BY2151">
        <v>7.29</v>
      </c>
      <c r="BZ2151">
        <v>3.34</v>
      </c>
      <c r="CA2151">
        <v>2.79</v>
      </c>
      <c r="CB2151">
        <v>-0.03</v>
      </c>
      <c r="CC2151">
        <v>2.8</v>
      </c>
      <c r="CD2151">
        <v>2.77</v>
      </c>
      <c r="CE2151">
        <v>2.77</v>
      </c>
      <c r="CF2151">
        <v>2.69</v>
      </c>
      <c r="CG2151">
        <v>5.41</v>
      </c>
      <c r="CH2151">
        <v>3.77</v>
      </c>
      <c r="CI2151">
        <v>12.5</v>
      </c>
      <c r="CJ2151">
        <v>11231</v>
      </c>
      <c r="CK2151">
        <v>2858</v>
      </c>
      <c r="CL2151" t="s">
        <v>10357</v>
      </c>
      <c r="CM2151">
        <v>0</v>
      </c>
      <c r="CN2151">
        <v>0</v>
      </c>
      <c r="CO2151">
        <v>7.63</v>
      </c>
      <c r="CP2151">
        <v>41.79</v>
      </c>
      <c r="CQ2151">
        <v>21.61</v>
      </c>
      <c r="CR2151">
        <v>0</v>
      </c>
      <c r="CS2151" t="s">
        <v>10358</v>
      </c>
      <c r="CT2151">
        <v>16.079999999999998</v>
      </c>
      <c r="CU2151">
        <v>0</v>
      </c>
      <c r="CV2151">
        <v>10.59</v>
      </c>
      <c r="CW2151">
        <v>4.22</v>
      </c>
      <c r="CX2151">
        <v>2.94</v>
      </c>
      <c r="CY2151">
        <v>75.44</v>
      </c>
      <c r="CZ2151" t="s">
        <v>10359</v>
      </c>
      <c r="DA2151">
        <v>54.21</v>
      </c>
      <c r="DB2151">
        <v>38.21</v>
      </c>
      <c r="DC2151">
        <v>38.01</v>
      </c>
      <c r="DD2151">
        <v>0.33</v>
      </c>
      <c r="DE2151">
        <v>317</v>
      </c>
      <c r="DF2151">
        <v>300770</v>
      </c>
      <c r="DG2151" t="s">
        <v>116</v>
      </c>
      <c r="DH2151" t="s">
        <v>116</v>
      </c>
      <c r="DI2151" t="s">
        <v>116</v>
      </c>
    </row>
    <row r="2152" spans="1:113" x14ac:dyDescent="0.4">
      <c r="A2152" t="str">
        <f>"300771"</f>
        <v>300771</v>
      </c>
      <c r="B2152" t="s">
        <v>10360</v>
      </c>
      <c r="C2152">
        <v>2.83</v>
      </c>
      <c r="D2152">
        <v>61</v>
      </c>
      <c r="E2152">
        <v>1.68</v>
      </c>
      <c r="F2152">
        <v>60.99</v>
      </c>
      <c r="G2152">
        <v>61</v>
      </c>
      <c r="H2152">
        <v>23522</v>
      </c>
      <c r="I2152">
        <v>372</v>
      </c>
      <c r="J2152">
        <v>7.0000000000000007E-2</v>
      </c>
      <c r="K2152">
        <v>9.41</v>
      </c>
      <c r="L2152">
        <v>59.32</v>
      </c>
      <c r="M2152">
        <v>62.5</v>
      </c>
      <c r="N2152">
        <v>58.86</v>
      </c>
      <c r="O2152">
        <v>59.32</v>
      </c>
      <c r="P2152">
        <v>20.53</v>
      </c>
      <c r="Q2152">
        <v>143342080</v>
      </c>
      <c r="R2152">
        <v>1.63</v>
      </c>
      <c r="S2152" t="s">
        <v>241</v>
      </c>
      <c r="T2152" t="s">
        <v>115</v>
      </c>
      <c r="U2152">
        <v>6.14</v>
      </c>
      <c r="V2152">
        <v>60.94</v>
      </c>
      <c r="W2152">
        <v>10490</v>
      </c>
      <c r="X2152">
        <v>13032</v>
      </c>
      <c r="Y2152">
        <v>0.8</v>
      </c>
      <c r="Z2152">
        <v>4</v>
      </c>
      <c r="AA2152">
        <v>129</v>
      </c>
      <c r="AB2152" t="s">
        <v>116</v>
      </c>
      <c r="AC2152">
        <v>77100</v>
      </c>
      <c r="AD2152">
        <v>0.01</v>
      </c>
      <c r="AE2152" t="s">
        <v>116</v>
      </c>
      <c r="AF2152" t="s">
        <v>116</v>
      </c>
      <c r="AG2152">
        <v>0.25</v>
      </c>
      <c r="AH2152" t="s">
        <v>3693</v>
      </c>
      <c r="AI2152" t="s">
        <v>5504</v>
      </c>
      <c r="AJ2152">
        <v>3.51</v>
      </c>
      <c r="AK2152">
        <v>2067</v>
      </c>
      <c r="AL2152">
        <v>11</v>
      </c>
      <c r="AM2152">
        <v>4.5999999999999999E-3</v>
      </c>
      <c r="AN2152">
        <v>4</v>
      </c>
      <c r="AO2152">
        <v>3.21</v>
      </c>
      <c r="AP2152">
        <v>13.17</v>
      </c>
      <c r="AQ2152">
        <v>0.98</v>
      </c>
      <c r="AR2152">
        <v>103.74</v>
      </c>
      <c r="AS2152">
        <v>9.41</v>
      </c>
      <c r="AT2152" t="s">
        <v>3693</v>
      </c>
      <c r="AU2152">
        <v>22.86</v>
      </c>
      <c r="AV2152">
        <v>28.87</v>
      </c>
      <c r="AW2152">
        <v>1.18</v>
      </c>
      <c r="BA2152">
        <v>0</v>
      </c>
      <c r="BB2152">
        <v>5.36</v>
      </c>
      <c r="BC2152">
        <v>-0.78</v>
      </c>
      <c r="BD2152">
        <v>2.73</v>
      </c>
      <c r="BE2152">
        <v>2.83</v>
      </c>
      <c r="BF2152">
        <v>-2.4</v>
      </c>
      <c r="BG2152">
        <v>3.64</v>
      </c>
      <c r="BH2152">
        <v>0.1</v>
      </c>
      <c r="BI2152">
        <v>20191211</v>
      </c>
      <c r="BJ2152">
        <v>20190422</v>
      </c>
      <c r="BK2152">
        <v>1</v>
      </c>
      <c r="BL2152" t="s">
        <v>116</v>
      </c>
      <c r="BM2152" t="s">
        <v>116</v>
      </c>
      <c r="BN2152">
        <v>17.71</v>
      </c>
      <c r="BO2152">
        <v>15.22</v>
      </c>
      <c r="BP2152">
        <v>0</v>
      </c>
      <c r="BQ2152">
        <v>14.05</v>
      </c>
      <c r="BR2152">
        <v>16.399999999999999</v>
      </c>
      <c r="BS2152">
        <v>0.93</v>
      </c>
      <c r="BT2152">
        <v>0.13</v>
      </c>
      <c r="BU2152">
        <v>2.4300000000000002</v>
      </c>
      <c r="BV2152">
        <v>2.85</v>
      </c>
      <c r="BW2152">
        <v>1.98</v>
      </c>
      <c r="BX2152">
        <v>8.32</v>
      </c>
      <c r="BY2152">
        <v>8.02</v>
      </c>
      <c r="BZ2152">
        <v>4.17</v>
      </c>
      <c r="CA2152">
        <v>2.65</v>
      </c>
      <c r="CB2152">
        <v>0.02</v>
      </c>
      <c r="CC2152">
        <v>2.65</v>
      </c>
      <c r="CD2152">
        <v>2.23</v>
      </c>
      <c r="CE2152">
        <v>2.23</v>
      </c>
      <c r="CF2152">
        <v>2.15</v>
      </c>
      <c r="CG2152">
        <v>5.53</v>
      </c>
      <c r="CH2152">
        <v>0.76</v>
      </c>
      <c r="CI2152">
        <v>2.2200000000000002</v>
      </c>
      <c r="CJ2152">
        <v>14475</v>
      </c>
      <c r="CK2152">
        <v>1727</v>
      </c>
      <c r="CL2152" t="s">
        <v>2573</v>
      </c>
      <c r="CM2152">
        <v>0</v>
      </c>
      <c r="CN2152">
        <v>0</v>
      </c>
      <c r="CO2152">
        <v>4.01</v>
      </c>
      <c r="CP2152">
        <v>80.55</v>
      </c>
      <c r="CQ2152">
        <v>7.61</v>
      </c>
      <c r="CR2152">
        <v>0.49</v>
      </c>
      <c r="CS2152" t="s">
        <v>10361</v>
      </c>
      <c r="CT2152">
        <v>15.22</v>
      </c>
      <c r="CU2152">
        <v>0</v>
      </c>
      <c r="CV2152">
        <v>8.32</v>
      </c>
      <c r="CW2152">
        <v>5.53</v>
      </c>
      <c r="CX2152">
        <v>0.76</v>
      </c>
      <c r="CY2152">
        <v>85.95</v>
      </c>
      <c r="CZ2152" t="s">
        <v>10362</v>
      </c>
      <c r="DA2152">
        <v>48.06</v>
      </c>
      <c r="DB2152">
        <v>33.03</v>
      </c>
      <c r="DC2152">
        <v>27.79</v>
      </c>
      <c r="DD2152">
        <v>0.39</v>
      </c>
      <c r="DE2152">
        <v>1918</v>
      </c>
      <c r="DF2152">
        <v>300771</v>
      </c>
      <c r="DG2152" t="s">
        <v>116</v>
      </c>
      <c r="DH2152" t="s">
        <v>116</v>
      </c>
      <c r="DI2152" t="s">
        <v>116</v>
      </c>
    </row>
    <row r="2153" spans="1:113" x14ac:dyDescent="0.4">
      <c r="A2153" t="str">
        <f>"300772"</f>
        <v>300772</v>
      </c>
      <c r="B2153" t="s">
        <v>10363</v>
      </c>
      <c r="C2153">
        <v>-1.17</v>
      </c>
      <c r="D2153">
        <v>16.93</v>
      </c>
      <c r="E2153">
        <v>-0.2</v>
      </c>
      <c r="F2153">
        <v>16.93</v>
      </c>
      <c r="G2153">
        <v>16.940000000000001</v>
      </c>
      <c r="H2153">
        <v>47682</v>
      </c>
      <c r="I2153">
        <v>2117</v>
      </c>
      <c r="J2153">
        <v>0.89</v>
      </c>
      <c r="K2153">
        <v>6.49</v>
      </c>
      <c r="L2153">
        <v>16.920000000000002</v>
      </c>
      <c r="M2153">
        <v>17.510000000000002</v>
      </c>
      <c r="N2153">
        <v>16.579999999999998</v>
      </c>
      <c r="O2153">
        <v>17.13</v>
      </c>
      <c r="P2153">
        <v>121.11</v>
      </c>
      <c r="Q2153">
        <v>80789600</v>
      </c>
      <c r="R2153">
        <v>0.85</v>
      </c>
      <c r="S2153" t="s">
        <v>397</v>
      </c>
      <c r="T2153" t="s">
        <v>590</v>
      </c>
      <c r="U2153">
        <v>5.43</v>
      </c>
      <c r="V2153">
        <v>16.940000000000001</v>
      </c>
      <c r="W2153">
        <v>26440</v>
      </c>
      <c r="X2153">
        <v>21242</v>
      </c>
      <c r="Y2153">
        <v>1.24</v>
      </c>
      <c r="Z2153">
        <v>493</v>
      </c>
      <c r="AA2153">
        <v>2</v>
      </c>
      <c r="AB2153" t="s">
        <v>116</v>
      </c>
      <c r="AC2153">
        <v>321500</v>
      </c>
      <c r="AD2153">
        <v>0.03</v>
      </c>
      <c r="AE2153" t="s">
        <v>116</v>
      </c>
      <c r="AF2153" t="s">
        <v>116</v>
      </c>
      <c r="AG2153">
        <v>0.73</v>
      </c>
      <c r="AH2153" t="s">
        <v>10364</v>
      </c>
      <c r="AI2153" t="s">
        <v>4884</v>
      </c>
      <c r="AJ2153">
        <v>-0.49</v>
      </c>
      <c r="AK2153">
        <v>2067</v>
      </c>
      <c r="AL2153">
        <v>23</v>
      </c>
      <c r="AM2153">
        <v>3.0999999999999999E-3</v>
      </c>
      <c r="AN2153">
        <v>-1</v>
      </c>
      <c r="AO2153">
        <v>6.28</v>
      </c>
      <c r="AP2153">
        <v>10.44</v>
      </c>
      <c r="AQ2153">
        <v>4.76</v>
      </c>
      <c r="AR2153">
        <v>159.66</v>
      </c>
      <c r="AS2153">
        <v>6.49</v>
      </c>
      <c r="AT2153" t="s">
        <v>10364</v>
      </c>
      <c r="AU2153">
        <v>23.44</v>
      </c>
      <c r="AV2153">
        <v>41.34</v>
      </c>
      <c r="AW2153">
        <v>1.59</v>
      </c>
      <c r="BA2153">
        <v>-1.23</v>
      </c>
      <c r="BB2153">
        <v>2.2200000000000002</v>
      </c>
      <c r="BC2153">
        <v>-3.21</v>
      </c>
      <c r="BD2153">
        <v>-1.0900000000000001</v>
      </c>
      <c r="BE2153">
        <v>0.06</v>
      </c>
      <c r="BF2153">
        <v>-3.31</v>
      </c>
      <c r="BG2153">
        <v>2.11</v>
      </c>
      <c r="BH2153">
        <v>-0.08</v>
      </c>
      <c r="BI2153">
        <v>20191028</v>
      </c>
      <c r="BJ2153">
        <v>20190426</v>
      </c>
      <c r="BK2153">
        <v>2.94</v>
      </c>
      <c r="BL2153" t="s">
        <v>116</v>
      </c>
      <c r="BM2153" t="s">
        <v>116</v>
      </c>
      <c r="BN2153">
        <v>98.01</v>
      </c>
      <c r="BO2153">
        <v>14.44</v>
      </c>
      <c r="BP2153">
        <v>0.04</v>
      </c>
      <c r="BQ2153">
        <v>85.23</v>
      </c>
      <c r="BR2153">
        <v>74.03</v>
      </c>
      <c r="BS2153">
        <v>5.43</v>
      </c>
      <c r="BT2153">
        <v>0.38</v>
      </c>
      <c r="BU2153">
        <v>76.09</v>
      </c>
      <c r="BV2153">
        <v>14.28</v>
      </c>
      <c r="BW2153">
        <v>29.08</v>
      </c>
      <c r="BX2153">
        <v>6.81</v>
      </c>
      <c r="BY2153">
        <v>27.08</v>
      </c>
      <c r="BZ2153">
        <v>23.01</v>
      </c>
      <c r="CA2153">
        <v>0.38</v>
      </c>
      <c r="CB2153">
        <v>7.0000000000000007E-2</v>
      </c>
      <c r="CC2153">
        <v>0.38</v>
      </c>
      <c r="CD2153">
        <v>0.31</v>
      </c>
      <c r="CE2153">
        <v>0.31</v>
      </c>
      <c r="CF2153">
        <v>0.06</v>
      </c>
      <c r="CG2153">
        <v>4.0999999999999996</v>
      </c>
      <c r="CH2153">
        <v>4.66</v>
      </c>
      <c r="CI2153">
        <v>8.1</v>
      </c>
      <c r="CJ2153">
        <v>30298</v>
      </c>
      <c r="CK2153">
        <v>2426</v>
      </c>
      <c r="CL2153" t="s">
        <v>221</v>
      </c>
      <c r="CM2153">
        <v>0</v>
      </c>
      <c r="CN2153">
        <v>0</v>
      </c>
      <c r="CO2153">
        <v>3.45</v>
      </c>
      <c r="CP2153">
        <v>10.67</v>
      </c>
      <c r="CQ2153">
        <v>1.84</v>
      </c>
      <c r="CR2153">
        <v>0</v>
      </c>
      <c r="CS2153" t="s">
        <v>505</v>
      </c>
      <c r="CT2153">
        <v>4.91</v>
      </c>
      <c r="CU2153">
        <v>0</v>
      </c>
      <c r="CV2153">
        <v>2.3199999999999998</v>
      </c>
      <c r="CW2153">
        <v>1.39</v>
      </c>
      <c r="CX2153">
        <v>1.59</v>
      </c>
      <c r="CY2153">
        <v>14.73</v>
      </c>
      <c r="CZ2153" t="s">
        <v>1939</v>
      </c>
      <c r="DA2153">
        <v>15.03</v>
      </c>
      <c r="DB2153">
        <v>1.4</v>
      </c>
      <c r="DC2153">
        <v>1.1399999999999999</v>
      </c>
      <c r="DD2153">
        <v>0.94</v>
      </c>
      <c r="DE2153">
        <v>1153</v>
      </c>
      <c r="DF2153">
        <v>300772</v>
      </c>
      <c r="DG2153" t="s">
        <v>116</v>
      </c>
      <c r="DH2153" t="s">
        <v>116</v>
      </c>
      <c r="DI2153" t="s">
        <v>116</v>
      </c>
    </row>
    <row r="2154" spans="1:113" x14ac:dyDescent="0.4">
      <c r="A2154" t="str">
        <f>"300773"</f>
        <v>300773</v>
      </c>
      <c r="B2154" t="s">
        <v>10365</v>
      </c>
      <c r="C2154">
        <v>10</v>
      </c>
      <c r="D2154">
        <v>66.75</v>
      </c>
      <c r="E2154">
        <v>6.07</v>
      </c>
      <c r="F2154">
        <v>66.75</v>
      </c>
      <c r="G2154" t="s">
        <v>116</v>
      </c>
      <c r="H2154">
        <v>2197</v>
      </c>
      <c r="I2154">
        <v>15</v>
      </c>
      <c r="J2154">
        <v>0</v>
      </c>
      <c r="K2154">
        <v>0.55000000000000004</v>
      </c>
      <c r="L2154">
        <v>60.68</v>
      </c>
      <c r="M2154">
        <v>66.75</v>
      </c>
      <c r="N2154">
        <v>60.68</v>
      </c>
      <c r="O2154">
        <v>60.68</v>
      </c>
      <c r="P2154">
        <v>32.5</v>
      </c>
      <c r="Q2154">
        <v>14535578</v>
      </c>
      <c r="R2154">
        <v>0.1</v>
      </c>
      <c r="S2154" t="s">
        <v>607</v>
      </c>
      <c r="T2154" t="s">
        <v>165</v>
      </c>
      <c r="U2154">
        <v>10</v>
      </c>
      <c r="V2154">
        <v>66.16</v>
      </c>
      <c r="W2154">
        <v>1908</v>
      </c>
      <c r="X2154">
        <v>289</v>
      </c>
      <c r="Y2154">
        <v>6.6</v>
      </c>
      <c r="Z2154">
        <v>91690</v>
      </c>
      <c r="AA2154">
        <v>0</v>
      </c>
      <c r="AB2154" t="s">
        <v>116</v>
      </c>
      <c r="AC2154">
        <v>0</v>
      </c>
      <c r="AD2154">
        <v>0</v>
      </c>
      <c r="AE2154">
        <v>41.73</v>
      </c>
      <c r="AF2154">
        <v>612030720</v>
      </c>
      <c r="AG2154">
        <v>0.4</v>
      </c>
      <c r="AH2154" t="s">
        <v>4781</v>
      </c>
      <c r="AI2154" t="s">
        <v>10366</v>
      </c>
      <c r="AJ2154">
        <v>10.68</v>
      </c>
      <c r="AK2154">
        <v>315</v>
      </c>
      <c r="AL2154">
        <v>7</v>
      </c>
      <c r="AM2154">
        <v>1.6999999999999999E-3</v>
      </c>
      <c r="AN2154">
        <v>4</v>
      </c>
      <c r="AO2154">
        <v>11.54</v>
      </c>
      <c r="AP2154">
        <v>39</v>
      </c>
      <c r="AQ2154">
        <v>8.11</v>
      </c>
      <c r="AR2154">
        <v>100.57</v>
      </c>
      <c r="AS2154">
        <v>0.55000000000000004</v>
      </c>
      <c r="AT2154" t="s">
        <v>4781</v>
      </c>
      <c r="AU2154">
        <v>36.57</v>
      </c>
      <c r="AV2154">
        <v>44.54</v>
      </c>
      <c r="AW2154">
        <v>1.84</v>
      </c>
      <c r="BA2154">
        <v>0</v>
      </c>
      <c r="BB2154">
        <v>10</v>
      </c>
      <c r="BC2154">
        <v>0</v>
      </c>
      <c r="BD2154">
        <v>9.0299999999999994</v>
      </c>
      <c r="BE2154">
        <v>10</v>
      </c>
      <c r="BF2154">
        <v>0</v>
      </c>
      <c r="BG2154">
        <v>10</v>
      </c>
      <c r="BH2154">
        <v>0.97</v>
      </c>
      <c r="BI2154">
        <v>20191023</v>
      </c>
      <c r="BJ2154">
        <v>20190425</v>
      </c>
      <c r="BK2154">
        <v>4</v>
      </c>
      <c r="BL2154" t="s">
        <v>116</v>
      </c>
      <c r="BM2154" t="s">
        <v>116</v>
      </c>
      <c r="BN2154">
        <v>105.77</v>
      </c>
      <c r="BO2154">
        <v>47.64</v>
      </c>
      <c r="BP2154">
        <v>0.26</v>
      </c>
      <c r="BQ2154">
        <v>54.71</v>
      </c>
      <c r="BR2154">
        <v>83.22</v>
      </c>
      <c r="BS2154">
        <v>12.31</v>
      </c>
      <c r="BT2154">
        <v>0.15</v>
      </c>
      <c r="BU2154">
        <v>57.71</v>
      </c>
      <c r="BV2154">
        <v>0.19</v>
      </c>
      <c r="BW2154">
        <v>2.13</v>
      </c>
      <c r="BX2154">
        <v>24.03</v>
      </c>
      <c r="BY2154">
        <v>36.9</v>
      </c>
      <c r="BZ2154">
        <v>20.27</v>
      </c>
      <c r="CA2154">
        <v>6.94</v>
      </c>
      <c r="CB2154">
        <v>-7.0000000000000007E-2</v>
      </c>
      <c r="CC2154">
        <v>7.16</v>
      </c>
      <c r="CD2154">
        <v>6.25</v>
      </c>
      <c r="CE2154">
        <v>6.16</v>
      </c>
      <c r="CF2154">
        <v>5.94</v>
      </c>
      <c r="CG2154">
        <v>17.899999999999999</v>
      </c>
      <c r="CH2154">
        <v>5.96</v>
      </c>
      <c r="CI2154">
        <v>13.19</v>
      </c>
      <c r="CJ2154">
        <v>23832</v>
      </c>
      <c r="CK2154">
        <v>1679</v>
      </c>
      <c r="CL2154" t="s">
        <v>10367</v>
      </c>
      <c r="CM2154">
        <v>0</v>
      </c>
      <c r="CN2154">
        <v>0</v>
      </c>
      <c r="CO2154">
        <v>5.61</v>
      </c>
      <c r="CP2154">
        <v>44.83</v>
      </c>
      <c r="CQ2154">
        <v>7.24</v>
      </c>
      <c r="CR2154">
        <v>0</v>
      </c>
      <c r="CS2154" t="s">
        <v>10368</v>
      </c>
      <c r="CT2154">
        <v>11.91</v>
      </c>
      <c r="CU2154">
        <v>0</v>
      </c>
      <c r="CV2154">
        <v>6.01</v>
      </c>
      <c r="CW2154">
        <v>4.47</v>
      </c>
      <c r="CX2154">
        <v>1.49</v>
      </c>
      <c r="CY2154">
        <v>45.04</v>
      </c>
      <c r="CZ2154" t="s">
        <v>10369</v>
      </c>
      <c r="DA2154">
        <v>45.08</v>
      </c>
      <c r="DB2154">
        <v>18.809999999999999</v>
      </c>
      <c r="DC2154">
        <v>16.7</v>
      </c>
      <c r="DD2154">
        <v>1.98</v>
      </c>
      <c r="DE2154">
        <v>3671</v>
      </c>
      <c r="DF2154">
        <v>300773</v>
      </c>
      <c r="DG2154" t="s">
        <v>116</v>
      </c>
      <c r="DH2154" t="s">
        <v>116</v>
      </c>
      <c r="DI2154" t="s">
        <v>116</v>
      </c>
    </row>
    <row r="2155" spans="1:113" x14ac:dyDescent="0.4">
      <c r="A2155" t="str">
        <f>"300775"</f>
        <v>300775</v>
      </c>
      <c r="B2155" t="s">
        <v>10370</v>
      </c>
      <c r="C2155">
        <v>0.47</v>
      </c>
      <c r="D2155">
        <v>34.56</v>
      </c>
      <c r="E2155">
        <v>0.16</v>
      </c>
      <c r="F2155">
        <v>34.56</v>
      </c>
      <c r="G2155">
        <v>34.57</v>
      </c>
      <c r="H2155">
        <v>42891</v>
      </c>
      <c r="I2155">
        <v>557</v>
      </c>
      <c r="J2155">
        <v>-0.08</v>
      </c>
      <c r="K2155">
        <v>8.66</v>
      </c>
      <c r="L2155">
        <v>34.35</v>
      </c>
      <c r="M2155">
        <v>35.299999999999997</v>
      </c>
      <c r="N2155">
        <v>34.299999999999997</v>
      </c>
      <c r="O2155">
        <v>34.4</v>
      </c>
      <c r="P2155">
        <v>98.82</v>
      </c>
      <c r="Q2155">
        <v>149603888</v>
      </c>
      <c r="R2155">
        <v>1.45</v>
      </c>
      <c r="S2155" t="s">
        <v>1789</v>
      </c>
      <c r="T2155" t="s">
        <v>913</v>
      </c>
      <c r="U2155">
        <v>2.91</v>
      </c>
      <c r="V2155">
        <v>34.880000000000003</v>
      </c>
      <c r="W2155">
        <v>22230</v>
      </c>
      <c r="X2155">
        <v>20661</v>
      </c>
      <c r="Y2155">
        <v>1.08</v>
      </c>
      <c r="Z2155">
        <v>492</v>
      </c>
      <c r="AA2155">
        <v>217</v>
      </c>
      <c r="AB2155" t="s">
        <v>116</v>
      </c>
      <c r="AC2155">
        <v>195800</v>
      </c>
      <c r="AD2155">
        <v>0.01</v>
      </c>
      <c r="AE2155" t="s">
        <v>116</v>
      </c>
      <c r="AF2155" t="s">
        <v>116</v>
      </c>
      <c r="AG2155">
        <v>0.5</v>
      </c>
      <c r="AH2155" t="s">
        <v>7792</v>
      </c>
      <c r="AI2155" t="s">
        <v>10371</v>
      </c>
      <c r="AJ2155">
        <v>1.1399999999999999</v>
      </c>
      <c r="AK2155">
        <v>2527</v>
      </c>
      <c r="AL2155">
        <v>17</v>
      </c>
      <c r="AM2155">
        <v>3.3999999999999998E-3</v>
      </c>
      <c r="AN2155">
        <v>2</v>
      </c>
      <c r="AO2155">
        <v>0.52</v>
      </c>
      <c r="AP2155">
        <v>3.97</v>
      </c>
      <c r="AQ2155">
        <v>-13.99</v>
      </c>
      <c r="AR2155">
        <v>494.84</v>
      </c>
      <c r="AS2155">
        <v>8.66</v>
      </c>
      <c r="AT2155" t="s">
        <v>7792</v>
      </c>
      <c r="AU2155">
        <v>97.2</v>
      </c>
      <c r="AV2155">
        <v>114.46</v>
      </c>
      <c r="AW2155">
        <v>0.57999999999999996</v>
      </c>
      <c r="BA2155">
        <v>-0.15</v>
      </c>
      <c r="BB2155">
        <v>2.62</v>
      </c>
      <c r="BC2155">
        <v>-0.28999999999999998</v>
      </c>
      <c r="BD2155">
        <v>1.4</v>
      </c>
      <c r="BE2155">
        <v>0.61</v>
      </c>
      <c r="BF2155">
        <v>-2.1</v>
      </c>
      <c r="BG2155">
        <v>0.76</v>
      </c>
      <c r="BH2155">
        <v>-0.93</v>
      </c>
      <c r="BI2155">
        <v>20191225</v>
      </c>
      <c r="BJ2155">
        <v>20190521</v>
      </c>
      <c r="BK2155">
        <v>4.96</v>
      </c>
      <c r="BL2155" t="s">
        <v>116</v>
      </c>
      <c r="BM2155" t="s">
        <v>116</v>
      </c>
      <c r="BN2155">
        <v>21.85</v>
      </c>
      <c r="BO2155">
        <v>17.59</v>
      </c>
      <c r="BP2155">
        <v>0</v>
      </c>
      <c r="BQ2155">
        <v>19.52</v>
      </c>
      <c r="BR2155">
        <v>15.57</v>
      </c>
      <c r="BS2155">
        <v>5.78</v>
      </c>
      <c r="BT2155">
        <v>0.16</v>
      </c>
      <c r="BU2155">
        <v>3.49</v>
      </c>
      <c r="BV2155">
        <v>3.54</v>
      </c>
      <c r="BW2155">
        <v>5.03</v>
      </c>
      <c r="BX2155">
        <v>7.73</v>
      </c>
      <c r="BY2155">
        <v>4.16</v>
      </c>
      <c r="BZ2155">
        <v>2.33</v>
      </c>
      <c r="CA2155">
        <v>1.52</v>
      </c>
      <c r="CB2155">
        <v>0.05</v>
      </c>
      <c r="CC2155">
        <v>1.52</v>
      </c>
      <c r="CD2155">
        <v>1.3</v>
      </c>
      <c r="CE2155">
        <v>1.3</v>
      </c>
      <c r="CF2155">
        <v>1.17</v>
      </c>
      <c r="CG2155">
        <v>4.54</v>
      </c>
      <c r="CH2155">
        <v>-0.26</v>
      </c>
      <c r="CI2155">
        <v>-2.87</v>
      </c>
      <c r="CJ2155">
        <v>28950</v>
      </c>
      <c r="CK2155">
        <v>1712</v>
      </c>
      <c r="CL2155" t="s">
        <v>2237</v>
      </c>
      <c r="CM2155">
        <v>0</v>
      </c>
      <c r="CN2155">
        <v>0</v>
      </c>
      <c r="CO2155">
        <v>9.74</v>
      </c>
      <c r="CP2155">
        <v>-671.19</v>
      </c>
      <c r="CQ2155">
        <v>41.17</v>
      </c>
      <c r="CR2155">
        <v>0.28999999999999998</v>
      </c>
      <c r="CS2155" t="s">
        <v>2993</v>
      </c>
      <c r="CT2155">
        <v>3.55</v>
      </c>
      <c r="CU2155">
        <v>0</v>
      </c>
      <c r="CV2155">
        <v>1.56</v>
      </c>
      <c r="CW2155">
        <v>0.92</v>
      </c>
      <c r="CX2155">
        <v>-0.05</v>
      </c>
      <c r="CY2155">
        <v>80.48</v>
      </c>
      <c r="CZ2155" t="s">
        <v>2506</v>
      </c>
      <c r="DA2155">
        <v>43.96</v>
      </c>
      <c r="DB2155">
        <v>36.5</v>
      </c>
      <c r="DC2155">
        <v>31.25</v>
      </c>
      <c r="DD2155">
        <v>0.12</v>
      </c>
      <c r="DE2155">
        <v>286</v>
      </c>
      <c r="DF2155">
        <v>300775</v>
      </c>
      <c r="DG2155" t="s">
        <v>116</v>
      </c>
      <c r="DH2155" t="s">
        <v>116</v>
      </c>
      <c r="DI2155" t="s">
        <v>116</v>
      </c>
    </row>
    <row r="2156" spans="1:113" x14ac:dyDescent="0.4">
      <c r="A2156" t="str">
        <f>"300776"</f>
        <v>300776</v>
      </c>
      <c r="B2156" t="s">
        <v>10372</v>
      </c>
      <c r="C2156">
        <v>-1.57</v>
      </c>
      <c r="D2156">
        <v>142.58000000000001</v>
      </c>
      <c r="E2156">
        <v>-2.27</v>
      </c>
      <c r="F2156">
        <v>142.57</v>
      </c>
      <c r="G2156">
        <v>142.58000000000001</v>
      </c>
      <c r="H2156">
        <v>9180</v>
      </c>
      <c r="I2156">
        <v>96</v>
      </c>
      <c r="J2156">
        <v>-7.0000000000000007E-2</v>
      </c>
      <c r="K2156">
        <v>5.55</v>
      </c>
      <c r="L2156">
        <v>143.96</v>
      </c>
      <c r="M2156">
        <v>145.69</v>
      </c>
      <c r="N2156">
        <v>142.24</v>
      </c>
      <c r="O2156">
        <v>144.85</v>
      </c>
      <c r="P2156">
        <v>31.39</v>
      </c>
      <c r="Q2156">
        <v>131973168</v>
      </c>
      <c r="R2156">
        <v>0.98</v>
      </c>
      <c r="S2156" t="s">
        <v>682</v>
      </c>
      <c r="T2156" t="s">
        <v>774</v>
      </c>
      <c r="U2156">
        <v>2.38</v>
      </c>
      <c r="V2156">
        <v>143.75</v>
      </c>
      <c r="W2156">
        <v>4813</v>
      </c>
      <c r="X2156">
        <v>4367</v>
      </c>
      <c r="Y2156">
        <v>1.1000000000000001</v>
      </c>
      <c r="Z2156">
        <v>3</v>
      </c>
      <c r="AA2156">
        <v>2</v>
      </c>
      <c r="AB2156" t="s">
        <v>116</v>
      </c>
      <c r="AC2156">
        <v>619000</v>
      </c>
      <c r="AD2156">
        <v>0.03</v>
      </c>
      <c r="AE2156" t="s">
        <v>116</v>
      </c>
      <c r="AF2156" t="s">
        <v>116</v>
      </c>
      <c r="AG2156">
        <v>0.17</v>
      </c>
      <c r="AH2156" t="s">
        <v>970</v>
      </c>
      <c r="AI2156" t="s">
        <v>10373</v>
      </c>
      <c r="AJ2156">
        <v>-0.89</v>
      </c>
      <c r="AK2156">
        <v>1703</v>
      </c>
      <c r="AL2156">
        <v>5</v>
      </c>
      <c r="AM2156">
        <v>3.3E-3</v>
      </c>
      <c r="AN2156">
        <v>-1</v>
      </c>
      <c r="AO2156">
        <v>3.63</v>
      </c>
      <c r="AP2156">
        <v>14.15</v>
      </c>
      <c r="AQ2156">
        <v>-7.23</v>
      </c>
      <c r="AR2156">
        <v>149.22</v>
      </c>
      <c r="AS2156">
        <v>5.55</v>
      </c>
      <c r="AT2156" t="s">
        <v>970</v>
      </c>
      <c r="AU2156">
        <v>34.07</v>
      </c>
      <c r="AV2156">
        <v>56.15</v>
      </c>
      <c r="AW2156">
        <v>1.04</v>
      </c>
      <c r="BA2156">
        <v>-0.61</v>
      </c>
      <c r="BB2156">
        <v>0.57999999999999996</v>
      </c>
      <c r="BC2156">
        <v>-1.8</v>
      </c>
      <c r="BD2156">
        <v>-0.76</v>
      </c>
      <c r="BE2156">
        <v>-0.96</v>
      </c>
      <c r="BF2156">
        <v>-2.13</v>
      </c>
      <c r="BG2156">
        <v>0.24</v>
      </c>
      <c r="BH2156">
        <v>-0.81</v>
      </c>
      <c r="BI2156">
        <v>20191226</v>
      </c>
      <c r="BJ2156">
        <v>20190517</v>
      </c>
      <c r="BK2156">
        <v>0.66</v>
      </c>
      <c r="BL2156" t="s">
        <v>116</v>
      </c>
      <c r="BM2156" t="s">
        <v>116</v>
      </c>
      <c r="BN2156">
        <v>20.82</v>
      </c>
      <c r="BO2156">
        <v>13.78</v>
      </c>
      <c r="BP2156">
        <v>0</v>
      </c>
      <c r="BQ2156">
        <v>33.79</v>
      </c>
      <c r="BR2156">
        <v>20.37</v>
      </c>
      <c r="BS2156">
        <v>0.04</v>
      </c>
      <c r="BT2156">
        <v>0.34</v>
      </c>
      <c r="BU2156">
        <v>6.9</v>
      </c>
      <c r="BV2156">
        <v>7.59</v>
      </c>
      <c r="BW2156">
        <v>1.64</v>
      </c>
      <c r="BX2156">
        <v>8.74</v>
      </c>
      <c r="BY2156">
        <v>5.18</v>
      </c>
      <c r="BZ2156">
        <v>2.2599999999999998</v>
      </c>
      <c r="CA2156">
        <v>2.65</v>
      </c>
      <c r="CB2156">
        <v>0</v>
      </c>
      <c r="CC2156">
        <v>2.65</v>
      </c>
      <c r="CD2156">
        <v>2.25</v>
      </c>
      <c r="CE2156">
        <v>2.25</v>
      </c>
      <c r="CF2156">
        <v>2.2200000000000002</v>
      </c>
      <c r="CG2156">
        <v>4.05</v>
      </c>
      <c r="CH2156">
        <v>0.39</v>
      </c>
      <c r="CI2156">
        <v>6.22</v>
      </c>
      <c r="CJ2156">
        <v>14080</v>
      </c>
      <c r="CK2156">
        <v>1174</v>
      </c>
      <c r="CL2156" t="s">
        <v>1725</v>
      </c>
      <c r="CM2156">
        <v>0</v>
      </c>
      <c r="CN2156">
        <v>0</v>
      </c>
      <c r="CO2156">
        <v>6.84</v>
      </c>
      <c r="CP2156">
        <v>239.21</v>
      </c>
      <c r="CQ2156">
        <v>18.190000000000001</v>
      </c>
      <c r="CR2156">
        <v>0.35</v>
      </c>
      <c r="CS2156" t="s">
        <v>10374</v>
      </c>
      <c r="CT2156">
        <v>20.84</v>
      </c>
      <c r="CU2156">
        <v>0</v>
      </c>
      <c r="CV2156">
        <v>13.21</v>
      </c>
      <c r="CW2156">
        <v>6.13</v>
      </c>
      <c r="CX2156">
        <v>0.6</v>
      </c>
      <c r="CY2156">
        <v>66.209999999999994</v>
      </c>
      <c r="CZ2156" t="s">
        <v>10375</v>
      </c>
      <c r="DA2156">
        <v>56.39</v>
      </c>
      <c r="DB2156">
        <v>51.17</v>
      </c>
      <c r="DC2156">
        <v>43.46</v>
      </c>
      <c r="DD2156">
        <v>0.22</v>
      </c>
      <c r="DE2156">
        <v>296</v>
      </c>
      <c r="DF2156">
        <v>300776</v>
      </c>
      <c r="DG2156" t="s">
        <v>116</v>
      </c>
      <c r="DH2156" t="s">
        <v>116</v>
      </c>
      <c r="DI2156" t="s">
        <v>116</v>
      </c>
    </row>
    <row r="2157" spans="1:113" x14ac:dyDescent="0.4">
      <c r="A2157" t="str">
        <f>"300777"</f>
        <v>300777</v>
      </c>
      <c r="B2157" t="s">
        <v>10376</v>
      </c>
      <c r="C2157">
        <v>0.54</v>
      </c>
      <c r="D2157">
        <v>31.42</v>
      </c>
      <c r="E2157">
        <v>0.17</v>
      </c>
      <c r="F2157">
        <v>31.41</v>
      </c>
      <c r="G2157">
        <v>31.42</v>
      </c>
      <c r="H2157">
        <v>42824</v>
      </c>
      <c r="I2157">
        <v>508</v>
      </c>
      <c r="J2157">
        <v>0.38</v>
      </c>
      <c r="K2157">
        <v>10.7</v>
      </c>
      <c r="L2157">
        <v>31.8</v>
      </c>
      <c r="M2157">
        <v>32.840000000000003</v>
      </c>
      <c r="N2157">
        <v>31.23</v>
      </c>
      <c r="O2157">
        <v>31.25</v>
      </c>
      <c r="P2157">
        <v>126.81</v>
      </c>
      <c r="Q2157">
        <v>137324320</v>
      </c>
      <c r="R2157">
        <v>2.35</v>
      </c>
      <c r="S2157" t="s">
        <v>630</v>
      </c>
      <c r="T2157" t="s">
        <v>323</v>
      </c>
      <c r="U2157">
        <v>5.15</v>
      </c>
      <c r="V2157">
        <v>32.07</v>
      </c>
      <c r="W2157">
        <v>21201</v>
      </c>
      <c r="X2157">
        <v>21623</v>
      </c>
      <c r="Y2157">
        <v>0.98</v>
      </c>
      <c r="Z2157">
        <v>96</v>
      </c>
      <c r="AA2157">
        <v>142</v>
      </c>
      <c r="AB2157" t="s">
        <v>116</v>
      </c>
      <c r="AC2157">
        <v>1262500</v>
      </c>
      <c r="AD2157">
        <v>0.1</v>
      </c>
      <c r="AE2157" t="s">
        <v>116</v>
      </c>
      <c r="AF2157" t="s">
        <v>116</v>
      </c>
      <c r="AG2157">
        <v>0.4</v>
      </c>
      <c r="AH2157" t="s">
        <v>10377</v>
      </c>
      <c r="AI2157" t="s">
        <v>10378</v>
      </c>
      <c r="AJ2157">
        <v>1.22</v>
      </c>
      <c r="AK2157">
        <v>2463</v>
      </c>
      <c r="AL2157">
        <v>17</v>
      </c>
      <c r="AM2157">
        <v>4.3E-3</v>
      </c>
      <c r="AN2157">
        <v>4</v>
      </c>
      <c r="AO2157">
        <v>3.87</v>
      </c>
      <c r="AP2157">
        <v>7.94</v>
      </c>
      <c r="AQ2157">
        <v>-7.62</v>
      </c>
      <c r="AR2157">
        <v>418.48</v>
      </c>
      <c r="AS2157">
        <v>10.7</v>
      </c>
      <c r="AT2157" t="s">
        <v>10377</v>
      </c>
      <c r="AU2157">
        <v>84.09</v>
      </c>
      <c r="AV2157">
        <v>104.3</v>
      </c>
      <c r="AW2157">
        <v>0.61</v>
      </c>
      <c r="BA2157">
        <v>1.76</v>
      </c>
      <c r="BB2157">
        <v>5.09</v>
      </c>
      <c r="BC2157">
        <v>-0.06</v>
      </c>
      <c r="BD2157">
        <v>2.62</v>
      </c>
      <c r="BE2157">
        <v>-1.19</v>
      </c>
      <c r="BF2157">
        <v>-4.32</v>
      </c>
      <c r="BG2157">
        <v>0.61</v>
      </c>
      <c r="BH2157">
        <v>-2.0699999999999998</v>
      </c>
      <c r="BI2157">
        <v>20191212</v>
      </c>
      <c r="BJ2157">
        <v>20190516</v>
      </c>
      <c r="BK2157">
        <v>4</v>
      </c>
      <c r="BL2157" t="s">
        <v>116</v>
      </c>
      <c r="BM2157" t="s">
        <v>116</v>
      </c>
      <c r="BN2157">
        <v>11.31</v>
      </c>
      <c r="BO2157">
        <v>9.18</v>
      </c>
      <c r="BP2157">
        <v>0</v>
      </c>
      <c r="BQ2157">
        <v>18.84</v>
      </c>
      <c r="BR2157">
        <v>4.08</v>
      </c>
      <c r="BS2157">
        <v>1.81</v>
      </c>
      <c r="BT2157">
        <v>0.37</v>
      </c>
      <c r="BU2157">
        <v>1.48</v>
      </c>
      <c r="BV2157">
        <v>0.25</v>
      </c>
      <c r="BW2157">
        <v>1.28</v>
      </c>
      <c r="BX2157">
        <v>1.71</v>
      </c>
      <c r="BY2157">
        <v>1.59</v>
      </c>
      <c r="BZ2157">
        <v>0.31</v>
      </c>
      <c r="CA2157">
        <v>0.82</v>
      </c>
      <c r="CB2157">
        <v>0</v>
      </c>
      <c r="CC2157">
        <v>0.87</v>
      </c>
      <c r="CD2157">
        <v>0.74</v>
      </c>
      <c r="CE2157">
        <v>0.74</v>
      </c>
      <c r="CF2157">
        <v>0.67</v>
      </c>
      <c r="CG2157">
        <v>3.16</v>
      </c>
      <c r="CH2157">
        <v>0.25</v>
      </c>
      <c r="CI2157">
        <v>-0.72</v>
      </c>
      <c r="CJ2157">
        <v>18537</v>
      </c>
      <c r="CK2157">
        <v>2158</v>
      </c>
      <c r="CL2157" t="s">
        <v>1991</v>
      </c>
      <c r="CM2157">
        <v>0</v>
      </c>
      <c r="CN2157">
        <v>0</v>
      </c>
      <c r="CO2157">
        <v>13.7</v>
      </c>
      <c r="CP2157">
        <v>500.23</v>
      </c>
      <c r="CQ2157">
        <v>78.89</v>
      </c>
      <c r="CR2157">
        <v>0</v>
      </c>
      <c r="CS2157" t="s">
        <v>541</v>
      </c>
      <c r="CT2157">
        <v>2.29</v>
      </c>
      <c r="CU2157">
        <v>0</v>
      </c>
      <c r="CV2157">
        <v>0.43</v>
      </c>
      <c r="CW2157">
        <v>0.79</v>
      </c>
      <c r="CX2157">
        <v>0.06</v>
      </c>
      <c r="CY2157">
        <v>81.16</v>
      </c>
      <c r="CZ2157" t="s">
        <v>10379</v>
      </c>
      <c r="DA2157">
        <v>80.41</v>
      </c>
      <c r="DB2157">
        <v>51.48</v>
      </c>
      <c r="DC2157">
        <v>46.66</v>
      </c>
      <c r="DD2157">
        <v>0.12</v>
      </c>
      <c r="DE2157">
        <v>236</v>
      </c>
      <c r="DF2157">
        <v>300777</v>
      </c>
      <c r="DG2157" t="s">
        <v>116</v>
      </c>
      <c r="DH2157" t="s">
        <v>116</v>
      </c>
      <c r="DI2157" t="s">
        <v>116</v>
      </c>
    </row>
    <row r="2158" spans="1:113" x14ac:dyDescent="0.4">
      <c r="A2158" t="str">
        <f>"300778"</f>
        <v>300778</v>
      </c>
      <c r="B2158" t="s">
        <v>10380</v>
      </c>
      <c r="C2158">
        <v>1.1399999999999999</v>
      </c>
      <c r="D2158">
        <v>42.58</v>
      </c>
      <c r="E2158">
        <v>0.48</v>
      </c>
      <c r="F2158">
        <v>42.57</v>
      </c>
      <c r="G2158">
        <v>42.58</v>
      </c>
      <c r="H2158">
        <v>20064</v>
      </c>
      <c r="I2158">
        <v>439</v>
      </c>
      <c r="J2158">
        <v>0.42</v>
      </c>
      <c r="K2158">
        <v>10.029999999999999</v>
      </c>
      <c r="L2158">
        <v>41.99</v>
      </c>
      <c r="M2158">
        <v>44.37</v>
      </c>
      <c r="N2158">
        <v>41.6</v>
      </c>
      <c r="O2158">
        <v>42.1</v>
      </c>
      <c r="P2158">
        <v>30.68</v>
      </c>
      <c r="Q2158">
        <v>85267920</v>
      </c>
      <c r="R2158">
        <v>1.55</v>
      </c>
      <c r="S2158" t="s">
        <v>181</v>
      </c>
      <c r="T2158" t="s">
        <v>115</v>
      </c>
      <c r="U2158">
        <v>6.58</v>
      </c>
      <c r="V2158">
        <v>42.5</v>
      </c>
      <c r="W2158">
        <v>10884</v>
      </c>
      <c r="X2158">
        <v>9180</v>
      </c>
      <c r="Y2158">
        <v>1.19</v>
      </c>
      <c r="Z2158">
        <v>1</v>
      </c>
      <c r="AA2158">
        <v>35</v>
      </c>
      <c r="AB2158" t="s">
        <v>116</v>
      </c>
      <c r="AC2158">
        <v>256100</v>
      </c>
      <c r="AD2158">
        <v>0.03</v>
      </c>
      <c r="AE2158" t="s">
        <v>116</v>
      </c>
      <c r="AF2158" t="s">
        <v>116</v>
      </c>
      <c r="AG2158">
        <v>0.2</v>
      </c>
      <c r="AH2158" t="s">
        <v>10381</v>
      </c>
      <c r="AI2158" t="s">
        <v>10110</v>
      </c>
      <c r="AJ2158">
        <v>1.82</v>
      </c>
      <c r="AK2158">
        <v>1808</v>
      </c>
      <c r="AL2158">
        <v>11</v>
      </c>
      <c r="AM2158">
        <v>5.4999999999999997E-3</v>
      </c>
      <c r="AN2158">
        <v>4</v>
      </c>
      <c r="AO2158">
        <v>3.72</v>
      </c>
      <c r="AP2158">
        <v>3.5</v>
      </c>
      <c r="AQ2158">
        <v>0.33</v>
      </c>
      <c r="AR2158">
        <v>55.8</v>
      </c>
      <c r="AS2158">
        <v>10.029999999999999</v>
      </c>
      <c r="AT2158" t="s">
        <v>10381</v>
      </c>
      <c r="AU2158">
        <v>30.09</v>
      </c>
      <c r="AV2158">
        <v>33.89</v>
      </c>
      <c r="AW2158">
        <v>0.71</v>
      </c>
      <c r="BA2158">
        <v>-0.26</v>
      </c>
      <c r="BB2158">
        <v>5.39</v>
      </c>
      <c r="BC2158">
        <v>-1.19</v>
      </c>
      <c r="BD2158">
        <v>0.95</v>
      </c>
      <c r="BE2158">
        <v>1.41</v>
      </c>
      <c r="BF2158">
        <v>-4.03</v>
      </c>
      <c r="BG2158">
        <v>2.36</v>
      </c>
      <c r="BH2158">
        <v>0.19</v>
      </c>
      <c r="BI2158">
        <v>20191029</v>
      </c>
      <c r="BJ2158">
        <v>20190510</v>
      </c>
      <c r="BK2158">
        <v>0.8</v>
      </c>
      <c r="BL2158" t="s">
        <v>116</v>
      </c>
      <c r="BM2158" t="s">
        <v>116</v>
      </c>
      <c r="BN2158">
        <v>11.44</v>
      </c>
      <c r="BO2158">
        <v>8.92</v>
      </c>
      <c r="BP2158">
        <v>0</v>
      </c>
      <c r="BQ2158">
        <v>22.02</v>
      </c>
      <c r="BR2158">
        <v>10.87</v>
      </c>
      <c r="BS2158">
        <v>0.12</v>
      </c>
      <c r="BT2158">
        <v>0.06</v>
      </c>
      <c r="BU2158">
        <v>2.5099999999999998</v>
      </c>
      <c r="BV2158">
        <v>0</v>
      </c>
      <c r="BW2158">
        <v>2.96</v>
      </c>
      <c r="BX2158">
        <v>5.76</v>
      </c>
      <c r="BY2158">
        <v>3.42</v>
      </c>
      <c r="BZ2158">
        <v>1.93</v>
      </c>
      <c r="CA2158">
        <v>0.9</v>
      </c>
      <c r="CB2158">
        <v>0.02</v>
      </c>
      <c r="CC2158">
        <v>0.97</v>
      </c>
      <c r="CD2158">
        <v>0.83</v>
      </c>
      <c r="CE2158">
        <v>0.83</v>
      </c>
      <c r="CF2158">
        <v>0.76</v>
      </c>
      <c r="CG2158">
        <v>2.16</v>
      </c>
      <c r="CH2158">
        <v>-0.09</v>
      </c>
      <c r="CI2158">
        <v>1.03</v>
      </c>
      <c r="CJ2158">
        <v>14470</v>
      </c>
      <c r="CK2158">
        <v>1382</v>
      </c>
      <c r="CL2158" t="s">
        <v>2673</v>
      </c>
      <c r="CM2158">
        <v>0</v>
      </c>
      <c r="CN2158">
        <v>0</v>
      </c>
      <c r="CO2158">
        <v>3.82</v>
      </c>
      <c r="CP2158">
        <v>-376.02</v>
      </c>
      <c r="CQ2158">
        <v>9.9700000000000006</v>
      </c>
      <c r="CR2158">
        <v>0</v>
      </c>
      <c r="CS2158" t="s">
        <v>10382</v>
      </c>
      <c r="CT2158">
        <v>11.15</v>
      </c>
      <c r="CU2158">
        <v>0</v>
      </c>
      <c r="CV2158">
        <v>7.2</v>
      </c>
      <c r="CW2158">
        <v>2.71</v>
      </c>
      <c r="CX2158">
        <v>-0.11</v>
      </c>
      <c r="CY2158">
        <v>77.98</v>
      </c>
      <c r="CZ2158" t="s">
        <v>9893</v>
      </c>
      <c r="DA2158">
        <v>43.57</v>
      </c>
      <c r="DB2158">
        <v>26.28</v>
      </c>
      <c r="DC2158">
        <v>24.37</v>
      </c>
      <c r="DD2158">
        <v>0.13</v>
      </c>
      <c r="DE2158">
        <v>803</v>
      </c>
      <c r="DF2158">
        <v>300778</v>
      </c>
      <c r="DG2158" t="s">
        <v>116</v>
      </c>
      <c r="DH2158" t="s">
        <v>116</v>
      </c>
      <c r="DI2158" t="s">
        <v>116</v>
      </c>
    </row>
    <row r="2159" spans="1:113" x14ac:dyDescent="0.4">
      <c r="A2159" t="str">
        <f>"300779"</f>
        <v>300779</v>
      </c>
      <c r="B2159" t="s">
        <v>10383</v>
      </c>
      <c r="C2159">
        <v>6.09</v>
      </c>
      <c r="D2159">
        <v>30.64</v>
      </c>
      <c r="E2159">
        <v>1.76</v>
      </c>
      <c r="F2159">
        <v>30.64</v>
      </c>
      <c r="G2159">
        <v>30.65</v>
      </c>
      <c r="H2159">
        <v>67385</v>
      </c>
      <c r="I2159">
        <v>1462</v>
      </c>
      <c r="J2159">
        <v>0.43</v>
      </c>
      <c r="K2159">
        <v>26.95</v>
      </c>
      <c r="L2159">
        <v>28.4</v>
      </c>
      <c r="M2159">
        <v>30.86</v>
      </c>
      <c r="N2159">
        <v>28.32</v>
      </c>
      <c r="O2159">
        <v>28.88</v>
      </c>
      <c r="P2159">
        <v>57.89</v>
      </c>
      <c r="Q2159">
        <v>201106048</v>
      </c>
      <c r="R2159">
        <v>3.65</v>
      </c>
      <c r="S2159" t="s">
        <v>140</v>
      </c>
      <c r="T2159" t="s">
        <v>645</v>
      </c>
      <c r="U2159">
        <v>8.8000000000000007</v>
      </c>
      <c r="V2159">
        <v>29.84</v>
      </c>
      <c r="W2159">
        <v>31379</v>
      </c>
      <c r="X2159">
        <v>36006</v>
      </c>
      <c r="Y2159">
        <v>0.87</v>
      </c>
      <c r="Z2159">
        <v>73</v>
      </c>
      <c r="AA2159">
        <v>84</v>
      </c>
      <c r="AB2159" t="s">
        <v>116</v>
      </c>
      <c r="AC2159">
        <v>1499500</v>
      </c>
      <c r="AD2159">
        <v>0.21</v>
      </c>
      <c r="AE2159" t="s">
        <v>116</v>
      </c>
      <c r="AF2159" t="s">
        <v>116</v>
      </c>
      <c r="AG2159">
        <v>0.25</v>
      </c>
      <c r="AH2159" t="s">
        <v>10384</v>
      </c>
      <c r="AI2159" t="s">
        <v>6029</v>
      </c>
      <c r="AJ2159">
        <v>6.77</v>
      </c>
      <c r="AK2159">
        <v>3122</v>
      </c>
      <c r="AL2159">
        <v>22</v>
      </c>
      <c r="AM2159">
        <v>8.6E-3</v>
      </c>
      <c r="AN2159">
        <v>2</v>
      </c>
      <c r="AO2159">
        <v>12.64</v>
      </c>
      <c r="AP2159">
        <v>14.97</v>
      </c>
      <c r="AQ2159">
        <v>-9.75</v>
      </c>
      <c r="AR2159">
        <v>128.83000000000001</v>
      </c>
      <c r="AS2159">
        <v>26.95</v>
      </c>
      <c r="AT2159" t="s">
        <v>10384</v>
      </c>
      <c r="AU2159">
        <v>48.42</v>
      </c>
      <c r="AV2159">
        <v>48.07</v>
      </c>
      <c r="AW2159">
        <v>0.87</v>
      </c>
      <c r="BA2159">
        <v>-1.66</v>
      </c>
      <c r="BB2159">
        <v>6.86</v>
      </c>
      <c r="BC2159">
        <v>-1.94</v>
      </c>
      <c r="BD2159">
        <v>3.34</v>
      </c>
      <c r="BE2159">
        <v>7.89</v>
      </c>
      <c r="BF2159">
        <v>-0.71</v>
      </c>
      <c r="BG2159">
        <v>8.19</v>
      </c>
      <c r="BH2159">
        <v>2.75</v>
      </c>
      <c r="BI2159">
        <v>20191025</v>
      </c>
      <c r="BJ2159">
        <v>20190522</v>
      </c>
      <c r="BK2159">
        <v>1</v>
      </c>
      <c r="BL2159" t="s">
        <v>116</v>
      </c>
      <c r="BM2159" t="s">
        <v>116</v>
      </c>
      <c r="BN2159">
        <v>8.86</v>
      </c>
      <c r="BO2159">
        <v>6.46</v>
      </c>
      <c r="BP2159">
        <v>0</v>
      </c>
      <c r="BQ2159">
        <v>27.12</v>
      </c>
      <c r="BR2159">
        <v>4.3099999999999996</v>
      </c>
      <c r="BS2159">
        <v>3.18</v>
      </c>
      <c r="BT2159">
        <v>0.54</v>
      </c>
      <c r="BU2159">
        <v>1.77</v>
      </c>
      <c r="BV2159">
        <v>0.44</v>
      </c>
      <c r="BW2159">
        <v>1.03</v>
      </c>
      <c r="BX2159">
        <v>4</v>
      </c>
      <c r="BY2159">
        <v>2.58</v>
      </c>
      <c r="BZ2159">
        <v>1.61</v>
      </c>
      <c r="CA2159">
        <v>0.38</v>
      </c>
      <c r="CB2159">
        <v>0</v>
      </c>
      <c r="CC2159">
        <v>0.47</v>
      </c>
      <c r="CD2159">
        <v>0.4</v>
      </c>
      <c r="CE2159">
        <v>0.4</v>
      </c>
      <c r="CF2159">
        <v>0.3</v>
      </c>
      <c r="CG2159">
        <v>1.26</v>
      </c>
      <c r="CH2159">
        <v>0.57999999999999996</v>
      </c>
      <c r="CI2159">
        <v>1.4</v>
      </c>
      <c r="CJ2159">
        <v>15295</v>
      </c>
      <c r="CK2159">
        <v>1635</v>
      </c>
      <c r="CL2159" t="s">
        <v>3552</v>
      </c>
      <c r="CM2159">
        <v>0</v>
      </c>
      <c r="CN2159">
        <v>0</v>
      </c>
      <c r="CO2159">
        <v>4.74</v>
      </c>
      <c r="CP2159">
        <v>52.91</v>
      </c>
      <c r="CQ2159">
        <v>11.87</v>
      </c>
      <c r="CR2159">
        <v>0.65</v>
      </c>
      <c r="CS2159" t="s">
        <v>672</v>
      </c>
      <c r="CT2159">
        <v>6.46</v>
      </c>
      <c r="CU2159">
        <v>0</v>
      </c>
      <c r="CV2159">
        <v>4</v>
      </c>
      <c r="CW2159">
        <v>1.26</v>
      </c>
      <c r="CX2159">
        <v>0.57999999999999996</v>
      </c>
      <c r="CY2159">
        <v>72.88</v>
      </c>
      <c r="CZ2159" t="s">
        <v>10385</v>
      </c>
      <c r="DA2159">
        <v>37.75</v>
      </c>
      <c r="DB2159">
        <v>14.76</v>
      </c>
      <c r="DC2159">
        <v>15.38</v>
      </c>
      <c r="DD2159">
        <v>0.14000000000000001</v>
      </c>
      <c r="DE2159">
        <v>349</v>
      </c>
      <c r="DF2159">
        <v>300779</v>
      </c>
      <c r="DG2159" t="s">
        <v>116</v>
      </c>
      <c r="DH2159" t="s">
        <v>116</v>
      </c>
      <c r="DI2159" t="s">
        <v>116</v>
      </c>
    </row>
    <row r="2160" spans="1:113" x14ac:dyDescent="0.4">
      <c r="A2160" t="str">
        <f>"300780"</f>
        <v>300780</v>
      </c>
      <c r="B2160" t="s">
        <v>10386</v>
      </c>
      <c r="C2160">
        <v>-3.66</v>
      </c>
      <c r="D2160">
        <v>23.97</v>
      </c>
      <c r="E2160">
        <v>-0.91</v>
      </c>
      <c r="F2160">
        <v>23.97</v>
      </c>
      <c r="G2160">
        <v>23.98</v>
      </c>
      <c r="H2160">
        <v>115524</v>
      </c>
      <c r="I2160">
        <v>1024</v>
      </c>
      <c r="J2160">
        <v>0.17</v>
      </c>
      <c r="K2160">
        <v>31.5</v>
      </c>
      <c r="L2160">
        <v>23.44</v>
      </c>
      <c r="M2160">
        <v>25.15</v>
      </c>
      <c r="N2160">
        <v>23.44</v>
      </c>
      <c r="O2160">
        <v>24.88</v>
      </c>
      <c r="P2160">
        <v>46.9</v>
      </c>
      <c r="Q2160">
        <v>279518176</v>
      </c>
      <c r="R2160">
        <v>2.17</v>
      </c>
      <c r="S2160" t="s">
        <v>996</v>
      </c>
      <c r="T2160" t="s">
        <v>582</v>
      </c>
      <c r="U2160">
        <v>6.87</v>
      </c>
      <c r="V2160">
        <v>24.2</v>
      </c>
      <c r="W2160">
        <v>61692</v>
      </c>
      <c r="X2160">
        <v>53832</v>
      </c>
      <c r="Y2160">
        <v>1.1499999999999999</v>
      </c>
      <c r="Z2160">
        <v>95</v>
      </c>
      <c r="AA2160">
        <v>99</v>
      </c>
      <c r="AB2160" t="s">
        <v>116</v>
      </c>
      <c r="AC2160">
        <v>7203100</v>
      </c>
      <c r="AD2160">
        <v>0.84</v>
      </c>
      <c r="AE2160" t="s">
        <v>116</v>
      </c>
      <c r="AF2160" t="s">
        <v>116</v>
      </c>
      <c r="AG2160">
        <v>0.37</v>
      </c>
      <c r="AH2160" t="s">
        <v>7384</v>
      </c>
      <c r="AI2160" t="s">
        <v>9262</v>
      </c>
      <c r="AJ2160">
        <v>-2.98</v>
      </c>
      <c r="AK2160">
        <v>3101</v>
      </c>
      <c r="AL2160">
        <v>37</v>
      </c>
      <c r="AM2160">
        <v>1.0200000000000001E-2</v>
      </c>
      <c r="AN2160">
        <v>-1</v>
      </c>
      <c r="AO2160">
        <v>5.27</v>
      </c>
      <c r="AP2160">
        <v>18.899999999999999</v>
      </c>
      <c r="AQ2160">
        <v>-9.5500000000000007</v>
      </c>
      <c r="AR2160">
        <v>106.99</v>
      </c>
      <c r="AS2160">
        <v>31.5</v>
      </c>
      <c r="AT2160" t="s">
        <v>7384</v>
      </c>
      <c r="AU2160">
        <v>46.87</v>
      </c>
      <c r="AV2160">
        <v>44.87</v>
      </c>
      <c r="AW2160">
        <v>1.39</v>
      </c>
      <c r="BA2160">
        <v>-5.79</v>
      </c>
      <c r="BB2160">
        <v>1.0900000000000001</v>
      </c>
      <c r="BC2160">
        <v>-5.79</v>
      </c>
      <c r="BD2160">
        <v>-2.75</v>
      </c>
      <c r="BE2160">
        <v>2.2599999999999998</v>
      </c>
      <c r="BF2160">
        <v>-4.6900000000000004</v>
      </c>
      <c r="BG2160">
        <v>2.2599999999999998</v>
      </c>
      <c r="BH2160">
        <v>-0.91</v>
      </c>
      <c r="BI2160">
        <v>20191108</v>
      </c>
      <c r="BJ2160">
        <v>20190531</v>
      </c>
      <c r="BK2160">
        <v>1.47</v>
      </c>
      <c r="BL2160" t="s">
        <v>116</v>
      </c>
      <c r="BM2160" t="s">
        <v>116</v>
      </c>
      <c r="BN2160">
        <v>11.25</v>
      </c>
      <c r="BO2160">
        <v>9.6199999999999992</v>
      </c>
      <c r="BP2160">
        <v>0</v>
      </c>
      <c r="BQ2160">
        <v>14.43</v>
      </c>
      <c r="BR2160">
        <v>5.78</v>
      </c>
      <c r="BS2160">
        <v>2.73</v>
      </c>
      <c r="BT2160">
        <v>0.7</v>
      </c>
      <c r="BU2160">
        <v>1.25</v>
      </c>
      <c r="BV2160">
        <v>2.13</v>
      </c>
      <c r="BW2160">
        <v>0.8</v>
      </c>
      <c r="BX2160">
        <v>5.75</v>
      </c>
      <c r="BY2160">
        <v>3.69</v>
      </c>
      <c r="BZ2160">
        <v>2.4300000000000002</v>
      </c>
      <c r="CA2160">
        <v>0.68</v>
      </c>
      <c r="CB2160">
        <v>0</v>
      </c>
      <c r="CC2160">
        <v>0.68</v>
      </c>
      <c r="CD2160">
        <v>0.56000000000000005</v>
      </c>
      <c r="CE2160">
        <v>0.56000000000000005</v>
      </c>
      <c r="CF2160">
        <v>0.51</v>
      </c>
      <c r="CG2160">
        <v>1.96</v>
      </c>
      <c r="CH2160">
        <v>0.3</v>
      </c>
      <c r="CI2160">
        <v>-0.42</v>
      </c>
      <c r="CJ2160">
        <v>19297</v>
      </c>
      <c r="CK2160">
        <v>1900</v>
      </c>
      <c r="CL2160" t="s">
        <v>349</v>
      </c>
      <c r="CM2160">
        <v>0</v>
      </c>
      <c r="CN2160">
        <v>0</v>
      </c>
      <c r="CO2160">
        <v>3.65</v>
      </c>
      <c r="CP2160">
        <v>117.09</v>
      </c>
      <c r="CQ2160">
        <v>9.5299999999999994</v>
      </c>
      <c r="CR2160">
        <v>0</v>
      </c>
      <c r="CS2160" t="s">
        <v>2279</v>
      </c>
      <c r="CT2160">
        <v>6.56</v>
      </c>
      <c r="CU2160">
        <v>0</v>
      </c>
      <c r="CV2160">
        <v>3.92</v>
      </c>
      <c r="CW2160">
        <v>1.34</v>
      </c>
      <c r="CX2160">
        <v>0.2</v>
      </c>
      <c r="CY2160">
        <v>85.54</v>
      </c>
      <c r="CZ2160" t="s">
        <v>2468</v>
      </c>
      <c r="DA2160">
        <v>34.130000000000003</v>
      </c>
      <c r="DB2160">
        <v>18.46</v>
      </c>
      <c r="DC2160">
        <v>15.23</v>
      </c>
      <c r="DD2160">
        <v>0.06</v>
      </c>
      <c r="DE2160">
        <v>1793</v>
      </c>
      <c r="DF2160">
        <v>300780</v>
      </c>
      <c r="DG2160" t="s">
        <v>116</v>
      </c>
      <c r="DH2160" t="s">
        <v>116</v>
      </c>
      <c r="DI2160" t="s">
        <v>116</v>
      </c>
    </row>
    <row r="2161" spans="1:113" x14ac:dyDescent="0.4">
      <c r="A2161" t="str">
        <f>"300781"</f>
        <v>300781</v>
      </c>
      <c r="B2161" t="s">
        <v>10387</v>
      </c>
      <c r="C2161">
        <v>-3.85</v>
      </c>
      <c r="D2161">
        <v>32</v>
      </c>
      <c r="E2161">
        <v>-1.28</v>
      </c>
      <c r="F2161">
        <v>32</v>
      </c>
      <c r="G2161">
        <v>32.03</v>
      </c>
      <c r="H2161">
        <v>24229</v>
      </c>
      <c r="I2161">
        <v>578</v>
      </c>
      <c r="J2161">
        <v>-1.04</v>
      </c>
      <c r="K2161">
        <v>11.46</v>
      </c>
      <c r="L2161">
        <v>33.28</v>
      </c>
      <c r="M2161">
        <v>33.74</v>
      </c>
      <c r="N2161">
        <v>29.95</v>
      </c>
      <c r="O2161">
        <v>33.28</v>
      </c>
      <c r="P2161">
        <v>58.11</v>
      </c>
      <c r="Q2161">
        <v>79732920</v>
      </c>
      <c r="R2161">
        <v>0.98</v>
      </c>
      <c r="S2161" t="s">
        <v>345</v>
      </c>
      <c r="T2161" t="s">
        <v>551</v>
      </c>
      <c r="U2161">
        <v>11.39</v>
      </c>
      <c r="V2161">
        <v>32.909999999999997</v>
      </c>
      <c r="W2161">
        <v>12947</v>
      </c>
      <c r="X2161">
        <v>11282</v>
      </c>
      <c r="Y2161">
        <v>1.1499999999999999</v>
      </c>
      <c r="Z2161">
        <v>48</v>
      </c>
      <c r="AA2161">
        <v>3</v>
      </c>
      <c r="AB2161" t="s">
        <v>116</v>
      </c>
      <c r="AC2161">
        <v>209100</v>
      </c>
      <c r="AD2161">
        <v>0.03</v>
      </c>
      <c r="AE2161" t="s">
        <v>116</v>
      </c>
      <c r="AF2161" t="s">
        <v>116</v>
      </c>
      <c r="AG2161">
        <v>0.21</v>
      </c>
      <c r="AH2161" t="s">
        <v>8420</v>
      </c>
      <c r="AI2161" t="s">
        <v>5170</v>
      </c>
      <c r="AJ2161">
        <v>-3.17</v>
      </c>
      <c r="AK2161">
        <v>1988</v>
      </c>
      <c r="AL2161">
        <v>12</v>
      </c>
      <c r="AM2161">
        <v>5.7999999999999996E-3</v>
      </c>
      <c r="AN2161">
        <v>-1</v>
      </c>
      <c r="AO2161">
        <v>-0.6</v>
      </c>
      <c r="AP2161">
        <v>1.27</v>
      </c>
      <c r="AQ2161">
        <v>-17.75</v>
      </c>
      <c r="AR2161">
        <v>99.7</v>
      </c>
      <c r="AS2161">
        <v>11.46</v>
      </c>
      <c r="AT2161" t="s">
        <v>8420</v>
      </c>
      <c r="AU2161">
        <v>47.41</v>
      </c>
      <c r="AV2161">
        <v>41.2</v>
      </c>
      <c r="AW2161">
        <v>1.52</v>
      </c>
      <c r="BA2161">
        <v>0</v>
      </c>
      <c r="BB2161">
        <v>1.38</v>
      </c>
      <c r="BC2161">
        <v>-10.01</v>
      </c>
      <c r="BD2161">
        <v>-1.1200000000000001</v>
      </c>
      <c r="BE2161">
        <v>-3.85</v>
      </c>
      <c r="BF2161">
        <v>-5.16</v>
      </c>
      <c r="BG2161">
        <v>6.84</v>
      </c>
      <c r="BH2161">
        <v>-2.73</v>
      </c>
      <c r="BI2161">
        <v>20191224</v>
      </c>
      <c r="BJ2161">
        <v>20190606</v>
      </c>
      <c r="BK2161">
        <v>0.85</v>
      </c>
      <c r="BL2161" t="s">
        <v>116</v>
      </c>
      <c r="BM2161" t="s">
        <v>116</v>
      </c>
      <c r="BN2161">
        <v>7.29</v>
      </c>
      <c r="BO2161">
        <v>6.05</v>
      </c>
      <c r="BP2161">
        <v>0</v>
      </c>
      <c r="BQ2161">
        <v>17.059999999999999</v>
      </c>
      <c r="BR2161">
        <v>6.24</v>
      </c>
      <c r="BS2161">
        <v>1</v>
      </c>
      <c r="BT2161">
        <v>0</v>
      </c>
      <c r="BU2161">
        <v>1.24</v>
      </c>
      <c r="BV2161">
        <v>0</v>
      </c>
      <c r="BW2161">
        <v>1.4</v>
      </c>
      <c r="BX2161">
        <v>3.77</v>
      </c>
      <c r="BY2161">
        <v>2.82</v>
      </c>
      <c r="BZ2161">
        <v>1.7</v>
      </c>
      <c r="CA2161">
        <v>0.41</v>
      </c>
      <c r="CB2161">
        <v>0.02</v>
      </c>
      <c r="CC2161">
        <v>0.41</v>
      </c>
      <c r="CD2161">
        <v>0.35</v>
      </c>
      <c r="CE2161">
        <v>0.35</v>
      </c>
      <c r="CF2161">
        <v>0.32</v>
      </c>
      <c r="CG2161">
        <v>1.32</v>
      </c>
      <c r="CH2161">
        <v>0.04</v>
      </c>
      <c r="CI2161">
        <v>-0.77</v>
      </c>
      <c r="CJ2161">
        <v>14139</v>
      </c>
      <c r="CK2161">
        <v>1495</v>
      </c>
      <c r="CL2161" t="s">
        <v>4879</v>
      </c>
      <c r="CM2161">
        <v>0</v>
      </c>
      <c r="CN2161">
        <v>0</v>
      </c>
      <c r="CO2161">
        <v>4.47</v>
      </c>
      <c r="CP2161">
        <v>769.91</v>
      </c>
      <c r="CQ2161">
        <v>9.58</v>
      </c>
      <c r="CR2161">
        <v>1.58</v>
      </c>
      <c r="CS2161" t="s">
        <v>1744</v>
      </c>
      <c r="CT2161">
        <v>7.15</v>
      </c>
      <c r="CU2161">
        <v>0</v>
      </c>
      <c r="CV2161">
        <v>4.46</v>
      </c>
      <c r="CW2161">
        <v>1.57</v>
      </c>
      <c r="CX2161">
        <v>0.04</v>
      </c>
      <c r="CY2161">
        <v>82.9</v>
      </c>
      <c r="CZ2161" t="s">
        <v>10388</v>
      </c>
      <c r="DA2161">
        <v>39.79</v>
      </c>
      <c r="DB2161">
        <v>14.47</v>
      </c>
      <c r="DC2161">
        <v>12.37</v>
      </c>
      <c r="DD2161">
        <v>0.02</v>
      </c>
      <c r="DE2161">
        <v>477</v>
      </c>
      <c r="DF2161">
        <v>300781</v>
      </c>
      <c r="DG2161" t="s">
        <v>116</v>
      </c>
      <c r="DH2161" t="s">
        <v>116</v>
      </c>
      <c r="DI2161" t="s">
        <v>116</v>
      </c>
    </row>
    <row r="2162" spans="1:113" x14ac:dyDescent="0.4">
      <c r="A2162" t="str">
        <f>"300782"</f>
        <v>300782</v>
      </c>
      <c r="B2162" t="s">
        <v>10389</v>
      </c>
      <c r="C2162">
        <v>-1.35</v>
      </c>
      <c r="D2162">
        <v>415.8</v>
      </c>
      <c r="E2162">
        <v>-5.67</v>
      </c>
      <c r="F2162">
        <v>415.58</v>
      </c>
      <c r="G2162">
        <v>415.8</v>
      </c>
      <c r="H2162">
        <v>10208</v>
      </c>
      <c r="I2162">
        <v>107</v>
      </c>
      <c r="J2162">
        <v>-0.16</v>
      </c>
      <c r="K2162">
        <v>4.08</v>
      </c>
      <c r="L2162">
        <v>418</v>
      </c>
      <c r="M2162">
        <v>421</v>
      </c>
      <c r="N2162">
        <v>411.14</v>
      </c>
      <c r="O2162">
        <v>421.47</v>
      </c>
      <c r="P2162">
        <v>96.65</v>
      </c>
      <c r="Q2162">
        <v>425110336</v>
      </c>
      <c r="R2162">
        <v>0.75</v>
      </c>
      <c r="S2162" t="s">
        <v>233</v>
      </c>
      <c r="T2162" t="s">
        <v>323</v>
      </c>
      <c r="U2162">
        <v>2.34</v>
      </c>
      <c r="V2162">
        <v>416.47</v>
      </c>
      <c r="W2162">
        <v>4896</v>
      </c>
      <c r="X2162">
        <v>5312</v>
      </c>
      <c r="Y2162">
        <v>0.92</v>
      </c>
      <c r="Z2162">
        <v>1</v>
      </c>
      <c r="AA2162">
        <v>33</v>
      </c>
      <c r="AB2162" t="s">
        <v>116</v>
      </c>
      <c r="AC2162">
        <v>668800</v>
      </c>
      <c r="AD2162">
        <v>0.01</v>
      </c>
      <c r="AE2162" t="s">
        <v>116</v>
      </c>
      <c r="AF2162" t="s">
        <v>116</v>
      </c>
      <c r="AG2162">
        <v>0.25</v>
      </c>
      <c r="AH2162" t="s">
        <v>10390</v>
      </c>
      <c r="AI2162" t="s">
        <v>10391</v>
      </c>
      <c r="AJ2162">
        <v>-0.67</v>
      </c>
      <c r="AK2162">
        <v>2650</v>
      </c>
      <c r="AL2162">
        <v>4</v>
      </c>
      <c r="AM2162">
        <v>1.5E-3</v>
      </c>
      <c r="AN2162">
        <v>-2</v>
      </c>
      <c r="AO2162">
        <v>-1.95</v>
      </c>
      <c r="AP2162">
        <v>0.9</v>
      </c>
      <c r="AQ2162">
        <v>8.7100000000000009</v>
      </c>
      <c r="AR2162">
        <v>1112.5999999999999</v>
      </c>
      <c r="AS2162">
        <v>4.08</v>
      </c>
      <c r="AT2162" t="s">
        <v>10390</v>
      </c>
      <c r="AU2162">
        <v>119.58</v>
      </c>
      <c r="AV2162">
        <v>256.14</v>
      </c>
      <c r="AW2162">
        <v>1.29</v>
      </c>
      <c r="BA2162">
        <v>-0.82</v>
      </c>
      <c r="BB2162">
        <v>-0.11</v>
      </c>
      <c r="BC2162">
        <v>-2.4500000000000002</v>
      </c>
      <c r="BD2162">
        <v>-1.19</v>
      </c>
      <c r="BE2162">
        <v>-0.53</v>
      </c>
      <c r="BF2162">
        <v>-1.24</v>
      </c>
      <c r="BG2162">
        <v>1.1299999999999999</v>
      </c>
      <c r="BH2162">
        <v>-0.16</v>
      </c>
      <c r="BI2162">
        <v>20191223</v>
      </c>
      <c r="BJ2162">
        <v>20190618</v>
      </c>
      <c r="BK2162">
        <v>1</v>
      </c>
      <c r="BL2162" t="s">
        <v>116</v>
      </c>
      <c r="BM2162" t="s">
        <v>116</v>
      </c>
      <c r="BN2162">
        <v>17.46</v>
      </c>
      <c r="BO2162">
        <v>15.29</v>
      </c>
      <c r="BP2162">
        <v>-0.05</v>
      </c>
      <c r="BQ2162">
        <v>12.69</v>
      </c>
      <c r="BR2162">
        <v>16.5</v>
      </c>
      <c r="BS2162">
        <v>0.6</v>
      </c>
      <c r="BT2162">
        <v>0.05</v>
      </c>
      <c r="BU2162">
        <v>2.0499999999999998</v>
      </c>
      <c r="BV2162">
        <v>2.66</v>
      </c>
      <c r="BW2162">
        <v>2.5099999999999998</v>
      </c>
      <c r="BX2162">
        <v>9.4</v>
      </c>
      <c r="BY2162">
        <v>9.85</v>
      </c>
      <c r="BZ2162">
        <v>4.6500000000000004</v>
      </c>
      <c r="CA2162">
        <v>3.73</v>
      </c>
      <c r="CB2162">
        <v>0.01</v>
      </c>
      <c r="CC2162">
        <v>3.74</v>
      </c>
      <c r="CD2162">
        <v>3.21</v>
      </c>
      <c r="CE2162">
        <v>3.23</v>
      </c>
      <c r="CF2162">
        <v>3.17</v>
      </c>
      <c r="CG2162">
        <v>4.46</v>
      </c>
      <c r="CH2162">
        <v>0.8</v>
      </c>
      <c r="CI2162">
        <v>3.5</v>
      </c>
      <c r="CJ2162">
        <v>15391</v>
      </c>
      <c r="CK2162">
        <v>1624</v>
      </c>
      <c r="CL2162" t="s">
        <v>10392</v>
      </c>
      <c r="CM2162">
        <v>0</v>
      </c>
      <c r="CN2162">
        <v>0</v>
      </c>
      <c r="CO2162">
        <v>27.19</v>
      </c>
      <c r="CP2162">
        <v>517.27</v>
      </c>
      <c r="CQ2162">
        <v>42.22</v>
      </c>
      <c r="CR2162">
        <v>0.24</v>
      </c>
      <c r="CS2162" t="s">
        <v>10393</v>
      </c>
      <c r="CT2162">
        <v>15.29</v>
      </c>
      <c r="CU2162">
        <v>0</v>
      </c>
      <c r="CV2162">
        <v>9.4</v>
      </c>
      <c r="CW2162">
        <v>4.46</v>
      </c>
      <c r="CX2162">
        <v>0.8</v>
      </c>
      <c r="CY2162">
        <v>87.58</v>
      </c>
      <c r="CZ2162" t="s">
        <v>10394</v>
      </c>
      <c r="DA2162">
        <v>52.8</v>
      </c>
      <c r="DB2162">
        <v>37.83</v>
      </c>
      <c r="DC2162">
        <v>32.76</v>
      </c>
      <c r="DD2162">
        <v>0.86</v>
      </c>
      <c r="DE2162">
        <v>130</v>
      </c>
      <c r="DF2162">
        <v>300782</v>
      </c>
      <c r="DG2162" t="s">
        <v>116</v>
      </c>
      <c r="DH2162" t="s">
        <v>116</v>
      </c>
      <c r="DI2162" t="s">
        <v>116</v>
      </c>
    </row>
    <row r="2163" spans="1:113" x14ac:dyDescent="0.4">
      <c r="A2163" t="str">
        <f>"300783"</f>
        <v>300783</v>
      </c>
      <c r="B2163" t="s">
        <v>10395</v>
      </c>
      <c r="C2163">
        <v>-3.48</v>
      </c>
      <c r="D2163">
        <v>62.59</v>
      </c>
      <c r="E2163">
        <v>-2.2599999999999998</v>
      </c>
      <c r="F2163">
        <v>62.59</v>
      </c>
      <c r="G2163">
        <v>62.6</v>
      </c>
      <c r="H2163">
        <v>27321</v>
      </c>
      <c r="I2163">
        <v>175</v>
      </c>
      <c r="J2163">
        <v>-0.42</v>
      </c>
      <c r="K2163">
        <v>6.66</v>
      </c>
      <c r="L2163">
        <v>65.52</v>
      </c>
      <c r="M2163">
        <v>66.489999999999995</v>
      </c>
      <c r="N2163">
        <v>62.58</v>
      </c>
      <c r="O2163">
        <v>64.849999999999994</v>
      </c>
      <c r="P2163">
        <v>63.67</v>
      </c>
      <c r="Q2163">
        <v>176618672</v>
      </c>
      <c r="R2163">
        <v>1.34</v>
      </c>
      <c r="S2163" t="s">
        <v>863</v>
      </c>
      <c r="T2163" t="s">
        <v>575</v>
      </c>
      <c r="U2163">
        <v>6.03</v>
      </c>
      <c r="V2163">
        <v>64.650000000000006</v>
      </c>
      <c r="W2163">
        <v>16217</v>
      </c>
      <c r="X2163">
        <v>11104</v>
      </c>
      <c r="Y2163">
        <v>1.46</v>
      </c>
      <c r="Z2163">
        <v>167</v>
      </c>
      <c r="AA2163">
        <v>76</v>
      </c>
      <c r="AB2163" t="s">
        <v>116</v>
      </c>
      <c r="AC2163">
        <v>786200</v>
      </c>
      <c r="AD2163">
        <v>0.03</v>
      </c>
      <c r="AE2163" t="s">
        <v>116</v>
      </c>
      <c r="AF2163" t="s">
        <v>116</v>
      </c>
      <c r="AG2163">
        <v>0.41</v>
      </c>
      <c r="AH2163" t="s">
        <v>858</v>
      </c>
      <c r="AI2163" t="s">
        <v>10396</v>
      </c>
      <c r="AJ2163">
        <v>-2.81</v>
      </c>
      <c r="AK2163">
        <v>2692</v>
      </c>
      <c r="AL2163">
        <v>10</v>
      </c>
      <c r="AM2163">
        <v>2.5000000000000001E-3</v>
      </c>
      <c r="AN2163">
        <v>-1</v>
      </c>
      <c r="AO2163">
        <v>0.14000000000000001</v>
      </c>
      <c r="AP2163">
        <v>13.61</v>
      </c>
      <c r="AQ2163">
        <v>-7.1</v>
      </c>
      <c r="AR2163">
        <v>326.36</v>
      </c>
      <c r="AS2163">
        <v>6.66</v>
      </c>
      <c r="AT2163" t="s">
        <v>858</v>
      </c>
      <c r="AU2163">
        <v>75.66</v>
      </c>
      <c r="AV2163">
        <v>82.6</v>
      </c>
      <c r="AW2163">
        <v>1.2</v>
      </c>
      <c r="BA2163">
        <v>1.03</v>
      </c>
      <c r="BB2163">
        <v>2.5299999999999998</v>
      </c>
      <c r="BC2163">
        <v>-3.5</v>
      </c>
      <c r="BD2163">
        <v>-0.32</v>
      </c>
      <c r="BE2163">
        <v>-4.47</v>
      </c>
      <c r="BF2163">
        <v>-5.87</v>
      </c>
      <c r="BG2163">
        <v>0.02</v>
      </c>
      <c r="BH2163">
        <v>-3.17</v>
      </c>
      <c r="BI2163">
        <v>20191030</v>
      </c>
      <c r="BJ2163">
        <v>20190712</v>
      </c>
      <c r="BK2163">
        <v>4.01</v>
      </c>
      <c r="BL2163" t="s">
        <v>116</v>
      </c>
      <c r="BM2163" t="s">
        <v>116</v>
      </c>
      <c r="BN2163">
        <v>38.619999999999997</v>
      </c>
      <c r="BO2163">
        <v>19.52</v>
      </c>
      <c r="BP2163">
        <v>0</v>
      </c>
      <c r="BQ2163">
        <v>49.45</v>
      </c>
      <c r="BR2163">
        <v>31.91</v>
      </c>
      <c r="BS2163">
        <v>3.5</v>
      </c>
      <c r="BT2163">
        <v>1.1200000000000001</v>
      </c>
      <c r="BU2163">
        <v>16.260000000000002</v>
      </c>
      <c r="BV2163">
        <v>11.65</v>
      </c>
      <c r="BW2163">
        <v>3.17</v>
      </c>
      <c r="BX2163">
        <v>5.54</v>
      </c>
      <c r="BY2163">
        <v>67.150000000000006</v>
      </c>
      <c r="BZ2163">
        <v>47.57</v>
      </c>
      <c r="CA2163">
        <v>3.9</v>
      </c>
      <c r="CB2163">
        <v>0.05</v>
      </c>
      <c r="CC2163">
        <v>3.94</v>
      </c>
      <c r="CD2163">
        <v>2.96</v>
      </c>
      <c r="CE2163">
        <v>2.96</v>
      </c>
      <c r="CF2163">
        <v>2.85</v>
      </c>
      <c r="CG2163">
        <v>9.1999999999999993</v>
      </c>
      <c r="CH2163">
        <v>3.21</v>
      </c>
      <c r="CI2163">
        <v>7.28</v>
      </c>
      <c r="CJ2163">
        <v>25071</v>
      </c>
      <c r="CK2163">
        <v>1635</v>
      </c>
      <c r="CL2163" t="s">
        <v>10137</v>
      </c>
      <c r="CM2163">
        <v>0</v>
      </c>
      <c r="CN2163">
        <v>0</v>
      </c>
      <c r="CO2163">
        <v>12.86</v>
      </c>
      <c r="CP2163">
        <v>78.13</v>
      </c>
      <c r="CQ2163">
        <v>3.74</v>
      </c>
      <c r="CR2163">
        <v>0</v>
      </c>
      <c r="CS2163" t="s">
        <v>4039</v>
      </c>
      <c r="CT2163">
        <v>4.87</v>
      </c>
      <c r="CU2163">
        <v>0</v>
      </c>
      <c r="CV2163">
        <v>1.38</v>
      </c>
      <c r="CW2163">
        <v>2.2999999999999998</v>
      </c>
      <c r="CX2163">
        <v>0.8</v>
      </c>
      <c r="CY2163">
        <v>50.55</v>
      </c>
      <c r="CZ2163" t="s">
        <v>10397</v>
      </c>
      <c r="DA2163">
        <v>29.15</v>
      </c>
      <c r="DB2163">
        <v>5.81</v>
      </c>
      <c r="DC2163">
        <v>4.4000000000000004</v>
      </c>
      <c r="DD2163">
        <v>0.32</v>
      </c>
      <c r="DE2163">
        <v>2673</v>
      </c>
      <c r="DF2163">
        <v>300783</v>
      </c>
      <c r="DG2163" t="s">
        <v>116</v>
      </c>
      <c r="DH2163" t="s">
        <v>116</v>
      </c>
      <c r="DI2163" t="s">
        <v>116</v>
      </c>
    </row>
    <row r="2164" spans="1:113" x14ac:dyDescent="0.4">
      <c r="A2164" t="str">
        <f>"300785"</f>
        <v>300785</v>
      </c>
      <c r="B2164" t="s">
        <v>10398</v>
      </c>
      <c r="C2164">
        <v>3.66</v>
      </c>
      <c r="D2164">
        <v>142</v>
      </c>
      <c r="E2164">
        <v>5.0199999999999996</v>
      </c>
      <c r="F2164">
        <v>141.9</v>
      </c>
      <c r="G2164">
        <v>142</v>
      </c>
      <c r="H2164">
        <v>30787</v>
      </c>
      <c r="I2164">
        <v>404</v>
      </c>
      <c r="J2164">
        <v>0.35</v>
      </c>
      <c r="K2164">
        <v>23.09</v>
      </c>
      <c r="L2164">
        <v>137</v>
      </c>
      <c r="M2164">
        <v>150</v>
      </c>
      <c r="N2164">
        <v>136.1</v>
      </c>
      <c r="O2164">
        <v>136.97999999999999</v>
      </c>
      <c r="P2164">
        <v>92.03</v>
      </c>
      <c r="Q2164">
        <v>437088032</v>
      </c>
      <c r="R2164">
        <v>1.49</v>
      </c>
      <c r="S2164" t="s">
        <v>1384</v>
      </c>
      <c r="T2164" t="s">
        <v>165</v>
      </c>
      <c r="U2164">
        <v>10.15</v>
      </c>
      <c r="V2164">
        <v>141.97</v>
      </c>
      <c r="W2164">
        <v>14259</v>
      </c>
      <c r="X2164">
        <v>16528</v>
      </c>
      <c r="Y2164">
        <v>0.86</v>
      </c>
      <c r="Z2164">
        <v>150</v>
      </c>
      <c r="AA2164">
        <v>180</v>
      </c>
      <c r="AB2164" t="s">
        <v>116</v>
      </c>
      <c r="AC2164">
        <v>4726500</v>
      </c>
      <c r="AD2164">
        <v>0.26</v>
      </c>
      <c r="AE2164" t="s">
        <v>116</v>
      </c>
      <c r="AF2164" t="s">
        <v>116</v>
      </c>
      <c r="AG2164">
        <v>0.13</v>
      </c>
      <c r="AH2164" t="s">
        <v>5248</v>
      </c>
      <c r="AI2164" t="s">
        <v>10399</v>
      </c>
      <c r="AJ2164">
        <v>4.34</v>
      </c>
      <c r="AK2164">
        <v>2827</v>
      </c>
      <c r="AL2164">
        <v>11</v>
      </c>
      <c r="AM2164">
        <v>8.2000000000000007E-3</v>
      </c>
      <c r="AN2164">
        <v>4</v>
      </c>
      <c r="AO2164">
        <v>22.85</v>
      </c>
      <c r="AP2164">
        <v>32.979999999999997</v>
      </c>
      <c r="AQ2164">
        <v>14.39</v>
      </c>
      <c r="AR2164">
        <v>399.65</v>
      </c>
      <c r="AS2164">
        <v>23.09</v>
      </c>
      <c r="AT2164" t="s">
        <v>5248</v>
      </c>
      <c r="AU2164">
        <v>63.45</v>
      </c>
      <c r="AV2164">
        <v>79.12</v>
      </c>
      <c r="AW2164">
        <v>1.77</v>
      </c>
      <c r="BA2164">
        <v>0.01</v>
      </c>
      <c r="BB2164">
        <v>9.51</v>
      </c>
      <c r="BC2164">
        <v>-0.64</v>
      </c>
      <c r="BD2164">
        <v>3.64</v>
      </c>
      <c r="BE2164">
        <v>3.65</v>
      </c>
      <c r="BF2164">
        <v>-5.33</v>
      </c>
      <c r="BG2164">
        <v>4.34</v>
      </c>
      <c r="BH2164">
        <v>0.02</v>
      </c>
      <c r="BI2164">
        <v>20191026</v>
      </c>
      <c r="BJ2164">
        <v>20190715</v>
      </c>
      <c r="BK2164">
        <v>0.53</v>
      </c>
      <c r="BL2164" t="s">
        <v>116</v>
      </c>
      <c r="BM2164" t="s">
        <v>116</v>
      </c>
      <c r="BN2164">
        <v>8.76</v>
      </c>
      <c r="BO2164">
        <v>6.94</v>
      </c>
      <c r="BP2164">
        <v>0</v>
      </c>
      <c r="BQ2164">
        <v>20.83</v>
      </c>
      <c r="BR2164">
        <v>6.64</v>
      </c>
      <c r="BS2164">
        <v>2.0099999999999998</v>
      </c>
      <c r="BT2164">
        <v>0.06</v>
      </c>
      <c r="BU2164">
        <v>0.91</v>
      </c>
      <c r="BV2164">
        <v>0.03</v>
      </c>
      <c r="BW2164">
        <v>1.41</v>
      </c>
      <c r="BX2164">
        <v>4.09</v>
      </c>
      <c r="BY2164">
        <v>4.05</v>
      </c>
      <c r="BZ2164">
        <v>1.1499999999999999</v>
      </c>
      <c r="CA2164">
        <v>0.68</v>
      </c>
      <c r="CB2164">
        <v>0.02</v>
      </c>
      <c r="CC2164">
        <v>0.68</v>
      </c>
      <c r="CD2164">
        <v>0.62</v>
      </c>
      <c r="CE2164">
        <v>0.62</v>
      </c>
      <c r="CF2164">
        <v>0.56999999999999995</v>
      </c>
      <c r="CG2164">
        <v>2.1</v>
      </c>
      <c r="CH2164">
        <v>0.68</v>
      </c>
      <c r="CI2164">
        <v>1.37</v>
      </c>
      <c r="CJ2164">
        <v>12553</v>
      </c>
      <c r="CK2164">
        <v>1062</v>
      </c>
      <c r="CL2164" t="s">
        <v>10400</v>
      </c>
      <c r="CM2164">
        <v>0</v>
      </c>
      <c r="CN2164">
        <v>0</v>
      </c>
      <c r="CO2164">
        <v>10.92</v>
      </c>
      <c r="CP2164">
        <v>112.07</v>
      </c>
      <c r="CQ2164">
        <v>18.72</v>
      </c>
      <c r="CR2164">
        <v>0</v>
      </c>
      <c r="CS2164" t="s">
        <v>10401</v>
      </c>
      <c r="CT2164">
        <v>13</v>
      </c>
      <c r="CU2164">
        <v>0</v>
      </c>
      <c r="CV2164">
        <v>7.67</v>
      </c>
      <c r="CW2164">
        <v>3.94</v>
      </c>
      <c r="CX2164">
        <v>1.27</v>
      </c>
      <c r="CY2164">
        <v>79.17</v>
      </c>
      <c r="CZ2164" t="s">
        <v>10402</v>
      </c>
      <c r="DA2164">
        <v>71.56</v>
      </c>
      <c r="DB2164">
        <v>16.739999999999998</v>
      </c>
      <c r="DC2164">
        <v>15.25</v>
      </c>
      <c r="DD2164">
        <v>0.61</v>
      </c>
      <c r="DE2164">
        <v>854</v>
      </c>
      <c r="DF2164">
        <v>300785</v>
      </c>
      <c r="DG2164" t="s">
        <v>116</v>
      </c>
      <c r="DH2164" t="s">
        <v>116</v>
      </c>
      <c r="DI2164" t="s">
        <v>116</v>
      </c>
    </row>
    <row r="2165" spans="1:113" x14ac:dyDescent="0.4">
      <c r="A2165" t="str">
        <f>"300786"</f>
        <v>300786</v>
      </c>
      <c r="B2165" t="s">
        <v>10403</v>
      </c>
      <c r="C2165">
        <v>0.47</v>
      </c>
      <c r="D2165">
        <v>53.56</v>
      </c>
      <c r="E2165">
        <v>0.25</v>
      </c>
      <c r="F2165">
        <v>53.56</v>
      </c>
      <c r="G2165">
        <v>53.57</v>
      </c>
      <c r="H2165">
        <v>16037</v>
      </c>
      <c r="I2165">
        <v>220</v>
      </c>
      <c r="J2165">
        <v>0.02</v>
      </c>
      <c r="K2165">
        <v>12.01</v>
      </c>
      <c r="L2165">
        <v>53.26</v>
      </c>
      <c r="M2165">
        <v>54.96</v>
      </c>
      <c r="N2165">
        <v>52.73</v>
      </c>
      <c r="O2165">
        <v>53.31</v>
      </c>
      <c r="P2165">
        <v>41.72</v>
      </c>
      <c r="Q2165">
        <v>86189984</v>
      </c>
      <c r="R2165">
        <v>1.17</v>
      </c>
      <c r="S2165" t="s">
        <v>140</v>
      </c>
      <c r="T2165" t="s">
        <v>645</v>
      </c>
      <c r="U2165">
        <v>4.18</v>
      </c>
      <c r="V2165">
        <v>53.74</v>
      </c>
      <c r="W2165">
        <v>8152</v>
      </c>
      <c r="X2165">
        <v>7885</v>
      </c>
      <c r="Y2165">
        <v>1.03</v>
      </c>
      <c r="Z2165">
        <v>72</v>
      </c>
      <c r="AA2165">
        <v>3</v>
      </c>
      <c r="AB2165" t="s">
        <v>116</v>
      </c>
      <c r="AC2165">
        <v>95900</v>
      </c>
      <c r="AD2165">
        <v>0.01</v>
      </c>
      <c r="AE2165" t="s">
        <v>116</v>
      </c>
      <c r="AF2165" t="s">
        <v>116</v>
      </c>
      <c r="AG2165">
        <v>0.13</v>
      </c>
      <c r="AH2165" t="s">
        <v>10404</v>
      </c>
      <c r="AI2165" t="s">
        <v>6518</v>
      </c>
      <c r="AJ2165">
        <v>1.1499999999999999</v>
      </c>
      <c r="AK2165">
        <v>1593</v>
      </c>
      <c r="AL2165">
        <v>10</v>
      </c>
      <c r="AM2165">
        <v>7.4999999999999997E-3</v>
      </c>
      <c r="AN2165">
        <v>3</v>
      </c>
      <c r="AO2165">
        <v>2.12</v>
      </c>
      <c r="AP2165">
        <v>3.28</v>
      </c>
      <c r="AQ2165">
        <v>-0.5</v>
      </c>
      <c r="AR2165">
        <v>105.84</v>
      </c>
      <c r="AS2165">
        <v>12.01</v>
      </c>
      <c r="AT2165" t="s">
        <v>10404</v>
      </c>
      <c r="AU2165">
        <v>42.27</v>
      </c>
      <c r="AV2165">
        <v>46.96</v>
      </c>
      <c r="AW2165">
        <v>0.26</v>
      </c>
      <c r="BA2165">
        <v>-0.09</v>
      </c>
      <c r="BB2165">
        <v>3.1</v>
      </c>
      <c r="BC2165">
        <v>-1.0900000000000001</v>
      </c>
      <c r="BD2165">
        <v>0.81</v>
      </c>
      <c r="BE2165">
        <v>0.56000000000000005</v>
      </c>
      <c r="BF2165">
        <v>-2.5499999999999998</v>
      </c>
      <c r="BG2165">
        <v>1.57</v>
      </c>
      <c r="BH2165">
        <v>-0.35</v>
      </c>
      <c r="BI2165">
        <v>20191030</v>
      </c>
      <c r="BJ2165">
        <v>20190723</v>
      </c>
      <c r="BK2165">
        <v>0.53</v>
      </c>
      <c r="BL2165" t="s">
        <v>116</v>
      </c>
      <c r="BM2165" t="s">
        <v>116</v>
      </c>
      <c r="BN2165">
        <v>9.35</v>
      </c>
      <c r="BO2165">
        <v>7.47</v>
      </c>
      <c r="BP2165">
        <v>0.03</v>
      </c>
      <c r="BQ2165">
        <v>19.77</v>
      </c>
      <c r="BR2165">
        <v>7.85</v>
      </c>
      <c r="BS2165">
        <v>1.2</v>
      </c>
      <c r="BT2165">
        <v>0.09</v>
      </c>
      <c r="BU2165">
        <v>1.83</v>
      </c>
      <c r="BV2165">
        <v>2.06</v>
      </c>
      <c r="BW2165">
        <v>1.88</v>
      </c>
      <c r="BX2165">
        <v>4.07</v>
      </c>
      <c r="BY2165">
        <v>2.73</v>
      </c>
      <c r="BZ2165">
        <v>1.63</v>
      </c>
      <c r="CA2165">
        <v>0.61</v>
      </c>
      <c r="CB2165">
        <v>0</v>
      </c>
      <c r="CC2165">
        <v>0.61</v>
      </c>
      <c r="CD2165">
        <v>0.52</v>
      </c>
      <c r="CE2165">
        <v>0.51</v>
      </c>
      <c r="CF2165">
        <v>0.5</v>
      </c>
      <c r="CG2165">
        <v>2.66</v>
      </c>
      <c r="CH2165">
        <v>0.09</v>
      </c>
      <c r="CI2165">
        <v>2.78</v>
      </c>
      <c r="CJ2165">
        <v>11974</v>
      </c>
      <c r="CK2165">
        <v>1115</v>
      </c>
      <c r="CL2165" t="s">
        <v>1348</v>
      </c>
      <c r="CM2165">
        <v>0</v>
      </c>
      <c r="CN2165">
        <v>0</v>
      </c>
      <c r="CO2165">
        <v>3.83</v>
      </c>
      <c r="CP2165">
        <v>314.54000000000002</v>
      </c>
      <c r="CQ2165">
        <v>10.47</v>
      </c>
      <c r="CR2165">
        <v>0</v>
      </c>
      <c r="CS2165" t="s">
        <v>10405</v>
      </c>
      <c r="CT2165">
        <v>14</v>
      </c>
      <c r="CU2165">
        <v>0</v>
      </c>
      <c r="CV2165">
        <v>7.62</v>
      </c>
      <c r="CW2165">
        <v>4.99</v>
      </c>
      <c r="CX2165">
        <v>0.17</v>
      </c>
      <c r="CY2165">
        <v>79.92</v>
      </c>
      <c r="CZ2165" t="s">
        <v>2841</v>
      </c>
      <c r="DA2165">
        <v>40.450000000000003</v>
      </c>
      <c r="DB2165">
        <v>22.16</v>
      </c>
      <c r="DC2165">
        <v>18.829999999999998</v>
      </c>
      <c r="DD2165">
        <v>0.11</v>
      </c>
      <c r="DE2165">
        <v>558</v>
      </c>
      <c r="DF2165">
        <v>300786</v>
      </c>
      <c r="DG2165" t="s">
        <v>116</v>
      </c>
      <c r="DH2165" t="s">
        <v>116</v>
      </c>
      <c r="DI2165" t="s">
        <v>116</v>
      </c>
    </row>
    <row r="2166" spans="1:113" x14ac:dyDescent="0.4">
      <c r="A2166" t="str">
        <f>"300787"</f>
        <v>300787</v>
      </c>
      <c r="B2166" t="s">
        <v>10406</v>
      </c>
      <c r="C2166">
        <v>10</v>
      </c>
      <c r="D2166">
        <v>90.38</v>
      </c>
      <c r="E2166">
        <v>8.2200000000000006</v>
      </c>
      <c r="F2166">
        <v>90.38</v>
      </c>
      <c r="G2166" t="s">
        <v>116</v>
      </c>
      <c r="H2166">
        <v>25809</v>
      </c>
      <c r="I2166">
        <v>30</v>
      </c>
      <c r="J2166">
        <v>0</v>
      </c>
      <c r="K2166">
        <v>12.16</v>
      </c>
      <c r="L2166">
        <v>85.88</v>
      </c>
      <c r="M2166">
        <v>90.38</v>
      </c>
      <c r="N2166">
        <v>84.7</v>
      </c>
      <c r="O2166">
        <v>82.16</v>
      </c>
      <c r="P2166">
        <v>61.06</v>
      </c>
      <c r="Q2166">
        <v>225290768</v>
      </c>
      <c r="R2166">
        <v>0.47</v>
      </c>
      <c r="S2166" t="s">
        <v>465</v>
      </c>
      <c r="T2166" t="s">
        <v>683</v>
      </c>
      <c r="U2166">
        <v>6.91</v>
      </c>
      <c r="V2166">
        <v>87.29</v>
      </c>
      <c r="W2166">
        <v>15406</v>
      </c>
      <c r="X2166">
        <v>10403</v>
      </c>
      <c r="Y2166">
        <v>1.48</v>
      </c>
      <c r="Z2166">
        <v>11733</v>
      </c>
      <c r="AA2166">
        <v>0</v>
      </c>
      <c r="AB2166" t="s">
        <v>116</v>
      </c>
      <c r="AC2166">
        <v>8588000</v>
      </c>
      <c r="AD2166">
        <v>0.47</v>
      </c>
      <c r="AE2166">
        <v>0.45</v>
      </c>
      <c r="AF2166">
        <v>106042848</v>
      </c>
      <c r="AG2166">
        <v>0.21</v>
      </c>
      <c r="AH2166" t="s">
        <v>5646</v>
      </c>
      <c r="AI2166" t="s">
        <v>10407</v>
      </c>
      <c r="AJ2166">
        <v>10.68</v>
      </c>
      <c r="AK2166">
        <v>1289</v>
      </c>
      <c r="AL2166">
        <v>20</v>
      </c>
      <c r="AM2166">
        <v>9.4000000000000004E-3</v>
      </c>
      <c r="AN2166">
        <v>3</v>
      </c>
      <c r="AO2166">
        <v>33.1</v>
      </c>
      <c r="AP2166">
        <v>94.66</v>
      </c>
      <c r="AQ2166">
        <v>68.62</v>
      </c>
      <c r="AR2166">
        <v>230.7</v>
      </c>
      <c r="AS2166">
        <v>12.16</v>
      </c>
      <c r="AT2166" t="s">
        <v>5646</v>
      </c>
      <c r="AU2166">
        <v>57.38</v>
      </c>
      <c r="AV2166">
        <v>65.8</v>
      </c>
      <c r="AW2166">
        <v>0.89</v>
      </c>
      <c r="BA2166">
        <v>4.53</v>
      </c>
      <c r="BB2166">
        <v>10</v>
      </c>
      <c r="BC2166">
        <v>3.09</v>
      </c>
      <c r="BD2166">
        <v>6.25</v>
      </c>
      <c r="BE2166">
        <v>5.24</v>
      </c>
      <c r="BF2166">
        <v>0</v>
      </c>
      <c r="BG2166">
        <v>6.71</v>
      </c>
      <c r="BH2166">
        <v>3.76</v>
      </c>
      <c r="BI2166">
        <v>20191223</v>
      </c>
      <c r="BJ2166">
        <v>20190815</v>
      </c>
      <c r="BK2166">
        <v>0.85</v>
      </c>
      <c r="BL2166" t="s">
        <v>116</v>
      </c>
      <c r="BM2166" t="s">
        <v>116</v>
      </c>
      <c r="BN2166">
        <v>14.08</v>
      </c>
      <c r="BO2166">
        <v>11.03</v>
      </c>
      <c r="BP2166">
        <v>0</v>
      </c>
      <c r="BQ2166">
        <v>21.68</v>
      </c>
      <c r="BR2166">
        <v>9.41</v>
      </c>
      <c r="BS2166">
        <v>3.16</v>
      </c>
      <c r="BT2166">
        <v>0.73</v>
      </c>
      <c r="BU2166">
        <v>2.65</v>
      </c>
      <c r="BV2166">
        <v>1.75</v>
      </c>
      <c r="BW2166">
        <v>2.16</v>
      </c>
      <c r="BX2166">
        <v>5.01</v>
      </c>
      <c r="BY2166">
        <v>7.36</v>
      </c>
      <c r="BZ2166">
        <v>5.33</v>
      </c>
      <c r="CA2166">
        <v>1.03</v>
      </c>
      <c r="CB2166">
        <v>-0.02</v>
      </c>
      <c r="CC2166">
        <v>1.03</v>
      </c>
      <c r="CD2166">
        <v>0.94</v>
      </c>
      <c r="CE2166">
        <v>0.94</v>
      </c>
      <c r="CF2166">
        <v>0.65</v>
      </c>
      <c r="CG2166">
        <v>4.8600000000000003</v>
      </c>
      <c r="CH2166">
        <v>0.31</v>
      </c>
      <c r="CI2166">
        <v>1.5</v>
      </c>
      <c r="CJ2166">
        <v>14977</v>
      </c>
      <c r="CK2166">
        <v>1417</v>
      </c>
      <c r="CL2166" t="s">
        <v>1682</v>
      </c>
      <c r="CM2166">
        <v>0</v>
      </c>
      <c r="CN2166">
        <v>0</v>
      </c>
      <c r="CO2166">
        <v>6.96</v>
      </c>
      <c r="CP2166">
        <v>248.92</v>
      </c>
      <c r="CQ2166">
        <v>10.42</v>
      </c>
      <c r="CR2166">
        <v>0</v>
      </c>
      <c r="CS2166" t="s">
        <v>7373</v>
      </c>
      <c r="CT2166">
        <v>12.99</v>
      </c>
      <c r="CU2166">
        <v>0</v>
      </c>
      <c r="CV2166">
        <v>5.91</v>
      </c>
      <c r="CW2166">
        <v>5.72</v>
      </c>
      <c r="CX2166">
        <v>0.36</v>
      </c>
      <c r="CY2166">
        <v>78.319999999999993</v>
      </c>
      <c r="CZ2166" t="s">
        <v>10408</v>
      </c>
      <c r="DA2166">
        <v>27.59</v>
      </c>
      <c r="DB2166">
        <v>14.01</v>
      </c>
      <c r="DC2166">
        <v>12.8</v>
      </c>
      <c r="DD2166">
        <v>0.53</v>
      </c>
      <c r="DE2166">
        <v>3483</v>
      </c>
      <c r="DF2166">
        <v>300787</v>
      </c>
      <c r="DG2166" t="s">
        <v>116</v>
      </c>
      <c r="DH2166" t="s">
        <v>116</v>
      </c>
      <c r="DI2166" t="s">
        <v>116</v>
      </c>
    </row>
    <row r="2167" spans="1:113" x14ac:dyDescent="0.4">
      <c r="A2167" t="str">
        <f>"300788"</f>
        <v>300788</v>
      </c>
      <c r="B2167" t="s">
        <v>10409</v>
      </c>
      <c r="C2167">
        <v>1.33</v>
      </c>
      <c r="D2167">
        <v>49.35</v>
      </c>
      <c r="E2167">
        <v>0.65</v>
      </c>
      <c r="F2167">
        <v>49.35</v>
      </c>
      <c r="G2167">
        <v>49.36</v>
      </c>
      <c r="H2167">
        <v>14903</v>
      </c>
      <c r="I2167">
        <v>304</v>
      </c>
      <c r="J2167">
        <v>-0.03</v>
      </c>
      <c r="K2167">
        <v>3.13</v>
      </c>
      <c r="L2167">
        <v>48.75</v>
      </c>
      <c r="M2167">
        <v>49.77</v>
      </c>
      <c r="N2167">
        <v>48.35</v>
      </c>
      <c r="O2167">
        <v>48.7</v>
      </c>
      <c r="P2167">
        <v>40.159999999999997</v>
      </c>
      <c r="Q2167">
        <v>73082080</v>
      </c>
      <c r="R2167">
        <v>0.94</v>
      </c>
      <c r="S2167" t="s">
        <v>1902</v>
      </c>
      <c r="T2167" t="s">
        <v>165</v>
      </c>
      <c r="U2167">
        <v>2.92</v>
      </c>
      <c r="V2167">
        <v>49.04</v>
      </c>
      <c r="W2167">
        <v>7960</v>
      </c>
      <c r="X2167">
        <v>6943</v>
      </c>
      <c r="Y2167">
        <v>1.1499999999999999</v>
      </c>
      <c r="Z2167">
        <v>56</v>
      </c>
      <c r="AA2167">
        <v>7</v>
      </c>
      <c r="AB2167" t="s">
        <v>116</v>
      </c>
      <c r="AC2167">
        <v>63400</v>
      </c>
      <c r="AD2167">
        <v>0</v>
      </c>
      <c r="AE2167" t="s">
        <v>116</v>
      </c>
      <c r="AF2167" t="s">
        <v>116</v>
      </c>
      <c r="AG2167">
        <v>0.48</v>
      </c>
      <c r="AH2167" t="s">
        <v>5218</v>
      </c>
      <c r="AI2167" t="s">
        <v>10410</v>
      </c>
      <c r="AJ2167">
        <v>2.0099999999999998</v>
      </c>
      <c r="AK2167">
        <v>1857</v>
      </c>
      <c r="AL2167">
        <v>8</v>
      </c>
      <c r="AM2167">
        <v>1.6999999999999999E-3</v>
      </c>
      <c r="AN2167">
        <v>1</v>
      </c>
      <c r="AO2167">
        <v>3.39</v>
      </c>
      <c r="AP2167">
        <v>7.75</v>
      </c>
      <c r="AQ2167">
        <v>9.76</v>
      </c>
      <c r="AR2167">
        <v>232.32</v>
      </c>
      <c r="AS2167">
        <v>3.13</v>
      </c>
      <c r="AT2167" t="s">
        <v>5218</v>
      </c>
      <c r="AU2167">
        <v>39.49</v>
      </c>
      <c r="AV2167">
        <v>45.4</v>
      </c>
      <c r="AW2167">
        <v>0.95</v>
      </c>
      <c r="BA2167">
        <v>0.1</v>
      </c>
      <c r="BB2167">
        <v>2.2000000000000002</v>
      </c>
      <c r="BC2167">
        <v>-0.72</v>
      </c>
      <c r="BD2167">
        <v>0.69</v>
      </c>
      <c r="BE2167">
        <v>1.23</v>
      </c>
      <c r="BF2167">
        <v>-0.84</v>
      </c>
      <c r="BG2167">
        <v>2.0699999999999998</v>
      </c>
      <c r="BH2167">
        <v>0.64</v>
      </c>
      <c r="BI2167">
        <v>20191028</v>
      </c>
      <c r="BJ2167">
        <v>20190705</v>
      </c>
      <c r="BK2167">
        <v>1.9</v>
      </c>
      <c r="BL2167" t="s">
        <v>116</v>
      </c>
      <c r="BM2167" t="s">
        <v>116</v>
      </c>
      <c r="BN2167">
        <v>25.21</v>
      </c>
      <c r="BO2167">
        <v>16.28</v>
      </c>
      <c r="BP2167">
        <v>-0.06</v>
      </c>
      <c r="BQ2167">
        <v>35.64</v>
      </c>
      <c r="BR2167">
        <v>23.06</v>
      </c>
      <c r="BS2167">
        <v>0.17</v>
      </c>
      <c r="BT2167">
        <v>0.1</v>
      </c>
      <c r="BU2167">
        <v>8.83</v>
      </c>
      <c r="BV2167">
        <v>7.27</v>
      </c>
      <c r="BW2167">
        <v>1.0900000000000001</v>
      </c>
      <c r="BX2167">
        <v>7.51</v>
      </c>
      <c r="BY2167">
        <v>13.56</v>
      </c>
      <c r="BZ2167">
        <v>8.36</v>
      </c>
      <c r="CA2167">
        <v>1.66</v>
      </c>
      <c r="CB2167">
        <v>-0.01</v>
      </c>
      <c r="CC2167">
        <v>1.66</v>
      </c>
      <c r="CD2167">
        <v>1.63</v>
      </c>
      <c r="CE2167">
        <v>1.75</v>
      </c>
      <c r="CF2167">
        <v>1.66</v>
      </c>
      <c r="CG2167">
        <v>6.1</v>
      </c>
      <c r="CH2167">
        <v>1.33</v>
      </c>
      <c r="CI2167">
        <v>-3.49</v>
      </c>
      <c r="CJ2167">
        <v>12944</v>
      </c>
      <c r="CK2167">
        <v>3673</v>
      </c>
      <c r="CL2167" t="s">
        <v>10411</v>
      </c>
      <c r="CM2167">
        <v>0</v>
      </c>
      <c r="CN2167">
        <v>0</v>
      </c>
      <c r="CO2167">
        <v>5.76</v>
      </c>
      <c r="CP2167">
        <v>70.8</v>
      </c>
      <c r="CQ2167">
        <v>6.92</v>
      </c>
      <c r="CR2167">
        <v>0</v>
      </c>
      <c r="CS2167" t="s">
        <v>2170</v>
      </c>
      <c r="CT2167">
        <v>8.56</v>
      </c>
      <c r="CU2167">
        <v>0</v>
      </c>
      <c r="CV2167">
        <v>3.95</v>
      </c>
      <c r="CW2167">
        <v>3.21</v>
      </c>
      <c r="CX2167">
        <v>0.7</v>
      </c>
      <c r="CY2167">
        <v>64.59</v>
      </c>
      <c r="CZ2167" t="s">
        <v>10412</v>
      </c>
      <c r="DA2167">
        <v>38.36</v>
      </c>
      <c r="DB2167">
        <v>12.25</v>
      </c>
      <c r="DC2167">
        <v>12.92</v>
      </c>
      <c r="DD2167">
        <v>0.05</v>
      </c>
      <c r="DE2167">
        <v>1535</v>
      </c>
      <c r="DF2167">
        <v>300788</v>
      </c>
      <c r="DG2167" t="s">
        <v>116</v>
      </c>
      <c r="DH2167" t="s">
        <v>116</v>
      </c>
      <c r="DI2167" t="s">
        <v>116</v>
      </c>
    </row>
    <row r="2168" spans="1:113" x14ac:dyDescent="0.4">
      <c r="A2168" t="str">
        <f>"300789"</f>
        <v>300789</v>
      </c>
      <c r="B2168" t="s">
        <v>10413</v>
      </c>
      <c r="C2168">
        <v>4.18</v>
      </c>
      <c r="D2168">
        <v>93.9</v>
      </c>
      <c r="E2168">
        <v>3.77</v>
      </c>
      <c r="F2168">
        <v>93.86</v>
      </c>
      <c r="G2168">
        <v>93.9</v>
      </c>
      <c r="H2168">
        <v>20970</v>
      </c>
      <c r="I2168">
        <v>1001</v>
      </c>
      <c r="J2168">
        <v>0.75</v>
      </c>
      <c r="K2168">
        <v>18.23</v>
      </c>
      <c r="L2168">
        <v>90</v>
      </c>
      <c r="M2168">
        <v>94.15</v>
      </c>
      <c r="N2168">
        <v>87.63</v>
      </c>
      <c r="O2168">
        <v>90.13</v>
      </c>
      <c r="P2168">
        <v>61.99</v>
      </c>
      <c r="Q2168">
        <v>191233520</v>
      </c>
      <c r="R2168">
        <v>1.05</v>
      </c>
      <c r="S2168" t="s">
        <v>607</v>
      </c>
      <c r="T2168" t="s">
        <v>582</v>
      </c>
      <c r="U2168">
        <v>7.23</v>
      </c>
      <c r="V2168">
        <v>91.2</v>
      </c>
      <c r="W2168">
        <v>10377</v>
      </c>
      <c r="X2168">
        <v>10593</v>
      </c>
      <c r="Y2168">
        <v>0.98</v>
      </c>
      <c r="Z2168">
        <v>1</v>
      </c>
      <c r="AA2168">
        <v>9</v>
      </c>
      <c r="AB2168" t="s">
        <v>116</v>
      </c>
      <c r="AC2168">
        <v>558000</v>
      </c>
      <c r="AD2168">
        <v>0.05</v>
      </c>
      <c r="AE2168" t="s">
        <v>116</v>
      </c>
      <c r="AF2168" t="s">
        <v>116</v>
      </c>
      <c r="AG2168">
        <v>0.12</v>
      </c>
      <c r="AH2168" t="s">
        <v>4179</v>
      </c>
      <c r="AI2168" t="s">
        <v>10414</v>
      </c>
      <c r="AJ2168">
        <v>4.8600000000000003</v>
      </c>
      <c r="AK2168">
        <v>2381</v>
      </c>
      <c r="AL2168">
        <v>9</v>
      </c>
      <c r="AM2168">
        <v>7.7000000000000002E-3</v>
      </c>
      <c r="AN2168">
        <v>1</v>
      </c>
      <c r="AO2168">
        <v>4.76</v>
      </c>
      <c r="AP2168">
        <v>20.52</v>
      </c>
      <c r="AQ2168">
        <v>7.76</v>
      </c>
      <c r="AR2168">
        <v>163.91</v>
      </c>
      <c r="AS2168">
        <v>18.23</v>
      </c>
      <c r="AT2168" t="s">
        <v>4179</v>
      </c>
      <c r="AU2168">
        <v>43.42</v>
      </c>
      <c r="AV2168">
        <v>51.65</v>
      </c>
      <c r="AW2168">
        <v>0.89</v>
      </c>
      <c r="BA2168">
        <v>-0.14000000000000001</v>
      </c>
      <c r="BB2168">
        <v>4.46</v>
      </c>
      <c r="BC2168">
        <v>-2.77</v>
      </c>
      <c r="BD2168">
        <v>1.18</v>
      </c>
      <c r="BE2168">
        <v>4.33</v>
      </c>
      <c r="BF2168">
        <v>-0.27</v>
      </c>
      <c r="BG2168">
        <v>7.16</v>
      </c>
      <c r="BH2168">
        <v>3</v>
      </c>
      <c r="BI2168">
        <v>20191223</v>
      </c>
      <c r="BJ2168">
        <v>20190828</v>
      </c>
      <c r="BK2168">
        <v>0.46</v>
      </c>
      <c r="BL2168" t="s">
        <v>116</v>
      </c>
      <c r="BM2168" t="s">
        <v>116</v>
      </c>
      <c r="BN2168">
        <v>8.08</v>
      </c>
      <c r="BO2168">
        <v>6.66</v>
      </c>
      <c r="BP2168">
        <v>0</v>
      </c>
      <c r="BQ2168">
        <v>17.53</v>
      </c>
      <c r="BR2168">
        <v>7.81</v>
      </c>
      <c r="BS2168">
        <v>0.1</v>
      </c>
      <c r="BT2168">
        <v>0.09</v>
      </c>
      <c r="BU2168">
        <v>1.32</v>
      </c>
      <c r="BV2168">
        <v>1.03</v>
      </c>
      <c r="BW2168">
        <v>1.79</v>
      </c>
      <c r="BX2168">
        <v>3.86</v>
      </c>
      <c r="BY2168">
        <v>2</v>
      </c>
      <c r="BZ2168">
        <v>0.95</v>
      </c>
      <c r="CA2168">
        <v>0.59</v>
      </c>
      <c r="CB2168">
        <v>0</v>
      </c>
      <c r="CC2168">
        <v>0.57999999999999996</v>
      </c>
      <c r="CD2168">
        <v>0.52</v>
      </c>
      <c r="CE2168">
        <v>0.52</v>
      </c>
      <c r="CF2168">
        <v>0.5</v>
      </c>
      <c r="CG2168">
        <v>2.11</v>
      </c>
      <c r="CH2168">
        <v>-0.23</v>
      </c>
      <c r="CI2168">
        <v>3.18</v>
      </c>
      <c r="CJ2168">
        <v>11520</v>
      </c>
      <c r="CK2168">
        <v>998</v>
      </c>
      <c r="CL2168" t="s">
        <v>971</v>
      </c>
      <c r="CM2168">
        <v>0</v>
      </c>
      <c r="CN2168">
        <v>0</v>
      </c>
      <c r="CO2168">
        <v>6.48</v>
      </c>
      <c r="CP2168">
        <v>-185.03</v>
      </c>
      <c r="CQ2168">
        <v>21.61</v>
      </c>
      <c r="CR2168">
        <v>0</v>
      </c>
      <c r="CS2168" t="s">
        <v>10092</v>
      </c>
      <c r="CT2168">
        <v>14.49</v>
      </c>
      <c r="CU2168">
        <v>0</v>
      </c>
      <c r="CV2168">
        <v>8.4</v>
      </c>
      <c r="CW2168">
        <v>4.59</v>
      </c>
      <c r="CX2168">
        <v>-0.51</v>
      </c>
      <c r="CY2168">
        <v>82.47</v>
      </c>
      <c r="CZ2168" t="s">
        <v>1026</v>
      </c>
      <c r="DA2168">
        <v>52.35</v>
      </c>
      <c r="DB2168">
        <v>29.31</v>
      </c>
      <c r="DC2168">
        <v>26.14</v>
      </c>
      <c r="DD2168">
        <v>0.27</v>
      </c>
      <c r="DE2168">
        <v>305</v>
      </c>
      <c r="DF2168">
        <v>300789</v>
      </c>
      <c r="DG2168" t="s">
        <v>116</v>
      </c>
      <c r="DH2168" t="s">
        <v>116</v>
      </c>
      <c r="DI2168" t="s">
        <v>116</v>
      </c>
    </row>
    <row r="2169" spans="1:113" x14ac:dyDescent="0.4">
      <c r="A2169" t="str">
        <f>"300790"</f>
        <v>300790</v>
      </c>
      <c r="B2169" t="s">
        <v>10415</v>
      </c>
      <c r="C2169">
        <v>-2.52</v>
      </c>
      <c r="D2169">
        <v>44.18</v>
      </c>
      <c r="E2169">
        <v>-1.1399999999999999</v>
      </c>
      <c r="F2169">
        <v>44.18</v>
      </c>
      <c r="G2169">
        <v>44.19</v>
      </c>
      <c r="H2169">
        <v>40462</v>
      </c>
      <c r="I2169">
        <v>722</v>
      </c>
      <c r="J2169">
        <v>-0.66</v>
      </c>
      <c r="K2169">
        <v>14.16</v>
      </c>
      <c r="L2169">
        <v>44.65</v>
      </c>
      <c r="M2169">
        <v>45.4</v>
      </c>
      <c r="N2169">
        <v>44.18</v>
      </c>
      <c r="O2169">
        <v>45.32</v>
      </c>
      <c r="P2169">
        <v>53.31</v>
      </c>
      <c r="Q2169">
        <v>181293280</v>
      </c>
      <c r="R2169">
        <v>1.49</v>
      </c>
      <c r="S2169" t="s">
        <v>2977</v>
      </c>
      <c r="T2169" t="s">
        <v>551</v>
      </c>
      <c r="U2169">
        <v>2.69</v>
      </c>
      <c r="V2169">
        <v>44.81</v>
      </c>
      <c r="W2169">
        <v>22507</v>
      </c>
      <c r="X2169">
        <v>17955</v>
      </c>
      <c r="Y2169">
        <v>1.25</v>
      </c>
      <c r="Z2169">
        <v>67</v>
      </c>
      <c r="AA2169">
        <v>47</v>
      </c>
      <c r="AB2169" t="s">
        <v>116</v>
      </c>
      <c r="AC2169">
        <v>2196800</v>
      </c>
      <c r="AD2169">
        <v>0.17</v>
      </c>
      <c r="AE2169" t="s">
        <v>116</v>
      </c>
      <c r="AF2169" t="s">
        <v>116</v>
      </c>
      <c r="AG2169">
        <v>0.28999999999999998</v>
      </c>
      <c r="AH2169" t="s">
        <v>10416</v>
      </c>
      <c r="AI2169" t="s">
        <v>10417</v>
      </c>
      <c r="AJ2169">
        <v>-1.84</v>
      </c>
      <c r="AK2169">
        <v>2774</v>
      </c>
      <c r="AL2169">
        <v>15</v>
      </c>
      <c r="AM2169">
        <v>5.1000000000000004E-3</v>
      </c>
      <c r="AN2169">
        <v>-1</v>
      </c>
      <c r="AO2169">
        <v>3.77</v>
      </c>
      <c r="AP2169">
        <v>3.44</v>
      </c>
      <c r="AQ2169">
        <v>4.87</v>
      </c>
      <c r="AR2169">
        <v>143.28</v>
      </c>
      <c r="AS2169">
        <v>14.16</v>
      </c>
      <c r="AT2169" t="s">
        <v>10416</v>
      </c>
      <c r="AU2169">
        <v>46.44</v>
      </c>
      <c r="AV2169">
        <v>51.48</v>
      </c>
      <c r="AW2169">
        <v>0.77</v>
      </c>
      <c r="BA2169">
        <v>-1.48</v>
      </c>
      <c r="BB2169">
        <v>0.18</v>
      </c>
      <c r="BC2169">
        <v>-2.52</v>
      </c>
      <c r="BD2169">
        <v>-1.1299999999999999</v>
      </c>
      <c r="BE2169">
        <v>-1.05</v>
      </c>
      <c r="BF2169">
        <v>-2.69</v>
      </c>
      <c r="BG2169">
        <v>0</v>
      </c>
      <c r="BH2169">
        <v>-1.38</v>
      </c>
      <c r="BI2169">
        <v>20191028</v>
      </c>
      <c r="BJ2169">
        <v>20190920</v>
      </c>
      <c r="BK2169">
        <v>1.1399999999999999</v>
      </c>
      <c r="BL2169" t="s">
        <v>116</v>
      </c>
      <c r="BM2169" t="s">
        <v>116</v>
      </c>
      <c r="BN2169">
        <v>19.39</v>
      </c>
      <c r="BO2169">
        <v>11.59</v>
      </c>
      <c r="BP2169">
        <v>0</v>
      </c>
      <c r="BQ2169">
        <v>40.22</v>
      </c>
      <c r="BR2169">
        <v>11.46</v>
      </c>
      <c r="BS2169">
        <v>4.84</v>
      </c>
      <c r="BT2169">
        <v>0.64</v>
      </c>
      <c r="BU2169">
        <v>7.18</v>
      </c>
      <c r="BV2169">
        <v>2.66</v>
      </c>
      <c r="BW2169">
        <v>1.76</v>
      </c>
      <c r="BX2169">
        <v>7.43</v>
      </c>
      <c r="BY2169">
        <v>8.17</v>
      </c>
      <c r="BZ2169">
        <v>6.35</v>
      </c>
      <c r="CA2169">
        <v>0.82</v>
      </c>
      <c r="CB2169">
        <v>0</v>
      </c>
      <c r="CC2169">
        <v>0.8</v>
      </c>
      <c r="CD2169">
        <v>0.71</v>
      </c>
      <c r="CE2169">
        <v>0.71</v>
      </c>
      <c r="CF2169">
        <v>0.71</v>
      </c>
      <c r="CG2169">
        <v>2.79</v>
      </c>
      <c r="CH2169">
        <v>2.3199999999999998</v>
      </c>
      <c r="CI2169">
        <v>4.9400000000000004</v>
      </c>
      <c r="CJ2169">
        <v>56707</v>
      </c>
      <c r="CK2169">
        <v>504</v>
      </c>
      <c r="CL2169" t="s">
        <v>10418</v>
      </c>
      <c r="CM2169">
        <v>0</v>
      </c>
      <c r="CN2169">
        <v>0</v>
      </c>
      <c r="CO2169">
        <v>4.3600000000000003</v>
      </c>
      <c r="CP2169">
        <v>21.78</v>
      </c>
      <c r="CQ2169">
        <v>6.18</v>
      </c>
      <c r="CR2169">
        <v>0</v>
      </c>
      <c r="CS2169" t="s">
        <v>9188</v>
      </c>
      <c r="CT2169">
        <v>10.14</v>
      </c>
      <c r="CU2169">
        <v>0</v>
      </c>
      <c r="CV2169">
        <v>6.5</v>
      </c>
      <c r="CW2169">
        <v>2.44</v>
      </c>
      <c r="CX2169">
        <v>2.0299999999999998</v>
      </c>
      <c r="CY2169">
        <v>59.78</v>
      </c>
      <c r="CZ2169" t="s">
        <v>6189</v>
      </c>
      <c r="DA2169">
        <v>22.32</v>
      </c>
      <c r="DB2169">
        <v>9.98</v>
      </c>
      <c r="DC2169">
        <v>8.69</v>
      </c>
      <c r="DD2169">
        <v>0.36</v>
      </c>
      <c r="DE2169">
        <v>1729</v>
      </c>
      <c r="DF2169">
        <v>300790</v>
      </c>
      <c r="DG2169" t="s">
        <v>116</v>
      </c>
      <c r="DH2169" t="s">
        <v>116</v>
      </c>
      <c r="DI2169" t="s">
        <v>116</v>
      </c>
    </row>
    <row r="2170" spans="1:113" x14ac:dyDescent="0.4">
      <c r="A2170" t="str">
        <f>"300791"</f>
        <v>300791</v>
      </c>
      <c r="B2170" t="s">
        <v>10419</v>
      </c>
      <c r="C2170">
        <v>-1.6</v>
      </c>
      <c r="D2170">
        <v>60.1</v>
      </c>
      <c r="E2170">
        <v>-0.98</v>
      </c>
      <c r="F2170">
        <v>60.1</v>
      </c>
      <c r="G2170">
        <v>60.11</v>
      </c>
      <c r="H2170">
        <v>14798</v>
      </c>
      <c r="I2170">
        <v>288</v>
      </c>
      <c r="J2170">
        <v>-0.16</v>
      </c>
      <c r="K2170">
        <v>7.4</v>
      </c>
      <c r="L2170">
        <v>60.9</v>
      </c>
      <c r="M2170">
        <v>61.51</v>
      </c>
      <c r="N2170">
        <v>60.05</v>
      </c>
      <c r="O2170">
        <v>61.08</v>
      </c>
      <c r="P2170">
        <v>30.22</v>
      </c>
      <c r="Q2170">
        <v>89644800</v>
      </c>
      <c r="R2170">
        <v>1.1200000000000001</v>
      </c>
      <c r="S2170" t="s">
        <v>559</v>
      </c>
      <c r="T2170" t="s">
        <v>551</v>
      </c>
      <c r="U2170">
        <v>2.39</v>
      </c>
      <c r="V2170">
        <v>60.58</v>
      </c>
      <c r="W2170">
        <v>7786</v>
      </c>
      <c r="X2170">
        <v>7012</v>
      </c>
      <c r="Y2170">
        <v>1.1100000000000001</v>
      </c>
      <c r="Z2170">
        <v>90</v>
      </c>
      <c r="AA2170">
        <v>113</v>
      </c>
      <c r="AB2170" t="s">
        <v>116</v>
      </c>
      <c r="AC2170">
        <v>341000</v>
      </c>
      <c r="AD2170">
        <v>0.03</v>
      </c>
      <c r="AE2170" t="s">
        <v>116</v>
      </c>
      <c r="AF2170" t="s">
        <v>116</v>
      </c>
      <c r="AG2170">
        <v>0.2</v>
      </c>
      <c r="AH2170" t="s">
        <v>9773</v>
      </c>
      <c r="AI2170" t="s">
        <v>10420</v>
      </c>
      <c r="AJ2170">
        <v>-0.93</v>
      </c>
      <c r="AK2170">
        <v>2143</v>
      </c>
      <c r="AL2170">
        <v>7</v>
      </c>
      <c r="AM2170">
        <v>3.5000000000000001E-3</v>
      </c>
      <c r="AN2170">
        <v>-1</v>
      </c>
      <c r="AO2170">
        <v>3.27</v>
      </c>
      <c r="AP2170">
        <v>4.49</v>
      </c>
      <c r="AQ2170">
        <v>-30</v>
      </c>
      <c r="AR2170">
        <v>9.81</v>
      </c>
      <c r="AS2170">
        <v>7.4</v>
      </c>
      <c r="AT2170" t="s">
        <v>9773</v>
      </c>
      <c r="AU2170">
        <v>25.79</v>
      </c>
      <c r="AV2170">
        <v>23.66</v>
      </c>
      <c r="AW2170">
        <v>1</v>
      </c>
      <c r="BA2170">
        <v>-0.28999999999999998</v>
      </c>
      <c r="BB2170">
        <v>0.7</v>
      </c>
      <c r="BC2170">
        <v>-1.69</v>
      </c>
      <c r="BD2170">
        <v>-0.82</v>
      </c>
      <c r="BE2170">
        <v>-1.31</v>
      </c>
      <c r="BF2170">
        <v>-2.29</v>
      </c>
      <c r="BG2170">
        <v>0.08</v>
      </c>
      <c r="BH2170">
        <v>-0.78</v>
      </c>
      <c r="BI2170">
        <v>20191029</v>
      </c>
      <c r="BJ2170">
        <v>20190925</v>
      </c>
      <c r="BK2170">
        <v>0.8</v>
      </c>
      <c r="BL2170" t="s">
        <v>116</v>
      </c>
      <c r="BM2170" t="s">
        <v>116</v>
      </c>
      <c r="BN2170">
        <v>25.87</v>
      </c>
      <c r="BO2170">
        <v>19.25</v>
      </c>
      <c r="BP2170">
        <v>0</v>
      </c>
      <c r="BQ2170">
        <v>25.61</v>
      </c>
      <c r="BR2170">
        <v>15.7</v>
      </c>
      <c r="BS2170">
        <v>5.29</v>
      </c>
      <c r="BT2170">
        <v>1.21</v>
      </c>
      <c r="BU2170">
        <v>4.5599999999999996</v>
      </c>
      <c r="BV2170">
        <v>2.11</v>
      </c>
      <c r="BW2170">
        <v>1.87</v>
      </c>
      <c r="BX2170">
        <v>11.13</v>
      </c>
      <c r="BY2170">
        <v>11.67</v>
      </c>
      <c r="BZ2170">
        <v>7.81</v>
      </c>
      <c r="CA2170">
        <v>1.26</v>
      </c>
      <c r="CB2170">
        <v>0</v>
      </c>
      <c r="CC2170">
        <v>1.31</v>
      </c>
      <c r="CD2170">
        <v>1.19</v>
      </c>
      <c r="CE2170">
        <v>1.19</v>
      </c>
      <c r="CF2170">
        <v>1.1200000000000001</v>
      </c>
      <c r="CG2170">
        <v>6.92</v>
      </c>
      <c r="CH2170">
        <v>1.93</v>
      </c>
      <c r="CI2170">
        <v>10.220000000000001</v>
      </c>
      <c r="CJ2170">
        <v>33102</v>
      </c>
      <c r="CK2170">
        <v>604</v>
      </c>
      <c r="CL2170" t="s">
        <v>2473</v>
      </c>
      <c r="CM2170">
        <v>0</v>
      </c>
      <c r="CN2170">
        <v>0</v>
      </c>
      <c r="CO2170">
        <v>2.5</v>
      </c>
      <c r="CP2170">
        <v>24.89</v>
      </c>
      <c r="CQ2170">
        <v>4.12</v>
      </c>
      <c r="CR2170">
        <v>0</v>
      </c>
      <c r="CS2170" t="s">
        <v>10421</v>
      </c>
      <c r="CT2170">
        <v>24.06</v>
      </c>
      <c r="CU2170">
        <v>0</v>
      </c>
      <c r="CV2170">
        <v>13.91</v>
      </c>
      <c r="CW2170">
        <v>8.65</v>
      </c>
      <c r="CX2170">
        <v>2.41</v>
      </c>
      <c r="CY2170">
        <v>74.39</v>
      </c>
      <c r="CZ2170" t="s">
        <v>2123</v>
      </c>
      <c r="DA2170">
        <v>33.119999999999997</v>
      </c>
      <c r="DB2170">
        <v>10.83</v>
      </c>
      <c r="DC2170">
        <v>10.220000000000001</v>
      </c>
      <c r="DD2170">
        <v>0.48</v>
      </c>
      <c r="DE2170">
        <v>1875</v>
      </c>
      <c r="DF2170">
        <v>300791</v>
      </c>
      <c r="DG2170" t="s">
        <v>116</v>
      </c>
      <c r="DH2170" t="s">
        <v>116</v>
      </c>
      <c r="DI2170" t="s">
        <v>116</v>
      </c>
    </row>
    <row r="2171" spans="1:113" x14ac:dyDescent="0.4">
      <c r="A2171" t="str">
        <f>"300792"</f>
        <v>300792</v>
      </c>
      <c r="B2171" t="s">
        <v>10422</v>
      </c>
      <c r="C2171">
        <v>-1.98</v>
      </c>
      <c r="D2171">
        <v>168.21</v>
      </c>
      <c r="E2171">
        <v>-3.39</v>
      </c>
      <c r="F2171">
        <v>168.21</v>
      </c>
      <c r="G2171">
        <v>168.27</v>
      </c>
      <c r="H2171">
        <v>19479</v>
      </c>
      <c r="I2171">
        <v>246</v>
      </c>
      <c r="J2171">
        <v>0.13</v>
      </c>
      <c r="K2171">
        <v>9.74</v>
      </c>
      <c r="L2171">
        <v>171</v>
      </c>
      <c r="M2171">
        <v>181.38</v>
      </c>
      <c r="N2171">
        <v>166.88</v>
      </c>
      <c r="O2171">
        <v>171.6</v>
      </c>
      <c r="P2171">
        <v>104.92</v>
      </c>
      <c r="Q2171">
        <v>338787296</v>
      </c>
      <c r="R2171">
        <v>1.1100000000000001</v>
      </c>
      <c r="S2171" t="s">
        <v>1384</v>
      </c>
      <c r="T2171" t="s">
        <v>590</v>
      </c>
      <c r="U2171">
        <v>8.4499999999999993</v>
      </c>
      <c r="V2171">
        <v>173.92</v>
      </c>
      <c r="W2171">
        <v>9582</v>
      </c>
      <c r="X2171">
        <v>9897</v>
      </c>
      <c r="Y2171">
        <v>0.97</v>
      </c>
      <c r="Z2171">
        <v>82</v>
      </c>
      <c r="AA2171">
        <v>1</v>
      </c>
      <c r="AB2171" t="s">
        <v>116</v>
      </c>
      <c r="AC2171">
        <v>820800</v>
      </c>
      <c r="AD2171">
        <v>0.02</v>
      </c>
      <c r="AE2171" t="s">
        <v>116</v>
      </c>
      <c r="AF2171" t="s">
        <v>116</v>
      </c>
      <c r="AG2171">
        <v>0.2</v>
      </c>
      <c r="AH2171" t="s">
        <v>3291</v>
      </c>
      <c r="AI2171" t="s">
        <v>10423</v>
      </c>
      <c r="AJ2171">
        <v>-1.3</v>
      </c>
      <c r="AK2171">
        <v>2692</v>
      </c>
      <c r="AL2171">
        <v>7</v>
      </c>
      <c r="AM2171">
        <v>3.5999999999999999E-3</v>
      </c>
      <c r="AN2171">
        <v>-1</v>
      </c>
      <c r="AO2171">
        <v>6.94</v>
      </c>
      <c r="AP2171">
        <v>0.23</v>
      </c>
      <c r="AQ2171">
        <v>205</v>
      </c>
      <c r="AR2171">
        <v>339.19</v>
      </c>
      <c r="AS2171">
        <v>9.74</v>
      </c>
      <c r="AT2171" t="s">
        <v>3291</v>
      </c>
      <c r="AU2171">
        <v>72.95</v>
      </c>
      <c r="AV2171">
        <v>82.75</v>
      </c>
      <c r="AW2171">
        <v>0.84</v>
      </c>
      <c r="BA2171">
        <v>-0.35</v>
      </c>
      <c r="BB2171">
        <v>5.7</v>
      </c>
      <c r="BC2171">
        <v>-2.75</v>
      </c>
      <c r="BD2171">
        <v>1.35</v>
      </c>
      <c r="BE2171">
        <v>-1.63</v>
      </c>
      <c r="BF2171">
        <v>-7.26</v>
      </c>
      <c r="BG2171">
        <v>0.8</v>
      </c>
      <c r="BH2171">
        <v>-3.33</v>
      </c>
      <c r="BI2171">
        <v>20191223</v>
      </c>
      <c r="BJ2171">
        <v>20190927</v>
      </c>
      <c r="BK2171">
        <v>0.8</v>
      </c>
      <c r="BL2171" t="s">
        <v>116</v>
      </c>
      <c r="BM2171" t="s">
        <v>116</v>
      </c>
      <c r="BN2171">
        <v>12.5</v>
      </c>
      <c r="BO2171">
        <v>11.56</v>
      </c>
      <c r="BP2171">
        <v>0</v>
      </c>
      <c r="BQ2171">
        <v>7.57</v>
      </c>
      <c r="BR2171">
        <v>10.93</v>
      </c>
      <c r="BS2171">
        <v>1.0900000000000001</v>
      </c>
      <c r="BT2171">
        <v>0.01</v>
      </c>
      <c r="BU2171">
        <v>0.95</v>
      </c>
      <c r="BV2171">
        <v>1.19</v>
      </c>
      <c r="BW2171">
        <v>0.83</v>
      </c>
      <c r="BX2171">
        <v>7.14</v>
      </c>
      <c r="BY2171">
        <v>7.9</v>
      </c>
      <c r="BZ2171">
        <v>4.74</v>
      </c>
      <c r="CA2171">
        <v>1.28</v>
      </c>
      <c r="CB2171">
        <v>0.01</v>
      </c>
      <c r="CC2171">
        <v>1.28</v>
      </c>
      <c r="CD2171">
        <v>0.96</v>
      </c>
      <c r="CE2171">
        <v>0.96</v>
      </c>
      <c r="CF2171">
        <v>0.96</v>
      </c>
      <c r="CG2171">
        <v>3.43</v>
      </c>
      <c r="CH2171">
        <v>0.97</v>
      </c>
      <c r="CI2171">
        <v>6.98</v>
      </c>
      <c r="CJ2171">
        <v>10798</v>
      </c>
      <c r="CK2171">
        <v>1852</v>
      </c>
      <c r="CL2171" t="s">
        <v>9711</v>
      </c>
      <c r="CM2171">
        <v>0</v>
      </c>
      <c r="CN2171">
        <v>0</v>
      </c>
      <c r="CO2171">
        <v>11.65</v>
      </c>
      <c r="CP2171">
        <v>139.16</v>
      </c>
      <c r="CQ2171">
        <v>17.04</v>
      </c>
      <c r="CR2171">
        <v>0</v>
      </c>
      <c r="CS2171" t="s">
        <v>7034</v>
      </c>
      <c r="CT2171">
        <v>14.44</v>
      </c>
      <c r="CU2171">
        <v>0</v>
      </c>
      <c r="CV2171">
        <v>8.92</v>
      </c>
      <c r="CW2171">
        <v>4.29</v>
      </c>
      <c r="CX2171">
        <v>1.21</v>
      </c>
      <c r="CY2171">
        <v>92.43</v>
      </c>
      <c r="CZ2171" t="s">
        <v>7322</v>
      </c>
      <c r="DA2171">
        <v>39.950000000000003</v>
      </c>
      <c r="DB2171">
        <v>16.22</v>
      </c>
      <c r="DC2171">
        <v>12.18</v>
      </c>
      <c r="DD2171">
        <v>0.01</v>
      </c>
      <c r="DE2171">
        <v>823</v>
      </c>
      <c r="DF2171">
        <v>300792</v>
      </c>
      <c r="DG2171" t="s">
        <v>116</v>
      </c>
      <c r="DH2171" t="s">
        <v>116</v>
      </c>
      <c r="DI2171" t="s">
        <v>116</v>
      </c>
    </row>
    <row r="2172" spans="1:113" x14ac:dyDescent="0.4">
      <c r="A2172" t="str">
        <f>"300793"</f>
        <v>300793</v>
      </c>
      <c r="B2172" t="s">
        <v>10424</v>
      </c>
      <c r="C2172">
        <v>-1.79</v>
      </c>
      <c r="D2172">
        <v>52.75</v>
      </c>
      <c r="E2172">
        <v>-0.96</v>
      </c>
      <c r="F2172">
        <v>52.74</v>
      </c>
      <c r="G2172">
        <v>52.75</v>
      </c>
      <c r="H2172">
        <v>93203</v>
      </c>
      <c r="I2172">
        <v>1122</v>
      </c>
      <c r="J2172">
        <v>0.13</v>
      </c>
      <c r="K2172">
        <v>22.36</v>
      </c>
      <c r="L2172">
        <v>53.59</v>
      </c>
      <c r="M2172">
        <v>55.54</v>
      </c>
      <c r="N2172">
        <v>52.66</v>
      </c>
      <c r="O2172">
        <v>53.71</v>
      </c>
      <c r="P2172">
        <v>67.53</v>
      </c>
      <c r="Q2172">
        <v>504802208</v>
      </c>
      <c r="R2172">
        <v>1.4</v>
      </c>
      <c r="S2172" t="s">
        <v>241</v>
      </c>
      <c r="T2172" t="s">
        <v>551</v>
      </c>
      <c r="U2172">
        <v>5.36</v>
      </c>
      <c r="V2172">
        <v>54.16</v>
      </c>
      <c r="W2172">
        <v>47993</v>
      </c>
      <c r="X2172">
        <v>45210</v>
      </c>
      <c r="Y2172">
        <v>1.06</v>
      </c>
      <c r="Z2172">
        <v>1</v>
      </c>
      <c r="AA2172">
        <v>165</v>
      </c>
      <c r="AB2172" t="s">
        <v>116</v>
      </c>
      <c r="AC2172">
        <v>1623800</v>
      </c>
      <c r="AD2172">
        <v>7.0000000000000007E-2</v>
      </c>
      <c r="AE2172" t="s">
        <v>116</v>
      </c>
      <c r="AF2172" t="s">
        <v>116</v>
      </c>
      <c r="AG2172">
        <v>0.42</v>
      </c>
      <c r="AH2172" t="s">
        <v>1828</v>
      </c>
      <c r="AI2172" t="s">
        <v>10425</v>
      </c>
      <c r="AJ2172">
        <v>-1.1100000000000001</v>
      </c>
      <c r="AK2172">
        <v>3809</v>
      </c>
      <c r="AL2172">
        <v>24</v>
      </c>
      <c r="AM2172">
        <v>5.8999999999999999E-3</v>
      </c>
      <c r="AN2172">
        <v>-1</v>
      </c>
      <c r="AO2172">
        <v>0.67</v>
      </c>
      <c r="AP2172">
        <v>-4.26</v>
      </c>
      <c r="AQ2172">
        <v>292.77999999999997</v>
      </c>
      <c r="AR2172">
        <v>292.77999999999997</v>
      </c>
      <c r="AS2172">
        <v>22.36</v>
      </c>
      <c r="AT2172" t="s">
        <v>1828</v>
      </c>
      <c r="AU2172">
        <v>68.040000000000006</v>
      </c>
      <c r="AV2172">
        <v>79.650000000000006</v>
      </c>
      <c r="AW2172">
        <v>0</v>
      </c>
      <c r="BA2172">
        <v>-0.22</v>
      </c>
      <c r="BB2172">
        <v>3.41</v>
      </c>
      <c r="BC2172">
        <v>-1.95</v>
      </c>
      <c r="BD2172">
        <v>0.84</v>
      </c>
      <c r="BE2172">
        <v>-1.57</v>
      </c>
      <c r="BF2172">
        <v>-5.0199999999999996</v>
      </c>
      <c r="BG2172">
        <v>0.17</v>
      </c>
      <c r="BH2172">
        <v>-2.63</v>
      </c>
      <c r="BI2172">
        <v>20191223</v>
      </c>
      <c r="BJ2172">
        <v>20191018</v>
      </c>
      <c r="BK2172">
        <v>1.67</v>
      </c>
      <c r="BL2172" t="s">
        <v>116</v>
      </c>
      <c r="BM2172" t="s">
        <v>116</v>
      </c>
      <c r="BN2172">
        <v>18.14</v>
      </c>
      <c r="BO2172">
        <v>6.63</v>
      </c>
      <c r="BP2172">
        <v>0</v>
      </c>
      <c r="BQ2172">
        <v>63.44</v>
      </c>
      <c r="BR2172">
        <v>14.61</v>
      </c>
      <c r="BS2172">
        <v>2.4700000000000002</v>
      </c>
      <c r="BT2172">
        <v>0.65</v>
      </c>
      <c r="BU2172">
        <v>10.68</v>
      </c>
      <c r="BV2172">
        <v>5.13</v>
      </c>
      <c r="BW2172">
        <v>5.45</v>
      </c>
      <c r="BX2172">
        <v>2.97</v>
      </c>
      <c r="BY2172">
        <v>16.29</v>
      </c>
      <c r="BZ2172">
        <v>13.72</v>
      </c>
      <c r="CA2172">
        <v>1.1299999999999999</v>
      </c>
      <c r="CB2172">
        <v>-0.03</v>
      </c>
      <c r="CC2172">
        <v>1.1399999999999999</v>
      </c>
      <c r="CD2172">
        <v>0.98</v>
      </c>
      <c r="CE2172">
        <v>0.98</v>
      </c>
      <c r="CF2172">
        <v>1.04</v>
      </c>
      <c r="CG2172">
        <v>2.2200000000000002</v>
      </c>
      <c r="CH2172">
        <v>0.82</v>
      </c>
      <c r="CI2172">
        <v>0.63</v>
      </c>
      <c r="CJ2172">
        <v>29256</v>
      </c>
      <c r="CK2172">
        <v>1425</v>
      </c>
      <c r="CL2172" t="s">
        <v>7685</v>
      </c>
      <c r="CM2172">
        <v>0</v>
      </c>
      <c r="CN2172">
        <v>0</v>
      </c>
      <c r="CO2172">
        <v>7.51</v>
      </c>
      <c r="CP2172">
        <v>106.86</v>
      </c>
      <c r="CQ2172">
        <v>5.4</v>
      </c>
      <c r="CR2172">
        <v>0</v>
      </c>
      <c r="CS2172" t="s">
        <v>320</v>
      </c>
      <c r="CT2172">
        <v>7.03</v>
      </c>
      <c r="CU2172">
        <v>7.03</v>
      </c>
      <c r="CV2172">
        <v>1.78</v>
      </c>
      <c r="CW2172">
        <v>1.33</v>
      </c>
      <c r="CX2172">
        <v>0.49</v>
      </c>
      <c r="CY2172">
        <v>36.56</v>
      </c>
      <c r="CZ2172" t="s">
        <v>10426</v>
      </c>
      <c r="DA2172">
        <v>15.73</v>
      </c>
      <c r="DB2172">
        <v>6.97</v>
      </c>
      <c r="DC2172">
        <v>6</v>
      </c>
      <c r="DD2172">
        <v>0.59</v>
      </c>
      <c r="DE2172">
        <v>6091</v>
      </c>
      <c r="DF2172">
        <v>300793</v>
      </c>
      <c r="DG2172" t="s">
        <v>116</v>
      </c>
      <c r="DH2172" t="s">
        <v>116</v>
      </c>
      <c r="DI2172" t="s">
        <v>116</v>
      </c>
    </row>
    <row r="2173" spans="1:113" x14ac:dyDescent="0.4">
      <c r="A2173" t="str">
        <f>"300795"</f>
        <v>300795</v>
      </c>
      <c r="B2173" t="s">
        <v>10427</v>
      </c>
      <c r="C2173">
        <v>1.04</v>
      </c>
      <c r="D2173">
        <v>29.26</v>
      </c>
      <c r="E2173">
        <v>0.3</v>
      </c>
      <c r="F2173">
        <v>29.26</v>
      </c>
      <c r="G2173">
        <v>29.27</v>
      </c>
      <c r="H2173">
        <v>38587</v>
      </c>
      <c r="I2173">
        <v>1392</v>
      </c>
      <c r="J2173">
        <v>0.34</v>
      </c>
      <c r="K2173">
        <v>15.41</v>
      </c>
      <c r="L2173">
        <v>28.85</v>
      </c>
      <c r="M2173">
        <v>29.35</v>
      </c>
      <c r="N2173">
        <v>28.7</v>
      </c>
      <c r="O2173">
        <v>28.96</v>
      </c>
      <c r="P2173">
        <v>83.54</v>
      </c>
      <c r="Q2173">
        <v>111988424</v>
      </c>
      <c r="R2173">
        <v>1.37</v>
      </c>
      <c r="S2173" t="s">
        <v>173</v>
      </c>
      <c r="T2173" t="s">
        <v>590</v>
      </c>
      <c r="U2173">
        <v>2.2400000000000002</v>
      </c>
      <c r="V2173">
        <v>29.02</v>
      </c>
      <c r="W2173">
        <v>19322</v>
      </c>
      <c r="X2173">
        <v>19265</v>
      </c>
      <c r="Y2173">
        <v>1</v>
      </c>
      <c r="Z2173">
        <v>442</v>
      </c>
      <c r="AA2173">
        <v>201</v>
      </c>
      <c r="AB2173" t="s">
        <v>116</v>
      </c>
      <c r="AC2173">
        <v>868400</v>
      </c>
      <c r="AD2173">
        <v>0.12</v>
      </c>
      <c r="AE2173" t="s">
        <v>116</v>
      </c>
      <c r="AF2173" t="s">
        <v>116</v>
      </c>
      <c r="AG2173">
        <v>0.25</v>
      </c>
      <c r="AH2173" t="s">
        <v>7228</v>
      </c>
      <c r="AI2173" t="s">
        <v>10428</v>
      </c>
      <c r="AJ2173">
        <v>1.71</v>
      </c>
      <c r="AK2173">
        <v>2117</v>
      </c>
      <c r="AL2173">
        <v>18</v>
      </c>
      <c r="AM2173">
        <v>7.3000000000000001E-3</v>
      </c>
      <c r="AN2173">
        <v>2</v>
      </c>
      <c r="AO2173">
        <v>1.31</v>
      </c>
      <c r="AP2173">
        <v>-4.9400000000000004</v>
      </c>
      <c r="AQ2173">
        <v>105.05</v>
      </c>
      <c r="AR2173">
        <v>105.05</v>
      </c>
      <c r="AS2173">
        <v>15.41</v>
      </c>
      <c r="AT2173" t="s">
        <v>7228</v>
      </c>
      <c r="AU2173">
        <v>42</v>
      </c>
      <c r="AV2173">
        <v>42.86</v>
      </c>
      <c r="AW2173">
        <v>0</v>
      </c>
      <c r="BA2173">
        <v>-0.38</v>
      </c>
      <c r="BB2173">
        <v>1.35</v>
      </c>
      <c r="BC2173">
        <v>-0.9</v>
      </c>
      <c r="BD2173">
        <v>0.22</v>
      </c>
      <c r="BE2173">
        <v>1.42</v>
      </c>
      <c r="BF2173">
        <v>-0.31</v>
      </c>
      <c r="BG2173">
        <v>1.95</v>
      </c>
      <c r="BH2173">
        <v>0.82</v>
      </c>
      <c r="BI2173">
        <v>20191106</v>
      </c>
      <c r="BJ2173">
        <v>20191022</v>
      </c>
      <c r="BK2173">
        <v>1</v>
      </c>
      <c r="BL2173" t="s">
        <v>116</v>
      </c>
      <c r="BM2173" t="s">
        <v>116</v>
      </c>
      <c r="BN2173">
        <v>3.3</v>
      </c>
      <c r="BO2173">
        <v>2.6</v>
      </c>
      <c r="BP2173">
        <v>0.03</v>
      </c>
      <c r="BQ2173">
        <v>20.32</v>
      </c>
      <c r="BR2173">
        <v>2.72</v>
      </c>
      <c r="BS2173">
        <v>0.2</v>
      </c>
      <c r="BT2173">
        <v>0.02</v>
      </c>
      <c r="BU2173">
        <v>0.61</v>
      </c>
      <c r="BV2173">
        <v>0</v>
      </c>
      <c r="BW2173">
        <v>0.02</v>
      </c>
      <c r="BX2173">
        <v>0.23</v>
      </c>
      <c r="BY2173">
        <v>2.6</v>
      </c>
      <c r="BZ2173">
        <v>1.42</v>
      </c>
      <c r="CA2173">
        <v>0.34</v>
      </c>
      <c r="CB2173">
        <v>0</v>
      </c>
      <c r="CC2173">
        <v>0.34</v>
      </c>
      <c r="CD2173">
        <v>0.26</v>
      </c>
      <c r="CE2173">
        <v>0.26</v>
      </c>
      <c r="CF2173">
        <v>0.26</v>
      </c>
      <c r="CG2173">
        <v>1.36</v>
      </c>
      <c r="CH2173">
        <v>-0.01</v>
      </c>
      <c r="CI2173">
        <v>-0.02</v>
      </c>
      <c r="CJ2173">
        <v>51653</v>
      </c>
      <c r="CK2173">
        <v>485</v>
      </c>
      <c r="CL2173" t="s">
        <v>10429</v>
      </c>
      <c r="CM2173">
        <v>0</v>
      </c>
      <c r="CN2173">
        <v>0</v>
      </c>
      <c r="CO2173">
        <v>5.21</v>
      </c>
      <c r="CP2173">
        <v>-4431.2</v>
      </c>
      <c r="CQ2173">
        <v>11.29</v>
      </c>
      <c r="CR2173">
        <v>0</v>
      </c>
      <c r="CS2173" t="s">
        <v>7376</v>
      </c>
      <c r="CT2173">
        <v>5.62</v>
      </c>
      <c r="CU2173">
        <v>5.62</v>
      </c>
      <c r="CV2173">
        <v>0.23</v>
      </c>
      <c r="CW2173">
        <v>1.35</v>
      </c>
      <c r="CX2173">
        <v>-0.01</v>
      </c>
      <c r="CY2173">
        <v>78.77</v>
      </c>
      <c r="CZ2173" t="s">
        <v>10430</v>
      </c>
      <c r="DA2173">
        <v>45.17</v>
      </c>
      <c r="DB2173">
        <v>12.94</v>
      </c>
      <c r="DC2173">
        <v>10.130000000000001</v>
      </c>
      <c r="DD2173">
        <v>0.04</v>
      </c>
      <c r="DE2173">
        <v>531</v>
      </c>
      <c r="DF2173">
        <v>300795</v>
      </c>
      <c r="DG2173" t="s">
        <v>116</v>
      </c>
      <c r="DH2173" t="s">
        <v>116</v>
      </c>
      <c r="DI2173" t="s">
        <v>116</v>
      </c>
    </row>
    <row r="2174" spans="1:113" x14ac:dyDescent="0.4">
      <c r="A2174" t="str">
        <f>"300796"</f>
        <v>300796</v>
      </c>
      <c r="B2174" t="s">
        <v>10431</v>
      </c>
      <c r="C2174">
        <v>-2.1800000000000002</v>
      </c>
      <c r="D2174">
        <v>25.08</v>
      </c>
      <c r="E2174">
        <v>-0.56000000000000005</v>
      </c>
      <c r="F2174">
        <v>25.08</v>
      </c>
      <c r="G2174">
        <v>25.1</v>
      </c>
      <c r="H2174">
        <v>38852</v>
      </c>
      <c r="I2174">
        <v>815</v>
      </c>
      <c r="J2174">
        <v>-0.19</v>
      </c>
      <c r="K2174">
        <v>12.82</v>
      </c>
      <c r="L2174">
        <v>25.42</v>
      </c>
      <c r="M2174">
        <v>25.84</v>
      </c>
      <c r="N2174">
        <v>25.01</v>
      </c>
      <c r="O2174">
        <v>25.64</v>
      </c>
      <c r="P2174">
        <v>44.21</v>
      </c>
      <c r="Q2174">
        <v>99067512</v>
      </c>
      <c r="R2174">
        <v>0.91</v>
      </c>
      <c r="S2174" t="s">
        <v>891</v>
      </c>
      <c r="T2174" t="s">
        <v>590</v>
      </c>
      <c r="U2174">
        <v>3.24</v>
      </c>
      <c r="V2174">
        <v>25.5</v>
      </c>
      <c r="W2174">
        <v>22820</v>
      </c>
      <c r="X2174">
        <v>16032</v>
      </c>
      <c r="Y2174">
        <v>1.42</v>
      </c>
      <c r="Z2174">
        <v>2</v>
      </c>
      <c r="AA2174">
        <v>127</v>
      </c>
      <c r="AB2174" t="s">
        <v>116</v>
      </c>
      <c r="AC2174">
        <v>587200</v>
      </c>
      <c r="AD2174">
        <v>0.08</v>
      </c>
      <c r="AE2174" t="s">
        <v>116</v>
      </c>
      <c r="AF2174" t="s">
        <v>116</v>
      </c>
      <c r="AG2174">
        <v>0.3</v>
      </c>
      <c r="AH2174" t="s">
        <v>10432</v>
      </c>
      <c r="AI2174" t="s">
        <v>10433</v>
      </c>
      <c r="AJ2174">
        <v>-1.51</v>
      </c>
      <c r="AK2174">
        <v>2286</v>
      </c>
      <c r="AL2174">
        <v>17</v>
      </c>
      <c r="AM2174">
        <v>5.5999999999999999E-3</v>
      </c>
      <c r="AN2174">
        <v>-1</v>
      </c>
      <c r="AO2174">
        <v>-1.02</v>
      </c>
      <c r="AP2174">
        <v>-6.1</v>
      </c>
      <c r="AQ2174">
        <v>76</v>
      </c>
      <c r="AR2174">
        <v>76</v>
      </c>
      <c r="AS2174">
        <v>12.82</v>
      </c>
      <c r="AT2174" t="s">
        <v>10432</v>
      </c>
      <c r="AU2174">
        <v>37.96</v>
      </c>
      <c r="AV2174">
        <v>38.979999999999997</v>
      </c>
      <c r="AW2174">
        <v>0</v>
      </c>
      <c r="BA2174">
        <v>-0.86</v>
      </c>
      <c r="BB2174">
        <v>0.78</v>
      </c>
      <c r="BC2174">
        <v>-2.46</v>
      </c>
      <c r="BD2174">
        <v>-0.55000000000000004</v>
      </c>
      <c r="BE2174">
        <v>-1.34</v>
      </c>
      <c r="BF2174">
        <v>-2.94</v>
      </c>
      <c r="BG2174">
        <v>0.28000000000000003</v>
      </c>
      <c r="BH2174">
        <v>-1.63</v>
      </c>
      <c r="BI2174">
        <v>20191114</v>
      </c>
      <c r="BJ2174">
        <v>20191115</v>
      </c>
      <c r="BK2174">
        <v>1.21</v>
      </c>
      <c r="BL2174" t="s">
        <v>116</v>
      </c>
      <c r="BM2174" t="s">
        <v>116</v>
      </c>
      <c r="BN2174">
        <v>7.67</v>
      </c>
      <c r="BO2174">
        <v>5.93</v>
      </c>
      <c r="BP2174">
        <v>0.12</v>
      </c>
      <c r="BQ2174">
        <v>21.06</v>
      </c>
      <c r="BR2174">
        <v>3.84</v>
      </c>
      <c r="BS2174">
        <v>2.36</v>
      </c>
      <c r="BT2174">
        <v>0.38</v>
      </c>
      <c r="BU2174">
        <v>1.61</v>
      </c>
      <c r="BV2174">
        <v>0.68</v>
      </c>
      <c r="BW2174">
        <v>0.66</v>
      </c>
      <c r="BX2174">
        <v>3.17</v>
      </c>
      <c r="BY2174">
        <v>3.74</v>
      </c>
      <c r="BZ2174">
        <v>2.61</v>
      </c>
      <c r="CA2174">
        <v>0.63</v>
      </c>
      <c r="CB2174">
        <v>0</v>
      </c>
      <c r="CC2174">
        <v>0.62</v>
      </c>
      <c r="CD2174">
        <v>0.54</v>
      </c>
      <c r="CE2174">
        <v>0.52</v>
      </c>
      <c r="CF2174">
        <v>0.5</v>
      </c>
      <c r="CG2174">
        <v>1.71</v>
      </c>
      <c r="CH2174">
        <v>0.34</v>
      </c>
      <c r="CI2174">
        <v>0.09</v>
      </c>
      <c r="CJ2174">
        <v>60576</v>
      </c>
      <c r="CK2174">
        <v>500</v>
      </c>
      <c r="CL2174" t="s">
        <v>10434</v>
      </c>
      <c r="CM2174">
        <v>0</v>
      </c>
      <c r="CN2174">
        <v>0</v>
      </c>
      <c r="CO2174">
        <v>3.08</v>
      </c>
      <c r="CP2174">
        <v>90.12</v>
      </c>
      <c r="CQ2174">
        <v>8.1199999999999992</v>
      </c>
      <c r="CR2174">
        <v>0</v>
      </c>
      <c r="CS2174" t="s">
        <v>10435</v>
      </c>
      <c r="CT2174">
        <v>8.14</v>
      </c>
      <c r="CU2174">
        <v>8.14</v>
      </c>
      <c r="CV2174">
        <v>2.62</v>
      </c>
      <c r="CW2174">
        <v>1.41</v>
      </c>
      <c r="CX2174">
        <v>0.28000000000000003</v>
      </c>
      <c r="CY2174">
        <v>77.39</v>
      </c>
      <c r="CZ2174" t="s">
        <v>3433</v>
      </c>
      <c r="DA2174">
        <v>30.28</v>
      </c>
      <c r="DB2174">
        <v>16.72</v>
      </c>
      <c r="DC2174">
        <v>13.77</v>
      </c>
      <c r="DD2174">
        <v>0.21</v>
      </c>
      <c r="DE2174">
        <v>436</v>
      </c>
      <c r="DF2174">
        <v>300796</v>
      </c>
      <c r="DG2174" t="s">
        <v>116</v>
      </c>
      <c r="DH2174" t="s">
        <v>116</v>
      </c>
      <c r="DI2174" t="s">
        <v>116</v>
      </c>
    </row>
    <row r="2175" spans="1:113" x14ac:dyDescent="0.4">
      <c r="A2175" t="str">
        <f>"300797"</f>
        <v>300797</v>
      </c>
      <c r="B2175" t="s">
        <v>10436</v>
      </c>
      <c r="C2175">
        <v>-5.09</v>
      </c>
      <c r="D2175">
        <v>23.49</v>
      </c>
      <c r="E2175">
        <v>-1.26</v>
      </c>
      <c r="F2175">
        <v>23.49</v>
      </c>
      <c r="G2175">
        <v>23.5</v>
      </c>
      <c r="H2175">
        <v>195569</v>
      </c>
      <c r="I2175">
        <v>4671</v>
      </c>
      <c r="J2175">
        <v>-1.08</v>
      </c>
      <c r="K2175">
        <v>31.52</v>
      </c>
      <c r="L2175">
        <v>24.36</v>
      </c>
      <c r="M2175">
        <v>25.49</v>
      </c>
      <c r="N2175">
        <v>23.39</v>
      </c>
      <c r="O2175">
        <v>24.75</v>
      </c>
      <c r="P2175">
        <v>84.44</v>
      </c>
      <c r="Q2175">
        <v>479921984</v>
      </c>
      <c r="R2175">
        <v>1.24</v>
      </c>
      <c r="S2175" t="s">
        <v>2977</v>
      </c>
      <c r="T2175" t="s">
        <v>165</v>
      </c>
      <c r="U2175">
        <v>8.48</v>
      </c>
      <c r="V2175">
        <v>24.54</v>
      </c>
      <c r="W2175">
        <v>106958</v>
      </c>
      <c r="X2175">
        <v>88611</v>
      </c>
      <c r="Y2175">
        <v>1.21</v>
      </c>
      <c r="Z2175">
        <v>1193</v>
      </c>
      <c r="AA2175">
        <v>165</v>
      </c>
      <c r="AB2175" t="s">
        <v>116</v>
      </c>
      <c r="AC2175">
        <v>7986100</v>
      </c>
      <c r="AD2175">
        <v>0.53</v>
      </c>
      <c r="AE2175" t="s">
        <v>116</v>
      </c>
      <c r="AF2175" t="s">
        <v>116</v>
      </c>
      <c r="AG2175">
        <v>0.62</v>
      </c>
      <c r="AH2175" t="s">
        <v>10437</v>
      </c>
      <c r="AI2175" t="s">
        <v>10438</v>
      </c>
      <c r="AJ2175">
        <v>-4.41</v>
      </c>
      <c r="AK2175">
        <v>4007</v>
      </c>
      <c r="AL2175">
        <v>49</v>
      </c>
      <c r="AM2175">
        <v>7.9000000000000008E-3</v>
      </c>
      <c r="AN2175">
        <v>-1</v>
      </c>
      <c r="AO2175">
        <v>-1.51</v>
      </c>
      <c r="AP2175">
        <v>4.91</v>
      </c>
      <c r="AQ2175">
        <v>422</v>
      </c>
      <c r="AR2175">
        <v>422</v>
      </c>
      <c r="AS2175">
        <v>31.52</v>
      </c>
      <c r="AT2175" t="s">
        <v>10437</v>
      </c>
      <c r="AU2175">
        <v>72.040000000000006</v>
      </c>
      <c r="AV2175">
        <v>90.77</v>
      </c>
      <c r="AW2175">
        <v>0</v>
      </c>
      <c r="BA2175">
        <v>-1.58</v>
      </c>
      <c r="BB2175">
        <v>2.99</v>
      </c>
      <c r="BC2175">
        <v>-5.49</v>
      </c>
      <c r="BD2175">
        <v>-0.85</v>
      </c>
      <c r="BE2175">
        <v>-3.57</v>
      </c>
      <c r="BF2175">
        <v>-7.85</v>
      </c>
      <c r="BG2175">
        <v>0.43</v>
      </c>
      <c r="BH2175">
        <v>-4.24</v>
      </c>
      <c r="BI2175">
        <v>20191204</v>
      </c>
      <c r="BJ2175">
        <v>20191101</v>
      </c>
      <c r="BK2175">
        <v>2.48</v>
      </c>
      <c r="BL2175" t="s">
        <v>116</v>
      </c>
      <c r="BM2175" t="s">
        <v>116</v>
      </c>
      <c r="BN2175">
        <v>7.18</v>
      </c>
      <c r="BO2175">
        <v>4.53</v>
      </c>
      <c r="BP2175">
        <v>0</v>
      </c>
      <c r="BQ2175">
        <v>36.94</v>
      </c>
      <c r="BR2175">
        <v>5.42</v>
      </c>
      <c r="BS2175">
        <v>1.1100000000000001</v>
      </c>
      <c r="BT2175">
        <v>0.11</v>
      </c>
      <c r="BU2175">
        <v>1.9</v>
      </c>
      <c r="BV2175">
        <v>1.59</v>
      </c>
      <c r="BW2175">
        <v>1.85</v>
      </c>
      <c r="BX2175">
        <v>0.97</v>
      </c>
      <c r="BY2175">
        <v>3.77</v>
      </c>
      <c r="BZ2175">
        <v>2.1</v>
      </c>
      <c r="CA2175">
        <v>0.56000000000000005</v>
      </c>
      <c r="CB2175">
        <v>0</v>
      </c>
      <c r="CC2175">
        <v>0.59</v>
      </c>
      <c r="CD2175">
        <v>0.52</v>
      </c>
      <c r="CE2175">
        <v>0.52</v>
      </c>
      <c r="CF2175">
        <v>0.42</v>
      </c>
      <c r="CG2175">
        <v>1.59</v>
      </c>
      <c r="CH2175">
        <v>0.02</v>
      </c>
      <c r="CI2175">
        <v>-0.25</v>
      </c>
      <c r="CJ2175">
        <v>40201</v>
      </c>
      <c r="CK2175">
        <v>1543</v>
      </c>
      <c r="CL2175" t="s">
        <v>2473</v>
      </c>
      <c r="CM2175">
        <v>0</v>
      </c>
      <c r="CN2175">
        <v>0</v>
      </c>
      <c r="CO2175">
        <v>8.34</v>
      </c>
      <c r="CP2175">
        <v>2486.23</v>
      </c>
      <c r="CQ2175">
        <v>15.48</v>
      </c>
      <c r="CR2175">
        <v>0</v>
      </c>
      <c r="CS2175" t="s">
        <v>3899</v>
      </c>
      <c r="CT2175">
        <v>2.82</v>
      </c>
      <c r="CU2175">
        <v>2.82</v>
      </c>
      <c r="CV2175">
        <v>0.39</v>
      </c>
      <c r="CW2175">
        <v>0.64</v>
      </c>
      <c r="CX2175">
        <v>0.01</v>
      </c>
      <c r="CY2175">
        <v>63.05</v>
      </c>
      <c r="CZ2175" t="s">
        <v>10439</v>
      </c>
      <c r="DA2175">
        <v>44.16</v>
      </c>
      <c r="DB2175">
        <v>14.96</v>
      </c>
      <c r="DC2175">
        <v>13.74</v>
      </c>
      <c r="DD2175">
        <v>0.3</v>
      </c>
      <c r="DE2175">
        <v>765</v>
      </c>
      <c r="DF2175">
        <v>300797</v>
      </c>
      <c r="DG2175" t="s">
        <v>116</v>
      </c>
      <c r="DH2175" t="s">
        <v>116</v>
      </c>
      <c r="DI2175" t="s">
        <v>116</v>
      </c>
    </row>
    <row r="2176" spans="1:113" x14ac:dyDescent="0.4">
      <c r="A2176" t="str">
        <f>"300798"</f>
        <v>300798</v>
      </c>
      <c r="B2176" t="s">
        <v>10440</v>
      </c>
      <c r="C2176">
        <v>-0.76</v>
      </c>
      <c r="D2176">
        <v>18.260000000000002</v>
      </c>
      <c r="E2176">
        <v>-0.14000000000000001</v>
      </c>
      <c r="F2176">
        <v>18.260000000000002</v>
      </c>
      <c r="G2176">
        <v>18.27</v>
      </c>
      <c r="H2176">
        <v>94992</v>
      </c>
      <c r="I2176">
        <v>1763</v>
      </c>
      <c r="J2176">
        <v>-0.64</v>
      </c>
      <c r="K2176">
        <v>22.74</v>
      </c>
      <c r="L2176">
        <v>18.16</v>
      </c>
      <c r="M2176">
        <v>19.2</v>
      </c>
      <c r="N2176">
        <v>18.16</v>
      </c>
      <c r="O2176">
        <v>18.399999999999999</v>
      </c>
      <c r="P2176">
        <v>65.12</v>
      </c>
      <c r="Q2176">
        <v>177024208</v>
      </c>
      <c r="R2176">
        <v>0.96</v>
      </c>
      <c r="S2176" t="s">
        <v>1192</v>
      </c>
      <c r="T2176" t="s">
        <v>323</v>
      </c>
      <c r="U2176">
        <v>5.65</v>
      </c>
      <c r="V2176">
        <v>18.64</v>
      </c>
      <c r="W2176">
        <v>43979</v>
      </c>
      <c r="X2176">
        <v>51013</v>
      </c>
      <c r="Y2176">
        <v>0.86</v>
      </c>
      <c r="Z2176">
        <v>274</v>
      </c>
      <c r="AA2176">
        <v>91</v>
      </c>
      <c r="AB2176" t="s">
        <v>116</v>
      </c>
      <c r="AC2176">
        <v>1242100</v>
      </c>
      <c r="AD2176">
        <v>0.16</v>
      </c>
      <c r="AE2176" t="s">
        <v>116</v>
      </c>
      <c r="AF2176" t="s">
        <v>116</v>
      </c>
      <c r="AG2176">
        <v>0.42</v>
      </c>
      <c r="AH2176" t="s">
        <v>6439</v>
      </c>
      <c r="AI2176" t="s">
        <v>3991</v>
      </c>
      <c r="AJ2176">
        <v>-0.08</v>
      </c>
      <c r="AK2176">
        <v>2966</v>
      </c>
      <c r="AL2176">
        <v>32</v>
      </c>
      <c r="AM2176">
        <v>7.7000000000000002E-3</v>
      </c>
      <c r="AN2176">
        <v>-1</v>
      </c>
      <c r="AO2176">
        <v>2.81</v>
      </c>
      <c r="AP2176">
        <v>42.32</v>
      </c>
      <c r="AQ2176">
        <v>230.2</v>
      </c>
      <c r="AR2176">
        <v>230.2</v>
      </c>
      <c r="AS2176">
        <v>22.74</v>
      </c>
      <c r="AT2176" t="s">
        <v>6439</v>
      </c>
      <c r="AU2176">
        <v>71.099999999999994</v>
      </c>
      <c r="AV2176">
        <v>73.12</v>
      </c>
      <c r="AW2176">
        <v>0</v>
      </c>
      <c r="BA2176">
        <v>-1.3</v>
      </c>
      <c r="BB2176">
        <v>4.3499999999999996</v>
      </c>
      <c r="BC2176">
        <v>-1.3</v>
      </c>
      <c r="BD2176">
        <v>1.28</v>
      </c>
      <c r="BE2176">
        <v>0.55000000000000004</v>
      </c>
      <c r="BF2176">
        <v>-4.9000000000000004</v>
      </c>
      <c r="BG2176">
        <v>0.55000000000000004</v>
      </c>
      <c r="BH2176">
        <v>-2.04</v>
      </c>
      <c r="BI2176">
        <v>20191121</v>
      </c>
      <c r="BJ2176">
        <v>20191122</v>
      </c>
      <c r="BK2176">
        <v>4.18</v>
      </c>
      <c r="BL2176" t="s">
        <v>116</v>
      </c>
      <c r="BM2176" t="s">
        <v>116</v>
      </c>
      <c r="BN2176">
        <v>13.3</v>
      </c>
      <c r="BO2176">
        <v>10.18</v>
      </c>
      <c r="BP2176">
        <v>0.12</v>
      </c>
      <c r="BQ2176">
        <v>22.54</v>
      </c>
      <c r="BR2176">
        <v>8.2200000000000006</v>
      </c>
      <c r="BS2176">
        <v>2.84</v>
      </c>
      <c r="BT2176">
        <v>0.74</v>
      </c>
      <c r="BU2176">
        <v>2.86</v>
      </c>
      <c r="BV2176">
        <v>2.54</v>
      </c>
      <c r="BW2176">
        <v>2.85</v>
      </c>
      <c r="BX2176">
        <v>1.02</v>
      </c>
      <c r="BY2176">
        <v>9.2799999999999994</v>
      </c>
      <c r="BZ2176">
        <v>7.25</v>
      </c>
      <c r="CA2176">
        <v>1.01</v>
      </c>
      <c r="CB2176">
        <v>0</v>
      </c>
      <c r="CC2176">
        <v>1.02</v>
      </c>
      <c r="CD2176">
        <v>0.88</v>
      </c>
      <c r="CE2176">
        <v>0.88</v>
      </c>
      <c r="CF2176">
        <v>0.87</v>
      </c>
      <c r="CG2176">
        <v>5.33</v>
      </c>
      <c r="CH2176">
        <v>0.21</v>
      </c>
      <c r="CI2176">
        <v>7.0000000000000007E-2</v>
      </c>
      <c r="CJ2176">
        <v>81276</v>
      </c>
      <c r="CK2176">
        <v>514</v>
      </c>
      <c r="CL2176" t="s">
        <v>10441</v>
      </c>
      <c r="CM2176">
        <v>0</v>
      </c>
      <c r="CN2176">
        <v>0</v>
      </c>
      <c r="CO2176">
        <v>6.34</v>
      </c>
      <c r="CP2176">
        <v>358.89</v>
      </c>
      <c r="CQ2176">
        <v>8.2200000000000006</v>
      </c>
      <c r="CR2176">
        <v>0</v>
      </c>
      <c r="CS2176" t="s">
        <v>1119</v>
      </c>
      <c r="CT2176">
        <v>2.88</v>
      </c>
      <c r="CU2176">
        <v>2.88</v>
      </c>
      <c r="CV2176">
        <v>0.25</v>
      </c>
      <c r="CW2176">
        <v>1.27</v>
      </c>
      <c r="CX2176">
        <v>0.05</v>
      </c>
      <c r="CY2176">
        <v>76.55</v>
      </c>
      <c r="CZ2176" t="s">
        <v>10442</v>
      </c>
      <c r="DA2176">
        <v>21.93</v>
      </c>
      <c r="DB2176">
        <v>10.92</v>
      </c>
      <c r="DC2176">
        <v>9.4700000000000006</v>
      </c>
      <c r="DD2176">
        <v>0.35</v>
      </c>
      <c r="DE2176">
        <v>736</v>
      </c>
      <c r="DF2176">
        <v>300798</v>
      </c>
      <c r="DG2176" t="s">
        <v>116</v>
      </c>
      <c r="DH2176" t="s">
        <v>116</v>
      </c>
      <c r="DI2176" t="s">
        <v>116</v>
      </c>
    </row>
    <row r="2177" spans="1:113" x14ac:dyDescent="0.4">
      <c r="A2177" t="str">
        <f>"300799"</f>
        <v>300799</v>
      </c>
      <c r="B2177" t="s">
        <v>10443</v>
      </c>
      <c r="C2177">
        <v>2.61</v>
      </c>
      <c r="D2177">
        <v>107.2</v>
      </c>
      <c r="E2177">
        <v>2.73</v>
      </c>
      <c r="F2177">
        <v>107.19</v>
      </c>
      <c r="G2177">
        <v>107.2</v>
      </c>
      <c r="H2177">
        <v>28662</v>
      </c>
      <c r="I2177">
        <v>373</v>
      </c>
      <c r="J2177">
        <v>0</v>
      </c>
      <c r="K2177">
        <v>16.86</v>
      </c>
      <c r="L2177">
        <v>104.38</v>
      </c>
      <c r="M2177">
        <v>109.48</v>
      </c>
      <c r="N2177">
        <v>104.11</v>
      </c>
      <c r="O2177">
        <v>104.47</v>
      </c>
      <c r="P2177">
        <v>236.59</v>
      </c>
      <c r="Q2177">
        <v>305794752</v>
      </c>
      <c r="R2177">
        <v>1.4</v>
      </c>
      <c r="S2177" t="s">
        <v>607</v>
      </c>
      <c r="T2177" t="s">
        <v>165</v>
      </c>
      <c r="U2177">
        <v>5.14</v>
      </c>
      <c r="V2177">
        <v>106.69</v>
      </c>
      <c r="W2177">
        <v>13218</v>
      </c>
      <c r="X2177">
        <v>15444</v>
      </c>
      <c r="Y2177">
        <v>0.86</v>
      </c>
      <c r="Z2177">
        <v>56</v>
      </c>
      <c r="AA2177">
        <v>210</v>
      </c>
      <c r="AB2177" t="s">
        <v>116</v>
      </c>
      <c r="AC2177">
        <v>1283900</v>
      </c>
      <c r="AD2177">
        <v>7.0000000000000007E-2</v>
      </c>
      <c r="AE2177" t="s">
        <v>116</v>
      </c>
      <c r="AF2177" t="s">
        <v>116</v>
      </c>
      <c r="AG2177">
        <v>0.17</v>
      </c>
      <c r="AH2177" t="s">
        <v>2138</v>
      </c>
      <c r="AI2177" t="s">
        <v>10444</v>
      </c>
      <c r="AJ2177">
        <v>3.29</v>
      </c>
      <c r="AK2177">
        <v>3136</v>
      </c>
      <c r="AL2177">
        <v>9</v>
      </c>
      <c r="AM2177">
        <v>5.4000000000000003E-3</v>
      </c>
      <c r="AN2177">
        <v>1</v>
      </c>
      <c r="AO2177">
        <v>2.8</v>
      </c>
      <c r="AP2177">
        <v>-2.73</v>
      </c>
      <c r="AQ2177">
        <v>399.07</v>
      </c>
      <c r="AR2177">
        <v>399.07</v>
      </c>
      <c r="AS2177">
        <v>16.86</v>
      </c>
      <c r="AT2177" t="s">
        <v>2138</v>
      </c>
      <c r="AU2177">
        <v>100.64</v>
      </c>
      <c r="AV2177">
        <v>113.05</v>
      </c>
      <c r="AW2177">
        <v>0</v>
      </c>
      <c r="BA2177">
        <v>-0.09</v>
      </c>
      <c r="BB2177">
        <v>4.8</v>
      </c>
      <c r="BC2177">
        <v>-0.34</v>
      </c>
      <c r="BD2177">
        <v>2.13</v>
      </c>
      <c r="BE2177">
        <v>2.7</v>
      </c>
      <c r="BF2177">
        <v>-2.08</v>
      </c>
      <c r="BG2177">
        <v>2.97</v>
      </c>
      <c r="BH2177">
        <v>0.49</v>
      </c>
      <c r="BI2177">
        <v>20191028</v>
      </c>
      <c r="BJ2177">
        <v>20191029</v>
      </c>
      <c r="BK2177">
        <v>0.68</v>
      </c>
      <c r="BL2177" t="s">
        <v>116</v>
      </c>
      <c r="BM2177" t="s">
        <v>116</v>
      </c>
      <c r="BN2177">
        <v>3.14</v>
      </c>
      <c r="BO2177">
        <v>2.39</v>
      </c>
      <c r="BP2177">
        <v>0</v>
      </c>
      <c r="BQ2177">
        <v>23.88</v>
      </c>
      <c r="BR2177">
        <v>2.5099999999999998</v>
      </c>
      <c r="BS2177">
        <v>0.56000000000000005</v>
      </c>
      <c r="BT2177">
        <v>0</v>
      </c>
      <c r="BU2177">
        <v>0.72</v>
      </c>
      <c r="BV2177">
        <v>0.48</v>
      </c>
      <c r="BW2177">
        <v>1.74</v>
      </c>
      <c r="BX2177">
        <v>0.33</v>
      </c>
      <c r="BY2177">
        <v>0.94</v>
      </c>
      <c r="BZ2177">
        <v>0.21</v>
      </c>
      <c r="CA2177">
        <v>0.27</v>
      </c>
      <c r="CB2177">
        <v>0</v>
      </c>
      <c r="CC2177">
        <v>0.27</v>
      </c>
      <c r="CD2177">
        <v>0.23</v>
      </c>
      <c r="CE2177">
        <v>0.23</v>
      </c>
      <c r="CF2177">
        <v>0.23</v>
      </c>
      <c r="CG2177">
        <v>1.42</v>
      </c>
      <c r="CH2177">
        <v>-0.51</v>
      </c>
      <c r="CI2177">
        <v>-0.4</v>
      </c>
      <c r="CJ2177">
        <v>33997</v>
      </c>
      <c r="CK2177">
        <v>500</v>
      </c>
      <c r="CL2177" t="s">
        <v>10445</v>
      </c>
      <c r="CM2177">
        <v>0</v>
      </c>
      <c r="CN2177">
        <v>0</v>
      </c>
      <c r="CO2177">
        <v>13.07</v>
      </c>
      <c r="CP2177">
        <v>-141.9</v>
      </c>
      <c r="CQ2177">
        <v>77.3</v>
      </c>
      <c r="CR2177">
        <v>0</v>
      </c>
      <c r="CS2177" t="s">
        <v>1696</v>
      </c>
      <c r="CT2177">
        <v>8.1999999999999993</v>
      </c>
      <c r="CU2177">
        <v>8.1999999999999993</v>
      </c>
      <c r="CV2177">
        <v>0.48</v>
      </c>
      <c r="CW2177">
        <v>2.09</v>
      </c>
      <c r="CX2177">
        <v>-0.76</v>
      </c>
      <c r="CY2177">
        <v>76.12</v>
      </c>
      <c r="CZ2177" t="s">
        <v>4159</v>
      </c>
      <c r="DA2177">
        <v>77.83</v>
      </c>
      <c r="DB2177">
        <v>28.87</v>
      </c>
      <c r="DC2177">
        <v>24.5</v>
      </c>
      <c r="DD2177">
        <v>0.23</v>
      </c>
      <c r="DE2177">
        <v>149</v>
      </c>
      <c r="DF2177">
        <v>300799</v>
      </c>
      <c r="DG2177" t="s">
        <v>116</v>
      </c>
      <c r="DH2177" t="s">
        <v>116</v>
      </c>
      <c r="DI2177" t="s">
        <v>116</v>
      </c>
    </row>
    <row r="2178" spans="1:113" x14ac:dyDescent="0.4">
      <c r="A2178" t="str">
        <f>"300800"</f>
        <v>300800</v>
      </c>
      <c r="B2178" t="s">
        <v>10446</v>
      </c>
      <c r="C2178">
        <v>3.47</v>
      </c>
      <c r="D2178">
        <v>71.53</v>
      </c>
      <c r="E2178">
        <v>2.4</v>
      </c>
      <c r="F2178">
        <v>71.53</v>
      </c>
      <c r="G2178">
        <v>71.540000000000006</v>
      </c>
      <c r="H2178">
        <v>31124</v>
      </c>
      <c r="I2178">
        <v>584</v>
      </c>
      <c r="J2178">
        <v>0.04</v>
      </c>
      <c r="K2178">
        <v>15.56</v>
      </c>
      <c r="L2178">
        <v>69</v>
      </c>
      <c r="M2178">
        <v>71.97</v>
      </c>
      <c r="N2178">
        <v>68.760000000000005</v>
      </c>
      <c r="O2178">
        <v>69.13</v>
      </c>
      <c r="P2178">
        <v>24.3</v>
      </c>
      <c r="Q2178">
        <v>219190608</v>
      </c>
      <c r="R2178">
        <v>2.13</v>
      </c>
      <c r="S2178" t="s">
        <v>2977</v>
      </c>
      <c r="T2178" t="s">
        <v>599</v>
      </c>
      <c r="U2178">
        <v>4.6399999999999997</v>
      </c>
      <c r="V2178">
        <v>70.430000000000007</v>
      </c>
      <c r="W2178">
        <v>14056</v>
      </c>
      <c r="X2178">
        <v>17068</v>
      </c>
      <c r="Y2178">
        <v>0.82</v>
      </c>
      <c r="Z2178">
        <v>97</v>
      </c>
      <c r="AA2178">
        <v>53</v>
      </c>
      <c r="AB2178" t="s">
        <v>116</v>
      </c>
      <c r="AC2178">
        <v>262200</v>
      </c>
      <c r="AD2178">
        <v>0.02</v>
      </c>
      <c r="AE2178" t="s">
        <v>116</v>
      </c>
      <c r="AF2178" t="s">
        <v>116</v>
      </c>
      <c r="AG2178">
        <v>0.2</v>
      </c>
      <c r="AH2178" t="s">
        <v>7426</v>
      </c>
      <c r="AI2178" t="s">
        <v>10447</v>
      </c>
      <c r="AJ2178">
        <v>4.1500000000000004</v>
      </c>
      <c r="AK2178">
        <v>2572</v>
      </c>
      <c r="AL2178">
        <v>12</v>
      </c>
      <c r="AM2178">
        <v>6.1000000000000004E-3</v>
      </c>
      <c r="AN2178">
        <v>4</v>
      </c>
      <c r="AO2178">
        <v>5.05</v>
      </c>
      <c r="AP2178">
        <v>2.5099999999999998</v>
      </c>
      <c r="AQ2178">
        <v>41.25</v>
      </c>
      <c r="AR2178">
        <v>41.25</v>
      </c>
      <c r="AS2178">
        <v>15.56</v>
      </c>
      <c r="AT2178" t="s">
        <v>7426</v>
      </c>
      <c r="AU2178">
        <v>27.8</v>
      </c>
      <c r="AV2178">
        <v>31.67</v>
      </c>
      <c r="AW2178">
        <v>0</v>
      </c>
      <c r="BA2178">
        <v>-0.19</v>
      </c>
      <c r="BB2178">
        <v>4.1100000000000003</v>
      </c>
      <c r="BC2178">
        <v>-0.54</v>
      </c>
      <c r="BD2178">
        <v>1.87</v>
      </c>
      <c r="BE2178">
        <v>3.67</v>
      </c>
      <c r="BF2178">
        <v>-0.61</v>
      </c>
      <c r="BG2178">
        <v>4.03</v>
      </c>
      <c r="BH2178">
        <v>1.6</v>
      </c>
      <c r="BI2178">
        <v>20191105</v>
      </c>
      <c r="BJ2178">
        <v>20191106</v>
      </c>
      <c r="BK2178">
        <v>0.8</v>
      </c>
      <c r="BL2178" t="s">
        <v>116</v>
      </c>
      <c r="BM2178" t="s">
        <v>116</v>
      </c>
      <c r="BN2178">
        <v>10.09</v>
      </c>
      <c r="BO2178">
        <v>6.94</v>
      </c>
      <c r="BP2178">
        <v>0</v>
      </c>
      <c r="BQ2178">
        <v>31.24</v>
      </c>
      <c r="BR2178">
        <v>8.0299999999999994</v>
      </c>
      <c r="BS2178">
        <v>1.61</v>
      </c>
      <c r="BT2178">
        <v>0.12</v>
      </c>
      <c r="BU2178">
        <v>2.78</v>
      </c>
      <c r="BV2178">
        <v>1.77</v>
      </c>
      <c r="BW2178">
        <v>2.95</v>
      </c>
      <c r="BX2178">
        <v>0.63</v>
      </c>
      <c r="BY2178">
        <v>5.37</v>
      </c>
      <c r="BZ2178">
        <v>2.5</v>
      </c>
      <c r="CA2178">
        <v>2.0499999999999998</v>
      </c>
      <c r="CB2178">
        <v>0</v>
      </c>
      <c r="CC2178">
        <v>2.06</v>
      </c>
      <c r="CD2178">
        <v>1.77</v>
      </c>
      <c r="CE2178">
        <v>1.77</v>
      </c>
      <c r="CF2178">
        <v>1.7</v>
      </c>
      <c r="CG2178">
        <v>5.24</v>
      </c>
      <c r="CH2178">
        <v>0.94</v>
      </c>
      <c r="CI2178">
        <v>0.2</v>
      </c>
      <c r="CJ2178">
        <v>40009</v>
      </c>
      <c r="CK2178">
        <v>500</v>
      </c>
      <c r="CL2178" t="s">
        <v>10448</v>
      </c>
      <c r="CM2178">
        <v>0</v>
      </c>
      <c r="CN2178">
        <v>0</v>
      </c>
      <c r="CO2178">
        <v>3.53</v>
      </c>
      <c r="CP2178">
        <v>61.12</v>
      </c>
      <c r="CQ2178">
        <v>10.67</v>
      </c>
      <c r="CR2178">
        <v>0</v>
      </c>
      <c r="CS2178" t="s">
        <v>10449</v>
      </c>
      <c r="CT2178">
        <v>20.27</v>
      </c>
      <c r="CU2178">
        <v>20.27</v>
      </c>
      <c r="CV2178">
        <v>0.78</v>
      </c>
      <c r="CW2178">
        <v>6.55</v>
      </c>
      <c r="CX2178">
        <v>1.17</v>
      </c>
      <c r="CY2178">
        <v>68.760000000000005</v>
      </c>
      <c r="CZ2178" t="s">
        <v>10450</v>
      </c>
      <c r="DA2178">
        <v>53.41</v>
      </c>
      <c r="DB2178">
        <v>38.299999999999997</v>
      </c>
      <c r="DC2178">
        <v>32.92</v>
      </c>
      <c r="DD2178">
        <v>0.32</v>
      </c>
      <c r="DE2178">
        <v>854</v>
      </c>
      <c r="DF2178">
        <v>300800</v>
      </c>
      <c r="DG2178" t="s">
        <v>116</v>
      </c>
      <c r="DH2178" t="s">
        <v>116</v>
      </c>
      <c r="DI2178" t="s">
        <v>116</v>
      </c>
    </row>
    <row r="2179" spans="1:113" x14ac:dyDescent="0.4">
      <c r="A2179" t="str">
        <f>"300801"</f>
        <v>300801</v>
      </c>
      <c r="B2179" t="s">
        <v>10451</v>
      </c>
      <c r="C2179">
        <v>0.37</v>
      </c>
      <c r="D2179">
        <v>37.880000000000003</v>
      </c>
      <c r="E2179">
        <v>0.14000000000000001</v>
      </c>
      <c r="F2179">
        <v>37.880000000000003</v>
      </c>
      <c r="G2179">
        <v>37.89</v>
      </c>
      <c r="H2179">
        <v>36251</v>
      </c>
      <c r="I2179">
        <v>617</v>
      </c>
      <c r="J2179">
        <v>0.08</v>
      </c>
      <c r="K2179">
        <v>12.08</v>
      </c>
      <c r="L2179">
        <v>37.630000000000003</v>
      </c>
      <c r="M2179">
        <v>38.17</v>
      </c>
      <c r="N2179">
        <v>37.4</v>
      </c>
      <c r="O2179">
        <v>37.74</v>
      </c>
      <c r="P2179">
        <v>25.08</v>
      </c>
      <c r="Q2179">
        <v>136916432</v>
      </c>
      <c r="R2179">
        <v>1.36</v>
      </c>
      <c r="S2179" t="s">
        <v>891</v>
      </c>
      <c r="T2179" t="s">
        <v>645</v>
      </c>
      <c r="U2179">
        <v>2.04</v>
      </c>
      <c r="V2179">
        <v>37.770000000000003</v>
      </c>
      <c r="W2179">
        <v>18725</v>
      </c>
      <c r="X2179">
        <v>17526</v>
      </c>
      <c r="Y2179">
        <v>1.07</v>
      </c>
      <c r="Z2179">
        <v>122</v>
      </c>
      <c r="AA2179">
        <v>61</v>
      </c>
      <c r="AB2179" t="s">
        <v>116</v>
      </c>
      <c r="AC2179">
        <v>575700</v>
      </c>
      <c r="AD2179">
        <v>0.05</v>
      </c>
      <c r="AE2179" t="s">
        <v>116</v>
      </c>
      <c r="AF2179" t="s">
        <v>116</v>
      </c>
      <c r="AG2179">
        <v>0.3</v>
      </c>
      <c r="AH2179" t="s">
        <v>6400</v>
      </c>
      <c r="AI2179" t="s">
        <v>1130</v>
      </c>
      <c r="AJ2179">
        <v>1.05</v>
      </c>
      <c r="AK2179">
        <v>2457</v>
      </c>
      <c r="AL2179">
        <v>15</v>
      </c>
      <c r="AM2179">
        <v>4.8999999999999998E-3</v>
      </c>
      <c r="AN2179">
        <v>2</v>
      </c>
      <c r="AO2179">
        <v>0.96</v>
      </c>
      <c r="AP2179">
        <v>-21.38</v>
      </c>
      <c r="AQ2179">
        <v>24.52</v>
      </c>
      <c r="AR2179">
        <v>24.52</v>
      </c>
      <c r="AS2179">
        <v>12.08</v>
      </c>
      <c r="AT2179" t="s">
        <v>6400</v>
      </c>
      <c r="AU2179">
        <v>24.56</v>
      </c>
      <c r="AV2179">
        <v>24.42</v>
      </c>
      <c r="AW2179">
        <v>0</v>
      </c>
      <c r="BA2179">
        <v>-0.28999999999999998</v>
      </c>
      <c r="BB2179">
        <v>1.1399999999999999</v>
      </c>
      <c r="BC2179">
        <v>-0.9</v>
      </c>
      <c r="BD2179">
        <v>0.08</v>
      </c>
      <c r="BE2179">
        <v>0.66</v>
      </c>
      <c r="BF2179">
        <v>-0.76</v>
      </c>
      <c r="BG2179">
        <v>1.28</v>
      </c>
      <c r="BH2179">
        <v>0.28999999999999998</v>
      </c>
      <c r="BI2179">
        <v>20191224</v>
      </c>
      <c r="BJ2179">
        <v>20191128</v>
      </c>
      <c r="BK2179">
        <v>1.2</v>
      </c>
      <c r="BL2179" t="s">
        <v>116</v>
      </c>
      <c r="BM2179" t="s">
        <v>116</v>
      </c>
      <c r="BN2179">
        <v>10.06</v>
      </c>
      <c r="BO2179">
        <v>8.5399999999999991</v>
      </c>
      <c r="BP2179">
        <v>0</v>
      </c>
      <c r="BQ2179">
        <v>15.06</v>
      </c>
      <c r="BR2179">
        <v>4.47</v>
      </c>
      <c r="BS2179">
        <v>2.79</v>
      </c>
      <c r="BT2179">
        <v>0.67</v>
      </c>
      <c r="BU2179">
        <v>1.47</v>
      </c>
      <c r="BV2179">
        <v>0.63</v>
      </c>
      <c r="BW2179">
        <v>1.28</v>
      </c>
      <c r="BX2179">
        <v>2.59</v>
      </c>
      <c r="BY2179">
        <v>8.84</v>
      </c>
      <c r="BZ2179">
        <v>6.12</v>
      </c>
      <c r="CA2179">
        <v>1.6</v>
      </c>
      <c r="CB2179">
        <v>0.02</v>
      </c>
      <c r="CC2179">
        <v>1.6</v>
      </c>
      <c r="CD2179">
        <v>1.36</v>
      </c>
      <c r="CE2179">
        <v>1.36</v>
      </c>
      <c r="CF2179">
        <v>1.27</v>
      </c>
      <c r="CG2179">
        <v>4.7</v>
      </c>
      <c r="CH2179">
        <v>1.05</v>
      </c>
      <c r="CI2179">
        <v>-1.08</v>
      </c>
      <c r="CJ2179">
        <v>31373</v>
      </c>
      <c r="CK2179">
        <v>956</v>
      </c>
      <c r="CL2179" t="s">
        <v>4307</v>
      </c>
      <c r="CM2179">
        <v>0</v>
      </c>
      <c r="CN2179">
        <v>0</v>
      </c>
      <c r="CO2179">
        <v>2.68</v>
      </c>
      <c r="CP2179">
        <v>43.27</v>
      </c>
      <c r="CQ2179">
        <v>5.14</v>
      </c>
      <c r="CR2179">
        <v>0</v>
      </c>
      <c r="CS2179" t="s">
        <v>10452</v>
      </c>
      <c r="CT2179">
        <v>14.15</v>
      </c>
      <c r="CU2179">
        <v>14.15</v>
      </c>
      <c r="CV2179">
        <v>2.16</v>
      </c>
      <c r="CW2179">
        <v>3.91</v>
      </c>
      <c r="CX2179">
        <v>0.88</v>
      </c>
      <c r="CY2179">
        <v>84.94</v>
      </c>
      <c r="CZ2179" t="s">
        <v>10453</v>
      </c>
      <c r="DA2179">
        <v>30.77</v>
      </c>
      <c r="DB2179">
        <v>18.14</v>
      </c>
      <c r="DC2179">
        <v>15.38</v>
      </c>
      <c r="DD2179">
        <v>0.33</v>
      </c>
      <c r="DE2179">
        <v>541</v>
      </c>
      <c r="DF2179">
        <v>300801</v>
      </c>
      <c r="DG2179" t="s">
        <v>116</v>
      </c>
      <c r="DH2179" t="s">
        <v>116</v>
      </c>
      <c r="DI2179" t="s">
        <v>116</v>
      </c>
    </row>
    <row r="2180" spans="1:113" x14ac:dyDescent="0.4">
      <c r="A2180" t="str">
        <f>"300802"</f>
        <v>300802</v>
      </c>
      <c r="B2180" t="s">
        <v>10454</v>
      </c>
      <c r="C2180">
        <v>0.32</v>
      </c>
      <c r="D2180">
        <v>54.07</v>
      </c>
      <c r="E2180">
        <v>0.17</v>
      </c>
      <c r="F2180">
        <v>54.07</v>
      </c>
      <c r="G2180">
        <v>54.08</v>
      </c>
      <c r="H2180">
        <v>40401</v>
      </c>
      <c r="I2180">
        <v>889</v>
      </c>
      <c r="J2180">
        <v>-0.01</v>
      </c>
      <c r="K2180">
        <v>16.16</v>
      </c>
      <c r="L2180">
        <v>54</v>
      </c>
      <c r="M2180">
        <v>54.88</v>
      </c>
      <c r="N2180">
        <v>53.83</v>
      </c>
      <c r="O2180">
        <v>53.9</v>
      </c>
      <c r="P2180">
        <v>61.48</v>
      </c>
      <c r="Q2180">
        <v>219504096</v>
      </c>
      <c r="R2180">
        <v>0.81</v>
      </c>
      <c r="S2180" t="s">
        <v>241</v>
      </c>
      <c r="T2180" t="s">
        <v>1653</v>
      </c>
      <c r="U2180">
        <v>1.95</v>
      </c>
      <c r="V2180">
        <v>54.33</v>
      </c>
      <c r="W2180">
        <v>20091</v>
      </c>
      <c r="X2180">
        <v>20310</v>
      </c>
      <c r="Y2180">
        <v>0.99</v>
      </c>
      <c r="Z2180">
        <v>137</v>
      </c>
      <c r="AA2180">
        <v>134</v>
      </c>
      <c r="AB2180" t="s">
        <v>116</v>
      </c>
      <c r="AC2180">
        <v>788400</v>
      </c>
      <c r="AD2180">
        <v>0.06</v>
      </c>
      <c r="AE2180" t="s">
        <v>116</v>
      </c>
      <c r="AF2180" t="s">
        <v>116</v>
      </c>
      <c r="AG2180">
        <v>0.25</v>
      </c>
      <c r="AH2180" t="s">
        <v>2048</v>
      </c>
      <c r="AI2180" t="s">
        <v>10455</v>
      </c>
      <c r="AJ2180">
        <v>0.99</v>
      </c>
      <c r="AK2180">
        <v>2988</v>
      </c>
      <c r="AL2180">
        <v>14</v>
      </c>
      <c r="AM2180">
        <v>5.4000000000000003E-3</v>
      </c>
      <c r="AN2180">
        <v>3</v>
      </c>
      <c r="AO2180">
        <v>1.1200000000000001</v>
      </c>
      <c r="AP2180">
        <v>-15.92</v>
      </c>
      <c r="AQ2180">
        <v>145.33000000000001</v>
      </c>
      <c r="AR2180">
        <v>145.33000000000001</v>
      </c>
      <c r="AS2180">
        <v>16.16</v>
      </c>
      <c r="AT2180" t="s">
        <v>2048</v>
      </c>
      <c r="AU2180">
        <v>57.98</v>
      </c>
      <c r="AV2180">
        <v>54.53</v>
      </c>
      <c r="AW2180">
        <v>0</v>
      </c>
      <c r="BA2180">
        <v>0.19</v>
      </c>
      <c r="BB2180">
        <v>1.82</v>
      </c>
      <c r="BC2180">
        <v>-0.13</v>
      </c>
      <c r="BD2180">
        <v>0.8</v>
      </c>
      <c r="BE2180">
        <v>0.13</v>
      </c>
      <c r="BF2180">
        <v>-1.48</v>
      </c>
      <c r="BG2180">
        <v>0.45</v>
      </c>
      <c r="BH2180">
        <v>-0.48</v>
      </c>
      <c r="BI2180">
        <v>20191113</v>
      </c>
      <c r="BJ2180">
        <v>20191114</v>
      </c>
      <c r="BK2180">
        <v>1</v>
      </c>
      <c r="BL2180" t="s">
        <v>116</v>
      </c>
      <c r="BM2180" t="s">
        <v>116</v>
      </c>
      <c r="BN2180">
        <v>5.65</v>
      </c>
      <c r="BO2180">
        <v>4.28</v>
      </c>
      <c r="BP2180">
        <v>0.35</v>
      </c>
      <c r="BQ2180">
        <v>17.87</v>
      </c>
      <c r="BR2180">
        <v>3.98</v>
      </c>
      <c r="BS2180">
        <v>1.18</v>
      </c>
      <c r="BT2180">
        <v>7.0000000000000007E-2</v>
      </c>
      <c r="BU2180">
        <v>1</v>
      </c>
      <c r="BV2180">
        <v>0.86</v>
      </c>
      <c r="BW2180">
        <v>1.28</v>
      </c>
      <c r="BX2180">
        <v>0.98</v>
      </c>
      <c r="BY2180">
        <v>3.02</v>
      </c>
      <c r="BZ2180">
        <v>1.81</v>
      </c>
      <c r="CA2180">
        <v>0.81</v>
      </c>
      <c r="CB2180">
        <v>0</v>
      </c>
      <c r="CC2180">
        <v>0.82</v>
      </c>
      <c r="CD2180">
        <v>0.7</v>
      </c>
      <c r="CE2180">
        <v>0.66</v>
      </c>
      <c r="CF2180">
        <v>0.65</v>
      </c>
      <c r="CG2180">
        <v>2.39</v>
      </c>
      <c r="CH2180">
        <v>0.83</v>
      </c>
      <c r="CI2180">
        <v>-0.15</v>
      </c>
      <c r="CJ2180">
        <v>51826</v>
      </c>
      <c r="CK2180">
        <v>482</v>
      </c>
      <c r="CL2180" t="s">
        <v>6892</v>
      </c>
      <c r="CM2180">
        <v>0</v>
      </c>
      <c r="CN2180">
        <v>0</v>
      </c>
      <c r="CO2180">
        <v>5.85</v>
      </c>
      <c r="CP2180">
        <v>64.86</v>
      </c>
      <c r="CQ2180">
        <v>17.899999999999999</v>
      </c>
      <c r="CR2180">
        <v>0</v>
      </c>
      <c r="CS2180" t="s">
        <v>2661</v>
      </c>
      <c r="CT2180">
        <v>9.24</v>
      </c>
      <c r="CU2180">
        <v>9.24</v>
      </c>
      <c r="CV2180">
        <v>0.98</v>
      </c>
      <c r="CW2180">
        <v>2.39</v>
      </c>
      <c r="CX2180">
        <v>0.83</v>
      </c>
      <c r="CY2180">
        <v>75.88</v>
      </c>
      <c r="CZ2180" t="s">
        <v>1913</v>
      </c>
      <c r="DA2180">
        <v>39.97</v>
      </c>
      <c r="DB2180">
        <v>26.96</v>
      </c>
      <c r="DC2180">
        <v>21.83</v>
      </c>
      <c r="DD2180">
        <v>0.17</v>
      </c>
      <c r="DE2180">
        <v>779</v>
      </c>
      <c r="DF2180">
        <v>300802</v>
      </c>
      <c r="DG2180" t="s">
        <v>116</v>
      </c>
      <c r="DH2180" t="s">
        <v>116</v>
      </c>
      <c r="DI2180" t="s">
        <v>116</v>
      </c>
    </row>
    <row r="2181" spans="1:113" x14ac:dyDescent="0.4">
      <c r="A2181" t="str">
        <f>"300803"</f>
        <v>300803</v>
      </c>
      <c r="B2181" t="s">
        <v>10456</v>
      </c>
      <c r="C2181">
        <v>-4.37</v>
      </c>
      <c r="D2181">
        <v>40.26</v>
      </c>
      <c r="E2181">
        <v>-1.84</v>
      </c>
      <c r="F2181">
        <v>40.26</v>
      </c>
      <c r="G2181">
        <v>40.270000000000003</v>
      </c>
      <c r="H2181">
        <v>238162</v>
      </c>
      <c r="I2181">
        <v>3577</v>
      </c>
      <c r="J2181">
        <v>-0.73</v>
      </c>
      <c r="K2181">
        <v>41.86</v>
      </c>
      <c r="L2181">
        <v>41.74</v>
      </c>
      <c r="M2181">
        <v>44.38</v>
      </c>
      <c r="N2181">
        <v>40.26</v>
      </c>
      <c r="O2181">
        <v>42.1</v>
      </c>
      <c r="P2181">
        <v>97.42</v>
      </c>
      <c r="Q2181">
        <v>1002989440</v>
      </c>
      <c r="R2181">
        <v>1.1299999999999999</v>
      </c>
      <c r="S2181" t="s">
        <v>607</v>
      </c>
      <c r="T2181" t="s">
        <v>165</v>
      </c>
      <c r="U2181">
        <v>9.7899999999999991</v>
      </c>
      <c r="V2181">
        <v>42.11</v>
      </c>
      <c r="W2181">
        <v>121498</v>
      </c>
      <c r="X2181">
        <v>116664</v>
      </c>
      <c r="Y2181">
        <v>1.04</v>
      </c>
      <c r="Z2181">
        <v>8</v>
      </c>
      <c r="AA2181">
        <v>47</v>
      </c>
      <c r="AB2181" t="s">
        <v>116</v>
      </c>
      <c r="AC2181">
        <v>7004000</v>
      </c>
      <c r="AD2181">
        <v>0.28999999999999998</v>
      </c>
      <c r="AE2181" t="s">
        <v>116</v>
      </c>
      <c r="AF2181" t="s">
        <v>116</v>
      </c>
      <c r="AG2181">
        <v>0.56999999999999995</v>
      </c>
      <c r="AH2181" t="s">
        <v>10457</v>
      </c>
      <c r="AI2181" t="s">
        <v>10458</v>
      </c>
      <c r="AJ2181">
        <v>-3.69</v>
      </c>
      <c r="AK2181">
        <v>4444</v>
      </c>
      <c r="AL2181">
        <v>54</v>
      </c>
      <c r="AM2181">
        <v>9.4000000000000004E-3</v>
      </c>
      <c r="AN2181">
        <v>-1</v>
      </c>
      <c r="AO2181">
        <v>-1.81</v>
      </c>
      <c r="AP2181">
        <v>89.55</v>
      </c>
      <c r="AQ2181">
        <v>544.16</v>
      </c>
      <c r="AR2181">
        <v>544.16</v>
      </c>
      <c r="AS2181">
        <v>41.86</v>
      </c>
      <c r="AT2181" t="s">
        <v>10457</v>
      </c>
      <c r="AU2181">
        <v>106.77</v>
      </c>
      <c r="AV2181">
        <v>127.52</v>
      </c>
      <c r="AW2181">
        <v>0</v>
      </c>
      <c r="BA2181">
        <v>-0.86</v>
      </c>
      <c r="BB2181">
        <v>5.42</v>
      </c>
      <c r="BC2181">
        <v>-4.37</v>
      </c>
      <c r="BD2181">
        <v>0.03</v>
      </c>
      <c r="BE2181">
        <v>-3.55</v>
      </c>
      <c r="BF2181">
        <v>-9.2799999999999994</v>
      </c>
      <c r="BG2181">
        <v>0</v>
      </c>
      <c r="BH2181">
        <v>-4.4000000000000004</v>
      </c>
      <c r="BI2181">
        <v>20191117</v>
      </c>
      <c r="BJ2181">
        <v>20191118</v>
      </c>
      <c r="BK2181">
        <v>4.05</v>
      </c>
      <c r="BL2181" t="s">
        <v>116</v>
      </c>
      <c r="BM2181" t="s">
        <v>116</v>
      </c>
      <c r="BN2181">
        <v>12.23</v>
      </c>
      <c r="BO2181">
        <v>7.95</v>
      </c>
      <c r="BP2181">
        <v>0</v>
      </c>
      <c r="BQ2181">
        <v>35</v>
      </c>
      <c r="BR2181">
        <v>8.6300000000000008</v>
      </c>
      <c r="BS2181">
        <v>3.43</v>
      </c>
      <c r="BT2181">
        <v>0.02</v>
      </c>
      <c r="BU2181">
        <v>4.25</v>
      </c>
      <c r="BV2181">
        <v>0</v>
      </c>
      <c r="BW2181">
        <v>0.05</v>
      </c>
      <c r="BX2181">
        <v>0.12</v>
      </c>
      <c r="BY2181">
        <v>5.3</v>
      </c>
      <c r="BZ2181">
        <v>0.67</v>
      </c>
      <c r="CA2181">
        <v>1.6</v>
      </c>
      <c r="CB2181">
        <v>0.09</v>
      </c>
      <c r="CC2181">
        <v>1.6</v>
      </c>
      <c r="CD2181">
        <v>1.26</v>
      </c>
      <c r="CE2181">
        <v>1.26</v>
      </c>
      <c r="CF2181">
        <v>1.17</v>
      </c>
      <c r="CG2181">
        <v>3.87</v>
      </c>
      <c r="CH2181">
        <v>0.66</v>
      </c>
      <c r="CI2181">
        <v>0.72</v>
      </c>
      <c r="CJ2181">
        <v>109509</v>
      </c>
      <c r="CK2181">
        <v>520</v>
      </c>
      <c r="CL2181" t="s">
        <v>10459</v>
      </c>
      <c r="CM2181">
        <v>0</v>
      </c>
      <c r="CN2181">
        <v>0</v>
      </c>
      <c r="CO2181">
        <v>14.9</v>
      </c>
      <c r="CP2181">
        <v>247.08</v>
      </c>
      <c r="CQ2181">
        <v>30.74</v>
      </c>
      <c r="CR2181">
        <v>0</v>
      </c>
      <c r="CS2181" t="s">
        <v>3626</v>
      </c>
      <c r="CT2181">
        <v>2.7</v>
      </c>
      <c r="CU2181">
        <v>2.7</v>
      </c>
      <c r="CV2181">
        <v>0.03</v>
      </c>
      <c r="CW2181">
        <v>0.96</v>
      </c>
      <c r="CX2181">
        <v>0.16</v>
      </c>
      <c r="CY2181">
        <v>65</v>
      </c>
      <c r="CZ2181" t="s">
        <v>10460</v>
      </c>
      <c r="DA2181">
        <v>87.35</v>
      </c>
      <c r="DB2181">
        <v>30.08</v>
      </c>
      <c r="DC2181">
        <v>23.66</v>
      </c>
      <c r="DD2181">
        <v>0.57999999999999996</v>
      </c>
      <c r="DE2181">
        <v>1282</v>
      </c>
      <c r="DF2181">
        <v>300803</v>
      </c>
      <c r="DG2181" t="s">
        <v>116</v>
      </c>
      <c r="DH2181" t="s">
        <v>116</v>
      </c>
      <c r="DI2181" t="s">
        <v>116</v>
      </c>
    </row>
    <row r="2182" spans="1:113" x14ac:dyDescent="0.4">
      <c r="A2182" t="str">
        <f>"300805"</f>
        <v>300805</v>
      </c>
      <c r="B2182" t="s">
        <v>10461</v>
      </c>
      <c r="C2182">
        <v>10.01</v>
      </c>
      <c r="D2182">
        <v>26.93</v>
      </c>
      <c r="E2182">
        <v>2.4500000000000002</v>
      </c>
      <c r="F2182">
        <v>26.93</v>
      </c>
      <c r="G2182" t="s">
        <v>116</v>
      </c>
      <c r="H2182">
        <v>234608</v>
      </c>
      <c r="I2182">
        <v>172</v>
      </c>
      <c r="J2182">
        <v>0</v>
      </c>
      <c r="K2182">
        <v>55.42</v>
      </c>
      <c r="L2182">
        <v>25.8</v>
      </c>
      <c r="M2182">
        <v>26.93</v>
      </c>
      <c r="N2182">
        <v>25.1</v>
      </c>
      <c r="O2182">
        <v>24.48</v>
      </c>
      <c r="P2182">
        <v>57.26</v>
      </c>
      <c r="Q2182">
        <v>612977536</v>
      </c>
      <c r="R2182">
        <v>3.05</v>
      </c>
      <c r="S2182" t="s">
        <v>345</v>
      </c>
      <c r="T2182" t="s">
        <v>551</v>
      </c>
      <c r="U2182">
        <v>7.48</v>
      </c>
      <c r="V2182">
        <v>26.13</v>
      </c>
      <c r="W2182">
        <v>99258</v>
      </c>
      <c r="X2182">
        <v>135350</v>
      </c>
      <c r="Y2182">
        <v>0.73</v>
      </c>
      <c r="Z2182">
        <v>23446</v>
      </c>
      <c r="AA2182">
        <v>0</v>
      </c>
      <c r="AB2182" t="s">
        <v>116</v>
      </c>
      <c r="AC2182">
        <v>25892900</v>
      </c>
      <c r="AD2182">
        <v>2.37</v>
      </c>
      <c r="AE2182">
        <v>0.1</v>
      </c>
      <c r="AF2182">
        <v>63140080</v>
      </c>
      <c r="AG2182">
        <v>0.42</v>
      </c>
      <c r="AH2182" t="s">
        <v>7154</v>
      </c>
      <c r="AI2182" t="s">
        <v>10462</v>
      </c>
      <c r="AJ2182">
        <v>10.69</v>
      </c>
      <c r="AK2182">
        <v>3187</v>
      </c>
      <c r="AL2182">
        <v>74</v>
      </c>
      <c r="AM2182">
        <v>1.7399999999999999E-2</v>
      </c>
      <c r="AN2182">
        <v>2</v>
      </c>
      <c r="AO2182">
        <v>21.03</v>
      </c>
      <c r="AP2182">
        <v>3.42</v>
      </c>
      <c r="AQ2182">
        <v>164.02</v>
      </c>
      <c r="AR2182">
        <v>164.02</v>
      </c>
      <c r="AS2182">
        <v>55.42</v>
      </c>
      <c r="AT2182" t="s">
        <v>7154</v>
      </c>
      <c r="AU2182">
        <v>55.13</v>
      </c>
      <c r="AV2182">
        <v>59.26</v>
      </c>
      <c r="AW2182">
        <v>0</v>
      </c>
      <c r="BA2182">
        <v>5.39</v>
      </c>
      <c r="BB2182">
        <v>10.01</v>
      </c>
      <c r="BC2182">
        <v>2.5299999999999998</v>
      </c>
      <c r="BD2182">
        <v>6.73</v>
      </c>
      <c r="BE2182">
        <v>4.38</v>
      </c>
      <c r="BF2182">
        <v>0</v>
      </c>
      <c r="BG2182">
        <v>7.29</v>
      </c>
      <c r="BH2182">
        <v>3.28</v>
      </c>
      <c r="BI2182">
        <v>20191120</v>
      </c>
      <c r="BJ2182">
        <v>20191121</v>
      </c>
      <c r="BK2182">
        <v>4.2300000000000004</v>
      </c>
      <c r="BL2182" t="s">
        <v>116</v>
      </c>
      <c r="BM2182" t="s">
        <v>116</v>
      </c>
      <c r="BN2182">
        <v>17.23</v>
      </c>
      <c r="BO2182">
        <v>11.38</v>
      </c>
      <c r="BP2182">
        <v>0.01</v>
      </c>
      <c r="BQ2182">
        <v>33.93</v>
      </c>
      <c r="BR2182">
        <v>16.14</v>
      </c>
      <c r="BS2182">
        <v>0.22</v>
      </c>
      <c r="BT2182">
        <v>7.0000000000000007E-2</v>
      </c>
      <c r="BU2182">
        <v>5.77</v>
      </c>
      <c r="BV2182">
        <v>1.04</v>
      </c>
      <c r="BW2182">
        <v>10.67</v>
      </c>
      <c r="BX2182">
        <v>1.71</v>
      </c>
      <c r="BY2182">
        <v>20.63</v>
      </c>
      <c r="BZ2182">
        <v>16.3</v>
      </c>
      <c r="CA2182">
        <v>1.93</v>
      </c>
      <c r="CB2182">
        <v>-0.01</v>
      </c>
      <c r="CC2182">
        <v>2.0099999999999998</v>
      </c>
      <c r="CD2182">
        <v>1.49</v>
      </c>
      <c r="CE2182">
        <v>1.49</v>
      </c>
      <c r="CF2182">
        <v>1.4</v>
      </c>
      <c r="CG2182">
        <v>5.28</v>
      </c>
      <c r="CH2182">
        <v>0.9</v>
      </c>
      <c r="CI2182">
        <v>0.68</v>
      </c>
      <c r="CJ2182">
        <v>82963</v>
      </c>
      <c r="CK2182">
        <v>510</v>
      </c>
      <c r="CL2182" t="s">
        <v>10463</v>
      </c>
      <c r="CM2182">
        <v>0</v>
      </c>
      <c r="CN2182">
        <v>0</v>
      </c>
      <c r="CO2182">
        <v>7.51</v>
      </c>
      <c r="CP2182">
        <v>127.06</v>
      </c>
      <c r="CQ2182">
        <v>5.53</v>
      </c>
      <c r="CR2182">
        <v>0</v>
      </c>
      <c r="CS2182" t="s">
        <v>595</v>
      </c>
      <c r="CT2182">
        <v>3.59</v>
      </c>
      <c r="CU2182">
        <v>3.59</v>
      </c>
      <c r="CV2182">
        <v>0.4</v>
      </c>
      <c r="CW2182">
        <v>1.25</v>
      </c>
      <c r="CX2182">
        <v>0.21</v>
      </c>
      <c r="CY2182">
        <v>66.03</v>
      </c>
      <c r="CZ2182" t="s">
        <v>10464</v>
      </c>
      <c r="DA2182">
        <v>21</v>
      </c>
      <c r="DB2182">
        <v>9.3800000000000008</v>
      </c>
      <c r="DC2182">
        <v>7.24</v>
      </c>
      <c r="DD2182">
        <v>0.14000000000000001</v>
      </c>
      <c r="DE2182">
        <v>15122</v>
      </c>
      <c r="DF2182">
        <v>300805</v>
      </c>
      <c r="DG2182" t="s">
        <v>116</v>
      </c>
      <c r="DH2182" t="s">
        <v>116</v>
      </c>
      <c r="DI2182" t="s">
        <v>116</v>
      </c>
    </row>
    <row r="2183" spans="1:113" x14ac:dyDescent="0.4">
      <c r="A2183" t="str">
        <f>"300806"</f>
        <v>300806</v>
      </c>
      <c r="B2183" t="s">
        <v>10465</v>
      </c>
      <c r="C2183">
        <v>1.42</v>
      </c>
      <c r="D2183">
        <v>43.6</v>
      </c>
      <c r="E2183">
        <v>0.61</v>
      </c>
      <c r="F2183">
        <v>43.57</v>
      </c>
      <c r="G2183">
        <v>43.6</v>
      </c>
      <c r="H2183">
        <v>68024</v>
      </c>
      <c r="I2183">
        <v>1295</v>
      </c>
      <c r="J2183">
        <v>-0.13</v>
      </c>
      <c r="K2183">
        <v>23.29</v>
      </c>
      <c r="L2183">
        <v>42.46</v>
      </c>
      <c r="M2183">
        <v>44.17</v>
      </c>
      <c r="N2183">
        <v>42.3</v>
      </c>
      <c r="O2183">
        <v>42.99</v>
      </c>
      <c r="P2183">
        <v>54.27</v>
      </c>
      <c r="Q2183">
        <v>295020736</v>
      </c>
      <c r="R2183">
        <v>1.01</v>
      </c>
      <c r="S2183" t="s">
        <v>2444</v>
      </c>
      <c r="T2183" t="s">
        <v>323</v>
      </c>
      <c r="U2183">
        <v>4.3499999999999996</v>
      </c>
      <c r="V2183">
        <v>43.37</v>
      </c>
      <c r="W2183">
        <v>32024</v>
      </c>
      <c r="X2183">
        <v>36000</v>
      </c>
      <c r="Y2183">
        <v>0.89</v>
      </c>
      <c r="Z2183">
        <v>5</v>
      </c>
      <c r="AA2183">
        <v>237</v>
      </c>
      <c r="AB2183" t="s">
        <v>116</v>
      </c>
      <c r="AC2183">
        <v>2730200</v>
      </c>
      <c r="AD2183">
        <v>0.22</v>
      </c>
      <c r="AE2183" t="s">
        <v>116</v>
      </c>
      <c r="AF2183" t="s">
        <v>116</v>
      </c>
      <c r="AG2183">
        <v>0.28999999999999998</v>
      </c>
      <c r="AH2183" t="s">
        <v>2265</v>
      </c>
      <c r="AI2183" t="s">
        <v>7415</v>
      </c>
      <c r="AJ2183">
        <v>2.1</v>
      </c>
      <c r="AK2183">
        <v>3353</v>
      </c>
      <c r="AL2183">
        <v>20</v>
      </c>
      <c r="AM2183">
        <v>6.8999999999999999E-3</v>
      </c>
      <c r="AN2183">
        <v>2</v>
      </c>
      <c r="AO2183">
        <v>2.59</v>
      </c>
      <c r="AP2183">
        <v>83.5</v>
      </c>
      <c r="AQ2183">
        <v>286.87</v>
      </c>
      <c r="AR2183">
        <v>286.87</v>
      </c>
      <c r="AS2183">
        <v>23.29</v>
      </c>
      <c r="AT2183" t="s">
        <v>2265</v>
      </c>
      <c r="AU2183">
        <v>44.16</v>
      </c>
      <c r="AV2183">
        <v>66.55</v>
      </c>
      <c r="AW2183">
        <v>0</v>
      </c>
      <c r="BA2183">
        <v>-1.23</v>
      </c>
      <c r="BB2183">
        <v>2.74</v>
      </c>
      <c r="BC2183">
        <v>-1.61</v>
      </c>
      <c r="BD2183">
        <v>0.88</v>
      </c>
      <c r="BE2183">
        <v>2.68</v>
      </c>
      <c r="BF2183">
        <v>-1.29</v>
      </c>
      <c r="BG2183">
        <v>3.07</v>
      </c>
      <c r="BH2183">
        <v>0.54</v>
      </c>
      <c r="BI2183">
        <v>20191124</v>
      </c>
      <c r="BJ2183">
        <v>20191125</v>
      </c>
      <c r="BK2183">
        <v>1.17</v>
      </c>
      <c r="BL2183" t="s">
        <v>116</v>
      </c>
      <c r="BM2183" t="s">
        <v>116</v>
      </c>
      <c r="BN2183">
        <v>18.670000000000002</v>
      </c>
      <c r="BO2183">
        <v>7.55</v>
      </c>
      <c r="BP2183">
        <v>0.01</v>
      </c>
      <c r="BQ2183">
        <v>59.54</v>
      </c>
      <c r="BR2183">
        <v>9.15</v>
      </c>
      <c r="BS2183">
        <v>6.85</v>
      </c>
      <c r="BT2183">
        <v>0.6</v>
      </c>
      <c r="BU2183">
        <v>9.35</v>
      </c>
      <c r="BV2183">
        <v>1.37</v>
      </c>
      <c r="BW2183">
        <v>6.02</v>
      </c>
      <c r="BX2183">
        <v>2.72</v>
      </c>
      <c r="BY2183">
        <v>10.75</v>
      </c>
      <c r="BZ2183">
        <v>8.08</v>
      </c>
      <c r="CA2183">
        <v>0.76</v>
      </c>
      <c r="CB2183">
        <v>0</v>
      </c>
      <c r="CC2183">
        <v>0.78</v>
      </c>
      <c r="CD2183">
        <v>0.7</v>
      </c>
      <c r="CE2183">
        <v>0.7</v>
      </c>
      <c r="CF2183">
        <v>0.1</v>
      </c>
      <c r="CG2183">
        <v>3.7</v>
      </c>
      <c r="CH2183">
        <v>0.23</v>
      </c>
      <c r="CI2183">
        <v>-2.13</v>
      </c>
      <c r="CJ2183">
        <v>59543</v>
      </c>
      <c r="CK2183">
        <v>491</v>
      </c>
      <c r="CL2183" t="s">
        <v>10466</v>
      </c>
      <c r="CM2183">
        <v>0</v>
      </c>
      <c r="CN2183">
        <v>0</v>
      </c>
      <c r="CO2183">
        <v>4.9000000000000004</v>
      </c>
      <c r="CP2183">
        <v>219.56</v>
      </c>
      <c r="CQ2183">
        <v>4.74</v>
      </c>
      <c r="CR2183">
        <v>0</v>
      </c>
      <c r="CS2183" t="s">
        <v>10467</v>
      </c>
      <c r="CT2183">
        <v>8.89</v>
      </c>
      <c r="CU2183">
        <v>8.89</v>
      </c>
      <c r="CV2183">
        <v>2.33</v>
      </c>
      <c r="CW2183">
        <v>3.17</v>
      </c>
      <c r="CX2183">
        <v>0.2</v>
      </c>
      <c r="CY2183">
        <v>40.43</v>
      </c>
      <c r="CZ2183" t="s">
        <v>9893</v>
      </c>
      <c r="DA2183">
        <v>24.86</v>
      </c>
      <c r="DB2183">
        <v>7.05</v>
      </c>
      <c r="DC2183">
        <v>6.55</v>
      </c>
      <c r="DD2183">
        <v>0.63</v>
      </c>
      <c r="DE2183">
        <v>962</v>
      </c>
      <c r="DF2183">
        <v>300806</v>
      </c>
      <c r="DG2183" t="s">
        <v>116</v>
      </c>
      <c r="DH2183" t="s">
        <v>116</v>
      </c>
      <c r="DI2183" t="s">
        <v>116</v>
      </c>
    </row>
    <row r="2184" spans="1:113" x14ac:dyDescent="0.4">
      <c r="A2184" t="str">
        <f>"300807"</f>
        <v>300807</v>
      </c>
      <c r="B2184" t="s">
        <v>10468</v>
      </c>
      <c r="C2184">
        <v>10</v>
      </c>
      <c r="D2184">
        <v>45.11</v>
      </c>
      <c r="E2184">
        <v>4.0999999999999996</v>
      </c>
      <c r="F2184">
        <v>45.11</v>
      </c>
      <c r="G2184" t="s">
        <v>116</v>
      </c>
      <c r="H2184">
        <v>1061</v>
      </c>
      <c r="I2184">
        <v>8</v>
      </c>
      <c r="J2184">
        <v>0</v>
      </c>
      <c r="K2184">
        <v>0.62</v>
      </c>
      <c r="L2184">
        <v>45.11</v>
      </c>
      <c r="M2184">
        <v>45.11</v>
      </c>
      <c r="N2184">
        <v>45.11</v>
      </c>
      <c r="O2184">
        <v>41.01</v>
      </c>
      <c r="P2184">
        <v>75.989999999999995</v>
      </c>
      <c r="Q2184">
        <v>4786667</v>
      </c>
      <c r="R2184">
        <v>2.21</v>
      </c>
      <c r="S2184" t="s">
        <v>607</v>
      </c>
      <c r="T2184" t="s">
        <v>652</v>
      </c>
      <c r="U2184">
        <v>0</v>
      </c>
      <c r="V2184">
        <v>45.11</v>
      </c>
      <c r="W2184">
        <v>973</v>
      </c>
      <c r="X2184">
        <v>88</v>
      </c>
      <c r="Y2184">
        <v>11.06</v>
      </c>
      <c r="Z2184">
        <v>55718</v>
      </c>
      <c r="AA2184">
        <v>0</v>
      </c>
      <c r="AB2184" t="s">
        <v>116</v>
      </c>
      <c r="AC2184">
        <v>757800</v>
      </c>
      <c r="AD2184">
        <v>0.1</v>
      </c>
      <c r="AE2184">
        <v>52.51</v>
      </c>
      <c r="AF2184">
        <v>251343904</v>
      </c>
      <c r="AG2184">
        <v>0.17</v>
      </c>
      <c r="AH2184" t="s">
        <v>10469</v>
      </c>
      <c r="AI2184" t="s">
        <v>4536</v>
      </c>
      <c r="AJ2184">
        <v>10.68</v>
      </c>
      <c r="AK2184">
        <v>213</v>
      </c>
      <c r="AL2184">
        <v>5</v>
      </c>
      <c r="AM2184">
        <v>2.8999999999999998E-3</v>
      </c>
      <c r="AN2184">
        <v>7</v>
      </c>
      <c r="AO2184">
        <v>33.11</v>
      </c>
      <c r="AP2184">
        <v>155.15</v>
      </c>
      <c r="AQ2184">
        <v>155.15</v>
      </c>
      <c r="AR2184">
        <v>155.15</v>
      </c>
      <c r="AS2184">
        <v>0.62</v>
      </c>
      <c r="AT2184" t="s">
        <v>10469</v>
      </c>
      <c r="AU2184">
        <v>38.51</v>
      </c>
      <c r="AV2184">
        <v>52.54</v>
      </c>
      <c r="AW2184">
        <v>0</v>
      </c>
      <c r="BA2184">
        <v>10</v>
      </c>
      <c r="BB2184">
        <v>10</v>
      </c>
      <c r="BC2184">
        <v>10</v>
      </c>
      <c r="BD2184">
        <v>10</v>
      </c>
      <c r="BE2184">
        <v>0</v>
      </c>
      <c r="BF2184">
        <v>0</v>
      </c>
      <c r="BG2184">
        <v>0</v>
      </c>
      <c r="BH2184">
        <v>0</v>
      </c>
      <c r="BI2184">
        <v>20191218</v>
      </c>
      <c r="BJ2184">
        <v>20191219</v>
      </c>
      <c r="BK2184">
        <v>0.68</v>
      </c>
      <c r="BL2184" t="s">
        <v>116</v>
      </c>
      <c r="BM2184" t="s">
        <v>116</v>
      </c>
      <c r="BN2184">
        <v>5.7</v>
      </c>
      <c r="BO2184">
        <v>3.76</v>
      </c>
      <c r="BP2184">
        <v>0</v>
      </c>
      <c r="BQ2184">
        <v>34.020000000000003</v>
      </c>
      <c r="BR2184">
        <v>3.96</v>
      </c>
      <c r="BS2184">
        <v>0.38</v>
      </c>
      <c r="BT2184">
        <v>0.11</v>
      </c>
      <c r="BU2184">
        <v>1.53</v>
      </c>
      <c r="BV2184">
        <v>1.28</v>
      </c>
      <c r="BW2184">
        <v>1.56</v>
      </c>
      <c r="BX2184">
        <v>1.1299999999999999</v>
      </c>
      <c r="BY2184">
        <v>2.31</v>
      </c>
      <c r="BZ2184">
        <v>1.1499999999999999</v>
      </c>
      <c r="CA2184">
        <v>0.26</v>
      </c>
      <c r="CB2184">
        <v>-0.01</v>
      </c>
      <c r="CC2184">
        <v>0.32</v>
      </c>
      <c r="CD2184">
        <v>0.3</v>
      </c>
      <c r="CE2184">
        <v>0.3</v>
      </c>
      <c r="CF2184">
        <v>0.18</v>
      </c>
      <c r="CG2184">
        <v>1.94</v>
      </c>
      <c r="CH2184">
        <v>-0.56000000000000005</v>
      </c>
      <c r="CI2184">
        <v>-1.1100000000000001</v>
      </c>
      <c r="CJ2184">
        <v>34499</v>
      </c>
      <c r="CK2184">
        <v>493</v>
      </c>
      <c r="CL2184" t="s">
        <v>10470</v>
      </c>
      <c r="CM2184">
        <v>0</v>
      </c>
      <c r="CN2184">
        <v>0</v>
      </c>
      <c r="CO2184">
        <v>4.8099999999999996</v>
      </c>
      <c r="CP2184">
        <v>-54.89</v>
      </c>
      <c r="CQ2184">
        <v>13.25</v>
      </c>
      <c r="CR2184">
        <v>0</v>
      </c>
      <c r="CS2184" t="s">
        <v>9508</v>
      </c>
      <c r="CT2184">
        <v>9.3800000000000008</v>
      </c>
      <c r="CU2184">
        <v>9.3800000000000008</v>
      </c>
      <c r="CV2184">
        <v>1.66</v>
      </c>
      <c r="CW2184">
        <v>2.85</v>
      </c>
      <c r="CX2184">
        <v>-0.82</v>
      </c>
      <c r="CY2184">
        <v>65.930000000000007</v>
      </c>
      <c r="CZ2184" t="s">
        <v>9889</v>
      </c>
      <c r="DA2184">
        <v>50.35</v>
      </c>
      <c r="DB2184">
        <v>11.31</v>
      </c>
      <c r="DC2184">
        <v>13.08</v>
      </c>
      <c r="DD2184">
        <v>0.37</v>
      </c>
      <c r="DE2184">
        <v>601</v>
      </c>
      <c r="DF2184">
        <v>300807</v>
      </c>
      <c r="DG2184" t="s">
        <v>116</v>
      </c>
      <c r="DH2184" t="s">
        <v>116</v>
      </c>
      <c r="DI2184" t="s">
        <v>116</v>
      </c>
    </row>
    <row r="2185" spans="1:113" x14ac:dyDescent="0.4">
      <c r="A2185" t="str">
        <f>"300808"</f>
        <v>300808</v>
      </c>
      <c r="B2185" t="s">
        <v>10471</v>
      </c>
      <c r="C2185">
        <v>-2.13</v>
      </c>
      <c r="D2185">
        <v>26.64</v>
      </c>
      <c r="E2185">
        <v>-0.57999999999999996</v>
      </c>
      <c r="F2185">
        <v>26.63</v>
      </c>
      <c r="G2185">
        <v>26.64</v>
      </c>
      <c r="H2185">
        <v>59423</v>
      </c>
      <c r="I2185">
        <v>1233</v>
      </c>
      <c r="J2185">
        <v>-0.1</v>
      </c>
      <c r="K2185">
        <v>14.86</v>
      </c>
      <c r="L2185">
        <v>26.83</v>
      </c>
      <c r="M2185">
        <v>27.34</v>
      </c>
      <c r="N2185">
        <v>26.64</v>
      </c>
      <c r="O2185">
        <v>27.22</v>
      </c>
      <c r="P2185">
        <v>46.41</v>
      </c>
      <c r="Q2185">
        <v>160284224</v>
      </c>
      <c r="R2185">
        <v>0.87</v>
      </c>
      <c r="S2185" t="s">
        <v>209</v>
      </c>
      <c r="T2185" t="s">
        <v>551</v>
      </c>
      <c r="U2185">
        <v>2.57</v>
      </c>
      <c r="V2185">
        <v>26.97</v>
      </c>
      <c r="W2185">
        <v>33825</v>
      </c>
      <c r="X2185">
        <v>25598</v>
      </c>
      <c r="Y2185">
        <v>1.32</v>
      </c>
      <c r="Z2185">
        <v>37</v>
      </c>
      <c r="AA2185">
        <v>2</v>
      </c>
      <c r="AB2185" t="s">
        <v>116</v>
      </c>
      <c r="AC2185">
        <v>2817200</v>
      </c>
      <c r="AD2185">
        <v>0.26</v>
      </c>
      <c r="AE2185" t="s">
        <v>116</v>
      </c>
      <c r="AF2185" t="s">
        <v>116</v>
      </c>
      <c r="AG2185">
        <v>0.4</v>
      </c>
      <c r="AH2185" t="s">
        <v>10472</v>
      </c>
      <c r="AI2185" t="s">
        <v>10473</v>
      </c>
      <c r="AJ2185">
        <v>-1.45</v>
      </c>
      <c r="AK2185">
        <v>2929</v>
      </c>
      <c r="AL2185">
        <v>20</v>
      </c>
      <c r="AM2185">
        <v>5.1000000000000004E-3</v>
      </c>
      <c r="AN2185">
        <v>-1</v>
      </c>
      <c r="AO2185">
        <v>-0.34</v>
      </c>
      <c r="AP2185">
        <v>67.55</v>
      </c>
      <c r="AQ2185">
        <v>141.30000000000001</v>
      </c>
      <c r="AR2185">
        <v>141.30000000000001</v>
      </c>
      <c r="AS2185">
        <v>14.86</v>
      </c>
      <c r="AT2185" t="s">
        <v>10472</v>
      </c>
      <c r="AU2185">
        <v>46.05</v>
      </c>
      <c r="AV2185">
        <v>47.87</v>
      </c>
      <c r="AW2185">
        <v>0</v>
      </c>
      <c r="BA2185">
        <v>-1.43</v>
      </c>
      <c r="BB2185">
        <v>0.44</v>
      </c>
      <c r="BC2185">
        <v>-2.13</v>
      </c>
      <c r="BD2185">
        <v>-0.91</v>
      </c>
      <c r="BE2185">
        <v>-0.71</v>
      </c>
      <c r="BF2185">
        <v>-2.56</v>
      </c>
      <c r="BG2185">
        <v>0</v>
      </c>
      <c r="BH2185">
        <v>-1.22</v>
      </c>
      <c r="BI2185">
        <v>20191128</v>
      </c>
      <c r="BJ2185">
        <v>20191129</v>
      </c>
      <c r="BK2185">
        <v>1.6</v>
      </c>
      <c r="BL2185" t="s">
        <v>116</v>
      </c>
      <c r="BM2185" t="s">
        <v>116</v>
      </c>
      <c r="BN2185">
        <v>10.52</v>
      </c>
      <c r="BO2185">
        <v>6.47</v>
      </c>
      <c r="BP2185">
        <v>0</v>
      </c>
      <c r="BQ2185">
        <v>38.479999999999997</v>
      </c>
      <c r="BR2185">
        <v>5.86</v>
      </c>
      <c r="BS2185">
        <v>2.48</v>
      </c>
      <c r="BT2185">
        <v>1.1200000000000001</v>
      </c>
      <c r="BU2185">
        <v>3.69</v>
      </c>
      <c r="BV2185">
        <v>2.13</v>
      </c>
      <c r="BW2185">
        <v>2.77</v>
      </c>
      <c r="BX2185">
        <v>1.98</v>
      </c>
      <c r="BY2185">
        <v>6.54</v>
      </c>
      <c r="BZ2185">
        <v>4.9800000000000004</v>
      </c>
      <c r="CA2185">
        <v>0.75</v>
      </c>
      <c r="CB2185">
        <v>-0.01</v>
      </c>
      <c r="CC2185">
        <v>0.78</v>
      </c>
      <c r="CD2185">
        <v>0.69</v>
      </c>
      <c r="CE2185">
        <v>0.69</v>
      </c>
      <c r="CF2185">
        <v>0.66</v>
      </c>
      <c r="CG2185">
        <v>3.01</v>
      </c>
      <c r="CH2185">
        <v>0.24</v>
      </c>
      <c r="CI2185">
        <v>-0.34</v>
      </c>
      <c r="CJ2185">
        <v>78004</v>
      </c>
      <c r="CK2185">
        <v>513</v>
      </c>
      <c r="CL2185" t="s">
        <v>10463</v>
      </c>
      <c r="CM2185">
        <v>0</v>
      </c>
      <c r="CN2185">
        <v>0</v>
      </c>
      <c r="CO2185">
        <v>4.0999999999999996</v>
      </c>
      <c r="CP2185">
        <v>174.56</v>
      </c>
      <c r="CQ2185">
        <v>6.51</v>
      </c>
      <c r="CR2185">
        <v>0</v>
      </c>
      <c r="CS2185" t="s">
        <v>8649</v>
      </c>
      <c r="CT2185">
        <v>6.49</v>
      </c>
      <c r="CU2185">
        <v>6.49</v>
      </c>
      <c r="CV2185">
        <v>1.24</v>
      </c>
      <c r="CW2185">
        <v>1.88</v>
      </c>
      <c r="CX2185">
        <v>0.15</v>
      </c>
      <c r="CY2185">
        <v>61.52</v>
      </c>
      <c r="CZ2185" t="s">
        <v>3505</v>
      </c>
      <c r="DA2185">
        <v>23.85</v>
      </c>
      <c r="DB2185">
        <v>11.52</v>
      </c>
      <c r="DC2185">
        <v>10.52</v>
      </c>
      <c r="DD2185">
        <v>0.21</v>
      </c>
      <c r="DE2185">
        <v>869</v>
      </c>
      <c r="DF2185">
        <v>300808</v>
      </c>
      <c r="DG2185" t="s">
        <v>116</v>
      </c>
      <c r="DH2185" t="s">
        <v>116</v>
      </c>
      <c r="DI2185" t="s">
        <v>116</v>
      </c>
    </row>
    <row r="2186" spans="1:113" x14ac:dyDescent="0.4">
      <c r="A2186" t="str">
        <f>"300809"</f>
        <v>300809</v>
      </c>
      <c r="B2186" t="s">
        <v>10474</v>
      </c>
      <c r="C2186">
        <v>-2.15</v>
      </c>
      <c r="D2186">
        <v>27.79</v>
      </c>
      <c r="E2186">
        <v>-0.61</v>
      </c>
      <c r="F2186">
        <v>27.78</v>
      </c>
      <c r="G2186">
        <v>27.79</v>
      </c>
      <c r="H2186">
        <v>46763</v>
      </c>
      <c r="I2186">
        <v>665</v>
      </c>
      <c r="J2186">
        <v>-0.03</v>
      </c>
      <c r="K2186">
        <v>11.92</v>
      </c>
      <c r="L2186">
        <v>28.55</v>
      </c>
      <c r="M2186">
        <v>28.55</v>
      </c>
      <c r="N2186">
        <v>27.75</v>
      </c>
      <c r="O2186">
        <v>28.4</v>
      </c>
      <c r="P2186">
        <v>27.9</v>
      </c>
      <c r="Q2186">
        <v>131752576</v>
      </c>
      <c r="R2186">
        <v>0.98</v>
      </c>
      <c r="S2186" t="s">
        <v>712</v>
      </c>
      <c r="T2186" t="s">
        <v>323</v>
      </c>
      <c r="U2186">
        <v>2.82</v>
      </c>
      <c r="V2186">
        <v>28.17</v>
      </c>
      <c r="W2186">
        <v>27537</v>
      </c>
      <c r="X2186">
        <v>19226</v>
      </c>
      <c r="Y2186">
        <v>1.43</v>
      </c>
      <c r="Z2186">
        <v>242</v>
      </c>
      <c r="AA2186">
        <v>61</v>
      </c>
      <c r="AB2186" t="s">
        <v>116</v>
      </c>
      <c r="AC2186">
        <v>2438200</v>
      </c>
      <c r="AD2186">
        <v>0.22</v>
      </c>
      <c r="AE2186" t="s">
        <v>116</v>
      </c>
      <c r="AF2186" t="s">
        <v>116</v>
      </c>
      <c r="AG2186">
        <v>0.39</v>
      </c>
      <c r="AH2186" t="s">
        <v>220</v>
      </c>
      <c r="AI2186" t="s">
        <v>10475</v>
      </c>
      <c r="AJ2186">
        <v>-1.47</v>
      </c>
      <c r="AK2186">
        <v>2477</v>
      </c>
      <c r="AL2186">
        <v>19</v>
      </c>
      <c r="AM2186">
        <v>4.7999999999999996E-3</v>
      </c>
      <c r="AN2186">
        <v>-1</v>
      </c>
      <c r="AO2186">
        <v>-0.33</v>
      </c>
      <c r="AP2186">
        <v>48.06</v>
      </c>
      <c r="AQ2186">
        <v>48.06</v>
      </c>
      <c r="AR2186">
        <v>48.06</v>
      </c>
      <c r="AS2186">
        <v>11.92</v>
      </c>
      <c r="AT2186" t="s">
        <v>220</v>
      </c>
      <c r="AU2186">
        <v>26.96</v>
      </c>
      <c r="AV2186">
        <v>31.68</v>
      </c>
      <c r="AW2186">
        <v>0</v>
      </c>
      <c r="BA2186">
        <v>0.53</v>
      </c>
      <c r="BB2186">
        <v>0.53</v>
      </c>
      <c r="BC2186">
        <v>-2.29</v>
      </c>
      <c r="BD2186">
        <v>-0.79</v>
      </c>
      <c r="BE2186">
        <v>-2.66</v>
      </c>
      <c r="BF2186">
        <v>-2.66</v>
      </c>
      <c r="BG2186">
        <v>0.14000000000000001</v>
      </c>
      <c r="BH2186">
        <v>-1.36</v>
      </c>
      <c r="BI2186">
        <v>20191203</v>
      </c>
      <c r="BJ2186">
        <v>20191204</v>
      </c>
      <c r="BK2186">
        <v>1.57</v>
      </c>
      <c r="BL2186" t="s">
        <v>116</v>
      </c>
      <c r="BM2186" t="s">
        <v>116</v>
      </c>
      <c r="BN2186">
        <v>9.6199999999999992</v>
      </c>
      <c r="BO2186">
        <v>6.83</v>
      </c>
      <c r="BP2186">
        <v>0.01</v>
      </c>
      <c r="BQ2186">
        <v>28.84</v>
      </c>
      <c r="BR2186">
        <v>6.65</v>
      </c>
      <c r="BS2186">
        <v>1.25</v>
      </c>
      <c r="BT2186">
        <v>0.21</v>
      </c>
      <c r="BU2186">
        <v>2.58</v>
      </c>
      <c r="BV2186">
        <v>1.73</v>
      </c>
      <c r="BW2186">
        <v>1.4</v>
      </c>
      <c r="BX2186">
        <v>2.65</v>
      </c>
      <c r="BY2186">
        <v>3.34</v>
      </c>
      <c r="BZ2186">
        <v>1.76</v>
      </c>
      <c r="CA2186">
        <v>1.37</v>
      </c>
      <c r="CB2186">
        <v>0.01</v>
      </c>
      <c r="CC2186">
        <v>1.38</v>
      </c>
      <c r="CD2186">
        <v>1.17</v>
      </c>
      <c r="CE2186">
        <v>1.17</v>
      </c>
      <c r="CF2186">
        <v>0.57999999999999996</v>
      </c>
      <c r="CG2186">
        <v>2.66</v>
      </c>
      <c r="CH2186">
        <v>0.95</v>
      </c>
      <c r="CI2186">
        <v>0.76</v>
      </c>
      <c r="CJ2186">
        <v>76407</v>
      </c>
      <c r="CK2186">
        <v>513</v>
      </c>
      <c r="CL2186" t="s">
        <v>10476</v>
      </c>
      <c r="CM2186">
        <v>0</v>
      </c>
      <c r="CN2186">
        <v>0</v>
      </c>
      <c r="CO2186">
        <v>3.2</v>
      </c>
      <c r="CP2186">
        <v>45.72</v>
      </c>
      <c r="CQ2186">
        <v>13.04</v>
      </c>
      <c r="CR2186">
        <v>0</v>
      </c>
      <c r="CS2186" t="s">
        <v>10477</v>
      </c>
      <c r="CT2186">
        <v>8.67</v>
      </c>
      <c r="CU2186">
        <v>8.67</v>
      </c>
      <c r="CV2186">
        <v>1.69</v>
      </c>
      <c r="CW2186">
        <v>1.7</v>
      </c>
      <c r="CX2186">
        <v>0.61</v>
      </c>
      <c r="CY2186">
        <v>71.03</v>
      </c>
      <c r="CZ2186" t="s">
        <v>10478</v>
      </c>
      <c r="DA2186">
        <v>47.39</v>
      </c>
      <c r="DB2186">
        <v>41.11</v>
      </c>
      <c r="DC2186">
        <v>35.049999999999997</v>
      </c>
      <c r="DD2186">
        <v>0.12</v>
      </c>
      <c r="DE2186">
        <v>455</v>
      </c>
      <c r="DF2186">
        <v>300809</v>
      </c>
      <c r="DG2186" t="s">
        <v>116</v>
      </c>
      <c r="DH2186" t="s">
        <v>116</v>
      </c>
      <c r="DI2186" t="s">
        <v>116</v>
      </c>
    </row>
    <row r="2187" spans="1:113" x14ac:dyDescent="0.4">
      <c r="A2187" t="str">
        <f>"300810"</f>
        <v>300810</v>
      </c>
      <c r="B2187" t="s">
        <v>10479</v>
      </c>
      <c r="C2187">
        <v>-0.52</v>
      </c>
      <c r="D2187">
        <v>82.48</v>
      </c>
      <c r="E2187">
        <v>-0.43</v>
      </c>
      <c r="F2187">
        <v>82.47</v>
      </c>
      <c r="G2187">
        <v>82.48</v>
      </c>
      <c r="H2187">
        <v>52844</v>
      </c>
      <c r="I2187">
        <v>1041</v>
      </c>
      <c r="J2187">
        <v>0.08</v>
      </c>
      <c r="K2187">
        <v>26.82</v>
      </c>
      <c r="L2187">
        <v>81.08</v>
      </c>
      <c r="M2187">
        <v>84</v>
      </c>
      <c r="N2187">
        <v>81.010000000000005</v>
      </c>
      <c r="O2187">
        <v>82.91</v>
      </c>
      <c r="P2187">
        <v>92.99</v>
      </c>
      <c r="Q2187">
        <v>433676448</v>
      </c>
      <c r="R2187">
        <v>1.44</v>
      </c>
      <c r="S2187" t="s">
        <v>607</v>
      </c>
      <c r="T2187" t="s">
        <v>165</v>
      </c>
      <c r="U2187">
        <v>3.61</v>
      </c>
      <c r="V2187">
        <v>82.07</v>
      </c>
      <c r="W2187">
        <v>27980</v>
      </c>
      <c r="X2187">
        <v>24864</v>
      </c>
      <c r="Y2187">
        <v>1.1299999999999999</v>
      </c>
      <c r="Z2187">
        <v>14</v>
      </c>
      <c r="AA2187">
        <v>226</v>
      </c>
      <c r="AB2187" t="s">
        <v>116</v>
      </c>
      <c r="AC2187">
        <v>8229600</v>
      </c>
      <c r="AD2187">
        <v>0.52</v>
      </c>
      <c r="AE2187" t="s">
        <v>116</v>
      </c>
      <c r="AF2187" t="s">
        <v>116</v>
      </c>
      <c r="AG2187">
        <v>0.2</v>
      </c>
      <c r="AH2187" t="s">
        <v>10480</v>
      </c>
      <c r="AI2187" t="s">
        <v>10481</v>
      </c>
      <c r="AJ2187">
        <v>0.16</v>
      </c>
      <c r="AK2187">
        <v>3865</v>
      </c>
      <c r="AL2187">
        <v>14</v>
      </c>
      <c r="AM2187">
        <v>6.8999999999999999E-3</v>
      </c>
      <c r="AN2187">
        <v>-4</v>
      </c>
      <c r="AO2187">
        <v>-9.3699999999999992</v>
      </c>
      <c r="AP2187">
        <v>235.28</v>
      </c>
      <c r="AQ2187">
        <v>235.28</v>
      </c>
      <c r="AR2187">
        <v>235.28</v>
      </c>
      <c r="AS2187">
        <v>26.82</v>
      </c>
      <c r="AT2187" t="s">
        <v>10480</v>
      </c>
      <c r="AU2187">
        <v>59.11</v>
      </c>
      <c r="AV2187">
        <v>75.650000000000006</v>
      </c>
      <c r="AW2187">
        <v>0</v>
      </c>
      <c r="BA2187">
        <v>-2.21</v>
      </c>
      <c r="BB2187">
        <v>1.31</v>
      </c>
      <c r="BC2187">
        <v>-2.29</v>
      </c>
      <c r="BD2187">
        <v>-1.02</v>
      </c>
      <c r="BE2187">
        <v>1.73</v>
      </c>
      <c r="BF2187">
        <v>-1.81</v>
      </c>
      <c r="BG2187">
        <v>1.81</v>
      </c>
      <c r="BH2187">
        <v>0.5</v>
      </c>
      <c r="BI2187">
        <v>20191205</v>
      </c>
      <c r="BJ2187">
        <v>20191206</v>
      </c>
      <c r="BK2187">
        <v>0.79</v>
      </c>
      <c r="BL2187" t="s">
        <v>116</v>
      </c>
      <c r="BM2187" t="s">
        <v>116</v>
      </c>
      <c r="BN2187">
        <v>6.07</v>
      </c>
      <c r="BO2187">
        <v>5.23</v>
      </c>
      <c r="BP2187">
        <v>0</v>
      </c>
      <c r="BQ2187">
        <v>13.83</v>
      </c>
      <c r="BR2187">
        <v>5.57</v>
      </c>
      <c r="BS2187">
        <v>0.22</v>
      </c>
      <c r="BT2187">
        <v>0.09</v>
      </c>
      <c r="BU2187">
        <v>0.77</v>
      </c>
      <c r="BV2187">
        <v>0.91</v>
      </c>
      <c r="BW2187">
        <v>3.23</v>
      </c>
      <c r="BX2187">
        <v>2.4700000000000002</v>
      </c>
      <c r="BY2187">
        <v>1.45</v>
      </c>
      <c r="BZ2187">
        <v>0.53</v>
      </c>
      <c r="CA2187">
        <v>0.59</v>
      </c>
      <c r="CB2187">
        <v>0</v>
      </c>
      <c r="CC2187">
        <v>0.59</v>
      </c>
      <c r="CD2187">
        <v>0.51</v>
      </c>
      <c r="CE2187">
        <v>0.52</v>
      </c>
      <c r="CF2187">
        <v>0.51</v>
      </c>
      <c r="CG2187">
        <v>2</v>
      </c>
      <c r="CH2187">
        <v>-0.06</v>
      </c>
      <c r="CI2187">
        <v>-0.15</v>
      </c>
      <c r="CJ2187">
        <v>39401</v>
      </c>
      <c r="CK2187">
        <v>500</v>
      </c>
      <c r="CL2187" t="s">
        <v>3250</v>
      </c>
      <c r="CM2187">
        <v>0</v>
      </c>
      <c r="CN2187">
        <v>0</v>
      </c>
      <c r="CO2187">
        <v>6.73</v>
      </c>
      <c r="CP2187">
        <v>-1013.77</v>
      </c>
      <c r="CQ2187">
        <v>44.69</v>
      </c>
      <c r="CR2187">
        <v>0</v>
      </c>
      <c r="CS2187" t="s">
        <v>979</v>
      </c>
      <c r="CT2187">
        <v>12.26</v>
      </c>
      <c r="CU2187">
        <v>12.26</v>
      </c>
      <c r="CV2187">
        <v>3.14</v>
      </c>
      <c r="CW2187">
        <v>2.54</v>
      </c>
      <c r="CX2187">
        <v>-0.08</v>
      </c>
      <c r="CY2187">
        <v>86.23</v>
      </c>
      <c r="CZ2187" t="s">
        <v>10482</v>
      </c>
      <c r="DA2187">
        <v>63.51</v>
      </c>
      <c r="DB2187">
        <v>40.68</v>
      </c>
      <c r="DC2187">
        <v>36.04</v>
      </c>
      <c r="DD2187">
        <v>0.27</v>
      </c>
      <c r="DE2187">
        <v>205</v>
      </c>
      <c r="DF2187">
        <v>300810</v>
      </c>
      <c r="DG2187" t="s">
        <v>116</v>
      </c>
      <c r="DH2187" t="s">
        <v>116</v>
      </c>
      <c r="DI2187" t="s">
        <v>116</v>
      </c>
    </row>
    <row r="2188" spans="1:113" x14ac:dyDescent="0.4">
      <c r="A2188" t="str">
        <f>"000939"</f>
        <v>000939</v>
      </c>
      <c r="B2188" t="s">
        <v>10483</v>
      </c>
      <c r="C2188" t="s">
        <v>116</v>
      </c>
      <c r="D2188">
        <v>0</v>
      </c>
      <c r="E2188" t="s">
        <v>116</v>
      </c>
      <c r="F2188" t="s">
        <v>116</v>
      </c>
      <c r="G2188" t="s">
        <v>116</v>
      </c>
      <c r="H2188">
        <v>0</v>
      </c>
      <c r="I2188">
        <v>0</v>
      </c>
      <c r="J2188" t="s">
        <v>116</v>
      </c>
      <c r="K2188">
        <v>0</v>
      </c>
      <c r="L2188" t="s">
        <v>116</v>
      </c>
      <c r="M2188" t="s">
        <v>116</v>
      </c>
      <c r="N2188" t="s">
        <v>116</v>
      </c>
      <c r="O2188" t="s">
        <v>116</v>
      </c>
      <c r="P2188" t="s">
        <v>116</v>
      </c>
      <c r="Q2188">
        <v>0</v>
      </c>
      <c r="R2188">
        <v>0</v>
      </c>
      <c r="S2188" t="s">
        <v>361</v>
      </c>
      <c r="T2188" t="s">
        <v>774</v>
      </c>
      <c r="U2188" t="s">
        <v>116</v>
      </c>
      <c r="V2188">
        <v>0</v>
      </c>
      <c r="W2188">
        <v>0</v>
      </c>
      <c r="X2188">
        <v>0</v>
      </c>
      <c r="Y2188" t="s">
        <v>116</v>
      </c>
      <c r="Z2188">
        <v>0</v>
      </c>
      <c r="AA2188">
        <v>0</v>
      </c>
      <c r="AB2188" t="s">
        <v>116</v>
      </c>
      <c r="AC2188">
        <v>0</v>
      </c>
      <c r="AD2188" t="s">
        <v>116</v>
      </c>
      <c r="AE2188" t="s">
        <v>116</v>
      </c>
      <c r="AF2188" t="s">
        <v>116</v>
      </c>
      <c r="AG2188">
        <v>30.42</v>
      </c>
      <c r="AH2188" t="s">
        <v>10484</v>
      </c>
      <c r="AI2188" t="s">
        <v>10484</v>
      </c>
      <c r="AJ2188" t="s">
        <v>116</v>
      </c>
      <c r="AK2188">
        <v>0</v>
      </c>
      <c r="AL2188" t="s">
        <v>116</v>
      </c>
      <c r="AM2188" t="s">
        <v>116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 t="s">
        <v>116</v>
      </c>
      <c r="AT2188" t="s">
        <v>10484</v>
      </c>
      <c r="AU2188" t="s">
        <v>116</v>
      </c>
      <c r="AV2188" t="s">
        <v>116</v>
      </c>
      <c r="AW2188">
        <v>0.56999999999999995</v>
      </c>
      <c r="BA2188" t="s">
        <v>116</v>
      </c>
      <c r="BB2188" t="s">
        <v>116</v>
      </c>
      <c r="BC2188" t="s">
        <v>116</v>
      </c>
      <c r="BD2188" t="s">
        <v>116</v>
      </c>
      <c r="BE2188" t="s">
        <v>116</v>
      </c>
      <c r="BF2188" t="s">
        <v>116</v>
      </c>
      <c r="BG2188" t="s">
        <v>116</v>
      </c>
      <c r="BH2188" t="s">
        <v>116</v>
      </c>
      <c r="BI2188">
        <v>20191031</v>
      </c>
      <c r="BJ2188">
        <v>19990923</v>
      </c>
      <c r="BK2188">
        <v>39.299999999999997</v>
      </c>
      <c r="BL2188" t="s">
        <v>116</v>
      </c>
      <c r="BM2188" t="s">
        <v>116</v>
      </c>
      <c r="BN2188">
        <v>323.64999999999998</v>
      </c>
      <c r="BO2188">
        <v>7.46</v>
      </c>
      <c r="BP2188">
        <v>-2.5499999999999998</v>
      </c>
      <c r="BQ2188">
        <v>98.48</v>
      </c>
      <c r="BR2188">
        <v>59.31</v>
      </c>
      <c r="BS2188">
        <v>154.36000000000001</v>
      </c>
      <c r="BT2188">
        <v>11.56</v>
      </c>
      <c r="BU2188">
        <v>262.08999999999997</v>
      </c>
      <c r="BV2188">
        <v>15.57</v>
      </c>
      <c r="BW2188">
        <v>20.420000000000002</v>
      </c>
      <c r="BX2188">
        <v>63.81</v>
      </c>
      <c r="BY2188">
        <v>19</v>
      </c>
      <c r="BZ2188">
        <v>16.96</v>
      </c>
      <c r="CA2188">
        <v>-14.14</v>
      </c>
      <c r="CB2188">
        <v>0.03</v>
      </c>
      <c r="CC2188">
        <v>-14.16</v>
      </c>
      <c r="CD2188">
        <v>-14.27</v>
      </c>
      <c r="CE2188">
        <v>-14.24</v>
      </c>
      <c r="CF2188">
        <v>-14.23</v>
      </c>
      <c r="CG2188">
        <v>-98.17</v>
      </c>
      <c r="CH2188">
        <v>0.85</v>
      </c>
      <c r="CI2188">
        <v>0.1</v>
      </c>
      <c r="CJ2188">
        <v>79373</v>
      </c>
      <c r="CK2188">
        <v>23261</v>
      </c>
      <c r="CL2188" t="s">
        <v>10485</v>
      </c>
      <c r="CM2188">
        <v>17.89</v>
      </c>
      <c r="CN2188">
        <v>5.62</v>
      </c>
      <c r="CO2188">
        <v>0</v>
      </c>
      <c r="CP2188">
        <v>0</v>
      </c>
      <c r="CQ2188">
        <v>0</v>
      </c>
      <c r="CR2188">
        <v>0</v>
      </c>
      <c r="CS2188" t="s">
        <v>1664</v>
      </c>
      <c r="CT2188">
        <v>0.19</v>
      </c>
      <c r="CU2188">
        <v>0</v>
      </c>
      <c r="CV2188">
        <v>1.62</v>
      </c>
      <c r="CW2188">
        <v>-2.5</v>
      </c>
      <c r="CX2188">
        <v>0.02</v>
      </c>
      <c r="CY2188">
        <v>2.31</v>
      </c>
      <c r="CZ2188" t="s">
        <v>10486</v>
      </c>
      <c r="DA2188">
        <v>10.79</v>
      </c>
      <c r="DB2188">
        <v>-74.39</v>
      </c>
      <c r="DC2188">
        <v>-74.92</v>
      </c>
      <c r="DD2188">
        <v>0</v>
      </c>
      <c r="DE2188">
        <v>4212</v>
      </c>
      <c r="DF2188">
        <v>939</v>
      </c>
      <c r="DG2188" t="s">
        <v>116</v>
      </c>
      <c r="DH2188" t="s">
        <v>116</v>
      </c>
      <c r="DI2188" t="s">
        <v>116</v>
      </c>
    </row>
    <row r="2189" spans="1:113" x14ac:dyDescent="0.4">
      <c r="A2189" t="str">
        <f>"000995"</f>
        <v>000995</v>
      </c>
      <c r="B2189" t="s">
        <v>10487</v>
      </c>
      <c r="C2189" t="s">
        <v>116</v>
      </c>
      <c r="D2189">
        <v>0</v>
      </c>
      <c r="E2189" t="s">
        <v>116</v>
      </c>
      <c r="F2189" t="s">
        <v>116</v>
      </c>
      <c r="G2189" t="s">
        <v>116</v>
      </c>
      <c r="H2189">
        <v>0</v>
      </c>
      <c r="I2189">
        <v>0</v>
      </c>
      <c r="J2189" t="s">
        <v>116</v>
      </c>
      <c r="K2189">
        <v>0</v>
      </c>
      <c r="L2189" t="s">
        <v>116</v>
      </c>
      <c r="M2189" t="s">
        <v>116</v>
      </c>
      <c r="N2189" t="s">
        <v>116</v>
      </c>
      <c r="O2189" t="s">
        <v>116</v>
      </c>
      <c r="P2189" t="s">
        <v>116</v>
      </c>
      <c r="Q2189">
        <v>0</v>
      </c>
      <c r="R2189">
        <v>0</v>
      </c>
      <c r="S2189" t="s">
        <v>1212</v>
      </c>
      <c r="T2189" t="s">
        <v>1122</v>
      </c>
      <c r="U2189" t="s">
        <v>116</v>
      </c>
      <c r="V2189">
        <v>0</v>
      </c>
      <c r="W2189">
        <v>0</v>
      </c>
      <c r="X2189">
        <v>0</v>
      </c>
      <c r="Y2189" t="s">
        <v>116</v>
      </c>
      <c r="Z2189">
        <v>0</v>
      </c>
      <c r="AA2189">
        <v>0</v>
      </c>
      <c r="AB2189" t="s">
        <v>116</v>
      </c>
      <c r="AC2189">
        <v>0</v>
      </c>
      <c r="AD2189" t="s">
        <v>116</v>
      </c>
      <c r="AE2189" t="s">
        <v>116</v>
      </c>
      <c r="AF2189" t="s">
        <v>116</v>
      </c>
      <c r="AG2189">
        <v>1.77</v>
      </c>
      <c r="AH2189" t="s">
        <v>10484</v>
      </c>
      <c r="AI2189" t="s">
        <v>10484</v>
      </c>
      <c r="AJ2189" t="s">
        <v>116</v>
      </c>
      <c r="AK2189">
        <v>0</v>
      </c>
      <c r="AL2189" t="s">
        <v>116</v>
      </c>
      <c r="AM2189" t="s">
        <v>116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 t="s">
        <v>116</v>
      </c>
      <c r="AT2189" t="s">
        <v>10484</v>
      </c>
      <c r="AU2189" t="s">
        <v>116</v>
      </c>
      <c r="AV2189" t="s">
        <v>116</v>
      </c>
      <c r="AW2189">
        <v>0.49</v>
      </c>
      <c r="BA2189" t="s">
        <v>116</v>
      </c>
      <c r="BB2189" t="s">
        <v>116</v>
      </c>
      <c r="BC2189" t="s">
        <v>116</v>
      </c>
      <c r="BD2189" t="s">
        <v>116</v>
      </c>
      <c r="BE2189" t="s">
        <v>116</v>
      </c>
      <c r="BF2189" t="s">
        <v>116</v>
      </c>
      <c r="BG2189" t="s">
        <v>116</v>
      </c>
      <c r="BH2189" t="s">
        <v>116</v>
      </c>
      <c r="BI2189">
        <v>20191030</v>
      </c>
      <c r="BJ2189">
        <v>20000807</v>
      </c>
      <c r="BK2189">
        <v>1.77</v>
      </c>
      <c r="BL2189" t="s">
        <v>116</v>
      </c>
      <c r="BM2189" t="s">
        <v>116</v>
      </c>
      <c r="BN2189">
        <v>2.5099999999999998</v>
      </c>
      <c r="BO2189">
        <v>-2.52</v>
      </c>
      <c r="BP2189">
        <v>0.01</v>
      </c>
      <c r="BQ2189">
        <v>199.81</v>
      </c>
      <c r="BR2189">
        <v>1.08</v>
      </c>
      <c r="BS2189">
        <v>0.54</v>
      </c>
      <c r="BT2189">
        <v>0.89</v>
      </c>
      <c r="BU2189">
        <v>4.47</v>
      </c>
      <c r="BV2189">
        <v>0.87</v>
      </c>
      <c r="BW2189">
        <v>0.02</v>
      </c>
      <c r="BX2189">
        <v>3.06</v>
      </c>
      <c r="BY2189">
        <v>0.4</v>
      </c>
      <c r="BZ2189">
        <v>0.13</v>
      </c>
      <c r="CA2189">
        <v>-0.11</v>
      </c>
      <c r="CB2189">
        <v>0</v>
      </c>
      <c r="CC2189">
        <v>-0.14000000000000001</v>
      </c>
      <c r="CD2189">
        <v>-0.14000000000000001</v>
      </c>
      <c r="CE2189">
        <v>-0.14000000000000001</v>
      </c>
      <c r="CF2189">
        <v>-0.15</v>
      </c>
      <c r="CG2189">
        <v>-7.41</v>
      </c>
      <c r="CH2189">
        <v>-0.27</v>
      </c>
      <c r="CI2189">
        <v>0.03</v>
      </c>
      <c r="CJ2189">
        <v>10275</v>
      </c>
      <c r="CK2189">
        <v>10447</v>
      </c>
      <c r="CL2189" t="s">
        <v>10485</v>
      </c>
      <c r="CM2189">
        <v>66.72</v>
      </c>
      <c r="CN2189">
        <v>316.44</v>
      </c>
      <c r="CO2189">
        <v>0</v>
      </c>
      <c r="CP2189">
        <v>0</v>
      </c>
      <c r="CQ2189">
        <v>0</v>
      </c>
      <c r="CR2189">
        <v>0</v>
      </c>
      <c r="CS2189" t="s">
        <v>3463</v>
      </c>
      <c r="CT2189">
        <v>-1.42</v>
      </c>
      <c r="CU2189">
        <v>0</v>
      </c>
      <c r="CV2189">
        <v>1.73</v>
      </c>
      <c r="CW2189">
        <v>-4.18</v>
      </c>
      <c r="CX2189">
        <v>-0.15</v>
      </c>
      <c r="CY2189">
        <v>-100.19</v>
      </c>
      <c r="CZ2189" t="s">
        <v>116</v>
      </c>
      <c r="DA2189">
        <v>68.05</v>
      </c>
      <c r="DB2189">
        <v>-29</v>
      </c>
      <c r="DC2189">
        <v>-35.24</v>
      </c>
      <c r="DD2189">
        <v>0</v>
      </c>
      <c r="DE2189">
        <v>390</v>
      </c>
      <c r="DF2189">
        <v>995</v>
      </c>
      <c r="DG2189" t="s">
        <v>116</v>
      </c>
      <c r="DH2189" t="s">
        <v>116</v>
      </c>
      <c r="DI2189" t="s">
        <v>116</v>
      </c>
    </row>
    <row r="2190" spans="1:113" x14ac:dyDescent="0.4">
      <c r="A2190" t="str">
        <f>"002260"</f>
        <v>002260</v>
      </c>
      <c r="B2190" t="s">
        <v>10488</v>
      </c>
      <c r="C2190" t="s">
        <v>116</v>
      </c>
      <c r="D2190">
        <v>0</v>
      </c>
      <c r="E2190" t="s">
        <v>116</v>
      </c>
      <c r="F2190" t="s">
        <v>116</v>
      </c>
      <c r="G2190" t="s">
        <v>116</v>
      </c>
      <c r="H2190">
        <v>0</v>
      </c>
      <c r="I2190">
        <v>0</v>
      </c>
      <c r="J2190" t="s">
        <v>116</v>
      </c>
      <c r="K2190">
        <v>0</v>
      </c>
      <c r="L2190" t="s">
        <v>116</v>
      </c>
      <c r="M2190" t="s">
        <v>116</v>
      </c>
      <c r="N2190" t="s">
        <v>116</v>
      </c>
      <c r="O2190" t="s">
        <v>116</v>
      </c>
      <c r="P2190" t="s">
        <v>116</v>
      </c>
      <c r="Q2190">
        <v>0</v>
      </c>
      <c r="R2190">
        <v>0</v>
      </c>
      <c r="S2190" t="s">
        <v>209</v>
      </c>
      <c r="T2190" t="s">
        <v>551</v>
      </c>
      <c r="U2190" t="s">
        <v>116</v>
      </c>
      <c r="V2190">
        <v>0</v>
      </c>
      <c r="W2190">
        <v>0</v>
      </c>
      <c r="X2190">
        <v>0</v>
      </c>
      <c r="Y2190" t="s">
        <v>116</v>
      </c>
      <c r="Z2190">
        <v>0</v>
      </c>
      <c r="AA2190">
        <v>0</v>
      </c>
      <c r="AB2190" t="s">
        <v>116</v>
      </c>
      <c r="AC2190">
        <v>0</v>
      </c>
      <c r="AD2190" t="s">
        <v>116</v>
      </c>
      <c r="AE2190" t="s">
        <v>116</v>
      </c>
      <c r="AF2190" t="s">
        <v>116</v>
      </c>
      <c r="AG2190">
        <v>2.65</v>
      </c>
      <c r="AH2190" t="s">
        <v>10484</v>
      </c>
      <c r="AI2190" t="s">
        <v>10484</v>
      </c>
      <c r="AJ2190" t="s">
        <v>116</v>
      </c>
      <c r="AK2190">
        <v>0</v>
      </c>
      <c r="AL2190" t="s">
        <v>116</v>
      </c>
      <c r="AM2190" t="s">
        <v>116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 t="s">
        <v>116</v>
      </c>
      <c r="AT2190" t="s">
        <v>10484</v>
      </c>
      <c r="AU2190" t="s">
        <v>116</v>
      </c>
      <c r="AV2190" t="s">
        <v>116</v>
      </c>
      <c r="AW2190">
        <v>0.95</v>
      </c>
      <c r="BA2190" t="s">
        <v>116</v>
      </c>
      <c r="BB2190" t="s">
        <v>116</v>
      </c>
      <c r="BC2190" t="s">
        <v>116</v>
      </c>
      <c r="BD2190" t="s">
        <v>116</v>
      </c>
      <c r="BE2190" t="s">
        <v>116</v>
      </c>
      <c r="BF2190" t="s">
        <v>116</v>
      </c>
      <c r="BG2190" t="s">
        <v>116</v>
      </c>
      <c r="BH2190" t="s">
        <v>116</v>
      </c>
      <c r="BI2190">
        <v>20191025</v>
      </c>
      <c r="BJ2190">
        <v>20080716</v>
      </c>
      <c r="BK2190">
        <v>2.65</v>
      </c>
      <c r="BL2190" t="s">
        <v>116</v>
      </c>
      <c r="BM2190" t="s">
        <v>116</v>
      </c>
      <c r="BN2190">
        <v>3.3</v>
      </c>
      <c r="BO2190">
        <v>-3.41</v>
      </c>
      <c r="BP2190">
        <v>0</v>
      </c>
      <c r="BQ2190">
        <v>203.29</v>
      </c>
      <c r="BR2190">
        <v>1.68</v>
      </c>
      <c r="BS2190">
        <v>0.67</v>
      </c>
      <c r="BT2190">
        <v>0.14000000000000001</v>
      </c>
      <c r="BU2190">
        <v>6.69</v>
      </c>
      <c r="BV2190">
        <v>0.63</v>
      </c>
      <c r="BW2190">
        <v>0.71</v>
      </c>
      <c r="BX2190">
        <v>0.09</v>
      </c>
      <c r="BY2190">
        <v>2.98</v>
      </c>
      <c r="BZ2190">
        <v>2.2999999999999998</v>
      </c>
      <c r="CA2190">
        <v>0</v>
      </c>
      <c r="CB2190">
        <v>0</v>
      </c>
      <c r="CC2190">
        <v>0.09</v>
      </c>
      <c r="CD2190">
        <v>0.09</v>
      </c>
      <c r="CE2190">
        <v>0.09</v>
      </c>
      <c r="CF2190">
        <v>0.01</v>
      </c>
      <c r="CG2190">
        <v>-6.37</v>
      </c>
      <c r="CH2190">
        <v>-0.02</v>
      </c>
      <c r="CI2190">
        <v>-0.04</v>
      </c>
      <c r="CJ2190">
        <v>24704</v>
      </c>
      <c r="CK2190">
        <v>8088</v>
      </c>
      <c r="CL2190" t="s">
        <v>10485</v>
      </c>
      <c r="CM2190">
        <v>114.14</v>
      </c>
      <c r="CN2190">
        <v>-45.01</v>
      </c>
      <c r="CO2190">
        <v>0</v>
      </c>
      <c r="CP2190">
        <v>0</v>
      </c>
      <c r="CQ2190">
        <v>0</v>
      </c>
      <c r="CR2190">
        <v>0</v>
      </c>
      <c r="CS2190" t="s">
        <v>2388</v>
      </c>
      <c r="CT2190">
        <v>-1.29</v>
      </c>
      <c r="CU2190">
        <v>0</v>
      </c>
      <c r="CV2190">
        <v>0.03</v>
      </c>
      <c r="CW2190">
        <v>-2.4</v>
      </c>
      <c r="CX2190">
        <v>-0.01</v>
      </c>
      <c r="CY2190">
        <v>-103.29</v>
      </c>
      <c r="CZ2190" t="s">
        <v>116</v>
      </c>
      <c r="DA2190">
        <v>23.08</v>
      </c>
      <c r="DB2190">
        <v>0.12</v>
      </c>
      <c r="DC2190">
        <v>3.03</v>
      </c>
      <c r="DD2190">
        <v>0.15</v>
      </c>
      <c r="DE2190">
        <v>1375</v>
      </c>
      <c r="DF2190">
        <v>2260</v>
      </c>
      <c r="DG2190" t="s">
        <v>116</v>
      </c>
      <c r="DH2190" t="s">
        <v>116</v>
      </c>
      <c r="DI2190" t="s">
        <v>116</v>
      </c>
    </row>
    <row r="2191" spans="1:113" x14ac:dyDescent="0.4">
      <c r="A2191" t="str">
        <f>"002604"</f>
        <v>002604</v>
      </c>
      <c r="B2191" t="s">
        <v>10489</v>
      </c>
      <c r="C2191" t="s">
        <v>116</v>
      </c>
      <c r="D2191">
        <v>0</v>
      </c>
      <c r="E2191" t="s">
        <v>116</v>
      </c>
      <c r="F2191" t="s">
        <v>116</v>
      </c>
      <c r="G2191" t="s">
        <v>116</v>
      </c>
      <c r="H2191">
        <v>0</v>
      </c>
      <c r="I2191">
        <v>0</v>
      </c>
      <c r="J2191" t="s">
        <v>116</v>
      </c>
      <c r="K2191">
        <v>0</v>
      </c>
      <c r="L2191" t="s">
        <v>116</v>
      </c>
      <c r="M2191" t="s">
        <v>116</v>
      </c>
      <c r="N2191" t="s">
        <v>116</v>
      </c>
      <c r="O2191" t="s">
        <v>116</v>
      </c>
      <c r="P2191" t="s">
        <v>116</v>
      </c>
      <c r="Q2191">
        <v>0</v>
      </c>
      <c r="R2191">
        <v>0</v>
      </c>
      <c r="S2191" t="s">
        <v>863</v>
      </c>
      <c r="T2191" t="s">
        <v>645</v>
      </c>
      <c r="U2191" t="s">
        <v>116</v>
      </c>
      <c r="V2191">
        <v>0</v>
      </c>
      <c r="W2191">
        <v>0</v>
      </c>
      <c r="X2191">
        <v>0</v>
      </c>
      <c r="Y2191" t="s">
        <v>116</v>
      </c>
      <c r="Z2191">
        <v>0</v>
      </c>
      <c r="AA2191">
        <v>0</v>
      </c>
      <c r="AB2191" t="s">
        <v>116</v>
      </c>
      <c r="AC2191">
        <v>0</v>
      </c>
      <c r="AD2191" t="s">
        <v>116</v>
      </c>
      <c r="AE2191" t="s">
        <v>116</v>
      </c>
      <c r="AF2191" t="s">
        <v>116</v>
      </c>
      <c r="AG2191">
        <v>5.13</v>
      </c>
      <c r="AH2191" t="s">
        <v>10484</v>
      </c>
      <c r="AI2191" t="s">
        <v>10484</v>
      </c>
      <c r="AJ2191" t="s">
        <v>116</v>
      </c>
      <c r="AK2191">
        <v>0</v>
      </c>
      <c r="AL2191" t="s">
        <v>116</v>
      </c>
      <c r="AM2191" t="s">
        <v>116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 t="s">
        <v>116</v>
      </c>
      <c r="AT2191" t="s">
        <v>10484</v>
      </c>
      <c r="AU2191" t="s">
        <v>116</v>
      </c>
      <c r="AV2191" t="s">
        <v>116</v>
      </c>
      <c r="AW2191">
        <v>0.96</v>
      </c>
      <c r="BA2191" t="s">
        <v>116</v>
      </c>
      <c r="BB2191" t="s">
        <v>116</v>
      </c>
      <c r="BC2191" t="s">
        <v>116</v>
      </c>
      <c r="BD2191" t="s">
        <v>116</v>
      </c>
      <c r="BE2191" t="s">
        <v>116</v>
      </c>
      <c r="BF2191" t="s">
        <v>116</v>
      </c>
      <c r="BG2191" t="s">
        <v>116</v>
      </c>
      <c r="BH2191" t="s">
        <v>116</v>
      </c>
      <c r="BI2191">
        <v>20191029</v>
      </c>
      <c r="BJ2191">
        <v>20110728</v>
      </c>
      <c r="BK2191">
        <v>6</v>
      </c>
      <c r="BL2191" t="s">
        <v>116</v>
      </c>
      <c r="BM2191" t="s">
        <v>116</v>
      </c>
      <c r="BN2191">
        <v>13.02</v>
      </c>
      <c r="BO2191">
        <v>-35.49</v>
      </c>
      <c r="BP2191">
        <v>0.02</v>
      </c>
      <c r="BQ2191">
        <v>372.42</v>
      </c>
      <c r="BR2191">
        <v>3.72</v>
      </c>
      <c r="BS2191">
        <v>5.83</v>
      </c>
      <c r="BT2191">
        <v>1.7</v>
      </c>
      <c r="BU2191">
        <v>46.56</v>
      </c>
      <c r="BV2191">
        <v>0.99</v>
      </c>
      <c r="BW2191">
        <v>1.1499999999999999</v>
      </c>
      <c r="BX2191">
        <v>18.420000000000002</v>
      </c>
      <c r="BY2191">
        <v>3.11</v>
      </c>
      <c r="BZ2191">
        <v>2.5499999999999998</v>
      </c>
      <c r="CA2191">
        <v>-3.24</v>
      </c>
      <c r="CB2191">
        <v>0</v>
      </c>
      <c r="CC2191">
        <v>-3.24</v>
      </c>
      <c r="CD2191">
        <v>-3.22</v>
      </c>
      <c r="CE2191">
        <v>-3.21</v>
      </c>
      <c r="CF2191">
        <v>-3.23</v>
      </c>
      <c r="CG2191">
        <v>-60.83</v>
      </c>
      <c r="CH2191">
        <v>0.19</v>
      </c>
      <c r="CI2191">
        <v>-0.15</v>
      </c>
      <c r="CJ2191">
        <v>48426</v>
      </c>
      <c r="CK2191">
        <v>8888</v>
      </c>
      <c r="CL2191" t="s">
        <v>10485</v>
      </c>
      <c r="CM2191">
        <v>-26.71</v>
      </c>
      <c r="CN2191">
        <v>-53.99</v>
      </c>
      <c r="CO2191">
        <v>0</v>
      </c>
      <c r="CP2191">
        <v>0</v>
      </c>
      <c r="CQ2191">
        <v>0</v>
      </c>
      <c r="CR2191">
        <v>0</v>
      </c>
      <c r="CS2191" t="s">
        <v>10490</v>
      </c>
      <c r="CT2191">
        <v>-5.92</v>
      </c>
      <c r="CU2191">
        <v>0</v>
      </c>
      <c r="CV2191">
        <v>3.07</v>
      </c>
      <c r="CW2191">
        <v>-10.15</v>
      </c>
      <c r="CX2191">
        <v>0.03</v>
      </c>
      <c r="CY2191">
        <v>-272.57</v>
      </c>
      <c r="CZ2191" t="s">
        <v>116</v>
      </c>
      <c r="DA2191">
        <v>18</v>
      </c>
      <c r="DB2191">
        <v>-104.26</v>
      </c>
      <c r="DC2191">
        <v>-103.34</v>
      </c>
      <c r="DD2191">
        <v>0.1</v>
      </c>
      <c r="DE2191">
        <v>1215</v>
      </c>
      <c r="DF2191">
        <v>2604</v>
      </c>
      <c r="DG2191" t="s">
        <v>116</v>
      </c>
      <c r="DH2191" t="s">
        <v>116</v>
      </c>
      <c r="DI2191" t="s">
        <v>116</v>
      </c>
    </row>
    <row r="2192" spans="1:113" x14ac:dyDescent="0.4">
      <c r="A2192" t="str">
        <f>"002971"</f>
        <v>002971</v>
      </c>
      <c r="B2192" t="s">
        <v>10491</v>
      </c>
      <c r="C2192" t="s">
        <v>116</v>
      </c>
      <c r="D2192">
        <v>0</v>
      </c>
      <c r="E2192" t="s">
        <v>116</v>
      </c>
      <c r="F2192" t="s">
        <v>116</v>
      </c>
      <c r="G2192" t="s">
        <v>116</v>
      </c>
      <c r="H2192">
        <v>0</v>
      </c>
      <c r="I2192">
        <v>0</v>
      </c>
      <c r="J2192" t="s">
        <v>116</v>
      </c>
      <c r="K2192" t="s">
        <v>116</v>
      </c>
      <c r="L2192" t="s">
        <v>116</v>
      </c>
      <c r="M2192" t="s">
        <v>116</v>
      </c>
      <c r="N2192" t="s">
        <v>116</v>
      </c>
      <c r="O2192" t="s">
        <v>116</v>
      </c>
      <c r="P2192" t="s">
        <v>116</v>
      </c>
      <c r="Q2192">
        <v>0</v>
      </c>
      <c r="R2192" t="s">
        <v>116</v>
      </c>
      <c r="S2192" t="s">
        <v>891</v>
      </c>
      <c r="T2192" t="s">
        <v>774</v>
      </c>
      <c r="U2192" t="s">
        <v>116</v>
      </c>
      <c r="V2192">
        <v>0</v>
      </c>
      <c r="W2192">
        <v>0</v>
      </c>
      <c r="X2192">
        <v>0</v>
      </c>
      <c r="Y2192" t="s">
        <v>116</v>
      </c>
      <c r="Z2192">
        <v>0</v>
      </c>
      <c r="AA2192">
        <v>0</v>
      </c>
      <c r="AB2192" t="s">
        <v>116</v>
      </c>
      <c r="AC2192">
        <v>0</v>
      </c>
      <c r="AD2192" t="s">
        <v>116</v>
      </c>
      <c r="AE2192" t="s">
        <v>116</v>
      </c>
      <c r="AF2192" t="s">
        <v>116</v>
      </c>
      <c r="AG2192" t="s">
        <v>116</v>
      </c>
      <c r="AH2192" t="s">
        <v>116</v>
      </c>
      <c r="AI2192" t="s">
        <v>116</v>
      </c>
      <c r="AJ2192" t="s">
        <v>116</v>
      </c>
      <c r="AK2192">
        <v>0</v>
      </c>
      <c r="AL2192" t="s">
        <v>116</v>
      </c>
      <c r="AM2192" t="s">
        <v>116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 t="s">
        <v>116</v>
      </c>
      <c r="AT2192" t="s">
        <v>116</v>
      </c>
      <c r="AU2192" t="s">
        <v>116</v>
      </c>
      <c r="AV2192" t="s">
        <v>116</v>
      </c>
      <c r="AW2192">
        <v>0</v>
      </c>
      <c r="BA2192" t="s">
        <v>116</v>
      </c>
      <c r="BB2192" t="s">
        <v>116</v>
      </c>
      <c r="BC2192" t="s">
        <v>116</v>
      </c>
      <c r="BD2192" t="s">
        <v>116</v>
      </c>
      <c r="BE2192" t="s">
        <v>116</v>
      </c>
      <c r="BF2192" t="s">
        <v>116</v>
      </c>
      <c r="BG2192" t="s">
        <v>116</v>
      </c>
      <c r="BH2192" t="s">
        <v>116</v>
      </c>
      <c r="BI2192">
        <v>20191202</v>
      </c>
      <c r="BJ2192" t="s">
        <v>116</v>
      </c>
      <c r="BK2192" t="s">
        <v>116</v>
      </c>
      <c r="BL2192" t="s">
        <v>116</v>
      </c>
      <c r="BM2192" t="s">
        <v>116</v>
      </c>
      <c r="BN2192">
        <v>11.98</v>
      </c>
      <c r="BO2192">
        <v>5.92</v>
      </c>
      <c r="BP2192">
        <v>0</v>
      </c>
      <c r="BQ2192">
        <v>50.58</v>
      </c>
      <c r="BR2192">
        <v>2.58</v>
      </c>
      <c r="BS2192">
        <v>4.9000000000000004</v>
      </c>
      <c r="BT2192">
        <v>0.3</v>
      </c>
      <c r="BU2192">
        <v>4.43</v>
      </c>
      <c r="BV2192">
        <v>0.21</v>
      </c>
      <c r="BW2192">
        <v>1</v>
      </c>
      <c r="BX2192">
        <v>1.38</v>
      </c>
      <c r="BY2192">
        <v>4.82</v>
      </c>
      <c r="BZ2192">
        <v>2.63</v>
      </c>
      <c r="CA2192">
        <v>0.76</v>
      </c>
      <c r="CB2192">
        <v>0</v>
      </c>
      <c r="CC2192">
        <v>0.76</v>
      </c>
      <c r="CD2192">
        <v>0.64</v>
      </c>
      <c r="CE2192">
        <v>0.64</v>
      </c>
      <c r="CF2192">
        <v>0</v>
      </c>
      <c r="CG2192">
        <v>3.08</v>
      </c>
      <c r="CH2192">
        <v>0.63</v>
      </c>
      <c r="CI2192">
        <v>0.05</v>
      </c>
      <c r="CJ2192">
        <v>0</v>
      </c>
      <c r="CK2192" t="s">
        <v>116</v>
      </c>
      <c r="CL2192" t="s">
        <v>116</v>
      </c>
      <c r="CM2192">
        <v>0</v>
      </c>
      <c r="CN2192">
        <v>0</v>
      </c>
      <c r="CO2192" t="s">
        <v>116</v>
      </c>
      <c r="CP2192">
        <v>0</v>
      </c>
      <c r="CQ2192">
        <v>0</v>
      </c>
      <c r="CR2192">
        <v>0</v>
      </c>
      <c r="CS2192" t="s">
        <v>222</v>
      </c>
      <c r="CT2192" t="s">
        <v>116</v>
      </c>
      <c r="CU2192">
        <v>0</v>
      </c>
      <c r="CV2192" t="s">
        <v>116</v>
      </c>
      <c r="CW2192" t="s">
        <v>116</v>
      </c>
      <c r="CX2192" t="s">
        <v>116</v>
      </c>
      <c r="CY2192">
        <v>49.42</v>
      </c>
      <c r="CZ2192" t="s">
        <v>10492</v>
      </c>
      <c r="DA2192">
        <v>45.39</v>
      </c>
      <c r="DB2192">
        <v>15.84</v>
      </c>
      <c r="DC2192">
        <v>13.28</v>
      </c>
      <c r="DD2192">
        <v>0</v>
      </c>
      <c r="DE2192">
        <v>0</v>
      </c>
      <c r="DF2192">
        <v>2971</v>
      </c>
      <c r="DG2192" t="s">
        <v>116</v>
      </c>
      <c r="DH2192" t="s">
        <v>116</v>
      </c>
      <c r="DI2192" t="s">
        <v>116</v>
      </c>
    </row>
    <row r="2193" spans="1:113" x14ac:dyDescent="0.4">
      <c r="A2193" t="str">
        <f>"002973"</f>
        <v>002973</v>
      </c>
      <c r="B2193" t="s">
        <v>10493</v>
      </c>
      <c r="C2193" t="s">
        <v>116</v>
      </c>
      <c r="D2193">
        <v>0</v>
      </c>
      <c r="E2193" t="s">
        <v>116</v>
      </c>
      <c r="F2193" t="s">
        <v>116</v>
      </c>
      <c r="G2193" t="s">
        <v>116</v>
      </c>
      <c r="H2193">
        <v>0</v>
      </c>
      <c r="I2193">
        <v>0</v>
      </c>
      <c r="J2193" t="s">
        <v>116</v>
      </c>
      <c r="K2193" t="s">
        <v>116</v>
      </c>
      <c r="L2193" t="s">
        <v>116</v>
      </c>
      <c r="M2193" t="s">
        <v>116</v>
      </c>
      <c r="N2193" t="s">
        <v>116</v>
      </c>
      <c r="O2193" t="s">
        <v>116</v>
      </c>
      <c r="P2193" t="s">
        <v>116</v>
      </c>
      <c r="Q2193">
        <v>0</v>
      </c>
      <c r="R2193" t="s">
        <v>116</v>
      </c>
      <c r="S2193" t="s">
        <v>140</v>
      </c>
      <c r="T2193" t="s">
        <v>551</v>
      </c>
      <c r="U2193" t="s">
        <v>116</v>
      </c>
      <c r="V2193">
        <v>0</v>
      </c>
      <c r="W2193">
        <v>0</v>
      </c>
      <c r="X2193">
        <v>0</v>
      </c>
      <c r="Y2193" t="s">
        <v>116</v>
      </c>
      <c r="Z2193">
        <v>0</v>
      </c>
      <c r="AA2193">
        <v>0</v>
      </c>
      <c r="AB2193" t="s">
        <v>116</v>
      </c>
      <c r="AC2193">
        <v>0</v>
      </c>
      <c r="AD2193" t="s">
        <v>116</v>
      </c>
      <c r="AE2193" t="s">
        <v>116</v>
      </c>
      <c r="AF2193" t="s">
        <v>116</v>
      </c>
      <c r="AG2193" t="s">
        <v>116</v>
      </c>
      <c r="AH2193" t="s">
        <v>116</v>
      </c>
      <c r="AI2193" t="s">
        <v>116</v>
      </c>
      <c r="AJ2193" t="s">
        <v>116</v>
      </c>
      <c r="AK2193">
        <v>0</v>
      </c>
      <c r="AL2193" t="s">
        <v>116</v>
      </c>
      <c r="AM2193" t="s">
        <v>116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 t="s">
        <v>116</v>
      </c>
      <c r="AT2193" t="s">
        <v>116</v>
      </c>
      <c r="AU2193" t="s">
        <v>116</v>
      </c>
      <c r="AV2193" t="s">
        <v>116</v>
      </c>
      <c r="AW2193">
        <v>0</v>
      </c>
      <c r="BA2193" t="s">
        <v>116</v>
      </c>
      <c r="BB2193" t="s">
        <v>116</v>
      </c>
      <c r="BC2193" t="s">
        <v>116</v>
      </c>
      <c r="BD2193" t="s">
        <v>116</v>
      </c>
      <c r="BE2193" t="s">
        <v>116</v>
      </c>
      <c r="BF2193" t="s">
        <v>116</v>
      </c>
      <c r="BG2193" t="s">
        <v>116</v>
      </c>
      <c r="BH2193" t="s">
        <v>116</v>
      </c>
      <c r="BI2193">
        <v>20191217</v>
      </c>
      <c r="BJ2193" t="s">
        <v>116</v>
      </c>
      <c r="BK2193" t="s">
        <v>116</v>
      </c>
      <c r="BL2193" t="s">
        <v>116</v>
      </c>
      <c r="BM2193" t="s">
        <v>116</v>
      </c>
      <c r="BN2193">
        <v>27.74</v>
      </c>
      <c r="BO2193">
        <v>8.36</v>
      </c>
      <c r="BP2193">
        <v>1.92</v>
      </c>
      <c r="BQ2193">
        <v>62.96</v>
      </c>
      <c r="BR2193">
        <v>10.88</v>
      </c>
      <c r="BS2193">
        <v>6.82</v>
      </c>
      <c r="BT2193">
        <v>8.3000000000000007</v>
      </c>
      <c r="BU2193">
        <v>11.18</v>
      </c>
      <c r="BV2193">
        <v>0</v>
      </c>
      <c r="BW2193">
        <v>6.67</v>
      </c>
      <c r="BX2193">
        <v>1.18</v>
      </c>
      <c r="BY2193">
        <v>15.74</v>
      </c>
      <c r="BZ2193">
        <v>12.84</v>
      </c>
      <c r="CA2193">
        <v>1.41</v>
      </c>
      <c r="CB2193">
        <v>0.01</v>
      </c>
      <c r="CC2193">
        <v>1.46</v>
      </c>
      <c r="CD2193">
        <v>1.35</v>
      </c>
      <c r="CE2193">
        <v>1</v>
      </c>
      <c r="CF2193">
        <v>0</v>
      </c>
      <c r="CG2193">
        <v>3.26</v>
      </c>
      <c r="CH2193">
        <v>0.56000000000000005</v>
      </c>
      <c r="CI2193">
        <v>-1.04</v>
      </c>
      <c r="CJ2193">
        <v>0</v>
      </c>
      <c r="CK2193" t="s">
        <v>116</v>
      </c>
      <c r="CL2193" t="s">
        <v>116</v>
      </c>
      <c r="CM2193">
        <v>0</v>
      </c>
      <c r="CN2193">
        <v>0</v>
      </c>
      <c r="CO2193" t="s">
        <v>116</v>
      </c>
      <c r="CP2193">
        <v>0</v>
      </c>
      <c r="CQ2193">
        <v>0</v>
      </c>
      <c r="CR2193">
        <v>0</v>
      </c>
      <c r="CS2193" t="s">
        <v>222</v>
      </c>
      <c r="CT2193" t="s">
        <v>116</v>
      </c>
      <c r="CU2193">
        <v>0</v>
      </c>
      <c r="CV2193" t="s">
        <v>116</v>
      </c>
      <c r="CW2193" t="s">
        <v>116</v>
      </c>
      <c r="CX2193" t="s">
        <v>116</v>
      </c>
      <c r="CY2193">
        <v>30.12</v>
      </c>
      <c r="CZ2193" t="s">
        <v>10494</v>
      </c>
      <c r="DA2193">
        <v>18.45</v>
      </c>
      <c r="DB2193">
        <v>8.99</v>
      </c>
      <c r="DC2193">
        <v>6.33</v>
      </c>
      <c r="DD2193">
        <v>0</v>
      </c>
      <c r="DE2193">
        <v>0</v>
      </c>
      <c r="DF2193">
        <v>2973</v>
      </c>
      <c r="DG2193" t="s">
        <v>116</v>
      </c>
      <c r="DH2193" t="s">
        <v>116</v>
      </c>
      <c r="DI2193" t="s">
        <v>116</v>
      </c>
    </row>
    <row r="2194" spans="1:113" x14ac:dyDescent="0.4">
      <c r="A2194" t="str">
        <f>"300028"</f>
        <v>300028</v>
      </c>
      <c r="B2194" t="s">
        <v>10495</v>
      </c>
      <c r="C2194" t="s">
        <v>116</v>
      </c>
      <c r="D2194">
        <v>0</v>
      </c>
      <c r="E2194" t="s">
        <v>116</v>
      </c>
      <c r="F2194" t="s">
        <v>116</v>
      </c>
      <c r="G2194" t="s">
        <v>116</v>
      </c>
      <c r="H2194">
        <v>0</v>
      </c>
      <c r="I2194">
        <v>0</v>
      </c>
      <c r="J2194" t="s">
        <v>116</v>
      </c>
      <c r="K2194">
        <v>0</v>
      </c>
      <c r="L2194" t="s">
        <v>116</v>
      </c>
      <c r="M2194" t="s">
        <v>116</v>
      </c>
      <c r="N2194" t="s">
        <v>116</v>
      </c>
      <c r="O2194" t="s">
        <v>116</v>
      </c>
      <c r="P2194" t="s">
        <v>116</v>
      </c>
      <c r="Q2194">
        <v>0</v>
      </c>
      <c r="R2194">
        <v>0</v>
      </c>
      <c r="S2194" t="s">
        <v>465</v>
      </c>
      <c r="T2194" t="s">
        <v>582</v>
      </c>
      <c r="U2194" t="s">
        <v>116</v>
      </c>
      <c r="V2194">
        <v>0</v>
      </c>
      <c r="W2194">
        <v>0</v>
      </c>
      <c r="X2194">
        <v>0</v>
      </c>
      <c r="Y2194" t="s">
        <v>116</v>
      </c>
      <c r="Z2194">
        <v>0</v>
      </c>
      <c r="AA2194">
        <v>0</v>
      </c>
      <c r="AB2194" t="s">
        <v>116</v>
      </c>
      <c r="AC2194">
        <v>0</v>
      </c>
      <c r="AD2194" t="s">
        <v>116</v>
      </c>
      <c r="AE2194" t="s">
        <v>116</v>
      </c>
      <c r="AF2194" t="s">
        <v>116</v>
      </c>
      <c r="AG2194">
        <v>3.44</v>
      </c>
      <c r="AH2194" t="s">
        <v>10484</v>
      </c>
      <c r="AI2194" t="s">
        <v>10484</v>
      </c>
      <c r="AJ2194" t="s">
        <v>116</v>
      </c>
      <c r="AK2194">
        <v>0</v>
      </c>
      <c r="AL2194" t="s">
        <v>116</v>
      </c>
      <c r="AM2194" t="s">
        <v>116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 t="s">
        <v>116</v>
      </c>
      <c r="AT2194" t="s">
        <v>10484</v>
      </c>
      <c r="AU2194" t="s">
        <v>116</v>
      </c>
      <c r="AV2194" t="s">
        <v>116</v>
      </c>
      <c r="AW2194">
        <v>1.03</v>
      </c>
      <c r="BA2194" t="s">
        <v>116</v>
      </c>
      <c r="BB2194" t="s">
        <v>116</v>
      </c>
      <c r="BC2194" t="s">
        <v>116</v>
      </c>
      <c r="BD2194" t="s">
        <v>116</v>
      </c>
      <c r="BE2194" t="s">
        <v>116</v>
      </c>
      <c r="BF2194" t="s">
        <v>116</v>
      </c>
      <c r="BG2194" t="s">
        <v>116</v>
      </c>
      <c r="BH2194" t="s">
        <v>116</v>
      </c>
      <c r="BI2194">
        <v>20191028</v>
      </c>
      <c r="BJ2194">
        <v>20091030</v>
      </c>
      <c r="BK2194">
        <v>3.44</v>
      </c>
      <c r="BL2194" t="s">
        <v>116</v>
      </c>
      <c r="BM2194" t="s">
        <v>116</v>
      </c>
      <c r="BN2194">
        <v>2.0299999999999998</v>
      </c>
      <c r="BO2194">
        <v>1.3</v>
      </c>
      <c r="BP2194">
        <v>0</v>
      </c>
      <c r="BQ2194">
        <v>36.01</v>
      </c>
      <c r="BR2194">
        <v>0.32</v>
      </c>
      <c r="BS2194">
        <v>1.04</v>
      </c>
      <c r="BT2194">
        <v>0.17</v>
      </c>
      <c r="BU2194">
        <v>0.72</v>
      </c>
      <c r="BV2194">
        <v>0.02</v>
      </c>
      <c r="BW2194">
        <v>0.24</v>
      </c>
      <c r="BX2194">
        <v>3.63</v>
      </c>
      <c r="BY2194">
        <v>0.02</v>
      </c>
      <c r="BZ2194">
        <v>0.06</v>
      </c>
      <c r="CA2194">
        <v>-0.21</v>
      </c>
      <c r="CB2194">
        <v>-0.02</v>
      </c>
      <c r="CC2194">
        <v>-0.21</v>
      </c>
      <c r="CD2194">
        <v>-0.21</v>
      </c>
      <c r="CE2194">
        <v>-0.21</v>
      </c>
      <c r="CF2194">
        <v>-0.2</v>
      </c>
      <c r="CG2194">
        <v>-5.78</v>
      </c>
      <c r="CH2194">
        <v>-0.04</v>
      </c>
      <c r="CI2194">
        <v>-0.01</v>
      </c>
      <c r="CJ2194">
        <v>44900</v>
      </c>
      <c r="CK2194">
        <v>5105</v>
      </c>
      <c r="CL2194" t="s">
        <v>10485</v>
      </c>
      <c r="CM2194">
        <v>-157.72</v>
      </c>
      <c r="CN2194">
        <v>-80.459999999999994</v>
      </c>
      <c r="CO2194">
        <v>0</v>
      </c>
      <c r="CP2194">
        <v>0</v>
      </c>
      <c r="CQ2194">
        <v>0</v>
      </c>
      <c r="CR2194">
        <v>0</v>
      </c>
      <c r="CS2194" t="s">
        <v>1670</v>
      </c>
      <c r="CT2194">
        <v>0.38</v>
      </c>
      <c r="CU2194">
        <v>0</v>
      </c>
      <c r="CV2194">
        <v>1.06</v>
      </c>
      <c r="CW2194">
        <v>-1.68</v>
      </c>
      <c r="CX2194">
        <v>-0.01</v>
      </c>
      <c r="CY2194">
        <v>63.99</v>
      </c>
      <c r="CZ2194" t="s">
        <v>5389</v>
      </c>
      <c r="DA2194">
        <v>-158.78</v>
      </c>
      <c r="DB2194">
        <v>-843.06</v>
      </c>
      <c r="DC2194">
        <v>-849.87</v>
      </c>
      <c r="DD2194">
        <v>0</v>
      </c>
      <c r="DE2194">
        <v>70</v>
      </c>
      <c r="DF2194">
        <v>300028</v>
      </c>
      <c r="DG2194" t="s">
        <v>116</v>
      </c>
      <c r="DH2194" t="s">
        <v>116</v>
      </c>
      <c r="DI2194" t="s">
        <v>116</v>
      </c>
    </row>
    <row r="2195" spans="1:113" x14ac:dyDescent="0.4">
      <c r="A2195" t="str">
        <f>"300104"</f>
        <v>300104</v>
      </c>
      <c r="B2195" t="s">
        <v>10496</v>
      </c>
      <c r="C2195" t="s">
        <v>116</v>
      </c>
      <c r="D2195">
        <v>0</v>
      </c>
      <c r="E2195" t="s">
        <v>116</v>
      </c>
      <c r="F2195" t="s">
        <v>116</v>
      </c>
      <c r="G2195" t="s">
        <v>116</v>
      </c>
      <c r="H2195">
        <v>0</v>
      </c>
      <c r="I2195">
        <v>0</v>
      </c>
      <c r="J2195" t="s">
        <v>116</v>
      </c>
      <c r="K2195">
        <v>0</v>
      </c>
      <c r="L2195" t="s">
        <v>116</v>
      </c>
      <c r="M2195" t="s">
        <v>116</v>
      </c>
      <c r="N2195" t="s">
        <v>116</v>
      </c>
      <c r="O2195" t="s">
        <v>116</v>
      </c>
      <c r="P2195" t="s">
        <v>116</v>
      </c>
      <c r="Q2195">
        <v>0</v>
      </c>
      <c r="R2195">
        <v>0</v>
      </c>
      <c r="S2195" t="s">
        <v>1384</v>
      </c>
      <c r="T2195" t="s">
        <v>165</v>
      </c>
      <c r="U2195" t="s">
        <v>116</v>
      </c>
      <c r="V2195">
        <v>0</v>
      </c>
      <c r="W2195">
        <v>0</v>
      </c>
      <c r="X2195">
        <v>0</v>
      </c>
      <c r="Y2195" t="s">
        <v>116</v>
      </c>
      <c r="Z2195">
        <v>0</v>
      </c>
      <c r="AA2195">
        <v>0</v>
      </c>
      <c r="AB2195" t="s">
        <v>116</v>
      </c>
      <c r="AC2195">
        <v>0</v>
      </c>
      <c r="AD2195" t="s">
        <v>116</v>
      </c>
      <c r="AE2195" t="s">
        <v>116</v>
      </c>
      <c r="AF2195" t="s">
        <v>116</v>
      </c>
      <c r="AG2195">
        <v>39.659999999999997</v>
      </c>
      <c r="AH2195" t="s">
        <v>10484</v>
      </c>
      <c r="AI2195" t="s">
        <v>10484</v>
      </c>
      <c r="AJ2195" t="s">
        <v>116</v>
      </c>
      <c r="AK2195">
        <v>0</v>
      </c>
      <c r="AL2195" t="s">
        <v>116</v>
      </c>
      <c r="AM2195" t="s">
        <v>116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 t="s">
        <v>116</v>
      </c>
      <c r="AT2195" t="s">
        <v>10484</v>
      </c>
      <c r="AU2195" t="s">
        <v>116</v>
      </c>
      <c r="AV2195" t="s">
        <v>116</v>
      </c>
      <c r="AW2195">
        <v>1.1599999999999999</v>
      </c>
      <c r="BA2195" t="s">
        <v>116</v>
      </c>
      <c r="BB2195" t="s">
        <v>116</v>
      </c>
      <c r="BC2195" t="s">
        <v>116</v>
      </c>
      <c r="BD2195" t="s">
        <v>116</v>
      </c>
      <c r="BE2195" t="s">
        <v>116</v>
      </c>
      <c r="BF2195" t="s">
        <v>116</v>
      </c>
      <c r="BG2195" t="s">
        <v>116</v>
      </c>
      <c r="BH2195" t="s">
        <v>116</v>
      </c>
      <c r="BI2195">
        <v>20191029</v>
      </c>
      <c r="BJ2195">
        <v>20100812</v>
      </c>
      <c r="BK2195">
        <v>39.89</v>
      </c>
      <c r="BL2195" t="s">
        <v>116</v>
      </c>
      <c r="BM2195" t="s">
        <v>116</v>
      </c>
      <c r="BN2195">
        <v>79.239999999999995</v>
      </c>
      <c r="BO2195">
        <v>-132.4</v>
      </c>
      <c r="BP2195">
        <v>-4.87</v>
      </c>
      <c r="BQ2195">
        <v>273.24</v>
      </c>
      <c r="BR2195">
        <v>27.19</v>
      </c>
      <c r="BS2195">
        <v>2.2999999999999998</v>
      </c>
      <c r="BT2195">
        <v>3.17</v>
      </c>
      <c r="BU2195">
        <v>103.02</v>
      </c>
      <c r="BV2195">
        <v>5.98</v>
      </c>
      <c r="BW2195">
        <v>8.75</v>
      </c>
      <c r="BX2195">
        <v>90.48</v>
      </c>
      <c r="BY2195">
        <v>3.82</v>
      </c>
      <c r="BZ2195">
        <v>2.73</v>
      </c>
      <c r="CA2195">
        <v>-4.24</v>
      </c>
      <c r="CB2195">
        <v>0.33</v>
      </c>
      <c r="CC2195">
        <v>-102.21</v>
      </c>
      <c r="CD2195">
        <v>-102.21</v>
      </c>
      <c r="CE2195">
        <v>-101.94</v>
      </c>
      <c r="CF2195">
        <v>-4.99</v>
      </c>
      <c r="CG2195">
        <v>-265.38</v>
      </c>
      <c r="CH2195">
        <v>-0.41</v>
      </c>
      <c r="CI2195">
        <v>-1.3</v>
      </c>
      <c r="CJ2195">
        <v>280736</v>
      </c>
      <c r="CK2195">
        <v>9404</v>
      </c>
      <c r="CL2195" t="s">
        <v>10485</v>
      </c>
      <c r="CM2195">
        <v>-584.36</v>
      </c>
      <c r="CN2195">
        <v>-71.69</v>
      </c>
      <c r="CO2195">
        <v>0</v>
      </c>
      <c r="CP2195">
        <v>0</v>
      </c>
      <c r="CQ2195">
        <v>0</v>
      </c>
      <c r="CR2195">
        <v>0</v>
      </c>
      <c r="CS2195" t="s">
        <v>10497</v>
      </c>
      <c r="CT2195">
        <v>-3.32</v>
      </c>
      <c r="CU2195">
        <v>0</v>
      </c>
      <c r="CV2195">
        <v>2.27</v>
      </c>
      <c r="CW2195">
        <v>-6.65</v>
      </c>
      <c r="CX2195">
        <v>-0.01</v>
      </c>
      <c r="CY2195">
        <v>-167.09</v>
      </c>
      <c r="CZ2195" t="s">
        <v>116</v>
      </c>
      <c r="DA2195">
        <v>28.36</v>
      </c>
      <c r="DB2195">
        <v>-111.14</v>
      </c>
      <c r="DC2195">
        <v>-2671.5</v>
      </c>
      <c r="DD2195">
        <v>0.22</v>
      </c>
      <c r="DE2195">
        <v>456</v>
      </c>
      <c r="DF2195">
        <v>300104</v>
      </c>
      <c r="DG2195" t="s">
        <v>116</v>
      </c>
      <c r="DH2195" t="s">
        <v>116</v>
      </c>
      <c r="DI2195" t="s">
        <v>116</v>
      </c>
    </row>
    <row r="2196" spans="1:113" x14ac:dyDescent="0.4">
      <c r="A2196" t="str">
        <f>"300216"</f>
        <v>300216</v>
      </c>
      <c r="B2196" t="s">
        <v>10498</v>
      </c>
      <c r="C2196" t="s">
        <v>116</v>
      </c>
      <c r="D2196">
        <v>0</v>
      </c>
      <c r="E2196" t="s">
        <v>116</v>
      </c>
      <c r="F2196" t="s">
        <v>116</v>
      </c>
      <c r="G2196" t="s">
        <v>116</v>
      </c>
      <c r="H2196">
        <v>0</v>
      </c>
      <c r="I2196">
        <v>0</v>
      </c>
      <c r="J2196" t="s">
        <v>116</v>
      </c>
      <c r="K2196">
        <v>0</v>
      </c>
      <c r="L2196" t="s">
        <v>116</v>
      </c>
      <c r="M2196" t="s">
        <v>116</v>
      </c>
      <c r="N2196" t="s">
        <v>116</v>
      </c>
      <c r="O2196" t="s">
        <v>116</v>
      </c>
      <c r="P2196" t="s">
        <v>116</v>
      </c>
      <c r="Q2196">
        <v>0</v>
      </c>
      <c r="R2196">
        <v>0</v>
      </c>
      <c r="S2196" t="s">
        <v>559</v>
      </c>
      <c r="T2196" t="s">
        <v>599</v>
      </c>
      <c r="U2196" t="s">
        <v>116</v>
      </c>
      <c r="V2196">
        <v>0</v>
      </c>
      <c r="W2196">
        <v>0</v>
      </c>
      <c r="X2196">
        <v>0</v>
      </c>
      <c r="Y2196" t="s">
        <v>116</v>
      </c>
      <c r="Z2196">
        <v>0</v>
      </c>
      <c r="AA2196">
        <v>0</v>
      </c>
      <c r="AB2196" t="s">
        <v>116</v>
      </c>
      <c r="AC2196">
        <v>0</v>
      </c>
      <c r="AD2196" t="s">
        <v>116</v>
      </c>
      <c r="AE2196" t="s">
        <v>116</v>
      </c>
      <c r="AF2196" t="s">
        <v>116</v>
      </c>
      <c r="AG2196">
        <v>2.92</v>
      </c>
      <c r="AH2196" t="s">
        <v>10484</v>
      </c>
      <c r="AI2196" t="s">
        <v>10484</v>
      </c>
      <c r="AJ2196" t="s">
        <v>116</v>
      </c>
      <c r="AK2196">
        <v>0</v>
      </c>
      <c r="AL2196" t="s">
        <v>116</v>
      </c>
      <c r="AM2196" t="s">
        <v>116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 t="s">
        <v>116</v>
      </c>
      <c r="AT2196" t="s">
        <v>10484</v>
      </c>
      <c r="AU2196" t="s">
        <v>116</v>
      </c>
      <c r="AV2196" t="s">
        <v>116</v>
      </c>
      <c r="AW2196">
        <v>1.42</v>
      </c>
      <c r="BA2196" t="s">
        <v>116</v>
      </c>
      <c r="BB2196" t="s">
        <v>116</v>
      </c>
      <c r="BC2196" t="s">
        <v>116</v>
      </c>
      <c r="BD2196" t="s">
        <v>116</v>
      </c>
      <c r="BE2196" t="s">
        <v>116</v>
      </c>
      <c r="BF2196" t="s">
        <v>116</v>
      </c>
      <c r="BG2196" t="s">
        <v>116</v>
      </c>
      <c r="BH2196" t="s">
        <v>116</v>
      </c>
      <c r="BI2196">
        <v>20191030</v>
      </c>
      <c r="BJ2196">
        <v>20110511</v>
      </c>
      <c r="BK2196">
        <v>3.61</v>
      </c>
      <c r="BL2196" t="s">
        <v>116</v>
      </c>
      <c r="BM2196" t="s">
        <v>116</v>
      </c>
      <c r="BN2196">
        <v>23.66</v>
      </c>
      <c r="BO2196">
        <v>-22.68</v>
      </c>
      <c r="BP2196">
        <v>0.36</v>
      </c>
      <c r="BQ2196">
        <v>194.32</v>
      </c>
      <c r="BR2196">
        <v>9.58</v>
      </c>
      <c r="BS2196">
        <v>4.17</v>
      </c>
      <c r="BT2196">
        <v>4.6900000000000004</v>
      </c>
      <c r="BU2196">
        <v>41.58</v>
      </c>
      <c r="BV2196">
        <v>3.16</v>
      </c>
      <c r="BW2196">
        <v>4.25</v>
      </c>
      <c r="BX2196">
        <v>2.2400000000000002</v>
      </c>
      <c r="BY2196">
        <v>1.47</v>
      </c>
      <c r="BZ2196">
        <v>1.19</v>
      </c>
      <c r="CA2196">
        <v>-4.79</v>
      </c>
      <c r="CB2196">
        <v>-0.03</v>
      </c>
      <c r="CC2196">
        <v>-4.8600000000000003</v>
      </c>
      <c r="CD2196">
        <v>-4.8600000000000003</v>
      </c>
      <c r="CE2196">
        <v>-4.7300000000000004</v>
      </c>
      <c r="CF2196">
        <v>-4.67</v>
      </c>
      <c r="CG2196">
        <v>-29.24</v>
      </c>
      <c r="CH2196">
        <v>0.01</v>
      </c>
      <c r="CI2196">
        <v>-0.04</v>
      </c>
      <c r="CJ2196">
        <v>48186</v>
      </c>
      <c r="CK2196">
        <v>5772</v>
      </c>
      <c r="CL2196" t="s">
        <v>10485</v>
      </c>
      <c r="CM2196">
        <v>-17.28</v>
      </c>
      <c r="CN2196">
        <v>-15.83</v>
      </c>
      <c r="CO2196">
        <v>0</v>
      </c>
      <c r="CP2196">
        <v>0</v>
      </c>
      <c r="CQ2196">
        <v>0</v>
      </c>
      <c r="CR2196">
        <v>0</v>
      </c>
      <c r="CS2196" t="s">
        <v>10499</v>
      </c>
      <c r="CT2196">
        <v>-6.28</v>
      </c>
      <c r="CU2196">
        <v>0</v>
      </c>
      <c r="CV2196">
        <v>0.62</v>
      </c>
      <c r="CW2196">
        <v>-8.09</v>
      </c>
      <c r="CX2196">
        <v>0</v>
      </c>
      <c r="CY2196">
        <v>-95.86</v>
      </c>
      <c r="CZ2196" t="s">
        <v>116</v>
      </c>
      <c r="DA2196">
        <v>19.37</v>
      </c>
      <c r="DB2196">
        <v>-325.68</v>
      </c>
      <c r="DC2196">
        <v>-321.83</v>
      </c>
      <c r="DD2196">
        <v>0.1</v>
      </c>
      <c r="DE2196">
        <v>926</v>
      </c>
      <c r="DF2196">
        <v>300216</v>
      </c>
      <c r="DG2196" t="s">
        <v>116</v>
      </c>
      <c r="DH2196" t="s">
        <v>116</v>
      </c>
      <c r="DI2196" t="s">
        <v>116</v>
      </c>
    </row>
    <row r="2197" spans="1:113" x14ac:dyDescent="0.4">
      <c r="A2197" t="str">
        <f>"300811"</f>
        <v>300811</v>
      </c>
      <c r="B2197" t="s">
        <v>10500</v>
      </c>
      <c r="C2197" t="s">
        <v>116</v>
      </c>
      <c r="D2197">
        <v>0</v>
      </c>
      <c r="E2197" t="s">
        <v>116</v>
      </c>
      <c r="F2197" t="s">
        <v>116</v>
      </c>
      <c r="G2197" t="s">
        <v>116</v>
      </c>
      <c r="H2197">
        <v>0</v>
      </c>
      <c r="I2197">
        <v>0</v>
      </c>
      <c r="J2197" t="s">
        <v>116</v>
      </c>
      <c r="K2197">
        <v>0</v>
      </c>
      <c r="L2197" t="s">
        <v>116</v>
      </c>
      <c r="M2197" t="s">
        <v>116</v>
      </c>
      <c r="N2197" t="s">
        <v>116</v>
      </c>
      <c r="O2197" t="s">
        <v>116</v>
      </c>
      <c r="P2197" t="s">
        <v>116</v>
      </c>
      <c r="Q2197">
        <v>0</v>
      </c>
      <c r="R2197" t="s">
        <v>116</v>
      </c>
      <c r="S2197" t="s">
        <v>233</v>
      </c>
      <c r="T2197" t="s">
        <v>115</v>
      </c>
      <c r="U2197" t="s">
        <v>116</v>
      </c>
      <c r="V2197">
        <v>0</v>
      </c>
      <c r="W2197">
        <v>0</v>
      </c>
      <c r="X2197">
        <v>0</v>
      </c>
      <c r="Y2197" t="s">
        <v>116</v>
      </c>
      <c r="Z2197">
        <v>0</v>
      </c>
      <c r="AA2197">
        <v>0</v>
      </c>
      <c r="AB2197" t="s">
        <v>116</v>
      </c>
      <c r="AC2197">
        <v>0</v>
      </c>
      <c r="AD2197" t="s">
        <v>116</v>
      </c>
      <c r="AE2197" t="s">
        <v>116</v>
      </c>
      <c r="AF2197" t="s">
        <v>116</v>
      </c>
      <c r="AG2197">
        <v>0.14000000000000001</v>
      </c>
      <c r="AH2197" t="s">
        <v>10484</v>
      </c>
      <c r="AI2197" t="s">
        <v>10484</v>
      </c>
      <c r="AJ2197" t="s">
        <v>116</v>
      </c>
      <c r="AK2197">
        <v>0</v>
      </c>
      <c r="AL2197" t="s">
        <v>116</v>
      </c>
      <c r="AM2197" t="s">
        <v>116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 t="s">
        <v>116</v>
      </c>
      <c r="AT2197" t="s">
        <v>116</v>
      </c>
      <c r="AU2197" t="s">
        <v>116</v>
      </c>
      <c r="AV2197" t="s">
        <v>116</v>
      </c>
      <c r="AW2197">
        <v>0</v>
      </c>
      <c r="BA2197" t="s">
        <v>116</v>
      </c>
      <c r="BB2197" t="s">
        <v>116</v>
      </c>
      <c r="BC2197" t="s">
        <v>116</v>
      </c>
      <c r="BD2197" t="s">
        <v>116</v>
      </c>
      <c r="BE2197" t="s">
        <v>116</v>
      </c>
      <c r="BF2197" t="s">
        <v>116</v>
      </c>
      <c r="BG2197" t="s">
        <v>116</v>
      </c>
      <c r="BH2197" t="s">
        <v>116</v>
      </c>
      <c r="BI2197">
        <v>20191227</v>
      </c>
      <c r="BJ2197">
        <v>20191230</v>
      </c>
      <c r="BK2197">
        <v>0.57999999999999996</v>
      </c>
      <c r="BL2197" t="s">
        <v>116</v>
      </c>
      <c r="BM2197" t="s">
        <v>116</v>
      </c>
      <c r="BN2197">
        <v>5.48</v>
      </c>
      <c r="BO2197">
        <v>4.2300000000000004</v>
      </c>
      <c r="BP2197">
        <v>0</v>
      </c>
      <c r="BQ2197">
        <v>22.8</v>
      </c>
      <c r="BR2197">
        <v>3.02</v>
      </c>
      <c r="BS2197">
        <v>1.59</v>
      </c>
      <c r="BT2197">
        <v>0.27</v>
      </c>
      <c r="BU2197">
        <v>1.24</v>
      </c>
      <c r="BV2197">
        <v>0.65</v>
      </c>
      <c r="BW2197">
        <v>1.42</v>
      </c>
      <c r="BX2197">
        <v>1.05</v>
      </c>
      <c r="BY2197">
        <v>2.93</v>
      </c>
      <c r="BZ2197">
        <v>1.69</v>
      </c>
      <c r="CA2197">
        <v>0.77</v>
      </c>
      <c r="CB2197">
        <v>0</v>
      </c>
      <c r="CC2197">
        <v>0.78</v>
      </c>
      <c r="CD2197">
        <v>0.64</v>
      </c>
      <c r="CE2197">
        <v>0.64</v>
      </c>
      <c r="CF2197">
        <v>0</v>
      </c>
      <c r="CG2197">
        <v>2.5499999999999998</v>
      </c>
      <c r="CH2197">
        <v>0.34</v>
      </c>
      <c r="CI2197">
        <v>0.1</v>
      </c>
      <c r="CJ2197">
        <v>28798</v>
      </c>
      <c r="CK2197" t="s">
        <v>116</v>
      </c>
      <c r="CL2197" t="s">
        <v>116</v>
      </c>
      <c r="CM2197">
        <v>0</v>
      </c>
      <c r="CN2197">
        <v>0</v>
      </c>
      <c r="CO2197">
        <v>0</v>
      </c>
      <c r="CP2197">
        <v>0</v>
      </c>
      <c r="CQ2197">
        <v>0</v>
      </c>
      <c r="CR2197">
        <v>0</v>
      </c>
      <c r="CS2197" t="s">
        <v>10501</v>
      </c>
      <c r="CT2197">
        <v>13.08</v>
      </c>
      <c r="CU2197">
        <v>13.08</v>
      </c>
      <c r="CV2197">
        <v>1.83</v>
      </c>
      <c r="CW2197">
        <v>4.42</v>
      </c>
      <c r="CX2197">
        <v>0.59</v>
      </c>
      <c r="CY2197">
        <v>77.2</v>
      </c>
      <c r="CZ2197" t="s">
        <v>10502</v>
      </c>
      <c r="DA2197">
        <v>42.21</v>
      </c>
      <c r="DB2197">
        <v>26.42</v>
      </c>
      <c r="DC2197">
        <v>21.94</v>
      </c>
      <c r="DD2197">
        <v>0</v>
      </c>
      <c r="DE2197">
        <v>0</v>
      </c>
      <c r="DF2197">
        <v>300811</v>
      </c>
      <c r="DG2197" t="s">
        <v>116</v>
      </c>
      <c r="DH2197" t="s">
        <v>116</v>
      </c>
      <c r="DI2197" t="s">
        <v>116</v>
      </c>
    </row>
    <row r="2198" spans="1:113" x14ac:dyDescent="0.4">
      <c r="A2198" t="str">
        <f>"300812"</f>
        <v>300812</v>
      </c>
      <c r="B2198" t="s">
        <v>10503</v>
      </c>
      <c r="C2198" t="s">
        <v>116</v>
      </c>
      <c r="D2198">
        <v>0</v>
      </c>
      <c r="E2198" t="s">
        <v>116</v>
      </c>
      <c r="F2198" t="s">
        <v>116</v>
      </c>
      <c r="G2198" t="s">
        <v>116</v>
      </c>
      <c r="H2198">
        <v>0</v>
      </c>
      <c r="I2198">
        <v>0</v>
      </c>
      <c r="J2198" t="s">
        <v>116</v>
      </c>
      <c r="K2198" t="s">
        <v>116</v>
      </c>
      <c r="L2198" t="s">
        <v>116</v>
      </c>
      <c r="M2198" t="s">
        <v>116</v>
      </c>
      <c r="N2198" t="s">
        <v>116</v>
      </c>
      <c r="O2198" t="s">
        <v>116</v>
      </c>
      <c r="P2198" t="s">
        <v>116</v>
      </c>
      <c r="Q2198">
        <v>0</v>
      </c>
      <c r="R2198" t="s">
        <v>116</v>
      </c>
      <c r="S2198" t="s">
        <v>682</v>
      </c>
      <c r="T2198" t="s">
        <v>115</v>
      </c>
      <c r="U2198" t="s">
        <v>116</v>
      </c>
      <c r="V2198">
        <v>0</v>
      </c>
      <c r="W2198">
        <v>0</v>
      </c>
      <c r="X2198">
        <v>0</v>
      </c>
      <c r="Y2198" t="s">
        <v>116</v>
      </c>
      <c r="Z2198">
        <v>0</v>
      </c>
      <c r="AA2198">
        <v>0</v>
      </c>
      <c r="AB2198" t="s">
        <v>116</v>
      </c>
      <c r="AC2198">
        <v>0</v>
      </c>
      <c r="AD2198" t="s">
        <v>116</v>
      </c>
      <c r="AE2198" t="s">
        <v>116</v>
      </c>
      <c r="AF2198" t="s">
        <v>116</v>
      </c>
      <c r="AG2198" t="s">
        <v>116</v>
      </c>
      <c r="AH2198" t="s">
        <v>116</v>
      </c>
      <c r="AI2198" t="s">
        <v>116</v>
      </c>
      <c r="AJ2198" t="s">
        <v>116</v>
      </c>
      <c r="AK2198">
        <v>0</v>
      </c>
      <c r="AL2198" t="s">
        <v>116</v>
      </c>
      <c r="AM2198" t="s">
        <v>116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 t="s">
        <v>116</v>
      </c>
      <c r="AT2198" t="s">
        <v>116</v>
      </c>
      <c r="AU2198" t="s">
        <v>116</v>
      </c>
      <c r="AV2198" t="s">
        <v>116</v>
      </c>
      <c r="AW2198">
        <v>0</v>
      </c>
      <c r="BA2198" t="s">
        <v>116</v>
      </c>
      <c r="BB2198" t="s">
        <v>116</v>
      </c>
      <c r="BC2198" t="s">
        <v>116</v>
      </c>
      <c r="BD2198" t="s">
        <v>116</v>
      </c>
      <c r="BE2198" t="s">
        <v>116</v>
      </c>
      <c r="BF2198" t="s">
        <v>116</v>
      </c>
      <c r="BG2198" t="s">
        <v>116</v>
      </c>
      <c r="BH2198" t="s">
        <v>116</v>
      </c>
      <c r="BI2198">
        <v>20191224</v>
      </c>
      <c r="BJ2198" t="s">
        <v>116</v>
      </c>
      <c r="BK2198" t="s">
        <v>116</v>
      </c>
      <c r="BL2198" t="s">
        <v>116</v>
      </c>
      <c r="BM2198" t="s">
        <v>116</v>
      </c>
      <c r="BN2198">
        <v>7.37</v>
      </c>
      <c r="BO2198">
        <v>3.4</v>
      </c>
      <c r="BP2198">
        <v>0.08</v>
      </c>
      <c r="BQ2198">
        <v>52.83</v>
      </c>
      <c r="BR2198">
        <v>7.01</v>
      </c>
      <c r="BS2198">
        <v>0.09</v>
      </c>
      <c r="BT2198">
        <v>0.18</v>
      </c>
      <c r="BU2198">
        <v>3.89</v>
      </c>
      <c r="BV2198">
        <v>2.84</v>
      </c>
      <c r="BW2198">
        <v>1.49</v>
      </c>
      <c r="BX2198">
        <v>0.67</v>
      </c>
      <c r="BY2198">
        <v>3.46</v>
      </c>
      <c r="BZ2198">
        <v>1.88</v>
      </c>
      <c r="CA2198">
        <v>0.84</v>
      </c>
      <c r="CB2198">
        <v>0</v>
      </c>
      <c r="CC2198">
        <v>0.84</v>
      </c>
      <c r="CD2198">
        <v>0.72</v>
      </c>
      <c r="CE2198">
        <v>0.72</v>
      </c>
      <c r="CF2198">
        <v>0</v>
      </c>
      <c r="CG2198">
        <v>1.94</v>
      </c>
      <c r="CH2198">
        <v>0.43</v>
      </c>
      <c r="CI2198">
        <v>-0.13</v>
      </c>
      <c r="CJ2198">
        <v>0</v>
      </c>
      <c r="CK2198" t="s">
        <v>116</v>
      </c>
      <c r="CL2198" t="s">
        <v>116</v>
      </c>
      <c r="CM2198">
        <v>0</v>
      </c>
      <c r="CN2198">
        <v>0</v>
      </c>
      <c r="CO2198" t="s">
        <v>116</v>
      </c>
      <c r="CP2198">
        <v>0</v>
      </c>
      <c r="CQ2198">
        <v>0</v>
      </c>
      <c r="CR2198">
        <v>0</v>
      </c>
      <c r="CS2198" t="s">
        <v>222</v>
      </c>
      <c r="CT2198" t="s">
        <v>116</v>
      </c>
      <c r="CU2198">
        <v>0</v>
      </c>
      <c r="CV2198" t="s">
        <v>116</v>
      </c>
      <c r="CW2198" t="s">
        <v>116</v>
      </c>
      <c r="CX2198" t="s">
        <v>116</v>
      </c>
      <c r="CY2198">
        <v>46.08</v>
      </c>
      <c r="CZ2198" t="s">
        <v>10504</v>
      </c>
      <c r="DA2198">
        <v>45.6</v>
      </c>
      <c r="DB2198">
        <v>24.16</v>
      </c>
      <c r="DC2198">
        <v>20.83</v>
      </c>
      <c r="DD2198">
        <v>0</v>
      </c>
      <c r="DE2198">
        <v>0</v>
      </c>
      <c r="DF2198">
        <v>300812</v>
      </c>
      <c r="DG2198" t="s">
        <v>116</v>
      </c>
      <c r="DH2198" t="s">
        <v>116</v>
      </c>
      <c r="DI2198" t="s">
        <v>116</v>
      </c>
    </row>
    <row r="2199" spans="1:113" x14ac:dyDescent="0.4">
      <c r="A2199" t="str">
        <f>"600000"</f>
        <v>600000</v>
      </c>
      <c r="B2199" t="s">
        <v>10505</v>
      </c>
      <c r="C2199">
        <v>0.24</v>
      </c>
      <c r="D2199">
        <v>12.32</v>
      </c>
      <c r="E2199">
        <v>0.03</v>
      </c>
      <c r="F2199">
        <v>12.32</v>
      </c>
      <c r="G2199">
        <v>12.33</v>
      </c>
      <c r="H2199">
        <v>279321</v>
      </c>
      <c r="I2199">
        <v>3141</v>
      </c>
      <c r="J2199">
        <v>-0.15</v>
      </c>
      <c r="K2199">
        <v>0.1</v>
      </c>
      <c r="L2199">
        <v>12.25</v>
      </c>
      <c r="M2199">
        <v>12.43</v>
      </c>
      <c r="N2199">
        <v>12.25</v>
      </c>
      <c r="O2199">
        <v>12.29</v>
      </c>
      <c r="P2199">
        <v>5.61</v>
      </c>
      <c r="Q2199">
        <v>344832512</v>
      </c>
      <c r="R2199">
        <v>1.0900000000000001</v>
      </c>
      <c r="S2199" t="s">
        <v>114</v>
      </c>
      <c r="T2199" t="s">
        <v>1653</v>
      </c>
      <c r="U2199">
        <v>1.46</v>
      </c>
      <c r="V2199">
        <v>12.35</v>
      </c>
      <c r="W2199">
        <v>150942</v>
      </c>
      <c r="X2199">
        <v>128379</v>
      </c>
      <c r="Y2199">
        <v>1.18</v>
      </c>
      <c r="Z2199">
        <v>453</v>
      </c>
      <c r="AA2199">
        <v>413</v>
      </c>
      <c r="AB2199" t="s">
        <v>116</v>
      </c>
      <c r="AC2199">
        <v>3164200</v>
      </c>
      <c r="AD2199">
        <v>0</v>
      </c>
      <c r="AE2199" t="s">
        <v>116</v>
      </c>
      <c r="AF2199" t="s">
        <v>116</v>
      </c>
      <c r="AG2199">
        <v>281.04000000000002</v>
      </c>
      <c r="AH2199" t="s">
        <v>10506</v>
      </c>
      <c r="AI2199" t="s">
        <v>10507</v>
      </c>
      <c r="AJ2199">
        <v>0.32</v>
      </c>
      <c r="AK2199">
        <v>3555</v>
      </c>
      <c r="AL2199">
        <v>79</v>
      </c>
      <c r="AM2199">
        <v>0</v>
      </c>
      <c r="AN2199">
        <v>2</v>
      </c>
      <c r="AO2199">
        <v>0.32</v>
      </c>
      <c r="AP2199">
        <v>3.44</v>
      </c>
      <c r="AQ2199">
        <v>3.53</v>
      </c>
      <c r="AR2199">
        <v>30.37</v>
      </c>
      <c r="AS2199">
        <v>0.28999999999999998</v>
      </c>
      <c r="AT2199" t="s">
        <v>10508</v>
      </c>
      <c r="AU2199">
        <v>5.92</v>
      </c>
      <c r="AV2199">
        <v>6.47</v>
      </c>
      <c r="AW2199">
        <v>1.1599999999999999</v>
      </c>
      <c r="BA2199">
        <v>-0.33</v>
      </c>
      <c r="BB2199">
        <v>1.1399999999999999</v>
      </c>
      <c r="BC2199">
        <v>-0.33</v>
      </c>
      <c r="BD2199">
        <v>0.45</v>
      </c>
      <c r="BE2199">
        <v>0.56999999999999995</v>
      </c>
      <c r="BF2199">
        <v>-0.88</v>
      </c>
      <c r="BG2199">
        <v>0.56999999999999995</v>
      </c>
      <c r="BH2199">
        <v>-0.21</v>
      </c>
      <c r="BI2199">
        <v>20191030</v>
      </c>
      <c r="BJ2199">
        <v>19991110</v>
      </c>
      <c r="BK2199">
        <v>293.52</v>
      </c>
      <c r="BL2199" t="s">
        <v>116</v>
      </c>
      <c r="BM2199" t="s">
        <v>116</v>
      </c>
      <c r="BN2199">
        <v>67906.7</v>
      </c>
      <c r="BO2199">
        <v>5400.79</v>
      </c>
      <c r="BP2199">
        <v>70.84</v>
      </c>
      <c r="BQ2199">
        <v>91.94</v>
      </c>
      <c r="BR2199">
        <v>0</v>
      </c>
      <c r="BS2199">
        <v>295.10000000000002</v>
      </c>
      <c r="BT2199">
        <v>101.77</v>
      </c>
      <c r="BU2199">
        <v>0</v>
      </c>
      <c r="BV2199">
        <v>0</v>
      </c>
      <c r="BW2199">
        <v>0</v>
      </c>
      <c r="BX2199">
        <v>817.6</v>
      </c>
      <c r="BY2199">
        <v>1463.86</v>
      </c>
      <c r="BZ2199">
        <v>0</v>
      </c>
      <c r="CA2199">
        <v>577.74</v>
      </c>
      <c r="CB2199">
        <v>103.99</v>
      </c>
      <c r="CC2199">
        <v>577.29999999999995</v>
      </c>
      <c r="CD2199">
        <v>488.64</v>
      </c>
      <c r="CE2199">
        <v>483.5</v>
      </c>
      <c r="CF2199">
        <v>471.14</v>
      </c>
      <c r="CG2199">
        <v>1611.67</v>
      </c>
      <c r="CH2199">
        <v>-674.49</v>
      </c>
      <c r="CI2199">
        <v>-374.48</v>
      </c>
      <c r="CJ2199">
        <v>165563</v>
      </c>
      <c r="CK2199">
        <v>57571</v>
      </c>
      <c r="CL2199" t="s">
        <v>10509</v>
      </c>
      <c r="CM2199">
        <v>11.9</v>
      </c>
      <c r="CN2199">
        <v>15.17</v>
      </c>
      <c r="CO2199">
        <v>0.75</v>
      </c>
      <c r="CP2199">
        <v>-5.36</v>
      </c>
      <c r="CQ2199">
        <v>2.4700000000000002</v>
      </c>
      <c r="CR2199">
        <v>2.84</v>
      </c>
      <c r="CS2199" t="s">
        <v>10510</v>
      </c>
      <c r="CT2199">
        <v>16.36</v>
      </c>
      <c r="CU2199">
        <v>16.36</v>
      </c>
      <c r="CV2199">
        <v>2.79</v>
      </c>
      <c r="CW2199">
        <v>5.49</v>
      </c>
      <c r="CX2199">
        <v>-2.2999999999999998</v>
      </c>
      <c r="CY2199">
        <v>7.95</v>
      </c>
      <c r="CZ2199" t="s">
        <v>3515</v>
      </c>
      <c r="DA2199" t="s">
        <v>116</v>
      </c>
      <c r="DB2199">
        <v>39.47</v>
      </c>
      <c r="DC2199">
        <v>33.03</v>
      </c>
      <c r="DD2199">
        <v>0</v>
      </c>
      <c r="DE2199">
        <v>55973</v>
      </c>
      <c r="DF2199">
        <v>600000</v>
      </c>
      <c r="DG2199" t="s">
        <v>116</v>
      </c>
      <c r="DH2199" t="s">
        <v>116</v>
      </c>
      <c r="DI2199" t="s">
        <v>116</v>
      </c>
    </row>
    <row r="2200" spans="1:113" x14ac:dyDescent="0.4">
      <c r="A2200" t="str">
        <f>"600004"</f>
        <v>600004</v>
      </c>
      <c r="B2200" t="s">
        <v>10511</v>
      </c>
      <c r="C2200">
        <v>-0.68</v>
      </c>
      <c r="D2200">
        <v>17.63</v>
      </c>
      <c r="E2200">
        <v>-0.12</v>
      </c>
      <c r="F2200">
        <v>17.600000000000001</v>
      </c>
      <c r="G2200">
        <v>17.63</v>
      </c>
      <c r="H2200">
        <v>118849</v>
      </c>
      <c r="I2200">
        <v>2155</v>
      </c>
      <c r="J2200">
        <v>0.63</v>
      </c>
      <c r="K2200">
        <v>0.56999999999999995</v>
      </c>
      <c r="L2200">
        <v>17.77</v>
      </c>
      <c r="M2200">
        <v>17.850000000000001</v>
      </c>
      <c r="N2200">
        <v>17.5</v>
      </c>
      <c r="O2200">
        <v>17.75</v>
      </c>
      <c r="P2200">
        <v>47.76</v>
      </c>
      <c r="Q2200">
        <v>209959920</v>
      </c>
      <c r="R2200">
        <v>1.46</v>
      </c>
      <c r="S2200" t="s">
        <v>522</v>
      </c>
      <c r="T2200" t="s">
        <v>551</v>
      </c>
      <c r="U2200">
        <v>1.97</v>
      </c>
      <c r="V2200">
        <v>17.670000000000002</v>
      </c>
      <c r="W2200">
        <v>70799</v>
      </c>
      <c r="X2200">
        <v>48050</v>
      </c>
      <c r="Y2200">
        <v>1.47</v>
      </c>
      <c r="Z2200">
        <v>5</v>
      </c>
      <c r="AA2200">
        <v>53</v>
      </c>
      <c r="AB2200" t="s">
        <v>116</v>
      </c>
      <c r="AC2200">
        <v>399800</v>
      </c>
      <c r="AD2200">
        <v>0</v>
      </c>
      <c r="AE2200" t="s">
        <v>116</v>
      </c>
      <c r="AF2200" t="s">
        <v>116</v>
      </c>
      <c r="AG2200">
        <v>20.69</v>
      </c>
      <c r="AH2200" t="s">
        <v>10512</v>
      </c>
      <c r="AI2200" t="s">
        <v>10512</v>
      </c>
      <c r="AJ2200">
        <v>-0.6</v>
      </c>
      <c r="AK2200">
        <v>3255</v>
      </c>
      <c r="AL2200">
        <v>37</v>
      </c>
      <c r="AM2200">
        <v>2.0000000000000001E-4</v>
      </c>
      <c r="AN2200">
        <v>-1</v>
      </c>
      <c r="AO2200">
        <v>-0.79</v>
      </c>
      <c r="AP2200">
        <v>5.57</v>
      </c>
      <c r="AQ2200">
        <v>-21.29</v>
      </c>
      <c r="AR2200">
        <v>78.44</v>
      </c>
      <c r="AS2200">
        <v>1.17</v>
      </c>
      <c r="AT2200" t="s">
        <v>10513</v>
      </c>
      <c r="AU2200">
        <v>46.57</v>
      </c>
      <c r="AV2200">
        <v>32.31</v>
      </c>
      <c r="AW2200">
        <v>1.36</v>
      </c>
      <c r="BA2200">
        <v>0.11</v>
      </c>
      <c r="BB2200">
        <v>0.56000000000000005</v>
      </c>
      <c r="BC2200">
        <v>-1.41</v>
      </c>
      <c r="BD2200">
        <v>-0.47</v>
      </c>
      <c r="BE2200">
        <v>-0.79</v>
      </c>
      <c r="BF2200">
        <v>-1.23</v>
      </c>
      <c r="BG2200">
        <v>0.74</v>
      </c>
      <c r="BH2200">
        <v>-0.2</v>
      </c>
      <c r="BI2200">
        <v>20191029</v>
      </c>
      <c r="BJ2200">
        <v>20030428</v>
      </c>
      <c r="BK2200">
        <v>20.69</v>
      </c>
      <c r="BL2200" t="s">
        <v>116</v>
      </c>
      <c r="BM2200" t="s">
        <v>116</v>
      </c>
      <c r="BN2200">
        <v>259.31</v>
      </c>
      <c r="BO2200">
        <v>158.44999999999999</v>
      </c>
      <c r="BP2200">
        <v>1.69</v>
      </c>
      <c r="BQ2200">
        <v>38.25</v>
      </c>
      <c r="BR2200">
        <v>34.880000000000003</v>
      </c>
      <c r="BS2200">
        <v>208.87</v>
      </c>
      <c r="BT2200">
        <v>5.14</v>
      </c>
      <c r="BU2200">
        <v>84.04</v>
      </c>
      <c r="BV2200">
        <v>0.61</v>
      </c>
      <c r="BW2200">
        <v>12.71</v>
      </c>
      <c r="BX2200">
        <v>66.77</v>
      </c>
      <c r="BY2200">
        <v>58.33</v>
      </c>
      <c r="BZ2200">
        <v>46.04</v>
      </c>
      <c r="CA2200">
        <v>8.0399999999999991</v>
      </c>
      <c r="CB2200">
        <v>0.32</v>
      </c>
      <c r="CC2200">
        <v>8.1999999999999993</v>
      </c>
      <c r="CD2200">
        <v>6.15</v>
      </c>
      <c r="CE2200">
        <v>5.73</v>
      </c>
      <c r="CF2200">
        <v>5.22</v>
      </c>
      <c r="CG2200">
        <v>62.36</v>
      </c>
      <c r="CH2200">
        <v>24.44</v>
      </c>
      <c r="CI2200">
        <v>-3.93</v>
      </c>
      <c r="CJ2200">
        <v>38743</v>
      </c>
      <c r="CK2200">
        <v>26146</v>
      </c>
      <c r="CL2200" t="s">
        <v>10514</v>
      </c>
      <c r="CM2200">
        <v>-37.64</v>
      </c>
      <c r="CN2200">
        <v>0.51</v>
      </c>
      <c r="CO2200">
        <v>2.2999999999999998</v>
      </c>
      <c r="CP2200">
        <v>14.92</v>
      </c>
      <c r="CQ2200">
        <v>6.25</v>
      </c>
      <c r="CR2200">
        <v>0.96</v>
      </c>
      <c r="CS2200" t="s">
        <v>4379</v>
      </c>
      <c r="CT2200">
        <v>7.66</v>
      </c>
      <c r="CU2200">
        <v>0</v>
      </c>
      <c r="CV2200">
        <v>3.23</v>
      </c>
      <c r="CW2200">
        <v>3.01</v>
      </c>
      <c r="CX2200">
        <v>1.18</v>
      </c>
      <c r="CY2200">
        <v>61.1</v>
      </c>
      <c r="CZ2200" t="s">
        <v>869</v>
      </c>
      <c r="DA2200">
        <v>21.07</v>
      </c>
      <c r="DB2200">
        <v>13.78</v>
      </c>
      <c r="DC2200">
        <v>9.82</v>
      </c>
      <c r="DD2200">
        <v>0</v>
      </c>
      <c r="DE2200">
        <v>12981</v>
      </c>
      <c r="DF2200">
        <v>600004</v>
      </c>
      <c r="DG2200" t="s">
        <v>116</v>
      </c>
      <c r="DH2200" t="s">
        <v>116</v>
      </c>
      <c r="DI2200" t="s">
        <v>116</v>
      </c>
    </row>
    <row r="2201" spans="1:113" x14ac:dyDescent="0.4">
      <c r="A2201" t="str">
        <f>"600006"</f>
        <v>600006</v>
      </c>
      <c r="B2201" t="s">
        <v>10515</v>
      </c>
      <c r="C2201">
        <v>-0.87</v>
      </c>
      <c r="D2201">
        <v>4.5599999999999996</v>
      </c>
      <c r="E2201">
        <v>-0.04</v>
      </c>
      <c r="F2201">
        <v>4.5599999999999996</v>
      </c>
      <c r="G2201">
        <v>4.57</v>
      </c>
      <c r="H2201">
        <v>108970</v>
      </c>
      <c r="I2201">
        <v>1405</v>
      </c>
      <c r="J2201">
        <v>-0.43</v>
      </c>
      <c r="K2201">
        <v>0.54</v>
      </c>
      <c r="L2201">
        <v>4.5999999999999996</v>
      </c>
      <c r="M2201">
        <v>4.6399999999999997</v>
      </c>
      <c r="N2201">
        <v>4.5599999999999996</v>
      </c>
      <c r="O2201">
        <v>4.5999999999999996</v>
      </c>
      <c r="P2201">
        <v>20.6</v>
      </c>
      <c r="Q2201">
        <v>50178152</v>
      </c>
      <c r="R2201">
        <v>0.76</v>
      </c>
      <c r="S2201" t="s">
        <v>1108</v>
      </c>
      <c r="T2201" t="s">
        <v>774</v>
      </c>
      <c r="U2201">
        <v>1.74</v>
      </c>
      <c r="V2201">
        <v>4.5999999999999996</v>
      </c>
      <c r="W2201">
        <v>59891</v>
      </c>
      <c r="X2201">
        <v>49079</v>
      </c>
      <c r="Y2201">
        <v>1.22</v>
      </c>
      <c r="Z2201">
        <v>3800</v>
      </c>
      <c r="AA2201">
        <v>678</v>
      </c>
      <c r="AB2201" t="s">
        <v>116</v>
      </c>
      <c r="AC2201">
        <v>99400</v>
      </c>
      <c r="AD2201">
        <v>0</v>
      </c>
      <c r="AE2201" t="s">
        <v>116</v>
      </c>
      <c r="AF2201" t="s">
        <v>116</v>
      </c>
      <c r="AG2201">
        <v>20</v>
      </c>
      <c r="AH2201" t="s">
        <v>10516</v>
      </c>
      <c r="AI2201" t="s">
        <v>10516</v>
      </c>
      <c r="AJ2201">
        <v>-0.79</v>
      </c>
      <c r="AK2201">
        <v>1582</v>
      </c>
      <c r="AL2201">
        <v>69</v>
      </c>
      <c r="AM2201">
        <v>2.9999999999999997E-4</v>
      </c>
      <c r="AN2201">
        <v>-2</v>
      </c>
      <c r="AO2201">
        <v>-1.51</v>
      </c>
      <c r="AP2201">
        <v>3.87</v>
      </c>
      <c r="AQ2201">
        <v>0</v>
      </c>
      <c r="AR2201">
        <v>29.67</v>
      </c>
      <c r="AS2201">
        <v>1.37</v>
      </c>
      <c r="AT2201" t="s">
        <v>10517</v>
      </c>
      <c r="AU2201">
        <v>19.32</v>
      </c>
      <c r="AV2201">
        <v>16.47</v>
      </c>
      <c r="AW2201">
        <v>0.82</v>
      </c>
      <c r="BA2201">
        <v>0</v>
      </c>
      <c r="BB2201">
        <v>0.87</v>
      </c>
      <c r="BC2201">
        <v>-0.87</v>
      </c>
      <c r="BD2201">
        <v>0.1</v>
      </c>
      <c r="BE2201">
        <v>-0.87</v>
      </c>
      <c r="BF2201">
        <v>-1.72</v>
      </c>
      <c r="BG2201">
        <v>0</v>
      </c>
      <c r="BH2201">
        <v>-0.97</v>
      </c>
      <c r="BI2201">
        <v>20191029</v>
      </c>
      <c r="BJ2201">
        <v>19990727</v>
      </c>
      <c r="BK2201">
        <v>20</v>
      </c>
      <c r="BL2201" t="s">
        <v>116</v>
      </c>
      <c r="BM2201" t="s">
        <v>116</v>
      </c>
      <c r="BN2201">
        <v>186.33</v>
      </c>
      <c r="BO2201">
        <v>73.069999999999993</v>
      </c>
      <c r="BP2201">
        <v>2.97</v>
      </c>
      <c r="BQ2201">
        <v>59.19</v>
      </c>
      <c r="BR2201">
        <v>144.47</v>
      </c>
      <c r="BS2201">
        <v>13.91</v>
      </c>
      <c r="BT2201">
        <v>4.2</v>
      </c>
      <c r="BU2201">
        <v>104.94</v>
      </c>
      <c r="BV2201">
        <v>16.48</v>
      </c>
      <c r="BW2201">
        <v>67.66</v>
      </c>
      <c r="BX2201">
        <v>6.15</v>
      </c>
      <c r="BY2201">
        <v>99.42</v>
      </c>
      <c r="BZ2201">
        <v>87.27</v>
      </c>
      <c r="CA2201">
        <v>3.01</v>
      </c>
      <c r="CB2201">
        <v>3.6</v>
      </c>
      <c r="CC2201">
        <v>2.97</v>
      </c>
      <c r="CD2201">
        <v>3.12</v>
      </c>
      <c r="CE2201">
        <v>3.32</v>
      </c>
      <c r="CF2201">
        <v>3.04</v>
      </c>
      <c r="CG2201">
        <v>38.74</v>
      </c>
      <c r="CH2201">
        <v>-18.28</v>
      </c>
      <c r="CI2201">
        <v>-9.8800000000000008</v>
      </c>
      <c r="CJ2201">
        <v>132585</v>
      </c>
      <c r="CK2201">
        <v>6019</v>
      </c>
      <c r="CL2201" t="s">
        <v>10518</v>
      </c>
      <c r="CM2201">
        <v>-19.760000000000002</v>
      </c>
      <c r="CN2201">
        <v>7.57</v>
      </c>
      <c r="CO2201">
        <v>1.25</v>
      </c>
      <c r="CP2201">
        <v>-4.99</v>
      </c>
      <c r="CQ2201">
        <v>0.92</v>
      </c>
      <c r="CR2201">
        <v>1.83</v>
      </c>
      <c r="CS2201" t="s">
        <v>1297</v>
      </c>
      <c r="CT2201">
        <v>3.65</v>
      </c>
      <c r="CU2201">
        <v>0</v>
      </c>
      <c r="CV2201">
        <v>0.31</v>
      </c>
      <c r="CW2201">
        <v>1.94</v>
      </c>
      <c r="CX2201">
        <v>-0.91</v>
      </c>
      <c r="CY2201">
        <v>39.22</v>
      </c>
      <c r="CZ2201" t="s">
        <v>10519</v>
      </c>
      <c r="DA2201">
        <v>12.22</v>
      </c>
      <c r="DB2201">
        <v>3.02</v>
      </c>
      <c r="DC2201">
        <v>3.34</v>
      </c>
      <c r="DD2201">
        <v>3.25</v>
      </c>
      <c r="DE2201">
        <v>6865</v>
      </c>
      <c r="DF2201">
        <v>600006</v>
      </c>
      <c r="DG2201" t="s">
        <v>116</v>
      </c>
      <c r="DH2201" t="s">
        <v>116</v>
      </c>
      <c r="DI2201" t="s">
        <v>116</v>
      </c>
    </row>
    <row r="2202" spans="1:113" x14ac:dyDescent="0.4">
      <c r="A2202" t="str">
        <f>"600007"</f>
        <v>600007</v>
      </c>
      <c r="B2202" t="s">
        <v>10520</v>
      </c>
      <c r="C2202">
        <v>-1.35</v>
      </c>
      <c r="D2202">
        <v>17.54</v>
      </c>
      <c r="E2202">
        <v>-0.24</v>
      </c>
      <c r="F2202">
        <v>17.53</v>
      </c>
      <c r="G2202">
        <v>17.54</v>
      </c>
      <c r="H2202">
        <v>17203</v>
      </c>
      <c r="I2202">
        <v>30</v>
      </c>
      <c r="J2202">
        <v>0.23</v>
      </c>
      <c r="K2202">
        <v>0.17</v>
      </c>
      <c r="L2202">
        <v>17.75</v>
      </c>
      <c r="M2202">
        <v>17.940000000000001</v>
      </c>
      <c r="N2202">
        <v>17.350000000000001</v>
      </c>
      <c r="O2202">
        <v>17.78</v>
      </c>
      <c r="P2202">
        <v>17.93</v>
      </c>
      <c r="Q2202">
        <v>30405780</v>
      </c>
      <c r="R2202">
        <v>1.75</v>
      </c>
      <c r="S2202" t="s">
        <v>1503</v>
      </c>
      <c r="T2202" t="s">
        <v>165</v>
      </c>
      <c r="U2202">
        <v>3.32</v>
      </c>
      <c r="V2202">
        <v>17.670000000000002</v>
      </c>
      <c r="W2202">
        <v>9705</v>
      </c>
      <c r="X2202">
        <v>7498</v>
      </c>
      <c r="Y2202">
        <v>1.29</v>
      </c>
      <c r="Z2202">
        <v>34</v>
      </c>
      <c r="AA2202">
        <v>114</v>
      </c>
      <c r="AB2202" t="s">
        <v>116</v>
      </c>
      <c r="AC2202">
        <v>1800</v>
      </c>
      <c r="AD2202">
        <v>0</v>
      </c>
      <c r="AE2202" t="s">
        <v>116</v>
      </c>
      <c r="AF2202" t="s">
        <v>116</v>
      </c>
      <c r="AG2202">
        <v>10.07</v>
      </c>
      <c r="AH2202" t="s">
        <v>10521</v>
      </c>
      <c r="AI2202" t="s">
        <v>10521</v>
      </c>
      <c r="AJ2202">
        <v>-1.27</v>
      </c>
      <c r="AK2202">
        <v>1498</v>
      </c>
      <c r="AL2202">
        <v>11</v>
      </c>
      <c r="AM2202">
        <v>1E-4</v>
      </c>
      <c r="AN2202">
        <v>-1</v>
      </c>
      <c r="AO2202">
        <v>-1.35</v>
      </c>
      <c r="AP2202">
        <v>7.67</v>
      </c>
      <c r="AQ2202">
        <v>8.81</v>
      </c>
      <c r="AR2202">
        <v>40.54</v>
      </c>
      <c r="AS2202">
        <v>0.88</v>
      </c>
      <c r="AT2202" t="s">
        <v>1491</v>
      </c>
      <c r="AU2202">
        <v>19.13</v>
      </c>
      <c r="AV2202">
        <v>22.81</v>
      </c>
      <c r="AW2202">
        <v>0.82</v>
      </c>
      <c r="BA2202">
        <v>-0.17</v>
      </c>
      <c r="BB2202">
        <v>0.9</v>
      </c>
      <c r="BC2202">
        <v>-2.42</v>
      </c>
      <c r="BD2202">
        <v>-0.59</v>
      </c>
      <c r="BE2202">
        <v>-1.18</v>
      </c>
      <c r="BF2202">
        <v>-2.23</v>
      </c>
      <c r="BG2202">
        <v>1.1000000000000001</v>
      </c>
      <c r="BH2202">
        <v>-0.76</v>
      </c>
      <c r="BI2202">
        <v>20191031</v>
      </c>
      <c r="BJ2202">
        <v>19990312</v>
      </c>
      <c r="BK2202">
        <v>10.07</v>
      </c>
      <c r="BL2202" t="s">
        <v>116</v>
      </c>
      <c r="BM2202" t="s">
        <v>116</v>
      </c>
      <c r="BN2202">
        <v>116.61</v>
      </c>
      <c r="BO2202">
        <v>73.36</v>
      </c>
      <c r="BP2202">
        <v>0.03</v>
      </c>
      <c r="BQ2202">
        <v>37.06</v>
      </c>
      <c r="BR2202">
        <v>15.89</v>
      </c>
      <c r="BS2202">
        <v>18.77</v>
      </c>
      <c r="BT2202">
        <v>5.14</v>
      </c>
      <c r="BU2202">
        <v>16.489999999999998</v>
      </c>
      <c r="BV2202">
        <v>0.28999999999999998</v>
      </c>
      <c r="BW2202">
        <v>4.32</v>
      </c>
      <c r="BX2202">
        <v>18.73</v>
      </c>
      <c r="BY2202">
        <v>26.02</v>
      </c>
      <c r="BZ2202">
        <v>11.86</v>
      </c>
      <c r="CA2202">
        <v>9.69</v>
      </c>
      <c r="CB2202">
        <v>0.05</v>
      </c>
      <c r="CC2202">
        <v>9.85</v>
      </c>
      <c r="CD2202">
        <v>7.4</v>
      </c>
      <c r="CE2202">
        <v>7.39</v>
      </c>
      <c r="CF2202">
        <v>7.26</v>
      </c>
      <c r="CG2202">
        <v>39.53</v>
      </c>
      <c r="CH2202">
        <v>11.69</v>
      </c>
      <c r="CI2202">
        <v>4.7300000000000004</v>
      </c>
      <c r="CJ2202">
        <v>12016</v>
      </c>
      <c r="CK2202">
        <v>16222</v>
      </c>
      <c r="CL2202" t="s">
        <v>10522</v>
      </c>
      <c r="CM2202">
        <v>25.27</v>
      </c>
      <c r="CN2202">
        <v>11.36</v>
      </c>
      <c r="CO2202">
        <v>2.41</v>
      </c>
      <c r="CP2202">
        <v>15.11</v>
      </c>
      <c r="CQ2202">
        <v>6.79</v>
      </c>
      <c r="CR2202">
        <v>1.82</v>
      </c>
      <c r="CS2202" t="s">
        <v>2769</v>
      </c>
      <c r="CT2202">
        <v>7.28</v>
      </c>
      <c r="CU2202">
        <v>0</v>
      </c>
      <c r="CV2202">
        <v>1.86</v>
      </c>
      <c r="CW2202">
        <v>3.92</v>
      </c>
      <c r="CX2202">
        <v>1.1599999999999999</v>
      </c>
      <c r="CY2202">
        <v>62.91</v>
      </c>
      <c r="CZ2202" t="s">
        <v>10523</v>
      </c>
      <c r="DA2202">
        <v>54.42</v>
      </c>
      <c r="DB2202">
        <v>37.229999999999997</v>
      </c>
      <c r="DC2202">
        <v>28.39</v>
      </c>
      <c r="DD2202">
        <v>0</v>
      </c>
      <c r="DE2202">
        <v>2220</v>
      </c>
      <c r="DF2202">
        <v>600007</v>
      </c>
      <c r="DG2202" t="s">
        <v>116</v>
      </c>
      <c r="DH2202" t="s">
        <v>116</v>
      </c>
      <c r="DI2202" t="s">
        <v>116</v>
      </c>
    </row>
    <row r="2203" spans="1:113" x14ac:dyDescent="0.4">
      <c r="A2203" t="str">
        <f>"600008"</f>
        <v>600008</v>
      </c>
      <c r="B2203" t="s">
        <v>10524</v>
      </c>
      <c r="C2203">
        <v>0</v>
      </c>
      <c r="D2203">
        <v>3.25</v>
      </c>
      <c r="E2203">
        <v>0</v>
      </c>
      <c r="F2203">
        <v>3.24</v>
      </c>
      <c r="G2203">
        <v>3.25</v>
      </c>
      <c r="H2203">
        <v>156435</v>
      </c>
      <c r="I2203">
        <v>813</v>
      </c>
      <c r="J2203">
        <v>0.31</v>
      </c>
      <c r="K2203">
        <v>0.28000000000000003</v>
      </c>
      <c r="L2203">
        <v>3.26</v>
      </c>
      <c r="M2203">
        <v>3.28</v>
      </c>
      <c r="N2203">
        <v>3.24</v>
      </c>
      <c r="O2203">
        <v>3.25</v>
      </c>
      <c r="P2203">
        <v>24.5</v>
      </c>
      <c r="Q2203">
        <v>50960516</v>
      </c>
      <c r="R2203">
        <v>1.03</v>
      </c>
      <c r="S2203" t="s">
        <v>140</v>
      </c>
      <c r="T2203" t="s">
        <v>165</v>
      </c>
      <c r="U2203">
        <v>1.23</v>
      </c>
      <c r="V2203">
        <v>3.26</v>
      </c>
      <c r="W2203">
        <v>60639</v>
      </c>
      <c r="X2203">
        <v>95796</v>
      </c>
      <c r="Y2203">
        <v>0.63</v>
      </c>
      <c r="Z2203">
        <v>9006</v>
      </c>
      <c r="AA2203">
        <v>787</v>
      </c>
      <c r="AB2203" t="s">
        <v>116</v>
      </c>
      <c r="AC2203">
        <v>229200</v>
      </c>
      <c r="AD2203">
        <v>0</v>
      </c>
      <c r="AE2203" t="s">
        <v>116</v>
      </c>
      <c r="AF2203" t="s">
        <v>116</v>
      </c>
      <c r="AG2203">
        <v>56.85</v>
      </c>
      <c r="AH2203" t="s">
        <v>10525</v>
      </c>
      <c r="AI2203" t="s">
        <v>10525</v>
      </c>
      <c r="AJ2203">
        <v>0.08</v>
      </c>
      <c r="AK2203">
        <v>2198</v>
      </c>
      <c r="AL2203">
        <v>71</v>
      </c>
      <c r="AM2203">
        <v>1E-4</v>
      </c>
      <c r="AN2203">
        <v>0</v>
      </c>
      <c r="AO2203">
        <v>0.31</v>
      </c>
      <c r="AP2203">
        <v>-0.91</v>
      </c>
      <c r="AQ2203">
        <v>-3.27</v>
      </c>
      <c r="AR2203">
        <v>-2.99</v>
      </c>
      <c r="AS2203">
        <v>0.51</v>
      </c>
      <c r="AT2203" t="s">
        <v>10526</v>
      </c>
      <c r="AU2203">
        <v>21.59</v>
      </c>
      <c r="AV2203">
        <v>25.68</v>
      </c>
      <c r="AW2203">
        <v>1.01</v>
      </c>
      <c r="BA2203">
        <v>0.31</v>
      </c>
      <c r="BB2203">
        <v>0.92</v>
      </c>
      <c r="BC2203">
        <v>-0.31</v>
      </c>
      <c r="BD2203">
        <v>0.23</v>
      </c>
      <c r="BE2203">
        <v>-0.31</v>
      </c>
      <c r="BF2203">
        <v>-0.91</v>
      </c>
      <c r="BG2203">
        <v>0.31</v>
      </c>
      <c r="BH2203">
        <v>-0.23</v>
      </c>
      <c r="BI2203">
        <v>20191113</v>
      </c>
      <c r="BJ2203">
        <v>20000427</v>
      </c>
      <c r="BK2203">
        <v>56.85</v>
      </c>
      <c r="BL2203" t="s">
        <v>116</v>
      </c>
      <c r="BM2203" t="s">
        <v>116</v>
      </c>
      <c r="BN2203">
        <v>738.35</v>
      </c>
      <c r="BO2203">
        <v>173.14</v>
      </c>
      <c r="BP2203">
        <v>67.31</v>
      </c>
      <c r="BQ2203">
        <v>67.44</v>
      </c>
      <c r="BR2203">
        <v>127.13</v>
      </c>
      <c r="BS2203">
        <v>55.97</v>
      </c>
      <c r="BT2203">
        <v>252.33</v>
      </c>
      <c r="BU2203">
        <v>172.73</v>
      </c>
      <c r="BV2203">
        <v>13.6</v>
      </c>
      <c r="BW2203">
        <v>32.01</v>
      </c>
      <c r="BX2203">
        <v>23.91</v>
      </c>
      <c r="BY2203">
        <v>91.54</v>
      </c>
      <c r="BZ2203">
        <v>62.48</v>
      </c>
      <c r="CA2203">
        <v>9.5500000000000007</v>
      </c>
      <c r="CB2203">
        <v>1.04</v>
      </c>
      <c r="CC2203">
        <v>9.8800000000000008</v>
      </c>
      <c r="CD2203">
        <v>6.7</v>
      </c>
      <c r="CE2203">
        <v>5.66</v>
      </c>
      <c r="CF2203">
        <v>4.76</v>
      </c>
      <c r="CG2203">
        <v>20.14</v>
      </c>
      <c r="CH2203">
        <v>16.97</v>
      </c>
      <c r="CI2203">
        <v>-26.12</v>
      </c>
      <c r="CJ2203">
        <v>213636</v>
      </c>
      <c r="CK2203">
        <v>14356</v>
      </c>
      <c r="CL2203" t="s">
        <v>3109</v>
      </c>
      <c r="CM2203">
        <v>31.81</v>
      </c>
      <c r="CN2203">
        <v>20.25</v>
      </c>
      <c r="CO2203">
        <v>1.69</v>
      </c>
      <c r="CP2203">
        <v>10.89</v>
      </c>
      <c r="CQ2203">
        <v>2.02</v>
      </c>
      <c r="CR2203">
        <v>2.46</v>
      </c>
      <c r="CS2203" t="s">
        <v>2448</v>
      </c>
      <c r="CT2203">
        <v>1.92</v>
      </c>
      <c r="CU2203">
        <v>1.92</v>
      </c>
      <c r="CV2203">
        <v>0.42</v>
      </c>
      <c r="CW2203">
        <v>0.35</v>
      </c>
      <c r="CX2203">
        <v>0.3</v>
      </c>
      <c r="CY2203">
        <v>23.45</v>
      </c>
      <c r="CZ2203" t="s">
        <v>4785</v>
      </c>
      <c r="DA2203">
        <v>31.75</v>
      </c>
      <c r="DB2203">
        <v>10.43</v>
      </c>
      <c r="DC2203">
        <v>6.18</v>
      </c>
      <c r="DD2203">
        <v>0.22</v>
      </c>
      <c r="DE2203">
        <v>14277</v>
      </c>
      <c r="DF2203">
        <v>600008</v>
      </c>
      <c r="DG2203" t="s">
        <v>116</v>
      </c>
      <c r="DH2203" t="s">
        <v>116</v>
      </c>
      <c r="DI2203" t="s">
        <v>116</v>
      </c>
    </row>
    <row r="2204" spans="1:113" x14ac:dyDescent="0.4">
      <c r="A2204" t="str">
        <f>"600009"</f>
        <v>600009</v>
      </c>
      <c r="B2204" t="s">
        <v>10527</v>
      </c>
      <c r="C2204">
        <v>-0.75</v>
      </c>
      <c r="D2204">
        <v>77.260000000000005</v>
      </c>
      <c r="E2204">
        <v>-0.57999999999999996</v>
      </c>
      <c r="F2204">
        <v>77.25</v>
      </c>
      <c r="G2204">
        <v>77.260000000000005</v>
      </c>
      <c r="H2204">
        <v>63089</v>
      </c>
      <c r="I2204">
        <v>391</v>
      </c>
      <c r="J2204">
        <v>-0.03</v>
      </c>
      <c r="K2204">
        <v>0.57999999999999996</v>
      </c>
      <c r="L2204">
        <v>77.59</v>
      </c>
      <c r="M2204">
        <v>78.25</v>
      </c>
      <c r="N2204">
        <v>77.099999999999994</v>
      </c>
      <c r="O2204">
        <v>77.84</v>
      </c>
      <c r="P2204">
        <v>27.95</v>
      </c>
      <c r="Q2204">
        <v>489799744</v>
      </c>
      <c r="R2204">
        <v>1.39</v>
      </c>
      <c r="S2204" t="s">
        <v>522</v>
      </c>
      <c r="T2204" t="s">
        <v>1653</v>
      </c>
      <c r="U2204">
        <v>1.48</v>
      </c>
      <c r="V2204">
        <v>77.64</v>
      </c>
      <c r="W2204">
        <v>32059</v>
      </c>
      <c r="X2204">
        <v>31030</v>
      </c>
      <c r="Y2204">
        <v>1.03</v>
      </c>
      <c r="Z2204">
        <v>2</v>
      </c>
      <c r="AA2204">
        <v>62</v>
      </c>
      <c r="AB2204" t="s">
        <v>116</v>
      </c>
      <c r="AC2204">
        <v>1784600</v>
      </c>
      <c r="AD2204">
        <v>0</v>
      </c>
      <c r="AE2204" t="s">
        <v>116</v>
      </c>
      <c r="AF2204" t="s">
        <v>116</v>
      </c>
      <c r="AG2204">
        <v>10.93</v>
      </c>
      <c r="AH2204" t="s">
        <v>10528</v>
      </c>
      <c r="AI2204" t="s">
        <v>10529</v>
      </c>
      <c r="AJ2204">
        <v>-0.67</v>
      </c>
      <c r="AK2204">
        <v>3625</v>
      </c>
      <c r="AL2204">
        <v>17</v>
      </c>
      <c r="AM2204">
        <v>2.0000000000000001E-4</v>
      </c>
      <c r="AN2204">
        <v>-1</v>
      </c>
      <c r="AO2204">
        <v>-0.7</v>
      </c>
      <c r="AP2204">
        <v>2.84</v>
      </c>
      <c r="AQ2204">
        <v>-3.34</v>
      </c>
      <c r="AR2204">
        <v>54.21</v>
      </c>
      <c r="AS2204">
        <v>0.7</v>
      </c>
      <c r="AT2204" t="s">
        <v>10530</v>
      </c>
      <c r="AU2204">
        <v>29.28</v>
      </c>
      <c r="AV2204">
        <v>35.18</v>
      </c>
      <c r="AW2204">
        <v>0.49</v>
      </c>
      <c r="BA2204">
        <v>-0.32</v>
      </c>
      <c r="BB2204">
        <v>0.53</v>
      </c>
      <c r="BC2204">
        <v>-0.95</v>
      </c>
      <c r="BD2204">
        <v>-0.26</v>
      </c>
      <c r="BE2204">
        <v>-0.43</v>
      </c>
      <c r="BF2204">
        <v>-1.27</v>
      </c>
      <c r="BG2204">
        <v>0.21</v>
      </c>
      <c r="BH2204">
        <v>-0.48</v>
      </c>
      <c r="BI2204">
        <v>20191030</v>
      </c>
      <c r="BJ2204">
        <v>19980218</v>
      </c>
      <c r="BK2204">
        <v>19.27</v>
      </c>
      <c r="BL2204" t="s">
        <v>116</v>
      </c>
      <c r="BM2204" t="s">
        <v>116</v>
      </c>
      <c r="BN2204">
        <v>363.69</v>
      </c>
      <c r="BO2204">
        <v>309.69</v>
      </c>
      <c r="BP2204">
        <v>3.77</v>
      </c>
      <c r="BQ2204">
        <v>13.81</v>
      </c>
      <c r="BR2204">
        <v>118.51</v>
      </c>
      <c r="BS2204">
        <v>200.76</v>
      </c>
      <c r="BT2204">
        <v>3.39</v>
      </c>
      <c r="BU2204">
        <v>50.16</v>
      </c>
      <c r="BV2204">
        <v>0.13</v>
      </c>
      <c r="BW2204">
        <v>17.440000000000001</v>
      </c>
      <c r="BX2204">
        <v>25.75</v>
      </c>
      <c r="BY2204">
        <v>82.08</v>
      </c>
      <c r="BZ2204">
        <v>37.1</v>
      </c>
      <c r="CA2204">
        <v>52.78</v>
      </c>
      <c r="CB2204">
        <v>8.39</v>
      </c>
      <c r="CC2204">
        <v>52.74</v>
      </c>
      <c r="CD2204">
        <v>41.57</v>
      </c>
      <c r="CE2204">
        <v>39.950000000000003</v>
      </c>
      <c r="CF2204">
        <v>39.49</v>
      </c>
      <c r="CG2204">
        <v>251.56</v>
      </c>
      <c r="CH2204">
        <v>37.04</v>
      </c>
      <c r="CI2204">
        <v>7.38</v>
      </c>
      <c r="CJ2204">
        <v>64735</v>
      </c>
      <c r="CK2204">
        <v>13915</v>
      </c>
      <c r="CL2204" t="s">
        <v>10531</v>
      </c>
      <c r="CM2204">
        <v>27.19</v>
      </c>
      <c r="CN2204">
        <v>18.95</v>
      </c>
      <c r="CO2204">
        <v>4.8099999999999996</v>
      </c>
      <c r="CP2204">
        <v>40.19</v>
      </c>
      <c r="CQ2204">
        <v>18.14</v>
      </c>
      <c r="CR2204">
        <v>0.85</v>
      </c>
      <c r="CS2204" t="s">
        <v>10532</v>
      </c>
      <c r="CT2204">
        <v>16.07</v>
      </c>
      <c r="CU2204">
        <v>0</v>
      </c>
      <c r="CV2204">
        <v>1.34</v>
      </c>
      <c r="CW2204">
        <v>13.06</v>
      </c>
      <c r="CX2204">
        <v>1.92</v>
      </c>
      <c r="CY2204">
        <v>85.15</v>
      </c>
      <c r="CZ2204" t="s">
        <v>4014</v>
      </c>
      <c r="DA2204">
        <v>54.8</v>
      </c>
      <c r="DB2204">
        <v>64.3</v>
      </c>
      <c r="DC2204">
        <v>48.67</v>
      </c>
      <c r="DD2204">
        <v>0</v>
      </c>
      <c r="DE2204">
        <v>7238</v>
      </c>
      <c r="DF2204">
        <v>600009</v>
      </c>
      <c r="DG2204" t="s">
        <v>116</v>
      </c>
      <c r="DH2204" t="s">
        <v>116</v>
      </c>
      <c r="DI2204" t="s">
        <v>116</v>
      </c>
    </row>
    <row r="2205" spans="1:113" x14ac:dyDescent="0.4">
      <c r="A2205" t="str">
        <f>"600010"</f>
        <v>600010</v>
      </c>
      <c r="B2205" t="s">
        <v>10533</v>
      </c>
      <c r="C2205">
        <v>1.54</v>
      </c>
      <c r="D2205">
        <v>1.32</v>
      </c>
      <c r="E2205">
        <v>0.02</v>
      </c>
      <c r="F2205">
        <v>1.31</v>
      </c>
      <c r="G2205">
        <v>1.32</v>
      </c>
      <c r="H2205">
        <v>3228033</v>
      </c>
      <c r="I2205">
        <v>18193</v>
      </c>
      <c r="J2205">
        <v>0.76</v>
      </c>
      <c r="K2205">
        <v>1.02</v>
      </c>
      <c r="L2205">
        <v>1.3</v>
      </c>
      <c r="M2205">
        <v>1.34</v>
      </c>
      <c r="N2205">
        <v>1.3</v>
      </c>
      <c r="O2205">
        <v>1.3</v>
      </c>
      <c r="P2205">
        <v>37.96</v>
      </c>
      <c r="Q2205">
        <v>425647328</v>
      </c>
      <c r="R2205">
        <v>2.2799999999999998</v>
      </c>
      <c r="S2205" t="s">
        <v>1587</v>
      </c>
      <c r="T2205" t="s">
        <v>796</v>
      </c>
      <c r="U2205">
        <v>3.08</v>
      </c>
      <c r="V2205">
        <v>1.32</v>
      </c>
      <c r="W2205">
        <v>1275002</v>
      </c>
      <c r="X2205">
        <v>1953031</v>
      </c>
      <c r="Y2205">
        <v>0.65</v>
      </c>
      <c r="Z2205">
        <v>265143</v>
      </c>
      <c r="AA2205">
        <v>110332</v>
      </c>
      <c r="AB2205" t="s">
        <v>116</v>
      </c>
      <c r="AC2205">
        <v>784600</v>
      </c>
      <c r="AD2205">
        <v>0</v>
      </c>
      <c r="AE2205" t="s">
        <v>116</v>
      </c>
      <c r="AF2205" t="s">
        <v>116</v>
      </c>
      <c r="AG2205">
        <v>316.77</v>
      </c>
      <c r="AH2205" t="s">
        <v>10534</v>
      </c>
      <c r="AI2205" t="s">
        <v>10535</v>
      </c>
      <c r="AJ2205">
        <v>1.62</v>
      </c>
      <c r="AK2205">
        <v>3851</v>
      </c>
      <c r="AL2205">
        <v>838</v>
      </c>
      <c r="AM2205">
        <v>2.9999999999999997E-4</v>
      </c>
      <c r="AN2205">
        <v>1</v>
      </c>
      <c r="AO2205">
        <v>0.77</v>
      </c>
      <c r="AP2205">
        <v>3.13</v>
      </c>
      <c r="AQ2205">
        <v>-9.59</v>
      </c>
      <c r="AR2205">
        <v>-10.39</v>
      </c>
      <c r="AS2205">
        <v>1.56</v>
      </c>
      <c r="AT2205" t="s">
        <v>10536</v>
      </c>
      <c r="AU2205">
        <v>27.24</v>
      </c>
      <c r="AV2205">
        <v>18.100000000000001</v>
      </c>
      <c r="AW2205">
        <v>0.93</v>
      </c>
      <c r="BA2205">
        <v>0</v>
      </c>
      <c r="BB2205">
        <v>3.08</v>
      </c>
      <c r="BC2205">
        <v>0</v>
      </c>
      <c r="BD2205">
        <v>1.43</v>
      </c>
      <c r="BE2205">
        <v>1.54</v>
      </c>
      <c r="BF2205">
        <v>-1.49</v>
      </c>
      <c r="BG2205">
        <v>1.54</v>
      </c>
      <c r="BH2205">
        <v>0.11</v>
      </c>
      <c r="BI2205">
        <v>20191030</v>
      </c>
      <c r="BJ2205">
        <v>20010309</v>
      </c>
      <c r="BK2205">
        <v>455.85</v>
      </c>
      <c r="BL2205" t="s">
        <v>116</v>
      </c>
      <c r="BM2205" t="s">
        <v>116</v>
      </c>
      <c r="BN2205">
        <v>1487.29</v>
      </c>
      <c r="BO2205">
        <v>537.79999999999995</v>
      </c>
      <c r="BP2205">
        <v>2.06</v>
      </c>
      <c r="BQ2205">
        <v>63.7</v>
      </c>
      <c r="BR2205">
        <v>455.11</v>
      </c>
      <c r="BS2205">
        <v>672.19</v>
      </c>
      <c r="BT2205">
        <v>17.399999999999999</v>
      </c>
      <c r="BU2205">
        <v>722.35</v>
      </c>
      <c r="BV2205">
        <v>230.89</v>
      </c>
      <c r="BW2205">
        <v>34.299999999999997</v>
      </c>
      <c r="BX2205">
        <v>13.99</v>
      </c>
      <c r="BY2205">
        <v>468.83</v>
      </c>
      <c r="BZ2205">
        <v>403.27</v>
      </c>
      <c r="CA2205">
        <v>16.87</v>
      </c>
      <c r="CB2205">
        <v>1.05</v>
      </c>
      <c r="CC2205">
        <v>17.059999999999999</v>
      </c>
      <c r="CD2205">
        <v>11.93</v>
      </c>
      <c r="CE2205">
        <v>11.89</v>
      </c>
      <c r="CF2205">
        <v>11.82</v>
      </c>
      <c r="CG2205">
        <v>51.77</v>
      </c>
      <c r="CH2205">
        <v>-9.4600000000000009</v>
      </c>
      <c r="CI2205">
        <v>3.49</v>
      </c>
      <c r="CJ2205">
        <v>597101</v>
      </c>
      <c r="CK2205">
        <v>34618</v>
      </c>
      <c r="CL2205" t="s">
        <v>694</v>
      </c>
      <c r="CM2205">
        <v>-48.4</v>
      </c>
      <c r="CN2205">
        <v>-2.87</v>
      </c>
      <c r="CO2205">
        <v>1.1200000000000001</v>
      </c>
      <c r="CP2205">
        <v>-63.61</v>
      </c>
      <c r="CQ2205">
        <v>1.28</v>
      </c>
      <c r="CR2205">
        <v>0.53</v>
      </c>
      <c r="CS2205" t="s">
        <v>613</v>
      </c>
      <c r="CT2205">
        <v>1.18</v>
      </c>
      <c r="CU2205">
        <v>0</v>
      </c>
      <c r="CV2205">
        <v>0.03</v>
      </c>
      <c r="CW2205">
        <v>0.11</v>
      </c>
      <c r="CX2205">
        <v>-0.02</v>
      </c>
      <c r="CY2205">
        <v>36.159999999999997</v>
      </c>
      <c r="CZ2205" t="s">
        <v>1585</v>
      </c>
      <c r="DA2205">
        <v>13.98</v>
      </c>
      <c r="DB2205">
        <v>3.6</v>
      </c>
      <c r="DC2205">
        <v>2.54</v>
      </c>
      <c r="DD2205">
        <v>0.05</v>
      </c>
      <c r="DE2205">
        <v>29097</v>
      </c>
      <c r="DF2205">
        <v>600010</v>
      </c>
      <c r="DG2205" t="s">
        <v>116</v>
      </c>
      <c r="DH2205" t="s">
        <v>116</v>
      </c>
      <c r="DI2205" t="s">
        <v>116</v>
      </c>
    </row>
    <row r="2206" spans="1:113" x14ac:dyDescent="0.4">
      <c r="A2206" t="str">
        <f>"600011"</f>
        <v>600011</v>
      </c>
      <c r="B2206" t="s">
        <v>10537</v>
      </c>
      <c r="C2206">
        <v>-1.93</v>
      </c>
      <c r="D2206">
        <v>5.59</v>
      </c>
      <c r="E2206">
        <v>-0.11</v>
      </c>
      <c r="F2206">
        <v>5.59</v>
      </c>
      <c r="G2206">
        <v>5.6</v>
      </c>
      <c r="H2206">
        <v>421103</v>
      </c>
      <c r="I2206">
        <v>1417</v>
      </c>
      <c r="J2206">
        <v>-0.17</v>
      </c>
      <c r="K2206">
        <v>0.38</v>
      </c>
      <c r="L2206">
        <v>5.69</v>
      </c>
      <c r="M2206">
        <v>5.73</v>
      </c>
      <c r="N2206">
        <v>5.58</v>
      </c>
      <c r="O2206">
        <v>5.7</v>
      </c>
      <c r="P2206">
        <v>12.21</v>
      </c>
      <c r="Q2206">
        <v>237938144</v>
      </c>
      <c r="R2206">
        <v>3.28</v>
      </c>
      <c r="S2206" t="s">
        <v>271</v>
      </c>
      <c r="T2206" t="s">
        <v>165</v>
      </c>
      <c r="U2206">
        <v>2.63</v>
      </c>
      <c r="V2206">
        <v>5.65</v>
      </c>
      <c r="W2206">
        <v>187352</v>
      </c>
      <c r="X2206">
        <v>233751</v>
      </c>
      <c r="Y2206">
        <v>0.8</v>
      </c>
      <c r="Z2206">
        <v>1545</v>
      </c>
      <c r="AA2206">
        <v>803</v>
      </c>
      <c r="AB2206" t="s">
        <v>116</v>
      </c>
      <c r="AC2206">
        <v>250400</v>
      </c>
      <c r="AD2206">
        <v>0</v>
      </c>
      <c r="AE2206" t="s">
        <v>116</v>
      </c>
      <c r="AF2206" t="s">
        <v>116</v>
      </c>
      <c r="AG2206">
        <v>109.98</v>
      </c>
      <c r="AH2206" t="s">
        <v>10538</v>
      </c>
      <c r="AI2206" t="s">
        <v>10538</v>
      </c>
      <c r="AJ2206">
        <v>-1.85</v>
      </c>
      <c r="AK2206">
        <v>3485</v>
      </c>
      <c r="AL2206">
        <v>121</v>
      </c>
      <c r="AM2206">
        <v>1E-4</v>
      </c>
      <c r="AN2206">
        <v>-1</v>
      </c>
      <c r="AO2206">
        <v>-1.59</v>
      </c>
      <c r="AP2206">
        <v>-6.68</v>
      </c>
      <c r="AQ2206">
        <v>-5.25</v>
      </c>
      <c r="AR2206">
        <v>-23.21</v>
      </c>
      <c r="AS2206">
        <v>0.96</v>
      </c>
      <c r="AT2206" t="s">
        <v>10539</v>
      </c>
      <c r="AU2206">
        <v>18.13</v>
      </c>
      <c r="AV2206">
        <v>60.99</v>
      </c>
      <c r="AW2206">
        <v>0.62</v>
      </c>
      <c r="BA2206">
        <v>-0.18</v>
      </c>
      <c r="BB2206">
        <v>0.53</v>
      </c>
      <c r="BC2206">
        <v>-2.11</v>
      </c>
      <c r="BD2206">
        <v>-0.87</v>
      </c>
      <c r="BE2206">
        <v>-1.76</v>
      </c>
      <c r="BF2206">
        <v>-2.44</v>
      </c>
      <c r="BG2206">
        <v>0.18</v>
      </c>
      <c r="BH2206">
        <v>-1.06</v>
      </c>
      <c r="BI2206">
        <v>20191023</v>
      </c>
      <c r="BJ2206">
        <v>20011206</v>
      </c>
      <c r="BK2206">
        <v>156.97999999999999</v>
      </c>
      <c r="BL2206" t="s">
        <v>116</v>
      </c>
      <c r="BM2206">
        <v>47</v>
      </c>
      <c r="BN2206">
        <v>4046.93</v>
      </c>
      <c r="BO2206">
        <v>904.15</v>
      </c>
      <c r="BP2206">
        <v>194.48</v>
      </c>
      <c r="BQ2206">
        <v>72.849999999999994</v>
      </c>
      <c r="BR2206">
        <v>605.66999999999996</v>
      </c>
      <c r="BS2206">
        <v>2391.08</v>
      </c>
      <c r="BT2206">
        <v>138.44999999999999</v>
      </c>
      <c r="BU2206">
        <v>1422.81</v>
      </c>
      <c r="BV2206">
        <v>92.15</v>
      </c>
      <c r="BW2206">
        <v>236.7</v>
      </c>
      <c r="BX2206">
        <v>183.37</v>
      </c>
      <c r="BY2206">
        <v>1272.32</v>
      </c>
      <c r="BZ2206">
        <v>1071.42</v>
      </c>
      <c r="CA2206">
        <v>86.02</v>
      </c>
      <c r="CB2206">
        <v>11.63</v>
      </c>
      <c r="CC2206">
        <v>88.85</v>
      </c>
      <c r="CD2206">
        <v>67.69</v>
      </c>
      <c r="CE2206">
        <v>53.89</v>
      </c>
      <c r="CF2206">
        <v>48.16</v>
      </c>
      <c r="CG2206">
        <v>348.76</v>
      </c>
      <c r="CH2206">
        <v>284.45999999999998</v>
      </c>
      <c r="CI2206">
        <v>0.42</v>
      </c>
      <c r="CJ2206">
        <v>84315</v>
      </c>
      <c r="CK2206">
        <v>51900</v>
      </c>
      <c r="CL2206" t="s">
        <v>8041</v>
      </c>
      <c r="CM2206">
        <v>170.95</v>
      </c>
      <c r="CN2206">
        <v>0.99</v>
      </c>
      <c r="CO2206">
        <v>1.1299999999999999</v>
      </c>
      <c r="CP2206">
        <v>3.08</v>
      </c>
      <c r="CQ2206">
        <v>0.69</v>
      </c>
      <c r="CR2206">
        <v>1.79</v>
      </c>
      <c r="CS2206" t="s">
        <v>3311</v>
      </c>
      <c r="CT2206">
        <v>4.93</v>
      </c>
      <c r="CU2206">
        <v>4.93</v>
      </c>
      <c r="CV2206">
        <v>1.17</v>
      </c>
      <c r="CW2206">
        <v>2.2200000000000002</v>
      </c>
      <c r="CX2206">
        <v>1.81</v>
      </c>
      <c r="CY2206">
        <v>22.34</v>
      </c>
      <c r="CZ2206" t="s">
        <v>6373</v>
      </c>
      <c r="DA2206">
        <v>15.79</v>
      </c>
      <c r="DB2206">
        <v>6.76</v>
      </c>
      <c r="DC2206">
        <v>4.24</v>
      </c>
      <c r="DD2206">
        <v>0.36</v>
      </c>
      <c r="DE2206">
        <v>57970</v>
      </c>
      <c r="DF2206">
        <v>600011</v>
      </c>
      <c r="DG2206" t="s">
        <v>116</v>
      </c>
      <c r="DH2206" t="s">
        <v>116</v>
      </c>
      <c r="DI2206" t="s">
        <v>116</v>
      </c>
    </row>
    <row r="2207" spans="1:113" x14ac:dyDescent="0.4">
      <c r="A2207" t="str">
        <f>"600012"</f>
        <v>600012</v>
      </c>
      <c r="B2207" t="s">
        <v>10540</v>
      </c>
      <c r="C2207">
        <v>-0.68</v>
      </c>
      <c r="D2207">
        <v>5.81</v>
      </c>
      <c r="E2207">
        <v>-0.04</v>
      </c>
      <c r="F2207">
        <v>5.8</v>
      </c>
      <c r="G2207">
        <v>5.81</v>
      </c>
      <c r="H2207">
        <v>26110</v>
      </c>
      <c r="I2207">
        <v>152</v>
      </c>
      <c r="J2207">
        <v>0.17</v>
      </c>
      <c r="K2207">
        <v>0.22</v>
      </c>
      <c r="L2207">
        <v>5.86</v>
      </c>
      <c r="M2207">
        <v>5.87</v>
      </c>
      <c r="N2207">
        <v>5.79</v>
      </c>
      <c r="O2207">
        <v>5.85</v>
      </c>
      <c r="P2207">
        <v>8.5500000000000007</v>
      </c>
      <c r="Q2207">
        <v>15219799</v>
      </c>
      <c r="R2207">
        <v>0.89</v>
      </c>
      <c r="S2207" t="s">
        <v>809</v>
      </c>
      <c r="T2207" t="s">
        <v>575</v>
      </c>
      <c r="U2207">
        <v>1.37</v>
      </c>
      <c r="V2207">
        <v>5.83</v>
      </c>
      <c r="W2207">
        <v>16784</v>
      </c>
      <c r="X2207">
        <v>9326</v>
      </c>
      <c r="Y2207">
        <v>1.8</v>
      </c>
      <c r="Z2207">
        <v>93</v>
      </c>
      <c r="AA2207">
        <v>50</v>
      </c>
      <c r="AB2207" t="s">
        <v>116</v>
      </c>
      <c r="AC2207">
        <v>60900</v>
      </c>
      <c r="AD2207">
        <v>0</v>
      </c>
      <c r="AE2207" t="s">
        <v>116</v>
      </c>
      <c r="AF2207" t="s">
        <v>116</v>
      </c>
      <c r="AG2207">
        <v>11.66</v>
      </c>
      <c r="AH2207" t="s">
        <v>8923</v>
      </c>
      <c r="AI2207" t="s">
        <v>8923</v>
      </c>
      <c r="AJ2207">
        <v>-0.61</v>
      </c>
      <c r="AK2207">
        <v>858</v>
      </c>
      <c r="AL2207">
        <v>30</v>
      </c>
      <c r="AM2207">
        <v>2.9999999999999997E-4</v>
      </c>
      <c r="AN2207">
        <v>-1</v>
      </c>
      <c r="AO2207">
        <v>0.35</v>
      </c>
      <c r="AP2207">
        <v>1.4</v>
      </c>
      <c r="AQ2207">
        <v>7.2</v>
      </c>
      <c r="AR2207">
        <v>0.52</v>
      </c>
      <c r="AS2207">
        <v>1.1000000000000001</v>
      </c>
      <c r="AT2207" t="s">
        <v>5803</v>
      </c>
      <c r="AU2207">
        <v>8.6300000000000008</v>
      </c>
      <c r="AV2207">
        <v>8.58</v>
      </c>
      <c r="AW2207">
        <v>0.74</v>
      </c>
      <c r="BA2207">
        <v>0.17</v>
      </c>
      <c r="BB2207">
        <v>0.34</v>
      </c>
      <c r="BC2207">
        <v>-1.03</v>
      </c>
      <c r="BD2207">
        <v>-0.36</v>
      </c>
      <c r="BE2207">
        <v>-0.85</v>
      </c>
      <c r="BF2207">
        <v>-1.02</v>
      </c>
      <c r="BG2207">
        <v>0.35</v>
      </c>
      <c r="BH2207">
        <v>-0.33</v>
      </c>
      <c r="BI2207">
        <v>20191030</v>
      </c>
      <c r="BJ2207">
        <v>20030107</v>
      </c>
      <c r="BK2207">
        <v>16.59</v>
      </c>
      <c r="BL2207" t="s">
        <v>116</v>
      </c>
      <c r="BM2207">
        <v>4.93</v>
      </c>
      <c r="BN2207">
        <v>152.43</v>
      </c>
      <c r="BO2207">
        <v>105.01</v>
      </c>
      <c r="BP2207">
        <v>8.66</v>
      </c>
      <c r="BQ2207">
        <v>25.43</v>
      </c>
      <c r="BR2207">
        <v>27.45</v>
      </c>
      <c r="BS2207">
        <v>7.53</v>
      </c>
      <c r="BT2207">
        <v>106.99</v>
      </c>
      <c r="BU2207">
        <v>16.87</v>
      </c>
      <c r="BV2207">
        <v>0.06</v>
      </c>
      <c r="BW2207">
        <v>0</v>
      </c>
      <c r="BX2207">
        <v>2.81</v>
      </c>
      <c r="BY2207">
        <v>22.3</v>
      </c>
      <c r="BZ2207">
        <v>9.57</v>
      </c>
      <c r="CA2207">
        <v>11.79</v>
      </c>
      <c r="CB2207">
        <v>0.19</v>
      </c>
      <c r="CC2207">
        <v>11.8</v>
      </c>
      <c r="CD2207">
        <v>8.42</v>
      </c>
      <c r="CE2207">
        <v>8.4600000000000009</v>
      </c>
      <c r="CF2207">
        <v>8.44</v>
      </c>
      <c r="CG2207">
        <v>76.819999999999993</v>
      </c>
      <c r="CH2207">
        <v>14.66</v>
      </c>
      <c r="CI2207">
        <v>-5.22</v>
      </c>
      <c r="CJ2207">
        <v>30700</v>
      </c>
      <c r="CK2207">
        <v>7712</v>
      </c>
      <c r="CL2207" t="s">
        <v>2342</v>
      </c>
      <c r="CM2207">
        <v>-0.73</v>
      </c>
      <c r="CN2207">
        <v>-0.86</v>
      </c>
      <c r="CO2207">
        <v>0.92</v>
      </c>
      <c r="CP2207">
        <v>6.58</v>
      </c>
      <c r="CQ2207">
        <v>4.32</v>
      </c>
      <c r="CR2207">
        <v>4.3</v>
      </c>
      <c r="CS2207" t="s">
        <v>6070</v>
      </c>
      <c r="CT2207">
        <v>6.33</v>
      </c>
      <c r="CU2207">
        <v>0</v>
      </c>
      <c r="CV2207">
        <v>0.17</v>
      </c>
      <c r="CW2207">
        <v>4.63</v>
      </c>
      <c r="CX2207">
        <v>0.88</v>
      </c>
      <c r="CY2207">
        <v>68.89</v>
      </c>
      <c r="CZ2207" t="s">
        <v>7786</v>
      </c>
      <c r="DA2207">
        <v>57.07</v>
      </c>
      <c r="DB2207">
        <v>52.87</v>
      </c>
      <c r="DC2207">
        <v>37.92</v>
      </c>
      <c r="DD2207">
        <v>0</v>
      </c>
      <c r="DE2207">
        <v>3075</v>
      </c>
      <c r="DF2207">
        <v>600012</v>
      </c>
      <c r="DG2207" t="s">
        <v>116</v>
      </c>
      <c r="DH2207" t="s">
        <v>116</v>
      </c>
      <c r="DI2207" t="s">
        <v>116</v>
      </c>
    </row>
    <row r="2208" spans="1:113" x14ac:dyDescent="0.4">
      <c r="A2208" t="str">
        <f>"600015"</f>
        <v>600015</v>
      </c>
      <c r="B2208" t="s">
        <v>10541</v>
      </c>
      <c r="C2208">
        <v>0.53</v>
      </c>
      <c r="D2208">
        <v>7.63</v>
      </c>
      <c r="E2208">
        <v>0.04</v>
      </c>
      <c r="F2208">
        <v>7.63</v>
      </c>
      <c r="G2208">
        <v>7.64</v>
      </c>
      <c r="H2208">
        <v>200604</v>
      </c>
      <c r="I2208">
        <v>2609</v>
      </c>
      <c r="J2208">
        <v>-0.12</v>
      </c>
      <c r="K2208">
        <v>0.16</v>
      </c>
      <c r="L2208">
        <v>7.59</v>
      </c>
      <c r="M2208">
        <v>7.69</v>
      </c>
      <c r="N2208">
        <v>7.58</v>
      </c>
      <c r="O2208">
        <v>7.59</v>
      </c>
      <c r="P2208">
        <v>5.78</v>
      </c>
      <c r="Q2208">
        <v>153347200</v>
      </c>
      <c r="R2208">
        <v>1.62</v>
      </c>
      <c r="S2208" t="s">
        <v>114</v>
      </c>
      <c r="T2208" t="s">
        <v>165</v>
      </c>
      <c r="U2208">
        <v>1.45</v>
      </c>
      <c r="V2208">
        <v>7.64</v>
      </c>
      <c r="W2208">
        <v>78245</v>
      </c>
      <c r="X2208">
        <v>122359</v>
      </c>
      <c r="Y2208">
        <v>0.64</v>
      </c>
      <c r="Z2208">
        <v>2877</v>
      </c>
      <c r="AA2208">
        <v>1689</v>
      </c>
      <c r="AB2208" t="s">
        <v>116</v>
      </c>
      <c r="AC2208">
        <v>850100</v>
      </c>
      <c r="AD2208">
        <v>0</v>
      </c>
      <c r="AE2208" t="s">
        <v>116</v>
      </c>
      <c r="AF2208" t="s">
        <v>116</v>
      </c>
      <c r="AG2208">
        <v>128.22999999999999</v>
      </c>
      <c r="AH2208" t="s">
        <v>10542</v>
      </c>
      <c r="AI2208" t="s">
        <v>10543</v>
      </c>
      <c r="AJ2208">
        <v>0.6</v>
      </c>
      <c r="AK2208">
        <v>2911</v>
      </c>
      <c r="AL2208">
        <v>69</v>
      </c>
      <c r="AM2208">
        <v>1E-4</v>
      </c>
      <c r="AN2208">
        <v>2</v>
      </c>
      <c r="AO2208">
        <v>0.53</v>
      </c>
      <c r="AP2208">
        <v>2.69</v>
      </c>
      <c r="AQ2208">
        <v>2.0099999999999998</v>
      </c>
      <c r="AR2208">
        <v>5.74</v>
      </c>
      <c r="AS2208">
        <v>0.38</v>
      </c>
      <c r="AT2208" t="s">
        <v>10544</v>
      </c>
      <c r="AU2208">
        <v>5.44</v>
      </c>
      <c r="AV2208">
        <v>5.63</v>
      </c>
      <c r="AW2208">
        <v>0.85</v>
      </c>
      <c r="BA2208">
        <v>0</v>
      </c>
      <c r="BB2208">
        <v>1.32</v>
      </c>
      <c r="BC2208">
        <v>-0.13</v>
      </c>
      <c r="BD2208">
        <v>0.71</v>
      </c>
      <c r="BE2208">
        <v>0.53</v>
      </c>
      <c r="BF2208">
        <v>-0.78</v>
      </c>
      <c r="BG2208">
        <v>0.66</v>
      </c>
      <c r="BH2208">
        <v>-0.19</v>
      </c>
      <c r="BI2208">
        <v>20191031</v>
      </c>
      <c r="BJ2208">
        <v>20030912</v>
      </c>
      <c r="BK2208">
        <v>153.87</v>
      </c>
      <c r="BL2208" t="s">
        <v>116</v>
      </c>
      <c r="BM2208" t="s">
        <v>116</v>
      </c>
      <c r="BN2208">
        <v>30217.1</v>
      </c>
      <c r="BO2208">
        <v>2613.75</v>
      </c>
      <c r="BP2208">
        <v>16.7</v>
      </c>
      <c r="BQ2208">
        <v>91.29</v>
      </c>
      <c r="BR2208">
        <v>0</v>
      </c>
      <c r="BS2208">
        <v>133.15</v>
      </c>
      <c r="BT2208">
        <v>0.79</v>
      </c>
      <c r="BU2208">
        <v>0</v>
      </c>
      <c r="BV2208">
        <v>0</v>
      </c>
      <c r="BW2208">
        <v>0</v>
      </c>
      <c r="BX2208">
        <v>532.91999999999996</v>
      </c>
      <c r="BY2208">
        <v>618.79</v>
      </c>
      <c r="BZ2208">
        <v>0</v>
      </c>
      <c r="CA2208">
        <v>197.27</v>
      </c>
      <c r="CB2208">
        <v>8.4600000000000009</v>
      </c>
      <c r="CC2208">
        <v>197.38</v>
      </c>
      <c r="CD2208">
        <v>153.76</v>
      </c>
      <c r="CE2208">
        <v>152.44</v>
      </c>
      <c r="CF2208">
        <v>152.32</v>
      </c>
      <c r="CG2208">
        <v>808.26</v>
      </c>
      <c r="CH2208">
        <v>1217.3499999999999</v>
      </c>
      <c r="CI2208">
        <v>682.08</v>
      </c>
      <c r="CJ2208">
        <v>117437</v>
      </c>
      <c r="CK2208">
        <v>45309</v>
      </c>
      <c r="CL2208" t="s">
        <v>10545</v>
      </c>
      <c r="CM2208">
        <v>5.04</v>
      </c>
      <c r="CN2208">
        <v>22.23</v>
      </c>
      <c r="CO2208">
        <v>0.57999999999999996</v>
      </c>
      <c r="CP2208">
        <v>0.96</v>
      </c>
      <c r="CQ2208">
        <v>1.9</v>
      </c>
      <c r="CR2208">
        <v>2.2799999999999998</v>
      </c>
      <c r="CS2208" t="s">
        <v>10546</v>
      </c>
      <c r="CT2208">
        <v>13.09</v>
      </c>
      <c r="CU2208">
        <v>13.09</v>
      </c>
      <c r="CV2208">
        <v>3.46</v>
      </c>
      <c r="CW2208">
        <v>5.25</v>
      </c>
      <c r="CX2208">
        <v>7.91</v>
      </c>
      <c r="CY2208">
        <v>8.65</v>
      </c>
      <c r="CZ2208" t="s">
        <v>2344</v>
      </c>
      <c r="DA2208" t="s">
        <v>116</v>
      </c>
      <c r="DB2208">
        <v>31.88</v>
      </c>
      <c r="DC2208">
        <v>24.64</v>
      </c>
      <c r="DD2208">
        <v>0</v>
      </c>
      <c r="DE2208">
        <v>41283</v>
      </c>
      <c r="DF2208">
        <v>600015</v>
      </c>
      <c r="DG2208" t="s">
        <v>116</v>
      </c>
      <c r="DH2208" t="s">
        <v>116</v>
      </c>
      <c r="DI2208" t="s">
        <v>116</v>
      </c>
    </row>
    <row r="2209" spans="1:113" x14ac:dyDescent="0.4">
      <c r="A2209" t="str">
        <f>"600016"</f>
        <v>600016</v>
      </c>
      <c r="B2209" t="s">
        <v>10547</v>
      </c>
      <c r="C2209">
        <v>0.32</v>
      </c>
      <c r="D2209">
        <v>6.27</v>
      </c>
      <c r="E2209">
        <v>0.02</v>
      </c>
      <c r="F2209">
        <v>6.27</v>
      </c>
      <c r="G2209">
        <v>6.28</v>
      </c>
      <c r="H2209">
        <v>700115</v>
      </c>
      <c r="I2209">
        <v>4917</v>
      </c>
      <c r="J2209">
        <v>-0.15</v>
      </c>
      <c r="K2209">
        <v>0.2</v>
      </c>
      <c r="L2209">
        <v>6.24</v>
      </c>
      <c r="M2209">
        <v>6.31</v>
      </c>
      <c r="N2209">
        <v>6.24</v>
      </c>
      <c r="O2209">
        <v>6.25</v>
      </c>
      <c r="P2209">
        <v>4.5199999999999996</v>
      </c>
      <c r="Q2209">
        <v>439891104</v>
      </c>
      <c r="R2209">
        <v>1.57</v>
      </c>
      <c r="S2209" t="s">
        <v>114</v>
      </c>
      <c r="T2209" t="s">
        <v>165</v>
      </c>
      <c r="U2209">
        <v>1.1200000000000001</v>
      </c>
      <c r="V2209">
        <v>6.28</v>
      </c>
      <c r="W2209">
        <v>316017</v>
      </c>
      <c r="X2209">
        <v>384098</v>
      </c>
      <c r="Y2209">
        <v>0.82</v>
      </c>
      <c r="Z2209">
        <v>1429</v>
      </c>
      <c r="AA2209">
        <v>3948</v>
      </c>
      <c r="AB2209" t="s">
        <v>116</v>
      </c>
      <c r="AC2209">
        <v>2334600</v>
      </c>
      <c r="AD2209">
        <v>0</v>
      </c>
      <c r="AE2209" t="s">
        <v>116</v>
      </c>
      <c r="AF2209" t="s">
        <v>116</v>
      </c>
      <c r="AG2209">
        <v>354.62</v>
      </c>
      <c r="AH2209" t="s">
        <v>10548</v>
      </c>
      <c r="AI2209" t="s">
        <v>10548</v>
      </c>
      <c r="AJ2209">
        <v>0.4</v>
      </c>
      <c r="AK2209">
        <v>3910</v>
      </c>
      <c r="AL2209">
        <v>179</v>
      </c>
      <c r="AM2209">
        <v>1E-4</v>
      </c>
      <c r="AN2209">
        <v>2</v>
      </c>
      <c r="AO2209">
        <v>0.16</v>
      </c>
      <c r="AP2209">
        <v>1.62</v>
      </c>
      <c r="AQ2209">
        <v>3.81</v>
      </c>
      <c r="AR2209">
        <v>16.43</v>
      </c>
      <c r="AS2209">
        <v>0.28000000000000003</v>
      </c>
      <c r="AT2209" t="s">
        <v>10549</v>
      </c>
      <c r="AU2209">
        <v>5.16</v>
      </c>
      <c r="AV2209">
        <v>5.45</v>
      </c>
      <c r="AW2209">
        <v>0.67</v>
      </c>
      <c r="BA2209">
        <v>-0.16</v>
      </c>
      <c r="BB2209">
        <v>0.96</v>
      </c>
      <c r="BC2209">
        <v>-0.16</v>
      </c>
      <c r="BD2209">
        <v>0.53</v>
      </c>
      <c r="BE2209">
        <v>0.48</v>
      </c>
      <c r="BF2209">
        <v>-0.63</v>
      </c>
      <c r="BG2209">
        <v>0.48</v>
      </c>
      <c r="BH2209">
        <v>-0.21</v>
      </c>
      <c r="BI2209">
        <v>20191031</v>
      </c>
      <c r="BJ2209">
        <v>20001219</v>
      </c>
      <c r="BK2209">
        <v>437.82</v>
      </c>
      <c r="BL2209" t="s">
        <v>116</v>
      </c>
      <c r="BM2209">
        <v>83.2</v>
      </c>
      <c r="BN2209">
        <v>62737.43</v>
      </c>
      <c r="BO2209">
        <v>4914.41</v>
      </c>
      <c r="BP2209">
        <v>116.35</v>
      </c>
      <c r="BQ2209">
        <v>91.98</v>
      </c>
      <c r="BR2209">
        <v>0</v>
      </c>
      <c r="BS2209">
        <v>479.17</v>
      </c>
      <c r="BT2209">
        <v>46.3</v>
      </c>
      <c r="BU2209">
        <v>0</v>
      </c>
      <c r="BV2209">
        <v>0</v>
      </c>
      <c r="BW2209">
        <v>0</v>
      </c>
      <c r="BX2209">
        <v>574.09</v>
      </c>
      <c r="BY2209">
        <v>1331.28</v>
      </c>
      <c r="BZ2209">
        <v>0</v>
      </c>
      <c r="CA2209">
        <v>552.44000000000005</v>
      </c>
      <c r="CB2209">
        <v>165.59</v>
      </c>
      <c r="CC2209">
        <v>551.62</v>
      </c>
      <c r="CD2209">
        <v>461.1</v>
      </c>
      <c r="CE2209">
        <v>455.29</v>
      </c>
      <c r="CF2209">
        <v>455.45</v>
      </c>
      <c r="CG2209">
        <v>2234.52</v>
      </c>
      <c r="CH2209">
        <v>-1196.56</v>
      </c>
      <c r="CI2209">
        <v>-348.12</v>
      </c>
      <c r="CJ2209">
        <v>387351</v>
      </c>
      <c r="CK2209">
        <v>65713</v>
      </c>
      <c r="CL2209" t="s">
        <v>10550</v>
      </c>
      <c r="CM2209">
        <v>6.66</v>
      </c>
      <c r="CN2209">
        <v>15.11</v>
      </c>
      <c r="CO2209">
        <v>0.62</v>
      </c>
      <c r="CP2209">
        <v>-2.29</v>
      </c>
      <c r="CQ2209">
        <v>2.06</v>
      </c>
      <c r="CR2209">
        <v>5.5</v>
      </c>
      <c r="CS2209" t="s">
        <v>6106</v>
      </c>
      <c r="CT2209">
        <v>10.09</v>
      </c>
      <c r="CU2209">
        <v>10.09</v>
      </c>
      <c r="CV2209">
        <v>1.31</v>
      </c>
      <c r="CW2209">
        <v>5.0999999999999996</v>
      </c>
      <c r="CX2209">
        <v>-2.73</v>
      </c>
      <c r="CY2209">
        <v>7.83</v>
      </c>
      <c r="CZ2209" t="s">
        <v>7533</v>
      </c>
      <c r="DA2209" t="s">
        <v>116</v>
      </c>
      <c r="DB2209">
        <v>41.5</v>
      </c>
      <c r="DC2209">
        <v>34.200000000000003</v>
      </c>
      <c r="DD2209">
        <v>0</v>
      </c>
      <c r="DE2209">
        <v>57799</v>
      </c>
      <c r="DF2209">
        <v>600016</v>
      </c>
      <c r="DG2209" t="s">
        <v>116</v>
      </c>
      <c r="DH2209" t="s">
        <v>116</v>
      </c>
      <c r="DI2209" t="s">
        <v>116</v>
      </c>
    </row>
    <row r="2210" spans="1:113" x14ac:dyDescent="0.4">
      <c r="A2210" t="str">
        <f>"600017"</f>
        <v>600017</v>
      </c>
      <c r="B2210" t="s">
        <v>10551</v>
      </c>
      <c r="C2210">
        <v>0.35</v>
      </c>
      <c r="D2210">
        <v>2.89</v>
      </c>
      <c r="E2210">
        <v>0.01</v>
      </c>
      <c r="F2210">
        <v>2.89</v>
      </c>
      <c r="G2210">
        <v>2.9</v>
      </c>
      <c r="H2210">
        <v>131023</v>
      </c>
      <c r="I2210">
        <v>759</v>
      </c>
      <c r="J2210">
        <v>0</v>
      </c>
      <c r="K2210">
        <v>0.43</v>
      </c>
      <c r="L2210">
        <v>2.88</v>
      </c>
      <c r="M2210">
        <v>2.9</v>
      </c>
      <c r="N2210">
        <v>2.87</v>
      </c>
      <c r="O2210">
        <v>2.88</v>
      </c>
      <c r="P2210">
        <v>12.46</v>
      </c>
      <c r="Q2210">
        <v>37884076</v>
      </c>
      <c r="R2210">
        <v>1.1599999999999999</v>
      </c>
      <c r="S2210" t="s">
        <v>515</v>
      </c>
      <c r="T2210" t="s">
        <v>645</v>
      </c>
      <c r="U2210">
        <v>1.04</v>
      </c>
      <c r="V2210">
        <v>2.89</v>
      </c>
      <c r="W2210">
        <v>58242</v>
      </c>
      <c r="X2210">
        <v>72782</v>
      </c>
      <c r="Y2210">
        <v>0.8</v>
      </c>
      <c r="Z2210">
        <v>693</v>
      </c>
      <c r="AA2210">
        <v>9860</v>
      </c>
      <c r="AB2210" t="s">
        <v>116</v>
      </c>
      <c r="AC2210">
        <v>196700</v>
      </c>
      <c r="AD2210">
        <v>0</v>
      </c>
      <c r="AE2210" t="s">
        <v>116</v>
      </c>
      <c r="AF2210" t="s">
        <v>116</v>
      </c>
      <c r="AG2210">
        <v>30.76</v>
      </c>
      <c r="AH2210" t="s">
        <v>10552</v>
      </c>
      <c r="AI2210" t="s">
        <v>10552</v>
      </c>
      <c r="AJ2210">
        <v>0.42</v>
      </c>
      <c r="AK2210">
        <v>1334</v>
      </c>
      <c r="AL2210">
        <v>98</v>
      </c>
      <c r="AM2210">
        <v>2.9999999999999997E-4</v>
      </c>
      <c r="AN2210">
        <v>2</v>
      </c>
      <c r="AO2210">
        <v>0.01</v>
      </c>
      <c r="AP2210">
        <v>2.48</v>
      </c>
      <c r="AQ2210">
        <v>-2.0299999999999998</v>
      </c>
      <c r="AR2210">
        <v>5.47</v>
      </c>
      <c r="AS2210">
        <v>0.85</v>
      </c>
      <c r="AT2210" t="s">
        <v>10553</v>
      </c>
      <c r="AU2210">
        <v>13.87</v>
      </c>
      <c r="AV2210">
        <v>13.79</v>
      </c>
      <c r="AW2210">
        <v>0.9</v>
      </c>
      <c r="BA2210">
        <v>0</v>
      </c>
      <c r="BB2210">
        <v>0.69</v>
      </c>
      <c r="BC2210">
        <v>-0.35</v>
      </c>
      <c r="BD2210">
        <v>0.4</v>
      </c>
      <c r="BE2210">
        <v>0.35</v>
      </c>
      <c r="BF2210">
        <v>-0.34</v>
      </c>
      <c r="BG2210">
        <v>0.7</v>
      </c>
      <c r="BH2210">
        <v>-0.05</v>
      </c>
      <c r="BI2210">
        <v>20191022</v>
      </c>
      <c r="BJ2210">
        <v>20061017</v>
      </c>
      <c r="BK2210">
        <v>30.76</v>
      </c>
      <c r="BL2210" t="s">
        <v>116</v>
      </c>
      <c r="BM2210" t="s">
        <v>116</v>
      </c>
      <c r="BN2210">
        <v>223.35</v>
      </c>
      <c r="BO2210">
        <v>116.99</v>
      </c>
      <c r="BP2210">
        <v>18.829999999999998</v>
      </c>
      <c r="BQ2210">
        <v>39.19</v>
      </c>
      <c r="BR2210">
        <v>27.7</v>
      </c>
      <c r="BS2210">
        <v>101.12</v>
      </c>
      <c r="BT2210">
        <v>34.65</v>
      </c>
      <c r="BU2210">
        <v>50.27</v>
      </c>
      <c r="BV2210">
        <v>1.0900000000000001</v>
      </c>
      <c r="BW2210">
        <v>7.49</v>
      </c>
      <c r="BX2210">
        <v>29.74</v>
      </c>
      <c r="BY2210">
        <v>38.47</v>
      </c>
      <c r="BZ2210">
        <v>28.15</v>
      </c>
      <c r="CA2210">
        <v>7.86</v>
      </c>
      <c r="CB2210">
        <v>0.65</v>
      </c>
      <c r="CC2210">
        <v>7.82</v>
      </c>
      <c r="CD2210">
        <v>5.96</v>
      </c>
      <c r="CE2210">
        <v>5.35</v>
      </c>
      <c r="CF2210">
        <v>4.6500000000000004</v>
      </c>
      <c r="CG2210">
        <v>49.9</v>
      </c>
      <c r="CH2210">
        <v>9.36</v>
      </c>
      <c r="CI2210">
        <v>-0.27</v>
      </c>
      <c r="CJ2210">
        <v>141213</v>
      </c>
      <c r="CK2210">
        <v>10910</v>
      </c>
      <c r="CL2210" t="s">
        <v>4280</v>
      </c>
      <c r="CM2210">
        <v>-0.68</v>
      </c>
      <c r="CN2210">
        <v>0.09</v>
      </c>
      <c r="CO2210">
        <v>0.76</v>
      </c>
      <c r="CP2210">
        <v>9.49</v>
      </c>
      <c r="CQ2210">
        <v>2.31</v>
      </c>
      <c r="CR2210">
        <v>0.69</v>
      </c>
      <c r="CS2210" t="s">
        <v>8181</v>
      </c>
      <c r="CT2210">
        <v>3.8</v>
      </c>
      <c r="CU2210">
        <v>0</v>
      </c>
      <c r="CV2210">
        <v>0.97</v>
      </c>
      <c r="CW2210">
        <v>1.62</v>
      </c>
      <c r="CX2210">
        <v>0.3</v>
      </c>
      <c r="CY2210">
        <v>52.38</v>
      </c>
      <c r="CZ2210" t="s">
        <v>2847</v>
      </c>
      <c r="DA2210">
        <v>26.82</v>
      </c>
      <c r="DB2210">
        <v>20.43</v>
      </c>
      <c r="DC2210">
        <v>13.91</v>
      </c>
      <c r="DD2210">
        <v>0</v>
      </c>
      <c r="DE2210">
        <v>5114</v>
      </c>
      <c r="DF2210">
        <v>600017</v>
      </c>
      <c r="DG2210" t="s">
        <v>116</v>
      </c>
      <c r="DH2210" t="s">
        <v>116</v>
      </c>
      <c r="DI2210" t="s">
        <v>116</v>
      </c>
    </row>
    <row r="2211" spans="1:113" x14ac:dyDescent="0.4">
      <c r="A2211" t="str">
        <f>"600018"</f>
        <v>600018</v>
      </c>
      <c r="B2211" t="s">
        <v>10554</v>
      </c>
      <c r="C2211">
        <v>0.35</v>
      </c>
      <c r="D2211">
        <v>5.7</v>
      </c>
      <c r="E2211">
        <v>0.02</v>
      </c>
      <c r="F2211">
        <v>5.69</v>
      </c>
      <c r="G2211">
        <v>5.7</v>
      </c>
      <c r="H2211">
        <v>261345</v>
      </c>
      <c r="I2211">
        <v>5236</v>
      </c>
      <c r="J2211">
        <v>0</v>
      </c>
      <c r="K2211">
        <v>0.11</v>
      </c>
      <c r="L2211">
        <v>5.68</v>
      </c>
      <c r="M2211">
        <v>5.74</v>
      </c>
      <c r="N2211">
        <v>5.67</v>
      </c>
      <c r="O2211">
        <v>5.68</v>
      </c>
      <c r="P2211">
        <v>14.64</v>
      </c>
      <c r="Q2211">
        <v>149060304</v>
      </c>
      <c r="R2211">
        <v>1.52</v>
      </c>
      <c r="S2211" t="s">
        <v>515</v>
      </c>
      <c r="T2211" t="s">
        <v>1653</v>
      </c>
      <c r="U2211">
        <v>1.23</v>
      </c>
      <c r="V2211">
        <v>5.7</v>
      </c>
      <c r="W2211">
        <v>121430</v>
      </c>
      <c r="X2211">
        <v>139915</v>
      </c>
      <c r="Y2211">
        <v>0.87</v>
      </c>
      <c r="Z2211">
        <v>1209</v>
      </c>
      <c r="AA2211">
        <v>1105</v>
      </c>
      <c r="AB2211" t="s">
        <v>116</v>
      </c>
      <c r="AC2211">
        <v>693000</v>
      </c>
      <c r="AD2211">
        <v>0</v>
      </c>
      <c r="AE2211" t="s">
        <v>116</v>
      </c>
      <c r="AF2211" t="s">
        <v>116</v>
      </c>
      <c r="AG2211">
        <v>231.74</v>
      </c>
      <c r="AH2211" t="s">
        <v>10555</v>
      </c>
      <c r="AI2211" t="s">
        <v>10555</v>
      </c>
      <c r="AJ2211">
        <v>0.43</v>
      </c>
      <c r="AK2211">
        <v>2708</v>
      </c>
      <c r="AL2211">
        <v>97</v>
      </c>
      <c r="AM2211">
        <v>0</v>
      </c>
      <c r="AN2211">
        <v>2</v>
      </c>
      <c r="AO2211">
        <v>0</v>
      </c>
      <c r="AP2211">
        <v>2.33</v>
      </c>
      <c r="AQ2211">
        <v>-1.04</v>
      </c>
      <c r="AR2211">
        <v>13.41</v>
      </c>
      <c r="AS2211">
        <v>0.74</v>
      </c>
      <c r="AT2211" t="s">
        <v>10556</v>
      </c>
      <c r="AU2211">
        <v>11.07</v>
      </c>
      <c r="AV2211">
        <v>12.85</v>
      </c>
      <c r="AW2211">
        <v>1.29</v>
      </c>
      <c r="BA2211">
        <v>0</v>
      </c>
      <c r="BB2211">
        <v>1.06</v>
      </c>
      <c r="BC2211">
        <v>-0.18</v>
      </c>
      <c r="BD2211">
        <v>0.42</v>
      </c>
      <c r="BE2211">
        <v>0.35</v>
      </c>
      <c r="BF2211">
        <v>-0.7</v>
      </c>
      <c r="BG2211">
        <v>0.53</v>
      </c>
      <c r="BH2211">
        <v>-0.06</v>
      </c>
      <c r="BI2211">
        <v>20191114</v>
      </c>
      <c r="BJ2211">
        <v>20061026</v>
      </c>
      <c r="BK2211">
        <v>231.74</v>
      </c>
      <c r="BL2211" t="s">
        <v>116</v>
      </c>
      <c r="BM2211" t="s">
        <v>116</v>
      </c>
      <c r="BN2211">
        <v>1403.18</v>
      </c>
      <c r="BO2211">
        <v>804.94</v>
      </c>
      <c r="BP2211">
        <v>88.69</v>
      </c>
      <c r="BQ2211">
        <v>36.31</v>
      </c>
      <c r="BR2211">
        <v>417.29</v>
      </c>
      <c r="BS2211">
        <v>303.58999999999997</v>
      </c>
      <c r="BT2211">
        <v>143.82</v>
      </c>
      <c r="BU2211">
        <v>159.78</v>
      </c>
      <c r="BV2211">
        <v>127.37</v>
      </c>
      <c r="BW2211">
        <v>31.17</v>
      </c>
      <c r="BX2211">
        <v>98.68</v>
      </c>
      <c r="BY2211">
        <v>266.10000000000002</v>
      </c>
      <c r="BZ2211">
        <v>184.53</v>
      </c>
      <c r="CA2211">
        <v>89.58</v>
      </c>
      <c r="CB2211">
        <v>35.799999999999997</v>
      </c>
      <c r="CC2211">
        <v>89.1</v>
      </c>
      <c r="CD2211">
        <v>75.67</v>
      </c>
      <c r="CE2211">
        <v>67.67</v>
      </c>
      <c r="CF2211">
        <v>64.3</v>
      </c>
      <c r="CG2211">
        <v>401.12</v>
      </c>
      <c r="CH2211">
        <v>39.81</v>
      </c>
      <c r="CI2211">
        <v>-80.989999999999995</v>
      </c>
      <c r="CJ2211">
        <v>227537</v>
      </c>
      <c r="CK2211">
        <v>15543</v>
      </c>
      <c r="CL2211" t="s">
        <v>10005</v>
      </c>
      <c r="CM2211">
        <v>32.450000000000003</v>
      </c>
      <c r="CN2211">
        <v>2.02</v>
      </c>
      <c r="CO2211">
        <v>1.64</v>
      </c>
      <c r="CP2211">
        <v>33.18</v>
      </c>
      <c r="CQ2211">
        <v>4.96</v>
      </c>
      <c r="CR2211">
        <v>2.7</v>
      </c>
      <c r="CS2211" t="s">
        <v>1591</v>
      </c>
      <c r="CT2211">
        <v>3.47</v>
      </c>
      <c r="CU2211">
        <v>0</v>
      </c>
      <c r="CV2211">
        <v>0.43</v>
      </c>
      <c r="CW2211">
        <v>1.73</v>
      </c>
      <c r="CX2211">
        <v>0.17</v>
      </c>
      <c r="CY2211">
        <v>57.36</v>
      </c>
      <c r="CZ2211" t="s">
        <v>1350</v>
      </c>
      <c r="DA2211">
        <v>30.65</v>
      </c>
      <c r="DB2211">
        <v>33.659999999999997</v>
      </c>
      <c r="DC2211">
        <v>25.43</v>
      </c>
      <c r="DD2211">
        <v>0.26</v>
      </c>
      <c r="DE2211">
        <v>16366</v>
      </c>
      <c r="DF2211">
        <v>600018</v>
      </c>
      <c r="DG2211" t="s">
        <v>116</v>
      </c>
      <c r="DH2211" t="s">
        <v>116</v>
      </c>
      <c r="DI2211" t="s">
        <v>116</v>
      </c>
    </row>
    <row r="2212" spans="1:113" x14ac:dyDescent="0.4">
      <c r="A2212" t="str">
        <f>"600019"</f>
        <v>600019</v>
      </c>
      <c r="B2212" t="s">
        <v>10557</v>
      </c>
      <c r="C2212">
        <v>0.89</v>
      </c>
      <c r="D2212">
        <v>5.68</v>
      </c>
      <c r="E2212">
        <v>0.05</v>
      </c>
      <c r="F2212">
        <v>5.67</v>
      </c>
      <c r="G2212">
        <v>5.68</v>
      </c>
      <c r="H2212">
        <v>1082321</v>
      </c>
      <c r="I2212">
        <v>6427</v>
      </c>
      <c r="J2212">
        <v>0</v>
      </c>
      <c r="K2212">
        <v>0.49</v>
      </c>
      <c r="L2212">
        <v>5.63</v>
      </c>
      <c r="M2212">
        <v>5.73</v>
      </c>
      <c r="N2212">
        <v>5.61</v>
      </c>
      <c r="O2212">
        <v>5.63</v>
      </c>
      <c r="P2212">
        <v>10.69</v>
      </c>
      <c r="Q2212">
        <v>612164224</v>
      </c>
      <c r="R2212">
        <v>1.63</v>
      </c>
      <c r="S2212" t="s">
        <v>1587</v>
      </c>
      <c r="T2212" t="s">
        <v>1653</v>
      </c>
      <c r="U2212">
        <v>2.13</v>
      </c>
      <c r="V2212">
        <v>5.66</v>
      </c>
      <c r="W2212">
        <v>570834</v>
      </c>
      <c r="X2212">
        <v>511487</v>
      </c>
      <c r="Y2212">
        <v>1.1200000000000001</v>
      </c>
      <c r="Z2212">
        <v>1560</v>
      </c>
      <c r="AA2212">
        <v>7226</v>
      </c>
      <c r="AB2212" t="s">
        <v>116</v>
      </c>
      <c r="AC2212">
        <v>5407100</v>
      </c>
      <c r="AD2212">
        <v>0.01</v>
      </c>
      <c r="AE2212" t="s">
        <v>116</v>
      </c>
      <c r="AF2212" t="s">
        <v>116</v>
      </c>
      <c r="AG2212">
        <v>221.01</v>
      </c>
      <c r="AH2212" t="s">
        <v>10558</v>
      </c>
      <c r="AI2212" t="s">
        <v>10559</v>
      </c>
      <c r="AJ2212">
        <v>0.96</v>
      </c>
      <c r="AK2212">
        <v>4484</v>
      </c>
      <c r="AL2212">
        <v>241</v>
      </c>
      <c r="AM2212">
        <v>1E-4</v>
      </c>
      <c r="AN2212">
        <v>2</v>
      </c>
      <c r="AO2212">
        <v>0.72</v>
      </c>
      <c r="AP2212">
        <v>3.84</v>
      </c>
      <c r="AQ2212">
        <v>-4.05</v>
      </c>
      <c r="AR2212">
        <v>-5.33</v>
      </c>
      <c r="AS2212">
        <v>1.38</v>
      </c>
      <c r="AT2212" t="s">
        <v>10560</v>
      </c>
      <c r="AU2212">
        <v>8.61</v>
      </c>
      <c r="AV2212">
        <v>5.87</v>
      </c>
      <c r="AW2212">
        <v>0.93</v>
      </c>
      <c r="BA2212">
        <v>0</v>
      </c>
      <c r="BB2212">
        <v>1.78</v>
      </c>
      <c r="BC2212">
        <v>-0.36</v>
      </c>
      <c r="BD2212">
        <v>0.46</v>
      </c>
      <c r="BE2212">
        <v>0.89</v>
      </c>
      <c r="BF2212">
        <v>-0.87</v>
      </c>
      <c r="BG2212">
        <v>1.25</v>
      </c>
      <c r="BH2212">
        <v>0.43</v>
      </c>
      <c r="BI2212">
        <v>20191026</v>
      </c>
      <c r="BJ2212">
        <v>20001212</v>
      </c>
      <c r="BK2212">
        <v>222.74</v>
      </c>
      <c r="BL2212" t="s">
        <v>116</v>
      </c>
      <c r="BM2212" t="s">
        <v>116</v>
      </c>
      <c r="BN2212">
        <v>3445.71</v>
      </c>
      <c r="BO2212">
        <v>1746.39</v>
      </c>
      <c r="BP2212">
        <v>129.53</v>
      </c>
      <c r="BQ2212">
        <v>45.56</v>
      </c>
      <c r="BR2212">
        <v>1320.76</v>
      </c>
      <c r="BS2212">
        <v>1435.85</v>
      </c>
      <c r="BT2212">
        <v>120.54</v>
      </c>
      <c r="BU2212">
        <v>1410.86</v>
      </c>
      <c r="BV2212">
        <v>454.04</v>
      </c>
      <c r="BW2212">
        <v>129.43</v>
      </c>
      <c r="BX2212">
        <v>500.32</v>
      </c>
      <c r="BY2212">
        <v>2168.7600000000002</v>
      </c>
      <c r="BZ2212">
        <v>1936.31</v>
      </c>
      <c r="CA2212">
        <v>124.69</v>
      </c>
      <c r="CB2212">
        <v>27.43</v>
      </c>
      <c r="CC2212">
        <v>119.72</v>
      </c>
      <c r="CD2212">
        <v>96.19</v>
      </c>
      <c r="CE2212">
        <v>88.74</v>
      </c>
      <c r="CF2212">
        <v>87.15</v>
      </c>
      <c r="CG2212">
        <v>712.4</v>
      </c>
      <c r="CH2212">
        <v>195.95</v>
      </c>
      <c r="CI2212">
        <v>30.18</v>
      </c>
      <c r="CJ2212">
        <v>337085</v>
      </c>
      <c r="CK2212">
        <v>23195</v>
      </c>
      <c r="CL2212" t="s">
        <v>10197</v>
      </c>
      <c r="CM2212">
        <v>-43.65</v>
      </c>
      <c r="CN2212">
        <v>-3.75</v>
      </c>
      <c r="CO2212">
        <v>0.72</v>
      </c>
      <c r="CP2212">
        <v>6.46</v>
      </c>
      <c r="CQ2212">
        <v>0.57999999999999996</v>
      </c>
      <c r="CR2212">
        <v>8.8000000000000007</v>
      </c>
      <c r="CS2212" t="s">
        <v>9941</v>
      </c>
      <c r="CT2212">
        <v>7.84</v>
      </c>
      <c r="CU2212">
        <v>0</v>
      </c>
      <c r="CV2212">
        <v>2.25</v>
      </c>
      <c r="CW2212">
        <v>3.2</v>
      </c>
      <c r="CX2212">
        <v>0.88</v>
      </c>
      <c r="CY2212">
        <v>50.68</v>
      </c>
      <c r="CZ2212" t="s">
        <v>5141</v>
      </c>
      <c r="DA2212">
        <v>10.72</v>
      </c>
      <c r="DB2212">
        <v>5.75</v>
      </c>
      <c r="DC2212">
        <v>4.09</v>
      </c>
      <c r="DD2212">
        <v>56.44</v>
      </c>
      <c r="DE2212">
        <v>56158</v>
      </c>
      <c r="DF2212">
        <v>600019</v>
      </c>
      <c r="DG2212" t="s">
        <v>116</v>
      </c>
      <c r="DH2212" t="s">
        <v>116</v>
      </c>
      <c r="DI2212" t="s">
        <v>116</v>
      </c>
    </row>
    <row r="2213" spans="1:113" x14ac:dyDescent="0.4">
      <c r="A2213" t="str">
        <f>"600020"</f>
        <v>600020</v>
      </c>
      <c r="B2213" t="s">
        <v>10561</v>
      </c>
      <c r="C2213">
        <v>-0.69</v>
      </c>
      <c r="D2213">
        <v>4.3</v>
      </c>
      <c r="E2213">
        <v>-0.03</v>
      </c>
      <c r="F2213">
        <v>4.29</v>
      </c>
      <c r="G2213">
        <v>4.3</v>
      </c>
      <c r="H2213">
        <v>180729</v>
      </c>
      <c r="I2213">
        <v>801</v>
      </c>
      <c r="J2213">
        <v>0.23</v>
      </c>
      <c r="K2213">
        <v>0.8</v>
      </c>
      <c r="L2213">
        <v>4.34</v>
      </c>
      <c r="M2213">
        <v>4.3600000000000003</v>
      </c>
      <c r="N2213">
        <v>4.29</v>
      </c>
      <c r="O2213">
        <v>4.33</v>
      </c>
      <c r="P2213">
        <v>5.47</v>
      </c>
      <c r="Q2213">
        <v>78239992</v>
      </c>
      <c r="R2213">
        <v>1.67</v>
      </c>
      <c r="S2213" t="s">
        <v>809</v>
      </c>
      <c r="T2213" t="s">
        <v>652</v>
      </c>
      <c r="U2213">
        <v>1.62</v>
      </c>
      <c r="V2213">
        <v>4.33</v>
      </c>
      <c r="W2213">
        <v>92235</v>
      </c>
      <c r="X2213">
        <v>88494</v>
      </c>
      <c r="Y2213">
        <v>1.04</v>
      </c>
      <c r="Z2213">
        <v>3460</v>
      </c>
      <c r="AA2213">
        <v>819</v>
      </c>
      <c r="AB2213" t="s">
        <v>116</v>
      </c>
      <c r="AC2213">
        <v>85900</v>
      </c>
      <c r="AD2213">
        <v>0</v>
      </c>
      <c r="AE2213" t="s">
        <v>116</v>
      </c>
      <c r="AF2213" t="s">
        <v>116</v>
      </c>
      <c r="AG2213">
        <v>22.47</v>
      </c>
      <c r="AH2213" t="s">
        <v>10562</v>
      </c>
      <c r="AI2213" t="s">
        <v>10562</v>
      </c>
      <c r="AJ2213">
        <v>-0.62</v>
      </c>
      <c r="AK2213">
        <v>1435</v>
      </c>
      <c r="AL2213">
        <v>126</v>
      </c>
      <c r="AM2213">
        <v>5.9999999999999995E-4</v>
      </c>
      <c r="AN2213">
        <v>-1</v>
      </c>
      <c r="AO2213">
        <v>0.24</v>
      </c>
      <c r="AP2213">
        <v>3.86</v>
      </c>
      <c r="AQ2213">
        <v>3.86</v>
      </c>
      <c r="AR2213">
        <v>20.75</v>
      </c>
      <c r="AS2213">
        <v>2.04</v>
      </c>
      <c r="AT2213" t="s">
        <v>10563</v>
      </c>
      <c r="AU2213">
        <v>8.16</v>
      </c>
      <c r="AV2213">
        <v>12.1</v>
      </c>
      <c r="AW2213">
        <v>1.31</v>
      </c>
      <c r="BA2213">
        <v>0.23</v>
      </c>
      <c r="BB2213">
        <v>0.69</v>
      </c>
      <c r="BC2213">
        <v>-0.92</v>
      </c>
      <c r="BD2213">
        <v>-0.02</v>
      </c>
      <c r="BE2213">
        <v>-0.92</v>
      </c>
      <c r="BF2213">
        <v>-1.38</v>
      </c>
      <c r="BG2213">
        <v>0.23</v>
      </c>
      <c r="BH2213">
        <v>-0.67</v>
      </c>
      <c r="BI2213">
        <v>20191029</v>
      </c>
      <c r="BJ2213">
        <v>20030808</v>
      </c>
      <c r="BK2213">
        <v>22.47</v>
      </c>
      <c r="BL2213" t="s">
        <v>116</v>
      </c>
      <c r="BM2213" t="s">
        <v>116</v>
      </c>
      <c r="BN2213">
        <v>488.13</v>
      </c>
      <c r="BO2213">
        <v>112.39</v>
      </c>
      <c r="BP2213">
        <v>0.83</v>
      </c>
      <c r="BQ2213">
        <v>76.81</v>
      </c>
      <c r="BR2213">
        <v>56.72</v>
      </c>
      <c r="BS2213">
        <v>140.74</v>
      </c>
      <c r="BT2213">
        <v>226.19</v>
      </c>
      <c r="BU2213">
        <v>121.34</v>
      </c>
      <c r="BV2213">
        <v>33.11</v>
      </c>
      <c r="BW2213">
        <v>2.2999999999999998</v>
      </c>
      <c r="BX2213">
        <v>13.28</v>
      </c>
      <c r="BY2213">
        <v>48.68</v>
      </c>
      <c r="BZ2213">
        <v>20.38</v>
      </c>
      <c r="CA2213">
        <v>17.09</v>
      </c>
      <c r="CB2213">
        <v>1.98</v>
      </c>
      <c r="CC2213">
        <v>17.170000000000002</v>
      </c>
      <c r="CD2213">
        <v>13.3</v>
      </c>
      <c r="CE2213">
        <v>13.25</v>
      </c>
      <c r="CF2213">
        <v>12.64</v>
      </c>
      <c r="CG2213">
        <v>52.4</v>
      </c>
      <c r="CH2213">
        <v>24.11</v>
      </c>
      <c r="CI2213">
        <v>-10.25</v>
      </c>
      <c r="CJ2213">
        <v>94371</v>
      </c>
      <c r="CK2213">
        <v>9403</v>
      </c>
      <c r="CL2213" t="s">
        <v>992</v>
      </c>
      <c r="CM2213">
        <v>40.98</v>
      </c>
      <c r="CN2213">
        <v>13.87</v>
      </c>
      <c r="CO2213">
        <v>0.94</v>
      </c>
      <c r="CP2213">
        <v>4.01</v>
      </c>
      <c r="CQ2213">
        <v>1.99</v>
      </c>
      <c r="CR2213">
        <v>2.54</v>
      </c>
      <c r="CS2213" t="s">
        <v>4586</v>
      </c>
      <c r="CT2213">
        <v>4.58</v>
      </c>
      <c r="CU2213">
        <v>4.58</v>
      </c>
      <c r="CV2213">
        <v>0.59</v>
      </c>
      <c r="CW2213">
        <v>2.33</v>
      </c>
      <c r="CX2213">
        <v>1.07</v>
      </c>
      <c r="CY2213">
        <v>23.02</v>
      </c>
      <c r="CZ2213" t="s">
        <v>10564</v>
      </c>
      <c r="DA2213">
        <v>58.14</v>
      </c>
      <c r="DB2213">
        <v>35.11</v>
      </c>
      <c r="DC2213">
        <v>27.22</v>
      </c>
      <c r="DD2213">
        <v>0</v>
      </c>
      <c r="DE2213">
        <v>3777</v>
      </c>
      <c r="DF2213">
        <v>600020</v>
      </c>
      <c r="DG2213" t="s">
        <v>116</v>
      </c>
      <c r="DH2213" t="s">
        <v>116</v>
      </c>
      <c r="DI2213" t="s">
        <v>116</v>
      </c>
    </row>
    <row r="2214" spans="1:113" x14ac:dyDescent="0.4">
      <c r="A2214" t="str">
        <f>"600021"</f>
        <v>600021</v>
      </c>
      <c r="B2214" t="s">
        <v>10565</v>
      </c>
      <c r="C2214">
        <v>-0.37</v>
      </c>
      <c r="D2214">
        <v>7.98</v>
      </c>
      <c r="E2214">
        <v>-0.03</v>
      </c>
      <c r="F2214">
        <v>7.98</v>
      </c>
      <c r="G2214">
        <v>7.99</v>
      </c>
      <c r="H2214">
        <v>46637</v>
      </c>
      <c r="I2214">
        <v>232</v>
      </c>
      <c r="J2214">
        <v>0</v>
      </c>
      <c r="K2214">
        <v>0.2</v>
      </c>
      <c r="L2214">
        <v>8</v>
      </c>
      <c r="M2214">
        <v>8.0500000000000007</v>
      </c>
      <c r="N2214">
        <v>7.96</v>
      </c>
      <c r="O2214">
        <v>8.01</v>
      </c>
      <c r="P2214">
        <v>17.190000000000001</v>
      </c>
      <c r="Q2214">
        <v>37292972</v>
      </c>
      <c r="R2214">
        <v>0.87</v>
      </c>
      <c r="S2214" t="s">
        <v>271</v>
      </c>
      <c r="T2214" t="s">
        <v>1653</v>
      </c>
      <c r="U2214">
        <v>1.1200000000000001</v>
      </c>
      <c r="V2214">
        <v>8</v>
      </c>
      <c r="W2214">
        <v>26440</v>
      </c>
      <c r="X2214">
        <v>20197</v>
      </c>
      <c r="Y2214">
        <v>1.31</v>
      </c>
      <c r="Z2214">
        <v>614</v>
      </c>
      <c r="AA2214">
        <v>930</v>
      </c>
      <c r="AB2214" t="s">
        <v>116</v>
      </c>
      <c r="AC2214">
        <v>48000</v>
      </c>
      <c r="AD2214">
        <v>0</v>
      </c>
      <c r="AE2214" t="s">
        <v>116</v>
      </c>
      <c r="AF2214" t="s">
        <v>116</v>
      </c>
      <c r="AG2214">
        <v>23.47</v>
      </c>
      <c r="AH2214" t="s">
        <v>10566</v>
      </c>
      <c r="AI2214" t="s">
        <v>10567</v>
      </c>
      <c r="AJ2214">
        <v>-0.3</v>
      </c>
      <c r="AK2214">
        <v>2201</v>
      </c>
      <c r="AL2214">
        <v>21</v>
      </c>
      <c r="AM2214">
        <v>1E-4</v>
      </c>
      <c r="AN2214">
        <v>-1</v>
      </c>
      <c r="AO2214">
        <v>1.91</v>
      </c>
      <c r="AP2214">
        <v>8.2799999999999994</v>
      </c>
      <c r="AQ2214">
        <v>-0.13</v>
      </c>
      <c r="AR2214">
        <v>2.7</v>
      </c>
      <c r="AS2214">
        <v>0.43</v>
      </c>
      <c r="AT2214" t="s">
        <v>10568</v>
      </c>
      <c r="AU2214">
        <v>7.23</v>
      </c>
      <c r="AV2214">
        <v>7.54</v>
      </c>
      <c r="AW2214">
        <v>0.79</v>
      </c>
      <c r="BA2214">
        <v>-0.12</v>
      </c>
      <c r="BB2214">
        <v>0.5</v>
      </c>
      <c r="BC2214">
        <v>-0.62</v>
      </c>
      <c r="BD2214">
        <v>-0.17</v>
      </c>
      <c r="BE2214">
        <v>-0.25</v>
      </c>
      <c r="BF2214">
        <v>-0.87</v>
      </c>
      <c r="BG2214">
        <v>0.25</v>
      </c>
      <c r="BH2214">
        <v>-0.2</v>
      </c>
      <c r="BI2214">
        <v>20191029</v>
      </c>
      <c r="BJ2214">
        <v>20031029</v>
      </c>
      <c r="BK2214">
        <v>26.17</v>
      </c>
      <c r="BL2214" t="s">
        <v>116</v>
      </c>
      <c r="BM2214" t="s">
        <v>116</v>
      </c>
      <c r="BN2214">
        <v>1051.17</v>
      </c>
      <c r="BO2214">
        <v>157.68</v>
      </c>
      <c r="BP2214">
        <v>109.42</v>
      </c>
      <c r="BQ2214">
        <v>74.59</v>
      </c>
      <c r="BR2214">
        <v>174.85</v>
      </c>
      <c r="BS2214">
        <v>617.96</v>
      </c>
      <c r="BT2214">
        <v>30.99</v>
      </c>
      <c r="BU2214">
        <v>423.03</v>
      </c>
      <c r="BV2214">
        <v>5.77</v>
      </c>
      <c r="BW2214">
        <v>77.13</v>
      </c>
      <c r="BX2214">
        <v>62.01</v>
      </c>
      <c r="BY2214">
        <v>176.84</v>
      </c>
      <c r="BZ2214">
        <v>131.69</v>
      </c>
      <c r="CA2214">
        <v>21.1</v>
      </c>
      <c r="CB2214">
        <v>5.64</v>
      </c>
      <c r="CC2214">
        <v>21.88</v>
      </c>
      <c r="CD2214">
        <v>18.11</v>
      </c>
      <c r="CE2214">
        <v>9.11</v>
      </c>
      <c r="CF2214">
        <v>6.71</v>
      </c>
      <c r="CG2214">
        <v>63.58</v>
      </c>
      <c r="CH2214">
        <v>32.69</v>
      </c>
      <c r="CI2214">
        <v>-5.29</v>
      </c>
      <c r="CJ2214">
        <v>107233</v>
      </c>
      <c r="CK2214">
        <v>10196</v>
      </c>
      <c r="CL2214" t="s">
        <v>10569</v>
      </c>
      <c r="CM2214">
        <v>14.93</v>
      </c>
      <c r="CN2214">
        <v>3.75</v>
      </c>
      <c r="CO2214">
        <v>1.32</v>
      </c>
      <c r="CP2214">
        <v>6.39</v>
      </c>
      <c r="CQ2214">
        <v>1.18</v>
      </c>
      <c r="CR2214">
        <v>4.1399999999999997</v>
      </c>
      <c r="CS2214" t="s">
        <v>2852</v>
      </c>
      <c r="CT2214">
        <v>6.02</v>
      </c>
      <c r="CU2214">
        <v>0</v>
      </c>
      <c r="CV2214">
        <v>2.37</v>
      </c>
      <c r="CW2214">
        <v>2.4300000000000002</v>
      </c>
      <c r="CX2214">
        <v>1.25</v>
      </c>
      <c r="CY2214">
        <v>15</v>
      </c>
      <c r="CZ2214" t="s">
        <v>7424</v>
      </c>
      <c r="DA2214">
        <v>25.53</v>
      </c>
      <c r="DB2214">
        <v>11.93</v>
      </c>
      <c r="DC2214">
        <v>5.15</v>
      </c>
      <c r="DD2214">
        <v>7.0000000000000007E-2</v>
      </c>
      <c r="DE2214">
        <v>6296</v>
      </c>
      <c r="DF2214">
        <v>600021</v>
      </c>
      <c r="DG2214" t="s">
        <v>116</v>
      </c>
      <c r="DH2214" t="s">
        <v>116</v>
      </c>
      <c r="DI2214" t="s">
        <v>116</v>
      </c>
    </row>
    <row r="2215" spans="1:113" x14ac:dyDescent="0.4">
      <c r="A2215" t="str">
        <f>"600022"</f>
        <v>600022</v>
      </c>
      <c r="B2215" t="s">
        <v>10570</v>
      </c>
      <c r="C2215">
        <v>0.71</v>
      </c>
      <c r="D2215">
        <v>1.41</v>
      </c>
      <c r="E2215">
        <v>0.01</v>
      </c>
      <c r="F2215">
        <v>1.4</v>
      </c>
      <c r="G2215">
        <v>1.41</v>
      </c>
      <c r="H2215">
        <v>641196</v>
      </c>
      <c r="I2215">
        <v>11175</v>
      </c>
      <c r="J2215">
        <v>0</v>
      </c>
      <c r="K2215">
        <v>0.59</v>
      </c>
      <c r="L2215">
        <v>1.4</v>
      </c>
      <c r="M2215">
        <v>1.42</v>
      </c>
      <c r="N2215">
        <v>1.39</v>
      </c>
      <c r="O2215">
        <v>1.4</v>
      </c>
      <c r="P2215">
        <v>23.65</v>
      </c>
      <c r="Q2215">
        <v>90260264</v>
      </c>
      <c r="R2215">
        <v>1.63</v>
      </c>
      <c r="S2215" t="s">
        <v>1587</v>
      </c>
      <c r="T2215" t="s">
        <v>645</v>
      </c>
      <c r="U2215">
        <v>2.14</v>
      </c>
      <c r="V2215">
        <v>1.41</v>
      </c>
      <c r="W2215">
        <v>210056</v>
      </c>
      <c r="X2215">
        <v>431140</v>
      </c>
      <c r="Y2215">
        <v>0.49</v>
      </c>
      <c r="Z2215">
        <v>113828</v>
      </c>
      <c r="AA2215">
        <v>52167</v>
      </c>
      <c r="AB2215" t="s">
        <v>116</v>
      </c>
      <c r="AC2215">
        <v>510700</v>
      </c>
      <c r="AD2215">
        <v>0.01</v>
      </c>
      <c r="AE2215" t="s">
        <v>116</v>
      </c>
      <c r="AF2215" t="s">
        <v>116</v>
      </c>
      <c r="AG2215">
        <v>109.47</v>
      </c>
      <c r="AH2215" t="s">
        <v>10571</v>
      </c>
      <c r="AI2215" t="s">
        <v>10571</v>
      </c>
      <c r="AJ2215">
        <v>0.79</v>
      </c>
      <c r="AK2215">
        <v>2101</v>
      </c>
      <c r="AL2215">
        <v>305</v>
      </c>
      <c r="AM2215">
        <v>2.9999999999999997E-4</v>
      </c>
      <c r="AN2215">
        <v>2</v>
      </c>
      <c r="AO2215">
        <v>0.71</v>
      </c>
      <c r="AP2215">
        <v>2.17</v>
      </c>
      <c r="AQ2215">
        <v>-4.7300000000000004</v>
      </c>
      <c r="AR2215">
        <v>-10.19</v>
      </c>
      <c r="AS2215">
        <v>1.1599999999999999</v>
      </c>
      <c r="AT2215" t="s">
        <v>10572</v>
      </c>
      <c r="AU2215">
        <v>86.67</v>
      </c>
      <c r="AV2215">
        <v>7.33</v>
      </c>
      <c r="AW2215">
        <v>1.03</v>
      </c>
      <c r="BA2215">
        <v>0</v>
      </c>
      <c r="BB2215">
        <v>1.43</v>
      </c>
      <c r="BC2215">
        <v>-0.71</v>
      </c>
      <c r="BD2215">
        <v>0.55000000000000004</v>
      </c>
      <c r="BE2215">
        <v>0.71</v>
      </c>
      <c r="BF2215">
        <v>-0.7</v>
      </c>
      <c r="BG2215">
        <v>1.44</v>
      </c>
      <c r="BH2215">
        <v>0.17</v>
      </c>
      <c r="BI2215">
        <v>20191030</v>
      </c>
      <c r="BJ2215">
        <v>20040629</v>
      </c>
      <c r="BK2215">
        <v>109.47</v>
      </c>
      <c r="BL2215" t="s">
        <v>116</v>
      </c>
      <c r="BM2215" t="s">
        <v>116</v>
      </c>
      <c r="BN2215">
        <v>733.99</v>
      </c>
      <c r="BO2215">
        <v>206.71</v>
      </c>
      <c r="BP2215">
        <v>92.11</v>
      </c>
      <c r="BQ2215">
        <v>59.29</v>
      </c>
      <c r="BR2215">
        <v>237.94</v>
      </c>
      <c r="BS2215">
        <v>391.02</v>
      </c>
      <c r="BT2215">
        <v>44.61</v>
      </c>
      <c r="BU2215">
        <v>316.45</v>
      </c>
      <c r="BV2215">
        <v>53.68</v>
      </c>
      <c r="BW2215">
        <v>2.0699999999999998</v>
      </c>
      <c r="BX2215">
        <v>82.02</v>
      </c>
      <c r="BY2215">
        <v>529.79999999999995</v>
      </c>
      <c r="BZ2215">
        <v>493.99</v>
      </c>
      <c r="CA2215">
        <v>10.71</v>
      </c>
      <c r="CB2215">
        <v>0.54</v>
      </c>
      <c r="CC2215">
        <v>10.16</v>
      </c>
      <c r="CD2215">
        <v>7.42</v>
      </c>
      <c r="CE2215">
        <v>4.9000000000000004</v>
      </c>
      <c r="CF2215">
        <v>4.7</v>
      </c>
      <c r="CG2215">
        <v>7.82</v>
      </c>
      <c r="CH2215">
        <v>20.14</v>
      </c>
      <c r="CI2215">
        <v>-31.13</v>
      </c>
      <c r="CJ2215">
        <v>302584</v>
      </c>
      <c r="CK2215">
        <v>18246</v>
      </c>
      <c r="CL2215" t="s">
        <v>3987</v>
      </c>
      <c r="CM2215">
        <v>-79.760000000000005</v>
      </c>
      <c r="CN2215">
        <v>30.66</v>
      </c>
      <c r="CO2215">
        <v>0.75</v>
      </c>
      <c r="CP2215">
        <v>7.66</v>
      </c>
      <c r="CQ2215">
        <v>0.28999999999999998</v>
      </c>
      <c r="CR2215">
        <v>0</v>
      </c>
      <c r="CS2215" t="s">
        <v>2428</v>
      </c>
      <c r="CT2215">
        <v>1.89</v>
      </c>
      <c r="CU2215">
        <v>0</v>
      </c>
      <c r="CV2215">
        <v>0.75</v>
      </c>
      <c r="CW2215">
        <v>7.0000000000000007E-2</v>
      </c>
      <c r="CX2215">
        <v>0.18</v>
      </c>
      <c r="CY2215">
        <v>28.16</v>
      </c>
      <c r="CZ2215" t="s">
        <v>6832</v>
      </c>
      <c r="DA2215">
        <v>6.76</v>
      </c>
      <c r="DB2215">
        <v>2.02</v>
      </c>
      <c r="DC2215">
        <v>0.92</v>
      </c>
      <c r="DD2215">
        <v>6.67</v>
      </c>
      <c r="DE2215">
        <v>18881</v>
      </c>
      <c r="DF2215">
        <v>600022</v>
      </c>
      <c r="DG2215" t="s">
        <v>116</v>
      </c>
      <c r="DH2215" t="s">
        <v>116</v>
      </c>
      <c r="DI2215" t="s">
        <v>116</v>
      </c>
    </row>
    <row r="2216" spans="1:113" x14ac:dyDescent="0.4">
      <c r="A2216" t="str">
        <f>"600023"</f>
        <v>600023</v>
      </c>
      <c r="B2216" t="s">
        <v>10573</v>
      </c>
      <c r="C2216">
        <v>0.51</v>
      </c>
      <c r="D2216">
        <v>3.94</v>
      </c>
      <c r="E2216">
        <v>0.02</v>
      </c>
      <c r="F2216">
        <v>3.94</v>
      </c>
      <c r="G2216">
        <v>3.95</v>
      </c>
      <c r="H2216">
        <v>257224</v>
      </c>
      <c r="I2216">
        <v>4930</v>
      </c>
      <c r="J2216">
        <v>0</v>
      </c>
      <c r="K2216">
        <v>0.19</v>
      </c>
      <c r="L2216">
        <v>3.93</v>
      </c>
      <c r="M2216">
        <v>3.96</v>
      </c>
      <c r="N2216">
        <v>3.89</v>
      </c>
      <c r="O2216">
        <v>3.92</v>
      </c>
      <c r="P2216">
        <v>11.08</v>
      </c>
      <c r="Q2216">
        <v>100843576</v>
      </c>
      <c r="R2216">
        <v>1.76</v>
      </c>
      <c r="S2216" t="s">
        <v>271</v>
      </c>
      <c r="T2216" t="s">
        <v>590</v>
      </c>
      <c r="U2216">
        <v>1.79</v>
      </c>
      <c r="V2216">
        <v>3.92</v>
      </c>
      <c r="W2216">
        <v>117296</v>
      </c>
      <c r="X2216">
        <v>139929</v>
      </c>
      <c r="Y2216">
        <v>0.84</v>
      </c>
      <c r="Z2216">
        <v>2056</v>
      </c>
      <c r="AA2216">
        <v>8285</v>
      </c>
      <c r="AB2216" t="s">
        <v>116</v>
      </c>
      <c r="AC2216">
        <v>98600</v>
      </c>
      <c r="AD2216">
        <v>0</v>
      </c>
      <c r="AE2216" t="s">
        <v>116</v>
      </c>
      <c r="AF2216" t="s">
        <v>116</v>
      </c>
      <c r="AG2216">
        <v>136.01</v>
      </c>
      <c r="AH2216" t="s">
        <v>10574</v>
      </c>
      <c r="AI2216" t="s">
        <v>10574</v>
      </c>
      <c r="AJ2216">
        <v>0.59</v>
      </c>
      <c r="AK2216">
        <v>2397</v>
      </c>
      <c r="AL2216">
        <v>107</v>
      </c>
      <c r="AM2216">
        <v>1E-4</v>
      </c>
      <c r="AN2216">
        <v>1</v>
      </c>
      <c r="AO2216">
        <v>0.51</v>
      </c>
      <c r="AP2216">
        <v>2.34</v>
      </c>
      <c r="AQ2216">
        <v>0.51</v>
      </c>
      <c r="AR2216">
        <v>-13.41</v>
      </c>
      <c r="AS2216">
        <v>0.6</v>
      </c>
      <c r="AT2216" t="s">
        <v>10575</v>
      </c>
      <c r="AU2216">
        <v>13.71</v>
      </c>
      <c r="AV2216">
        <v>13.28</v>
      </c>
      <c r="AW2216">
        <v>0.61</v>
      </c>
      <c r="BA2216">
        <v>0.26</v>
      </c>
      <c r="BB2216">
        <v>1.02</v>
      </c>
      <c r="BC2216">
        <v>-0.77</v>
      </c>
      <c r="BD2216">
        <v>0.01</v>
      </c>
      <c r="BE2216">
        <v>0.25</v>
      </c>
      <c r="BF2216">
        <v>-0.51</v>
      </c>
      <c r="BG2216">
        <v>1.29</v>
      </c>
      <c r="BH2216">
        <v>0.5</v>
      </c>
      <c r="BI2216">
        <v>20191106</v>
      </c>
      <c r="BJ2216">
        <v>20131219</v>
      </c>
      <c r="BK2216">
        <v>136.01</v>
      </c>
      <c r="BL2216" t="s">
        <v>116</v>
      </c>
      <c r="BM2216" t="s">
        <v>116</v>
      </c>
      <c r="BN2216">
        <v>1098.1600000000001</v>
      </c>
      <c r="BO2216">
        <v>630.71</v>
      </c>
      <c r="BP2216">
        <v>81.61</v>
      </c>
      <c r="BQ2216">
        <v>35.14</v>
      </c>
      <c r="BR2216">
        <v>252.16</v>
      </c>
      <c r="BS2216">
        <v>489.97</v>
      </c>
      <c r="BT2216">
        <v>20.23</v>
      </c>
      <c r="BU2216">
        <v>137.05000000000001</v>
      </c>
      <c r="BV2216">
        <v>30.79</v>
      </c>
      <c r="BW2216">
        <v>50.37</v>
      </c>
      <c r="BX2216">
        <v>241.1</v>
      </c>
      <c r="BY2216">
        <v>396.56</v>
      </c>
      <c r="BZ2216">
        <v>347.27</v>
      </c>
      <c r="CA2216">
        <v>48.39</v>
      </c>
      <c r="CB2216">
        <v>19.16</v>
      </c>
      <c r="CC2216">
        <v>48.3</v>
      </c>
      <c r="CD2216">
        <v>40.92</v>
      </c>
      <c r="CE2216">
        <v>36.270000000000003</v>
      </c>
      <c r="CF2216">
        <v>35.909999999999997</v>
      </c>
      <c r="CG2216">
        <v>190.22</v>
      </c>
      <c r="CH2216">
        <v>81.16</v>
      </c>
      <c r="CI2216">
        <v>25.08</v>
      </c>
      <c r="CJ2216">
        <v>183739</v>
      </c>
      <c r="CK2216">
        <v>23338</v>
      </c>
      <c r="CL2216" t="s">
        <v>10576</v>
      </c>
      <c r="CM2216">
        <v>-3.39</v>
      </c>
      <c r="CN2216">
        <v>-7.86</v>
      </c>
      <c r="CO2216">
        <v>0.85</v>
      </c>
      <c r="CP2216">
        <v>6.6</v>
      </c>
      <c r="CQ2216">
        <v>1.35</v>
      </c>
      <c r="CR2216">
        <v>4.57</v>
      </c>
      <c r="CS2216" t="s">
        <v>8878</v>
      </c>
      <c r="CT2216">
        <v>4.6399999999999997</v>
      </c>
      <c r="CU2216">
        <v>0</v>
      </c>
      <c r="CV2216">
        <v>1.77</v>
      </c>
      <c r="CW2216">
        <v>1.4</v>
      </c>
      <c r="CX2216">
        <v>0.6</v>
      </c>
      <c r="CY2216">
        <v>57.43</v>
      </c>
      <c r="CZ2216" t="s">
        <v>262</v>
      </c>
      <c r="DA2216">
        <v>12.43</v>
      </c>
      <c r="DB2216">
        <v>12.2</v>
      </c>
      <c r="DC2216">
        <v>9.15</v>
      </c>
      <c r="DD2216">
        <v>0.68</v>
      </c>
      <c r="DE2216">
        <v>10465</v>
      </c>
      <c r="DF2216">
        <v>600023</v>
      </c>
      <c r="DG2216" t="s">
        <v>116</v>
      </c>
      <c r="DH2216" t="s">
        <v>116</v>
      </c>
      <c r="DI2216" t="s">
        <v>116</v>
      </c>
    </row>
    <row r="2217" spans="1:113" x14ac:dyDescent="0.4">
      <c r="A2217" t="str">
        <f>"600025"</f>
        <v>600025</v>
      </c>
      <c r="B2217" t="s">
        <v>10577</v>
      </c>
      <c r="C2217">
        <v>0</v>
      </c>
      <c r="D2217">
        <v>4.2300000000000004</v>
      </c>
      <c r="E2217">
        <v>0</v>
      </c>
      <c r="F2217">
        <v>4.22</v>
      </c>
      <c r="G2217">
        <v>4.2300000000000004</v>
      </c>
      <c r="H2217">
        <v>295364</v>
      </c>
      <c r="I2217">
        <v>1790</v>
      </c>
      <c r="J2217">
        <v>0</v>
      </c>
      <c r="K2217">
        <v>0.33</v>
      </c>
      <c r="L2217">
        <v>4.2300000000000004</v>
      </c>
      <c r="M2217">
        <v>4.25</v>
      </c>
      <c r="N2217">
        <v>4.22</v>
      </c>
      <c r="O2217">
        <v>4.2300000000000004</v>
      </c>
      <c r="P2217">
        <v>11.74</v>
      </c>
      <c r="Q2217">
        <v>125038864</v>
      </c>
      <c r="R2217">
        <v>1.0900000000000001</v>
      </c>
      <c r="S2217" t="s">
        <v>1363</v>
      </c>
      <c r="T2217" t="s">
        <v>1043</v>
      </c>
      <c r="U2217">
        <v>0.71</v>
      </c>
      <c r="V2217">
        <v>4.2300000000000004</v>
      </c>
      <c r="W2217">
        <v>175986</v>
      </c>
      <c r="X2217">
        <v>119378</v>
      </c>
      <c r="Y2217">
        <v>1.47</v>
      </c>
      <c r="Z2217">
        <v>6062</v>
      </c>
      <c r="AA2217">
        <v>3352</v>
      </c>
      <c r="AB2217" t="s">
        <v>116</v>
      </c>
      <c r="AC2217">
        <v>604900</v>
      </c>
      <c r="AD2217">
        <v>0.01</v>
      </c>
      <c r="AE2217" t="s">
        <v>116</v>
      </c>
      <c r="AF2217" t="s">
        <v>116</v>
      </c>
      <c r="AG2217">
        <v>89.28</v>
      </c>
      <c r="AH2217" t="s">
        <v>10578</v>
      </c>
      <c r="AI2217" t="s">
        <v>10579</v>
      </c>
      <c r="AJ2217">
        <v>0.08</v>
      </c>
      <c r="AK2217">
        <v>3258</v>
      </c>
      <c r="AL2217">
        <v>91</v>
      </c>
      <c r="AM2217">
        <v>1E-4</v>
      </c>
      <c r="AN2217">
        <v>0</v>
      </c>
      <c r="AO2217">
        <v>0.47</v>
      </c>
      <c r="AP2217">
        <v>1.2</v>
      </c>
      <c r="AQ2217">
        <v>-0.47</v>
      </c>
      <c r="AR2217">
        <v>42.33</v>
      </c>
      <c r="AS2217">
        <v>1.64</v>
      </c>
      <c r="AT2217" t="s">
        <v>10580</v>
      </c>
      <c r="AU2217">
        <v>9.0399999999999991</v>
      </c>
      <c r="AV2217">
        <v>13.12</v>
      </c>
      <c r="AW2217">
        <v>0.88</v>
      </c>
      <c r="BA2217">
        <v>0</v>
      </c>
      <c r="BB2217">
        <v>0.47</v>
      </c>
      <c r="BC2217">
        <v>-0.24</v>
      </c>
      <c r="BD2217">
        <v>0.08</v>
      </c>
      <c r="BE2217">
        <v>0</v>
      </c>
      <c r="BF2217">
        <v>-0.47</v>
      </c>
      <c r="BG2217">
        <v>0.24</v>
      </c>
      <c r="BH2217">
        <v>-0.08</v>
      </c>
      <c r="BI2217">
        <v>20191029</v>
      </c>
      <c r="BJ2217">
        <v>20171215</v>
      </c>
      <c r="BK2217">
        <v>180</v>
      </c>
      <c r="BL2217" t="s">
        <v>116</v>
      </c>
      <c r="BM2217" t="s">
        <v>116</v>
      </c>
      <c r="BN2217">
        <v>1666.02</v>
      </c>
      <c r="BO2217">
        <v>504.13</v>
      </c>
      <c r="BP2217">
        <v>18.38</v>
      </c>
      <c r="BQ2217">
        <v>68.64</v>
      </c>
      <c r="BR2217">
        <v>80.709999999999994</v>
      </c>
      <c r="BS2217">
        <v>1408.39</v>
      </c>
      <c r="BT2217">
        <v>69.86</v>
      </c>
      <c r="BU2217">
        <v>314.70999999999998</v>
      </c>
      <c r="BV2217">
        <v>0.28000000000000003</v>
      </c>
      <c r="BW2217">
        <v>35.44</v>
      </c>
      <c r="BX2217">
        <v>188.92</v>
      </c>
      <c r="BY2217">
        <v>163.15</v>
      </c>
      <c r="BZ2217">
        <v>65.81</v>
      </c>
      <c r="CA2217">
        <v>60.01</v>
      </c>
      <c r="CB2217">
        <v>0.92</v>
      </c>
      <c r="CC2217">
        <v>55.8</v>
      </c>
      <c r="CD2217">
        <v>51.91</v>
      </c>
      <c r="CE2217">
        <v>48.65</v>
      </c>
      <c r="CF2217">
        <v>52.14</v>
      </c>
      <c r="CG2217">
        <v>83.35</v>
      </c>
      <c r="CH2217">
        <v>119.43</v>
      </c>
      <c r="CI2217">
        <v>0.54</v>
      </c>
      <c r="CJ2217">
        <v>156663</v>
      </c>
      <c r="CK2217">
        <v>11490</v>
      </c>
      <c r="CL2217" t="s">
        <v>10581</v>
      </c>
      <c r="CM2217">
        <v>116.71</v>
      </c>
      <c r="CN2217">
        <v>44.21</v>
      </c>
      <c r="CO2217">
        <v>1.64</v>
      </c>
      <c r="CP2217">
        <v>6.38</v>
      </c>
      <c r="CQ2217">
        <v>4.67</v>
      </c>
      <c r="CR2217">
        <v>3.55</v>
      </c>
      <c r="CS2217" t="s">
        <v>2326</v>
      </c>
      <c r="CT2217">
        <v>2.58</v>
      </c>
      <c r="CU2217">
        <v>2.58</v>
      </c>
      <c r="CV2217">
        <v>1.05</v>
      </c>
      <c r="CW2217">
        <v>0.46</v>
      </c>
      <c r="CX2217">
        <v>0.66</v>
      </c>
      <c r="CY2217">
        <v>30.26</v>
      </c>
      <c r="CZ2217" t="s">
        <v>300</v>
      </c>
      <c r="DA2217">
        <v>59.66</v>
      </c>
      <c r="DB2217">
        <v>36.78</v>
      </c>
      <c r="DC2217">
        <v>29.82</v>
      </c>
      <c r="DD2217">
        <v>0.06</v>
      </c>
      <c r="DE2217">
        <v>2500</v>
      </c>
      <c r="DF2217">
        <v>600025</v>
      </c>
      <c r="DG2217" t="s">
        <v>116</v>
      </c>
      <c r="DH2217" t="s">
        <v>116</v>
      </c>
      <c r="DI2217" t="s">
        <v>116</v>
      </c>
    </row>
    <row r="2218" spans="1:113" x14ac:dyDescent="0.4">
      <c r="A2218" t="str">
        <f>"600026"</f>
        <v>600026</v>
      </c>
      <c r="B2218" t="s">
        <v>10582</v>
      </c>
      <c r="C2218">
        <v>-1.45</v>
      </c>
      <c r="D2218">
        <v>6.13</v>
      </c>
      <c r="E2218">
        <v>-0.09</v>
      </c>
      <c r="F2218">
        <v>6.12</v>
      </c>
      <c r="G2218">
        <v>6.13</v>
      </c>
      <c r="H2218">
        <v>221818</v>
      </c>
      <c r="I2218">
        <v>4633</v>
      </c>
      <c r="J2218">
        <v>0.33</v>
      </c>
      <c r="K2218">
        <v>0.81</v>
      </c>
      <c r="L2218">
        <v>6.23</v>
      </c>
      <c r="M2218">
        <v>6.23</v>
      </c>
      <c r="N2218">
        <v>6.1</v>
      </c>
      <c r="O2218">
        <v>6.22</v>
      </c>
      <c r="P2218">
        <v>31.81</v>
      </c>
      <c r="Q2218">
        <v>136755952</v>
      </c>
      <c r="R2218">
        <v>1.02</v>
      </c>
      <c r="S2218" t="s">
        <v>940</v>
      </c>
      <c r="T2218" t="s">
        <v>1653</v>
      </c>
      <c r="U2218">
        <v>2.09</v>
      </c>
      <c r="V2218">
        <v>6.17</v>
      </c>
      <c r="W2218">
        <v>120139</v>
      </c>
      <c r="X2218">
        <v>101679</v>
      </c>
      <c r="Y2218">
        <v>1.18</v>
      </c>
      <c r="Z2218">
        <v>921</v>
      </c>
      <c r="AA2218">
        <v>21</v>
      </c>
      <c r="AB2218" t="s">
        <v>116</v>
      </c>
      <c r="AC2218">
        <v>967500</v>
      </c>
      <c r="AD2218">
        <v>0.01</v>
      </c>
      <c r="AE2218" t="s">
        <v>116</v>
      </c>
      <c r="AF2218" t="s">
        <v>116</v>
      </c>
      <c r="AG2218">
        <v>27.36</v>
      </c>
      <c r="AH2218" t="s">
        <v>10583</v>
      </c>
      <c r="AI2218" t="s">
        <v>10583</v>
      </c>
      <c r="AJ2218">
        <v>-1.37</v>
      </c>
      <c r="AK2218">
        <v>2416</v>
      </c>
      <c r="AL2218">
        <v>92</v>
      </c>
      <c r="AM2218">
        <v>2.9999999999999997E-4</v>
      </c>
      <c r="AN2218">
        <v>-1</v>
      </c>
      <c r="AO2218">
        <v>2.34</v>
      </c>
      <c r="AP2218">
        <v>6.61</v>
      </c>
      <c r="AQ2218">
        <v>-17.940000000000001</v>
      </c>
      <c r="AR2218">
        <v>38.69</v>
      </c>
      <c r="AS2218">
        <v>1.85</v>
      </c>
      <c r="AT2218" t="s">
        <v>10584</v>
      </c>
      <c r="AU2218">
        <v>25.78</v>
      </c>
      <c r="AV2218">
        <v>235.1</v>
      </c>
      <c r="AW2218">
        <v>2.39</v>
      </c>
      <c r="BA2218">
        <v>0.16</v>
      </c>
      <c r="BB2218">
        <v>0.16</v>
      </c>
      <c r="BC2218">
        <v>-1.93</v>
      </c>
      <c r="BD2218">
        <v>-0.88</v>
      </c>
      <c r="BE2218">
        <v>-1.61</v>
      </c>
      <c r="BF2218">
        <v>-1.61</v>
      </c>
      <c r="BG2218">
        <v>0.49</v>
      </c>
      <c r="BH2218">
        <v>-0.56999999999999995</v>
      </c>
      <c r="BI2218">
        <v>20191031</v>
      </c>
      <c r="BJ2218">
        <v>20020523</v>
      </c>
      <c r="BK2218">
        <v>40.32</v>
      </c>
      <c r="BL2218" t="s">
        <v>116</v>
      </c>
      <c r="BM2218">
        <v>12.96</v>
      </c>
      <c r="BN2218">
        <v>664.32</v>
      </c>
      <c r="BO2218">
        <v>283.36</v>
      </c>
      <c r="BP2218">
        <v>10.38</v>
      </c>
      <c r="BQ2218">
        <v>55.78</v>
      </c>
      <c r="BR2218">
        <v>73.709999999999994</v>
      </c>
      <c r="BS2218">
        <v>481.02</v>
      </c>
      <c r="BT2218">
        <v>0.74</v>
      </c>
      <c r="BU2218">
        <v>128.19</v>
      </c>
      <c r="BV2218">
        <v>6.99</v>
      </c>
      <c r="BW2218">
        <v>15.21</v>
      </c>
      <c r="BX2218">
        <v>75.42</v>
      </c>
      <c r="BY2218">
        <v>105.31</v>
      </c>
      <c r="BZ2218">
        <v>84.65</v>
      </c>
      <c r="CA2218">
        <v>9.42</v>
      </c>
      <c r="CB2218">
        <v>5.19</v>
      </c>
      <c r="CC2218">
        <v>9.39</v>
      </c>
      <c r="CD2218">
        <v>7.95</v>
      </c>
      <c r="CE2218">
        <v>5.83</v>
      </c>
      <c r="CF2218">
        <v>5.95</v>
      </c>
      <c r="CG2218">
        <v>135.24</v>
      </c>
      <c r="CH2218">
        <v>35.92</v>
      </c>
      <c r="CI2218">
        <v>1.49</v>
      </c>
      <c r="CJ2218">
        <v>85614</v>
      </c>
      <c r="CK2218">
        <v>14006</v>
      </c>
      <c r="CL2218" t="s">
        <v>2677</v>
      </c>
      <c r="CM2218">
        <v>315.18</v>
      </c>
      <c r="CN2218">
        <v>26.81</v>
      </c>
      <c r="CO2218">
        <v>0.87</v>
      </c>
      <c r="CP2218">
        <v>6.88</v>
      </c>
      <c r="CQ2218">
        <v>2.35</v>
      </c>
      <c r="CR2218">
        <v>0.33</v>
      </c>
      <c r="CS2218" t="s">
        <v>4857</v>
      </c>
      <c r="CT2218">
        <v>7.03</v>
      </c>
      <c r="CU2218">
        <v>0</v>
      </c>
      <c r="CV2218">
        <v>1.87</v>
      </c>
      <c r="CW2218">
        <v>3.35</v>
      </c>
      <c r="CX2218">
        <v>0.89</v>
      </c>
      <c r="CY2218">
        <v>42.65</v>
      </c>
      <c r="CZ2218" t="s">
        <v>171</v>
      </c>
      <c r="DA2218">
        <v>19.62</v>
      </c>
      <c r="DB2218">
        <v>8.9499999999999993</v>
      </c>
      <c r="DC2218">
        <v>5.53</v>
      </c>
      <c r="DD2218">
        <v>7.0000000000000007E-2</v>
      </c>
      <c r="DE2218">
        <v>6854</v>
      </c>
      <c r="DF2218">
        <v>600026</v>
      </c>
      <c r="DG2218" t="s">
        <v>116</v>
      </c>
      <c r="DH2218" t="s">
        <v>116</v>
      </c>
      <c r="DI2218" t="s">
        <v>116</v>
      </c>
    </row>
    <row r="2219" spans="1:113" x14ac:dyDescent="0.4">
      <c r="A2219" t="str">
        <f>"600027"</f>
        <v>600027</v>
      </c>
      <c r="B2219" t="s">
        <v>10585</v>
      </c>
      <c r="C2219">
        <v>-0.82</v>
      </c>
      <c r="D2219">
        <v>3.62</v>
      </c>
      <c r="E2219">
        <v>-0.03</v>
      </c>
      <c r="F2219">
        <v>3.62</v>
      </c>
      <c r="G2219">
        <v>3.63</v>
      </c>
      <c r="H2219">
        <v>270747</v>
      </c>
      <c r="I2219">
        <v>5461</v>
      </c>
      <c r="J2219">
        <v>-0.27</v>
      </c>
      <c r="K2219">
        <v>0.39</v>
      </c>
      <c r="L2219">
        <v>3.64</v>
      </c>
      <c r="M2219">
        <v>3.69</v>
      </c>
      <c r="N2219">
        <v>3.62</v>
      </c>
      <c r="O2219">
        <v>3.65</v>
      </c>
      <c r="P2219">
        <v>10.66</v>
      </c>
      <c r="Q2219">
        <v>98975304</v>
      </c>
      <c r="R2219">
        <v>1.44</v>
      </c>
      <c r="S2219" t="s">
        <v>271</v>
      </c>
      <c r="T2219" t="s">
        <v>645</v>
      </c>
      <c r="U2219">
        <v>1.92</v>
      </c>
      <c r="V2219">
        <v>3.66</v>
      </c>
      <c r="W2219">
        <v>115875</v>
      </c>
      <c r="X2219">
        <v>154875</v>
      </c>
      <c r="Y2219">
        <v>0.75</v>
      </c>
      <c r="Z2219">
        <v>3627</v>
      </c>
      <c r="AA2219">
        <v>1025</v>
      </c>
      <c r="AB2219" t="s">
        <v>116</v>
      </c>
      <c r="AC2219">
        <v>510700</v>
      </c>
      <c r="AD2219">
        <v>0</v>
      </c>
      <c r="AE2219" t="s">
        <v>116</v>
      </c>
      <c r="AF2219" t="s">
        <v>116</v>
      </c>
      <c r="AG2219">
        <v>69.959999999999994</v>
      </c>
      <c r="AH2219" t="s">
        <v>10586</v>
      </c>
      <c r="AI2219" t="s">
        <v>10587</v>
      </c>
      <c r="AJ2219">
        <v>-0.75</v>
      </c>
      <c r="AK2219">
        <v>2709</v>
      </c>
      <c r="AL2219">
        <v>100</v>
      </c>
      <c r="AM2219">
        <v>1E-4</v>
      </c>
      <c r="AN2219">
        <v>-1</v>
      </c>
      <c r="AO2219">
        <v>-0.82</v>
      </c>
      <c r="AP2219">
        <v>-2.4300000000000002</v>
      </c>
      <c r="AQ2219">
        <v>-1.36</v>
      </c>
      <c r="AR2219">
        <v>-22.72</v>
      </c>
      <c r="AS2219">
        <v>0.96</v>
      </c>
      <c r="AT2219" t="s">
        <v>10588</v>
      </c>
      <c r="AU2219">
        <v>13.54</v>
      </c>
      <c r="AV2219">
        <v>21.06</v>
      </c>
      <c r="AW2219">
        <v>0.78</v>
      </c>
      <c r="BA2219">
        <v>-0.27</v>
      </c>
      <c r="BB2219">
        <v>1.1000000000000001</v>
      </c>
      <c r="BC2219">
        <v>-0.82</v>
      </c>
      <c r="BD2219">
        <v>0.15</v>
      </c>
      <c r="BE2219">
        <v>-0.55000000000000004</v>
      </c>
      <c r="BF2219">
        <v>-1.9</v>
      </c>
      <c r="BG2219">
        <v>0</v>
      </c>
      <c r="BH2219">
        <v>-0.98</v>
      </c>
      <c r="BI2219">
        <v>20191025</v>
      </c>
      <c r="BJ2219">
        <v>20050203</v>
      </c>
      <c r="BK2219">
        <v>98.63</v>
      </c>
      <c r="BL2219" t="s">
        <v>116</v>
      </c>
      <c r="BM2219">
        <v>17.170000000000002</v>
      </c>
      <c r="BN2219">
        <v>2276.7199999999998</v>
      </c>
      <c r="BO2219">
        <v>585.01</v>
      </c>
      <c r="BP2219">
        <v>152.47</v>
      </c>
      <c r="BQ2219">
        <v>67.61</v>
      </c>
      <c r="BR2219">
        <v>284.92</v>
      </c>
      <c r="BS2219">
        <v>1482.55</v>
      </c>
      <c r="BT2219">
        <v>137.08000000000001</v>
      </c>
      <c r="BU2219">
        <v>703.49</v>
      </c>
      <c r="BV2219">
        <v>37.19</v>
      </c>
      <c r="BW2219">
        <v>97.47</v>
      </c>
      <c r="BX2219">
        <v>131.63999999999999</v>
      </c>
      <c r="BY2219">
        <v>674.57</v>
      </c>
      <c r="BZ2219">
        <v>582.83000000000004</v>
      </c>
      <c r="CA2219">
        <v>41.28</v>
      </c>
      <c r="CB2219">
        <v>5.33</v>
      </c>
      <c r="CC2219">
        <v>41.5</v>
      </c>
      <c r="CD2219">
        <v>33.94</v>
      </c>
      <c r="CE2219">
        <v>25.13</v>
      </c>
      <c r="CF2219">
        <v>24.35</v>
      </c>
      <c r="CG2219">
        <v>180.63</v>
      </c>
      <c r="CH2219">
        <v>148.80000000000001</v>
      </c>
      <c r="CI2219">
        <v>21.59</v>
      </c>
      <c r="CJ2219">
        <v>123862</v>
      </c>
      <c r="CK2219">
        <v>22693</v>
      </c>
      <c r="CL2219" t="s">
        <v>6039</v>
      </c>
      <c r="CM2219">
        <v>59.97</v>
      </c>
      <c r="CN2219">
        <v>3.68</v>
      </c>
      <c r="CO2219">
        <v>0.8</v>
      </c>
      <c r="CP2219">
        <v>2.4</v>
      </c>
      <c r="CQ2219">
        <v>0.53</v>
      </c>
      <c r="CR2219">
        <v>1.82</v>
      </c>
      <c r="CS2219" t="s">
        <v>1244</v>
      </c>
      <c r="CT2219">
        <v>4.51</v>
      </c>
      <c r="CU2219">
        <v>4.51</v>
      </c>
      <c r="CV2219">
        <v>1.33</v>
      </c>
      <c r="CW2219">
        <v>1.83</v>
      </c>
      <c r="CX2219">
        <v>1.51</v>
      </c>
      <c r="CY2219">
        <v>25.7</v>
      </c>
      <c r="CZ2219" t="s">
        <v>5201</v>
      </c>
      <c r="DA2219">
        <v>13.6</v>
      </c>
      <c r="DB2219">
        <v>6.12</v>
      </c>
      <c r="DC2219">
        <v>3.72</v>
      </c>
      <c r="DD2219">
        <v>0</v>
      </c>
      <c r="DE2219">
        <v>27386</v>
      </c>
      <c r="DF2219">
        <v>600027</v>
      </c>
      <c r="DG2219" t="s">
        <v>116</v>
      </c>
      <c r="DH2219" t="s">
        <v>116</v>
      </c>
      <c r="DI2219" t="s">
        <v>116</v>
      </c>
    </row>
    <row r="2220" spans="1:113" x14ac:dyDescent="0.4">
      <c r="A2220" t="str">
        <f>"600028"</f>
        <v>600028</v>
      </c>
      <c r="B2220" t="s">
        <v>10589</v>
      </c>
      <c r="C2220">
        <v>0.6</v>
      </c>
      <c r="D2220">
        <v>5.05</v>
      </c>
      <c r="E2220">
        <v>0.03</v>
      </c>
      <c r="F2220">
        <v>5.05</v>
      </c>
      <c r="G2220">
        <v>5.0599999999999996</v>
      </c>
      <c r="H2220">
        <v>690988</v>
      </c>
      <c r="I2220">
        <v>4369</v>
      </c>
      <c r="J2220">
        <v>-0.19</v>
      </c>
      <c r="K2220">
        <v>7.0000000000000007E-2</v>
      </c>
      <c r="L2220">
        <v>5.0199999999999996</v>
      </c>
      <c r="M2220">
        <v>5.09</v>
      </c>
      <c r="N2220">
        <v>5.0199999999999996</v>
      </c>
      <c r="O2220">
        <v>5.0199999999999996</v>
      </c>
      <c r="P2220">
        <v>10.59</v>
      </c>
      <c r="Q2220">
        <v>349684544</v>
      </c>
      <c r="R2220">
        <v>2.02</v>
      </c>
      <c r="S2220" t="s">
        <v>433</v>
      </c>
      <c r="T2220" t="s">
        <v>165</v>
      </c>
      <c r="U2220">
        <v>1.39</v>
      </c>
      <c r="V2220">
        <v>5.0599999999999996</v>
      </c>
      <c r="W2220">
        <v>301519</v>
      </c>
      <c r="X2220">
        <v>389469</v>
      </c>
      <c r="Y2220">
        <v>0.77</v>
      </c>
      <c r="Z2220">
        <v>3823</v>
      </c>
      <c r="AA2220">
        <v>4675</v>
      </c>
      <c r="AB2220" t="s">
        <v>116</v>
      </c>
      <c r="AC2220">
        <v>2430600</v>
      </c>
      <c r="AD2220">
        <v>0</v>
      </c>
      <c r="AE2220" t="s">
        <v>116</v>
      </c>
      <c r="AF2220" t="s">
        <v>116</v>
      </c>
      <c r="AG2220">
        <v>955.58</v>
      </c>
      <c r="AH2220" t="s">
        <v>10590</v>
      </c>
      <c r="AI2220" t="s">
        <v>10590</v>
      </c>
      <c r="AJ2220">
        <v>0.67</v>
      </c>
      <c r="AK2220">
        <v>4153</v>
      </c>
      <c r="AL2220">
        <v>166</v>
      </c>
      <c r="AM2220">
        <v>0</v>
      </c>
      <c r="AN2220">
        <v>2</v>
      </c>
      <c r="AO2220">
        <v>0.6</v>
      </c>
      <c r="AP2220">
        <v>1.2</v>
      </c>
      <c r="AQ2220">
        <v>1.2</v>
      </c>
      <c r="AR2220">
        <v>8.14</v>
      </c>
      <c r="AS2220">
        <v>0.54</v>
      </c>
      <c r="AT2220" t="s">
        <v>10591</v>
      </c>
      <c r="AU2220">
        <v>13.18</v>
      </c>
      <c r="AV2220">
        <v>9.69</v>
      </c>
      <c r="AW2220">
        <v>0.53</v>
      </c>
      <c r="BA2220">
        <v>0</v>
      </c>
      <c r="BB2220">
        <v>1.39</v>
      </c>
      <c r="BC2220">
        <v>0</v>
      </c>
      <c r="BD2220">
        <v>0.81</v>
      </c>
      <c r="BE2220">
        <v>0.6</v>
      </c>
      <c r="BF2220">
        <v>-0.79</v>
      </c>
      <c r="BG2220">
        <v>0.6</v>
      </c>
      <c r="BH2220">
        <v>-0.21</v>
      </c>
      <c r="BI2220">
        <v>20191031</v>
      </c>
      <c r="BJ2220">
        <v>20010808</v>
      </c>
      <c r="BK2220">
        <v>1210.71</v>
      </c>
      <c r="BL2220" t="s">
        <v>116</v>
      </c>
      <c r="BM2220">
        <v>255.13</v>
      </c>
      <c r="BN2220">
        <v>18263.36</v>
      </c>
      <c r="BO2220">
        <v>7258.93</v>
      </c>
      <c r="BP2220">
        <v>1469.96</v>
      </c>
      <c r="BQ2220">
        <v>52.21</v>
      </c>
      <c r="BR2220">
        <v>5350.4</v>
      </c>
      <c r="BS2220">
        <v>5997.55</v>
      </c>
      <c r="BT2220">
        <v>1043.1500000000001</v>
      </c>
      <c r="BU2220">
        <v>5978.84</v>
      </c>
      <c r="BV2220">
        <v>2087.4</v>
      </c>
      <c r="BW2220">
        <v>761.57</v>
      </c>
      <c r="BX2220">
        <v>1221.21</v>
      </c>
      <c r="BY2220">
        <v>22333.05</v>
      </c>
      <c r="BZ2220">
        <v>18810.830000000002</v>
      </c>
      <c r="CA2220">
        <v>685.24</v>
      </c>
      <c r="CB2220">
        <v>64.75</v>
      </c>
      <c r="CC2220">
        <v>683.32</v>
      </c>
      <c r="CD2220">
        <v>544.64</v>
      </c>
      <c r="CE2220">
        <v>432.81</v>
      </c>
      <c r="CF2220">
        <v>415.46</v>
      </c>
      <c r="CG2220">
        <v>2765.79</v>
      </c>
      <c r="CH2220">
        <v>813.98</v>
      </c>
      <c r="CI2220">
        <v>-233.85</v>
      </c>
      <c r="CJ2220">
        <v>502791</v>
      </c>
      <c r="CK2220">
        <v>25554</v>
      </c>
      <c r="CL2220" t="s">
        <v>10592</v>
      </c>
      <c r="CM2220">
        <v>-27.84</v>
      </c>
      <c r="CN2220">
        <v>7.73</v>
      </c>
      <c r="CO2220">
        <v>0.84</v>
      </c>
      <c r="CP2220">
        <v>7.51</v>
      </c>
      <c r="CQ2220">
        <v>0.27</v>
      </c>
      <c r="CR2220">
        <v>7.52</v>
      </c>
      <c r="CS2220" t="s">
        <v>6948</v>
      </c>
      <c r="CT2220">
        <v>6</v>
      </c>
      <c r="CU2220">
        <v>0</v>
      </c>
      <c r="CV2220">
        <v>1.01</v>
      </c>
      <c r="CW2220">
        <v>2.2799999999999998</v>
      </c>
      <c r="CX2220">
        <v>0.67</v>
      </c>
      <c r="CY2220">
        <v>39.75</v>
      </c>
      <c r="CZ2220" t="s">
        <v>6373</v>
      </c>
      <c r="DA2220">
        <v>15.77</v>
      </c>
      <c r="DB2220">
        <v>3.07</v>
      </c>
      <c r="DC2220">
        <v>1.94</v>
      </c>
      <c r="DD2220">
        <v>59.31</v>
      </c>
      <c r="DE2220">
        <v>423543</v>
      </c>
      <c r="DF2220">
        <v>600028</v>
      </c>
      <c r="DG2220" t="s">
        <v>116</v>
      </c>
      <c r="DH2220" t="s">
        <v>116</v>
      </c>
      <c r="DI2220" t="s">
        <v>116</v>
      </c>
    </row>
    <row r="2221" spans="1:113" x14ac:dyDescent="0.4">
      <c r="A2221" t="str">
        <f>"600029"</f>
        <v>600029</v>
      </c>
      <c r="B2221" t="s">
        <v>10593</v>
      </c>
      <c r="C2221">
        <v>1.01</v>
      </c>
      <c r="D2221">
        <v>7</v>
      </c>
      <c r="E2221">
        <v>7.0000000000000007E-2</v>
      </c>
      <c r="F2221">
        <v>6.99</v>
      </c>
      <c r="G2221">
        <v>7</v>
      </c>
      <c r="H2221">
        <v>867700</v>
      </c>
      <c r="I2221">
        <v>3445</v>
      </c>
      <c r="J2221">
        <v>0.14000000000000001</v>
      </c>
      <c r="K2221">
        <v>1.07</v>
      </c>
      <c r="L2221">
        <v>6.91</v>
      </c>
      <c r="M2221">
        <v>7.09</v>
      </c>
      <c r="N2221">
        <v>6.9</v>
      </c>
      <c r="O2221">
        <v>6.93</v>
      </c>
      <c r="P2221">
        <v>15.79</v>
      </c>
      <c r="Q2221">
        <v>609789504</v>
      </c>
      <c r="R2221">
        <v>3.1</v>
      </c>
      <c r="S2221" t="s">
        <v>544</v>
      </c>
      <c r="T2221" t="s">
        <v>551</v>
      </c>
      <c r="U2221">
        <v>2.74</v>
      </c>
      <c r="V2221">
        <v>7.03</v>
      </c>
      <c r="W2221">
        <v>351723</v>
      </c>
      <c r="X2221">
        <v>515977</v>
      </c>
      <c r="Y2221">
        <v>0.68</v>
      </c>
      <c r="Z2221">
        <v>1462</v>
      </c>
      <c r="AA2221">
        <v>6936</v>
      </c>
      <c r="AB2221" t="s">
        <v>116</v>
      </c>
      <c r="AC2221">
        <v>237000</v>
      </c>
      <c r="AD2221">
        <v>0</v>
      </c>
      <c r="AE2221" t="s">
        <v>116</v>
      </c>
      <c r="AF2221" t="s">
        <v>116</v>
      </c>
      <c r="AG2221">
        <v>81.12</v>
      </c>
      <c r="AH2221" t="s">
        <v>10594</v>
      </c>
      <c r="AI2221" t="s">
        <v>10595</v>
      </c>
      <c r="AJ2221">
        <v>1.0900000000000001</v>
      </c>
      <c r="AK2221">
        <v>4229</v>
      </c>
      <c r="AL2221">
        <v>205</v>
      </c>
      <c r="AM2221">
        <v>2.9999999999999997E-4</v>
      </c>
      <c r="AN2221">
        <v>4</v>
      </c>
      <c r="AO2221">
        <v>2.48</v>
      </c>
      <c r="AP2221">
        <v>5.9</v>
      </c>
      <c r="AQ2221">
        <v>4.63</v>
      </c>
      <c r="AR2221">
        <v>6.22</v>
      </c>
      <c r="AS2221">
        <v>2.13</v>
      </c>
      <c r="AT2221" t="s">
        <v>10596</v>
      </c>
      <c r="AU2221">
        <v>29.75</v>
      </c>
      <c r="AV2221">
        <v>28.79</v>
      </c>
      <c r="AW2221">
        <v>1.59</v>
      </c>
      <c r="BA2221">
        <v>-0.28999999999999998</v>
      </c>
      <c r="BB2221">
        <v>2.31</v>
      </c>
      <c r="BC2221">
        <v>-0.43</v>
      </c>
      <c r="BD2221">
        <v>1.41</v>
      </c>
      <c r="BE2221">
        <v>1.3</v>
      </c>
      <c r="BF2221">
        <v>-1.27</v>
      </c>
      <c r="BG2221">
        <v>1.45</v>
      </c>
      <c r="BH2221">
        <v>-0.4</v>
      </c>
      <c r="BI2221">
        <v>20191031</v>
      </c>
      <c r="BJ2221">
        <v>20030725</v>
      </c>
      <c r="BK2221">
        <v>122.67</v>
      </c>
      <c r="BL2221" t="s">
        <v>116</v>
      </c>
      <c r="BM2221">
        <v>36.659999999999997</v>
      </c>
      <c r="BN2221">
        <v>3010.16</v>
      </c>
      <c r="BO2221">
        <v>653.15</v>
      </c>
      <c r="BP2221">
        <v>132.93</v>
      </c>
      <c r="BQ2221">
        <v>73.89</v>
      </c>
      <c r="BR2221">
        <v>169.56</v>
      </c>
      <c r="BS2221">
        <v>811.41</v>
      </c>
      <c r="BT2221">
        <v>36.520000000000003</v>
      </c>
      <c r="BU2221">
        <v>886.53</v>
      </c>
      <c r="BV2221">
        <v>21.19</v>
      </c>
      <c r="BW2221">
        <v>35.369999999999997</v>
      </c>
      <c r="BX2221">
        <v>256.33</v>
      </c>
      <c r="BY2221">
        <v>1166.6500000000001</v>
      </c>
      <c r="BZ2221">
        <v>995.47</v>
      </c>
      <c r="CA2221">
        <v>54.18</v>
      </c>
      <c r="CB2221">
        <v>5.5</v>
      </c>
      <c r="CC2221">
        <v>60.38</v>
      </c>
      <c r="CD2221">
        <v>45.67</v>
      </c>
      <c r="CE2221">
        <v>40.78</v>
      </c>
      <c r="CF2221">
        <v>36.01</v>
      </c>
      <c r="CG2221">
        <v>245.96</v>
      </c>
      <c r="CH2221">
        <v>247.76</v>
      </c>
      <c r="CI2221">
        <v>-61.99</v>
      </c>
      <c r="CJ2221">
        <v>211881</v>
      </c>
      <c r="CK2221">
        <v>19220</v>
      </c>
      <c r="CL2221" t="s">
        <v>10122</v>
      </c>
      <c r="CM2221">
        <v>-2.3199999999999998</v>
      </c>
      <c r="CN2221">
        <v>7.14</v>
      </c>
      <c r="CO2221">
        <v>1.31</v>
      </c>
      <c r="CP2221">
        <v>3.47</v>
      </c>
      <c r="CQ2221">
        <v>0.74</v>
      </c>
      <c r="CR2221">
        <v>0.71</v>
      </c>
      <c r="CS2221" t="s">
        <v>2925</v>
      </c>
      <c r="CT2221">
        <v>5.32</v>
      </c>
      <c r="CU2221">
        <v>0</v>
      </c>
      <c r="CV2221">
        <v>2.09</v>
      </c>
      <c r="CW2221">
        <v>2.0099999999999998</v>
      </c>
      <c r="CX2221">
        <v>2.02</v>
      </c>
      <c r="CY2221">
        <v>21.7</v>
      </c>
      <c r="CZ2221" t="s">
        <v>3806</v>
      </c>
      <c r="DA2221">
        <v>14.67</v>
      </c>
      <c r="DB2221">
        <v>4.6399999999999997</v>
      </c>
      <c r="DC2221">
        <v>3.5</v>
      </c>
      <c r="DD2221">
        <v>2.33</v>
      </c>
      <c r="DE2221">
        <v>100831</v>
      </c>
      <c r="DF2221">
        <v>600029</v>
      </c>
      <c r="DG2221" t="s">
        <v>116</v>
      </c>
      <c r="DH2221" t="s">
        <v>116</v>
      </c>
      <c r="DI2221" t="s">
        <v>116</v>
      </c>
    </row>
    <row r="2222" spans="1:113" x14ac:dyDescent="0.4">
      <c r="A2222" t="str">
        <f>"600030"</f>
        <v>600030</v>
      </c>
      <c r="B2222" t="s">
        <v>10597</v>
      </c>
      <c r="C2222">
        <v>-1.77</v>
      </c>
      <c r="D2222">
        <v>23.33</v>
      </c>
      <c r="E2222">
        <v>-0.42</v>
      </c>
      <c r="F2222">
        <v>23.33</v>
      </c>
      <c r="G2222">
        <v>23.34</v>
      </c>
      <c r="H2222">
        <v>1702762</v>
      </c>
      <c r="I2222">
        <v>16790</v>
      </c>
      <c r="J2222">
        <v>-0.08</v>
      </c>
      <c r="K2222">
        <v>1.73</v>
      </c>
      <c r="L2222">
        <v>23.7</v>
      </c>
      <c r="M2222">
        <v>24.08</v>
      </c>
      <c r="N2222">
        <v>23.32</v>
      </c>
      <c r="O2222">
        <v>23.75</v>
      </c>
      <c r="P2222">
        <v>20.149999999999999</v>
      </c>
      <c r="Q2222">
        <v>4044176384</v>
      </c>
      <c r="R2222">
        <v>1.53</v>
      </c>
      <c r="S2222" t="s">
        <v>623</v>
      </c>
      <c r="T2222" t="s">
        <v>115</v>
      </c>
      <c r="U2222">
        <v>3.2</v>
      </c>
      <c r="V2222">
        <v>23.75</v>
      </c>
      <c r="W2222">
        <v>908204</v>
      </c>
      <c r="X2222">
        <v>794558</v>
      </c>
      <c r="Y2222">
        <v>1.1399999999999999</v>
      </c>
      <c r="Z2222">
        <v>3818</v>
      </c>
      <c r="AA2222">
        <v>1084</v>
      </c>
      <c r="AB2222" t="s">
        <v>116</v>
      </c>
      <c r="AC2222">
        <v>40422100</v>
      </c>
      <c r="AD2222">
        <v>0.02</v>
      </c>
      <c r="AE2222" t="s">
        <v>116</v>
      </c>
      <c r="AF2222" t="s">
        <v>116</v>
      </c>
      <c r="AG2222">
        <v>98.15</v>
      </c>
      <c r="AH2222" t="s">
        <v>10598</v>
      </c>
      <c r="AI2222" t="s">
        <v>10599</v>
      </c>
      <c r="AJ2222">
        <v>-1.69</v>
      </c>
      <c r="AK2222">
        <v>4727</v>
      </c>
      <c r="AL2222">
        <v>360</v>
      </c>
      <c r="AM2222">
        <v>4.0000000000000002E-4</v>
      </c>
      <c r="AN2222">
        <v>-1</v>
      </c>
      <c r="AO2222">
        <v>0.64</v>
      </c>
      <c r="AP2222">
        <v>8.9700000000000006</v>
      </c>
      <c r="AQ2222">
        <v>1.21</v>
      </c>
      <c r="AR2222">
        <v>48.98</v>
      </c>
      <c r="AS2222">
        <v>2.1800000000000002</v>
      </c>
      <c r="AT2222" t="s">
        <v>10600</v>
      </c>
      <c r="AU2222">
        <v>22.44</v>
      </c>
      <c r="AV2222">
        <v>30.11</v>
      </c>
      <c r="AW2222">
        <v>1.69</v>
      </c>
      <c r="BA2222">
        <v>-0.21</v>
      </c>
      <c r="BB2222">
        <v>1.39</v>
      </c>
      <c r="BC2222">
        <v>-1.81</v>
      </c>
      <c r="BD2222">
        <v>0</v>
      </c>
      <c r="BE2222">
        <v>-1.56</v>
      </c>
      <c r="BF2222">
        <v>-3.11</v>
      </c>
      <c r="BG2222">
        <v>0.04</v>
      </c>
      <c r="BH2222">
        <v>-1.77</v>
      </c>
      <c r="BI2222">
        <v>20191118</v>
      </c>
      <c r="BJ2222">
        <v>20030106</v>
      </c>
      <c r="BK2222">
        <v>121.17</v>
      </c>
      <c r="BL2222" t="s">
        <v>116</v>
      </c>
      <c r="BM2222">
        <v>22.78</v>
      </c>
      <c r="BN2222">
        <v>7294.1</v>
      </c>
      <c r="BO2222">
        <v>1600.82</v>
      </c>
      <c r="BP2222">
        <v>36.56</v>
      </c>
      <c r="BQ2222">
        <v>77.55</v>
      </c>
      <c r="BR2222">
        <v>0</v>
      </c>
      <c r="BS2222">
        <v>75.92</v>
      </c>
      <c r="BT2222">
        <v>31.3</v>
      </c>
      <c r="BU2222">
        <v>0</v>
      </c>
      <c r="BV2222">
        <v>0</v>
      </c>
      <c r="BW2222">
        <v>0</v>
      </c>
      <c r="BX2222">
        <v>541.91</v>
      </c>
      <c r="BY2222">
        <v>327.74</v>
      </c>
      <c r="BZ2222">
        <v>0</v>
      </c>
      <c r="CA2222">
        <v>144.44999999999999</v>
      </c>
      <c r="CB2222">
        <v>124.17</v>
      </c>
      <c r="CC2222">
        <v>144.51</v>
      </c>
      <c r="CD2222">
        <v>108.53</v>
      </c>
      <c r="CE2222">
        <v>105.22</v>
      </c>
      <c r="CF2222">
        <v>104.68</v>
      </c>
      <c r="CG2222">
        <v>612.58000000000004</v>
      </c>
      <c r="CH2222">
        <v>104.1</v>
      </c>
      <c r="CI2222">
        <v>207.49</v>
      </c>
      <c r="CJ2222">
        <v>579187</v>
      </c>
      <c r="CK2222">
        <v>13493</v>
      </c>
      <c r="CL2222" t="s">
        <v>10601</v>
      </c>
      <c r="CM2222">
        <v>43.85</v>
      </c>
      <c r="CN2222">
        <v>20.45</v>
      </c>
      <c r="CO2222">
        <v>1.77</v>
      </c>
      <c r="CP2222">
        <v>27.15</v>
      </c>
      <c r="CQ2222">
        <v>8.6300000000000008</v>
      </c>
      <c r="CR2222">
        <v>1.5</v>
      </c>
      <c r="CS2222" t="s">
        <v>10602</v>
      </c>
      <c r="CT2222">
        <v>13.21</v>
      </c>
      <c r="CU2222">
        <v>0</v>
      </c>
      <c r="CV2222">
        <v>4.47</v>
      </c>
      <c r="CW2222">
        <v>5.0599999999999996</v>
      </c>
      <c r="CX2222">
        <v>0.86</v>
      </c>
      <c r="CY2222">
        <v>21.95</v>
      </c>
      <c r="CZ2222" t="s">
        <v>10603</v>
      </c>
      <c r="DA2222" t="s">
        <v>116</v>
      </c>
      <c r="DB2222">
        <v>44.08</v>
      </c>
      <c r="DC2222">
        <v>32.11</v>
      </c>
      <c r="DD2222">
        <v>0</v>
      </c>
      <c r="DE2222">
        <v>15842</v>
      </c>
      <c r="DF2222">
        <v>600030</v>
      </c>
      <c r="DG2222">
        <v>20190307</v>
      </c>
      <c r="DH2222">
        <v>27.03</v>
      </c>
      <c r="DI2222">
        <v>-12.39</v>
      </c>
    </row>
    <row r="2223" spans="1:113" x14ac:dyDescent="0.4">
      <c r="A2223" t="str">
        <f>"600031"</f>
        <v>600031</v>
      </c>
      <c r="B2223" t="s">
        <v>10604</v>
      </c>
      <c r="C2223">
        <v>0.42</v>
      </c>
      <c r="D2223">
        <v>16.649999999999999</v>
      </c>
      <c r="E2223">
        <v>7.0000000000000007E-2</v>
      </c>
      <c r="F2223">
        <v>16.64</v>
      </c>
      <c r="G2223">
        <v>16.649999999999999</v>
      </c>
      <c r="H2223">
        <v>680892</v>
      </c>
      <c r="I2223">
        <v>6487</v>
      </c>
      <c r="J2223">
        <v>0.24</v>
      </c>
      <c r="K2223">
        <v>0.81</v>
      </c>
      <c r="L2223">
        <v>16.54</v>
      </c>
      <c r="M2223">
        <v>16.78</v>
      </c>
      <c r="N2223">
        <v>16.43</v>
      </c>
      <c r="O2223">
        <v>16.579999999999998</v>
      </c>
      <c r="P2223">
        <v>11.48</v>
      </c>
      <c r="Q2223">
        <v>1130967168</v>
      </c>
      <c r="R2223">
        <v>0.9</v>
      </c>
      <c r="S2223" t="s">
        <v>598</v>
      </c>
      <c r="T2223" t="s">
        <v>165</v>
      </c>
      <c r="U2223">
        <v>2.11</v>
      </c>
      <c r="V2223">
        <v>16.61</v>
      </c>
      <c r="W2223">
        <v>352684</v>
      </c>
      <c r="X2223">
        <v>328208</v>
      </c>
      <c r="Y2223">
        <v>1.07</v>
      </c>
      <c r="Z2223">
        <v>552</v>
      </c>
      <c r="AA2223">
        <v>202</v>
      </c>
      <c r="AB2223" t="s">
        <v>116</v>
      </c>
      <c r="AC2223">
        <v>4014300</v>
      </c>
      <c r="AD2223">
        <v>0</v>
      </c>
      <c r="AE2223" t="s">
        <v>116</v>
      </c>
      <c r="AF2223" t="s">
        <v>116</v>
      </c>
      <c r="AG2223">
        <v>84.18</v>
      </c>
      <c r="AH2223" t="s">
        <v>10605</v>
      </c>
      <c r="AI2223" t="s">
        <v>10606</v>
      </c>
      <c r="AJ2223">
        <v>0.5</v>
      </c>
      <c r="AK2223">
        <v>4546</v>
      </c>
      <c r="AL2223">
        <v>150</v>
      </c>
      <c r="AM2223">
        <v>2.0000000000000001E-4</v>
      </c>
      <c r="AN2223">
        <v>5</v>
      </c>
      <c r="AO2223">
        <v>4.51</v>
      </c>
      <c r="AP2223">
        <v>14.99</v>
      </c>
      <c r="AQ2223">
        <v>15.54</v>
      </c>
      <c r="AR2223">
        <v>106.06</v>
      </c>
      <c r="AS2223">
        <v>1.21</v>
      </c>
      <c r="AT2223" t="s">
        <v>10607</v>
      </c>
      <c r="AU2223">
        <v>13.49</v>
      </c>
      <c r="AV2223">
        <v>22.93</v>
      </c>
      <c r="AW2223">
        <v>1.1299999999999999</v>
      </c>
      <c r="BA2223">
        <v>-0.24</v>
      </c>
      <c r="BB2223">
        <v>1.21</v>
      </c>
      <c r="BC2223">
        <v>-0.9</v>
      </c>
      <c r="BD2223">
        <v>0.18</v>
      </c>
      <c r="BE2223">
        <v>0.67</v>
      </c>
      <c r="BF2223">
        <v>-0.77</v>
      </c>
      <c r="BG2223">
        <v>1.34</v>
      </c>
      <c r="BH2223">
        <v>0.24</v>
      </c>
      <c r="BI2223">
        <v>20191128</v>
      </c>
      <c r="BJ2223">
        <v>20030703</v>
      </c>
      <c r="BK2223">
        <v>84.23</v>
      </c>
      <c r="BL2223" t="s">
        <v>116</v>
      </c>
      <c r="BM2223" t="s">
        <v>116</v>
      </c>
      <c r="BN2223">
        <v>881.83</v>
      </c>
      <c r="BO2223">
        <v>423.34</v>
      </c>
      <c r="BP2223">
        <v>10.87</v>
      </c>
      <c r="BQ2223">
        <v>50.76</v>
      </c>
      <c r="BR2223">
        <v>667.04</v>
      </c>
      <c r="BS2223">
        <v>109.83</v>
      </c>
      <c r="BT2223">
        <v>36.47</v>
      </c>
      <c r="BU2223">
        <v>418.1</v>
      </c>
      <c r="BV2223">
        <v>108.52</v>
      </c>
      <c r="BW2223">
        <v>250.19</v>
      </c>
      <c r="BX2223">
        <v>58.72</v>
      </c>
      <c r="BY2223">
        <v>586.91</v>
      </c>
      <c r="BZ2223">
        <v>395.95</v>
      </c>
      <c r="CA2223">
        <v>115.15</v>
      </c>
      <c r="CB2223">
        <v>1.35</v>
      </c>
      <c r="CC2223">
        <v>111.85</v>
      </c>
      <c r="CD2223">
        <v>94.06</v>
      </c>
      <c r="CE2223">
        <v>91.59</v>
      </c>
      <c r="CF2223">
        <v>92.54</v>
      </c>
      <c r="CG2223">
        <v>268.68</v>
      </c>
      <c r="CH2223">
        <v>94.45</v>
      </c>
      <c r="CI2223">
        <v>-20.51</v>
      </c>
      <c r="CJ2223">
        <v>280293</v>
      </c>
      <c r="CK2223">
        <v>19994</v>
      </c>
      <c r="CL2223" t="s">
        <v>8858</v>
      </c>
      <c r="CM2223">
        <v>87.56</v>
      </c>
      <c r="CN2223">
        <v>42.88</v>
      </c>
      <c r="CO2223">
        <v>3.31</v>
      </c>
      <c r="CP2223">
        <v>14.85</v>
      </c>
      <c r="CQ2223">
        <v>2.39</v>
      </c>
      <c r="CR2223">
        <v>1.54</v>
      </c>
      <c r="CS2223" t="s">
        <v>9438</v>
      </c>
      <c r="CT2223">
        <v>5.03</v>
      </c>
      <c r="CU2223">
        <v>5.03</v>
      </c>
      <c r="CV2223">
        <v>0.7</v>
      </c>
      <c r="CW2223">
        <v>3.19</v>
      </c>
      <c r="CX2223">
        <v>1.1200000000000001</v>
      </c>
      <c r="CY2223">
        <v>48.01</v>
      </c>
      <c r="CZ2223" t="s">
        <v>10608</v>
      </c>
      <c r="DA2223">
        <v>32.54</v>
      </c>
      <c r="DB2223">
        <v>19.62</v>
      </c>
      <c r="DC2223">
        <v>15.61</v>
      </c>
      <c r="DD2223">
        <v>20.32</v>
      </c>
      <c r="DE2223">
        <v>17383</v>
      </c>
      <c r="DF2223">
        <v>600031</v>
      </c>
      <c r="DG2223" t="s">
        <v>116</v>
      </c>
      <c r="DH2223" t="s">
        <v>116</v>
      </c>
      <c r="DI2223" t="s">
        <v>116</v>
      </c>
    </row>
    <row r="2224" spans="1:113" x14ac:dyDescent="0.4">
      <c r="A2224" t="str">
        <f>"600033"</f>
        <v>600033</v>
      </c>
      <c r="B2224" t="s">
        <v>10609</v>
      </c>
      <c r="C2224">
        <v>-0.33</v>
      </c>
      <c r="D2224">
        <v>3.04</v>
      </c>
      <c r="E2224">
        <v>-0.01</v>
      </c>
      <c r="F2224">
        <v>3.04</v>
      </c>
      <c r="G2224">
        <v>3.05</v>
      </c>
      <c r="H2224">
        <v>68843</v>
      </c>
      <c r="I2224">
        <v>206</v>
      </c>
      <c r="J2224">
        <v>0</v>
      </c>
      <c r="K2224">
        <v>0.25</v>
      </c>
      <c r="L2224">
        <v>3.05</v>
      </c>
      <c r="M2224">
        <v>3.06</v>
      </c>
      <c r="N2224">
        <v>3.04</v>
      </c>
      <c r="O2224">
        <v>3.05</v>
      </c>
      <c r="P2224">
        <v>9.42</v>
      </c>
      <c r="Q2224">
        <v>21002332</v>
      </c>
      <c r="R2224">
        <v>1.2</v>
      </c>
      <c r="S2224" t="s">
        <v>809</v>
      </c>
      <c r="T2224" t="s">
        <v>975</v>
      </c>
      <c r="U2224">
        <v>0.66</v>
      </c>
      <c r="V2224">
        <v>3.05</v>
      </c>
      <c r="W2224">
        <v>42700</v>
      </c>
      <c r="X2224">
        <v>26143</v>
      </c>
      <c r="Y2224">
        <v>1.63</v>
      </c>
      <c r="Z2224">
        <v>8948</v>
      </c>
      <c r="AA2224">
        <v>3310</v>
      </c>
      <c r="AB2224" t="s">
        <v>116</v>
      </c>
      <c r="AC2224">
        <v>21400</v>
      </c>
      <c r="AD2224">
        <v>0</v>
      </c>
      <c r="AE2224" t="s">
        <v>116</v>
      </c>
      <c r="AF2224" t="s">
        <v>116</v>
      </c>
      <c r="AG2224">
        <v>27.44</v>
      </c>
      <c r="AH2224" t="s">
        <v>676</v>
      </c>
      <c r="AI2224" t="s">
        <v>676</v>
      </c>
      <c r="AJ2224">
        <v>-0.25</v>
      </c>
      <c r="AK2224">
        <v>585</v>
      </c>
      <c r="AL2224">
        <v>118</v>
      </c>
      <c r="AM2224">
        <v>4.0000000000000002E-4</v>
      </c>
      <c r="AN2224">
        <v>-1</v>
      </c>
      <c r="AO2224">
        <v>0</v>
      </c>
      <c r="AP2224">
        <v>0.66</v>
      </c>
      <c r="AQ2224">
        <v>-1.3</v>
      </c>
      <c r="AR2224">
        <v>7.8</v>
      </c>
      <c r="AS2224">
        <v>0.54</v>
      </c>
      <c r="AT2224" t="s">
        <v>9462</v>
      </c>
      <c r="AU2224">
        <v>10.55</v>
      </c>
      <c r="AV2224">
        <v>11.37</v>
      </c>
      <c r="AW2224">
        <v>0.56000000000000005</v>
      </c>
      <c r="BA2224">
        <v>0</v>
      </c>
      <c r="BB2224">
        <v>0.33</v>
      </c>
      <c r="BC2224">
        <v>-0.33</v>
      </c>
      <c r="BD2224">
        <v>0.02</v>
      </c>
      <c r="BE2224">
        <v>-0.33</v>
      </c>
      <c r="BF2224">
        <v>-0.65</v>
      </c>
      <c r="BG2224">
        <v>0</v>
      </c>
      <c r="BH2224">
        <v>-0.35</v>
      </c>
      <c r="BI2224">
        <v>20191031</v>
      </c>
      <c r="BJ2224">
        <v>20010209</v>
      </c>
      <c r="BK2224">
        <v>27.44</v>
      </c>
      <c r="BL2224" t="s">
        <v>116</v>
      </c>
      <c r="BM2224" t="s">
        <v>116</v>
      </c>
      <c r="BN2224">
        <v>177.01</v>
      </c>
      <c r="BO2224">
        <v>95.68</v>
      </c>
      <c r="BP2224">
        <v>21.7</v>
      </c>
      <c r="BQ2224">
        <v>33.69</v>
      </c>
      <c r="BR2224">
        <v>21.56</v>
      </c>
      <c r="BS2224">
        <v>138.63</v>
      </c>
      <c r="BT2224">
        <v>0</v>
      </c>
      <c r="BU2224">
        <v>32.74</v>
      </c>
      <c r="BV2224">
        <v>0.25</v>
      </c>
      <c r="BW2224">
        <v>10.45</v>
      </c>
      <c r="BX2224">
        <v>16.579999999999998</v>
      </c>
      <c r="BY2224">
        <v>20.9</v>
      </c>
      <c r="BZ2224">
        <v>7.29</v>
      </c>
      <c r="CA2224">
        <v>11.5</v>
      </c>
      <c r="CB2224">
        <v>-7.0000000000000007E-2</v>
      </c>
      <c r="CC2224">
        <v>11.53</v>
      </c>
      <c r="CD2224">
        <v>8.6300000000000008</v>
      </c>
      <c r="CE2224">
        <v>6.64</v>
      </c>
      <c r="CF2224">
        <v>6.62</v>
      </c>
      <c r="CG2224">
        <v>39.5</v>
      </c>
      <c r="CH2224">
        <v>9.44</v>
      </c>
      <c r="CI2224">
        <v>0.22</v>
      </c>
      <c r="CJ2224">
        <v>111955</v>
      </c>
      <c r="CK2224">
        <v>11298</v>
      </c>
      <c r="CL2224" t="s">
        <v>1521</v>
      </c>
      <c r="CM2224">
        <v>9.4700000000000006</v>
      </c>
      <c r="CN2224">
        <v>6.08</v>
      </c>
      <c r="CO2224">
        <v>0.87</v>
      </c>
      <c r="CP2224">
        <v>8.84</v>
      </c>
      <c r="CQ2224">
        <v>3.99</v>
      </c>
      <c r="CR2224">
        <v>4.93</v>
      </c>
      <c r="CS2224" t="s">
        <v>3439</v>
      </c>
      <c r="CT2224">
        <v>3.49</v>
      </c>
      <c r="CU2224">
        <v>0</v>
      </c>
      <c r="CV2224">
        <v>0.6</v>
      </c>
      <c r="CW2224">
        <v>1.44</v>
      </c>
      <c r="CX2224">
        <v>0.34</v>
      </c>
      <c r="CY2224">
        <v>54.05</v>
      </c>
      <c r="CZ2224" t="s">
        <v>3792</v>
      </c>
      <c r="DA2224">
        <v>65.14</v>
      </c>
      <c r="DB2224">
        <v>55.04</v>
      </c>
      <c r="DC2224">
        <v>31.78</v>
      </c>
      <c r="DD2224">
        <v>0</v>
      </c>
      <c r="DE2224">
        <v>1441</v>
      </c>
      <c r="DF2224">
        <v>600033</v>
      </c>
      <c r="DG2224" t="s">
        <v>116</v>
      </c>
      <c r="DH2224" t="s">
        <v>116</v>
      </c>
      <c r="DI2224" t="s">
        <v>116</v>
      </c>
    </row>
    <row r="2225" spans="1:113" x14ac:dyDescent="0.4">
      <c r="A2225" t="str">
        <f>"600035"</f>
        <v>600035</v>
      </c>
      <c r="B2225" t="s">
        <v>10610</v>
      </c>
      <c r="C2225">
        <v>-0.3</v>
      </c>
      <c r="D2225">
        <v>3.37</v>
      </c>
      <c r="E2225">
        <v>-0.01</v>
      </c>
      <c r="F2225">
        <v>3.37</v>
      </c>
      <c r="G2225">
        <v>3.38</v>
      </c>
      <c r="H2225">
        <v>62389</v>
      </c>
      <c r="I2225">
        <v>395</v>
      </c>
      <c r="J2225">
        <v>-0.28999999999999998</v>
      </c>
      <c r="K2225">
        <v>0.41</v>
      </c>
      <c r="L2225">
        <v>3.38</v>
      </c>
      <c r="M2225">
        <v>3.42</v>
      </c>
      <c r="N2225">
        <v>3.37</v>
      </c>
      <c r="O2225">
        <v>3.38</v>
      </c>
      <c r="P2225">
        <v>8.27</v>
      </c>
      <c r="Q2225">
        <v>21170764</v>
      </c>
      <c r="R2225">
        <v>1.7</v>
      </c>
      <c r="S2225" t="s">
        <v>809</v>
      </c>
      <c r="T2225" t="s">
        <v>774</v>
      </c>
      <c r="U2225">
        <v>1.48</v>
      </c>
      <c r="V2225">
        <v>3.39</v>
      </c>
      <c r="W2225">
        <v>24300</v>
      </c>
      <c r="X2225">
        <v>38089</v>
      </c>
      <c r="Y2225">
        <v>0.64</v>
      </c>
      <c r="Z2225">
        <v>2878</v>
      </c>
      <c r="AA2225">
        <v>2102</v>
      </c>
      <c r="AB2225" t="s">
        <v>116</v>
      </c>
      <c r="AC2225">
        <v>8500</v>
      </c>
      <c r="AD2225">
        <v>0</v>
      </c>
      <c r="AE2225" t="s">
        <v>116</v>
      </c>
      <c r="AF2225" t="s">
        <v>116</v>
      </c>
      <c r="AG2225">
        <v>15.25</v>
      </c>
      <c r="AH2225" t="s">
        <v>10611</v>
      </c>
      <c r="AI2225" t="s">
        <v>10612</v>
      </c>
      <c r="AJ2225">
        <v>-0.22</v>
      </c>
      <c r="AK2225">
        <v>829</v>
      </c>
      <c r="AL2225">
        <v>75</v>
      </c>
      <c r="AM2225">
        <v>5.0000000000000001E-4</v>
      </c>
      <c r="AN2225">
        <v>-1</v>
      </c>
      <c r="AO2225">
        <v>-0.28999999999999998</v>
      </c>
      <c r="AP2225">
        <v>2.4300000000000002</v>
      </c>
      <c r="AQ2225">
        <v>0.9</v>
      </c>
      <c r="AR2225">
        <v>18.66</v>
      </c>
      <c r="AS2225">
        <v>1.02</v>
      </c>
      <c r="AT2225" t="s">
        <v>7944</v>
      </c>
      <c r="AU2225">
        <v>12.11</v>
      </c>
      <c r="AV2225">
        <v>12.84</v>
      </c>
      <c r="AW2225">
        <v>1.08</v>
      </c>
      <c r="BA2225">
        <v>0</v>
      </c>
      <c r="BB2225">
        <v>1.18</v>
      </c>
      <c r="BC2225">
        <v>-0.3</v>
      </c>
      <c r="BD2225">
        <v>0.4</v>
      </c>
      <c r="BE2225">
        <v>-0.3</v>
      </c>
      <c r="BF2225">
        <v>-1.46</v>
      </c>
      <c r="BG2225">
        <v>0</v>
      </c>
      <c r="BH2225">
        <v>-0.69</v>
      </c>
      <c r="BI2225">
        <v>20191030</v>
      </c>
      <c r="BJ2225">
        <v>20040310</v>
      </c>
      <c r="BK2225">
        <v>16.93</v>
      </c>
      <c r="BL2225" t="s">
        <v>116</v>
      </c>
      <c r="BM2225" t="s">
        <v>116</v>
      </c>
      <c r="BN2225">
        <v>104.69</v>
      </c>
      <c r="BO2225">
        <v>64.33</v>
      </c>
      <c r="BP2225">
        <v>0.08</v>
      </c>
      <c r="BQ2225">
        <v>38.47</v>
      </c>
      <c r="BR2225">
        <v>17.7</v>
      </c>
      <c r="BS2225">
        <v>5.53</v>
      </c>
      <c r="BT2225">
        <v>70.13</v>
      </c>
      <c r="BU2225">
        <v>17.32</v>
      </c>
      <c r="BV2225">
        <v>3.08</v>
      </c>
      <c r="BW2225">
        <v>4.2300000000000004</v>
      </c>
      <c r="BX2225">
        <v>12.72</v>
      </c>
      <c r="BY2225">
        <v>19.22</v>
      </c>
      <c r="BZ2225">
        <v>10.25</v>
      </c>
      <c r="CA2225">
        <v>6.93</v>
      </c>
      <c r="CB2225">
        <v>0.19</v>
      </c>
      <c r="CC2225">
        <v>6.94</v>
      </c>
      <c r="CD2225">
        <v>5.15</v>
      </c>
      <c r="CE2225">
        <v>5.18</v>
      </c>
      <c r="CF2225">
        <v>4.96</v>
      </c>
      <c r="CG2225">
        <v>24.14</v>
      </c>
      <c r="CH2225">
        <v>9.0299999999999994</v>
      </c>
      <c r="CI2225">
        <v>-1</v>
      </c>
      <c r="CJ2225">
        <v>70737</v>
      </c>
      <c r="CK2225">
        <v>8646</v>
      </c>
      <c r="CL2225" t="s">
        <v>2031</v>
      </c>
      <c r="CM2225">
        <v>5.47</v>
      </c>
      <c r="CN2225">
        <v>-12.56</v>
      </c>
      <c r="CO2225">
        <v>0.89</v>
      </c>
      <c r="CP2225">
        <v>6.32</v>
      </c>
      <c r="CQ2225">
        <v>2.97</v>
      </c>
      <c r="CR2225">
        <v>3.33</v>
      </c>
      <c r="CS2225" t="s">
        <v>4088</v>
      </c>
      <c r="CT2225">
        <v>3.8</v>
      </c>
      <c r="CU2225">
        <v>0</v>
      </c>
      <c r="CV2225">
        <v>0.75</v>
      </c>
      <c r="CW2225">
        <v>1.43</v>
      </c>
      <c r="CX2225">
        <v>0.53</v>
      </c>
      <c r="CY2225">
        <v>61.45</v>
      </c>
      <c r="CZ2225" t="s">
        <v>7786</v>
      </c>
      <c r="DA2225">
        <v>46.65</v>
      </c>
      <c r="DB2225">
        <v>36.04</v>
      </c>
      <c r="DC2225">
        <v>26.94</v>
      </c>
      <c r="DD2225">
        <v>0.24</v>
      </c>
      <c r="DE2225">
        <v>1499</v>
      </c>
      <c r="DF2225">
        <v>600035</v>
      </c>
      <c r="DG2225" t="s">
        <v>116</v>
      </c>
      <c r="DH2225" t="s">
        <v>116</v>
      </c>
      <c r="DI2225" t="s">
        <v>116</v>
      </c>
    </row>
    <row r="2226" spans="1:113" x14ac:dyDescent="0.4">
      <c r="A2226" t="str">
        <f>"600036"</f>
        <v>600036</v>
      </c>
      <c r="B2226" t="s">
        <v>10613</v>
      </c>
      <c r="C2226">
        <v>-0.63</v>
      </c>
      <c r="D2226">
        <v>37.86</v>
      </c>
      <c r="E2226">
        <v>-0.24</v>
      </c>
      <c r="F2226">
        <v>37.85</v>
      </c>
      <c r="G2226">
        <v>37.86</v>
      </c>
      <c r="H2226">
        <v>359535</v>
      </c>
      <c r="I2226">
        <v>3499</v>
      </c>
      <c r="J2226">
        <v>-0.1</v>
      </c>
      <c r="K2226">
        <v>0.17</v>
      </c>
      <c r="L2226">
        <v>38.1</v>
      </c>
      <c r="M2226">
        <v>38.5</v>
      </c>
      <c r="N2226">
        <v>37.799999999999997</v>
      </c>
      <c r="O2226">
        <v>38.1</v>
      </c>
      <c r="P2226">
        <v>9.27</v>
      </c>
      <c r="Q2226">
        <v>1370335104</v>
      </c>
      <c r="R2226">
        <v>1.27</v>
      </c>
      <c r="S2226" t="s">
        <v>114</v>
      </c>
      <c r="T2226" t="s">
        <v>115</v>
      </c>
      <c r="U2226">
        <v>1.84</v>
      </c>
      <c r="V2226">
        <v>38.11</v>
      </c>
      <c r="W2226">
        <v>169372</v>
      </c>
      <c r="X2226">
        <v>190163</v>
      </c>
      <c r="Y2226">
        <v>0.89</v>
      </c>
      <c r="Z2226">
        <v>267</v>
      </c>
      <c r="AA2226">
        <v>9</v>
      </c>
      <c r="AB2226" t="s">
        <v>116</v>
      </c>
      <c r="AC2226">
        <v>14367500</v>
      </c>
      <c r="AD2226">
        <v>0</v>
      </c>
      <c r="AE2226" t="s">
        <v>116</v>
      </c>
      <c r="AF2226" t="s">
        <v>116</v>
      </c>
      <c r="AG2226">
        <v>206.29</v>
      </c>
      <c r="AH2226" t="s">
        <v>10614</v>
      </c>
      <c r="AI2226" t="s">
        <v>10614</v>
      </c>
      <c r="AJ2226">
        <v>-0.55000000000000004</v>
      </c>
      <c r="AK2226">
        <v>4454</v>
      </c>
      <c r="AL2226">
        <v>81</v>
      </c>
      <c r="AM2226">
        <v>0</v>
      </c>
      <c r="AN2226">
        <v>-1</v>
      </c>
      <c r="AO2226">
        <v>-0.4</v>
      </c>
      <c r="AP2226">
        <v>5.08</v>
      </c>
      <c r="AQ2226">
        <v>7.56</v>
      </c>
      <c r="AR2226">
        <v>56.06</v>
      </c>
      <c r="AS2226">
        <v>0.36</v>
      </c>
      <c r="AT2226" t="s">
        <v>10615</v>
      </c>
      <c r="AU2226">
        <v>10.56</v>
      </c>
      <c r="AV2226">
        <v>11.85</v>
      </c>
      <c r="AW2226">
        <v>1.1000000000000001</v>
      </c>
      <c r="BA2226">
        <v>0</v>
      </c>
      <c r="BB2226">
        <v>1.05</v>
      </c>
      <c r="BC2226">
        <v>-0.79</v>
      </c>
      <c r="BD2226">
        <v>0.04</v>
      </c>
      <c r="BE2226">
        <v>-0.63</v>
      </c>
      <c r="BF2226">
        <v>-1.66</v>
      </c>
      <c r="BG2226">
        <v>0.16</v>
      </c>
      <c r="BH2226">
        <v>-0.67</v>
      </c>
      <c r="BI2226">
        <v>20191031</v>
      </c>
      <c r="BJ2226">
        <v>20020409</v>
      </c>
      <c r="BK2226">
        <v>252.2</v>
      </c>
      <c r="BL2226" t="s">
        <v>116</v>
      </c>
      <c r="BM2226">
        <v>45.91</v>
      </c>
      <c r="BN2226">
        <v>73059.25</v>
      </c>
      <c r="BO2226">
        <v>5964.25</v>
      </c>
      <c r="BP2226">
        <v>64.23</v>
      </c>
      <c r="BQ2226">
        <v>91.75</v>
      </c>
      <c r="BR2226">
        <v>0</v>
      </c>
      <c r="BS2226">
        <v>650.05999999999995</v>
      </c>
      <c r="BT2226">
        <v>96.42</v>
      </c>
      <c r="BU2226">
        <v>0</v>
      </c>
      <c r="BV2226">
        <v>0</v>
      </c>
      <c r="BW2226">
        <v>0</v>
      </c>
      <c r="BX2226">
        <v>675.23</v>
      </c>
      <c r="BY2226">
        <v>2077.3000000000002</v>
      </c>
      <c r="BZ2226">
        <v>0</v>
      </c>
      <c r="CA2226">
        <v>986.6</v>
      </c>
      <c r="CB2226">
        <v>119.33</v>
      </c>
      <c r="CC2226">
        <v>986.75</v>
      </c>
      <c r="CD2226">
        <v>777.61</v>
      </c>
      <c r="CE2226">
        <v>772.39</v>
      </c>
      <c r="CF2226">
        <v>767.58</v>
      </c>
      <c r="CG2226">
        <v>3262.57</v>
      </c>
      <c r="CH2226">
        <v>-537.32000000000005</v>
      </c>
      <c r="CI2226">
        <v>363.77</v>
      </c>
      <c r="CJ2226">
        <v>295044</v>
      </c>
      <c r="CK2226">
        <v>33544</v>
      </c>
      <c r="CL2226" t="s">
        <v>10616</v>
      </c>
      <c r="CM2226">
        <v>14.63</v>
      </c>
      <c r="CN2226">
        <v>10.36</v>
      </c>
      <c r="CO2226">
        <v>1.7</v>
      </c>
      <c r="CP2226">
        <v>-17.77</v>
      </c>
      <c r="CQ2226">
        <v>4.5999999999999996</v>
      </c>
      <c r="CR2226">
        <v>2.48</v>
      </c>
      <c r="CS2226" t="s">
        <v>10617</v>
      </c>
      <c r="CT2226">
        <v>22.3</v>
      </c>
      <c r="CU2226">
        <v>22.3</v>
      </c>
      <c r="CV2226">
        <v>2.68</v>
      </c>
      <c r="CW2226">
        <v>12.94</v>
      </c>
      <c r="CX2226">
        <v>-2.13</v>
      </c>
      <c r="CY2226">
        <v>8.16</v>
      </c>
      <c r="CZ2226" t="s">
        <v>10618</v>
      </c>
      <c r="DA2226" t="s">
        <v>116</v>
      </c>
      <c r="DB2226">
        <v>47.49</v>
      </c>
      <c r="DC2226">
        <v>37.18</v>
      </c>
      <c r="DD2226">
        <v>0</v>
      </c>
      <c r="DE2226">
        <v>86318</v>
      </c>
      <c r="DF2226">
        <v>600036</v>
      </c>
      <c r="DG2226" t="s">
        <v>116</v>
      </c>
      <c r="DH2226" t="s">
        <v>116</v>
      </c>
      <c r="DI2226" t="s">
        <v>116</v>
      </c>
    </row>
    <row r="2227" spans="1:113" x14ac:dyDescent="0.4">
      <c r="A2227" t="str">
        <f>"600037"</f>
        <v>600037</v>
      </c>
      <c r="B2227" t="s">
        <v>10619</v>
      </c>
      <c r="C2227">
        <v>-0.99</v>
      </c>
      <c r="D2227">
        <v>8.9600000000000009</v>
      </c>
      <c r="E2227">
        <v>-0.09</v>
      </c>
      <c r="F2227">
        <v>8.9499999999999993</v>
      </c>
      <c r="G2227">
        <v>8.9600000000000009</v>
      </c>
      <c r="H2227">
        <v>127662</v>
      </c>
      <c r="I2227">
        <v>504</v>
      </c>
      <c r="J2227">
        <v>-0.1</v>
      </c>
      <c r="K2227">
        <v>0.92</v>
      </c>
      <c r="L2227">
        <v>9.0299999999999994</v>
      </c>
      <c r="M2227">
        <v>9.1</v>
      </c>
      <c r="N2227">
        <v>8.9499999999999993</v>
      </c>
      <c r="O2227">
        <v>9.0500000000000007</v>
      </c>
      <c r="P2227">
        <v>19.79</v>
      </c>
      <c r="Q2227">
        <v>115167432</v>
      </c>
      <c r="R2227">
        <v>1.17</v>
      </c>
      <c r="S2227" t="s">
        <v>589</v>
      </c>
      <c r="T2227" t="s">
        <v>165</v>
      </c>
      <c r="U2227">
        <v>1.66</v>
      </c>
      <c r="V2227">
        <v>9.02</v>
      </c>
      <c r="W2227">
        <v>67065</v>
      </c>
      <c r="X2227">
        <v>60597</v>
      </c>
      <c r="Y2227">
        <v>1.1100000000000001</v>
      </c>
      <c r="Z2227">
        <v>777</v>
      </c>
      <c r="AA2227">
        <v>460</v>
      </c>
      <c r="AB2227" t="s">
        <v>116</v>
      </c>
      <c r="AC2227">
        <v>162500</v>
      </c>
      <c r="AD2227">
        <v>0</v>
      </c>
      <c r="AE2227" t="s">
        <v>116</v>
      </c>
      <c r="AF2227" t="s">
        <v>116</v>
      </c>
      <c r="AG2227">
        <v>13.92</v>
      </c>
      <c r="AH2227" t="s">
        <v>10620</v>
      </c>
      <c r="AI2227" t="s">
        <v>10620</v>
      </c>
      <c r="AJ2227">
        <v>-0.92</v>
      </c>
      <c r="AK2227">
        <v>2073</v>
      </c>
      <c r="AL2227">
        <v>62</v>
      </c>
      <c r="AM2227">
        <v>4.0000000000000002E-4</v>
      </c>
      <c r="AN2227">
        <v>-1</v>
      </c>
      <c r="AO2227">
        <v>0.91</v>
      </c>
      <c r="AP2227">
        <v>4.55</v>
      </c>
      <c r="AQ2227">
        <v>-5.19</v>
      </c>
      <c r="AR2227">
        <v>6.54</v>
      </c>
      <c r="AS2227">
        <v>1.47</v>
      </c>
      <c r="AT2227" t="s">
        <v>10621</v>
      </c>
      <c r="AU2227">
        <v>20.11</v>
      </c>
      <c r="AV2227">
        <v>17.96</v>
      </c>
      <c r="AW2227">
        <v>1.41</v>
      </c>
      <c r="BA2227">
        <v>-0.22</v>
      </c>
      <c r="BB2227">
        <v>0.55000000000000004</v>
      </c>
      <c r="BC2227">
        <v>-1.1000000000000001</v>
      </c>
      <c r="BD2227">
        <v>-0.32</v>
      </c>
      <c r="BE2227">
        <v>-0.78</v>
      </c>
      <c r="BF2227">
        <v>-1.54</v>
      </c>
      <c r="BG2227">
        <v>0.11</v>
      </c>
      <c r="BH2227">
        <v>-0.68</v>
      </c>
      <c r="BI2227">
        <v>20191030</v>
      </c>
      <c r="BJ2227">
        <v>20010208</v>
      </c>
      <c r="BK2227">
        <v>13.92</v>
      </c>
      <c r="BL2227" t="s">
        <v>116</v>
      </c>
      <c r="BM2227" t="s">
        <v>116</v>
      </c>
      <c r="BN2227">
        <v>161.5</v>
      </c>
      <c r="BO2227">
        <v>133.16</v>
      </c>
      <c r="BP2227">
        <v>0</v>
      </c>
      <c r="BQ2227">
        <v>17.55</v>
      </c>
      <c r="BR2227">
        <v>95.32</v>
      </c>
      <c r="BS2227">
        <v>37.83</v>
      </c>
      <c r="BT2227">
        <v>2.16</v>
      </c>
      <c r="BU2227">
        <v>18.2</v>
      </c>
      <c r="BV2227">
        <v>4.51</v>
      </c>
      <c r="BW2227">
        <v>4.8600000000000003</v>
      </c>
      <c r="BX2227">
        <v>65.48</v>
      </c>
      <c r="BY2227">
        <v>18.14</v>
      </c>
      <c r="BZ2227">
        <v>13.67</v>
      </c>
      <c r="CA2227">
        <v>4.74</v>
      </c>
      <c r="CB2227">
        <v>0.39</v>
      </c>
      <c r="CC2227">
        <v>4.75</v>
      </c>
      <c r="CD2227">
        <v>4.7300000000000004</v>
      </c>
      <c r="CE2227">
        <v>4.7300000000000004</v>
      </c>
      <c r="CF2227">
        <v>3.29</v>
      </c>
      <c r="CG2227">
        <v>45.04</v>
      </c>
      <c r="CH2227">
        <v>5.18</v>
      </c>
      <c r="CI2227">
        <v>-30.12</v>
      </c>
      <c r="CJ2227">
        <v>65842</v>
      </c>
      <c r="CK2227">
        <v>13227</v>
      </c>
      <c r="CL2227" t="s">
        <v>6872</v>
      </c>
      <c r="CM2227">
        <v>-13.58</v>
      </c>
      <c r="CN2227">
        <v>0.7</v>
      </c>
      <c r="CO2227">
        <v>0.94</v>
      </c>
      <c r="CP2227">
        <v>24.07</v>
      </c>
      <c r="CQ2227">
        <v>6.87</v>
      </c>
      <c r="CR2227">
        <v>2.0099999999999998</v>
      </c>
      <c r="CS2227" t="s">
        <v>1696</v>
      </c>
      <c r="CT2227">
        <v>9.57</v>
      </c>
      <c r="CU2227">
        <v>0</v>
      </c>
      <c r="CV2227">
        <v>4.71</v>
      </c>
      <c r="CW2227">
        <v>3.24</v>
      </c>
      <c r="CX2227">
        <v>0.37</v>
      </c>
      <c r="CY2227">
        <v>82.45</v>
      </c>
      <c r="CZ2227" t="s">
        <v>506</v>
      </c>
      <c r="DA2227">
        <v>24.63</v>
      </c>
      <c r="DB2227">
        <v>26.12</v>
      </c>
      <c r="DC2227">
        <v>26.05</v>
      </c>
      <c r="DD2227">
        <v>0.37</v>
      </c>
      <c r="DE2227">
        <v>3721</v>
      </c>
      <c r="DF2227">
        <v>600037</v>
      </c>
      <c r="DG2227" t="s">
        <v>116</v>
      </c>
      <c r="DH2227" t="s">
        <v>116</v>
      </c>
      <c r="DI2227" t="s">
        <v>116</v>
      </c>
    </row>
    <row r="2228" spans="1:113" x14ac:dyDescent="0.4">
      <c r="A2228" t="str">
        <f>"600038"</f>
        <v>600038</v>
      </c>
      <c r="B2228" t="s">
        <v>10622</v>
      </c>
      <c r="C2228">
        <v>-0.27</v>
      </c>
      <c r="D2228">
        <v>47.63</v>
      </c>
      <c r="E2228">
        <v>-0.13</v>
      </c>
      <c r="F2228">
        <v>47.61</v>
      </c>
      <c r="G2228">
        <v>47.63</v>
      </c>
      <c r="H2228">
        <v>36109</v>
      </c>
      <c r="I2228">
        <v>121</v>
      </c>
      <c r="J2228">
        <v>-7.0000000000000007E-2</v>
      </c>
      <c r="K2228">
        <v>0.61</v>
      </c>
      <c r="L2228">
        <v>47.75</v>
      </c>
      <c r="M2228">
        <v>48.06</v>
      </c>
      <c r="N2228">
        <v>47.5</v>
      </c>
      <c r="O2228">
        <v>47.76</v>
      </c>
      <c r="P2228">
        <v>52.04</v>
      </c>
      <c r="Q2228">
        <v>172485216</v>
      </c>
      <c r="R2228">
        <v>1.03</v>
      </c>
      <c r="S2228" t="s">
        <v>1789</v>
      </c>
      <c r="T2228" t="s">
        <v>1287</v>
      </c>
      <c r="U2228">
        <v>1.17</v>
      </c>
      <c r="V2228">
        <v>47.77</v>
      </c>
      <c r="W2228">
        <v>19533</v>
      </c>
      <c r="X2228">
        <v>16577</v>
      </c>
      <c r="Y2228">
        <v>1.18</v>
      </c>
      <c r="Z2228">
        <v>1</v>
      </c>
      <c r="AA2228">
        <v>38</v>
      </c>
      <c r="AB2228" t="s">
        <v>116</v>
      </c>
      <c r="AC2228">
        <v>114600</v>
      </c>
      <c r="AD2228">
        <v>0</v>
      </c>
      <c r="AE2228" t="s">
        <v>116</v>
      </c>
      <c r="AF2228" t="s">
        <v>116</v>
      </c>
      <c r="AG2228">
        <v>5.89</v>
      </c>
      <c r="AH2228" t="s">
        <v>10623</v>
      </c>
      <c r="AI2228" t="s">
        <v>10623</v>
      </c>
      <c r="AJ2228">
        <v>-0.2</v>
      </c>
      <c r="AK2228">
        <v>3474</v>
      </c>
      <c r="AL2228">
        <v>10</v>
      </c>
      <c r="AM2228">
        <v>2.0000000000000001E-4</v>
      </c>
      <c r="AN2228">
        <v>-3</v>
      </c>
      <c r="AO2228">
        <v>-0.73</v>
      </c>
      <c r="AP2228">
        <v>4.68</v>
      </c>
      <c r="AQ2228">
        <v>5.7</v>
      </c>
      <c r="AR2228">
        <v>28.38</v>
      </c>
      <c r="AS2228">
        <v>1.42</v>
      </c>
      <c r="AT2228" t="s">
        <v>10624</v>
      </c>
      <c r="AU2228">
        <v>46.13</v>
      </c>
      <c r="AV2228">
        <v>55.02</v>
      </c>
      <c r="AW2228">
        <v>0.73</v>
      </c>
      <c r="BA2228">
        <v>-0.02</v>
      </c>
      <c r="BB2228">
        <v>0.63</v>
      </c>
      <c r="BC2228">
        <v>-0.54</v>
      </c>
      <c r="BD2228">
        <v>0.02</v>
      </c>
      <c r="BE2228">
        <v>-0.25</v>
      </c>
      <c r="BF2228">
        <v>-0.89</v>
      </c>
      <c r="BG2228">
        <v>0.27</v>
      </c>
      <c r="BH2228">
        <v>-0.28999999999999998</v>
      </c>
      <c r="BI2228">
        <v>20191025</v>
      </c>
      <c r="BJ2228">
        <v>20001218</v>
      </c>
      <c r="BK2228">
        <v>5.89</v>
      </c>
      <c r="BL2228" t="s">
        <v>116</v>
      </c>
      <c r="BM2228" t="s">
        <v>116</v>
      </c>
      <c r="BN2228">
        <v>244.38</v>
      </c>
      <c r="BO2228">
        <v>79.92</v>
      </c>
      <c r="BP2228">
        <v>2.94</v>
      </c>
      <c r="BQ2228">
        <v>66.09</v>
      </c>
      <c r="BR2228">
        <v>212.4</v>
      </c>
      <c r="BS2228">
        <v>20.58</v>
      </c>
      <c r="BT2228">
        <v>5.46</v>
      </c>
      <c r="BU2228">
        <v>153.96</v>
      </c>
      <c r="BV2228">
        <v>156.74</v>
      </c>
      <c r="BW2228">
        <v>10.59</v>
      </c>
      <c r="BX2228">
        <v>43.12</v>
      </c>
      <c r="BY2228">
        <v>105.29</v>
      </c>
      <c r="BZ2228">
        <v>93.4</v>
      </c>
      <c r="CA2228">
        <v>4.51</v>
      </c>
      <c r="CB2228">
        <v>0</v>
      </c>
      <c r="CC2228">
        <v>4.54</v>
      </c>
      <c r="CD2228">
        <v>3.99</v>
      </c>
      <c r="CE2228">
        <v>4.05</v>
      </c>
      <c r="CF2228">
        <v>3.83</v>
      </c>
      <c r="CG2228">
        <v>25.28</v>
      </c>
      <c r="CH2228">
        <v>-1.56</v>
      </c>
      <c r="CI2228">
        <v>-3.22</v>
      </c>
      <c r="CJ2228">
        <v>34920</v>
      </c>
      <c r="CK2228">
        <v>7292</v>
      </c>
      <c r="CL2228" t="s">
        <v>10625</v>
      </c>
      <c r="CM2228">
        <v>32.119999999999997</v>
      </c>
      <c r="CN2228">
        <v>28.63</v>
      </c>
      <c r="CO2228">
        <v>3.51</v>
      </c>
      <c r="CP2228">
        <v>-179.52</v>
      </c>
      <c r="CQ2228">
        <v>2.67</v>
      </c>
      <c r="CR2228">
        <v>0.55000000000000004</v>
      </c>
      <c r="CS2228" t="s">
        <v>10626</v>
      </c>
      <c r="CT2228">
        <v>13.56</v>
      </c>
      <c r="CU2228">
        <v>0</v>
      </c>
      <c r="CV2228">
        <v>7.32</v>
      </c>
      <c r="CW2228">
        <v>4.29</v>
      </c>
      <c r="CX2228">
        <v>-0.27</v>
      </c>
      <c r="CY2228">
        <v>32.700000000000003</v>
      </c>
      <c r="CZ2228" t="s">
        <v>5490</v>
      </c>
      <c r="DA2228">
        <v>11.29</v>
      </c>
      <c r="DB2228">
        <v>4.28</v>
      </c>
      <c r="DC2228">
        <v>3.84</v>
      </c>
      <c r="DD2228">
        <v>1.26</v>
      </c>
      <c r="DE2228">
        <v>12067</v>
      </c>
      <c r="DF2228">
        <v>600038</v>
      </c>
      <c r="DG2228" t="s">
        <v>116</v>
      </c>
      <c r="DH2228" t="s">
        <v>116</v>
      </c>
      <c r="DI2228" t="s">
        <v>116</v>
      </c>
    </row>
    <row r="2229" spans="1:113" x14ac:dyDescent="0.4">
      <c r="A2229" t="str">
        <f>"600039"</f>
        <v>600039</v>
      </c>
      <c r="B2229" t="s">
        <v>10627</v>
      </c>
      <c r="C2229">
        <v>0</v>
      </c>
      <c r="D2229">
        <v>3.24</v>
      </c>
      <c r="E2229">
        <v>0</v>
      </c>
      <c r="F2229">
        <v>3.24</v>
      </c>
      <c r="G2229">
        <v>3.25</v>
      </c>
      <c r="H2229">
        <v>166268</v>
      </c>
      <c r="I2229">
        <v>1614</v>
      </c>
      <c r="J2229">
        <v>-0.3</v>
      </c>
      <c r="K2229">
        <v>0.48</v>
      </c>
      <c r="L2229">
        <v>3.25</v>
      </c>
      <c r="M2229">
        <v>3.27</v>
      </c>
      <c r="N2229">
        <v>3.23</v>
      </c>
      <c r="O2229">
        <v>3.24</v>
      </c>
      <c r="P2229">
        <v>10.42</v>
      </c>
      <c r="Q2229">
        <v>54092120</v>
      </c>
      <c r="R2229">
        <v>1.46</v>
      </c>
      <c r="S2229" t="s">
        <v>181</v>
      </c>
      <c r="T2229" t="s">
        <v>582</v>
      </c>
      <c r="U2229">
        <v>1.23</v>
      </c>
      <c r="V2229">
        <v>3.25</v>
      </c>
      <c r="W2229">
        <v>76226</v>
      </c>
      <c r="X2229">
        <v>90042</v>
      </c>
      <c r="Y2229">
        <v>0.85</v>
      </c>
      <c r="Z2229">
        <v>16883</v>
      </c>
      <c r="AA2229">
        <v>4722</v>
      </c>
      <c r="AB2229" t="s">
        <v>116</v>
      </c>
      <c r="AC2229">
        <v>251200</v>
      </c>
      <c r="AD2229">
        <v>0</v>
      </c>
      <c r="AE2229" t="s">
        <v>116</v>
      </c>
      <c r="AF2229" t="s">
        <v>116</v>
      </c>
      <c r="AG2229">
        <v>34.57</v>
      </c>
      <c r="AH2229" t="s">
        <v>10628</v>
      </c>
      <c r="AI2229" t="s">
        <v>10629</v>
      </c>
      <c r="AJ2229">
        <v>0.08</v>
      </c>
      <c r="AK2229">
        <v>1614</v>
      </c>
      <c r="AL2229">
        <v>103</v>
      </c>
      <c r="AM2229">
        <v>2.9999999999999997E-4</v>
      </c>
      <c r="AN2229">
        <v>0</v>
      </c>
      <c r="AO2229">
        <v>-0.31</v>
      </c>
      <c r="AP2229">
        <v>0</v>
      </c>
      <c r="AQ2229">
        <v>-0.31</v>
      </c>
      <c r="AR2229">
        <v>0.31</v>
      </c>
      <c r="AS2229">
        <v>0.79</v>
      </c>
      <c r="AT2229" t="s">
        <v>10630</v>
      </c>
      <c r="AU2229">
        <v>8</v>
      </c>
      <c r="AV2229">
        <v>9.98</v>
      </c>
      <c r="AW2229">
        <v>0.89</v>
      </c>
      <c r="BA2229">
        <v>0.31</v>
      </c>
      <c r="BB2229">
        <v>0.93</v>
      </c>
      <c r="BC2229">
        <v>-0.31</v>
      </c>
      <c r="BD2229">
        <v>0.41</v>
      </c>
      <c r="BE2229">
        <v>-0.31</v>
      </c>
      <c r="BF2229">
        <v>-0.92</v>
      </c>
      <c r="BG2229">
        <v>0.31</v>
      </c>
      <c r="BH2229">
        <v>-0.41</v>
      </c>
      <c r="BI2229">
        <v>20191031</v>
      </c>
      <c r="BJ2229">
        <v>20030325</v>
      </c>
      <c r="BK2229">
        <v>36.11</v>
      </c>
      <c r="BL2229" t="s">
        <v>116</v>
      </c>
      <c r="BM2229" t="s">
        <v>116</v>
      </c>
      <c r="BN2229">
        <v>945.81</v>
      </c>
      <c r="BO2229">
        <v>146.46</v>
      </c>
      <c r="BP2229">
        <v>16.28</v>
      </c>
      <c r="BQ2229">
        <v>82.79</v>
      </c>
      <c r="BR2229">
        <v>469.24</v>
      </c>
      <c r="BS2229">
        <v>22.75</v>
      </c>
      <c r="BT2229">
        <v>284.11</v>
      </c>
      <c r="BU2229">
        <v>413.48</v>
      </c>
      <c r="BV2229">
        <v>227.16</v>
      </c>
      <c r="BW2229">
        <v>56.74</v>
      </c>
      <c r="BX2229">
        <v>31.15</v>
      </c>
      <c r="BY2229">
        <v>309.72000000000003</v>
      </c>
      <c r="BZ2229">
        <v>278.58999999999997</v>
      </c>
      <c r="CA2229">
        <v>10.050000000000001</v>
      </c>
      <c r="CB2229">
        <v>2.61</v>
      </c>
      <c r="CC2229">
        <v>10.33</v>
      </c>
      <c r="CD2229">
        <v>8.56</v>
      </c>
      <c r="CE2229">
        <v>8.42</v>
      </c>
      <c r="CF2229">
        <v>5.8</v>
      </c>
      <c r="CG2229">
        <v>70.7</v>
      </c>
      <c r="CH2229">
        <v>-2.92</v>
      </c>
      <c r="CI2229">
        <v>-0.63</v>
      </c>
      <c r="CJ2229">
        <v>135433</v>
      </c>
      <c r="CK2229">
        <v>15492</v>
      </c>
      <c r="CL2229" t="s">
        <v>4120</v>
      </c>
      <c r="CM2229">
        <v>52.57</v>
      </c>
      <c r="CN2229">
        <v>25.85</v>
      </c>
      <c r="CO2229">
        <v>0.8</v>
      </c>
      <c r="CP2229">
        <v>-40</v>
      </c>
      <c r="CQ2229">
        <v>0.38</v>
      </c>
      <c r="CR2229">
        <v>1.54</v>
      </c>
      <c r="CS2229" t="s">
        <v>2528</v>
      </c>
      <c r="CT2229">
        <v>4.0599999999999996</v>
      </c>
      <c r="CU2229">
        <v>0</v>
      </c>
      <c r="CV2229">
        <v>0.86</v>
      </c>
      <c r="CW2229">
        <v>1.96</v>
      </c>
      <c r="CX2229">
        <v>-0.08</v>
      </c>
      <c r="CY2229">
        <v>15.49</v>
      </c>
      <c r="CZ2229" t="s">
        <v>262</v>
      </c>
      <c r="DA2229">
        <v>10.050000000000001</v>
      </c>
      <c r="DB2229">
        <v>3.25</v>
      </c>
      <c r="DC2229">
        <v>2.72</v>
      </c>
      <c r="DD2229">
        <v>2.62</v>
      </c>
      <c r="DE2229">
        <v>10930</v>
      </c>
      <c r="DF2229">
        <v>600039</v>
      </c>
      <c r="DG2229" t="s">
        <v>116</v>
      </c>
      <c r="DH2229" t="s">
        <v>116</v>
      </c>
      <c r="DI2229" t="s">
        <v>116</v>
      </c>
    </row>
    <row r="2230" spans="1:113" x14ac:dyDescent="0.4">
      <c r="A2230" t="str">
        <f>"600048"</f>
        <v>600048</v>
      </c>
      <c r="B2230" t="s">
        <v>10631</v>
      </c>
      <c r="C2230">
        <v>-0.25</v>
      </c>
      <c r="D2230">
        <v>15.87</v>
      </c>
      <c r="E2230">
        <v>-0.04</v>
      </c>
      <c r="F2230">
        <v>15.86</v>
      </c>
      <c r="G2230">
        <v>15.87</v>
      </c>
      <c r="H2230">
        <v>708063</v>
      </c>
      <c r="I2230">
        <v>5360</v>
      </c>
      <c r="J2230">
        <v>-0.12</v>
      </c>
      <c r="K2230">
        <v>0.59</v>
      </c>
      <c r="L2230">
        <v>15.84</v>
      </c>
      <c r="M2230">
        <v>16.13</v>
      </c>
      <c r="N2230">
        <v>15.8</v>
      </c>
      <c r="O2230">
        <v>15.91</v>
      </c>
      <c r="P2230">
        <v>11.07</v>
      </c>
      <c r="Q2230">
        <v>1129431936</v>
      </c>
      <c r="R2230">
        <v>0.97</v>
      </c>
      <c r="S2230" t="s">
        <v>124</v>
      </c>
      <c r="T2230" t="s">
        <v>551</v>
      </c>
      <c r="U2230">
        <v>2.0699999999999998</v>
      </c>
      <c r="V2230">
        <v>15.95</v>
      </c>
      <c r="W2230">
        <v>312282</v>
      </c>
      <c r="X2230">
        <v>395782</v>
      </c>
      <c r="Y2230">
        <v>0.79</v>
      </c>
      <c r="Z2230">
        <v>641</v>
      </c>
      <c r="AA2230">
        <v>231</v>
      </c>
      <c r="AB2230" t="s">
        <v>116</v>
      </c>
      <c r="AC2230">
        <v>4920300</v>
      </c>
      <c r="AD2230">
        <v>0</v>
      </c>
      <c r="AE2230" t="s">
        <v>116</v>
      </c>
      <c r="AF2230" t="s">
        <v>116</v>
      </c>
      <c r="AG2230">
        <v>119.33</v>
      </c>
      <c r="AH2230" t="s">
        <v>10632</v>
      </c>
      <c r="AI2230" t="s">
        <v>10632</v>
      </c>
      <c r="AJ2230">
        <v>-0.17</v>
      </c>
      <c r="AK2230">
        <v>4393</v>
      </c>
      <c r="AL2230">
        <v>161</v>
      </c>
      <c r="AM2230">
        <v>1E-4</v>
      </c>
      <c r="AN2230">
        <v>-1</v>
      </c>
      <c r="AO2230">
        <v>2.99</v>
      </c>
      <c r="AP2230">
        <v>9.98</v>
      </c>
      <c r="AQ2230">
        <v>11.45</v>
      </c>
      <c r="AR2230">
        <v>40.57</v>
      </c>
      <c r="AS2230">
        <v>1.1200000000000001</v>
      </c>
      <c r="AT2230" t="s">
        <v>10633</v>
      </c>
      <c r="AU2230">
        <v>8.5399999999999991</v>
      </c>
      <c r="AV2230">
        <v>10.02</v>
      </c>
      <c r="AW2230">
        <v>1.3</v>
      </c>
      <c r="BA2230">
        <v>-0.44</v>
      </c>
      <c r="BB2230">
        <v>1.38</v>
      </c>
      <c r="BC2230">
        <v>-0.69</v>
      </c>
      <c r="BD2230">
        <v>0.26</v>
      </c>
      <c r="BE2230">
        <v>0.19</v>
      </c>
      <c r="BF2230">
        <v>-1.61</v>
      </c>
      <c r="BG2230">
        <v>0.44</v>
      </c>
      <c r="BH2230">
        <v>-0.51</v>
      </c>
      <c r="BI2230">
        <v>20191220</v>
      </c>
      <c r="BJ2230">
        <v>20060731</v>
      </c>
      <c r="BK2230">
        <v>119.33</v>
      </c>
      <c r="BL2230" t="s">
        <v>116</v>
      </c>
      <c r="BM2230" t="s">
        <v>116</v>
      </c>
      <c r="BN2230">
        <v>9752</v>
      </c>
      <c r="BO2230">
        <v>1284.67</v>
      </c>
      <c r="BP2230">
        <v>700.41</v>
      </c>
      <c r="BQ2230">
        <v>79.64</v>
      </c>
      <c r="BR2230">
        <v>8964.76</v>
      </c>
      <c r="BS2230">
        <v>48.64</v>
      </c>
      <c r="BT2230">
        <v>1.1000000000000001</v>
      </c>
      <c r="BU2230">
        <v>5487.4</v>
      </c>
      <c r="BV2230">
        <v>5748</v>
      </c>
      <c r="BW2230">
        <v>24.74</v>
      </c>
      <c r="BX2230">
        <v>155.03</v>
      </c>
      <c r="BY2230">
        <v>1117.94</v>
      </c>
      <c r="BZ2230">
        <v>716.9</v>
      </c>
      <c r="CA2230">
        <v>231.67</v>
      </c>
      <c r="CB2230">
        <v>16.09</v>
      </c>
      <c r="CC2230">
        <v>232.69</v>
      </c>
      <c r="CD2230">
        <v>175.54</v>
      </c>
      <c r="CE2230">
        <v>128.33000000000001</v>
      </c>
      <c r="CF2230">
        <v>122.59</v>
      </c>
      <c r="CG2230">
        <v>914.45</v>
      </c>
      <c r="CH2230">
        <v>92.21</v>
      </c>
      <c r="CI2230">
        <v>34.6</v>
      </c>
      <c r="CJ2230">
        <v>138863</v>
      </c>
      <c r="CK2230">
        <v>45669</v>
      </c>
      <c r="CL2230" t="s">
        <v>10634</v>
      </c>
      <c r="CM2230">
        <v>34.08</v>
      </c>
      <c r="CN2230">
        <v>17.77</v>
      </c>
      <c r="CO2230">
        <v>1.55</v>
      </c>
      <c r="CP2230">
        <v>20.54</v>
      </c>
      <c r="CQ2230">
        <v>1.69</v>
      </c>
      <c r="CR2230">
        <v>3.14</v>
      </c>
      <c r="CS2230" t="s">
        <v>10313</v>
      </c>
      <c r="CT2230">
        <v>10.220000000000001</v>
      </c>
      <c r="CU2230">
        <v>10.220000000000001</v>
      </c>
      <c r="CV2230">
        <v>1.3</v>
      </c>
      <c r="CW2230">
        <v>7.66</v>
      </c>
      <c r="CX2230">
        <v>0.77</v>
      </c>
      <c r="CY2230">
        <v>13.17</v>
      </c>
      <c r="CZ2230" t="s">
        <v>10001</v>
      </c>
      <c r="DA2230">
        <v>35.869999999999997</v>
      </c>
      <c r="DB2230">
        <v>20.72</v>
      </c>
      <c r="DC2230">
        <v>11.48</v>
      </c>
      <c r="DD2230">
        <v>0.34</v>
      </c>
      <c r="DE2230">
        <v>49127</v>
      </c>
      <c r="DF2230">
        <v>600048</v>
      </c>
      <c r="DG2230" t="s">
        <v>116</v>
      </c>
      <c r="DH2230" t="s">
        <v>116</v>
      </c>
      <c r="DI2230" t="s">
        <v>116</v>
      </c>
    </row>
    <row r="2231" spans="1:113" x14ac:dyDescent="0.4">
      <c r="A2231" t="str">
        <f>"600050"</f>
        <v>600050</v>
      </c>
      <c r="B2231" t="s">
        <v>10635</v>
      </c>
      <c r="C2231">
        <v>-0.86</v>
      </c>
      <c r="D2231">
        <v>5.78</v>
      </c>
      <c r="E2231">
        <v>-0.05</v>
      </c>
      <c r="F2231">
        <v>5.77</v>
      </c>
      <c r="G2231">
        <v>5.78</v>
      </c>
      <c r="H2231">
        <v>847848</v>
      </c>
      <c r="I2231">
        <v>17346</v>
      </c>
      <c r="J2231">
        <v>-0.16</v>
      </c>
      <c r="K2231">
        <v>0.4</v>
      </c>
      <c r="L2231">
        <v>5.84</v>
      </c>
      <c r="M2231">
        <v>5.88</v>
      </c>
      <c r="N2231">
        <v>5.78</v>
      </c>
      <c r="O2231">
        <v>5.83</v>
      </c>
      <c r="P2231">
        <v>31.17</v>
      </c>
      <c r="Q2231">
        <v>495393280</v>
      </c>
      <c r="R2231">
        <v>1</v>
      </c>
      <c r="S2231" t="s">
        <v>3586</v>
      </c>
      <c r="T2231" t="s">
        <v>165</v>
      </c>
      <c r="U2231">
        <v>1.72</v>
      </c>
      <c r="V2231">
        <v>5.84</v>
      </c>
      <c r="W2231">
        <v>413100</v>
      </c>
      <c r="X2231">
        <v>434748</v>
      </c>
      <c r="Y2231">
        <v>0.95</v>
      </c>
      <c r="Z2231">
        <v>10967</v>
      </c>
      <c r="AA2231">
        <v>1756</v>
      </c>
      <c r="AB2231" t="s">
        <v>116</v>
      </c>
      <c r="AC2231">
        <v>2837700</v>
      </c>
      <c r="AD2231">
        <v>0.01</v>
      </c>
      <c r="AE2231" t="s">
        <v>116</v>
      </c>
      <c r="AF2231" t="s">
        <v>116</v>
      </c>
      <c r="AG2231">
        <v>211.97</v>
      </c>
      <c r="AH2231" t="s">
        <v>10636</v>
      </c>
      <c r="AI2231" t="s">
        <v>10637</v>
      </c>
      <c r="AJ2231">
        <v>-0.78</v>
      </c>
      <c r="AK2231">
        <v>4048</v>
      </c>
      <c r="AL2231">
        <v>209</v>
      </c>
      <c r="AM2231">
        <v>1E-4</v>
      </c>
      <c r="AN2231">
        <v>-1</v>
      </c>
      <c r="AO2231">
        <v>-0.35</v>
      </c>
      <c r="AP2231">
        <v>1.23</v>
      </c>
      <c r="AQ2231">
        <v>-4.93</v>
      </c>
      <c r="AR2231">
        <v>12.96</v>
      </c>
      <c r="AS2231">
        <v>1.07</v>
      </c>
      <c r="AT2231" t="s">
        <v>10638</v>
      </c>
      <c r="AU2231">
        <v>36.409999999999997</v>
      </c>
      <c r="AV2231">
        <v>43.96</v>
      </c>
      <c r="AW2231">
        <v>1.1299999999999999</v>
      </c>
      <c r="BA2231">
        <v>0.17</v>
      </c>
      <c r="BB2231">
        <v>0.86</v>
      </c>
      <c r="BC2231">
        <v>-0.86</v>
      </c>
      <c r="BD2231">
        <v>0.22</v>
      </c>
      <c r="BE2231">
        <v>-1.03</v>
      </c>
      <c r="BF2231">
        <v>-1.7</v>
      </c>
      <c r="BG2231">
        <v>0</v>
      </c>
      <c r="BH2231">
        <v>-1.08</v>
      </c>
      <c r="BI2231">
        <v>20191022</v>
      </c>
      <c r="BJ2231">
        <v>20021009</v>
      </c>
      <c r="BK2231">
        <v>310.33999999999997</v>
      </c>
      <c r="BL2231" t="s">
        <v>116</v>
      </c>
      <c r="BM2231" t="s">
        <v>116</v>
      </c>
      <c r="BN2231">
        <v>5705.75</v>
      </c>
      <c r="BO2231">
        <v>1428.37</v>
      </c>
      <c r="BP2231">
        <v>1796.62</v>
      </c>
      <c r="BQ2231">
        <v>43.48</v>
      </c>
      <c r="BR2231">
        <v>874.49</v>
      </c>
      <c r="BS2231">
        <v>3132.59</v>
      </c>
      <c r="BT2231">
        <v>254.62</v>
      </c>
      <c r="BU2231">
        <v>2143.83</v>
      </c>
      <c r="BV2231">
        <v>28.45</v>
      </c>
      <c r="BW2231">
        <v>257.66000000000003</v>
      </c>
      <c r="BX2231">
        <v>801.15</v>
      </c>
      <c r="BY2231">
        <v>2171.21</v>
      </c>
      <c r="BZ2231">
        <v>1574.01</v>
      </c>
      <c r="CA2231">
        <v>118.33</v>
      </c>
      <c r="CB2231">
        <v>16.03</v>
      </c>
      <c r="CC2231">
        <v>122.3</v>
      </c>
      <c r="CD2231">
        <v>97.51</v>
      </c>
      <c r="CE2231">
        <v>43.16</v>
      </c>
      <c r="CF2231">
        <v>39.69</v>
      </c>
      <c r="CG2231">
        <v>356.42</v>
      </c>
      <c r="CH2231">
        <v>767.71</v>
      </c>
      <c r="CI2231">
        <v>-6.58</v>
      </c>
      <c r="CJ2231">
        <v>650727</v>
      </c>
      <c r="CK2231">
        <v>12136</v>
      </c>
      <c r="CL2231" t="s">
        <v>2830</v>
      </c>
      <c r="CM2231">
        <v>24.38</v>
      </c>
      <c r="CN2231">
        <v>-1.18</v>
      </c>
      <c r="CO2231">
        <v>1.26</v>
      </c>
      <c r="CP2231">
        <v>2.34</v>
      </c>
      <c r="CQ2231">
        <v>0.83</v>
      </c>
      <c r="CR2231">
        <v>0.92</v>
      </c>
      <c r="CS2231" t="s">
        <v>416</v>
      </c>
      <c r="CT2231">
        <v>4.5999999999999996</v>
      </c>
      <c r="CU2231">
        <v>0</v>
      </c>
      <c r="CV2231">
        <v>2.58</v>
      </c>
      <c r="CW2231">
        <v>1.1499999999999999</v>
      </c>
      <c r="CX2231">
        <v>2.4700000000000002</v>
      </c>
      <c r="CY2231">
        <v>25.03</v>
      </c>
      <c r="CZ2231" t="s">
        <v>2558</v>
      </c>
      <c r="DA2231">
        <v>27.51</v>
      </c>
      <c r="DB2231">
        <v>5.45</v>
      </c>
      <c r="DC2231">
        <v>1.99</v>
      </c>
      <c r="DD2231">
        <v>4.88</v>
      </c>
      <c r="DE2231">
        <v>246299</v>
      </c>
      <c r="DF2231">
        <v>600050</v>
      </c>
      <c r="DG2231" t="s">
        <v>116</v>
      </c>
      <c r="DH2231" t="s">
        <v>116</v>
      </c>
      <c r="DI2231" t="s">
        <v>116</v>
      </c>
    </row>
    <row r="2232" spans="1:113" x14ac:dyDescent="0.4">
      <c r="A2232" t="str">
        <f>"600051"</f>
        <v>600051</v>
      </c>
      <c r="B2232" t="s">
        <v>10639</v>
      </c>
      <c r="C2232">
        <v>1.01</v>
      </c>
      <c r="D2232">
        <v>5.98</v>
      </c>
      <c r="E2232">
        <v>0.06</v>
      </c>
      <c r="F2232">
        <v>5.97</v>
      </c>
      <c r="G2232">
        <v>5.98</v>
      </c>
      <c r="H2232">
        <v>31184</v>
      </c>
      <c r="I2232">
        <v>110</v>
      </c>
      <c r="J2232">
        <v>0.17</v>
      </c>
      <c r="K2232">
        <v>1</v>
      </c>
      <c r="L2232">
        <v>5.93</v>
      </c>
      <c r="M2232">
        <v>6.06</v>
      </c>
      <c r="N2232">
        <v>5.92</v>
      </c>
      <c r="O2232">
        <v>5.92</v>
      </c>
      <c r="P2232">
        <v>25.5</v>
      </c>
      <c r="Q2232">
        <v>18715240</v>
      </c>
      <c r="R2232">
        <v>1.48</v>
      </c>
      <c r="S2232" t="s">
        <v>173</v>
      </c>
      <c r="T2232" t="s">
        <v>590</v>
      </c>
      <c r="U2232">
        <v>2.36</v>
      </c>
      <c r="V2232">
        <v>6</v>
      </c>
      <c r="W2232">
        <v>12932</v>
      </c>
      <c r="X2232">
        <v>18252</v>
      </c>
      <c r="Y2232">
        <v>0.71</v>
      </c>
      <c r="Z2232">
        <v>6</v>
      </c>
      <c r="AA2232">
        <v>116</v>
      </c>
      <c r="AB2232" t="s">
        <v>116</v>
      </c>
      <c r="AC2232">
        <v>71800</v>
      </c>
      <c r="AD2232">
        <v>0.01</v>
      </c>
      <c r="AE2232" t="s">
        <v>116</v>
      </c>
      <c r="AF2232" t="s">
        <v>116</v>
      </c>
      <c r="AG2232">
        <v>3.11</v>
      </c>
      <c r="AH2232" t="s">
        <v>9627</v>
      </c>
      <c r="AI2232" t="s">
        <v>9627</v>
      </c>
      <c r="AJ2232">
        <v>1.0900000000000001</v>
      </c>
      <c r="AK2232">
        <v>850</v>
      </c>
      <c r="AL2232">
        <v>37</v>
      </c>
      <c r="AM2232">
        <v>1.1999999999999999E-3</v>
      </c>
      <c r="AN2232">
        <v>2</v>
      </c>
      <c r="AO2232">
        <v>1.35</v>
      </c>
      <c r="AP2232">
        <v>2.4</v>
      </c>
      <c r="AQ2232">
        <v>0.84</v>
      </c>
      <c r="AR2232">
        <v>14.12</v>
      </c>
      <c r="AS2232">
        <v>1.41</v>
      </c>
      <c r="AT2232" t="s">
        <v>10640</v>
      </c>
      <c r="AU2232">
        <v>8.35</v>
      </c>
      <c r="AV2232">
        <v>7.48</v>
      </c>
      <c r="AW2232">
        <v>1.07</v>
      </c>
      <c r="BA2232">
        <v>0.17</v>
      </c>
      <c r="BB2232">
        <v>2.36</v>
      </c>
      <c r="BC2232">
        <v>0</v>
      </c>
      <c r="BD2232">
        <v>1.38</v>
      </c>
      <c r="BE2232">
        <v>0.84</v>
      </c>
      <c r="BF2232">
        <v>-1.32</v>
      </c>
      <c r="BG2232">
        <v>1.01</v>
      </c>
      <c r="BH2232">
        <v>-0.36</v>
      </c>
      <c r="BI2232">
        <v>20191022</v>
      </c>
      <c r="BJ2232">
        <v>19970410</v>
      </c>
      <c r="BK2232">
        <v>3.11</v>
      </c>
      <c r="BL2232" t="s">
        <v>116</v>
      </c>
      <c r="BM2232" t="s">
        <v>116</v>
      </c>
      <c r="BN2232">
        <v>82.97</v>
      </c>
      <c r="BO2232">
        <v>23.94</v>
      </c>
      <c r="BP2232">
        <v>1.41</v>
      </c>
      <c r="BQ2232">
        <v>69.45</v>
      </c>
      <c r="BR2232">
        <v>64.55</v>
      </c>
      <c r="BS2232">
        <v>7.69</v>
      </c>
      <c r="BT2232">
        <v>0.88</v>
      </c>
      <c r="BU2232">
        <v>55.92</v>
      </c>
      <c r="BV2232">
        <v>34.909999999999997</v>
      </c>
      <c r="BW2232">
        <v>1.8</v>
      </c>
      <c r="BX2232">
        <v>1.39</v>
      </c>
      <c r="BY2232">
        <v>25.79</v>
      </c>
      <c r="BZ2232">
        <v>24.05</v>
      </c>
      <c r="CA2232">
        <v>0.22</v>
      </c>
      <c r="CB2232">
        <v>0.36</v>
      </c>
      <c r="CC2232">
        <v>0.28000000000000003</v>
      </c>
      <c r="CD2232">
        <v>0.26</v>
      </c>
      <c r="CE2232">
        <v>0.55000000000000004</v>
      </c>
      <c r="CF2232">
        <v>0.21</v>
      </c>
      <c r="CG2232">
        <v>16.21</v>
      </c>
      <c r="CH2232">
        <v>14.83</v>
      </c>
      <c r="CI2232">
        <v>11.31</v>
      </c>
      <c r="CJ2232">
        <v>25789</v>
      </c>
      <c r="CK2232">
        <v>8549</v>
      </c>
      <c r="CL2232" t="s">
        <v>3637</v>
      </c>
      <c r="CM2232">
        <v>-32.04</v>
      </c>
      <c r="CN2232">
        <v>-16.38</v>
      </c>
      <c r="CO2232">
        <v>0.78</v>
      </c>
      <c r="CP2232">
        <v>1.25</v>
      </c>
      <c r="CQ2232">
        <v>0.72</v>
      </c>
      <c r="CR2232">
        <v>2.5099999999999998</v>
      </c>
      <c r="CS2232" t="s">
        <v>586</v>
      </c>
      <c r="CT2232">
        <v>7.7</v>
      </c>
      <c r="CU2232">
        <v>0</v>
      </c>
      <c r="CV2232">
        <v>0.45</v>
      </c>
      <c r="CW2232">
        <v>5.21</v>
      </c>
      <c r="CX2232">
        <v>4.7699999999999996</v>
      </c>
      <c r="CY2232">
        <v>28.85</v>
      </c>
      <c r="CZ2232" t="s">
        <v>5577</v>
      </c>
      <c r="DA2232">
        <v>6.75</v>
      </c>
      <c r="DB2232">
        <v>0.87</v>
      </c>
      <c r="DC2232">
        <v>2.12</v>
      </c>
      <c r="DD2232">
        <v>0</v>
      </c>
      <c r="DE2232">
        <v>571</v>
      </c>
      <c r="DF2232">
        <v>600051</v>
      </c>
      <c r="DG2232" t="s">
        <v>116</v>
      </c>
      <c r="DH2232" t="s">
        <v>116</v>
      </c>
      <c r="DI2232" t="s">
        <v>116</v>
      </c>
    </row>
    <row r="2233" spans="1:113" x14ac:dyDescent="0.4">
      <c r="A2233" t="str">
        <f>"600052"</f>
        <v>600052</v>
      </c>
      <c r="B2233" t="s">
        <v>10641</v>
      </c>
      <c r="C2233">
        <v>-3.02</v>
      </c>
      <c r="D2233">
        <v>4.49</v>
      </c>
      <c r="E2233">
        <v>-0.14000000000000001</v>
      </c>
      <c r="F2233">
        <v>4.49</v>
      </c>
      <c r="G2233">
        <v>4.5</v>
      </c>
      <c r="H2233">
        <v>192135</v>
      </c>
      <c r="I2233">
        <v>3828</v>
      </c>
      <c r="J2233">
        <v>0</v>
      </c>
      <c r="K2233">
        <v>2.2000000000000002</v>
      </c>
      <c r="L2233">
        <v>4.62</v>
      </c>
      <c r="M2233">
        <v>4.63</v>
      </c>
      <c r="N2233">
        <v>4.49</v>
      </c>
      <c r="O2233">
        <v>4.63</v>
      </c>
      <c r="P2233">
        <v>2.44</v>
      </c>
      <c r="Q2233">
        <v>87795528</v>
      </c>
      <c r="R2233">
        <v>0.91</v>
      </c>
      <c r="S2233" t="s">
        <v>589</v>
      </c>
      <c r="T2233" t="s">
        <v>590</v>
      </c>
      <c r="U2233">
        <v>3.02</v>
      </c>
      <c r="V2233">
        <v>4.57</v>
      </c>
      <c r="W2233">
        <v>118727</v>
      </c>
      <c r="X2233">
        <v>73408</v>
      </c>
      <c r="Y2233">
        <v>1.62</v>
      </c>
      <c r="Z2233">
        <v>1879</v>
      </c>
      <c r="AA2233">
        <v>1736</v>
      </c>
      <c r="AB2233" t="s">
        <v>116</v>
      </c>
      <c r="AC2233">
        <v>214800</v>
      </c>
      <c r="AD2233">
        <v>0.01</v>
      </c>
      <c r="AE2233" t="s">
        <v>116</v>
      </c>
      <c r="AF2233" t="s">
        <v>116</v>
      </c>
      <c r="AG2233">
        <v>8.7200000000000006</v>
      </c>
      <c r="AH2233" t="s">
        <v>10642</v>
      </c>
      <c r="AI2233" t="s">
        <v>10642</v>
      </c>
      <c r="AJ2233">
        <v>-2.95</v>
      </c>
      <c r="AK2233">
        <v>2179</v>
      </c>
      <c r="AL2233">
        <v>88</v>
      </c>
      <c r="AM2233">
        <v>1E-3</v>
      </c>
      <c r="AN2233">
        <v>-1</v>
      </c>
      <c r="AO2233">
        <v>-0.66</v>
      </c>
      <c r="AP2233">
        <v>7.93</v>
      </c>
      <c r="AQ2233">
        <v>-10.199999999999999</v>
      </c>
      <c r="AR2233">
        <v>60.19</v>
      </c>
      <c r="AS2233">
        <v>4.26</v>
      </c>
      <c r="AT2233" t="s">
        <v>1655</v>
      </c>
      <c r="AU2233">
        <v>3.23</v>
      </c>
      <c r="AV2233">
        <v>33.22</v>
      </c>
      <c r="AW2233">
        <v>1.34</v>
      </c>
      <c r="BA2233">
        <v>-0.22</v>
      </c>
      <c r="BB2233">
        <v>0</v>
      </c>
      <c r="BC2233">
        <v>-3.02</v>
      </c>
      <c r="BD2233">
        <v>-1.31</v>
      </c>
      <c r="BE2233">
        <v>-2.81</v>
      </c>
      <c r="BF2233">
        <v>-3.02</v>
      </c>
      <c r="BG2233">
        <v>0</v>
      </c>
      <c r="BH2233">
        <v>-1.72</v>
      </c>
      <c r="BI2233">
        <v>20191106</v>
      </c>
      <c r="BJ2233">
        <v>19970415</v>
      </c>
      <c r="BK2233">
        <v>8.7200000000000006</v>
      </c>
      <c r="BL2233" t="s">
        <v>116</v>
      </c>
      <c r="BM2233" t="s">
        <v>116</v>
      </c>
      <c r="BN2233">
        <v>39.53</v>
      </c>
      <c r="BO2233">
        <v>35.83</v>
      </c>
      <c r="BP2233">
        <v>0</v>
      </c>
      <c r="BQ2233">
        <v>9.34</v>
      </c>
      <c r="BR2233">
        <v>24.61</v>
      </c>
      <c r="BS2233">
        <v>0.02</v>
      </c>
      <c r="BT2233">
        <v>0</v>
      </c>
      <c r="BU2233">
        <v>3.65</v>
      </c>
      <c r="BV2233">
        <v>0.48</v>
      </c>
      <c r="BW2233">
        <v>1.1000000000000001</v>
      </c>
      <c r="BX2233">
        <v>1.58</v>
      </c>
      <c r="BY2233">
        <v>0.81</v>
      </c>
      <c r="BZ2233">
        <v>0.3</v>
      </c>
      <c r="CA2233">
        <v>13.03</v>
      </c>
      <c r="CB2233">
        <v>14.68</v>
      </c>
      <c r="CC2233">
        <v>13.03</v>
      </c>
      <c r="CD2233">
        <v>12.03</v>
      </c>
      <c r="CE2233">
        <v>12.03</v>
      </c>
      <c r="CF2233">
        <v>-2.66</v>
      </c>
      <c r="CG2233">
        <v>22.92</v>
      </c>
      <c r="CH2233">
        <v>8.8000000000000007</v>
      </c>
      <c r="CI2233">
        <v>-21.81</v>
      </c>
      <c r="CJ2233">
        <v>63448</v>
      </c>
      <c r="CK2233">
        <v>7113</v>
      </c>
      <c r="CL2233" t="s">
        <v>9790</v>
      </c>
      <c r="CM2233">
        <v>1011.71</v>
      </c>
      <c r="CN2233">
        <v>-83.92</v>
      </c>
      <c r="CO2233">
        <v>1.0900000000000001</v>
      </c>
      <c r="CP2233">
        <v>4.45</v>
      </c>
      <c r="CQ2233">
        <v>48.46</v>
      </c>
      <c r="CR2233">
        <v>1.71</v>
      </c>
      <c r="CS2233" t="s">
        <v>10643</v>
      </c>
      <c r="CT2233">
        <v>4.1100000000000003</v>
      </c>
      <c r="CU2233">
        <v>0</v>
      </c>
      <c r="CV2233">
        <v>0.18</v>
      </c>
      <c r="CW2233">
        <v>2.63</v>
      </c>
      <c r="CX2233">
        <v>1.01</v>
      </c>
      <c r="CY2233">
        <v>90.66</v>
      </c>
      <c r="CZ2233" t="s">
        <v>10644</v>
      </c>
      <c r="DA2233">
        <v>62.68</v>
      </c>
      <c r="DB2233">
        <v>1613.44</v>
      </c>
      <c r="DC2233">
        <v>1488.77</v>
      </c>
      <c r="DD2233">
        <v>0.03</v>
      </c>
      <c r="DE2233">
        <v>154</v>
      </c>
      <c r="DF2233">
        <v>600052</v>
      </c>
      <c r="DG2233" t="s">
        <v>116</v>
      </c>
      <c r="DH2233" t="s">
        <v>116</v>
      </c>
      <c r="DI2233" t="s">
        <v>116</v>
      </c>
    </row>
    <row r="2234" spans="1:113" x14ac:dyDescent="0.4">
      <c r="A2234" t="str">
        <f>"600053"</f>
        <v>600053</v>
      </c>
      <c r="B2234" t="s">
        <v>10645</v>
      </c>
      <c r="C2234">
        <v>0.43</v>
      </c>
      <c r="D2234">
        <v>21.02</v>
      </c>
      <c r="E2234">
        <v>0.09</v>
      </c>
      <c r="F2234">
        <v>21.01</v>
      </c>
      <c r="G2234">
        <v>21.02</v>
      </c>
      <c r="H2234">
        <v>38988</v>
      </c>
      <c r="I2234">
        <v>695</v>
      </c>
      <c r="J2234">
        <v>0.33</v>
      </c>
      <c r="K2234">
        <v>0.9</v>
      </c>
      <c r="L2234">
        <v>21</v>
      </c>
      <c r="M2234">
        <v>21.42</v>
      </c>
      <c r="N2234">
        <v>20.88</v>
      </c>
      <c r="O2234">
        <v>20.93</v>
      </c>
      <c r="P2234">
        <v>30.28</v>
      </c>
      <c r="Q2234">
        <v>82441032</v>
      </c>
      <c r="R2234">
        <v>1.32</v>
      </c>
      <c r="S2234" t="s">
        <v>732</v>
      </c>
      <c r="T2234" t="s">
        <v>683</v>
      </c>
      <c r="U2234">
        <v>2.58</v>
      </c>
      <c r="V2234">
        <v>21.15</v>
      </c>
      <c r="W2234">
        <v>19074</v>
      </c>
      <c r="X2234">
        <v>19914</v>
      </c>
      <c r="Y2234">
        <v>0.96</v>
      </c>
      <c r="Z2234">
        <v>1505</v>
      </c>
      <c r="AA2234">
        <v>1</v>
      </c>
      <c r="AB2234" t="s">
        <v>116</v>
      </c>
      <c r="AC2234">
        <v>256200</v>
      </c>
      <c r="AD2234">
        <v>0.01</v>
      </c>
      <c r="AE2234" t="s">
        <v>116</v>
      </c>
      <c r="AF2234" t="s">
        <v>116</v>
      </c>
      <c r="AG2234">
        <v>4.34</v>
      </c>
      <c r="AH2234" t="s">
        <v>10646</v>
      </c>
      <c r="AI2234" t="s">
        <v>10646</v>
      </c>
      <c r="AJ2234">
        <v>0.51</v>
      </c>
      <c r="AK2234">
        <v>1798</v>
      </c>
      <c r="AL2234">
        <v>22</v>
      </c>
      <c r="AM2234">
        <v>5.0000000000000001E-4</v>
      </c>
      <c r="AN2234">
        <v>2</v>
      </c>
      <c r="AO2234">
        <v>1.06</v>
      </c>
      <c r="AP2234">
        <v>5.73</v>
      </c>
      <c r="AQ2234">
        <v>-0.94</v>
      </c>
      <c r="AR2234">
        <v>-7.81</v>
      </c>
      <c r="AS2234">
        <v>3.4</v>
      </c>
      <c r="AT2234" t="s">
        <v>6633</v>
      </c>
      <c r="AU2234">
        <v>17.87</v>
      </c>
      <c r="AV2234">
        <v>32.06</v>
      </c>
      <c r="AW2234">
        <v>1.64</v>
      </c>
      <c r="BA2234">
        <v>0.33</v>
      </c>
      <c r="BB2234">
        <v>2.34</v>
      </c>
      <c r="BC2234">
        <v>-0.24</v>
      </c>
      <c r="BD2234">
        <v>1.03</v>
      </c>
      <c r="BE2234">
        <v>0.1</v>
      </c>
      <c r="BF2234">
        <v>-1.87</v>
      </c>
      <c r="BG2234">
        <v>0.67</v>
      </c>
      <c r="BH2234">
        <v>-0.6</v>
      </c>
      <c r="BI2234">
        <v>20191029</v>
      </c>
      <c r="BJ2234">
        <v>19970418</v>
      </c>
      <c r="BK2234">
        <v>4.34</v>
      </c>
      <c r="BL2234" t="s">
        <v>116</v>
      </c>
      <c r="BM2234" t="s">
        <v>116</v>
      </c>
      <c r="BN2234">
        <v>45.2</v>
      </c>
      <c r="BO2234">
        <v>20.63</v>
      </c>
      <c r="BP2234">
        <v>0.52</v>
      </c>
      <c r="BQ2234">
        <v>53.22</v>
      </c>
      <c r="BR2234">
        <v>31.03</v>
      </c>
      <c r="BS2234">
        <v>0.33</v>
      </c>
      <c r="BT2234">
        <v>0</v>
      </c>
      <c r="BU2234">
        <v>20.56</v>
      </c>
      <c r="BV2234">
        <v>20.63</v>
      </c>
      <c r="BW2234">
        <v>1.18</v>
      </c>
      <c r="BX2234">
        <v>1.87</v>
      </c>
      <c r="BY2234">
        <v>5.72</v>
      </c>
      <c r="BZ2234">
        <v>0.1</v>
      </c>
      <c r="CA2234">
        <v>2.54</v>
      </c>
      <c r="CB2234">
        <v>0.64</v>
      </c>
      <c r="CC2234">
        <v>2.5299999999999998</v>
      </c>
      <c r="CD2234">
        <v>2.25</v>
      </c>
      <c r="CE2234">
        <v>2.2599999999999998</v>
      </c>
      <c r="CF2234">
        <v>2.2599999999999998</v>
      </c>
      <c r="CG2234">
        <v>12.85</v>
      </c>
      <c r="CH2234">
        <v>1.73</v>
      </c>
      <c r="CI2234">
        <v>-4.08</v>
      </c>
      <c r="CJ2234">
        <v>21081</v>
      </c>
      <c r="CK2234">
        <v>5444</v>
      </c>
      <c r="CL2234" t="s">
        <v>1373</v>
      </c>
      <c r="CM2234">
        <v>132920.57999999999</v>
      </c>
      <c r="CN2234">
        <v>-4.21</v>
      </c>
      <c r="CO2234">
        <v>4.42</v>
      </c>
      <c r="CP2234">
        <v>52.61</v>
      </c>
      <c r="CQ2234">
        <v>15.94</v>
      </c>
      <c r="CR2234">
        <v>3.52</v>
      </c>
      <c r="CS2234" t="s">
        <v>6140</v>
      </c>
      <c r="CT2234">
        <v>4.76</v>
      </c>
      <c r="CU2234">
        <v>0</v>
      </c>
      <c r="CV2234">
        <v>0.43</v>
      </c>
      <c r="CW2234">
        <v>2.96</v>
      </c>
      <c r="CX2234">
        <v>0.4</v>
      </c>
      <c r="CY2234">
        <v>45.63</v>
      </c>
      <c r="CZ2234" t="s">
        <v>7391</v>
      </c>
      <c r="DA2234">
        <v>98.17</v>
      </c>
      <c r="DB2234">
        <v>44.41</v>
      </c>
      <c r="DC2234">
        <v>39.479999999999997</v>
      </c>
      <c r="DD2234">
        <v>0</v>
      </c>
      <c r="DE2234">
        <v>330</v>
      </c>
      <c r="DF2234">
        <v>600053</v>
      </c>
      <c r="DG2234" t="s">
        <v>116</v>
      </c>
      <c r="DH2234" t="s">
        <v>116</v>
      </c>
      <c r="DI2234" t="s">
        <v>116</v>
      </c>
    </row>
    <row r="2235" spans="1:113" x14ac:dyDescent="0.4">
      <c r="A2235" t="str">
        <f>"600054"</f>
        <v>600054</v>
      </c>
      <c r="B2235" t="s">
        <v>10647</v>
      </c>
      <c r="C2235">
        <v>0.22</v>
      </c>
      <c r="D2235">
        <v>9.09</v>
      </c>
      <c r="E2235">
        <v>0.02</v>
      </c>
      <c r="F2235">
        <v>9.09</v>
      </c>
      <c r="G2235">
        <v>9.1</v>
      </c>
      <c r="H2235">
        <v>20215</v>
      </c>
      <c r="I2235">
        <v>94</v>
      </c>
      <c r="J2235">
        <v>0.11</v>
      </c>
      <c r="K2235">
        <v>0.39</v>
      </c>
      <c r="L2235">
        <v>9.06</v>
      </c>
      <c r="M2235">
        <v>9.14</v>
      </c>
      <c r="N2235">
        <v>9.06</v>
      </c>
      <c r="O2235">
        <v>9.07</v>
      </c>
      <c r="P2235">
        <v>14.8</v>
      </c>
      <c r="Q2235">
        <v>18401838</v>
      </c>
      <c r="R2235">
        <v>0.89</v>
      </c>
      <c r="S2235" t="s">
        <v>493</v>
      </c>
      <c r="T2235" t="s">
        <v>575</v>
      </c>
      <c r="U2235">
        <v>0.88</v>
      </c>
      <c r="V2235">
        <v>9.1</v>
      </c>
      <c r="W2235">
        <v>11482</v>
      </c>
      <c r="X2235">
        <v>8733</v>
      </c>
      <c r="Y2235">
        <v>1.31</v>
      </c>
      <c r="Z2235">
        <v>98</v>
      </c>
      <c r="AA2235">
        <v>226</v>
      </c>
      <c r="AB2235" t="s">
        <v>116</v>
      </c>
      <c r="AC2235">
        <v>96000</v>
      </c>
      <c r="AD2235">
        <v>0</v>
      </c>
      <c r="AE2235" t="s">
        <v>116</v>
      </c>
      <c r="AF2235" t="s">
        <v>116</v>
      </c>
      <c r="AG2235">
        <v>5.13</v>
      </c>
      <c r="AH2235" t="s">
        <v>4285</v>
      </c>
      <c r="AI2235" t="s">
        <v>10648</v>
      </c>
      <c r="AJ2235">
        <v>0.3</v>
      </c>
      <c r="AK2235">
        <v>742</v>
      </c>
      <c r="AL2235">
        <v>27</v>
      </c>
      <c r="AM2235">
        <v>5.0000000000000001E-4</v>
      </c>
      <c r="AN2235">
        <v>2</v>
      </c>
      <c r="AO2235">
        <v>0.44</v>
      </c>
      <c r="AP2235">
        <v>1.56</v>
      </c>
      <c r="AQ2235">
        <v>-1.0900000000000001</v>
      </c>
      <c r="AR2235">
        <v>-1.71</v>
      </c>
      <c r="AS2235">
        <v>0.93</v>
      </c>
      <c r="AT2235" t="s">
        <v>10649</v>
      </c>
      <c r="AU2235">
        <v>13.32</v>
      </c>
      <c r="AV2235">
        <v>11.38</v>
      </c>
      <c r="AW2235">
        <v>0.54</v>
      </c>
      <c r="BA2235">
        <v>-0.11</v>
      </c>
      <c r="BB2235">
        <v>0.77</v>
      </c>
      <c r="BC2235">
        <v>-0.11</v>
      </c>
      <c r="BD2235">
        <v>0.37</v>
      </c>
      <c r="BE2235">
        <v>0.33</v>
      </c>
      <c r="BF2235">
        <v>-0.55000000000000004</v>
      </c>
      <c r="BG2235">
        <v>0.33</v>
      </c>
      <c r="BH2235">
        <v>-0.14000000000000001</v>
      </c>
      <c r="BI2235">
        <v>20191029</v>
      </c>
      <c r="BJ2235">
        <v>19970506</v>
      </c>
      <c r="BK2235">
        <v>7.29</v>
      </c>
      <c r="BL2235">
        <v>2.16</v>
      </c>
      <c r="BM2235" t="s">
        <v>116</v>
      </c>
      <c r="BN2235">
        <v>49.54</v>
      </c>
      <c r="BO2235">
        <v>43.38</v>
      </c>
      <c r="BP2235">
        <v>1.5</v>
      </c>
      <c r="BQ2235">
        <v>9.41</v>
      </c>
      <c r="BR2235">
        <v>22.2</v>
      </c>
      <c r="BS2235">
        <v>15.64</v>
      </c>
      <c r="BT2235">
        <v>1.79</v>
      </c>
      <c r="BU2235">
        <v>3.83</v>
      </c>
      <c r="BV2235">
        <v>0.27</v>
      </c>
      <c r="BW2235">
        <v>0.63</v>
      </c>
      <c r="BX2235">
        <v>3.66</v>
      </c>
      <c r="BY2235">
        <v>12.39</v>
      </c>
      <c r="BZ2235">
        <v>5.29</v>
      </c>
      <c r="CA2235">
        <v>4.7699999999999996</v>
      </c>
      <c r="CB2235">
        <v>0.12</v>
      </c>
      <c r="CC2235">
        <v>4.76</v>
      </c>
      <c r="CD2235">
        <v>3.57</v>
      </c>
      <c r="CE2235">
        <v>3.36</v>
      </c>
      <c r="CF2235">
        <v>3.2</v>
      </c>
      <c r="CG2235">
        <v>26.89</v>
      </c>
      <c r="CH2235">
        <v>3.75</v>
      </c>
      <c r="CI2235">
        <v>-8.23</v>
      </c>
      <c r="CJ2235">
        <v>52696</v>
      </c>
      <c r="CK2235">
        <v>8213</v>
      </c>
      <c r="CL2235" t="s">
        <v>7687</v>
      </c>
      <c r="CM2235">
        <v>-20.16</v>
      </c>
      <c r="CN2235">
        <v>4.08</v>
      </c>
      <c r="CO2235">
        <v>1.53</v>
      </c>
      <c r="CP2235">
        <v>17.670000000000002</v>
      </c>
      <c r="CQ2235">
        <v>5.35</v>
      </c>
      <c r="CR2235">
        <v>1.45</v>
      </c>
      <c r="CS2235" t="s">
        <v>4752</v>
      </c>
      <c r="CT2235">
        <v>5.95</v>
      </c>
      <c r="CU2235">
        <v>0</v>
      </c>
      <c r="CV2235">
        <v>0.5</v>
      </c>
      <c r="CW2235">
        <v>3.69</v>
      </c>
      <c r="CX2235">
        <v>0.51</v>
      </c>
      <c r="CY2235">
        <v>87.56</v>
      </c>
      <c r="CZ2235" t="s">
        <v>8589</v>
      </c>
      <c r="DA2235">
        <v>57.29</v>
      </c>
      <c r="DB2235">
        <v>38.51</v>
      </c>
      <c r="DC2235">
        <v>27.12</v>
      </c>
      <c r="DD2235">
        <v>0</v>
      </c>
      <c r="DE2235">
        <v>3417</v>
      </c>
      <c r="DF2235">
        <v>600054</v>
      </c>
      <c r="DG2235" t="s">
        <v>116</v>
      </c>
      <c r="DH2235" t="s">
        <v>116</v>
      </c>
      <c r="DI2235" t="s">
        <v>116</v>
      </c>
    </row>
    <row r="2236" spans="1:113" x14ac:dyDescent="0.4">
      <c r="A2236" t="str">
        <f>"600055"</f>
        <v>600055</v>
      </c>
      <c r="B2236" t="s">
        <v>10650</v>
      </c>
      <c r="C2236">
        <v>-1.28</v>
      </c>
      <c r="D2236">
        <v>10.050000000000001</v>
      </c>
      <c r="E2236">
        <v>-0.13</v>
      </c>
      <c r="F2236">
        <v>10.050000000000001</v>
      </c>
      <c r="G2236">
        <v>10.06</v>
      </c>
      <c r="H2236">
        <v>47376</v>
      </c>
      <c r="I2236">
        <v>1392</v>
      </c>
      <c r="J2236">
        <v>-0.39</v>
      </c>
      <c r="K2236">
        <v>0.88</v>
      </c>
      <c r="L2236">
        <v>10.15</v>
      </c>
      <c r="M2236">
        <v>10.19</v>
      </c>
      <c r="N2236">
        <v>10.039999999999999</v>
      </c>
      <c r="O2236">
        <v>10.18</v>
      </c>
      <c r="P2236">
        <v>44.75</v>
      </c>
      <c r="Q2236">
        <v>47940920</v>
      </c>
      <c r="R2236">
        <v>1.69</v>
      </c>
      <c r="S2236" t="s">
        <v>559</v>
      </c>
      <c r="T2236" t="s">
        <v>165</v>
      </c>
      <c r="U2236">
        <v>1.47</v>
      </c>
      <c r="V2236">
        <v>10.119999999999999</v>
      </c>
      <c r="W2236">
        <v>29656</v>
      </c>
      <c r="X2236">
        <v>17720</v>
      </c>
      <c r="Y2236">
        <v>1.67</v>
      </c>
      <c r="Z2236">
        <v>209</v>
      </c>
      <c r="AA2236">
        <v>127</v>
      </c>
      <c r="AB2236" t="s">
        <v>116</v>
      </c>
      <c r="AC2236">
        <v>144100</v>
      </c>
      <c r="AD2236">
        <v>0.01</v>
      </c>
      <c r="AE2236" t="s">
        <v>116</v>
      </c>
      <c r="AF2236" t="s">
        <v>116</v>
      </c>
      <c r="AG2236">
        <v>5.41</v>
      </c>
      <c r="AH2236" t="s">
        <v>3982</v>
      </c>
      <c r="AI2236" t="s">
        <v>3982</v>
      </c>
      <c r="AJ2236">
        <v>-1.2</v>
      </c>
      <c r="AK2236">
        <v>1352</v>
      </c>
      <c r="AL2236">
        <v>35</v>
      </c>
      <c r="AM2236">
        <v>5.9999999999999995E-4</v>
      </c>
      <c r="AN2236">
        <v>-1</v>
      </c>
      <c r="AO2236">
        <v>-2.14</v>
      </c>
      <c r="AP2236">
        <v>1.41</v>
      </c>
      <c r="AQ2236">
        <v>4.04</v>
      </c>
      <c r="AR2236">
        <v>17.13</v>
      </c>
      <c r="AS2236">
        <v>1.71</v>
      </c>
      <c r="AT2236" t="s">
        <v>8576</v>
      </c>
      <c r="AU2236">
        <v>34.83</v>
      </c>
      <c r="AV2236">
        <v>35.450000000000003</v>
      </c>
      <c r="AW2236">
        <v>1.18</v>
      </c>
      <c r="BA2236">
        <v>-0.28999999999999998</v>
      </c>
      <c r="BB2236">
        <v>0.1</v>
      </c>
      <c r="BC2236">
        <v>-1.38</v>
      </c>
      <c r="BD2236">
        <v>-0.6</v>
      </c>
      <c r="BE2236">
        <v>-0.99</v>
      </c>
      <c r="BF2236">
        <v>-1.37</v>
      </c>
      <c r="BG2236">
        <v>0.1</v>
      </c>
      <c r="BH2236">
        <v>-0.68</v>
      </c>
      <c r="BI2236">
        <v>20191030</v>
      </c>
      <c r="BJ2236">
        <v>19970519</v>
      </c>
      <c r="BK2236">
        <v>5.41</v>
      </c>
      <c r="BL2236" t="s">
        <v>116</v>
      </c>
      <c r="BM2236" t="s">
        <v>116</v>
      </c>
      <c r="BN2236">
        <v>24.13</v>
      </c>
      <c r="BO2236">
        <v>19.98</v>
      </c>
      <c r="BP2236">
        <v>0.74</v>
      </c>
      <c r="BQ2236">
        <v>14.13</v>
      </c>
      <c r="BR2236">
        <v>13.09</v>
      </c>
      <c r="BS2236">
        <v>1.96</v>
      </c>
      <c r="BT2236">
        <v>0.28000000000000003</v>
      </c>
      <c r="BU2236">
        <v>3.06</v>
      </c>
      <c r="BV2236">
        <v>2.33</v>
      </c>
      <c r="BW2236">
        <v>2.67</v>
      </c>
      <c r="BX2236">
        <v>8.5299999999999994</v>
      </c>
      <c r="BY2236">
        <v>6.37</v>
      </c>
      <c r="BZ2236">
        <v>3.48</v>
      </c>
      <c r="CA2236">
        <v>1.1200000000000001</v>
      </c>
      <c r="CB2236">
        <v>0.12</v>
      </c>
      <c r="CC2236">
        <v>1.1000000000000001</v>
      </c>
      <c r="CD2236">
        <v>0.91</v>
      </c>
      <c r="CE2236">
        <v>0.91</v>
      </c>
      <c r="CF2236">
        <v>0.83</v>
      </c>
      <c r="CG2236">
        <v>5.18</v>
      </c>
      <c r="CH2236">
        <v>-1.18</v>
      </c>
      <c r="CI2236">
        <v>0.82</v>
      </c>
      <c r="CJ2236">
        <v>21824</v>
      </c>
      <c r="CK2236">
        <v>12707</v>
      </c>
      <c r="CL2236" t="s">
        <v>10651</v>
      </c>
      <c r="CM2236">
        <v>3.05</v>
      </c>
      <c r="CN2236">
        <v>2.79</v>
      </c>
      <c r="CO2236">
        <v>2.72</v>
      </c>
      <c r="CP2236">
        <v>-45.95</v>
      </c>
      <c r="CQ2236">
        <v>8.5299999999999994</v>
      </c>
      <c r="CR2236">
        <v>0.99</v>
      </c>
      <c r="CS2236" t="s">
        <v>1127</v>
      </c>
      <c r="CT2236">
        <v>3.69</v>
      </c>
      <c r="CU2236">
        <v>0</v>
      </c>
      <c r="CV2236">
        <v>1.58</v>
      </c>
      <c r="CW2236">
        <v>0.96</v>
      </c>
      <c r="CX2236">
        <v>-0.22</v>
      </c>
      <c r="CY2236">
        <v>82.78</v>
      </c>
      <c r="CZ2236" t="s">
        <v>7760</v>
      </c>
      <c r="DA2236">
        <v>45.39</v>
      </c>
      <c r="DB2236">
        <v>17.57</v>
      </c>
      <c r="DC2236">
        <v>14.3</v>
      </c>
      <c r="DD2236">
        <v>0.5</v>
      </c>
      <c r="DE2236">
        <v>743</v>
      </c>
      <c r="DF2236">
        <v>600055</v>
      </c>
      <c r="DG2236" t="s">
        <v>116</v>
      </c>
      <c r="DH2236" t="s">
        <v>116</v>
      </c>
      <c r="DI2236" t="s">
        <v>116</v>
      </c>
    </row>
    <row r="2237" spans="1:113" x14ac:dyDescent="0.4">
      <c r="A2237" t="str">
        <f>"600056"</f>
        <v>600056</v>
      </c>
      <c r="B2237" t="s">
        <v>10652</v>
      </c>
      <c r="C2237">
        <v>-0.39</v>
      </c>
      <c r="D2237">
        <v>12.71</v>
      </c>
      <c r="E2237">
        <v>-0.05</v>
      </c>
      <c r="F2237">
        <v>12.7</v>
      </c>
      <c r="G2237">
        <v>12.71</v>
      </c>
      <c r="H2237">
        <v>50347</v>
      </c>
      <c r="I2237">
        <v>573</v>
      </c>
      <c r="J2237">
        <v>0</v>
      </c>
      <c r="K2237">
        <v>0.47</v>
      </c>
      <c r="L2237">
        <v>12.74</v>
      </c>
      <c r="M2237">
        <v>12.82</v>
      </c>
      <c r="N2237">
        <v>12.7</v>
      </c>
      <c r="O2237">
        <v>12.76</v>
      </c>
      <c r="P2237">
        <v>10.51</v>
      </c>
      <c r="Q2237">
        <v>64272196</v>
      </c>
      <c r="R2237">
        <v>1.37</v>
      </c>
      <c r="S2237" t="s">
        <v>278</v>
      </c>
      <c r="T2237" t="s">
        <v>165</v>
      </c>
      <c r="U2237">
        <v>0.94</v>
      </c>
      <c r="V2237">
        <v>12.77</v>
      </c>
      <c r="W2237">
        <v>28109</v>
      </c>
      <c r="X2237">
        <v>22238</v>
      </c>
      <c r="Y2237">
        <v>1.26</v>
      </c>
      <c r="Z2237">
        <v>1420</v>
      </c>
      <c r="AA2237">
        <v>2237</v>
      </c>
      <c r="AB2237" t="s">
        <v>116</v>
      </c>
      <c r="AC2237">
        <v>44600</v>
      </c>
      <c r="AD2237">
        <v>0</v>
      </c>
      <c r="AE2237" t="s">
        <v>116</v>
      </c>
      <c r="AF2237" t="s">
        <v>116</v>
      </c>
      <c r="AG2237">
        <v>10.68</v>
      </c>
      <c r="AH2237" t="s">
        <v>10653</v>
      </c>
      <c r="AI2237" t="s">
        <v>7422</v>
      </c>
      <c r="AJ2237">
        <v>-0.32</v>
      </c>
      <c r="AK2237">
        <v>1768</v>
      </c>
      <c r="AL2237">
        <v>28</v>
      </c>
      <c r="AM2237">
        <v>2.9999999999999997E-4</v>
      </c>
      <c r="AN2237">
        <v>-1</v>
      </c>
      <c r="AO2237">
        <v>0.16</v>
      </c>
      <c r="AP2237">
        <v>1.44</v>
      </c>
      <c r="AQ2237">
        <v>-2.46</v>
      </c>
      <c r="AR2237">
        <v>4.7300000000000004</v>
      </c>
      <c r="AS2237">
        <v>1</v>
      </c>
      <c r="AT2237" t="s">
        <v>10654</v>
      </c>
      <c r="AU2237">
        <v>10.67</v>
      </c>
      <c r="AV2237">
        <v>8.7899999999999991</v>
      </c>
      <c r="AW2237">
        <v>0.99</v>
      </c>
      <c r="BA2237">
        <v>-0.16</v>
      </c>
      <c r="BB2237">
        <v>0.47</v>
      </c>
      <c r="BC2237">
        <v>-0.47</v>
      </c>
      <c r="BD2237">
        <v>0.05</v>
      </c>
      <c r="BE2237">
        <v>-0.24</v>
      </c>
      <c r="BF2237">
        <v>-0.86</v>
      </c>
      <c r="BG2237">
        <v>0.08</v>
      </c>
      <c r="BH2237">
        <v>-0.44</v>
      </c>
      <c r="BI2237">
        <v>20191029</v>
      </c>
      <c r="BJ2237">
        <v>19970515</v>
      </c>
      <c r="BK2237">
        <v>10.68</v>
      </c>
      <c r="BL2237" t="s">
        <v>116</v>
      </c>
      <c r="BM2237" t="s">
        <v>116</v>
      </c>
      <c r="BN2237">
        <v>276.77</v>
      </c>
      <c r="BO2237">
        <v>89.57</v>
      </c>
      <c r="BP2237">
        <v>19.95</v>
      </c>
      <c r="BQ2237">
        <v>60.43</v>
      </c>
      <c r="BR2237">
        <v>228.18</v>
      </c>
      <c r="BS2237">
        <v>17.71</v>
      </c>
      <c r="BT2237">
        <v>3.28</v>
      </c>
      <c r="BU2237">
        <v>136.53</v>
      </c>
      <c r="BV2237">
        <v>58.27</v>
      </c>
      <c r="BW2237">
        <v>119.36</v>
      </c>
      <c r="BX2237">
        <v>20.45</v>
      </c>
      <c r="BY2237">
        <v>260.26</v>
      </c>
      <c r="BZ2237">
        <v>210.53</v>
      </c>
      <c r="CA2237">
        <v>15.62</v>
      </c>
      <c r="CB2237">
        <v>0</v>
      </c>
      <c r="CC2237">
        <v>15.6</v>
      </c>
      <c r="CD2237">
        <v>11.91</v>
      </c>
      <c r="CE2237">
        <v>9.69</v>
      </c>
      <c r="CF2237">
        <v>9.33</v>
      </c>
      <c r="CG2237">
        <v>53.25</v>
      </c>
      <c r="CH2237">
        <v>-14.05</v>
      </c>
      <c r="CI2237">
        <v>-11.71</v>
      </c>
      <c r="CJ2237">
        <v>67772</v>
      </c>
      <c r="CK2237">
        <v>7445</v>
      </c>
      <c r="CL2237" t="s">
        <v>10655</v>
      </c>
      <c r="CM2237">
        <v>-21.89</v>
      </c>
      <c r="CN2237">
        <v>17.25</v>
      </c>
      <c r="CO2237">
        <v>1.52</v>
      </c>
      <c r="CP2237">
        <v>-9.66</v>
      </c>
      <c r="CQ2237">
        <v>0.52</v>
      </c>
      <c r="CR2237">
        <v>3.41</v>
      </c>
      <c r="CS2237" t="s">
        <v>10656</v>
      </c>
      <c r="CT2237">
        <v>8.3800000000000008</v>
      </c>
      <c r="CU2237">
        <v>0</v>
      </c>
      <c r="CV2237">
        <v>1.91</v>
      </c>
      <c r="CW2237">
        <v>4.9800000000000004</v>
      </c>
      <c r="CX2237">
        <v>-1.32</v>
      </c>
      <c r="CY2237">
        <v>32.36</v>
      </c>
      <c r="CZ2237" t="s">
        <v>10492</v>
      </c>
      <c r="DA2237">
        <v>19.11</v>
      </c>
      <c r="DB2237">
        <v>6</v>
      </c>
      <c r="DC2237">
        <v>3.72</v>
      </c>
      <c r="DD2237">
        <v>0.61</v>
      </c>
      <c r="DE2237">
        <v>8610</v>
      </c>
      <c r="DF2237">
        <v>600056</v>
      </c>
      <c r="DG2237" t="s">
        <v>116</v>
      </c>
      <c r="DH2237" t="s">
        <v>116</v>
      </c>
      <c r="DI2237" t="s">
        <v>116</v>
      </c>
    </row>
    <row r="2238" spans="1:113" x14ac:dyDescent="0.4">
      <c r="A2238" t="str">
        <f>"600057"</f>
        <v>600057</v>
      </c>
      <c r="B2238" t="s">
        <v>10657</v>
      </c>
      <c r="C2238">
        <v>-0.49</v>
      </c>
      <c r="D2238">
        <v>4.0999999999999996</v>
      </c>
      <c r="E2238">
        <v>-0.02</v>
      </c>
      <c r="F2238">
        <v>4.09</v>
      </c>
      <c r="G2238">
        <v>4.0999999999999996</v>
      </c>
      <c r="H2238">
        <v>76508</v>
      </c>
      <c r="I2238">
        <v>238</v>
      </c>
      <c r="J2238">
        <v>0.24</v>
      </c>
      <c r="K2238">
        <v>0.35</v>
      </c>
      <c r="L2238">
        <v>4.12</v>
      </c>
      <c r="M2238">
        <v>4.1500000000000004</v>
      </c>
      <c r="N2238">
        <v>4.09</v>
      </c>
      <c r="O2238">
        <v>4.12</v>
      </c>
      <c r="P2238">
        <v>8.02</v>
      </c>
      <c r="Q2238">
        <v>31497524</v>
      </c>
      <c r="R2238">
        <v>1.1599999999999999</v>
      </c>
      <c r="S2238" t="s">
        <v>3113</v>
      </c>
      <c r="T2238" t="s">
        <v>975</v>
      </c>
      <c r="U2238">
        <v>1.46</v>
      </c>
      <c r="V2238">
        <v>4.12</v>
      </c>
      <c r="W2238">
        <v>40631</v>
      </c>
      <c r="X2238">
        <v>35877</v>
      </c>
      <c r="Y2238">
        <v>1.1299999999999999</v>
      </c>
      <c r="Z2238">
        <v>2266</v>
      </c>
      <c r="AA2238">
        <v>29</v>
      </c>
      <c r="AB2238" t="s">
        <v>116</v>
      </c>
      <c r="AC2238">
        <v>133900</v>
      </c>
      <c r="AD2238">
        <v>0</v>
      </c>
      <c r="AE2238" t="s">
        <v>116</v>
      </c>
      <c r="AF2238" t="s">
        <v>116</v>
      </c>
      <c r="AG2238">
        <v>21.57</v>
      </c>
      <c r="AH2238" t="s">
        <v>10658</v>
      </c>
      <c r="AI2238" t="s">
        <v>10658</v>
      </c>
      <c r="AJ2238">
        <v>-0.41</v>
      </c>
      <c r="AK2238">
        <v>1035</v>
      </c>
      <c r="AL2238">
        <v>74</v>
      </c>
      <c r="AM2238">
        <v>2.9999999999999997E-4</v>
      </c>
      <c r="AN2238">
        <v>-1</v>
      </c>
      <c r="AO2238">
        <v>0.73</v>
      </c>
      <c r="AP2238">
        <v>4.0599999999999996</v>
      </c>
      <c r="AQ2238">
        <v>-1.68</v>
      </c>
      <c r="AR2238">
        <v>4.0599999999999996</v>
      </c>
      <c r="AS2238">
        <v>0.8</v>
      </c>
      <c r="AT2238" t="s">
        <v>8053</v>
      </c>
      <c r="AU2238">
        <v>8.3800000000000008</v>
      </c>
      <c r="AV2238">
        <v>8.8699999999999992</v>
      </c>
      <c r="AW2238">
        <v>1.1100000000000001</v>
      </c>
      <c r="BA2238">
        <v>0</v>
      </c>
      <c r="BB2238">
        <v>0.73</v>
      </c>
      <c r="BC2238">
        <v>-0.73</v>
      </c>
      <c r="BD2238">
        <v>-0.08</v>
      </c>
      <c r="BE2238">
        <v>-0.49</v>
      </c>
      <c r="BF2238">
        <v>-1.2</v>
      </c>
      <c r="BG2238">
        <v>0.24</v>
      </c>
      <c r="BH2238">
        <v>-0.41</v>
      </c>
      <c r="BI2238">
        <v>20191029</v>
      </c>
      <c r="BJ2238">
        <v>19970604</v>
      </c>
      <c r="BK2238">
        <v>21.57</v>
      </c>
      <c r="BL2238" t="s">
        <v>116</v>
      </c>
      <c r="BM2238" t="s">
        <v>116</v>
      </c>
      <c r="BN2238">
        <v>680.38</v>
      </c>
      <c r="BO2238">
        <v>128.22999999999999</v>
      </c>
      <c r="BP2238">
        <v>69.739999999999995</v>
      </c>
      <c r="BQ2238">
        <v>70.900000000000006</v>
      </c>
      <c r="BR2238">
        <v>515.51</v>
      </c>
      <c r="BS2238">
        <v>94</v>
      </c>
      <c r="BT2238">
        <v>18.97</v>
      </c>
      <c r="BU2238">
        <v>402.01</v>
      </c>
      <c r="BV2238">
        <v>207.31</v>
      </c>
      <c r="BW2238">
        <v>51.87</v>
      </c>
      <c r="BX2238">
        <v>49.5</v>
      </c>
      <c r="BY2238">
        <v>2012.42</v>
      </c>
      <c r="BZ2238">
        <v>1951.32</v>
      </c>
      <c r="CA2238">
        <v>13.83</v>
      </c>
      <c r="CB2238">
        <v>-1.31</v>
      </c>
      <c r="CC2238">
        <v>14.87</v>
      </c>
      <c r="CD2238">
        <v>11.26</v>
      </c>
      <c r="CE2238">
        <v>8.27</v>
      </c>
      <c r="CF2238">
        <v>7.71</v>
      </c>
      <c r="CG2238">
        <v>30.57</v>
      </c>
      <c r="CH2238">
        <v>-88.23</v>
      </c>
      <c r="CI2238">
        <v>-9.4700000000000006</v>
      </c>
      <c r="CJ2238">
        <v>48222</v>
      </c>
      <c r="CK2238">
        <v>19935</v>
      </c>
      <c r="CL2238" t="s">
        <v>5051</v>
      </c>
      <c r="CM2238">
        <v>7.52</v>
      </c>
      <c r="CN2238">
        <v>17.86</v>
      </c>
      <c r="CO2238">
        <v>0.86</v>
      </c>
      <c r="CP2238">
        <v>-1</v>
      </c>
      <c r="CQ2238">
        <v>0.04</v>
      </c>
      <c r="CR2238">
        <v>5.85</v>
      </c>
      <c r="CS2238" t="s">
        <v>4952</v>
      </c>
      <c r="CT2238">
        <v>4.78</v>
      </c>
      <c r="CU2238">
        <v>4.78</v>
      </c>
      <c r="CV2238">
        <v>2.29</v>
      </c>
      <c r="CW2238">
        <v>1.42</v>
      </c>
      <c r="CX2238">
        <v>-4.09</v>
      </c>
      <c r="CY2238">
        <v>18.850000000000001</v>
      </c>
      <c r="CZ2238" t="s">
        <v>2734</v>
      </c>
      <c r="DA2238">
        <v>3.04</v>
      </c>
      <c r="DB2238">
        <v>0.69</v>
      </c>
      <c r="DC2238">
        <v>0.41</v>
      </c>
      <c r="DD2238">
        <v>0.04</v>
      </c>
      <c r="DE2238">
        <v>5659</v>
      </c>
      <c r="DF2238">
        <v>600057</v>
      </c>
      <c r="DG2238" t="s">
        <v>116</v>
      </c>
      <c r="DH2238" t="s">
        <v>116</v>
      </c>
      <c r="DI2238" t="s">
        <v>116</v>
      </c>
    </row>
    <row r="2239" spans="1:113" x14ac:dyDescent="0.4">
      <c r="A2239" t="str">
        <f>"600058"</f>
        <v>600058</v>
      </c>
      <c r="B2239" t="s">
        <v>10659</v>
      </c>
      <c r="C2239">
        <v>1.44</v>
      </c>
      <c r="D2239">
        <v>7.75</v>
      </c>
      <c r="E2239">
        <v>0.11</v>
      </c>
      <c r="F2239">
        <v>7.74</v>
      </c>
      <c r="G2239">
        <v>7.75</v>
      </c>
      <c r="H2239">
        <v>50018</v>
      </c>
      <c r="I2239">
        <v>524</v>
      </c>
      <c r="J2239">
        <v>0</v>
      </c>
      <c r="K2239">
        <v>0.47</v>
      </c>
      <c r="L2239">
        <v>7.68</v>
      </c>
      <c r="M2239">
        <v>7.89</v>
      </c>
      <c r="N2239">
        <v>7.65</v>
      </c>
      <c r="O2239">
        <v>7.64</v>
      </c>
      <c r="P2239">
        <v>44.22</v>
      </c>
      <c r="Q2239">
        <v>38893488</v>
      </c>
      <c r="R2239">
        <v>2.19</v>
      </c>
      <c r="S2239" t="s">
        <v>566</v>
      </c>
      <c r="T2239" t="s">
        <v>165</v>
      </c>
      <c r="U2239">
        <v>3.14</v>
      </c>
      <c r="V2239">
        <v>7.78</v>
      </c>
      <c r="W2239">
        <v>21300</v>
      </c>
      <c r="X2239">
        <v>28719</v>
      </c>
      <c r="Y2239">
        <v>0.74</v>
      </c>
      <c r="Z2239">
        <v>175</v>
      </c>
      <c r="AA2239">
        <v>305</v>
      </c>
      <c r="AB2239" t="s">
        <v>116</v>
      </c>
      <c r="AC2239">
        <v>0</v>
      </c>
      <c r="AD2239">
        <v>0</v>
      </c>
      <c r="AE2239" t="s">
        <v>116</v>
      </c>
      <c r="AF2239" t="s">
        <v>116</v>
      </c>
      <c r="AG2239">
        <v>10.72</v>
      </c>
      <c r="AH2239" t="s">
        <v>10660</v>
      </c>
      <c r="AI2239" t="s">
        <v>10660</v>
      </c>
      <c r="AJ2239">
        <v>1.52</v>
      </c>
      <c r="AK2239">
        <v>1555</v>
      </c>
      <c r="AL2239">
        <v>32</v>
      </c>
      <c r="AM2239">
        <v>2.9999999999999997E-4</v>
      </c>
      <c r="AN2239">
        <v>2</v>
      </c>
      <c r="AO2239">
        <v>1.43</v>
      </c>
      <c r="AP2239">
        <v>5.87</v>
      </c>
      <c r="AQ2239">
        <v>1.84</v>
      </c>
      <c r="AR2239">
        <v>19.05</v>
      </c>
      <c r="AS2239">
        <v>1.25</v>
      </c>
      <c r="AT2239" t="s">
        <v>1921</v>
      </c>
      <c r="AU2239" t="s">
        <v>116</v>
      </c>
      <c r="AV2239" t="s">
        <v>116</v>
      </c>
      <c r="AW2239">
        <v>0.94</v>
      </c>
      <c r="BA2239">
        <v>0.52</v>
      </c>
      <c r="BB2239">
        <v>3.27</v>
      </c>
      <c r="BC2239">
        <v>0.13</v>
      </c>
      <c r="BD2239">
        <v>1.78</v>
      </c>
      <c r="BE2239">
        <v>0.91</v>
      </c>
      <c r="BF2239">
        <v>-1.77</v>
      </c>
      <c r="BG2239">
        <v>1.31</v>
      </c>
      <c r="BH2239">
        <v>-0.34</v>
      </c>
      <c r="BI2239">
        <v>20191030</v>
      </c>
      <c r="BJ2239">
        <v>19970528</v>
      </c>
      <c r="BK2239">
        <v>10.72</v>
      </c>
      <c r="BL2239" t="s">
        <v>116</v>
      </c>
      <c r="BM2239" t="s">
        <v>116</v>
      </c>
      <c r="BN2239">
        <v>249.07</v>
      </c>
      <c r="BO2239">
        <v>66.5</v>
      </c>
      <c r="BP2239">
        <v>1.25</v>
      </c>
      <c r="BQ2239">
        <v>72.8</v>
      </c>
      <c r="BR2239">
        <v>215.78</v>
      </c>
      <c r="BS2239">
        <v>12.14</v>
      </c>
      <c r="BT2239">
        <v>6.23</v>
      </c>
      <c r="BU2239">
        <v>177.32</v>
      </c>
      <c r="BV2239">
        <v>64.67</v>
      </c>
      <c r="BW2239">
        <v>64.650000000000006</v>
      </c>
      <c r="BX2239">
        <v>41.79</v>
      </c>
      <c r="BY2239">
        <v>441.94</v>
      </c>
      <c r="BZ2239">
        <v>427.33</v>
      </c>
      <c r="CA2239">
        <v>1.78</v>
      </c>
      <c r="CB2239">
        <v>-0.6</v>
      </c>
      <c r="CC2239">
        <v>2.15</v>
      </c>
      <c r="CD2239">
        <v>1.35</v>
      </c>
      <c r="CE2239">
        <v>1.41</v>
      </c>
      <c r="CF2239">
        <v>0.16</v>
      </c>
      <c r="CG2239">
        <v>-20.7</v>
      </c>
      <c r="CH2239">
        <v>26.45</v>
      </c>
      <c r="CI2239">
        <v>7.45</v>
      </c>
      <c r="CJ2239">
        <v>65751</v>
      </c>
      <c r="CK2239">
        <v>6103</v>
      </c>
      <c r="CL2239" t="s">
        <v>570</v>
      </c>
      <c r="CM2239">
        <v>135.61000000000001</v>
      </c>
      <c r="CN2239">
        <v>11.43</v>
      </c>
      <c r="CO2239">
        <v>2</v>
      </c>
      <c r="CP2239">
        <v>3.14</v>
      </c>
      <c r="CQ2239">
        <v>0.19</v>
      </c>
      <c r="CR2239">
        <v>0</v>
      </c>
      <c r="CS2239" t="s">
        <v>484</v>
      </c>
      <c r="CT2239">
        <v>3.87</v>
      </c>
      <c r="CU2239">
        <v>3.87</v>
      </c>
      <c r="CV2239">
        <v>3.9</v>
      </c>
      <c r="CW2239">
        <v>-1.93</v>
      </c>
      <c r="CX2239">
        <v>2.4700000000000002</v>
      </c>
      <c r="CY2239">
        <v>26.7</v>
      </c>
      <c r="CZ2239" t="s">
        <v>10661</v>
      </c>
      <c r="DA2239">
        <v>3.31</v>
      </c>
      <c r="DB2239">
        <v>0.4</v>
      </c>
      <c r="DC2239">
        <v>0.32</v>
      </c>
      <c r="DD2239">
        <v>0</v>
      </c>
      <c r="DE2239">
        <v>4025</v>
      </c>
      <c r="DF2239">
        <v>600058</v>
      </c>
      <c r="DG2239" t="s">
        <v>116</v>
      </c>
      <c r="DH2239" t="s">
        <v>116</v>
      </c>
      <c r="DI2239" t="s">
        <v>116</v>
      </c>
    </row>
    <row r="2240" spans="1:113" x14ac:dyDescent="0.4">
      <c r="A2240" t="str">
        <f>"600059"</f>
        <v>600059</v>
      </c>
      <c r="B2240" t="s">
        <v>10662</v>
      </c>
      <c r="C2240">
        <v>-0.6</v>
      </c>
      <c r="D2240">
        <v>8.32</v>
      </c>
      <c r="E2240">
        <v>-0.05</v>
      </c>
      <c r="F2240">
        <v>8.31</v>
      </c>
      <c r="G2240">
        <v>8.32</v>
      </c>
      <c r="H2240">
        <v>32765</v>
      </c>
      <c r="I2240">
        <v>127</v>
      </c>
      <c r="J2240">
        <v>0.12</v>
      </c>
      <c r="K2240">
        <v>0.41</v>
      </c>
      <c r="L2240">
        <v>8.3800000000000008</v>
      </c>
      <c r="M2240">
        <v>8.44</v>
      </c>
      <c r="N2240">
        <v>8.31</v>
      </c>
      <c r="O2240">
        <v>8.3699999999999992</v>
      </c>
      <c r="P2240">
        <v>42.02</v>
      </c>
      <c r="Q2240">
        <v>27465976</v>
      </c>
      <c r="R2240">
        <v>0.95</v>
      </c>
      <c r="S2240" t="s">
        <v>2477</v>
      </c>
      <c r="T2240" t="s">
        <v>590</v>
      </c>
      <c r="U2240">
        <v>1.55</v>
      </c>
      <c r="V2240">
        <v>8.3800000000000008</v>
      </c>
      <c r="W2240">
        <v>17848</v>
      </c>
      <c r="X2240">
        <v>14917</v>
      </c>
      <c r="Y2240">
        <v>1.2</v>
      </c>
      <c r="Z2240">
        <v>324</v>
      </c>
      <c r="AA2240">
        <v>28</v>
      </c>
      <c r="AB2240" t="s">
        <v>116</v>
      </c>
      <c r="AC2240">
        <v>225400</v>
      </c>
      <c r="AD2240">
        <v>0.01</v>
      </c>
      <c r="AE2240" t="s">
        <v>116</v>
      </c>
      <c r="AF2240" t="s">
        <v>116</v>
      </c>
      <c r="AG2240">
        <v>8.09</v>
      </c>
      <c r="AH2240" t="s">
        <v>10663</v>
      </c>
      <c r="AI2240" t="s">
        <v>10663</v>
      </c>
      <c r="AJ2240">
        <v>-0.52</v>
      </c>
      <c r="AK2240">
        <v>878</v>
      </c>
      <c r="AL2240">
        <v>37</v>
      </c>
      <c r="AM2240">
        <v>5.0000000000000001E-4</v>
      </c>
      <c r="AN2240">
        <v>-1</v>
      </c>
      <c r="AO2240">
        <v>0.12</v>
      </c>
      <c r="AP2240">
        <v>-0.36</v>
      </c>
      <c r="AQ2240">
        <v>-1.07</v>
      </c>
      <c r="AR2240">
        <v>28</v>
      </c>
      <c r="AS2240">
        <v>0.69</v>
      </c>
      <c r="AT2240" t="s">
        <v>6152</v>
      </c>
      <c r="AU2240">
        <v>37.92</v>
      </c>
      <c r="AV2240">
        <v>39.1</v>
      </c>
      <c r="AW2240">
        <v>0.75</v>
      </c>
      <c r="BA2240">
        <v>0.12</v>
      </c>
      <c r="BB2240">
        <v>0.84</v>
      </c>
      <c r="BC2240">
        <v>-0.72</v>
      </c>
      <c r="BD2240">
        <v>0.15</v>
      </c>
      <c r="BE2240">
        <v>-0.72</v>
      </c>
      <c r="BF2240">
        <v>-1.42</v>
      </c>
      <c r="BG2240">
        <v>0.12</v>
      </c>
      <c r="BH2240">
        <v>-0.75</v>
      </c>
      <c r="BI2240">
        <v>20191025</v>
      </c>
      <c r="BJ2240">
        <v>19970516</v>
      </c>
      <c r="BK2240">
        <v>8.09</v>
      </c>
      <c r="BL2240" t="s">
        <v>116</v>
      </c>
      <c r="BM2240" t="s">
        <v>116</v>
      </c>
      <c r="BN2240">
        <v>45.64</v>
      </c>
      <c r="BO2240">
        <v>41.08</v>
      </c>
      <c r="BP2240">
        <v>0.28999999999999998</v>
      </c>
      <c r="BQ2240">
        <v>9.34</v>
      </c>
      <c r="BR2240">
        <v>30.3</v>
      </c>
      <c r="BS2240">
        <v>12.02</v>
      </c>
      <c r="BT2240">
        <v>1.32</v>
      </c>
      <c r="BU2240">
        <v>4.2300000000000004</v>
      </c>
      <c r="BV2240">
        <v>18.059999999999999</v>
      </c>
      <c r="BW2240">
        <v>1.55</v>
      </c>
      <c r="BX2240">
        <v>18.809999999999999</v>
      </c>
      <c r="BY2240">
        <v>12.63</v>
      </c>
      <c r="BZ2240">
        <v>7.67</v>
      </c>
      <c r="CA2240">
        <v>1.6</v>
      </c>
      <c r="CB2240">
        <v>0.17</v>
      </c>
      <c r="CC2240">
        <v>1.6</v>
      </c>
      <c r="CD2240">
        <v>1.2</v>
      </c>
      <c r="CE2240">
        <v>1.2</v>
      </c>
      <c r="CF2240">
        <v>1.07</v>
      </c>
      <c r="CG2240">
        <v>11.71</v>
      </c>
      <c r="CH2240">
        <v>0.33</v>
      </c>
      <c r="CI2240">
        <v>-1.45</v>
      </c>
      <c r="CJ2240">
        <v>42601</v>
      </c>
      <c r="CK2240">
        <v>11124</v>
      </c>
      <c r="CL2240" t="s">
        <v>8232</v>
      </c>
      <c r="CM2240">
        <v>4.66</v>
      </c>
      <c r="CN2240">
        <v>-0.9</v>
      </c>
      <c r="CO2240">
        <v>1.64</v>
      </c>
      <c r="CP2240">
        <v>205.86</v>
      </c>
      <c r="CQ2240">
        <v>5.33</v>
      </c>
      <c r="CR2240">
        <v>1.2</v>
      </c>
      <c r="CS2240" t="s">
        <v>1195</v>
      </c>
      <c r="CT2240">
        <v>5.08</v>
      </c>
      <c r="CU2240">
        <v>0</v>
      </c>
      <c r="CV2240">
        <v>2.33</v>
      </c>
      <c r="CW2240">
        <v>1.45</v>
      </c>
      <c r="CX2240">
        <v>0.04</v>
      </c>
      <c r="CY2240">
        <v>90.02</v>
      </c>
      <c r="CZ2240" t="s">
        <v>8309</v>
      </c>
      <c r="DA2240">
        <v>39.270000000000003</v>
      </c>
      <c r="DB2240">
        <v>12.7</v>
      </c>
      <c r="DC2240">
        <v>9.5</v>
      </c>
      <c r="DD2240">
        <v>0.08</v>
      </c>
      <c r="DE2240">
        <v>2450</v>
      </c>
      <c r="DF2240">
        <v>600059</v>
      </c>
      <c r="DG2240" t="s">
        <v>116</v>
      </c>
      <c r="DH2240" t="s">
        <v>116</v>
      </c>
      <c r="DI2240" t="s">
        <v>116</v>
      </c>
    </row>
    <row r="2241" spans="1:113" x14ac:dyDescent="0.4">
      <c r="A2241" t="str">
        <f>"600060"</f>
        <v>600060</v>
      </c>
      <c r="B2241" t="s">
        <v>10664</v>
      </c>
      <c r="C2241">
        <v>-1.19</v>
      </c>
      <c r="D2241">
        <v>10.83</v>
      </c>
      <c r="E2241">
        <v>-0.13</v>
      </c>
      <c r="F2241">
        <v>10.83</v>
      </c>
      <c r="G2241">
        <v>10.84</v>
      </c>
      <c r="H2241">
        <v>294832</v>
      </c>
      <c r="I2241">
        <v>2771</v>
      </c>
      <c r="J2241">
        <v>-0.45</v>
      </c>
      <c r="K2241">
        <v>2.25</v>
      </c>
      <c r="L2241">
        <v>10.93</v>
      </c>
      <c r="M2241">
        <v>11.14</v>
      </c>
      <c r="N2241">
        <v>10.81</v>
      </c>
      <c r="O2241">
        <v>10.96</v>
      </c>
      <c r="P2241">
        <v>40.159999999999997</v>
      </c>
      <c r="Q2241">
        <v>322583680</v>
      </c>
      <c r="R2241">
        <v>1.1299999999999999</v>
      </c>
      <c r="S2241" t="s">
        <v>209</v>
      </c>
      <c r="T2241" t="s">
        <v>645</v>
      </c>
      <c r="U2241">
        <v>3.01</v>
      </c>
      <c r="V2241">
        <v>10.94</v>
      </c>
      <c r="W2241">
        <v>124507</v>
      </c>
      <c r="X2241">
        <v>170325</v>
      </c>
      <c r="Y2241">
        <v>0.73</v>
      </c>
      <c r="Z2241">
        <v>24</v>
      </c>
      <c r="AA2241">
        <v>5</v>
      </c>
      <c r="AB2241" t="s">
        <v>116</v>
      </c>
      <c r="AC2241">
        <v>1007700</v>
      </c>
      <c r="AD2241">
        <v>0.01</v>
      </c>
      <c r="AE2241" t="s">
        <v>116</v>
      </c>
      <c r="AF2241" t="s">
        <v>116</v>
      </c>
      <c r="AG2241">
        <v>13.08</v>
      </c>
      <c r="AH2241" t="s">
        <v>10665</v>
      </c>
      <c r="AI2241" t="s">
        <v>10665</v>
      </c>
      <c r="AJ2241">
        <v>-1.1100000000000001</v>
      </c>
      <c r="AK2241">
        <v>3899</v>
      </c>
      <c r="AL2241">
        <v>76</v>
      </c>
      <c r="AM2241">
        <v>5.9999999999999995E-4</v>
      </c>
      <c r="AN2241">
        <v>-1</v>
      </c>
      <c r="AO2241">
        <v>7.87</v>
      </c>
      <c r="AP2241">
        <v>13.52</v>
      </c>
      <c r="AQ2241">
        <v>28.17</v>
      </c>
      <c r="AR2241">
        <v>26.08</v>
      </c>
      <c r="AS2241">
        <v>4.0599999999999996</v>
      </c>
      <c r="AT2241" t="s">
        <v>10666</v>
      </c>
      <c r="AU2241">
        <v>44.06</v>
      </c>
      <c r="AV2241">
        <v>36.11</v>
      </c>
      <c r="AW2241">
        <v>1.1000000000000001</v>
      </c>
      <c r="BA2241">
        <v>-0.27</v>
      </c>
      <c r="BB2241">
        <v>1.64</v>
      </c>
      <c r="BC2241">
        <v>-1.37</v>
      </c>
      <c r="BD2241">
        <v>-0.17</v>
      </c>
      <c r="BE2241">
        <v>-0.91</v>
      </c>
      <c r="BF2241">
        <v>-2.78</v>
      </c>
      <c r="BG2241">
        <v>0.19</v>
      </c>
      <c r="BH2241">
        <v>-1.02</v>
      </c>
      <c r="BI2241">
        <v>20191220</v>
      </c>
      <c r="BJ2241">
        <v>19970422</v>
      </c>
      <c r="BK2241">
        <v>13.08</v>
      </c>
      <c r="BL2241" t="s">
        <v>116</v>
      </c>
      <c r="BM2241" t="s">
        <v>116</v>
      </c>
      <c r="BN2241">
        <v>274.93</v>
      </c>
      <c r="BO2241">
        <v>142.51</v>
      </c>
      <c r="BP2241">
        <v>14.28</v>
      </c>
      <c r="BQ2241">
        <v>42.97</v>
      </c>
      <c r="BR2241">
        <v>227.69</v>
      </c>
      <c r="BS2241">
        <v>13.35</v>
      </c>
      <c r="BT2241">
        <v>10.35</v>
      </c>
      <c r="BU2241">
        <v>104.5</v>
      </c>
      <c r="BV2241">
        <v>30.32</v>
      </c>
      <c r="BW2241">
        <v>25.47</v>
      </c>
      <c r="BX2241">
        <v>24.67</v>
      </c>
      <c r="BY2241">
        <v>236.44</v>
      </c>
      <c r="BZ2241">
        <v>196.74</v>
      </c>
      <c r="CA2241">
        <v>3.19</v>
      </c>
      <c r="CB2241">
        <v>2.0499999999999998</v>
      </c>
      <c r="CC2241">
        <v>3.56</v>
      </c>
      <c r="CD2241">
        <v>3.4</v>
      </c>
      <c r="CE2241">
        <v>2.65</v>
      </c>
      <c r="CF2241">
        <v>0.06</v>
      </c>
      <c r="CG2241">
        <v>89.99</v>
      </c>
      <c r="CH2241">
        <v>14.71</v>
      </c>
      <c r="CI2241">
        <v>3.24</v>
      </c>
      <c r="CJ2241">
        <v>74570</v>
      </c>
      <c r="CK2241">
        <v>9734</v>
      </c>
      <c r="CL2241" t="s">
        <v>2573</v>
      </c>
      <c r="CM2241">
        <v>-21.1</v>
      </c>
      <c r="CN2241">
        <v>-2.91</v>
      </c>
      <c r="CO2241">
        <v>0.99</v>
      </c>
      <c r="CP2241">
        <v>9.6300000000000008</v>
      </c>
      <c r="CQ2241">
        <v>0.6</v>
      </c>
      <c r="CR2241">
        <v>0.83</v>
      </c>
      <c r="CS2241" t="s">
        <v>6855</v>
      </c>
      <c r="CT2241">
        <v>10.89</v>
      </c>
      <c r="CU2241">
        <v>0</v>
      </c>
      <c r="CV2241">
        <v>1.89</v>
      </c>
      <c r="CW2241">
        <v>6.88</v>
      </c>
      <c r="CX2241">
        <v>1.1200000000000001</v>
      </c>
      <c r="CY2241">
        <v>51.84</v>
      </c>
      <c r="CZ2241" t="s">
        <v>10667</v>
      </c>
      <c r="DA2241">
        <v>16.79</v>
      </c>
      <c r="DB2241">
        <v>1.35</v>
      </c>
      <c r="DC2241">
        <v>1.1200000000000001</v>
      </c>
      <c r="DD2241">
        <v>10.16</v>
      </c>
      <c r="DE2241">
        <v>21006</v>
      </c>
      <c r="DF2241">
        <v>600060</v>
      </c>
      <c r="DG2241" t="s">
        <v>116</v>
      </c>
      <c r="DH2241" t="s">
        <v>116</v>
      </c>
      <c r="DI2241" t="s">
        <v>116</v>
      </c>
    </row>
    <row r="2242" spans="1:113" x14ac:dyDescent="0.4">
      <c r="A2242" t="str">
        <f>"600061"</f>
        <v>600061</v>
      </c>
      <c r="B2242" t="s">
        <v>10668</v>
      </c>
      <c r="C2242">
        <v>2.79</v>
      </c>
      <c r="D2242">
        <v>12.51</v>
      </c>
      <c r="E2242">
        <v>0.34</v>
      </c>
      <c r="F2242">
        <v>12.51</v>
      </c>
      <c r="G2242">
        <v>12.52</v>
      </c>
      <c r="H2242">
        <v>746380</v>
      </c>
      <c r="I2242">
        <v>7443</v>
      </c>
      <c r="J2242">
        <v>0.32</v>
      </c>
      <c r="K2242">
        <v>1.79</v>
      </c>
      <c r="L2242">
        <v>12.19</v>
      </c>
      <c r="M2242">
        <v>13.1</v>
      </c>
      <c r="N2242">
        <v>12.15</v>
      </c>
      <c r="O2242">
        <v>12.17</v>
      </c>
      <c r="P2242">
        <v>16.149999999999999</v>
      </c>
      <c r="Q2242">
        <v>947271680</v>
      </c>
      <c r="R2242">
        <v>2.72</v>
      </c>
      <c r="S2242" t="s">
        <v>623</v>
      </c>
      <c r="T2242" t="s">
        <v>1653</v>
      </c>
      <c r="U2242">
        <v>7.81</v>
      </c>
      <c r="V2242">
        <v>12.69</v>
      </c>
      <c r="W2242">
        <v>352779</v>
      </c>
      <c r="X2242">
        <v>393603</v>
      </c>
      <c r="Y2242">
        <v>0.9</v>
      </c>
      <c r="Z2242">
        <v>856</v>
      </c>
      <c r="AA2242">
        <v>319</v>
      </c>
      <c r="AB2242" t="s">
        <v>116</v>
      </c>
      <c r="AC2242">
        <v>3485100</v>
      </c>
      <c r="AD2242">
        <v>0.02</v>
      </c>
      <c r="AE2242" t="s">
        <v>116</v>
      </c>
      <c r="AF2242" t="s">
        <v>116</v>
      </c>
      <c r="AG2242">
        <v>41.74</v>
      </c>
      <c r="AH2242" t="s">
        <v>10669</v>
      </c>
      <c r="AI2242" t="s">
        <v>10670</v>
      </c>
      <c r="AJ2242">
        <v>2.87</v>
      </c>
      <c r="AK2242">
        <v>4506</v>
      </c>
      <c r="AL2242">
        <v>166</v>
      </c>
      <c r="AM2242">
        <v>4.0000000000000002E-4</v>
      </c>
      <c r="AN2242">
        <v>2</v>
      </c>
      <c r="AO2242">
        <v>3.81</v>
      </c>
      <c r="AP2242">
        <v>4.6900000000000004</v>
      </c>
      <c r="AQ2242">
        <v>-0.87</v>
      </c>
      <c r="AR2242">
        <v>40.42</v>
      </c>
      <c r="AS2242">
        <v>4.8099999999999996</v>
      </c>
      <c r="AT2242" t="s">
        <v>10671</v>
      </c>
      <c r="AU2242">
        <v>17.41</v>
      </c>
      <c r="AV2242">
        <v>31.49</v>
      </c>
      <c r="AW2242">
        <v>1.49</v>
      </c>
      <c r="BA2242">
        <v>0.16</v>
      </c>
      <c r="BB2242">
        <v>7.64</v>
      </c>
      <c r="BC2242">
        <v>-0.16</v>
      </c>
      <c r="BD2242">
        <v>4.29</v>
      </c>
      <c r="BE2242">
        <v>2.63</v>
      </c>
      <c r="BF2242">
        <v>-4.5</v>
      </c>
      <c r="BG2242">
        <v>2.96</v>
      </c>
      <c r="BH2242">
        <v>-1.49</v>
      </c>
      <c r="BI2242">
        <v>20191031</v>
      </c>
      <c r="BJ2242">
        <v>19970519</v>
      </c>
      <c r="BK2242">
        <v>42.27</v>
      </c>
      <c r="BL2242" t="s">
        <v>116</v>
      </c>
      <c r="BM2242" t="s">
        <v>116</v>
      </c>
      <c r="BN2242">
        <v>1800.93</v>
      </c>
      <c r="BO2242">
        <v>387.17</v>
      </c>
      <c r="BP2242">
        <v>37.85</v>
      </c>
      <c r="BQ2242">
        <v>76.400000000000006</v>
      </c>
      <c r="BR2242">
        <v>1517.22</v>
      </c>
      <c r="BS2242">
        <v>2.99</v>
      </c>
      <c r="BT2242">
        <v>7.54</v>
      </c>
      <c r="BU2242">
        <v>1074.71</v>
      </c>
      <c r="BV2242">
        <v>0.15</v>
      </c>
      <c r="BW2242">
        <v>4.1100000000000003</v>
      </c>
      <c r="BX2242">
        <v>206.93</v>
      </c>
      <c r="BY2242">
        <v>6.2</v>
      </c>
      <c r="BZ2242">
        <v>5.92</v>
      </c>
      <c r="CA2242">
        <v>38.18</v>
      </c>
      <c r="CB2242">
        <v>4.3499999999999996</v>
      </c>
      <c r="CC2242">
        <v>37.799999999999997</v>
      </c>
      <c r="CD2242">
        <v>28.1</v>
      </c>
      <c r="CE2242">
        <v>24.56</v>
      </c>
      <c r="CF2242">
        <v>24.52</v>
      </c>
      <c r="CG2242">
        <v>106.52</v>
      </c>
      <c r="CH2242">
        <v>22.85</v>
      </c>
      <c r="CI2242">
        <v>138.36000000000001</v>
      </c>
      <c r="CJ2242">
        <v>46810</v>
      </c>
      <c r="CK2242">
        <v>33180</v>
      </c>
      <c r="CL2242" t="s">
        <v>10672</v>
      </c>
      <c r="CM2242">
        <v>123.68</v>
      </c>
      <c r="CN2242">
        <v>-69.44</v>
      </c>
      <c r="CO2242">
        <v>1.37</v>
      </c>
      <c r="CP2242">
        <v>23.14</v>
      </c>
      <c r="CQ2242">
        <v>85.34</v>
      </c>
      <c r="CR2242">
        <v>0.65</v>
      </c>
      <c r="CS2242" t="s">
        <v>10673</v>
      </c>
      <c r="CT2242">
        <v>9.16</v>
      </c>
      <c r="CU2242">
        <v>0</v>
      </c>
      <c r="CV2242">
        <v>4.9000000000000004</v>
      </c>
      <c r="CW2242">
        <v>2.52</v>
      </c>
      <c r="CX2242">
        <v>0.54</v>
      </c>
      <c r="CY2242">
        <v>21.5</v>
      </c>
      <c r="CZ2242" t="s">
        <v>9268</v>
      </c>
      <c r="DA2242">
        <v>4.3899999999999997</v>
      </c>
      <c r="DB2242">
        <v>616.15</v>
      </c>
      <c r="DC2242">
        <v>396.32</v>
      </c>
      <c r="DD2242">
        <v>0</v>
      </c>
      <c r="DE2242">
        <v>6967</v>
      </c>
      <c r="DF2242">
        <v>600061</v>
      </c>
      <c r="DG2242" t="s">
        <v>116</v>
      </c>
      <c r="DH2242" t="s">
        <v>116</v>
      </c>
      <c r="DI2242" t="s">
        <v>116</v>
      </c>
    </row>
    <row r="2243" spans="1:113" x14ac:dyDescent="0.4">
      <c r="A2243" t="str">
        <f>"600062"</f>
        <v>600062</v>
      </c>
      <c r="B2243" t="s">
        <v>10674</v>
      </c>
      <c r="C2243">
        <v>-0.71</v>
      </c>
      <c r="D2243">
        <v>12.66</v>
      </c>
      <c r="E2243">
        <v>-0.09</v>
      </c>
      <c r="F2243">
        <v>12.65</v>
      </c>
      <c r="G2243">
        <v>12.66</v>
      </c>
      <c r="H2243">
        <v>66179</v>
      </c>
      <c r="I2243">
        <v>1138</v>
      </c>
      <c r="J2243">
        <v>-0.15</v>
      </c>
      <c r="K2243">
        <v>0.63</v>
      </c>
      <c r="L2243">
        <v>12.74</v>
      </c>
      <c r="M2243">
        <v>12.84</v>
      </c>
      <c r="N2243">
        <v>12.66</v>
      </c>
      <c r="O2243">
        <v>12.75</v>
      </c>
      <c r="P2243">
        <v>10.78</v>
      </c>
      <c r="Q2243">
        <v>84397640</v>
      </c>
      <c r="R2243">
        <v>1.24</v>
      </c>
      <c r="S2243" t="s">
        <v>574</v>
      </c>
      <c r="T2243" t="s">
        <v>165</v>
      </c>
      <c r="U2243">
        <v>1.41</v>
      </c>
      <c r="V2243">
        <v>12.75</v>
      </c>
      <c r="W2243">
        <v>35486</v>
      </c>
      <c r="X2243">
        <v>30693</v>
      </c>
      <c r="Y2243">
        <v>1.1599999999999999</v>
      </c>
      <c r="Z2243">
        <v>423</v>
      </c>
      <c r="AA2243">
        <v>46</v>
      </c>
      <c r="AB2243" t="s">
        <v>116</v>
      </c>
      <c r="AC2243">
        <v>113900</v>
      </c>
      <c r="AD2243">
        <v>0</v>
      </c>
      <c r="AE2243" t="s">
        <v>116</v>
      </c>
      <c r="AF2243" t="s">
        <v>116</v>
      </c>
      <c r="AG2243">
        <v>10.43</v>
      </c>
      <c r="AH2243" t="s">
        <v>10675</v>
      </c>
      <c r="AI2243" t="s">
        <v>10675</v>
      </c>
      <c r="AJ2243">
        <v>-0.63</v>
      </c>
      <c r="AK2243">
        <v>1982</v>
      </c>
      <c r="AL2243">
        <v>33</v>
      </c>
      <c r="AM2243">
        <v>2.9999999999999997E-4</v>
      </c>
      <c r="AN2243">
        <v>-1</v>
      </c>
      <c r="AO2243">
        <v>0</v>
      </c>
      <c r="AP2243">
        <v>2.2599999999999998</v>
      </c>
      <c r="AQ2243">
        <v>2.84</v>
      </c>
      <c r="AR2243">
        <v>7.19</v>
      </c>
      <c r="AS2243">
        <v>1.59</v>
      </c>
      <c r="AT2243" t="s">
        <v>4085</v>
      </c>
      <c r="AU2243">
        <v>12.66</v>
      </c>
      <c r="AV2243">
        <v>13.64</v>
      </c>
      <c r="AW2243">
        <v>0.99</v>
      </c>
      <c r="BA2243">
        <v>-0.08</v>
      </c>
      <c r="BB2243">
        <v>0.71</v>
      </c>
      <c r="BC2243">
        <v>-0.71</v>
      </c>
      <c r="BD2243">
        <v>0.02</v>
      </c>
      <c r="BE2243">
        <v>-0.63</v>
      </c>
      <c r="BF2243">
        <v>-1.4</v>
      </c>
      <c r="BG2243">
        <v>0</v>
      </c>
      <c r="BH2243">
        <v>-0.73</v>
      </c>
      <c r="BI2243">
        <v>20191212</v>
      </c>
      <c r="BJ2243">
        <v>19970522</v>
      </c>
      <c r="BK2243">
        <v>10.43</v>
      </c>
      <c r="BL2243" t="s">
        <v>116</v>
      </c>
      <c r="BM2243" t="s">
        <v>116</v>
      </c>
      <c r="BN2243">
        <v>112.18</v>
      </c>
      <c r="BO2243">
        <v>84.68</v>
      </c>
      <c r="BP2243">
        <v>0.77</v>
      </c>
      <c r="BQ2243">
        <v>23.83</v>
      </c>
      <c r="BR2243">
        <v>59.92</v>
      </c>
      <c r="BS2243">
        <v>23.66</v>
      </c>
      <c r="BT2243">
        <v>10.64</v>
      </c>
      <c r="BU2243">
        <v>24.2</v>
      </c>
      <c r="BV2243">
        <v>9.6</v>
      </c>
      <c r="BW2243">
        <v>14.28</v>
      </c>
      <c r="BX2243">
        <v>1.49</v>
      </c>
      <c r="BY2243">
        <v>74.069999999999993</v>
      </c>
      <c r="BZ2243">
        <v>26.37</v>
      </c>
      <c r="CA2243">
        <v>10.96</v>
      </c>
      <c r="CB2243">
        <v>0.08</v>
      </c>
      <c r="CC2243">
        <v>10.96</v>
      </c>
      <c r="CD2243">
        <v>9.3000000000000007</v>
      </c>
      <c r="CE2243">
        <v>9.19</v>
      </c>
      <c r="CF2243">
        <v>8.6999999999999993</v>
      </c>
      <c r="CG2243">
        <v>68.14</v>
      </c>
      <c r="CH2243">
        <v>12.36</v>
      </c>
      <c r="CI2243">
        <v>6.28</v>
      </c>
      <c r="CJ2243">
        <v>40000</v>
      </c>
      <c r="CK2243">
        <v>10436</v>
      </c>
      <c r="CL2243" t="s">
        <v>10676</v>
      </c>
      <c r="CM2243">
        <v>8.84</v>
      </c>
      <c r="CN2243">
        <v>17.39</v>
      </c>
      <c r="CO2243">
        <v>1.56</v>
      </c>
      <c r="CP2243">
        <v>10.68</v>
      </c>
      <c r="CQ2243">
        <v>1.78</v>
      </c>
      <c r="CR2243">
        <v>2.2000000000000002</v>
      </c>
      <c r="CS2243" t="s">
        <v>10677</v>
      </c>
      <c r="CT2243">
        <v>8.1199999999999992</v>
      </c>
      <c r="CU2243">
        <v>0</v>
      </c>
      <c r="CV2243">
        <v>0.14000000000000001</v>
      </c>
      <c r="CW2243">
        <v>6.53</v>
      </c>
      <c r="CX2243">
        <v>1.19</v>
      </c>
      <c r="CY2243">
        <v>75.48</v>
      </c>
      <c r="CZ2243" t="s">
        <v>4913</v>
      </c>
      <c r="DA2243">
        <v>64.39</v>
      </c>
      <c r="DB2243">
        <v>14.8</v>
      </c>
      <c r="DC2243">
        <v>12.4</v>
      </c>
      <c r="DD2243">
        <v>1.24</v>
      </c>
      <c r="DE2243">
        <v>12010</v>
      </c>
      <c r="DF2243">
        <v>600062</v>
      </c>
      <c r="DG2243" t="s">
        <v>116</v>
      </c>
      <c r="DH2243" t="s">
        <v>116</v>
      </c>
      <c r="DI2243" t="s">
        <v>116</v>
      </c>
    </row>
    <row r="2244" spans="1:113" x14ac:dyDescent="0.4">
      <c r="A2244" t="str">
        <f>"600063"</f>
        <v>600063</v>
      </c>
      <c r="B2244" t="s">
        <v>10678</v>
      </c>
      <c r="C2244">
        <v>-2.5499999999999998</v>
      </c>
      <c r="D2244">
        <v>3.82</v>
      </c>
      <c r="E2244">
        <v>-0.1</v>
      </c>
      <c r="F2244">
        <v>3.82</v>
      </c>
      <c r="G2244">
        <v>3.83</v>
      </c>
      <c r="H2244">
        <v>226236</v>
      </c>
      <c r="I2244">
        <v>3448</v>
      </c>
      <c r="J2244">
        <v>-0.51</v>
      </c>
      <c r="K2244">
        <v>1.17</v>
      </c>
      <c r="L2244">
        <v>3.93</v>
      </c>
      <c r="M2244">
        <v>3.95</v>
      </c>
      <c r="N2244">
        <v>3.82</v>
      </c>
      <c r="O2244">
        <v>3.92</v>
      </c>
      <c r="P2244">
        <v>18.329999999999998</v>
      </c>
      <c r="Q2244">
        <v>87977848</v>
      </c>
      <c r="R2244">
        <v>0.66</v>
      </c>
      <c r="S2244" t="s">
        <v>630</v>
      </c>
      <c r="T2244" t="s">
        <v>575</v>
      </c>
      <c r="U2244">
        <v>3.32</v>
      </c>
      <c r="V2244">
        <v>3.89</v>
      </c>
      <c r="W2244">
        <v>106478</v>
      </c>
      <c r="X2244">
        <v>119758</v>
      </c>
      <c r="Y2244">
        <v>0.89</v>
      </c>
      <c r="Z2244">
        <v>5004</v>
      </c>
      <c r="AA2244">
        <v>2303</v>
      </c>
      <c r="AB2244" t="s">
        <v>116</v>
      </c>
      <c r="AC2244">
        <v>170300</v>
      </c>
      <c r="AD2244">
        <v>0</v>
      </c>
      <c r="AE2244" t="s">
        <v>116</v>
      </c>
      <c r="AF2244" t="s">
        <v>116</v>
      </c>
      <c r="AG2244">
        <v>19.260000000000002</v>
      </c>
      <c r="AH2244" t="s">
        <v>10679</v>
      </c>
      <c r="AI2244" t="s">
        <v>10679</v>
      </c>
      <c r="AJ2244">
        <v>-2.4700000000000002</v>
      </c>
      <c r="AK2244">
        <v>2595</v>
      </c>
      <c r="AL2244">
        <v>87</v>
      </c>
      <c r="AM2244">
        <v>5.0000000000000001E-4</v>
      </c>
      <c r="AN2244">
        <v>-1</v>
      </c>
      <c r="AO2244">
        <v>-5.68</v>
      </c>
      <c r="AP2244">
        <v>9.4600000000000009</v>
      </c>
      <c r="AQ2244">
        <v>19.37</v>
      </c>
      <c r="AR2244">
        <v>65.73</v>
      </c>
      <c r="AS2244">
        <v>1.7</v>
      </c>
      <c r="AT2244" t="s">
        <v>10680</v>
      </c>
      <c r="AU2244">
        <v>25.1</v>
      </c>
      <c r="AV2244">
        <v>56.55</v>
      </c>
      <c r="AW2244">
        <v>1.29</v>
      </c>
      <c r="BA2244">
        <v>0.26</v>
      </c>
      <c r="BB2244">
        <v>0.77</v>
      </c>
      <c r="BC2244">
        <v>-2.5499999999999998</v>
      </c>
      <c r="BD2244">
        <v>-0.8</v>
      </c>
      <c r="BE2244">
        <v>-2.8</v>
      </c>
      <c r="BF2244">
        <v>-3.29</v>
      </c>
      <c r="BG2244">
        <v>0</v>
      </c>
      <c r="BH2244">
        <v>-1.75</v>
      </c>
      <c r="BI2244">
        <v>20191029</v>
      </c>
      <c r="BJ2244">
        <v>19970528</v>
      </c>
      <c r="BK2244">
        <v>19.260000000000002</v>
      </c>
      <c r="BL2244" t="s">
        <v>116</v>
      </c>
      <c r="BM2244" t="s">
        <v>116</v>
      </c>
      <c r="BN2244">
        <v>95.21</v>
      </c>
      <c r="BO2244">
        <v>49.86</v>
      </c>
      <c r="BP2244">
        <v>0.15</v>
      </c>
      <c r="BQ2244">
        <v>47.47</v>
      </c>
      <c r="BR2244">
        <v>34.75</v>
      </c>
      <c r="BS2244">
        <v>43.83</v>
      </c>
      <c r="BT2244">
        <v>4.13</v>
      </c>
      <c r="BU2244">
        <v>29.37</v>
      </c>
      <c r="BV2244">
        <v>5.47</v>
      </c>
      <c r="BW2244">
        <v>4.16</v>
      </c>
      <c r="BX2244">
        <v>15.99</v>
      </c>
      <c r="BY2244">
        <v>48.88</v>
      </c>
      <c r="BZ2244">
        <v>38.07</v>
      </c>
      <c r="CA2244">
        <v>3.53</v>
      </c>
      <c r="CB2244">
        <v>0.16</v>
      </c>
      <c r="CC2244">
        <v>3.5</v>
      </c>
      <c r="CD2244">
        <v>3.01</v>
      </c>
      <c r="CE2244">
        <v>3.01</v>
      </c>
      <c r="CF2244">
        <v>2.64</v>
      </c>
      <c r="CG2244">
        <v>6.92</v>
      </c>
      <c r="CH2244">
        <v>12.72</v>
      </c>
      <c r="CI2244">
        <v>0.98</v>
      </c>
      <c r="CJ2244">
        <v>92964</v>
      </c>
      <c r="CK2244">
        <v>14349</v>
      </c>
      <c r="CL2244" t="s">
        <v>922</v>
      </c>
      <c r="CM2244">
        <v>118.09</v>
      </c>
      <c r="CN2244">
        <v>11.76</v>
      </c>
      <c r="CO2244">
        <v>1.48</v>
      </c>
      <c r="CP2244">
        <v>5.79</v>
      </c>
      <c r="CQ2244">
        <v>1.5</v>
      </c>
      <c r="CR2244">
        <v>0.65</v>
      </c>
      <c r="CS2244" t="s">
        <v>1636</v>
      </c>
      <c r="CT2244">
        <v>2.59</v>
      </c>
      <c r="CU2244">
        <v>0</v>
      </c>
      <c r="CV2244">
        <v>0.83</v>
      </c>
      <c r="CW2244">
        <v>0.36</v>
      </c>
      <c r="CX2244">
        <v>0.66</v>
      </c>
      <c r="CY2244">
        <v>52.37</v>
      </c>
      <c r="CZ2244" t="s">
        <v>3318</v>
      </c>
      <c r="DA2244">
        <v>22.13</v>
      </c>
      <c r="DB2244">
        <v>7.22</v>
      </c>
      <c r="DC2244">
        <v>6.16</v>
      </c>
      <c r="DD2244">
        <v>1.9</v>
      </c>
      <c r="DE2244">
        <v>4845</v>
      </c>
      <c r="DF2244">
        <v>600063</v>
      </c>
      <c r="DG2244" t="s">
        <v>116</v>
      </c>
      <c r="DH2244" t="s">
        <v>116</v>
      </c>
      <c r="DI2244" t="s">
        <v>116</v>
      </c>
    </row>
    <row r="2245" spans="1:113" x14ac:dyDescent="0.4">
      <c r="A2245" t="str">
        <f>"600064"</f>
        <v>600064</v>
      </c>
      <c r="B2245" t="s">
        <v>10681</v>
      </c>
      <c r="C2245">
        <v>-0.73</v>
      </c>
      <c r="D2245">
        <v>9.4700000000000006</v>
      </c>
      <c r="E2245">
        <v>-7.0000000000000007E-2</v>
      </c>
      <c r="F2245">
        <v>9.4600000000000009</v>
      </c>
      <c r="G2245">
        <v>9.4700000000000006</v>
      </c>
      <c r="H2245">
        <v>87526</v>
      </c>
      <c r="I2245">
        <v>577</v>
      </c>
      <c r="J2245">
        <v>-0.1</v>
      </c>
      <c r="K2245">
        <v>0.71</v>
      </c>
      <c r="L2245">
        <v>9.5500000000000007</v>
      </c>
      <c r="M2245">
        <v>9.6</v>
      </c>
      <c r="N2245">
        <v>9.4700000000000006</v>
      </c>
      <c r="O2245">
        <v>9.5399999999999991</v>
      </c>
      <c r="P2245">
        <v>5.9</v>
      </c>
      <c r="Q2245">
        <v>83584264</v>
      </c>
      <c r="R2245">
        <v>1.1100000000000001</v>
      </c>
      <c r="S2245" t="s">
        <v>1503</v>
      </c>
      <c r="T2245" t="s">
        <v>323</v>
      </c>
      <c r="U2245">
        <v>1.36</v>
      </c>
      <c r="V2245">
        <v>9.5500000000000007</v>
      </c>
      <c r="W2245">
        <v>46577</v>
      </c>
      <c r="X2245">
        <v>40949</v>
      </c>
      <c r="Y2245">
        <v>1.1399999999999999</v>
      </c>
      <c r="Z2245">
        <v>824</v>
      </c>
      <c r="AA2245">
        <v>250</v>
      </c>
      <c r="AB2245" t="s">
        <v>116</v>
      </c>
      <c r="AC2245">
        <v>477500</v>
      </c>
      <c r="AD2245">
        <v>0.01</v>
      </c>
      <c r="AE2245" t="s">
        <v>116</v>
      </c>
      <c r="AF2245" t="s">
        <v>116</v>
      </c>
      <c r="AG2245">
        <v>12.36</v>
      </c>
      <c r="AH2245" t="s">
        <v>10682</v>
      </c>
      <c r="AI2245" t="s">
        <v>10682</v>
      </c>
      <c r="AJ2245">
        <v>-0.66</v>
      </c>
      <c r="AK2245">
        <v>1726</v>
      </c>
      <c r="AL2245">
        <v>51</v>
      </c>
      <c r="AM2245">
        <v>4.0000000000000002E-4</v>
      </c>
      <c r="AN2245">
        <v>-1</v>
      </c>
      <c r="AO2245">
        <v>0.32</v>
      </c>
      <c r="AP2245">
        <v>3.27</v>
      </c>
      <c r="AQ2245">
        <v>4.07</v>
      </c>
      <c r="AR2245">
        <v>24.12</v>
      </c>
      <c r="AS2245">
        <v>1.0900000000000001</v>
      </c>
      <c r="AT2245" t="s">
        <v>10683</v>
      </c>
      <c r="AU2245">
        <v>7.1</v>
      </c>
      <c r="AV2245">
        <v>12.21</v>
      </c>
      <c r="AW2245">
        <v>1.29</v>
      </c>
      <c r="BA2245">
        <v>0.1</v>
      </c>
      <c r="BB2245">
        <v>0.63</v>
      </c>
      <c r="BC2245">
        <v>-0.73</v>
      </c>
      <c r="BD2245">
        <v>0.1</v>
      </c>
      <c r="BE2245">
        <v>-0.84</v>
      </c>
      <c r="BF2245">
        <v>-1.35</v>
      </c>
      <c r="BG2245">
        <v>0</v>
      </c>
      <c r="BH2245">
        <v>-0.84</v>
      </c>
      <c r="BI2245">
        <v>20191031</v>
      </c>
      <c r="BJ2245">
        <v>19970506</v>
      </c>
      <c r="BK2245">
        <v>12.36</v>
      </c>
      <c r="BL2245" t="s">
        <v>116</v>
      </c>
      <c r="BM2245" t="s">
        <v>116</v>
      </c>
      <c r="BN2245">
        <v>303.95999999999998</v>
      </c>
      <c r="BO2245">
        <v>115.08</v>
      </c>
      <c r="BP2245">
        <v>7.63</v>
      </c>
      <c r="BQ2245">
        <v>59.63</v>
      </c>
      <c r="BR2245">
        <v>176.01</v>
      </c>
      <c r="BS2245">
        <v>3.53</v>
      </c>
      <c r="BT2245">
        <v>0.56999999999999995</v>
      </c>
      <c r="BU2245">
        <v>166.78</v>
      </c>
      <c r="BV2245">
        <v>103.19</v>
      </c>
      <c r="BW2245">
        <v>7.04</v>
      </c>
      <c r="BX2245">
        <v>1.23</v>
      </c>
      <c r="BY2245">
        <v>12.15</v>
      </c>
      <c r="BZ2245">
        <v>7.05</v>
      </c>
      <c r="CA2245">
        <v>16.190000000000001</v>
      </c>
      <c r="CB2245">
        <v>12.01</v>
      </c>
      <c r="CC2245">
        <v>16.190000000000001</v>
      </c>
      <c r="CD2245">
        <v>15.03</v>
      </c>
      <c r="CE2245">
        <v>14.87</v>
      </c>
      <c r="CF2245">
        <v>12.64</v>
      </c>
      <c r="CG2245">
        <v>90.87</v>
      </c>
      <c r="CH2245">
        <v>12.62</v>
      </c>
      <c r="CI2245">
        <v>-1.84</v>
      </c>
      <c r="CJ2245">
        <v>63115</v>
      </c>
      <c r="CK2245">
        <v>12780</v>
      </c>
      <c r="CL2245" t="s">
        <v>10684</v>
      </c>
      <c r="CM2245">
        <v>86.65</v>
      </c>
      <c r="CN2245">
        <v>-53.09</v>
      </c>
      <c r="CO2245">
        <v>1.02</v>
      </c>
      <c r="CP2245">
        <v>9.2799999999999994</v>
      </c>
      <c r="CQ2245">
        <v>9.64</v>
      </c>
      <c r="CR2245">
        <v>2.64</v>
      </c>
      <c r="CS2245" t="s">
        <v>10685</v>
      </c>
      <c r="CT2245">
        <v>9.31</v>
      </c>
      <c r="CU2245">
        <v>0</v>
      </c>
      <c r="CV2245">
        <v>0.1</v>
      </c>
      <c r="CW2245">
        <v>7.35</v>
      </c>
      <c r="CX2245">
        <v>1.02</v>
      </c>
      <c r="CY2245">
        <v>37.86</v>
      </c>
      <c r="CZ2245" t="s">
        <v>10686</v>
      </c>
      <c r="DA2245">
        <v>41.98</v>
      </c>
      <c r="DB2245">
        <v>133.33000000000001</v>
      </c>
      <c r="DC2245">
        <v>122.45</v>
      </c>
      <c r="DD2245">
        <v>0.1</v>
      </c>
      <c r="DE2245">
        <v>834</v>
      </c>
      <c r="DF2245">
        <v>600064</v>
      </c>
      <c r="DG2245" t="s">
        <v>116</v>
      </c>
      <c r="DH2245" t="s">
        <v>116</v>
      </c>
      <c r="DI2245" t="s">
        <v>116</v>
      </c>
    </row>
    <row r="2246" spans="1:113" x14ac:dyDescent="0.4">
      <c r="A2246" t="str">
        <f>"600066"</f>
        <v>600066</v>
      </c>
      <c r="B2246" t="s">
        <v>10687</v>
      </c>
      <c r="C2246">
        <v>0.14000000000000001</v>
      </c>
      <c r="D2246">
        <v>14.16</v>
      </c>
      <c r="E2246">
        <v>0.02</v>
      </c>
      <c r="F2246">
        <v>14.15</v>
      </c>
      <c r="G2246">
        <v>14.16</v>
      </c>
      <c r="H2246">
        <v>84945</v>
      </c>
      <c r="I2246">
        <v>717</v>
      </c>
      <c r="J2246">
        <v>0</v>
      </c>
      <c r="K2246">
        <v>0.38</v>
      </c>
      <c r="L2246">
        <v>14.17</v>
      </c>
      <c r="M2246">
        <v>14.22</v>
      </c>
      <c r="N2246">
        <v>14.12</v>
      </c>
      <c r="O2246">
        <v>14.14</v>
      </c>
      <c r="P2246">
        <v>17.75</v>
      </c>
      <c r="Q2246">
        <v>120379320</v>
      </c>
      <c r="R2246">
        <v>0.99</v>
      </c>
      <c r="S2246" t="s">
        <v>1108</v>
      </c>
      <c r="T2246" t="s">
        <v>652</v>
      </c>
      <c r="U2246">
        <v>0.71</v>
      </c>
      <c r="V2246">
        <v>14.17</v>
      </c>
      <c r="W2246">
        <v>36416</v>
      </c>
      <c r="X2246">
        <v>48529</v>
      </c>
      <c r="Y2246">
        <v>0.75</v>
      </c>
      <c r="Z2246">
        <v>1519</v>
      </c>
      <c r="AA2246">
        <v>296</v>
      </c>
      <c r="AB2246" t="s">
        <v>116</v>
      </c>
      <c r="AC2246">
        <v>555500</v>
      </c>
      <c r="AD2246">
        <v>0</v>
      </c>
      <c r="AE2246" t="s">
        <v>116</v>
      </c>
      <c r="AF2246" t="s">
        <v>116</v>
      </c>
      <c r="AG2246">
        <v>22.14</v>
      </c>
      <c r="AH2246" t="s">
        <v>10688</v>
      </c>
      <c r="AI2246" t="s">
        <v>10688</v>
      </c>
      <c r="AJ2246">
        <v>0.22</v>
      </c>
      <c r="AK2246">
        <v>2935</v>
      </c>
      <c r="AL2246">
        <v>29</v>
      </c>
      <c r="AM2246">
        <v>1E-4</v>
      </c>
      <c r="AN2246">
        <v>1</v>
      </c>
      <c r="AO2246">
        <v>0.28000000000000003</v>
      </c>
      <c r="AP2246">
        <v>0.93</v>
      </c>
      <c r="AQ2246">
        <v>1.58</v>
      </c>
      <c r="AR2246">
        <v>24.76</v>
      </c>
      <c r="AS2246">
        <v>0.65</v>
      </c>
      <c r="AT2246" t="s">
        <v>10689</v>
      </c>
      <c r="AU2246">
        <v>12.91</v>
      </c>
      <c r="AV2246">
        <v>13.62</v>
      </c>
      <c r="AW2246">
        <v>0.65</v>
      </c>
      <c r="BA2246">
        <v>0.21</v>
      </c>
      <c r="BB2246">
        <v>0.56999999999999995</v>
      </c>
      <c r="BC2246">
        <v>-0.14000000000000001</v>
      </c>
      <c r="BD2246">
        <v>0.22</v>
      </c>
      <c r="BE2246">
        <v>-7.0000000000000007E-2</v>
      </c>
      <c r="BF2246">
        <v>-0.42</v>
      </c>
      <c r="BG2246">
        <v>0.28000000000000003</v>
      </c>
      <c r="BH2246">
        <v>-0.08</v>
      </c>
      <c r="BI2246">
        <v>20191029</v>
      </c>
      <c r="BJ2246">
        <v>19970508</v>
      </c>
      <c r="BK2246">
        <v>22.14</v>
      </c>
      <c r="BL2246" t="s">
        <v>116</v>
      </c>
      <c r="BM2246" t="s">
        <v>116</v>
      </c>
      <c r="BN2246">
        <v>354.88</v>
      </c>
      <c r="BO2246">
        <v>168.97</v>
      </c>
      <c r="BP2246">
        <v>1.24</v>
      </c>
      <c r="BQ2246">
        <v>52.04</v>
      </c>
      <c r="BR2246">
        <v>265.39999999999998</v>
      </c>
      <c r="BS2246">
        <v>38.549999999999997</v>
      </c>
      <c r="BT2246">
        <v>12.74</v>
      </c>
      <c r="BU2246">
        <v>161.46</v>
      </c>
      <c r="BV2246">
        <v>46.23</v>
      </c>
      <c r="BW2246">
        <v>154.19</v>
      </c>
      <c r="BX2246">
        <v>12.79</v>
      </c>
      <c r="BY2246">
        <v>208.62</v>
      </c>
      <c r="BZ2246">
        <v>159.76</v>
      </c>
      <c r="CA2246">
        <v>14.53</v>
      </c>
      <c r="CB2246">
        <v>0.75</v>
      </c>
      <c r="CC2246">
        <v>14.95</v>
      </c>
      <c r="CD2246">
        <v>13.44</v>
      </c>
      <c r="CE2246">
        <v>13.25</v>
      </c>
      <c r="CF2246">
        <v>11.19</v>
      </c>
      <c r="CG2246">
        <v>98.29</v>
      </c>
      <c r="CH2246">
        <v>16.239999999999998</v>
      </c>
      <c r="CI2246">
        <v>5.03</v>
      </c>
      <c r="CJ2246">
        <v>59985</v>
      </c>
      <c r="CK2246">
        <v>21725</v>
      </c>
      <c r="CL2246" t="s">
        <v>10690</v>
      </c>
      <c r="CM2246">
        <v>10.62</v>
      </c>
      <c r="CN2246">
        <v>7.68</v>
      </c>
      <c r="CO2246">
        <v>1.97</v>
      </c>
      <c r="CP2246">
        <v>19.3</v>
      </c>
      <c r="CQ2246">
        <v>1.5</v>
      </c>
      <c r="CR2246">
        <v>3.53</v>
      </c>
      <c r="CS2246" t="s">
        <v>10691</v>
      </c>
      <c r="CT2246">
        <v>7.18</v>
      </c>
      <c r="CU2246">
        <v>7.18</v>
      </c>
      <c r="CV2246">
        <v>0.57999999999999996</v>
      </c>
      <c r="CW2246">
        <v>4.4400000000000004</v>
      </c>
      <c r="CX2246">
        <v>0.73</v>
      </c>
      <c r="CY2246">
        <v>47.61</v>
      </c>
      <c r="CZ2246" t="s">
        <v>1026</v>
      </c>
      <c r="DA2246">
        <v>23.42</v>
      </c>
      <c r="DB2246">
        <v>6.96</v>
      </c>
      <c r="DC2246">
        <v>6.35</v>
      </c>
      <c r="DD2246">
        <v>11.48</v>
      </c>
      <c r="DE2246">
        <v>19527</v>
      </c>
      <c r="DF2246">
        <v>600066</v>
      </c>
      <c r="DG2246" t="s">
        <v>116</v>
      </c>
      <c r="DH2246" t="s">
        <v>116</v>
      </c>
      <c r="DI2246" t="s">
        <v>116</v>
      </c>
    </row>
    <row r="2247" spans="1:113" x14ac:dyDescent="0.4">
      <c r="A2247" t="str">
        <f>"600067"</f>
        <v>600067</v>
      </c>
      <c r="B2247" t="s">
        <v>10692</v>
      </c>
      <c r="C2247">
        <v>-0.51</v>
      </c>
      <c r="D2247">
        <v>3.93</v>
      </c>
      <c r="E2247">
        <v>-0.02</v>
      </c>
      <c r="F2247">
        <v>3.93</v>
      </c>
      <c r="G2247">
        <v>3.94</v>
      </c>
      <c r="H2247">
        <v>39993</v>
      </c>
      <c r="I2247">
        <v>15</v>
      </c>
      <c r="J2247">
        <v>0</v>
      </c>
      <c r="K2247">
        <v>0.27</v>
      </c>
      <c r="L2247">
        <v>3.95</v>
      </c>
      <c r="M2247">
        <v>3.96</v>
      </c>
      <c r="N2247">
        <v>3.92</v>
      </c>
      <c r="O2247">
        <v>3.95</v>
      </c>
      <c r="P2247">
        <v>17.77</v>
      </c>
      <c r="Q2247">
        <v>15753397</v>
      </c>
      <c r="R2247">
        <v>0.65</v>
      </c>
      <c r="S2247" t="s">
        <v>124</v>
      </c>
      <c r="T2247" t="s">
        <v>975</v>
      </c>
      <c r="U2247">
        <v>1.01</v>
      </c>
      <c r="V2247">
        <v>3.94</v>
      </c>
      <c r="W2247">
        <v>26624</v>
      </c>
      <c r="X2247">
        <v>13369</v>
      </c>
      <c r="Y2247">
        <v>1.99</v>
      </c>
      <c r="Z2247">
        <v>152</v>
      </c>
      <c r="AA2247">
        <v>1281</v>
      </c>
      <c r="AB2247" t="s">
        <v>116</v>
      </c>
      <c r="AC2247">
        <v>19800</v>
      </c>
      <c r="AD2247">
        <v>0</v>
      </c>
      <c r="AE2247" t="s">
        <v>116</v>
      </c>
      <c r="AF2247" t="s">
        <v>116</v>
      </c>
      <c r="AG2247">
        <v>14.92</v>
      </c>
      <c r="AH2247" t="s">
        <v>10693</v>
      </c>
      <c r="AI2247" t="s">
        <v>10693</v>
      </c>
      <c r="AJ2247">
        <v>-0.43</v>
      </c>
      <c r="AK2247">
        <v>485</v>
      </c>
      <c r="AL2247">
        <v>82</v>
      </c>
      <c r="AM2247">
        <v>5.9999999999999995E-4</v>
      </c>
      <c r="AN2247">
        <v>-1</v>
      </c>
      <c r="AO2247">
        <v>-1.01</v>
      </c>
      <c r="AP2247">
        <v>3.97</v>
      </c>
      <c r="AQ2247">
        <v>-2.2400000000000002</v>
      </c>
      <c r="AR2247">
        <v>8.56</v>
      </c>
      <c r="AS2247">
        <v>0.47</v>
      </c>
      <c r="AT2247" t="s">
        <v>9383</v>
      </c>
      <c r="AU2247">
        <v>8.36</v>
      </c>
      <c r="AV2247">
        <v>7.73</v>
      </c>
      <c r="AW2247">
        <v>0.99</v>
      </c>
      <c r="BA2247">
        <v>0</v>
      </c>
      <c r="BB2247">
        <v>0.25</v>
      </c>
      <c r="BC2247">
        <v>-0.76</v>
      </c>
      <c r="BD2247">
        <v>-0.28000000000000003</v>
      </c>
      <c r="BE2247">
        <v>-0.51</v>
      </c>
      <c r="BF2247">
        <v>-0.76</v>
      </c>
      <c r="BG2247">
        <v>0.26</v>
      </c>
      <c r="BH2247">
        <v>-0.23</v>
      </c>
      <c r="BI2247">
        <v>20191029</v>
      </c>
      <c r="BJ2247">
        <v>19970508</v>
      </c>
      <c r="BK2247">
        <v>14.92</v>
      </c>
      <c r="BL2247" t="s">
        <v>116</v>
      </c>
      <c r="BM2247" t="s">
        <v>116</v>
      </c>
      <c r="BN2247">
        <v>253.51</v>
      </c>
      <c r="BO2247">
        <v>74.62</v>
      </c>
      <c r="BP2247">
        <v>12.85</v>
      </c>
      <c r="BQ2247">
        <v>65.5</v>
      </c>
      <c r="BR2247">
        <v>192.58</v>
      </c>
      <c r="BS2247">
        <v>14.84</v>
      </c>
      <c r="BT2247">
        <v>4.58</v>
      </c>
      <c r="BU2247">
        <v>117.87</v>
      </c>
      <c r="BV2247">
        <v>148.88999999999999</v>
      </c>
      <c r="BW2247">
        <v>7.49</v>
      </c>
      <c r="BX2247">
        <v>12.27</v>
      </c>
      <c r="BY2247">
        <v>52.64</v>
      </c>
      <c r="BZ2247">
        <v>36.89</v>
      </c>
      <c r="CA2247">
        <v>5.28</v>
      </c>
      <c r="CB2247">
        <v>0.45</v>
      </c>
      <c r="CC2247">
        <v>5.29</v>
      </c>
      <c r="CD2247">
        <v>2.94</v>
      </c>
      <c r="CE2247">
        <v>2.48</v>
      </c>
      <c r="CF2247">
        <v>2.2599999999999998</v>
      </c>
      <c r="CG2247">
        <v>47.6</v>
      </c>
      <c r="CH2247">
        <v>4.88</v>
      </c>
      <c r="CI2247">
        <v>-16.41</v>
      </c>
      <c r="CJ2247">
        <v>55660</v>
      </c>
      <c r="CK2247">
        <v>15356</v>
      </c>
      <c r="CL2247" t="s">
        <v>6458</v>
      </c>
      <c r="CM2247">
        <v>-18.940000000000001</v>
      </c>
      <c r="CN2247">
        <v>6.62</v>
      </c>
      <c r="CO2247">
        <v>0.79</v>
      </c>
      <c r="CP2247">
        <v>12.02</v>
      </c>
      <c r="CQ2247">
        <v>1.1100000000000001</v>
      </c>
      <c r="CR2247">
        <v>2.4700000000000002</v>
      </c>
      <c r="CS2247" t="s">
        <v>1297</v>
      </c>
      <c r="CT2247">
        <v>5</v>
      </c>
      <c r="CU2247">
        <v>0</v>
      </c>
      <c r="CV2247">
        <v>0.82</v>
      </c>
      <c r="CW2247">
        <v>3.19</v>
      </c>
      <c r="CX2247">
        <v>0.33</v>
      </c>
      <c r="CY2247">
        <v>29.44</v>
      </c>
      <c r="CZ2247" t="s">
        <v>2389</v>
      </c>
      <c r="DA2247">
        <v>29.92</v>
      </c>
      <c r="DB2247">
        <v>10.039999999999999</v>
      </c>
      <c r="DC2247">
        <v>4.7</v>
      </c>
      <c r="DD2247">
        <v>0.94</v>
      </c>
      <c r="DE2247">
        <v>1532</v>
      </c>
      <c r="DF2247">
        <v>600067</v>
      </c>
      <c r="DG2247" t="s">
        <v>116</v>
      </c>
      <c r="DH2247" t="s">
        <v>116</v>
      </c>
      <c r="DI2247" t="s">
        <v>116</v>
      </c>
    </row>
    <row r="2248" spans="1:113" x14ac:dyDescent="0.4">
      <c r="A2248" t="str">
        <f>"600068"</f>
        <v>600068</v>
      </c>
      <c r="B2248" t="s">
        <v>10694</v>
      </c>
      <c r="C2248">
        <v>0.48</v>
      </c>
      <c r="D2248">
        <v>6.22</v>
      </c>
      <c r="E2248">
        <v>0.03</v>
      </c>
      <c r="F2248">
        <v>6.21</v>
      </c>
      <c r="G2248">
        <v>6.22</v>
      </c>
      <c r="H2248">
        <v>250780</v>
      </c>
      <c r="I2248">
        <v>2377</v>
      </c>
      <c r="J2248">
        <v>0</v>
      </c>
      <c r="K2248">
        <v>0.54</v>
      </c>
      <c r="L2248">
        <v>6.2</v>
      </c>
      <c r="M2248">
        <v>6.28</v>
      </c>
      <c r="N2248">
        <v>6.18</v>
      </c>
      <c r="O2248">
        <v>6.19</v>
      </c>
      <c r="P2248">
        <v>6.72</v>
      </c>
      <c r="Q2248">
        <v>156685856</v>
      </c>
      <c r="R2248">
        <v>1.45</v>
      </c>
      <c r="S2248" t="s">
        <v>181</v>
      </c>
      <c r="T2248" t="s">
        <v>774</v>
      </c>
      <c r="U2248">
        <v>1.62</v>
      </c>
      <c r="V2248">
        <v>6.25</v>
      </c>
      <c r="W2248">
        <v>102017</v>
      </c>
      <c r="X2248">
        <v>148763</v>
      </c>
      <c r="Y2248">
        <v>0.69</v>
      </c>
      <c r="Z2248">
        <v>4671</v>
      </c>
      <c r="AA2248">
        <v>1548</v>
      </c>
      <c r="AB2248" t="s">
        <v>116</v>
      </c>
      <c r="AC2248">
        <v>445800</v>
      </c>
      <c r="AD2248">
        <v>0</v>
      </c>
      <c r="AE2248" t="s">
        <v>116</v>
      </c>
      <c r="AF2248" t="s">
        <v>116</v>
      </c>
      <c r="AG2248">
        <v>46.05</v>
      </c>
      <c r="AH2248" t="s">
        <v>10695</v>
      </c>
      <c r="AI2248" t="s">
        <v>10695</v>
      </c>
      <c r="AJ2248">
        <v>0.56000000000000005</v>
      </c>
      <c r="AK2248">
        <v>3361</v>
      </c>
      <c r="AL2248">
        <v>75</v>
      </c>
      <c r="AM2248">
        <v>2.0000000000000001E-4</v>
      </c>
      <c r="AN2248">
        <v>2</v>
      </c>
      <c r="AO2248">
        <v>1.1299999999999999</v>
      </c>
      <c r="AP2248">
        <v>1.1399999999999999</v>
      </c>
      <c r="AQ2248">
        <v>7.24</v>
      </c>
      <c r="AR2248">
        <v>1.3</v>
      </c>
      <c r="AS2248">
        <v>0.94</v>
      </c>
      <c r="AT2248" t="s">
        <v>10696</v>
      </c>
      <c r="AU2248">
        <v>5.65</v>
      </c>
      <c r="AV2248">
        <v>6.15</v>
      </c>
      <c r="AW2248">
        <v>0.99</v>
      </c>
      <c r="BA2248">
        <v>0.16</v>
      </c>
      <c r="BB2248">
        <v>1.45</v>
      </c>
      <c r="BC2248">
        <v>-0.16</v>
      </c>
      <c r="BD2248">
        <v>0.94</v>
      </c>
      <c r="BE2248">
        <v>0.32</v>
      </c>
      <c r="BF2248">
        <v>-0.96</v>
      </c>
      <c r="BG2248">
        <v>0.65</v>
      </c>
      <c r="BH2248">
        <v>-0.45</v>
      </c>
      <c r="BI2248">
        <v>20191031</v>
      </c>
      <c r="BJ2248">
        <v>19970526</v>
      </c>
      <c r="BK2248">
        <v>46.05</v>
      </c>
      <c r="BL2248" t="s">
        <v>116</v>
      </c>
      <c r="BM2248" t="s">
        <v>116</v>
      </c>
      <c r="BN2248">
        <v>2311.7600000000002</v>
      </c>
      <c r="BO2248">
        <v>454.66</v>
      </c>
      <c r="BP2248">
        <v>139.91999999999999</v>
      </c>
      <c r="BQ2248">
        <v>74.28</v>
      </c>
      <c r="BR2248">
        <v>1301.5899999999999</v>
      </c>
      <c r="BS2248">
        <v>168.07</v>
      </c>
      <c r="BT2248">
        <v>164.13</v>
      </c>
      <c r="BU2248">
        <v>1137.31</v>
      </c>
      <c r="BV2248">
        <v>523.71</v>
      </c>
      <c r="BW2248">
        <v>154.37</v>
      </c>
      <c r="BX2248">
        <v>76.27</v>
      </c>
      <c r="BY2248">
        <v>729.77</v>
      </c>
      <c r="BZ2248">
        <v>613.4</v>
      </c>
      <c r="CA2248">
        <v>54.66</v>
      </c>
      <c r="CB2248">
        <v>8.11</v>
      </c>
      <c r="CC2248">
        <v>54.72</v>
      </c>
      <c r="CD2248">
        <v>43.45</v>
      </c>
      <c r="CE2248">
        <v>31.98</v>
      </c>
      <c r="CF2248">
        <v>30.76</v>
      </c>
      <c r="CG2248">
        <v>152.43</v>
      </c>
      <c r="CH2248">
        <v>20.9</v>
      </c>
      <c r="CI2248">
        <v>-44.58</v>
      </c>
      <c r="CJ2248">
        <v>257701</v>
      </c>
      <c r="CK2248">
        <v>10304</v>
      </c>
      <c r="CL2248" t="s">
        <v>2206</v>
      </c>
      <c r="CM2248">
        <v>14.75</v>
      </c>
      <c r="CN2248">
        <v>8.24</v>
      </c>
      <c r="CO2248">
        <v>0.99</v>
      </c>
      <c r="CP2248">
        <v>13.7</v>
      </c>
      <c r="CQ2248">
        <v>0.39</v>
      </c>
      <c r="CR2248">
        <v>2.89</v>
      </c>
      <c r="CS2248" t="s">
        <v>2367</v>
      </c>
      <c r="CT2248">
        <v>6.29</v>
      </c>
      <c r="CU2248">
        <v>6.29</v>
      </c>
      <c r="CV2248">
        <v>1.66</v>
      </c>
      <c r="CW2248">
        <v>3.31</v>
      </c>
      <c r="CX2248">
        <v>0.45</v>
      </c>
      <c r="CY2248">
        <v>19.670000000000002</v>
      </c>
      <c r="CZ2248" t="s">
        <v>1566</v>
      </c>
      <c r="DA2248">
        <v>15.95</v>
      </c>
      <c r="DB2248">
        <v>7.49</v>
      </c>
      <c r="DC2248">
        <v>4.38</v>
      </c>
      <c r="DD2248">
        <v>11.63</v>
      </c>
      <c r="DE2248">
        <v>40539</v>
      </c>
      <c r="DF2248">
        <v>600068</v>
      </c>
      <c r="DG2248" t="s">
        <v>116</v>
      </c>
      <c r="DH2248" t="s">
        <v>116</v>
      </c>
      <c r="DI2248" t="s">
        <v>116</v>
      </c>
    </row>
    <row r="2249" spans="1:113" x14ac:dyDescent="0.4">
      <c r="A2249" t="str">
        <f>"600069"</f>
        <v>600069</v>
      </c>
      <c r="B2249" t="s">
        <v>10697</v>
      </c>
      <c r="C2249">
        <v>0</v>
      </c>
      <c r="D2249">
        <v>2.66</v>
      </c>
      <c r="E2249">
        <v>0</v>
      </c>
      <c r="F2249">
        <v>2.66</v>
      </c>
      <c r="G2249">
        <v>2.67</v>
      </c>
      <c r="H2249">
        <v>151221</v>
      </c>
      <c r="I2249">
        <v>2189</v>
      </c>
      <c r="J2249">
        <v>0</v>
      </c>
      <c r="K2249">
        <v>0.93</v>
      </c>
      <c r="L2249">
        <v>2.67</v>
      </c>
      <c r="M2249">
        <v>2.71</v>
      </c>
      <c r="N2249">
        <v>2.65</v>
      </c>
      <c r="O2249">
        <v>2.66</v>
      </c>
      <c r="P2249" t="s">
        <v>116</v>
      </c>
      <c r="Q2249">
        <v>40437536</v>
      </c>
      <c r="R2249">
        <v>1.1399999999999999</v>
      </c>
      <c r="S2249" t="s">
        <v>824</v>
      </c>
      <c r="T2249" t="s">
        <v>652</v>
      </c>
      <c r="U2249">
        <v>2.2599999999999998</v>
      </c>
      <c r="V2249">
        <v>2.67</v>
      </c>
      <c r="W2249">
        <v>72483</v>
      </c>
      <c r="X2249">
        <v>78738</v>
      </c>
      <c r="Y2249">
        <v>0.92</v>
      </c>
      <c r="Z2249">
        <v>2235</v>
      </c>
      <c r="AA2249">
        <v>4339</v>
      </c>
      <c r="AB2249" t="s">
        <v>116</v>
      </c>
      <c r="AC2249">
        <v>47800</v>
      </c>
      <c r="AD2249">
        <v>0</v>
      </c>
      <c r="AE2249" t="s">
        <v>116</v>
      </c>
      <c r="AF2249" t="s">
        <v>116</v>
      </c>
      <c r="AG2249">
        <v>16.239999999999998</v>
      </c>
      <c r="AH2249" t="s">
        <v>7666</v>
      </c>
      <c r="AI2249" t="s">
        <v>7666</v>
      </c>
      <c r="AJ2249">
        <v>0.08</v>
      </c>
      <c r="AK2249">
        <v>1179</v>
      </c>
      <c r="AL2249">
        <v>128</v>
      </c>
      <c r="AM2249">
        <v>8.0000000000000004E-4</v>
      </c>
      <c r="AN2249">
        <v>0</v>
      </c>
      <c r="AO2249">
        <v>-1.1100000000000001</v>
      </c>
      <c r="AP2249">
        <v>0.38</v>
      </c>
      <c r="AQ2249">
        <v>7.26</v>
      </c>
      <c r="AR2249">
        <v>-8.59</v>
      </c>
      <c r="AS2249">
        <v>1.77</v>
      </c>
      <c r="AT2249" t="s">
        <v>4003</v>
      </c>
      <c r="AU2249" t="s">
        <v>116</v>
      </c>
      <c r="AV2249" t="s">
        <v>116</v>
      </c>
      <c r="AW2249">
        <v>1.68</v>
      </c>
      <c r="BA2249">
        <v>0.38</v>
      </c>
      <c r="BB2249">
        <v>1.88</v>
      </c>
      <c r="BC2249">
        <v>-0.38</v>
      </c>
      <c r="BD2249">
        <v>0.53</v>
      </c>
      <c r="BE2249">
        <v>-0.37</v>
      </c>
      <c r="BF2249">
        <v>-1.85</v>
      </c>
      <c r="BG2249">
        <v>0.38</v>
      </c>
      <c r="BH2249">
        <v>-0.53</v>
      </c>
      <c r="BI2249">
        <v>20191106</v>
      </c>
      <c r="BJ2249">
        <v>19970430</v>
      </c>
      <c r="BK2249">
        <v>16.239999999999998</v>
      </c>
      <c r="BL2249" t="s">
        <v>116</v>
      </c>
      <c r="BM2249" t="s">
        <v>116</v>
      </c>
      <c r="BN2249">
        <v>51.85</v>
      </c>
      <c r="BO2249">
        <v>18.37</v>
      </c>
      <c r="BP2249">
        <v>-1.1299999999999999</v>
      </c>
      <c r="BQ2249">
        <v>66.739999999999995</v>
      </c>
      <c r="BR2249">
        <v>33.5</v>
      </c>
      <c r="BS2249">
        <v>14.21</v>
      </c>
      <c r="BT2249">
        <v>1.55</v>
      </c>
      <c r="BU2249">
        <v>31.27</v>
      </c>
      <c r="BV2249">
        <v>1.75</v>
      </c>
      <c r="BW2249">
        <v>3.52</v>
      </c>
      <c r="BX2249">
        <v>14.98</v>
      </c>
      <c r="BY2249">
        <v>15.77</v>
      </c>
      <c r="BZ2249">
        <v>15.5</v>
      </c>
      <c r="CA2249">
        <v>-1.94</v>
      </c>
      <c r="CB2249">
        <v>0</v>
      </c>
      <c r="CC2249">
        <v>-1.93</v>
      </c>
      <c r="CD2249">
        <v>-1.93</v>
      </c>
      <c r="CE2249">
        <v>-1.84</v>
      </c>
      <c r="CF2249">
        <v>-1.85</v>
      </c>
      <c r="CG2249">
        <v>-13.58</v>
      </c>
      <c r="CH2249">
        <v>-0.09</v>
      </c>
      <c r="CI2249">
        <v>0.03</v>
      </c>
      <c r="CJ2249">
        <v>59573</v>
      </c>
      <c r="CK2249">
        <v>14352</v>
      </c>
      <c r="CL2249" t="s">
        <v>10698</v>
      </c>
      <c r="CM2249">
        <v>-1367.85</v>
      </c>
      <c r="CN2249">
        <v>-26.69</v>
      </c>
      <c r="CO2249">
        <v>2.35</v>
      </c>
      <c r="CP2249">
        <v>-468.79</v>
      </c>
      <c r="CQ2249">
        <v>2.74</v>
      </c>
      <c r="CR2249">
        <v>0</v>
      </c>
      <c r="CS2249" t="s">
        <v>10699</v>
      </c>
      <c r="CT2249">
        <v>1.1299999999999999</v>
      </c>
      <c r="CU2249">
        <v>0</v>
      </c>
      <c r="CV2249">
        <v>0.92</v>
      </c>
      <c r="CW2249">
        <v>-0.84</v>
      </c>
      <c r="CX2249">
        <v>-0.01</v>
      </c>
      <c r="CY2249">
        <v>35.43</v>
      </c>
      <c r="CZ2249" t="s">
        <v>10700</v>
      </c>
      <c r="DA2249">
        <v>1.7</v>
      </c>
      <c r="DB2249">
        <v>-12.28</v>
      </c>
      <c r="DC2249">
        <v>-11.64</v>
      </c>
      <c r="DD2249">
        <v>0.39</v>
      </c>
      <c r="DE2249">
        <v>1947</v>
      </c>
      <c r="DF2249">
        <v>600069</v>
      </c>
      <c r="DG2249" t="s">
        <v>116</v>
      </c>
      <c r="DH2249" t="s">
        <v>116</v>
      </c>
      <c r="DI2249" t="s">
        <v>116</v>
      </c>
    </row>
    <row r="2250" spans="1:113" x14ac:dyDescent="0.4">
      <c r="A2250" t="str">
        <f>"600070"</f>
        <v>600070</v>
      </c>
      <c r="B2250" t="s">
        <v>10701</v>
      </c>
      <c r="C2250">
        <v>-0.22</v>
      </c>
      <c r="D2250">
        <v>9.2799999999999994</v>
      </c>
      <c r="E2250">
        <v>-0.02</v>
      </c>
      <c r="F2250">
        <v>9.27</v>
      </c>
      <c r="G2250">
        <v>9.2799999999999994</v>
      </c>
      <c r="H2250">
        <v>116099</v>
      </c>
      <c r="I2250">
        <v>908</v>
      </c>
      <c r="J2250">
        <v>0.11</v>
      </c>
      <c r="K2250">
        <v>2.63</v>
      </c>
      <c r="L2250">
        <v>9.31</v>
      </c>
      <c r="M2250">
        <v>9.58</v>
      </c>
      <c r="N2250">
        <v>9.24</v>
      </c>
      <c r="O2250">
        <v>9.3000000000000007</v>
      </c>
      <c r="P2250">
        <v>10.130000000000001</v>
      </c>
      <c r="Q2250">
        <v>109139472</v>
      </c>
      <c r="R2250">
        <v>0.99</v>
      </c>
      <c r="S2250" t="s">
        <v>1384</v>
      </c>
      <c r="T2250" t="s">
        <v>590</v>
      </c>
      <c r="U2250">
        <v>3.66</v>
      </c>
      <c r="V2250">
        <v>9.4</v>
      </c>
      <c r="W2250">
        <v>64643</v>
      </c>
      <c r="X2250">
        <v>51456</v>
      </c>
      <c r="Y2250">
        <v>1.26</v>
      </c>
      <c r="Z2250">
        <v>1213</v>
      </c>
      <c r="AA2250">
        <v>741</v>
      </c>
      <c r="AB2250" t="s">
        <v>116</v>
      </c>
      <c r="AC2250">
        <v>263500</v>
      </c>
      <c r="AD2250">
        <v>0.01</v>
      </c>
      <c r="AE2250" t="s">
        <v>116</v>
      </c>
      <c r="AF2250" t="s">
        <v>116</v>
      </c>
      <c r="AG2250">
        <v>4.41</v>
      </c>
      <c r="AH2250" t="s">
        <v>10702</v>
      </c>
      <c r="AI2250" t="s">
        <v>10703</v>
      </c>
      <c r="AJ2250">
        <v>-0.14000000000000001</v>
      </c>
      <c r="AK2250">
        <v>2095</v>
      </c>
      <c r="AL2250">
        <v>55</v>
      </c>
      <c r="AM2250">
        <v>1.2999999999999999E-3</v>
      </c>
      <c r="AN2250">
        <v>-1</v>
      </c>
      <c r="AO2250">
        <v>3.23</v>
      </c>
      <c r="AP2250">
        <v>-4.72</v>
      </c>
      <c r="AQ2250">
        <v>5.69</v>
      </c>
      <c r="AR2250">
        <v>44.1</v>
      </c>
      <c r="AS2250">
        <v>3.41</v>
      </c>
      <c r="AT2250" t="s">
        <v>9964</v>
      </c>
      <c r="AU2250">
        <v>11.18</v>
      </c>
      <c r="AV2250">
        <v>22.34</v>
      </c>
      <c r="AW2250">
        <v>2.08</v>
      </c>
      <c r="BA2250">
        <v>0.11</v>
      </c>
      <c r="BB2250">
        <v>3.01</v>
      </c>
      <c r="BC2250">
        <v>-0.65</v>
      </c>
      <c r="BD2250">
        <v>1.08</v>
      </c>
      <c r="BE2250">
        <v>-0.32</v>
      </c>
      <c r="BF2250">
        <v>-3.13</v>
      </c>
      <c r="BG2250">
        <v>0.43</v>
      </c>
      <c r="BH2250">
        <v>-1.3</v>
      </c>
      <c r="BI2250">
        <v>20191106</v>
      </c>
      <c r="BJ2250">
        <v>19970604</v>
      </c>
      <c r="BK2250">
        <v>5.22</v>
      </c>
      <c r="BL2250" t="s">
        <v>116</v>
      </c>
      <c r="BM2250" t="s">
        <v>116</v>
      </c>
      <c r="BN2250">
        <v>43.82</v>
      </c>
      <c r="BO2250">
        <v>27.22</v>
      </c>
      <c r="BP2250">
        <v>3.36</v>
      </c>
      <c r="BQ2250">
        <v>30.21</v>
      </c>
      <c r="BR2250">
        <v>31.11</v>
      </c>
      <c r="BS2250">
        <v>3.33</v>
      </c>
      <c r="BT2250">
        <v>0.69</v>
      </c>
      <c r="BU2250">
        <v>11.01</v>
      </c>
      <c r="BV2250">
        <v>4.66</v>
      </c>
      <c r="BW2250">
        <v>9.81</v>
      </c>
      <c r="BX2250">
        <v>11.11</v>
      </c>
      <c r="BY2250">
        <v>20.82</v>
      </c>
      <c r="BZ2250">
        <v>16.82</v>
      </c>
      <c r="CA2250">
        <v>5.15</v>
      </c>
      <c r="CB2250">
        <v>0.38</v>
      </c>
      <c r="CC2250">
        <v>5.12</v>
      </c>
      <c r="CD2250">
        <v>4.2</v>
      </c>
      <c r="CE2250">
        <v>3.59</v>
      </c>
      <c r="CF2250">
        <v>1.24</v>
      </c>
      <c r="CG2250">
        <v>11.02</v>
      </c>
      <c r="CH2250">
        <v>-0.53</v>
      </c>
      <c r="CI2250">
        <v>-1.37</v>
      </c>
      <c r="CJ2250">
        <v>23060</v>
      </c>
      <c r="CK2250">
        <v>14747</v>
      </c>
      <c r="CL2250" t="s">
        <v>10704</v>
      </c>
      <c r="CM2250">
        <v>152.54</v>
      </c>
      <c r="CN2250">
        <v>21.07</v>
      </c>
      <c r="CO2250">
        <v>1.78</v>
      </c>
      <c r="CP2250">
        <v>-90.79</v>
      </c>
      <c r="CQ2250">
        <v>2.33</v>
      </c>
      <c r="CR2250">
        <v>0.84</v>
      </c>
      <c r="CS2250" t="s">
        <v>3173</v>
      </c>
      <c r="CT2250">
        <v>5.22</v>
      </c>
      <c r="CU2250">
        <v>0</v>
      </c>
      <c r="CV2250">
        <v>2.13</v>
      </c>
      <c r="CW2250">
        <v>2.11</v>
      </c>
      <c r="CX2250">
        <v>-0.1</v>
      </c>
      <c r="CY2250">
        <v>62.12</v>
      </c>
      <c r="CZ2250" t="s">
        <v>7363</v>
      </c>
      <c r="DA2250">
        <v>19.18</v>
      </c>
      <c r="DB2250">
        <v>24.75</v>
      </c>
      <c r="DC2250">
        <v>17.23</v>
      </c>
      <c r="DD2250">
        <v>0.48</v>
      </c>
      <c r="DE2250">
        <v>3077</v>
      </c>
      <c r="DF2250">
        <v>600070</v>
      </c>
      <c r="DG2250" t="s">
        <v>116</v>
      </c>
      <c r="DH2250" t="s">
        <v>116</v>
      </c>
      <c r="DI2250" t="s">
        <v>116</v>
      </c>
    </row>
    <row r="2251" spans="1:113" x14ac:dyDescent="0.4">
      <c r="A2251" t="str">
        <f>"600071"</f>
        <v>600071</v>
      </c>
      <c r="B2251" t="s">
        <v>10705</v>
      </c>
      <c r="C2251">
        <v>-3.11</v>
      </c>
      <c r="D2251">
        <v>11.53</v>
      </c>
      <c r="E2251">
        <v>-0.37</v>
      </c>
      <c r="F2251">
        <v>11.52</v>
      </c>
      <c r="G2251">
        <v>11.53</v>
      </c>
      <c r="H2251">
        <v>33997</v>
      </c>
      <c r="I2251">
        <v>380</v>
      </c>
      <c r="J2251">
        <v>-0.16</v>
      </c>
      <c r="K2251">
        <v>1.43</v>
      </c>
      <c r="L2251">
        <v>11.91</v>
      </c>
      <c r="M2251">
        <v>11.91</v>
      </c>
      <c r="N2251">
        <v>11.51</v>
      </c>
      <c r="O2251">
        <v>11.9</v>
      </c>
      <c r="P2251" t="s">
        <v>116</v>
      </c>
      <c r="Q2251">
        <v>39788224</v>
      </c>
      <c r="R2251">
        <v>1.28</v>
      </c>
      <c r="S2251" t="s">
        <v>233</v>
      </c>
      <c r="T2251" t="s">
        <v>683</v>
      </c>
      <c r="U2251">
        <v>3.36</v>
      </c>
      <c r="V2251">
        <v>11.7</v>
      </c>
      <c r="W2251">
        <v>20570</v>
      </c>
      <c r="X2251">
        <v>13427</v>
      </c>
      <c r="Y2251">
        <v>1.53</v>
      </c>
      <c r="Z2251">
        <v>150</v>
      </c>
      <c r="AA2251">
        <v>176</v>
      </c>
      <c r="AB2251" t="s">
        <v>116</v>
      </c>
      <c r="AC2251">
        <v>85800</v>
      </c>
      <c r="AD2251">
        <v>0.01</v>
      </c>
      <c r="AE2251" t="s">
        <v>116</v>
      </c>
      <c r="AF2251" t="s">
        <v>116</v>
      </c>
      <c r="AG2251">
        <v>2.37</v>
      </c>
      <c r="AH2251" t="s">
        <v>10706</v>
      </c>
      <c r="AI2251" t="s">
        <v>10707</v>
      </c>
      <c r="AJ2251">
        <v>-3.03</v>
      </c>
      <c r="AK2251">
        <v>1200</v>
      </c>
      <c r="AL2251">
        <v>28</v>
      </c>
      <c r="AM2251">
        <v>1.1999999999999999E-3</v>
      </c>
      <c r="AN2251">
        <v>-1</v>
      </c>
      <c r="AO2251">
        <v>-1.96</v>
      </c>
      <c r="AP2251">
        <v>5.68</v>
      </c>
      <c r="AQ2251">
        <v>4.63</v>
      </c>
      <c r="AR2251">
        <v>54.14</v>
      </c>
      <c r="AS2251">
        <v>2.36</v>
      </c>
      <c r="AT2251" t="s">
        <v>10708</v>
      </c>
      <c r="AU2251" t="s">
        <v>116</v>
      </c>
      <c r="AV2251" t="s">
        <v>116</v>
      </c>
      <c r="AW2251">
        <v>0.94</v>
      </c>
      <c r="BA2251">
        <v>0.08</v>
      </c>
      <c r="BB2251">
        <v>0.08</v>
      </c>
      <c r="BC2251">
        <v>-3.28</v>
      </c>
      <c r="BD2251">
        <v>-1.65</v>
      </c>
      <c r="BE2251">
        <v>-3.19</v>
      </c>
      <c r="BF2251">
        <v>-3.19</v>
      </c>
      <c r="BG2251">
        <v>0.17</v>
      </c>
      <c r="BH2251">
        <v>-1.46</v>
      </c>
      <c r="BI2251">
        <v>20191031</v>
      </c>
      <c r="BJ2251">
        <v>19970528</v>
      </c>
      <c r="BK2251">
        <v>2.82</v>
      </c>
      <c r="BL2251" t="s">
        <v>116</v>
      </c>
      <c r="BM2251" t="s">
        <v>116</v>
      </c>
      <c r="BN2251">
        <v>12.16</v>
      </c>
      <c r="BO2251">
        <v>7.82</v>
      </c>
      <c r="BP2251">
        <v>0.82</v>
      </c>
      <c r="BQ2251">
        <v>28.91</v>
      </c>
      <c r="BR2251">
        <v>7.5</v>
      </c>
      <c r="BS2251">
        <v>3.34</v>
      </c>
      <c r="BT2251">
        <v>0.17</v>
      </c>
      <c r="BU2251">
        <v>3.41</v>
      </c>
      <c r="BV2251">
        <v>0.97</v>
      </c>
      <c r="BW2251">
        <v>2.52</v>
      </c>
      <c r="BX2251">
        <v>4.49</v>
      </c>
      <c r="BY2251">
        <v>5.23</v>
      </c>
      <c r="BZ2251">
        <v>4.6900000000000004</v>
      </c>
      <c r="CA2251">
        <v>-0.32</v>
      </c>
      <c r="CB2251">
        <v>0.01</v>
      </c>
      <c r="CC2251">
        <v>-0.32</v>
      </c>
      <c r="CD2251">
        <v>-0.32</v>
      </c>
      <c r="CE2251">
        <v>-0.26</v>
      </c>
      <c r="CF2251">
        <v>-0.27</v>
      </c>
      <c r="CG2251">
        <v>-0.19</v>
      </c>
      <c r="CH2251">
        <v>0.13</v>
      </c>
      <c r="CI2251">
        <v>1.22</v>
      </c>
      <c r="CJ2251">
        <v>13345</v>
      </c>
      <c r="CK2251">
        <v>10773</v>
      </c>
      <c r="CL2251" t="s">
        <v>7252</v>
      </c>
      <c r="CM2251">
        <v>-516.72</v>
      </c>
      <c r="CN2251">
        <v>-6.84</v>
      </c>
      <c r="CO2251">
        <v>4.1500000000000004</v>
      </c>
      <c r="CP2251">
        <v>252.42</v>
      </c>
      <c r="CQ2251">
        <v>6.21</v>
      </c>
      <c r="CR2251">
        <v>0</v>
      </c>
      <c r="CS2251" t="s">
        <v>5461</v>
      </c>
      <c r="CT2251">
        <v>2.78</v>
      </c>
      <c r="CU2251">
        <v>0</v>
      </c>
      <c r="CV2251">
        <v>1.59</v>
      </c>
      <c r="CW2251">
        <v>-7.0000000000000007E-2</v>
      </c>
      <c r="CX2251">
        <v>0.05</v>
      </c>
      <c r="CY2251">
        <v>64.33</v>
      </c>
      <c r="CZ2251" t="s">
        <v>10709</v>
      </c>
      <c r="DA2251">
        <v>10.39</v>
      </c>
      <c r="DB2251">
        <v>-6.16</v>
      </c>
      <c r="DC2251">
        <v>-5.0199999999999996</v>
      </c>
      <c r="DD2251">
        <v>0.24</v>
      </c>
      <c r="DE2251">
        <v>2509</v>
      </c>
      <c r="DF2251">
        <v>600071</v>
      </c>
      <c r="DG2251" t="s">
        <v>116</v>
      </c>
      <c r="DH2251" t="s">
        <v>116</v>
      </c>
      <c r="DI2251" t="s">
        <v>116</v>
      </c>
    </row>
    <row r="2252" spans="1:113" x14ac:dyDescent="0.4">
      <c r="A2252" t="str">
        <f>"600072"</f>
        <v>600072</v>
      </c>
      <c r="B2252" t="s">
        <v>10710</v>
      </c>
      <c r="C2252">
        <v>-0.59</v>
      </c>
      <c r="D2252">
        <v>13.42</v>
      </c>
      <c r="E2252">
        <v>-0.08</v>
      </c>
      <c r="F2252">
        <v>13.36</v>
      </c>
      <c r="G2252">
        <v>13.42</v>
      </c>
      <c r="H2252">
        <v>99333</v>
      </c>
      <c r="I2252">
        <v>3000</v>
      </c>
      <c r="J2252">
        <v>0.75</v>
      </c>
      <c r="K2252">
        <v>1.35</v>
      </c>
      <c r="L2252">
        <v>13.47</v>
      </c>
      <c r="M2252">
        <v>13.55</v>
      </c>
      <c r="N2252">
        <v>13.31</v>
      </c>
      <c r="O2252">
        <v>13.5</v>
      </c>
      <c r="P2252">
        <v>121.84</v>
      </c>
      <c r="Q2252">
        <v>133656696</v>
      </c>
      <c r="R2252">
        <v>1.06</v>
      </c>
      <c r="S2252" t="s">
        <v>7623</v>
      </c>
      <c r="T2252" t="s">
        <v>1653</v>
      </c>
      <c r="U2252">
        <v>1.78</v>
      </c>
      <c r="V2252">
        <v>13.46</v>
      </c>
      <c r="W2252">
        <v>59448</v>
      </c>
      <c r="X2252">
        <v>39886</v>
      </c>
      <c r="Y2252">
        <v>1.49</v>
      </c>
      <c r="Z2252">
        <v>3</v>
      </c>
      <c r="AA2252">
        <v>36</v>
      </c>
      <c r="AB2252" t="s">
        <v>116</v>
      </c>
      <c r="AC2252">
        <v>175100</v>
      </c>
      <c r="AD2252">
        <v>0</v>
      </c>
      <c r="AE2252" t="s">
        <v>116</v>
      </c>
      <c r="AF2252" t="s">
        <v>116</v>
      </c>
      <c r="AG2252">
        <v>7.36</v>
      </c>
      <c r="AH2252" t="s">
        <v>10711</v>
      </c>
      <c r="AI2252" t="s">
        <v>10711</v>
      </c>
      <c r="AJ2252">
        <v>-0.52</v>
      </c>
      <c r="AK2252">
        <v>2514</v>
      </c>
      <c r="AL2252">
        <v>40</v>
      </c>
      <c r="AM2252">
        <v>5.0000000000000001E-4</v>
      </c>
      <c r="AN2252">
        <v>-3</v>
      </c>
      <c r="AO2252">
        <v>-1.31</v>
      </c>
      <c r="AP2252">
        <v>-0.15</v>
      </c>
      <c r="AQ2252">
        <v>-12.8</v>
      </c>
      <c r="AR2252">
        <v>93.09</v>
      </c>
      <c r="AS2252">
        <v>2.2999999999999998</v>
      </c>
      <c r="AT2252" t="s">
        <v>6170</v>
      </c>
      <c r="AU2252">
        <v>79.930000000000007</v>
      </c>
      <c r="AV2252">
        <v>151.01</v>
      </c>
      <c r="AW2252">
        <v>1.06</v>
      </c>
      <c r="BA2252">
        <v>-0.22</v>
      </c>
      <c r="BB2252">
        <v>0.37</v>
      </c>
      <c r="BC2252">
        <v>-1.41</v>
      </c>
      <c r="BD2252">
        <v>-0.33</v>
      </c>
      <c r="BE2252">
        <v>-0.37</v>
      </c>
      <c r="BF2252">
        <v>-0.96</v>
      </c>
      <c r="BG2252">
        <v>0.83</v>
      </c>
      <c r="BH2252">
        <v>-0.26</v>
      </c>
      <c r="BI2252">
        <v>20191101</v>
      </c>
      <c r="BJ2252">
        <v>19970603</v>
      </c>
      <c r="BK2252">
        <v>7.36</v>
      </c>
      <c r="BL2252" t="s">
        <v>116</v>
      </c>
      <c r="BM2252" t="s">
        <v>116</v>
      </c>
      <c r="BN2252">
        <v>88.26</v>
      </c>
      <c r="BO2252">
        <v>38.17</v>
      </c>
      <c r="BP2252">
        <v>1.23</v>
      </c>
      <c r="BQ2252">
        <v>55.37</v>
      </c>
      <c r="BR2252">
        <v>53.37</v>
      </c>
      <c r="BS2252">
        <v>3.17</v>
      </c>
      <c r="BT2252">
        <v>0.8</v>
      </c>
      <c r="BU2252">
        <v>29.73</v>
      </c>
      <c r="BV2252">
        <v>13.44</v>
      </c>
      <c r="BW2252">
        <v>15.22</v>
      </c>
      <c r="BX2252">
        <v>24.4</v>
      </c>
      <c r="BY2252">
        <v>19.55</v>
      </c>
      <c r="BZ2252">
        <v>18.100000000000001</v>
      </c>
      <c r="CA2252">
        <v>0.54</v>
      </c>
      <c r="CB2252">
        <v>1.7</v>
      </c>
      <c r="CC2252">
        <v>0.56999999999999995</v>
      </c>
      <c r="CD2252">
        <v>0.41</v>
      </c>
      <c r="CE2252">
        <v>0.61</v>
      </c>
      <c r="CF2252">
        <v>-0.73</v>
      </c>
      <c r="CG2252">
        <v>3.76</v>
      </c>
      <c r="CH2252">
        <v>-3.97</v>
      </c>
      <c r="CI2252">
        <v>4.6399999999999997</v>
      </c>
      <c r="CJ2252">
        <v>116243</v>
      </c>
      <c r="CK2252">
        <v>3719</v>
      </c>
      <c r="CL2252" t="s">
        <v>3310</v>
      </c>
      <c r="CM2252">
        <v>2209.1799999999998</v>
      </c>
      <c r="CN2252">
        <v>-13.36</v>
      </c>
      <c r="CO2252">
        <v>2.59</v>
      </c>
      <c r="CP2252">
        <v>-24.87</v>
      </c>
      <c r="CQ2252">
        <v>5.05</v>
      </c>
      <c r="CR2252">
        <v>0.15</v>
      </c>
      <c r="CS2252" t="s">
        <v>6275</v>
      </c>
      <c r="CT2252">
        <v>5.18</v>
      </c>
      <c r="CU2252">
        <v>0</v>
      </c>
      <c r="CV2252">
        <v>3.31</v>
      </c>
      <c r="CW2252">
        <v>0.51</v>
      </c>
      <c r="CX2252">
        <v>-0.54</v>
      </c>
      <c r="CY2252">
        <v>43.24</v>
      </c>
      <c r="CZ2252" t="s">
        <v>10712</v>
      </c>
      <c r="DA2252">
        <v>7.38</v>
      </c>
      <c r="DB2252">
        <v>2.78</v>
      </c>
      <c r="DC2252">
        <v>3.11</v>
      </c>
      <c r="DD2252">
        <v>0.73</v>
      </c>
      <c r="DE2252">
        <v>1564</v>
      </c>
      <c r="DF2252">
        <v>600072</v>
      </c>
      <c r="DG2252" t="s">
        <v>116</v>
      </c>
      <c r="DH2252" t="s">
        <v>116</v>
      </c>
      <c r="DI2252" t="s">
        <v>116</v>
      </c>
    </row>
    <row r="2253" spans="1:113" x14ac:dyDescent="0.4">
      <c r="A2253" t="str">
        <f>"600073"</f>
        <v>600073</v>
      </c>
      <c r="B2253" t="s">
        <v>10713</v>
      </c>
      <c r="C2253">
        <v>0</v>
      </c>
      <c r="D2253">
        <v>7.86</v>
      </c>
      <c r="E2253">
        <v>0</v>
      </c>
      <c r="F2253">
        <v>7.85</v>
      </c>
      <c r="G2253">
        <v>7.86</v>
      </c>
      <c r="H2253">
        <v>80760</v>
      </c>
      <c r="I2253">
        <v>1661</v>
      </c>
      <c r="J2253">
        <v>-0.12</v>
      </c>
      <c r="K2253">
        <v>0.86</v>
      </c>
      <c r="L2253">
        <v>7.86</v>
      </c>
      <c r="M2253">
        <v>7.97</v>
      </c>
      <c r="N2253">
        <v>7.85</v>
      </c>
      <c r="O2253">
        <v>7.86</v>
      </c>
      <c r="P2253">
        <v>16.600000000000001</v>
      </c>
      <c r="Q2253">
        <v>63709584</v>
      </c>
      <c r="R2253">
        <v>1.1299999999999999</v>
      </c>
      <c r="S2253" t="s">
        <v>863</v>
      </c>
      <c r="T2253" t="s">
        <v>1653</v>
      </c>
      <c r="U2253">
        <v>1.53</v>
      </c>
      <c r="V2253">
        <v>7.89</v>
      </c>
      <c r="W2253">
        <v>44607</v>
      </c>
      <c r="X2253">
        <v>36153</v>
      </c>
      <c r="Y2253">
        <v>1.23</v>
      </c>
      <c r="Z2253">
        <v>1325</v>
      </c>
      <c r="AA2253">
        <v>195</v>
      </c>
      <c r="AB2253" t="s">
        <v>116</v>
      </c>
      <c r="AC2253">
        <v>280600</v>
      </c>
      <c r="AD2253">
        <v>0.01</v>
      </c>
      <c r="AE2253" t="s">
        <v>116</v>
      </c>
      <c r="AF2253" t="s">
        <v>116</v>
      </c>
      <c r="AG2253">
        <v>9.3800000000000008</v>
      </c>
      <c r="AH2253" t="s">
        <v>10714</v>
      </c>
      <c r="AI2253" t="s">
        <v>10714</v>
      </c>
      <c r="AJ2253">
        <v>0.08</v>
      </c>
      <c r="AK2253">
        <v>1807</v>
      </c>
      <c r="AL2253">
        <v>45</v>
      </c>
      <c r="AM2253">
        <v>5.0000000000000001E-4</v>
      </c>
      <c r="AN2253">
        <v>0</v>
      </c>
      <c r="AO2253">
        <v>0.38</v>
      </c>
      <c r="AP2253">
        <v>1.42</v>
      </c>
      <c r="AQ2253">
        <v>-7.42</v>
      </c>
      <c r="AR2253">
        <v>6.94</v>
      </c>
      <c r="AS2253">
        <v>1.38</v>
      </c>
      <c r="AT2253" t="s">
        <v>10715</v>
      </c>
      <c r="AU2253">
        <v>21.56</v>
      </c>
      <c r="AV2253">
        <v>24.09</v>
      </c>
      <c r="AW2253">
        <v>0.99</v>
      </c>
      <c r="BA2253">
        <v>0</v>
      </c>
      <c r="BB2253">
        <v>1.4</v>
      </c>
      <c r="BC2253">
        <v>-0.13</v>
      </c>
      <c r="BD2253">
        <v>0.37</v>
      </c>
      <c r="BE2253">
        <v>0</v>
      </c>
      <c r="BF2253">
        <v>-1.38</v>
      </c>
      <c r="BG2253">
        <v>0.13</v>
      </c>
      <c r="BH2253">
        <v>-0.37</v>
      </c>
      <c r="BI2253">
        <v>20191026</v>
      </c>
      <c r="BJ2253">
        <v>19970704</v>
      </c>
      <c r="BK2253">
        <v>9.3800000000000008</v>
      </c>
      <c r="BL2253" t="s">
        <v>116</v>
      </c>
      <c r="BM2253" t="s">
        <v>116</v>
      </c>
      <c r="BN2253">
        <v>127.55</v>
      </c>
      <c r="BO2253">
        <v>39.700000000000003</v>
      </c>
      <c r="BP2253">
        <v>25.58</v>
      </c>
      <c r="BQ2253">
        <v>48.81</v>
      </c>
      <c r="BR2253">
        <v>77.5</v>
      </c>
      <c r="BS2253">
        <v>26.71</v>
      </c>
      <c r="BT2253">
        <v>1.24</v>
      </c>
      <c r="BU2253">
        <v>48.25</v>
      </c>
      <c r="BV2253">
        <v>21.49</v>
      </c>
      <c r="BW2253">
        <v>14.18</v>
      </c>
      <c r="BX2253">
        <v>18</v>
      </c>
      <c r="BY2253">
        <v>177.2</v>
      </c>
      <c r="BZ2253">
        <v>153.33000000000001</v>
      </c>
      <c r="CA2253">
        <v>6.19</v>
      </c>
      <c r="CB2253">
        <v>0.44</v>
      </c>
      <c r="CC2253">
        <v>6.15</v>
      </c>
      <c r="CD2253">
        <v>4.8899999999999997</v>
      </c>
      <c r="CE2253">
        <v>3.33</v>
      </c>
      <c r="CF2253">
        <v>3.02</v>
      </c>
      <c r="CG2253">
        <v>11.92</v>
      </c>
      <c r="CH2253">
        <v>10.71</v>
      </c>
      <c r="CI2253">
        <v>0.84</v>
      </c>
      <c r="CJ2253">
        <v>61382</v>
      </c>
      <c r="CK2253">
        <v>9504</v>
      </c>
      <c r="CL2253" t="s">
        <v>7687</v>
      </c>
      <c r="CM2253">
        <v>12.1</v>
      </c>
      <c r="CN2253">
        <v>5.33</v>
      </c>
      <c r="CO2253">
        <v>1.86</v>
      </c>
      <c r="CP2253">
        <v>6.88</v>
      </c>
      <c r="CQ2253">
        <v>0.42</v>
      </c>
      <c r="CR2253">
        <v>1.27</v>
      </c>
      <c r="CS2253" t="s">
        <v>965</v>
      </c>
      <c r="CT2253">
        <v>4.2300000000000004</v>
      </c>
      <c r="CU2253">
        <v>0</v>
      </c>
      <c r="CV2253">
        <v>1.92</v>
      </c>
      <c r="CW2253">
        <v>1.27</v>
      </c>
      <c r="CX2253">
        <v>1.1399999999999999</v>
      </c>
      <c r="CY2253">
        <v>31.13</v>
      </c>
      <c r="CZ2253" t="s">
        <v>6173</v>
      </c>
      <c r="DA2253">
        <v>13.47</v>
      </c>
      <c r="DB2253">
        <v>3.49</v>
      </c>
      <c r="DC2253">
        <v>1.88</v>
      </c>
      <c r="DD2253">
        <v>0.1</v>
      </c>
      <c r="DE2253">
        <v>8235</v>
      </c>
      <c r="DF2253">
        <v>600073</v>
      </c>
      <c r="DG2253" t="s">
        <v>116</v>
      </c>
      <c r="DH2253" t="s">
        <v>116</v>
      </c>
      <c r="DI2253" t="s">
        <v>116</v>
      </c>
    </row>
    <row r="2254" spans="1:113" x14ac:dyDescent="0.4">
      <c r="A2254" t="str">
        <f>"600075"</f>
        <v>600075</v>
      </c>
      <c r="B2254" t="s">
        <v>10716</v>
      </c>
      <c r="C2254">
        <v>-0.2</v>
      </c>
      <c r="D2254">
        <v>4.9800000000000004</v>
      </c>
      <c r="E2254">
        <v>-0.01</v>
      </c>
      <c r="F2254">
        <v>4.97</v>
      </c>
      <c r="G2254">
        <v>4.9800000000000004</v>
      </c>
      <c r="H2254">
        <v>67720</v>
      </c>
      <c r="I2254">
        <v>263</v>
      </c>
      <c r="J2254">
        <v>0.2</v>
      </c>
      <c r="K2254">
        <v>0.7</v>
      </c>
      <c r="L2254">
        <v>4.99</v>
      </c>
      <c r="M2254">
        <v>5.0199999999999996</v>
      </c>
      <c r="N2254">
        <v>4.96</v>
      </c>
      <c r="O2254">
        <v>4.99</v>
      </c>
      <c r="P2254">
        <v>66.55</v>
      </c>
      <c r="Q2254">
        <v>33770616</v>
      </c>
      <c r="R2254">
        <v>1.45</v>
      </c>
      <c r="S2254" t="s">
        <v>891</v>
      </c>
      <c r="T2254" t="s">
        <v>616</v>
      </c>
      <c r="U2254">
        <v>1.2</v>
      </c>
      <c r="V2254">
        <v>4.99</v>
      </c>
      <c r="W2254">
        <v>37549</v>
      </c>
      <c r="X2254">
        <v>30171</v>
      </c>
      <c r="Y2254">
        <v>1.24</v>
      </c>
      <c r="Z2254">
        <v>434</v>
      </c>
      <c r="AA2254">
        <v>2223</v>
      </c>
      <c r="AB2254" t="s">
        <v>116</v>
      </c>
      <c r="AC2254">
        <v>40900</v>
      </c>
      <c r="AD2254">
        <v>0</v>
      </c>
      <c r="AE2254" t="s">
        <v>116</v>
      </c>
      <c r="AF2254" t="s">
        <v>116</v>
      </c>
      <c r="AG2254">
        <v>9.73</v>
      </c>
      <c r="AH2254" t="s">
        <v>10717</v>
      </c>
      <c r="AI2254" t="s">
        <v>10717</v>
      </c>
      <c r="AJ2254">
        <v>-0.12</v>
      </c>
      <c r="AK2254">
        <v>1046</v>
      </c>
      <c r="AL2254">
        <v>65</v>
      </c>
      <c r="AM2254">
        <v>6.9999999999999999E-4</v>
      </c>
      <c r="AN2254">
        <v>-1</v>
      </c>
      <c r="AO2254">
        <v>0.61</v>
      </c>
      <c r="AP2254">
        <v>0.61</v>
      </c>
      <c r="AQ2254">
        <v>5.29</v>
      </c>
      <c r="AR2254">
        <v>12.67</v>
      </c>
      <c r="AS2254">
        <v>1.2</v>
      </c>
      <c r="AT2254" t="s">
        <v>10718</v>
      </c>
      <c r="AU2254">
        <v>20.76</v>
      </c>
      <c r="AV2254">
        <v>9.81</v>
      </c>
      <c r="AW2254">
        <v>0.98</v>
      </c>
      <c r="BA2254">
        <v>0</v>
      </c>
      <c r="BB2254">
        <v>0.6</v>
      </c>
      <c r="BC2254">
        <v>-0.6</v>
      </c>
      <c r="BD2254">
        <v>-0.06</v>
      </c>
      <c r="BE2254">
        <v>-0.2</v>
      </c>
      <c r="BF2254">
        <v>-0.8</v>
      </c>
      <c r="BG2254">
        <v>0.4</v>
      </c>
      <c r="BH2254">
        <v>-0.14000000000000001</v>
      </c>
      <c r="BI2254">
        <v>20191029</v>
      </c>
      <c r="BJ2254">
        <v>19970617</v>
      </c>
      <c r="BK2254">
        <v>9.73</v>
      </c>
      <c r="BL2254" t="s">
        <v>116</v>
      </c>
      <c r="BM2254" t="s">
        <v>116</v>
      </c>
      <c r="BN2254">
        <v>81.819999999999993</v>
      </c>
      <c r="BO2254">
        <v>47.6</v>
      </c>
      <c r="BP2254">
        <v>3.81</v>
      </c>
      <c r="BQ2254">
        <v>37.17</v>
      </c>
      <c r="BR2254">
        <v>16.53</v>
      </c>
      <c r="BS2254">
        <v>45.36</v>
      </c>
      <c r="BT2254">
        <v>5.14</v>
      </c>
      <c r="BU2254">
        <v>20.81</v>
      </c>
      <c r="BV2254">
        <v>7.08</v>
      </c>
      <c r="BW2254">
        <v>2.12</v>
      </c>
      <c r="BX2254">
        <v>13.29</v>
      </c>
      <c r="BY2254">
        <v>32.97</v>
      </c>
      <c r="BZ2254">
        <v>25.43</v>
      </c>
      <c r="CA2254">
        <v>1.19</v>
      </c>
      <c r="CB2254">
        <v>-0.06</v>
      </c>
      <c r="CC2254">
        <v>1.07</v>
      </c>
      <c r="CD2254">
        <v>0.47</v>
      </c>
      <c r="CE2254">
        <v>0.55000000000000004</v>
      </c>
      <c r="CF2254">
        <v>0.6</v>
      </c>
      <c r="CG2254">
        <v>21.87</v>
      </c>
      <c r="CH2254">
        <v>8.11</v>
      </c>
      <c r="CI2254">
        <v>0.1</v>
      </c>
      <c r="CJ2254">
        <v>52359</v>
      </c>
      <c r="CK2254">
        <v>10764</v>
      </c>
      <c r="CL2254" t="s">
        <v>10445</v>
      </c>
      <c r="CM2254">
        <v>-82.67</v>
      </c>
      <c r="CN2254">
        <v>-6.77</v>
      </c>
      <c r="CO2254">
        <v>1.02</v>
      </c>
      <c r="CP2254">
        <v>5.97</v>
      </c>
      <c r="CQ2254">
        <v>1.47</v>
      </c>
      <c r="CR2254">
        <v>2.0099999999999998</v>
      </c>
      <c r="CS2254" t="s">
        <v>743</v>
      </c>
      <c r="CT2254">
        <v>4.8899999999999997</v>
      </c>
      <c r="CU2254">
        <v>0</v>
      </c>
      <c r="CV2254">
        <v>1.37</v>
      </c>
      <c r="CW2254">
        <v>2.25</v>
      </c>
      <c r="CX2254">
        <v>0.83</v>
      </c>
      <c r="CY2254">
        <v>58.18</v>
      </c>
      <c r="CZ2254" t="s">
        <v>10719</v>
      </c>
      <c r="DA2254">
        <v>22.88</v>
      </c>
      <c r="DB2254">
        <v>3.61</v>
      </c>
      <c r="DC2254">
        <v>1.66</v>
      </c>
      <c r="DD2254">
        <v>0.82</v>
      </c>
      <c r="DE2254">
        <v>3185</v>
      </c>
      <c r="DF2254">
        <v>600075</v>
      </c>
      <c r="DG2254" t="s">
        <v>116</v>
      </c>
      <c r="DH2254" t="s">
        <v>116</v>
      </c>
      <c r="DI2254" t="s">
        <v>116</v>
      </c>
    </row>
    <row r="2255" spans="1:113" x14ac:dyDescent="0.4">
      <c r="A2255" t="str">
        <f>"600076"</f>
        <v>600076</v>
      </c>
      <c r="B2255" t="s">
        <v>10720</v>
      </c>
      <c r="C2255">
        <v>-0.69</v>
      </c>
      <c r="D2255">
        <v>4.32</v>
      </c>
      <c r="E2255">
        <v>-0.03</v>
      </c>
      <c r="F2255">
        <v>4.32</v>
      </c>
      <c r="G2255">
        <v>4.33</v>
      </c>
      <c r="H2255">
        <v>126835</v>
      </c>
      <c r="I2255">
        <v>1904</v>
      </c>
      <c r="J2255">
        <v>0</v>
      </c>
      <c r="K2255">
        <v>1.23</v>
      </c>
      <c r="L2255">
        <v>4.3499999999999996</v>
      </c>
      <c r="M2255">
        <v>4.37</v>
      </c>
      <c r="N2255">
        <v>4.32</v>
      </c>
      <c r="O2255">
        <v>4.3499999999999996</v>
      </c>
      <c r="P2255">
        <v>9.66</v>
      </c>
      <c r="Q2255">
        <v>55067072</v>
      </c>
      <c r="R2255">
        <v>1.52</v>
      </c>
      <c r="S2255" t="s">
        <v>249</v>
      </c>
      <c r="T2255" t="s">
        <v>645</v>
      </c>
      <c r="U2255">
        <v>1.1499999999999999</v>
      </c>
      <c r="V2255">
        <v>4.34</v>
      </c>
      <c r="W2255">
        <v>65355</v>
      </c>
      <c r="X2255">
        <v>61480</v>
      </c>
      <c r="Y2255">
        <v>1.06</v>
      </c>
      <c r="Z2255">
        <v>3621</v>
      </c>
      <c r="AA2255">
        <v>1070</v>
      </c>
      <c r="AB2255" t="s">
        <v>116</v>
      </c>
      <c r="AC2255">
        <v>62200</v>
      </c>
      <c r="AD2255">
        <v>0</v>
      </c>
      <c r="AE2255" t="s">
        <v>116</v>
      </c>
      <c r="AF2255" t="s">
        <v>116</v>
      </c>
      <c r="AG2255">
        <v>10.34</v>
      </c>
      <c r="AH2255" t="s">
        <v>10721</v>
      </c>
      <c r="AI2255" t="s">
        <v>10721</v>
      </c>
      <c r="AJ2255">
        <v>-0.61</v>
      </c>
      <c r="AK2255">
        <v>959</v>
      </c>
      <c r="AL2255">
        <v>132</v>
      </c>
      <c r="AM2255">
        <v>1.2999999999999999E-3</v>
      </c>
      <c r="AN2255">
        <v>-1</v>
      </c>
      <c r="AO2255">
        <v>0.24</v>
      </c>
      <c r="AP2255">
        <v>2.61</v>
      </c>
      <c r="AQ2255">
        <v>2.13</v>
      </c>
      <c r="AR2255">
        <v>5.88</v>
      </c>
      <c r="AS2255">
        <v>1.76</v>
      </c>
      <c r="AT2255" t="s">
        <v>3395</v>
      </c>
      <c r="AU2255">
        <v>9.86</v>
      </c>
      <c r="AV2255">
        <v>9.56</v>
      </c>
      <c r="AW2255">
        <v>0.72</v>
      </c>
      <c r="BA2255">
        <v>0</v>
      </c>
      <c r="BB2255">
        <v>0.46</v>
      </c>
      <c r="BC2255">
        <v>-0.69</v>
      </c>
      <c r="BD2255">
        <v>-0.19</v>
      </c>
      <c r="BE2255">
        <v>-0.69</v>
      </c>
      <c r="BF2255">
        <v>-1.1399999999999999</v>
      </c>
      <c r="BG2255">
        <v>0</v>
      </c>
      <c r="BH2255">
        <v>-0.5</v>
      </c>
      <c r="BI2255">
        <v>20191030</v>
      </c>
      <c r="BJ2255">
        <v>19970526</v>
      </c>
      <c r="BK2255">
        <v>10.34</v>
      </c>
      <c r="BL2255" t="s">
        <v>116</v>
      </c>
      <c r="BM2255" t="s">
        <v>116</v>
      </c>
      <c r="BN2255">
        <v>64.510000000000005</v>
      </c>
      <c r="BO2255">
        <v>40.700000000000003</v>
      </c>
      <c r="BP2255">
        <v>0.54</v>
      </c>
      <c r="BQ2255">
        <v>36.06</v>
      </c>
      <c r="BR2255">
        <v>35.86</v>
      </c>
      <c r="BS2255">
        <v>11.05</v>
      </c>
      <c r="BT2255">
        <v>14.11</v>
      </c>
      <c r="BU2255">
        <v>16.309999999999999</v>
      </c>
      <c r="BV2255">
        <v>26.07</v>
      </c>
      <c r="BW2255">
        <v>4.54</v>
      </c>
      <c r="BX2255">
        <v>5.15</v>
      </c>
      <c r="BY2255">
        <v>15.47</v>
      </c>
      <c r="BZ2255">
        <v>9.6</v>
      </c>
      <c r="CA2255">
        <v>3.69</v>
      </c>
      <c r="CB2255">
        <v>0</v>
      </c>
      <c r="CC2255">
        <v>3.69</v>
      </c>
      <c r="CD2255">
        <v>3.45</v>
      </c>
      <c r="CE2255">
        <v>3.47</v>
      </c>
      <c r="CF2255">
        <v>3.42</v>
      </c>
      <c r="CG2255">
        <v>24.19</v>
      </c>
      <c r="CH2255">
        <v>0.96</v>
      </c>
      <c r="CI2255">
        <v>1.18</v>
      </c>
      <c r="CJ2255">
        <v>52036</v>
      </c>
      <c r="CK2255">
        <v>13850</v>
      </c>
      <c r="CL2255" t="s">
        <v>5998</v>
      </c>
      <c r="CM2255">
        <v>-4.05</v>
      </c>
      <c r="CN2255">
        <v>-17.84</v>
      </c>
      <c r="CO2255">
        <v>1.1000000000000001</v>
      </c>
      <c r="CP2255">
        <v>46.67</v>
      </c>
      <c r="CQ2255">
        <v>2.89</v>
      </c>
      <c r="CR2255">
        <v>0.46</v>
      </c>
      <c r="CS2255" t="s">
        <v>153</v>
      </c>
      <c r="CT2255">
        <v>3.94</v>
      </c>
      <c r="CU2255">
        <v>0</v>
      </c>
      <c r="CV2255">
        <v>0.5</v>
      </c>
      <c r="CW2255">
        <v>2.34</v>
      </c>
      <c r="CX2255">
        <v>0.09</v>
      </c>
      <c r="CY2255">
        <v>63.1</v>
      </c>
      <c r="CZ2255" t="s">
        <v>10722</v>
      </c>
      <c r="DA2255">
        <v>37.979999999999997</v>
      </c>
      <c r="DB2255">
        <v>23.83</v>
      </c>
      <c r="DC2255">
        <v>22.42</v>
      </c>
      <c r="DD2255">
        <v>0.28000000000000003</v>
      </c>
      <c r="DE2255">
        <v>1427</v>
      </c>
      <c r="DF2255">
        <v>600076</v>
      </c>
      <c r="DG2255" t="s">
        <v>116</v>
      </c>
      <c r="DH2255" t="s">
        <v>116</v>
      </c>
      <c r="DI2255" t="s">
        <v>116</v>
      </c>
    </row>
    <row r="2256" spans="1:113" x14ac:dyDescent="0.4">
      <c r="A2256" t="str">
        <f>"600077"</f>
        <v>600077</v>
      </c>
      <c r="B2256" t="s">
        <v>10723</v>
      </c>
      <c r="C2256">
        <v>-1.04</v>
      </c>
      <c r="D2256">
        <v>2.85</v>
      </c>
      <c r="E2256">
        <v>-0.03</v>
      </c>
      <c r="F2256">
        <v>2.84</v>
      </c>
      <c r="G2256">
        <v>2.85</v>
      </c>
      <c r="H2256">
        <v>86613</v>
      </c>
      <c r="I2256">
        <v>1661</v>
      </c>
      <c r="J2256">
        <v>0.71</v>
      </c>
      <c r="K2256">
        <v>0.65</v>
      </c>
      <c r="L2256">
        <v>2.86</v>
      </c>
      <c r="M2256">
        <v>2.91</v>
      </c>
      <c r="N2256">
        <v>2.82</v>
      </c>
      <c r="O2256">
        <v>2.88</v>
      </c>
      <c r="P2256" t="s">
        <v>116</v>
      </c>
      <c r="Q2256">
        <v>24848692</v>
      </c>
      <c r="R2256">
        <v>0.84</v>
      </c>
      <c r="S2256" t="s">
        <v>124</v>
      </c>
      <c r="T2256" t="s">
        <v>590</v>
      </c>
      <c r="U2256">
        <v>3.12</v>
      </c>
      <c r="V2256">
        <v>2.87</v>
      </c>
      <c r="W2256">
        <v>48172</v>
      </c>
      <c r="X2256">
        <v>38441</v>
      </c>
      <c r="Y2256">
        <v>1.25</v>
      </c>
      <c r="Z2256">
        <v>436</v>
      </c>
      <c r="AA2256">
        <v>236</v>
      </c>
      <c r="AB2256" t="s">
        <v>116</v>
      </c>
      <c r="AC2256">
        <v>155600</v>
      </c>
      <c r="AD2256">
        <v>0.01</v>
      </c>
      <c r="AE2256" t="s">
        <v>116</v>
      </c>
      <c r="AF2256" t="s">
        <v>116</v>
      </c>
      <c r="AG2256">
        <v>13.4</v>
      </c>
      <c r="AH2256" t="s">
        <v>10724</v>
      </c>
      <c r="AI2256" t="s">
        <v>10724</v>
      </c>
      <c r="AJ2256">
        <v>-0.96</v>
      </c>
      <c r="AK2256">
        <v>825</v>
      </c>
      <c r="AL2256">
        <v>105</v>
      </c>
      <c r="AM2256">
        <v>8.0000000000000004E-4</v>
      </c>
      <c r="AN2256">
        <v>-1</v>
      </c>
      <c r="AO2256">
        <v>0.71</v>
      </c>
      <c r="AP2256">
        <v>12.2</v>
      </c>
      <c r="AQ2256">
        <v>18.75</v>
      </c>
      <c r="AR2256">
        <v>11.81</v>
      </c>
      <c r="AS2256">
        <v>1.3</v>
      </c>
      <c r="AT2256" t="s">
        <v>10725</v>
      </c>
      <c r="AU2256">
        <v>22.27</v>
      </c>
      <c r="AV2256">
        <v>9.2899999999999991</v>
      </c>
      <c r="AW2256">
        <v>1.27</v>
      </c>
      <c r="BA2256">
        <v>-0.69</v>
      </c>
      <c r="BB2256">
        <v>1.04</v>
      </c>
      <c r="BC2256">
        <v>-2.08</v>
      </c>
      <c r="BD2256">
        <v>-0.38</v>
      </c>
      <c r="BE2256">
        <v>-0.35</v>
      </c>
      <c r="BF2256">
        <v>-2.06</v>
      </c>
      <c r="BG2256">
        <v>1.06</v>
      </c>
      <c r="BH2256">
        <v>-0.66</v>
      </c>
      <c r="BI2256">
        <v>20191025</v>
      </c>
      <c r="BJ2256">
        <v>19970520</v>
      </c>
      <c r="BK2256">
        <v>13.4</v>
      </c>
      <c r="BL2256" t="s">
        <v>116</v>
      </c>
      <c r="BM2256" t="s">
        <v>116</v>
      </c>
      <c r="BN2256">
        <v>377.24</v>
      </c>
      <c r="BO2256">
        <v>40.119999999999997</v>
      </c>
      <c r="BP2256">
        <v>9.19</v>
      </c>
      <c r="BQ2256">
        <v>86.93</v>
      </c>
      <c r="BR2256">
        <v>346.85</v>
      </c>
      <c r="BS2256">
        <v>0.56999999999999995</v>
      </c>
      <c r="BT2256">
        <v>0</v>
      </c>
      <c r="BU2256">
        <v>264.19</v>
      </c>
      <c r="BV2256">
        <v>231.86</v>
      </c>
      <c r="BW2256">
        <v>0.45</v>
      </c>
      <c r="BX2256">
        <v>4.07</v>
      </c>
      <c r="BY2256">
        <v>12.31</v>
      </c>
      <c r="BZ2256">
        <v>6.58</v>
      </c>
      <c r="CA2256">
        <v>-0.35</v>
      </c>
      <c r="CB2256">
        <v>-0.61</v>
      </c>
      <c r="CC2256">
        <v>-0.37</v>
      </c>
      <c r="CD2256">
        <v>-0.69</v>
      </c>
      <c r="CE2256">
        <v>-0.69</v>
      </c>
      <c r="CF2256">
        <v>-1.59</v>
      </c>
      <c r="CG2256">
        <v>20.54</v>
      </c>
      <c r="CH2256">
        <v>-12.62</v>
      </c>
      <c r="CI2256">
        <v>13.68</v>
      </c>
      <c r="CJ2256">
        <v>34854</v>
      </c>
      <c r="CK2256">
        <v>19166</v>
      </c>
      <c r="CL2256" t="s">
        <v>3916</v>
      </c>
      <c r="CM2256">
        <v>-140.28</v>
      </c>
      <c r="CN2256">
        <v>-21.31</v>
      </c>
      <c r="CO2256">
        <v>0.95</v>
      </c>
      <c r="CP2256">
        <v>-3.03</v>
      </c>
      <c r="CQ2256">
        <v>3.1</v>
      </c>
      <c r="CR2256">
        <v>1.0900000000000001</v>
      </c>
      <c r="CS2256" t="s">
        <v>10726</v>
      </c>
      <c r="CT2256">
        <v>2.99</v>
      </c>
      <c r="CU2256">
        <v>0</v>
      </c>
      <c r="CV2256">
        <v>0.3</v>
      </c>
      <c r="CW2256">
        <v>1.53</v>
      </c>
      <c r="CX2256">
        <v>-0.94</v>
      </c>
      <c r="CY2256">
        <v>10.64</v>
      </c>
      <c r="CZ2256" t="s">
        <v>10727</v>
      </c>
      <c r="DA2256">
        <v>46.57</v>
      </c>
      <c r="DB2256">
        <v>-2.87</v>
      </c>
      <c r="DC2256">
        <v>-5.59</v>
      </c>
      <c r="DD2256">
        <v>0</v>
      </c>
      <c r="DE2256">
        <v>774</v>
      </c>
      <c r="DF2256">
        <v>600077</v>
      </c>
      <c r="DG2256" t="s">
        <v>116</v>
      </c>
      <c r="DH2256" t="s">
        <v>116</v>
      </c>
      <c r="DI2256" t="s">
        <v>116</v>
      </c>
    </row>
    <row r="2257" spans="1:113" x14ac:dyDescent="0.4">
      <c r="A2257" t="str">
        <f>"600078"</f>
        <v>600078</v>
      </c>
      <c r="B2257" t="s">
        <v>10728</v>
      </c>
      <c r="C2257">
        <v>3.24</v>
      </c>
      <c r="D2257">
        <v>5.0999999999999996</v>
      </c>
      <c r="E2257">
        <v>0.16</v>
      </c>
      <c r="F2257">
        <v>5.09</v>
      </c>
      <c r="G2257">
        <v>5.0999999999999996</v>
      </c>
      <c r="H2257">
        <v>551401</v>
      </c>
      <c r="I2257">
        <v>5429</v>
      </c>
      <c r="J2257">
        <v>-0.38</v>
      </c>
      <c r="K2257">
        <v>8.32</v>
      </c>
      <c r="L2257">
        <v>4.9800000000000004</v>
      </c>
      <c r="M2257">
        <v>5.35</v>
      </c>
      <c r="N2257">
        <v>4.93</v>
      </c>
      <c r="O2257">
        <v>4.9400000000000004</v>
      </c>
      <c r="P2257">
        <v>42.92</v>
      </c>
      <c r="Q2257">
        <v>283332320</v>
      </c>
      <c r="R2257">
        <v>3.2</v>
      </c>
      <c r="S2257" t="s">
        <v>891</v>
      </c>
      <c r="T2257" t="s">
        <v>323</v>
      </c>
      <c r="U2257">
        <v>8.5</v>
      </c>
      <c r="V2257">
        <v>5.14</v>
      </c>
      <c r="W2257">
        <v>237025</v>
      </c>
      <c r="X2257">
        <v>314376</v>
      </c>
      <c r="Y2257">
        <v>0.75</v>
      </c>
      <c r="Z2257">
        <v>1715</v>
      </c>
      <c r="AA2257">
        <v>35</v>
      </c>
      <c r="AB2257" t="s">
        <v>116</v>
      </c>
      <c r="AC2257">
        <v>1123000</v>
      </c>
      <c r="AD2257">
        <v>0.06</v>
      </c>
      <c r="AE2257" t="s">
        <v>116</v>
      </c>
      <c r="AF2257" t="s">
        <v>116</v>
      </c>
      <c r="AG2257">
        <v>6.63</v>
      </c>
      <c r="AH2257" t="s">
        <v>7071</v>
      </c>
      <c r="AI2257" t="s">
        <v>7071</v>
      </c>
      <c r="AJ2257">
        <v>3.32</v>
      </c>
      <c r="AK2257">
        <v>3674</v>
      </c>
      <c r="AL2257">
        <v>150</v>
      </c>
      <c r="AM2257">
        <v>2.3E-3</v>
      </c>
      <c r="AN2257">
        <v>4</v>
      </c>
      <c r="AO2257">
        <v>7.82</v>
      </c>
      <c r="AP2257">
        <v>7.14</v>
      </c>
      <c r="AQ2257">
        <v>-1.92</v>
      </c>
      <c r="AR2257">
        <v>61.39</v>
      </c>
      <c r="AS2257">
        <v>14.3</v>
      </c>
      <c r="AT2257" t="s">
        <v>4133</v>
      </c>
      <c r="AU2257">
        <v>64.17</v>
      </c>
      <c r="AV2257">
        <v>174.78</v>
      </c>
      <c r="AW2257">
        <v>2.2799999999999998</v>
      </c>
      <c r="BA2257">
        <v>0.81</v>
      </c>
      <c r="BB2257">
        <v>8.3000000000000007</v>
      </c>
      <c r="BC2257">
        <v>-0.2</v>
      </c>
      <c r="BD2257">
        <v>4.0199999999999996</v>
      </c>
      <c r="BE2257">
        <v>2.41</v>
      </c>
      <c r="BF2257">
        <v>-4.67</v>
      </c>
      <c r="BG2257">
        <v>3.45</v>
      </c>
      <c r="BH2257">
        <v>-0.78</v>
      </c>
      <c r="BI2257">
        <v>20191031</v>
      </c>
      <c r="BJ2257">
        <v>19970627</v>
      </c>
      <c r="BK2257">
        <v>6.63</v>
      </c>
      <c r="BL2257" t="s">
        <v>116</v>
      </c>
      <c r="BM2257" t="s">
        <v>116</v>
      </c>
      <c r="BN2257">
        <v>70.55</v>
      </c>
      <c r="BO2257">
        <v>17.43</v>
      </c>
      <c r="BP2257">
        <v>4.87</v>
      </c>
      <c r="BQ2257">
        <v>68.39</v>
      </c>
      <c r="BR2257">
        <v>31.9</v>
      </c>
      <c r="BS2257">
        <v>23.9</v>
      </c>
      <c r="BT2257">
        <v>2.57</v>
      </c>
      <c r="BU2257">
        <v>46.68</v>
      </c>
      <c r="BV2257">
        <v>9.36</v>
      </c>
      <c r="BW2257">
        <v>2.61</v>
      </c>
      <c r="BX2257">
        <v>1.45</v>
      </c>
      <c r="BY2257">
        <v>23.94</v>
      </c>
      <c r="BZ2257">
        <v>19.45</v>
      </c>
      <c r="CA2257">
        <v>1.31</v>
      </c>
      <c r="CB2257">
        <v>0</v>
      </c>
      <c r="CC2257">
        <v>1.32</v>
      </c>
      <c r="CD2257">
        <v>1.04</v>
      </c>
      <c r="CE2257">
        <v>0.59</v>
      </c>
      <c r="CF2257">
        <v>0.55000000000000004</v>
      </c>
      <c r="CG2257">
        <v>7.78</v>
      </c>
      <c r="CH2257">
        <v>3.26</v>
      </c>
      <c r="CI2257">
        <v>-7.9</v>
      </c>
      <c r="CJ2257">
        <v>57357</v>
      </c>
      <c r="CK2257">
        <v>6723</v>
      </c>
      <c r="CL2257" t="s">
        <v>1521</v>
      </c>
      <c r="CM2257">
        <v>129.52000000000001</v>
      </c>
      <c r="CN2257">
        <v>5.52</v>
      </c>
      <c r="CO2257">
        <v>1.94</v>
      </c>
      <c r="CP2257">
        <v>10.38</v>
      </c>
      <c r="CQ2257">
        <v>1.41</v>
      </c>
      <c r="CR2257">
        <v>0.2</v>
      </c>
      <c r="CS2257" t="s">
        <v>431</v>
      </c>
      <c r="CT2257">
        <v>2.63</v>
      </c>
      <c r="CU2257">
        <v>0</v>
      </c>
      <c r="CV2257">
        <v>0.22</v>
      </c>
      <c r="CW2257">
        <v>1.17</v>
      </c>
      <c r="CX2257">
        <v>0.49</v>
      </c>
      <c r="CY2257">
        <v>24.7</v>
      </c>
      <c r="CZ2257" t="s">
        <v>5945</v>
      </c>
      <c r="DA2257">
        <v>18.78</v>
      </c>
      <c r="DB2257">
        <v>5.47</v>
      </c>
      <c r="DC2257">
        <v>2.4700000000000002</v>
      </c>
      <c r="DD2257">
        <v>0</v>
      </c>
      <c r="DE2257">
        <v>2220</v>
      </c>
      <c r="DF2257">
        <v>600078</v>
      </c>
      <c r="DG2257" t="s">
        <v>116</v>
      </c>
      <c r="DH2257" t="s">
        <v>116</v>
      </c>
      <c r="DI2257" t="s">
        <v>116</v>
      </c>
    </row>
    <row r="2258" spans="1:113" x14ac:dyDescent="0.4">
      <c r="A2258" t="str">
        <f>"600079"</f>
        <v>600079</v>
      </c>
      <c r="B2258" t="s">
        <v>10729</v>
      </c>
      <c r="C2258">
        <v>0</v>
      </c>
      <c r="D2258">
        <v>12.63</v>
      </c>
      <c r="E2258">
        <v>0</v>
      </c>
      <c r="F2258">
        <v>12.62</v>
      </c>
      <c r="G2258">
        <v>12.63</v>
      </c>
      <c r="H2258">
        <v>72689</v>
      </c>
      <c r="I2258">
        <v>457</v>
      </c>
      <c r="J2258">
        <v>0.08</v>
      </c>
      <c r="K2258">
        <v>0.56999999999999995</v>
      </c>
      <c r="L2258">
        <v>12.57</v>
      </c>
      <c r="M2258">
        <v>12.88</v>
      </c>
      <c r="N2258">
        <v>12.52</v>
      </c>
      <c r="O2258">
        <v>12.63</v>
      </c>
      <c r="P2258">
        <v>17.2</v>
      </c>
      <c r="Q2258">
        <v>92531120</v>
      </c>
      <c r="R2258">
        <v>0.94</v>
      </c>
      <c r="S2258" t="s">
        <v>574</v>
      </c>
      <c r="T2258" t="s">
        <v>774</v>
      </c>
      <c r="U2258">
        <v>2.85</v>
      </c>
      <c r="V2258">
        <v>12.73</v>
      </c>
      <c r="W2258">
        <v>27377</v>
      </c>
      <c r="X2258">
        <v>45312</v>
      </c>
      <c r="Y2258">
        <v>0.6</v>
      </c>
      <c r="Z2258">
        <v>94</v>
      </c>
      <c r="AA2258">
        <v>216</v>
      </c>
      <c r="AB2258" t="s">
        <v>116</v>
      </c>
      <c r="AC2258">
        <v>300400</v>
      </c>
      <c r="AD2258">
        <v>0</v>
      </c>
      <c r="AE2258" t="s">
        <v>116</v>
      </c>
      <c r="AF2258" t="s">
        <v>116</v>
      </c>
      <c r="AG2258">
        <v>12.86</v>
      </c>
      <c r="AH2258" t="s">
        <v>3479</v>
      </c>
      <c r="AI2258" t="s">
        <v>10730</v>
      </c>
      <c r="AJ2258">
        <v>0.08</v>
      </c>
      <c r="AK2258">
        <v>3537</v>
      </c>
      <c r="AL2258">
        <v>21</v>
      </c>
      <c r="AM2258">
        <v>2.0000000000000001E-4</v>
      </c>
      <c r="AN2258">
        <v>0</v>
      </c>
      <c r="AO2258">
        <v>-1.32</v>
      </c>
      <c r="AP2258">
        <v>-1.64</v>
      </c>
      <c r="AQ2258">
        <v>1.69</v>
      </c>
      <c r="AR2258">
        <v>24.56</v>
      </c>
      <c r="AS2258">
        <v>0.76</v>
      </c>
      <c r="AT2258" t="s">
        <v>10731</v>
      </c>
      <c r="AU2258" t="s">
        <v>116</v>
      </c>
      <c r="AV2258" t="s">
        <v>116</v>
      </c>
      <c r="AW2258">
        <v>0.82</v>
      </c>
      <c r="BA2258">
        <v>-0.48</v>
      </c>
      <c r="BB2258">
        <v>1.98</v>
      </c>
      <c r="BC2258">
        <v>-0.87</v>
      </c>
      <c r="BD2258">
        <v>0.79</v>
      </c>
      <c r="BE2258">
        <v>0.48</v>
      </c>
      <c r="BF2258">
        <v>-1.94</v>
      </c>
      <c r="BG2258">
        <v>0.88</v>
      </c>
      <c r="BH2258">
        <v>-0.79</v>
      </c>
      <c r="BI2258">
        <v>20191031</v>
      </c>
      <c r="BJ2258">
        <v>19970606</v>
      </c>
      <c r="BK2258">
        <v>13.54</v>
      </c>
      <c r="BL2258" t="s">
        <v>116</v>
      </c>
      <c r="BM2258" t="s">
        <v>116</v>
      </c>
      <c r="BN2258">
        <v>361.4</v>
      </c>
      <c r="BO2258">
        <v>102.63</v>
      </c>
      <c r="BP2258">
        <v>37.28</v>
      </c>
      <c r="BQ2258">
        <v>61.29</v>
      </c>
      <c r="BR2258">
        <v>178.91</v>
      </c>
      <c r="BS2258">
        <v>46.33</v>
      </c>
      <c r="BT2258">
        <v>25.11</v>
      </c>
      <c r="BU2258">
        <v>166.47</v>
      </c>
      <c r="BV2258">
        <v>34.11</v>
      </c>
      <c r="BW2258">
        <v>78.900000000000006</v>
      </c>
      <c r="BX2258">
        <v>48.61</v>
      </c>
      <c r="BY2258">
        <v>161.04</v>
      </c>
      <c r="BZ2258">
        <v>97.77</v>
      </c>
      <c r="CA2258">
        <v>14.41</v>
      </c>
      <c r="CB2258">
        <v>2.67</v>
      </c>
      <c r="CC2258">
        <v>13.83</v>
      </c>
      <c r="CD2258">
        <v>10.9</v>
      </c>
      <c r="CE2258">
        <v>7.46</v>
      </c>
      <c r="CF2258">
        <v>5.07</v>
      </c>
      <c r="CG2258">
        <v>30.2</v>
      </c>
      <c r="CH2258">
        <v>10.1</v>
      </c>
      <c r="CI2258">
        <v>-15.87</v>
      </c>
      <c r="CJ2258">
        <v>52498</v>
      </c>
      <c r="CK2258">
        <v>18241</v>
      </c>
      <c r="CL2258" t="s">
        <v>10732</v>
      </c>
      <c r="CM2258">
        <v>14.99</v>
      </c>
      <c r="CN2258">
        <v>18.95</v>
      </c>
      <c r="CO2258">
        <v>1.75</v>
      </c>
      <c r="CP2258">
        <v>16.93</v>
      </c>
      <c r="CQ2258">
        <v>1.06</v>
      </c>
      <c r="CR2258">
        <v>0</v>
      </c>
      <c r="CS2258" t="s">
        <v>6070</v>
      </c>
      <c r="CT2258">
        <v>7.21</v>
      </c>
      <c r="CU2258">
        <v>7.21</v>
      </c>
      <c r="CV2258">
        <v>3.59</v>
      </c>
      <c r="CW2258">
        <v>2.23</v>
      </c>
      <c r="CX2258">
        <v>0.75</v>
      </c>
      <c r="CY2258">
        <v>28.4</v>
      </c>
      <c r="CZ2258" t="s">
        <v>6120</v>
      </c>
      <c r="DA2258">
        <v>39.29</v>
      </c>
      <c r="DB2258">
        <v>8.9499999999999993</v>
      </c>
      <c r="DC2258">
        <v>4.63</v>
      </c>
      <c r="DD2258">
        <v>4.2300000000000004</v>
      </c>
      <c r="DE2258">
        <v>15137</v>
      </c>
      <c r="DF2258">
        <v>600079</v>
      </c>
      <c r="DG2258" t="s">
        <v>116</v>
      </c>
      <c r="DH2258" t="s">
        <v>116</v>
      </c>
      <c r="DI2258" t="s">
        <v>116</v>
      </c>
    </row>
    <row r="2259" spans="1:113" x14ac:dyDescent="0.4">
      <c r="A2259" t="str">
        <f>"600080"</f>
        <v>600080</v>
      </c>
      <c r="B2259" t="s">
        <v>10733</v>
      </c>
      <c r="C2259">
        <v>-0.67</v>
      </c>
      <c r="D2259">
        <v>5.94</v>
      </c>
      <c r="E2259">
        <v>-0.04</v>
      </c>
      <c r="F2259">
        <v>5.94</v>
      </c>
      <c r="G2259">
        <v>5.95</v>
      </c>
      <c r="H2259">
        <v>28786</v>
      </c>
      <c r="I2259">
        <v>346</v>
      </c>
      <c r="J2259">
        <v>-0.16</v>
      </c>
      <c r="K2259">
        <v>0.94</v>
      </c>
      <c r="L2259">
        <v>5.99</v>
      </c>
      <c r="M2259">
        <v>6.02</v>
      </c>
      <c r="N2259">
        <v>5.94</v>
      </c>
      <c r="O2259">
        <v>5.98</v>
      </c>
      <c r="P2259">
        <v>40.1</v>
      </c>
      <c r="Q2259">
        <v>17215150</v>
      </c>
      <c r="R2259">
        <v>0.63</v>
      </c>
      <c r="S2259" t="s">
        <v>781</v>
      </c>
      <c r="T2259" t="s">
        <v>913</v>
      </c>
      <c r="U2259">
        <v>1.34</v>
      </c>
      <c r="V2259">
        <v>5.98</v>
      </c>
      <c r="W2259">
        <v>18132</v>
      </c>
      <c r="X2259">
        <v>10654</v>
      </c>
      <c r="Y2259">
        <v>1.7</v>
      </c>
      <c r="Z2259">
        <v>419</v>
      </c>
      <c r="AA2259">
        <v>411</v>
      </c>
      <c r="AB2259" t="s">
        <v>116</v>
      </c>
      <c r="AC2259">
        <v>113200</v>
      </c>
      <c r="AD2259">
        <v>0.01</v>
      </c>
      <c r="AE2259" t="s">
        <v>116</v>
      </c>
      <c r="AF2259" t="s">
        <v>116</v>
      </c>
      <c r="AG2259">
        <v>3.05</v>
      </c>
      <c r="AH2259" t="s">
        <v>10734</v>
      </c>
      <c r="AI2259" t="s">
        <v>1226</v>
      </c>
      <c r="AJ2259">
        <v>-0.59</v>
      </c>
      <c r="AK2259">
        <v>716</v>
      </c>
      <c r="AL2259">
        <v>40</v>
      </c>
      <c r="AM2259">
        <v>1.2999999999999999E-3</v>
      </c>
      <c r="AN2259">
        <v>-1</v>
      </c>
      <c r="AO2259">
        <v>-2.2999999999999998</v>
      </c>
      <c r="AP2259">
        <v>2.06</v>
      </c>
      <c r="AQ2259">
        <v>-4.5</v>
      </c>
      <c r="AR2259">
        <v>-16.57</v>
      </c>
      <c r="AS2259">
        <v>1.28</v>
      </c>
      <c r="AT2259" t="s">
        <v>10735</v>
      </c>
      <c r="AU2259">
        <v>49.35</v>
      </c>
      <c r="AV2259">
        <v>57.86</v>
      </c>
      <c r="AW2259">
        <v>0.96</v>
      </c>
      <c r="BA2259">
        <v>0.17</v>
      </c>
      <c r="BB2259">
        <v>0.67</v>
      </c>
      <c r="BC2259">
        <v>-0.67</v>
      </c>
      <c r="BD2259">
        <v>0.01</v>
      </c>
      <c r="BE2259">
        <v>-0.83</v>
      </c>
      <c r="BF2259">
        <v>-1.33</v>
      </c>
      <c r="BG2259">
        <v>0</v>
      </c>
      <c r="BH2259">
        <v>-0.68</v>
      </c>
      <c r="BI2259">
        <v>20191114</v>
      </c>
      <c r="BJ2259">
        <v>19970612</v>
      </c>
      <c r="BK2259">
        <v>3.73</v>
      </c>
      <c r="BL2259" t="s">
        <v>116</v>
      </c>
      <c r="BM2259" t="s">
        <v>116</v>
      </c>
      <c r="BN2259">
        <v>20.329999999999998</v>
      </c>
      <c r="BO2259">
        <v>17.98</v>
      </c>
      <c r="BP2259">
        <v>0</v>
      </c>
      <c r="BQ2259">
        <v>11.54</v>
      </c>
      <c r="BR2259">
        <v>9.1</v>
      </c>
      <c r="BS2259">
        <v>3.47</v>
      </c>
      <c r="BT2259">
        <v>0.65</v>
      </c>
      <c r="BU2259">
        <v>2.2999999999999998</v>
      </c>
      <c r="BV2259">
        <v>0.47</v>
      </c>
      <c r="BW2259">
        <v>1.65</v>
      </c>
      <c r="BX2259">
        <v>8.1300000000000008</v>
      </c>
      <c r="BY2259">
        <v>5.45</v>
      </c>
      <c r="BZ2259">
        <v>1.53</v>
      </c>
      <c r="CA2259">
        <v>0.47</v>
      </c>
      <c r="CB2259">
        <v>0.14000000000000001</v>
      </c>
      <c r="CC2259">
        <v>0.47</v>
      </c>
      <c r="CD2259">
        <v>0.42</v>
      </c>
      <c r="CE2259">
        <v>0.41</v>
      </c>
      <c r="CF2259">
        <v>0.37</v>
      </c>
      <c r="CG2259">
        <v>4.9800000000000004</v>
      </c>
      <c r="CH2259">
        <v>0.8</v>
      </c>
      <c r="CI2259">
        <v>0.86</v>
      </c>
      <c r="CJ2259">
        <v>32432</v>
      </c>
      <c r="CK2259">
        <v>6916</v>
      </c>
      <c r="CL2259" t="s">
        <v>221</v>
      </c>
      <c r="CM2259">
        <v>18.96</v>
      </c>
      <c r="CN2259">
        <v>-0.31</v>
      </c>
      <c r="CO2259">
        <v>1.23</v>
      </c>
      <c r="CP2259">
        <v>27.81</v>
      </c>
      <c r="CQ2259">
        <v>4.07</v>
      </c>
      <c r="CR2259">
        <v>0.67</v>
      </c>
      <c r="CS2259" t="s">
        <v>4424</v>
      </c>
      <c r="CT2259">
        <v>4.82</v>
      </c>
      <c r="CU2259">
        <v>0</v>
      </c>
      <c r="CV2259">
        <v>2.1800000000000002</v>
      </c>
      <c r="CW2259">
        <v>1.33</v>
      </c>
      <c r="CX2259">
        <v>0.21</v>
      </c>
      <c r="CY2259">
        <v>88.44</v>
      </c>
      <c r="CZ2259" t="s">
        <v>10736</v>
      </c>
      <c r="DA2259">
        <v>71.87</v>
      </c>
      <c r="DB2259">
        <v>8.67</v>
      </c>
      <c r="DC2259">
        <v>7.61</v>
      </c>
      <c r="DD2259">
        <v>0.1</v>
      </c>
      <c r="DE2259">
        <v>770</v>
      </c>
      <c r="DF2259">
        <v>600080</v>
      </c>
      <c r="DG2259" t="s">
        <v>116</v>
      </c>
      <c r="DH2259" t="s">
        <v>116</v>
      </c>
      <c r="DI2259" t="s">
        <v>116</v>
      </c>
    </row>
    <row r="2260" spans="1:113" x14ac:dyDescent="0.4">
      <c r="A2260" t="str">
        <f>"600081"</f>
        <v>600081</v>
      </c>
      <c r="B2260" t="s">
        <v>10737</v>
      </c>
      <c r="C2260">
        <v>-2.2799999999999998</v>
      </c>
      <c r="D2260">
        <v>12.02</v>
      </c>
      <c r="E2260">
        <v>-0.28000000000000003</v>
      </c>
      <c r="F2260">
        <v>12.02</v>
      </c>
      <c r="G2260">
        <v>12.03</v>
      </c>
      <c r="H2260">
        <v>91613</v>
      </c>
      <c r="I2260">
        <v>1887</v>
      </c>
      <c r="J2260">
        <v>0.42</v>
      </c>
      <c r="K2260">
        <v>2.92</v>
      </c>
      <c r="L2260">
        <v>12.38</v>
      </c>
      <c r="M2260">
        <v>12.54</v>
      </c>
      <c r="N2260">
        <v>11.89</v>
      </c>
      <c r="O2260">
        <v>12.3</v>
      </c>
      <c r="P2260">
        <v>26.81</v>
      </c>
      <c r="Q2260">
        <v>112181216</v>
      </c>
      <c r="R2260">
        <v>0.85</v>
      </c>
      <c r="S2260" t="s">
        <v>293</v>
      </c>
      <c r="T2260" t="s">
        <v>1653</v>
      </c>
      <c r="U2260">
        <v>5.28</v>
      </c>
      <c r="V2260">
        <v>12.25</v>
      </c>
      <c r="W2260">
        <v>53386</v>
      </c>
      <c r="X2260">
        <v>38228</v>
      </c>
      <c r="Y2260">
        <v>1.4</v>
      </c>
      <c r="Z2260">
        <v>380</v>
      </c>
      <c r="AA2260">
        <v>51</v>
      </c>
      <c r="AB2260" t="s">
        <v>116</v>
      </c>
      <c r="AC2260">
        <v>333000</v>
      </c>
      <c r="AD2260">
        <v>0.02</v>
      </c>
      <c r="AE2260" t="s">
        <v>116</v>
      </c>
      <c r="AF2260" t="s">
        <v>116</v>
      </c>
      <c r="AG2260">
        <v>3.14</v>
      </c>
      <c r="AH2260" t="s">
        <v>3629</v>
      </c>
      <c r="AI2260" t="s">
        <v>3629</v>
      </c>
      <c r="AJ2260">
        <v>-2.2000000000000002</v>
      </c>
      <c r="AK2260">
        <v>2078</v>
      </c>
      <c r="AL2260">
        <v>44</v>
      </c>
      <c r="AM2260">
        <v>1.4E-3</v>
      </c>
      <c r="AN2260">
        <v>-2</v>
      </c>
      <c r="AO2260">
        <v>-0.75</v>
      </c>
      <c r="AP2260">
        <v>16.47</v>
      </c>
      <c r="AQ2260">
        <v>9.07</v>
      </c>
      <c r="AR2260">
        <v>69.58</v>
      </c>
      <c r="AS2260">
        <v>8.35</v>
      </c>
      <c r="AT2260" t="s">
        <v>3699</v>
      </c>
      <c r="AU2260">
        <v>33.020000000000003</v>
      </c>
      <c r="AV2260">
        <v>25.66</v>
      </c>
      <c r="AW2260">
        <v>0.6</v>
      </c>
      <c r="BA2260">
        <v>0.65</v>
      </c>
      <c r="BB2260">
        <v>1.95</v>
      </c>
      <c r="BC2260">
        <v>-3.33</v>
      </c>
      <c r="BD2260">
        <v>-0.45</v>
      </c>
      <c r="BE2260">
        <v>-2.91</v>
      </c>
      <c r="BF2260">
        <v>-4.1500000000000004</v>
      </c>
      <c r="BG2260">
        <v>1.0900000000000001</v>
      </c>
      <c r="BH2260">
        <v>-1.83</v>
      </c>
      <c r="BI2260">
        <v>20191031</v>
      </c>
      <c r="BJ2260">
        <v>19970703</v>
      </c>
      <c r="BK2260">
        <v>3.14</v>
      </c>
      <c r="BL2260" t="s">
        <v>116</v>
      </c>
      <c r="BM2260" t="s">
        <v>116</v>
      </c>
      <c r="BN2260">
        <v>62.81</v>
      </c>
      <c r="BO2260">
        <v>13.52</v>
      </c>
      <c r="BP2260">
        <v>6.98</v>
      </c>
      <c r="BQ2260">
        <v>67.37</v>
      </c>
      <c r="BR2260">
        <v>42.99</v>
      </c>
      <c r="BS2260">
        <v>11.9</v>
      </c>
      <c r="BT2260">
        <v>1.55</v>
      </c>
      <c r="BU2260">
        <v>41.86</v>
      </c>
      <c r="BV2260">
        <v>2.82</v>
      </c>
      <c r="BW2260">
        <v>15.93</v>
      </c>
      <c r="BX2260">
        <v>0</v>
      </c>
      <c r="BY2260">
        <v>46.95</v>
      </c>
      <c r="BZ2260">
        <v>39.19</v>
      </c>
      <c r="CA2260">
        <v>2.5</v>
      </c>
      <c r="CB2260">
        <v>0.56000000000000005</v>
      </c>
      <c r="CC2260">
        <v>2.5</v>
      </c>
      <c r="CD2260">
        <v>2.21</v>
      </c>
      <c r="CE2260">
        <v>1.05</v>
      </c>
      <c r="CF2260">
        <v>1.03</v>
      </c>
      <c r="CG2260">
        <v>9.36</v>
      </c>
      <c r="CH2260">
        <v>2.42</v>
      </c>
      <c r="CI2260">
        <v>-0.11</v>
      </c>
      <c r="CJ2260">
        <v>31527</v>
      </c>
      <c r="CK2260">
        <v>3481</v>
      </c>
      <c r="CL2260" t="s">
        <v>563</v>
      </c>
      <c r="CM2260">
        <v>-23.71</v>
      </c>
      <c r="CN2260">
        <v>-4.28</v>
      </c>
      <c r="CO2260">
        <v>2.79</v>
      </c>
      <c r="CP2260">
        <v>15.57</v>
      </c>
      <c r="CQ2260">
        <v>0.8</v>
      </c>
      <c r="CR2260">
        <v>1.18</v>
      </c>
      <c r="CS2260" t="s">
        <v>736</v>
      </c>
      <c r="CT2260">
        <v>4.3099999999999996</v>
      </c>
      <c r="CU2260">
        <v>0</v>
      </c>
      <c r="CV2260">
        <v>0</v>
      </c>
      <c r="CW2260">
        <v>2.98</v>
      </c>
      <c r="CX2260">
        <v>0.77</v>
      </c>
      <c r="CY2260">
        <v>21.53</v>
      </c>
      <c r="CZ2260" t="s">
        <v>6295</v>
      </c>
      <c r="DA2260">
        <v>16.53</v>
      </c>
      <c r="DB2260">
        <v>5.32</v>
      </c>
      <c r="DC2260">
        <v>2.25</v>
      </c>
      <c r="DD2260">
        <v>1.71</v>
      </c>
      <c r="DE2260">
        <v>4447</v>
      </c>
      <c r="DF2260">
        <v>600081</v>
      </c>
      <c r="DG2260" t="s">
        <v>116</v>
      </c>
      <c r="DH2260" t="s">
        <v>116</v>
      </c>
      <c r="DI2260" t="s">
        <v>116</v>
      </c>
    </row>
    <row r="2261" spans="1:113" x14ac:dyDescent="0.4">
      <c r="A2261" t="str">
        <f>"600082"</f>
        <v>600082</v>
      </c>
      <c r="B2261" t="s">
        <v>10738</v>
      </c>
      <c r="C2261">
        <v>-0.51</v>
      </c>
      <c r="D2261">
        <v>3.88</v>
      </c>
      <c r="E2261">
        <v>-0.02</v>
      </c>
      <c r="F2261">
        <v>3.88</v>
      </c>
      <c r="G2261">
        <v>3.89</v>
      </c>
      <c r="H2261">
        <v>32462</v>
      </c>
      <c r="I2261">
        <v>1726</v>
      </c>
      <c r="J2261">
        <v>0.26</v>
      </c>
      <c r="K2261">
        <v>0.51</v>
      </c>
      <c r="L2261">
        <v>3.92</v>
      </c>
      <c r="M2261">
        <v>3.93</v>
      </c>
      <c r="N2261">
        <v>3.87</v>
      </c>
      <c r="O2261">
        <v>3.9</v>
      </c>
      <c r="P2261">
        <v>110.13</v>
      </c>
      <c r="Q2261">
        <v>12663629</v>
      </c>
      <c r="R2261">
        <v>1.1499999999999999</v>
      </c>
      <c r="S2261" t="s">
        <v>1503</v>
      </c>
      <c r="T2261" t="s">
        <v>1035</v>
      </c>
      <c r="U2261">
        <v>1.54</v>
      </c>
      <c r="V2261">
        <v>3.9</v>
      </c>
      <c r="W2261">
        <v>17218</v>
      </c>
      <c r="X2261">
        <v>15245</v>
      </c>
      <c r="Y2261">
        <v>1.1299999999999999</v>
      </c>
      <c r="Z2261">
        <v>185</v>
      </c>
      <c r="AA2261">
        <v>207</v>
      </c>
      <c r="AB2261" t="s">
        <v>116</v>
      </c>
      <c r="AC2261">
        <v>15700</v>
      </c>
      <c r="AD2261">
        <v>0</v>
      </c>
      <c r="AE2261" t="s">
        <v>116</v>
      </c>
      <c r="AF2261" t="s">
        <v>116</v>
      </c>
      <c r="AG2261">
        <v>6.34</v>
      </c>
      <c r="AH2261" t="s">
        <v>8351</v>
      </c>
      <c r="AI2261" t="s">
        <v>10739</v>
      </c>
      <c r="AJ2261">
        <v>-0.44</v>
      </c>
      <c r="AK2261">
        <v>517</v>
      </c>
      <c r="AL2261">
        <v>63</v>
      </c>
      <c r="AM2261">
        <v>1E-3</v>
      </c>
      <c r="AN2261">
        <v>-1</v>
      </c>
      <c r="AO2261">
        <v>0</v>
      </c>
      <c r="AP2261">
        <v>3.47</v>
      </c>
      <c r="AQ2261">
        <v>-4.67</v>
      </c>
      <c r="AR2261">
        <v>-13.59</v>
      </c>
      <c r="AS2261">
        <v>0.68</v>
      </c>
      <c r="AT2261" t="s">
        <v>1084</v>
      </c>
      <c r="AU2261">
        <v>81.78</v>
      </c>
      <c r="AV2261">
        <v>171.02</v>
      </c>
      <c r="AW2261">
        <v>1.23</v>
      </c>
      <c r="BA2261">
        <v>0.51</v>
      </c>
      <c r="BB2261">
        <v>0.77</v>
      </c>
      <c r="BC2261">
        <v>-0.77</v>
      </c>
      <c r="BD2261">
        <v>0.03</v>
      </c>
      <c r="BE2261">
        <v>-1.02</v>
      </c>
      <c r="BF2261">
        <v>-1.27</v>
      </c>
      <c r="BG2261">
        <v>0.26</v>
      </c>
      <c r="BH2261">
        <v>-0.54</v>
      </c>
      <c r="BI2261">
        <v>20191227</v>
      </c>
      <c r="BJ2261">
        <v>19970620</v>
      </c>
      <c r="BK2261">
        <v>6.46</v>
      </c>
      <c r="BL2261" t="s">
        <v>116</v>
      </c>
      <c r="BM2261" t="s">
        <v>116</v>
      </c>
      <c r="BN2261">
        <v>30.08</v>
      </c>
      <c r="BO2261">
        <v>17.13</v>
      </c>
      <c r="BP2261">
        <v>0</v>
      </c>
      <c r="BQ2261">
        <v>43.06</v>
      </c>
      <c r="BR2261">
        <v>28.98</v>
      </c>
      <c r="BS2261">
        <v>0.04</v>
      </c>
      <c r="BT2261">
        <v>0</v>
      </c>
      <c r="BU2261">
        <v>10.130000000000001</v>
      </c>
      <c r="BV2261">
        <v>27.25</v>
      </c>
      <c r="BW2261">
        <v>0</v>
      </c>
      <c r="BX2261">
        <v>4.13</v>
      </c>
      <c r="BY2261">
        <v>4.9400000000000004</v>
      </c>
      <c r="BZ2261">
        <v>3.61</v>
      </c>
      <c r="CA2261">
        <v>0.28000000000000003</v>
      </c>
      <c r="CB2261">
        <v>0.01</v>
      </c>
      <c r="CC2261">
        <v>0.27</v>
      </c>
      <c r="CD2261">
        <v>0.17</v>
      </c>
      <c r="CE2261">
        <v>0.17</v>
      </c>
      <c r="CF2261">
        <v>0.18</v>
      </c>
      <c r="CG2261">
        <v>5.51</v>
      </c>
      <c r="CH2261">
        <v>0.85</v>
      </c>
      <c r="CI2261">
        <v>-4.41</v>
      </c>
      <c r="CJ2261">
        <v>38522</v>
      </c>
      <c r="CK2261">
        <v>12392</v>
      </c>
      <c r="CL2261" t="s">
        <v>2532</v>
      </c>
      <c r="CM2261">
        <v>1484.44</v>
      </c>
      <c r="CN2261">
        <v>8.2899999999999991</v>
      </c>
      <c r="CO2261">
        <v>1.46</v>
      </c>
      <c r="CP2261">
        <v>29.66</v>
      </c>
      <c r="CQ2261">
        <v>5.08</v>
      </c>
      <c r="CR2261">
        <v>0</v>
      </c>
      <c r="CS2261" t="s">
        <v>613</v>
      </c>
      <c r="CT2261">
        <v>2.65</v>
      </c>
      <c r="CU2261">
        <v>0</v>
      </c>
      <c r="CV2261">
        <v>0.64</v>
      </c>
      <c r="CW2261">
        <v>0.85</v>
      </c>
      <c r="CX2261">
        <v>0.13</v>
      </c>
      <c r="CY2261">
        <v>56.94</v>
      </c>
      <c r="CZ2261" t="s">
        <v>6216</v>
      </c>
      <c r="DA2261">
        <v>26.92</v>
      </c>
      <c r="DB2261">
        <v>5.66</v>
      </c>
      <c r="DC2261">
        <v>3.46</v>
      </c>
      <c r="DD2261">
        <v>0</v>
      </c>
      <c r="DE2261">
        <v>82</v>
      </c>
      <c r="DF2261">
        <v>600082</v>
      </c>
      <c r="DG2261" t="s">
        <v>116</v>
      </c>
      <c r="DH2261" t="s">
        <v>116</v>
      </c>
      <c r="DI2261" t="s">
        <v>116</v>
      </c>
    </row>
    <row r="2262" spans="1:113" x14ac:dyDescent="0.4">
      <c r="A2262" t="str">
        <f>"600083"</f>
        <v>600083</v>
      </c>
      <c r="B2262" t="s">
        <v>10740</v>
      </c>
      <c r="C2262">
        <v>-3.33</v>
      </c>
      <c r="D2262">
        <v>20.63</v>
      </c>
      <c r="E2262">
        <v>-0.71</v>
      </c>
      <c r="F2262">
        <v>20.62</v>
      </c>
      <c r="G2262">
        <v>20.63</v>
      </c>
      <c r="H2262">
        <v>23754</v>
      </c>
      <c r="I2262">
        <v>269</v>
      </c>
      <c r="J2262">
        <v>0.34</v>
      </c>
      <c r="K2262">
        <v>1.04</v>
      </c>
      <c r="L2262">
        <v>21.26</v>
      </c>
      <c r="M2262">
        <v>21.39</v>
      </c>
      <c r="N2262">
        <v>20.56</v>
      </c>
      <c r="O2262">
        <v>21.34</v>
      </c>
      <c r="P2262">
        <v>247.42</v>
      </c>
      <c r="Q2262">
        <v>49467456</v>
      </c>
      <c r="R2262">
        <v>0.86</v>
      </c>
      <c r="S2262" t="s">
        <v>173</v>
      </c>
      <c r="T2262" t="s">
        <v>323</v>
      </c>
      <c r="U2262">
        <v>3.89</v>
      </c>
      <c r="V2262">
        <v>20.82</v>
      </c>
      <c r="W2262">
        <v>10443</v>
      </c>
      <c r="X2262">
        <v>13311</v>
      </c>
      <c r="Y2262">
        <v>0.78</v>
      </c>
      <c r="Z2262">
        <v>10</v>
      </c>
      <c r="AA2262">
        <v>174</v>
      </c>
      <c r="AB2262" t="s">
        <v>116</v>
      </c>
      <c r="AC2262">
        <v>53200</v>
      </c>
      <c r="AD2262">
        <v>0</v>
      </c>
      <c r="AE2262" t="s">
        <v>116</v>
      </c>
      <c r="AF2262" t="s">
        <v>116</v>
      </c>
      <c r="AG2262">
        <v>2.2799999999999998</v>
      </c>
      <c r="AH2262" t="s">
        <v>10741</v>
      </c>
      <c r="AI2262" t="s">
        <v>10742</v>
      </c>
      <c r="AJ2262">
        <v>-3.25</v>
      </c>
      <c r="AK2262">
        <v>1470</v>
      </c>
      <c r="AL2262">
        <v>16</v>
      </c>
      <c r="AM2262">
        <v>6.9999999999999999E-4</v>
      </c>
      <c r="AN2262">
        <v>-2</v>
      </c>
      <c r="AO2262">
        <v>-2.33</v>
      </c>
      <c r="AP2262">
        <v>1.1299999999999999</v>
      </c>
      <c r="AQ2262">
        <v>13.6</v>
      </c>
      <c r="AR2262">
        <v>14.61</v>
      </c>
      <c r="AS2262">
        <v>1.83</v>
      </c>
      <c r="AT2262" t="s">
        <v>872</v>
      </c>
      <c r="AU2262" t="s">
        <v>116</v>
      </c>
      <c r="AV2262" t="s">
        <v>116</v>
      </c>
      <c r="AW2262">
        <v>0.15</v>
      </c>
      <c r="BA2262">
        <v>-0.37</v>
      </c>
      <c r="BB2262">
        <v>0.23</v>
      </c>
      <c r="BC2262">
        <v>-3.66</v>
      </c>
      <c r="BD2262">
        <v>-2.41</v>
      </c>
      <c r="BE2262">
        <v>-2.96</v>
      </c>
      <c r="BF2262">
        <v>-3.55</v>
      </c>
      <c r="BG2262">
        <v>0.34</v>
      </c>
      <c r="BH2262">
        <v>-0.91</v>
      </c>
      <c r="BI2262">
        <v>20191030</v>
      </c>
      <c r="BJ2262">
        <v>19970606</v>
      </c>
      <c r="BK2262">
        <v>2.2999999999999998</v>
      </c>
      <c r="BL2262" t="s">
        <v>116</v>
      </c>
      <c r="BM2262" t="s">
        <v>116</v>
      </c>
      <c r="BN2262">
        <v>4.5</v>
      </c>
      <c r="BO2262">
        <v>0.2</v>
      </c>
      <c r="BP2262">
        <v>0</v>
      </c>
      <c r="BQ2262">
        <v>95.47</v>
      </c>
      <c r="BR2262">
        <v>4.3</v>
      </c>
      <c r="BS2262">
        <v>0</v>
      </c>
      <c r="BT2262">
        <v>0</v>
      </c>
      <c r="BU2262">
        <v>4.29</v>
      </c>
      <c r="BV2262">
        <v>0.16</v>
      </c>
      <c r="BW2262">
        <v>0.66</v>
      </c>
      <c r="BX2262">
        <v>0.96</v>
      </c>
      <c r="BY2262">
        <v>1.64</v>
      </c>
      <c r="BZ2262">
        <v>1.52</v>
      </c>
      <c r="CA2262">
        <v>0.16</v>
      </c>
      <c r="CB2262">
        <v>0.35</v>
      </c>
      <c r="CC2262">
        <v>0.16</v>
      </c>
      <c r="CD2262">
        <v>0.14000000000000001</v>
      </c>
      <c r="CE2262">
        <v>0.14000000000000001</v>
      </c>
      <c r="CF2262">
        <v>-0.2</v>
      </c>
      <c r="CG2262">
        <v>-3.05</v>
      </c>
      <c r="CH2262">
        <v>-0.21</v>
      </c>
      <c r="CI2262">
        <v>-0.34</v>
      </c>
      <c r="CJ2262">
        <v>10518</v>
      </c>
      <c r="CK2262">
        <v>12327</v>
      </c>
      <c r="CL2262" t="s">
        <v>7468</v>
      </c>
      <c r="CM2262">
        <v>70.900000000000006</v>
      </c>
      <c r="CN2262">
        <v>-87.69</v>
      </c>
      <c r="CO2262">
        <v>232.88</v>
      </c>
      <c r="CP2262">
        <v>-222.62</v>
      </c>
      <c r="CQ2262">
        <v>28.93</v>
      </c>
      <c r="CR2262">
        <v>0</v>
      </c>
      <c r="CS2262" t="s">
        <v>2373</v>
      </c>
      <c r="CT2262">
        <v>0.09</v>
      </c>
      <c r="CU2262">
        <v>0</v>
      </c>
      <c r="CV2262">
        <v>0.42</v>
      </c>
      <c r="CW2262">
        <v>-1.33</v>
      </c>
      <c r="CX2262">
        <v>-0.09</v>
      </c>
      <c r="CY2262">
        <v>4.53</v>
      </c>
      <c r="CZ2262" t="s">
        <v>10743</v>
      </c>
      <c r="DA2262">
        <v>7.2</v>
      </c>
      <c r="DB2262">
        <v>9.64</v>
      </c>
      <c r="DC2262">
        <v>8.77</v>
      </c>
      <c r="DD2262">
        <v>0.05</v>
      </c>
      <c r="DE2262">
        <v>65</v>
      </c>
      <c r="DF2262">
        <v>600083</v>
      </c>
      <c r="DG2262" t="s">
        <v>116</v>
      </c>
      <c r="DH2262" t="s">
        <v>116</v>
      </c>
      <c r="DI2262" t="s">
        <v>116</v>
      </c>
    </row>
    <row r="2263" spans="1:113" x14ac:dyDescent="0.4">
      <c r="A2263" t="str">
        <f>"600084"</f>
        <v>600084</v>
      </c>
      <c r="B2263" t="s">
        <v>10744</v>
      </c>
      <c r="C2263">
        <v>-1.45</v>
      </c>
      <c r="D2263">
        <v>2.71</v>
      </c>
      <c r="E2263">
        <v>-0.04</v>
      </c>
      <c r="F2263">
        <v>2.71</v>
      </c>
      <c r="G2263">
        <v>2.72</v>
      </c>
      <c r="H2263">
        <v>42458</v>
      </c>
      <c r="I2263">
        <v>54</v>
      </c>
      <c r="J2263">
        <v>0</v>
      </c>
      <c r="K2263">
        <v>0.38</v>
      </c>
      <c r="L2263">
        <v>2.74</v>
      </c>
      <c r="M2263">
        <v>2.77</v>
      </c>
      <c r="N2263">
        <v>2.69</v>
      </c>
      <c r="O2263">
        <v>2.75</v>
      </c>
      <c r="P2263">
        <v>1632.46</v>
      </c>
      <c r="Q2263">
        <v>11578519</v>
      </c>
      <c r="R2263">
        <v>0.7</v>
      </c>
      <c r="S2263" t="s">
        <v>2477</v>
      </c>
      <c r="T2263" t="s">
        <v>616</v>
      </c>
      <c r="U2263">
        <v>2.91</v>
      </c>
      <c r="V2263">
        <v>2.73</v>
      </c>
      <c r="W2263">
        <v>33451</v>
      </c>
      <c r="X2263">
        <v>9007</v>
      </c>
      <c r="Y2263">
        <v>3.71</v>
      </c>
      <c r="Z2263">
        <v>473</v>
      </c>
      <c r="AA2263">
        <v>625</v>
      </c>
      <c r="AB2263" t="s">
        <v>116</v>
      </c>
      <c r="AC2263">
        <v>40000</v>
      </c>
      <c r="AD2263">
        <v>0</v>
      </c>
      <c r="AE2263" t="s">
        <v>116</v>
      </c>
      <c r="AF2263" t="s">
        <v>116</v>
      </c>
      <c r="AG2263">
        <v>11.24</v>
      </c>
      <c r="AH2263" t="s">
        <v>10095</v>
      </c>
      <c r="AI2263" t="s">
        <v>10095</v>
      </c>
      <c r="AJ2263">
        <v>-1.38</v>
      </c>
      <c r="AK2263">
        <v>381</v>
      </c>
      <c r="AL2263">
        <v>111</v>
      </c>
      <c r="AM2263">
        <v>1E-3</v>
      </c>
      <c r="AN2263">
        <v>-1</v>
      </c>
      <c r="AO2263">
        <v>-2.16</v>
      </c>
      <c r="AP2263">
        <v>7.11</v>
      </c>
      <c r="AQ2263">
        <v>10.16</v>
      </c>
      <c r="AR2263">
        <v>-7.82</v>
      </c>
      <c r="AS2263">
        <v>0.69</v>
      </c>
      <c r="AT2263" t="s">
        <v>10745</v>
      </c>
      <c r="AU2263" t="s">
        <v>116</v>
      </c>
      <c r="AV2263" t="s">
        <v>116</v>
      </c>
      <c r="AW2263">
        <v>0</v>
      </c>
      <c r="BA2263">
        <v>-0.36</v>
      </c>
      <c r="BB2263">
        <v>0.73</v>
      </c>
      <c r="BC2263">
        <v>-2.1800000000000002</v>
      </c>
      <c r="BD2263">
        <v>-0.83</v>
      </c>
      <c r="BE2263">
        <v>-1.0900000000000001</v>
      </c>
      <c r="BF2263">
        <v>-2.17</v>
      </c>
      <c r="BG2263">
        <v>0.74</v>
      </c>
      <c r="BH2263">
        <v>-0.62</v>
      </c>
      <c r="BI2263">
        <v>20191026</v>
      </c>
      <c r="BJ2263">
        <v>19970711</v>
      </c>
      <c r="BK2263">
        <v>11.24</v>
      </c>
      <c r="BL2263" t="s">
        <v>116</v>
      </c>
      <c r="BM2263" t="s">
        <v>116</v>
      </c>
      <c r="BN2263">
        <v>22.72</v>
      </c>
      <c r="BO2263">
        <v>21.88</v>
      </c>
      <c r="BP2263">
        <v>-0.11</v>
      </c>
      <c r="BQ2263">
        <v>4.2</v>
      </c>
      <c r="BR2263">
        <v>16.84</v>
      </c>
      <c r="BS2263">
        <v>1.84</v>
      </c>
      <c r="BT2263">
        <v>1.1299999999999999</v>
      </c>
      <c r="BU2263">
        <v>0.9</v>
      </c>
      <c r="BV2263">
        <v>14.16</v>
      </c>
      <c r="BW2263">
        <v>0.46</v>
      </c>
      <c r="BX2263">
        <v>26.8</v>
      </c>
      <c r="BY2263">
        <v>1.65</v>
      </c>
      <c r="BZ2263">
        <v>0.82</v>
      </c>
      <c r="CA2263">
        <v>-0.02</v>
      </c>
      <c r="CB2263">
        <v>0.11</v>
      </c>
      <c r="CC2263">
        <v>0.02</v>
      </c>
      <c r="CD2263">
        <v>0.02</v>
      </c>
      <c r="CE2263">
        <v>0.01</v>
      </c>
      <c r="CF2263">
        <v>-0.06</v>
      </c>
      <c r="CG2263">
        <v>-16.989999999999998</v>
      </c>
      <c r="CH2263">
        <v>-0.04</v>
      </c>
      <c r="CI2263">
        <v>-4.74</v>
      </c>
      <c r="CJ2263">
        <v>61221</v>
      </c>
      <c r="CK2263">
        <v>10108</v>
      </c>
      <c r="CL2263" t="s">
        <v>10518</v>
      </c>
      <c r="CM2263">
        <v>101.67</v>
      </c>
      <c r="CN2263">
        <v>-41.78</v>
      </c>
      <c r="CO2263">
        <v>1.39</v>
      </c>
      <c r="CP2263">
        <v>-704.69</v>
      </c>
      <c r="CQ2263">
        <v>18.45</v>
      </c>
      <c r="CR2263">
        <v>0</v>
      </c>
      <c r="CS2263" t="s">
        <v>4302</v>
      </c>
      <c r="CT2263">
        <v>1.95</v>
      </c>
      <c r="CU2263">
        <v>0</v>
      </c>
      <c r="CV2263">
        <v>2.38</v>
      </c>
      <c r="CW2263">
        <v>-1.51</v>
      </c>
      <c r="CX2263">
        <v>0</v>
      </c>
      <c r="CY2263">
        <v>96.3</v>
      </c>
      <c r="CZ2263" t="s">
        <v>351</v>
      </c>
      <c r="DA2263">
        <v>50.2</v>
      </c>
      <c r="DB2263">
        <v>-1.41</v>
      </c>
      <c r="DC2263">
        <v>0.85</v>
      </c>
      <c r="DD2263">
        <v>0</v>
      </c>
      <c r="DE2263">
        <v>589</v>
      </c>
      <c r="DF2263">
        <v>600084</v>
      </c>
      <c r="DG2263" t="s">
        <v>116</v>
      </c>
      <c r="DH2263" t="s">
        <v>116</v>
      </c>
      <c r="DI2263" t="s">
        <v>116</v>
      </c>
    </row>
    <row r="2264" spans="1:113" x14ac:dyDescent="0.4">
      <c r="A2264" t="str">
        <f>"600085"</f>
        <v>600085</v>
      </c>
      <c r="B2264" t="s">
        <v>10746</v>
      </c>
      <c r="C2264">
        <v>-1.96</v>
      </c>
      <c r="D2264">
        <v>27.94</v>
      </c>
      <c r="E2264">
        <v>-0.56000000000000005</v>
      </c>
      <c r="F2264">
        <v>27.94</v>
      </c>
      <c r="G2264">
        <v>27.95</v>
      </c>
      <c r="H2264">
        <v>121066</v>
      </c>
      <c r="I2264">
        <v>405</v>
      </c>
      <c r="J2264">
        <v>-0.2</v>
      </c>
      <c r="K2264">
        <v>0.88</v>
      </c>
      <c r="L2264">
        <v>28.39</v>
      </c>
      <c r="M2264">
        <v>28.9</v>
      </c>
      <c r="N2264">
        <v>27.9</v>
      </c>
      <c r="O2264">
        <v>28.5</v>
      </c>
      <c r="P2264">
        <v>33.81</v>
      </c>
      <c r="Q2264">
        <v>342457344</v>
      </c>
      <c r="R2264">
        <v>0.99</v>
      </c>
      <c r="S2264" t="s">
        <v>781</v>
      </c>
      <c r="T2264" t="s">
        <v>165</v>
      </c>
      <c r="U2264">
        <v>3.51</v>
      </c>
      <c r="V2264">
        <v>28.29</v>
      </c>
      <c r="W2264">
        <v>63665</v>
      </c>
      <c r="X2264">
        <v>57401</v>
      </c>
      <c r="Y2264">
        <v>1.1100000000000001</v>
      </c>
      <c r="Z2264">
        <v>54</v>
      </c>
      <c r="AA2264">
        <v>58</v>
      </c>
      <c r="AB2264" t="s">
        <v>116</v>
      </c>
      <c r="AC2264">
        <v>2552300</v>
      </c>
      <c r="AD2264">
        <v>0.02</v>
      </c>
      <c r="AE2264" t="s">
        <v>116</v>
      </c>
      <c r="AF2264" t="s">
        <v>116</v>
      </c>
      <c r="AG2264">
        <v>13.71</v>
      </c>
      <c r="AH2264" t="s">
        <v>10747</v>
      </c>
      <c r="AI2264" t="s">
        <v>10747</v>
      </c>
      <c r="AJ2264">
        <v>-1.89</v>
      </c>
      <c r="AK2264">
        <v>3689</v>
      </c>
      <c r="AL2264">
        <v>33</v>
      </c>
      <c r="AM2264">
        <v>2.0000000000000001E-4</v>
      </c>
      <c r="AN2264">
        <v>-1</v>
      </c>
      <c r="AO2264">
        <v>6.77</v>
      </c>
      <c r="AP2264">
        <v>7.05</v>
      </c>
      <c r="AQ2264">
        <v>5.35</v>
      </c>
      <c r="AR2264">
        <v>4.49</v>
      </c>
      <c r="AS2264">
        <v>2.71</v>
      </c>
      <c r="AT2264" t="s">
        <v>7824</v>
      </c>
      <c r="AU2264">
        <v>33.770000000000003</v>
      </c>
      <c r="AV2264">
        <v>33.78</v>
      </c>
      <c r="AW2264">
        <v>0.88</v>
      </c>
      <c r="BA2264">
        <v>-0.39</v>
      </c>
      <c r="BB2264">
        <v>1.4</v>
      </c>
      <c r="BC2264">
        <v>-2.11</v>
      </c>
      <c r="BD2264">
        <v>-0.75</v>
      </c>
      <c r="BE2264">
        <v>-1.59</v>
      </c>
      <c r="BF2264">
        <v>-3.32</v>
      </c>
      <c r="BG2264">
        <v>0.14000000000000001</v>
      </c>
      <c r="BH2264">
        <v>-1.22</v>
      </c>
      <c r="BI2264">
        <v>20191031</v>
      </c>
      <c r="BJ2264">
        <v>19970625</v>
      </c>
      <c r="BK2264">
        <v>13.71</v>
      </c>
      <c r="BL2264" t="s">
        <v>116</v>
      </c>
      <c r="BM2264" t="s">
        <v>116</v>
      </c>
      <c r="BN2264">
        <v>213.45</v>
      </c>
      <c r="BO2264">
        <v>97.94</v>
      </c>
      <c r="BP2264">
        <v>55.99</v>
      </c>
      <c r="BQ2264">
        <v>27.89</v>
      </c>
      <c r="BR2264">
        <v>167.45</v>
      </c>
      <c r="BS2264">
        <v>21.22</v>
      </c>
      <c r="BT2264">
        <v>3.91</v>
      </c>
      <c r="BU2264">
        <v>45.37</v>
      </c>
      <c r="BV2264">
        <v>61.74</v>
      </c>
      <c r="BW2264">
        <v>14.13</v>
      </c>
      <c r="BX2264">
        <v>20.07</v>
      </c>
      <c r="BY2264">
        <v>99.59</v>
      </c>
      <c r="BZ2264">
        <v>50.8</v>
      </c>
      <c r="CA2264">
        <v>17.02</v>
      </c>
      <c r="CB2264">
        <v>0</v>
      </c>
      <c r="CC2264">
        <v>17</v>
      </c>
      <c r="CD2264">
        <v>13.88</v>
      </c>
      <c r="CE2264">
        <v>8.5</v>
      </c>
      <c r="CF2264">
        <v>8.42</v>
      </c>
      <c r="CG2264">
        <v>56.13</v>
      </c>
      <c r="CH2264">
        <v>18.75</v>
      </c>
      <c r="CI2264">
        <v>12.02</v>
      </c>
      <c r="CJ2264">
        <v>72559</v>
      </c>
      <c r="CK2264">
        <v>6155</v>
      </c>
      <c r="CL2264" t="s">
        <v>10748</v>
      </c>
      <c r="CM2264">
        <v>0.04</v>
      </c>
      <c r="CN2264">
        <v>-4.9400000000000004</v>
      </c>
      <c r="CO2264">
        <v>3.91</v>
      </c>
      <c r="CP2264">
        <v>20.43</v>
      </c>
      <c r="CQ2264">
        <v>3.85</v>
      </c>
      <c r="CR2264">
        <v>2.72</v>
      </c>
      <c r="CS2264" t="s">
        <v>306</v>
      </c>
      <c r="CT2264">
        <v>7.14</v>
      </c>
      <c r="CU2264">
        <v>0</v>
      </c>
      <c r="CV2264">
        <v>1.46</v>
      </c>
      <c r="CW2264">
        <v>4.09</v>
      </c>
      <c r="CX2264">
        <v>1.37</v>
      </c>
      <c r="CY2264">
        <v>45.88</v>
      </c>
      <c r="CZ2264" t="s">
        <v>7442</v>
      </c>
      <c r="DA2264">
        <v>48.99</v>
      </c>
      <c r="DB2264">
        <v>17.09</v>
      </c>
      <c r="DC2264">
        <v>8.5399999999999991</v>
      </c>
      <c r="DD2264">
        <v>0.63</v>
      </c>
      <c r="DE2264">
        <v>17139</v>
      </c>
      <c r="DF2264">
        <v>600085</v>
      </c>
      <c r="DG2264" t="s">
        <v>116</v>
      </c>
      <c r="DH2264" t="s">
        <v>116</v>
      </c>
      <c r="DI2264" t="s">
        <v>116</v>
      </c>
    </row>
    <row r="2265" spans="1:113" x14ac:dyDescent="0.4">
      <c r="A2265" t="str">
        <f>"600086"</f>
        <v>600086</v>
      </c>
      <c r="B2265" t="s">
        <v>10749</v>
      </c>
      <c r="C2265">
        <v>3.37</v>
      </c>
      <c r="D2265">
        <v>2.76</v>
      </c>
      <c r="E2265">
        <v>0.09</v>
      </c>
      <c r="F2265">
        <v>2.76</v>
      </c>
      <c r="G2265">
        <v>2.77</v>
      </c>
      <c r="H2265">
        <v>761151</v>
      </c>
      <c r="I2265">
        <v>7464</v>
      </c>
      <c r="J2265">
        <v>0.36</v>
      </c>
      <c r="K2265">
        <v>7.2</v>
      </c>
      <c r="L2265">
        <v>2.69</v>
      </c>
      <c r="M2265">
        <v>2.84</v>
      </c>
      <c r="N2265">
        <v>2.62</v>
      </c>
      <c r="O2265">
        <v>2.67</v>
      </c>
      <c r="P2265" t="s">
        <v>116</v>
      </c>
      <c r="Q2265">
        <v>210321824</v>
      </c>
      <c r="R2265">
        <v>1.66</v>
      </c>
      <c r="S2265" t="s">
        <v>3070</v>
      </c>
      <c r="T2265" t="s">
        <v>774</v>
      </c>
      <c r="U2265">
        <v>8.24</v>
      </c>
      <c r="V2265">
        <v>2.76</v>
      </c>
      <c r="W2265">
        <v>323860</v>
      </c>
      <c r="X2265">
        <v>437291</v>
      </c>
      <c r="Y2265">
        <v>0.74</v>
      </c>
      <c r="Z2265">
        <v>2510</v>
      </c>
      <c r="AA2265">
        <v>5784</v>
      </c>
      <c r="AB2265" t="s">
        <v>116</v>
      </c>
      <c r="AC2265">
        <v>590500</v>
      </c>
      <c r="AD2265">
        <v>0.03</v>
      </c>
      <c r="AE2265" t="s">
        <v>116</v>
      </c>
      <c r="AF2265" t="s">
        <v>116</v>
      </c>
      <c r="AG2265">
        <v>10.57</v>
      </c>
      <c r="AH2265" t="s">
        <v>9241</v>
      </c>
      <c r="AI2265" t="s">
        <v>7018</v>
      </c>
      <c r="AJ2265">
        <v>3.45</v>
      </c>
      <c r="AK2265">
        <v>3461</v>
      </c>
      <c r="AL2265">
        <v>220</v>
      </c>
      <c r="AM2265">
        <v>2.0999999999999999E-3</v>
      </c>
      <c r="AN2265">
        <v>2</v>
      </c>
      <c r="AO2265">
        <v>4.1500000000000004</v>
      </c>
      <c r="AP2265">
        <v>8.24</v>
      </c>
      <c r="AQ2265">
        <v>-8.31</v>
      </c>
      <c r="AR2265">
        <v>-40.130000000000003</v>
      </c>
      <c r="AS2265">
        <v>10.02</v>
      </c>
      <c r="AT2265" t="s">
        <v>2560</v>
      </c>
      <c r="AU2265" t="s">
        <v>116</v>
      </c>
      <c r="AV2265" t="s">
        <v>116</v>
      </c>
      <c r="AW2265">
        <v>0.73</v>
      </c>
      <c r="BA2265">
        <v>0.75</v>
      </c>
      <c r="BB2265">
        <v>6.37</v>
      </c>
      <c r="BC2265">
        <v>-1.87</v>
      </c>
      <c r="BD2265">
        <v>3.49</v>
      </c>
      <c r="BE2265">
        <v>2.6</v>
      </c>
      <c r="BF2265">
        <v>-2.82</v>
      </c>
      <c r="BG2265">
        <v>5.34</v>
      </c>
      <c r="BH2265">
        <v>-0.12</v>
      </c>
      <c r="BI2265">
        <v>20191029</v>
      </c>
      <c r="BJ2265">
        <v>19970606</v>
      </c>
      <c r="BK2265">
        <v>13.5</v>
      </c>
      <c r="BL2265" t="s">
        <v>116</v>
      </c>
      <c r="BM2265" t="s">
        <v>116</v>
      </c>
      <c r="BN2265">
        <v>116.87</v>
      </c>
      <c r="BO2265">
        <v>16.600000000000001</v>
      </c>
      <c r="BP2265">
        <v>0.23</v>
      </c>
      <c r="BQ2265">
        <v>85.6</v>
      </c>
      <c r="BR2265">
        <v>95.01</v>
      </c>
      <c r="BS2265">
        <v>1.39</v>
      </c>
      <c r="BT2265">
        <v>1.22</v>
      </c>
      <c r="BU2265">
        <v>84.31</v>
      </c>
      <c r="BV2265">
        <v>89.63</v>
      </c>
      <c r="BW2265">
        <v>4.45</v>
      </c>
      <c r="BX2265">
        <v>13.13</v>
      </c>
      <c r="BY2265">
        <v>5.12</v>
      </c>
      <c r="BZ2265">
        <v>5.0999999999999996</v>
      </c>
      <c r="CA2265">
        <v>-8.15</v>
      </c>
      <c r="CB2265">
        <v>0.01</v>
      </c>
      <c r="CC2265">
        <v>-6.67</v>
      </c>
      <c r="CD2265">
        <v>-5.08</v>
      </c>
      <c r="CE2265">
        <v>-5.08</v>
      </c>
      <c r="CF2265">
        <v>-6.2</v>
      </c>
      <c r="CG2265">
        <v>-10.48</v>
      </c>
      <c r="CH2265">
        <v>0</v>
      </c>
      <c r="CI2265">
        <v>0</v>
      </c>
      <c r="CJ2265">
        <v>88718</v>
      </c>
      <c r="CK2265">
        <v>8562</v>
      </c>
      <c r="CL2265" t="s">
        <v>619</v>
      </c>
      <c r="CM2265">
        <v>-616.12</v>
      </c>
      <c r="CN2265">
        <v>-79.17</v>
      </c>
      <c r="CO2265">
        <v>2.2400000000000002</v>
      </c>
      <c r="CP2265">
        <v>28529.86</v>
      </c>
      <c r="CQ2265">
        <v>7.27</v>
      </c>
      <c r="CR2265">
        <v>0</v>
      </c>
      <c r="CS2265" t="s">
        <v>4000</v>
      </c>
      <c r="CT2265">
        <v>1.23</v>
      </c>
      <c r="CU2265">
        <v>0</v>
      </c>
      <c r="CV2265">
        <v>0.97</v>
      </c>
      <c r="CW2265">
        <v>-0.78</v>
      </c>
      <c r="CX2265">
        <v>0</v>
      </c>
      <c r="CY2265">
        <v>14.21</v>
      </c>
      <c r="CZ2265" t="s">
        <v>10750</v>
      </c>
      <c r="DA2265">
        <v>0.54</v>
      </c>
      <c r="DB2265">
        <v>-159.05000000000001</v>
      </c>
      <c r="DC2265">
        <v>-99.2</v>
      </c>
      <c r="DD2265">
        <v>0</v>
      </c>
      <c r="DE2265">
        <v>347</v>
      </c>
      <c r="DF2265">
        <v>600086</v>
      </c>
      <c r="DG2265" t="s">
        <v>116</v>
      </c>
      <c r="DH2265" t="s">
        <v>116</v>
      </c>
      <c r="DI2265" t="s">
        <v>116</v>
      </c>
    </row>
    <row r="2266" spans="1:113" x14ac:dyDescent="0.4">
      <c r="A2266" t="str">
        <f>"600088"</f>
        <v>600088</v>
      </c>
      <c r="B2266" t="s">
        <v>10751</v>
      </c>
      <c r="C2266">
        <v>-1.85</v>
      </c>
      <c r="D2266">
        <v>13.3</v>
      </c>
      <c r="E2266">
        <v>-0.25</v>
      </c>
      <c r="F2266">
        <v>13.3</v>
      </c>
      <c r="G2266">
        <v>13.31</v>
      </c>
      <c r="H2266">
        <v>59157</v>
      </c>
      <c r="I2266">
        <v>390</v>
      </c>
      <c r="J2266">
        <v>0</v>
      </c>
      <c r="K2266">
        <v>1.49</v>
      </c>
      <c r="L2266">
        <v>13.47</v>
      </c>
      <c r="M2266">
        <v>13.79</v>
      </c>
      <c r="N2266">
        <v>13.28</v>
      </c>
      <c r="O2266">
        <v>13.55</v>
      </c>
      <c r="P2266">
        <v>52.34</v>
      </c>
      <c r="Q2266">
        <v>79948712</v>
      </c>
      <c r="R2266">
        <v>0.89</v>
      </c>
      <c r="S2266" t="s">
        <v>589</v>
      </c>
      <c r="T2266" t="s">
        <v>1653</v>
      </c>
      <c r="U2266">
        <v>3.76</v>
      </c>
      <c r="V2266">
        <v>13.51</v>
      </c>
      <c r="W2266">
        <v>33054</v>
      </c>
      <c r="X2266">
        <v>26103</v>
      </c>
      <c r="Y2266">
        <v>1.27</v>
      </c>
      <c r="Z2266">
        <v>13</v>
      </c>
      <c r="AA2266">
        <v>92</v>
      </c>
      <c r="AB2266" t="s">
        <v>116</v>
      </c>
      <c r="AC2266">
        <v>215500</v>
      </c>
      <c r="AD2266">
        <v>0.01</v>
      </c>
      <c r="AE2266" t="s">
        <v>116</v>
      </c>
      <c r="AF2266" t="s">
        <v>116</v>
      </c>
      <c r="AG2266">
        <v>3.98</v>
      </c>
      <c r="AH2266" t="s">
        <v>10752</v>
      </c>
      <c r="AI2266" t="s">
        <v>10752</v>
      </c>
      <c r="AJ2266">
        <v>-1.77</v>
      </c>
      <c r="AK2266">
        <v>1935</v>
      </c>
      <c r="AL2266">
        <v>31</v>
      </c>
      <c r="AM2266">
        <v>8.0000000000000004E-4</v>
      </c>
      <c r="AN2266">
        <v>-1</v>
      </c>
      <c r="AO2266">
        <v>-0.31</v>
      </c>
      <c r="AP2266">
        <v>6.15</v>
      </c>
      <c r="AQ2266">
        <v>-2.21</v>
      </c>
      <c r="AR2266">
        <v>61.35</v>
      </c>
      <c r="AS2266">
        <v>3.45</v>
      </c>
      <c r="AT2266" t="s">
        <v>10753</v>
      </c>
      <c r="AU2266">
        <v>46.86</v>
      </c>
      <c r="AV2266">
        <v>46.19</v>
      </c>
      <c r="AW2266">
        <v>1.69</v>
      </c>
      <c r="BA2266">
        <v>-0.59</v>
      </c>
      <c r="BB2266">
        <v>1.77</v>
      </c>
      <c r="BC2266">
        <v>-1.99</v>
      </c>
      <c r="BD2266">
        <v>-0.26</v>
      </c>
      <c r="BE2266">
        <v>-1.26</v>
      </c>
      <c r="BF2266">
        <v>-3.55</v>
      </c>
      <c r="BG2266">
        <v>0.15</v>
      </c>
      <c r="BH2266">
        <v>-1.58</v>
      </c>
      <c r="BI2266">
        <v>20191030</v>
      </c>
      <c r="BJ2266">
        <v>19970616</v>
      </c>
      <c r="BK2266">
        <v>3.98</v>
      </c>
      <c r="BL2266" t="s">
        <v>116</v>
      </c>
      <c r="BM2266" t="s">
        <v>116</v>
      </c>
      <c r="BN2266">
        <v>15.51</v>
      </c>
      <c r="BO2266">
        <v>12.22</v>
      </c>
      <c r="BP2266">
        <v>0.43</v>
      </c>
      <c r="BQ2266">
        <v>18.41</v>
      </c>
      <c r="BR2266">
        <v>9.59</v>
      </c>
      <c r="BS2266">
        <v>3.5</v>
      </c>
      <c r="BT2266">
        <v>0</v>
      </c>
      <c r="BU2266">
        <v>2.85</v>
      </c>
      <c r="BV2266">
        <v>0.82</v>
      </c>
      <c r="BW2266">
        <v>0.33</v>
      </c>
      <c r="BX2266">
        <v>2.54</v>
      </c>
      <c r="BY2266">
        <v>5.32</v>
      </c>
      <c r="BZ2266">
        <v>3.7</v>
      </c>
      <c r="CA2266">
        <v>1.06</v>
      </c>
      <c r="CB2266">
        <v>7.0000000000000007E-2</v>
      </c>
      <c r="CC2266">
        <v>1.06</v>
      </c>
      <c r="CD2266">
        <v>0.8</v>
      </c>
      <c r="CE2266">
        <v>0.76</v>
      </c>
      <c r="CF2266">
        <v>0.66</v>
      </c>
      <c r="CG2266">
        <v>4.1900000000000004</v>
      </c>
      <c r="CH2266">
        <v>-0.35</v>
      </c>
      <c r="CI2266">
        <v>-4.0999999999999996</v>
      </c>
      <c r="CJ2266">
        <v>28973</v>
      </c>
      <c r="CK2266">
        <v>5918</v>
      </c>
      <c r="CL2266" t="s">
        <v>4790</v>
      </c>
      <c r="CM2266">
        <v>-2.12</v>
      </c>
      <c r="CN2266">
        <v>8.52</v>
      </c>
      <c r="CO2266">
        <v>4.33</v>
      </c>
      <c r="CP2266">
        <v>-151.33000000000001</v>
      </c>
      <c r="CQ2266">
        <v>9.9499999999999993</v>
      </c>
      <c r="CR2266">
        <v>0.65</v>
      </c>
      <c r="CS2266" t="s">
        <v>556</v>
      </c>
      <c r="CT2266">
        <v>3.07</v>
      </c>
      <c r="CU2266">
        <v>0</v>
      </c>
      <c r="CV2266">
        <v>0.64</v>
      </c>
      <c r="CW2266">
        <v>1.05</v>
      </c>
      <c r="CX2266">
        <v>-0.09</v>
      </c>
      <c r="CY2266">
        <v>78.790000000000006</v>
      </c>
      <c r="CZ2266" t="s">
        <v>2123</v>
      </c>
      <c r="DA2266">
        <v>30.41</v>
      </c>
      <c r="DB2266">
        <v>19.93</v>
      </c>
      <c r="DC2266">
        <v>14.25</v>
      </c>
      <c r="DD2266">
        <v>0</v>
      </c>
      <c r="DE2266">
        <v>902</v>
      </c>
      <c r="DF2266">
        <v>600088</v>
      </c>
      <c r="DG2266" t="s">
        <v>116</v>
      </c>
      <c r="DH2266" t="s">
        <v>116</v>
      </c>
      <c r="DI2266" t="s">
        <v>116</v>
      </c>
    </row>
    <row r="2267" spans="1:113" x14ac:dyDescent="0.4">
      <c r="A2267" t="str">
        <f>"600089"</f>
        <v>600089</v>
      </c>
      <c r="B2267" t="s">
        <v>10754</v>
      </c>
      <c r="C2267">
        <v>-0.46</v>
      </c>
      <c r="D2267">
        <v>6.56</v>
      </c>
      <c r="E2267">
        <v>-0.03</v>
      </c>
      <c r="F2267">
        <v>6.56</v>
      </c>
      <c r="G2267">
        <v>6.57</v>
      </c>
      <c r="H2267">
        <v>155932</v>
      </c>
      <c r="I2267">
        <v>1145</v>
      </c>
      <c r="J2267">
        <v>0</v>
      </c>
      <c r="K2267">
        <v>0.42</v>
      </c>
      <c r="L2267">
        <v>6.59</v>
      </c>
      <c r="M2267">
        <v>6.64</v>
      </c>
      <c r="N2267">
        <v>6.55</v>
      </c>
      <c r="O2267">
        <v>6.59</v>
      </c>
      <c r="P2267">
        <v>10.96</v>
      </c>
      <c r="Q2267">
        <v>103003744</v>
      </c>
      <c r="R2267">
        <v>1.39</v>
      </c>
      <c r="S2267" t="s">
        <v>397</v>
      </c>
      <c r="T2267" t="s">
        <v>616</v>
      </c>
      <c r="U2267">
        <v>1.37</v>
      </c>
      <c r="V2267">
        <v>6.61</v>
      </c>
      <c r="W2267">
        <v>69626</v>
      </c>
      <c r="X2267">
        <v>86306</v>
      </c>
      <c r="Y2267">
        <v>0.81</v>
      </c>
      <c r="Z2267">
        <v>605</v>
      </c>
      <c r="AA2267">
        <v>2263</v>
      </c>
      <c r="AB2267" t="s">
        <v>116</v>
      </c>
      <c r="AC2267">
        <v>187800</v>
      </c>
      <c r="AD2267">
        <v>0</v>
      </c>
      <c r="AE2267" t="s">
        <v>116</v>
      </c>
      <c r="AF2267" t="s">
        <v>116</v>
      </c>
      <c r="AG2267">
        <v>37.14</v>
      </c>
      <c r="AH2267" t="s">
        <v>10755</v>
      </c>
      <c r="AI2267" t="s">
        <v>10755</v>
      </c>
      <c r="AJ2267">
        <v>-0.38</v>
      </c>
      <c r="AK2267">
        <v>2639</v>
      </c>
      <c r="AL2267">
        <v>59</v>
      </c>
      <c r="AM2267">
        <v>2.0000000000000001E-4</v>
      </c>
      <c r="AN2267">
        <v>-1</v>
      </c>
      <c r="AO2267">
        <v>0</v>
      </c>
      <c r="AP2267">
        <v>1.08</v>
      </c>
      <c r="AQ2267">
        <v>0.61</v>
      </c>
      <c r="AR2267">
        <v>-0.76</v>
      </c>
      <c r="AS2267">
        <v>0.52</v>
      </c>
      <c r="AT2267" t="s">
        <v>10756</v>
      </c>
      <c r="AU2267">
        <v>13.71</v>
      </c>
      <c r="AV2267">
        <v>11.9</v>
      </c>
      <c r="AW2267">
        <v>0.75</v>
      </c>
      <c r="BA2267">
        <v>0</v>
      </c>
      <c r="BB2267">
        <v>0.76</v>
      </c>
      <c r="BC2267">
        <v>-0.61</v>
      </c>
      <c r="BD2267">
        <v>0.24</v>
      </c>
      <c r="BE2267">
        <v>-0.46</v>
      </c>
      <c r="BF2267">
        <v>-1.2</v>
      </c>
      <c r="BG2267">
        <v>0.15</v>
      </c>
      <c r="BH2267">
        <v>-0.69</v>
      </c>
      <c r="BI2267">
        <v>20191030</v>
      </c>
      <c r="BJ2267">
        <v>19970618</v>
      </c>
      <c r="BK2267">
        <v>37.14</v>
      </c>
      <c r="BL2267" t="s">
        <v>116</v>
      </c>
      <c r="BM2267" t="s">
        <v>116</v>
      </c>
      <c r="BN2267">
        <v>973.46</v>
      </c>
      <c r="BO2267">
        <v>347.6</v>
      </c>
      <c r="BP2267">
        <v>79.72</v>
      </c>
      <c r="BQ2267">
        <v>56.1</v>
      </c>
      <c r="BR2267">
        <v>488.57</v>
      </c>
      <c r="BS2267">
        <v>242.57</v>
      </c>
      <c r="BT2267">
        <v>42.15</v>
      </c>
      <c r="BU2267">
        <v>328.54</v>
      </c>
      <c r="BV2267">
        <v>107.72</v>
      </c>
      <c r="BW2267">
        <v>125.01</v>
      </c>
      <c r="BX2267">
        <v>111.54</v>
      </c>
      <c r="BY2267">
        <v>254.48</v>
      </c>
      <c r="BZ2267">
        <v>202.79</v>
      </c>
      <c r="CA2267">
        <v>21.54</v>
      </c>
      <c r="CB2267">
        <v>3.22</v>
      </c>
      <c r="CC2267">
        <v>21.76</v>
      </c>
      <c r="CD2267">
        <v>19.21</v>
      </c>
      <c r="CE2267">
        <v>16.68</v>
      </c>
      <c r="CF2267">
        <v>13.8</v>
      </c>
      <c r="CG2267">
        <v>137.33000000000001</v>
      </c>
      <c r="CH2267">
        <v>-3.88</v>
      </c>
      <c r="CI2267">
        <v>-24.63</v>
      </c>
      <c r="CJ2267">
        <v>255825</v>
      </c>
      <c r="CK2267">
        <v>11778</v>
      </c>
      <c r="CL2267" t="s">
        <v>2411</v>
      </c>
      <c r="CM2267">
        <v>-13.98</v>
      </c>
      <c r="CN2267">
        <v>-9.83</v>
      </c>
      <c r="CO2267">
        <v>0.81</v>
      </c>
      <c r="CP2267">
        <v>-62.83</v>
      </c>
      <c r="CQ2267">
        <v>0.96</v>
      </c>
      <c r="CR2267">
        <v>2.74</v>
      </c>
      <c r="CS2267" t="s">
        <v>5146</v>
      </c>
      <c r="CT2267">
        <v>8.15</v>
      </c>
      <c r="CU2267">
        <v>8.15</v>
      </c>
      <c r="CV2267">
        <v>3</v>
      </c>
      <c r="CW2267">
        <v>3.7</v>
      </c>
      <c r="CX2267">
        <v>-0.1</v>
      </c>
      <c r="CY2267">
        <v>35.71</v>
      </c>
      <c r="CZ2267" t="s">
        <v>7594</v>
      </c>
      <c r="DA2267">
        <v>20.309999999999999</v>
      </c>
      <c r="DB2267">
        <v>8.4600000000000009</v>
      </c>
      <c r="DC2267">
        <v>6.55</v>
      </c>
      <c r="DD2267">
        <v>3.3</v>
      </c>
      <c r="DE2267">
        <v>15657</v>
      </c>
      <c r="DF2267">
        <v>600089</v>
      </c>
      <c r="DG2267" t="s">
        <v>116</v>
      </c>
      <c r="DH2267" t="s">
        <v>116</v>
      </c>
      <c r="DI2267" t="s">
        <v>116</v>
      </c>
    </row>
    <row r="2268" spans="1:113" x14ac:dyDescent="0.4">
      <c r="A2268" t="str">
        <f>"600090"</f>
        <v>600090</v>
      </c>
      <c r="B2268" t="s">
        <v>10757</v>
      </c>
      <c r="C2268">
        <v>-0.48</v>
      </c>
      <c r="D2268">
        <v>4.1100000000000003</v>
      </c>
      <c r="E2268">
        <v>-0.02</v>
      </c>
      <c r="F2268">
        <v>4.1100000000000003</v>
      </c>
      <c r="G2268">
        <v>4.12</v>
      </c>
      <c r="H2268">
        <v>108685</v>
      </c>
      <c r="I2268">
        <v>474</v>
      </c>
      <c r="J2268">
        <v>0</v>
      </c>
      <c r="K2268">
        <v>0.75</v>
      </c>
      <c r="L2268">
        <v>4.13</v>
      </c>
      <c r="M2268">
        <v>4.17</v>
      </c>
      <c r="N2268">
        <v>4.0999999999999996</v>
      </c>
      <c r="O2268">
        <v>4.13</v>
      </c>
      <c r="P2268">
        <v>10.85</v>
      </c>
      <c r="Q2268">
        <v>44944796</v>
      </c>
      <c r="R2268">
        <v>0.76</v>
      </c>
      <c r="S2268" t="s">
        <v>278</v>
      </c>
      <c r="T2268" t="s">
        <v>616</v>
      </c>
      <c r="U2268">
        <v>1.69</v>
      </c>
      <c r="V2268">
        <v>4.1399999999999997</v>
      </c>
      <c r="W2268">
        <v>61799</v>
      </c>
      <c r="X2268">
        <v>46886</v>
      </c>
      <c r="Y2268">
        <v>1.32</v>
      </c>
      <c r="Z2268">
        <v>997</v>
      </c>
      <c r="AA2268">
        <v>1406</v>
      </c>
      <c r="AB2268" t="s">
        <v>116</v>
      </c>
      <c r="AC2268">
        <v>71900</v>
      </c>
      <c r="AD2268">
        <v>0</v>
      </c>
      <c r="AE2268" t="s">
        <v>116</v>
      </c>
      <c r="AF2268" t="s">
        <v>116</v>
      </c>
      <c r="AG2268">
        <v>14.4</v>
      </c>
      <c r="AH2268" t="s">
        <v>10758</v>
      </c>
      <c r="AI2268" t="s">
        <v>10758</v>
      </c>
      <c r="AJ2268">
        <v>-0.41</v>
      </c>
      <c r="AK2268">
        <v>1455</v>
      </c>
      <c r="AL2268">
        <v>75</v>
      </c>
      <c r="AM2268">
        <v>5.0000000000000001E-4</v>
      </c>
      <c r="AN2268">
        <v>-1</v>
      </c>
      <c r="AO2268">
        <v>-1.43</v>
      </c>
      <c r="AP2268">
        <v>3.01</v>
      </c>
      <c r="AQ2268">
        <v>-4.2</v>
      </c>
      <c r="AR2268">
        <v>-24.45</v>
      </c>
      <c r="AS2268">
        <v>1.57</v>
      </c>
      <c r="AT2268" t="s">
        <v>3550</v>
      </c>
      <c r="AU2268">
        <v>11.06</v>
      </c>
      <c r="AV2268">
        <v>11.19</v>
      </c>
      <c r="AW2268">
        <v>1.2</v>
      </c>
      <c r="BA2268">
        <v>0</v>
      </c>
      <c r="BB2268">
        <v>0.97</v>
      </c>
      <c r="BC2268">
        <v>-0.73</v>
      </c>
      <c r="BD2268">
        <v>0.13</v>
      </c>
      <c r="BE2268">
        <v>-0.48</v>
      </c>
      <c r="BF2268">
        <v>-1.44</v>
      </c>
      <c r="BG2268">
        <v>0.24</v>
      </c>
      <c r="BH2268">
        <v>-0.61</v>
      </c>
      <c r="BI2268">
        <v>20191031</v>
      </c>
      <c r="BJ2268">
        <v>19970616</v>
      </c>
      <c r="BK2268">
        <v>14.4</v>
      </c>
      <c r="BL2268" t="s">
        <v>116</v>
      </c>
      <c r="BM2268" t="s">
        <v>116</v>
      </c>
      <c r="BN2268">
        <v>96.15</v>
      </c>
      <c r="BO2268">
        <v>64.72</v>
      </c>
      <c r="BP2268">
        <v>2.91</v>
      </c>
      <c r="BQ2268">
        <v>29.66</v>
      </c>
      <c r="BR2268">
        <v>68.010000000000005</v>
      </c>
      <c r="BS2268">
        <v>11.05</v>
      </c>
      <c r="BT2268">
        <v>4.57</v>
      </c>
      <c r="BU2268">
        <v>24.1</v>
      </c>
      <c r="BV2268">
        <v>6.44</v>
      </c>
      <c r="BW2268">
        <v>34.32</v>
      </c>
      <c r="BX2268">
        <v>25.9</v>
      </c>
      <c r="BY2268">
        <v>81.61</v>
      </c>
      <c r="BZ2268">
        <v>71.31</v>
      </c>
      <c r="CA2268">
        <v>6.07</v>
      </c>
      <c r="CB2268">
        <v>0.1</v>
      </c>
      <c r="CC2268">
        <v>6.05</v>
      </c>
      <c r="CD2268">
        <v>4.41</v>
      </c>
      <c r="CE2268">
        <v>4.09</v>
      </c>
      <c r="CF2268">
        <v>4.01</v>
      </c>
      <c r="CG2268">
        <v>30.47</v>
      </c>
      <c r="CH2268">
        <v>8.36</v>
      </c>
      <c r="CI2268">
        <v>8.3000000000000007</v>
      </c>
      <c r="CJ2268">
        <v>59828</v>
      </c>
      <c r="CK2268">
        <v>11579</v>
      </c>
      <c r="CL2268" t="s">
        <v>2315</v>
      </c>
      <c r="CM2268">
        <v>1.54</v>
      </c>
      <c r="CN2268">
        <v>2.34</v>
      </c>
      <c r="CO2268">
        <v>0.91</v>
      </c>
      <c r="CP2268">
        <v>7.08</v>
      </c>
      <c r="CQ2268">
        <v>0.73</v>
      </c>
      <c r="CR2268">
        <v>0</v>
      </c>
      <c r="CS2268" t="s">
        <v>1881</v>
      </c>
      <c r="CT2268">
        <v>4.5</v>
      </c>
      <c r="CU2268">
        <v>0</v>
      </c>
      <c r="CV2268">
        <v>1.8</v>
      </c>
      <c r="CW2268">
        <v>2.12</v>
      </c>
      <c r="CX2268">
        <v>0.57999999999999996</v>
      </c>
      <c r="CY2268">
        <v>67.31</v>
      </c>
      <c r="CZ2268" t="s">
        <v>3119</v>
      </c>
      <c r="DA2268">
        <v>12.62</v>
      </c>
      <c r="DB2268">
        <v>7.43</v>
      </c>
      <c r="DC2268">
        <v>5.01</v>
      </c>
      <c r="DD2268">
        <v>0</v>
      </c>
      <c r="DE2268">
        <v>1103</v>
      </c>
      <c r="DF2268">
        <v>600090</v>
      </c>
      <c r="DG2268" t="s">
        <v>116</v>
      </c>
      <c r="DH2268" t="s">
        <v>116</v>
      </c>
      <c r="DI2268" t="s">
        <v>116</v>
      </c>
    </row>
    <row r="2269" spans="1:113" x14ac:dyDescent="0.4">
      <c r="A2269" t="str">
        <f>"600091"</f>
        <v>600091</v>
      </c>
      <c r="B2269" t="s">
        <v>10759</v>
      </c>
      <c r="C2269">
        <v>-1.04</v>
      </c>
      <c r="D2269">
        <v>3.82</v>
      </c>
      <c r="E2269">
        <v>-0.04</v>
      </c>
      <c r="F2269">
        <v>3.81</v>
      </c>
      <c r="G2269">
        <v>3.82</v>
      </c>
      <c r="H2269">
        <v>10743</v>
      </c>
      <c r="I2269">
        <v>1</v>
      </c>
      <c r="J2269">
        <v>0</v>
      </c>
      <c r="K2269">
        <v>0.25</v>
      </c>
      <c r="L2269">
        <v>3.85</v>
      </c>
      <c r="M2269">
        <v>3.86</v>
      </c>
      <c r="N2269">
        <v>3.81</v>
      </c>
      <c r="O2269">
        <v>3.86</v>
      </c>
      <c r="P2269">
        <v>298.55</v>
      </c>
      <c r="Q2269">
        <v>4119750</v>
      </c>
      <c r="R2269">
        <v>0.57999999999999996</v>
      </c>
      <c r="S2269" t="s">
        <v>891</v>
      </c>
      <c r="T2269" t="s">
        <v>796</v>
      </c>
      <c r="U2269">
        <v>1.3</v>
      </c>
      <c r="V2269">
        <v>3.83</v>
      </c>
      <c r="W2269">
        <v>6612</v>
      </c>
      <c r="X2269">
        <v>4131</v>
      </c>
      <c r="Y2269">
        <v>1.6</v>
      </c>
      <c r="Z2269">
        <v>124</v>
      </c>
      <c r="AA2269">
        <v>228</v>
      </c>
      <c r="AB2269" t="s">
        <v>116</v>
      </c>
      <c r="AC2269">
        <v>400</v>
      </c>
      <c r="AD2269">
        <v>0</v>
      </c>
      <c r="AE2269" t="s">
        <v>116</v>
      </c>
      <c r="AF2269" t="s">
        <v>116</v>
      </c>
      <c r="AG2269">
        <v>4.37</v>
      </c>
      <c r="AH2269" t="s">
        <v>4878</v>
      </c>
      <c r="AI2269" t="s">
        <v>4878</v>
      </c>
      <c r="AJ2269">
        <v>-0.96</v>
      </c>
      <c r="AK2269">
        <v>147</v>
      </c>
      <c r="AL2269">
        <v>73</v>
      </c>
      <c r="AM2269">
        <v>1.6999999999999999E-3</v>
      </c>
      <c r="AN2269">
        <v>-1</v>
      </c>
      <c r="AO2269">
        <v>-0.78</v>
      </c>
      <c r="AP2269">
        <v>7.61</v>
      </c>
      <c r="AQ2269">
        <v>1.06</v>
      </c>
      <c r="AR2269">
        <v>0.53</v>
      </c>
      <c r="AS2269">
        <v>0.38</v>
      </c>
      <c r="AT2269" t="s">
        <v>8159</v>
      </c>
      <c r="AU2269">
        <v>123.15</v>
      </c>
      <c r="AV2269">
        <v>410.95</v>
      </c>
      <c r="AW2269">
        <v>0.66</v>
      </c>
      <c r="BA2269">
        <v>-0.26</v>
      </c>
      <c r="BB2269">
        <v>0</v>
      </c>
      <c r="BC2269">
        <v>-1.3</v>
      </c>
      <c r="BD2269">
        <v>-0.65</v>
      </c>
      <c r="BE2269">
        <v>-0.78</v>
      </c>
      <c r="BF2269">
        <v>-1.04</v>
      </c>
      <c r="BG2269">
        <v>0.26</v>
      </c>
      <c r="BH2269">
        <v>-0.38</v>
      </c>
      <c r="BI2269">
        <v>20191030</v>
      </c>
      <c r="BJ2269">
        <v>19970704</v>
      </c>
      <c r="BK2269">
        <v>4.37</v>
      </c>
      <c r="BL2269" t="s">
        <v>116</v>
      </c>
      <c r="BM2269" t="s">
        <v>116</v>
      </c>
      <c r="BN2269">
        <v>11.73</v>
      </c>
      <c r="BO2269">
        <v>9.0299999999999994</v>
      </c>
      <c r="BP2269">
        <v>0</v>
      </c>
      <c r="BQ2269">
        <v>23.03</v>
      </c>
      <c r="BR2269">
        <v>7.73</v>
      </c>
      <c r="BS2269">
        <v>0.1</v>
      </c>
      <c r="BT2269">
        <v>1.03</v>
      </c>
      <c r="BU2269">
        <v>0.43</v>
      </c>
      <c r="BV2269">
        <v>0</v>
      </c>
      <c r="BW2269">
        <v>0.08</v>
      </c>
      <c r="BX2269">
        <v>16.7</v>
      </c>
      <c r="BY2269">
        <v>0.15</v>
      </c>
      <c r="BZ2269">
        <v>0.14000000000000001</v>
      </c>
      <c r="CA2269">
        <v>0.04</v>
      </c>
      <c r="CB2269">
        <v>0.43</v>
      </c>
      <c r="CC2269">
        <v>0.04</v>
      </c>
      <c r="CD2269">
        <v>0.04</v>
      </c>
      <c r="CE2269">
        <v>0.04</v>
      </c>
      <c r="CF2269">
        <v>-0.4</v>
      </c>
      <c r="CG2269">
        <v>-12.69</v>
      </c>
      <c r="CH2269">
        <v>-0.49</v>
      </c>
      <c r="CI2269">
        <v>-7.0000000000000007E-2</v>
      </c>
      <c r="CJ2269">
        <v>14740</v>
      </c>
      <c r="CK2269">
        <v>19406</v>
      </c>
      <c r="CL2269" t="s">
        <v>828</v>
      </c>
      <c r="CM2269">
        <v>179.14</v>
      </c>
      <c r="CN2269">
        <v>-71.11</v>
      </c>
      <c r="CO2269">
        <v>1.85</v>
      </c>
      <c r="CP2269">
        <v>-34.07</v>
      </c>
      <c r="CQ2269">
        <v>114.82</v>
      </c>
      <c r="CR2269">
        <v>0</v>
      </c>
      <c r="CS2269" t="s">
        <v>888</v>
      </c>
      <c r="CT2269">
        <v>2.06</v>
      </c>
      <c r="CU2269">
        <v>0</v>
      </c>
      <c r="CV2269">
        <v>3.82</v>
      </c>
      <c r="CW2269">
        <v>-2.9</v>
      </c>
      <c r="CX2269">
        <v>-0.11</v>
      </c>
      <c r="CY2269">
        <v>76.97</v>
      </c>
      <c r="CZ2269" t="s">
        <v>10760</v>
      </c>
      <c r="DA2269">
        <v>4.0599999999999996</v>
      </c>
      <c r="DB2269">
        <v>29.23</v>
      </c>
      <c r="DC2269">
        <v>28.84</v>
      </c>
      <c r="DD2269">
        <v>0</v>
      </c>
      <c r="DE2269">
        <v>1331</v>
      </c>
      <c r="DF2269">
        <v>600091</v>
      </c>
      <c r="DG2269" t="s">
        <v>116</v>
      </c>
      <c r="DH2269" t="s">
        <v>116</v>
      </c>
      <c r="DI2269" t="s">
        <v>116</v>
      </c>
    </row>
    <row r="2270" spans="1:113" x14ac:dyDescent="0.4">
      <c r="A2270" t="str">
        <f>"600093"</f>
        <v>600093</v>
      </c>
      <c r="B2270" t="s">
        <v>10761</v>
      </c>
      <c r="C2270">
        <v>-3.65</v>
      </c>
      <c r="D2270">
        <v>13.71</v>
      </c>
      <c r="E2270">
        <v>-0.52</v>
      </c>
      <c r="F2270">
        <v>13.71</v>
      </c>
      <c r="G2270">
        <v>13.72</v>
      </c>
      <c r="H2270">
        <v>315596</v>
      </c>
      <c r="I2270">
        <v>5890</v>
      </c>
      <c r="J2270">
        <v>-0.21</v>
      </c>
      <c r="K2270">
        <v>2.81</v>
      </c>
      <c r="L2270">
        <v>14.24</v>
      </c>
      <c r="M2270">
        <v>14.3</v>
      </c>
      <c r="N2270">
        <v>13.66</v>
      </c>
      <c r="O2270">
        <v>14.23</v>
      </c>
      <c r="P2270">
        <v>14.86</v>
      </c>
      <c r="Q2270">
        <v>440584320</v>
      </c>
      <c r="R2270">
        <v>1.1200000000000001</v>
      </c>
      <c r="S2270" t="s">
        <v>3113</v>
      </c>
      <c r="T2270" t="s">
        <v>582</v>
      </c>
      <c r="U2270">
        <v>4.5</v>
      </c>
      <c r="V2270">
        <v>13.96</v>
      </c>
      <c r="W2270">
        <v>189938</v>
      </c>
      <c r="X2270">
        <v>125658</v>
      </c>
      <c r="Y2270">
        <v>1.51</v>
      </c>
      <c r="Z2270">
        <v>2140</v>
      </c>
      <c r="AA2270">
        <v>157</v>
      </c>
      <c r="AB2270" t="s">
        <v>116</v>
      </c>
      <c r="AC2270">
        <v>2181600</v>
      </c>
      <c r="AD2270">
        <v>0.04</v>
      </c>
      <c r="AE2270" t="s">
        <v>116</v>
      </c>
      <c r="AF2270" t="s">
        <v>116</v>
      </c>
      <c r="AG2270">
        <v>11.22</v>
      </c>
      <c r="AH2270" t="s">
        <v>10762</v>
      </c>
      <c r="AI2270" t="s">
        <v>10762</v>
      </c>
      <c r="AJ2270">
        <v>-3.58</v>
      </c>
      <c r="AK2270">
        <v>4163</v>
      </c>
      <c r="AL2270">
        <v>76</v>
      </c>
      <c r="AM2270">
        <v>6.9999999999999999E-4</v>
      </c>
      <c r="AN2270">
        <v>-1</v>
      </c>
      <c r="AO2270">
        <v>-1.93</v>
      </c>
      <c r="AP2270">
        <v>-4.7300000000000004</v>
      </c>
      <c r="AQ2270">
        <v>20.47</v>
      </c>
      <c r="AR2270">
        <v>80.87</v>
      </c>
      <c r="AS2270">
        <v>8.65</v>
      </c>
      <c r="AT2270" t="s">
        <v>3765</v>
      </c>
      <c r="AU2270">
        <v>16.84</v>
      </c>
      <c r="AV2270">
        <v>18.91</v>
      </c>
      <c r="AW2270">
        <v>1.91</v>
      </c>
      <c r="BA2270">
        <v>7.0000000000000007E-2</v>
      </c>
      <c r="BB2270">
        <v>0.49</v>
      </c>
      <c r="BC2270">
        <v>-4.01</v>
      </c>
      <c r="BD2270">
        <v>-1.89</v>
      </c>
      <c r="BE2270">
        <v>-3.72</v>
      </c>
      <c r="BF2270">
        <v>-4.13</v>
      </c>
      <c r="BG2270">
        <v>0.37</v>
      </c>
      <c r="BH2270">
        <v>-1.76</v>
      </c>
      <c r="BI2270">
        <v>20191031</v>
      </c>
      <c r="BJ2270">
        <v>19970626</v>
      </c>
      <c r="BK2270">
        <v>11.22</v>
      </c>
      <c r="BL2270" t="s">
        <v>116</v>
      </c>
      <c r="BM2270" t="s">
        <v>116</v>
      </c>
      <c r="BN2270">
        <v>175.82</v>
      </c>
      <c r="BO2270">
        <v>78.59</v>
      </c>
      <c r="BP2270">
        <v>6.51</v>
      </c>
      <c r="BQ2270">
        <v>51.6</v>
      </c>
      <c r="BR2270">
        <v>165.48</v>
      </c>
      <c r="BS2270">
        <v>0.03</v>
      </c>
      <c r="BT2270">
        <v>0.02</v>
      </c>
      <c r="BU2270">
        <v>79.680000000000007</v>
      </c>
      <c r="BV2270">
        <v>0.01</v>
      </c>
      <c r="BW2270">
        <v>2.39</v>
      </c>
      <c r="BX2270">
        <v>40.39</v>
      </c>
      <c r="BY2270">
        <v>88.14</v>
      </c>
      <c r="BZ2270">
        <v>88.19</v>
      </c>
      <c r="CA2270">
        <v>8.7200000000000006</v>
      </c>
      <c r="CB2270">
        <v>0.08</v>
      </c>
      <c r="CC2270">
        <v>8.7200000000000006</v>
      </c>
      <c r="CD2270">
        <v>7.92</v>
      </c>
      <c r="CE2270">
        <v>7.77</v>
      </c>
      <c r="CF2270">
        <v>7.77</v>
      </c>
      <c r="CG2270">
        <v>24.67</v>
      </c>
      <c r="CH2270">
        <v>-0.6</v>
      </c>
      <c r="CI2270">
        <v>-0.99</v>
      </c>
      <c r="CJ2270">
        <v>51525</v>
      </c>
      <c r="CK2270">
        <v>7078</v>
      </c>
      <c r="CL2270" t="s">
        <v>10763</v>
      </c>
      <c r="CM2270">
        <v>14.72</v>
      </c>
      <c r="CN2270">
        <v>-25.99</v>
      </c>
      <c r="CO2270">
        <v>1.96</v>
      </c>
      <c r="CP2270">
        <v>-256.94</v>
      </c>
      <c r="CQ2270">
        <v>1.75</v>
      </c>
      <c r="CR2270">
        <v>0</v>
      </c>
      <c r="CS2270" t="s">
        <v>10764</v>
      </c>
      <c r="CT2270">
        <v>7</v>
      </c>
      <c r="CU2270">
        <v>0</v>
      </c>
      <c r="CV2270">
        <v>3.6</v>
      </c>
      <c r="CW2270">
        <v>2.2000000000000002</v>
      </c>
      <c r="CX2270">
        <v>-0.05</v>
      </c>
      <c r="CY2270">
        <v>44.7</v>
      </c>
      <c r="CZ2270" t="s">
        <v>186</v>
      </c>
      <c r="DA2270">
        <v>-0.06</v>
      </c>
      <c r="DB2270">
        <v>9.9</v>
      </c>
      <c r="DC2270">
        <v>8.81</v>
      </c>
      <c r="DD2270">
        <v>0.12</v>
      </c>
      <c r="DE2270">
        <v>173</v>
      </c>
      <c r="DF2270">
        <v>600093</v>
      </c>
      <c r="DG2270" t="s">
        <v>116</v>
      </c>
      <c r="DH2270" t="s">
        <v>116</v>
      </c>
      <c r="DI2270" t="s">
        <v>116</v>
      </c>
    </row>
    <row r="2271" spans="1:113" x14ac:dyDescent="0.4">
      <c r="A2271" t="str">
        <f>"600094"</f>
        <v>600094</v>
      </c>
      <c r="B2271" t="s">
        <v>10765</v>
      </c>
      <c r="C2271">
        <v>0</v>
      </c>
      <c r="D2271">
        <v>5.7</v>
      </c>
      <c r="E2271">
        <v>0</v>
      </c>
      <c r="F2271">
        <v>5.69</v>
      </c>
      <c r="G2271">
        <v>5.7</v>
      </c>
      <c r="H2271">
        <v>387212</v>
      </c>
      <c r="I2271">
        <v>1857</v>
      </c>
      <c r="J2271">
        <v>0</v>
      </c>
      <c r="K2271">
        <v>1.7</v>
      </c>
      <c r="L2271">
        <v>5.69</v>
      </c>
      <c r="M2271">
        <v>5.78</v>
      </c>
      <c r="N2271">
        <v>5.66</v>
      </c>
      <c r="O2271">
        <v>5.7</v>
      </c>
      <c r="P2271">
        <v>22.91</v>
      </c>
      <c r="Q2271">
        <v>221328816</v>
      </c>
      <c r="R2271">
        <v>0.74</v>
      </c>
      <c r="S2271" t="s">
        <v>148</v>
      </c>
      <c r="T2271" t="s">
        <v>1653</v>
      </c>
      <c r="U2271">
        <v>2.11</v>
      </c>
      <c r="V2271">
        <v>5.72</v>
      </c>
      <c r="W2271">
        <v>173879</v>
      </c>
      <c r="X2271">
        <v>213333</v>
      </c>
      <c r="Y2271">
        <v>0.82</v>
      </c>
      <c r="Z2271">
        <v>2462</v>
      </c>
      <c r="AA2271">
        <v>1405</v>
      </c>
      <c r="AB2271" t="s">
        <v>116</v>
      </c>
      <c r="AC2271">
        <v>209400</v>
      </c>
      <c r="AD2271">
        <v>0</v>
      </c>
      <c r="AE2271" t="s">
        <v>116</v>
      </c>
      <c r="AF2271" t="s">
        <v>116</v>
      </c>
      <c r="AG2271">
        <v>22.77</v>
      </c>
      <c r="AH2271" t="s">
        <v>10766</v>
      </c>
      <c r="AI2271" t="s">
        <v>10767</v>
      </c>
      <c r="AJ2271">
        <v>0.08</v>
      </c>
      <c r="AK2271">
        <v>2463</v>
      </c>
      <c r="AL2271">
        <v>157</v>
      </c>
      <c r="AM2271">
        <v>6.9999999999999999E-4</v>
      </c>
      <c r="AN2271">
        <v>0</v>
      </c>
      <c r="AO2271">
        <v>-3.39</v>
      </c>
      <c r="AP2271">
        <v>-9.09</v>
      </c>
      <c r="AQ2271">
        <v>-27.11</v>
      </c>
      <c r="AR2271">
        <v>57.02</v>
      </c>
      <c r="AS2271">
        <v>2.4700000000000002</v>
      </c>
      <c r="AT2271" t="s">
        <v>10768</v>
      </c>
      <c r="AU2271">
        <v>14.74</v>
      </c>
      <c r="AV2271">
        <v>25.62</v>
      </c>
      <c r="AW2271">
        <v>0.74</v>
      </c>
      <c r="BA2271">
        <v>-0.18</v>
      </c>
      <c r="BB2271">
        <v>1.4</v>
      </c>
      <c r="BC2271">
        <v>-0.7</v>
      </c>
      <c r="BD2271">
        <v>0.28000000000000003</v>
      </c>
      <c r="BE2271">
        <v>0.18</v>
      </c>
      <c r="BF2271">
        <v>-1.38</v>
      </c>
      <c r="BG2271">
        <v>0.71</v>
      </c>
      <c r="BH2271">
        <v>-0.28000000000000003</v>
      </c>
      <c r="BI2271">
        <v>20191025</v>
      </c>
      <c r="BJ2271">
        <v>19970703</v>
      </c>
      <c r="BK2271">
        <v>24.75</v>
      </c>
      <c r="BL2271">
        <v>1.99</v>
      </c>
      <c r="BM2271" t="s">
        <v>116</v>
      </c>
      <c r="BN2271">
        <v>453.11</v>
      </c>
      <c r="BO2271">
        <v>126.14</v>
      </c>
      <c r="BP2271">
        <v>13.4</v>
      </c>
      <c r="BQ2271">
        <v>69.2</v>
      </c>
      <c r="BR2271">
        <v>400.69</v>
      </c>
      <c r="BS2271">
        <v>6.54</v>
      </c>
      <c r="BT2271">
        <v>0.03</v>
      </c>
      <c r="BU2271">
        <v>229.64</v>
      </c>
      <c r="BV2271">
        <v>338.3</v>
      </c>
      <c r="BW2271">
        <v>2.2400000000000002</v>
      </c>
      <c r="BX2271">
        <v>58.36</v>
      </c>
      <c r="BY2271">
        <v>74.13</v>
      </c>
      <c r="BZ2271">
        <v>49.65</v>
      </c>
      <c r="CA2271">
        <v>9.36</v>
      </c>
      <c r="CB2271">
        <v>-0.04</v>
      </c>
      <c r="CC2271">
        <v>9.41</v>
      </c>
      <c r="CD2271">
        <v>7.01</v>
      </c>
      <c r="CE2271">
        <v>4.62</v>
      </c>
      <c r="CF2271">
        <v>4.58</v>
      </c>
      <c r="CG2271">
        <v>40.5</v>
      </c>
      <c r="CH2271">
        <v>47.99</v>
      </c>
      <c r="CI2271">
        <v>18.100000000000001</v>
      </c>
      <c r="CJ2271">
        <v>57204</v>
      </c>
      <c r="CK2271">
        <v>30878</v>
      </c>
      <c r="CL2271" t="s">
        <v>10769</v>
      </c>
      <c r="CM2271">
        <v>730.22</v>
      </c>
      <c r="CN2271">
        <v>5.79</v>
      </c>
      <c r="CO2271">
        <v>1.1200000000000001</v>
      </c>
      <c r="CP2271">
        <v>2.94</v>
      </c>
      <c r="CQ2271">
        <v>1.9</v>
      </c>
      <c r="CR2271">
        <v>0.35</v>
      </c>
      <c r="CS2271" t="s">
        <v>214</v>
      </c>
      <c r="CT2271">
        <v>5.0999999999999996</v>
      </c>
      <c r="CU2271">
        <v>0</v>
      </c>
      <c r="CV2271">
        <v>2.36</v>
      </c>
      <c r="CW2271">
        <v>1.64</v>
      </c>
      <c r="CX2271">
        <v>1.94</v>
      </c>
      <c r="CY2271">
        <v>27.84</v>
      </c>
      <c r="CZ2271" t="s">
        <v>1869</v>
      </c>
      <c r="DA2271">
        <v>33.03</v>
      </c>
      <c r="DB2271">
        <v>12.62</v>
      </c>
      <c r="DC2271">
        <v>6.23</v>
      </c>
      <c r="DD2271">
        <v>0</v>
      </c>
      <c r="DE2271">
        <v>1097</v>
      </c>
      <c r="DF2271">
        <v>600094</v>
      </c>
      <c r="DG2271" t="s">
        <v>116</v>
      </c>
      <c r="DH2271" t="s">
        <v>116</v>
      </c>
      <c r="DI2271" t="s">
        <v>116</v>
      </c>
    </row>
    <row r="2272" spans="1:113" x14ac:dyDescent="0.4">
      <c r="A2272" t="str">
        <f>"600095"</f>
        <v>600095</v>
      </c>
      <c r="B2272" t="s">
        <v>10770</v>
      </c>
      <c r="C2272">
        <v>2.33</v>
      </c>
      <c r="D2272">
        <v>8.77</v>
      </c>
      <c r="E2272">
        <v>0.2</v>
      </c>
      <c r="F2272">
        <v>8.77</v>
      </c>
      <c r="G2272">
        <v>8.7799999999999994</v>
      </c>
      <c r="H2272">
        <v>408694</v>
      </c>
      <c r="I2272">
        <v>5691</v>
      </c>
      <c r="J2272">
        <v>-0.1</v>
      </c>
      <c r="K2272">
        <v>11.31</v>
      </c>
      <c r="L2272">
        <v>8.59</v>
      </c>
      <c r="M2272">
        <v>9.09</v>
      </c>
      <c r="N2272">
        <v>8.5</v>
      </c>
      <c r="O2272">
        <v>8.57</v>
      </c>
      <c r="P2272">
        <v>984.35</v>
      </c>
      <c r="Q2272">
        <v>361368576</v>
      </c>
      <c r="R2272">
        <v>1.69</v>
      </c>
      <c r="S2272" t="s">
        <v>148</v>
      </c>
      <c r="T2272" t="s">
        <v>1287</v>
      </c>
      <c r="U2272">
        <v>6.88</v>
      </c>
      <c r="V2272">
        <v>8.84</v>
      </c>
      <c r="W2272">
        <v>188624</v>
      </c>
      <c r="X2272">
        <v>220070</v>
      </c>
      <c r="Y2272">
        <v>0.86</v>
      </c>
      <c r="Z2272">
        <v>719</v>
      </c>
      <c r="AA2272">
        <v>808</v>
      </c>
      <c r="AB2272" t="s">
        <v>116</v>
      </c>
      <c r="AC2272">
        <v>1459400</v>
      </c>
      <c r="AD2272">
        <v>0.06</v>
      </c>
      <c r="AE2272" t="s">
        <v>116</v>
      </c>
      <c r="AF2272" t="s">
        <v>116</v>
      </c>
      <c r="AG2272">
        <v>3.61</v>
      </c>
      <c r="AH2272" t="s">
        <v>4987</v>
      </c>
      <c r="AI2272" t="s">
        <v>4987</v>
      </c>
      <c r="AJ2272">
        <v>2.41</v>
      </c>
      <c r="AK2272">
        <v>3916</v>
      </c>
      <c r="AL2272">
        <v>104</v>
      </c>
      <c r="AM2272">
        <v>2.8999999999999998E-3</v>
      </c>
      <c r="AN2272">
        <v>2</v>
      </c>
      <c r="AO2272">
        <v>2.81</v>
      </c>
      <c r="AP2272">
        <v>16.16</v>
      </c>
      <c r="AQ2272">
        <v>-3.52</v>
      </c>
      <c r="AR2272">
        <v>135.94</v>
      </c>
      <c r="AS2272">
        <v>13.48</v>
      </c>
      <c r="AT2272" t="s">
        <v>803</v>
      </c>
      <c r="AU2272">
        <v>156.91</v>
      </c>
      <c r="AV2272">
        <v>209.31</v>
      </c>
      <c r="AW2272">
        <v>2.4500000000000002</v>
      </c>
      <c r="BA2272">
        <v>0.23</v>
      </c>
      <c r="BB2272">
        <v>6.07</v>
      </c>
      <c r="BC2272">
        <v>-0.82</v>
      </c>
      <c r="BD2272">
        <v>3.17</v>
      </c>
      <c r="BE2272">
        <v>2.1</v>
      </c>
      <c r="BF2272">
        <v>-3.52</v>
      </c>
      <c r="BG2272">
        <v>3.18</v>
      </c>
      <c r="BH2272">
        <v>-0.84</v>
      </c>
      <c r="BI2272">
        <v>20191031</v>
      </c>
      <c r="BJ2272">
        <v>19970708</v>
      </c>
      <c r="BK2272">
        <v>3.61</v>
      </c>
      <c r="BL2272" t="s">
        <v>116</v>
      </c>
      <c r="BM2272" t="s">
        <v>116</v>
      </c>
      <c r="BN2272">
        <v>11.61</v>
      </c>
      <c r="BO2272">
        <v>8.4499999999999993</v>
      </c>
      <c r="BP2272">
        <v>0.38</v>
      </c>
      <c r="BQ2272">
        <v>23.94</v>
      </c>
      <c r="BR2272">
        <v>4.76</v>
      </c>
      <c r="BS2272">
        <v>1.7</v>
      </c>
      <c r="BT2272">
        <v>0.26</v>
      </c>
      <c r="BU2272">
        <v>2.31</v>
      </c>
      <c r="BV2272">
        <v>1.88</v>
      </c>
      <c r="BW2272">
        <v>0.11</v>
      </c>
      <c r="BX2272">
        <v>2.67</v>
      </c>
      <c r="BY2272">
        <v>3.56</v>
      </c>
      <c r="BZ2272">
        <v>3.06</v>
      </c>
      <c r="CA2272">
        <v>0.22</v>
      </c>
      <c r="CB2272">
        <v>-0.03</v>
      </c>
      <c r="CC2272">
        <v>0.15</v>
      </c>
      <c r="CD2272">
        <v>0.1</v>
      </c>
      <c r="CE2272">
        <v>0.02</v>
      </c>
      <c r="CF2272">
        <v>-0.1</v>
      </c>
      <c r="CG2272">
        <v>1.8</v>
      </c>
      <c r="CH2272">
        <v>0.39</v>
      </c>
      <c r="CI2272">
        <v>0.01</v>
      </c>
      <c r="CJ2272">
        <v>56858</v>
      </c>
      <c r="CK2272">
        <v>5332</v>
      </c>
      <c r="CL2272" t="s">
        <v>2800</v>
      </c>
      <c r="CM2272">
        <v>191.39</v>
      </c>
      <c r="CN2272">
        <v>163.26</v>
      </c>
      <c r="CO2272">
        <v>3.75</v>
      </c>
      <c r="CP2272">
        <v>82.09</v>
      </c>
      <c r="CQ2272">
        <v>8.89</v>
      </c>
      <c r="CR2272">
        <v>0.15</v>
      </c>
      <c r="CS2272" t="s">
        <v>5809</v>
      </c>
      <c r="CT2272">
        <v>2.34</v>
      </c>
      <c r="CU2272">
        <v>0</v>
      </c>
      <c r="CV2272">
        <v>0.74</v>
      </c>
      <c r="CW2272">
        <v>0.5</v>
      </c>
      <c r="CX2272">
        <v>0.11</v>
      </c>
      <c r="CY2272">
        <v>72.78</v>
      </c>
      <c r="CZ2272" t="s">
        <v>8874</v>
      </c>
      <c r="DA2272">
        <v>14.07</v>
      </c>
      <c r="DB2272">
        <v>6.16</v>
      </c>
      <c r="DC2272">
        <v>0.68</v>
      </c>
      <c r="DD2272">
        <v>0</v>
      </c>
      <c r="DE2272">
        <v>643</v>
      </c>
      <c r="DF2272">
        <v>600095</v>
      </c>
      <c r="DG2272" t="s">
        <v>116</v>
      </c>
      <c r="DH2272" t="s">
        <v>116</v>
      </c>
      <c r="DI2272" t="s">
        <v>116</v>
      </c>
    </row>
    <row r="2273" spans="1:113" x14ac:dyDescent="0.4">
      <c r="A2273" t="str">
        <f>"600096"</f>
        <v>600096</v>
      </c>
      <c r="B2273" t="s">
        <v>10771</v>
      </c>
      <c r="C2273">
        <v>-0.56999999999999995</v>
      </c>
      <c r="D2273">
        <v>5.24</v>
      </c>
      <c r="E2273">
        <v>-0.03</v>
      </c>
      <c r="F2273">
        <v>5.24</v>
      </c>
      <c r="G2273">
        <v>5.25</v>
      </c>
      <c r="H2273">
        <v>114492</v>
      </c>
      <c r="I2273">
        <v>1258</v>
      </c>
      <c r="J2273">
        <v>-0.18</v>
      </c>
      <c r="K2273">
        <v>0.87</v>
      </c>
      <c r="L2273">
        <v>5.27</v>
      </c>
      <c r="M2273">
        <v>5.33</v>
      </c>
      <c r="N2273">
        <v>5.24</v>
      </c>
      <c r="O2273">
        <v>5.27</v>
      </c>
      <c r="P2273">
        <v>41.73</v>
      </c>
      <c r="Q2273">
        <v>60495120</v>
      </c>
      <c r="R2273">
        <v>1.34</v>
      </c>
      <c r="S2273" t="s">
        <v>697</v>
      </c>
      <c r="T2273" t="s">
        <v>1043</v>
      </c>
      <c r="U2273">
        <v>1.71</v>
      </c>
      <c r="V2273">
        <v>5.28</v>
      </c>
      <c r="W2273">
        <v>53993</v>
      </c>
      <c r="X2273">
        <v>60499</v>
      </c>
      <c r="Y2273">
        <v>0.89</v>
      </c>
      <c r="Z2273">
        <v>1777</v>
      </c>
      <c r="AA2273">
        <v>1235</v>
      </c>
      <c r="AB2273" t="s">
        <v>116</v>
      </c>
      <c r="AC2273">
        <v>158100</v>
      </c>
      <c r="AD2273">
        <v>0.01</v>
      </c>
      <c r="AE2273" t="s">
        <v>116</v>
      </c>
      <c r="AF2273" t="s">
        <v>116</v>
      </c>
      <c r="AG2273">
        <v>13.21</v>
      </c>
      <c r="AH2273" t="s">
        <v>10772</v>
      </c>
      <c r="AI2273" t="s">
        <v>10773</v>
      </c>
      <c r="AJ2273">
        <v>-0.49</v>
      </c>
      <c r="AK2273">
        <v>1523</v>
      </c>
      <c r="AL2273">
        <v>75</v>
      </c>
      <c r="AM2273">
        <v>5.9999999999999995E-4</v>
      </c>
      <c r="AN2273">
        <v>-1</v>
      </c>
      <c r="AO2273">
        <v>0.38</v>
      </c>
      <c r="AP2273">
        <v>4.38</v>
      </c>
      <c r="AQ2273">
        <v>1.35</v>
      </c>
      <c r="AR2273">
        <v>4.59</v>
      </c>
      <c r="AS2273">
        <v>2.27</v>
      </c>
      <c r="AT2273" t="s">
        <v>10774</v>
      </c>
      <c r="AU2273">
        <v>42.93</v>
      </c>
      <c r="AV2273">
        <v>60.94</v>
      </c>
      <c r="AW2273">
        <v>1.39</v>
      </c>
      <c r="BA2273">
        <v>0</v>
      </c>
      <c r="BB2273">
        <v>1.1399999999999999</v>
      </c>
      <c r="BC2273">
        <v>-0.56999999999999995</v>
      </c>
      <c r="BD2273">
        <v>0.26</v>
      </c>
      <c r="BE2273">
        <v>-0.56999999999999995</v>
      </c>
      <c r="BF2273">
        <v>-1.69</v>
      </c>
      <c r="BG2273">
        <v>0</v>
      </c>
      <c r="BH2273">
        <v>-0.83</v>
      </c>
      <c r="BI2273">
        <v>20191026</v>
      </c>
      <c r="BJ2273">
        <v>19970709</v>
      </c>
      <c r="BK2273">
        <v>14.28</v>
      </c>
      <c r="BL2273" t="s">
        <v>116</v>
      </c>
      <c r="BM2273" t="s">
        <v>116</v>
      </c>
      <c r="BN2273">
        <v>642.48</v>
      </c>
      <c r="BO2273">
        <v>48.06</v>
      </c>
      <c r="BP2273">
        <v>25.59</v>
      </c>
      <c r="BQ2273">
        <v>88.54</v>
      </c>
      <c r="BR2273">
        <v>336.11</v>
      </c>
      <c r="BS2273">
        <v>206.46</v>
      </c>
      <c r="BT2273">
        <v>38.94</v>
      </c>
      <c r="BU2273">
        <v>508.42</v>
      </c>
      <c r="BV2273">
        <v>89.38</v>
      </c>
      <c r="BW2273">
        <v>34.380000000000003</v>
      </c>
      <c r="BX2273">
        <v>59.17</v>
      </c>
      <c r="BY2273">
        <v>410.85</v>
      </c>
      <c r="BZ2273">
        <v>358.63</v>
      </c>
      <c r="CA2273">
        <v>2.4</v>
      </c>
      <c r="CB2273">
        <v>0.99</v>
      </c>
      <c r="CC2273">
        <v>3.01</v>
      </c>
      <c r="CD2273">
        <v>1.66</v>
      </c>
      <c r="CE2273">
        <v>1.34</v>
      </c>
      <c r="CF2273">
        <v>-0.51</v>
      </c>
      <c r="CG2273">
        <v>-29.19</v>
      </c>
      <c r="CH2273">
        <v>30.71</v>
      </c>
      <c r="CI2273">
        <v>-5.26</v>
      </c>
      <c r="CJ2273">
        <v>48542</v>
      </c>
      <c r="CK2273">
        <v>10406</v>
      </c>
      <c r="CL2273" t="s">
        <v>10775</v>
      </c>
      <c r="CM2273">
        <v>62.12</v>
      </c>
      <c r="CN2273">
        <v>11.89</v>
      </c>
      <c r="CO2273">
        <v>1.56</v>
      </c>
      <c r="CP2273">
        <v>2.44</v>
      </c>
      <c r="CQ2273">
        <v>0.18</v>
      </c>
      <c r="CR2273">
        <v>0</v>
      </c>
      <c r="CS2273" t="s">
        <v>3590</v>
      </c>
      <c r="CT2273">
        <v>3.37</v>
      </c>
      <c r="CU2273">
        <v>0</v>
      </c>
      <c r="CV2273">
        <v>4.1399999999999997</v>
      </c>
      <c r="CW2273">
        <v>-2.04</v>
      </c>
      <c r="CX2273">
        <v>2.15</v>
      </c>
      <c r="CY2273">
        <v>7.48</v>
      </c>
      <c r="CZ2273" t="s">
        <v>9154</v>
      </c>
      <c r="DA2273">
        <v>12.71</v>
      </c>
      <c r="DB2273">
        <v>0.57999999999999996</v>
      </c>
      <c r="DC2273">
        <v>0.33</v>
      </c>
      <c r="DD2273">
        <v>0.43</v>
      </c>
      <c r="DE2273">
        <v>12336</v>
      </c>
      <c r="DF2273">
        <v>600096</v>
      </c>
      <c r="DG2273" t="s">
        <v>116</v>
      </c>
      <c r="DH2273" t="s">
        <v>116</v>
      </c>
      <c r="DI2273" t="s">
        <v>116</v>
      </c>
    </row>
    <row r="2274" spans="1:113" x14ac:dyDescent="0.4">
      <c r="A2274" t="str">
        <f>"600097"</f>
        <v>600097</v>
      </c>
      <c r="B2274" t="s">
        <v>10776</v>
      </c>
      <c r="C2274">
        <v>-0.91</v>
      </c>
      <c r="D2274">
        <v>9.76</v>
      </c>
      <c r="E2274">
        <v>-0.09</v>
      </c>
      <c r="F2274">
        <v>9.76</v>
      </c>
      <c r="G2274">
        <v>9.7899999999999991</v>
      </c>
      <c r="H2274">
        <v>11500</v>
      </c>
      <c r="I2274">
        <v>521</v>
      </c>
      <c r="J2274">
        <v>-0.4</v>
      </c>
      <c r="K2274">
        <v>0.51</v>
      </c>
      <c r="L2274">
        <v>9.8800000000000008</v>
      </c>
      <c r="M2274">
        <v>9.9</v>
      </c>
      <c r="N2274">
        <v>9.75</v>
      </c>
      <c r="O2274">
        <v>9.85</v>
      </c>
      <c r="P2274">
        <v>17.39</v>
      </c>
      <c r="Q2274">
        <v>11316503</v>
      </c>
      <c r="R2274">
        <v>1.41</v>
      </c>
      <c r="S2274" t="s">
        <v>2216</v>
      </c>
      <c r="T2274" t="s">
        <v>1653</v>
      </c>
      <c r="U2274">
        <v>1.52</v>
      </c>
      <c r="V2274">
        <v>9.84</v>
      </c>
      <c r="W2274">
        <v>6459</v>
      </c>
      <c r="X2274">
        <v>5041</v>
      </c>
      <c r="Y2274">
        <v>1.28</v>
      </c>
      <c r="Z2274">
        <v>276</v>
      </c>
      <c r="AA2274">
        <v>112</v>
      </c>
      <c r="AB2274" t="s">
        <v>116</v>
      </c>
      <c r="AC2274">
        <v>49400</v>
      </c>
      <c r="AD2274">
        <v>0.01</v>
      </c>
      <c r="AE2274" t="s">
        <v>116</v>
      </c>
      <c r="AF2274" t="s">
        <v>116</v>
      </c>
      <c r="AG2274">
        <v>2.2599999999999998</v>
      </c>
      <c r="AH2274" t="s">
        <v>10777</v>
      </c>
      <c r="AI2274" t="s">
        <v>3743</v>
      </c>
      <c r="AJ2274">
        <v>-0.84</v>
      </c>
      <c r="AK2274">
        <v>654</v>
      </c>
      <c r="AL2274">
        <v>18</v>
      </c>
      <c r="AM2274">
        <v>8.0000000000000004E-4</v>
      </c>
      <c r="AN2274">
        <v>-1</v>
      </c>
      <c r="AO2274">
        <v>-0.91</v>
      </c>
      <c r="AP2274">
        <v>3.28</v>
      </c>
      <c r="AQ2274">
        <v>-3.65</v>
      </c>
      <c r="AR2274">
        <v>-3.46</v>
      </c>
      <c r="AS2274">
        <v>1.23</v>
      </c>
      <c r="AT2274" t="s">
        <v>6338</v>
      </c>
      <c r="AU2274">
        <v>19.72</v>
      </c>
      <c r="AV2274">
        <v>16.760000000000002</v>
      </c>
      <c r="AW2274">
        <v>0.9</v>
      </c>
      <c r="BA2274">
        <v>0.3</v>
      </c>
      <c r="BB2274">
        <v>0.51</v>
      </c>
      <c r="BC2274">
        <v>-1.02</v>
      </c>
      <c r="BD2274">
        <v>-0.1</v>
      </c>
      <c r="BE2274">
        <v>-1.21</v>
      </c>
      <c r="BF2274">
        <v>-1.41</v>
      </c>
      <c r="BG2274">
        <v>0.1</v>
      </c>
      <c r="BH2274">
        <v>-0.82</v>
      </c>
      <c r="BI2274">
        <v>20191117</v>
      </c>
      <c r="BJ2274">
        <v>19970619</v>
      </c>
      <c r="BK2274">
        <v>2.41</v>
      </c>
      <c r="BL2274" t="s">
        <v>116</v>
      </c>
      <c r="BM2274" t="s">
        <v>116</v>
      </c>
      <c r="BN2274">
        <v>25.39</v>
      </c>
      <c r="BO2274">
        <v>17.11</v>
      </c>
      <c r="BP2274">
        <v>0.51</v>
      </c>
      <c r="BQ2274">
        <v>30.62</v>
      </c>
      <c r="BR2274">
        <v>12.8</v>
      </c>
      <c r="BS2274">
        <v>9.36</v>
      </c>
      <c r="BT2274">
        <v>1.2</v>
      </c>
      <c r="BU2274">
        <v>3.94</v>
      </c>
      <c r="BV2274">
        <v>4.78</v>
      </c>
      <c r="BW2274">
        <v>1.18</v>
      </c>
      <c r="BX2274">
        <v>6.12</v>
      </c>
      <c r="BY2274">
        <v>16.77</v>
      </c>
      <c r="BZ2274">
        <v>10.48</v>
      </c>
      <c r="CA2274">
        <v>1.3</v>
      </c>
      <c r="CB2274">
        <v>0</v>
      </c>
      <c r="CC2274">
        <v>1.29</v>
      </c>
      <c r="CD2274">
        <v>1.1599999999999999</v>
      </c>
      <c r="CE2274">
        <v>1.01</v>
      </c>
      <c r="CF2274">
        <v>1</v>
      </c>
      <c r="CG2274">
        <v>5.64</v>
      </c>
      <c r="CH2274">
        <v>2.1</v>
      </c>
      <c r="CI2274">
        <v>0.38</v>
      </c>
      <c r="CJ2274">
        <v>13470</v>
      </c>
      <c r="CK2274">
        <v>6941</v>
      </c>
      <c r="CL2274" t="s">
        <v>6247</v>
      </c>
      <c r="CM2274">
        <v>-17.190000000000001</v>
      </c>
      <c r="CN2274">
        <v>17.52</v>
      </c>
      <c r="CO2274">
        <v>1.37</v>
      </c>
      <c r="CP2274">
        <v>11.21</v>
      </c>
      <c r="CQ2274">
        <v>1.4</v>
      </c>
      <c r="CR2274">
        <v>1.84</v>
      </c>
      <c r="CS2274" t="s">
        <v>10778</v>
      </c>
      <c r="CT2274">
        <v>7.1</v>
      </c>
      <c r="CU2274">
        <v>0</v>
      </c>
      <c r="CV2274">
        <v>2.54</v>
      </c>
      <c r="CW2274">
        <v>2.34</v>
      </c>
      <c r="CX2274">
        <v>0.87</v>
      </c>
      <c r="CY2274">
        <v>67.37</v>
      </c>
      <c r="CZ2274" t="s">
        <v>447</v>
      </c>
      <c r="DA2274">
        <v>37.549999999999997</v>
      </c>
      <c r="DB2274">
        <v>7.73</v>
      </c>
      <c r="DC2274">
        <v>6.05</v>
      </c>
      <c r="DD2274">
        <v>0</v>
      </c>
      <c r="DE2274">
        <v>1191</v>
      </c>
      <c r="DF2274">
        <v>600097</v>
      </c>
      <c r="DG2274" t="s">
        <v>116</v>
      </c>
      <c r="DH2274" t="s">
        <v>116</v>
      </c>
      <c r="DI2274" t="s">
        <v>116</v>
      </c>
    </row>
    <row r="2275" spans="1:113" x14ac:dyDescent="0.4">
      <c r="A2275" t="str">
        <f>"600098"</f>
        <v>600098</v>
      </c>
      <c r="B2275" t="s">
        <v>10779</v>
      </c>
      <c r="C2275">
        <v>-0.77</v>
      </c>
      <c r="D2275">
        <v>6.43</v>
      </c>
      <c r="E2275">
        <v>-0.05</v>
      </c>
      <c r="F2275">
        <v>6.42</v>
      </c>
      <c r="G2275">
        <v>6.43</v>
      </c>
      <c r="H2275">
        <v>46869</v>
      </c>
      <c r="I2275">
        <v>346</v>
      </c>
      <c r="J2275">
        <v>0</v>
      </c>
      <c r="K2275">
        <v>0.17</v>
      </c>
      <c r="L2275">
        <v>6.49</v>
      </c>
      <c r="M2275">
        <v>6.51</v>
      </c>
      <c r="N2275">
        <v>6.42</v>
      </c>
      <c r="O2275">
        <v>6.48</v>
      </c>
      <c r="P2275">
        <v>18.86</v>
      </c>
      <c r="Q2275">
        <v>30315260</v>
      </c>
      <c r="R2275">
        <v>1.4</v>
      </c>
      <c r="S2275" t="s">
        <v>271</v>
      </c>
      <c r="T2275" t="s">
        <v>551</v>
      </c>
      <c r="U2275">
        <v>1.39</v>
      </c>
      <c r="V2275">
        <v>6.47</v>
      </c>
      <c r="W2275">
        <v>30786</v>
      </c>
      <c r="X2275">
        <v>16083</v>
      </c>
      <c r="Y2275">
        <v>1.91</v>
      </c>
      <c r="Z2275">
        <v>937</v>
      </c>
      <c r="AA2275">
        <v>610</v>
      </c>
      <c r="AB2275" t="s">
        <v>116</v>
      </c>
      <c r="AC2275">
        <v>7100</v>
      </c>
      <c r="AD2275">
        <v>0</v>
      </c>
      <c r="AE2275" t="s">
        <v>116</v>
      </c>
      <c r="AF2275" t="s">
        <v>116</v>
      </c>
      <c r="AG2275">
        <v>27.26</v>
      </c>
      <c r="AH2275" t="s">
        <v>10780</v>
      </c>
      <c r="AI2275" t="s">
        <v>10780</v>
      </c>
      <c r="AJ2275">
        <v>-0.69</v>
      </c>
      <c r="AK2275">
        <v>1023</v>
      </c>
      <c r="AL2275">
        <v>46</v>
      </c>
      <c r="AM2275">
        <v>2.0000000000000001E-4</v>
      </c>
      <c r="AN2275">
        <v>-5</v>
      </c>
      <c r="AO2275">
        <v>-2.86</v>
      </c>
      <c r="AP2275">
        <v>-0.77</v>
      </c>
      <c r="AQ2275">
        <v>5.07</v>
      </c>
      <c r="AR2275">
        <v>15.65</v>
      </c>
      <c r="AS2275">
        <v>0.99</v>
      </c>
      <c r="AT2275" t="s">
        <v>10781</v>
      </c>
      <c r="AU2275">
        <v>23.27</v>
      </c>
      <c r="AV2275">
        <v>25.01</v>
      </c>
      <c r="AW2275">
        <v>0.33</v>
      </c>
      <c r="BA2275">
        <v>0.15</v>
      </c>
      <c r="BB2275">
        <v>0.46</v>
      </c>
      <c r="BC2275">
        <v>-0.93</v>
      </c>
      <c r="BD2275">
        <v>-0.18</v>
      </c>
      <c r="BE2275">
        <v>-0.92</v>
      </c>
      <c r="BF2275">
        <v>-1.23</v>
      </c>
      <c r="BG2275">
        <v>0.16</v>
      </c>
      <c r="BH2275">
        <v>-0.59</v>
      </c>
      <c r="BI2275">
        <v>20191031</v>
      </c>
      <c r="BJ2275">
        <v>19970718</v>
      </c>
      <c r="BK2275">
        <v>27.26</v>
      </c>
      <c r="BL2275" t="s">
        <v>116</v>
      </c>
      <c r="BM2275" t="s">
        <v>116</v>
      </c>
      <c r="BN2275">
        <v>418.63</v>
      </c>
      <c r="BO2275">
        <v>168.59</v>
      </c>
      <c r="BP2275">
        <v>33.32</v>
      </c>
      <c r="BQ2275">
        <v>51.77</v>
      </c>
      <c r="BR2275">
        <v>104.25</v>
      </c>
      <c r="BS2275">
        <v>161.13999999999999</v>
      </c>
      <c r="BT2275">
        <v>10.16</v>
      </c>
      <c r="BU2275">
        <v>81.040000000000006</v>
      </c>
      <c r="BV2275">
        <v>20.74</v>
      </c>
      <c r="BW2275">
        <v>17.5</v>
      </c>
      <c r="BX2275">
        <v>39.479999999999997</v>
      </c>
      <c r="BY2275">
        <v>213.58</v>
      </c>
      <c r="BZ2275">
        <v>192.99</v>
      </c>
      <c r="CA2275">
        <v>9.58</v>
      </c>
      <c r="CB2275">
        <v>2.59</v>
      </c>
      <c r="CC2275">
        <v>9.7200000000000006</v>
      </c>
      <c r="CD2275">
        <v>7.94</v>
      </c>
      <c r="CE2275">
        <v>6.97</v>
      </c>
      <c r="CF2275">
        <v>7.07</v>
      </c>
      <c r="CG2275">
        <v>65.77</v>
      </c>
      <c r="CH2275">
        <v>25.52</v>
      </c>
      <c r="CI2275">
        <v>-1.77</v>
      </c>
      <c r="CJ2275">
        <v>62135</v>
      </c>
      <c r="CK2275">
        <v>7612</v>
      </c>
      <c r="CL2275" t="s">
        <v>10782</v>
      </c>
      <c r="CM2275">
        <v>8.1199999999999992</v>
      </c>
      <c r="CN2275">
        <v>14.5</v>
      </c>
      <c r="CO2275">
        <v>1.04</v>
      </c>
      <c r="CP2275">
        <v>6.87</v>
      </c>
      <c r="CQ2275">
        <v>0.82</v>
      </c>
      <c r="CR2275">
        <v>1.56</v>
      </c>
      <c r="CS2275" t="s">
        <v>3081</v>
      </c>
      <c r="CT2275">
        <v>6.18</v>
      </c>
      <c r="CU2275">
        <v>0</v>
      </c>
      <c r="CV2275">
        <v>1.45</v>
      </c>
      <c r="CW2275">
        <v>2.41</v>
      </c>
      <c r="CX2275">
        <v>0.94</v>
      </c>
      <c r="CY2275">
        <v>40.270000000000003</v>
      </c>
      <c r="CZ2275" t="s">
        <v>1100</v>
      </c>
      <c r="DA2275">
        <v>9.64</v>
      </c>
      <c r="DB2275">
        <v>4.4800000000000004</v>
      </c>
      <c r="DC2275">
        <v>3.26</v>
      </c>
      <c r="DD2275">
        <v>2.2999999999999998</v>
      </c>
      <c r="DE2275">
        <v>5247</v>
      </c>
      <c r="DF2275">
        <v>600098</v>
      </c>
      <c r="DG2275" t="s">
        <v>116</v>
      </c>
      <c r="DH2275" t="s">
        <v>116</v>
      </c>
      <c r="DI2275" t="s">
        <v>116</v>
      </c>
    </row>
    <row r="2276" spans="1:113" x14ac:dyDescent="0.4">
      <c r="A2276" t="str">
        <f>"600099"</f>
        <v>600099</v>
      </c>
      <c r="B2276" t="s">
        <v>10783</v>
      </c>
      <c r="C2276">
        <v>0.45</v>
      </c>
      <c r="D2276">
        <v>6.66</v>
      </c>
      <c r="E2276">
        <v>0.03</v>
      </c>
      <c r="F2276">
        <v>6.65</v>
      </c>
      <c r="G2276">
        <v>6.66</v>
      </c>
      <c r="H2276">
        <v>30655</v>
      </c>
      <c r="I2276">
        <v>291</v>
      </c>
      <c r="J2276">
        <v>0.3</v>
      </c>
      <c r="K2276">
        <v>1.4</v>
      </c>
      <c r="L2276">
        <v>6.63</v>
      </c>
      <c r="M2276">
        <v>6.77</v>
      </c>
      <c r="N2276">
        <v>6.63</v>
      </c>
      <c r="O2276">
        <v>6.63</v>
      </c>
      <c r="P2276">
        <v>1420.51</v>
      </c>
      <c r="Q2276">
        <v>20519250</v>
      </c>
      <c r="R2276">
        <v>1.29</v>
      </c>
      <c r="S2276" t="s">
        <v>2657</v>
      </c>
      <c r="T2276" t="s">
        <v>323</v>
      </c>
      <c r="U2276">
        <v>2.11</v>
      </c>
      <c r="V2276">
        <v>6.69</v>
      </c>
      <c r="W2276">
        <v>17828</v>
      </c>
      <c r="X2276">
        <v>12827</v>
      </c>
      <c r="Y2276">
        <v>1.39</v>
      </c>
      <c r="Z2276">
        <v>20</v>
      </c>
      <c r="AA2276">
        <v>351</v>
      </c>
      <c r="AB2276" t="s">
        <v>116</v>
      </c>
      <c r="AC2276">
        <v>141900</v>
      </c>
      <c r="AD2276">
        <v>0.02</v>
      </c>
      <c r="AE2276" t="s">
        <v>116</v>
      </c>
      <c r="AF2276" t="s">
        <v>116</v>
      </c>
      <c r="AG2276">
        <v>2.19</v>
      </c>
      <c r="AH2276" t="s">
        <v>8217</v>
      </c>
      <c r="AI2276" t="s">
        <v>8217</v>
      </c>
      <c r="AJ2276">
        <v>0.53</v>
      </c>
      <c r="AK2276">
        <v>868</v>
      </c>
      <c r="AL2276">
        <v>35</v>
      </c>
      <c r="AM2276">
        <v>1.6000000000000001E-3</v>
      </c>
      <c r="AN2276">
        <v>2</v>
      </c>
      <c r="AO2276">
        <v>1.06</v>
      </c>
      <c r="AP2276">
        <v>6.73</v>
      </c>
      <c r="AQ2276">
        <v>-3.34</v>
      </c>
      <c r="AR2276">
        <v>17.46</v>
      </c>
      <c r="AS2276">
        <v>2.42</v>
      </c>
      <c r="AT2276" t="s">
        <v>10784</v>
      </c>
      <c r="AU2276">
        <v>454.5</v>
      </c>
      <c r="AV2276">
        <v>551.15</v>
      </c>
      <c r="AW2276">
        <v>1.32</v>
      </c>
      <c r="BA2276">
        <v>0</v>
      </c>
      <c r="BB2276">
        <v>2.11</v>
      </c>
      <c r="BC2276">
        <v>0</v>
      </c>
      <c r="BD2276">
        <v>0.96</v>
      </c>
      <c r="BE2276">
        <v>0.45</v>
      </c>
      <c r="BF2276">
        <v>-1.62</v>
      </c>
      <c r="BG2276">
        <v>0.45</v>
      </c>
      <c r="BH2276">
        <v>-0.51</v>
      </c>
      <c r="BI2276">
        <v>20191026</v>
      </c>
      <c r="BJ2276">
        <v>19970704</v>
      </c>
      <c r="BK2276">
        <v>2.19</v>
      </c>
      <c r="BL2276" t="s">
        <v>116</v>
      </c>
      <c r="BM2276" t="s">
        <v>116</v>
      </c>
      <c r="BN2276">
        <v>6.58</v>
      </c>
      <c r="BO2276">
        <v>4.74</v>
      </c>
      <c r="BP2276">
        <v>0</v>
      </c>
      <c r="BQ2276">
        <v>27.99</v>
      </c>
      <c r="BR2276">
        <v>4.8499999999999996</v>
      </c>
      <c r="BS2276">
        <v>1.29</v>
      </c>
      <c r="BT2276">
        <v>0.21</v>
      </c>
      <c r="BU2276">
        <v>1.84</v>
      </c>
      <c r="BV2276">
        <v>1.5</v>
      </c>
      <c r="BW2276">
        <v>1.51</v>
      </c>
      <c r="BX2276">
        <v>2.0299999999999998</v>
      </c>
      <c r="BY2276">
        <v>4.37</v>
      </c>
      <c r="BZ2276">
        <v>3.96</v>
      </c>
      <c r="CA2276">
        <v>0.02</v>
      </c>
      <c r="CB2276">
        <v>0</v>
      </c>
      <c r="CC2276">
        <v>0.02</v>
      </c>
      <c r="CD2276">
        <v>0.01</v>
      </c>
      <c r="CE2276">
        <v>0.01</v>
      </c>
      <c r="CF2276">
        <v>0.01</v>
      </c>
      <c r="CG2276">
        <v>0.27</v>
      </c>
      <c r="CH2276">
        <v>-0.45</v>
      </c>
      <c r="CI2276">
        <v>-0.45</v>
      </c>
      <c r="CJ2276">
        <v>15631</v>
      </c>
      <c r="CK2276">
        <v>8116</v>
      </c>
      <c r="CL2276" t="s">
        <v>6462</v>
      </c>
      <c r="CM2276">
        <v>271.49</v>
      </c>
      <c r="CN2276">
        <v>18.38</v>
      </c>
      <c r="CO2276">
        <v>3.08</v>
      </c>
      <c r="CP2276">
        <v>-32.69</v>
      </c>
      <c r="CQ2276">
        <v>3.34</v>
      </c>
      <c r="CR2276">
        <v>0</v>
      </c>
      <c r="CS2276" t="s">
        <v>2001</v>
      </c>
      <c r="CT2276">
        <v>2.16</v>
      </c>
      <c r="CU2276">
        <v>0</v>
      </c>
      <c r="CV2276">
        <v>0.93</v>
      </c>
      <c r="CW2276">
        <v>0.12</v>
      </c>
      <c r="CX2276">
        <v>-0.2</v>
      </c>
      <c r="CY2276">
        <v>72.010000000000005</v>
      </c>
      <c r="CZ2276" t="s">
        <v>2569</v>
      </c>
      <c r="DA2276">
        <v>9.4700000000000006</v>
      </c>
      <c r="DB2276">
        <v>0.38</v>
      </c>
      <c r="DC2276">
        <v>0.18</v>
      </c>
      <c r="DD2276">
        <v>0.02</v>
      </c>
      <c r="DE2276">
        <v>579</v>
      </c>
      <c r="DF2276">
        <v>600099</v>
      </c>
      <c r="DG2276" t="s">
        <v>116</v>
      </c>
      <c r="DH2276" t="s">
        <v>116</v>
      </c>
      <c r="DI2276" t="s">
        <v>116</v>
      </c>
    </row>
    <row r="2277" spans="1:113" x14ac:dyDescent="0.4">
      <c r="A2277" t="str">
        <f>"600100"</f>
        <v>600100</v>
      </c>
      <c r="B2277" t="s">
        <v>10785</v>
      </c>
      <c r="C2277">
        <v>-1.1499999999999999</v>
      </c>
      <c r="D2277">
        <v>8.59</v>
      </c>
      <c r="E2277">
        <v>-0.1</v>
      </c>
      <c r="F2277">
        <v>8.59</v>
      </c>
      <c r="G2277">
        <v>8.6</v>
      </c>
      <c r="H2277">
        <v>409201</v>
      </c>
      <c r="I2277">
        <v>4714</v>
      </c>
      <c r="J2277">
        <v>-0.22</v>
      </c>
      <c r="K2277">
        <v>1.38</v>
      </c>
      <c r="L2277">
        <v>8.69</v>
      </c>
      <c r="M2277">
        <v>8.83</v>
      </c>
      <c r="N2277">
        <v>8.5399999999999991</v>
      </c>
      <c r="O2277">
        <v>8.69</v>
      </c>
      <c r="P2277">
        <v>27.15</v>
      </c>
      <c r="Q2277">
        <v>355706944</v>
      </c>
      <c r="R2277">
        <v>0.98</v>
      </c>
      <c r="S2277" t="s">
        <v>241</v>
      </c>
      <c r="T2277" t="s">
        <v>165</v>
      </c>
      <c r="U2277">
        <v>3.34</v>
      </c>
      <c r="V2277">
        <v>8.69</v>
      </c>
      <c r="W2277">
        <v>231684</v>
      </c>
      <c r="X2277">
        <v>177517</v>
      </c>
      <c r="Y2277">
        <v>1.31</v>
      </c>
      <c r="Z2277">
        <v>521</v>
      </c>
      <c r="AA2277">
        <v>773</v>
      </c>
      <c r="AB2277" t="s">
        <v>116</v>
      </c>
      <c r="AC2277">
        <v>999400</v>
      </c>
      <c r="AD2277">
        <v>0.01</v>
      </c>
      <c r="AE2277" t="s">
        <v>116</v>
      </c>
      <c r="AF2277" t="s">
        <v>116</v>
      </c>
      <c r="AG2277">
        <v>29.64</v>
      </c>
      <c r="AH2277" t="s">
        <v>10786</v>
      </c>
      <c r="AI2277" t="s">
        <v>10786</v>
      </c>
      <c r="AJ2277">
        <v>-1.07</v>
      </c>
      <c r="AK2277">
        <v>3673</v>
      </c>
      <c r="AL2277">
        <v>111</v>
      </c>
      <c r="AM2277">
        <v>4.0000000000000002E-4</v>
      </c>
      <c r="AN2277">
        <v>-1</v>
      </c>
      <c r="AO2277">
        <v>-0.35</v>
      </c>
      <c r="AP2277">
        <v>7.64</v>
      </c>
      <c r="AQ2277">
        <v>2.02</v>
      </c>
      <c r="AR2277">
        <v>-11.72</v>
      </c>
      <c r="AS2277">
        <v>1.92</v>
      </c>
      <c r="AT2277" t="s">
        <v>10787</v>
      </c>
      <c r="AU2277" t="s">
        <v>116</v>
      </c>
      <c r="AV2277" t="s">
        <v>116</v>
      </c>
      <c r="AW2277">
        <v>1.28</v>
      </c>
      <c r="BA2277">
        <v>0</v>
      </c>
      <c r="BB2277">
        <v>1.61</v>
      </c>
      <c r="BC2277">
        <v>-1.73</v>
      </c>
      <c r="BD2277">
        <v>0.03</v>
      </c>
      <c r="BE2277">
        <v>-1.1499999999999999</v>
      </c>
      <c r="BF2277">
        <v>-2.72</v>
      </c>
      <c r="BG2277">
        <v>0.59</v>
      </c>
      <c r="BH2277">
        <v>-1.18</v>
      </c>
      <c r="BI2277">
        <v>20191031</v>
      </c>
      <c r="BJ2277">
        <v>19970627</v>
      </c>
      <c r="BK2277">
        <v>29.64</v>
      </c>
      <c r="BL2277" t="s">
        <v>116</v>
      </c>
      <c r="BM2277" t="s">
        <v>116</v>
      </c>
      <c r="BN2277">
        <v>627.5</v>
      </c>
      <c r="BO2277">
        <v>165.89</v>
      </c>
      <c r="BP2277">
        <v>39.909999999999997</v>
      </c>
      <c r="BQ2277">
        <v>67.2</v>
      </c>
      <c r="BR2277">
        <v>332.35</v>
      </c>
      <c r="BS2277">
        <v>36.61</v>
      </c>
      <c r="BT2277">
        <v>12.23</v>
      </c>
      <c r="BU2277">
        <v>268.02999999999997</v>
      </c>
      <c r="BV2277">
        <v>108.76</v>
      </c>
      <c r="BW2277">
        <v>80.89</v>
      </c>
      <c r="BX2277">
        <v>92.4</v>
      </c>
      <c r="BY2277">
        <v>143.61000000000001</v>
      </c>
      <c r="BZ2277">
        <v>113.21</v>
      </c>
      <c r="CA2277">
        <v>9.89</v>
      </c>
      <c r="CB2277">
        <v>13.71</v>
      </c>
      <c r="CC2277">
        <v>9.92</v>
      </c>
      <c r="CD2277">
        <v>7.43</v>
      </c>
      <c r="CE2277">
        <v>7.03</v>
      </c>
      <c r="CF2277">
        <v>-8.33</v>
      </c>
      <c r="CG2277">
        <v>41.41</v>
      </c>
      <c r="CH2277">
        <v>-26.19</v>
      </c>
      <c r="CI2277">
        <v>-36.97</v>
      </c>
      <c r="CJ2277">
        <v>163158</v>
      </c>
      <c r="CK2277">
        <v>13061</v>
      </c>
      <c r="CL2277" t="s">
        <v>3583</v>
      </c>
      <c r="CM2277">
        <v>222.87</v>
      </c>
      <c r="CN2277">
        <v>-13.28</v>
      </c>
      <c r="CO2277">
        <v>1.53</v>
      </c>
      <c r="CP2277">
        <v>-9.7200000000000006</v>
      </c>
      <c r="CQ2277">
        <v>1.77</v>
      </c>
      <c r="CR2277">
        <v>0</v>
      </c>
      <c r="CS2277" t="s">
        <v>2045</v>
      </c>
      <c r="CT2277">
        <v>5.6</v>
      </c>
      <c r="CU2277">
        <v>0</v>
      </c>
      <c r="CV2277">
        <v>3.12</v>
      </c>
      <c r="CW2277">
        <v>1.4</v>
      </c>
      <c r="CX2277">
        <v>-0.88</v>
      </c>
      <c r="CY2277">
        <v>26.44</v>
      </c>
      <c r="CZ2277" t="s">
        <v>673</v>
      </c>
      <c r="DA2277">
        <v>21.17</v>
      </c>
      <c r="DB2277">
        <v>6.89</v>
      </c>
      <c r="DC2277">
        <v>4.9000000000000004</v>
      </c>
      <c r="DD2277">
        <v>5.89</v>
      </c>
      <c r="DE2277">
        <v>12796</v>
      </c>
      <c r="DF2277">
        <v>600100</v>
      </c>
      <c r="DG2277" t="s">
        <v>116</v>
      </c>
      <c r="DH2277" t="s">
        <v>116</v>
      </c>
      <c r="DI2277" t="s">
        <v>116</v>
      </c>
    </row>
    <row r="2278" spans="1:113" x14ac:dyDescent="0.4">
      <c r="A2278" t="str">
        <f>"600101"</f>
        <v>600101</v>
      </c>
      <c r="B2278" t="s">
        <v>10788</v>
      </c>
      <c r="C2278">
        <v>-3.46</v>
      </c>
      <c r="D2278">
        <v>6.97</v>
      </c>
      <c r="E2278">
        <v>-0.25</v>
      </c>
      <c r="F2278">
        <v>6.97</v>
      </c>
      <c r="G2278">
        <v>6.98</v>
      </c>
      <c r="H2278">
        <v>64933</v>
      </c>
      <c r="I2278">
        <v>2012</v>
      </c>
      <c r="J2278">
        <v>0.14000000000000001</v>
      </c>
      <c r="K2278">
        <v>1.54</v>
      </c>
      <c r="L2278">
        <v>7.18</v>
      </c>
      <c r="M2278">
        <v>7.2</v>
      </c>
      <c r="N2278">
        <v>6.9</v>
      </c>
      <c r="O2278">
        <v>7.22</v>
      </c>
      <c r="P2278">
        <v>23.47</v>
      </c>
      <c r="Q2278">
        <v>45959800</v>
      </c>
      <c r="R2278">
        <v>1.63</v>
      </c>
      <c r="S2278" t="s">
        <v>1363</v>
      </c>
      <c r="T2278" t="s">
        <v>582</v>
      </c>
      <c r="U2278">
        <v>4.16</v>
      </c>
      <c r="V2278">
        <v>7.08</v>
      </c>
      <c r="W2278">
        <v>41549</v>
      </c>
      <c r="X2278">
        <v>23385</v>
      </c>
      <c r="Y2278">
        <v>1.78</v>
      </c>
      <c r="Z2278">
        <v>164</v>
      </c>
      <c r="AA2278">
        <v>160</v>
      </c>
      <c r="AB2278" t="s">
        <v>116</v>
      </c>
      <c r="AC2278">
        <v>10100</v>
      </c>
      <c r="AD2278">
        <v>0</v>
      </c>
      <c r="AE2278" t="s">
        <v>116</v>
      </c>
      <c r="AF2278" t="s">
        <v>116</v>
      </c>
      <c r="AG2278">
        <v>4.21</v>
      </c>
      <c r="AH2278" t="s">
        <v>3391</v>
      </c>
      <c r="AI2278" t="s">
        <v>3391</v>
      </c>
      <c r="AJ2278">
        <v>-3.39</v>
      </c>
      <c r="AK2278">
        <v>1062</v>
      </c>
      <c r="AL2278">
        <v>61</v>
      </c>
      <c r="AM2278">
        <v>1.5E-3</v>
      </c>
      <c r="AN2278">
        <v>-1</v>
      </c>
      <c r="AO2278">
        <v>-2.79</v>
      </c>
      <c r="AP2278">
        <v>1.1599999999999999</v>
      </c>
      <c r="AQ2278">
        <v>8.57</v>
      </c>
      <c r="AR2278">
        <v>37.29</v>
      </c>
      <c r="AS2278">
        <v>2.42</v>
      </c>
      <c r="AT2278" t="s">
        <v>10789</v>
      </c>
      <c r="AU2278">
        <v>32.4</v>
      </c>
      <c r="AV2278">
        <v>28.86</v>
      </c>
      <c r="AW2278">
        <v>0.72</v>
      </c>
      <c r="BA2278">
        <v>-0.55000000000000004</v>
      </c>
      <c r="BB2278">
        <v>-0.28000000000000003</v>
      </c>
      <c r="BC2278">
        <v>-4.43</v>
      </c>
      <c r="BD2278">
        <v>-1.97</v>
      </c>
      <c r="BE2278">
        <v>-2.92</v>
      </c>
      <c r="BF2278">
        <v>-3.19</v>
      </c>
      <c r="BG2278">
        <v>1.01</v>
      </c>
      <c r="BH2278">
        <v>-1.5</v>
      </c>
      <c r="BI2278">
        <v>20191030</v>
      </c>
      <c r="BJ2278">
        <v>19970627</v>
      </c>
      <c r="BK2278">
        <v>4.21</v>
      </c>
      <c r="BL2278" t="s">
        <v>116</v>
      </c>
      <c r="BM2278" t="s">
        <v>116</v>
      </c>
      <c r="BN2278">
        <v>32.93</v>
      </c>
      <c r="BO2278">
        <v>23.19</v>
      </c>
      <c r="BP2278">
        <v>0.02</v>
      </c>
      <c r="BQ2278">
        <v>29.52</v>
      </c>
      <c r="BR2278">
        <v>8.89</v>
      </c>
      <c r="BS2278">
        <v>18.16</v>
      </c>
      <c r="BT2278">
        <v>1.72</v>
      </c>
      <c r="BU2278">
        <v>6.43</v>
      </c>
      <c r="BV2278">
        <v>0.66</v>
      </c>
      <c r="BW2278">
        <v>0.27</v>
      </c>
      <c r="BX2278">
        <v>4.62</v>
      </c>
      <c r="BY2278">
        <v>12.1</v>
      </c>
      <c r="BZ2278">
        <v>10.56</v>
      </c>
      <c r="CA2278">
        <v>1.08</v>
      </c>
      <c r="CB2278">
        <v>0.19</v>
      </c>
      <c r="CC2278">
        <v>1.07</v>
      </c>
      <c r="CD2278">
        <v>0.95</v>
      </c>
      <c r="CE2278">
        <v>0.94</v>
      </c>
      <c r="CF2278">
        <v>0.9</v>
      </c>
      <c r="CG2278">
        <v>12.83</v>
      </c>
      <c r="CH2278">
        <v>3.19</v>
      </c>
      <c r="CI2278">
        <v>2.46</v>
      </c>
      <c r="CJ2278">
        <v>31815</v>
      </c>
      <c r="CK2278">
        <v>8419</v>
      </c>
      <c r="CL2278" t="s">
        <v>1011</v>
      </c>
      <c r="CM2278">
        <v>-10.6</v>
      </c>
      <c r="CN2278">
        <v>-0.32</v>
      </c>
      <c r="CO2278">
        <v>1.27</v>
      </c>
      <c r="CP2278">
        <v>9.2100000000000009</v>
      </c>
      <c r="CQ2278">
        <v>2.4300000000000002</v>
      </c>
      <c r="CR2278">
        <v>0.55000000000000004</v>
      </c>
      <c r="CS2278" t="s">
        <v>6089</v>
      </c>
      <c r="CT2278">
        <v>5.5</v>
      </c>
      <c r="CU2278">
        <v>0</v>
      </c>
      <c r="CV2278">
        <v>1.1000000000000001</v>
      </c>
      <c r="CW2278">
        <v>3.04</v>
      </c>
      <c r="CX2278">
        <v>0.76</v>
      </c>
      <c r="CY2278">
        <v>70.42</v>
      </c>
      <c r="CZ2278" t="s">
        <v>5468</v>
      </c>
      <c r="DA2278">
        <v>12.71</v>
      </c>
      <c r="DB2278">
        <v>8.9600000000000009</v>
      </c>
      <c r="DC2278">
        <v>7.76</v>
      </c>
      <c r="DD2278">
        <v>0</v>
      </c>
      <c r="DE2278">
        <v>1823</v>
      </c>
      <c r="DF2278">
        <v>600101</v>
      </c>
      <c r="DG2278" t="s">
        <v>116</v>
      </c>
      <c r="DH2278" t="s">
        <v>116</v>
      </c>
      <c r="DI2278" t="s">
        <v>116</v>
      </c>
    </row>
    <row r="2279" spans="1:113" x14ac:dyDescent="0.4">
      <c r="A2279" t="str">
        <f>"600103"</f>
        <v>600103</v>
      </c>
      <c r="B2279" t="s">
        <v>10790</v>
      </c>
      <c r="C2279">
        <v>-0.48</v>
      </c>
      <c r="D2279">
        <v>2.06</v>
      </c>
      <c r="E2279">
        <v>-0.01</v>
      </c>
      <c r="F2279">
        <v>2.0499999999999998</v>
      </c>
      <c r="G2279">
        <v>2.06</v>
      </c>
      <c r="H2279">
        <v>79299</v>
      </c>
      <c r="I2279">
        <v>665</v>
      </c>
      <c r="J2279">
        <v>0.49</v>
      </c>
      <c r="K2279">
        <v>0.34</v>
      </c>
      <c r="L2279">
        <v>2.08</v>
      </c>
      <c r="M2279">
        <v>2.08</v>
      </c>
      <c r="N2279">
        <v>2.04</v>
      </c>
      <c r="O2279">
        <v>2.0699999999999998</v>
      </c>
      <c r="P2279">
        <v>31.38</v>
      </c>
      <c r="Q2279">
        <v>16358002</v>
      </c>
      <c r="R2279">
        <v>1.2</v>
      </c>
      <c r="S2279" t="s">
        <v>824</v>
      </c>
      <c r="T2279" t="s">
        <v>975</v>
      </c>
      <c r="U2279">
        <v>1.93</v>
      </c>
      <c r="V2279">
        <v>2.06</v>
      </c>
      <c r="W2279">
        <v>41326</v>
      </c>
      <c r="X2279">
        <v>37973</v>
      </c>
      <c r="Y2279">
        <v>1.0900000000000001</v>
      </c>
      <c r="Z2279">
        <v>10661</v>
      </c>
      <c r="AA2279">
        <v>3904</v>
      </c>
      <c r="AB2279" t="s">
        <v>116</v>
      </c>
      <c r="AC2279">
        <v>3100</v>
      </c>
      <c r="AD2279">
        <v>0</v>
      </c>
      <c r="AE2279" t="s">
        <v>116</v>
      </c>
      <c r="AF2279" t="s">
        <v>116</v>
      </c>
      <c r="AG2279">
        <v>23.06</v>
      </c>
      <c r="AH2279" t="s">
        <v>9388</v>
      </c>
      <c r="AI2279" t="s">
        <v>9388</v>
      </c>
      <c r="AJ2279">
        <v>-0.41</v>
      </c>
      <c r="AK2279">
        <v>593</v>
      </c>
      <c r="AL2279">
        <v>134</v>
      </c>
      <c r="AM2279">
        <v>5.9999999999999995E-4</v>
      </c>
      <c r="AN2279">
        <v>-2</v>
      </c>
      <c r="AO2279">
        <v>0.49</v>
      </c>
      <c r="AP2279">
        <v>3</v>
      </c>
      <c r="AQ2279">
        <v>-1.44</v>
      </c>
      <c r="AR2279">
        <v>4.6100000000000003</v>
      </c>
      <c r="AS2279">
        <v>0.69</v>
      </c>
      <c r="AT2279" t="s">
        <v>3876</v>
      </c>
      <c r="AU2279">
        <v>49.44</v>
      </c>
      <c r="AV2279">
        <v>30.69</v>
      </c>
      <c r="AW2279">
        <v>0.86</v>
      </c>
      <c r="BA2279">
        <v>0.48</v>
      </c>
      <c r="BB2279">
        <v>0.48</v>
      </c>
      <c r="BC2279">
        <v>-1.45</v>
      </c>
      <c r="BD2279">
        <v>-0.35</v>
      </c>
      <c r="BE2279">
        <v>-0.96</v>
      </c>
      <c r="BF2279">
        <v>-0.96</v>
      </c>
      <c r="BG2279">
        <v>0.98</v>
      </c>
      <c r="BH2279">
        <v>-0.14000000000000001</v>
      </c>
      <c r="BI2279">
        <v>20191029</v>
      </c>
      <c r="BJ2279">
        <v>19970703</v>
      </c>
      <c r="BK2279">
        <v>23.06</v>
      </c>
      <c r="BL2279" t="s">
        <v>116</v>
      </c>
      <c r="BM2279" t="s">
        <v>116</v>
      </c>
      <c r="BN2279">
        <v>54.16</v>
      </c>
      <c r="BO2279">
        <v>35.67</v>
      </c>
      <c r="BP2279">
        <v>2.63</v>
      </c>
      <c r="BQ2279">
        <v>29.28</v>
      </c>
      <c r="BR2279">
        <v>32.979999999999997</v>
      </c>
      <c r="BS2279">
        <v>14.2</v>
      </c>
      <c r="BT2279">
        <v>4.4000000000000004</v>
      </c>
      <c r="BU2279">
        <v>13.43</v>
      </c>
      <c r="BV2279">
        <v>7.21</v>
      </c>
      <c r="BW2279">
        <v>2.73</v>
      </c>
      <c r="BX2279">
        <v>8.15</v>
      </c>
      <c r="BY2279">
        <v>19.46</v>
      </c>
      <c r="BZ2279">
        <v>15.65</v>
      </c>
      <c r="CA2279">
        <v>1.33</v>
      </c>
      <c r="CB2279">
        <v>0.4</v>
      </c>
      <c r="CC2279">
        <v>1.4</v>
      </c>
      <c r="CD2279">
        <v>1.26</v>
      </c>
      <c r="CE2279">
        <v>1.1399999999999999</v>
      </c>
      <c r="CF2279">
        <v>0.64</v>
      </c>
      <c r="CG2279">
        <v>2.42</v>
      </c>
      <c r="CH2279">
        <v>-0.16</v>
      </c>
      <c r="CI2279">
        <v>-5.0599999999999996</v>
      </c>
      <c r="CJ2279">
        <v>107318</v>
      </c>
      <c r="CK2279">
        <v>10756</v>
      </c>
      <c r="CL2279" t="s">
        <v>10470</v>
      </c>
      <c r="CM2279">
        <v>-34.090000000000003</v>
      </c>
      <c r="CN2279">
        <v>-13.89</v>
      </c>
      <c r="CO2279">
        <v>1.33</v>
      </c>
      <c r="CP2279">
        <v>-291.14</v>
      </c>
      <c r="CQ2279">
        <v>2.44</v>
      </c>
      <c r="CR2279">
        <v>0</v>
      </c>
      <c r="CS2279" t="s">
        <v>5719</v>
      </c>
      <c r="CT2279">
        <v>1.55</v>
      </c>
      <c r="CU2279">
        <v>0</v>
      </c>
      <c r="CV2279">
        <v>0.35</v>
      </c>
      <c r="CW2279">
        <v>0.1</v>
      </c>
      <c r="CX2279">
        <v>-0.01</v>
      </c>
      <c r="CY2279">
        <v>65.87</v>
      </c>
      <c r="CZ2279" t="s">
        <v>10791</v>
      </c>
      <c r="DA2279">
        <v>19.57</v>
      </c>
      <c r="DB2279">
        <v>6.85</v>
      </c>
      <c r="DC2279">
        <v>5.84</v>
      </c>
      <c r="DD2279">
        <v>0.43</v>
      </c>
      <c r="DE2279">
        <v>3522</v>
      </c>
      <c r="DF2279">
        <v>600103</v>
      </c>
      <c r="DG2279" t="s">
        <v>116</v>
      </c>
      <c r="DH2279" t="s">
        <v>116</v>
      </c>
      <c r="DI2279" t="s">
        <v>116</v>
      </c>
    </row>
    <row r="2280" spans="1:113" x14ac:dyDescent="0.4">
      <c r="A2280" t="str">
        <f>"600104"</f>
        <v>600104</v>
      </c>
      <c r="B2280" t="s">
        <v>10792</v>
      </c>
      <c r="C2280">
        <v>0.93</v>
      </c>
      <c r="D2280">
        <v>23.88</v>
      </c>
      <c r="E2280">
        <v>0.22</v>
      </c>
      <c r="F2280">
        <v>23.87</v>
      </c>
      <c r="G2280">
        <v>23.88</v>
      </c>
      <c r="H2280">
        <v>179709</v>
      </c>
      <c r="I2280">
        <v>1099</v>
      </c>
      <c r="J2280">
        <v>0.04</v>
      </c>
      <c r="K2280">
        <v>0.16</v>
      </c>
      <c r="L2280">
        <v>23.56</v>
      </c>
      <c r="M2280">
        <v>24.09</v>
      </c>
      <c r="N2280">
        <v>23.56</v>
      </c>
      <c r="O2280">
        <v>23.66</v>
      </c>
      <c r="P2280">
        <v>10.06</v>
      </c>
      <c r="Q2280">
        <v>429882656</v>
      </c>
      <c r="R2280">
        <v>1.1299999999999999</v>
      </c>
      <c r="S2280" t="s">
        <v>1108</v>
      </c>
      <c r="T2280" t="s">
        <v>1653</v>
      </c>
      <c r="U2280">
        <v>2.2400000000000002</v>
      </c>
      <c r="V2280">
        <v>23.92</v>
      </c>
      <c r="W2280">
        <v>69283</v>
      </c>
      <c r="X2280">
        <v>110426</v>
      </c>
      <c r="Y2280">
        <v>0.63</v>
      </c>
      <c r="Z2280">
        <v>7</v>
      </c>
      <c r="AA2280">
        <v>41</v>
      </c>
      <c r="AB2280" t="s">
        <v>116</v>
      </c>
      <c r="AC2280">
        <v>2118000</v>
      </c>
      <c r="AD2280">
        <v>0</v>
      </c>
      <c r="AE2280" t="s">
        <v>116</v>
      </c>
      <c r="AF2280" t="s">
        <v>116</v>
      </c>
      <c r="AG2280">
        <v>115.03</v>
      </c>
      <c r="AH2280" t="s">
        <v>10793</v>
      </c>
      <c r="AI2280" t="s">
        <v>10794</v>
      </c>
      <c r="AJ2280">
        <v>1.01</v>
      </c>
      <c r="AK2280">
        <v>3869</v>
      </c>
      <c r="AL2280">
        <v>46</v>
      </c>
      <c r="AM2280">
        <v>0</v>
      </c>
      <c r="AN2280">
        <v>2</v>
      </c>
      <c r="AO2280">
        <v>1.1000000000000001</v>
      </c>
      <c r="AP2280">
        <v>2.71</v>
      </c>
      <c r="AQ2280">
        <v>0.76</v>
      </c>
      <c r="AR2280">
        <v>-6.02</v>
      </c>
      <c r="AS2280">
        <v>0.54</v>
      </c>
      <c r="AT2280" t="s">
        <v>10795</v>
      </c>
      <c r="AU2280">
        <v>9.58</v>
      </c>
      <c r="AV2280">
        <v>7.75</v>
      </c>
      <c r="AW2280">
        <v>0.7</v>
      </c>
      <c r="BA2280">
        <v>-0.42</v>
      </c>
      <c r="BB2280">
        <v>1.82</v>
      </c>
      <c r="BC2280">
        <v>-0.42</v>
      </c>
      <c r="BD2280">
        <v>1.1000000000000001</v>
      </c>
      <c r="BE2280">
        <v>1.36</v>
      </c>
      <c r="BF2280">
        <v>-0.87</v>
      </c>
      <c r="BG2280">
        <v>1.36</v>
      </c>
      <c r="BH2280">
        <v>-0.17</v>
      </c>
      <c r="BI2280">
        <v>20191031</v>
      </c>
      <c r="BJ2280">
        <v>19971125</v>
      </c>
      <c r="BK2280">
        <v>116.83</v>
      </c>
      <c r="BL2280" t="s">
        <v>116</v>
      </c>
      <c r="BM2280" t="s">
        <v>116</v>
      </c>
      <c r="BN2280">
        <v>8030.69</v>
      </c>
      <c r="BO2280">
        <v>2446.0500000000002</v>
      </c>
      <c r="BP2280">
        <v>493.63</v>
      </c>
      <c r="BQ2280">
        <v>63.39</v>
      </c>
      <c r="BR2280">
        <v>4775.62</v>
      </c>
      <c r="BS2280">
        <v>801.82</v>
      </c>
      <c r="BT2280">
        <v>143.91999999999999</v>
      </c>
      <c r="BU2280">
        <v>4103.53</v>
      </c>
      <c r="BV2280">
        <v>593.13</v>
      </c>
      <c r="BW2280">
        <v>467.73</v>
      </c>
      <c r="BX2280">
        <v>553.23</v>
      </c>
      <c r="BY2280">
        <v>5728.19</v>
      </c>
      <c r="BZ2280">
        <v>5012.95</v>
      </c>
      <c r="CA2280">
        <v>313.05</v>
      </c>
      <c r="CB2280">
        <v>205.03</v>
      </c>
      <c r="CC2280">
        <v>321.27999999999997</v>
      </c>
      <c r="CD2280">
        <v>278.45</v>
      </c>
      <c r="CE2280">
        <v>207.93</v>
      </c>
      <c r="CF2280">
        <v>188.15</v>
      </c>
      <c r="CG2280">
        <v>1212.1199999999999</v>
      </c>
      <c r="CH2280">
        <v>254.89</v>
      </c>
      <c r="CI2280">
        <v>-13.3</v>
      </c>
      <c r="CJ2280">
        <v>145133</v>
      </c>
      <c r="CK2280">
        <v>22820</v>
      </c>
      <c r="CL2280" t="s">
        <v>10796</v>
      </c>
      <c r="CM2280">
        <v>-24.86</v>
      </c>
      <c r="CN2280">
        <v>-13.62</v>
      </c>
      <c r="CO2280">
        <v>1.1399999999999999</v>
      </c>
      <c r="CP2280">
        <v>10.95</v>
      </c>
      <c r="CQ2280">
        <v>0.49</v>
      </c>
      <c r="CR2280">
        <v>5.28</v>
      </c>
      <c r="CS2280" t="s">
        <v>10797</v>
      </c>
      <c r="CT2280">
        <v>20.94</v>
      </c>
      <c r="CU2280">
        <v>0</v>
      </c>
      <c r="CV2280">
        <v>4.74</v>
      </c>
      <c r="CW2280">
        <v>10.37</v>
      </c>
      <c r="CX2280">
        <v>2.1800000000000002</v>
      </c>
      <c r="CY2280">
        <v>30.46</v>
      </c>
      <c r="CZ2280" t="s">
        <v>6780</v>
      </c>
      <c r="DA2280">
        <v>12.49</v>
      </c>
      <c r="DB2280">
        <v>5.47</v>
      </c>
      <c r="DC2280">
        <v>3.63</v>
      </c>
      <c r="DD2280">
        <v>89.72</v>
      </c>
      <c r="DE2280">
        <v>217511</v>
      </c>
      <c r="DF2280">
        <v>600104</v>
      </c>
      <c r="DG2280" t="s">
        <v>116</v>
      </c>
      <c r="DH2280" t="s">
        <v>116</v>
      </c>
      <c r="DI2280" t="s">
        <v>116</v>
      </c>
    </row>
    <row r="2281" spans="1:113" x14ac:dyDescent="0.4">
      <c r="A2281" t="str">
        <f>"600105"</f>
        <v>600105</v>
      </c>
      <c r="B2281" t="s">
        <v>10798</v>
      </c>
      <c r="C2281">
        <v>0.44</v>
      </c>
      <c r="D2281">
        <v>4.5999999999999996</v>
      </c>
      <c r="E2281">
        <v>0.02</v>
      </c>
      <c r="F2281">
        <v>4.5999999999999996</v>
      </c>
      <c r="G2281">
        <v>4.6100000000000003</v>
      </c>
      <c r="H2281">
        <v>340368</v>
      </c>
      <c r="I2281">
        <v>3336</v>
      </c>
      <c r="J2281">
        <v>0</v>
      </c>
      <c r="K2281">
        <v>2.75</v>
      </c>
      <c r="L2281">
        <v>4.59</v>
      </c>
      <c r="M2281">
        <v>4.78</v>
      </c>
      <c r="N2281">
        <v>4.59</v>
      </c>
      <c r="O2281">
        <v>4.58</v>
      </c>
      <c r="P2281">
        <v>251.42</v>
      </c>
      <c r="Q2281">
        <v>158684192</v>
      </c>
      <c r="R2281">
        <v>1.1299999999999999</v>
      </c>
      <c r="S2281" t="s">
        <v>465</v>
      </c>
      <c r="T2281" t="s">
        <v>323</v>
      </c>
      <c r="U2281">
        <v>4.1500000000000004</v>
      </c>
      <c r="V2281">
        <v>4.66</v>
      </c>
      <c r="W2281">
        <v>189645</v>
      </c>
      <c r="X2281">
        <v>150723</v>
      </c>
      <c r="Y2281">
        <v>1.26</v>
      </c>
      <c r="Z2281">
        <v>1305</v>
      </c>
      <c r="AA2281">
        <v>1466</v>
      </c>
      <c r="AB2281" t="s">
        <v>116</v>
      </c>
      <c r="AC2281">
        <v>363100</v>
      </c>
      <c r="AD2281">
        <v>0.01</v>
      </c>
      <c r="AE2281" t="s">
        <v>116</v>
      </c>
      <c r="AF2281" t="s">
        <v>116</v>
      </c>
      <c r="AG2281">
        <v>12.38</v>
      </c>
      <c r="AH2281" t="s">
        <v>6960</v>
      </c>
      <c r="AI2281" t="s">
        <v>10799</v>
      </c>
      <c r="AJ2281">
        <v>0.51</v>
      </c>
      <c r="AK2281">
        <v>2790</v>
      </c>
      <c r="AL2281">
        <v>122</v>
      </c>
      <c r="AM2281">
        <v>1E-3</v>
      </c>
      <c r="AN2281">
        <v>2</v>
      </c>
      <c r="AO2281">
        <v>0.44</v>
      </c>
      <c r="AP2281">
        <v>6.24</v>
      </c>
      <c r="AQ2281">
        <v>12.2</v>
      </c>
      <c r="AR2281">
        <v>23.99</v>
      </c>
      <c r="AS2281">
        <v>4.88</v>
      </c>
      <c r="AT2281" t="s">
        <v>10800</v>
      </c>
      <c r="AU2281">
        <v>53.84</v>
      </c>
      <c r="AV2281">
        <v>29.6</v>
      </c>
      <c r="AW2281">
        <v>1.59</v>
      </c>
      <c r="BA2281">
        <v>0.22</v>
      </c>
      <c r="BB2281">
        <v>4.37</v>
      </c>
      <c r="BC2281">
        <v>0.22</v>
      </c>
      <c r="BD2281">
        <v>1.79</v>
      </c>
      <c r="BE2281">
        <v>0.22</v>
      </c>
      <c r="BF2281">
        <v>-3.77</v>
      </c>
      <c r="BG2281">
        <v>0.22</v>
      </c>
      <c r="BH2281">
        <v>-1.36</v>
      </c>
      <c r="BI2281">
        <v>20191030</v>
      </c>
      <c r="BJ2281">
        <v>19970929</v>
      </c>
      <c r="BK2281">
        <v>12.45</v>
      </c>
      <c r="BL2281" t="s">
        <v>116</v>
      </c>
      <c r="BM2281" t="s">
        <v>116</v>
      </c>
      <c r="BN2281">
        <v>63.8</v>
      </c>
      <c r="BO2281">
        <v>27.73</v>
      </c>
      <c r="BP2281">
        <v>4</v>
      </c>
      <c r="BQ2281">
        <v>50.27</v>
      </c>
      <c r="BR2281">
        <v>34.369999999999997</v>
      </c>
      <c r="BS2281">
        <v>6.76</v>
      </c>
      <c r="BT2281">
        <v>1.1299999999999999</v>
      </c>
      <c r="BU2281">
        <v>22.56</v>
      </c>
      <c r="BV2281">
        <v>7.91</v>
      </c>
      <c r="BW2281">
        <v>10.1</v>
      </c>
      <c r="BX2281">
        <v>7.49</v>
      </c>
      <c r="BY2281">
        <v>26.16</v>
      </c>
      <c r="BZ2281">
        <v>24.29</v>
      </c>
      <c r="CA2281">
        <v>0.33</v>
      </c>
      <c r="CB2281">
        <v>1.43</v>
      </c>
      <c r="CC2281">
        <v>0.37</v>
      </c>
      <c r="CD2281">
        <v>0.44</v>
      </c>
      <c r="CE2281">
        <v>0.17</v>
      </c>
      <c r="CF2281">
        <v>-0.08</v>
      </c>
      <c r="CG2281">
        <v>5.09</v>
      </c>
      <c r="CH2281">
        <v>3.18</v>
      </c>
      <c r="CI2281">
        <v>2.0099999999999998</v>
      </c>
      <c r="CJ2281">
        <v>65208</v>
      </c>
      <c r="CK2281">
        <v>10697</v>
      </c>
      <c r="CL2281" t="s">
        <v>6947</v>
      </c>
      <c r="CM2281">
        <v>-83.6</v>
      </c>
      <c r="CN2281">
        <v>16.3</v>
      </c>
      <c r="CO2281">
        <v>2.0699999999999998</v>
      </c>
      <c r="CP2281">
        <v>18.03</v>
      </c>
      <c r="CQ2281">
        <v>2.19</v>
      </c>
      <c r="CR2281">
        <v>3.26</v>
      </c>
      <c r="CS2281" t="s">
        <v>342</v>
      </c>
      <c r="CT2281">
        <v>2.23</v>
      </c>
      <c r="CU2281">
        <v>0</v>
      </c>
      <c r="CV2281">
        <v>0.6</v>
      </c>
      <c r="CW2281">
        <v>0.41</v>
      </c>
      <c r="CX2281">
        <v>0.26</v>
      </c>
      <c r="CY2281">
        <v>43.47</v>
      </c>
      <c r="CZ2281" t="s">
        <v>1818</v>
      </c>
      <c r="DA2281">
        <v>7.17</v>
      </c>
      <c r="DB2281">
        <v>1.25</v>
      </c>
      <c r="DC2281">
        <v>0.65</v>
      </c>
      <c r="DD2281">
        <v>1.1599999999999999</v>
      </c>
      <c r="DE2281">
        <v>4273</v>
      </c>
      <c r="DF2281">
        <v>600105</v>
      </c>
      <c r="DG2281" t="s">
        <v>116</v>
      </c>
      <c r="DH2281" t="s">
        <v>116</v>
      </c>
      <c r="DI2281" t="s">
        <v>116</v>
      </c>
    </row>
    <row r="2282" spans="1:113" x14ac:dyDescent="0.4">
      <c r="A2282" t="str">
        <f>"600106"</f>
        <v>600106</v>
      </c>
      <c r="B2282" t="s">
        <v>10801</v>
      </c>
      <c r="C2282">
        <v>-0.66</v>
      </c>
      <c r="D2282">
        <v>2.99</v>
      </c>
      <c r="E2282">
        <v>-0.02</v>
      </c>
      <c r="F2282">
        <v>2.99</v>
      </c>
      <c r="G2282">
        <v>3</v>
      </c>
      <c r="H2282">
        <v>76581</v>
      </c>
      <c r="I2282">
        <v>213</v>
      </c>
      <c r="J2282">
        <v>-0.32</v>
      </c>
      <c r="K2282">
        <v>0.63</v>
      </c>
      <c r="L2282">
        <v>3.01</v>
      </c>
      <c r="M2282">
        <v>3.03</v>
      </c>
      <c r="N2282">
        <v>2.99</v>
      </c>
      <c r="O2282">
        <v>3.01</v>
      </c>
      <c r="P2282">
        <v>11.76</v>
      </c>
      <c r="Q2282">
        <v>23008476</v>
      </c>
      <c r="R2282">
        <v>1.64</v>
      </c>
      <c r="S2282" t="s">
        <v>809</v>
      </c>
      <c r="T2282" t="s">
        <v>906</v>
      </c>
      <c r="U2282">
        <v>1.33</v>
      </c>
      <c r="V2282">
        <v>3</v>
      </c>
      <c r="W2282">
        <v>53025</v>
      </c>
      <c r="X2282">
        <v>23556</v>
      </c>
      <c r="Y2282">
        <v>2.25</v>
      </c>
      <c r="Z2282">
        <v>793</v>
      </c>
      <c r="AA2282">
        <v>951</v>
      </c>
      <c r="AB2282" t="s">
        <v>116</v>
      </c>
      <c r="AC2282">
        <v>63800</v>
      </c>
      <c r="AD2282">
        <v>0</v>
      </c>
      <c r="AE2282" t="s">
        <v>116</v>
      </c>
      <c r="AF2282" t="s">
        <v>116</v>
      </c>
      <c r="AG2282">
        <v>12.08</v>
      </c>
      <c r="AH2282" t="s">
        <v>10802</v>
      </c>
      <c r="AI2282" t="s">
        <v>10802</v>
      </c>
      <c r="AJ2282">
        <v>-0.59</v>
      </c>
      <c r="AK2282">
        <v>500</v>
      </c>
      <c r="AL2282">
        <v>153</v>
      </c>
      <c r="AM2282">
        <v>1.2999999999999999E-3</v>
      </c>
      <c r="AN2282">
        <v>-1</v>
      </c>
      <c r="AO2282">
        <v>-0.66</v>
      </c>
      <c r="AP2282">
        <v>2.4</v>
      </c>
      <c r="AQ2282">
        <v>0.67</v>
      </c>
      <c r="AR2282">
        <v>11</v>
      </c>
      <c r="AS2282">
        <v>0.9</v>
      </c>
      <c r="AT2282" t="s">
        <v>414</v>
      </c>
      <c r="AU2282">
        <v>15.05</v>
      </c>
      <c r="AV2282">
        <v>16.059999999999999</v>
      </c>
      <c r="AW2282">
        <v>0.75</v>
      </c>
      <c r="BA2282">
        <v>0</v>
      </c>
      <c r="BB2282">
        <v>0.66</v>
      </c>
      <c r="BC2282">
        <v>-0.66</v>
      </c>
      <c r="BD2282">
        <v>-0.18</v>
      </c>
      <c r="BE2282">
        <v>-0.66</v>
      </c>
      <c r="BF2282">
        <v>-1.32</v>
      </c>
      <c r="BG2282">
        <v>0</v>
      </c>
      <c r="BH2282">
        <v>-0.48</v>
      </c>
      <c r="BI2282">
        <v>20191029</v>
      </c>
      <c r="BJ2282">
        <v>19970618</v>
      </c>
      <c r="BK2282">
        <v>12.08</v>
      </c>
      <c r="BL2282" t="s">
        <v>116</v>
      </c>
      <c r="BM2282" t="s">
        <v>116</v>
      </c>
      <c r="BN2282">
        <v>64.22</v>
      </c>
      <c r="BO2282">
        <v>36.909999999999997</v>
      </c>
      <c r="BP2282">
        <v>0</v>
      </c>
      <c r="BQ2282">
        <v>42.52</v>
      </c>
      <c r="BR2282">
        <v>17.309999999999999</v>
      </c>
      <c r="BS2282">
        <v>2.84</v>
      </c>
      <c r="BT2282">
        <v>0</v>
      </c>
      <c r="BU2282">
        <v>10.91</v>
      </c>
      <c r="BV2282">
        <v>3.52</v>
      </c>
      <c r="BW2282">
        <v>0.34</v>
      </c>
      <c r="BX2282">
        <v>0.54</v>
      </c>
      <c r="BY2282">
        <v>1.78</v>
      </c>
      <c r="BZ2282">
        <v>0.2</v>
      </c>
      <c r="CA2282">
        <v>2.4900000000000002</v>
      </c>
      <c r="CB2282">
        <v>1.69</v>
      </c>
      <c r="CC2282">
        <v>2.4900000000000002</v>
      </c>
      <c r="CD2282">
        <v>2.2999999999999998</v>
      </c>
      <c r="CE2282">
        <v>2.2999999999999998</v>
      </c>
      <c r="CF2282">
        <v>1.71</v>
      </c>
      <c r="CG2282">
        <v>16.350000000000001</v>
      </c>
      <c r="CH2282">
        <v>2.92</v>
      </c>
      <c r="CI2282">
        <v>4.96</v>
      </c>
      <c r="CJ2282">
        <v>62417</v>
      </c>
      <c r="CK2282">
        <v>13559</v>
      </c>
      <c r="CL2282" t="s">
        <v>1513</v>
      </c>
      <c r="CM2282">
        <v>7</v>
      </c>
      <c r="CN2282">
        <v>-1.53</v>
      </c>
      <c r="CO2282">
        <v>0.98</v>
      </c>
      <c r="CP2282">
        <v>12.36</v>
      </c>
      <c r="CQ2282">
        <v>20.3</v>
      </c>
      <c r="CR2282">
        <v>2.04</v>
      </c>
      <c r="CS2282" t="s">
        <v>556</v>
      </c>
      <c r="CT2282">
        <v>3.06</v>
      </c>
      <c r="CU2282">
        <v>0</v>
      </c>
      <c r="CV2282">
        <v>0.04</v>
      </c>
      <c r="CW2282">
        <v>1.35</v>
      </c>
      <c r="CX2282">
        <v>0.24</v>
      </c>
      <c r="CY2282">
        <v>57.48</v>
      </c>
      <c r="CZ2282" t="s">
        <v>3806</v>
      </c>
      <c r="DA2282">
        <v>88.69</v>
      </c>
      <c r="DB2282">
        <v>140.06</v>
      </c>
      <c r="DC2282">
        <v>129.51</v>
      </c>
      <c r="DD2282">
        <v>0</v>
      </c>
      <c r="DE2282">
        <v>163</v>
      </c>
      <c r="DF2282">
        <v>600106</v>
      </c>
      <c r="DG2282" t="s">
        <v>116</v>
      </c>
      <c r="DH2282" t="s">
        <v>116</v>
      </c>
      <c r="DI2282" t="s">
        <v>116</v>
      </c>
    </row>
    <row r="2283" spans="1:113" x14ac:dyDescent="0.4">
      <c r="A2283" t="str">
        <f>"600107"</f>
        <v>600107</v>
      </c>
      <c r="B2283" t="s">
        <v>10803</v>
      </c>
      <c r="C2283">
        <v>-0.43</v>
      </c>
      <c r="D2283">
        <v>6.97</v>
      </c>
      <c r="E2283">
        <v>-0.03</v>
      </c>
      <c r="F2283">
        <v>6.96</v>
      </c>
      <c r="G2283">
        <v>6.97</v>
      </c>
      <c r="H2283">
        <v>86414</v>
      </c>
      <c r="I2283">
        <v>3031</v>
      </c>
      <c r="J2283">
        <v>0.43</v>
      </c>
      <c r="K2283">
        <v>2.4</v>
      </c>
      <c r="L2283">
        <v>7.01</v>
      </c>
      <c r="M2283">
        <v>7.2</v>
      </c>
      <c r="N2283">
        <v>6.92</v>
      </c>
      <c r="O2283">
        <v>7</v>
      </c>
      <c r="P2283">
        <v>45.46</v>
      </c>
      <c r="Q2283">
        <v>60879552</v>
      </c>
      <c r="R2283">
        <v>1.28</v>
      </c>
      <c r="S2283" t="s">
        <v>3070</v>
      </c>
      <c r="T2283" t="s">
        <v>774</v>
      </c>
      <c r="U2283">
        <v>4</v>
      </c>
      <c r="V2283">
        <v>7.05</v>
      </c>
      <c r="W2283">
        <v>44090</v>
      </c>
      <c r="X2283">
        <v>42324</v>
      </c>
      <c r="Y2283">
        <v>1.04</v>
      </c>
      <c r="Z2283">
        <v>5</v>
      </c>
      <c r="AA2283">
        <v>133</v>
      </c>
      <c r="AB2283" t="s">
        <v>116</v>
      </c>
      <c r="AC2283">
        <v>110800</v>
      </c>
      <c r="AD2283">
        <v>0.01</v>
      </c>
      <c r="AE2283" t="s">
        <v>116</v>
      </c>
      <c r="AF2283" t="s">
        <v>116</v>
      </c>
      <c r="AG2283">
        <v>3.6</v>
      </c>
      <c r="AH2283" t="s">
        <v>219</v>
      </c>
      <c r="AI2283" t="s">
        <v>219</v>
      </c>
      <c r="AJ2283">
        <v>-0.35</v>
      </c>
      <c r="AK2283">
        <v>1506</v>
      </c>
      <c r="AL2283">
        <v>57</v>
      </c>
      <c r="AM2283">
        <v>1.6000000000000001E-3</v>
      </c>
      <c r="AN2283">
        <v>-3</v>
      </c>
      <c r="AO2283">
        <v>-1.69</v>
      </c>
      <c r="AP2283">
        <v>8.06</v>
      </c>
      <c r="AQ2283">
        <v>-6.82</v>
      </c>
      <c r="AR2283">
        <v>22.93</v>
      </c>
      <c r="AS2283">
        <v>3.02</v>
      </c>
      <c r="AT2283" t="s">
        <v>10804</v>
      </c>
      <c r="AU2283">
        <v>46.59</v>
      </c>
      <c r="AV2283">
        <v>291.60000000000002</v>
      </c>
      <c r="AW2283">
        <v>1.99</v>
      </c>
      <c r="BA2283">
        <v>0.14000000000000001</v>
      </c>
      <c r="BB2283">
        <v>2.86</v>
      </c>
      <c r="BC2283">
        <v>-1.1399999999999999</v>
      </c>
      <c r="BD2283">
        <v>0.64</v>
      </c>
      <c r="BE2283">
        <v>-0.56999999999999995</v>
      </c>
      <c r="BF2283">
        <v>-3.19</v>
      </c>
      <c r="BG2283">
        <v>0.72</v>
      </c>
      <c r="BH2283">
        <v>-1.07</v>
      </c>
      <c r="BI2283">
        <v>20191031</v>
      </c>
      <c r="BJ2283">
        <v>19971106</v>
      </c>
      <c r="BK2283">
        <v>3.6</v>
      </c>
      <c r="BL2283" t="s">
        <v>116</v>
      </c>
      <c r="BM2283" t="s">
        <v>116</v>
      </c>
      <c r="BN2283">
        <v>10.63</v>
      </c>
      <c r="BO2283">
        <v>6.09</v>
      </c>
      <c r="BP2283">
        <v>0.37</v>
      </c>
      <c r="BQ2283">
        <v>39.21</v>
      </c>
      <c r="BR2283">
        <v>6.21</v>
      </c>
      <c r="BS2283">
        <v>1.49</v>
      </c>
      <c r="BT2283">
        <v>0.31</v>
      </c>
      <c r="BU2283">
        <v>3.76</v>
      </c>
      <c r="BV2283">
        <v>2.48</v>
      </c>
      <c r="BW2283">
        <v>0.61</v>
      </c>
      <c r="BX2283">
        <v>1.79</v>
      </c>
      <c r="BY2283">
        <v>3.18</v>
      </c>
      <c r="BZ2283">
        <v>2.04</v>
      </c>
      <c r="CA2283">
        <v>0.45</v>
      </c>
      <c r="CB2283">
        <v>0.54</v>
      </c>
      <c r="CC2283">
        <v>0.45</v>
      </c>
      <c r="CD2283">
        <v>0.41</v>
      </c>
      <c r="CE2283">
        <v>0.41</v>
      </c>
      <c r="CF2283">
        <v>-0.08</v>
      </c>
      <c r="CG2283">
        <v>0.45</v>
      </c>
      <c r="CH2283">
        <v>-0.03</v>
      </c>
      <c r="CI2283">
        <v>-1.21</v>
      </c>
      <c r="CJ2283">
        <v>29525</v>
      </c>
      <c r="CK2283">
        <v>9707</v>
      </c>
      <c r="CL2283" t="s">
        <v>6247</v>
      </c>
      <c r="CM2283">
        <v>1172.79</v>
      </c>
      <c r="CN2283">
        <v>2.86</v>
      </c>
      <c r="CO2283">
        <v>4.12</v>
      </c>
      <c r="CP2283">
        <v>-722.11</v>
      </c>
      <c r="CQ2283">
        <v>7.88</v>
      </c>
      <c r="CR2283">
        <v>0</v>
      </c>
      <c r="CS2283" t="s">
        <v>6030</v>
      </c>
      <c r="CT2283">
        <v>1.69</v>
      </c>
      <c r="CU2283">
        <v>0</v>
      </c>
      <c r="CV2283">
        <v>0.5</v>
      </c>
      <c r="CW2283">
        <v>0.13</v>
      </c>
      <c r="CX2283">
        <v>-0.01</v>
      </c>
      <c r="CY2283">
        <v>57.3</v>
      </c>
      <c r="CZ2283" t="s">
        <v>1659</v>
      </c>
      <c r="DA2283">
        <v>36.01</v>
      </c>
      <c r="DB2283">
        <v>14.14</v>
      </c>
      <c r="DC2283">
        <v>13</v>
      </c>
      <c r="DD2283">
        <v>0</v>
      </c>
      <c r="DE2283">
        <v>3096</v>
      </c>
      <c r="DF2283">
        <v>600107</v>
      </c>
      <c r="DG2283" t="s">
        <v>116</v>
      </c>
      <c r="DH2283" t="s">
        <v>116</v>
      </c>
      <c r="DI2283" t="s">
        <v>116</v>
      </c>
    </row>
    <row r="2284" spans="1:113" x14ac:dyDescent="0.4">
      <c r="A2284" t="str">
        <f>"600108"</f>
        <v>600108</v>
      </c>
      <c r="B2284" t="s">
        <v>10805</v>
      </c>
      <c r="C2284">
        <v>-0.35</v>
      </c>
      <c r="D2284">
        <v>2.83</v>
      </c>
      <c r="E2284">
        <v>-0.01</v>
      </c>
      <c r="F2284">
        <v>2.83</v>
      </c>
      <c r="G2284">
        <v>2.84</v>
      </c>
      <c r="H2284">
        <v>119494</v>
      </c>
      <c r="I2284">
        <v>1110</v>
      </c>
      <c r="J2284">
        <v>-0.34</v>
      </c>
      <c r="K2284">
        <v>0.61</v>
      </c>
      <c r="L2284">
        <v>2.84</v>
      </c>
      <c r="M2284">
        <v>2.87</v>
      </c>
      <c r="N2284">
        <v>2.83</v>
      </c>
      <c r="O2284">
        <v>2.84</v>
      </c>
      <c r="P2284">
        <v>78.8</v>
      </c>
      <c r="Q2284">
        <v>34041400</v>
      </c>
      <c r="R2284">
        <v>1.24</v>
      </c>
      <c r="S2284" t="s">
        <v>449</v>
      </c>
      <c r="T2284" t="s">
        <v>1122</v>
      </c>
      <c r="U2284">
        <v>1.41</v>
      </c>
      <c r="V2284">
        <v>2.85</v>
      </c>
      <c r="W2284">
        <v>69892</v>
      </c>
      <c r="X2284">
        <v>49602</v>
      </c>
      <c r="Y2284">
        <v>1.41</v>
      </c>
      <c r="Z2284">
        <v>5826</v>
      </c>
      <c r="AA2284">
        <v>395</v>
      </c>
      <c r="AB2284" t="s">
        <v>116</v>
      </c>
      <c r="AC2284">
        <v>87500</v>
      </c>
      <c r="AD2284">
        <v>0</v>
      </c>
      <c r="AE2284" t="s">
        <v>116</v>
      </c>
      <c r="AF2284" t="s">
        <v>116</v>
      </c>
      <c r="AG2284">
        <v>19.47</v>
      </c>
      <c r="AH2284" t="s">
        <v>10806</v>
      </c>
      <c r="AI2284" t="s">
        <v>10806</v>
      </c>
      <c r="AJ2284">
        <v>-0.28000000000000003</v>
      </c>
      <c r="AK2284">
        <v>848</v>
      </c>
      <c r="AL2284">
        <v>141</v>
      </c>
      <c r="AM2284">
        <v>6.9999999999999999E-4</v>
      </c>
      <c r="AN2284">
        <v>-1</v>
      </c>
      <c r="AO2284">
        <v>-1.05</v>
      </c>
      <c r="AP2284">
        <v>2.17</v>
      </c>
      <c r="AQ2284">
        <v>-5.67</v>
      </c>
      <c r="AR2284">
        <v>7.38</v>
      </c>
      <c r="AS2284">
        <v>0.81</v>
      </c>
      <c r="AT2284" t="s">
        <v>8786</v>
      </c>
      <c r="AU2284">
        <v>73.94</v>
      </c>
      <c r="AV2284">
        <v>65.03</v>
      </c>
      <c r="AW2284">
        <v>0.88</v>
      </c>
      <c r="BA2284">
        <v>0</v>
      </c>
      <c r="BB2284">
        <v>1.06</v>
      </c>
      <c r="BC2284">
        <v>-0.35</v>
      </c>
      <c r="BD2284">
        <v>0.31</v>
      </c>
      <c r="BE2284">
        <v>-0.35</v>
      </c>
      <c r="BF2284">
        <v>-1.39</v>
      </c>
      <c r="BG2284">
        <v>0</v>
      </c>
      <c r="BH2284">
        <v>-0.66</v>
      </c>
      <c r="BI2284">
        <v>20191030</v>
      </c>
      <c r="BJ2284">
        <v>19970818</v>
      </c>
      <c r="BK2284">
        <v>19.47</v>
      </c>
      <c r="BL2284" t="s">
        <v>116</v>
      </c>
      <c r="BM2284" t="s">
        <v>116</v>
      </c>
      <c r="BN2284">
        <v>88.8</v>
      </c>
      <c r="BO2284">
        <v>48.35</v>
      </c>
      <c r="BP2284">
        <v>0.45</v>
      </c>
      <c r="BQ2284">
        <v>45.05</v>
      </c>
      <c r="BR2284">
        <v>43</v>
      </c>
      <c r="BS2284">
        <v>12.52</v>
      </c>
      <c r="BT2284">
        <v>27.1</v>
      </c>
      <c r="BU2284">
        <v>20.45</v>
      </c>
      <c r="BV2284">
        <v>9.4700000000000006</v>
      </c>
      <c r="BW2284">
        <v>14.58</v>
      </c>
      <c r="BX2284">
        <v>5.31</v>
      </c>
      <c r="BY2284">
        <v>15.77</v>
      </c>
      <c r="BZ2284">
        <v>11.98</v>
      </c>
      <c r="CA2284">
        <v>0.53</v>
      </c>
      <c r="CB2284">
        <v>0</v>
      </c>
      <c r="CC2284">
        <v>0.57999999999999996</v>
      </c>
      <c r="CD2284">
        <v>0.53</v>
      </c>
      <c r="CE2284">
        <v>0.52</v>
      </c>
      <c r="CF2284">
        <v>0.44</v>
      </c>
      <c r="CG2284">
        <v>19.68</v>
      </c>
      <c r="CH2284">
        <v>-1.33</v>
      </c>
      <c r="CI2284">
        <v>-0.27</v>
      </c>
      <c r="CJ2284">
        <v>160984</v>
      </c>
      <c r="CK2284">
        <v>9122</v>
      </c>
      <c r="CL2284" t="s">
        <v>10807</v>
      </c>
      <c r="CM2284">
        <v>-16.3</v>
      </c>
      <c r="CN2284">
        <v>11.55</v>
      </c>
      <c r="CO2284">
        <v>1.1399999999999999</v>
      </c>
      <c r="CP2284">
        <v>-41.31</v>
      </c>
      <c r="CQ2284">
        <v>3.49</v>
      </c>
      <c r="CR2284">
        <v>0.16</v>
      </c>
      <c r="CS2284" t="s">
        <v>2434</v>
      </c>
      <c r="CT2284">
        <v>2.48</v>
      </c>
      <c r="CU2284">
        <v>0</v>
      </c>
      <c r="CV2284">
        <v>0.27</v>
      </c>
      <c r="CW2284">
        <v>1.01</v>
      </c>
      <c r="CX2284">
        <v>-7.0000000000000007E-2</v>
      </c>
      <c r="CY2284">
        <v>54.45</v>
      </c>
      <c r="CZ2284" t="s">
        <v>2196</v>
      </c>
      <c r="DA2284">
        <v>24.04</v>
      </c>
      <c r="DB2284">
        <v>3.36</v>
      </c>
      <c r="DC2284">
        <v>3.32</v>
      </c>
      <c r="DD2284">
        <v>0.06</v>
      </c>
      <c r="DE2284">
        <v>5742</v>
      </c>
      <c r="DF2284">
        <v>600108</v>
      </c>
      <c r="DG2284" t="s">
        <v>116</v>
      </c>
      <c r="DH2284" t="s">
        <v>116</v>
      </c>
      <c r="DI2284" t="s">
        <v>116</v>
      </c>
    </row>
    <row r="2285" spans="1:113" x14ac:dyDescent="0.4">
      <c r="A2285" t="str">
        <f>"600109"</f>
        <v>600109</v>
      </c>
      <c r="B2285" t="s">
        <v>10808</v>
      </c>
      <c r="C2285">
        <v>-1.75</v>
      </c>
      <c r="D2285">
        <v>8.99</v>
      </c>
      <c r="E2285">
        <v>-0.16</v>
      </c>
      <c r="F2285">
        <v>8.98</v>
      </c>
      <c r="G2285">
        <v>8.99</v>
      </c>
      <c r="H2285">
        <v>481747</v>
      </c>
      <c r="I2285">
        <v>6546</v>
      </c>
      <c r="J2285">
        <v>0.11</v>
      </c>
      <c r="K2285">
        <v>1.59</v>
      </c>
      <c r="L2285">
        <v>9.14</v>
      </c>
      <c r="M2285">
        <v>9.25</v>
      </c>
      <c r="N2285">
        <v>8.9600000000000009</v>
      </c>
      <c r="O2285">
        <v>9.15</v>
      </c>
      <c r="P2285">
        <v>23.24</v>
      </c>
      <c r="Q2285">
        <v>439541888</v>
      </c>
      <c r="R2285">
        <v>1.39</v>
      </c>
      <c r="S2285" t="s">
        <v>623</v>
      </c>
      <c r="T2285" t="s">
        <v>582</v>
      </c>
      <c r="U2285">
        <v>3.17</v>
      </c>
      <c r="V2285">
        <v>9.1199999999999992</v>
      </c>
      <c r="W2285">
        <v>235320</v>
      </c>
      <c r="X2285">
        <v>246427</v>
      </c>
      <c r="Y2285">
        <v>0.95</v>
      </c>
      <c r="Z2285">
        <v>829</v>
      </c>
      <c r="AA2285">
        <v>2666</v>
      </c>
      <c r="AB2285" t="s">
        <v>116</v>
      </c>
      <c r="AC2285">
        <v>2743800</v>
      </c>
      <c r="AD2285">
        <v>0.01</v>
      </c>
      <c r="AE2285" t="s">
        <v>116</v>
      </c>
      <c r="AF2285" t="s">
        <v>116</v>
      </c>
      <c r="AG2285">
        <v>30.24</v>
      </c>
      <c r="AH2285" t="s">
        <v>10809</v>
      </c>
      <c r="AI2285" t="s">
        <v>10809</v>
      </c>
      <c r="AJ2285">
        <v>-1.67</v>
      </c>
      <c r="AK2285">
        <v>3836</v>
      </c>
      <c r="AL2285">
        <v>126</v>
      </c>
      <c r="AM2285">
        <v>4.0000000000000002E-4</v>
      </c>
      <c r="AN2285">
        <v>-1</v>
      </c>
      <c r="AO2285">
        <v>0.67</v>
      </c>
      <c r="AP2285">
        <v>9.3699999999999992</v>
      </c>
      <c r="AQ2285">
        <v>1.58</v>
      </c>
      <c r="AR2285">
        <v>26.26</v>
      </c>
      <c r="AS2285">
        <v>2.2000000000000002</v>
      </c>
      <c r="AT2285" t="s">
        <v>10810</v>
      </c>
      <c r="AU2285">
        <v>23.09</v>
      </c>
      <c r="AV2285">
        <v>26.91</v>
      </c>
      <c r="AW2285">
        <v>1.57</v>
      </c>
      <c r="BA2285">
        <v>-0.11</v>
      </c>
      <c r="BB2285">
        <v>1.0900000000000001</v>
      </c>
      <c r="BC2285">
        <v>-2.08</v>
      </c>
      <c r="BD2285">
        <v>-0.28999999999999998</v>
      </c>
      <c r="BE2285">
        <v>-1.64</v>
      </c>
      <c r="BF2285">
        <v>-2.81</v>
      </c>
      <c r="BG2285">
        <v>0.33</v>
      </c>
      <c r="BH2285">
        <v>-1.46</v>
      </c>
      <c r="BI2285">
        <v>20191118</v>
      </c>
      <c r="BJ2285">
        <v>19970807</v>
      </c>
      <c r="BK2285">
        <v>30.24</v>
      </c>
      <c r="BL2285" t="s">
        <v>116</v>
      </c>
      <c r="BM2285" t="s">
        <v>116</v>
      </c>
      <c r="BN2285">
        <v>502.2</v>
      </c>
      <c r="BO2285">
        <v>203.18</v>
      </c>
      <c r="BP2285">
        <v>0.67</v>
      </c>
      <c r="BQ2285">
        <v>59.41</v>
      </c>
      <c r="BR2285">
        <v>0</v>
      </c>
      <c r="BS2285">
        <v>0.66</v>
      </c>
      <c r="BT2285">
        <v>0.55000000000000004</v>
      </c>
      <c r="BU2285">
        <v>0</v>
      </c>
      <c r="BV2285">
        <v>0</v>
      </c>
      <c r="BW2285">
        <v>0</v>
      </c>
      <c r="BX2285">
        <v>78.52</v>
      </c>
      <c r="BY2285">
        <v>29.04</v>
      </c>
      <c r="BZ2285">
        <v>0</v>
      </c>
      <c r="CA2285">
        <v>11.49</v>
      </c>
      <c r="CB2285">
        <v>6.47</v>
      </c>
      <c r="CC2285">
        <v>11.68</v>
      </c>
      <c r="CD2285">
        <v>8.73</v>
      </c>
      <c r="CE2285">
        <v>8.77</v>
      </c>
      <c r="CF2285">
        <v>8.64</v>
      </c>
      <c r="CG2285">
        <v>64.13</v>
      </c>
      <c r="CH2285">
        <v>-3.21</v>
      </c>
      <c r="CI2285">
        <v>26.86</v>
      </c>
      <c r="CJ2285">
        <v>132893</v>
      </c>
      <c r="CK2285">
        <v>16515</v>
      </c>
      <c r="CL2285" t="s">
        <v>1480</v>
      </c>
      <c r="CM2285">
        <v>23.52</v>
      </c>
      <c r="CN2285">
        <v>16.239999999999998</v>
      </c>
      <c r="CO2285">
        <v>1.34</v>
      </c>
      <c r="CP2285">
        <v>-84.69</v>
      </c>
      <c r="CQ2285">
        <v>9.36</v>
      </c>
      <c r="CR2285">
        <v>0.44</v>
      </c>
      <c r="CS2285" t="s">
        <v>3995</v>
      </c>
      <c r="CT2285">
        <v>6.72</v>
      </c>
      <c r="CU2285">
        <v>0</v>
      </c>
      <c r="CV2285">
        <v>2.6</v>
      </c>
      <c r="CW2285">
        <v>2.12</v>
      </c>
      <c r="CX2285">
        <v>-0.11</v>
      </c>
      <c r="CY2285">
        <v>40.46</v>
      </c>
      <c r="CZ2285" t="s">
        <v>10811</v>
      </c>
      <c r="DA2285" t="s">
        <v>116</v>
      </c>
      <c r="DB2285">
        <v>39.58</v>
      </c>
      <c r="DC2285">
        <v>30.21</v>
      </c>
      <c r="DD2285">
        <v>0</v>
      </c>
      <c r="DE2285">
        <v>3155</v>
      </c>
      <c r="DF2285">
        <v>600109</v>
      </c>
      <c r="DG2285" t="s">
        <v>116</v>
      </c>
      <c r="DH2285" t="s">
        <v>116</v>
      </c>
      <c r="DI2285" t="s">
        <v>116</v>
      </c>
    </row>
    <row r="2286" spans="1:113" x14ac:dyDescent="0.4">
      <c r="A2286" t="str">
        <f>"600110"</f>
        <v>600110</v>
      </c>
      <c r="B2286" t="s">
        <v>10812</v>
      </c>
      <c r="C2286">
        <v>-4.49</v>
      </c>
      <c r="D2286">
        <v>4.68</v>
      </c>
      <c r="E2286">
        <v>-0.22</v>
      </c>
      <c r="F2286">
        <v>4.68</v>
      </c>
      <c r="G2286">
        <v>4.6900000000000004</v>
      </c>
      <c r="H2286">
        <v>613321</v>
      </c>
      <c r="I2286">
        <v>6106</v>
      </c>
      <c r="J2286">
        <v>-0.2</v>
      </c>
      <c r="K2286">
        <v>5.33</v>
      </c>
      <c r="L2286">
        <v>4.95</v>
      </c>
      <c r="M2286">
        <v>4.96</v>
      </c>
      <c r="N2286">
        <v>4.66</v>
      </c>
      <c r="O2286">
        <v>4.9000000000000004</v>
      </c>
      <c r="P2286">
        <v>63.09</v>
      </c>
      <c r="Q2286">
        <v>293347904</v>
      </c>
      <c r="R2286">
        <v>0.91</v>
      </c>
      <c r="S2286" t="s">
        <v>397</v>
      </c>
      <c r="T2286" t="s">
        <v>294</v>
      </c>
      <c r="U2286">
        <v>6.12</v>
      </c>
      <c r="V2286">
        <v>4.78</v>
      </c>
      <c r="W2286">
        <v>389191</v>
      </c>
      <c r="X2286">
        <v>224130</v>
      </c>
      <c r="Y2286">
        <v>1.74</v>
      </c>
      <c r="Z2286">
        <v>3535</v>
      </c>
      <c r="AA2286">
        <v>3797</v>
      </c>
      <c r="AB2286" t="s">
        <v>116</v>
      </c>
      <c r="AC2286">
        <v>476700</v>
      </c>
      <c r="AD2286">
        <v>0.01</v>
      </c>
      <c r="AE2286" t="s">
        <v>116</v>
      </c>
      <c r="AF2286" t="s">
        <v>116</v>
      </c>
      <c r="AG2286">
        <v>11.5</v>
      </c>
      <c r="AH2286" t="s">
        <v>1142</v>
      </c>
      <c r="AI2286" t="s">
        <v>1142</v>
      </c>
      <c r="AJ2286">
        <v>-4.41</v>
      </c>
      <c r="AK2286">
        <v>3281</v>
      </c>
      <c r="AL2286">
        <v>187</v>
      </c>
      <c r="AM2286">
        <v>1.6000000000000001E-3</v>
      </c>
      <c r="AN2286">
        <v>-1</v>
      </c>
      <c r="AO2286">
        <v>-6.03</v>
      </c>
      <c r="AP2286">
        <v>11.96</v>
      </c>
      <c r="AQ2286">
        <v>10.9</v>
      </c>
      <c r="AR2286">
        <v>15.27</v>
      </c>
      <c r="AS2286">
        <v>5.86</v>
      </c>
      <c r="AT2286" t="s">
        <v>10813</v>
      </c>
      <c r="AU2286">
        <v>53.6</v>
      </c>
      <c r="AV2286">
        <v>55.38</v>
      </c>
      <c r="AW2286">
        <v>0.92</v>
      </c>
      <c r="BA2286">
        <v>1.02</v>
      </c>
      <c r="BB2286">
        <v>1.22</v>
      </c>
      <c r="BC2286">
        <v>-4.9000000000000004</v>
      </c>
      <c r="BD2286">
        <v>-2.39</v>
      </c>
      <c r="BE2286">
        <v>-5.45</v>
      </c>
      <c r="BF2286">
        <v>-5.65</v>
      </c>
      <c r="BG2286">
        <v>0.43</v>
      </c>
      <c r="BH2286">
        <v>-2.1</v>
      </c>
      <c r="BI2286">
        <v>20191029</v>
      </c>
      <c r="BJ2286">
        <v>19971007</v>
      </c>
      <c r="BK2286">
        <v>11.5</v>
      </c>
      <c r="BL2286" t="s">
        <v>116</v>
      </c>
      <c r="BM2286" t="s">
        <v>116</v>
      </c>
      <c r="BN2286">
        <v>71.760000000000005</v>
      </c>
      <c r="BO2286">
        <v>22.02</v>
      </c>
      <c r="BP2286">
        <v>3.31</v>
      </c>
      <c r="BQ2286">
        <v>64.69</v>
      </c>
      <c r="BR2286">
        <v>34.04</v>
      </c>
      <c r="BS2286">
        <v>24.87</v>
      </c>
      <c r="BT2286">
        <v>2.5</v>
      </c>
      <c r="BU2286">
        <v>36.880000000000003</v>
      </c>
      <c r="BV2286">
        <v>4.57</v>
      </c>
      <c r="BW2286">
        <v>7.64</v>
      </c>
      <c r="BX2286">
        <v>6.98</v>
      </c>
      <c r="BY2286">
        <v>28.53</v>
      </c>
      <c r="BZ2286">
        <v>24.41</v>
      </c>
      <c r="CA2286">
        <v>1.01</v>
      </c>
      <c r="CB2286">
        <v>0</v>
      </c>
      <c r="CC2286">
        <v>1.03</v>
      </c>
      <c r="CD2286">
        <v>0.75</v>
      </c>
      <c r="CE2286">
        <v>0.64</v>
      </c>
      <c r="CF2286">
        <v>0.55000000000000004</v>
      </c>
      <c r="CG2286">
        <v>2.77</v>
      </c>
      <c r="CH2286">
        <v>1.23</v>
      </c>
      <c r="CI2286">
        <v>-0.65</v>
      </c>
      <c r="CJ2286">
        <v>86424</v>
      </c>
      <c r="CK2286">
        <v>12105</v>
      </c>
      <c r="CL2286" t="s">
        <v>2880</v>
      </c>
      <c r="CM2286">
        <v>5.29</v>
      </c>
      <c r="CN2286">
        <v>61.08</v>
      </c>
      <c r="CO2286">
        <v>2.44</v>
      </c>
      <c r="CP2286">
        <v>43.78</v>
      </c>
      <c r="CQ2286">
        <v>1.89</v>
      </c>
      <c r="CR2286">
        <v>0</v>
      </c>
      <c r="CS2286" t="s">
        <v>743</v>
      </c>
      <c r="CT2286">
        <v>1.91</v>
      </c>
      <c r="CU2286">
        <v>0</v>
      </c>
      <c r="CV2286">
        <v>0.61</v>
      </c>
      <c r="CW2286">
        <v>0.24</v>
      </c>
      <c r="CX2286">
        <v>0.11</v>
      </c>
      <c r="CY2286">
        <v>30.69</v>
      </c>
      <c r="CZ2286" t="s">
        <v>4968</v>
      </c>
      <c r="DA2286">
        <v>14.47</v>
      </c>
      <c r="DB2286">
        <v>3.56</v>
      </c>
      <c r="DC2286">
        <v>2.2400000000000002</v>
      </c>
      <c r="DD2286">
        <v>0.26</v>
      </c>
      <c r="DE2286">
        <v>1844</v>
      </c>
      <c r="DF2286">
        <v>600110</v>
      </c>
      <c r="DG2286" t="s">
        <v>116</v>
      </c>
      <c r="DH2286" t="s">
        <v>116</v>
      </c>
      <c r="DI2286" t="s">
        <v>116</v>
      </c>
    </row>
    <row r="2287" spans="1:113" x14ac:dyDescent="0.4">
      <c r="A2287" t="str">
        <f>"600111"</f>
        <v>600111</v>
      </c>
      <c r="B2287" t="s">
        <v>10814</v>
      </c>
      <c r="C2287">
        <v>2.94</v>
      </c>
      <c r="D2287">
        <v>10.84</v>
      </c>
      <c r="E2287">
        <v>0.31</v>
      </c>
      <c r="F2287">
        <v>10.83</v>
      </c>
      <c r="G2287">
        <v>10.84</v>
      </c>
      <c r="H2287">
        <v>1088710</v>
      </c>
      <c r="I2287">
        <v>9968</v>
      </c>
      <c r="J2287">
        <v>0.18</v>
      </c>
      <c r="K2287">
        <v>3</v>
      </c>
      <c r="L2287">
        <v>10.54</v>
      </c>
      <c r="M2287">
        <v>11.18</v>
      </c>
      <c r="N2287">
        <v>10.54</v>
      </c>
      <c r="O2287">
        <v>10.53</v>
      </c>
      <c r="P2287">
        <v>64.05</v>
      </c>
      <c r="Q2287">
        <v>1184150400</v>
      </c>
      <c r="R2287">
        <v>3.64</v>
      </c>
      <c r="S2287" t="s">
        <v>1509</v>
      </c>
      <c r="T2287" t="s">
        <v>796</v>
      </c>
      <c r="U2287">
        <v>6.08</v>
      </c>
      <c r="V2287">
        <v>10.88</v>
      </c>
      <c r="W2287">
        <v>477211</v>
      </c>
      <c r="X2287">
        <v>611499</v>
      </c>
      <c r="Y2287">
        <v>0.78</v>
      </c>
      <c r="Z2287">
        <v>970</v>
      </c>
      <c r="AA2287">
        <v>253</v>
      </c>
      <c r="AB2287" t="s">
        <v>116</v>
      </c>
      <c r="AC2287">
        <v>993900</v>
      </c>
      <c r="AD2287">
        <v>0</v>
      </c>
      <c r="AE2287" t="s">
        <v>116</v>
      </c>
      <c r="AF2287" t="s">
        <v>116</v>
      </c>
      <c r="AG2287">
        <v>36.33</v>
      </c>
      <c r="AH2287" t="s">
        <v>10815</v>
      </c>
      <c r="AI2287" t="s">
        <v>10815</v>
      </c>
      <c r="AJ2287">
        <v>3.02</v>
      </c>
      <c r="AK2287">
        <v>4600</v>
      </c>
      <c r="AL2287">
        <v>237</v>
      </c>
      <c r="AM2287">
        <v>6.9999999999999999E-4</v>
      </c>
      <c r="AN2287">
        <v>2</v>
      </c>
      <c r="AO2287">
        <v>2.5499999999999998</v>
      </c>
      <c r="AP2287">
        <v>9.0500000000000007</v>
      </c>
      <c r="AQ2287">
        <v>0.84</v>
      </c>
      <c r="AR2287">
        <v>24.31</v>
      </c>
      <c r="AS2287">
        <v>5.71</v>
      </c>
      <c r="AT2287" t="s">
        <v>10816</v>
      </c>
      <c r="AU2287">
        <v>59.17</v>
      </c>
      <c r="AV2287">
        <v>67.459999999999994</v>
      </c>
      <c r="AW2287">
        <v>0.79</v>
      </c>
      <c r="BA2287">
        <v>0.09</v>
      </c>
      <c r="BB2287">
        <v>6.17</v>
      </c>
      <c r="BC2287">
        <v>0.09</v>
      </c>
      <c r="BD2287">
        <v>3.29</v>
      </c>
      <c r="BE2287">
        <v>2.85</v>
      </c>
      <c r="BF2287">
        <v>-3.04</v>
      </c>
      <c r="BG2287">
        <v>2.85</v>
      </c>
      <c r="BH2287">
        <v>-0.35</v>
      </c>
      <c r="BI2287">
        <v>20191026</v>
      </c>
      <c r="BJ2287">
        <v>19970924</v>
      </c>
      <c r="BK2287">
        <v>36.33</v>
      </c>
      <c r="BL2287" t="s">
        <v>116</v>
      </c>
      <c r="BM2287" t="s">
        <v>116</v>
      </c>
      <c r="BN2287">
        <v>236.43</v>
      </c>
      <c r="BO2287">
        <v>95.39</v>
      </c>
      <c r="BP2287">
        <v>32.409999999999997</v>
      </c>
      <c r="BQ2287">
        <v>45.95</v>
      </c>
      <c r="BR2287">
        <v>173.08</v>
      </c>
      <c r="BS2287">
        <v>33.4</v>
      </c>
      <c r="BT2287">
        <v>7.18</v>
      </c>
      <c r="BU2287">
        <v>63.84</v>
      </c>
      <c r="BV2287">
        <v>86.24</v>
      </c>
      <c r="BW2287">
        <v>22.96</v>
      </c>
      <c r="BX2287">
        <v>1.55</v>
      </c>
      <c r="BY2287">
        <v>140.85</v>
      </c>
      <c r="BZ2287">
        <v>125.95</v>
      </c>
      <c r="CA2287">
        <v>6.2</v>
      </c>
      <c r="CB2287">
        <v>0.18</v>
      </c>
      <c r="CC2287">
        <v>6.13</v>
      </c>
      <c r="CD2287">
        <v>4.71</v>
      </c>
      <c r="CE2287">
        <v>4.6100000000000003</v>
      </c>
      <c r="CF2287">
        <v>3.96</v>
      </c>
      <c r="CG2287">
        <v>42.33</v>
      </c>
      <c r="CH2287">
        <v>2.57</v>
      </c>
      <c r="CI2287">
        <v>-9.61</v>
      </c>
      <c r="CJ2287">
        <v>335729</v>
      </c>
      <c r="CK2287">
        <v>5678</v>
      </c>
      <c r="CL2287" t="s">
        <v>4325</v>
      </c>
      <c r="CM2287">
        <v>21.56</v>
      </c>
      <c r="CN2287">
        <v>51.18</v>
      </c>
      <c r="CO2287">
        <v>4.13</v>
      </c>
      <c r="CP2287">
        <v>153.51</v>
      </c>
      <c r="CQ2287">
        <v>2.8</v>
      </c>
      <c r="CR2287">
        <v>0.46</v>
      </c>
      <c r="CS2287" t="s">
        <v>4121</v>
      </c>
      <c r="CT2287">
        <v>2.63</v>
      </c>
      <c r="CU2287">
        <v>0</v>
      </c>
      <c r="CV2287">
        <v>0.04</v>
      </c>
      <c r="CW2287">
        <v>1.17</v>
      </c>
      <c r="CX2287">
        <v>7.0000000000000007E-2</v>
      </c>
      <c r="CY2287">
        <v>40.35</v>
      </c>
      <c r="CZ2287" t="s">
        <v>9617</v>
      </c>
      <c r="DA2287">
        <v>10.58</v>
      </c>
      <c r="DB2287">
        <v>4.41</v>
      </c>
      <c r="DC2287">
        <v>3.27</v>
      </c>
      <c r="DD2287">
        <v>0.48</v>
      </c>
      <c r="DE2287">
        <v>10184</v>
      </c>
      <c r="DF2287">
        <v>600111</v>
      </c>
      <c r="DG2287" t="s">
        <v>116</v>
      </c>
      <c r="DH2287" t="s">
        <v>116</v>
      </c>
      <c r="DI2287" t="s">
        <v>116</v>
      </c>
    </row>
    <row r="2288" spans="1:113" x14ac:dyDescent="0.4">
      <c r="A2288" t="str">
        <f>"600112"</f>
        <v>600112</v>
      </c>
      <c r="B2288" t="s">
        <v>10817</v>
      </c>
      <c r="C2288">
        <v>-2.2200000000000002</v>
      </c>
      <c r="D2288">
        <v>2.2000000000000002</v>
      </c>
      <c r="E2288">
        <v>-0.05</v>
      </c>
      <c r="F2288">
        <v>2.19</v>
      </c>
      <c r="G2288">
        <v>2.2000000000000002</v>
      </c>
      <c r="H2288">
        <v>55903</v>
      </c>
      <c r="I2288">
        <v>1170</v>
      </c>
      <c r="J2288">
        <v>0</v>
      </c>
      <c r="K2288">
        <v>1.1000000000000001</v>
      </c>
      <c r="L2288">
        <v>2.2200000000000002</v>
      </c>
      <c r="M2288">
        <v>2.27</v>
      </c>
      <c r="N2288">
        <v>2.19</v>
      </c>
      <c r="O2288">
        <v>2.25</v>
      </c>
      <c r="P2288" t="s">
        <v>116</v>
      </c>
      <c r="Q2288">
        <v>12472150</v>
      </c>
      <c r="R2288">
        <v>0.54</v>
      </c>
      <c r="S2288" t="s">
        <v>397</v>
      </c>
      <c r="T2288" t="s">
        <v>1056</v>
      </c>
      <c r="U2288">
        <v>3.56</v>
      </c>
      <c r="V2288">
        <v>2.23</v>
      </c>
      <c r="W2288">
        <v>35234</v>
      </c>
      <c r="X2288">
        <v>20669</v>
      </c>
      <c r="Y2288">
        <v>1.7</v>
      </c>
      <c r="Z2288">
        <v>1138</v>
      </c>
      <c r="AA2288">
        <v>355</v>
      </c>
      <c r="AB2288" t="s">
        <v>116</v>
      </c>
      <c r="AC2288">
        <v>129600</v>
      </c>
      <c r="AD2288">
        <v>0.01</v>
      </c>
      <c r="AE2288" t="s">
        <v>116</v>
      </c>
      <c r="AF2288" t="s">
        <v>116</v>
      </c>
      <c r="AG2288">
        <v>5.09</v>
      </c>
      <c r="AH2288" t="s">
        <v>4888</v>
      </c>
      <c r="AI2288" t="s">
        <v>4888</v>
      </c>
      <c r="AJ2288">
        <v>-2.15</v>
      </c>
      <c r="AK2288">
        <v>513</v>
      </c>
      <c r="AL2288">
        <v>109</v>
      </c>
      <c r="AM2288">
        <v>2.0999999999999999E-3</v>
      </c>
      <c r="AN2288">
        <v>-1</v>
      </c>
      <c r="AO2288">
        <v>-4.76</v>
      </c>
      <c r="AP2288">
        <v>9.4499999999999993</v>
      </c>
      <c r="AQ2288">
        <v>-7.56</v>
      </c>
      <c r="AR2288">
        <v>-43.01</v>
      </c>
      <c r="AS2288">
        <v>1.34</v>
      </c>
      <c r="AT2288" t="s">
        <v>10127</v>
      </c>
      <c r="AU2288" t="s">
        <v>116</v>
      </c>
      <c r="AV2288">
        <v>65.260000000000005</v>
      </c>
      <c r="AW2288">
        <v>0.98</v>
      </c>
      <c r="BA2288">
        <v>-1.33</v>
      </c>
      <c r="BB2288">
        <v>0.89</v>
      </c>
      <c r="BC2288">
        <v>-2.67</v>
      </c>
      <c r="BD2288">
        <v>-0.84</v>
      </c>
      <c r="BE2288">
        <v>-0.9</v>
      </c>
      <c r="BF2288">
        <v>-3.08</v>
      </c>
      <c r="BG2288">
        <v>0.46</v>
      </c>
      <c r="BH2288">
        <v>-1.38</v>
      </c>
      <c r="BI2288">
        <v>20191031</v>
      </c>
      <c r="BJ2288">
        <v>19971127</v>
      </c>
      <c r="BK2288">
        <v>5.09</v>
      </c>
      <c r="BL2288" t="s">
        <v>116</v>
      </c>
      <c r="BM2288" t="s">
        <v>116</v>
      </c>
      <c r="BN2288">
        <v>22.79</v>
      </c>
      <c r="BO2288">
        <v>11.1</v>
      </c>
      <c r="BP2288">
        <v>0</v>
      </c>
      <c r="BQ2288">
        <v>51.3</v>
      </c>
      <c r="BR2288">
        <v>7.68</v>
      </c>
      <c r="BS2288">
        <v>3.31</v>
      </c>
      <c r="BT2288">
        <v>2.58</v>
      </c>
      <c r="BU2288">
        <v>11.15</v>
      </c>
      <c r="BV2288">
        <v>1.68</v>
      </c>
      <c r="BW2288">
        <v>1.55</v>
      </c>
      <c r="BX2288">
        <v>5.56</v>
      </c>
      <c r="BY2288">
        <v>1.65</v>
      </c>
      <c r="BZ2288">
        <v>1.47</v>
      </c>
      <c r="CA2288">
        <v>-0.84</v>
      </c>
      <c r="CB2288">
        <v>0.22</v>
      </c>
      <c r="CC2288">
        <v>-0.84</v>
      </c>
      <c r="CD2288">
        <v>-0.73</v>
      </c>
      <c r="CE2288">
        <v>-0.73</v>
      </c>
      <c r="CF2288">
        <v>-0.68</v>
      </c>
      <c r="CG2288">
        <v>0.2</v>
      </c>
      <c r="CH2288">
        <v>0.14000000000000001</v>
      </c>
      <c r="CI2288">
        <v>-0.05</v>
      </c>
      <c r="CJ2288">
        <v>41847</v>
      </c>
      <c r="CK2288">
        <v>9936</v>
      </c>
      <c r="CL2288" t="s">
        <v>1291</v>
      </c>
      <c r="CM2288">
        <v>-190.13</v>
      </c>
      <c r="CN2288">
        <v>-60.56</v>
      </c>
      <c r="CO2288">
        <v>1.01</v>
      </c>
      <c r="CP2288">
        <v>77.5</v>
      </c>
      <c r="CQ2288">
        <v>6.81</v>
      </c>
      <c r="CR2288">
        <v>0</v>
      </c>
      <c r="CS2288" t="s">
        <v>10818</v>
      </c>
      <c r="CT2288">
        <v>2.1800000000000002</v>
      </c>
      <c r="CU2288">
        <v>0</v>
      </c>
      <c r="CV2288">
        <v>1.0900000000000001</v>
      </c>
      <c r="CW2288">
        <v>0.04</v>
      </c>
      <c r="CX2288">
        <v>0.03</v>
      </c>
      <c r="CY2288">
        <v>48.71</v>
      </c>
      <c r="CZ2288" t="s">
        <v>10819</v>
      </c>
      <c r="DA2288">
        <v>10.67</v>
      </c>
      <c r="DB2288">
        <v>-50.75</v>
      </c>
      <c r="DC2288">
        <v>-44.56</v>
      </c>
      <c r="DD2288">
        <v>0</v>
      </c>
      <c r="DE2288">
        <v>698</v>
      </c>
      <c r="DF2288">
        <v>600112</v>
      </c>
      <c r="DG2288" t="s">
        <v>116</v>
      </c>
      <c r="DH2288" t="s">
        <v>116</v>
      </c>
      <c r="DI2288" t="s">
        <v>116</v>
      </c>
    </row>
    <row r="2289" spans="1:113" x14ac:dyDescent="0.4">
      <c r="A2289" t="str">
        <f>"600113"</f>
        <v>600113</v>
      </c>
      <c r="B2289" t="s">
        <v>10820</v>
      </c>
      <c r="C2289">
        <v>-0.28000000000000003</v>
      </c>
      <c r="D2289">
        <v>7.06</v>
      </c>
      <c r="E2289">
        <v>-0.02</v>
      </c>
      <c r="F2289">
        <v>7.06</v>
      </c>
      <c r="G2289">
        <v>7.07</v>
      </c>
      <c r="H2289">
        <v>49249</v>
      </c>
      <c r="I2289">
        <v>172</v>
      </c>
      <c r="J2289">
        <v>0.14000000000000001</v>
      </c>
      <c r="K2289">
        <v>1.2</v>
      </c>
      <c r="L2289">
        <v>7.07</v>
      </c>
      <c r="M2289">
        <v>7.23</v>
      </c>
      <c r="N2289">
        <v>7.05</v>
      </c>
      <c r="O2289">
        <v>7.08</v>
      </c>
      <c r="P2289">
        <v>18.34</v>
      </c>
      <c r="Q2289">
        <v>35098636</v>
      </c>
      <c r="R2289">
        <v>1.85</v>
      </c>
      <c r="S2289" t="s">
        <v>148</v>
      </c>
      <c r="T2289" t="s">
        <v>590</v>
      </c>
      <c r="U2289">
        <v>2.54</v>
      </c>
      <c r="V2289">
        <v>7.13</v>
      </c>
      <c r="W2289">
        <v>26429</v>
      </c>
      <c r="X2289">
        <v>22820</v>
      </c>
      <c r="Y2289">
        <v>1.1599999999999999</v>
      </c>
      <c r="Z2289">
        <v>346</v>
      </c>
      <c r="AA2289">
        <v>1426</v>
      </c>
      <c r="AB2289" t="s">
        <v>116</v>
      </c>
      <c r="AC2289">
        <v>9900</v>
      </c>
      <c r="AD2289">
        <v>0</v>
      </c>
      <c r="AE2289" t="s">
        <v>116</v>
      </c>
      <c r="AF2289" t="s">
        <v>116</v>
      </c>
      <c r="AG2289">
        <v>4.1100000000000003</v>
      </c>
      <c r="AH2289" t="s">
        <v>10821</v>
      </c>
      <c r="AI2289" t="s">
        <v>10821</v>
      </c>
      <c r="AJ2289">
        <v>-0.21</v>
      </c>
      <c r="AK2289">
        <v>866</v>
      </c>
      <c r="AL2289">
        <v>57</v>
      </c>
      <c r="AM2289">
        <v>1.4E-3</v>
      </c>
      <c r="AN2289">
        <v>-1</v>
      </c>
      <c r="AO2289">
        <v>0.14000000000000001</v>
      </c>
      <c r="AP2289">
        <v>4.9000000000000004</v>
      </c>
      <c r="AQ2289">
        <v>-0.28000000000000003</v>
      </c>
      <c r="AR2289">
        <v>7.45</v>
      </c>
      <c r="AS2289">
        <v>2.36</v>
      </c>
      <c r="AT2289" t="s">
        <v>4895</v>
      </c>
      <c r="AU2289">
        <v>20.99</v>
      </c>
      <c r="AV2289">
        <v>27.75</v>
      </c>
      <c r="AW2289">
        <v>1.44</v>
      </c>
      <c r="BA2289">
        <v>-0.14000000000000001</v>
      </c>
      <c r="BB2289">
        <v>2.12</v>
      </c>
      <c r="BC2289">
        <v>-0.42</v>
      </c>
      <c r="BD2289">
        <v>0.66</v>
      </c>
      <c r="BE2289">
        <v>-0.14000000000000001</v>
      </c>
      <c r="BF2289">
        <v>-2.35</v>
      </c>
      <c r="BG2289">
        <v>0.14000000000000001</v>
      </c>
      <c r="BH2289">
        <v>-0.94</v>
      </c>
      <c r="BI2289">
        <v>20191106</v>
      </c>
      <c r="BJ2289">
        <v>19971021</v>
      </c>
      <c r="BK2289">
        <v>4.1100000000000003</v>
      </c>
      <c r="BL2289" t="s">
        <v>116</v>
      </c>
      <c r="BM2289" t="s">
        <v>116</v>
      </c>
      <c r="BN2289">
        <v>17.670000000000002</v>
      </c>
      <c r="BO2289">
        <v>14.49</v>
      </c>
      <c r="BP2289">
        <v>0.01</v>
      </c>
      <c r="BQ2289">
        <v>17.93</v>
      </c>
      <c r="BR2289">
        <v>3.57</v>
      </c>
      <c r="BS2289">
        <v>1.55</v>
      </c>
      <c r="BT2289">
        <v>3.6</v>
      </c>
      <c r="BU2289">
        <v>1.41</v>
      </c>
      <c r="BV2289">
        <v>0.42</v>
      </c>
      <c r="BW2289">
        <v>0.31</v>
      </c>
      <c r="BX2289">
        <v>3.45</v>
      </c>
      <c r="BY2289">
        <v>3.58</v>
      </c>
      <c r="BZ2289">
        <v>1.75</v>
      </c>
      <c r="CA2289">
        <v>1.59</v>
      </c>
      <c r="CB2289">
        <v>-0.01</v>
      </c>
      <c r="CC2289">
        <v>1.59</v>
      </c>
      <c r="CD2289">
        <v>1.19</v>
      </c>
      <c r="CE2289">
        <v>1.19</v>
      </c>
      <c r="CF2289">
        <v>1.05</v>
      </c>
      <c r="CG2289">
        <v>6.86</v>
      </c>
      <c r="CH2289">
        <v>0.94</v>
      </c>
      <c r="CI2289">
        <v>0.28999999999999998</v>
      </c>
      <c r="CJ2289">
        <v>33364</v>
      </c>
      <c r="CK2289">
        <v>6253</v>
      </c>
      <c r="CL2289" t="s">
        <v>3027</v>
      </c>
      <c r="CM2289">
        <v>39.58</v>
      </c>
      <c r="CN2289">
        <v>19.37</v>
      </c>
      <c r="CO2289">
        <v>2</v>
      </c>
      <c r="CP2289">
        <v>30.84</v>
      </c>
      <c r="CQ2289">
        <v>8.11</v>
      </c>
      <c r="CR2289">
        <v>0.56999999999999995</v>
      </c>
      <c r="CS2289" t="s">
        <v>3626</v>
      </c>
      <c r="CT2289">
        <v>3.52</v>
      </c>
      <c r="CU2289">
        <v>0</v>
      </c>
      <c r="CV2289">
        <v>0.84</v>
      </c>
      <c r="CW2289">
        <v>1.67</v>
      </c>
      <c r="CX2289">
        <v>0.23</v>
      </c>
      <c r="CY2289">
        <v>82.02</v>
      </c>
      <c r="CZ2289" t="s">
        <v>122</v>
      </c>
      <c r="DA2289">
        <v>51.03</v>
      </c>
      <c r="DB2289">
        <v>44.33</v>
      </c>
      <c r="DC2289">
        <v>33.17</v>
      </c>
      <c r="DD2289">
        <v>0</v>
      </c>
      <c r="DE2289">
        <v>815</v>
      </c>
      <c r="DF2289">
        <v>600113</v>
      </c>
      <c r="DG2289" t="s">
        <v>116</v>
      </c>
      <c r="DH2289" t="s">
        <v>116</v>
      </c>
      <c r="DI2289" t="s">
        <v>116</v>
      </c>
    </row>
    <row r="2290" spans="1:113" x14ac:dyDescent="0.4">
      <c r="A2290" t="str">
        <f>"600114"</f>
        <v>600114</v>
      </c>
      <c r="B2290" t="s">
        <v>10822</v>
      </c>
      <c r="C2290">
        <v>-7.21</v>
      </c>
      <c r="D2290">
        <v>8.6199999999999992</v>
      </c>
      <c r="E2290">
        <v>-0.67</v>
      </c>
      <c r="F2290">
        <v>8.61</v>
      </c>
      <c r="G2290">
        <v>8.6199999999999992</v>
      </c>
      <c r="H2290">
        <v>620544</v>
      </c>
      <c r="I2290">
        <v>11166</v>
      </c>
      <c r="J2290">
        <v>-0.22</v>
      </c>
      <c r="K2290">
        <v>10.17</v>
      </c>
      <c r="L2290">
        <v>9.18</v>
      </c>
      <c r="M2290">
        <v>9.3699999999999992</v>
      </c>
      <c r="N2290">
        <v>8.61</v>
      </c>
      <c r="O2290">
        <v>9.2899999999999991</v>
      </c>
      <c r="P2290">
        <v>48.41</v>
      </c>
      <c r="Q2290">
        <v>555524032</v>
      </c>
      <c r="R2290">
        <v>0.88</v>
      </c>
      <c r="S2290" t="s">
        <v>996</v>
      </c>
      <c r="T2290" t="s">
        <v>590</v>
      </c>
      <c r="U2290">
        <v>8.18</v>
      </c>
      <c r="V2290">
        <v>8.9499999999999993</v>
      </c>
      <c r="W2290">
        <v>366350</v>
      </c>
      <c r="X2290">
        <v>254196</v>
      </c>
      <c r="Y2290">
        <v>1.44</v>
      </c>
      <c r="Z2290">
        <v>1353</v>
      </c>
      <c r="AA2290">
        <v>325</v>
      </c>
      <c r="AB2290" t="s">
        <v>116</v>
      </c>
      <c r="AC2290">
        <v>5469400</v>
      </c>
      <c r="AD2290">
        <v>0.13</v>
      </c>
      <c r="AE2290" t="s">
        <v>116</v>
      </c>
      <c r="AF2290" t="s">
        <v>116</v>
      </c>
      <c r="AG2290">
        <v>6.1</v>
      </c>
      <c r="AH2290" t="s">
        <v>10823</v>
      </c>
      <c r="AI2290" t="s">
        <v>8608</v>
      </c>
      <c r="AJ2290">
        <v>-7.14</v>
      </c>
      <c r="AK2290">
        <v>4272</v>
      </c>
      <c r="AL2290">
        <v>145</v>
      </c>
      <c r="AM2290">
        <v>2.3999999999999998E-3</v>
      </c>
      <c r="AN2290">
        <v>-1</v>
      </c>
      <c r="AO2290">
        <v>-4.75</v>
      </c>
      <c r="AP2290">
        <v>41.31</v>
      </c>
      <c r="AQ2290">
        <v>26.95</v>
      </c>
      <c r="AR2290">
        <v>46.85</v>
      </c>
      <c r="AS2290">
        <v>13.63</v>
      </c>
      <c r="AT2290" t="s">
        <v>9631</v>
      </c>
      <c r="AU2290">
        <v>32.94</v>
      </c>
      <c r="AV2290">
        <v>16.2</v>
      </c>
      <c r="AW2290">
        <v>2.52</v>
      </c>
      <c r="BA2290">
        <v>-1.18</v>
      </c>
      <c r="BB2290">
        <v>0.86</v>
      </c>
      <c r="BC2290">
        <v>-7.32</v>
      </c>
      <c r="BD2290">
        <v>-3.64</v>
      </c>
      <c r="BE2290">
        <v>-6.1</v>
      </c>
      <c r="BF2290">
        <v>-8</v>
      </c>
      <c r="BG2290">
        <v>0.12</v>
      </c>
      <c r="BH2290">
        <v>-3.58</v>
      </c>
      <c r="BI2290">
        <v>20191121</v>
      </c>
      <c r="BJ2290">
        <v>20040511</v>
      </c>
      <c r="BK2290">
        <v>6.16</v>
      </c>
      <c r="BL2290" t="s">
        <v>116</v>
      </c>
      <c r="BM2290" t="s">
        <v>116</v>
      </c>
      <c r="BN2290">
        <v>38.58</v>
      </c>
      <c r="BO2290">
        <v>24.33</v>
      </c>
      <c r="BP2290">
        <v>2.0499999999999998</v>
      </c>
      <c r="BQ2290">
        <v>31.61</v>
      </c>
      <c r="BR2290">
        <v>13.86</v>
      </c>
      <c r="BS2290">
        <v>14.97</v>
      </c>
      <c r="BT2290">
        <v>2.89</v>
      </c>
      <c r="BU2290">
        <v>11.53</v>
      </c>
      <c r="BV2290">
        <v>4.3899999999999997</v>
      </c>
      <c r="BW2290">
        <v>4.99</v>
      </c>
      <c r="BX2290">
        <v>13.97</v>
      </c>
      <c r="BY2290">
        <v>13.52</v>
      </c>
      <c r="BZ2290">
        <v>10.19</v>
      </c>
      <c r="CA2290">
        <v>1.03</v>
      </c>
      <c r="CB2290">
        <v>0</v>
      </c>
      <c r="CC2290">
        <v>1.01</v>
      </c>
      <c r="CD2290">
        <v>0.93</v>
      </c>
      <c r="CE2290">
        <v>0.82</v>
      </c>
      <c r="CF2290">
        <v>0.76</v>
      </c>
      <c r="CG2290">
        <v>4.7699999999999996</v>
      </c>
      <c r="CH2290">
        <v>1.99</v>
      </c>
      <c r="CI2290">
        <v>-1.37</v>
      </c>
      <c r="CJ2290">
        <v>24495</v>
      </c>
      <c r="CK2290">
        <v>18583</v>
      </c>
      <c r="CL2290" t="s">
        <v>10824</v>
      </c>
      <c r="CM2290">
        <v>-66.930000000000007</v>
      </c>
      <c r="CN2290">
        <v>-9.83</v>
      </c>
      <c r="CO2290">
        <v>2.1800000000000002</v>
      </c>
      <c r="CP2290">
        <v>26.73</v>
      </c>
      <c r="CQ2290">
        <v>3.93</v>
      </c>
      <c r="CR2290">
        <v>4.68</v>
      </c>
      <c r="CS2290" t="s">
        <v>2620</v>
      </c>
      <c r="CT2290">
        <v>3.95</v>
      </c>
      <c r="CU2290">
        <v>0</v>
      </c>
      <c r="CV2290">
        <v>2.27</v>
      </c>
      <c r="CW2290">
        <v>0.77</v>
      </c>
      <c r="CX2290">
        <v>0.32</v>
      </c>
      <c r="CY2290">
        <v>63.07</v>
      </c>
      <c r="CZ2290" t="s">
        <v>3229</v>
      </c>
      <c r="DA2290">
        <v>24.68</v>
      </c>
      <c r="DB2290">
        <v>7.6</v>
      </c>
      <c r="DC2290">
        <v>6.09</v>
      </c>
      <c r="DD2290">
        <v>0.78</v>
      </c>
      <c r="DE2290">
        <v>2537</v>
      </c>
      <c r="DF2290">
        <v>600114</v>
      </c>
      <c r="DG2290" t="s">
        <v>116</v>
      </c>
      <c r="DH2290" t="s">
        <v>116</v>
      </c>
      <c r="DI2290" t="s">
        <v>116</v>
      </c>
    </row>
    <row r="2291" spans="1:113" x14ac:dyDescent="0.4">
      <c r="A2291" t="str">
        <f>"600115"</f>
        <v>600115</v>
      </c>
      <c r="B2291" t="s">
        <v>10825</v>
      </c>
      <c r="C2291">
        <v>2.0099999999999998</v>
      </c>
      <c r="D2291">
        <v>5.59</v>
      </c>
      <c r="E2291">
        <v>0.11</v>
      </c>
      <c r="F2291">
        <v>5.58</v>
      </c>
      <c r="G2291">
        <v>5.59</v>
      </c>
      <c r="H2291">
        <v>645627</v>
      </c>
      <c r="I2291">
        <v>3871</v>
      </c>
      <c r="J2291">
        <v>0.18</v>
      </c>
      <c r="K2291">
        <v>0.66</v>
      </c>
      <c r="L2291">
        <v>5.46</v>
      </c>
      <c r="M2291">
        <v>5.66</v>
      </c>
      <c r="N2291">
        <v>5.45</v>
      </c>
      <c r="O2291">
        <v>5.48</v>
      </c>
      <c r="P2291">
        <v>15.73</v>
      </c>
      <c r="Q2291">
        <v>361214176</v>
      </c>
      <c r="R2291">
        <v>2.83</v>
      </c>
      <c r="S2291" t="s">
        <v>544</v>
      </c>
      <c r="T2291" t="s">
        <v>1653</v>
      </c>
      <c r="U2291">
        <v>3.83</v>
      </c>
      <c r="V2291">
        <v>5.59</v>
      </c>
      <c r="W2291">
        <v>253756</v>
      </c>
      <c r="X2291">
        <v>391871</v>
      </c>
      <c r="Y2291">
        <v>0.65</v>
      </c>
      <c r="Z2291">
        <v>1684</v>
      </c>
      <c r="AA2291">
        <v>3854</v>
      </c>
      <c r="AB2291" t="s">
        <v>116</v>
      </c>
      <c r="AC2291">
        <v>524200</v>
      </c>
      <c r="AD2291">
        <v>0</v>
      </c>
      <c r="AE2291" t="s">
        <v>116</v>
      </c>
      <c r="AF2291" t="s">
        <v>116</v>
      </c>
      <c r="AG2291">
        <v>98.08</v>
      </c>
      <c r="AH2291" t="s">
        <v>10826</v>
      </c>
      <c r="AI2291" t="s">
        <v>10827</v>
      </c>
      <c r="AJ2291">
        <v>2.08</v>
      </c>
      <c r="AK2291">
        <v>3958</v>
      </c>
      <c r="AL2291">
        <v>163</v>
      </c>
      <c r="AM2291">
        <v>2.0000000000000001E-4</v>
      </c>
      <c r="AN2291">
        <v>4</v>
      </c>
      <c r="AO2291">
        <v>4.3</v>
      </c>
      <c r="AP2291">
        <v>9.18</v>
      </c>
      <c r="AQ2291">
        <v>7.09</v>
      </c>
      <c r="AR2291">
        <v>17.68</v>
      </c>
      <c r="AS2291">
        <v>1.51</v>
      </c>
      <c r="AT2291" t="s">
        <v>10828</v>
      </c>
      <c r="AU2291">
        <v>35.409999999999997</v>
      </c>
      <c r="AV2291">
        <v>33.799999999999997</v>
      </c>
      <c r="AW2291">
        <v>1.52</v>
      </c>
      <c r="BA2291">
        <v>-0.36</v>
      </c>
      <c r="BB2291">
        <v>3.28</v>
      </c>
      <c r="BC2291">
        <v>-0.55000000000000004</v>
      </c>
      <c r="BD2291">
        <v>2.09</v>
      </c>
      <c r="BE2291">
        <v>2.38</v>
      </c>
      <c r="BF2291">
        <v>-1.24</v>
      </c>
      <c r="BG2291">
        <v>2.57</v>
      </c>
      <c r="BH2291">
        <v>-0.09</v>
      </c>
      <c r="BI2291">
        <v>20191030</v>
      </c>
      <c r="BJ2291">
        <v>19971105</v>
      </c>
      <c r="BK2291">
        <v>163.80000000000001</v>
      </c>
      <c r="BL2291" t="s">
        <v>116</v>
      </c>
      <c r="BM2291">
        <v>51.77</v>
      </c>
      <c r="BN2291">
        <v>2813.43</v>
      </c>
      <c r="BO2291">
        <v>679.66</v>
      </c>
      <c r="BP2291">
        <v>37.51</v>
      </c>
      <c r="BQ2291">
        <v>74.510000000000005</v>
      </c>
      <c r="BR2291">
        <v>189.7</v>
      </c>
      <c r="BS2291">
        <v>898.16</v>
      </c>
      <c r="BT2291">
        <v>17.28</v>
      </c>
      <c r="BU2291">
        <v>741.76</v>
      </c>
      <c r="BV2291">
        <v>23.93</v>
      </c>
      <c r="BW2291">
        <v>26.37</v>
      </c>
      <c r="BX2291">
        <v>342.91</v>
      </c>
      <c r="BY2291">
        <v>934</v>
      </c>
      <c r="BZ2291">
        <v>797.69</v>
      </c>
      <c r="CA2291">
        <v>55.24</v>
      </c>
      <c r="CB2291">
        <v>3.19</v>
      </c>
      <c r="CC2291">
        <v>60.95</v>
      </c>
      <c r="CD2291">
        <v>47.81</v>
      </c>
      <c r="CE2291">
        <v>43.67</v>
      </c>
      <c r="CF2291">
        <v>38.93</v>
      </c>
      <c r="CG2291">
        <v>188.83</v>
      </c>
      <c r="CH2291">
        <v>207.03</v>
      </c>
      <c r="CI2291">
        <v>8.75</v>
      </c>
      <c r="CJ2291">
        <v>212425</v>
      </c>
      <c r="CK2291">
        <v>20140</v>
      </c>
      <c r="CL2291" t="s">
        <v>7885</v>
      </c>
      <c r="CM2291">
        <v>-2.74</v>
      </c>
      <c r="CN2291">
        <v>6.28</v>
      </c>
      <c r="CO2291">
        <v>1.35</v>
      </c>
      <c r="CP2291">
        <v>4.42</v>
      </c>
      <c r="CQ2291">
        <v>0.98</v>
      </c>
      <c r="CR2291">
        <v>0</v>
      </c>
      <c r="CS2291" t="s">
        <v>3995</v>
      </c>
      <c r="CT2291">
        <v>4.1500000000000004</v>
      </c>
      <c r="CU2291">
        <v>0</v>
      </c>
      <c r="CV2291">
        <v>2.09</v>
      </c>
      <c r="CW2291">
        <v>1.1499999999999999</v>
      </c>
      <c r="CX2291">
        <v>1.26</v>
      </c>
      <c r="CY2291">
        <v>24.16</v>
      </c>
      <c r="CZ2291" t="s">
        <v>3306</v>
      </c>
      <c r="DA2291">
        <v>14.59</v>
      </c>
      <c r="DB2291">
        <v>5.91</v>
      </c>
      <c r="DC2291">
        <v>4.68</v>
      </c>
      <c r="DD2291">
        <v>0.72</v>
      </c>
      <c r="DE2291">
        <v>78290</v>
      </c>
      <c r="DF2291">
        <v>600115</v>
      </c>
      <c r="DG2291" t="s">
        <v>116</v>
      </c>
      <c r="DH2291" t="s">
        <v>116</v>
      </c>
      <c r="DI2291" t="s">
        <v>116</v>
      </c>
    </row>
    <row r="2292" spans="1:113" x14ac:dyDescent="0.4">
      <c r="A2292" t="str">
        <f>"600116"</f>
        <v>600116</v>
      </c>
      <c r="B2292" t="s">
        <v>10829</v>
      </c>
      <c r="C2292">
        <v>-7.35</v>
      </c>
      <c r="D2292">
        <v>7.56</v>
      </c>
      <c r="E2292">
        <v>-0.6</v>
      </c>
      <c r="F2292">
        <v>7.56</v>
      </c>
      <c r="G2292">
        <v>7.57</v>
      </c>
      <c r="H2292">
        <v>258373</v>
      </c>
      <c r="I2292">
        <v>1285</v>
      </c>
      <c r="J2292">
        <v>0.13</v>
      </c>
      <c r="K2292">
        <v>2.6</v>
      </c>
      <c r="L2292">
        <v>7.69</v>
      </c>
      <c r="M2292">
        <v>7.76</v>
      </c>
      <c r="N2292">
        <v>7.34</v>
      </c>
      <c r="O2292">
        <v>8.16</v>
      </c>
      <c r="P2292">
        <v>33.17</v>
      </c>
      <c r="Q2292">
        <v>195233088</v>
      </c>
      <c r="R2292">
        <v>4.3099999999999996</v>
      </c>
      <c r="S2292" t="s">
        <v>1363</v>
      </c>
      <c r="T2292" t="s">
        <v>906</v>
      </c>
      <c r="U2292">
        <v>5.15</v>
      </c>
      <c r="V2292">
        <v>7.56</v>
      </c>
      <c r="W2292">
        <v>128835</v>
      </c>
      <c r="X2292">
        <v>129538</v>
      </c>
      <c r="Y2292">
        <v>0.99</v>
      </c>
      <c r="Z2292">
        <v>1205</v>
      </c>
      <c r="AA2292">
        <v>314</v>
      </c>
      <c r="AB2292" t="s">
        <v>116</v>
      </c>
      <c r="AC2292">
        <v>5187700</v>
      </c>
      <c r="AD2292">
        <v>0.14000000000000001</v>
      </c>
      <c r="AE2292" t="s">
        <v>116</v>
      </c>
      <c r="AF2292" t="s">
        <v>116</v>
      </c>
      <c r="AG2292">
        <v>9.93</v>
      </c>
      <c r="AH2292" t="s">
        <v>2335</v>
      </c>
      <c r="AI2292" t="s">
        <v>2335</v>
      </c>
      <c r="AJ2292">
        <v>-7.28</v>
      </c>
      <c r="AK2292">
        <v>2924</v>
      </c>
      <c r="AL2292">
        <v>88</v>
      </c>
      <c r="AM2292">
        <v>8.9999999999999998E-4</v>
      </c>
      <c r="AN2292">
        <v>-1</v>
      </c>
      <c r="AO2292">
        <v>-6.54</v>
      </c>
      <c r="AP2292">
        <v>0.4</v>
      </c>
      <c r="AQ2292">
        <v>5.59</v>
      </c>
      <c r="AR2292">
        <v>4.71</v>
      </c>
      <c r="AS2292">
        <v>5.18</v>
      </c>
      <c r="AT2292" t="s">
        <v>3629</v>
      </c>
      <c r="AU2292">
        <v>35.99</v>
      </c>
      <c r="AV2292">
        <v>35.15</v>
      </c>
      <c r="AW2292">
        <v>0.48</v>
      </c>
      <c r="BA2292">
        <v>-5.76</v>
      </c>
      <c r="BB2292">
        <v>-4.9000000000000004</v>
      </c>
      <c r="BC2292">
        <v>-10.050000000000001</v>
      </c>
      <c r="BD2292">
        <v>-7.4</v>
      </c>
      <c r="BE2292">
        <v>-1.69</v>
      </c>
      <c r="BF2292">
        <v>-2.58</v>
      </c>
      <c r="BG2292">
        <v>3</v>
      </c>
      <c r="BH2292">
        <v>0.05</v>
      </c>
      <c r="BI2292">
        <v>20191117</v>
      </c>
      <c r="BJ2292">
        <v>19970804</v>
      </c>
      <c r="BK2292">
        <v>9.93</v>
      </c>
      <c r="BL2292" t="s">
        <v>116</v>
      </c>
      <c r="BM2292" t="s">
        <v>116</v>
      </c>
      <c r="BN2292">
        <v>50.83</v>
      </c>
      <c r="BO2292">
        <v>29.27</v>
      </c>
      <c r="BP2292">
        <v>-0.68</v>
      </c>
      <c r="BQ2292">
        <v>43.75</v>
      </c>
      <c r="BR2292">
        <v>9.8800000000000008</v>
      </c>
      <c r="BS2292">
        <v>36.770000000000003</v>
      </c>
      <c r="BT2292">
        <v>0.23</v>
      </c>
      <c r="BU2292">
        <v>9.8699999999999992</v>
      </c>
      <c r="BV2292">
        <v>1.53</v>
      </c>
      <c r="BW2292">
        <v>0.66</v>
      </c>
      <c r="BX2292">
        <v>7.84</v>
      </c>
      <c r="BY2292">
        <v>8.4</v>
      </c>
      <c r="BZ2292">
        <v>6.29</v>
      </c>
      <c r="CA2292">
        <v>1.89</v>
      </c>
      <c r="CB2292">
        <v>0.17</v>
      </c>
      <c r="CC2292">
        <v>1.87</v>
      </c>
      <c r="CD2292">
        <v>1.63</v>
      </c>
      <c r="CE2292">
        <v>1.7</v>
      </c>
      <c r="CF2292">
        <v>1.06</v>
      </c>
      <c r="CG2292">
        <v>10.16</v>
      </c>
      <c r="CH2292">
        <v>2.13</v>
      </c>
      <c r="CI2292">
        <v>2.04</v>
      </c>
      <c r="CJ2292">
        <v>48818</v>
      </c>
      <c r="CK2292">
        <v>10213</v>
      </c>
      <c r="CL2292" t="s">
        <v>4087</v>
      </c>
      <c r="CM2292">
        <v>-2.85</v>
      </c>
      <c r="CN2292">
        <v>1.81</v>
      </c>
      <c r="CO2292">
        <v>2.56</v>
      </c>
      <c r="CP2292">
        <v>35.25</v>
      </c>
      <c r="CQ2292">
        <v>8.94</v>
      </c>
      <c r="CR2292">
        <v>1.32</v>
      </c>
      <c r="CS2292" t="s">
        <v>4074</v>
      </c>
      <c r="CT2292">
        <v>2.95</v>
      </c>
      <c r="CU2292">
        <v>0</v>
      </c>
      <c r="CV2292">
        <v>0.79</v>
      </c>
      <c r="CW2292">
        <v>1.02</v>
      </c>
      <c r="CX2292">
        <v>0.21</v>
      </c>
      <c r="CY2292">
        <v>57.58</v>
      </c>
      <c r="CZ2292" t="s">
        <v>628</v>
      </c>
      <c r="DA2292">
        <v>25.07</v>
      </c>
      <c r="DB2292">
        <v>22.46</v>
      </c>
      <c r="DC2292">
        <v>20.2</v>
      </c>
      <c r="DD2292">
        <v>0</v>
      </c>
      <c r="DE2292">
        <v>1839</v>
      </c>
      <c r="DF2292">
        <v>600116</v>
      </c>
      <c r="DG2292" t="s">
        <v>116</v>
      </c>
      <c r="DH2292" t="s">
        <v>116</v>
      </c>
      <c r="DI2292" t="s">
        <v>116</v>
      </c>
    </row>
    <row r="2293" spans="1:113" x14ac:dyDescent="0.4">
      <c r="A2293" t="str">
        <f>"600117"</f>
        <v>600117</v>
      </c>
      <c r="B2293" t="s">
        <v>10830</v>
      </c>
      <c r="C2293">
        <v>0.28999999999999998</v>
      </c>
      <c r="D2293">
        <v>3.47</v>
      </c>
      <c r="E2293">
        <v>0.01</v>
      </c>
      <c r="F2293">
        <v>3.47</v>
      </c>
      <c r="G2293">
        <v>3.48</v>
      </c>
      <c r="H2293">
        <v>86764</v>
      </c>
      <c r="I2293">
        <v>1944</v>
      </c>
      <c r="J2293">
        <v>0</v>
      </c>
      <c r="K2293">
        <v>0.83</v>
      </c>
      <c r="L2293">
        <v>3.49</v>
      </c>
      <c r="M2293">
        <v>3.53</v>
      </c>
      <c r="N2293">
        <v>3.45</v>
      </c>
      <c r="O2293">
        <v>3.46</v>
      </c>
      <c r="P2293">
        <v>31.41</v>
      </c>
      <c r="Q2293">
        <v>30258582</v>
      </c>
      <c r="R2293">
        <v>1.41</v>
      </c>
      <c r="S2293" t="s">
        <v>1839</v>
      </c>
      <c r="T2293" t="s">
        <v>698</v>
      </c>
      <c r="U2293">
        <v>2.31</v>
      </c>
      <c r="V2293">
        <v>3.49</v>
      </c>
      <c r="W2293">
        <v>37898</v>
      </c>
      <c r="X2293">
        <v>48866</v>
      </c>
      <c r="Y2293">
        <v>0.78</v>
      </c>
      <c r="Z2293">
        <v>1190</v>
      </c>
      <c r="AA2293">
        <v>797</v>
      </c>
      <c r="AB2293" t="s">
        <v>116</v>
      </c>
      <c r="AC2293">
        <v>307100</v>
      </c>
      <c r="AD2293">
        <v>0.02</v>
      </c>
      <c r="AE2293" t="s">
        <v>116</v>
      </c>
      <c r="AF2293" t="s">
        <v>116</v>
      </c>
      <c r="AG2293">
        <v>10.45</v>
      </c>
      <c r="AH2293" t="s">
        <v>2768</v>
      </c>
      <c r="AI2293" t="s">
        <v>2768</v>
      </c>
      <c r="AJ2293">
        <v>0.37</v>
      </c>
      <c r="AK2293">
        <v>1099</v>
      </c>
      <c r="AL2293">
        <v>79</v>
      </c>
      <c r="AM2293">
        <v>8.0000000000000004E-4</v>
      </c>
      <c r="AN2293">
        <v>2</v>
      </c>
      <c r="AO2293">
        <v>0.57999999999999996</v>
      </c>
      <c r="AP2293">
        <v>6.44</v>
      </c>
      <c r="AQ2293">
        <v>3.58</v>
      </c>
      <c r="AR2293">
        <v>2.36</v>
      </c>
      <c r="AS2293">
        <v>2.31</v>
      </c>
      <c r="AT2293" t="s">
        <v>5295</v>
      </c>
      <c r="AU2293" t="s">
        <v>116</v>
      </c>
      <c r="AV2293" t="s">
        <v>116</v>
      </c>
      <c r="AW2293">
        <v>1.34</v>
      </c>
      <c r="BA2293">
        <v>0.87</v>
      </c>
      <c r="BB2293">
        <v>2.02</v>
      </c>
      <c r="BC2293">
        <v>-0.28999999999999998</v>
      </c>
      <c r="BD2293">
        <v>0.79</v>
      </c>
      <c r="BE2293">
        <v>-0.56999999999999995</v>
      </c>
      <c r="BF2293">
        <v>-1.7</v>
      </c>
      <c r="BG2293">
        <v>0.57999999999999996</v>
      </c>
      <c r="BH2293">
        <v>-0.5</v>
      </c>
      <c r="BI2293">
        <v>20191129</v>
      </c>
      <c r="BJ2293">
        <v>19971015</v>
      </c>
      <c r="BK2293">
        <v>10.45</v>
      </c>
      <c r="BL2293" t="s">
        <v>116</v>
      </c>
      <c r="BM2293" t="s">
        <v>116</v>
      </c>
      <c r="BN2293">
        <v>210.03</v>
      </c>
      <c r="BO2293">
        <v>11.92</v>
      </c>
      <c r="BP2293">
        <v>22.43</v>
      </c>
      <c r="BQ2293">
        <v>83.65</v>
      </c>
      <c r="BR2293">
        <v>69.739999999999995</v>
      </c>
      <c r="BS2293">
        <v>95.4</v>
      </c>
      <c r="BT2293">
        <v>7.54</v>
      </c>
      <c r="BU2293">
        <v>115.43</v>
      </c>
      <c r="BV2293">
        <v>27.22</v>
      </c>
      <c r="BW2293">
        <v>5.91</v>
      </c>
      <c r="BX2293">
        <v>20.420000000000002</v>
      </c>
      <c r="BY2293">
        <v>65.849999999999994</v>
      </c>
      <c r="BZ2293">
        <v>57.6</v>
      </c>
      <c r="CA2293">
        <v>0.65</v>
      </c>
      <c r="CB2293">
        <v>0.27</v>
      </c>
      <c r="CC2293">
        <v>0.63</v>
      </c>
      <c r="CD2293">
        <v>0.54</v>
      </c>
      <c r="CE2293">
        <v>0.87</v>
      </c>
      <c r="CF2293">
        <v>-1.96</v>
      </c>
      <c r="CG2293">
        <v>-21.05</v>
      </c>
      <c r="CH2293">
        <v>3.87</v>
      </c>
      <c r="CI2293">
        <v>4.6900000000000004</v>
      </c>
      <c r="CJ2293">
        <v>62675</v>
      </c>
      <c r="CK2293">
        <v>5990</v>
      </c>
      <c r="CL2293" t="s">
        <v>10831</v>
      </c>
      <c r="CM2293">
        <v>115.03</v>
      </c>
      <c r="CN2293">
        <v>29.71</v>
      </c>
      <c r="CO2293">
        <v>3.04</v>
      </c>
      <c r="CP2293">
        <v>9.3699999999999992</v>
      </c>
      <c r="CQ2293">
        <v>0.55000000000000004</v>
      </c>
      <c r="CR2293">
        <v>0</v>
      </c>
      <c r="CS2293" t="s">
        <v>6275</v>
      </c>
      <c r="CT2293">
        <v>1.1399999999999999</v>
      </c>
      <c r="CU2293">
        <v>0</v>
      </c>
      <c r="CV2293">
        <v>1.95</v>
      </c>
      <c r="CW2293">
        <v>-2.0099999999999998</v>
      </c>
      <c r="CX2293">
        <v>0.37</v>
      </c>
      <c r="CY2293">
        <v>5.67</v>
      </c>
      <c r="CZ2293" t="s">
        <v>945</v>
      </c>
      <c r="DA2293">
        <v>12.54</v>
      </c>
      <c r="DB2293">
        <v>0.99</v>
      </c>
      <c r="DC2293">
        <v>1.32</v>
      </c>
      <c r="DD2293">
        <v>7.0000000000000007E-2</v>
      </c>
      <c r="DE2293">
        <v>6668</v>
      </c>
      <c r="DF2293">
        <v>600117</v>
      </c>
      <c r="DG2293" t="s">
        <v>116</v>
      </c>
      <c r="DH2293" t="s">
        <v>116</v>
      </c>
      <c r="DI2293" t="s">
        <v>116</v>
      </c>
    </row>
    <row r="2294" spans="1:113" x14ac:dyDescent="0.4">
      <c r="A2294" t="str">
        <f>"600118"</f>
        <v>600118</v>
      </c>
      <c r="B2294" t="s">
        <v>10832</v>
      </c>
      <c r="C2294">
        <v>1.77</v>
      </c>
      <c r="D2294">
        <v>21.24</v>
      </c>
      <c r="E2294">
        <v>0.37</v>
      </c>
      <c r="F2294">
        <v>21.24</v>
      </c>
      <c r="G2294">
        <v>21.25</v>
      </c>
      <c r="H2294">
        <v>154897</v>
      </c>
      <c r="I2294">
        <v>1650</v>
      </c>
      <c r="J2294">
        <v>0.05</v>
      </c>
      <c r="K2294">
        <v>1.31</v>
      </c>
      <c r="L2294">
        <v>20.99</v>
      </c>
      <c r="M2294">
        <v>21.7</v>
      </c>
      <c r="N2294">
        <v>20.96</v>
      </c>
      <c r="O2294">
        <v>20.87</v>
      </c>
      <c r="P2294">
        <v>71.12</v>
      </c>
      <c r="Q2294">
        <v>330827040</v>
      </c>
      <c r="R2294">
        <v>2.68</v>
      </c>
      <c r="S2294" t="s">
        <v>1789</v>
      </c>
      <c r="T2294" t="s">
        <v>165</v>
      </c>
      <c r="U2294">
        <v>3.55</v>
      </c>
      <c r="V2294">
        <v>21.36</v>
      </c>
      <c r="W2294">
        <v>66712</v>
      </c>
      <c r="X2294">
        <v>88185</v>
      </c>
      <c r="Y2294">
        <v>0.76</v>
      </c>
      <c r="Z2294">
        <v>194</v>
      </c>
      <c r="AA2294">
        <v>316</v>
      </c>
      <c r="AB2294" t="s">
        <v>116</v>
      </c>
      <c r="AC2294">
        <v>1288800</v>
      </c>
      <c r="AD2294">
        <v>0.01</v>
      </c>
      <c r="AE2294" t="s">
        <v>116</v>
      </c>
      <c r="AF2294" t="s">
        <v>116</v>
      </c>
      <c r="AG2294">
        <v>11.82</v>
      </c>
      <c r="AH2294" t="s">
        <v>10833</v>
      </c>
      <c r="AI2294" t="s">
        <v>10833</v>
      </c>
      <c r="AJ2294">
        <v>1.85</v>
      </c>
      <c r="AK2294">
        <v>3527</v>
      </c>
      <c r="AL2294">
        <v>44</v>
      </c>
      <c r="AM2294">
        <v>4.0000000000000002E-4</v>
      </c>
      <c r="AN2294">
        <v>2</v>
      </c>
      <c r="AO2294">
        <v>2.06</v>
      </c>
      <c r="AP2294">
        <v>4.84</v>
      </c>
      <c r="AQ2294">
        <v>-3.1</v>
      </c>
      <c r="AR2294">
        <v>23.42</v>
      </c>
      <c r="AS2294">
        <v>2.7</v>
      </c>
      <c r="AT2294" t="s">
        <v>10834</v>
      </c>
      <c r="AU2294">
        <v>60.73</v>
      </c>
      <c r="AV2294">
        <v>60.14</v>
      </c>
      <c r="AW2294">
        <v>1.1200000000000001</v>
      </c>
      <c r="BA2294">
        <v>0.56999999999999995</v>
      </c>
      <c r="BB2294">
        <v>3.98</v>
      </c>
      <c r="BC2294">
        <v>0.43</v>
      </c>
      <c r="BD2294">
        <v>2.34</v>
      </c>
      <c r="BE2294">
        <v>1.19</v>
      </c>
      <c r="BF2294">
        <v>-2.12</v>
      </c>
      <c r="BG2294">
        <v>1.34</v>
      </c>
      <c r="BH2294">
        <v>-0.56000000000000005</v>
      </c>
      <c r="BI2294">
        <v>20191025</v>
      </c>
      <c r="BJ2294">
        <v>19970908</v>
      </c>
      <c r="BK2294">
        <v>11.82</v>
      </c>
      <c r="BL2294" t="s">
        <v>116</v>
      </c>
      <c r="BM2294" t="s">
        <v>116</v>
      </c>
      <c r="BN2294">
        <v>135.18</v>
      </c>
      <c r="BO2294">
        <v>55.91</v>
      </c>
      <c r="BP2294">
        <v>11.71</v>
      </c>
      <c r="BQ2294">
        <v>49.98</v>
      </c>
      <c r="BR2294">
        <v>110.42</v>
      </c>
      <c r="BS2294">
        <v>11.38</v>
      </c>
      <c r="BT2294">
        <v>5.2</v>
      </c>
      <c r="BU2294">
        <v>65.67</v>
      </c>
      <c r="BV2294">
        <v>19.46</v>
      </c>
      <c r="BW2294">
        <v>49.76</v>
      </c>
      <c r="BX2294">
        <v>16.420000000000002</v>
      </c>
      <c r="BY2294">
        <v>43.93</v>
      </c>
      <c r="BZ2294">
        <v>37.42</v>
      </c>
      <c r="CA2294">
        <v>3.17</v>
      </c>
      <c r="CB2294">
        <v>-0.02</v>
      </c>
      <c r="CC2294">
        <v>3.19</v>
      </c>
      <c r="CD2294">
        <v>3.01</v>
      </c>
      <c r="CE2294">
        <v>2.65</v>
      </c>
      <c r="CF2294">
        <v>2.48</v>
      </c>
      <c r="CG2294">
        <v>26.16</v>
      </c>
      <c r="CH2294">
        <v>-0.21</v>
      </c>
      <c r="CI2294">
        <v>4.03</v>
      </c>
      <c r="CJ2294">
        <v>131136</v>
      </c>
      <c r="CK2294">
        <v>4377</v>
      </c>
      <c r="CL2294" t="s">
        <v>298</v>
      </c>
      <c r="CM2294">
        <v>-1.51</v>
      </c>
      <c r="CN2294">
        <v>-3.12</v>
      </c>
      <c r="CO2294">
        <v>4.49</v>
      </c>
      <c r="CP2294">
        <v>-1199.53</v>
      </c>
      <c r="CQ2294">
        <v>5.72</v>
      </c>
      <c r="CR2294">
        <v>0.52</v>
      </c>
      <c r="CS2294" t="s">
        <v>6486</v>
      </c>
      <c r="CT2294">
        <v>4.7300000000000004</v>
      </c>
      <c r="CU2294">
        <v>0</v>
      </c>
      <c r="CV2294">
        <v>1.39</v>
      </c>
      <c r="CW2294">
        <v>2.21</v>
      </c>
      <c r="CX2294">
        <v>-0.02</v>
      </c>
      <c r="CY2294">
        <v>41.36</v>
      </c>
      <c r="CZ2294" t="s">
        <v>2987</v>
      </c>
      <c r="DA2294">
        <v>14.82</v>
      </c>
      <c r="DB2294">
        <v>7.22</v>
      </c>
      <c r="DC2294">
        <v>6.03</v>
      </c>
      <c r="DD2294">
        <v>0.52</v>
      </c>
      <c r="DE2294">
        <v>4493</v>
      </c>
      <c r="DF2294">
        <v>600118</v>
      </c>
      <c r="DG2294" t="s">
        <v>116</v>
      </c>
      <c r="DH2294" t="s">
        <v>116</v>
      </c>
      <c r="DI2294" t="s">
        <v>116</v>
      </c>
    </row>
    <row r="2295" spans="1:113" x14ac:dyDescent="0.4">
      <c r="A2295" t="str">
        <f>"600119"</f>
        <v>600119</v>
      </c>
      <c r="B2295" t="s">
        <v>10835</v>
      </c>
      <c r="C2295">
        <v>-0.73</v>
      </c>
      <c r="D2295">
        <v>5.46</v>
      </c>
      <c r="E2295">
        <v>-0.04</v>
      </c>
      <c r="F2295">
        <v>5.45</v>
      </c>
      <c r="G2295">
        <v>5.46</v>
      </c>
      <c r="H2295">
        <v>27094</v>
      </c>
      <c r="I2295">
        <v>276</v>
      </c>
      <c r="J2295">
        <v>0</v>
      </c>
      <c r="K2295">
        <v>0.88</v>
      </c>
      <c r="L2295">
        <v>5.48</v>
      </c>
      <c r="M2295">
        <v>5.54</v>
      </c>
      <c r="N2295">
        <v>5.43</v>
      </c>
      <c r="O2295">
        <v>5.5</v>
      </c>
      <c r="P2295" t="s">
        <v>116</v>
      </c>
      <c r="Q2295">
        <v>14847985</v>
      </c>
      <c r="R2295">
        <v>1.0900000000000001</v>
      </c>
      <c r="S2295" t="s">
        <v>3113</v>
      </c>
      <c r="T2295" t="s">
        <v>1653</v>
      </c>
      <c r="U2295">
        <v>2</v>
      </c>
      <c r="V2295">
        <v>5.48</v>
      </c>
      <c r="W2295">
        <v>16770</v>
      </c>
      <c r="X2295">
        <v>10324</v>
      </c>
      <c r="Y2295">
        <v>1.62</v>
      </c>
      <c r="Z2295">
        <v>148</v>
      </c>
      <c r="AA2295">
        <v>32</v>
      </c>
      <c r="AB2295" t="s">
        <v>116</v>
      </c>
      <c r="AC2295">
        <v>30700</v>
      </c>
      <c r="AD2295">
        <v>0</v>
      </c>
      <c r="AE2295" t="s">
        <v>116</v>
      </c>
      <c r="AF2295" t="s">
        <v>116</v>
      </c>
      <c r="AG2295">
        <v>3.07</v>
      </c>
      <c r="AH2295" t="s">
        <v>6674</v>
      </c>
      <c r="AI2295" t="s">
        <v>6674</v>
      </c>
      <c r="AJ2295">
        <v>-0.65</v>
      </c>
      <c r="AK2295">
        <v>355</v>
      </c>
      <c r="AL2295">
        <v>76</v>
      </c>
      <c r="AM2295">
        <v>2.5000000000000001E-3</v>
      </c>
      <c r="AN2295">
        <v>-2</v>
      </c>
      <c r="AO2295">
        <v>-2.33</v>
      </c>
      <c r="AP2295">
        <v>-0.18</v>
      </c>
      <c r="AQ2295">
        <v>5.81</v>
      </c>
      <c r="AR2295">
        <v>-25.51</v>
      </c>
      <c r="AS2295">
        <v>1.37</v>
      </c>
      <c r="AT2295" t="s">
        <v>4179</v>
      </c>
      <c r="AU2295" t="s">
        <v>116</v>
      </c>
      <c r="AV2295" t="s">
        <v>116</v>
      </c>
      <c r="AW2295">
        <v>0.31</v>
      </c>
      <c r="BA2295">
        <v>-0.36</v>
      </c>
      <c r="BB2295">
        <v>0.73</v>
      </c>
      <c r="BC2295">
        <v>-1.27</v>
      </c>
      <c r="BD2295">
        <v>-0.36</v>
      </c>
      <c r="BE2295">
        <v>-0.36</v>
      </c>
      <c r="BF2295">
        <v>-1.44</v>
      </c>
      <c r="BG2295">
        <v>0.55000000000000004</v>
      </c>
      <c r="BH2295">
        <v>-0.37</v>
      </c>
      <c r="BI2295">
        <v>20191030</v>
      </c>
      <c r="BJ2295">
        <v>19980115</v>
      </c>
      <c r="BK2295">
        <v>3.07</v>
      </c>
      <c r="BL2295" t="s">
        <v>116</v>
      </c>
      <c r="BM2295" t="s">
        <v>116</v>
      </c>
      <c r="BN2295">
        <v>15.64</v>
      </c>
      <c r="BO2295">
        <v>0.85</v>
      </c>
      <c r="BP2295">
        <v>1.75</v>
      </c>
      <c r="BQ2295">
        <v>83.38</v>
      </c>
      <c r="BR2295">
        <v>6.6</v>
      </c>
      <c r="BS2295">
        <v>3.49</v>
      </c>
      <c r="BT2295">
        <v>1.22</v>
      </c>
      <c r="BU2295">
        <v>11.76</v>
      </c>
      <c r="BV2295">
        <v>0.43</v>
      </c>
      <c r="BW2295">
        <v>3.89</v>
      </c>
      <c r="BX2295">
        <v>3.32</v>
      </c>
      <c r="BY2295">
        <v>5.66</v>
      </c>
      <c r="BZ2295">
        <v>4.6900000000000004</v>
      </c>
      <c r="CA2295">
        <v>-0.38</v>
      </c>
      <c r="CB2295">
        <v>-0.02</v>
      </c>
      <c r="CC2295">
        <v>-0.33</v>
      </c>
      <c r="CD2295">
        <v>-0.42</v>
      </c>
      <c r="CE2295">
        <v>-0.55000000000000004</v>
      </c>
      <c r="CF2295">
        <v>-0.59</v>
      </c>
      <c r="CG2295">
        <v>-6.17</v>
      </c>
      <c r="CH2295">
        <v>-0.32</v>
      </c>
      <c r="CI2295">
        <v>-0.74</v>
      </c>
      <c r="CJ2295">
        <v>32262</v>
      </c>
      <c r="CK2295">
        <v>6133</v>
      </c>
      <c r="CL2295" t="s">
        <v>10836</v>
      </c>
      <c r="CM2295">
        <v>81.23</v>
      </c>
      <c r="CN2295">
        <v>-33.81</v>
      </c>
      <c r="CO2295">
        <v>19.690000000000001</v>
      </c>
      <c r="CP2295">
        <v>-52.43</v>
      </c>
      <c r="CQ2295">
        <v>2.96</v>
      </c>
      <c r="CR2295">
        <v>0</v>
      </c>
      <c r="CS2295" t="s">
        <v>1755</v>
      </c>
      <c r="CT2295">
        <v>0.28000000000000003</v>
      </c>
      <c r="CU2295">
        <v>0</v>
      </c>
      <c r="CV2295">
        <v>1.08</v>
      </c>
      <c r="CW2295">
        <v>-2.0099999999999998</v>
      </c>
      <c r="CX2295">
        <v>-0.1</v>
      </c>
      <c r="CY2295">
        <v>5.45</v>
      </c>
      <c r="CZ2295" t="s">
        <v>10837</v>
      </c>
      <c r="DA2295">
        <v>17.2</v>
      </c>
      <c r="DB2295">
        <v>-6.66</v>
      </c>
      <c r="DC2295">
        <v>-9.65</v>
      </c>
      <c r="DD2295">
        <v>0.05</v>
      </c>
      <c r="DE2295">
        <v>619</v>
      </c>
      <c r="DF2295">
        <v>600119</v>
      </c>
      <c r="DG2295" t="s">
        <v>116</v>
      </c>
      <c r="DH2295" t="s">
        <v>116</v>
      </c>
      <c r="DI2295" t="s">
        <v>116</v>
      </c>
    </row>
    <row r="2296" spans="1:113" x14ac:dyDescent="0.4">
      <c r="A2296" t="str">
        <f>"600120"</f>
        <v>600120</v>
      </c>
      <c r="B2296" t="s">
        <v>10838</v>
      </c>
      <c r="C2296">
        <v>0.47</v>
      </c>
      <c r="D2296">
        <v>8.5299999999999994</v>
      </c>
      <c r="E2296">
        <v>0.04</v>
      </c>
      <c r="F2296">
        <v>8.5299999999999994</v>
      </c>
      <c r="G2296">
        <v>8.5399999999999991</v>
      </c>
      <c r="H2296">
        <v>119728</v>
      </c>
      <c r="I2296">
        <v>801</v>
      </c>
      <c r="J2296">
        <v>0.12</v>
      </c>
      <c r="K2296">
        <v>0.99</v>
      </c>
      <c r="L2296">
        <v>8.4700000000000006</v>
      </c>
      <c r="M2296">
        <v>8.67</v>
      </c>
      <c r="N2296">
        <v>8.43</v>
      </c>
      <c r="O2296">
        <v>8.49</v>
      </c>
      <c r="P2296">
        <v>16.579999999999998</v>
      </c>
      <c r="Q2296">
        <v>102632792</v>
      </c>
      <c r="R2296">
        <v>1.49</v>
      </c>
      <c r="S2296" t="s">
        <v>732</v>
      </c>
      <c r="T2296" t="s">
        <v>590</v>
      </c>
      <c r="U2296">
        <v>2.83</v>
      </c>
      <c r="V2296">
        <v>8.57</v>
      </c>
      <c r="W2296">
        <v>63087</v>
      </c>
      <c r="X2296">
        <v>56641</v>
      </c>
      <c r="Y2296">
        <v>1.1100000000000001</v>
      </c>
      <c r="Z2296">
        <v>200</v>
      </c>
      <c r="AA2296">
        <v>566</v>
      </c>
      <c r="AB2296" t="s">
        <v>116</v>
      </c>
      <c r="AC2296">
        <v>402300</v>
      </c>
      <c r="AD2296">
        <v>0.01</v>
      </c>
      <c r="AE2296" t="s">
        <v>116</v>
      </c>
      <c r="AF2296" t="s">
        <v>116</v>
      </c>
      <c r="AG2296">
        <v>12.11</v>
      </c>
      <c r="AH2296" t="s">
        <v>3424</v>
      </c>
      <c r="AI2296" t="s">
        <v>4492</v>
      </c>
      <c r="AJ2296">
        <v>0.55000000000000004</v>
      </c>
      <c r="AK2296">
        <v>2526</v>
      </c>
      <c r="AL2296">
        <v>47</v>
      </c>
      <c r="AM2296">
        <v>4.0000000000000002E-4</v>
      </c>
      <c r="AN2296">
        <v>2</v>
      </c>
      <c r="AO2296">
        <v>1.3</v>
      </c>
      <c r="AP2296">
        <v>6.36</v>
      </c>
      <c r="AQ2296">
        <v>0.52</v>
      </c>
      <c r="AR2296">
        <v>24.6</v>
      </c>
      <c r="AS2296">
        <v>1.76</v>
      </c>
      <c r="AT2296" t="s">
        <v>10839</v>
      </c>
      <c r="AU2296">
        <v>18.04</v>
      </c>
      <c r="AV2296">
        <v>19.29</v>
      </c>
      <c r="AW2296">
        <v>1.68</v>
      </c>
      <c r="BA2296">
        <v>-0.24</v>
      </c>
      <c r="BB2296">
        <v>2.12</v>
      </c>
      <c r="BC2296">
        <v>-0.71</v>
      </c>
      <c r="BD2296">
        <v>0.97</v>
      </c>
      <c r="BE2296">
        <v>0.71</v>
      </c>
      <c r="BF2296">
        <v>-1.61</v>
      </c>
      <c r="BG2296">
        <v>1.19</v>
      </c>
      <c r="BH2296">
        <v>-0.5</v>
      </c>
      <c r="BI2296">
        <v>20191031</v>
      </c>
      <c r="BJ2296">
        <v>19971201</v>
      </c>
      <c r="BK2296">
        <v>15.91</v>
      </c>
      <c r="BL2296" t="s">
        <v>116</v>
      </c>
      <c r="BM2296" t="s">
        <v>116</v>
      </c>
      <c r="BN2296">
        <v>212.59</v>
      </c>
      <c r="BO2296">
        <v>108.26</v>
      </c>
      <c r="BP2296">
        <v>7.35</v>
      </c>
      <c r="BQ2296">
        <v>45.62</v>
      </c>
      <c r="BR2296">
        <v>0</v>
      </c>
      <c r="BS2296">
        <v>1.1299999999999999</v>
      </c>
      <c r="BT2296">
        <v>4.88</v>
      </c>
      <c r="BU2296">
        <v>0</v>
      </c>
      <c r="BV2296">
        <v>6.62</v>
      </c>
      <c r="BW2296">
        <v>0</v>
      </c>
      <c r="BX2296">
        <v>16.739999999999998</v>
      </c>
      <c r="BY2296">
        <v>81.97</v>
      </c>
      <c r="BZ2296">
        <v>0</v>
      </c>
      <c r="CA2296">
        <v>9.2100000000000009</v>
      </c>
      <c r="CB2296">
        <v>1.44</v>
      </c>
      <c r="CC2296">
        <v>9.2100000000000009</v>
      </c>
      <c r="CD2296">
        <v>7.55</v>
      </c>
      <c r="CE2296">
        <v>6.14</v>
      </c>
      <c r="CF2296">
        <v>4.3899999999999997</v>
      </c>
      <c r="CG2296">
        <v>59.2</v>
      </c>
      <c r="CH2296">
        <v>-7.38</v>
      </c>
      <c r="CI2296">
        <v>-1.91</v>
      </c>
      <c r="CJ2296">
        <v>39191</v>
      </c>
      <c r="CK2296">
        <v>17392</v>
      </c>
      <c r="CL2296" t="s">
        <v>10840</v>
      </c>
      <c r="CM2296">
        <v>8.64</v>
      </c>
      <c r="CN2296">
        <v>34.57</v>
      </c>
      <c r="CO2296">
        <v>1.25</v>
      </c>
      <c r="CP2296">
        <v>-18.39</v>
      </c>
      <c r="CQ2296">
        <v>1.66</v>
      </c>
      <c r="CR2296">
        <v>0.64</v>
      </c>
      <c r="CS2296" t="s">
        <v>6325</v>
      </c>
      <c r="CT2296">
        <v>6.8</v>
      </c>
      <c r="CU2296">
        <v>0</v>
      </c>
      <c r="CV2296">
        <v>1.05</v>
      </c>
      <c r="CW2296">
        <v>3.72</v>
      </c>
      <c r="CX2296">
        <v>-0.46</v>
      </c>
      <c r="CY2296">
        <v>50.92</v>
      </c>
      <c r="CZ2296" t="s">
        <v>4881</v>
      </c>
      <c r="DA2296" t="s">
        <v>116</v>
      </c>
      <c r="DB2296">
        <v>11.24</v>
      </c>
      <c r="DC2296">
        <v>7.49</v>
      </c>
      <c r="DD2296">
        <v>0</v>
      </c>
      <c r="DE2296">
        <v>1505</v>
      </c>
      <c r="DF2296">
        <v>600120</v>
      </c>
      <c r="DG2296" t="s">
        <v>116</v>
      </c>
      <c r="DH2296" t="s">
        <v>116</v>
      </c>
      <c r="DI2296" t="s">
        <v>116</v>
      </c>
    </row>
    <row r="2297" spans="1:113" x14ac:dyDescent="0.4">
      <c r="A2297" t="str">
        <f>"600121"</f>
        <v>600121</v>
      </c>
      <c r="B2297" t="s">
        <v>10841</v>
      </c>
      <c r="C2297">
        <v>0.43</v>
      </c>
      <c r="D2297">
        <v>2.3199999999999998</v>
      </c>
      <c r="E2297">
        <v>0.01</v>
      </c>
      <c r="F2297">
        <v>2.31</v>
      </c>
      <c r="G2297">
        <v>2.3199999999999998</v>
      </c>
      <c r="H2297">
        <v>116993</v>
      </c>
      <c r="I2297">
        <v>2117</v>
      </c>
      <c r="J2297">
        <v>-0.42</v>
      </c>
      <c r="K2297">
        <v>0.96</v>
      </c>
      <c r="L2297">
        <v>2.2999999999999998</v>
      </c>
      <c r="M2297">
        <v>2.39</v>
      </c>
      <c r="N2297">
        <v>2.2999999999999998</v>
      </c>
      <c r="O2297">
        <v>2.31</v>
      </c>
      <c r="P2297" t="s">
        <v>116</v>
      </c>
      <c r="Q2297">
        <v>27416196</v>
      </c>
      <c r="R2297">
        <v>2.0699999999999998</v>
      </c>
      <c r="S2297" t="s">
        <v>1121</v>
      </c>
      <c r="T2297" t="s">
        <v>652</v>
      </c>
      <c r="U2297">
        <v>3.9</v>
      </c>
      <c r="V2297">
        <v>2.34</v>
      </c>
      <c r="W2297">
        <v>53129</v>
      </c>
      <c r="X2297">
        <v>63864</v>
      </c>
      <c r="Y2297">
        <v>0.83</v>
      </c>
      <c r="Z2297">
        <v>1654</v>
      </c>
      <c r="AA2297">
        <v>1764</v>
      </c>
      <c r="AB2297" t="s">
        <v>116</v>
      </c>
      <c r="AC2297">
        <v>317100</v>
      </c>
      <c r="AD2297">
        <v>0.03</v>
      </c>
      <c r="AE2297" t="s">
        <v>116</v>
      </c>
      <c r="AF2297" t="s">
        <v>116</v>
      </c>
      <c r="AG2297">
        <v>12.18</v>
      </c>
      <c r="AH2297" t="s">
        <v>5768</v>
      </c>
      <c r="AI2297" t="s">
        <v>5768</v>
      </c>
      <c r="AJ2297">
        <v>0.51</v>
      </c>
      <c r="AK2297">
        <v>719</v>
      </c>
      <c r="AL2297">
        <v>163</v>
      </c>
      <c r="AM2297">
        <v>1.2999999999999999E-3</v>
      </c>
      <c r="AN2297">
        <v>2</v>
      </c>
      <c r="AO2297">
        <v>0.43</v>
      </c>
      <c r="AP2297">
        <v>0</v>
      </c>
      <c r="AQ2297">
        <v>-3.33</v>
      </c>
      <c r="AR2297">
        <v>-2.3199999999999998</v>
      </c>
      <c r="AS2297">
        <v>2.65</v>
      </c>
      <c r="AT2297" t="s">
        <v>10842</v>
      </c>
      <c r="AU2297" t="s">
        <v>116</v>
      </c>
      <c r="AV2297">
        <v>18.54</v>
      </c>
      <c r="AW2297">
        <v>1.22</v>
      </c>
      <c r="BA2297">
        <v>-0.43</v>
      </c>
      <c r="BB2297">
        <v>3.46</v>
      </c>
      <c r="BC2297">
        <v>-0.43</v>
      </c>
      <c r="BD2297">
        <v>1.45</v>
      </c>
      <c r="BE2297">
        <v>0.87</v>
      </c>
      <c r="BF2297">
        <v>-2.93</v>
      </c>
      <c r="BG2297">
        <v>0.87</v>
      </c>
      <c r="BH2297">
        <v>-1.01</v>
      </c>
      <c r="BI2297">
        <v>20191031</v>
      </c>
      <c r="BJ2297">
        <v>19980107</v>
      </c>
      <c r="BK2297">
        <v>12.18</v>
      </c>
      <c r="BL2297" t="s">
        <v>116</v>
      </c>
      <c r="BM2297" t="s">
        <v>116</v>
      </c>
      <c r="BN2297">
        <v>131.57</v>
      </c>
      <c r="BO2297">
        <v>34.270000000000003</v>
      </c>
      <c r="BP2297">
        <v>10.81</v>
      </c>
      <c r="BQ2297">
        <v>65.73</v>
      </c>
      <c r="BR2297">
        <v>62.22</v>
      </c>
      <c r="BS2297">
        <v>43.6</v>
      </c>
      <c r="BT2297">
        <v>4.96</v>
      </c>
      <c r="BU2297">
        <v>82.66</v>
      </c>
      <c r="BV2297">
        <v>3</v>
      </c>
      <c r="BW2297">
        <v>23.01</v>
      </c>
      <c r="BX2297">
        <v>2.41</v>
      </c>
      <c r="BY2297">
        <v>29.13</v>
      </c>
      <c r="BZ2297">
        <v>21.52</v>
      </c>
      <c r="CA2297">
        <v>1.33</v>
      </c>
      <c r="CB2297">
        <v>0.01</v>
      </c>
      <c r="CC2297">
        <v>1.57</v>
      </c>
      <c r="CD2297">
        <v>0.65</v>
      </c>
      <c r="CE2297">
        <v>-0.65</v>
      </c>
      <c r="CF2297">
        <v>-0.87</v>
      </c>
      <c r="CG2297">
        <v>10.36</v>
      </c>
      <c r="CH2297">
        <v>-0.86</v>
      </c>
      <c r="CI2297">
        <v>-4.59</v>
      </c>
      <c r="CJ2297">
        <v>47124</v>
      </c>
      <c r="CK2297">
        <v>9353</v>
      </c>
      <c r="CL2297" t="s">
        <v>2024</v>
      </c>
      <c r="CM2297">
        <v>-139.16999999999999</v>
      </c>
      <c r="CN2297">
        <v>-20.29</v>
      </c>
      <c r="CO2297">
        <v>0.82</v>
      </c>
      <c r="CP2297">
        <v>-32.72</v>
      </c>
      <c r="CQ2297">
        <v>0.97</v>
      </c>
      <c r="CR2297">
        <v>1.8</v>
      </c>
      <c r="CS2297" t="s">
        <v>6511</v>
      </c>
      <c r="CT2297">
        <v>2.81</v>
      </c>
      <c r="CU2297">
        <v>0</v>
      </c>
      <c r="CV2297">
        <v>0.2</v>
      </c>
      <c r="CW2297">
        <v>0.85</v>
      </c>
      <c r="CX2297">
        <v>-7.0000000000000007E-2</v>
      </c>
      <c r="CY2297">
        <v>26.05</v>
      </c>
      <c r="CZ2297" t="s">
        <v>4033</v>
      </c>
      <c r="DA2297">
        <v>26.15</v>
      </c>
      <c r="DB2297">
        <v>4.57</v>
      </c>
      <c r="DC2297">
        <v>-2.2200000000000002</v>
      </c>
      <c r="DD2297">
        <v>0.01</v>
      </c>
      <c r="DE2297">
        <v>16027</v>
      </c>
      <c r="DF2297">
        <v>600121</v>
      </c>
      <c r="DG2297" t="s">
        <v>116</v>
      </c>
      <c r="DH2297" t="s">
        <v>116</v>
      </c>
      <c r="DI2297" t="s">
        <v>116</v>
      </c>
    </row>
    <row r="2298" spans="1:113" x14ac:dyDescent="0.4">
      <c r="A2298" t="str">
        <f>"600122"</f>
        <v>600122</v>
      </c>
      <c r="B2298" t="s">
        <v>10843</v>
      </c>
      <c r="C2298">
        <v>-0.37</v>
      </c>
      <c r="D2298">
        <v>2.66</v>
      </c>
      <c r="E2298">
        <v>-0.01</v>
      </c>
      <c r="F2298">
        <v>2.65</v>
      </c>
      <c r="G2298">
        <v>2.66</v>
      </c>
      <c r="H2298">
        <v>145475</v>
      </c>
      <c r="I2298">
        <v>1814</v>
      </c>
      <c r="J2298">
        <v>0.38</v>
      </c>
      <c r="K2298">
        <v>1.26</v>
      </c>
      <c r="L2298">
        <v>2.66</v>
      </c>
      <c r="M2298">
        <v>2.69</v>
      </c>
      <c r="N2298">
        <v>2.65</v>
      </c>
      <c r="O2298">
        <v>2.67</v>
      </c>
      <c r="P2298" t="s">
        <v>116</v>
      </c>
      <c r="Q2298">
        <v>38815436</v>
      </c>
      <c r="R2298">
        <v>0.98</v>
      </c>
      <c r="S2298" t="s">
        <v>225</v>
      </c>
      <c r="T2298" t="s">
        <v>323</v>
      </c>
      <c r="U2298">
        <v>1.5</v>
      </c>
      <c r="V2298">
        <v>2.67</v>
      </c>
      <c r="W2298">
        <v>89446</v>
      </c>
      <c r="X2298">
        <v>56029</v>
      </c>
      <c r="Y2298">
        <v>1.6</v>
      </c>
      <c r="Z2298">
        <v>6430</v>
      </c>
      <c r="AA2298">
        <v>467</v>
      </c>
      <c r="AB2298" t="s">
        <v>116</v>
      </c>
      <c r="AC2298">
        <v>414700</v>
      </c>
      <c r="AD2298">
        <v>0.02</v>
      </c>
      <c r="AE2298" t="s">
        <v>116</v>
      </c>
      <c r="AF2298" t="s">
        <v>116</v>
      </c>
      <c r="AG2298">
        <v>11.58</v>
      </c>
      <c r="AH2298" t="s">
        <v>7769</v>
      </c>
      <c r="AI2298" t="s">
        <v>7769</v>
      </c>
      <c r="AJ2298">
        <v>-0.3</v>
      </c>
      <c r="AK2298">
        <v>1362</v>
      </c>
      <c r="AL2298">
        <v>107</v>
      </c>
      <c r="AM2298">
        <v>8.9999999999999998E-4</v>
      </c>
      <c r="AN2298">
        <v>-1</v>
      </c>
      <c r="AO2298">
        <v>-0.38</v>
      </c>
      <c r="AP2298">
        <v>4.72</v>
      </c>
      <c r="AQ2298">
        <v>-25.07</v>
      </c>
      <c r="AR2298">
        <v>-26.72</v>
      </c>
      <c r="AS2298">
        <v>1.77</v>
      </c>
      <c r="AT2298" t="s">
        <v>5866</v>
      </c>
      <c r="AU2298" t="s">
        <v>116</v>
      </c>
      <c r="AV2298" t="s">
        <v>116</v>
      </c>
      <c r="AW2298">
        <v>1.97</v>
      </c>
      <c r="BA2298">
        <v>-0.37</v>
      </c>
      <c r="BB2298">
        <v>0.75</v>
      </c>
      <c r="BC2298">
        <v>-0.75</v>
      </c>
      <c r="BD2298">
        <v>-7.0000000000000007E-2</v>
      </c>
      <c r="BE2298">
        <v>0</v>
      </c>
      <c r="BF2298">
        <v>-1.1200000000000001</v>
      </c>
      <c r="BG2298">
        <v>0.38</v>
      </c>
      <c r="BH2298">
        <v>-0.31</v>
      </c>
      <c r="BI2298">
        <v>20191030</v>
      </c>
      <c r="BJ2298">
        <v>19980420</v>
      </c>
      <c r="BK2298">
        <v>11.58</v>
      </c>
      <c r="BL2298" t="s">
        <v>116</v>
      </c>
      <c r="BM2298" t="s">
        <v>116</v>
      </c>
      <c r="BN2298">
        <v>156.06</v>
      </c>
      <c r="BO2298">
        <v>58.09</v>
      </c>
      <c r="BP2298">
        <v>6.2</v>
      </c>
      <c r="BQ2298">
        <v>58.81</v>
      </c>
      <c r="BR2298">
        <v>116.21</v>
      </c>
      <c r="BS2298">
        <v>5.43</v>
      </c>
      <c r="BT2298">
        <v>0.46</v>
      </c>
      <c r="BU2298">
        <v>79.17</v>
      </c>
      <c r="BV2298">
        <v>28.56</v>
      </c>
      <c r="BW2298">
        <v>18.02</v>
      </c>
      <c r="BX2298">
        <v>20.56</v>
      </c>
      <c r="BY2298">
        <v>29.14</v>
      </c>
      <c r="BZ2298">
        <v>27.24</v>
      </c>
      <c r="CA2298">
        <v>-6.58</v>
      </c>
      <c r="CB2298">
        <v>0.64</v>
      </c>
      <c r="CC2298">
        <v>-6.59</v>
      </c>
      <c r="CD2298">
        <v>-6.55</v>
      </c>
      <c r="CE2298">
        <v>-6.46</v>
      </c>
      <c r="CF2298">
        <v>-6.46</v>
      </c>
      <c r="CG2298">
        <v>3.18</v>
      </c>
      <c r="CH2298">
        <v>-10.28</v>
      </c>
      <c r="CI2298">
        <v>-3.89</v>
      </c>
      <c r="CJ2298">
        <v>92824</v>
      </c>
      <c r="CK2298">
        <v>8856</v>
      </c>
      <c r="CL2298" t="s">
        <v>619</v>
      </c>
      <c r="CM2298">
        <v>-81.680000000000007</v>
      </c>
      <c r="CN2298">
        <v>-76.12</v>
      </c>
      <c r="CO2298">
        <v>0.53</v>
      </c>
      <c r="CP2298">
        <v>-3</v>
      </c>
      <c r="CQ2298">
        <v>1.06</v>
      </c>
      <c r="CR2298">
        <v>0</v>
      </c>
      <c r="CS2298" t="s">
        <v>10844</v>
      </c>
      <c r="CT2298">
        <v>5.0199999999999996</v>
      </c>
      <c r="CU2298">
        <v>0</v>
      </c>
      <c r="CV2298">
        <v>1.77</v>
      </c>
      <c r="CW2298">
        <v>0.27</v>
      </c>
      <c r="CX2298">
        <v>-0.89</v>
      </c>
      <c r="CY2298">
        <v>37.22</v>
      </c>
      <c r="CZ2298" t="s">
        <v>10845</v>
      </c>
      <c r="DA2298">
        <v>6.5</v>
      </c>
      <c r="DB2298">
        <v>-22.58</v>
      </c>
      <c r="DC2298">
        <v>-22.19</v>
      </c>
      <c r="DD2298">
        <v>0.24</v>
      </c>
      <c r="DE2298">
        <v>2583</v>
      </c>
      <c r="DF2298">
        <v>600122</v>
      </c>
      <c r="DG2298" t="s">
        <v>116</v>
      </c>
      <c r="DH2298" t="s">
        <v>116</v>
      </c>
      <c r="DI2298" t="s">
        <v>116</v>
      </c>
    </row>
    <row r="2299" spans="1:113" x14ac:dyDescent="0.4">
      <c r="A2299" t="str">
        <f>"600123"</f>
        <v>600123</v>
      </c>
      <c r="B2299" t="s">
        <v>10846</v>
      </c>
      <c r="C2299">
        <v>0.64</v>
      </c>
      <c r="D2299">
        <v>6.31</v>
      </c>
      <c r="E2299">
        <v>0.04</v>
      </c>
      <c r="F2299">
        <v>6.3</v>
      </c>
      <c r="G2299">
        <v>6.31</v>
      </c>
      <c r="H2299">
        <v>150597</v>
      </c>
      <c r="I2299">
        <v>615</v>
      </c>
      <c r="J2299">
        <v>0.16</v>
      </c>
      <c r="K2299">
        <v>1.32</v>
      </c>
      <c r="L2299">
        <v>6.26</v>
      </c>
      <c r="M2299">
        <v>6.41</v>
      </c>
      <c r="N2299">
        <v>6.25</v>
      </c>
      <c r="O2299">
        <v>6.27</v>
      </c>
      <c r="P2299">
        <v>7.31</v>
      </c>
      <c r="Q2299">
        <v>95394968</v>
      </c>
      <c r="R2299">
        <v>1.9</v>
      </c>
      <c r="S2299" t="s">
        <v>1121</v>
      </c>
      <c r="T2299" t="s">
        <v>675</v>
      </c>
      <c r="U2299">
        <v>2.5499999999999998</v>
      </c>
      <c r="V2299">
        <v>6.33</v>
      </c>
      <c r="W2299">
        <v>68363</v>
      </c>
      <c r="X2299">
        <v>82234</v>
      </c>
      <c r="Y2299">
        <v>0.83</v>
      </c>
      <c r="Z2299">
        <v>977</v>
      </c>
      <c r="AA2299">
        <v>892</v>
      </c>
      <c r="AB2299" t="s">
        <v>116</v>
      </c>
      <c r="AC2299">
        <v>147100</v>
      </c>
      <c r="AD2299">
        <v>0</v>
      </c>
      <c r="AE2299" t="s">
        <v>116</v>
      </c>
      <c r="AF2299" t="s">
        <v>116</v>
      </c>
      <c r="AG2299">
        <v>11.42</v>
      </c>
      <c r="AH2299" t="s">
        <v>10847</v>
      </c>
      <c r="AI2299" t="s">
        <v>10847</v>
      </c>
      <c r="AJ2299">
        <v>0.71</v>
      </c>
      <c r="AK2299">
        <v>1468</v>
      </c>
      <c r="AL2299">
        <v>103</v>
      </c>
      <c r="AM2299">
        <v>8.9999999999999998E-4</v>
      </c>
      <c r="AN2299">
        <v>2</v>
      </c>
      <c r="AO2299">
        <v>1.1200000000000001</v>
      </c>
      <c r="AP2299">
        <v>2.44</v>
      </c>
      <c r="AQ2299">
        <v>-3.52</v>
      </c>
      <c r="AR2299">
        <v>1.45</v>
      </c>
      <c r="AS2299">
        <v>2.4</v>
      </c>
      <c r="AT2299" t="s">
        <v>10848</v>
      </c>
      <c r="AU2299">
        <v>8.66</v>
      </c>
      <c r="AV2299">
        <v>6.67</v>
      </c>
      <c r="AW2299">
        <v>0.85</v>
      </c>
      <c r="BA2299">
        <v>-0.16</v>
      </c>
      <c r="BB2299">
        <v>2.23</v>
      </c>
      <c r="BC2299">
        <v>-0.32</v>
      </c>
      <c r="BD2299">
        <v>1.03</v>
      </c>
      <c r="BE2299">
        <v>0.8</v>
      </c>
      <c r="BF2299">
        <v>-1.56</v>
      </c>
      <c r="BG2299">
        <v>0.96</v>
      </c>
      <c r="BH2299">
        <v>-0.39</v>
      </c>
      <c r="BI2299">
        <v>20191029</v>
      </c>
      <c r="BJ2299">
        <v>19981217</v>
      </c>
      <c r="BK2299">
        <v>11.42</v>
      </c>
      <c r="BL2299" t="s">
        <v>116</v>
      </c>
      <c r="BM2299" t="s">
        <v>116</v>
      </c>
      <c r="BN2299">
        <v>250.8</v>
      </c>
      <c r="BO2299">
        <v>107.5</v>
      </c>
      <c r="BP2299">
        <v>4.22</v>
      </c>
      <c r="BQ2299">
        <v>55.45</v>
      </c>
      <c r="BR2299">
        <v>49.54</v>
      </c>
      <c r="BS2299">
        <v>72.56</v>
      </c>
      <c r="BT2299">
        <v>58.92</v>
      </c>
      <c r="BU2299">
        <v>107.04</v>
      </c>
      <c r="BV2299">
        <v>6.89</v>
      </c>
      <c r="BW2299">
        <v>1.7</v>
      </c>
      <c r="BX2299">
        <v>2.2999999999999998</v>
      </c>
      <c r="BY2299">
        <v>61.61</v>
      </c>
      <c r="BZ2299">
        <v>38.6</v>
      </c>
      <c r="CA2299">
        <v>9.16</v>
      </c>
      <c r="CB2299">
        <v>3.99</v>
      </c>
      <c r="CC2299">
        <v>9.01</v>
      </c>
      <c r="CD2299">
        <v>6.58</v>
      </c>
      <c r="CE2299">
        <v>7.4</v>
      </c>
      <c r="CF2299">
        <v>7.54</v>
      </c>
      <c r="CG2299">
        <v>70.05</v>
      </c>
      <c r="CH2299">
        <v>8.3699999999999992</v>
      </c>
      <c r="CI2299">
        <v>2.5499999999999998</v>
      </c>
      <c r="CJ2299">
        <v>62928</v>
      </c>
      <c r="CK2299">
        <v>9965</v>
      </c>
      <c r="CL2299" t="s">
        <v>4214</v>
      </c>
      <c r="CM2299">
        <v>-25.15</v>
      </c>
      <c r="CN2299">
        <v>-2.44</v>
      </c>
      <c r="CO2299">
        <v>0.67</v>
      </c>
      <c r="CP2299">
        <v>8.61</v>
      </c>
      <c r="CQ2299">
        <v>1.17</v>
      </c>
      <c r="CR2299">
        <v>4.75</v>
      </c>
      <c r="CS2299" t="s">
        <v>10849</v>
      </c>
      <c r="CT2299">
        <v>9.41</v>
      </c>
      <c r="CU2299">
        <v>0</v>
      </c>
      <c r="CV2299">
        <v>0.2</v>
      </c>
      <c r="CW2299">
        <v>6.13</v>
      </c>
      <c r="CX2299">
        <v>0.73</v>
      </c>
      <c r="CY2299">
        <v>42.86</v>
      </c>
      <c r="CZ2299" t="s">
        <v>2841</v>
      </c>
      <c r="DA2299">
        <v>37.340000000000003</v>
      </c>
      <c r="DB2299">
        <v>14.87</v>
      </c>
      <c r="DC2299">
        <v>12.01</v>
      </c>
      <c r="DD2299">
        <v>0</v>
      </c>
      <c r="DE2299">
        <v>18697</v>
      </c>
      <c r="DF2299">
        <v>600123</v>
      </c>
      <c r="DG2299" t="s">
        <v>116</v>
      </c>
      <c r="DH2299" t="s">
        <v>116</v>
      </c>
      <c r="DI2299" t="s">
        <v>116</v>
      </c>
    </row>
    <row r="2300" spans="1:113" x14ac:dyDescent="0.4">
      <c r="A2300" t="str">
        <f>"600125"</f>
        <v>600125</v>
      </c>
      <c r="B2300" t="s">
        <v>10850</v>
      </c>
      <c r="C2300">
        <v>-0.84</v>
      </c>
      <c r="D2300">
        <v>5.88</v>
      </c>
      <c r="E2300">
        <v>-0.05</v>
      </c>
      <c r="F2300">
        <v>5.88</v>
      </c>
      <c r="G2300">
        <v>5.9</v>
      </c>
      <c r="H2300">
        <v>150756</v>
      </c>
      <c r="I2300">
        <v>1920</v>
      </c>
      <c r="J2300">
        <v>-0.33</v>
      </c>
      <c r="K2300">
        <v>1.1499999999999999</v>
      </c>
      <c r="L2300">
        <v>5.92</v>
      </c>
      <c r="M2300">
        <v>5.97</v>
      </c>
      <c r="N2300">
        <v>5.88</v>
      </c>
      <c r="O2300">
        <v>5.93</v>
      </c>
      <c r="P2300">
        <v>14.82</v>
      </c>
      <c r="Q2300">
        <v>89255616</v>
      </c>
      <c r="R2300">
        <v>1.38</v>
      </c>
      <c r="S2300" t="s">
        <v>1146</v>
      </c>
      <c r="T2300" t="s">
        <v>434</v>
      </c>
      <c r="U2300">
        <v>1.52</v>
      </c>
      <c r="V2300">
        <v>5.92</v>
      </c>
      <c r="W2300">
        <v>82723</v>
      </c>
      <c r="X2300">
        <v>68033</v>
      </c>
      <c r="Y2300">
        <v>1.22</v>
      </c>
      <c r="Z2300">
        <v>787</v>
      </c>
      <c r="AA2300">
        <v>12</v>
      </c>
      <c r="AB2300" t="s">
        <v>116</v>
      </c>
      <c r="AC2300">
        <v>370000</v>
      </c>
      <c r="AD2300">
        <v>0.01</v>
      </c>
      <c r="AE2300" t="s">
        <v>116</v>
      </c>
      <c r="AF2300" t="s">
        <v>116</v>
      </c>
      <c r="AG2300">
        <v>13.06</v>
      </c>
      <c r="AH2300" t="s">
        <v>10851</v>
      </c>
      <c r="AI2300" t="s">
        <v>10851</v>
      </c>
      <c r="AJ2300">
        <v>-0.77</v>
      </c>
      <c r="AK2300">
        <v>2193</v>
      </c>
      <c r="AL2300">
        <v>69</v>
      </c>
      <c r="AM2300">
        <v>5.0000000000000001E-4</v>
      </c>
      <c r="AN2300">
        <v>-1</v>
      </c>
      <c r="AO2300">
        <v>2.8</v>
      </c>
      <c r="AP2300">
        <v>5</v>
      </c>
      <c r="AQ2300">
        <v>-0.51</v>
      </c>
      <c r="AR2300">
        <v>-14.53</v>
      </c>
      <c r="AS2300">
        <v>1.65</v>
      </c>
      <c r="AT2300" t="s">
        <v>5383</v>
      </c>
      <c r="AU2300">
        <v>15.73</v>
      </c>
      <c r="AV2300">
        <v>15.11</v>
      </c>
      <c r="AW2300">
        <v>1.1100000000000001</v>
      </c>
      <c r="BA2300">
        <v>-0.17</v>
      </c>
      <c r="BB2300">
        <v>0.67</v>
      </c>
      <c r="BC2300">
        <v>-0.84</v>
      </c>
      <c r="BD2300">
        <v>-0.16</v>
      </c>
      <c r="BE2300">
        <v>-0.68</v>
      </c>
      <c r="BF2300">
        <v>-1.51</v>
      </c>
      <c r="BG2300">
        <v>0</v>
      </c>
      <c r="BH2300">
        <v>-0.68</v>
      </c>
      <c r="BI2300">
        <v>20191026</v>
      </c>
      <c r="BJ2300">
        <v>19980511</v>
      </c>
      <c r="BK2300">
        <v>13.06</v>
      </c>
      <c r="BL2300" t="s">
        <v>116</v>
      </c>
      <c r="BM2300" t="s">
        <v>116</v>
      </c>
      <c r="BN2300">
        <v>97.5</v>
      </c>
      <c r="BO2300">
        <v>59.05</v>
      </c>
      <c r="BP2300">
        <v>0.23</v>
      </c>
      <c r="BQ2300">
        <v>39.200000000000003</v>
      </c>
      <c r="BR2300">
        <v>49.94</v>
      </c>
      <c r="BS2300">
        <v>37.67</v>
      </c>
      <c r="BT2300">
        <v>3.83</v>
      </c>
      <c r="BU2300">
        <v>22.81</v>
      </c>
      <c r="BV2300">
        <v>27.22</v>
      </c>
      <c r="BW2300">
        <v>2.8</v>
      </c>
      <c r="BX2300">
        <v>1.58</v>
      </c>
      <c r="BY2300">
        <v>120.79</v>
      </c>
      <c r="BZ2300">
        <v>112.91</v>
      </c>
      <c r="CA2300">
        <v>5.32</v>
      </c>
      <c r="CB2300">
        <v>0.06</v>
      </c>
      <c r="CC2300">
        <v>5.31</v>
      </c>
      <c r="CD2300">
        <v>3.88</v>
      </c>
      <c r="CE2300">
        <v>3.88</v>
      </c>
      <c r="CF2300">
        <v>3.73</v>
      </c>
      <c r="CG2300">
        <v>38.31</v>
      </c>
      <c r="CH2300">
        <v>4.3099999999999996</v>
      </c>
      <c r="CI2300">
        <v>-2.29</v>
      </c>
      <c r="CJ2300">
        <v>104103</v>
      </c>
      <c r="CK2300">
        <v>8778</v>
      </c>
      <c r="CL2300" t="s">
        <v>3589</v>
      </c>
      <c r="CM2300">
        <v>-4.8499999999999996</v>
      </c>
      <c r="CN2300">
        <v>0.31</v>
      </c>
      <c r="CO2300">
        <v>1.3</v>
      </c>
      <c r="CP2300">
        <v>17.82</v>
      </c>
      <c r="CQ2300">
        <v>0.64</v>
      </c>
      <c r="CR2300">
        <v>2.04</v>
      </c>
      <c r="CS2300" t="s">
        <v>5985</v>
      </c>
      <c r="CT2300">
        <v>4.5199999999999996</v>
      </c>
      <c r="CU2300">
        <v>0</v>
      </c>
      <c r="CV2300">
        <v>0.12</v>
      </c>
      <c r="CW2300">
        <v>2.93</v>
      </c>
      <c r="CX2300">
        <v>0.33</v>
      </c>
      <c r="CY2300">
        <v>60.56</v>
      </c>
      <c r="CZ2300" t="s">
        <v>4286</v>
      </c>
      <c r="DA2300">
        <v>6.53</v>
      </c>
      <c r="DB2300">
        <v>4.4000000000000004</v>
      </c>
      <c r="DC2300">
        <v>3.22</v>
      </c>
      <c r="DD2300">
        <v>0.02</v>
      </c>
      <c r="DE2300">
        <v>2154</v>
      </c>
      <c r="DF2300">
        <v>600125</v>
      </c>
      <c r="DG2300" t="s">
        <v>116</v>
      </c>
      <c r="DH2300" t="s">
        <v>116</v>
      </c>
      <c r="DI2300" t="s">
        <v>116</v>
      </c>
    </row>
    <row r="2301" spans="1:113" x14ac:dyDescent="0.4">
      <c r="A2301" t="str">
        <f>"600126"</f>
        <v>600126</v>
      </c>
      <c r="B2301" t="s">
        <v>10852</v>
      </c>
      <c r="C2301">
        <v>-2.04</v>
      </c>
      <c r="D2301">
        <v>4.8</v>
      </c>
      <c r="E2301">
        <v>-0.1</v>
      </c>
      <c r="F2301">
        <v>4.79</v>
      </c>
      <c r="G2301">
        <v>4.8</v>
      </c>
      <c r="H2301">
        <v>106578</v>
      </c>
      <c r="I2301">
        <v>1275</v>
      </c>
      <c r="J2301">
        <v>-0.4</v>
      </c>
      <c r="K2301">
        <v>0.32</v>
      </c>
      <c r="L2301">
        <v>4.8899999999999997</v>
      </c>
      <c r="M2301">
        <v>4.93</v>
      </c>
      <c r="N2301">
        <v>4.79</v>
      </c>
      <c r="O2301">
        <v>4.9000000000000004</v>
      </c>
      <c r="P2301">
        <v>14.8</v>
      </c>
      <c r="Q2301">
        <v>51724924</v>
      </c>
      <c r="R2301">
        <v>0.93</v>
      </c>
      <c r="S2301" t="s">
        <v>1587</v>
      </c>
      <c r="T2301" t="s">
        <v>590</v>
      </c>
      <c r="U2301">
        <v>2.86</v>
      </c>
      <c r="V2301">
        <v>4.8499999999999996</v>
      </c>
      <c r="W2301">
        <v>72205</v>
      </c>
      <c r="X2301">
        <v>34373</v>
      </c>
      <c r="Y2301">
        <v>2.1</v>
      </c>
      <c r="Z2301">
        <v>714</v>
      </c>
      <c r="AA2301">
        <v>67</v>
      </c>
      <c r="AB2301" t="s">
        <v>116</v>
      </c>
      <c r="AC2301">
        <v>369700</v>
      </c>
      <c r="AD2301">
        <v>0.01</v>
      </c>
      <c r="AE2301" t="s">
        <v>116</v>
      </c>
      <c r="AF2301" t="s">
        <v>116</v>
      </c>
      <c r="AG2301">
        <v>33.770000000000003</v>
      </c>
      <c r="AH2301" t="s">
        <v>10853</v>
      </c>
      <c r="AI2301" t="s">
        <v>10853</v>
      </c>
      <c r="AJ2301">
        <v>-1.96</v>
      </c>
      <c r="AK2301">
        <v>1297</v>
      </c>
      <c r="AL2301">
        <v>82</v>
      </c>
      <c r="AM2301">
        <v>2.0000000000000001E-4</v>
      </c>
      <c r="AN2301">
        <v>-2</v>
      </c>
      <c r="AO2301">
        <v>-2.63</v>
      </c>
      <c r="AP2301">
        <v>-1.23</v>
      </c>
      <c r="AQ2301">
        <v>18.23</v>
      </c>
      <c r="AR2301">
        <v>9.34</v>
      </c>
      <c r="AS2301">
        <v>1.1200000000000001</v>
      </c>
      <c r="AT2301" t="s">
        <v>8366</v>
      </c>
      <c r="AU2301">
        <v>14.05</v>
      </c>
      <c r="AV2301">
        <v>8.3699999999999992</v>
      </c>
      <c r="AW2301">
        <v>0.76</v>
      </c>
      <c r="BA2301">
        <v>-0.2</v>
      </c>
      <c r="BB2301">
        <v>0.61</v>
      </c>
      <c r="BC2301">
        <v>-2.2400000000000002</v>
      </c>
      <c r="BD2301">
        <v>-0.95</v>
      </c>
      <c r="BE2301">
        <v>-1.84</v>
      </c>
      <c r="BF2301">
        <v>-2.64</v>
      </c>
      <c r="BG2301">
        <v>0.21</v>
      </c>
      <c r="BH2301">
        <v>-1.0900000000000001</v>
      </c>
      <c r="BI2301">
        <v>20191030</v>
      </c>
      <c r="BJ2301">
        <v>19980311</v>
      </c>
      <c r="BK2301">
        <v>33.770000000000003</v>
      </c>
      <c r="BL2301" t="s">
        <v>116</v>
      </c>
      <c r="BM2301" t="s">
        <v>116</v>
      </c>
      <c r="BN2301">
        <v>273.92</v>
      </c>
      <c r="BO2301">
        <v>193.89</v>
      </c>
      <c r="BP2301">
        <v>2.06</v>
      </c>
      <c r="BQ2301">
        <v>28.46</v>
      </c>
      <c r="BR2301">
        <v>127.27</v>
      </c>
      <c r="BS2301">
        <v>92.64</v>
      </c>
      <c r="BT2301">
        <v>40.69</v>
      </c>
      <c r="BU2301">
        <v>70.12</v>
      </c>
      <c r="BV2301">
        <v>18.98</v>
      </c>
      <c r="BW2301">
        <v>3.27</v>
      </c>
      <c r="BX2301">
        <v>102.68</v>
      </c>
      <c r="BY2301">
        <v>194.97</v>
      </c>
      <c r="BZ2301">
        <v>180.51</v>
      </c>
      <c r="CA2301">
        <v>11.13</v>
      </c>
      <c r="CB2301">
        <v>0.96</v>
      </c>
      <c r="CC2301">
        <v>11.23</v>
      </c>
      <c r="CD2301">
        <v>8.43</v>
      </c>
      <c r="CE2301">
        <v>8.2100000000000009</v>
      </c>
      <c r="CF2301">
        <v>7.84</v>
      </c>
      <c r="CG2301">
        <v>52.17</v>
      </c>
      <c r="CH2301">
        <v>12.8</v>
      </c>
      <c r="CI2301">
        <v>11.58</v>
      </c>
      <c r="CJ2301">
        <v>37357</v>
      </c>
      <c r="CK2301">
        <v>25422</v>
      </c>
      <c r="CL2301" t="s">
        <v>10854</v>
      </c>
      <c r="CM2301">
        <v>-48.83</v>
      </c>
      <c r="CN2301">
        <v>-1.26</v>
      </c>
      <c r="CO2301">
        <v>0.84</v>
      </c>
      <c r="CP2301">
        <v>12.66</v>
      </c>
      <c r="CQ2301">
        <v>0.83</v>
      </c>
      <c r="CR2301">
        <v>2.5</v>
      </c>
      <c r="CS2301" t="s">
        <v>3638</v>
      </c>
      <c r="CT2301">
        <v>5.74</v>
      </c>
      <c r="CU2301">
        <v>0</v>
      </c>
      <c r="CV2301">
        <v>3.04</v>
      </c>
      <c r="CW2301">
        <v>1.54</v>
      </c>
      <c r="CX2301">
        <v>0.38</v>
      </c>
      <c r="CY2301">
        <v>70.78</v>
      </c>
      <c r="CZ2301" t="s">
        <v>673</v>
      </c>
      <c r="DA2301">
        <v>7.41</v>
      </c>
      <c r="DB2301">
        <v>5.71</v>
      </c>
      <c r="DC2301">
        <v>4.21</v>
      </c>
      <c r="DD2301">
        <v>3.35</v>
      </c>
      <c r="DE2301">
        <v>3738</v>
      </c>
      <c r="DF2301">
        <v>600126</v>
      </c>
      <c r="DG2301" t="s">
        <v>116</v>
      </c>
      <c r="DH2301" t="s">
        <v>116</v>
      </c>
      <c r="DI2301" t="s">
        <v>116</v>
      </c>
    </row>
    <row r="2302" spans="1:113" x14ac:dyDescent="0.4">
      <c r="A2302" t="str">
        <f>"600127"</f>
        <v>600127</v>
      </c>
      <c r="B2302" t="s">
        <v>10855</v>
      </c>
      <c r="C2302">
        <v>-0.76</v>
      </c>
      <c r="D2302">
        <v>3.93</v>
      </c>
      <c r="E2302">
        <v>-0.03</v>
      </c>
      <c r="F2302">
        <v>3.93</v>
      </c>
      <c r="G2302">
        <v>3.94</v>
      </c>
      <c r="H2302">
        <v>73034</v>
      </c>
      <c r="I2302">
        <v>842</v>
      </c>
      <c r="J2302">
        <v>-0.24</v>
      </c>
      <c r="K2302">
        <v>1.1399999999999999</v>
      </c>
      <c r="L2302">
        <v>3.96</v>
      </c>
      <c r="M2302">
        <v>3.97</v>
      </c>
      <c r="N2302">
        <v>3.93</v>
      </c>
      <c r="O2302">
        <v>3.96</v>
      </c>
      <c r="P2302">
        <v>37.86</v>
      </c>
      <c r="Q2302">
        <v>28831848</v>
      </c>
      <c r="R2302">
        <v>0.51</v>
      </c>
      <c r="S2302" t="s">
        <v>449</v>
      </c>
      <c r="T2302" t="s">
        <v>599</v>
      </c>
      <c r="U2302">
        <v>1.01</v>
      </c>
      <c r="V2302">
        <v>3.95</v>
      </c>
      <c r="W2302">
        <v>47423</v>
      </c>
      <c r="X2302">
        <v>25611</v>
      </c>
      <c r="Y2302">
        <v>1.85</v>
      </c>
      <c r="Z2302">
        <v>2514</v>
      </c>
      <c r="AA2302">
        <v>2083</v>
      </c>
      <c r="AB2302" t="s">
        <v>116</v>
      </c>
      <c r="AC2302">
        <v>135800</v>
      </c>
      <c r="AD2302">
        <v>0.01</v>
      </c>
      <c r="AE2302" t="s">
        <v>116</v>
      </c>
      <c r="AF2302" t="s">
        <v>116</v>
      </c>
      <c r="AG2302">
        <v>6.42</v>
      </c>
      <c r="AH2302" t="s">
        <v>8382</v>
      </c>
      <c r="AI2302" t="s">
        <v>8382</v>
      </c>
      <c r="AJ2302">
        <v>-0.68</v>
      </c>
      <c r="AK2302">
        <v>1459</v>
      </c>
      <c r="AL2302">
        <v>50</v>
      </c>
      <c r="AM2302">
        <v>8.0000000000000004E-4</v>
      </c>
      <c r="AN2302">
        <v>-1</v>
      </c>
      <c r="AO2302">
        <v>-2.2400000000000002</v>
      </c>
      <c r="AP2302">
        <v>2.88</v>
      </c>
      <c r="AQ2302">
        <v>-9.86</v>
      </c>
      <c r="AR2302">
        <v>37.89</v>
      </c>
      <c r="AS2302">
        <v>1.47</v>
      </c>
      <c r="AT2302" t="s">
        <v>2818</v>
      </c>
      <c r="AU2302">
        <v>175.77</v>
      </c>
      <c r="AV2302" t="s">
        <v>116</v>
      </c>
      <c r="AW2302">
        <v>0.74</v>
      </c>
      <c r="BA2302">
        <v>0</v>
      </c>
      <c r="BB2302">
        <v>0.25</v>
      </c>
      <c r="BC2302">
        <v>-0.76</v>
      </c>
      <c r="BD2302">
        <v>-0.31</v>
      </c>
      <c r="BE2302">
        <v>-0.76</v>
      </c>
      <c r="BF2302">
        <v>-1.01</v>
      </c>
      <c r="BG2302">
        <v>0</v>
      </c>
      <c r="BH2302">
        <v>-0.45</v>
      </c>
      <c r="BI2302">
        <v>20191031</v>
      </c>
      <c r="BJ2302">
        <v>19980506</v>
      </c>
      <c r="BK2302">
        <v>6.42</v>
      </c>
      <c r="BL2302" t="s">
        <v>116</v>
      </c>
      <c r="BM2302" t="s">
        <v>116</v>
      </c>
      <c r="BN2302">
        <v>20.94</v>
      </c>
      <c r="BO2302">
        <v>7.56</v>
      </c>
      <c r="BP2302">
        <v>0.69</v>
      </c>
      <c r="BQ2302">
        <v>60.6</v>
      </c>
      <c r="BR2302">
        <v>13.13</v>
      </c>
      <c r="BS2302">
        <v>5.51</v>
      </c>
      <c r="BT2302">
        <v>1.68</v>
      </c>
      <c r="BU2302">
        <v>11.98</v>
      </c>
      <c r="BV2302">
        <v>4.88</v>
      </c>
      <c r="BW2302">
        <v>1.47</v>
      </c>
      <c r="BX2302">
        <v>4.71</v>
      </c>
      <c r="BY2302">
        <v>29.58</v>
      </c>
      <c r="BZ2302">
        <v>27.23</v>
      </c>
      <c r="CA2302">
        <v>0.51</v>
      </c>
      <c r="CB2302">
        <v>0.5</v>
      </c>
      <c r="CC2302">
        <v>0.5</v>
      </c>
      <c r="CD2302">
        <v>0.48</v>
      </c>
      <c r="CE2302">
        <v>0.5</v>
      </c>
      <c r="CF2302">
        <v>-0.08</v>
      </c>
      <c r="CG2302">
        <v>-3.73</v>
      </c>
      <c r="CH2302">
        <v>2.37</v>
      </c>
      <c r="CI2302">
        <v>0.69</v>
      </c>
      <c r="CJ2302">
        <v>94613</v>
      </c>
      <c r="CK2302">
        <v>5268</v>
      </c>
      <c r="CL2302" t="s">
        <v>8031</v>
      </c>
      <c r="CM2302">
        <v>385.01</v>
      </c>
      <c r="CN2302">
        <v>34.950000000000003</v>
      </c>
      <c r="CO2302">
        <v>3.34</v>
      </c>
      <c r="CP2302">
        <v>10.64</v>
      </c>
      <c r="CQ2302">
        <v>0.85</v>
      </c>
      <c r="CR2302">
        <v>0</v>
      </c>
      <c r="CS2302" t="s">
        <v>178</v>
      </c>
      <c r="CT2302">
        <v>1.18</v>
      </c>
      <c r="CU2302">
        <v>0</v>
      </c>
      <c r="CV2302">
        <v>0.73</v>
      </c>
      <c r="CW2302">
        <v>-0.57999999999999996</v>
      </c>
      <c r="CX2302">
        <v>0.37</v>
      </c>
      <c r="CY2302">
        <v>36.11</v>
      </c>
      <c r="CZ2302" t="s">
        <v>9931</v>
      </c>
      <c r="DA2302">
        <v>7.92</v>
      </c>
      <c r="DB2302">
        <v>1.71</v>
      </c>
      <c r="DC2302">
        <v>1.69</v>
      </c>
      <c r="DD2302">
        <v>0.08</v>
      </c>
      <c r="DE2302">
        <v>1736</v>
      </c>
      <c r="DF2302">
        <v>600127</v>
      </c>
      <c r="DG2302" t="s">
        <v>116</v>
      </c>
      <c r="DH2302" t="s">
        <v>116</v>
      </c>
      <c r="DI2302" t="s">
        <v>116</v>
      </c>
    </row>
    <row r="2303" spans="1:113" x14ac:dyDescent="0.4">
      <c r="A2303" t="str">
        <f>"600128"</f>
        <v>600128</v>
      </c>
      <c r="B2303" t="s">
        <v>10856</v>
      </c>
      <c r="C2303">
        <v>0</v>
      </c>
      <c r="D2303">
        <v>7.36</v>
      </c>
      <c r="E2303">
        <v>0</v>
      </c>
      <c r="F2303">
        <v>7.35</v>
      </c>
      <c r="G2303">
        <v>7.36</v>
      </c>
      <c r="H2303">
        <v>53542</v>
      </c>
      <c r="I2303">
        <v>320</v>
      </c>
      <c r="J2303">
        <v>-0.13</v>
      </c>
      <c r="K2303">
        <v>2.17</v>
      </c>
      <c r="L2303">
        <v>7.37</v>
      </c>
      <c r="M2303">
        <v>7.47</v>
      </c>
      <c r="N2303">
        <v>7.33</v>
      </c>
      <c r="O2303">
        <v>7.36</v>
      </c>
      <c r="P2303" t="s">
        <v>116</v>
      </c>
      <c r="Q2303">
        <v>39550716</v>
      </c>
      <c r="R2303">
        <v>1.0900000000000001</v>
      </c>
      <c r="S2303" t="s">
        <v>566</v>
      </c>
      <c r="T2303" t="s">
        <v>323</v>
      </c>
      <c r="U2303">
        <v>1.9</v>
      </c>
      <c r="V2303">
        <v>7.39</v>
      </c>
      <c r="W2303">
        <v>24878</v>
      </c>
      <c r="X2303">
        <v>28664</v>
      </c>
      <c r="Y2303">
        <v>0.87</v>
      </c>
      <c r="Z2303">
        <v>270</v>
      </c>
      <c r="AA2303">
        <v>188</v>
      </c>
      <c r="AB2303" t="s">
        <v>116</v>
      </c>
      <c r="AC2303">
        <v>67800</v>
      </c>
      <c r="AD2303">
        <v>0.01</v>
      </c>
      <c r="AE2303" t="s">
        <v>116</v>
      </c>
      <c r="AF2303" t="s">
        <v>116</v>
      </c>
      <c r="AG2303">
        <v>2.4700000000000002</v>
      </c>
      <c r="AH2303" t="s">
        <v>9081</v>
      </c>
      <c r="AI2303" t="s">
        <v>9081</v>
      </c>
      <c r="AJ2303">
        <v>0.08</v>
      </c>
      <c r="AK2303">
        <v>1933</v>
      </c>
      <c r="AL2303">
        <v>28</v>
      </c>
      <c r="AM2303">
        <v>1.1000000000000001E-3</v>
      </c>
      <c r="AN2303">
        <v>0</v>
      </c>
      <c r="AO2303">
        <v>1.65</v>
      </c>
      <c r="AP2303">
        <v>3.95</v>
      </c>
      <c r="AQ2303">
        <v>2.65</v>
      </c>
      <c r="AR2303">
        <v>-7.07</v>
      </c>
      <c r="AS2303">
        <v>2.93</v>
      </c>
      <c r="AT2303" t="s">
        <v>10857</v>
      </c>
      <c r="AU2303" t="s">
        <v>116</v>
      </c>
      <c r="AV2303" t="s">
        <v>116</v>
      </c>
      <c r="AW2303">
        <v>1.01</v>
      </c>
      <c r="BA2303">
        <v>0.14000000000000001</v>
      </c>
      <c r="BB2303">
        <v>1.49</v>
      </c>
      <c r="BC2303">
        <v>-0.41</v>
      </c>
      <c r="BD2303">
        <v>0.36</v>
      </c>
      <c r="BE2303">
        <v>-0.14000000000000001</v>
      </c>
      <c r="BF2303">
        <v>-1.47</v>
      </c>
      <c r="BG2303">
        <v>0.41</v>
      </c>
      <c r="BH2303">
        <v>-0.36</v>
      </c>
      <c r="BI2303">
        <v>20191031</v>
      </c>
      <c r="BJ2303">
        <v>19970901</v>
      </c>
      <c r="BK2303">
        <v>2.4700000000000002</v>
      </c>
      <c r="BL2303" t="s">
        <v>116</v>
      </c>
      <c r="BM2303" t="s">
        <v>116</v>
      </c>
      <c r="BN2303">
        <v>33.4</v>
      </c>
      <c r="BO2303">
        <v>15.39</v>
      </c>
      <c r="BP2303">
        <v>3.22</v>
      </c>
      <c r="BQ2303">
        <v>44.28</v>
      </c>
      <c r="BR2303">
        <v>17.2</v>
      </c>
      <c r="BS2303">
        <v>3.05</v>
      </c>
      <c r="BT2303">
        <v>0.84</v>
      </c>
      <c r="BU2303">
        <v>12.59</v>
      </c>
      <c r="BV2303">
        <v>2.11</v>
      </c>
      <c r="BW2303">
        <v>4.91</v>
      </c>
      <c r="BX2303">
        <v>5.27</v>
      </c>
      <c r="BY2303">
        <v>27.57</v>
      </c>
      <c r="BZ2303">
        <v>25.53</v>
      </c>
      <c r="CA2303">
        <v>-0.15</v>
      </c>
      <c r="CB2303">
        <v>0.32</v>
      </c>
      <c r="CC2303">
        <v>0</v>
      </c>
      <c r="CD2303">
        <v>-0.09</v>
      </c>
      <c r="CE2303">
        <v>-0.09</v>
      </c>
      <c r="CF2303">
        <v>-0.3</v>
      </c>
      <c r="CG2303">
        <v>3.9</v>
      </c>
      <c r="CH2303">
        <v>-1.67</v>
      </c>
      <c r="CI2303">
        <v>-3.75</v>
      </c>
      <c r="CJ2303">
        <v>33253</v>
      </c>
      <c r="CK2303">
        <v>5504</v>
      </c>
      <c r="CL2303" t="s">
        <v>1513</v>
      </c>
      <c r="CM2303">
        <v>78.61</v>
      </c>
      <c r="CN2303">
        <v>-17.489999999999998</v>
      </c>
      <c r="CO2303">
        <v>1.18</v>
      </c>
      <c r="CP2303">
        <v>-10.84</v>
      </c>
      <c r="CQ2303">
        <v>0.66</v>
      </c>
      <c r="CR2303">
        <v>0</v>
      </c>
      <c r="CS2303" t="s">
        <v>6352</v>
      </c>
      <c r="CT2303">
        <v>6.24</v>
      </c>
      <c r="CU2303">
        <v>0</v>
      </c>
      <c r="CV2303">
        <v>2.13</v>
      </c>
      <c r="CW2303">
        <v>1.58</v>
      </c>
      <c r="CX2303">
        <v>-0.68</v>
      </c>
      <c r="CY2303">
        <v>46.08</v>
      </c>
      <c r="CZ2303" t="s">
        <v>10858</v>
      </c>
      <c r="DA2303">
        <v>7.4</v>
      </c>
      <c r="DB2303">
        <v>-0.54</v>
      </c>
      <c r="DC2303">
        <v>-0.31</v>
      </c>
      <c r="DD2303">
        <v>0</v>
      </c>
      <c r="DE2303">
        <v>2755</v>
      </c>
      <c r="DF2303">
        <v>600128</v>
      </c>
      <c r="DG2303" t="s">
        <v>116</v>
      </c>
      <c r="DH2303" t="s">
        <v>116</v>
      </c>
      <c r="DI2303" t="s">
        <v>116</v>
      </c>
    </row>
    <row r="2304" spans="1:113" x14ac:dyDescent="0.4">
      <c r="A2304" t="str">
        <f>"600129"</f>
        <v>600129</v>
      </c>
      <c r="B2304" t="s">
        <v>10859</v>
      </c>
      <c r="C2304">
        <v>0.36</v>
      </c>
      <c r="D2304">
        <v>11.15</v>
      </c>
      <c r="E2304">
        <v>0.04</v>
      </c>
      <c r="F2304">
        <v>11.15</v>
      </c>
      <c r="G2304">
        <v>11.16</v>
      </c>
      <c r="H2304">
        <v>25669</v>
      </c>
      <c r="I2304">
        <v>1092</v>
      </c>
      <c r="J2304">
        <v>0.36</v>
      </c>
      <c r="K2304">
        <v>0.47</v>
      </c>
      <c r="L2304">
        <v>11.14</v>
      </c>
      <c r="M2304">
        <v>11.18</v>
      </c>
      <c r="N2304">
        <v>11.09</v>
      </c>
      <c r="O2304">
        <v>11.11</v>
      </c>
      <c r="P2304">
        <v>37.6</v>
      </c>
      <c r="Q2304">
        <v>28598072</v>
      </c>
      <c r="R2304">
        <v>1.0900000000000001</v>
      </c>
      <c r="S2304" t="s">
        <v>781</v>
      </c>
      <c r="T2304" t="s">
        <v>906</v>
      </c>
      <c r="U2304">
        <v>0.81</v>
      </c>
      <c r="V2304">
        <v>11.14</v>
      </c>
      <c r="W2304">
        <v>10119</v>
      </c>
      <c r="X2304">
        <v>15550</v>
      </c>
      <c r="Y2304">
        <v>0.65</v>
      </c>
      <c r="Z2304">
        <v>436</v>
      </c>
      <c r="AA2304">
        <v>162</v>
      </c>
      <c r="AB2304" t="s">
        <v>116</v>
      </c>
      <c r="AC2304">
        <v>75800</v>
      </c>
      <c r="AD2304">
        <v>0</v>
      </c>
      <c r="AE2304" t="s">
        <v>116</v>
      </c>
      <c r="AF2304" t="s">
        <v>116</v>
      </c>
      <c r="AG2304">
        <v>5.44</v>
      </c>
      <c r="AH2304" t="s">
        <v>10860</v>
      </c>
      <c r="AI2304" t="s">
        <v>10861</v>
      </c>
      <c r="AJ2304">
        <v>0.44</v>
      </c>
      <c r="AK2304">
        <v>635</v>
      </c>
      <c r="AL2304">
        <v>40</v>
      </c>
      <c r="AM2304">
        <v>6.9999999999999999E-4</v>
      </c>
      <c r="AN2304">
        <v>4</v>
      </c>
      <c r="AO2304">
        <v>1.55</v>
      </c>
      <c r="AP2304">
        <v>-3.88</v>
      </c>
      <c r="AQ2304">
        <v>-2.62</v>
      </c>
      <c r="AR2304">
        <v>35.15</v>
      </c>
      <c r="AS2304">
        <v>0.71</v>
      </c>
      <c r="AT2304" t="s">
        <v>10862</v>
      </c>
      <c r="AU2304">
        <v>130.38999999999999</v>
      </c>
      <c r="AV2304">
        <v>88.37</v>
      </c>
      <c r="AW2304">
        <v>1.5</v>
      </c>
      <c r="BA2304">
        <v>0.27</v>
      </c>
      <c r="BB2304">
        <v>0.63</v>
      </c>
      <c r="BC2304">
        <v>-0.18</v>
      </c>
      <c r="BD2304">
        <v>0.28000000000000003</v>
      </c>
      <c r="BE2304">
        <v>0.09</v>
      </c>
      <c r="BF2304">
        <v>-0.27</v>
      </c>
      <c r="BG2304">
        <v>0.54</v>
      </c>
      <c r="BH2304">
        <v>0.08</v>
      </c>
      <c r="BI2304">
        <v>20191125</v>
      </c>
      <c r="BJ2304">
        <v>19971118</v>
      </c>
      <c r="BK2304">
        <v>5.57</v>
      </c>
      <c r="BL2304" t="s">
        <v>116</v>
      </c>
      <c r="BM2304" t="s">
        <v>116</v>
      </c>
      <c r="BN2304">
        <v>135.08000000000001</v>
      </c>
      <c r="BO2304">
        <v>33.659999999999997</v>
      </c>
      <c r="BP2304">
        <v>-0.11</v>
      </c>
      <c r="BQ2304">
        <v>75.16</v>
      </c>
      <c r="BR2304">
        <v>77.23</v>
      </c>
      <c r="BS2304">
        <v>28.54</v>
      </c>
      <c r="BT2304">
        <v>12.07</v>
      </c>
      <c r="BU2304">
        <v>83.56</v>
      </c>
      <c r="BV2304">
        <v>28.65</v>
      </c>
      <c r="BW2304">
        <v>16.95</v>
      </c>
      <c r="BX2304">
        <v>20.6</v>
      </c>
      <c r="BY2304">
        <v>89.91</v>
      </c>
      <c r="BZ2304">
        <v>52.16</v>
      </c>
      <c r="CA2304">
        <v>2.4500000000000002</v>
      </c>
      <c r="CB2304">
        <v>-0.01</v>
      </c>
      <c r="CC2304">
        <v>2.2999999999999998</v>
      </c>
      <c r="CD2304">
        <v>1.22</v>
      </c>
      <c r="CE2304">
        <v>1.24</v>
      </c>
      <c r="CF2304">
        <v>0.79</v>
      </c>
      <c r="CG2304">
        <v>6.29</v>
      </c>
      <c r="CH2304">
        <v>1.0900000000000001</v>
      </c>
      <c r="CI2304">
        <v>-1.27</v>
      </c>
      <c r="CJ2304">
        <v>32000</v>
      </c>
      <c r="CK2304">
        <v>11253</v>
      </c>
      <c r="CL2304" t="s">
        <v>10863</v>
      </c>
      <c r="CM2304">
        <v>-15.46</v>
      </c>
      <c r="CN2304">
        <v>16.12</v>
      </c>
      <c r="CO2304">
        <v>1.84</v>
      </c>
      <c r="CP2304">
        <v>57.06</v>
      </c>
      <c r="CQ2304">
        <v>0.69</v>
      </c>
      <c r="CR2304">
        <v>0.9</v>
      </c>
      <c r="CS2304" t="s">
        <v>10864</v>
      </c>
      <c r="CT2304">
        <v>6.04</v>
      </c>
      <c r="CU2304">
        <v>0</v>
      </c>
      <c r="CV2304">
        <v>3.7</v>
      </c>
      <c r="CW2304">
        <v>1.1299999999999999</v>
      </c>
      <c r="CX2304">
        <v>0.2</v>
      </c>
      <c r="CY2304">
        <v>24.92</v>
      </c>
      <c r="CZ2304" t="s">
        <v>4028</v>
      </c>
      <c r="DA2304">
        <v>41.99</v>
      </c>
      <c r="DB2304">
        <v>2.73</v>
      </c>
      <c r="DC2304">
        <v>1.38</v>
      </c>
      <c r="DD2304">
        <v>0.38</v>
      </c>
      <c r="DE2304">
        <v>13494</v>
      </c>
      <c r="DF2304">
        <v>600129</v>
      </c>
      <c r="DG2304" t="s">
        <v>116</v>
      </c>
      <c r="DH2304" t="s">
        <v>116</v>
      </c>
      <c r="DI2304" t="s">
        <v>116</v>
      </c>
    </row>
    <row r="2305" spans="1:113" x14ac:dyDescent="0.4">
      <c r="A2305" t="str">
        <f>"600130"</f>
        <v>600130</v>
      </c>
      <c r="B2305" t="s">
        <v>10865</v>
      </c>
      <c r="C2305">
        <v>-1.07</v>
      </c>
      <c r="D2305">
        <v>3.69</v>
      </c>
      <c r="E2305">
        <v>-0.04</v>
      </c>
      <c r="F2305">
        <v>3.68</v>
      </c>
      <c r="G2305">
        <v>3.69</v>
      </c>
      <c r="H2305">
        <v>100920</v>
      </c>
      <c r="I2305">
        <v>1112</v>
      </c>
      <c r="J2305">
        <v>0.54</v>
      </c>
      <c r="K2305">
        <v>1.31</v>
      </c>
      <c r="L2305">
        <v>3.73</v>
      </c>
      <c r="M2305">
        <v>3.77</v>
      </c>
      <c r="N2305">
        <v>3.67</v>
      </c>
      <c r="O2305">
        <v>3.73</v>
      </c>
      <c r="P2305">
        <v>152.6</v>
      </c>
      <c r="Q2305">
        <v>37703648</v>
      </c>
      <c r="R2305">
        <v>0.84</v>
      </c>
      <c r="S2305" t="s">
        <v>465</v>
      </c>
      <c r="T2305" t="s">
        <v>590</v>
      </c>
      <c r="U2305">
        <v>2.68</v>
      </c>
      <c r="V2305">
        <v>3.74</v>
      </c>
      <c r="W2305">
        <v>56801</v>
      </c>
      <c r="X2305">
        <v>44119</v>
      </c>
      <c r="Y2305">
        <v>1.29</v>
      </c>
      <c r="Z2305">
        <v>1255</v>
      </c>
      <c r="AA2305">
        <v>247</v>
      </c>
      <c r="AB2305" t="s">
        <v>116</v>
      </c>
      <c r="AC2305">
        <v>63000</v>
      </c>
      <c r="AD2305">
        <v>0</v>
      </c>
      <c r="AE2305" t="s">
        <v>116</v>
      </c>
      <c r="AF2305" t="s">
        <v>116</v>
      </c>
      <c r="AG2305">
        <v>7.68</v>
      </c>
      <c r="AH2305" t="s">
        <v>10866</v>
      </c>
      <c r="AI2305" t="s">
        <v>10866</v>
      </c>
      <c r="AJ2305">
        <v>-1</v>
      </c>
      <c r="AK2305">
        <v>1333</v>
      </c>
      <c r="AL2305">
        <v>76</v>
      </c>
      <c r="AM2305">
        <v>1E-3</v>
      </c>
      <c r="AN2305">
        <v>-1</v>
      </c>
      <c r="AO2305">
        <v>1.1000000000000001</v>
      </c>
      <c r="AP2305">
        <v>7.27</v>
      </c>
      <c r="AQ2305">
        <v>-3.91</v>
      </c>
      <c r="AR2305">
        <v>4.53</v>
      </c>
      <c r="AS2305">
        <v>1.57</v>
      </c>
      <c r="AT2305" t="s">
        <v>8541</v>
      </c>
      <c r="AU2305">
        <v>235.75</v>
      </c>
      <c r="AV2305">
        <v>85.61</v>
      </c>
      <c r="AW2305">
        <v>1.41</v>
      </c>
      <c r="BA2305">
        <v>0</v>
      </c>
      <c r="BB2305">
        <v>1.07</v>
      </c>
      <c r="BC2305">
        <v>-1.61</v>
      </c>
      <c r="BD2305">
        <v>0.16</v>
      </c>
      <c r="BE2305">
        <v>-1.07</v>
      </c>
      <c r="BF2305">
        <v>-2.12</v>
      </c>
      <c r="BG2305">
        <v>0.54</v>
      </c>
      <c r="BH2305">
        <v>-1.23</v>
      </c>
      <c r="BI2305">
        <v>20191031</v>
      </c>
      <c r="BJ2305">
        <v>20000706</v>
      </c>
      <c r="BK2305">
        <v>7.68</v>
      </c>
      <c r="BL2305" t="s">
        <v>116</v>
      </c>
      <c r="BM2305" t="s">
        <v>116</v>
      </c>
      <c r="BN2305">
        <v>10.54</v>
      </c>
      <c r="BO2305">
        <v>8.89</v>
      </c>
      <c r="BP2305">
        <v>0</v>
      </c>
      <c r="BQ2305">
        <v>15.58</v>
      </c>
      <c r="BR2305">
        <v>7.39</v>
      </c>
      <c r="BS2305">
        <v>0.7</v>
      </c>
      <c r="BT2305">
        <v>0.12</v>
      </c>
      <c r="BU2305">
        <v>1.58</v>
      </c>
      <c r="BV2305">
        <v>0.38</v>
      </c>
      <c r="BW2305">
        <v>0.83</v>
      </c>
      <c r="BX2305">
        <v>4.5599999999999996</v>
      </c>
      <c r="BY2305">
        <v>4.0599999999999996</v>
      </c>
      <c r="BZ2305">
        <v>3.7</v>
      </c>
      <c r="CA2305">
        <v>0.12</v>
      </c>
      <c r="CB2305">
        <v>7.0000000000000007E-2</v>
      </c>
      <c r="CC2305">
        <v>0.15</v>
      </c>
      <c r="CD2305">
        <v>0.14000000000000001</v>
      </c>
      <c r="CE2305">
        <v>0.14000000000000001</v>
      </c>
      <c r="CF2305">
        <v>-7.0000000000000007E-2</v>
      </c>
      <c r="CG2305">
        <v>-4.0599999999999996</v>
      </c>
      <c r="CH2305">
        <v>0.25</v>
      </c>
      <c r="CI2305">
        <v>-1.98</v>
      </c>
      <c r="CJ2305">
        <v>79051</v>
      </c>
      <c r="CK2305">
        <v>8122</v>
      </c>
      <c r="CL2305" t="s">
        <v>2097</v>
      </c>
      <c r="CM2305">
        <v>-60.22</v>
      </c>
      <c r="CN2305">
        <v>-0.1</v>
      </c>
      <c r="CO2305">
        <v>3.19</v>
      </c>
      <c r="CP2305">
        <v>113.37</v>
      </c>
      <c r="CQ2305">
        <v>6.98</v>
      </c>
      <c r="CR2305">
        <v>0</v>
      </c>
      <c r="CS2305" t="s">
        <v>4864</v>
      </c>
      <c r="CT2305">
        <v>1.1599999999999999</v>
      </c>
      <c r="CU2305">
        <v>0</v>
      </c>
      <c r="CV2305">
        <v>0.59</v>
      </c>
      <c r="CW2305">
        <v>-0.53</v>
      </c>
      <c r="CX2305">
        <v>0.03</v>
      </c>
      <c r="CY2305">
        <v>84.42</v>
      </c>
      <c r="CZ2305" t="s">
        <v>4889</v>
      </c>
      <c r="DA2305">
        <v>8.7799999999999994</v>
      </c>
      <c r="DB2305">
        <v>2.84</v>
      </c>
      <c r="DC2305">
        <v>3.43</v>
      </c>
      <c r="DD2305">
        <v>0.11</v>
      </c>
      <c r="DE2305">
        <v>468</v>
      </c>
      <c r="DF2305">
        <v>600130</v>
      </c>
      <c r="DG2305" t="s">
        <v>116</v>
      </c>
      <c r="DH2305" t="s">
        <v>116</v>
      </c>
      <c r="DI2305" t="s">
        <v>116</v>
      </c>
    </row>
    <row r="2306" spans="1:113" x14ac:dyDescent="0.4">
      <c r="A2306" t="str">
        <f>"600131"</f>
        <v>600131</v>
      </c>
      <c r="B2306" t="s">
        <v>10867</v>
      </c>
      <c r="C2306">
        <v>-0.84</v>
      </c>
      <c r="D2306">
        <v>20.11</v>
      </c>
      <c r="E2306">
        <v>-0.17</v>
      </c>
      <c r="F2306">
        <v>20.100000000000001</v>
      </c>
      <c r="G2306">
        <v>20.11</v>
      </c>
      <c r="H2306">
        <v>68425</v>
      </c>
      <c r="I2306">
        <v>841</v>
      </c>
      <c r="J2306">
        <v>-0.14000000000000001</v>
      </c>
      <c r="K2306">
        <v>1.68</v>
      </c>
      <c r="L2306">
        <v>20.29</v>
      </c>
      <c r="M2306">
        <v>20.48</v>
      </c>
      <c r="N2306">
        <v>20.07</v>
      </c>
      <c r="O2306">
        <v>20.28</v>
      </c>
      <c r="P2306">
        <v>63.67</v>
      </c>
      <c r="Q2306">
        <v>138110016</v>
      </c>
      <c r="R2306">
        <v>0.5</v>
      </c>
      <c r="S2306" t="s">
        <v>1363</v>
      </c>
      <c r="T2306" t="s">
        <v>582</v>
      </c>
      <c r="U2306">
        <v>2.02</v>
      </c>
      <c r="V2306">
        <v>20.18</v>
      </c>
      <c r="W2306">
        <v>30318</v>
      </c>
      <c r="X2306">
        <v>38107</v>
      </c>
      <c r="Y2306">
        <v>0.8</v>
      </c>
      <c r="Z2306">
        <v>290</v>
      </c>
      <c r="AA2306">
        <v>146</v>
      </c>
      <c r="AB2306" t="s">
        <v>116</v>
      </c>
      <c r="AC2306">
        <v>420000</v>
      </c>
      <c r="AD2306">
        <v>0.01</v>
      </c>
      <c r="AE2306" t="s">
        <v>116</v>
      </c>
      <c r="AF2306" t="s">
        <v>116</v>
      </c>
      <c r="AG2306">
        <v>4.08</v>
      </c>
      <c r="AH2306" t="s">
        <v>10868</v>
      </c>
      <c r="AI2306" t="s">
        <v>10869</v>
      </c>
      <c r="AJ2306">
        <v>-0.76</v>
      </c>
      <c r="AK2306">
        <v>3713</v>
      </c>
      <c r="AL2306">
        <v>18</v>
      </c>
      <c r="AM2306">
        <v>5.0000000000000001E-4</v>
      </c>
      <c r="AN2306">
        <v>-2</v>
      </c>
      <c r="AO2306">
        <v>-0.36</v>
      </c>
      <c r="AP2306">
        <v>13.68</v>
      </c>
      <c r="AQ2306">
        <v>5.79</v>
      </c>
      <c r="AR2306">
        <v>232.4</v>
      </c>
      <c r="AS2306">
        <v>2.63</v>
      </c>
      <c r="AT2306" t="s">
        <v>5761</v>
      </c>
      <c r="AU2306">
        <v>90.17</v>
      </c>
      <c r="AV2306">
        <v>98.57</v>
      </c>
      <c r="AW2306">
        <v>1.64</v>
      </c>
      <c r="BA2306">
        <v>0.05</v>
      </c>
      <c r="BB2306">
        <v>0.99</v>
      </c>
      <c r="BC2306">
        <v>-1.04</v>
      </c>
      <c r="BD2306">
        <v>-0.47</v>
      </c>
      <c r="BE2306">
        <v>-0.89</v>
      </c>
      <c r="BF2306">
        <v>-1.81</v>
      </c>
      <c r="BG2306">
        <v>0.2</v>
      </c>
      <c r="BH2306">
        <v>-0.37</v>
      </c>
      <c r="BI2306">
        <v>20191025</v>
      </c>
      <c r="BJ2306">
        <v>19980402</v>
      </c>
      <c r="BK2306">
        <v>5.04</v>
      </c>
      <c r="BL2306" t="s">
        <v>116</v>
      </c>
      <c r="BM2306" t="s">
        <v>116</v>
      </c>
      <c r="BN2306">
        <v>24.66</v>
      </c>
      <c r="BO2306">
        <v>13.12</v>
      </c>
      <c r="BP2306">
        <v>0.06</v>
      </c>
      <c r="BQ2306">
        <v>46.54</v>
      </c>
      <c r="BR2306">
        <v>3.37</v>
      </c>
      <c r="BS2306">
        <v>13.45</v>
      </c>
      <c r="BT2306">
        <v>0.25</v>
      </c>
      <c r="BU2306">
        <v>5.44</v>
      </c>
      <c r="BV2306">
        <v>0.01</v>
      </c>
      <c r="BW2306">
        <v>0.09</v>
      </c>
      <c r="BX2306">
        <v>0.87</v>
      </c>
      <c r="BY2306">
        <v>7.98</v>
      </c>
      <c r="BZ2306">
        <v>6.69</v>
      </c>
      <c r="CA2306">
        <v>1.1100000000000001</v>
      </c>
      <c r="CB2306">
        <v>0.86</v>
      </c>
      <c r="CC2306">
        <v>1.23</v>
      </c>
      <c r="CD2306">
        <v>1.19</v>
      </c>
      <c r="CE2306">
        <v>1.19</v>
      </c>
      <c r="CF2306">
        <v>1.08</v>
      </c>
      <c r="CG2306">
        <v>5.47</v>
      </c>
      <c r="CH2306">
        <v>1.22</v>
      </c>
      <c r="CI2306">
        <v>0.98</v>
      </c>
      <c r="CJ2306">
        <v>31706</v>
      </c>
      <c r="CK2306">
        <v>8192</v>
      </c>
      <c r="CL2306" t="s">
        <v>10870</v>
      </c>
      <c r="CM2306">
        <v>8.7200000000000006</v>
      </c>
      <c r="CN2306">
        <v>-0.05</v>
      </c>
      <c r="CO2306">
        <v>7.72</v>
      </c>
      <c r="CP2306">
        <v>82.9</v>
      </c>
      <c r="CQ2306">
        <v>12.71</v>
      </c>
      <c r="CR2306">
        <v>0.25</v>
      </c>
      <c r="CS2306" t="s">
        <v>2045</v>
      </c>
      <c r="CT2306">
        <v>2.6</v>
      </c>
      <c r="CU2306">
        <v>0</v>
      </c>
      <c r="CV2306">
        <v>0.17</v>
      </c>
      <c r="CW2306">
        <v>1.0900000000000001</v>
      </c>
      <c r="CX2306">
        <v>0.24</v>
      </c>
      <c r="CY2306">
        <v>53.22</v>
      </c>
      <c r="CZ2306" t="s">
        <v>8410</v>
      </c>
      <c r="DA2306">
        <v>16.14</v>
      </c>
      <c r="DB2306">
        <v>13.87</v>
      </c>
      <c r="DC2306">
        <v>14.97</v>
      </c>
      <c r="DD2306">
        <v>0</v>
      </c>
      <c r="DE2306">
        <v>745</v>
      </c>
      <c r="DF2306">
        <v>600131</v>
      </c>
      <c r="DG2306" t="s">
        <v>116</v>
      </c>
      <c r="DH2306" t="s">
        <v>116</v>
      </c>
      <c r="DI2306" t="s">
        <v>116</v>
      </c>
    </row>
    <row r="2307" spans="1:113" x14ac:dyDescent="0.4">
      <c r="A2307" t="str">
        <f>"600132"</f>
        <v>600132</v>
      </c>
      <c r="B2307" t="s">
        <v>10871</v>
      </c>
      <c r="C2307">
        <v>-1.06</v>
      </c>
      <c r="D2307">
        <v>52.14</v>
      </c>
      <c r="E2307">
        <v>-0.56000000000000005</v>
      </c>
      <c r="F2307">
        <v>52.14</v>
      </c>
      <c r="G2307">
        <v>52.16</v>
      </c>
      <c r="H2307">
        <v>20151</v>
      </c>
      <c r="I2307">
        <v>137</v>
      </c>
      <c r="J2307">
        <v>-0.09</v>
      </c>
      <c r="K2307">
        <v>0.42</v>
      </c>
      <c r="L2307">
        <v>52.86</v>
      </c>
      <c r="M2307">
        <v>53.3</v>
      </c>
      <c r="N2307">
        <v>51.98</v>
      </c>
      <c r="O2307">
        <v>52.7</v>
      </c>
      <c r="P2307">
        <v>31.87</v>
      </c>
      <c r="Q2307">
        <v>105982608</v>
      </c>
      <c r="R2307">
        <v>0.87</v>
      </c>
      <c r="S2307" t="s">
        <v>1962</v>
      </c>
      <c r="T2307" t="s">
        <v>906</v>
      </c>
      <c r="U2307">
        <v>2.5</v>
      </c>
      <c r="V2307">
        <v>52.59</v>
      </c>
      <c r="W2307">
        <v>11942</v>
      </c>
      <c r="X2307">
        <v>8209</v>
      </c>
      <c r="Y2307">
        <v>1.45</v>
      </c>
      <c r="Z2307">
        <v>7</v>
      </c>
      <c r="AA2307">
        <v>3</v>
      </c>
      <c r="AB2307" t="s">
        <v>116</v>
      </c>
      <c r="AC2307">
        <v>385900</v>
      </c>
      <c r="AD2307">
        <v>0</v>
      </c>
      <c r="AE2307" t="s">
        <v>116</v>
      </c>
      <c r="AF2307" t="s">
        <v>116</v>
      </c>
      <c r="AG2307">
        <v>4.84</v>
      </c>
      <c r="AH2307" t="s">
        <v>10872</v>
      </c>
      <c r="AI2307" t="s">
        <v>10872</v>
      </c>
      <c r="AJ2307">
        <v>-0.99</v>
      </c>
      <c r="AK2307">
        <v>2444</v>
      </c>
      <c r="AL2307">
        <v>8</v>
      </c>
      <c r="AM2307">
        <v>2.0000000000000001E-4</v>
      </c>
      <c r="AN2307">
        <v>-1</v>
      </c>
      <c r="AO2307">
        <v>-1.62</v>
      </c>
      <c r="AP2307">
        <v>7.11</v>
      </c>
      <c r="AQ2307">
        <v>26.61</v>
      </c>
      <c r="AR2307">
        <v>74.209999999999994</v>
      </c>
      <c r="AS2307">
        <v>1.04</v>
      </c>
      <c r="AT2307" t="s">
        <v>167</v>
      </c>
      <c r="AU2307">
        <v>41.15</v>
      </c>
      <c r="AV2307">
        <v>62.46</v>
      </c>
      <c r="AW2307">
        <v>0.56999999999999995</v>
      </c>
      <c r="BA2307">
        <v>0.3</v>
      </c>
      <c r="BB2307">
        <v>1.1399999999999999</v>
      </c>
      <c r="BC2307">
        <v>-1.37</v>
      </c>
      <c r="BD2307">
        <v>-0.2</v>
      </c>
      <c r="BE2307">
        <v>-1.36</v>
      </c>
      <c r="BF2307">
        <v>-2.1800000000000002</v>
      </c>
      <c r="BG2307">
        <v>0.31</v>
      </c>
      <c r="BH2307">
        <v>-0.86</v>
      </c>
      <c r="BI2307">
        <v>20191024</v>
      </c>
      <c r="BJ2307">
        <v>19971030</v>
      </c>
      <c r="BK2307">
        <v>4.84</v>
      </c>
      <c r="BL2307" t="s">
        <v>116</v>
      </c>
      <c r="BM2307" t="s">
        <v>116</v>
      </c>
      <c r="BN2307">
        <v>36.6</v>
      </c>
      <c r="BO2307">
        <v>13.52</v>
      </c>
      <c r="BP2307">
        <v>0.84</v>
      </c>
      <c r="BQ2307">
        <v>60.79</v>
      </c>
      <c r="BR2307">
        <v>18.7</v>
      </c>
      <c r="BS2307">
        <v>11.51</v>
      </c>
      <c r="BT2307">
        <v>2.48</v>
      </c>
      <c r="BU2307">
        <v>19.75</v>
      </c>
      <c r="BV2307">
        <v>3.08</v>
      </c>
      <c r="BW2307">
        <v>0.79</v>
      </c>
      <c r="BX2307">
        <v>0</v>
      </c>
      <c r="BY2307">
        <v>30.25</v>
      </c>
      <c r="BZ2307">
        <v>17.61</v>
      </c>
      <c r="CA2307">
        <v>5.71</v>
      </c>
      <c r="CB2307">
        <v>0.65</v>
      </c>
      <c r="CC2307">
        <v>7.41</v>
      </c>
      <c r="CD2307">
        <v>6.61</v>
      </c>
      <c r="CE2307">
        <v>5.94</v>
      </c>
      <c r="CF2307">
        <v>4.03</v>
      </c>
      <c r="CG2307">
        <v>6.43</v>
      </c>
      <c r="CH2307">
        <v>8.6999999999999993</v>
      </c>
      <c r="CI2307">
        <v>-4.8499999999999996</v>
      </c>
      <c r="CJ2307">
        <v>17671</v>
      </c>
      <c r="CK2307">
        <v>10955</v>
      </c>
      <c r="CL2307" t="s">
        <v>10873</v>
      </c>
      <c r="CM2307">
        <v>54.39</v>
      </c>
      <c r="CN2307">
        <v>3.47</v>
      </c>
      <c r="CO2307">
        <v>18.670000000000002</v>
      </c>
      <c r="CP2307">
        <v>29</v>
      </c>
      <c r="CQ2307">
        <v>8.34</v>
      </c>
      <c r="CR2307">
        <v>1.53</v>
      </c>
      <c r="CS2307" t="s">
        <v>10874</v>
      </c>
      <c r="CT2307">
        <v>2.79</v>
      </c>
      <c r="CU2307">
        <v>0</v>
      </c>
      <c r="CV2307">
        <v>0</v>
      </c>
      <c r="CW2307">
        <v>1.33</v>
      </c>
      <c r="CX2307">
        <v>1.8</v>
      </c>
      <c r="CY2307">
        <v>36.93</v>
      </c>
      <c r="CZ2307" t="s">
        <v>10875</v>
      </c>
      <c r="DA2307">
        <v>41.78</v>
      </c>
      <c r="DB2307">
        <v>18.88</v>
      </c>
      <c r="DC2307">
        <v>19.63</v>
      </c>
      <c r="DD2307">
        <v>0</v>
      </c>
      <c r="DE2307">
        <v>2787</v>
      </c>
      <c r="DF2307">
        <v>600132</v>
      </c>
      <c r="DG2307" t="s">
        <v>116</v>
      </c>
      <c r="DH2307" t="s">
        <v>116</v>
      </c>
      <c r="DI2307" t="s">
        <v>116</v>
      </c>
    </row>
    <row r="2308" spans="1:113" x14ac:dyDescent="0.4">
      <c r="A2308" t="str">
        <f>"600133"</f>
        <v>600133</v>
      </c>
      <c r="B2308" t="s">
        <v>10876</v>
      </c>
      <c r="C2308">
        <v>-0.95</v>
      </c>
      <c r="D2308">
        <v>5.24</v>
      </c>
      <c r="E2308">
        <v>-0.05</v>
      </c>
      <c r="F2308">
        <v>5.24</v>
      </c>
      <c r="G2308">
        <v>5.25</v>
      </c>
      <c r="H2308">
        <v>56394</v>
      </c>
      <c r="I2308">
        <v>776</v>
      </c>
      <c r="J2308">
        <v>0</v>
      </c>
      <c r="K2308">
        <v>0.81</v>
      </c>
      <c r="L2308">
        <v>5.29</v>
      </c>
      <c r="M2308">
        <v>5.33</v>
      </c>
      <c r="N2308">
        <v>5.23</v>
      </c>
      <c r="O2308">
        <v>5.29</v>
      </c>
      <c r="P2308">
        <v>17.93</v>
      </c>
      <c r="Q2308">
        <v>29790540</v>
      </c>
      <c r="R2308">
        <v>1.1100000000000001</v>
      </c>
      <c r="S2308" t="s">
        <v>1503</v>
      </c>
      <c r="T2308" t="s">
        <v>774</v>
      </c>
      <c r="U2308">
        <v>1.89</v>
      </c>
      <c r="V2308">
        <v>5.28</v>
      </c>
      <c r="W2308">
        <v>31619</v>
      </c>
      <c r="X2308">
        <v>24775</v>
      </c>
      <c r="Y2308">
        <v>1.28</v>
      </c>
      <c r="Z2308">
        <v>204</v>
      </c>
      <c r="AA2308">
        <v>322</v>
      </c>
      <c r="AB2308" t="s">
        <v>116</v>
      </c>
      <c r="AC2308">
        <v>52900</v>
      </c>
      <c r="AD2308">
        <v>0</v>
      </c>
      <c r="AE2308" t="s">
        <v>116</v>
      </c>
      <c r="AF2308" t="s">
        <v>116</v>
      </c>
      <c r="AG2308">
        <v>6.93</v>
      </c>
      <c r="AH2308" t="s">
        <v>4324</v>
      </c>
      <c r="AI2308" t="s">
        <v>10877</v>
      </c>
      <c r="AJ2308">
        <v>-0.87</v>
      </c>
      <c r="AK2308">
        <v>1061</v>
      </c>
      <c r="AL2308">
        <v>53</v>
      </c>
      <c r="AM2308">
        <v>8.0000000000000004E-4</v>
      </c>
      <c r="AN2308">
        <v>-1</v>
      </c>
      <c r="AO2308">
        <v>0</v>
      </c>
      <c r="AP2308">
        <v>3.15</v>
      </c>
      <c r="AQ2308">
        <v>-0.38</v>
      </c>
      <c r="AR2308">
        <v>-16.489999999999998</v>
      </c>
      <c r="AS2308">
        <v>1.04</v>
      </c>
      <c r="AT2308" t="s">
        <v>10878</v>
      </c>
      <c r="AU2308">
        <v>12.48</v>
      </c>
      <c r="AV2308">
        <v>11.69</v>
      </c>
      <c r="AW2308">
        <v>1.1599999999999999</v>
      </c>
      <c r="BA2308">
        <v>0</v>
      </c>
      <c r="BB2308">
        <v>0.76</v>
      </c>
      <c r="BC2308">
        <v>-1.1299999999999999</v>
      </c>
      <c r="BD2308">
        <v>-0.14000000000000001</v>
      </c>
      <c r="BE2308">
        <v>-0.95</v>
      </c>
      <c r="BF2308">
        <v>-1.69</v>
      </c>
      <c r="BG2308">
        <v>0.19</v>
      </c>
      <c r="BH2308">
        <v>-0.8</v>
      </c>
      <c r="BI2308">
        <v>20191031</v>
      </c>
      <c r="BJ2308">
        <v>19980212</v>
      </c>
      <c r="BK2308">
        <v>7.54</v>
      </c>
      <c r="BL2308" t="s">
        <v>116</v>
      </c>
      <c r="BM2308" t="s">
        <v>116</v>
      </c>
      <c r="BN2308">
        <v>270</v>
      </c>
      <c r="BO2308">
        <v>45.45</v>
      </c>
      <c r="BP2308">
        <v>10.94</v>
      </c>
      <c r="BQ2308">
        <v>79.11</v>
      </c>
      <c r="BR2308">
        <v>186.84</v>
      </c>
      <c r="BS2308">
        <v>8.49</v>
      </c>
      <c r="BT2308">
        <v>16.57</v>
      </c>
      <c r="BU2308">
        <v>125.37</v>
      </c>
      <c r="BV2308">
        <v>98.06</v>
      </c>
      <c r="BW2308">
        <v>42.14</v>
      </c>
      <c r="BX2308">
        <v>14.83</v>
      </c>
      <c r="BY2308">
        <v>66.64</v>
      </c>
      <c r="BZ2308">
        <v>56.24</v>
      </c>
      <c r="CA2308">
        <v>3.19</v>
      </c>
      <c r="CB2308">
        <v>0.04</v>
      </c>
      <c r="CC2308">
        <v>3.21</v>
      </c>
      <c r="CD2308">
        <v>1.87</v>
      </c>
      <c r="CE2308">
        <v>1.65</v>
      </c>
      <c r="CF2308">
        <v>1.29</v>
      </c>
      <c r="CG2308">
        <v>16.760000000000002</v>
      </c>
      <c r="CH2308">
        <v>-7.79</v>
      </c>
      <c r="CI2308">
        <v>4.25</v>
      </c>
      <c r="CJ2308">
        <v>77611</v>
      </c>
      <c r="CK2308">
        <v>7005</v>
      </c>
      <c r="CL2308" t="s">
        <v>2825</v>
      </c>
      <c r="CM2308">
        <v>-11.57</v>
      </c>
      <c r="CN2308">
        <v>11.81</v>
      </c>
      <c r="CO2308">
        <v>0.93</v>
      </c>
      <c r="CP2308">
        <v>-5.07</v>
      </c>
      <c r="CQ2308">
        <v>0.59</v>
      </c>
      <c r="CR2308">
        <v>0.46</v>
      </c>
      <c r="CS2308" t="s">
        <v>541</v>
      </c>
      <c r="CT2308">
        <v>5.63</v>
      </c>
      <c r="CU2308">
        <v>5.63</v>
      </c>
      <c r="CV2308">
        <v>1.97</v>
      </c>
      <c r="CW2308">
        <v>2.2200000000000002</v>
      </c>
      <c r="CX2308">
        <v>-1.03</v>
      </c>
      <c r="CY2308">
        <v>16.829999999999998</v>
      </c>
      <c r="CZ2308" t="s">
        <v>1298</v>
      </c>
      <c r="DA2308">
        <v>15.6</v>
      </c>
      <c r="DB2308">
        <v>4.78</v>
      </c>
      <c r="DC2308">
        <v>2.48</v>
      </c>
      <c r="DD2308">
        <v>2.02</v>
      </c>
      <c r="DE2308">
        <v>1966</v>
      </c>
      <c r="DF2308">
        <v>600133</v>
      </c>
      <c r="DG2308" t="s">
        <v>116</v>
      </c>
      <c r="DH2308" t="s">
        <v>116</v>
      </c>
      <c r="DI2308" t="s">
        <v>116</v>
      </c>
    </row>
    <row r="2309" spans="1:113" x14ac:dyDescent="0.4">
      <c r="A2309" t="str">
        <f>"600135"</f>
        <v>600135</v>
      </c>
      <c r="B2309" t="s">
        <v>10879</v>
      </c>
      <c r="C2309">
        <v>1.1399999999999999</v>
      </c>
      <c r="D2309">
        <v>7.09</v>
      </c>
      <c r="E2309">
        <v>0.08</v>
      </c>
      <c r="F2309">
        <v>7.08</v>
      </c>
      <c r="G2309">
        <v>7.09</v>
      </c>
      <c r="H2309">
        <v>62817</v>
      </c>
      <c r="I2309">
        <v>473</v>
      </c>
      <c r="J2309">
        <v>0.14000000000000001</v>
      </c>
      <c r="K2309">
        <v>1.68</v>
      </c>
      <c r="L2309">
        <v>7.01</v>
      </c>
      <c r="M2309">
        <v>7.2</v>
      </c>
      <c r="N2309">
        <v>6.99</v>
      </c>
      <c r="O2309">
        <v>7.01</v>
      </c>
      <c r="P2309">
        <v>34.1</v>
      </c>
      <c r="Q2309">
        <v>44582236</v>
      </c>
      <c r="R2309">
        <v>2.3199999999999998</v>
      </c>
      <c r="S2309" t="s">
        <v>891</v>
      </c>
      <c r="T2309" t="s">
        <v>608</v>
      </c>
      <c r="U2309">
        <v>3</v>
      </c>
      <c r="V2309">
        <v>7.1</v>
      </c>
      <c r="W2309">
        <v>24094</v>
      </c>
      <c r="X2309">
        <v>38723</v>
      </c>
      <c r="Y2309">
        <v>0.62</v>
      </c>
      <c r="Z2309">
        <v>231</v>
      </c>
      <c r="AA2309">
        <v>331</v>
      </c>
      <c r="AB2309" t="s">
        <v>116</v>
      </c>
      <c r="AC2309">
        <v>0</v>
      </c>
      <c r="AD2309">
        <v>0</v>
      </c>
      <c r="AE2309" t="s">
        <v>116</v>
      </c>
      <c r="AF2309" t="s">
        <v>116</v>
      </c>
      <c r="AG2309">
        <v>3.73</v>
      </c>
      <c r="AH2309" t="s">
        <v>5912</v>
      </c>
      <c r="AI2309" t="s">
        <v>1582</v>
      </c>
      <c r="AJ2309">
        <v>1.22</v>
      </c>
      <c r="AK2309">
        <v>1425</v>
      </c>
      <c r="AL2309">
        <v>44</v>
      </c>
      <c r="AM2309">
        <v>1.1999999999999999E-3</v>
      </c>
      <c r="AN2309">
        <v>2</v>
      </c>
      <c r="AO2309">
        <v>1.43</v>
      </c>
      <c r="AP2309">
        <v>6.94</v>
      </c>
      <c r="AQ2309">
        <v>1.58</v>
      </c>
      <c r="AR2309">
        <v>26.2</v>
      </c>
      <c r="AS2309">
        <v>2.56</v>
      </c>
      <c r="AT2309" t="s">
        <v>6201</v>
      </c>
      <c r="AU2309">
        <v>120.27</v>
      </c>
      <c r="AV2309">
        <v>239.81</v>
      </c>
      <c r="AW2309">
        <v>1.38</v>
      </c>
      <c r="BA2309">
        <v>0</v>
      </c>
      <c r="BB2309">
        <v>2.71</v>
      </c>
      <c r="BC2309">
        <v>-0.28999999999999998</v>
      </c>
      <c r="BD2309">
        <v>1.24</v>
      </c>
      <c r="BE2309">
        <v>1.1399999999999999</v>
      </c>
      <c r="BF2309">
        <v>-1.53</v>
      </c>
      <c r="BG2309">
        <v>1.43</v>
      </c>
      <c r="BH2309">
        <v>-0.1</v>
      </c>
      <c r="BI2309">
        <v>20191024</v>
      </c>
      <c r="BJ2309">
        <v>19980122</v>
      </c>
      <c r="BK2309">
        <v>4.99</v>
      </c>
      <c r="BL2309" t="s">
        <v>116</v>
      </c>
      <c r="BM2309" t="s">
        <v>116</v>
      </c>
      <c r="BN2309">
        <v>26.58</v>
      </c>
      <c r="BO2309">
        <v>20.260000000000002</v>
      </c>
      <c r="BP2309">
        <v>0.21</v>
      </c>
      <c r="BQ2309">
        <v>22.97</v>
      </c>
      <c r="BR2309">
        <v>19.71</v>
      </c>
      <c r="BS2309">
        <v>3.96</v>
      </c>
      <c r="BT2309">
        <v>1.21</v>
      </c>
      <c r="BU2309">
        <v>5.9</v>
      </c>
      <c r="BV2309">
        <v>5.0199999999999996</v>
      </c>
      <c r="BW2309">
        <v>3.49</v>
      </c>
      <c r="BX2309">
        <v>10.96</v>
      </c>
      <c r="BY2309">
        <v>16.39</v>
      </c>
      <c r="BZ2309">
        <v>12.97</v>
      </c>
      <c r="CA2309">
        <v>0.88</v>
      </c>
      <c r="CB2309">
        <v>0.02</v>
      </c>
      <c r="CC2309">
        <v>0.9</v>
      </c>
      <c r="CD2309">
        <v>0.82</v>
      </c>
      <c r="CE2309">
        <v>0.78</v>
      </c>
      <c r="CF2309">
        <v>0.76</v>
      </c>
      <c r="CG2309">
        <v>2.78</v>
      </c>
      <c r="CH2309">
        <v>0.79</v>
      </c>
      <c r="CI2309">
        <v>2.02</v>
      </c>
      <c r="CJ2309">
        <v>33702</v>
      </c>
      <c r="CK2309">
        <v>7292</v>
      </c>
      <c r="CL2309" t="s">
        <v>5173</v>
      </c>
      <c r="CM2309">
        <v>23.22</v>
      </c>
      <c r="CN2309">
        <v>-4.43</v>
      </c>
      <c r="CO2309">
        <v>1.74</v>
      </c>
      <c r="CP2309">
        <v>44.98</v>
      </c>
      <c r="CQ2309">
        <v>2.16</v>
      </c>
      <c r="CR2309">
        <v>0.13</v>
      </c>
      <c r="CS2309" t="s">
        <v>1636</v>
      </c>
      <c r="CT2309">
        <v>4.0599999999999996</v>
      </c>
      <c r="CU2309">
        <v>0</v>
      </c>
      <c r="CV2309">
        <v>2.2000000000000002</v>
      </c>
      <c r="CW2309">
        <v>0.56000000000000005</v>
      </c>
      <c r="CX2309">
        <v>0.16</v>
      </c>
      <c r="CY2309">
        <v>76.239999999999995</v>
      </c>
      <c r="CZ2309" t="s">
        <v>410</v>
      </c>
      <c r="DA2309">
        <v>20.86</v>
      </c>
      <c r="DB2309">
        <v>5.36</v>
      </c>
      <c r="DC2309">
        <v>4.74</v>
      </c>
      <c r="DD2309">
        <v>0.65</v>
      </c>
      <c r="DE2309">
        <v>1982</v>
      </c>
      <c r="DF2309">
        <v>600135</v>
      </c>
      <c r="DG2309" t="s">
        <v>116</v>
      </c>
      <c r="DH2309" t="s">
        <v>116</v>
      </c>
      <c r="DI2309" t="s">
        <v>116</v>
      </c>
    </row>
    <row r="2310" spans="1:113" x14ac:dyDescent="0.4">
      <c r="A2310" t="str">
        <f>"600136"</f>
        <v>600136</v>
      </c>
      <c r="B2310" t="s">
        <v>10880</v>
      </c>
      <c r="C2310">
        <v>-4.03</v>
      </c>
      <c r="D2310">
        <v>12.15</v>
      </c>
      <c r="E2310">
        <v>-0.51</v>
      </c>
      <c r="F2310">
        <v>12.15</v>
      </c>
      <c r="G2310">
        <v>12.16</v>
      </c>
      <c r="H2310">
        <v>167775</v>
      </c>
      <c r="I2310">
        <v>3138</v>
      </c>
      <c r="J2310">
        <v>-0.15</v>
      </c>
      <c r="K2310">
        <v>3.45</v>
      </c>
      <c r="L2310">
        <v>12.48</v>
      </c>
      <c r="M2310">
        <v>12.66</v>
      </c>
      <c r="N2310">
        <v>12.13</v>
      </c>
      <c r="O2310">
        <v>12.66</v>
      </c>
      <c r="P2310">
        <v>8.17</v>
      </c>
      <c r="Q2310">
        <v>207481376</v>
      </c>
      <c r="R2310">
        <v>0.86</v>
      </c>
      <c r="S2310" t="s">
        <v>589</v>
      </c>
      <c r="T2310" t="s">
        <v>774</v>
      </c>
      <c r="U2310">
        <v>4.1900000000000004</v>
      </c>
      <c r="V2310">
        <v>12.37</v>
      </c>
      <c r="W2310">
        <v>91879</v>
      </c>
      <c r="X2310">
        <v>75896</v>
      </c>
      <c r="Y2310">
        <v>1.21</v>
      </c>
      <c r="Z2310">
        <v>32</v>
      </c>
      <c r="AA2310">
        <v>1002</v>
      </c>
      <c r="AB2310" t="s">
        <v>116</v>
      </c>
      <c r="AC2310">
        <v>1906900</v>
      </c>
      <c r="AD2310">
        <v>7.0000000000000007E-2</v>
      </c>
      <c r="AE2310" t="s">
        <v>116</v>
      </c>
      <c r="AF2310" t="s">
        <v>116</v>
      </c>
      <c r="AG2310">
        <v>4.87</v>
      </c>
      <c r="AH2310" t="s">
        <v>10881</v>
      </c>
      <c r="AI2310" t="s">
        <v>10882</v>
      </c>
      <c r="AJ2310">
        <v>-3.95</v>
      </c>
      <c r="AK2310">
        <v>3316</v>
      </c>
      <c r="AL2310">
        <v>51</v>
      </c>
      <c r="AM2310">
        <v>1E-3</v>
      </c>
      <c r="AN2310">
        <v>-3</v>
      </c>
      <c r="AO2310">
        <v>-6.18</v>
      </c>
      <c r="AP2310">
        <v>32.5</v>
      </c>
      <c r="AQ2310">
        <v>5.19</v>
      </c>
      <c r="AR2310">
        <v>49.13</v>
      </c>
      <c r="AS2310">
        <v>7.73</v>
      </c>
      <c r="AT2310" t="s">
        <v>7080</v>
      </c>
      <c r="AU2310">
        <v>10.15</v>
      </c>
      <c r="AV2310">
        <v>39.909999999999997</v>
      </c>
      <c r="AW2310">
        <v>2.13</v>
      </c>
      <c r="BA2310">
        <v>-1.42</v>
      </c>
      <c r="BB2310">
        <v>0</v>
      </c>
      <c r="BC2310">
        <v>-4.1900000000000004</v>
      </c>
      <c r="BD2310">
        <v>-2.3199999999999998</v>
      </c>
      <c r="BE2310">
        <v>-2.64</v>
      </c>
      <c r="BF2310">
        <v>-4.03</v>
      </c>
      <c r="BG2310">
        <v>0.16</v>
      </c>
      <c r="BH2310">
        <v>-1.71</v>
      </c>
      <c r="BI2310">
        <v>20191220</v>
      </c>
      <c r="BJ2310">
        <v>19980303</v>
      </c>
      <c r="BK2310">
        <v>5.85</v>
      </c>
      <c r="BL2310" t="s">
        <v>116</v>
      </c>
      <c r="BM2310" t="s">
        <v>116</v>
      </c>
      <c r="BN2310">
        <v>111.12</v>
      </c>
      <c r="BO2310">
        <v>40.57</v>
      </c>
      <c r="BP2310">
        <v>3.25</v>
      </c>
      <c r="BQ2310">
        <v>60.57</v>
      </c>
      <c r="BR2310">
        <v>42.93</v>
      </c>
      <c r="BS2310">
        <v>0.22</v>
      </c>
      <c r="BT2310">
        <v>4.17</v>
      </c>
      <c r="BU2310">
        <v>44.07</v>
      </c>
      <c r="BV2310">
        <v>12.01</v>
      </c>
      <c r="BW2310">
        <v>17.399999999999999</v>
      </c>
      <c r="BX2310">
        <v>21.55</v>
      </c>
      <c r="BY2310">
        <v>13.54</v>
      </c>
      <c r="BZ2310">
        <v>8.56</v>
      </c>
      <c r="CA2310">
        <v>5.64</v>
      </c>
      <c r="CB2310">
        <v>5.6</v>
      </c>
      <c r="CC2310">
        <v>5.62</v>
      </c>
      <c r="CD2310">
        <v>5.0199999999999996</v>
      </c>
      <c r="CE2310">
        <v>6.52</v>
      </c>
      <c r="CF2310">
        <v>0.31</v>
      </c>
      <c r="CG2310">
        <v>11.03</v>
      </c>
      <c r="CH2310">
        <v>9.7200000000000006</v>
      </c>
      <c r="CI2310">
        <v>-3.38</v>
      </c>
      <c r="CJ2310">
        <v>24180</v>
      </c>
      <c r="CK2310">
        <v>8981</v>
      </c>
      <c r="CL2310" t="s">
        <v>4973</v>
      </c>
      <c r="CM2310">
        <v>401.26</v>
      </c>
      <c r="CN2310">
        <v>1.41</v>
      </c>
      <c r="CO2310">
        <v>1.46</v>
      </c>
      <c r="CP2310">
        <v>7.31</v>
      </c>
      <c r="CQ2310">
        <v>5.25</v>
      </c>
      <c r="CR2310">
        <v>0.16</v>
      </c>
      <c r="CS2310" t="s">
        <v>10883</v>
      </c>
      <c r="CT2310">
        <v>8.33</v>
      </c>
      <c r="CU2310">
        <v>8.33</v>
      </c>
      <c r="CV2310">
        <v>3.69</v>
      </c>
      <c r="CW2310">
        <v>1.89</v>
      </c>
      <c r="CX2310">
        <v>1.66</v>
      </c>
      <c r="CY2310">
        <v>36.51</v>
      </c>
      <c r="CZ2310" t="s">
        <v>3325</v>
      </c>
      <c r="DA2310">
        <v>36.79</v>
      </c>
      <c r="DB2310">
        <v>41.66</v>
      </c>
      <c r="DC2310">
        <v>48.18</v>
      </c>
      <c r="DD2310">
        <v>0.05</v>
      </c>
      <c r="DE2310">
        <v>527</v>
      </c>
      <c r="DF2310">
        <v>600136</v>
      </c>
      <c r="DG2310" t="s">
        <v>116</v>
      </c>
      <c r="DH2310" t="s">
        <v>116</v>
      </c>
      <c r="DI2310" t="s">
        <v>116</v>
      </c>
    </row>
    <row r="2311" spans="1:113" x14ac:dyDescent="0.4">
      <c r="A2311" t="str">
        <f>"600137"</f>
        <v>600137</v>
      </c>
      <c r="B2311" t="s">
        <v>10884</v>
      </c>
      <c r="C2311">
        <v>9.98</v>
      </c>
      <c r="D2311">
        <v>16.309999999999999</v>
      </c>
      <c r="E2311">
        <v>1.48</v>
      </c>
      <c r="F2311">
        <v>16.309999999999999</v>
      </c>
      <c r="G2311" t="s">
        <v>116</v>
      </c>
      <c r="H2311">
        <v>33725</v>
      </c>
      <c r="I2311">
        <v>79</v>
      </c>
      <c r="J2311">
        <v>0</v>
      </c>
      <c r="K2311">
        <v>3.47</v>
      </c>
      <c r="L2311">
        <v>14.77</v>
      </c>
      <c r="M2311">
        <v>16.309999999999999</v>
      </c>
      <c r="N2311">
        <v>14.39</v>
      </c>
      <c r="O2311">
        <v>14.83</v>
      </c>
      <c r="P2311">
        <v>70.2</v>
      </c>
      <c r="Q2311">
        <v>53050080</v>
      </c>
      <c r="R2311">
        <v>7.4</v>
      </c>
      <c r="S2311" t="s">
        <v>3070</v>
      </c>
      <c r="T2311" t="s">
        <v>582</v>
      </c>
      <c r="U2311">
        <v>12.95</v>
      </c>
      <c r="V2311">
        <v>15.73</v>
      </c>
      <c r="W2311">
        <v>16600</v>
      </c>
      <c r="X2311">
        <v>17125</v>
      </c>
      <c r="Y2311">
        <v>0.97</v>
      </c>
      <c r="Z2311">
        <v>1006</v>
      </c>
      <c r="AA2311">
        <v>0</v>
      </c>
      <c r="AB2311" t="s">
        <v>116</v>
      </c>
      <c r="AC2311">
        <v>20700</v>
      </c>
      <c r="AD2311">
        <v>0</v>
      </c>
      <c r="AE2311">
        <v>0.03</v>
      </c>
      <c r="AF2311">
        <v>1640786</v>
      </c>
      <c r="AG2311">
        <v>0.97</v>
      </c>
      <c r="AH2311" t="s">
        <v>5714</v>
      </c>
      <c r="AI2311" t="s">
        <v>5714</v>
      </c>
      <c r="AJ2311">
        <v>10.06</v>
      </c>
      <c r="AK2311">
        <v>1183</v>
      </c>
      <c r="AL2311">
        <v>29</v>
      </c>
      <c r="AM2311">
        <v>2.8999999999999998E-3</v>
      </c>
      <c r="AN2311">
        <v>4</v>
      </c>
      <c r="AO2311">
        <v>12.57</v>
      </c>
      <c r="AP2311">
        <v>18.100000000000001</v>
      </c>
      <c r="AQ2311">
        <v>10.199999999999999</v>
      </c>
      <c r="AR2311">
        <v>29.14</v>
      </c>
      <c r="AS2311">
        <v>9.26</v>
      </c>
      <c r="AT2311" t="s">
        <v>10885</v>
      </c>
      <c r="AU2311">
        <v>65.08</v>
      </c>
      <c r="AV2311">
        <v>54.37</v>
      </c>
      <c r="AW2311">
        <v>1.26</v>
      </c>
      <c r="BA2311">
        <v>-0.4</v>
      </c>
      <c r="BB2311">
        <v>9.98</v>
      </c>
      <c r="BC2311">
        <v>-2.97</v>
      </c>
      <c r="BD2311">
        <v>6.07</v>
      </c>
      <c r="BE2311">
        <v>10.43</v>
      </c>
      <c r="BF2311">
        <v>0</v>
      </c>
      <c r="BG2311">
        <v>13.34</v>
      </c>
      <c r="BH2311">
        <v>3.91</v>
      </c>
      <c r="BI2311">
        <v>20191031</v>
      </c>
      <c r="BJ2311">
        <v>19980416</v>
      </c>
      <c r="BK2311">
        <v>0.97</v>
      </c>
      <c r="BL2311" t="s">
        <v>116</v>
      </c>
      <c r="BM2311" t="s">
        <v>116</v>
      </c>
      <c r="BN2311">
        <v>6.72</v>
      </c>
      <c r="BO2311">
        <v>5.05</v>
      </c>
      <c r="BP2311">
        <v>0</v>
      </c>
      <c r="BQ2311">
        <v>24.82</v>
      </c>
      <c r="BR2311">
        <v>5.4</v>
      </c>
      <c r="BS2311">
        <v>0.75</v>
      </c>
      <c r="BT2311">
        <v>0.39</v>
      </c>
      <c r="BU2311">
        <v>1.66</v>
      </c>
      <c r="BV2311">
        <v>1.1000000000000001</v>
      </c>
      <c r="BW2311">
        <v>0.98</v>
      </c>
      <c r="BX2311">
        <v>3.42</v>
      </c>
      <c r="BY2311">
        <v>2.2400000000000002</v>
      </c>
      <c r="BZ2311">
        <v>1.79</v>
      </c>
      <c r="CA2311">
        <v>0.19</v>
      </c>
      <c r="CB2311">
        <v>0.01</v>
      </c>
      <c r="CC2311">
        <v>0.2</v>
      </c>
      <c r="CD2311">
        <v>0.17</v>
      </c>
      <c r="CE2311">
        <v>0.17</v>
      </c>
      <c r="CF2311">
        <v>0.15</v>
      </c>
      <c r="CG2311">
        <v>0.54</v>
      </c>
      <c r="CH2311">
        <v>-0.6</v>
      </c>
      <c r="CI2311">
        <v>-1.85</v>
      </c>
      <c r="CJ2311">
        <v>10285</v>
      </c>
      <c r="CK2311">
        <v>3542</v>
      </c>
      <c r="CL2311" t="s">
        <v>3650</v>
      </c>
      <c r="CM2311">
        <v>-22.07</v>
      </c>
      <c r="CN2311">
        <v>1.72</v>
      </c>
      <c r="CO2311">
        <v>3.14</v>
      </c>
      <c r="CP2311">
        <v>-26.45</v>
      </c>
      <c r="CQ2311">
        <v>7.09</v>
      </c>
      <c r="CR2311">
        <v>0.74</v>
      </c>
      <c r="CS2311" t="s">
        <v>8181</v>
      </c>
      <c r="CT2311">
        <v>5.2</v>
      </c>
      <c r="CU2311">
        <v>0</v>
      </c>
      <c r="CV2311">
        <v>3.52</v>
      </c>
      <c r="CW2311">
        <v>0.55000000000000004</v>
      </c>
      <c r="CX2311">
        <v>-0.62</v>
      </c>
      <c r="CY2311">
        <v>75.180000000000007</v>
      </c>
      <c r="CZ2311" t="s">
        <v>744</v>
      </c>
      <c r="DA2311">
        <v>20.04</v>
      </c>
      <c r="DB2311">
        <v>8.56</v>
      </c>
      <c r="DC2311">
        <v>7.58</v>
      </c>
      <c r="DD2311">
        <v>7.0000000000000007E-2</v>
      </c>
      <c r="DE2311">
        <v>369</v>
      </c>
      <c r="DF2311">
        <v>600137</v>
      </c>
      <c r="DG2311" t="s">
        <v>116</v>
      </c>
      <c r="DH2311" t="s">
        <v>116</v>
      </c>
      <c r="DI2311" t="s">
        <v>116</v>
      </c>
    </row>
    <row r="2312" spans="1:113" x14ac:dyDescent="0.4">
      <c r="A2312" t="str">
        <f>"600138"</f>
        <v>600138</v>
      </c>
      <c r="B2312" t="s">
        <v>10886</v>
      </c>
      <c r="C2312">
        <v>0.98</v>
      </c>
      <c r="D2312">
        <v>12.31</v>
      </c>
      <c r="E2312">
        <v>0.12</v>
      </c>
      <c r="F2312">
        <v>12.31</v>
      </c>
      <c r="G2312">
        <v>12.32</v>
      </c>
      <c r="H2312">
        <v>165170</v>
      </c>
      <c r="I2312">
        <v>1534</v>
      </c>
      <c r="J2312">
        <v>0</v>
      </c>
      <c r="K2312">
        <v>2.2799999999999998</v>
      </c>
      <c r="L2312">
        <v>12.23</v>
      </c>
      <c r="M2312">
        <v>12.37</v>
      </c>
      <c r="N2312">
        <v>12.17</v>
      </c>
      <c r="O2312">
        <v>12.19</v>
      </c>
      <c r="P2312">
        <v>12.27</v>
      </c>
      <c r="Q2312">
        <v>202747136</v>
      </c>
      <c r="R2312">
        <v>1.94</v>
      </c>
      <c r="S2312" t="s">
        <v>1412</v>
      </c>
      <c r="T2312" t="s">
        <v>165</v>
      </c>
      <c r="U2312">
        <v>1.64</v>
      </c>
      <c r="V2312">
        <v>12.28</v>
      </c>
      <c r="W2312">
        <v>61832</v>
      </c>
      <c r="X2312">
        <v>103338</v>
      </c>
      <c r="Y2312">
        <v>0.6</v>
      </c>
      <c r="Z2312">
        <v>137</v>
      </c>
      <c r="AA2312">
        <v>547</v>
      </c>
      <c r="AB2312" t="s">
        <v>116</v>
      </c>
      <c r="AC2312">
        <v>710600</v>
      </c>
      <c r="AD2312">
        <v>0.01</v>
      </c>
      <c r="AE2312" t="s">
        <v>116</v>
      </c>
      <c r="AF2312" t="s">
        <v>116</v>
      </c>
      <c r="AG2312">
        <v>7.24</v>
      </c>
      <c r="AH2312" t="s">
        <v>10887</v>
      </c>
      <c r="AI2312" t="s">
        <v>10887</v>
      </c>
      <c r="AJ2312">
        <v>1.06</v>
      </c>
      <c r="AK2312">
        <v>3110</v>
      </c>
      <c r="AL2312">
        <v>53</v>
      </c>
      <c r="AM2312">
        <v>6.9999999999999999E-4</v>
      </c>
      <c r="AN2312">
        <v>2</v>
      </c>
      <c r="AO2312">
        <v>1.65</v>
      </c>
      <c r="AP2312">
        <v>5.21</v>
      </c>
      <c r="AQ2312">
        <v>-0.49</v>
      </c>
      <c r="AR2312">
        <v>-3.45</v>
      </c>
      <c r="AS2312">
        <v>3.17</v>
      </c>
      <c r="AT2312" t="s">
        <v>10888</v>
      </c>
      <c r="AU2312">
        <v>14.96</v>
      </c>
      <c r="AV2312">
        <v>14.91</v>
      </c>
      <c r="AW2312">
        <v>1.26</v>
      </c>
      <c r="BA2312">
        <v>0.33</v>
      </c>
      <c r="BB2312">
        <v>1.48</v>
      </c>
      <c r="BC2312">
        <v>-0.16</v>
      </c>
      <c r="BD2312">
        <v>0.7</v>
      </c>
      <c r="BE2312">
        <v>0.65</v>
      </c>
      <c r="BF2312">
        <v>-0.49</v>
      </c>
      <c r="BG2312">
        <v>1.1499999999999999</v>
      </c>
      <c r="BH2312">
        <v>0.28999999999999998</v>
      </c>
      <c r="BI2312">
        <v>20191030</v>
      </c>
      <c r="BJ2312">
        <v>19971203</v>
      </c>
      <c r="BK2312">
        <v>7.24</v>
      </c>
      <c r="BL2312" t="s">
        <v>116</v>
      </c>
      <c r="BM2312" t="s">
        <v>116</v>
      </c>
      <c r="BN2312">
        <v>164.52</v>
      </c>
      <c r="BO2312">
        <v>65.66</v>
      </c>
      <c r="BP2312">
        <v>22.76</v>
      </c>
      <c r="BQ2312">
        <v>46.26</v>
      </c>
      <c r="BR2312">
        <v>75.849999999999994</v>
      </c>
      <c r="BS2312">
        <v>40.57</v>
      </c>
      <c r="BT2312">
        <v>9.25</v>
      </c>
      <c r="BU2312">
        <v>66.84</v>
      </c>
      <c r="BV2312">
        <v>25.39</v>
      </c>
      <c r="BW2312">
        <v>23.55</v>
      </c>
      <c r="BX2312">
        <v>17.53</v>
      </c>
      <c r="BY2312">
        <v>95.45</v>
      </c>
      <c r="BZ2312">
        <v>72.2</v>
      </c>
      <c r="CA2312">
        <v>10.45</v>
      </c>
      <c r="CB2312">
        <v>0.85</v>
      </c>
      <c r="CC2312">
        <v>10.48</v>
      </c>
      <c r="CD2312">
        <v>7.97</v>
      </c>
      <c r="CE2312">
        <v>5.45</v>
      </c>
      <c r="CF2312">
        <v>4.21</v>
      </c>
      <c r="CG2312">
        <v>39.130000000000003</v>
      </c>
      <c r="CH2312">
        <v>11.75</v>
      </c>
      <c r="CI2312">
        <v>-2.48</v>
      </c>
      <c r="CJ2312">
        <v>60467</v>
      </c>
      <c r="CK2312">
        <v>8612</v>
      </c>
      <c r="CL2312" t="s">
        <v>10889</v>
      </c>
      <c r="CM2312">
        <v>-0.33</v>
      </c>
      <c r="CN2312">
        <v>6.9</v>
      </c>
      <c r="CO2312">
        <v>1.36</v>
      </c>
      <c r="CP2312">
        <v>7.58</v>
      </c>
      <c r="CQ2312">
        <v>0.93</v>
      </c>
      <c r="CR2312">
        <v>1.1399999999999999</v>
      </c>
      <c r="CS2312" t="s">
        <v>6779</v>
      </c>
      <c r="CT2312">
        <v>9.07</v>
      </c>
      <c r="CU2312">
        <v>0</v>
      </c>
      <c r="CV2312">
        <v>2.42</v>
      </c>
      <c r="CW2312">
        <v>5.41</v>
      </c>
      <c r="CX2312">
        <v>1.62</v>
      </c>
      <c r="CY2312">
        <v>39.909999999999997</v>
      </c>
      <c r="CZ2312" t="s">
        <v>1062</v>
      </c>
      <c r="DA2312">
        <v>24.36</v>
      </c>
      <c r="DB2312">
        <v>10.94</v>
      </c>
      <c r="DC2312">
        <v>5.71</v>
      </c>
      <c r="DD2312">
        <v>0.12</v>
      </c>
      <c r="DE2312">
        <v>9469</v>
      </c>
      <c r="DF2312">
        <v>600138</v>
      </c>
      <c r="DG2312" t="s">
        <v>116</v>
      </c>
      <c r="DH2312" t="s">
        <v>116</v>
      </c>
      <c r="DI2312" t="s">
        <v>116</v>
      </c>
    </row>
    <row r="2313" spans="1:113" x14ac:dyDescent="0.4">
      <c r="A2313" t="str">
        <f>"600139"</f>
        <v>600139</v>
      </c>
      <c r="B2313" t="s">
        <v>10890</v>
      </c>
      <c r="C2313">
        <v>1.39</v>
      </c>
      <c r="D2313">
        <v>3.65</v>
      </c>
      <c r="E2313">
        <v>0.05</v>
      </c>
      <c r="F2313">
        <v>3.64</v>
      </c>
      <c r="G2313">
        <v>3.65</v>
      </c>
      <c r="H2313">
        <v>611965</v>
      </c>
      <c r="I2313">
        <v>7181</v>
      </c>
      <c r="J2313">
        <v>1.1100000000000001</v>
      </c>
      <c r="K2313">
        <v>9.25</v>
      </c>
      <c r="L2313">
        <v>3.5</v>
      </c>
      <c r="M2313">
        <v>3.78</v>
      </c>
      <c r="N2313">
        <v>3.45</v>
      </c>
      <c r="O2313">
        <v>3.6</v>
      </c>
      <c r="P2313" t="s">
        <v>116</v>
      </c>
      <c r="Q2313">
        <v>220021360</v>
      </c>
      <c r="R2313">
        <v>1.97</v>
      </c>
      <c r="S2313" t="s">
        <v>173</v>
      </c>
      <c r="T2313" t="s">
        <v>582</v>
      </c>
      <c r="U2313">
        <v>9.17</v>
      </c>
      <c r="V2313">
        <v>3.6</v>
      </c>
      <c r="W2313">
        <v>309739</v>
      </c>
      <c r="X2313">
        <v>302226</v>
      </c>
      <c r="Y2313">
        <v>1.02</v>
      </c>
      <c r="Z2313">
        <v>2042</v>
      </c>
      <c r="AA2313">
        <v>1236</v>
      </c>
      <c r="AB2313" t="s">
        <v>116</v>
      </c>
      <c r="AC2313">
        <v>4082400</v>
      </c>
      <c r="AD2313">
        <v>0.3</v>
      </c>
      <c r="AE2313" t="s">
        <v>116</v>
      </c>
      <c r="AF2313" t="s">
        <v>116</v>
      </c>
      <c r="AG2313">
        <v>6.62</v>
      </c>
      <c r="AH2313" t="s">
        <v>2571</v>
      </c>
      <c r="AI2313" t="s">
        <v>2571</v>
      </c>
      <c r="AJ2313">
        <v>1.47</v>
      </c>
      <c r="AK2313">
        <v>3498</v>
      </c>
      <c r="AL2313">
        <v>175</v>
      </c>
      <c r="AM2313">
        <v>2.5999999999999999E-3</v>
      </c>
      <c r="AN2313">
        <v>4</v>
      </c>
      <c r="AO2313">
        <v>12.31</v>
      </c>
      <c r="AP2313">
        <v>12.31</v>
      </c>
      <c r="AQ2313">
        <v>-3.95</v>
      </c>
      <c r="AR2313">
        <v>20.46</v>
      </c>
      <c r="AS2313">
        <v>15.52</v>
      </c>
      <c r="AT2313" t="s">
        <v>10891</v>
      </c>
      <c r="AU2313">
        <v>16055.07</v>
      </c>
      <c r="AV2313">
        <v>827.91</v>
      </c>
      <c r="AW2313">
        <v>1.51</v>
      </c>
      <c r="BA2313">
        <v>-2.78</v>
      </c>
      <c r="BB2313">
        <v>5</v>
      </c>
      <c r="BC2313">
        <v>-4.17</v>
      </c>
      <c r="BD2313">
        <v>-0.13</v>
      </c>
      <c r="BE2313">
        <v>4.29</v>
      </c>
      <c r="BF2313">
        <v>-3.44</v>
      </c>
      <c r="BG2313">
        <v>5.8</v>
      </c>
      <c r="BH2313">
        <v>1.52</v>
      </c>
      <c r="BI2313">
        <v>20191031</v>
      </c>
      <c r="BJ2313">
        <v>19980225</v>
      </c>
      <c r="BK2313">
        <v>6.62</v>
      </c>
      <c r="BL2313" t="s">
        <v>116</v>
      </c>
      <c r="BM2313" t="s">
        <v>116</v>
      </c>
      <c r="BN2313">
        <v>33.020000000000003</v>
      </c>
      <c r="BO2313">
        <v>3.9</v>
      </c>
      <c r="BP2313">
        <v>5.14</v>
      </c>
      <c r="BQ2313">
        <v>72.61</v>
      </c>
      <c r="BR2313">
        <v>8.25</v>
      </c>
      <c r="BS2313">
        <v>0.01</v>
      </c>
      <c r="BT2313">
        <v>3.52</v>
      </c>
      <c r="BU2313">
        <v>5.76</v>
      </c>
      <c r="BV2313">
        <v>0</v>
      </c>
      <c r="BW2313">
        <v>7.0000000000000007E-2</v>
      </c>
      <c r="BX2313">
        <v>3.89</v>
      </c>
      <c r="BY2313">
        <v>1.1499999999999999</v>
      </c>
      <c r="BZ2313">
        <v>0.51</v>
      </c>
      <c r="CA2313">
        <v>-0.14000000000000001</v>
      </c>
      <c r="CB2313">
        <v>0</v>
      </c>
      <c r="CC2313">
        <v>-0.15</v>
      </c>
      <c r="CD2313">
        <v>-0.2</v>
      </c>
      <c r="CE2313">
        <v>-0.39</v>
      </c>
      <c r="CF2313">
        <v>-0.39</v>
      </c>
      <c r="CG2313">
        <v>-7.45</v>
      </c>
      <c r="CH2313">
        <v>-2.61</v>
      </c>
      <c r="CI2313">
        <v>-2.66</v>
      </c>
      <c r="CJ2313">
        <v>53894</v>
      </c>
      <c r="CK2313">
        <v>7318</v>
      </c>
      <c r="CL2313" t="s">
        <v>1085</v>
      </c>
      <c r="CM2313">
        <v>-7.64</v>
      </c>
      <c r="CN2313">
        <v>-45.26</v>
      </c>
      <c r="CO2313">
        <v>6.19</v>
      </c>
      <c r="CP2313">
        <v>-9.25</v>
      </c>
      <c r="CQ2313">
        <v>21.02</v>
      </c>
      <c r="CR2313">
        <v>0</v>
      </c>
      <c r="CS2313" t="s">
        <v>1402</v>
      </c>
      <c r="CT2313">
        <v>0.59</v>
      </c>
      <c r="CU2313">
        <v>0.59</v>
      </c>
      <c r="CV2313">
        <v>0.59</v>
      </c>
      <c r="CW2313">
        <v>-1.1299999999999999</v>
      </c>
      <c r="CX2313">
        <v>-0.39</v>
      </c>
      <c r="CY2313">
        <v>11.82</v>
      </c>
      <c r="CZ2313" t="s">
        <v>10700</v>
      </c>
      <c r="DA2313">
        <v>55.35</v>
      </c>
      <c r="DB2313">
        <v>-12.36</v>
      </c>
      <c r="DC2313">
        <v>-33.92</v>
      </c>
      <c r="DD2313">
        <v>0</v>
      </c>
      <c r="DE2313">
        <v>83</v>
      </c>
      <c r="DF2313">
        <v>600139</v>
      </c>
      <c r="DG2313" t="s">
        <v>116</v>
      </c>
      <c r="DH2313" t="s">
        <v>116</v>
      </c>
      <c r="DI2313" t="s">
        <v>116</v>
      </c>
    </row>
    <row r="2314" spans="1:113" x14ac:dyDescent="0.4">
      <c r="A2314" t="str">
        <f>"600141"</f>
        <v>600141</v>
      </c>
      <c r="B2314" t="s">
        <v>10892</v>
      </c>
      <c r="C2314">
        <v>-1.36</v>
      </c>
      <c r="D2314">
        <v>10.19</v>
      </c>
      <c r="E2314">
        <v>-0.14000000000000001</v>
      </c>
      <c r="F2314">
        <v>10.19</v>
      </c>
      <c r="G2314">
        <v>10.199999999999999</v>
      </c>
      <c r="H2314">
        <v>132472</v>
      </c>
      <c r="I2314">
        <v>1742</v>
      </c>
      <c r="J2314">
        <v>0.2</v>
      </c>
      <c r="K2314">
        <v>1.86</v>
      </c>
      <c r="L2314">
        <v>10.29</v>
      </c>
      <c r="M2314">
        <v>10.4</v>
      </c>
      <c r="N2314">
        <v>10.17</v>
      </c>
      <c r="O2314">
        <v>10.33</v>
      </c>
      <c r="P2314">
        <v>26.1</v>
      </c>
      <c r="Q2314">
        <v>136182784</v>
      </c>
      <c r="R2314">
        <v>1.41</v>
      </c>
      <c r="S2314" t="s">
        <v>891</v>
      </c>
      <c r="T2314" t="s">
        <v>774</v>
      </c>
      <c r="U2314">
        <v>2.23</v>
      </c>
      <c r="V2314">
        <v>10.28</v>
      </c>
      <c r="W2314">
        <v>70771</v>
      </c>
      <c r="X2314">
        <v>61701</v>
      </c>
      <c r="Y2314">
        <v>1.1499999999999999</v>
      </c>
      <c r="Z2314">
        <v>30</v>
      </c>
      <c r="AA2314">
        <v>419</v>
      </c>
      <c r="AB2314" t="s">
        <v>116</v>
      </c>
      <c r="AC2314">
        <v>361200</v>
      </c>
      <c r="AD2314">
        <v>0.01</v>
      </c>
      <c r="AE2314" t="s">
        <v>116</v>
      </c>
      <c r="AF2314" t="s">
        <v>116</v>
      </c>
      <c r="AG2314">
        <v>7.14</v>
      </c>
      <c r="AH2314" t="s">
        <v>10893</v>
      </c>
      <c r="AI2314" t="s">
        <v>10894</v>
      </c>
      <c r="AJ2314">
        <v>-1.28</v>
      </c>
      <c r="AK2314">
        <v>2749</v>
      </c>
      <c r="AL2314">
        <v>48</v>
      </c>
      <c r="AM2314">
        <v>6.9999999999999999E-4</v>
      </c>
      <c r="AN2314">
        <v>-1</v>
      </c>
      <c r="AO2314">
        <v>4.09</v>
      </c>
      <c r="AP2314">
        <v>5.27</v>
      </c>
      <c r="AQ2314">
        <v>-3.5</v>
      </c>
      <c r="AR2314">
        <v>0.99</v>
      </c>
      <c r="AS2314">
        <v>2.7</v>
      </c>
      <c r="AT2314" t="s">
        <v>10895</v>
      </c>
      <c r="AU2314">
        <v>33.590000000000003</v>
      </c>
      <c r="AV2314">
        <v>26.05</v>
      </c>
      <c r="AW2314">
        <v>1.1599999999999999</v>
      </c>
      <c r="BA2314">
        <v>-0.39</v>
      </c>
      <c r="BB2314">
        <v>0.68</v>
      </c>
      <c r="BC2314">
        <v>-1.55</v>
      </c>
      <c r="BD2314">
        <v>-0.48</v>
      </c>
      <c r="BE2314">
        <v>-0.97</v>
      </c>
      <c r="BF2314">
        <v>-2.02</v>
      </c>
      <c r="BG2314">
        <v>0.2</v>
      </c>
      <c r="BH2314">
        <v>-0.87</v>
      </c>
      <c r="BI2314">
        <v>20191220</v>
      </c>
      <c r="BJ2314">
        <v>19990616</v>
      </c>
      <c r="BK2314">
        <v>10.28</v>
      </c>
      <c r="BL2314" t="s">
        <v>116</v>
      </c>
      <c r="BM2314" t="s">
        <v>116</v>
      </c>
      <c r="BN2314">
        <v>284.55</v>
      </c>
      <c r="BO2314">
        <v>79.989999999999995</v>
      </c>
      <c r="BP2314">
        <v>2.13</v>
      </c>
      <c r="BQ2314">
        <v>71.14</v>
      </c>
      <c r="BR2314">
        <v>72.48</v>
      </c>
      <c r="BS2314">
        <v>136.71</v>
      </c>
      <c r="BT2314">
        <v>13.63</v>
      </c>
      <c r="BU2314">
        <v>155.57</v>
      </c>
      <c r="BV2314">
        <v>17.68</v>
      </c>
      <c r="BW2314">
        <v>13.86</v>
      </c>
      <c r="BX2314">
        <v>44.94</v>
      </c>
      <c r="BY2314">
        <v>144.47</v>
      </c>
      <c r="BZ2314">
        <v>125.6</v>
      </c>
      <c r="CA2314">
        <v>4.82</v>
      </c>
      <c r="CB2314">
        <v>0.77</v>
      </c>
      <c r="CC2314">
        <v>4.7699999999999996</v>
      </c>
      <c r="CD2314">
        <v>3.93</v>
      </c>
      <c r="CE2314">
        <v>3.01</v>
      </c>
      <c r="CF2314">
        <v>2.92</v>
      </c>
      <c r="CG2314">
        <v>17.78</v>
      </c>
      <c r="CH2314">
        <v>12.29</v>
      </c>
      <c r="CI2314">
        <v>-5.77</v>
      </c>
      <c r="CJ2314">
        <v>38446</v>
      </c>
      <c r="CK2314">
        <v>12751</v>
      </c>
      <c r="CL2314" t="s">
        <v>10896</v>
      </c>
      <c r="CM2314">
        <v>-23.08</v>
      </c>
      <c r="CN2314">
        <v>1.01</v>
      </c>
      <c r="CO2314">
        <v>1.24</v>
      </c>
      <c r="CP2314">
        <v>8.5299999999999994</v>
      </c>
      <c r="CQ2314">
        <v>0.73</v>
      </c>
      <c r="CR2314">
        <v>1.39</v>
      </c>
      <c r="CS2314" t="s">
        <v>7376</v>
      </c>
      <c r="CT2314">
        <v>8.1999999999999993</v>
      </c>
      <c r="CU2314">
        <v>8.1999999999999993</v>
      </c>
      <c r="CV2314">
        <v>4.37</v>
      </c>
      <c r="CW2314">
        <v>1.73</v>
      </c>
      <c r="CX2314">
        <v>1.19</v>
      </c>
      <c r="CY2314">
        <v>28.11</v>
      </c>
      <c r="CZ2314" t="s">
        <v>1972</v>
      </c>
      <c r="DA2314">
        <v>13.06</v>
      </c>
      <c r="DB2314">
        <v>3.34</v>
      </c>
      <c r="DC2314">
        <v>2.08</v>
      </c>
      <c r="DD2314">
        <v>1.91</v>
      </c>
      <c r="DE2314">
        <v>10514</v>
      </c>
      <c r="DF2314">
        <v>600141</v>
      </c>
      <c r="DG2314" t="s">
        <v>116</v>
      </c>
      <c r="DH2314" t="s">
        <v>116</v>
      </c>
      <c r="DI2314" t="s">
        <v>116</v>
      </c>
    </row>
    <row r="2315" spans="1:113" x14ac:dyDescent="0.4">
      <c r="A2315" t="str">
        <f>"600143"</f>
        <v>600143</v>
      </c>
      <c r="B2315" t="s">
        <v>10897</v>
      </c>
      <c r="C2315">
        <v>-2.04</v>
      </c>
      <c r="D2315">
        <v>7.19</v>
      </c>
      <c r="E2315">
        <v>-0.15</v>
      </c>
      <c r="F2315">
        <v>7.18</v>
      </c>
      <c r="G2315">
        <v>7.19</v>
      </c>
      <c r="H2315">
        <v>327603</v>
      </c>
      <c r="I2315">
        <v>3357</v>
      </c>
      <c r="J2315">
        <v>-0.41</v>
      </c>
      <c r="K2315">
        <v>1.27</v>
      </c>
      <c r="L2315">
        <v>7.39</v>
      </c>
      <c r="M2315">
        <v>7.51</v>
      </c>
      <c r="N2315">
        <v>7.18</v>
      </c>
      <c r="O2315">
        <v>7.34</v>
      </c>
      <c r="P2315">
        <v>14.7</v>
      </c>
      <c r="Q2315">
        <v>239677424</v>
      </c>
      <c r="R2315">
        <v>0.87</v>
      </c>
      <c r="S2315" t="s">
        <v>2444</v>
      </c>
      <c r="T2315" t="s">
        <v>551</v>
      </c>
      <c r="U2315">
        <v>4.5</v>
      </c>
      <c r="V2315">
        <v>7.32</v>
      </c>
      <c r="W2315">
        <v>210562</v>
      </c>
      <c r="X2315">
        <v>117041</v>
      </c>
      <c r="Y2315">
        <v>1.8</v>
      </c>
      <c r="Z2315">
        <v>2430</v>
      </c>
      <c r="AA2315">
        <v>963</v>
      </c>
      <c r="AB2315" t="s">
        <v>116</v>
      </c>
      <c r="AC2315">
        <v>909000</v>
      </c>
      <c r="AD2315">
        <v>0.01</v>
      </c>
      <c r="AE2315" t="s">
        <v>116</v>
      </c>
      <c r="AF2315" t="s">
        <v>116</v>
      </c>
      <c r="AG2315">
        <v>25.74</v>
      </c>
      <c r="AH2315" t="s">
        <v>10898</v>
      </c>
      <c r="AI2315" t="s">
        <v>10898</v>
      </c>
      <c r="AJ2315">
        <v>-1.97</v>
      </c>
      <c r="AK2315">
        <v>3438</v>
      </c>
      <c r="AL2315">
        <v>95</v>
      </c>
      <c r="AM2315">
        <v>4.0000000000000002E-4</v>
      </c>
      <c r="AN2315">
        <v>-1</v>
      </c>
      <c r="AO2315">
        <v>-1.64</v>
      </c>
      <c r="AP2315">
        <v>12.87</v>
      </c>
      <c r="AQ2315">
        <v>7.47</v>
      </c>
      <c r="AR2315">
        <v>48.25</v>
      </c>
      <c r="AS2315">
        <v>1.92</v>
      </c>
      <c r="AT2315" t="s">
        <v>10899</v>
      </c>
      <c r="AU2315">
        <v>20.239999999999998</v>
      </c>
      <c r="AV2315">
        <v>29.65</v>
      </c>
      <c r="AW2315">
        <v>1.66</v>
      </c>
      <c r="BA2315">
        <v>0.68</v>
      </c>
      <c r="BB2315">
        <v>2.3199999999999998</v>
      </c>
      <c r="BC2315">
        <v>-2.1800000000000002</v>
      </c>
      <c r="BD2315">
        <v>-0.33</v>
      </c>
      <c r="BE2315">
        <v>-2.71</v>
      </c>
      <c r="BF2315">
        <v>-4.26</v>
      </c>
      <c r="BG2315">
        <v>0.14000000000000001</v>
      </c>
      <c r="BH2315">
        <v>-1.72</v>
      </c>
      <c r="BI2315">
        <v>20191220</v>
      </c>
      <c r="BJ2315">
        <v>20040623</v>
      </c>
      <c r="BK2315">
        <v>25.74</v>
      </c>
      <c r="BL2315" t="s">
        <v>116</v>
      </c>
      <c r="BM2315" t="s">
        <v>116</v>
      </c>
      <c r="BN2315">
        <v>284.47000000000003</v>
      </c>
      <c r="BO2315">
        <v>102.31</v>
      </c>
      <c r="BP2315">
        <v>1.45</v>
      </c>
      <c r="BQ2315">
        <v>63.53</v>
      </c>
      <c r="BR2315">
        <v>123.03</v>
      </c>
      <c r="BS2315">
        <v>105.21</v>
      </c>
      <c r="BT2315">
        <v>22.94</v>
      </c>
      <c r="BU2315">
        <v>127.7</v>
      </c>
      <c r="BV2315">
        <v>29.78</v>
      </c>
      <c r="BW2315">
        <v>36.4</v>
      </c>
      <c r="BX2315">
        <v>34.85</v>
      </c>
      <c r="BY2315">
        <v>203.76</v>
      </c>
      <c r="BZ2315">
        <v>171.79</v>
      </c>
      <c r="CA2315">
        <v>10.73</v>
      </c>
      <c r="CB2315">
        <v>0.61</v>
      </c>
      <c r="CC2315">
        <v>10.8</v>
      </c>
      <c r="CD2315">
        <v>9.5299999999999994</v>
      </c>
      <c r="CE2315">
        <v>9.44</v>
      </c>
      <c r="CF2315">
        <v>7.77</v>
      </c>
      <c r="CG2315">
        <v>42.01</v>
      </c>
      <c r="CH2315">
        <v>18.72</v>
      </c>
      <c r="CI2315">
        <v>12.39</v>
      </c>
      <c r="CJ2315">
        <v>80633</v>
      </c>
      <c r="CK2315">
        <v>21131</v>
      </c>
      <c r="CL2315" t="s">
        <v>10900</v>
      </c>
      <c r="CM2315">
        <v>44.34</v>
      </c>
      <c r="CN2315">
        <v>9.85</v>
      </c>
      <c r="CO2315">
        <v>1.81</v>
      </c>
      <c r="CP2315">
        <v>9.8800000000000008</v>
      </c>
      <c r="CQ2315">
        <v>0.91</v>
      </c>
      <c r="CR2315">
        <v>1.42</v>
      </c>
      <c r="CS2315" t="s">
        <v>793</v>
      </c>
      <c r="CT2315">
        <v>3.98</v>
      </c>
      <c r="CU2315">
        <v>0</v>
      </c>
      <c r="CV2315">
        <v>1.35</v>
      </c>
      <c r="CW2315">
        <v>1.63</v>
      </c>
      <c r="CX2315">
        <v>0.73</v>
      </c>
      <c r="CY2315">
        <v>35.96</v>
      </c>
      <c r="CZ2315" t="s">
        <v>10901</v>
      </c>
      <c r="DA2315">
        <v>15.69</v>
      </c>
      <c r="DB2315">
        <v>5.27</v>
      </c>
      <c r="DC2315">
        <v>4.63</v>
      </c>
      <c r="DD2315">
        <v>7.81</v>
      </c>
      <c r="DE2315">
        <v>6749</v>
      </c>
      <c r="DF2315">
        <v>600143</v>
      </c>
      <c r="DG2315" t="s">
        <v>116</v>
      </c>
      <c r="DH2315" t="s">
        <v>116</v>
      </c>
      <c r="DI2315" t="s">
        <v>116</v>
      </c>
    </row>
    <row r="2316" spans="1:113" x14ac:dyDescent="0.4">
      <c r="A2316" t="str">
        <f>"600145"</f>
        <v>600145</v>
      </c>
      <c r="B2316" t="s">
        <v>10902</v>
      </c>
      <c r="C2316">
        <v>0</v>
      </c>
      <c r="D2316">
        <v>1.87</v>
      </c>
      <c r="E2316">
        <v>0</v>
      </c>
      <c r="G2316" t="s">
        <v>116</v>
      </c>
      <c r="H2316">
        <v>0</v>
      </c>
      <c r="I2316">
        <v>0</v>
      </c>
      <c r="J2316">
        <v>0</v>
      </c>
      <c r="K2316">
        <v>0</v>
      </c>
      <c r="L2316" t="s">
        <v>116</v>
      </c>
      <c r="M2316" t="s">
        <v>116</v>
      </c>
      <c r="N2316" t="s">
        <v>116</v>
      </c>
      <c r="O2316">
        <v>1.87</v>
      </c>
      <c r="P2316" t="s">
        <v>116</v>
      </c>
      <c r="Q2316">
        <v>0</v>
      </c>
      <c r="R2316">
        <v>0</v>
      </c>
      <c r="S2316" t="s">
        <v>8514</v>
      </c>
      <c r="T2316" t="s">
        <v>616</v>
      </c>
      <c r="U2316">
        <v>0</v>
      </c>
      <c r="V2316">
        <v>1.87</v>
      </c>
      <c r="W2316">
        <v>0</v>
      </c>
      <c r="X2316">
        <v>0</v>
      </c>
      <c r="Y2316" t="s">
        <v>116</v>
      </c>
      <c r="Z2316">
        <v>0</v>
      </c>
      <c r="AA2316">
        <v>0</v>
      </c>
      <c r="AB2316" t="s">
        <v>116</v>
      </c>
      <c r="AC2316">
        <v>0</v>
      </c>
      <c r="AD2316" t="s">
        <v>116</v>
      </c>
      <c r="AE2316" t="s">
        <v>116</v>
      </c>
      <c r="AF2316" t="s">
        <v>116</v>
      </c>
      <c r="AG2316">
        <v>14.91</v>
      </c>
      <c r="AH2316" t="s">
        <v>4004</v>
      </c>
      <c r="AI2316" t="s">
        <v>4004</v>
      </c>
      <c r="AJ2316">
        <v>0.08</v>
      </c>
      <c r="AK2316">
        <v>1</v>
      </c>
      <c r="AL2316">
        <v>0</v>
      </c>
      <c r="AM2316">
        <v>0</v>
      </c>
      <c r="AN2316">
        <v>0</v>
      </c>
      <c r="AO2316">
        <v>6.17</v>
      </c>
      <c r="AP2316">
        <v>0</v>
      </c>
      <c r="AQ2316">
        <v>0</v>
      </c>
      <c r="AR2316">
        <v>0</v>
      </c>
      <c r="AS2316" t="s">
        <v>116</v>
      </c>
      <c r="AT2316" t="s">
        <v>10903</v>
      </c>
      <c r="AU2316" t="s">
        <v>116</v>
      </c>
      <c r="AV2316">
        <v>282.89999999999998</v>
      </c>
      <c r="AW2316">
        <v>0.52</v>
      </c>
      <c r="BA2316" t="s">
        <v>116</v>
      </c>
      <c r="BB2316" t="s">
        <v>116</v>
      </c>
      <c r="BC2316" t="s">
        <v>116</v>
      </c>
      <c r="BD2316">
        <v>0</v>
      </c>
      <c r="BE2316" t="s">
        <v>116</v>
      </c>
      <c r="BF2316" t="s">
        <v>116</v>
      </c>
      <c r="BG2316" t="s">
        <v>116</v>
      </c>
      <c r="BH2316">
        <v>0</v>
      </c>
      <c r="BI2316">
        <v>20191030</v>
      </c>
      <c r="BJ2316">
        <v>19990923</v>
      </c>
      <c r="BK2316">
        <v>14.91</v>
      </c>
      <c r="BL2316" t="s">
        <v>116</v>
      </c>
      <c r="BM2316" t="s">
        <v>116</v>
      </c>
      <c r="BN2316">
        <v>11.59</v>
      </c>
      <c r="BO2316">
        <v>6.3</v>
      </c>
      <c r="BP2316">
        <v>-0.03</v>
      </c>
      <c r="BQ2316">
        <v>45.85</v>
      </c>
      <c r="BR2316">
        <v>4.76</v>
      </c>
      <c r="BS2316">
        <v>0.51</v>
      </c>
      <c r="BT2316">
        <v>0.18</v>
      </c>
      <c r="BU2316">
        <v>3.42</v>
      </c>
      <c r="BV2316">
        <v>0</v>
      </c>
      <c r="BW2316">
        <v>0.06</v>
      </c>
      <c r="BX2316">
        <v>15.15</v>
      </c>
      <c r="BY2316">
        <v>7.0000000000000007E-2</v>
      </c>
      <c r="BZ2316">
        <v>0.02</v>
      </c>
      <c r="CA2316">
        <v>-0.06</v>
      </c>
      <c r="CB2316">
        <v>0</v>
      </c>
      <c r="CC2316">
        <v>-0.06</v>
      </c>
      <c r="CD2316">
        <v>-0.06</v>
      </c>
      <c r="CE2316">
        <v>-0.05</v>
      </c>
      <c r="CF2316">
        <v>-0.05</v>
      </c>
      <c r="CG2316">
        <v>-24.12</v>
      </c>
      <c r="CH2316">
        <v>0.03</v>
      </c>
      <c r="CI2316">
        <v>0.01</v>
      </c>
      <c r="CJ2316">
        <v>32916</v>
      </c>
      <c r="CK2316">
        <v>26848</v>
      </c>
      <c r="CL2316" t="s">
        <v>4120</v>
      </c>
      <c r="CM2316">
        <v>-112.67</v>
      </c>
      <c r="CN2316">
        <v>-58.71</v>
      </c>
      <c r="CO2316">
        <v>4.42</v>
      </c>
      <c r="CP2316">
        <v>1008.63</v>
      </c>
      <c r="CQ2316">
        <v>428.54</v>
      </c>
      <c r="CR2316">
        <v>0</v>
      </c>
      <c r="CS2316" t="s">
        <v>1451</v>
      </c>
      <c r="CT2316">
        <v>0.42</v>
      </c>
      <c r="CU2316">
        <v>0</v>
      </c>
      <c r="CV2316">
        <v>1.02</v>
      </c>
      <c r="CW2316">
        <v>-1.62</v>
      </c>
      <c r="CX2316">
        <v>0</v>
      </c>
      <c r="CY2316">
        <v>54.4</v>
      </c>
      <c r="CZ2316" t="s">
        <v>5673</v>
      </c>
      <c r="DA2316">
        <v>70.48</v>
      </c>
      <c r="DB2316">
        <v>-88.1</v>
      </c>
      <c r="DC2316">
        <v>-81.760000000000005</v>
      </c>
      <c r="DD2316">
        <v>0</v>
      </c>
      <c r="DE2316">
        <v>14</v>
      </c>
      <c r="DF2316">
        <v>600145</v>
      </c>
      <c r="DG2316" t="s">
        <v>116</v>
      </c>
      <c r="DH2316" t="s">
        <v>116</v>
      </c>
      <c r="DI2316" t="s">
        <v>116</v>
      </c>
    </row>
    <row r="2317" spans="1:113" x14ac:dyDescent="0.4">
      <c r="A2317" t="str">
        <f>"600146"</f>
        <v>600146</v>
      </c>
      <c r="B2317" t="s">
        <v>10904</v>
      </c>
      <c r="C2317">
        <v>-3.82</v>
      </c>
      <c r="D2317">
        <v>12.1</v>
      </c>
      <c r="E2317">
        <v>-0.48</v>
      </c>
      <c r="F2317">
        <v>12.1</v>
      </c>
      <c r="G2317">
        <v>12.11</v>
      </c>
      <c r="H2317">
        <v>127732</v>
      </c>
      <c r="I2317">
        <v>1631</v>
      </c>
      <c r="J2317">
        <v>-7.0000000000000007E-2</v>
      </c>
      <c r="K2317">
        <v>2.72</v>
      </c>
      <c r="L2317">
        <v>12.56</v>
      </c>
      <c r="M2317">
        <v>12.67</v>
      </c>
      <c r="N2317">
        <v>11.75</v>
      </c>
      <c r="O2317">
        <v>12.58</v>
      </c>
      <c r="P2317" t="s">
        <v>116</v>
      </c>
      <c r="Q2317">
        <v>157121296</v>
      </c>
      <c r="R2317">
        <v>0.96</v>
      </c>
      <c r="S2317" t="s">
        <v>3070</v>
      </c>
      <c r="T2317" t="s">
        <v>1147</v>
      </c>
      <c r="U2317">
        <v>7.31</v>
      </c>
      <c r="V2317">
        <v>12.3</v>
      </c>
      <c r="W2317">
        <v>71762</v>
      </c>
      <c r="X2317">
        <v>55970</v>
      </c>
      <c r="Y2317">
        <v>1.28</v>
      </c>
      <c r="Z2317">
        <v>317</v>
      </c>
      <c r="AA2317">
        <v>196</v>
      </c>
      <c r="AB2317" t="s">
        <v>116</v>
      </c>
      <c r="AC2317">
        <v>477300</v>
      </c>
      <c r="AD2317">
        <v>0.01</v>
      </c>
      <c r="AE2317" t="s">
        <v>116</v>
      </c>
      <c r="AF2317" t="s">
        <v>116</v>
      </c>
      <c r="AG2317">
        <v>4.7</v>
      </c>
      <c r="AH2317" t="s">
        <v>10905</v>
      </c>
      <c r="AI2317" t="s">
        <v>10905</v>
      </c>
      <c r="AJ2317">
        <v>-3.74</v>
      </c>
      <c r="AK2317">
        <v>2671</v>
      </c>
      <c r="AL2317">
        <v>48</v>
      </c>
      <c r="AM2317">
        <v>1E-3</v>
      </c>
      <c r="AN2317">
        <v>-2</v>
      </c>
      <c r="AO2317">
        <v>-3.67</v>
      </c>
      <c r="AP2317">
        <v>-14.12</v>
      </c>
      <c r="AQ2317">
        <v>-30.1</v>
      </c>
      <c r="AR2317">
        <v>83.89</v>
      </c>
      <c r="AS2317">
        <v>4.17</v>
      </c>
      <c r="AT2317" t="s">
        <v>10906</v>
      </c>
      <c r="AU2317" t="s">
        <v>116</v>
      </c>
      <c r="AV2317" t="s">
        <v>116</v>
      </c>
      <c r="AW2317">
        <v>1.64</v>
      </c>
      <c r="BA2317">
        <v>-0.16</v>
      </c>
      <c r="BB2317">
        <v>0.72</v>
      </c>
      <c r="BC2317">
        <v>-6.6</v>
      </c>
      <c r="BD2317">
        <v>-2.2200000000000002</v>
      </c>
      <c r="BE2317">
        <v>-3.66</v>
      </c>
      <c r="BF2317">
        <v>-4.5</v>
      </c>
      <c r="BG2317">
        <v>2.98</v>
      </c>
      <c r="BH2317">
        <v>-1.6</v>
      </c>
      <c r="BI2317">
        <v>20191029</v>
      </c>
      <c r="BJ2317">
        <v>19990707</v>
      </c>
      <c r="BK2317">
        <v>4.7</v>
      </c>
      <c r="BL2317" t="s">
        <v>116</v>
      </c>
      <c r="BM2317" t="s">
        <v>116</v>
      </c>
      <c r="BN2317">
        <v>17.55</v>
      </c>
      <c r="BO2317">
        <v>9.08</v>
      </c>
      <c r="BP2317">
        <v>-0.02</v>
      </c>
      <c r="BQ2317">
        <v>48.35</v>
      </c>
      <c r="BR2317">
        <v>12.48</v>
      </c>
      <c r="BS2317">
        <v>0.85</v>
      </c>
      <c r="BT2317">
        <v>0.49</v>
      </c>
      <c r="BU2317">
        <v>8.01</v>
      </c>
      <c r="BV2317">
        <v>3.73</v>
      </c>
      <c r="BW2317">
        <v>1.64</v>
      </c>
      <c r="BX2317">
        <v>26.25</v>
      </c>
      <c r="BY2317">
        <v>9.61</v>
      </c>
      <c r="BZ2317">
        <v>6.09</v>
      </c>
      <c r="CA2317">
        <v>-2.87</v>
      </c>
      <c r="CB2317">
        <v>-0.03</v>
      </c>
      <c r="CC2317">
        <v>-2.88</v>
      </c>
      <c r="CD2317">
        <v>-2.88</v>
      </c>
      <c r="CE2317">
        <v>-2.85</v>
      </c>
      <c r="CF2317">
        <v>-2.84</v>
      </c>
      <c r="CG2317">
        <v>-21.99</v>
      </c>
      <c r="CH2317">
        <v>-1.54</v>
      </c>
      <c r="CI2317">
        <v>-2.09</v>
      </c>
      <c r="CJ2317">
        <v>15312</v>
      </c>
      <c r="CK2317">
        <v>20003</v>
      </c>
      <c r="CL2317" t="s">
        <v>8558</v>
      </c>
      <c r="CM2317">
        <v>-532.76</v>
      </c>
      <c r="CN2317">
        <v>-48.63</v>
      </c>
      <c r="CO2317">
        <v>6.26</v>
      </c>
      <c r="CP2317">
        <v>-37</v>
      </c>
      <c r="CQ2317">
        <v>5.92</v>
      </c>
      <c r="CR2317">
        <v>0</v>
      </c>
      <c r="CS2317" t="s">
        <v>10907</v>
      </c>
      <c r="CT2317">
        <v>1.93</v>
      </c>
      <c r="CU2317">
        <v>0</v>
      </c>
      <c r="CV2317">
        <v>5.59</v>
      </c>
      <c r="CW2317">
        <v>-4.68</v>
      </c>
      <c r="CX2317">
        <v>-0.33</v>
      </c>
      <c r="CY2317">
        <v>51.75</v>
      </c>
      <c r="CZ2317" t="s">
        <v>10908</v>
      </c>
      <c r="DA2317">
        <v>36.659999999999997</v>
      </c>
      <c r="DB2317">
        <v>-29.87</v>
      </c>
      <c r="DC2317">
        <v>-29.62</v>
      </c>
      <c r="DD2317">
        <v>0</v>
      </c>
      <c r="DE2317">
        <v>1463</v>
      </c>
      <c r="DF2317">
        <v>600146</v>
      </c>
      <c r="DG2317" t="s">
        <v>116</v>
      </c>
      <c r="DH2317" t="s">
        <v>116</v>
      </c>
      <c r="DI2317" t="s">
        <v>116</v>
      </c>
    </row>
    <row r="2318" spans="1:113" x14ac:dyDescent="0.4">
      <c r="A2318" t="str">
        <f>"600148"</f>
        <v>600148</v>
      </c>
      <c r="B2318" t="s">
        <v>10909</v>
      </c>
      <c r="C2318">
        <v>-1.19</v>
      </c>
      <c r="D2318">
        <v>13.31</v>
      </c>
      <c r="E2318">
        <v>-0.16</v>
      </c>
      <c r="F2318">
        <v>13.31</v>
      </c>
      <c r="G2318">
        <v>13.32</v>
      </c>
      <c r="H2318">
        <v>10292</v>
      </c>
      <c r="I2318">
        <v>118</v>
      </c>
      <c r="J2318">
        <v>0.08</v>
      </c>
      <c r="K2318">
        <v>0.73</v>
      </c>
      <c r="L2318">
        <v>13.44</v>
      </c>
      <c r="M2318">
        <v>13.59</v>
      </c>
      <c r="N2318">
        <v>13.3</v>
      </c>
      <c r="O2318">
        <v>13.47</v>
      </c>
      <c r="P2318">
        <v>72.36</v>
      </c>
      <c r="Q2318">
        <v>13827777</v>
      </c>
      <c r="R2318">
        <v>1.07</v>
      </c>
      <c r="S2318" t="s">
        <v>293</v>
      </c>
      <c r="T2318" t="s">
        <v>294</v>
      </c>
      <c r="U2318">
        <v>2.15</v>
      </c>
      <c r="V2318">
        <v>13.44</v>
      </c>
      <c r="W2318">
        <v>6088</v>
      </c>
      <c r="X2318">
        <v>4204</v>
      </c>
      <c r="Y2318">
        <v>1.45</v>
      </c>
      <c r="Z2318">
        <v>11</v>
      </c>
      <c r="AA2318">
        <v>70</v>
      </c>
      <c r="AB2318" t="s">
        <v>116</v>
      </c>
      <c r="AC2318">
        <v>119600</v>
      </c>
      <c r="AD2318">
        <v>0.01</v>
      </c>
      <c r="AE2318" t="s">
        <v>116</v>
      </c>
      <c r="AF2318" t="s">
        <v>116</v>
      </c>
      <c r="AG2318">
        <v>1.42</v>
      </c>
      <c r="AH2318" t="s">
        <v>1077</v>
      </c>
      <c r="AI2318" t="s">
        <v>1077</v>
      </c>
      <c r="AJ2318">
        <v>-1.1100000000000001</v>
      </c>
      <c r="AK2318">
        <v>654</v>
      </c>
      <c r="AL2318">
        <v>16</v>
      </c>
      <c r="AM2318">
        <v>1.1000000000000001E-3</v>
      </c>
      <c r="AN2318">
        <v>-1</v>
      </c>
      <c r="AO2318">
        <v>-0.61</v>
      </c>
      <c r="AP2318">
        <v>4.07</v>
      </c>
      <c r="AQ2318">
        <v>-5.87</v>
      </c>
      <c r="AR2318">
        <v>-5.67</v>
      </c>
      <c r="AS2318">
        <v>1.6</v>
      </c>
      <c r="AT2318" t="s">
        <v>8981</v>
      </c>
      <c r="AU2318">
        <v>60.43</v>
      </c>
      <c r="AV2318">
        <v>52.61</v>
      </c>
      <c r="AW2318">
        <v>1.0900000000000001</v>
      </c>
      <c r="BA2318">
        <v>-0.22</v>
      </c>
      <c r="BB2318">
        <v>0.89</v>
      </c>
      <c r="BC2318">
        <v>-1.26</v>
      </c>
      <c r="BD2318">
        <v>-0.26</v>
      </c>
      <c r="BE2318">
        <v>-0.97</v>
      </c>
      <c r="BF2318">
        <v>-2.06</v>
      </c>
      <c r="BG2318">
        <v>0.08</v>
      </c>
      <c r="BH2318">
        <v>-0.93</v>
      </c>
      <c r="BI2318">
        <v>20191025</v>
      </c>
      <c r="BJ2318">
        <v>19980520</v>
      </c>
      <c r="BK2318">
        <v>1.42</v>
      </c>
      <c r="BL2318" t="s">
        <v>116</v>
      </c>
      <c r="BM2318" t="s">
        <v>116</v>
      </c>
      <c r="BN2318">
        <v>11.22</v>
      </c>
      <c r="BO2318">
        <v>4.4000000000000004</v>
      </c>
      <c r="BP2318">
        <v>1.0900000000000001</v>
      </c>
      <c r="BQ2318">
        <v>51.06</v>
      </c>
      <c r="BR2318">
        <v>8.81</v>
      </c>
      <c r="BS2318">
        <v>2.08</v>
      </c>
      <c r="BT2318">
        <v>0.13</v>
      </c>
      <c r="BU2318">
        <v>4.76</v>
      </c>
      <c r="BV2318">
        <v>1.64</v>
      </c>
      <c r="BW2318">
        <v>2.77</v>
      </c>
      <c r="BX2318">
        <v>0.89</v>
      </c>
      <c r="BY2318">
        <v>6.81</v>
      </c>
      <c r="BZ2318">
        <v>4.96</v>
      </c>
      <c r="CA2318">
        <v>0.47</v>
      </c>
      <c r="CB2318">
        <v>0</v>
      </c>
      <c r="CC2318">
        <v>0.47</v>
      </c>
      <c r="CD2318">
        <v>0.4</v>
      </c>
      <c r="CE2318">
        <v>0.2</v>
      </c>
      <c r="CF2318">
        <v>0.19</v>
      </c>
      <c r="CG2318">
        <v>1.67</v>
      </c>
      <c r="CH2318">
        <v>0.16</v>
      </c>
      <c r="CI2318">
        <v>0.13</v>
      </c>
      <c r="CJ2318">
        <v>24099</v>
      </c>
      <c r="CK2318">
        <v>2667</v>
      </c>
      <c r="CL2318" t="s">
        <v>10910</v>
      </c>
      <c r="CM2318">
        <v>-19.18</v>
      </c>
      <c r="CN2318">
        <v>4.84</v>
      </c>
      <c r="CO2318">
        <v>4.28</v>
      </c>
      <c r="CP2318">
        <v>115.36</v>
      </c>
      <c r="CQ2318">
        <v>2.77</v>
      </c>
      <c r="CR2318">
        <v>0</v>
      </c>
      <c r="CS2318" t="s">
        <v>2019</v>
      </c>
      <c r="CT2318">
        <v>3.11</v>
      </c>
      <c r="CU2318">
        <v>0</v>
      </c>
      <c r="CV2318">
        <v>0.63</v>
      </c>
      <c r="CW2318">
        <v>1.18</v>
      </c>
      <c r="CX2318">
        <v>0.12</v>
      </c>
      <c r="CY2318">
        <v>39.26</v>
      </c>
      <c r="CZ2318" t="s">
        <v>5037</v>
      </c>
      <c r="DA2318">
        <v>27.18</v>
      </c>
      <c r="DB2318">
        <v>6.84</v>
      </c>
      <c r="DC2318">
        <v>2.87</v>
      </c>
      <c r="DD2318">
        <v>0.36</v>
      </c>
      <c r="DE2318">
        <v>752</v>
      </c>
      <c r="DF2318">
        <v>600148</v>
      </c>
      <c r="DG2318" t="s">
        <v>116</v>
      </c>
      <c r="DH2318" t="s">
        <v>116</v>
      </c>
      <c r="DI2318" t="s">
        <v>116</v>
      </c>
    </row>
    <row r="2319" spans="1:113" x14ac:dyDescent="0.4">
      <c r="A2319" t="str">
        <f>"600149"</f>
        <v>600149</v>
      </c>
      <c r="B2319" t="s">
        <v>10911</v>
      </c>
      <c r="C2319">
        <v>-1.0900000000000001</v>
      </c>
      <c r="D2319">
        <v>5.44</v>
      </c>
      <c r="E2319">
        <v>-0.06</v>
      </c>
      <c r="F2319">
        <v>5.44</v>
      </c>
      <c r="G2319">
        <v>5.45</v>
      </c>
      <c r="H2319">
        <v>23245</v>
      </c>
      <c r="I2319">
        <v>355</v>
      </c>
      <c r="J2319">
        <v>-0.36</v>
      </c>
      <c r="K2319">
        <v>0.61</v>
      </c>
      <c r="L2319">
        <v>5.5</v>
      </c>
      <c r="M2319">
        <v>5.51</v>
      </c>
      <c r="N2319">
        <v>5.44</v>
      </c>
      <c r="O2319">
        <v>5.5</v>
      </c>
      <c r="P2319" t="s">
        <v>116</v>
      </c>
      <c r="Q2319">
        <v>12737306</v>
      </c>
      <c r="R2319">
        <v>1.1000000000000001</v>
      </c>
      <c r="S2319" t="s">
        <v>173</v>
      </c>
      <c r="T2319" t="s">
        <v>608</v>
      </c>
      <c r="U2319">
        <v>1.27</v>
      </c>
      <c r="V2319">
        <v>5.48</v>
      </c>
      <c r="W2319">
        <v>16273</v>
      </c>
      <c r="X2319">
        <v>6972</v>
      </c>
      <c r="Y2319">
        <v>2.33</v>
      </c>
      <c r="Z2319">
        <v>184</v>
      </c>
      <c r="AA2319">
        <v>2</v>
      </c>
      <c r="AB2319" t="s">
        <v>116</v>
      </c>
      <c r="AC2319">
        <v>600</v>
      </c>
      <c r="AD2319">
        <v>0</v>
      </c>
      <c r="AE2319" t="s">
        <v>116</v>
      </c>
      <c r="AF2319" t="s">
        <v>116</v>
      </c>
      <c r="AG2319">
        <v>3.8</v>
      </c>
      <c r="AH2319" t="s">
        <v>3551</v>
      </c>
      <c r="AI2319" t="s">
        <v>3551</v>
      </c>
      <c r="AJ2319">
        <v>-1.01</v>
      </c>
      <c r="AK2319">
        <v>359</v>
      </c>
      <c r="AL2319">
        <v>65</v>
      </c>
      <c r="AM2319">
        <v>1.6999999999999999E-3</v>
      </c>
      <c r="AN2319">
        <v>-1</v>
      </c>
      <c r="AO2319">
        <v>-1.98</v>
      </c>
      <c r="AP2319">
        <v>3.82</v>
      </c>
      <c r="AQ2319">
        <v>-2.16</v>
      </c>
      <c r="AR2319">
        <v>14.05</v>
      </c>
      <c r="AS2319">
        <v>0.95</v>
      </c>
      <c r="AT2319" t="s">
        <v>8636</v>
      </c>
      <c r="AU2319">
        <v>229.12</v>
      </c>
      <c r="AV2319">
        <v>1005.53</v>
      </c>
      <c r="AW2319">
        <v>0.99</v>
      </c>
      <c r="BA2319">
        <v>0</v>
      </c>
      <c r="BB2319">
        <v>0.18</v>
      </c>
      <c r="BC2319">
        <v>-1.0900000000000001</v>
      </c>
      <c r="BD2319">
        <v>-0.37</v>
      </c>
      <c r="BE2319">
        <v>-1.0900000000000001</v>
      </c>
      <c r="BF2319">
        <v>-1.27</v>
      </c>
      <c r="BG2319">
        <v>0</v>
      </c>
      <c r="BH2319">
        <v>-0.72</v>
      </c>
      <c r="BI2319">
        <v>20191031</v>
      </c>
      <c r="BJ2319">
        <v>19991014</v>
      </c>
      <c r="BK2319">
        <v>3.8</v>
      </c>
      <c r="BL2319" t="s">
        <v>116</v>
      </c>
      <c r="BM2319" t="s">
        <v>116</v>
      </c>
      <c r="BN2319">
        <v>6.57</v>
      </c>
      <c r="BO2319">
        <v>2.02</v>
      </c>
      <c r="BP2319">
        <v>0.6</v>
      </c>
      <c r="BQ2319">
        <v>60.06</v>
      </c>
      <c r="BR2319">
        <v>1.46</v>
      </c>
      <c r="BS2319">
        <v>2.72</v>
      </c>
      <c r="BT2319">
        <v>0.16</v>
      </c>
      <c r="BU2319">
        <v>1.1000000000000001</v>
      </c>
      <c r="BV2319">
        <v>0.01</v>
      </c>
      <c r="BW2319">
        <v>0.1</v>
      </c>
      <c r="BX2319">
        <v>1.06</v>
      </c>
      <c r="BY2319">
        <v>1.03</v>
      </c>
      <c r="BZ2319">
        <v>0.81</v>
      </c>
      <c r="CA2319">
        <v>0.06</v>
      </c>
      <c r="CB2319">
        <v>0.02</v>
      </c>
      <c r="CC2319">
        <v>0.05</v>
      </c>
      <c r="CD2319">
        <v>0.02</v>
      </c>
      <c r="CE2319">
        <v>-0.04</v>
      </c>
      <c r="CF2319">
        <v>-0.04</v>
      </c>
      <c r="CG2319">
        <v>-3.31</v>
      </c>
      <c r="CH2319">
        <v>-0.52</v>
      </c>
      <c r="CI2319">
        <v>-0.34</v>
      </c>
      <c r="CJ2319">
        <v>37496</v>
      </c>
      <c r="CK2319">
        <v>6559</v>
      </c>
      <c r="CL2319" t="s">
        <v>10912</v>
      </c>
      <c r="CM2319">
        <v>61.73</v>
      </c>
      <c r="CN2319">
        <v>235.61</v>
      </c>
      <c r="CO2319">
        <v>10.24</v>
      </c>
      <c r="CP2319">
        <v>-40.130000000000003</v>
      </c>
      <c r="CQ2319">
        <v>20.12</v>
      </c>
      <c r="CR2319">
        <v>0</v>
      </c>
      <c r="CS2319" t="s">
        <v>10913</v>
      </c>
      <c r="CT2319">
        <v>0.53</v>
      </c>
      <c r="CU2319">
        <v>0</v>
      </c>
      <c r="CV2319">
        <v>0.28000000000000003</v>
      </c>
      <c r="CW2319">
        <v>-0.87</v>
      </c>
      <c r="CX2319">
        <v>-0.14000000000000001</v>
      </c>
      <c r="CY2319">
        <v>30.77</v>
      </c>
      <c r="CZ2319" t="s">
        <v>4828</v>
      </c>
      <c r="DA2319">
        <v>21.19</v>
      </c>
      <c r="DB2319">
        <v>5.83</v>
      </c>
      <c r="DC2319">
        <v>-4.2</v>
      </c>
      <c r="DD2319">
        <v>0</v>
      </c>
      <c r="DE2319">
        <v>128</v>
      </c>
      <c r="DF2319">
        <v>600149</v>
      </c>
      <c r="DG2319" t="s">
        <v>116</v>
      </c>
      <c r="DH2319" t="s">
        <v>116</v>
      </c>
      <c r="DI2319" t="s">
        <v>116</v>
      </c>
    </row>
    <row r="2320" spans="1:113" x14ac:dyDescent="0.4">
      <c r="A2320" t="str">
        <f>"600150"</f>
        <v>600150</v>
      </c>
      <c r="B2320" t="s">
        <v>10914</v>
      </c>
      <c r="C2320">
        <v>-1.34</v>
      </c>
      <c r="D2320">
        <v>21.42</v>
      </c>
      <c r="E2320">
        <v>-0.28999999999999998</v>
      </c>
      <c r="F2320">
        <v>21.42</v>
      </c>
      <c r="G2320">
        <v>21.43</v>
      </c>
      <c r="H2320">
        <v>73666</v>
      </c>
      <c r="I2320">
        <v>1811</v>
      </c>
      <c r="J2320">
        <v>-0.22</v>
      </c>
      <c r="K2320">
        <v>0.53</v>
      </c>
      <c r="L2320">
        <v>21.7</v>
      </c>
      <c r="M2320">
        <v>21.86</v>
      </c>
      <c r="N2320">
        <v>21.41</v>
      </c>
      <c r="O2320">
        <v>21.71</v>
      </c>
      <c r="P2320">
        <v>229.86</v>
      </c>
      <c r="Q2320">
        <v>159559568</v>
      </c>
      <c r="R2320">
        <v>0.91</v>
      </c>
      <c r="S2320" t="s">
        <v>7623</v>
      </c>
      <c r="T2320" t="s">
        <v>1653</v>
      </c>
      <c r="U2320">
        <v>2.0699999999999998</v>
      </c>
      <c r="V2320">
        <v>21.66</v>
      </c>
      <c r="W2320">
        <v>42451</v>
      </c>
      <c r="X2320">
        <v>31215</v>
      </c>
      <c r="Y2320">
        <v>1.36</v>
      </c>
      <c r="Z2320">
        <v>288</v>
      </c>
      <c r="AA2320">
        <v>173</v>
      </c>
      <c r="AB2320" t="s">
        <v>116</v>
      </c>
      <c r="AC2320">
        <v>531700</v>
      </c>
      <c r="AD2320">
        <v>0</v>
      </c>
      <c r="AE2320" t="s">
        <v>116</v>
      </c>
      <c r="AF2320" t="s">
        <v>116</v>
      </c>
      <c r="AG2320">
        <v>13.78</v>
      </c>
      <c r="AH2320" t="s">
        <v>10915</v>
      </c>
      <c r="AI2320" t="s">
        <v>10915</v>
      </c>
      <c r="AJ2320">
        <v>-1.26</v>
      </c>
      <c r="AK2320">
        <v>2714</v>
      </c>
      <c r="AL2320">
        <v>27</v>
      </c>
      <c r="AM2320">
        <v>2.0000000000000001E-4</v>
      </c>
      <c r="AN2320">
        <v>-2</v>
      </c>
      <c r="AO2320">
        <v>-1.07</v>
      </c>
      <c r="AP2320">
        <v>6.41</v>
      </c>
      <c r="AQ2320">
        <v>-3.47</v>
      </c>
      <c r="AR2320">
        <v>64.48</v>
      </c>
      <c r="AS2320">
        <v>1.1399999999999999</v>
      </c>
      <c r="AT2320" t="s">
        <v>1262</v>
      </c>
      <c r="AU2320">
        <v>107.02</v>
      </c>
      <c r="AV2320">
        <v>60.34</v>
      </c>
      <c r="AW2320">
        <v>1.06</v>
      </c>
      <c r="BA2320">
        <v>-0.05</v>
      </c>
      <c r="BB2320">
        <v>0.69</v>
      </c>
      <c r="BC2320">
        <v>-1.38</v>
      </c>
      <c r="BD2320">
        <v>-0.23</v>
      </c>
      <c r="BE2320">
        <v>-1.29</v>
      </c>
      <c r="BF2320">
        <v>-2.0099999999999998</v>
      </c>
      <c r="BG2320">
        <v>0.05</v>
      </c>
      <c r="BH2320">
        <v>-1.1000000000000001</v>
      </c>
      <c r="BI2320">
        <v>20191031</v>
      </c>
      <c r="BJ2320">
        <v>19980520</v>
      </c>
      <c r="BK2320">
        <v>13.78</v>
      </c>
      <c r="BL2320" t="s">
        <v>116</v>
      </c>
      <c r="BM2320" t="s">
        <v>116</v>
      </c>
      <c r="BN2320">
        <v>442.88</v>
      </c>
      <c r="BO2320">
        <v>150.72</v>
      </c>
      <c r="BP2320">
        <v>55.75</v>
      </c>
      <c r="BQ2320">
        <v>53.38</v>
      </c>
      <c r="BR2320">
        <v>290.58999999999997</v>
      </c>
      <c r="BS2320">
        <v>74.98</v>
      </c>
      <c r="BT2320">
        <v>10.66</v>
      </c>
      <c r="BU2320">
        <v>174.67</v>
      </c>
      <c r="BV2320">
        <v>70.37</v>
      </c>
      <c r="BW2320">
        <v>18</v>
      </c>
      <c r="BX2320">
        <v>65.73</v>
      </c>
      <c r="BY2320">
        <v>163.47</v>
      </c>
      <c r="BZ2320">
        <v>150.09</v>
      </c>
      <c r="CA2320">
        <v>1.45</v>
      </c>
      <c r="CB2320">
        <v>-0.08</v>
      </c>
      <c r="CC2320">
        <v>1.55</v>
      </c>
      <c r="CD2320">
        <v>1.52</v>
      </c>
      <c r="CE2320">
        <v>0.96</v>
      </c>
      <c r="CF2320">
        <v>-0.64</v>
      </c>
      <c r="CG2320">
        <v>64.44</v>
      </c>
      <c r="CH2320">
        <v>7.97</v>
      </c>
      <c r="CI2320">
        <v>-19.48</v>
      </c>
      <c r="CJ2320">
        <v>146262</v>
      </c>
      <c r="CK2320">
        <v>4430</v>
      </c>
      <c r="CL2320" t="s">
        <v>10916</v>
      </c>
      <c r="CM2320">
        <v>-68.900000000000006</v>
      </c>
      <c r="CN2320">
        <v>45.98</v>
      </c>
      <c r="CO2320">
        <v>1.96</v>
      </c>
      <c r="CP2320">
        <v>37.049999999999997</v>
      </c>
      <c r="CQ2320">
        <v>1.81</v>
      </c>
      <c r="CR2320">
        <v>0.5</v>
      </c>
      <c r="CS2320" t="s">
        <v>4071</v>
      </c>
      <c r="CT2320">
        <v>10.94</v>
      </c>
      <c r="CU2320">
        <v>0</v>
      </c>
      <c r="CV2320">
        <v>4.7699999999999996</v>
      </c>
      <c r="CW2320">
        <v>4.68</v>
      </c>
      <c r="CX2320">
        <v>0.57999999999999996</v>
      </c>
      <c r="CY2320">
        <v>34.03</v>
      </c>
      <c r="CZ2320" t="s">
        <v>1433</v>
      </c>
      <c r="DA2320">
        <v>8.18</v>
      </c>
      <c r="DB2320">
        <v>0.89</v>
      </c>
      <c r="DC2320">
        <v>0.59</v>
      </c>
      <c r="DD2320">
        <v>5.7</v>
      </c>
      <c r="DE2320">
        <v>7196</v>
      </c>
      <c r="DF2320">
        <v>600150</v>
      </c>
      <c r="DG2320" t="s">
        <v>116</v>
      </c>
      <c r="DH2320" t="s">
        <v>116</v>
      </c>
      <c r="DI2320" t="s">
        <v>116</v>
      </c>
    </row>
    <row r="2321" spans="1:113" x14ac:dyDescent="0.4">
      <c r="A2321" t="str">
        <f>"600151"</f>
        <v>600151</v>
      </c>
      <c r="B2321" t="s">
        <v>10917</v>
      </c>
      <c r="C2321">
        <v>-0.42</v>
      </c>
      <c r="D2321">
        <v>4.76</v>
      </c>
      <c r="E2321">
        <v>-0.02</v>
      </c>
      <c r="F2321">
        <v>4.76</v>
      </c>
      <c r="G2321">
        <v>4.7699999999999996</v>
      </c>
      <c r="H2321">
        <v>113095</v>
      </c>
      <c r="I2321">
        <v>599</v>
      </c>
      <c r="J2321">
        <v>-0.2</v>
      </c>
      <c r="K2321">
        <v>0.79</v>
      </c>
      <c r="L2321">
        <v>4.7699999999999996</v>
      </c>
      <c r="M2321">
        <v>4.8499999999999996</v>
      </c>
      <c r="N2321">
        <v>4.76</v>
      </c>
      <c r="O2321">
        <v>4.78</v>
      </c>
      <c r="P2321" t="s">
        <v>116</v>
      </c>
      <c r="Q2321">
        <v>54373336</v>
      </c>
      <c r="R2321">
        <v>1.4</v>
      </c>
      <c r="S2321" t="s">
        <v>293</v>
      </c>
      <c r="T2321" t="s">
        <v>1653</v>
      </c>
      <c r="U2321">
        <v>1.88</v>
      </c>
      <c r="V2321">
        <v>4.8099999999999996</v>
      </c>
      <c r="W2321">
        <v>53407</v>
      </c>
      <c r="X2321">
        <v>59688</v>
      </c>
      <c r="Y2321">
        <v>0.89</v>
      </c>
      <c r="Z2321">
        <v>254</v>
      </c>
      <c r="AA2321">
        <v>335</v>
      </c>
      <c r="AB2321" t="s">
        <v>116</v>
      </c>
      <c r="AC2321">
        <v>32000</v>
      </c>
      <c r="AD2321">
        <v>0</v>
      </c>
      <c r="AE2321" t="s">
        <v>116</v>
      </c>
      <c r="AF2321" t="s">
        <v>116</v>
      </c>
      <c r="AG2321">
        <v>14.34</v>
      </c>
      <c r="AH2321" t="s">
        <v>10918</v>
      </c>
      <c r="AI2321" t="s">
        <v>10918</v>
      </c>
      <c r="AJ2321">
        <v>-0.34</v>
      </c>
      <c r="AK2321">
        <v>2035</v>
      </c>
      <c r="AL2321">
        <v>56</v>
      </c>
      <c r="AM2321">
        <v>4.0000000000000002E-4</v>
      </c>
      <c r="AN2321">
        <v>-1</v>
      </c>
      <c r="AO2321">
        <v>-0.42</v>
      </c>
      <c r="AP2321">
        <v>2.81</v>
      </c>
      <c r="AQ2321">
        <v>-10.53</v>
      </c>
      <c r="AR2321">
        <v>20.2</v>
      </c>
      <c r="AS2321">
        <v>1.27</v>
      </c>
      <c r="AT2321" t="s">
        <v>10919</v>
      </c>
      <c r="AU2321">
        <v>42.36</v>
      </c>
      <c r="AV2321">
        <v>177.18</v>
      </c>
      <c r="AW2321">
        <v>1.1100000000000001</v>
      </c>
      <c r="BA2321">
        <v>-0.21</v>
      </c>
      <c r="BB2321">
        <v>1.46</v>
      </c>
      <c r="BC2321">
        <v>-0.42</v>
      </c>
      <c r="BD2321">
        <v>0.57999999999999996</v>
      </c>
      <c r="BE2321">
        <v>-0.21</v>
      </c>
      <c r="BF2321">
        <v>-1.86</v>
      </c>
      <c r="BG2321">
        <v>0</v>
      </c>
      <c r="BH2321">
        <v>-1</v>
      </c>
      <c r="BI2321">
        <v>20191031</v>
      </c>
      <c r="BJ2321">
        <v>19980605</v>
      </c>
      <c r="BK2321">
        <v>14.34</v>
      </c>
      <c r="BL2321" t="s">
        <v>116</v>
      </c>
      <c r="BM2321" t="s">
        <v>116</v>
      </c>
      <c r="BN2321">
        <v>116.56</v>
      </c>
      <c r="BO2321">
        <v>58.97</v>
      </c>
      <c r="BP2321">
        <v>4.8099999999999996</v>
      </c>
      <c r="BQ2321">
        <v>45.28</v>
      </c>
      <c r="BR2321">
        <v>47.17</v>
      </c>
      <c r="BS2321">
        <v>40.340000000000003</v>
      </c>
      <c r="BT2321">
        <v>5</v>
      </c>
      <c r="BU2321">
        <v>38.56</v>
      </c>
      <c r="BV2321">
        <v>9.43</v>
      </c>
      <c r="BW2321">
        <v>19.899999999999999</v>
      </c>
      <c r="BX2321">
        <v>48.62</v>
      </c>
      <c r="BY2321">
        <v>48.77</v>
      </c>
      <c r="BZ2321">
        <v>42.76</v>
      </c>
      <c r="CA2321">
        <v>-1.29</v>
      </c>
      <c r="CB2321">
        <v>0.04</v>
      </c>
      <c r="CC2321">
        <v>-1.26</v>
      </c>
      <c r="CD2321">
        <v>-1.23</v>
      </c>
      <c r="CE2321">
        <v>-1.19</v>
      </c>
      <c r="CF2321">
        <v>-1.45</v>
      </c>
      <c r="CG2321">
        <v>-6.49</v>
      </c>
      <c r="CH2321">
        <v>-1.67</v>
      </c>
      <c r="CI2321">
        <v>-4.1100000000000003</v>
      </c>
      <c r="CJ2321">
        <v>117312</v>
      </c>
      <c r="CK2321">
        <v>7614</v>
      </c>
      <c r="CL2321" t="s">
        <v>4307</v>
      </c>
      <c r="CM2321">
        <v>50.66</v>
      </c>
      <c r="CN2321">
        <v>-2.52</v>
      </c>
      <c r="CO2321">
        <v>1.1599999999999999</v>
      </c>
      <c r="CP2321">
        <v>-40.76</v>
      </c>
      <c r="CQ2321">
        <v>1.4</v>
      </c>
      <c r="CR2321">
        <v>0</v>
      </c>
      <c r="CS2321" t="s">
        <v>10920</v>
      </c>
      <c r="CT2321">
        <v>4.1100000000000003</v>
      </c>
      <c r="CU2321">
        <v>0</v>
      </c>
      <c r="CV2321">
        <v>3.39</v>
      </c>
      <c r="CW2321">
        <v>-0.45</v>
      </c>
      <c r="CX2321">
        <v>-0.12</v>
      </c>
      <c r="CY2321">
        <v>50.59</v>
      </c>
      <c r="CZ2321" t="s">
        <v>10921</v>
      </c>
      <c r="DA2321">
        <v>12.33</v>
      </c>
      <c r="DB2321">
        <v>-2.65</v>
      </c>
      <c r="DC2321">
        <v>-2.4500000000000002</v>
      </c>
      <c r="DD2321">
        <v>1.83</v>
      </c>
      <c r="DE2321">
        <v>3146</v>
      </c>
      <c r="DF2321">
        <v>600151</v>
      </c>
      <c r="DG2321" t="s">
        <v>116</v>
      </c>
      <c r="DH2321" t="s">
        <v>116</v>
      </c>
      <c r="DI2321" t="s">
        <v>116</v>
      </c>
    </row>
    <row r="2322" spans="1:113" x14ac:dyDescent="0.4">
      <c r="A2322" t="str">
        <f>"600152"</f>
        <v>600152</v>
      </c>
      <c r="B2322" t="s">
        <v>10922</v>
      </c>
      <c r="C2322">
        <v>0.14000000000000001</v>
      </c>
      <c r="D2322">
        <v>7.04</v>
      </c>
      <c r="E2322">
        <v>0.01</v>
      </c>
      <c r="F2322">
        <v>7.03</v>
      </c>
      <c r="G2322">
        <v>7.04</v>
      </c>
      <c r="H2322">
        <v>453443</v>
      </c>
      <c r="I2322">
        <v>6969</v>
      </c>
      <c r="J2322">
        <v>-0.55000000000000004</v>
      </c>
      <c r="K2322">
        <v>15.1</v>
      </c>
      <c r="L2322">
        <v>7.02</v>
      </c>
      <c r="M2322">
        <v>7.48</v>
      </c>
      <c r="N2322">
        <v>6.66</v>
      </c>
      <c r="O2322">
        <v>7.03</v>
      </c>
      <c r="P2322" t="s">
        <v>116</v>
      </c>
      <c r="Q2322">
        <v>318258720</v>
      </c>
      <c r="R2322">
        <v>2</v>
      </c>
      <c r="S2322" t="s">
        <v>397</v>
      </c>
      <c r="T2322" t="s">
        <v>590</v>
      </c>
      <c r="U2322">
        <v>11.66</v>
      </c>
      <c r="V2322">
        <v>7.02</v>
      </c>
      <c r="W2322">
        <v>243066</v>
      </c>
      <c r="X2322">
        <v>210377</v>
      </c>
      <c r="Y2322">
        <v>1.1599999999999999</v>
      </c>
      <c r="Z2322">
        <v>362</v>
      </c>
      <c r="AA2322">
        <v>7278</v>
      </c>
      <c r="AB2322" t="s">
        <v>116</v>
      </c>
      <c r="AC2322">
        <v>5750100</v>
      </c>
      <c r="AD2322">
        <v>0.43</v>
      </c>
      <c r="AE2322" t="s">
        <v>116</v>
      </c>
      <c r="AF2322" t="s">
        <v>116</v>
      </c>
      <c r="AG2322">
        <v>3</v>
      </c>
      <c r="AH2322" t="s">
        <v>10114</v>
      </c>
      <c r="AI2322" t="s">
        <v>10923</v>
      </c>
      <c r="AJ2322">
        <v>0.22</v>
      </c>
      <c r="AK2322">
        <v>3501</v>
      </c>
      <c r="AL2322">
        <v>130</v>
      </c>
      <c r="AM2322">
        <v>4.3E-3</v>
      </c>
      <c r="AN2322">
        <v>2</v>
      </c>
      <c r="AO2322">
        <v>9.66</v>
      </c>
      <c r="AP2322">
        <v>29.89</v>
      </c>
      <c r="AQ2322">
        <v>14.1</v>
      </c>
      <c r="AR2322">
        <v>22.22</v>
      </c>
      <c r="AS2322">
        <v>23.69</v>
      </c>
      <c r="AT2322" t="s">
        <v>10924</v>
      </c>
      <c r="AU2322" t="s">
        <v>116</v>
      </c>
      <c r="AV2322">
        <v>54.29</v>
      </c>
      <c r="AW2322">
        <v>0.9</v>
      </c>
      <c r="BA2322">
        <v>-0.14000000000000001</v>
      </c>
      <c r="BB2322">
        <v>6.4</v>
      </c>
      <c r="BC2322">
        <v>-5.26</v>
      </c>
      <c r="BD2322">
        <v>-0.16</v>
      </c>
      <c r="BE2322">
        <v>0.28000000000000003</v>
      </c>
      <c r="BF2322">
        <v>-5.88</v>
      </c>
      <c r="BG2322">
        <v>5.71</v>
      </c>
      <c r="BH2322">
        <v>0.3</v>
      </c>
      <c r="BI2322">
        <v>20191029</v>
      </c>
      <c r="BJ2322">
        <v>19980609</v>
      </c>
      <c r="BK2322">
        <v>4.21</v>
      </c>
      <c r="BL2322" t="s">
        <v>116</v>
      </c>
      <c r="BM2322" t="s">
        <v>116</v>
      </c>
      <c r="BN2322">
        <v>27.56</v>
      </c>
      <c r="BO2322">
        <v>13.84</v>
      </c>
      <c r="BP2322">
        <v>-0.24</v>
      </c>
      <c r="BQ2322">
        <v>50.68</v>
      </c>
      <c r="BR2322">
        <v>18.350000000000001</v>
      </c>
      <c r="BS2322">
        <v>4.8899999999999997</v>
      </c>
      <c r="BT2322">
        <v>0.69</v>
      </c>
      <c r="BU2322">
        <v>13.22</v>
      </c>
      <c r="BV2322">
        <v>3.9</v>
      </c>
      <c r="BW2322">
        <v>6.2</v>
      </c>
      <c r="BX2322">
        <v>8.81</v>
      </c>
      <c r="BY2322">
        <v>10.39</v>
      </c>
      <c r="BZ2322">
        <v>9.07</v>
      </c>
      <c r="CA2322">
        <v>-0.54</v>
      </c>
      <c r="CB2322">
        <v>0.19</v>
      </c>
      <c r="CC2322">
        <v>-0.56000000000000005</v>
      </c>
      <c r="CD2322">
        <v>-0.49</v>
      </c>
      <c r="CE2322">
        <v>-0.47</v>
      </c>
      <c r="CF2322">
        <v>-0.84</v>
      </c>
      <c r="CG2322">
        <v>-0.37</v>
      </c>
      <c r="CH2322">
        <v>-0.95</v>
      </c>
      <c r="CI2322">
        <v>0.53</v>
      </c>
      <c r="CJ2322">
        <v>34395</v>
      </c>
      <c r="CK2322">
        <v>5566</v>
      </c>
      <c r="CL2322" t="s">
        <v>2743</v>
      </c>
      <c r="CM2322">
        <v>-148.61000000000001</v>
      </c>
      <c r="CN2322">
        <v>-7.38</v>
      </c>
      <c r="CO2322">
        <v>2.2400000000000002</v>
      </c>
      <c r="CP2322">
        <v>-31.35</v>
      </c>
      <c r="CQ2322">
        <v>2.85</v>
      </c>
      <c r="CR2322">
        <v>0</v>
      </c>
      <c r="CS2322" t="s">
        <v>10925</v>
      </c>
      <c r="CT2322">
        <v>3.14</v>
      </c>
      <c r="CU2322">
        <v>3.14</v>
      </c>
      <c r="CV2322">
        <v>2.09</v>
      </c>
      <c r="CW2322">
        <v>-0.09</v>
      </c>
      <c r="CX2322">
        <v>-0.22</v>
      </c>
      <c r="CY2322">
        <v>50.2</v>
      </c>
      <c r="CZ2322" t="s">
        <v>10926</v>
      </c>
      <c r="DA2322">
        <v>12.76</v>
      </c>
      <c r="DB2322">
        <v>-5.24</v>
      </c>
      <c r="DC2322">
        <v>-4.5199999999999996</v>
      </c>
      <c r="DD2322">
        <v>0.53</v>
      </c>
      <c r="DE2322">
        <v>2230</v>
      </c>
      <c r="DF2322">
        <v>600152</v>
      </c>
      <c r="DG2322" t="s">
        <v>116</v>
      </c>
      <c r="DH2322" t="s">
        <v>116</v>
      </c>
      <c r="DI2322" t="s">
        <v>116</v>
      </c>
    </row>
    <row r="2323" spans="1:113" x14ac:dyDescent="0.4">
      <c r="A2323" t="str">
        <f>"600153"</f>
        <v>600153</v>
      </c>
      <c r="B2323" t="s">
        <v>10927</v>
      </c>
      <c r="C2323">
        <v>-0.11</v>
      </c>
      <c r="D2323">
        <v>8.7200000000000006</v>
      </c>
      <c r="E2323">
        <v>-0.01</v>
      </c>
      <c r="F2323">
        <v>8.7100000000000009</v>
      </c>
      <c r="G2323">
        <v>8.7200000000000006</v>
      </c>
      <c r="H2323">
        <v>91263</v>
      </c>
      <c r="I2323">
        <v>1069</v>
      </c>
      <c r="J2323">
        <v>-0.1</v>
      </c>
      <c r="K2323">
        <v>0.32</v>
      </c>
      <c r="L2323">
        <v>8.74</v>
      </c>
      <c r="M2323">
        <v>8.76</v>
      </c>
      <c r="N2323">
        <v>8.68</v>
      </c>
      <c r="O2323">
        <v>8.73</v>
      </c>
      <c r="P2323">
        <v>10.16</v>
      </c>
      <c r="Q2323">
        <v>79640200</v>
      </c>
      <c r="R2323">
        <v>0.86</v>
      </c>
      <c r="S2323" t="s">
        <v>566</v>
      </c>
      <c r="T2323" t="s">
        <v>975</v>
      </c>
      <c r="U2323">
        <v>0.92</v>
      </c>
      <c r="V2323">
        <v>8.73</v>
      </c>
      <c r="W2323">
        <v>37058</v>
      </c>
      <c r="X2323">
        <v>54205</v>
      </c>
      <c r="Y2323">
        <v>0.68</v>
      </c>
      <c r="Z2323">
        <v>1000</v>
      </c>
      <c r="AA2323">
        <v>392</v>
      </c>
      <c r="AB2323" t="s">
        <v>116</v>
      </c>
      <c r="AC2323">
        <v>387900</v>
      </c>
      <c r="AD2323">
        <v>0</v>
      </c>
      <c r="AE2323" t="s">
        <v>116</v>
      </c>
      <c r="AF2323" t="s">
        <v>116</v>
      </c>
      <c r="AG2323">
        <v>28.35</v>
      </c>
      <c r="AH2323" t="s">
        <v>10928</v>
      </c>
      <c r="AI2323" t="s">
        <v>10928</v>
      </c>
      <c r="AJ2323">
        <v>-0.04</v>
      </c>
      <c r="AK2323">
        <v>3285</v>
      </c>
      <c r="AL2323">
        <v>28</v>
      </c>
      <c r="AM2323">
        <v>1E-4</v>
      </c>
      <c r="AN2323">
        <v>-1</v>
      </c>
      <c r="AO2323">
        <v>1.64</v>
      </c>
      <c r="AP2323">
        <v>9</v>
      </c>
      <c r="AQ2323">
        <v>2.11</v>
      </c>
      <c r="AR2323">
        <v>33.130000000000003</v>
      </c>
      <c r="AS2323">
        <v>0.67</v>
      </c>
      <c r="AT2323" t="s">
        <v>10929</v>
      </c>
      <c r="AU2323">
        <v>5.17</v>
      </c>
      <c r="AV2323">
        <v>5.29</v>
      </c>
      <c r="AW2323">
        <v>0.67</v>
      </c>
      <c r="BA2323">
        <v>0.11</v>
      </c>
      <c r="BB2323">
        <v>0.34</v>
      </c>
      <c r="BC2323">
        <v>-0.56999999999999995</v>
      </c>
      <c r="BD2323">
        <v>-0.04</v>
      </c>
      <c r="BE2323">
        <v>-0.23</v>
      </c>
      <c r="BF2323">
        <v>-0.46</v>
      </c>
      <c r="BG2323">
        <v>0.46</v>
      </c>
      <c r="BH2323">
        <v>-7.0000000000000007E-2</v>
      </c>
      <c r="BI2323">
        <v>20191031</v>
      </c>
      <c r="BJ2323">
        <v>19980616</v>
      </c>
      <c r="BK2323">
        <v>28.35</v>
      </c>
      <c r="BL2323" t="s">
        <v>116</v>
      </c>
      <c r="BM2323" t="s">
        <v>116</v>
      </c>
      <c r="BN2323">
        <v>2970.79</v>
      </c>
      <c r="BO2323">
        <v>279.77999999999997</v>
      </c>
      <c r="BP2323">
        <v>258.97000000000003</v>
      </c>
      <c r="BQ2323">
        <v>81.86</v>
      </c>
      <c r="BR2323">
        <v>2700.28</v>
      </c>
      <c r="BS2323">
        <v>18.170000000000002</v>
      </c>
      <c r="BT2323">
        <v>6.94</v>
      </c>
      <c r="BU2323">
        <v>1837.92</v>
      </c>
      <c r="BV2323">
        <v>1895.36</v>
      </c>
      <c r="BW2323">
        <v>52.88</v>
      </c>
      <c r="BX2323">
        <v>24.3</v>
      </c>
      <c r="BY2323">
        <v>2103.58</v>
      </c>
      <c r="BZ2323">
        <v>2006.16</v>
      </c>
      <c r="CA2323">
        <v>31.63</v>
      </c>
      <c r="CB2323">
        <v>5.32</v>
      </c>
      <c r="CC2323">
        <v>32.25</v>
      </c>
      <c r="CD2323">
        <v>23.77</v>
      </c>
      <c r="CE2323">
        <v>18.25</v>
      </c>
      <c r="CF2323">
        <v>14.33</v>
      </c>
      <c r="CG2323">
        <v>214.49</v>
      </c>
      <c r="CH2323">
        <v>-92.03</v>
      </c>
      <c r="CI2323">
        <v>22.81</v>
      </c>
      <c r="CJ2323">
        <v>85635</v>
      </c>
      <c r="CK2323">
        <v>16007</v>
      </c>
      <c r="CL2323" t="s">
        <v>9113</v>
      </c>
      <c r="CM2323">
        <v>6.24</v>
      </c>
      <c r="CN2323">
        <v>14.78</v>
      </c>
      <c r="CO2323">
        <v>0.88</v>
      </c>
      <c r="CP2323">
        <v>-2.69</v>
      </c>
      <c r="CQ2323">
        <v>0.12</v>
      </c>
      <c r="CR2323">
        <v>5.73</v>
      </c>
      <c r="CS2323" t="s">
        <v>477</v>
      </c>
      <c r="CT2323">
        <v>9.8699999999999992</v>
      </c>
      <c r="CU2323">
        <v>0</v>
      </c>
      <c r="CV2323">
        <v>0.86</v>
      </c>
      <c r="CW2323">
        <v>7.57</v>
      </c>
      <c r="CX2323">
        <v>-3.25</v>
      </c>
      <c r="CY2323">
        <v>9.42</v>
      </c>
      <c r="CZ2323" t="s">
        <v>6049</v>
      </c>
      <c r="DA2323">
        <v>4.63</v>
      </c>
      <c r="DB2323">
        <v>1.5</v>
      </c>
      <c r="DC2323">
        <v>0.87</v>
      </c>
      <c r="DD2323">
        <v>0.08</v>
      </c>
      <c r="DE2323">
        <v>17071</v>
      </c>
      <c r="DF2323">
        <v>600153</v>
      </c>
      <c r="DG2323" t="s">
        <v>116</v>
      </c>
      <c r="DH2323" t="s">
        <v>116</v>
      </c>
      <c r="DI2323" t="s">
        <v>116</v>
      </c>
    </row>
    <row r="2324" spans="1:113" x14ac:dyDescent="0.4">
      <c r="A2324" t="str">
        <f>"600155"</f>
        <v>600155</v>
      </c>
      <c r="B2324" t="s">
        <v>10930</v>
      </c>
      <c r="C2324">
        <v>1.07</v>
      </c>
      <c r="D2324">
        <v>13.25</v>
      </c>
      <c r="E2324">
        <v>0.14000000000000001</v>
      </c>
      <c r="F2324">
        <v>13.25</v>
      </c>
      <c r="G2324">
        <v>13.26</v>
      </c>
      <c r="H2324">
        <v>489406</v>
      </c>
      <c r="I2324">
        <v>3937</v>
      </c>
      <c r="J2324">
        <v>0.23</v>
      </c>
      <c r="K2324">
        <v>2.9</v>
      </c>
      <c r="L2324">
        <v>13.01</v>
      </c>
      <c r="M2324">
        <v>13.8</v>
      </c>
      <c r="N2324">
        <v>12.95</v>
      </c>
      <c r="O2324">
        <v>13.11</v>
      </c>
      <c r="P2324">
        <v>53.31</v>
      </c>
      <c r="Q2324">
        <v>659677696</v>
      </c>
      <c r="R2324">
        <v>1.62</v>
      </c>
      <c r="S2324" t="s">
        <v>623</v>
      </c>
      <c r="T2324" t="s">
        <v>165</v>
      </c>
      <c r="U2324">
        <v>6.48</v>
      </c>
      <c r="V2324">
        <v>13.48</v>
      </c>
      <c r="W2324">
        <v>223735</v>
      </c>
      <c r="X2324">
        <v>265672</v>
      </c>
      <c r="Y2324">
        <v>0.84</v>
      </c>
      <c r="Z2324">
        <v>318</v>
      </c>
      <c r="AA2324">
        <v>118</v>
      </c>
      <c r="AB2324" t="s">
        <v>116</v>
      </c>
      <c r="AC2324">
        <v>1913800</v>
      </c>
      <c r="AD2324">
        <v>0.02</v>
      </c>
      <c r="AE2324" t="s">
        <v>116</v>
      </c>
      <c r="AF2324" t="s">
        <v>116</v>
      </c>
      <c r="AG2324">
        <v>16.899999999999999</v>
      </c>
      <c r="AH2324" t="s">
        <v>10931</v>
      </c>
      <c r="AI2324" t="s">
        <v>10932</v>
      </c>
      <c r="AJ2324">
        <v>1.1399999999999999</v>
      </c>
      <c r="AK2324">
        <v>4208</v>
      </c>
      <c r="AL2324">
        <v>116</v>
      </c>
      <c r="AM2324">
        <v>6.9999999999999999E-4</v>
      </c>
      <c r="AN2324">
        <v>2</v>
      </c>
      <c r="AO2324">
        <v>1.37</v>
      </c>
      <c r="AP2324">
        <v>7.55</v>
      </c>
      <c r="AQ2324">
        <v>-3.78</v>
      </c>
      <c r="AR2324">
        <v>75.959999999999994</v>
      </c>
      <c r="AS2324">
        <v>5.23</v>
      </c>
      <c r="AT2324" t="s">
        <v>1059</v>
      </c>
      <c r="AU2324">
        <v>102.12</v>
      </c>
      <c r="AV2324">
        <v>154.21</v>
      </c>
      <c r="AW2324">
        <v>2.38</v>
      </c>
      <c r="BA2324">
        <v>-0.76</v>
      </c>
      <c r="BB2324">
        <v>5.26</v>
      </c>
      <c r="BC2324">
        <v>-1.22</v>
      </c>
      <c r="BD2324">
        <v>2.82</v>
      </c>
      <c r="BE2324">
        <v>1.84</v>
      </c>
      <c r="BF2324">
        <v>-3.99</v>
      </c>
      <c r="BG2324">
        <v>2.3199999999999998</v>
      </c>
      <c r="BH2324">
        <v>-1.75</v>
      </c>
      <c r="BI2324">
        <v>20191226</v>
      </c>
      <c r="BJ2324">
        <v>19980918</v>
      </c>
      <c r="BK2324">
        <v>17.399999999999999</v>
      </c>
      <c r="BL2324" t="s">
        <v>116</v>
      </c>
      <c r="BM2324" t="s">
        <v>116</v>
      </c>
      <c r="BN2324">
        <v>425.16</v>
      </c>
      <c r="BO2324">
        <v>150.94</v>
      </c>
      <c r="BP2324">
        <v>0.73</v>
      </c>
      <c r="BQ2324">
        <v>64.33</v>
      </c>
      <c r="BR2324">
        <v>318.11</v>
      </c>
      <c r="BS2324">
        <v>3.56</v>
      </c>
      <c r="BT2324">
        <v>1.1399999999999999</v>
      </c>
      <c r="BU2324">
        <v>185.47</v>
      </c>
      <c r="BV2324">
        <v>0.22</v>
      </c>
      <c r="BW2324">
        <v>1.65</v>
      </c>
      <c r="BX2324">
        <v>134.28</v>
      </c>
      <c r="BY2324">
        <v>1.65</v>
      </c>
      <c r="BZ2324">
        <v>0.21</v>
      </c>
      <c r="CA2324">
        <v>4.62</v>
      </c>
      <c r="CB2324">
        <v>6.3</v>
      </c>
      <c r="CC2324">
        <v>4.66</v>
      </c>
      <c r="CD2324">
        <v>3.33</v>
      </c>
      <c r="CE2324">
        <v>3.24</v>
      </c>
      <c r="CF2324">
        <v>3.5</v>
      </c>
      <c r="CG2324">
        <v>-1.1200000000000001</v>
      </c>
      <c r="CH2324">
        <v>4.7</v>
      </c>
      <c r="CI2324">
        <v>4.51</v>
      </c>
      <c r="CJ2324">
        <v>69116</v>
      </c>
      <c r="CK2324">
        <v>13538</v>
      </c>
      <c r="CL2324" t="s">
        <v>4152</v>
      </c>
      <c r="CM2324">
        <v>30.74</v>
      </c>
      <c r="CN2324">
        <v>64.790000000000006</v>
      </c>
      <c r="CO2324">
        <v>1.53</v>
      </c>
      <c r="CP2324">
        <v>49.07</v>
      </c>
      <c r="CQ2324">
        <v>139.35</v>
      </c>
      <c r="CR2324">
        <v>0</v>
      </c>
      <c r="CS2324" t="s">
        <v>3615</v>
      </c>
      <c r="CT2324">
        <v>8.68</v>
      </c>
      <c r="CU2324">
        <v>0</v>
      </c>
      <c r="CV2324">
        <v>7.72</v>
      </c>
      <c r="CW2324">
        <v>-0.06</v>
      </c>
      <c r="CX2324">
        <v>0.27</v>
      </c>
      <c r="CY2324">
        <v>35.5</v>
      </c>
      <c r="CZ2324" t="s">
        <v>10076</v>
      </c>
      <c r="DA2324">
        <v>87.11</v>
      </c>
      <c r="DB2324">
        <v>279.47000000000003</v>
      </c>
      <c r="DC2324">
        <v>196.06</v>
      </c>
      <c r="DD2324">
        <v>0</v>
      </c>
      <c r="DE2324">
        <v>2577</v>
      </c>
      <c r="DF2324">
        <v>600155</v>
      </c>
      <c r="DG2324" t="s">
        <v>116</v>
      </c>
      <c r="DH2324" t="s">
        <v>116</v>
      </c>
      <c r="DI2324" t="s">
        <v>116</v>
      </c>
    </row>
    <row r="2325" spans="1:113" x14ac:dyDescent="0.4">
      <c r="A2325" t="str">
        <f>"600156"</f>
        <v>600156</v>
      </c>
      <c r="B2325" t="s">
        <v>10933</v>
      </c>
      <c r="C2325">
        <v>-0.44</v>
      </c>
      <c r="D2325">
        <v>4.5199999999999996</v>
      </c>
      <c r="E2325">
        <v>-0.02</v>
      </c>
      <c r="F2325">
        <v>4.5199999999999996</v>
      </c>
      <c r="G2325">
        <v>4.53</v>
      </c>
      <c r="H2325">
        <v>100296</v>
      </c>
      <c r="I2325">
        <v>1561</v>
      </c>
      <c r="J2325">
        <v>-0.21</v>
      </c>
      <c r="K2325">
        <v>2.4900000000000002</v>
      </c>
      <c r="L2325">
        <v>4.51</v>
      </c>
      <c r="M2325">
        <v>4.58</v>
      </c>
      <c r="N2325">
        <v>4.4800000000000004</v>
      </c>
      <c r="O2325">
        <v>4.54</v>
      </c>
      <c r="P2325" t="s">
        <v>116</v>
      </c>
      <c r="Q2325">
        <v>45474792</v>
      </c>
      <c r="R2325">
        <v>0.7</v>
      </c>
      <c r="S2325" t="s">
        <v>1420</v>
      </c>
      <c r="T2325" t="s">
        <v>599</v>
      </c>
      <c r="U2325">
        <v>2.2000000000000002</v>
      </c>
      <c r="V2325">
        <v>4.53</v>
      </c>
      <c r="W2325">
        <v>56056</v>
      </c>
      <c r="X2325">
        <v>44240</v>
      </c>
      <c r="Y2325">
        <v>1.27</v>
      </c>
      <c r="Z2325">
        <v>1831</v>
      </c>
      <c r="AA2325">
        <v>1375</v>
      </c>
      <c r="AB2325" t="s">
        <v>116</v>
      </c>
      <c r="AC2325">
        <v>386500</v>
      </c>
      <c r="AD2325">
        <v>0.04</v>
      </c>
      <c r="AE2325" t="s">
        <v>116</v>
      </c>
      <c r="AF2325" t="s">
        <v>116</v>
      </c>
      <c r="AG2325">
        <v>4.0199999999999996</v>
      </c>
      <c r="AH2325" t="s">
        <v>10934</v>
      </c>
      <c r="AI2325" t="s">
        <v>10934</v>
      </c>
      <c r="AJ2325">
        <v>-0.36</v>
      </c>
      <c r="AK2325">
        <v>1253</v>
      </c>
      <c r="AL2325">
        <v>80</v>
      </c>
      <c r="AM2325">
        <v>2E-3</v>
      </c>
      <c r="AN2325">
        <v>-1</v>
      </c>
      <c r="AO2325">
        <v>-1.0900000000000001</v>
      </c>
      <c r="AP2325">
        <v>11.33</v>
      </c>
      <c r="AQ2325">
        <v>5.61</v>
      </c>
      <c r="AR2325">
        <v>10.51</v>
      </c>
      <c r="AS2325">
        <v>4.18</v>
      </c>
      <c r="AT2325" t="s">
        <v>8673</v>
      </c>
      <c r="AU2325">
        <v>80.56</v>
      </c>
      <c r="AV2325">
        <v>65.83</v>
      </c>
      <c r="AW2325">
        <v>1.39</v>
      </c>
      <c r="BA2325">
        <v>-0.66</v>
      </c>
      <c r="BB2325">
        <v>0.88</v>
      </c>
      <c r="BC2325">
        <v>-1.32</v>
      </c>
      <c r="BD2325">
        <v>-0.13</v>
      </c>
      <c r="BE2325">
        <v>0.22</v>
      </c>
      <c r="BF2325">
        <v>-1.31</v>
      </c>
      <c r="BG2325">
        <v>0.89</v>
      </c>
      <c r="BH2325">
        <v>-0.31</v>
      </c>
      <c r="BI2325">
        <v>20191024</v>
      </c>
      <c r="BJ2325">
        <v>19980527</v>
      </c>
      <c r="BK2325">
        <v>4.0199999999999996</v>
      </c>
      <c r="BL2325" t="s">
        <v>116</v>
      </c>
      <c r="BM2325" t="s">
        <v>116</v>
      </c>
      <c r="BN2325">
        <v>11.61</v>
      </c>
      <c r="BO2325">
        <v>7.19</v>
      </c>
      <c r="BP2325">
        <v>0.12</v>
      </c>
      <c r="BQ2325">
        <v>37.01</v>
      </c>
      <c r="BR2325">
        <v>6.77</v>
      </c>
      <c r="BS2325">
        <v>1.08</v>
      </c>
      <c r="BT2325">
        <v>1.35</v>
      </c>
      <c r="BU2325">
        <v>3.78</v>
      </c>
      <c r="BV2325">
        <v>1.87</v>
      </c>
      <c r="BW2325">
        <v>1.42</v>
      </c>
      <c r="BX2325">
        <v>1.48</v>
      </c>
      <c r="BY2325">
        <v>7.46</v>
      </c>
      <c r="BZ2325">
        <v>7.16</v>
      </c>
      <c r="CA2325">
        <v>-0.3</v>
      </c>
      <c r="CB2325">
        <v>0.02</v>
      </c>
      <c r="CC2325">
        <v>-0.3</v>
      </c>
      <c r="CD2325">
        <v>-0.31</v>
      </c>
      <c r="CE2325">
        <v>-0.26</v>
      </c>
      <c r="CF2325">
        <v>-0.31</v>
      </c>
      <c r="CG2325">
        <v>1.42</v>
      </c>
      <c r="CH2325">
        <v>-0.38</v>
      </c>
      <c r="CI2325">
        <v>-0.81</v>
      </c>
      <c r="CJ2325">
        <v>30255</v>
      </c>
      <c r="CK2325">
        <v>7933</v>
      </c>
      <c r="CL2325" t="s">
        <v>1583</v>
      </c>
      <c r="CM2325">
        <v>-23.61</v>
      </c>
      <c r="CN2325">
        <v>9.4600000000000009</v>
      </c>
      <c r="CO2325">
        <v>2.5299999999999998</v>
      </c>
      <c r="CP2325">
        <v>-47.89</v>
      </c>
      <c r="CQ2325">
        <v>2.44</v>
      </c>
      <c r="CR2325">
        <v>0</v>
      </c>
      <c r="CS2325" t="s">
        <v>5690</v>
      </c>
      <c r="CT2325">
        <v>1.79</v>
      </c>
      <c r="CU2325">
        <v>0</v>
      </c>
      <c r="CV2325">
        <v>0.37</v>
      </c>
      <c r="CW2325">
        <v>0.35</v>
      </c>
      <c r="CX2325">
        <v>-0.09</v>
      </c>
      <c r="CY2325">
        <v>61.93</v>
      </c>
      <c r="CZ2325" t="s">
        <v>10935</v>
      </c>
      <c r="DA2325">
        <v>3.98</v>
      </c>
      <c r="DB2325">
        <v>-4.0199999999999996</v>
      </c>
      <c r="DC2325">
        <v>-3.54</v>
      </c>
      <c r="DD2325">
        <v>0.06</v>
      </c>
      <c r="DE2325">
        <v>1971</v>
      </c>
      <c r="DF2325">
        <v>600156</v>
      </c>
      <c r="DG2325" t="s">
        <v>116</v>
      </c>
      <c r="DH2325" t="s">
        <v>116</v>
      </c>
      <c r="DI2325" t="s">
        <v>116</v>
      </c>
    </row>
    <row r="2326" spans="1:113" x14ac:dyDescent="0.4">
      <c r="A2326" t="str">
        <f>"600157"</f>
        <v>600157</v>
      </c>
      <c r="B2326" t="s">
        <v>10936</v>
      </c>
      <c r="C2326">
        <v>1.42</v>
      </c>
      <c r="D2326">
        <v>1.43</v>
      </c>
      <c r="E2326">
        <v>0.02</v>
      </c>
      <c r="F2326">
        <v>1.42</v>
      </c>
      <c r="G2326">
        <v>1.43</v>
      </c>
      <c r="H2326">
        <v>1507228</v>
      </c>
      <c r="I2326">
        <v>13157</v>
      </c>
      <c r="J2326">
        <v>0.7</v>
      </c>
      <c r="K2326">
        <v>1.21</v>
      </c>
      <c r="L2326">
        <v>1.41</v>
      </c>
      <c r="M2326">
        <v>1.46</v>
      </c>
      <c r="N2326">
        <v>1.41</v>
      </c>
      <c r="O2326">
        <v>1.41</v>
      </c>
      <c r="P2326">
        <v>101.73</v>
      </c>
      <c r="Q2326">
        <v>216039472</v>
      </c>
      <c r="R2326">
        <v>1.56</v>
      </c>
      <c r="S2326" t="s">
        <v>1121</v>
      </c>
      <c r="T2326" t="s">
        <v>675</v>
      </c>
      <c r="U2326">
        <v>3.55</v>
      </c>
      <c r="V2326">
        <v>1.43</v>
      </c>
      <c r="W2326">
        <v>556908</v>
      </c>
      <c r="X2326">
        <v>950320</v>
      </c>
      <c r="Y2326">
        <v>0.59</v>
      </c>
      <c r="Z2326">
        <v>76325</v>
      </c>
      <c r="AA2326">
        <v>78269</v>
      </c>
      <c r="AB2326" t="s">
        <v>116</v>
      </c>
      <c r="AC2326">
        <v>211200</v>
      </c>
      <c r="AD2326">
        <v>0</v>
      </c>
      <c r="AE2326" t="s">
        <v>116</v>
      </c>
      <c r="AF2326" t="s">
        <v>116</v>
      </c>
      <c r="AG2326">
        <v>124.26</v>
      </c>
      <c r="AH2326" t="s">
        <v>10937</v>
      </c>
      <c r="AI2326" t="s">
        <v>10937</v>
      </c>
      <c r="AJ2326">
        <v>1.5</v>
      </c>
      <c r="AK2326">
        <v>2810</v>
      </c>
      <c r="AL2326">
        <v>536</v>
      </c>
      <c r="AM2326">
        <v>4.0000000000000002E-4</v>
      </c>
      <c r="AN2326">
        <v>1</v>
      </c>
      <c r="AO2326">
        <v>0.71</v>
      </c>
      <c r="AP2326">
        <v>2.88</v>
      </c>
      <c r="AQ2326">
        <v>-2.72</v>
      </c>
      <c r="AR2326">
        <v>6.72</v>
      </c>
      <c r="AS2326">
        <v>2.23</v>
      </c>
      <c r="AT2326" t="s">
        <v>10938</v>
      </c>
      <c r="AU2326">
        <v>107.15</v>
      </c>
      <c r="AV2326">
        <v>269.56</v>
      </c>
      <c r="AW2326">
        <v>1.07</v>
      </c>
      <c r="BA2326">
        <v>0</v>
      </c>
      <c r="BB2326">
        <v>3.55</v>
      </c>
      <c r="BC2326">
        <v>0</v>
      </c>
      <c r="BD2326">
        <v>1.66</v>
      </c>
      <c r="BE2326">
        <v>1.42</v>
      </c>
      <c r="BF2326">
        <v>-2.0499999999999998</v>
      </c>
      <c r="BG2326">
        <v>1.42</v>
      </c>
      <c r="BH2326">
        <v>-0.24</v>
      </c>
      <c r="BI2326">
        <v>20191030</v>
      </c>
      <c r="BJ2326">
        <v>19980513</v>
      </c>
      <c r="BK2326">
        <v>124.26</v>
      </c>
      <c r="BL2326" t="s">
        <v>116</v>
      </c>
      <c r="BM2326" t="s">
        <v>116</v>
      </c>
      <c r="BN2326">
        <v>1056.3</v>
      </c>
      <c r="BO2326">
        <v>239.45</v>
      </c>
      <c r="BP2326">
        <v>46.8</v>
      </c>
      <c r="BQ2326">
        <v>72.900000000000006</v>
      </c>
      <c r="BR2326">
        <v>83.23</v>
      </c>
      <c r="BS2326">
        <v>260.73</v>
      </c>
      <c r="BT2326">
        <v>508.74</v>
      </c>
      <c r="BU2326">
        <v>463.71</v>
      </c>
      <c r="BV2326">
        <v>6</v>
      </c>
      <c r="BW2326">
        <v>26.33</v>
      </c>
      <c r="BX2326">
        <v>92.78</v>
      </c>
      <c r="BY2326">
        <v>152.83000000000001</v>
      </c>
      <c r="BZ2326">
        <v>105.96</v>
      </c>
      <c r="CA2326">
        <v>6.16</v>
      </c>
      <c r="CB2326">
        <v>0.52</v>
      </c>
      <c r="CC2326">
        <v>6.33</v>
      </c>
      <c r="CD2326">
        <v>2.27</v>
      </c>
      <c r="CE2326">
        <v>1.31</v>
      </c>
      <c r="CF2326">
        <v>0.54</v>
      </c>
      <c r="CG2326">
        <v>25.03</v>
      </c>
      <c r="CH2326">
        <v>37.450000000000003</v>
      </c>
      <c r="CI2326">
        <v>-13.06</v>
      </c>
      <c r="CJ2326">
        <v>349496</v>
      </c>
      <c r="CK2326">
        <v>19310</v>
      </c>
      <c r="CL2326" t="s">
        <v>10939</v>
      </c>
      <c r="CM2326">
        <v>321.45999999999998</v>
      </c>
      <c r="CN2326">
        <v>-8.1300000000000008</v>
      </c>
      <c r="CO2326">
        <v>0.74</v>
      </c>
      <c r="CP2326">
        <v>4.74</v>
      </c>
      <c r="CQ2326">
        <v>1.1599999999999999</v>
      </c>
      <c r="CR2326">
        <v>0</v>
      </c>
      <c r="CS2326" t="s">
        <v>3700</v>
      </c>
      <c r="CT2326">
        <v>1.93</v>
      </c>
      <c r="CU2326">
        <v>0</v>
      </c>
      <c r="CV2326">
        <v>0.75</v>
      </c>
      <c r="CW2326">
        <v>0.2</v>
      </c>
      <c r="CX2326">
        <v>0.3</v>
      </c>
      <c r="CY2326">
        <v>22.67</v>
      </c>
      <c r="CZ2326" t="s">
        <v>2002</v>
      </c>
      <c r="DA2326">
        <v>30.67</v>
      </c>
      <c r="DB2326">
        <v>4.03</v>
      </c>
      <c r="DC2326">
        <v>0.86</v>
      </c>
      <c r="DD2326">
        <v>1.07</v>
      </c>
      <c r="DE2326">
        <v>8432</v>
      </c>
      <c r="DF2326">
        <v>600157</v>
      </c>
      <c r="DG2326" t="s">
        <v>116</v>
      </c>
      <c r="DH2326" t="s">
        <v>116</v>
      </c>
      <c r="DI2326" t="s">
        <v>116</v>
      </c>
    </row>
    <row r="2327" spans="1:113" x14ac:dyDescent="0.4">
      <c r="A2327" t="str">
        <f>"600158"</f>
        <v>600158</v>
      </c>
      <c r="B2327" t="s">
        <v>10940</v>
      </c>
      <c r="C2327">
        <v>-0.31</v>
      </c>
      <c r="D2327">
        <v>9.69</v>
      </c>
      <c r="E2327">
        <v>-0.03</v>
      </c>
      <c r="F2327">
        <v>9.68</v>
      </c>
      <c r="G2327">
        <v>9.69</v>
      </c>
      <c r="H2327">
        <v>64732</v>
      </c>
      <c r="I2327">
        <v>458</v>
      </c>
      <c r="J2327">
        <v>0</v>
      </c>
      <c r="K2327">
        <v>0.98</v>
      </c>
      <c r="L2327">
        <v>9.73</v>
      </c>
      <c r="M2327">
        <v>9.83</v>
      </c>
      <c r="N2327">
        <v>9.68</v>
      </c>
      <c r="O2327">
        <v>9.7200000000000006</v>
      </c>
      <c r="P2327">
        <v>187.48</v>
      </c>
      <c r="Q2327">
        <v>63098368</v>
      </c>
      <c r="R2327">
        <v>0.61</v>
      </c>
      <c r="S2327" t="s">
        <v>217</v>
      </c>
      <c r="T2327" t="s">
        <v>1035</v>
      </c>
      <c r="U2327">
        <v>1.54</v>
      </c>
      <c r="V2327">
        <v>9.75</v>
      </c>
      <c r="W2327">
        <v>30904</v>
      </c>
      <c r="X2327">
        <v>33828</v>
      </c>
      <c r="Y2327">
        <v>0.91</v>
      </c>
      <c r="Z2327">
        <v>532</v>
      </c>
      <c r="AA2327">
        <v>13</v>
      </c>
      <c r="AB2327" t="s">
        <v>116</v>
      </c>
      <c r="AC2327">
        <v>50600</v>
      </c>
      <c r="AD2327">
        <v>0</v>
      </c>
      <c r="AE2327" t="s">
        <v>116</v>
      </c>
      <c r="AF2327" t="s">
        <v>116</v>
      </c>
      <c r="AG2327">
        <v>6.57</v>
      </c>
      <c r="AH2327" t="s">
        <v>10941</v>
      </c>
      <c r="AI2327" t="s">
        <v>10942</v>
      </c>
      <c r="AJ2327">
        <v>-0.23</v>
      </c>
      <c r="AK2327">
        <v>1651</v>
      </c>
      <c r="AL2327">
        <v>39</v>
      </c>
      <c r="AM2327">
        <v>5.9999999999999995E-4</v>
      </c>
      <c r="AN2327">
        <v>-3</v>
      </c>
      <c r="AO2327">
        <v>-1.03</v>
      </c>
      <c r="AP2327">
        <v>4.76</v>
      </c>
      <c r="AQ2327">
        <v>-3.39</v>
      </c>
      <c r="AR2327">
        <v>9.3699999999999992</v>
      </c>
      <c r="AS2327">
        <v>1.03</v>
      </c>
      <c r="AT2327" t="s">
        <v>10943</v>
      </c>
      <c r="AU2327">
        <v>113.13</v>
      </c>
      <c r="AV2327">
        <v>97.44</v>
      </c>
      <c r="AW2327">
        <v>1</v>
      </c>
      <c r="BA2327">
        <v>0.1</v>
      </c>
      <c r="BB2327">
        <v>1.1299999999999999</v>
      </c>
      <c r="BC2327">
        <v>-0.41</v>
      </c>
      <c r="BD2327">
        <v>0.28000000000000003</v>
      </c>
      <c r="BE2327">
        <v>-0.41</v>
      </c>
      <c r="BF2327">
        <v>-1.42</v>
      </c>
      <c r="BG2327">
        <v>0.1</v>
      </c>
      <c r="BH2327">
        <v>-0.59</v>
      </c>
      <c r="BI2327">
        <v>20191031</v>
      </c>
      <c r="BJ2327">
        <v>19980327</v>
      </c>
      <c r="BK2327">
        <v>8.44</v>
      </c>
      <c r="BL2327" t="s">
        <v>116</v>
      </c>
      <c r="BM2327" t="s">
        <v>116</v>
      </c>
      <c r="BN2327">
        <v>42.92</v>
      </c>
      <c r="BO2327">
        <v>17.059999999999999</v>
      </c>
      <c r="BP2327">
        <v>2.33</v>
      </c>
      <c r="BQ2327">
        <v>54.82</v>
      </c>
      <c r="BR2327">
        <v>35.08</v>
      </c>
      <c r="BS2327">
        <v>0.73</v>
      </c>
      <c r="BT2327">
        <v>0.13</v>
      </c>
      <c r="BU2327">
        <v>21.11</v>
      </c>
      <c r="BV2327">
        <v>19.78</v>
      </c>
      <c r="BW2327">
        <v>0.94</v>
      </c>
      <c r="BX2327">
        <v>0.27</v>
      </c>
      <c r="BY2327">
        <v>6.56</v>
      </c>
      <c r="BZ2327">
        <v>5.31</v>
      </c>
      <c r="CA2327">
        <v>0.17</v>
      </c>
      <c r="CB2327">
        <v>0.39</v>
      </c>
      <c r="CC2327">
        <v>0.35</v>
      </c>
      <c r="CD2327">
        <v>0.18</v>
      </c>
      <c r="CE2327">
        <v>0.33</v>
      </c>
      <c r="CF2327">
        <v>0.08</v>
      </c>
      <c r="CG2327">
        <v>7.06</v>
      </c>
      <c r="CH2327">
        <v>-1.24</v>
      </c>
      <c r="CI2327">
        <v>0.56000000000000005</v>
      </c>
      <c r="CJ2327">
        <v>93030</v>
      </c>
      <c r="CK2327">
        <v>6775</v>
      </c>
      <c r="CL2327" t="s">
        <v>8680</v>
      </c>
      <c r="CM2327">
        <v>-26.24</v>
      </c>
      <c r="CN2327">
        <v>-11.32</v>
      </c>
      <c r="CO2327">
        <v>4.79</v>
      </c>
      <c r="CP2327">
        <v>-65.77</v>
      </c>
      <c r="CQ2327">
        <v>12.45</v>
      </c>
      <c r="CR2327">
        <v>0.31</v>
      </c>
      <c r="CS2327" t="s">
        <v>1887</v>
      </c>
      <c r="CT2327">
        <v>2.02</v>
      </c>
      <c r="CU2327">
        <v>0</v>
      </c>
      <c r="CV2327">
        <v>0.03</v>
      </c>
      <c r="CW2327">
        <v>0.84</v>
      </c>
      <c r="CX2327">
        <v>-0.15</v>
      </c>
      <c r="CY2327">
        <v>39.74</v>
      </c>
      <c r="CZ2327" t="s">
        <v>10944</v>
      </c>
      <c r="DA2327">
        <v>19.11</v>
      </c>
      <c r="DB2327">
        <v>2.52</v>
      </c>
      <c r="DC2327">
        <v>4.9800000000000004</v>
      </c>
      <c r="DD2327">
        <v>0.02</v>
      </c>
      <c r="DE2327">
        <v>868</v>
      </c>
      <c r="DF2327">
        <v>600158</v>
      </c>
      <c r="DG2327" t="s">
        <v>116</v>
      </c>
      <c r="DH2327" t="s">
        <v>116</v>
      </c>
      <c r="DI2327" t="s">
        <v>116</v>
      </c>
    </row>
    <row r="2328" spans="1:113" x14ac:dyDescent="0.4">
      <c r="A2328" t="str">
        <f>"600159"</f>
        <v>600159</v>
      </c>
      <c r="B2328" t="s">
        <v>10945</v>
      </c>
      <c r="C2328">
        <v>0.78</v>
      </c>
      <c r="D2328">
        <v>2.58</v>
      </c>
      <c r="E2328">
        <v>0.02</v>
      </c>
      <c r="F2328">
        <v>2.57</v>
      </c>
      <c r="G2328">
        <v>2.58</v>
      </c>
      <c r="H2328">
        <v>137844</v>
      </c>
      <c r="I2328">
        <v>584</v>
      </c>
      <c r="J2328">
        <v>0</v>
      </c>
      <c r="K2328">
        <v>1.66</v>
      </c>
      <c r="L2328">
        <v>2.5499999999999998</v>
      </c>
      <c r="M2328">
        <v>2.65</v>
      </c>
      <c r="N2328">
        <v>2.5099999999999998</v>
      </c>
      <c r="O2328">
        <v>2.56</v>
      </c>
      <c r="P2328">
        <v>130.07</v>
      </c>
      <c r="Q2328">
        <v>35494696</v>
      </c>
      <c r="R2328">
        <v>5.22</v>
      </c>
      <c r="S2328" t="s">
        <v>148</v>
      </c>
      <c r="T2328" t="s">
        <v>165</v>
      </c>
      <c r="U2328">
        <v>5.47</v>
      </c>
      <c r="V2328">
        <v>2.57</v>
      </c>
      <c r="W2328">
        <v>70245</v>
      </c>
      <c r="X2328">
        <v>67599</v>
      </c>
      <c r="Y2328">
        <v>1.04</v>
      </c>
      <c r="Z2328">
        <v>1412</v>
      </c>
      <c r="AA2328">
        <v>338</v>
      </c>
      <c r="AB2328" t="s">
        <v>116</v>
      </c>
      <c r="AC2328">
        <v>132900</v>
      </c>
      <c r="AD2328">
        <v>0.01</v>
      </c>
      <c r="AE2328" t="s">
        <v>116</v>
      </c>
      <c r="AF2328" t="s">
        <v>116</v>
      </c>
      <c r="AG2328">
        <v>8.3000000000000007</v>
      </c>
      <c r="AH2328" t="s">
        <v>5731</v>
      </c>
      <c r="AI2328" t="s">
        <v>5731</v>
      </c>
      <c r="AJ2328">
        <v>0.86</v>
      </c>
      <c r="AK2328">
        <v>712</v>
      </c>
      <c r="AL2328">
        <v>194</v>
      </c>
      <c r="AM2328">
        <v>2.3E-3</v>
      </c>
      <c r="AN2328">
        <v>2</v>
      </c>
      <c r="AO2328">
        <v>1.17</v>
      </c>
      <c r="AP2328">
        <v>2.79</v>
      </c>
      <c r="AQ2328">
        <v>3.61</v>
      </c>
      <c r="AR2328">
        <v>9.32</v>
      </c>
      <c r="AS2328">
        <v>3.18</v>
      </c>
      <c r="AT2328" t="s">
        <v>4888</v>
      </c>
      <c r="AU2328">
        <v>16</v>
      </c>
      <c r="AV2328">
        <v>23.51</v>
      </c>
      <c r="AW2328">
        <v>1.18</v>
      </c>
      <c r="BA2328">
        <v>-0.39</v>
      </c>
      <c r="BB2328">
        <v>3.52</v>
      </c>
      <c r="BC2328">
        <v>-1.95</v>
      </c>
      <c r="BD2328">
        <v>0.59</v>
      </c>
      <c r="BE2328">
        <v>1.18</v>
      </c>
      <c r="BF2328">
        <v>-2.64</v>
      </c>
      <c r="BG2328">
        <v>2.79</v>
      </c>
      <c r="BH2328">
        <v>0.2</v>
      </c>
      <c r="BI2328">
        <v>20191030</v>
      </c>
      <c r="BJ2328">
        <v>19980526</v>
      </c>
      <c r="BK2328">
        <v>8.3000000000000007</v>
      </c>
      <c r="BL2328" t="s">
        <v>116</v>
      </c>
      <c r="BM2328" t="s">
        <v>116</v>
      </c>
      <c r="BN2328">
        <v>43.6</v>
      </c>
      <c r="BO2328">
        <v>22.59</v>
      </c>
      <c r="BP2328">
        <v>0.52</v>
      </c>
      <c r="BQ2328">
        <v>46.98</v>
      </c>
      <c r="BR2328">
        <v>40.31</v>
      </c>
      <c r="BS2328">
        <v>0.7</v>
      </c>
      <c r="BT2328">
        <v>0</v>
      </c>
      <c r="BU2328">
        <v>18.78</v>
      </c>
      <c r="BV2328">
        <v>29.81</v>
      </c>
      <c r="BW2328">
        <v>2.4700000000000002</v>
      </c>
      <c r="BX2328">
        <v>3.43</v>
      </c>
      <c r="BY2328">
        <v>2.69</v>
      </c>
      <c r="BZ2328">
        <v>1.7</v>
      </c>
      <c r="CA2328">
        <v>0.15</v>
      </c>
      <c r="CB2328">
        <v>0</v>
      </c>
      <c r="CC2328">
        <v>0.15</v>
      </c>
      <c r="CD2328">
        <v>0.08</v>
      </c>
      <c r="CE2328">
        <v>0.12</v>
      </c>
      <c r="CF2328">
        <v>0.12</v>
      </c>
      <c r="CG2328">
        <v>10.59</v>
      </c>
      <c r="CH2328">
        <v>1.98</v>
      </c>
      <c r="CI2328">
        <v>0.32</v>
      </c>
      <c r="CJ2328">
        <v>44268</v>
      </c>
      <c r="CK2328">
        <v>9806</v>
      </c>
      <c r="CL2328" t="s">
        <v>1156</v>
      </c>
      <c r="CM2328">
        <v>140.63</v>
      </c>
      <c r="CN2328">
        <v>-17.190000000000001</v>
      </c>
      <c r="CO2328">
        <v>0.95</v>
      </c>
      <c r="CP2328">
        <v>10.83</v>
      </c>
      <c r="CQ2328">
        <v>7.95</v>
      </c>
      <c r="CR2328">
        <v>1.94</v>
      </c>
      <c r="CS2328" t="s">
        <v>3943</v>
      </c>
      <c r="CT2328">
        <v>2.72</v>
      </c>
      <c r="CU2328">
        <v>0</v>
      </c>
      <c r="CV2328">
        <v>0.41</v>
      </c>
      <c r="CW2328">
        <v>1.28</v>
      </c>
      <c r="CX2328">
        <v>0.24</v>
      </c>
      <c r="CY2328">
        <v>51.82</v>
      </c>
      <c r="CZ2328" t="s">
        <v>2002</v>
      </c>
      <c r="DA2328">
        <v>37.01</v>
      </c>
      <c r="DB2328">
        <v>5.43</v>
      </c>
      <c r="DC2328">
        <v>4.58</v>
      </c>
      <c r="DD2328">
        <v>0</v>
      </c>
      <c r="DE2328">
        <v>341</v>
      </c>
      <c r="DF2328">
        <v>600159</v>
      </c>
      <c r="DG2328" t="s">
        <v>116</v>
      </c>
      <c r="DH2328" t="s">
        <v>116</v>
      </c>
      <c r="DI2328" t="s">
        <v>116</v>
      </c>
    </row>
    <row r="2329" spans="1:113" x14ac:dyDescent="0.4">
      <c r="A2329" t="str">
        <f>"600160"</f>
        <v>600160</v>
      </c>
      <c r="B2329" t="s">
        <v>10946</v>
      </c>
      <c r="C2329">
        <v>-1.78</v>
      </c>
      <c r="D2329">
        <v>7.18</v>
      </c>
      <c r="E2329">
        <v>-0.13</v>
      </c>
      <c r="F2329">
        <v>7.17</v>
      </c>
      <c r="G2329">
        <v>7.18</v>
      </c>
      <c r="H2329">
        <v>378519</v>
      </c>
      <c r="I2329">
        <v>3637</v>
      </c>
      <c r="J2329">
        <v>-0.13</v>
      </c>
      <c r="K2329">
        <v>1.38</v>
      </c>
      <c r="L2329">
        <v>7.28</v>
      </c>
      <c r="M2329">
        <v>7.37</v>
      </c>
      <c r="N2329">
        <v>7.17</v>
      </c>
      <c r="O2329">
        <v>7.31</v>
      </c>
      <c r="P2329">
        <v>16.600000000000001</v>
      </c>
      <c r="Q2329">
        <v>273792416</v>
      </c>
      <c r="R2329">
        <v>1.4</v>
      </c>
      <c r="S2329" t="s">
        <v>891</v>
      </c>
      <c r="T2329" t="s">
        <v>590</v>
      </c>
      <c r="U2329">
        <v>2.74</v>
      </c>
      <c r="V2329">
        <v>7.23</v>
      </c>
      <c r="W2329">
        <v>230380</v>
      </c>
      <c r="X2329">
        <v>148139</v>
      </c>
      <c r="Y2329">
        <v>1.56</v>
      </c>
      <c r="Z2329">
        <v>2618</v>
      </c>
      <c r="AA2329">
        <v>115</v>
      </c>
      <c r="AB2329" t="s">
        <v>116</v>
      </c>
      <c r="AC2329">
        <v>1383200</v>
      </c>
      <c r="AD2329">
        <v>0.02</v>
      </c>
      <c r="AE2329" t="s">
        <v>116</v>
      </c>
      <c r="AF2329" t="s">
        <v>116</v>
      </c>
      <c r="AG2329">
        <v>27.45</v>
      </c>
      <c r="AH2329" t="s">
        <v>10947</v>
      </c>
      <c r="AI2329" t="s">
        <v>10947</v>
      </c>
      <c r="AJ2329">
        <v>-1.7</v>
      </c>
      <c r="AK2329">
        <v>3844</v>
      </c>
      <c r="AL2329">
        <v>98</v>
      </c>
      <c r="AM2329">
        <v>4.0000000000000002E-4</v>
      </c>
      <c r="AN2329">
        <v>-1</v>
      </c>
      <c r="AO2329">
        <v>3.76</v>
      </c>
      <c r="AP2329">
        <v>9.1199999999999992</v>
      </c>
      <c r="AQ2329">
        <v>1.56</v>
      </c>
      <c r="AR2329">
        <v>10.8</v>
      </c>
      <c r="AS2329">
        <v>3.38</v>
      </c>
      <c r="AT2329" t="s">
        <v>10948</v>
      </c>
      <c r="AU2329">
        <v>14.24</v>
      </c>
      <c r="AV2329">
        <v>9.16</v>
      </c>
      <c r="AW2329">
        <v>1.25</v>
      </c>
      <c r="BA2329">
        <v>-0.41</v>
      </c>
      <c r="BB2329">
        <v>0.82</v>
      </c>
      <c r="BC2329">
        <v>-1.92</v>
      </c>
      <c r="BD2329">
        <v>-1.05</v>
      </c>
      <c r="BE2329">
        <v>-1.37</v>
      </c>
      <c r="BF2329">
        <v>-2.58</v>
      </c>
      <c r="BG2329">
        <v>0.14000000000000001</v>
      </c>
      <c r="BH2329">
        <v>-0.73</v>
      </c>
      <c r="BI2329">
        <v>20191025</v>
      </c>
      <c r="BJ2329">
        <v>19980626</v>
      </c>
      <c r="BK2329">
        <v>27.45</v>
      </c>
      <c r="BL2329" t="s">
        <v>116</v>
      </c>
      <c r="BM2329" t="s">
        <v>116</v>
      </c>
      <c r="BN2329">
        <v>157.62</v>
      </c>
      <c r="BO2329">
        <v>129.85</v>
      </c>
      <c r="BP2329">
        <v>3.18</v>
      </c>
      <c r="BQ2329">
        <v>15.6</v>
      </c>
      <c r="BR2329">
        <v>74.61</v>
      </c>
      <c r="BS2329">
        <v>50.3</v>
      </c>
      <c r="BT2329">
        <v>7.49</v>
      </c>
      <c r="BU2329">
        <v>21.31</v>
      </c>
      <c r="BV2329">
        <v>11.1</v>
      </c>
      <c r="BW2329">
        <v>5.81</v>
      </c>
      <c r="BX2329">
        <v>45.49</v>
      </c>
      <c r="BY2329">
        <v>113.11</v>
      </c>
      <c r="BZ2329">
        <v>93.63</v>
      </c>
      <c r="CA2329">
        <v>10.76</v>
      </c>
      <c r="CB2329">
        <v>0.97</v>
      </c>
      <c r="CC2329">
        <v>10.9</v>
      </c>
      <c r="CD2329">
        <v>9.11</v>
      </c>
      <c r="CE2329">
        <v>8.91</v>
      </c>
      <c r="CF2329">
        <v>6.76</v>
      </c>
      <c r="CG2329">
        <v>50.82</v>
      </c>
      <c r="CH2329">
        <v>12.61</v>
      </c>
      <c r="CI2329">
        <v>-3.96</v>
      </c>
      <c r="CJ2329">
        <v>78547</v>
      </c>
      <c r="CK2329">
        <v>14258</v>
      </c>
      <c r="CL2329" t="s">
        <v>10137</v>
      </c>
      <c r="CM2329">
        <v>-46.32</v>
      </c>
      <c r="CN2329">
        <v>-5.8</v>
      </c>
      <c r="CO2329">
        <v>1.52</v>
      </c>
      <c r="CP2329">
        <v>15.63</v>
      </c>
      <c r="CQ2329">
        <v>1.74</v>
      </c>
      <c r="CR2329">
        <v>2.09</v>
      </c>
      <c r="CS2329" t="s">
        <v>2343</v>
      </c>
      <c r="CT2329">
        <v>4.7300000000000004</v>
      </c>
      <c r="CU2329">
        <v>0</v>
      </c>
      <c r="CV2329">
        <v>1.66</v>
      </c>
      <c r="CW2329">
        <v>1.85</v>
      </c>
      <c r="CX2329">
        <v>0.46</v>
      </c>
      <c r="CY2329">
        <v>82.39</v>
      </c>
      <c r="CZ2329" t="s">
        <v>3768</v>
      </c>
      <c r="DA2329">
        <v>17.22</v>
      </c>
      <c r="DB2329">
        <v>9.52</v>
      </c>
      <c r="DC2329">
        <v>7.88</v>
      </c>
      <c r="DD2329">
        <v>3.4</v>
      </c>
      <c r="DE2329">
        <v>6620</v>
      </c>
      <c r="DF2329">
        <v>600160</v>
      </c>
      <c r="DG2329" t="s">
        <v>116</v>
      </c>
      <c r="DH2329" t="s">
        <v>116</v>
      </c>
      <c r="DI2329" t="s">
        <v>116</v>
      </c>
    </row>
    <row r="2330" spans="1:113" x14ac:dyDescent="0.4">
      <c r="A2330" t="str">
        <f>"600161"</f>
        <v>600161</v>
      </c>
      <c r="B2330" t="s">
        <v>10949</v>
      </c>
      <c r="C2330">
        <v>-1.44</v>
      </c>
      <c r="D2330">
        <v>26.64</v>
      </c>
      <c r="E2330">
        <v>-0.39</v>
      </c>
      <c r="F2330">
        <v>26.62</v>
      </c>
      <c r="G2330">
        <v>26.64</v>
      </c>
      <c r="H2330">
        <v>42549</v>
      </c>
      <c r="I2330">
        <v>286</v>
      </c>
      <c r="J2330">
        <v>0.23</v>
      </c>
      <c r="K2330">
        <v>0.41</v>
      </c>
      <c r="L2330">
        <v>27.03</v>
      </c>
      <c r="M2330">
        <v>27.17</v>
      </c>
      <c r="N2330">
        <v>26.5</v>
      </c>
      <c r="O2330">
        <v>27.03</v>
      </c>
      <c r="P2330">
        <v>44.74</v>
      </c>
      <c r="Q2330">
        <v>114377784</v>
      </c>
      <c r="R2330">
        <v>1.27</v>
      </c>
      <c r="S2330" t="s">
        <v>132</v>
      </c>
      <c r="T2330" t="s">
        <v>165</v>
      </c>
      <c r="U2330">
        <v>2.48</v>
      </c>
      <c r="V2330">
        <v>26.88</v>
      </c>
      <c r="W2330">
        <v>20542</v>
      </c>
      <c r="X2330">
        <v>22009</v>
      </c>
      <c r="Y2330">
        <v>0.93</v>
      </c>
      <c r="Z2330">
        <v>9</v>
      </c>
      <c r="AA2330">
        <v>67</v>
      </c>
      <c r="AB2330" t="s">
        <v>116</v>
      </c>
      <c r="AC2330">
        <v>202700</v>
      </c>
      <c r="AD2330">
        <v>0</v>
      </c>
      <c r="AE2330" t="s">
        <v>116</v>
      </c>
      <c r="AF2330" t="s">
        <v>116</v>
      </c>
      <c r="AG2330">
        <v>10.45</v>
      </c>
      <c r="AH2330" t="s">
        <v>10950</v>
      </c>
      <c r="AI2330" t="s">
        <v>10950</v>
      </c>
      <c r="AJ2330">
        <v>-1.37</v>
      </c>
      <c r="AK2330">
        <v>3100</v>
      </c>
      <c r="AL2330">
        <v>14</v>
      </c>
      <c r="AM2330">
        <v>1E-4</v>
      </c>
      <c r="AN2330">
        <v>-1</v>
      </c>
      <c r="AO2330">
        <v>0.41</v>
      </c>
      <c r="AP2330">
        <v>0.83</v>
      </c>
      <c r="AQ2330">
        <v>-5.03</v>
      </c>
      <c r="AR2330">
        <v>50.79</v>
      </c>
      <c r="AS2330">
        <v>0.9</v>
      </c>
      <c r="AT2330" t="s">
        <v>10951</v>
      </c>
      <c r="AU2330">
        <v>48.03</v>
      </c>
      <c r="AV2330">
        <v>54.66</v>
      </c>
      <c r="AW2330">
        <v>0.68</v>
      </c>
      <c r="BA2330">
        <v>0</v>
      </c>
      <c r="BB2330">
        <v>0.52</v>
      </c>
      <c r="BC2330">
        <v>-1.96</v>
      </c>
      <c r="BD2330">
        <v>-0.55000000000000004</v>
      </c>
      <c r="BE2330">
        <v>-1.44</v>
      </c>
      <c r="BF2330">
        <v>-1.95</v>
      </c>
      <c r="BG2330">
        <v>0.53</v>
      </c>
      <c r="BH2330">
        <v>-0.89</v>
      </c>
      <c r="BI2330">
        <v>20191025</v>
      </c>
      <c r="BJ2330">
        <v>19980616</v>
      </c>
      <c r="BK2330">
        <v>10.45</v>
      </c>
      <c r="BL2330" t="s">
        <v>116</v>
      </c>
      <c r="BM2330" t="s">
        <v>116</v>
      </c>
      <c r="BN2330">
        <v>61.94</v>
      </c>
      <c r="BO2330">
        <v>37.950000000000003</v>
      </c>
      <c r="BP2330">
        <v>11.91</v>
      </c>
      <c r="BQ2330">
        <v>19.5</v>
      </c>
      <c r="BR2330">
        <v>41.73</v>
      </c>
      <c r="BS2330">
        <v>7.96</v>
      </c>
      <c r="BT2330">
        <v>2.97</v>
      </c>
      <c r="BU2330">
        <v>7.25</v>
      </c>
      <c r="BV2330">
        <v>17.7</v>
      </c>
      <c r="BW2330">
        <v>0.15</v>
      </c>
      <c r="BX2330">
        <v>2.75</v>
      </c>
      <c r="BY2330">
        <v>25.19</v>
      </c>
      <c r="BZ2330">
        <v>12.82</v>
      </c>
      <c r="CA2330">
        <v>8.19</v>
      </c>
      <c r="CB2330">
        <v>0</v>
      </c>
      <c r="CC2330">
        <v>8.17</v>
      </c>
      <c r="CD2330">
        <v>6.85</v>
      </c>
      <c r="CE2330">
        <v>4.67</v>
      </c>
      <c r="CF2330">
        <v>4.66</v>
      </c>
      <c r="CG2330">
        <v>22.27</v>
      </c>
      <c r="CH2330">
        <v>6.97</v>
      </c>
      <c r="CI2330">
        <v>3.92</v>
      </c>
      <c r="CJ2330">
        <v>28956</v>
      </c>
      <c r="CK2330">
        <v>16294</v>
      </c>
      <c r="CL2330" t="s">
        <v>10952</v>
      </c>
      <c r="CM2330">
        <v>17.72</v>
      </c>
      <c r="CN2330">
        <v>22.5</v>
      </c>
      <c r="CO2330">
        <v>7.34</v>
      </c>
      <c r="CP2330">
        <v>39.94</v>
      </c>
      <c r="CQ2330">
        <v>11.05</v>
      </c>
      <c r="CR2330">
        <v>0.16</v>
      </c>
      <c r="CS2330" t="s">
        <v>4446</v>
      </c>
      <c r="CT2330">
        <v>3.63</v>
      </c>
      <c r="CU2330">
        <v>0</v>
      </c>
      <c r="CV2330">
        <v>0.26</v>
      </c>
      <c r="CW2330">
        <v>2.13</v>
      </c>
      <c r="CX2330">
        <v>0.67</v>
      </c>
      <c r="CY2330">
        <v>61.26</v>
      </c>
      <c r="CZ2330" t="s">
        <v>9517</v>
      </c>
      <c r="DA2330">
        <v>49.12</v>
      </c>
      <c r="DB2330">
        <v>32.51</v>
      </c>
      <c r="DC2330">
        <v>18.53</v>
      </c>
      <c r="DD2330">
        <v>0.82</v>
      </c>
      <c r="DE2330">
        <v>3195</v>
      </c>
      <c r="DF2330">
        <v>600161</v>
      </c>
      <c r="DG2330" t="s">
        <v>116</v>
      </c>
      <c r="DH2330" t="s">
        <v>116</v>
      </c>
      <c r="DI2330" t="s">
        <v>116</v>
      </c>
    </row>
    <row r="2331" spans="1:113" x14ac:dyDescent="0.4">
      <c r="A2331" t="str">
        <f>"600162"</f>
        <v>600162</v>
      </c>
      <c r="B2331" t="s">
        <v>10953</v>
      </c>
      <c r="C2331">
        <v>0</v>
      </c>
      <c r="D2331">
        <v>2.25</v>
      </c>
      <c r="E2331">
        <v>0</v>
      </c>
      <c r="F2331">
        <v>2.2400000000000002</v>
      </c>
      <c r="G2331">
        <v>2.25</v>
      </c>
      <c r="H2331">
        <v>100490</v>
      </c>
      <c r="I2331">
        <v>541</v>
      </c>
      <c r="J2331">
        <v>0</v>
      </c>
      <c r="K2331">
        <v>0.34</v>
      </c>
      <c r="L2331">
        <v>2.25</v>
      </c>
      <c r="M2331">
        <v>2.27</v>
      </c>
      <c r="N2331">
        <v>2.23</v>
      </c>
      <c r="O2331">
        <v>2.25</v>
      </c>
      <c r="P2331">
        <v>19.57</v>
      </c>
      <c r="Q2331">
        <v>22612488</v>
      </c>
      <c r="R2331">
        <v>1.01</v>
      </c>
      <c r="S2331" t="s">
        <v>124</v>
      </c>
      <c r="T2331" t="s">
        <v>115</v>
      </c>
      <c r="U2331">
        <v>1.78</v>
      </c>
      <c r="V2331">
        <v>2.25</v>
      </c>
      <c r="W2331">
        <v>61513</v>
      </c>
      <c r="X2331">
        <v>38977</v>
      </c>
      <c r="Y2331">
        <v>1.58</v>
      </c>
      <c r="Z2331">
        <v>5616</v>
      </c>
      <c r="AA2331">
        <v>733</v>
      </c>
      <c r="AB2331" t="s">
        <v>116</v>
      </c>
      <c r="AC2331">
        <v>232700</v>
      </c>
      <c r="AD2331">
        <v>0.01</v>
      </c>
      <c r="AE2331" t="s">
        <v>116</v>
      </c>
      <c r="AF2331" t="s">
        <v>116</v>
      </c>
      <c r="AG2331">
        <v>29.8</v>
      </c>
      <c r="AH2331" t="s">
        <v>10954</v>
      </c>
      <c r="AI2331" t="s">
        <v>10955</v>
      </c>
      <c r="AJ2331">
        <v>0.08</v>
      </c>
      <c r="AK2331">
        <v>1033</v>
      </c>
      <c r="AL2331">
        <v>97</v>
      </c>
      <c r="AM2331">
        <v>2.9999999999999997E-4</v>
      </c>
      <c r="AN2331">
        <v>0</v>
      </c>
      <c r="AO2331">
        <v>0.45</v>
      </c>
      <c r="AP2331">
        <v>2.27</v>
      </c>
      <c r="AQ2331">
        <v>-2.17</v>
      </c>
      <c r="AR2331">
        <v>6.89</v>
      </c>
      <c r="AS2331">
        <v>0.71</v>
      </c>
      <c r="AT2331" t="s">
        <v>10956</v>
      </c>
      <c r="AU2331">
        <v>14.82</v>
      </c>
      <c r="AV2331">
        <v>15.02</v>
      </c>
      <c r="AW2331">
        <v>1.01</v>
      </c>
      <c r="BA2331">
        <v>0</v>
      </c>
      <c r="BB2331">
        <v>0.89</v>
      </c>
      <c r="BC2331">
        <v>-0.89</v>
      </c>
      <c r="BD2331">
        <v>0.01</v>
      </c>
      <c r="BE2331">
        <v>0</v>
      </c>
      <c r="BF2331">
        <v>-0.88</v>
      </c>
      <c r="BG2331">
        <v>0.9</v>
      </c>
      <c r="BH2331">
        <v>-0.01</v>
      </c>
      <c r="BI2331">
        <v>20191031</v>
      </c>
      <c r="BJ2331">
        <v>19980609</v>
      </c>
      <c r="BK2331">
        <v>33.96</v>
      </c>
      <c r="BL2331" t="s">
        <v>116</v>
      </c>
      <c r="BM2331" t="s">
        <v>116</v>
      </c>
      <c r="BN2331">
        <v>233.33</v>
      </c>
      <c r="BO2331">
        <v>51.29</v>
      </c>
      <c r="BP2331">
        <v>2.65</v>
      </c>
      <c r="BQ2331">
        <v>76.88</v>
      </c>
      <c r="BR2331">
        <v>182.36</v>
      </c>
      <c r="BS2331">
        <v>7.94</v>
      </c>
      <c r="BT2331">
        <v>1.48</v>
      </c>
      <c r="BU2331">
        <v>142.22</v>
      </c>
      <c r="BV2331">
        <v>131.99</v>
      </c>
      <c r="BW2331">
        <v>1.1299999999999999</v>
      </c>
      <c r="BX2331">
        <v>0.15</v>
      </c>
      <c r="BY2331">
        <v>26.22</v>
      </c>
      <c r="BZ2331">
        <v>12.26</v>
      </c>
      <c r="CA2331">
        <v>3.46</v>
      </c>
      <c r="CB2331">
        <v>-0.13</v>
      </c>
      <c r="CC2331">
        <v>3.51</v>
      </c>
      <c r="CD2331">
        <v>2.33</v>
      </c>
      <c r="CE2331">
        <v>2.93</v>
      </c>
      <c r="CF2331">
        <v>2.42</v>
      </c>
      <c r="CG2331">
        <v>15.86</v>
      </c>
      <c r="CH2331">
        <v>28</v>
      </c>
      <c r="CI2331">
        <v>6.85</v>
      </c>
      <c r="CJ2331">
        <v>74995</v>
      </c>
      <c r="CK2331">
        <v>18837</v>
      </c>
      <c r="CL2331" t="s">
        <v>4549</v>
      </c>
      <c r="CM2331">
        <v>2.36</v>
      </c>
      <c r="CN2331">
        <v>-5.79</v>
      </c>
      <c r="CO2331">
        <v>1.5</v>
      </c>
      <c r="CP2331">
        <v>2.73</v>
      </c>
      <c r="CQ2331">
        <v>2.91</v>
      </c>
      <c r="CR2331">
        <v>3.33</v>
      </c>
      <c r="CS2331" t="s">
        <v>1469</v>
      </c>
      <c r="CT2331">
        <v>1.5</v>
      </c>
      <c r="CU2331">
        <v>1.5</v>
      </c>
      <c r="CV2331">
        <v>0</v>
      </c>
      <c r="CW2331">
        <v>0.47</v>
      </c>
      <c r="CX2331">
        <v>0.82</v>
      </c>
      <c r="CY2331">
        <v>21.98</v>
      </c>
      <c r="CZ2331" t="s">
        <v>3661</v>
      </c>
      <c r="DA2331">
        <v>53.24</v>
      </c>
      <c r="DB2331">
        <v>13.21</v>
      </c>
      <c r="DC2331">
        <v>11.16</v>
      </c>
      <c r="DD2331">
        <v>0</v>
      </c>
      <c r="DE2331">
        <v>3912</v>
      </c>
      <c r="DF2331">
        <v>600162</v>
      </c>
      <c r="DG2331" t="s">
        <v>116</v>
      </c>
      <c r="DH2331" t="s">
        <v>116</v>
      </c>
      <c r="DI2331" t="s">
        <v>116</v>
      </c>
    </row>
    <row r="2332" spans="1:113" x14ac:dyDescent="0.4">
      <c r="A2332" t="str">
        <f>"600163"</f>
        <v>600163</v>
      </c>
      <c r="B2332" t="s">
        <v>10957</v>
      </c>
      <c r="C2332">
        <v>-0.59</v>
      </c>
      <c r="D2332">
        <v>3.35</v>
      </c>
      <c r="E2332">
        <v>-0.02</v>
      </c>
      <c r="F2332">
        <v>3.35</v>
      </c>
      <c r="G2332">
        <v>3.36</v>
      </c>
      <c r="H2332">
        <v>20435</v>
      </c>
      <c r="I2332">
        <v>293</v>
      </c>
      <c r="J2332">
        <v>0</v>
      </c>
      <c r="K2332">
        <v>0.2</v>
      </c>
      <c r="L2332">
        <v>3.37</v>
      </c>
      <c r="M2332">
        <v>3.41</v>
      </c>
      <c r="N2332">
        <v>3.35</v>
      </c>
      <c r="O2332">
        <v>3.37</v>
      </c>
      <c r="P2332">
        <v>28.56</v>
      </c>
      <c r="Q2332">
        <v>6894170</v>
      </c>
      <c r="R2332">
        <v>0.8</v>
      </c>
      <c r="S2332" t="s">
        <v>361</v>
      </c>
      <c r="T2332" t="s">
        <v>975</v>
      </c>
      <c r="U2332">
        <v>1.78</v>
      </c>
      <c r="V2332">
        <v>3.37</v>
      </c>
      <c r="W2332">
        <v>12338</v>
      </c>
      <c r="X2332">
        <v>8098</v>
      </c>
      <c r="Y2332">
        <v>1.52</v>
      </c>
      <c r="Z2332">
        <v>515</v>
      </c>
      <c r="AA2332">
        <v>51</v>
      </c>
      <c r="AB2332" t="s">
        <v>116</v>
      </c>
      <c r="AC2332">
        <v>0</v>
      </c>
      <c r="AD2332">
        <v>0</v>
      </c>
      <c r="AE2332" t="s">
        <v>116</v>
      </c>
      <c r="AF2332" t="s">
        <v>116</v>
      </c>
      <c r="AG2332">
        <v>9.99</v>
      </c>
      <c r="AH2332" t="s">
        <v>10958</v>
      </c>
      <c r="AI2332" t="s">
        <v>10958</v>
      </c>
      <c r="AJ2332">
        <v>-0.52</v>
      </c>
      <c r="AK2332">
        <v>734</v>
      </c>
      <c r="AL2332">
        <v>28</v>
      </c>
      <c r="AM2332">
        <v>2.9999999999999997E-4</v>
      </c>
      <c r="AN2332">
        <v>-1</v>
      </c>
      <c r="AO2332">
        <v>-0.89</v>
      </c>
      <c r="AP2332">
        <v>3.72</v>
      </c>
      <c r="AQ2332">
        <v>-7.2</v>
      </c>
      <c r="AR2332">
        <v>5.35</v>
      </c>
      <c r="AS2332">
        <v>0.46</v>
      </c>
      <c r="AT2332" t="s">
        <v>7239</v>
      </c>
      <c r="AU2332">
        <v>27.51</v>
      </c>
      <c r="AV2332">
        <v>25.69</v>
      </c>
      <c r="AW2332">
        <v>1.02</v>
      </c>
      <c r="BA2332">
        <v>0</v>
      </c>
      <c r="BB2332">
        <v>1.19</v>
      </c>
      <c r="BC2332">
        <v>-0.59</v>
      </c>
      <c r="BD2332">
        <v>0.11</v>
      </c>
      <c r="BE2332">
        <v>-0.59</v>
      </c>
      <c r="BF2332">
        <v>-1.76</v>
      </c>
      <c r="BG2332">
        <v>0</v>
      </c>
      <c r="BH2332">
        <v>-0.7</v>
      </c>
      <c r="BI2332">
        <v>20191030</v>
      </c>
      <c r="BJ2332">
        <v>19980602</v>
      </c>
      <c r="BK2332">
        <v>9.99</v>
      </c>
      <c r="BL2332" t="s">
        <v>116</v>
      </c>
      <c r="BM2332" t="s">
        <v>116</v>
      </c>
      <c r="BN2332">
        <v>43.41</v>
      </c>
      <c r="BO2332">
        <v>19.38</v>
      </c>
      <c r="BP2332">
        <v>0.96</v>
      </c>
      <c r="BQ2332">
        <v>53.13</v>
      </c>
      <c r="BR2332">
        <v>9.4499999999999993</v>
      </c>
      <c r="BS2332">
        <v>22.45</v>
      </c>
      <c r="BT2332">
        <v>1.1399999999999999</v>
      </c>
      <c r="BU2332">
        <v>7.3</v>
      </c>
      <c r="BV2332">
        <v>0.17</v>
      </c>
      <c r="BW2332">
        <v>5.27</v>
      </c>
      <c r="BX2332">
        <v>20.92</v>
      </c>
      <c r="BY2332">
        <v>3.8</v>
      </c>
      <c r="BZ2332">
        <v>1.81</v>
      </c>
      <c r="CA2332">
        <v>1.21</v>
      </c>
      <c r="CB2332">
        <v>0.01</v>
      </c>
      <c r="CC2332">
        <v>1.22</v>
      </c>
      <c r="CD2332">
        <v>0.93</v>
      </c>
      <c r="CE2332">
        <v>0.88</v>
      </c>
      <c r="CF2332">
        <v>0.87</v>
      </c>
      <c r="CG2332">
        <v>-12.24</v>
      </c>
      <c r="CH2332">
        <v>1.77</v>
      </c>
      <c r="CI2332">
        <v>0.72</v>
      </c>
      <c r="CJ2332">
        <v>30124</v>
      </c>
      <c r="CK2332">
        <v>14852</v>
      </c>
      <c r="CL2332" t="s">
        <v>2763</v>
      </c>
      <c r="CM2332">
        <v>-8.9600000000000009</v>
      </c>
      <c r="CN2332">
        <v>5.5</v>
      </c>
      <c r="CO2332">
        <v>1.73</v>
      </c>
      <c r="CP2332">
        <v>18.88</v>
      </c>
      <c r="CQ2332">
        <v>8.82</v>
      </c>
      <c r="CR2332">
        <v>0</v>
      </c>
      <c r="CS2332" t="s">
        <v>687</v>
      </c>
      <c r="CT2332">
        <v>1.94</v>
      </c>
      <c r="CU2332">
        <v>0</v>
      </c>
      <c r="CV2332">
        <v>2.09</v>
      </c>
      <c r="CW2332">
        <v>-1.22</v>
      </c>
      <c r="CX2332">
        <v>0.18</v>
      </c>
      <c r="CY2332">
        <v>44.64</v>
      </c>
      <c r="CZ2332" t="s">
        <v>10519</v>
      </c>
      <c r="DA2332">
        <v>52.36</v>
      </c>
      <c r="DB2332">
        <v>31.85</v>
      </c>
      <c r="DC2332">
        <v>23.17</v>
      </c>
      <c r="DD2332">
        <v>0</v>
      </c>
      <c r="DE2332">
        <v>287</v>
      </c>
      <c r="DF2332">
        <v>600163</v>
      </c>
      <c r="DG2332" t="s">
        <v>116</v>
      </c>
      <c r="DH2332" t="s">
        <v>116</v>
      </c>
      <c r="DI2332" t="s">
        <v>116</v>
      </c>
    </row>
    <row r="2333" spans="1:113" x14ac:dyDescent="0.4">
      <c r="A2333" t="str">
        <f>"600165"</f>
        <v>600165</v>
      </c>
      <c r="B2333" t="s">
        <v>10959</v>
      </c>
      <c r="C2333">
        <v>0.52</v>
      </c>
      <c r="D2333">
        <v>3.88</v>
      </c>
      <c r="E2333">
        <v>0.02</v>
      </c>
      <c r="F2333">
        <v>3.88</v>
      </c>
      <c r="G2333">
        <v>3.89</v>
      </c>
      <c r="H2333">
        <v>116047</v>
      </c>
      <c r="I2333">
        <v>852</v>
      </c>
      <c r="J2333">
        <v>0</v>
      </c>
      <c r="K2333">
        <v>1.69</v>
      </c>
      <c r="L2333">
        <v>3.86</v>
      </c>
      <c r="M2333">
        <v>3.9</v>
      </c>
      <c r="N2333">
        <v>3.85</v>
      </c>
      <c r="O2333">
        <v>3.86</v>
      </c>
      <c r="P2333" t="s">
        <v>116</v>
      </c>
      <c r="Q2333">
        <v>45069520</v>
      </c>
      <c r="R2333">
        <v>1.77</v>
      </c>
      <c r="S2333" t="s">
        <v>2118</v>
      </c>
      <c r="T2333" t="s">
        <v>1147</v>
      </c>
      <c r="U2333">
        <v>1.3</v>
      </c>
      <c r="V2333">
        <v>3.88</v>
      </c>
      <c r="W2333">
        <v>33632</v>
      </c>
      <c r="X2333">
        <v>82415</v>
      </c>
      <c r="Y2333">
        <v>0.41</v>
      </c>
      <c r="Z2333">
        <v>54</v>
      </c>
      <c r="AA2333">
        <v>2413</v>
      </c>
      <c r="AB2333" t="s">
        <v>116</v>
      </c>
      <c r="AC2333">
        <v>28600</v>
      </c>
      <c r="AD2333">
        <v>0</v>
      </c>
      <c r="AE2333" t="s">
        <v>116</v>
      </c>
      <c r="AF2333" t="s">
        <v>116</v>
      </c>
      <c r="AG2333">
        <v>6.85</v>
      </c>
      <c r="AH2333" t="s">
        <v>2396</v>
      </c>
      <c r="AI2333" t="s">
        <v>2396</v>
      </c>
      <c r="AJ2333">
        <v>0.59</v>
      </c>
      <c r="AK2333">
        <v>850</v>
      </c>
      <c r="AL2333">
        <v>137</v>
      </c>
      <c r="AM2333">
        <v>2E-3</v>
      </c>
      <c r="AN2333">
        <v>1</v>
      </c>
      <c r="AO2333">
        <v>0.26</v>
      </c>
      <c r="AP2333">
        <v>-1.02</v>
      </c>
      <c r="AQ2333">
        <v>-0.77</v>
      </c>
      <c r="AR2333">
        <v>-20.329999999999998</v>
      </c>
      <c r="AS2333">
        <v>2.39</v>
      </c>
      <c r="AT2333" t="s">
        <v>6628</v>
      </c>
      <c r="AU2333" t="s">
        <v>116</v>
      </c>
      <c r="AV2333">
        <v>282.68</v>
      </c>
      <c r="AW2333">
        <v>0.32</v>
      </c>
      <c r="BA2333">
        <v>0</v>
      </c>
      <c r="BB2333">
        <v>1.04</v>
      </c>
      <c r="BC2333">
        <v>-0.26</v>
      </c>
      <c r="BD2333">
        <v>0.61</v>
      </c>
      <c r="BE2333">
        <v>0.52</v>
      </c>
      <c r="BF2333">
        <v>-0.51</v>
      </c>
      <c r="BG2333">
        <v>0.78</v>
      </c>
      <c r="BH2333">
        <v>-0.1</v>
      </c>
      <c r="BI2333">
        <v>20191030</v>
      </c>
      <c r="BJ2333">
        <v>19980529</v>
      </c>
      <c r="BK2333">
        <v>6.85</v>
      </c>
      <c r="BL2333" t="s">
        <v>116</v>
      </c>
      <c r="BM2333" t="s">
        <v>116</v>
      </c>
      <c r="BN2333">
        <v>18.12</v>
      </c>
      <c r="BO2333">
        <v>9.1300000000000008</v>
      </c>
      <c r="BP2333">
        <v>0.31</v>
      </c>
      <c r="BQ2333">
        <v>47.89</v>
      </c>
      <c r="BR2333">
        <v>8</v>
      </c>
      <c r="BS2333">
        <v>1.61</v>
      </c>
      <c r="BT2333">
        <v>0.47</v>
      </c>
      <c r="BU2333">
        <v>8.64</v>
      </c>
      <c r="BV2333">
        <v>1.08</v>
      </c>
      <c r="BW2333">
        <v>0.28999999999999998</v>
      </c>
      <c r="BX2333">
        <v>4.16</v>
      </c>
      <c r="BY2333">
        <v>2.39</v>
      </c>
      <c r="BZ2333">
        <v>2.29</v>
      </c>
      <c r="CA2333">
        <v>-0.34</v>
      </c>
      <c r="CB2333">
        <v>0.12</v>
      </c>
      <c r="CC2333">
        <v>-0.34</v>
      </c>
      <c r="CD2333">
        <v>-0.34</v>
      </c>
      <c r="CE2333">
        <v>-0.32</v>
      </c>
      <c r="CF2333">
        <v>-0.32</v>
      </c>
      <c r="CG2333">
        <v>-2.19</v>
      </c>
      <c r="CH2333">
        <v>-0.81</v>
      </c>
      <c r="CI2333">
        <v>-0.13</v>
      </c>
      <c r="CJ2333">
        <v>34075</v>
      </c>
      <c r="CK2333">
        <v>14230</v>
      </c>
      <c r="CL2333" t="s">
        <v>2260</v>
      </c>
      <c r="CM2333">
        <v>-9671.31</v>
      </c>
      <c r="CN2333">
        <v>-50.22</v>
      </c>
      <c r="CO2333">
        <v>2.91</v>
      </c>
      <c r="CP2333">
        <v>-32.909999999999997</v>
      </c>
      <c r="CQ2333">
        <v>11.1</v>
      </c>
      <c r="CR2333">
        <v>0</v>
      </c>
      <c r="CS2333" t="s">
        <v>10960</v>
      </c>
      <c r="CT2333">
        <v>1.33</v>
      </c>
      <c r="CU2333">
        <v>0</v>
      </c>
      <c r="CV2333">
        <v>0.61</v>
      </c>
      <c r="CW2333">
        <v>-0.32</v>
      </c>
      <c r="CX2333">
        <v>-0.12</v>
      </c>
      <c r="CY2333">
        <v>50.41</v>
      </c>
      <c r="CZ2333" t="s">
        <v>2233</v>
      </c>
      <c r="DA2333">
        <v>4.3</v>
      </c>
      <c r="DB2333">
        <v>-14.31</v>
      </c>
      <c r="DC2333">
        <v>-13.16</v>
      </c>
      <c r="DD2333">
        <v>0.01</v>
      </c>
      <c r="DE2333">
        <v>514</v>
      </c>
      <c r="DF2333">
        <v>600165</v>
      </c>
      <c r="DG2333" t="s">
        <v>116</v>
      </c>
      <c r="DH2333" t="s">
        <v>116</v>
      </c>
      <c r="DI2333" t="s">
        <v>116</v>
      </c>
    </row>
    <row r="2334" spans="1:113" x14ac:dyDescent="0.4">
      <c r="A2334" t="str">
        <f>"600166"</f>
        <v>600166</v>
      </c>
      <c r="B2334" t="s">
        <v>10961</v>
      </c>
      <c r="C2334">
        <v>0</v>
      </c>
      <c r="D2334">
        <v>2.0699999999999998</v>
      </c>
      <c r="E2334">
        <v>0</v>
      </c>
      <c r="F2334">
        <v>2.0699999999999998</v>
      </c>
      <c r="G2334">
        <v>2.08</v>
      </c>
      <c r="H2334">
        <v>390486</v>
      </c>
      <c r="I2334">
        <v>1573</v>
      </c>
      <c r="J2334">
        <v>0</v>
      </c>
      <c r="K2334">
        <v>0.59</v>
      </c>
      <c r="L2334">
        <v>2.0699999999999998</v>
      </c>
      <c r="M2334">
        <v>2.09</v>
      </c>
      <c r="N2334">
        <v>2.06</v>
      </c>
      <c r="O2334">
        <v>2.0699999999999998</v>
      </c>
      <c r="P2334">
        <v>39.64</v>
      </c>
      <c r="Q2334">
        <v>80895424</v>
      </c>
      <c r="R2334">
        <v>1.1000000000000001</v>
      </c>
      <c r="S2334" t="s">
        <v>1108</v>
      </c>
      <c r="T2334" t="s">
        <v>165</v>
      </c>
      <c r="U2334">
        <v>1.45</v>
      </c>
      <c r="V2334">
        <v>2.0699999999999998</v>
      </c>
      <c r="W2334">
        <v>191575</v>
      </c>
      <c r="X2334">
        <v>198911</v>
      </c>
      <c r="Y2334">
        <v>0.96</v>
      </c>
      <c r="Z2334">
        <v>13567</v>
      </c>
      <c r="AA2334">
        <v>24390</v>
      </c>
      <c r="AB2334" t="s">
        <v>116</v>
      </c>
      <c r="AC2334">
        <v>428300</v>
      </c>
      <c r="AD2334">
        <v>0</v>
      </c>
      <c r="AE2334" t="s">
        <v>116</v>
      </c>
      <c r="AF2334" t="s">
        <v>116</v>
      </c>
      <c r="AG2334">
        <v>65.75</v>
      </c>
      <c r="AH2334" t="s">
        <v>10962</v>
      </c>
      <c r="AI2334" t="s">
        <v>10962</v>
      </c>
      <c r="AJ2334">
        <v>0.08</v>
      </c>
      <c r="AK2334">
        <v>2300</v>
      </c>
      <c r="AL2334">
        <v>170</v>
      </c>
      <c r="AM2334">
        <v>2.9999999999999997E-4</v>
      </c>
      <c r="AN2334">
        <v>0</v>
      </c>
      <c r="AO2334">
        <v>0.98</v>
      </c>
      <c r="AP2334">
        <v>6.15</v>
      </c>
      <c r="AQ2334">
        <v>2.48</v>
      </c>
      <c r="AR2334">
        <v>13.74</v>
      </c>
      <c r="AS2334">
        <v>0.87</v>
      </c>
      <c r="AT2334" t="s">
        <v>10963</v>
      </c>
      <c r="AU2334" t="s">
        <v>116</v>
      </c>
      <c r="AV2334" t="s">
        <v>116</v>
      </c>
      <c r="AW2334">
        <v>1.1200000000000001</v>
      </c>
      <c r="BA2334">
        <v>0</v>
      </c>
      <c r="BB2334">
        <v>0.97</v>
      </c>
      <c r="BC2334">
        <v>-0.48</v>
      </c>
      <c r="BD2334">
        <v>0.08</v>
      </c>
      <c r="BE2334">
        <v>0</v>
      </c>
      <c r="BF2334">
        <v>-0.96</v>
      </c>
      <c r="BG2334">
        <v>0.49</v>
      </c>
      <c r="BH2334">
        <v>-0.08</v>
      </c>
      <c r="BI2334">
        <v>20191226</v>
      </c>
      <c r="BJ2334">
        <v>19980602</v>
      </c>
      <c r="BK2334">
        <v>65.75</v>
      </c>
      <c r="BL2334" t="s">
        <v>116</v>
      </c>
      <c r="BM2334" t="s">
        <v>116</v>
      </c>
      <c r="BN2334">
        <v>533.69000000000005</v>
      </c>
      <c r="BO2334">
        <v>151.43</v>
      </c>
      <c r="BP2334">
        <v>-7.0000000000000007E-2</v>
      </c>
      <c r="BQ2334">
        <v>71.64</v>
      </c>
      <c r="BR2334">
        <v>288.23</v>
      </c>
      <c r="BS2334">
        <v>98.96</v>
      </c>
      <c r="BT2334">
        <v>49.63</v>
      </c>
      <c r="BU2334">
        <v>334.97</v>
      </c>
      <c r="BV2334">
        <v>35.72</v>
      </c>
      <c r="BW2334">
        <v>96.28</v>
      </c>
      <c r="BX2334">
        <v>77.099999999999994</v>
      </c>
      <c r="BY2334">
        <v>354.31</v>
      </c>
      <c r="BZ2334">
        <v>304.60000000000002</v>
      </c>
      <c r="CA2334">
        <v>0.36</v>
      </c>
      <c r="CB2334">
        <v>5.24</v>
      </c>
      <c r="CC2334">
        <v>0.73</v>
      </c>
      <c r="CD2334">
        <v>2.2000000000000002</v>
      </c>
      <c r="CE2334">
        <v>2.58</v>
      </c>
      <c r="CF2334">
        <v>-9.06</v>
      </c>
      <c r="CG2334">
        <v>-10.88</v>
      </c>
      <c r="CH2334">
        <v>27.07</v>
      </c>
      <c r="CI2334">
        <v>-14.86</v>
      </c>
      <c r="CJ2334">
        <v>157800</v>
      </c>
      <c r="CK2334">
        <v>28348</v>
      </c>
      <c r="CL2334" t="s">
        <v>1011</v>
      </c>
      <c r="CM2334">
        <v>115.2</v>
      </c>
      <c r="CN2334">
        <v>13.93</v>
      </c>
      <c r="CO2334">
        <v>0.9</v>
      </c>
      <c r="CP2334">
        <v>5.03</v>
      </c>
      <c r="CQ2334">
        <v>0.38</v>
      </c>
      <c r="CR2334">
        <v>0</v>
      </c>
      <c r="CS2334" t="s">
        <v>1887</v>
      </c>
      <c r="CT2334">
        <v>2.2999999999999998</v>
      </c>
      <c r="CU2334">
        <v>0</v>
      </c>
      <c r="CV2334">
        <v>1.17</v>
      </c>
      <c r="CW2334">
        <v>-0.17</v>
      </c>
      <c r="CX2334">
        <v>0.41</v>
      </c>
      <c r="CY2334">
        <v>28.37</v>
      </c>
      <c r="CZ2334" t="s">
        <v>6035</v>
      </c>
      <c r="DA2334">
        <v>14.03</v>
      </c>
      <c r="DB2334">
        <v>0.1</v>
      </c>
      <c r="DC2334">
        <v>0.73</v>
      </c>
      <c r="DD2334">
        <v>12.11</v>
      </c>
      <c r="DE2334">
        <v>29118</v>
      </c>
      <c r="DF2334">
        <v>600166</v>
      </c>
      <c r="DG2334" t="s">
        <v>116</v>
      </c>
      <c r="DH2334" t="s">
        <v>116</v>
      </c>
      <c r="DI2334" t="s">
        <v>116</v>
      </c>
    </row>
    <row r="2335" spans="1:113" x14ac:dyDescent="0.4">
      <c r="A2335" t="str">
        <f>"600167"</f>
        <v>600167</v>
      </c>
      <c r="B2335" t="s">
        <v>10964</v>
      </c>
      <c r="C2335">
        <v>-0.47</v>
      </c>
      <c r="D2335">
        <v>12.74</v>
      </c>
      <c r="E2335">
        <v>-0.06</v>
      </c>
      <c r="F2335">
        <v>12.74</v>
      </c>
      <c r="G2335">
        <v>12.75</v>
      </c>
      <c r="H2335">
        <v>30138</v>
      </c>
      <c r="I2335">
        <v>219</v>
      </c>
      <c r="J2335">
        <v>-7.0000000000000007E-2</v>
      </c>
      <c r="K2335">
        <v>0.13</v>
      </c>
      <c r="L2335">
        <v>12.87</v>
      </c>
      <c r="M2335">
        <v>12.97</v>
      </c>
      <c r="N2335">
        <v>12.62</v>
      </c>
      <c r="O2335">
        <v>12.8</v>
      </c>
      <c r="P2335">
        <v>23.81</v>
      </c>
      <c r="Q2335">
        <v>38552328</v>
      </c>
      <c r="R2335">
        <v>0.9</v>
      </c>
      <c r="S2335" t="s">
        <v>690</v>
      </c>
      <c r="T2335" t="s">
        <v>434</v>
      </c>
      <c r="U2335">
        <v>2.73</v>
      </c>
      <c r="V2335">
        <v>12.79</v>
      </c>
      <c r="W2335">
        <v>12212</v>
      </c>
      <c r="X2335">
        <v>17926</v>
      </c>
      <c r="Y2335">
        <v>0.68</v>
      </c>
      <c r="Z2335">
        <v>192</v>
      </c>
      <c r="AA2335">
        <v>498</v>
      </c>
      <c r="AB2335" t="s">
        <v>116</v>
      </c>
      <c r="AC2335">
        <v>34700</v>
      </c>
      <c r="AD2335">
        <v>0</v>
      </c>
      <c r="AE2335" t="s">
        <v>116</v>
      </c>
      <c r="AF2335" t="s">
        <v>116</v>
      </c>
      <c r="AG2335">
        <v>22.88</v>
      </c>
      <c r="AH2335" t="s">
        <v>10965</v>
      </c>
      <c r="AI2335" t="s">
        <v>10965</v>
      </c>
      <c r="AJ2335">
        <v>-0.39</v>
      </c>
      <c r="AK2335">
        <v>2004</v>
      </c>
      <c r="AL2335">
        <v>15</v>
      </c>
      <c r="AM2335">
        <v>1E-4</v>
      </c>
      <c r="AN2335">
        <v>-3</v>
      </c>
      <c r="AO2335">
        <v>-2.67</v>
      </c>
      <c r="AP2335">
        <v>6.52</v>
      </c>
      <c r="AQ2335">
        <v>10.88</v>
      </c>
      <c r="AR2335">
        <v>86.3</v>
      </c>
      <c r="AS2335">
        <v>0.46</v>
      </c>
      <c r="AT2335" t="s">
        <v>10966</v>
      </c>
      <c r="AU2335">
        <v>19.420000000000002</v>
      </c>
      <c r="AV2335">
        <v>22.14</v>
      </c>
      <c r="AW2335">
        <v>0.5</v>
      </c>
      <c r="BA2335">
        <v>0.55000000000000004</v>
      </c>
      <c r="BB2335">
        <v>1.33</v>
      </c>
      <c r="BC2335">
        <v>-1.41</v>
      </c>
      <c r="BD2335">
        <v>-0.06</v>
      </c>
      <c r="BE2335">
        <v>-1.01</v>
      </c>
      <c r="BF2335">
        <v>-1.77</v>
      </c>
      <c r="BG2335">
        <v>0.95</v>
      </c>
      <c r="BH2335">
        <v>-0.41</v>
      </c>
      <c r="BI2335">
        <v>20191031</v>
      </c>
      <c r="BJ2335">
        <v>19990128</v>
      </c>
      <c r="BK2335">
        <v>22.88</v>
      </c>
      <c r="BL2335" t="s">
        <v>116</v>
      </c>
      <c r="BM2335" t="s">
        <v>116</v>
      </c>
      <c r="BN2335">
        <v>106.58</v>
      </c>
      <c r="BO2335">
        <v>67.349999999999994</v>
      </c>
      <c r="BP2335">
        <v>1.33</v>
      </c>
      <c r="BQ2335">
        <v>35.57</v>
      </c>
      <c r="BR2335">
        <v>56.17</v>
      </c>
      <c r="BS2335">
        <v>27.41</v>
      </c>
      <c r="BT2335">
        <v>2.96</v>
      </c>
      <c r="BU2335">
        <v>19.93</v>
      </c>
      <c r="BV2335">
        <v>4.08</v>
      </c>
      <c r="BW2335">
        <v>3.9</v>
      </c>
      <c r="BX2335">
        <v>6.97</v>
      </c>
      <c r="BY2335">
        <v>19.309999999999999</v>
      </c>
      <c r="BZ2335">
        <v>9.5500000000000007</v>
      </c>
      <c r="CA2335">
        <v>11.86</v>
      </c>
      <c r="CB2335">
        <v>0.13</v>
      </c>
      <c r="CC2335">
        <v>11.92</v>
      </c>
      <c r="CD2335">
        <v>9.34</v>
      </c>
      <c r="CE2335">
        <v>9.18</v>
      </c>
      <c r="CF2335">
        <v>8.9700000000000006</v>
      </c>
      <c r="CG2335">
        <v>35.04</v>
      </c>
      <c r="CH2335">
        <v>-3.92</v>
      </c>
      <c r="CI2335">
        <v>-4.1900000000000004</v>
      </c>
      <c r="CJ2335">
        <v>11523</v>
      </c>
      <c r="CK2335">
        <v>57160</v>
      </c>
      <c r="CL2335" t="s">
        <v>10967</v>
      </c>
      <c r="CM2335">
        <v>25.1</v>
      </c>
      <c r="CN2335">
        <v>10.56</v>
      </c>
      <c r="CO2335">
        <v>4.33</v>
      </c>
      <c r="CP2335">
        <v>-74.290000000000006</v>
      </c>
      <c r="CQ2335">
        <v>15.1</v>
      </c>
      <c r="CR2335">
        <v>0.91</v>
      </c>
      <c r="CS2335" t="s">
        <v>5200</v>
      </c>
      <c r="CT2335">
        <v>2.94</v>
      </c>
      <c r="CU2335">
        <v>0</v>
      </c>
      <c r="CV2335">
        <v>0.3</v>
      </c>
      <c r="CW2335">
        <v>1.53</v>
      </c>
      <c r="CX2335">
        <v>-0.17</v>
      </c>
      <c r="CY2335">
        <v>63.19</v>
      </c>
      <c r="CZ2335" t="s">
        <v>10968</v>
      </c>
      <c r="DA2335">
        <v>50.53</v>
      </c>
      <c r="DB2335">
        <v>61.4</v>
      </c>
      <c r="DC2335">
        <v>47.55</v>
      </c>
      <c r="DD2335">
        <v>0.12</v>
      </c>
      <c r="DE2335">
        <v>3047</v>
      </c>
      <c r="DF2335">
        <v>600167</v>
      </c>
      <c r="DG2335" t="s">
        <v>116</v>
      </c>
      <c r="DH2335" t="s">
        <v>116</v>
      </c>
      <c r="DI2335" t="s">
        <v>116</v>
      </c>
    </row>
    <row r="2336" spans="1:113" x14ac:dyDescent="0.4">
      <c r="A2336" t="str">
        <f>"600168"</f>
        <v>600168</v>
      </c>
      <c r="B2336" t="s">
        <v>10969</v>
      </c>
      <c r="C2336">
        <v>-0.3</v>
      </c>
      <c r="D2336">
        <v>6.62</v>
      </c>
      <c r="E2336">
        <v>-0.02</v>
      </c>
      <c r="F2336">
        <v>6.62</v>
      </c>
      <c r="G2336">
        <v>6.63</v>
      </c>
      <c r="H2336">
        <v>16509</v>
      </c>
      <c r="I2336">
        <v>145</v>
      </c>
      <c r="J2336">
        <v>0</v>
      </c>
      <c r="K2336">
        <v>0.23</v>
      </c>
      <c r="L2336">
        <v>6.65</v>
      </c>
      <c r="M2336">
        <v>6.69</v>
      </c>
      <c r="N2336">
        <v>6.62</v>
      </c>
      <c r="O2336">
        <v>6.64</v>
      </c>
      <c r="P2336">
        <v>13.94</v>
      </c>
      <c r="Q2336">
        <v>10979215</v>
      </c>
      <c r="R2336">
        <v>1</v>
      </c>
      <c r="S2336" t="s">
        <v>1345</v>
      </c>
      <c r="T2336" t="s">
        <v>774</v>
      </c>
      <c r="U2336">
        <v>1.05</v>
      </c>
      <c r="V2336">
        <v>6.65</v>
      </c>
      <c r="W2336">
        <v>9493</v>
      </c>
      <c r="X2336">
        <v>7016</v>
      </c>
      <c r="Y2336">
        <v>1.35</v>
      </c>
      <c r="Z2336">
        <v>88</v>
      </c>
      <c r="AA2336">
        <v>424</v>
      </c>
      <c r="AB2336" t="s">
        <v>116</v>
      </c>
      <c r="AC2336">
        <v>0</v>
      </c>
      <c r="AD2336">
        <v>0</v>
      </c>
      <c r="AE2336" t="s">
        <v>116</v>
      </c>
      <c r="AF2336" t="s">
        <v>116</v>
      </c>
      <c r="AG2336">
        <v>7.1</v>
      </c>
      <c r="AH2336" t="s">
        <v>2609</v>
      </c>
      <c r="AI2336" t="s">
        <v>2609</v>
      </c>
      <c r="AJ2336">
        <v>-0.22</v>
      </c>
      <c r="AK2336">
        <v>418</v>
      </c>
      <c r="AL2336">
        <v>39</v>
      </c>
      <c r="AM2336">
        <v>5.9999999999999995E-4</v>
      </c>
      <c r="AN2336">
        <v>-1</v>
      </c>
      <c r="AO2336">
        <v>0.77</v>
      </c>
      <c r="AP2336">
        <v>4.91</v>
      </c>
      <c r="AQ2336">
        <v>-1.63</v>
      </c>
      <c r="AR2336">
        <v>17.559999999999999</v>
      </c>
      <c r="AS2336">
        <v>0.57999999999999996</v>
      </c>
      <c r="AT2336" t="s">
        <v>5439</v>
      </c>
      <c r="AU2336">
        <v>15.39</v>
      </c>
      <c r="AV2336">
        <v>16.78</v>
      </c>
      <c r="AW2336">
        <v>0.9</v>
      </c>
      <c r="BA2336">
        <v>0.15</v>
      </c>
      <c r="BB2336">
        <v>0.75</v>
      </c>
      <c r="BC2336">
        <v>-0.3</v>
      </c>
      <c r="BD2336">
        <v>0.16</v>
      </c>
      <c r="BE2336">
        <v>-0.45</v>
      </c>
      <c r="BF2336">
        <v>-1.05</v>
      </c>
      <c r="BG2336">
        <v>0</v>
      </c>
      <c r="BH2336">
        <v>-0.46</v>
      </c>
      <c r="BI2336">
        <v>20191031</v>
      </c>
      <c r="BJ2336">
        <v>19980427</v>
      </c>
      <c r="BK2336">
        <v>7.1</v>
      </c>
      <c r="BL2336" t="s">
        <v>116</v>
      </c>
      <c r="BM2336" t="s">
        <v>116</v>
      </c>
      <c r="BN2336">
        <v>151.32</v>
      </c>
      <c r="BO2336">
        <v>51.8</v>
      </c>
      <c r="BP2336">
        <v>2.42</v>
      </c>
      <c r="BQ2336">
        <v>64.17</v>
      </c>
      <c r="BR2336">
        <v>46.25</v>
      </c>
      <c r="BS2336">
        <v>61.89</v>
      </c>
      <c r="BT2336">
        <v>7.21</v>
      </c>
      <c r="BU2336">
        <v>52.99</v>
      </c>
      <c r="BV2336">
        <v>0.05</v>
      </c>
      <c r="BW2336">
        <v>27.94</v>
      </c>
      <c r="BX2336">
        <v>15.13</v>
      </c>
      <c r="BY2336">
        <v>11.54</v>
      </c>
      <c r="BZ2336">
        <v>7.45</v>
      </c>
      <c r="CA2336">
        <v>2.56</v>
      </c>
      <c r="CB2336">
        <v>0.06</v>
      </c>
      <c r="CC2336">
        <v>2.77</v>
      </c>
      <c r="CD2336">
        <v>2.5</v>
      </c>
      <c r="CE2336">
        <v>2.5299999999999998</v>
      </c>
      <c r="CF2336">
        <v>2.2999999999999998</v>
      </c>
      <c r="CG2336">
        <v>26.89</v>
      </c>
      <c r="CH2336">
        <v>3.01</v>
      </c>
      <c r="CI2336">
        <v>5.85</v>
      </c>
      <c r="CJ2336">
        <v>34694</v>
      </c>
      <c r="CK2336">
        <v>8137</v>
      </c>
      <c r="CL2336" t="s">
        <v>3211</v>
      </c>
      <c r="CM2336">
        <v>11.07</v>
      </c>
      <c r="CN2336">
        <v>9.91</v>
      </c>
      <c r="CO2336">
        <v>0.91</v>
      </c>
      <c r="CP2336">
        <v>15.6</v>
      </c>
      <c r="CQ2336">
        <v>4.07</v>
      </c>
      <c r="CR2336">
        <v>1.8</v>
      </c>
      <c r="CS2336" t="s">
        <v>5052</v>
      </c>
      <c r="CT2336">
        <v>7.3</v>
      </c>
      <c r="CU2336">
        <v>0</v>
      </c>
      <c r="CV2336">
        <v>2.13</v>
      </c>
      <c r="CW2336">
        <v>3.79</v>
      </c>
      <c r="CX2336">
        <v>0.42</v>
      </c>
      <c r="CY2336">
        <v>34.229999999999997</v>
      </c>
      <c r="CZ2336" t="s">
        <v>5214</v>
      </c>
      <c r="DA2336">
        <v>35.450000000000003</v>
      </c>
      <c r="DB2336">
        <v>22.17</v>
      </c>
      <c r="DC2336">
        <v>21.9</v>
      </c>
      <c r="DD2336">
        <v>0</v>
      </c>
      <c r="DE2336">
        <v>1066</v>
      </c>
      <c r="DF2336">
        <v>600168</v>
      </c>
      <c r="DG2336" t="s">
        <v>116</v>
      </c>
      <c r="DH2336" t="s">
        <v>116</v>
      </c>
      <c r="DI2336" t="s">
        <v>116</v>
      </c>
    </row>
    <row r="2337" spans="1:113" x14ac:dyDescent="0.4">
      <c r="A2337" t="str">
        <f>"600169"</f>
        <v>600169</v>
      </c>
      <c r="B2337" t="s">
        <v>10970</v>
      </c>
      <c r="C2337">
        <v>-0.86</v>
      </c>
      <c r="D2337">
        <v>2.2999999999999998</v>
      </c>
      <c r="E2337">
        <v>-0.02</v>
      </c>
      <c r="F2337">
        <v>2.2999999999999998</v>
      </c>
      <c r="G2337">
        <v>2.31</v>
      </c>
      <c r="H2337">
        <v>130603</v>
      </c>
      <c r="I2337">
        <v>1206</v>
      </c>
      <c r="J2337">
        <v>0</v>
      </c>
      <c r="K2337">
        <v>0.51</v>
      </c>
      <c r="L2337">
        <v>2.3199999999999998</v>
      </c>
      <c r="M2337">
        <v>2.33</v>
      </c>
      <c r="N2337">
        <v>2.2999999999999998</v>
      </c>
      <c r="O2337">
        <v>2.3199999999999998</v>
      </c>
      <c r="P2337">
        <v>239.56</v>
      </c>
      <c r="Q2337">
        <v>30242964</v>
      </c>
      <c r="R2337">
        <v>1.17</v>
      </c>
      <c r="S2337" t="s">
        <v>598</v>
      </c>
      <c r="T2337" t="s">
        <v>675</v>
      </c>
      <c r="U2337">
        <v>1.29</v>
      </c>
      <c r="V2337">
        <v>2.3199999999999998</v>
      </c>
      <c r="W2337">
        <v>80093</v>
      </c>
      <c r="X2337">
        <v>50510</v>
      </c>
      <c r="Y2337">
        <v>1.59</v>
      </c>
      <c r="Z2337">
        <v>8662</v>
      </c>
      <c r="AA2337">
        <v>7503</v>
      </c>
      <c r="AB2337" t="s">
        <v>116</v>
      </c>
      <c r="AC2337">
        <v>306000</v>
      </c>
      <c r="AD2337">
        <v>0.01</v>
      </c>
      <c r="AE2337" t="s">
        <v>116</v>
      </c>
      <c r="AF2337" t="s">
        <v>116</v>
      </c>
      <c r="AG2337">
        <v>25.64</v>
      </c>
      <c r="AH2337" t="s">
        <v>10971</v>
      </c>
      <c r="AI2337" t="s">
        <v>10971</v>
      </c>
      <c r="AJ2337">
        <v>-0.79</v>
      </c>
      <c r="AK2337">
        <v>958</v>
      </c>
      <c r="AL2337">
        <v>136</v>
      </c>
      <c r="AM2337">
        <v>5.0000000000000001E-4</v>
      </c>
      <c r="AN2337">
        <v>-1</v>
      </c>
      <c r="AO2337">
        <v>0.44</v>
      </c>
      <c r="AP2337">
        <v>0.44</v>
      </c>
      <c r="AQ2337">
        <v>-4.5599999999999996</v>
      </c>
      <c r="AR2337">
        <v>3.14</v>
      </c>
      <c r="AS2337">
        <v>0.77</v>
      </c>
      <c r="AT2337" t="s">
        <v>10972</v>
      </c>
      <c r="AU2337">
        <v>118.22</v>
      </c>
      <c r="AV2337">
        <v>155.41</v>
      </c>
      <c r="AW2337">
        <v>1.1100000000000001</v>
      </c>
      <c r="BA2337">
        <v>0</v>
      </c>
      <c r="BB2337">
        <v>0.43</v>
      </c>
      <c r="BC2337">
        <v>-0.86</v>
      </c>
      <c r="BD2337">
        <v>-0.19</v>
      </c>
      <c r="BE2337">
        <v>-0.86</v>
      </c>
      <c r="BF2337">
        <v>-1.29</v>
      </c>
      <c r="BG2337">
        <v>0</v>
      </c>
      <c r="BH2337">
        <v>-0.67</v>
      </c>
      <c r="BI2337">
        <v>20191029</v>
      </c>
      <c r="BJ2337">
        <v>19980904</v>
      </c>
      <c r="BK2337">
        <v>25.64</v>
      </c>
      <c r="BL2337" t="s">
        <v>116</v>
      </c>
      <c r="BM2337" t="s">
        <v>116</v>
      </c>
      <c r="BN2337">
        <v>334.14</v>
      </c>
      <c r="BO2337">
        <v>41.86</v>
      </c>
      <c r="BP2337">
        <v>0.35</v>
      </c>
      <c r="BQ2337">
        <v>87.37</v>
      </c>
      <c r="BR2337">
        <v>241.37</v>
      </c>
      <c r="BS2337">
        <v>59.01</v>
      </c>
      <c r="BT2337">
        <v>15.44</v>
      </c>
      <c r="BU2337">
        <v>242.83</v>
      </c>
      <c r="BV2337">
        <v>99.82</v>
      </c>
      <c r="BW2337">
        <v>68.650000000000006</v>
      </c>
      <c r="BX2337">
        <v>16.510000000000002</v>
      </c>
      <c r="BY2337">
        <v>51.5</v>
      </c>
      <c r="BZ2337">
        <v>38.549999999999997</v>
      </c>
      <c r="CA2337">
        <v>0.37</v>
      </c>
      <c r="CB2337">
        <v>0</v>
      </c>
      <c r="CC2337">
        <v>0.4</v>
      </c>
      <c r="CD2337">
        <v>0.16</v>
      </c>
      <c r="CE2337">
        <v>0.18</v>
      </c>
      <c r="CF2337">
        <v>-0.47</v>
      </c>
      <c r="CG2337">
        <v>-3.04</v>
      </c>
      <c r="CH2337">
        <v>2.4500000000000002</v>
      </c>
      <c r="CI2337">
        <v>-0.96</v>
      </c>
      <c r="CJ2337">
        <v>138004</v>
      </c>
      <c r="CK2337">
        <v>12339</v>
      </c>
      <c r="CL2337" t="s">
        <v>3462</v>
      </c>
      <c r="CM2337">
        <v>182.93</v>
      </c>
      <c r="CN2337">
        <v>23.95</v>
      </c>
      <c r="CO2337">
        <v>1.41</v>
      </c>
      <c r="CP2337">
        <v>24.09</v>
      </c>
      <c r="CQ2337">
        <v>1.1499999999999999</v>
      </c>
      <c r="CR2337">
        <v>0</v>
      </c>
      <c r="CS2337" t="s">
        <v>5809</v>
      </c>
      <c r="CT2337">
        <v>1.63</v>
      </c>
      <c r="CU2337">
        <v>0</v>
      </c>
      <c r="CV2337">
        <v>0.64</v>
      </c>
      <c r="CW2337">
        <v>-0.12</v>
      </c>
      <c r="CX2337">
        <v>0.1</v>
      </c>
      <c r="CY2337">
        <v>12.53</v>
      </c>
      <c r="CZ2337" t="s">
        <v>10973</v>
      </c>
      <c r="DA2337">
        <v>25.15</v>
      </c>
      <c r="DB2337">
        <v>0.72</v>
      </c>
      <c r="DC2337">
        <v>0.36</v>
      </c>
      <c r="DD2337">
        <v>0.82</v>
      </c>
      <c r="DE2337">
        <v>7256</v>
      </c>
      <c r="DF2337">
        <v>600169</v>
      </c>
      <c r="DG2337" t="s">
        <v>116</v>
      </c>
      <c r="DH2337" t="s">
        <v>116</v>
      </c>
      <c r="DI2337" t="s">
        <v>116</v>
      </c>
    </row>
    <row r="2338" spans="1:113" x14ac:dyDescent="0.4">
      <c r="A2338" t="str">
        <f>"600170"</f>
        <v>600170</v>
      </c>
      <c r="B2338" t="s">
        <v>10974</v>
      </c>
      <c r="C2338">
        <v>-0.28999999999999998</v>
      </c>
      <c r="D2338">
        <v>3.49</v>
      </c>
      <c r="E2338">
        <v>-0.01</v>
      </c>
      <c r="F2338">
        <v>3.49</v>
      </c>
      <c r="G2338">
        <v>3.5</v>
      </c>
      <c r="H2338">
        <v>227588</v>
      </c>
      <c r="I2338">
        <v>1455</v>
      </c>
      <c r="J2338">
        <v>-0.28000000000000003</v>
      </c>
      <c r="K2338">
        <v>0.27</v>
      </c>
      <c r="L2338">
        <v>3.49</v>
      </c>
      <c r="M2338">
        <v>3.53</v>
      </c>
      <c r="N2338">
        <v>3.48</v>
      </c>
      <c r="O2338">
        <v>3.5</v>
      </c>
      <c r="P2338">
        <v>8.57</v>
      </c>
      <c r="Q2338">
        <v>79781136</v>
      </c>
      <c r="R2338">
        <v>1.31</v>
      </c>
      <c r="S2338" t="s">
        <v>181</v>
      </c>
      <c r="T2338" t="s">
        <v>1653</v>
      </c>
      <c r="U2338">
        <v>1.43</v>
      </c>
      <c r="V2338">
        <v>3.51</v>
      </c>
      <c r="W2338">
        <v>92597</v>
      </c>
      <c r="X2338">
        <v>134991</v>
      </c>
      <c r="Y2338">
        <v>0.69</v>
      </c>
      <c r="Z2338">
        <v>4707</v>
      </c>
      <c r="AA2338">
        <v>11123</v>
      </c>
      <c r="AB2338" t="s">
        <v>116</v>
      </c>
      <c r="AC2338">
        <v>762800</v>
      </c>
      <c r="AD2338">
        <v>0.01</v>
      </c>
      <c r="AE2338" t="s">
        <v>116</v>
      </c>
      <c r="AF2338" t="s">
        <v>116</v>
      </c>
      <c r="AG2338">
        <v>84.87</v>
      </c>
      <c r="AH2338" t="s">
        <v>10975</v>
      </c>
      <c r="AI2338" t="s">
        <v>10976</v>
      </c>
      <c r="AJ2338">
        <v>-0.21</v>
      </c>
      <c r="AK2338">
        <v>2749</v>
      </c>
      <c r="AL2338">
        <v>83</v>
      </c>
      <c r="AM2338">
        <v>1E-4</v>
      </c>
      <c r="AN2338">
        <v>-1</v>
      </c>
      <c r="AO2338">
        <v>-0.86</v>
      </c>
      <c r="AP2338">
        <v>0.28999999999999998</v>
      </c>
      <c r="AQ2338">
        <v>4.18</v>
      </c>
      <c r="AR2338">
        <v>20.55</v>
      </c>
      <c r="AS2338">
        <v>0.61</v>
      </c>
      <c r="AT2338" t="s">
        <v>10977</v>
      </c>
      <c r="AU2338">
        <v>8.42</v>
      </c>
      <c r="AV2338">
        <v>11.18</v>
      </c>
      <c r="AW2338">
        <v>0.65</v>
      </c>
      <c r="BA2338">
        <v>-0.28999999999999998</v>
      </c>
      <c r="BB2338">
        <v>0.86</v>
      </c>
      <c r="BC2338">
        <v>-0.56999999999999995</v>
      </c>
      <c r="BD2338">
        <v>0.16</v>
      </c>
      <c r="BE2338">
        <v>0</v>
      </c>
      <c r="BF2338">
        <v>-1.1299999999999999</v>
      </c>
      <c r="BG2338">
        <v>0.28999999999999998</v>
      </c>
      <c r="BH2338">
        <v>-0.44</v>
      </c>
      <c r="BI2338">
        <v>20191030</v>
      </c>
      <c r="BJ2338">
        <v>19980623</v>
      </c>
      <c r="BK2338">
        <v>89.04</v>
      </c>
      <c r="BL2338" t="s">
        <v>116</v>
      </c>
      <c r="BM2338" t="s">
        <v>116</v>
      </c>
      <c r="BN2338">
        <v>2293.04</v>
      </c>
      <c r="BO2338">
        <v>324.04000000000002</v>
      </c>
      <c r="BP2338">
        <v>48.11</v>
      </c>
      <c r="BQ2338">
        <v>83.77</v>
      </c>
      <c r="BR2338">
        <v>1840.2</v>
      </c>
      <c r="BS2338">
        <v>83.05</v>
      </c>
      <c r="BT2338">
        <v>20.2</v>
      </c>
      <c r="BU2338">
        <v>1509.66</v>
      </c>
      <c r="BV2338">
        <v>869.41</v>
      </c>
      <c r="BW2338">
        <v>262.5</v>
      </c>
      <c r="BX2338">
        <v>22</v>
      </c>
      <c r="BY2338">
        <v>1523.47</v>
      </c>
      <c r="BZ2338">
        <v>1378.46</v>
      </c>
      <c r="CA2338">
        <v>39.159999999999997</v>
      </c>
      <c r="CB2338">
        <v>1.4</v>
      </c>
      <c r="CC2338">
        <v>41.77</v>
      </c>
      <c r="CD2338">
        <v>30.76</v>
      </c>
      <c r="CE2338">
        <v>27.21</v>
      </c>
      <c r="CF2338">
        <v>20.63</v>
      </c>
      <c r="CG2338">
        <v>135.96</v>
      </c>
      <c r="CH2338">
        <v>-120.62</v>
      </c>
      <c r="CI2338">
        <v>-62.71</v>
      </c>
      <c r="CJ2338">
        <v>184353</v>
      </c>
      <c r="CK2338">
        <v>20399</v>
      </c>
      <c r="CL2338" t="s">
        <v>252</v>
      </c>
      <c r="CM2338">
        <v>50.24</v>
      </c>
      <c r="CN2338">
        <v>32</v>
      </c>
      <c r="CO2338">
        <v>1.2</v>
      </c>
      <c r="CP2338">
        <v>-2.58</v>
      </c>
      <c r="CQ2338">
        <v>0.2</v>
      </c>
      <c r="CR2338">
        <v>3.87</v>
      </c>
      <c r="CS2338" t="s">
        <v>2993</v>
      </c>
      <c r="CT2338">
        <v>2.91</v>
      </c>
      <c r="CU2338">
        <v>2.91</v>
      </c>
      <c r="CV2338">
        <v>0.25</v>
      </c>
      <c r="CW2338">
        <v>1.53</v>
      </c>
      <c r="CX2338">
        <v>-1.35</v>
      </c>
      <c r="CY2338">
        <v>14.13</v>
      </c>
      <c r="CZ2338" t="s">
        <v>2280</v>
      </c>
      <c r="DA2338">
        <v>9.52</v>
      </c>
      <c r="DB2338">
        <v>2.57</v>
      </c>
      <c r="DC2338">
        <v>1.79</v>
      </c>
      <c r="DD2338">
        <v>42.02</v>
      </c>
      <c r="DE2338">
        <v>37820</v>
      </c>
      <c r="DF2338">
        <v>600170</v>
      </c>
      <c r="DG2338" t="s">
        <v>116</v>
      </c>
      <c r="DH2338" t="s">
        <v>116</v>
      </c>
      <c r="DI2338" t="s">
        <v>116</v>
      </c>
    </row>
    <row r="2339" spans="1:113" x14ac:dyDescent="0.4">
      <c r="A2339" t="str">
        <f>"600171"</f>
        <v>600171</v>
      </c>
      <c r="B2339" t="s">
        <v>10978</v>
      </c>
      <c r="C2339">
        <v>-3.02</v>
      </c>
      <c r="D2339">
        <v>16.05</v>
      </c>
      <c r="E2339">
        <v>-0.5</v>
      </c>
      <c r="F2339">
        <v>16.05</v>
      </c>
      <c r="G2339">
        <v>16.059999999999999</v>
      </c>
      <c r="H2339">
        <v>357503</v>
      </c>
      <c r="I2339">
        <v>5497</v>
      </c>
      <c r="J2339">
        <v>-0.73</v>
      </c>
      <c r="K2339">
        <v>5.31</v>
      </c>
      <c r="L2339">
        <v>16.52</v>
      </c>
      <c r="M2339">
        <v>16.72</v>
      </c>
      <c r="N2339">
        <v>16.03</v>
      </c>
      <c r="O2339">
        <v>16.55</v>
      </c>
      <c r="P2339">
        <v>49.53</v>
      </c>
      <c r="Q2339">
        <v>585437312</v>
      </c>
      <c r="R2339">
        <v>0.97</v>
      </c>
      <c r="S2339" t="s">
        <v>3507</v>
      </c>
      <c r="T2339" t="s">
        <v>1653</v>
      </c>
      <c r="U2339">
        <v>4.17</v>
      </c>
      <c r="V2339">
        <v>16.38</v>
      </c>
      <c r="W2339">
        <v>206726</v>
      </c>
      <c r="X2339">
        <v>150777</v>
      </c>
      <c r="Y2339">
        <v>1.37</v>
      </c>
      <c r="Z2339">
        <v>1357</v>
      </c>
      <c r="AA2339">
        <v>345</v>
      </c>
      <c r="AB2339" t="s">
        <v>116</v>
      </c>
      <c r="AC2339">
        <v>901100</v>
      </c>
      <c r="AD2339">
        <v>0.01</v>
      </c>
      <c r="AE2339" t="s">
        <v>116</v>
      </c>
      <c r="AF2339" t="s">
        <v>116</v>
      </c>
      <c r="AG2339">
        <v>6.74</v>
      </c>
      <c r="AH2339" t="s">
        <v>10979</v>
      </c>
      <c r="AI2339" t="s">
        <v>10980</v>
      </c>
      <c r="AJ2339">
        <v>-2.94</v>
      </c>
      <c r="AK2339">
        <v>4023</v>
      </c>
      <c r="AL2339">
        <v>89</v>
      </c>
      <c r="AM2339">
        <v>1.2999999999999999E-3</v>
      </c>
      <c r="AN2339">
        <v>-2</v>
      </c>
      <c r="AO2339">
        <v>1.39</v>
      </c>
      <c r="AP2339">
        <v>13.75</v>
      </c>
      <c r="AQ2339">
        <v>5.25</v>
      </c>
      <c r="AR2339">
        <v>72.67</v>
      </c>
      <c r="AS2339">
        <v>7.21</v>
      </c>
      <c r="AT2339" t="s">
        <v>10981</v>
      </c>
      <c r="AU2339">
        <v>64.709999999999994</v>
      </c>
      <c r="AV2339">
        <v>110.71</v>
      </c>
      <c r="AW2339">
        <v>1.2</v>
      </c>
      <c r="BA2339">
        <v>-0.18</v>
      </c>
      <c r="BB2339">
        <v>1.03</v>
      </c>
      <c r="BC2339">
        <v>-3.14</v>
      </c>
      <c r="BD2339">
        <v>-1.05</v>
      </c>
      <c r="BE2339">
        <v>-2.85</v>
      </c>
      <c r="BF2339">
        <v>-4.01</v>
      </c>
      <c r="BG2339">
        <v>0.12</v>
      </c>
      <c r="BH2339">
        <v>-1.97</v>
      </c>
      <c r="BI2339">
        <v>20191026</v>
      </c>
      <c r="BJ2339">
        <v>19980924</v>
      </c>
      <c r="BK2339">
        <v>7.04</v>
      </c>
      <c r="BL2339" t="s">
        <v>116</v>
      </c>
      <c r="BM2339" t="s">
        <v>116</v>
      </c>
      <c r="BN2339">
        <v>32.51</v>
      </c>
      <c r="BO2339">
        <v>29.42</v>
      </c>
      <c r="BP2339">
        <v>0.31</v>
      </c>
      <c r="BQ2339">
        <v>8.56</v>
      </c>
      <c r="BR2339">
        <v>21.3</v>
      </c>
      <c r="BS2339">
        <v>0.56999999999999995</v>
      </c>
      <c r="BT2339">
        <v>0.63</v>
      </c>
      <c r="BU2339">
        <v>1.56</v>
      </c>
      <c r="BV2339">
        <v>1.62</v>
      </c>
      <c r="BW2339">
        <v>1.55</v>
      </c>
      <c r="BX2339">
        <v>11.8</v>
      </c>
      <c r="BY2339">
        <v>6.42</v>
      </c>
      <c r="BZ2339">
        <v>4.59</v>
      </c>
      <c r="CA2339">
        <v>1.93</v>
      </c>
      <c r="CB2339">
        <v>0.78</v>
      </c>
      <c r="CC2339">
        <v>1.92</v>
      </c>
      <c r="CD2339">
        <v>1.73</v>
      </c>
      <c r="CE2339">
        <v>1.71</v>
      </c>
      <c r="CF2339">
        <v>0.92</v>
      </c>
      <c r="CG2339">
        <v>8.92</v>
      </c>
      <c r="CH2339">
        <v>0.59</v>
      </c>
      <c r="CI2339">
        <v>1.91</v>
      </c>
      <c r="CJ2339">
        <v>89436</v>
      </c>
      <c r="CK2339">
        <v>5541</v>
      </c>
      <c r="CL2339" t="s">
        <v>10982</v>
      </c>
      <c r="CM2339">
        <v>73.62</v>
      </c>
      <c r="CN2339">
        <v>10.220000000000001</v>
      </c>
      <c r="CO2339">
        <v>3.84</v>
      </c>
      <c r="CP2339">
        <v>190.8</v>
      </c>
      <c r="CQ2339">
        <v>17.600000000000001</v>
      </c>
      <c r="CR2339">
        <v>0.28000000000000003</v>
      </c>
      <c r="CS2339" t="s">
        <v>3638</v>
      </c>
      <c r="CT2339">
        <v>4.18</v>
      </c>
      <c r="CU2339">
        <v>0</v>
      </c>
      <c r="CV2339">
        <v>1.68</v>
      </c>
      <c r="CW2339">
        <v>1.27</v>
      </c>
      <c r="CX2339">
        <v>0.08</v>
      </c>
      <c r="CY2339">
        <v>90.5</v>
      </c>
      <c r="CZ2339" t="s">
        <v>9745</v>
      </c>
      <c r="DA2339">
        <v>28.55</v>
      </c>
      <c r="DB2339">
        <v>30.06</v>
      </c>
      <c r="DC2339">
        <v>26.65</v>
      </c>
      <c r="DD2339">
        <v>0.66</v>
      </c>
      <c r="DE2339">
        <v>310</v>
      </c>
      <c r="DF2339">
        <v>600171</v>
      </c>
      <c r="DG2339" t="s">
        <v>116</v>
      </c>
      <c r="DH2339" t="s">
        <v>116</v>
      </c>
      <c r="DI2339" t="s">
        <v>116</v>
      </c>
    </row>
    <row r="2340" spans="1:113" x14ac:dyDescent="0.4">
      <c r="A2340" t="str">
        <f>"600172"</f>
        <v>600172</v>
      </c>
      <c r="B2340" t="s">
        <v>10983</v>
      </c>
      <c r="C2340">
        <v>-1.03</v>
      </c>
      <c r="D2340">
        <v>2.87</v>
      </c>
      <c r="E2340">
        <v>-0.03</v>
      </c>
      <c r="F2340">
        <v>2.87</v>
      </c>
      <c r="G2340">
        <v>2.88</v>
      </c>
      <c r="H2340">
        <v>115019</v>
      </c>
      <c r="I2340">
        <v>421</v>
      </c>
      <c r="J2340">
        <v>-0.34</v>
      </c>
      <c r="K2340">
        <v>0.97</v>
      </c>
      <c r="L2340">
        <v>2.89</v>
      </c>
      <c r="M2340">
        <v>2.94</v>
      </c>
      <c r="N2340">
        <v>2.87</v>
      </c>
      <c r="O2340">
        <v>2.9</v>
      </c>
      <c r="P2340">
        <v>53.16</v>
      </c>
      <c r="Q2340">
        <v>33439274</v>
      </c>
      <c r="R2340">
        <v>1.17</v>
      </c>
      <c r="S2340" t="s">
        <v>933</v>
      </c>
      <c r="T2340" t="s">
        <v>652</v>
      </c>
      <c r="U2340">
        <v>2.41</v>
      </c>
      <c r="V2340">
        <v>2.91</v>
      </c>
      <c r="W2340">
        <v>64930</v>
      </c>
      <c r="X2340">
        <v>50089</v>
      </c>
      <c r="Y2340">
        <v>1.3</v>
      </c>
      <c r="Z2340">
        <v>2733</v>
      </c>
      <c r="AA2340">
        <v>1489</v>
      </c>
      <c r="AB2340" t="s">
        <v>116</v>
      </c>
      <c r="AC2340">
        <v>15600</v>
      </c>
      <c r="AD2340">
        <v>0</v>
      </c>
      <c r="AE2340" t="s">
        <v>116</v>
      </c>
      <c r="AF2340" t="s">
        <v>116</v>
      </c>
      <c r="AG2340">
        <v>11.87</v>
      </c>
      <c r="AH2340" t="s">
        <v>10110</v>
      </c>
      <c r="AI2340" t="s">
        <v>5216</v>
      </c>
      <c r="AJ2340">
        <v>-0.96</v>
      </c>
      <c r="AK2340">
        <v>1179</v>
      </c>
      <c r="AL2340">
        <v>98</v>
      </c>
      <c r="AM2340">
        <v>8.0000000000000004E-4</v>
      </c>
      <c r="AN2340">
        <v>-1</v>
      </c>
      <c r="AO2340">
        <v>-1.71</v>
      </c>
      <c r="AP2340">
        <v>2.87</v>
      </c>
      <c r="AQ2340">
        <v>-6.82</v>
      </c>
      <c r="AR2340">
        <v>-5.9</v>
      </c>
      <c r="AS2340">
        <v>1.34</v>
      </c>
      <c r="AT2340" t="s">
        <v>10984</v>
      </c>
      <c r="AU2340" t="s">
        <v>116</v>
      </c>
      <c r="AV2340" t="s">
        <v>116</v>
      </c>
      <c r="AW2340">
        <v>1.32</v>
      </c>
      <c r="BA2340">
        <v>-0.34</v>
      </c>
      <c r="BB2340">
        <v>1.38</v>
      </c>
      <c r="BC2340">
        <v>-1.03</v>
      </c>
      <c r="BD2340">
        <v>0.25</v>
      </c>
      <c r="BE2340">
        <v>-0.69</v>
      </c>
      <c r="BF2340">
        <v>-2.38</v>
      </c>
      <c r="BG2340">
        <v>0</v>
      </c>
      <c r="BH2340">
        <v>-1.29</v>
      </c>
      <c r="BI2340">
        <v>20191217</v>
      </c>
      <c r="BJ2340">
        <v>19981126</v>
      </c>
      <c r="BK2340">
        <v>14.42</v>
      </c>
      <c r="BL2340" t="s">
        <v>116</v>
      </c>
      <c r="BM2340" t="s">
        <v>116</v>
      </c>
      <c r="BN2340">
        <v>108.48</v>
      </c>
      <c r="BO2340">
        <v>44.98</v>
      </c>
      <c r="BP2340">
        <v>0</v>
      </c>
      <c r="BQ2340">
        <v>58.53</v>
      </c>
      <c r="BR2340">
        <v>40.17</v>
      </c>
      <c r="BS2340">
        <v>42.63</v>
      </c>
      <c r="BT2340">
        <v>1.91</v>
      </c>
      <c r="BU2340">
        <v>51.08</v>
      </c>
      <c r="BV2340">
        <v>9.14</v>
      </c>
      <c r="BW2340">
        <v>13.19</v>
      </c>
      <c r="BX2340">
        <v>18.16</v>
      </c>
      <c r="BY2340">
        <v>22.73</v>
      </c>
      <c r="BZ2340">
        <v>17.05</v>
      </c>
      <c r="CA2340">
        <v>-0.44</v>
      </c>
      <c r="CB2340">
        <v>0.36</v>
      </c>
      <c r="CC2340">
        <v>0.38</v>
      </c>
      <c r="CD2340">
        <v>0.61</v>
      </c>
      <c r="CE2340">
        <v>0.57999999999999996</v>
      </c>
      <c r="CF2340">
        <v>0.37</v>
      </c>
      <c r="CG2340">
        <v>12.04</v>
      </c>
      <c r="CH2340">
        <v>1.7</v>
      </c>
      <c r="CI2340">
        <v>-0.41</v>
      </c>
      <c r="CJ2340">
        <v>70353</v>
      </c>
      <c r="CK2340">
        <v>12193</v>
      </c>
      <c r="CL2340" t="s">
        <v>7087</v>
      </c>
      <c r="CM2340">
        <v>-42.49</v>
      </c>
      <c r="CN2340">
        <v>-9.4600000000000009</v>
      </c>
      <c r="CO2340">
        <v>0.92</v>
      </c>
      <c r="CP2340">
        <v>24.4</v>
      </c>
      <c r="CQ2340">
        <v>1.82</v>
      </c>
      <c r="CR2340">
        <v>0</v>
      </c>
      <c r="CS2340" t="s">
        <v>778</v>
      </c>
      <c r="CT2340">
        <v>3.12</v>
      </c>
      <c r="CU2340">
        <v>0</v>
      </c>
      <c r="CV2340">
        <v>1.26</v>
      </c>
      <c r="CW2340">
        <v>0.83</v>
      </c>
      <c r="CX2340">
        <v>0.12</v>
      </c>
      <c r="CY2340">
        <v>41.47</v>
      </c>
      <c r="CZ2340" t="s">
        <v>10985</v>
      </c>
      <c r="DA2340">
        <v>24.98</v>
      </c>
      <c r="DB2340">
        <v>-1.92</v>
      </c>
      <c r="DC2340">
        <v>2.57</v>
      </c>
      <c r="DD2340">
        <v>0.57999999999999996</v>
      </c>
      <c r="DE2340">
        <v>3510</v>
      </c>
      <c r="DF2340">
        <v>600172</v>
      </c>
      <c r="DG2340" t="s">
        <v>116</v>
      </c>
      <c r="DH2340" t="s">
        <v>116</v>
      </c>
      <c r="DI2340" t="s">
        <v>116</v>
      </c>
    </row>
    <row r="2341" spans="1:113" x14ac:dyDescent="0.4">
      <c r="A2341" t="str">
        <f>"600173"</f>
        <v>600173</v>
      </c>
      <c r="B2341" t="s">
        <v>10986</v>
      </c>
      <c r="C2341">
        <v>-1.9</v>
      </c>
      <c r="D2341">
        <v>5.16</v>
      </c>
      <c r="E2341">
        <v>-0.1</v>
      </c>
      <c r="F2341">
        <v>5.15</v>
      </c>
      <c r="G2341">
        <v>5.16</v>
      </c>
      <c r="H2341">
        <v>47220</v>
      </c>
      <c r="I2341">
        <v>1078</v>
      </c>
      <c r="J2341">
        <v>0.19</v>
      </c>
      <c r="K2341">
        <v>0.67</v>
      </c>
      <c r="L2341">
        <v>5.26</v>
      </c>
      <c r="M2341">
        <v>5.27</v>
      </c>
      <c r="N2341">
        <v>5.13</v>
      </c>
      <c r="O2341">
        <v>5.26</v>
      </c>
      <c r="P2341">
        <v>8.3000000000000007</v>
      </c>
      <c r="Q2341">
        <v>24518964</v>
      </c>
      <c r="R2341">
        <v>1.0900000000000001</v>
      </c>
      <c r="S2341" t="s">
        <v>124</v>
      </c>
      <c r="T2341" t="s">
        <v>590</v>
      </c>
      <c r="U2341">
        <v>2.66</v>
      </c>
      <c r="V2341">
        <v>5.19</v>
      </c>
      <c r="W2341">
        <v>31815</v>
      </c>
      <c r="X2341">
        <v>15405</v>
      </c>
      <c r="Y2341">
        <v>2.0699999999999998</v>
      </c>
      <c r="Z2341">
        <v>649</v>
      </c>
      <c r="AA2341">
        <v>1246</v>
      </c>
      <c r="AB2341" t="s">
        <v>116</v>
      </c>
      <c r="AC2341">
        <v>129400</v>
      </c>
      <c r="AD2341">
        <v>0.01</v>
      </c>
      <c r="AE2341" t="s">
        <v>116</v>
      </c>
      <c r="AF2341" t="s">
        <v>116</v>
      </c>
      <c r="AG2341">
        <v>7</v>
      </c>
      <c r="AH2341" t="s">
        <v>3445</v>
      </c>
      <c r="AI2341" t="s">
        <v>4956</v>
      </c>
      <c r="AJ2341">
        <v>-1.82</v>
      </c>
      <c r="AK2341">
        <v>968</v>
      </c>
      <c r="AL2341">
        <v>49</v>
      </c>
      <c r="AM2341">
        <v>6.9999999999999999E-4</v>
      </c>
      <c r="AN2341">
        <v>-1</v>
      </c>
      <c r="AO2341">
        <v>3.61</v>
      </c>
      <c r="AP2341">
        <v>5.09</v>
      </c>
      <c r="AQ2341">
        <v>-2.09</v>
      </c>
      <c r="AR2341">
        <v>40.6</v>
      </c>
      <c r="AS2341">
        <v>1.44</v>
      </c>
      <c r="AT2341" t="s">
        <v>10987</v>
      </c>
      <c r="AU2341">
        <v>6.13</v>
      </c>
      <c r="AV2341">
        <v>6.27</v>
      </c>
      <c r="AW2341">
        <v>0.77</v>
      </c>
      <c r="BA2341">
        <v>0</v>
      </c>
      <c r="BB2341">
        <v>0.19</v>
      </c>
      <c r="BC2341">
        <v>-2.4700000000000002</v>
      </c>
      <c r="BD2341">
        <v>-1.28</v>
      </c>
      <c r="BE2341">
        <v>-1.9</v>
      </c>
      <c r="BF2341">
        <v>-2.09</v>
      </c>
      <c r="BG2341">
        <v>0.57999999999999996</v>
      </c>
      <c r="BH2341">
        <v>-0.62</v>
      </c>
      <c r="BI2341">
        <v>20191029</v>
      </c>
      <c r="BJ2341">
        <v>19990415</v>
      </c>
      <c r="BK2341">
        <v>7.01</v>
      </c>
      <c r="BL2341" t="s">
        <v>116</v>
      </c>
      <c r="BM2341" t="s">
        <v>116</v>
      </c>
      <c r="BN2341">
        <v>75.59</v>
      </c>
      <c r="BO2341">
        <v>25.79</v>
      </c>
      <c r="BP2341">
        <v>0.01</v>
      </c>
      <c r="BQ2341">
        <v>65.86</v>
      </c>
      <c r="BR2341">
        <v>64.959999999999994</v>
      </c>
      <c r="BS2341">
        <v>7.0000000000000007E-2</v>
      </c>
      <c r="BT2341">
        <v>0.03</v>
      </c>
      <c r="BU2341">
        <v>49.64</v>
      </c>
      <c r="BV2341">
        <v>32.71</v>
      </c>
      <c r="BW2341">
        <v>0.17</v>
      </c>
      <c r="BX2341">
        <v>0.2</v>
      </c>
      <c r="BY2341">
        <v>12.56</v>
      </c>
      <c r="BZ2341">
        <v>6.67</v>
      </c>
      <c r="CA2341">
        <v>4.13</v>
      </c>
      <c r="CB2341">
        <v>0.82</v>
      </c>
      <c r="CC2341">
        <v>4.1399999999999997</v>
      </c>
      <c r="CD2341">
        <v>3.27</v>
      </c>
      <c r="CE2341">
        <v>3.27</v>
      </c>
      <c r="CF2341">
        <v>3.26</v>
      </c>
      <c r="CG2341">
        <v>17.03</v>
      </c>
      <c r="CH2341">
        <v>17.88</v>
      </c>
      <c r="CI2341">
        <v>13.21</v>
      </c>
      <c r="CJ2341">
        <v>26100</v>
      </c>
      <c r="CK2341">
        <v>12545</v>
      </c>
      <c r="CL2341" t="s">
        <v>10988</v>
      </c>
      <c r="CM2341">
        <v>4.12</v>
      </c>
      <c r="CN2341">
        <v>-37.22</v>
      </c>
      <c r="CO2341">
        <v>1.4</v>
      </c>
      <c r="CP2341">
        <v>2.02</v>
      </c>
      <c r="CQ2341">
        <v>2.88</v>
      </c>
      <c r="CR2341">
        <v>1.94</v>
      </c>
      <c r="CS2341" t="s">
        <v>672</v>
      </c>
      <c r="CT2341">
        <v>3.68</v>
      </c>
      <c r="CU2341">
        <v>0</v>
      </c>
      <c r="CV2341">
        <v>0.03</v>
      </c>
      <c r="CW2341">
        <v>2.4300000000000002</v>
      </c>
      <c r="CX2341">
        <v>2.5499999999999998</v>
      </c>
      <c r="CY2341">
        <v>34.119999999999997</v>
      </c>
      <c r="CZ2341" t="s">
        <v>10989</v>
      </c>
      <c r="DA2341">
        <v>46.88</v>
      </c>
      <c r="DB2341">
        <v>32.89</v>
      </c>
      <c r="DC2341">
        <v>26.02</v>
      </c>
      <c r="DD2341">
        <v>0</v>
      </c>
      <c r="DE2341">
        <v>557</v>
      </c>
      <c r="DF2341">
        <v>600173</v>
      </c>
      <c r="DG2341" t="s">
        <v>116</v>
      </c>
      <c r="DH2341" t="s">
        <v>116</v>
      </c>
      <c r="DI2341" t="s">
        <v>116</v>
      </c>
    </row>
    <row r="2342" spans="1:113" x14ac:dyDescent="0.4">
      <c r="A2342" t="str">
        <f>"600175"</f>
        <v>600175</v>
      </c>
      <c r="B2342" t="s">
        <v>10990</v>
      </c>
      <c r="C2342">
        <v>1.0900000000000001</v>
      </c>
      <c r="D2342">
        <v>1.85</v>
      </c>
      <c r="E2342">
        <v>0.02</v>
      </c>
      <c r="F2342">
        <v>1.84</v>
      </c>
      <c r="G2342">
        <v>1.85</v>
      </c>
      <c r="H2342">
        <v>570843</v>
      </c>
      <c r="I2342">
        <v>2888</v>
      </c>
      <c r="J2342">
        <v>0.54</v>
      </c>
      <c r="K2342">
        <v>1.6</v>
      </c>
      <c r="L2342">
        <v>1.83</v>
      </c>
      <c r="M2342">
        <v>1.89</v>
      </c>
      <c r="N2342">
        <v>1.81</v>
      </c>
      <c r="O2342">
        <v>1.83</v>
      </c>
      <c r="P2342" t="s">
        <v>116</v>
      </c>
      <c r="Q2342">
        <v>105698824</v>
      </c>
      <c r="R2342">
        <v>1.88</v>
      </c>
      <c r="S2342" t="s">
        <v>173</v>
      </c>
      <c r="T2342" t="s">
        <v>590</v>
      </c>
      <c r="U2342">
        <v>4.37</v>
      </c>
      <c r="V2342">
        <v>1.85</v>
      </c>
      <c r="W2342">
        <v>250266</v>
      </c>
      <c r="X2342">
        <v>320577</v>
      </c>
      <c r="Y2342">
        <v>0.78</v>
      </c>
      <c r="Z2342">
        <v>15119</v>
      </c>
      <c r="AA2342">
        <v>20955</v>
      </c>
      <c r="AB2342" t="s">
        <v>116</v>
      </c>
      <c r="AC2342">
        <v>351400</v>
      </c>
      <c r="AD2342">
        <v>0.01</v>
      </c>
      <c r="AE2342" t="s">
        <v>116</v>
      </c>
      <c r="AF2342" t="s">
        <v>116</v>
      </c>
      <c r="AG2342">
        <v>35.76</v>
      </c>
      <c r="AH2342" t="s">
        <v>10991</v>
      </c>
      <c r="AI2342" t="s">
        <v>10991</v>
      </c>
      <c r="AJ2342">
        <v>1.17</v>
      </c>
      <c r="AK2342">
        <v>2302</v>
      </c>
      <c r="AL2342">
        <v>248</v>
      </c>
      <c r="AM2342">
        <v>6.9999999999999999E-4</v>
      </c>
      <c r="AN2342">
        <v>2</v>
      </c>
      <c r="AO2342">
        <v>0.54</v>
      </c>
      <c r="AP2342">
        <v>6.32</v>
      </c>
      <c r="AQ2342">
        <v>-6.57</v>
      </c>
      <c r="AR2342">
        <v>-15.91</v>
      </c>
      <c r="AS2342">
        <v>2.74</v>
      </c>
      <c r="AT2342" t="s">
        <v>8015</v>
      </c>
      <c r="AU2342" t="s">
        <v>116</v>
      </c>
      <c r="AV2342" t="s">
        <v>116</v>
      </c>
      <c r="AW2342">
        <v>1.59</v>
      </c>
      <c r="BA2342">
        <v>0</v>
      </c>
      <c r="BB2342">
        <v>3.28</v>
      </c>
      <c r="BC2342">
        <v>-1.0900000000000001</v>
      </c>
      <c r="BD2342">
        <v>1.18</v>
      </c>
      <c r="BE2342">
        <v>1.0900000000000001</v>
      </c>
      <c r="BF2342">
        <v>-2.12</v>
      </c>
      <c r="BG2342">
        <v>2.21</v>
      </c>
      <c r="BH2342">
        <v>-0.09</v>
      </c>
      <c r="BI2342">
        <v>20191030</v>
      </c>
      <c r="BJ2342">
        <v>19990408</v>
      </c>
      <c r="BK2342">
        <v>35.76</v>
      </c>
      <c r="BL2342" t="s">
        <v>116</v>
      </c>
      <c r="BM2342" t="s">
        <v>116</v>
      </c>
      <c r="BN2342">
        <v>148.19</v>
      </c>
      <c r="BO2342">
        <v>96.35</v>
      </c>
      <c r="BP2342">
        <v>3.24</v>
      </c>
      <c r="BQ2342">
        <v>32.799999999999997</v>
      </c>
      <c r="BR2342">
        <v>46.46</v>
      </c>
      <c r="BS2342">
        <v>2.06</v>
      </c>
      <c r="BT2342">
        <v>0.19</v>
      </c>
      <c r="BU2342">
        <v>39.35</v>
      </c>
      <c r="BV2342">
        <v>9.93</v>
      </c>
      <c r="BW2342">
        <v>3.88</v>
      </c>
      <c r="BX2342">
        <v>64.069999999999993</v>
      </c>
      <c r="BY2342">
        <v>27.52</v>
      </c>
      <c r="BZ2342">
        <v>24.57</v>
      </c>
      <c r="CA2342">
        <v>-2.98</v>
      </c>
      <c r="CB2342">
        <v>-0.35</v>
      </c>
      <c r="CC2342">
        <v>-2.92</v>
      </c>
      <c r="CD2342">
        <v>-2.81</v>
      </c>
      <c r="CE2342">
        <v>-2.1</v>
      </c>
      <c r="CF2342">
        <v>-1.53</v>
      </c>
      <c r="CG2342">
        <v>-6.81</v>
      </c>
      <c r="CH2342">
        <v>0.74</v>
      </c>
      <c r="CI2342">
        <v>-2.61</v>
      </c>
      <c r="CJ2342">
        <v>137210</v>
      </c>
      <c r="CK2342">
        <v>15198</v>
      </c>
      <c r="CL2342" t="s">
        <v>2649</v>
      </c>
      <c r="CM2342">
        <v>-244.17</v>
      </c>
      <c r="CN2342">
        <v>-42.16</v>
      </c>
      <c r="CO2342">
        <v>0.69</v>
      </c>
      <c r="CP2342">
        <v>89.12</v>
      </c>
      <c r="CQ2342">
        <v>2.4</v>
      </c>
      <c r="CR2342">
        <v>0</v>
      </c>
      <c r="CS2342" t="s">
        <v>1402</v>
      </c>
      <c r="CT2342">
        <v>2.69</v>
      </c>
      <c r="CU2342">
        <v>0</v>
      </c>
      <c r="CV2342">
        <v>1.79</v>
      </c>
      <c r="CW2342">
        <v>-0.19</v>
      </c>
      <c r="CX2342">
        <v>0.02</v>
      </c>
      <c r="CY2342">
        <v>65.02</v>
      </c>
      <c r="CZ2342" t="s">
        <v>10992</v>
      </c>
      <c r="DA2342">
        <v>10.73</v>
      </c>
      <c r="DB2342">
        <v>-10.84</v>
      </c>
      <c r="DC2342">
        <v>-7.62</v>
      </c>
      <c r="DD2342">
        <v>0.56000000000000005</v>
      </c>
      <c r="DE2342">
        <v>1618</v>
      </c>
      <c r="DF2342">
        <v>600175</v>
      </c>
      <c r="DG2342" t="s">
        <v>116</v>
      </c>
      <c r="DH2342" t="s">
        <v>116</v>
      </c>
      <c r="DI2342" t="s">
        <v>116</v>
      </c>
    </row>
    <row r="2343" spans="1:113" x14ac:dyDescent="0.4">
      <c r="A2343" t="str">
        <f>"600176"</f>
        <v>600176</v>
      </c>
      <c r="B2343" t="s">
        <v>10993</v>
      </c>
      <c r="C2343">
        <v>1.1399999999999999</v>
      </c>
      <c r="D2343">
        <v>10.66</v>
      </c>
      <c r="E2343">
        <v>0.12</v>
      </c>
      <c r="F2343">
        <v>10.65</v>
      </c>
      <c r="G2343">
        <v>10.66</v>
      </c>
      <c r="H2343">
        <v>391553</v>
      </c>
      <c r="I2343">
        <v>1843</v>
      </c>
      <c r="J2343">
        <v>0.09</v>
      </c>
      <c r="K2343">
        <v>1.1200000000000001</v>
      </c>
      <c r="L2343">
        <v>10.54</v>
      </c>
      <c r="M2343">
        <v>10.84</v>
      </c>
      <c r="N2343">
        <v>10.44</v>
      </c>
      <c r="O2343">
        <v>10.54</v>
      </c>
      <c r="P2343">
        <v>18.079999999999998</v>
      </c>
      <c r="Q2343">
        <v>416835104</v>
      </c>
      <c r="R2343">
        <v>1.43</v>
      </c>
      <c r="S2343" t="s">
        <v>195</v>
      </c>
      <c r="T2343" t="s">
        <v>590</v>
      </c>
      <c r="U2343">
        <v>3.8</v>
      </c>
      <c r="V2343">
        <v>10.65</v>
      </c>
      <c r="W2343">
        <v>189231</v>
      </c>
      <c r="X2343">
        <v>202322</v>
      </c>
      <c r="Y2343">
        <v>0.94</v>
      </c>
      <c r="Z2343">
        <v>10</v>
      </c>
      <c r="AA2343">
        <v>770</v>
      </c>
      <c r="AB2343" t="s">
        <v>116</v>
      </c>
      <c r="AC2343">
        <v>429100</v>
      </c>
      <c r="AD2343">
        <v>0</v>
      </c>
      <c r="AE2343" t="s">
        <v>116</v>
      </c>
      <c r="AF2343" t="s">
        <v>116</v>
      </c>
      <c r="AG2343">
        <v>35.020000000000003</v>
      </c>
      <c r="AH2343" t="s">
        <v>10994</v>
      </c>
      <c r="AI2343" t="s">
        <v>10994</v>
      </c>
      <c r="AJ2343">
        <v>1.22</v>
      </c>
      <c r="AK2343">
        <v>4213</v>
      </c>
      <c r="AL2343">
        <v>93</v>
      </c>
      <c r="AM2343">
        <v>2.9999999999999997E-4</v>
      </c>
      <c r="AN2343">
        <v>2</v>
      </c>
      <c r="AO2343">
        <v>3</v>
      </c>
      <c r="AP2343">
        <v>18.05</v>
      </c>
      <c r="AQ2343">
        <v>31.12</v>
      </c>
      <c r="AR2343">
        <v>12.86</v>
      </c>
      <c r="AS2343">
        <v>1.95</v>
      </c>
      <c r="AT2343" t="s">
        <v>10995</v>
      </c>
      <c r="AU2343">
        <v>18.57</v>
      </c>
      <c r="AV2343">
        <v>15.73</v>
      </c>
      <c r="AW2343">
        <v>1.25</v>
      </c>
      <c r="BA2343">
        <v>0</v>
      </c>
      <c r="BB2343">
        <v>2.85</v>
      </c>
      <c r="BC2343">
        <v>-0.95</v>
      </c>
      <c r="BD2343">
        <v>1</v>
      </c>
      <c r="BE2343">
        <v>1.1399999999999999</v>
      </c>
      <c r="BF2343">
        <v>-1.66</v>
      </c>
      <c r="BG2343">
        <v>2.11</v>
      </c>
      <c r="BH2343">
        <v>0.14000000000000001</v>
      </c>
      <c r="BI2343">
        <v>20191023</v>
      </c>
      <c r="BJ2343">
        <v>19990422</v>
      </c>
      <c r="BK2343">
        <v>35.020000000000003</v>
      </c>
      <c r="BL2343" t="s">
        <v>116</v>
      </c>
      <c r="BM2343" t="s">
        <v>116</v>
      </c>
      <c r="BN2343">
        <v>338.05</v>
      </c>
      <c r="BO2343">
        <v>151.1</v>
      </c>
      <c r="BP2343">
        <v>4.5999999999999996</v>
      </c>
      <c r="BQ2343">
        <v>53.94</v>
      </c>
      <c r="BR2343">
        <v>92.74</v>
      </c>
      <c r="BS2343">
        <v>182.35</v>
      </c>
      <c r="BT2343">
        <v>7.3</v>
      </c>
      <c r="BU2343">
        <v>133</v>
      </c>
      <c r="BV2343">
        <v>20.81</v>
      </c>
      <c r="BW2343">
        <v>19.100000000000001</v>
      </c>
      <c r="BX2343">
        <v>34.380000000000003</v>
      </c>
      <c r="BY2343">
        <v>77.38</v>
      </c>
      <c r="BZ2343">
        <v>46.5</v>
      </c>
      <c r="CA2343">
        <v>18.61</v>
      </c>
      <c r="CB2343">
        <v>0.42</v>
      </c>
      <c r="CC2343">
        <v>18.71</v>
      </c>
      <c r="CD2343">
        <v>15.51</v>
      </c>
      <c r="CE2343">
        <v>15.49</v>
      </c>
      <c r="CF2343">
        <v>14.55</v>
      </c>
      <c r="CG2343">
        <v>75.48</v>
      </c>
      <c r="CH2343">
        <v>16.18</v>
      </c>
      <c r="CI2343">
        <v>3.3</v>
      </c>
      <c r="CJ2343">
        <v>89233</v>
      </c>
      <c r="CK2343">
        <v>22542</v>
      </c>
      <c r="CL2343" t="s">
        <v>10996</v>
      </c>
      <c r="CM2343">
        <v>-19.02</v>
      </c>
      <c r="CN2343">
        <v>1.43</v>
      </c>
      <c r="CO2343">
        <v>2.4700000000000002</v>
      </c>
      <c r="CP2343">
        <v>23.08</v>
      </c>
      <c r="CQ2343">
        <v>4.82</v>
      </c>
      <c r="CR2343">
        <v>2.11</v>
      </c>
      <c r="CS2343" t="s">
        <v>10997</v>
      </c>
      <c r="CT2343">
        <v>4.3099999999999996</v>
      </c>
      <c r="CU2343">
        <v>0</v>
      </c>
      <c r="CV2343">
        <v>0.98</v>
      </c>
      <c r="CW2343">
        <v>2.16</v>
      </c>
      <c r="CX2343">
        <v>0.46</v>
      </c>
      <c r="CY2343">
        <v>44.7</v>
      </c>
      <c r="CZ2343" t="s">
        <v>10998</v>
      </c>
      <c r="DA2343">
        <v>39.909999999999997</v>
      </c>
      <c r="DB2343">
        <v>24.04</v>
      </c>
      <c r="DC2343">
        <v>20.010000000000002</v>
      </c>
      <c r="DD2343">
        <v>2.27</v>
      </c>
      <c r="DE2343">
        <v>11229</v>
      </c>
      <c r="DF2343">
        <v>600176</v>
      </c>
      <c r="DG2343" t="s">
        <v>116</v>
      </c>
      <c r="DH2343" t="s">
        <v>116</v>
      </c>
      <c r="DI2343" t="s">
        <v>116</v>
      </c>
    </row>
    <row r="2344" spans="1:113" x14ac:dyDescent="0.4">
      <c r="A2344" t="str">
        <f>"600177"</f>
        <v>600177</v>
      </c>
      <c r="B2344" t="s">
        <v>10999</v>
      </c>
      <c r="C2344">
        <v>0</v>
      </c>
      <c r="D2344">
        <v>6.86</v>
      </c>
      <c r="E2344">
        <v>0</v>
      </c>
      <c r="F2344">
        <v>6.86</v>
      </c>
      <c r="G2344">
        <v>6.87</v>
      </c>
      <c r="H2344">
        <v>107741</v>
      </c>
      <c r="I2344">
        <v>619</v>
      </c>
      <c r="J2344">
        <v>0</v>
      </c>
      <c r="K2344">
        <v>0.21</v>
      </c>
      <c r="L2344">
        <v>6.86</v>
      </c>
      <c r="M2344">
        <v>6.93</v>
      </c>
      <c r="N2344">
        <v>6.84</v>
      </c>
      <c r="O2344">
        <v>6.86</v>
      </c>
      <c r="P2344">
        <v>8.3800000000000008</v>
      </c>
      <c r="Q2344">
        <v>74183296</v>
      </c>
      <c r="R2344">
        <v>1.1200000000000001</v>
      </c>
      <c r="S2344" t="s">
        <v>3070</v>
      </c>
      <c r="T2344" t="s">
        <v>590</v>
      </c>
      <c r="U2344">
        <v>1.31</v>
      </c>
      <c r="V2344">
        <v>6.89</v>
      </c>
      <c r="W2344">
        <v>45271</v>
      </c>
      <c r="X2344">
        <v>62470</v>
      </c>
      <c r="Y2344">
        <v>0.72</v>
      </c>
      <c r="Z2344">
        <v>2771</v>
      </c>
      <c r="AA2344">
        <v>1030</v>
      </c>
      <c r="AB2344" t="s">
        <v>116</v>
      </c>
      <c r="AC2344">
        <v>30900</v>
      </c>
      <c r="AD2344">
        <v>0</v>
      </c>
      <c r="AE2344" t="s">
        <v>116</v>
      </c>
      <c r="AF2344" t="s">
        <v>116</v>
      </c>
      <c r="AG2344">
        <v>50.14</v>
      </c>
      <c r="AH2344" t="s">
        <v>11000</v>
      </c>
      <c r="AI2344" t="s">
        <v>11000</v>
      </c>
      <c r="AJ2344">
        <v>0.08</v>
      </c>
      <c r="AK2344">
        <v>2755</v>
      </c>
      <c r="AL2344">
        <v>39</v>
      </c>
      <c r="AM2344">
        <v>1E-4</v>
      </c>
      <c r="AN2344">
        <v>0</v>
      </c>
      <c r="AO2344">
        <v>0.28999999999999998</v>
      </c>
      <c r="AP2344">
        <v>2.39</v>
      </c>
      <c r="AQ2344">
        <v>7.02</v>
      </c>
      <c r="AR2344">
        <v>43.56</v>
      </c>
      <c r="AS2344">
        <v>0.44</v>
      </c>
      <c r="AT2344" t="s">
        <v>11001</v>
      </c>
      <c r="AU2344">
        <v>7.79</v>
      </c>
      <c r="AV2344">
        <v>9.35</v>
      </c>
      <c r="AW2344">
        <v>0.62</v>
      </c>
      <c r="BA2344">
        <v>0</v>
      </c>
      <c r="BB2344">
        <v>1.02</v>
      </c>
      <c r="BC2344">
        <v>-0.28999999999999998</v>
      </c>
      <c r="BD2344">
        <v>0.37</v>
      </c>
      <c r="BE2344">
        <v>0</v>
      </c>
      <c r="BF2344">
        <v>-1.01</v>
      </c>
      <c r="BG2344">
        <v>0.28999999999999998</v>
      </c>
      <c r="BH2344">
        <v>-0.37</v>
      </c>
      <c r="BI2344">
        <v>20191031</v>
      </c>
      <c r="BJ2344">
        <v>19981119</v>
      </c>
      <c r="BK2344">
        <v>50.14</v>
      </c>
      <c r="BL2344" t="s">
        <v>116</v>
      </c>
      <c r="BM2344" t="s">
        <v>116</v>
      </c>
      <c r="BN2344">
        <v>790.28</v>
      </c>
      <c r="BO2344">
        <v>269.60000000000002</v>
      </c>
      <c r="BP2344">
        <v>2.38</v>
      </c>
      <c r="BQ2344">
        <v>65.58</v>
      </c>
      <c r="BR2344">
        <v>413.29</v>
      </c>
      <c r="BS2344">
        <v>65.03</v>
      </c>
      <c r="BT2344">
        <v>3.35</v>
      </c>
      <c r="BU2344">
        <v>384.76</v>
      </c>
      <c r="BV2344">
        <v>175.39</v>
      </c>
      <c r="BW2344">
        <v>2</v>
      </c>
      <c r="BX2344">
        <v>33.04</v>
      </c>
      <c r="BY2344">
        <v>68.680000000000007</v>
      </c>
      <c r="BZ2344">
        <v>27.73</v>
      </c>
      <c r="CA2344">
        <v>32.64</v>
      </c>
      <c r="CB2344">
        <v>23.41</v>
      </c>
      <c r="CC2344">
        <v>33.9</v>
      </c>
      <c r="CD2344">
        <v>30.75</v>
      </c>
      <c r="CE2344">
        <v>30.77</v>
      </c>
      <c r="CF2344">
        <v>28.57</v>
      </c>
      <c r="CG2344">
        <v>197.12</v>
      </c>
      <c r="CH2344">
        <v>16.989999999999998</v>
      </c>
      <c r="CI2344">
        <v>63.1</v>
      </c>
      <c r="CJ2344">
        <v>114598</v>
      </c>
      <c r="CK2344">
        <v>21434</v>
      </c>
      <c r="CL2344" t="s">
        <v>11002</v>
      </c>
      <c r="CM2344">
        <v>31.43</v>
      </c>
      <c r="CN2344">
        <v>45.14</v>
      </c>
      <c r="CO2344">
        <v>1.28</v>
      </c>
      <c r="CP2344">
        <v>20.25</v>
      </c>
      <c r="CQ2344">
        <v>5.01</v>
      </c>
      <c r="CR2344">
        <v>5.21</v>
      </c>
      <c r="CS2344" t="s">
        <v>306</v>
      </c>
      <c r="CT2344">
        <v>5.38</v>
      </c>
      <c r="CU2344">
        <v>0</v>
      </c>
      <c r="CV2344">
        <v>0.66</v>
      </c>
      <c r="CW2344">
        <v>3.93</v>
      </c>
      <c r="CX2344">
        <v>0.34</v>
      </c>
      <c r="CY2344">
        <v>34.11</v>
      </c>
      <c r="CZ2344" t="s">
        <v>11003</v>
      </c>
      <c r="DA2344">
        <v>59.62</v>
      </c>
      <c r="DB2344">
        <v>47.52</v>
      </c>
      <c r="DC2344">
        <v>44.8</v>
      </c>
      <c r="DD2344">
        <v>0.78</v>
      </c>
      <c r="DE2344">
        <v>21155</v>
      </c>
      <c r="DF2344">
        <v>600177</v>
      </c>
      <c r="DG2344" t="s">
        <v>116</v>
      </c>
      <c r="DH2344" t="s">
        <v>116</v>
      </c>
      <c r="DI2344" t="s">
        <v>116</v>
      </c>
    </row>
    <row r="2345" spans="1:113" x14ac:dyDescent="0.4">
      <c r="A2345" t="str">
        <f>"600178"</f>
        <v>600178</v>
      </c>
      <c r="B2345" t="s">
        <v>11004</v>
      </c>
      <c r="C2345">
        <v>-0.63</v>
      </c>
      <c r="D2345">
        <v>4.72</v>
      </c>
      <c r="E2345">
        <v>-0.03</v>
      </c>
      <c r="F2345">
        <v>4.71</v>
      </c>
      <c r="G2345">
        <v>4.72</v>
      </c>
      <c r="H2345">
        <v>20046</v>
      </c>
      <c r="I2345">
        <v>263</v>
      </c>
      <c r="J2345">
        <v>0.21</v>
      </c>
      <c r="K2345">
        <v>0.43</v>
      </c>
      <c r="L2345">
        <v>4.78</v>
      </c>
      <c r="M2345">
        <v>4.78</v>
      </c>
      <c r="N2345">
        <v>4.6900000000000004</v>
      </c>
      <c r="O2345">
        <v>4.75</v>
      </c>
      <c r="P2345">
        <v>202.17</v>
      </c>
      <c r="Q2345">
        <v>9526000</v>
      </c>
      <c r="R2345">
        <v>0.97</v>
      </c>
      <c r="S2345" t="s">
        <v>293</v>
      </c>
      <c r="T2345" t="s">
        <v>1287</v>
      </c>
      <c r="U2345">
        <v>1.89</v>
      </c>
      <c r="V2345">
        <v>4.75</v>
      </c>
      <c r="W2345">
        <v>11518</v>
      </c>
      <c r="X2345">
        <v>8528</v>
      </c>
      <c r="Y2345">
        <v>1.35</v>
      </c>
      <c r="Z2345">
        <v>151</v>
      </c>
      <c r="AA2345">
        <v>1</v>
      </c>
      <c r="AB2345" t="s">
        <v>116</v>
      </c>
      <c r="AC2345">
        <v>20100</v>
      </c>
      <c r="AD2345">
        <v>0</v>
      </c>
      <c r="AE2345" t="s">
        <v>116</v>
      </c>
      <c r="AF2345" t="s">
        <v>116</v>
      </c>
      <c r="AG2345">
        <v>4.62</v>
      </c>
      <c r="AH2345" t="s">
        <v>6538</v>
      </c>
      <c r="AI2345" t="s">
        <v>6538</v>
      </c>
      <c r="AJ2345">
        <v>-0.55000000000000004</v>
      </c>
      <c r="AK2345">
        <v>500</v>
      </c>
      <c r="AL2345">
        <v>40</v>
      </c>
      <c r="AM2345">
        <v>8.9999999999999998E-4</v>
      </c>
      <c r="AN2345">
        <v>-1</v>
      </c>
      <c r="AO2345">
        <v>0.22</v>
      </c>
      <c r="AP2345">
        <v>5.12</v>
      </c>
      <c r="AQ2345">
        <v>-3.08</v>
      </c>
      <c r="AR2345">
        <v>12.38</v>
      </c>
      <c r="AS2345">
        <v>0.89</v>
      </c>
      <c r="AT2345" t="s">
        <v>11005</v>
      </c>
      <c r="AU2345" t="s">
        <v>116</v>
      </c>
      <c r="AV2345">
        <v>391.59</v>
      </c>
      <c r="AW2345">
        <v>1.24</v>
      </c>
      <c r="BA2345">
        <v>0.63</v>
      </c>
      <c r="BB2345">
        <v>0.63</v>
      </c>
      <c r="BC2345">
        <v>-1.26</v>
      </c>
      <c r="BD2345">
        <v>0.04</v>
      </c>
      <c r="BE2345">
        <v>-1.26</v>
      </c>
      <c r="BF2345">
        <v>-1.26</v>
      </c>
      <c r="BG2345">
        <v>0.64</v>
      </c>
      <c r="BH2345">
        <v>-0.68</v>
      </c>
      <c r="BI2345">
        <v>20191026</v>
      </c>
      <c r="BJ2345">
        <v>19981014</v>
      </c>
      <c r="BK2345">
        <v>4.62</v>
      </c>
      <c r="BL2345" t="s">
        <v>116</v>
      </c>
      <c r="BM2345" t="s">
        <v>116</v>
      </c>
      <c r="BN2345">
        <v>37.06</v>
      </c>
      <c r="BO2345">
        <v>18.8</v>
      </c>
      <c r="BP2345">
        <v>0</v>
      </c>
      <c r="BQ2345">
        <v>49.26</v>
      </c>
      <c r="BR2345">
        <v>14.93</v>
      </c>
      <c r="BS2345">
        <v>5.45</v>
      </c>
      <c r="BT2345">
        <v>0.34</v>
      </c>
      <c r="BU2345">
        <v>17.510000000000002</v>
      </c>
      <c r="BV2345">
        <v>2.31</v>
      </c>
      <c r="BW2345">
        <v>3.08</v>
      </c>
      <c r="BX2345">
        <v>8.61</v>
      </c>
      <c r="BY2345">
        <v>12.68</v>
      </c>
      <c r="BZ2345">
        <v>11.12</v>
      </c>
      <c r="CA2345">
        <v>7.0000000000000007E-2</v>
      </c>
      <c r="CB2345">
        <v>0.04</v>
      </c>
      <c r="CC2345">
        <v>0.08</v>
      </c>
      <c r="CD2345">
        <v>0.08</v>
      </c>
      <c r="CE2345">
        <v>0.08</v>
      </c>
      <c r="CF2345">
        <v>-0.09</v>
      </c>
      <c r="CG2345">
        <v>3.07</v>
      </c>
      <c r="CH2345">
        <v>-0.01</v>
      </c>
      <c r="CI2345">
        <v>-0.47</v>
      </c>
      <c r="CJ2345">
        <v>38266</v>
      </c>
      <c r="CK2345">
        <v>5866</v>
      </c>
      <c r="CL2345" t="s">
        <v>887</v>
      </c>
      <c r="CM2345">
        <v>-87.76</v>
      </c>
      <c r="CN2345">
        <v>33.15</v>
      </c>
      <c r="CO2345">
        <v>1.1599999999999999</v>
      </c>
      <c r="CP2345">
        <v>-4162.25</v>
      </c>
      <c r="CQ2345">
        <v>1.72</v>
      </c>
      <c r="CR2345">
        <v>0</v>
      </c>
      <c r="CS2345" t="s">
        <v>4864</v>
      </c>
      <c r="CT2345">
        <v>4.07</v>
      </c>
      <c r="CU2345">
        <v>0</v>
      </c>
      <c r="CV2345">
        <v>1.86</v>
      </c>
      <c r="CW2345">
        <v>0.66</v>
      </c>
      <c r="CX2345">
        <v>0</v>
      </c>
      <c r="CY2345">
        <v>50.74</v>
      </c>
      <c r="CZ2345" t="s">
        <v>343</v>
      </c>
      <c r="DA2345">
        <v>12.3</v>
      </c>
      <c r="DB2345">
        <v>0.59</v>
      </c>
      <c r="DC2345">
        <v>0.64</v>
      </c>
      <c r="DD2345">
        <v>0.16</v>
      </c>
      <c r="DE2345">
        <v>2389</v>
      </c>
      <c r="DF2345">
        <v>600178</v>
      </c>
      <c r="DG2345" t="s">
        <v>116</v>
      </c>
      <c r="DH2345" t="s">
        <v>116</v>
      </c>
      <c r="DI2345" t="s">
        <v>116</v>
      </c>
    </row>
    <row r="2346" spans="1:113" x14ac:dyDescent="0.4">
      <c r="A2346" t="str">
        <f>"600179"</f>
        <v>600179</v>
      </c>
      <c r="B2346" t="s">
        <v>11006</v>
      </c>
      <c r="C2346">
        <v>-3</v>
      </c>
      <c r="D2346">
        <v>4.8499999999999996</v>
      </c>
      <c r="E2346">
        <v>-0.15</v>
      </c>
      <c r="F2346">
        <v>4.8499999999999996</v>
      </c>
      <c r="G2346">
        <v>4.8600000000000003</v>
      </c>
      <c r="H2346">
        <v>97986</v>
      </c>
      <c r="I2346">
        <v>1628</v>
      </c>
      <c r="J2346">
        <v>1.46</v>
      </c>
      <c r="K2346">
        <v>1.45</v>
      </c>
      <c r="L2346">
        <v>5.0199999999999996</v>
      </c>
      <c r="M2346">
        <v>5.0199999999999996</v>
      </c>
      <c r="N2346">
        <v>4.76</v>
      </c>
      <c r="O2346">
        <v>5</v>
      </c>
      <c r="P2346" t="s">
        <v>116</v>
      </c>
      <c r="Q2346">
        <v>47569924</v>
      </c>
      <c r="R2346">
        <v>2</v>
      </c>
      <c r="S2346" t="s">
        <v>3113</v>
      </c>
      <c r="T2346" t="s">
        <v>1287</v>
      </c>
      <c r="U2346">
        <v>5.2</v>
      </c>
      <c r="V2346">
        <v>4.8499999999999996</v>
      </c>
      <c r="W2346">
        <v>60185</v>
      </c>
      <c r="X2346">
        <v>37801</v>
      </c>
      <c r="Y2346">
        <v>1.59</v>
      </c>
      <c r="Z2346">
        <v>97</v>
      </c>
      <c r="AA2346">
        <v>990</v>
      </c>
      <c r="AB2346" t="s">
        <v>116</v>
      </c>
      <c r="AC2346">
        <v>254500</v>
      </c>
      <c r="AD2346">
        <v>0.01</v>
      </c>
      <c r="AE2346" t="s">
        <v>116</v>
      </c>
      <c r="AF2346" t="s">
        <v>116</v>
      </c>
      <c r="AG2346">
        <v>6.74</v>
      </c>
      <c r="AH2346" t="s">
        <v>11007</v>
      </c>
      <c r="AI2346" t="s">
        <v>11008</v>
      </c>
      <c r="AJ2346">
        <v>-2.92</v>
      </c>
      <c r="AK2346">
        <v>1052</v>
      </c>
      <c r="AL2346">
        <v>93</v>
      </c>
      <c r="AM2346">
        <v>1.4E-3</v>
      </c>
      <c r="AN2346">
        <v>-5</v>
      </c>
      <c r="AO2346">
        <v>-4.3499999999999996</v>
      </c>
      <c r="AP2346">
        <v>-11.82</v>
      </c>
      <c r="AQ2346">
        <v>9.48</v>
      </c>
      <c r="AR2346">
        <v>-27.07</v>
      </c>
      <c r="AS2346">
        <v>1.94</v>
      </c>
      <c r="AT2346" t="s">
        <v>8152</v>
      </c>
      <c r="AU2346" t="s">
        <v>116</v>
      </c>
      <c r="AV2346">
        <v>14.67</v>
      </c>
      <c r="AW2346">
        <v>0</v>
      </c>
      <c r="BA2346">
        <v>0.4</v>
      </c>
      <c r="BB2346">
        <v>0.4</v>
      </c>
      <c r="BC2346">
        <v>-4.8</v>
      </c>
      <c r="BD2346">
        <v>-2.91</v>
      </c>
      <c r="BE2346">
        <v>-3.39</v>
      </c>
      <c r="BF2346">
        <v>-3.39</v>
      </c>
      <c r="BG2346">
        <v>1.89</v>
      </c>
      <c r="BH2346">
        <v>-0.09</v>
      </c>
      <c r="BI2346">
        <v>20191031</v>
      </c>
      <c r="BJ2346">
        <v>19981104</v>
      </c>
      <c r="BK2346">
        <v>14.87</v>
      </c>
      <c r="BL2346" t="s">
        <v>116</v>
      </c>
      <c r="BM2346" t="s">
        <v>116</v>
      </c>
      <c r="BN2346">
        <v>107.05</v>
      </c>
      <c r="BO2346">
        <v>24.53</v>
      </c>
      <c r="BP2346">
        <v>0.12</v>
      </c>
      <c r="BQ2346">
        <v>76.97</v>
      </c>
      <c r="BR2346">
        <v>37.049999999999997</v>
      </c>
      <c r="BS2346">
        <v>58.38</v>
      </c>
      <c r="BT2346">
        <v>1.44</v>
      </c>
      <c r="BU2346">
        <v>46.23</v>
      </c>
      <c r="BV2346">
        <v>0.65</v>
      </c>
      <c r="BW2346">
        <v>12.96</v>
      </c>
      <c r="BX2346">
        <v>1.32</v>
      </c>
      <c r="BY2346">
        <v>40.6</v>
      </c>
      <c r="BZ2346">
        <v>47.16</v>
      </c>
      <c r="CA2346">
        <v>-9.17</v>
      </c>
      <c r="CB2346">
        <v>0</v>
      </c>
      <c r="CC2346">
        <v>-9.18</v>
      </c>
      <c r="CD2346">
        <v>-9.36</v>
      </c>
      <c r="CE2346">
        <v>-9.35</v>
      </c>
      <c r="CF2346">
        <v>-10.83</v>
      </c>
      <c r="CG2346">
        <v>9.74</v>
      </c>
      <c r="CH2346">
        <v>3.13</v>
      </c>
      <c r="CI2346">
        <v>-2.46</v>
      </c>
      <c r="CJ2346">
        <v>25225</v>
      </c>
      <c r="CK2346">
        <v>20030</v>
      </c>
      <c r="CL2346" t="s">
        <v>11009</v>
      </c>
      <c r="CM2346">
        <v>-282.86</v>
      </c>
      <c r="CN2346">
        <v>-44.78</v>
      </c>
      <c r="CO2346">
        <v>2.94</v>
      </c>
      <c r="CP2346">
        <v>23.05</v>
      </c>
      <c r="CQ2346">
        <v>1.78</v>
      </c>
      <c r="CR2346">
        <v>0</v>
      </c>
      <c r="CS2346" t="s">
        <v>11010</v>
      </c>
      <c r="CT2346">
        <v>1.65</v>
      </c>
      <c r="CU2346">
        <v>0</v>
      </c>
      <c r="CV2346">
        <v>0.09</v>
      </c>
      <c r="CW2346">
        <v>0.65</v>
      </c>
      <c r="CX2346">
        <v>0.21</v>
      </c>
      <c r="CY2346">
        <v>22.92</v>
      </c>
      <c r="CZ2346" t="s">
        <v>11011</v>
      </c>
      <c r="DA2346">
        <v>-16.170000000000002</v>
      </c>
      <c r="DB2346">
        <v>-22.6</v>
      </c>
      <c r="DC2346">
        <v>-23.04</v>
      </c>
      <c r="DD2346">
        <v>0.06</v>
      </c>
      <c r="DE2346">
        <v>1604</v>
      </c>
      <c r="DF2346">
        <v>600179</v>
      </c>
      <c r="DG2346" t="s">
        <v>116</v>
      </c>
      <c r="DH2346" t="s">
        <v>116</v>
      </c>
      <c r="DI2346" t="s">
        <v>116</v>
      </c>
    </row>
    <row r="2347" spans="1:113" x14ac:dyDescent="0.4">
      <c r="A2347" t="str">
        <f>"600180"</f>
        <v>600180</v>
      </c>
      <c r="B2347" t="s">
        <v>11012</v>
      </c>
      <c r="C2347">
        <v>1.62</v>
      </c>
      <c r="D2347">
        <v>6.9</v>
      </c>
      <c r="E2347">
        <v>0.11</v>
      </c>
      <c r="F2347">
        <v>6.89</v>
      </c>
      <c r="G2347">
        <v>6.9</v>
      </c>
      <c r="H2347">
        <v>77015</v>
      </c>
      <c r="I2347">
        <v>379</v>
      </c>
      <c r="J2347">
        <v>0.15</v>
      </c>
      <c r="K2347">
        <v>0.76</v>
      </c>
      <c r="L2347">
        <v>6.79</v>
      </c>
      <c r="M2347">
        <v>7.06</v>
      </c>
      <c r="N2347">
        <v>6.79</v>
      </c>
      <c r="O2347">
        <v>6.79</v>
      </c>
      <c r="P2347">
        <v>14.52</v>
      </c>
      <c r="Q2347">
        <v>53429132</v>
      </c>
      <c r="R2347">
        <v>2.4500000000000002</v>
      </c>
      <c r="S2347" t="s">
        <v>3113</v>
      </c>
      <c r="T2347" t="s">
        <v>645</v>
      </c>
      <c r="U2347">
        <v>3.98</v>
      </c>
      <c r="V2347">
        <v>6.94</v>
      </c>
      <c r="W2347">
        <v>35300</v>
      </c>
      <c r="X2347">
        <v>41715</v>
      </c>
      <c r="Y2347">
        <v>0.85</v>
      </c>
      <c r="Z2347">
        <v>268</v>
      </c>
      <c r="AA2347">
        <v>630</v>
      </c>
      <c r="AB2347" t="s">
        <v>116</v>
      </c>
      <c r="AC2347">
        <v>37300</v>
      </c>
      <c r="AD2347">
        <v>0</v>
      </c>
      <c r="AE2347" t="s">
        <v>116</v>
      </c>
      <c r="AF2347" t="s">
        <v>116</v>
      </c>
      <c r="AG2347">
        <v>10.16</v>
      </c>
      <c r="AH2347" t="s">
        <v>5951</v>
      </c>
      <c r="AI2347" t="s">
        <v>5951</v>
      </c>
      <c r="AJ2347">
        <v>1.7</v>
      </c>
      <c r="AK2347">
        <v>1598</v>
      </c>
      <c r="AL2347">
        <v>48</v>
      </c>
      <c r="AM2347">
        <v>5.0000000000000001E-4</v>
      </c>
      <c r="AN2347">
        <v>2</v>
      </c>
      <c r="AO2347">
        <v>1.17</v>
      </c>
      <c r="AP2347">
        <v>3.6</v>
      </c>
      <c r="AQ2347">
        <v>-9.69</v>
      </c>
      <c r="AR2347">
        <v>-1.47</v>
      </c>
      <c r="AS2347">
        <v>3</v>
      </c>
      <c r="AT2347" t="s">
        <v>11013</v>
      </c>
      <c r="AU2347">
        <v>15.25</v>
      </c>
      <c r="AV2347">
        <v>14.75</v>
      </c>
      <c r="AW2347">
        <v>1.48</v>
      </c>
      <c r="BA2347">
        <v>0</v>
      </c>
      <c r="BB2347">
        <v>3.98</v>
      </c>
      <c r="BC2347">
        <v>0</v>
      </c>
      <c r="BD2347">
        <v>2.17</v>
      </c>
      <c r="BE2347">
        <v>1.62</v>
      </c>
      <c r="BF2347">
        <v>-2.27</v>
      </c>
      <c r="BG2347">
        <v>1.62</v>
      </c>
      <c r="BH2347">
        <v>-0.55000000000000004</v>
      </c>
      <c r="BI2347">
        <v>20191029</v>
      </c>
      <c r="BJ2347">
        <v>19980703</v>
      </c>
      <c r="BK2347">
        <v>10.16</v>
      </c>
      <c r="BL2347" t="s">
        <v>116</v>
      </c>
      <c r="BM2347" t="s">
        <v>116</v>
      </c>
      <c r="BN2347">
        <v>213.88</v>
      </c>
      <c r="BO2347">
        <v>60.47</v>
      </c>
      <c r="BP2347">
        <v>0.25</v>
      </c>
      <c r="BQ2347">
        <v>71.61</v>
      </c>
      <c r="BR2347">
        <v>164.84</v>
      </c>
      <c r="BS2347">
        <v>0.15</v>
      </c>
      <c r="BT2347">
        <v>0.16</v>
      </c>
      <c r="BU2347">
        <v>153.15</v>
      </c>
      <c r="BV2347">
        <v>14.4</v>
      </c>
      <c r="BW2347">
        <v>38.28</v>
      </c>
      <c r="BX2347">
        <v>14.79</v>
      </c>
      <c r="BY2347">
        <v>259.05</v>
      </c>
      <c r="BZ2347">
        <v>237.66</v>
      </c>
      <c r="CA2347">
        <v>4.28</v>
      </c>
      <c r="CB2347">
        <v>2.73</v>
      </c>
      <c r="CC2347">
        <v>4.12</v>
      </c>
      <c r="CD2347">
        <v>3.62</v>
      </c>
      <c r="CE2347">
        <v>3.62</v>
      </c>
      <c r="CF2347">
        <v>1.1000000000000001</v>
      </c>
      <c r="CG2347">
        <v>33.299999999999997</v>
      </c>
      <c r="CH2347">
        <v>52.63</v>
      </c>
      <c r="CI2347">
        <v>1.65</v>
      </c>
      <c r="CJ2347">
        <v>19691</v>
      </c>
      <c r="CK2347">
        <v>13029</v>
      </c>
      <c r="CL2347" t="s">
        <v>11014</v>
      </c>
      <c r="CM2347">
        <v>-4.1100000000000003</v>
      </c>
      <c r="CN2347">
        <v>-8.34</v>
      </c>
      <c r="CO2347">
        <v>1.1599999999999999</v>
      </c>
      <c r="CP2347">
        <v>1.33</v>
      </c>
      <c r="CQ2347">
        <v>0.27</v>
      </c>
      <c r="CR2347">
        <v>0.68</v>
      </c>
      <c r="CS2347" t="s">
        <v>5052</v>
      </c>
      <c r="CT2347">
        <v>5.95</v>
      </c>
      <c r="CU2347">
        <v>0</v>
      </c>
      <c r="CV2347">
        <v>1.46</v>
      </c>
      <c r="CW2347">
        <v>3.28</v>
      </c>
      <c r="CX2347">
        <v>5.18</v>
      </c>
      <c r="CY2347">
        <v>28.28</v>
      </c>
      <c r="CZ2347" t="s">
        <v>9938</v>
      </c>
      <c r="DA2347">
        <v>8.26</v>
      </c>
      <c r="DB2347">
        <v>1.65</v>
      </c>
      <c r="DC2347">
        <v>1.4</v>
      </c>
      <c r="DD2347">
        <v>0</v>
      </c>
      <c r="DE2347">
        <v>538</v>
      </c>
      <c r="DF2347">
        <v>600180</v>
      </c>
      <c r="DG2347" t="s">
        <v>116</v>
      </c>
      <c r="DH2347" t="s">
        <v>116</v>
      </c>
      <c r="DI2347" t="s">
        <v>116</v>
      </c>
    </row>
    <row r="2348" spans="1:113" x14ac:dyDescent="0.4">
      <c r="A2348" t="str">
        <f>"600182"</f>
        <v>600182</v>
      </c>
      <c r="B2348" t="s">
        <v>11015</v>
      </c>
      <c r="C2348">
        <v>-1.27</v>
      </c>
      <c r="D2348">
        <v>16.3</v>
      </c>
      <c r="E2348">
        <v>-0.21</v>
      </c>
      <c r="F2348">
        <v>16.29</v>
      </c>
      <c r="G2348">
        <v>16.3</v>
      </c>
      <c r="H2348">
        <v>11655</v>
      </c>
      <c r="I2348">
        <v>273</v>
      </c>
      <c r="J2348">
        <v>-0.11</v>
      </c>
      <c r="K2348">
        <v>0.69</v>
      </c>
      <c r="L2348">
        <v>16.5</v>
      </c>
      <c r="M2348">
        <v>16.59</v>
      </c>
      <c r="N2348">
        <v>16.3</v>
      </c>
      <c r="O2348">
        <v>16.510000000000002</v>
      </c>
      <c r="P2348">
        <v>55.2</v>
      </c>
      <c r="Q2348">
        <v>19176798</v>
      </c>
      <c r="R2348">
        <v>0.82</v>
      </c>
      <c r="S2348" t="s">
        <v>293</v>
      </c>
      <c r="T2348" t="s">
        <v>1287</v>
      </c>
      <c r="U2348">
        <v>1.76</v>
      </c>
      <c r="V2348">
        <v>16.45</v>
      </c>
      <c r="W2348">
        <v>7271</v>
      </c>
      <c r="X2348">
        <v>4384</v>
      </c>
      <c r="Y2348">
        <v>1.66</v>
      </c>
      <c r="Z2348">
        <v>10</v>
      </c>
      <c r="AA2348">
        <v>355</v>
      </c>
      <c r="AB2348" t="s">
        <v>116</v>
      </c>
      <c r="AC2348">
        <v>41300</v>
      </c>
      <c r="AD2348">
        <v>0</v>
      </c>
      <c r="AE2348" t="s">
        <v>116</v>
      </c>
      <c r="AF2348" t="s">
        <v>116</v>
      </c>
      <c r="AG2348">
        <v>1.7</v>
      </c>
      <c r="AH2348" t="s">
        <v>3290</v>
      </c>
      <c r="AI2348" t="s">
        <v>11016</v>
      </c>
      <c r="AJ2348">
        <v>-1.2</v>
      </c>
      <c r="AK2348">
        <v>648</v>
      </c>
      <c r="AL2348">
        <v>18</v>
      </c>
      <c r="AM2348">
        <v>1.1000000000000001E-3</v>
      </c>
      <c r="AN2348">
        <v>-1</v>
      </c>
      <c r="AO2348">
        <v>0.75</v>
      </c>
      <c r="AP2348">
        <v>6.33</v>
      </c>
      <c r="AQ2348">
        <v>-2.4500000000000002</v>
      </c>
      <c r="AR2348">
        <v>10.81</v>
      </c>
      <c r="AS2348">
        <v>0.69</v>
      </c>
      <c r="AT2348" t="s">
        <v>3290</v>
      </c>
      <c r="AU2348">
        <v>61.79</v>
      </c>
      <c r="AV2348">
        <v>62.38</v>
      </c>
      <c r="AW2348">
        <v>0.69</v>
      </c>
      <c r="BA2348">
        <v>-0.06</v>
      </c>
      <c r="BB2348">
        <v>0.48</v>
      </c>
      <c r="BC2348">
        <v>-1.27</v>
      </c>
      <c r="BD2348">
        <v>-0.34</v>
      </c>
      <c r="BE2348">
        <v>-1.21</v>
      </c>
      <c r="BF2348">
        <v>-1.75</v>
      </c>
      <c r="BG2348">
        <v>0</v>
      </c>
      <c r="BH2348">
        <v>-0.93</v>
      </c>
      <c r="BI2348">
        <v>20191031</v>
      </c>
      <c r="BJ2348">
        <v>19990507</v>
      </c>
      <c r="BK2348">
        <v>3.4</v>
      </c>
      <c r="BL2348" t="s">
        <v>116</v>
      </c>
      <c r="BM2348" t="s">
        <v>116</v>
      </c>
      <c r="BN2348">
        <v>29.78</v>
      </c>
      <c r="BO2348">
        <v>9.6199999999999992</v>
      </c>
      <c r="BP2348">
        <v>6.95</v>
      </c>
      <c r="BQ2348">
        <v>44.35</v>
      </c>
      <c r="BR2348">
        <v>19.09</v>
      </c>
      <c r="BS2348">
        <v>9.59</v>
      </c>
      <c r="BT2348">
        <v>0.2</v>
      </c>
      <c r="BU2348">
        <v>6.06</v>
      </c>
      <c r="BV2348">
        <v>4.0999999999999996</v>
      </c>
      <c r="BW2348">
        <v>12.23</v>
      </c>
      <c r="BX2348">
        <v>0.01</v>
      </c>
      <c r="BY2348">
        <v>22.95</v>
      </c>
      <c r="BZ2348">
        <v>18.63</v>
      </c>
      <c r="CA2348">
        <v>2.08</v>
      </c>
      <c r="CB2348">
        <v>0</v>
      </c>
      <c r="CC2348">
        <v>2.09</v>
      </c>
      <c r="CD2348">
        <v>1.55</v>
      </c>
      <c r="CE2348">
        <v>0.75</v>
      </c>
      <c r="CF2348">
        <v>0.74</v>
      </c>
      <c r="CG2348">
        <v>4.8899999999999997</v>
      </c>
      <c r="CH2348">
        <v>0.66</v>
      </c>
      <c r="CI2348">
        <v>0.16</v>
      </c>
      <c r="CJ2348">
        <v>30466</v>
      </c>
      <c r="CK2348">
        <v>5580</v>
      </c>
      <c r="CL2348" t="s">
        <v>7668</v>
      </c>
      <c r="CM2348">
        <v>1.1499999999999999</v>
      </c>
      <c r="CN2348">
        <v>-9.27</v>
      </c>
      <c r="CO2348">
        <v>5.76</v>
      </c>
      <c r="CP2348">
        <v>84.39</v>
      </c>
      <c r="CQ2348">
        <v>2.41</v>
      </c>
      <c r="CR2348">
        <v>0.49</v>
      </c>
      <c r="CS2348" t="s">
        <v>1528</v>
      </c>
      <c r="CT2348">
        <v>2.83</v>
      </c>
      <c r="CU2348">
        <v>0</v>
      </c>
      <c r="CV2348">
        <v>0</v>
      </c>
      <c r="CW2348">
        <v>1.44</v>
      </c>
      <c r="CX2348">
        <v>0.19</v>
      </c>
      <c r="CY2348">
        <v>32.32</v>
      </c>
      <c r="CZ2348" t="s">
        <v>9797</v>
      </c>
      <c r="DA2348">
        <v>18.829999999999998</v>
      </c>
      <c r="DB2348">
        <v>9.0500000000000007</v>
      </c>
      <c r="DC2348">
        <v>3.28</v>
      </c>
      <c r="DD2348">
        <v>0.06</v>
      </c>
      <c r="DE2348">
        <v>3359</v>
      </c>
      <c r="DF2348">
        <v>600182</v>
      </c>
      <c r="DG2348" t="s">
        <v>116</v>
      </c>
      <c r="DH2348" t="s">
        <v>116</v>
      </c>
      <c r="DI2348" t="s">
        <v>116</v>
      </c>
    </row>
    <row r="2349" spans="1:113" x14ac:dyDescent="0.4">
      <c r="A2349" t="str">
        <f>"600183"</f>
        <v>600183</v>
      </c>
      <c r="B2349" t="s">
        <v>11017</v>
      </c>
      <c r="C2349">
        <v>-1.38</v>
      </c>
      <c r="D2349">
        <v>20.77</v>
      </c>
      <c r="E2349">
        <v>-0.28999999999999998</v>
      </c>
      <c r="F2349">
        <v>20.76</v>
      </c>
      <c r="G2349">
        <v>20.77</v>
      </c>
      <c r="H2349">
        <v>490988</v>
      </c>
      <c r="I2349">
        <v>2953</v>
      </c>
      <c r="J2349">
        <v>0.05</v>
      </c>
      <c r="K2349">
        <v>2.16</v>
      </c>
      <c r="L2349">
        <v>21.26</v>
      </c>
      <c r="M2349">
        <v>21.49</v>
      </c>
      <c r="N2349">
        <v>20.66</v>
      </c>
      <c r="O2349">
        <v>21.06</v>
      </c>
      <c r="P2349">
        <v>34.020000000000003</v>
      </c>
      <c r="Q2349">
        <v>1030718656</v>
      </c>
      <c r="R2349">
        <v>1.1299999999999999</v>
      </c>
      <c r="S2349" t="s">
        <v>233</v>
      </c>
      <c r="T2349" t="s">
        <v>551</v>
      </c>
      <c r="U2349">
        <v>3.94</v>
      </c>
      <c r="V2349">
        <v>20.99</v>
      </c>
      <c r="W2349">
        <v>260170</v>
      </c>
      <c r="X2349">
        <v>230818</v>
      </c>
      <c r="Y2349">
        <v>1.1299999999999999</v>
      </c>
      <c r="Z2349">
        <v>422</v>
      </c>
      <c r="AA2349">
        <v>1476</v>
      </c>
      <c r="AB2349" t="s">
        <v>116</v>
      </c>
      <c r="AC2349">
        <v>9460700</v>
      </c>
      <c r="AD2349">
        <v>0.04</v>
      </c>
      <c r="AE2349" t="s">
        <v>116</v>
      </c>
      <c r="AF2349" t="s">
        <v>116</v>
      </c>
      <c r="AG2349">
        <v>22.76</v>
      </c>
      <c r="AH2349" t="s">
        <v>11018</v>
      </c>
      <c r="AI2349" t="s">
        <v>11018</v>
      </c>
      <c r="AJ2349">
        <v>-1.3</v>
      </c>
      <c r="AK2349">
        <v>4529</v>
      </c>
      <c r="AL2349">
        <v>108</v>
      </c>
      <c r="AM2349">
        <v>5.0000000000000001E-4</v>
      </c>
      <c r="AN2349">
        <v>-1</v>
      </c>
      <c r="AO2349">
        <v>-0.34</v>
      </c>
      <c r="AP2349">
        <v>-9.34</v>
      </c>
      <c r="AQ2349">
        <v>-25.05</v>
      </c>
      <c r="AR2349">
        <v>113.9</v>
      </c>
      <c r="AS2349">
        <v>4.5599999999999996</v>
      </c>
      <c r="AT2349" t="s">
        <v>11019</v>
      </c>
      <c r="AU2349">
        <v>38.35</v>
      </c>
      <c r="AV2349">
        <v>47.25</v>
      </c>
      <c r="AW2349">
        <v>2.09</v>
      </c>
      <c r="BA2349">
        <v>0.95</v>
      </c>
      <c r="BB2349">
        <v>2.04</v>
      </c>
      <c r="BC2349">
        <v>-1.9</v>
      </c>
      <c r="BD2349">
        <v>-0.32</v>
      </c>
      <c r="BE2349">
        <v>-2.2999999999999998</v>
      </c>
      <c r="BF2349">
        <v>-3.35</v>
      </c>
      <c r="BG2349">
        <v>0.53</v>
      </c>
      <c r="BH2349">
        <v>-1.06</v>
      </c>
      <c r="BI2349">
        <v>20191030</v>
      </c>
      <c r="BJ2349">
        <v>19981028</v>
      </c>
      <c r="BK2349">
        <v>22.76</v>
      </c>
      <c r="BL2349" t="s">
        <v>116</v>
      </c>
      <c r="BM2349" t="s">
        <v>116</v>
      </c>
      <c r="BN2349">
        <v>144.88</v>
      </c>
      <c r="BO2349">
        <v>83.18</v>
      </c>
      <c r="BP2349">
        <v>4.84</v>
      </c>
      <c r="BQ2349">
        <v>39.24</v>
      </c>
      <c r="BR2349">
        <v>83.84</v>
      </c>
      <c r="BS2349">
        <v>43.24</v>
      </c>
      <c r="BT2349">
        <v>3.79</v>
      </c>
      <c r="BU2349">
        <v>46.25</v>
      </c>
      <c r="BV2349">
        <v>21.13</v>
      </c>
      <c r="BW2349">
        <v>42.08</v>
      </c>
      <c r="BX2349">
        <v>23.92</v>
      </c>
      <c r="BY2349">
        <v>94.7</v>
      </c>
      <c r="BZ2349">
        <v>69.31</v>
      </c>
      <c r="CA2349">
        <v>13.08</v>
      </c>
      <c r="CB2349">
        <v>0.22</v>
      </c>
      <c r="CC2349">
        <v>13.06</v>
      </c>
      <c r="CD2349">
        <v>11.22</v>
      </c>
      <c r="CE2349">
        <v>10.42</v>
      </c>
      <c r="CF2349">
        <v>10.01</v>
      </c>
      <c r="CG2349">
        <v>27.75</v>
      </c>
      <c r="CH2349">
        <v>14.02</v>
      </c>
      <c r="CI2349">
        <v>-1.27</v>
      </c>
      <c r="CJ2349">
        <v>98747</v>
      </c>
      <c r="CK2349">
        <v>10902</v>
      </c>
      <c r="CL2349" t="s">
        <v>2644</v>
      </c>
      <c r="CM2349">
        <v>28.66</v>
      </c>
      <c r="CN2349">
        <v>5.53</v>
      </c>
      <c r="CO2349">
        <v>5.68</v>
      </c>
      <c r="CP2349">
        <v>33.71</v>
      </c>
      <c r="CQ2349">
        <v>4.99</v>
      </c>
      <c r="CR2349">
        <v>1.57</v>
      </c>
      <c r="CS2349" t="s">
        <v>386</v>
      </c>
      <c r="CT2349">
        <v>3.65</v>
      </c>
      <c r="CU2349">
        <v>0</v>
      </c>
      <c r="CV2349">
        <v>1.05</v>
      </c>
      <c r="CW2349">
        <v>1.22</v>
      </c>
      <c r="CX2349">
        <v>0.62</v>
      </c>
      <c r="CY2349">
        <v>57.42</v>
      </c>
      <c r="CZ2349" t="s">
        <v>11020</v>
      </c>
      <c r="DA2349">
        <v>26.81</v>
      </c>
      <c r="DB2349">
        <v>13.82</v>
      </c>
      <c r="DC2349">
        <v>11.01</v>
      </c>
      <c r="DD2349">
        <v>4.3899999999999997</v>
      </c>
      <c r="DE2349">
        <v>9040</v>
      </c>
      <c r="DF2349">
        <v>600183</v>
      </c>
      <c r="DG2349" t="s">
        <v>116</v>
      </c>
      <c r="DH2349" t="s">
        <v>116</v>
      </c>
      <c r="DI2349" t="s">
        <v>116</v>
      </c>
    </row>
    <row r="2350" spans="1:113" x14ac:dyDescent="0.4">
      <c r="A2350" t="str">
        <f>"600184"</f>
        <v>600184</v>
      </c>
      <c r="B2350" t="s">
        <v>11021</v>
      </c>
      <c r="C2350">
        <v>-1.48</v>
      </c>
      <c r="D2350">
        <v>11.29</v>
      </c>
      <c r="E2350">
        <v>-0.17</v>
      </c>
      <c r="F2350">
        <v>11.29</v>
      </c>
      <c r="G2350">
        <v>11.3</v>
      </c>
      <c r="H2350">
        <v>21298</v>
      </c>
      <c r="I2350">
        <v>511</v>
      </c>
      <c r="J2350">
        <v>-0.08</v>
      </c>
      <c r="K2350">
        <v>0.42</v>
      </c>
      <c r="L2350">
        <v>11.51</v>
      </c>
      <c r="M2350">
        <v>11.55</v>
      </c>
      <c r="N2350">
        <v>11.25</v>
      </c>
      <c r="O2350">
        <v>11.46</v>
      </c>
      <c r="P2350">
        <v>93.51</v>
      </c>
      <c r="Q2350">
        <v>24365516</v>
      </c>
      <c r="R2350">
        <v>0.87</v>
      </c>
      <c r="S2350" t="s">
        <v>682</v>
      </c>
      <c r="T2350" t="s">
        <v>774</v>
      </c>
      <c r="U2350">
        <v>2.62</v>
      </c>
      <c r="V2350">
        <v>11.44</v>
      </c>
      <c r="W2350">
        <v>11966</v>
      </c>
      <c r="X2350">
        <v>9332</v>
      </c>
      <c r="Y2350">
        <v>1.28</v>
      </c>
      <c r="Z2350">
        <v>332</v>
      </c>
      <c r="AA2350">
        <v>75</v>
      </c>
      <c r="AB2350" t="s">
        <v>116</v>
      </c>
      <c r="AC2350">
        <v>0</v>
      </c>
      <c r="AD2350">
        <v>0</v>
      </c>
      <c r="AE2350" t="s">
        <v>116</v>
      </c>
      <c r="AF2350" t="s">
        <v>116</v>
      </c>
      <c r="AG2350">
        <v>5.09</v>
      </c>
      <c r="AH2350" t="s">
        <v>11022</v>
      </c>
      <c r="AI2350" t="s">
        <v>11022</v>
      </c>
      <c r="AJ2350">
        <v>-1.41</v>
      </c>
      <c r="AK2350">
        <v>1077</v>
      </c>
      <c r="AL2350">
        <v>20</v>
      </c>
      <c r="AM2350">
        <v>4.0000000000000002E-4</v>
      </c>
      <c r="AN2350">
        <v>-1</v>
      </c>
      <c r="AO2350">
        <v>-0.88</v>
      </c>
      <c r="AP2350">
        <v>5.22</v>
      </c>
      <c r="AQ2350">
        <v>-2.67</v>
      </c>
      <c r="AR2350">
        <v>15.97</v>
      </c>
      <c r="AS2350">
        <v>0.94</v>
      </c>
      <c r="AT2350" t="s">
        <v>858</v>
      </c>
      <c r="AU2350">
        <v>96.79</v>
      </c>
      <c r="AV2350">
        <v>99.11</v>
      </c>
      <c r="AW2350">
        <v>1.46</v>
      </c>
      <c r="BA2350">
        <v>0.44</v>
      </c>
      <c r="BB2350">
        <v>0.79</v>
      </c>
      <c r="BC2350">
        <v>-1.83</v>
      </c>
      <c r="BD2350">
        <v>-0.17</v>
      </c>
      <c r="BE2350">
        <v>-1.91</v>
      </c>
      <c r="BF2350">
        <v>-2.25</v>
      </c>
      <c r="BG2350">
        <v>0.36</v>
      </c>
      <c r="BH2350">
        <v>-1.31</v>
      </c>
      <c r="BI2350">
        <v>20191030</v>
      </c>
      <c r="BJ2350">
        <v>20031106</v>
      </c>
      <c r="BK2350">
        <v>5.09</v>
      </c>
      <c r="BL2350" t="s">
        <v>116</v>
      </c>
      <c r="BM2350" t="s">
        <v>116</v>
      </c>
      <c r="BN2350">
        <v>34.97</v>
      </c>
      <c r="BO2350">
        <v>23.49</v>
      </c>
      <c r="BP2350">
        <v>0</v>
      </c>
      <c r="BQ2350">
        <v>32.82</v>
      </c>
      <c r="BR2350">
        <v>23.13</v>
      </c>
      <c r="BS2350">
        <v>5.76</v>
      </c>
      <c r="BT2350">
        <v>0.94</v>
      </c>
      <c r="BU2350">
        <v>11.16</v>
      </c>
      <c r="BV2350">
        <v>7.88</v>
      </c>
      <c r="BW2350">
        <v>5.42</v>
      </c>
      <c r="BX2350">
        <v>13.55</v>
      </c>
      <c r="BY2350">
        <v>9.23</v>
      </c>
      <c r="BZ2350">
        <v>7.57</v>
      </c>
      <c r="CA2350">
        <v>0.45</v>
      </c>
      <c r="CB2350">
        <v>0.01</v>
      </c>
      <c r="CC2350">
        <v>0.48</v>
      </c>
      <c r="CD2350">
        <v>0.46</v>
      </c>
      <c r="CE2350">
        <v>0.46</v>
      </c>
      <c r="CF2350">
        <v>0.37</v>
      </c>
      <c r="CG2350">
        <v>4.32</v>
      </c>
      <c r="CH2350">
        <v>-2.7</v>
      </c>
      <c r="CI2350">
        <v>-4.78</v>
      </c>
      <c r="CJ2350">
        <v>24057</v>
      </c>
      <c r="CK2350">
        <v>9446</v>
      </c>
      <c r="CL2350" t="s">
        <v>1766</v>
      </c>
      <c r="CM2350">
        <v>3.11</v>
      </c>
      <c r="CN2350">
        <v>-20.11</v>
      </c>
      <c r="CO2350">
        <v>2.44</v>
      </c>
      <c r="CP2350">
        <v>-21.31</v>
      </c>
      <c r="CQ2350">
        <v>6.22</v>
      </c>
      <c r="CR2350">
        <v>0.31</v>
      </c>
      <c r="CS2350" t="s">
        <v>1381</v>
      </c>
      <c r="CT2350">
        <v>4.62</v>
      </c>
      <c r="CU2350">
        <v>0</v>
      </c>
      <c r="CV2350">
        <v>2.66</v>
      </c>
      <c r="CW2350">
        <v>0.85</v>
      </c>
      <c r="CX2350">
        <v>-0.53</v>
      </c>
      <c r="CY2350">
        <v>67.180000000000007</v>
      </c>
      <c r="CZ2350" t="s">
        <v>2539</v>
      </c>
      <c r="DA2350">
        <v>17.989999999999998</v>
      </c>
      <c r="DB2350">
        <v>4.83</v>
      </c>
      <c r="DC2350">
        <v>4.99</v>
      </c>
      <c r="DD2350">
        <v>0.48</v>
      </c>
      <c r="DE2350">
        <v>2587</v>
      </c>
      <c r="DF2350">
        <v>600184</v>
      </c>
      <c r="DG2350" t="s">
        <v>116</v>
      </c>
      <c r="DH2350" t="s">
        <v>116</v>
      </c>
      <c r="DI2350" t="s">
        <v>116</v>
      </c>
    </row>
    <row r="2351" spans="1:113" x14ac:dyDescent="0.4">
      <c r="A2351" t="str">
        <f>"600185"</f>
        <v>600185</v>
      </c>
      <c r="B2351" t="s">
        <v>11023</v>
      </c>
      <c r="C2351">
        <v>1.24</v>
      </c>
      <c r="D2351">
        <v>4.91</v>
      </c>
      <c r="E2351">
        <v>0.06</v>
      </c>
      <c r="F2351">
        <v>4.91</v>
      </c>
      <c r="G2351">
        <v>4.92</v>
      </c>
      <c r="H2351">
        <v>112857</v>
      </c>
      <c r="I2351">
        <v>920</v>
      </c>
      <c r="J2351">
        <v>-0.19</v>
      </c>
      <c r="K2351">
        <v>0.55000000000000004</v>
      </c>
      <c r="L2351">
        <v>4.84</v>
      </c>
      <c r="M2351">
        <v>4.9800000000000004</v>
      </c>
      <c r="N2351">
        <v>4.82</v>
      </c>
      <c r="O2351">
        <v>4.8499999999999996</v>
      </c>
      <c r="P2351">
        <v>15.12</v>
      </c>
      <c r="Q2351">
        <v>55569932</v>
      </c>
      <c r="R2351">
        <v>1.1200000000000001</v>
      </c>
      <c r="S2351" t="s">
        <v>148</v>
      </c>
      <c r="T2351" t="s">
        <v>551</v>
      </c>
      <c r="U2351">
        <v>3.3</v>
      </c>
      <c r="V2351">
        <v>4.92</v>
      </c>
      <c r="W2351">
        <v>57015</v>
      </c>
      <c r="X2351">
        <v>55842</v>
      </c>
      <c r="Y2351">
        <v>1.02</v>
      </c>
      <c r="Z2351">
        <v>742</v>
      </c>
      <c r="AA2351">
        <v>786</v>
      </c>
      <c r="AB2351" t="s">
        <v>116</v>
      </c>
      <c r="AC2351">
        <v>273000</v>
      </c>
      <c r="AD2351">
        <v>0.01</v>
      </c>
      <c r="AE2351" t="s">
        <v>116</v>
      </c>
      <c r="AF2351" t="s">
        <v>116</v>
      </c>
      <c r="AG2351">
        <v>20.61</v>
      </c>
      <c r="AH2351" t="s">
        <v>11024</v>
      </c>
      <c r="AI2351" t="s">
        <v>11024</v>
      </c>
      <c r="AJ2351">
        <v>1.31</v>
      </c>
      <c r="AK2351">
        <v>1982</v>
      </c>
      <c r="AL2351">
        <v>57</v>
      </c>
      <c r="AM2351">
        <v>2.9999999999999997E-4</v>
      </c>
      <c r="AN2351">
        <v>2</v>
      </c>
      <c r="AO2351">
        <v>5.37</v>
      </c>
      <c r="AP2351">
        <v>3.37</v>
      </c>
      <c r="AQ2351">
        <v>-5.21</v>
      </c>
      <c r="AR2351">
        <v>21.23</v>
      </c>
      <c r="AS2351">
        <v>1.08</v>
      </c>
      <c r="AT2351" t="s">
        <v>11025</v>
      </c>
      <c r="AU2351">
        <v>16.21</v>
      </c>
      <c r="AV2351">
        <v>19.739999999999998</v>
      </c>
      <c r="AW2351">
        <v>1.1499999999999999</v>
      </c>
      <c r="BA2351">
        <v>-0.21</v>
      </c>
      <c r="BB2351">
        <v>2.68</v>
      </c>
      <c r="BC2351">
        <v>-0.62</v>
      </c>
      <c r="BD2351">
        <v>1.52</v>
      </c>
      <c r="BE2351">
        <v>1.45</v>
      </c>
      <c r="BF2351">
        <v>-1.41</v>
      </c>
      <c r="BG2351">
        <v>1.87</v>
      </c>
      <c r="BH2351">
        <v>-0.28999999999999998</v>
      </c>
      <c r="BI2351">
        <v>20191226</v>
      </c>
      <c r="BJ2351">
        <v>19990611</v>
      </c>
      <c r="BK2351">
        <v>20.61</v>
      </c>
      <c r="BL2351" t="s">
        <v>116</v>
      </c>
      <c r="BM2351" t="s">
        <v>116</v>
      </c>
      <c r="BN2351">
        <v>320.61</v>
      </c>
      <c r="BO2351">
        <v>79.25</v>
      </c>
      <c r="BP2351">
        <v>0.11</v>
      </c>
      <c r="BQ2351">
        <v>75.25</v>
      </c>
      <c r="BR2351">
        <v>258.58999999999997</v>
      </c>
      <c r="BS2351">
        <v>1.64</v>
      </c>
      <c r="BT2351">
        <v>0.01</v>
      </c>
      <c r="BU2351">
        <v>73.39</v>
      </c>
      <c r="BV2351">
        <v>223.99</v>
      </c>
      <c r="BW2351">
        <v>1.36</v>
      </c>
      <c r="BX2351">
        <v>11.11</v>
      </c>
      <c r="BY2351">
        <v>34.32</v>
      </c>
      <c r="BZ2351">
        <v>24.55</v>
      </c>
      <c r="CA2351">
        <v>6.69</v>
      </c>
      <c r="CB2351">
        <v>0.08</v>
      </c>
      <c r="CC2351">
        <v>6.72</v>
      </c>
      <c r="CD2351">
        <v>5.03</v>
      </c>
      <c r="CE2351">
        <v>5.0199999999999996</v>
      </c>
      <c r="CF2351">
        <v>4.91</v>
      </c>
      <c r="CG2351">
        <v>46.27</v>
      </c>
      <c r="CH2351">
        <v>9.85</v>
      </c>
      <c r="CI2351">
        <v>8.36</v>
      </c>
      <c r="CJ2351">
        <v>38994</v>
      </c>
      <c r="CK2351">
        <v>26746</v>
      </c>
      <c r="CL2351" t="s">
        <v>11026</v>
      </c>
      <c r="CM2351">
        <v>28.65</v>
      </c>
      <c r="CN2351">
        <v>88.69</v>
      </c>
      <c r="CO2351">
        <v>1.29</v>
      </c>
      <c r="CP2351">
        <v>10.27</v>
      </c>
      <c r="CQ2351">
        <v>2.95</v>
      </c>
      <c r="CR2351">
        <v>0</v>
      </c>
      <c r="CS2351" t="s">
        <v>3753</v>
      </c>
      <c r="CT2351">
        <v>3.81</v>
      </c>
      <c r="CU2351">
        <v>3.81</v>
      </c>
      <c r="CV2351">
        <v>0.54</v>
      </c>
      <c r="CW2351">
        <v>2.25</v>
      </c>
      <c r="CX2351">
        <v>0.48</v>
      </c>
      <c r="CY2351">
        <v>24.72</v>
      </c>
      <c r="CZ2351" t="s">
        <v>587</v>
      </c>
      <c r="DA2351">
        <v>28.47</v>
      </c>
      <c r="DB2351">
        <v>19.5</v>
      </c>
      <c r="DC2351">
        <v>14.62</v>
      </c>
      <c r="DD2351">
        <v>0</v>
      </c>
      <c r="DE2351">
        <v>1643</v>
      </c>
      <c r="DF2351">
        <v>600185</v>
      </c>
      <c r="DG2351" t="s">
        <v>116</v>
      </c>
      <c r="DH2351" t="s">
        <v>116</v>
      </c>
      <c r="DI2351" t="s">
        <v>116</v>
      </c>
    </row>
    <row r="2352" spans="1:113" x14ac:dyDescent="0.4">
      <c r="A2352" t="str">
        <f>"600186"</f>
        <v>600186</v>
      </c>
      <c r="B2352" t="s">
        <v>11027</v>
      </c>
      <c r="C2352">
        <v>-2.88</v>
      </c>
      <c r="D2352">
        <v>2.7</v>
      </c>
      <c r="E2352">
        <v>-0.08</v>
      </c>
      <c r="F2352">
        <v>2.69</v>
      </c>
      <c r="G2352">
        <v>2.7</v>
      </c>
      <c r="H2352">
        <v>235508</v>
      </c>
      <c r="I2352">
        <v>2210</v>
      </c>
      <c r="J2352">
        <v>0</v>
      </c>
      <c r="K2352">
        <v>2.2200000000000002</v>
      </c>
      <c r="L2352">
        <v>2.78</v>
      </c>
      <c r="M2352">
        <v>2.78</v>
      </c>
      <c r="N2352">
        <v>2.68</v>
      </c>
      <c r="O2352">
        <v>2.78</v>
      </c>
      <c r="P2352">
        <v>23</v>
      </c>
      <c r="Q2352">
        <v>63868948</v>
      </c>
      <c r="R2352">
        <v>0.73</v>
      </c>
      <c r="S2352" t="s">
        <v>863</v>
      </c>
      <c r="T2352" t="s">
        <v>652</v>
      </c>
      <c r="U2352">
        <v>3.6</v>
      </c>
      <c r="V2352">
        <v>2.71</v>
      </c>
      <c r="W2352">
        <v>136211</v>
      </c>
      <c r="X2352">
        <v>99297</v>
      </c>
      <c r="Y2352">
        <v>1.37</v>
      </c>
      <c r="Z2352">
        <v>2236</v>
      </c>
      <c r="AA2352">
        <v>2833</v>
      </c>
      <c r="AB2352" t="s">
        <v>116</v>
      </c>
      <c r="AC2352">
        <v>239600</v>
      </c>
      <c r="AD2352">
        <v>0.01</v>
      </c>
      <c r="AE2352" t="s">
        <v>116</v>
      </c>
      <c r="AF2352" t="s">
        <v>116</v>
      </c>
      <c r="AG2352">
        <v>10.62</v>
      </c>
      <c r="AH2352" t="s">
        <v>8288</v>
      </c>
      <c r="AI2352" t="s">
        <v>8288</v>
      </c>
      <c r="AJ2352">
        <v>-2.8</v>
      </c>
      <c r="AK2352">
        <v>1357</v>
      </c>
      <c r="AL2352">
        <v>174</v>
      </c>
      <c r="AM2352">
        <v>1.6000000000000001E-3</v>
      </c>
      <c r="AN2352">
        <v>-3</v>
      </c>
      <c r="AO2352">
        <v>-7.53</v>
      </c>
      <c r="AP2352">
        <v>26.76</v>
      </c>
      <c r="AQ2352">
        <v>64.63</v>
      </c>
      <c r="AR2352">
        <v>42.86</v>
      </c>
      <c r="AS2352">
        <v>2.5099999999999998</v>
      </c>
      <c r="AT2352" t="s">
        <v>414</v>
      </c>
      <c r="AU2352" t="s">
        <v>116</v>
      </c>
      <c r="AV2352" t="s">
        <v>116</v>
      </c>
      <c r="AW2352">
        <v>0.53</v>
      </c>
      <c r="BA2352">
        <v>0</v>
      </c>
      <c r="BB2352">
        <v>0</v>
      </c>
      <c r="BC2352">
        <v>-3.6</v>
      </c>
      <c r="BD2352">
        <v>-2.4500000000000002</v>
      </c>
      <c r="BE2352">
        <v>-2.88</v>
      </c>
      <c r="BF2352">
        <v>-2.88</v>
      </c>
      <c r="BG2352">
        <v>0.75</v>
      </c>
      <c r="BH2352">
        <v>-0.43</v>
      </c>
      <c r="BI2352">
        <v>20191030</v>
      </c>
      <c r="BJ2352">
        <v>19980825</v>
      </c>
      <c r="BK2352">
        <v>10.62</v>
      </c>
      <c r="BL2352" t="s">
        <v>116</v>
      </c>
      <c r="BM2352" t="s">
        <v>116</v>
      </c>
      <c r="BN2352">
        <v>14.72</v>
      </c>
      <c r="BO2352">
        <v>-2.0499999999999998</v>
      </c>
      <c r="BP2352">
        <v>-2.16</v>
      </c>
      <c r="BQ2352">
        <v>128.58000000000001</v>
      </c>
      <c r="BR2352">
        <v>4.96</v>
      </c>
      <c r="BS2352">
        <v>1.69</v>
      </c>
      <c r="BT2352">
        <v>3.56</v>
      </c>
      <c r="BU2352">
        <v>18.100000000000001</v>
      </c>
      <c r="BV2352">
        <v>0.88</v>
      </c>
      <c r="BW2352">
        <v>1.54</v>
      </c>
      <c r="BX2352">
        <v>3</v>
      </c>
      <c r="BY2352">
        <v>13.12</v>
      </c>
      <c r="BZ2352">
        <v>11.64</v>
      </c>
      <c r="CA2352">
        <v>0.73</v>
      </c>
      <c r="CB2352">
        <v>2.17</v>
      </c>
      <c r="CC2352">
        <v>0.74</v>
      </c>
      <c r="CD2352">
        <v>0.74</v>
      </c>
      <c r="CE2352">
        <v>0.93</v>
      </c>
      <c r="CF2352">
        <v>-1.19</v>
      </c>
      <c r="CG2352">
        <v>-16.5</v>
      </c>
      <c r="CH2352">
        <v>-0.8</v>
      </c>
      <c r="CI2352">
        <v>-0.26</v>
      </c>
      <c r="CJ2352">
        <v>72696</v>
      </c>
      <c r="CK2352">
        <v>12888</v>
      </c>
      <c r="CL2352" t="s">
        <v>805</v>
      </c>
      <c r="CM2352">
        <v>194.02</v>
      </c>
      <c r="CN2352">
        <v>1.1100000000000001</v>
      </c>
      <c r="CO2352">
        <v>-13.97</v>
      </c>
      <c r="CP2352">
        <v>-35.840000000000003</v>
      </c>
      <c r="CQ2352">
        <v>2.19</v>
      </c>
      <c r="CR2352">
        <v>0</v>
      </c>
      <c r="CS2352" t="s">
        <v>687</v>
      </c>
      <c r="CT2352">
        <v>-0.19</v>
      </c>
      <c r="CU2352">
        <v>0</v>
      </c>
      <c r="CV2352">
        <v>0.28000000000000003</v>
      </c>
      <c r="CW2352">
        <v>-1.55</v>
      </c>
      <c r="CX2352">
        <v>-0.08</v>
      </c>
      <c r="CY2352">
        <v>-13.94</v>
      </c>
      <c r="CZ2352" t="s">
        <v>116</v>
      </c>
      <c r="DA2352">
        <v>11.27</v>
      </c>
      <c r="DB2352">
        <v>5.54</v>
      </c>
      <c r="DC2352">
        <v>7.13</v>
      </c>
      <c r="DD2352">
        <v>0</v>
      </c>
      <c r="DE2352">
        <v>9191</v>
      </c>
      <c r="DF2352">
        <v>600186</v>
      </c>
      <c r="DG2352" t="s">
        <v>116</v>
      </c>
      <c r="DH2352" t="s">
        <v>116</v>
      </c>
      <c r="DI2352" t="s">
        <v>116</v>
      </c>
    </row>
    <row r="2353" spans="1:113" x14ac:dyDescent="0.4">
      <c r="A2353" t="str">
        <f>"600187"</f>
        <v>600187</v>
      </c>
      <c r="B2353" t="s">
        <v>11028</v>
      </c>
      <c r="C2353">
        <v>0</v>
      </c>
      <c r="D2353">
        <v>2.54</v>
      </c>
      <c r="E2353">
        <v>0</v>
      </c>
      <c r="F2353">
        <v>2.54</v>
      </c>
      <c r="G2353">
        <v>2.5499999999999998</v>
      </c>
      <c r="H2353">
        <v>75730</v>
      </c>
      <c r="I2353">
        <v>171</v>
      </c>
      <c r="J2353">
        <v>0</v>
      </c>
      <c r="K2353">
        <v>0.52</v>
      </c>
      <c r="L2353">
        <v>2.5299999999999998</v>
      </c>
      <c r="M2353">
        <v>2.57</v>
      </c>
      <c r="N2353">
        <v>2.5299999999999998</v>
      </c>
      <c r="O2353">
        <v>2.54</v>
      </c>
      <c r="P2353">
        <v>119.5</v>
      </c>
      <c r="Q2353">
        <v>19335358</v>
      </c>
      <c r="R2353">
        <v>1.31</v>
      </c>
      <c r="S2353" t="s">
        <v>1345</v>
      </c>
      <c r="T2353" t="s">
        <v>1287</v>
      </c>
      <c r="U2353">
        <v>1.57</v>
      </c>
      <c r="V2353">
        <v>2.5499999999999998</v>
      </c>
      <c r="W2353">
        <v>39733</v>
      </c>
      <c r="X2353">
        <v>35997</v>
      </c>
      <c r="Y2353">
        <v>1.1000000000000001</v>
      </c>
      <c r="Z2353">
        <v>5176</v>
      </c>
      <c r="AA2353">
        <v>1052</v>
      </c>
      <c r="AB2353" t="s">
        <v>116</v>
      </c>
      <c r="AC2353">
        <v>59200</v>
      </c>
      <c r="AD2353">
        <v>0</v>
      </c>
      <c r="AE2353" t="s">
        <v>116</v>
      </c>
      <c r="AF2353" t="s">
        <v>116</v>
      </c>
      <c r="AG2353">
        <v>14.56</v>
      </c>
      <c r="AH2353" t="s">
        <v>11029</v>
      </c>
      <c r="AI2353" t="s">
        <v>11030</v>
      </c>
      <c r="AJ2353">
        <v>0.08</v>
      </c>
      <c r="AK2353">
        <v>713</v>
      </c>
      <c r="AL2353">
        <v>106</v>
      </c>
      <c r="AM2353">
        <v>6.9999999999999999E-4</v>
      </c>
      <c r="AN2353">
        <v>0</v>
      </c>
      <c r="AO2353">
        <v>0.01</v>
      </c>
      <c r="AP2353">
        <v>2.83</v>
      </c>
      <c r="AQ2353">
        <v>-5.58</v>
      </c>
      <c r="AR2353">
        <v>2.83</v>
      </c>
      <c r="AS2353">
        <v>0.62</v>
      </c>
      <c r="AT2353" t="s">
        <v>11031</v>
      </c>
      <c r="AU2353">
        <v>154.1</v>
      </c>
      <c r="AV2353">
        <v>404</v>
      </c>
      <c r="AW2353">
        <v>1.06</v>
      </c>
      <c r="BA2353">
        <v>-0.39</v>
      </c>
      <c r="BB2353">
        <v>1.18</v>
      </c>
      <c r="BC2353">
        <v>-0.39</v>
      </c>
      <c r="BD2353">
        <v>0.52</v>
      </c>
      <c r="BE2353">
        <v>0.4</v>
      </c>
      <c r="BF2353">
        <v>-1.17</v>
      </c>
      <c r="BG2353">
        <v>0.4</v>
      </c>
      <c r="BH2353">
        <v>-0.52</v>
      </c>
      <c r="BI2353">
        <v>20191026</v>
      </c>
      <c r="BJ2353">
        <v>19981111</v>
      </c>
      <c r="BK2353">
        <v>16.54</v>
      </c>
      <c r="BL2353" t="s">
        <v>116</v>
      </c>
      <c r="BM2353" t="s">
        <v>116</v>
      </c>
      <c r="BN2353">
        <v>47.54</v>
      </c>
      <c r="BO2353">
        <v>34.11</v>
      </c>
      <c r="BP2353">
        <v>0.74</v>
      </c>
      <c r="BQ2353">
        <v>26.7</v>
      </c>
      <c r="BR2353">
        <v>22.32</v>
      </c>
      <c r="BS2353">
        <v>4.5</v>
      </c>
      <c r="BT2353">
        <v>7.55</v>
      </c>
      <c r="BU2353">
        <v>9.27</v>
      </c>
      <c r="BV2353">
        <v>1.87</v>
      </c>
      <c r="BW2353">
        <v>2.93</v>
      </c>
      <c r="BX2353">
        <v>20.63</v>
      </c>
      <c r="BY2353">
        <v>2.84</v>
      </c>
      <c r="BZ2353">
        <v>1.89</v>
      </c>
      <c r="CA2353">
        <v>0.17</v>
      </c>
      <c r="CB2353">
        <v>0.38</v>
      </c>
      <c r="CC2353">
        <v>0.32</v>
      </c>
      <c r="CD2353">
        <v>0.23</v>
      </c>
      <c r="CE2353">
        <v>0.26</v>
      </c>
      <c r="CF2353">
        <v>-0.37</v>
      </c>
      <c r="CG2353">
        <v>-2.1800000000000002</v>
      </c>
      <c r="CH2353">
        <v>-0.13</v>
      </c>
      <c r="CI2353">
        <v>-6.07</v>
      </c>
      <c r="CJ2353">
        <v>125085</v>
      </c>
      <c r="CK2353">
        <v>9820</v>
      </c>
      <c r="CL2353" t="s">
        <v>11032</v>
      </c>
      <c r="CM2353">
        <v>177.45</v>
      </c>
      <c r="CN2353">
        <v>-3.35</v>
      </c>
      <c r="CO2353">
        <v>1.23</v>
      </c>
      <c r="CP2353">
        <v>-327.14</v>
      </c>
      <c r="CQ2353">
        <v>14.81</v>
      </c>
      <c r="CR2353">
        <v>0</v>
      </c>
      <c r="CS2353" t="s">
        <v>1315</v>
      </c>
      <c r="CT2353">
        <v>2.06</v>
      </c>
      <c r="CU2353">
        <v>0</v>
      </c>
      <c r="CV2353">
        <v>1.25</v>
      </c>
      <c r="CW2353">
        <v>-0.13</v>
      </c>
      <c r="CX2353">
        <v>-0.01</v>
      </c>
      <c r="CY2353">
        <v>71.75</v>
      </c>
      <c r="CZ2353" t="s">
        <v>6608</v>
      </c>
      <c r="DA2353">
        <v>33.25</v>
      </c>
      <c r="DB2353">
        <v>6.12</v>
      </c>
      <c r="DC2353">
        <v>9.2899999999999991</v>
      </c>
      <c r="DD2353">
        <v>0.04</v>
      </c>
      <c r="DE2353">
        <v>878</v>
      </c>
      <c r="DF2353">
        <v>600187</v>
      </c>
      <c r="DG2353" t="s">
        <v>116</v>
      </c>
      <c r="DH2353" t="s">
        <v>116</v>
      </c>
      <c r="DI2353" t="s">
        <v>116</v>
      </c>
    </row>
    <row r="2354" spans="1:113" x14ac:dyDescent="0.4">
      <c r="A2354" t="str">
        <f>"600188"</f>
        <v>600188</v>
      </c>
      <c r="B2354" t="s">
        <v>11033</v>
      </c>
      <c r="C2354">
        <v>1.42</v>
      </c>
      <c r="D2354">
        <v>9.99</v>
      </c>
      <c r="E2354">
        <v>0.14000000000000001</v>
      </c>
      <c r="F2354">
        <v>9.99</v>
      </c>
      <c r="G2354">
        <v>10</v>
      </c>
      <c r="H2354">
        <v>357410</v>
      </c>
      <c r="I2354">
        <v>5521</v>
      </c>
      <c r="J2354">
        <v>0.2</v>
      </c>
      <c r="K2354">
        <v>1.21</v>
      </c>
      <c r="L2354">
        <v>9.86</v>
      </c>
      <c r="M2354">
        <v>10.23</v>
      </c>
      <c r="N2354">
        <v>9.86</v>
      </c>
      <c r="O2354">
        <v>9.85</v>
      </c>
      <c r="P2354">
        <v>5.27</v>
      </c>
      <c r="Q2354">
        <v>358650016</v>
      </c>
      <c r="R2354">
        <v>2.14</v>
      </c>
      <c r="S2354" t="s">
        <v>1121</v>
      </c>
      <c r="T2354" t="s">
        <v>645</v>
      </c>
      <c r="U2354">
        <v>3.76</v>
      </c>
      <c r="V2354">
        <v>10.029999999999999</v>
      </c>
      <c r="W2354">
        <v>163802</v>
      </c>
      <c r="X2354">
        <v>193608</v>
      </c>
      <c r="Y2354">
        <v>0.85</v>
      </c>
      <c r="Z2354">
        <v>208</v>
      </c>
      <c r="AA2354">
        <v>1043</v>
      </c>
      <c r="AB2354" t="s">
        <v>116</v>
      </c>
      <c r="AC2354">
        <v>727700</v>
      </c>
      <c r="AD2354">
        <v>0.01</v>
      </c>
      <c r="AE2354" t="s">
        <v>116</v>
      </c>
      <c r="AF2354" t="s">
        <v>116</v>
      </c>
      <c r="AG2354">
        <v>29.6</v>
      </c>
      <c r="AH2354" t="s">
        <v>11034</v>
      </c>
      <c r="AI2354" t="s">
        <v>11035</v>
      </c>
      <c r="AJ2354">
        <v>1.5</v>
      </c>
      <c r="AK2354">
        <v>3863</v>
      </c>
      <c r="AL2354">
        <v>93</v>
      </c>
      <c r="AM2354">
        <v>2.9999999999999997E-4</v>
      </c>
      <c r="AN2354">
        <v>2</v>
      </c>
      <c r="AO2354">
        <v>1.42</v>
      </c>
      <c r="AP2354">
        <v>6.39</v>
      </c>
      <c r="AQ2354">
        <v>3.1</v>
      </c>
      <c r="AR2354">
        <v>37.979999999999997</v>
      </c>
      <c r="AS2354">
        <v>5.16</v>
      </c>
      <c r="AT2354" t="s">
        <v>11036</v>
      </c>
      <c r="AU2354">
        <v>5.23</v>
      </c>
      <c r="AV2354">
        <v>6.2</v>
      </c>
      <c r="AW2354">
        <v>1.38</v>
      </c>
      <c r="BA2354">
        <v>0.1</v>
      </c>
      <c r="BB2354">
        <v>3.86</v>
      </c>
      <c r="BC2354">
        <v>0.1</v>
      </c>
      <c r="BD2354">
        <v>1.88</v>
      </c>
      <c r="BE2354">
        <v>1.32</v>
      </c>
      <c r="BF2354">
        <v>-2.35</v>
      </c>
      <c r="BG2354">
        <v>1.32</v>
      </c>
      <c r="BH2354">
        <v>-0.45</v>
      </c>
      <c r="BI2354">
        <v>20191026</v>
      </c>
      <c r="BJ2354">
        <v>19980701</v>
      </c>
      <c r="BK2354">
        <v>49.12</v>
      </c>
      <c r="BL2354" t="s">
        <v>116</v>
      </c>
      <c r="BM2354">
        <v>19.52</v>
      </c>
      <c r="BN2354">
        <v>1975.73</v>
      </c>
      <c r="BO2354">
        <v>665.1</v>
      </c>
      <c r="BP2354">
        <v>169.63</v>
      </c>
      <c r="BQ2354">
        <v>57.75</v>
      </c>
      <c r="BR2354">
        <v>636.04999999999995</v>
      </c>
      <c r="BS2354">
        <v>415.63</v>
      </c>
      <c r="BT2354">
        <v>454.07</v>
      </c>
      <c r="BU2354">
        <v>591.5</v>
      </c>
      <c r="BV2354">
        <v>73.95</v>
      </c>
      <c r="BW2354">
        <v>46.1</v>
      </c>
      <c r="BX2354">
        <v>11.33</v>
      </c>
      <c r="BY2354">
        <v>1506.11</v>
      </c>
      <c r="BZ2354">
        <v>1299.52</v>
      </c>
      <c r="CA2354">
        <v>109.13</v>
      </c>
      <c r="CB2354">
        <v>13.5</v>
      </c>
      <c r="CC2354">
        <v>111.44</v>
      </c>
      <c r="CD2354">
        <v>89.89</v>
      </c>
      <c r="CE2354">
        <v>69.84</v>
      </c>
      <c r="CF2354">
        <v>66.489999999999995</v>
      </c>
      <c r="CG2354">
        <v>473.96</v>
      </c>
      <c r="CH2354">
        <v>148.33000000000001</v>
      </c>
      <c r="CI2354">
        <v>-77.58</v>
      </c>
      <c r="CJ2354">
        <v>70981</v>
      </c>
      <c r="CK2354">
        <v>9759</v>
      </c>
      <c r="CL2354" t="s">
        <v>5354</v>
      </c>
      <c r="CM2354">
        <v>26.88</v>
      </c>
      <c r="CN2354">
        <v>26.36</v>
      </c>
      <c r="CO2354">
        <v>0.87</v>
      </c>
      <c r="CP2354">
        <v>3.31</v>
      </c>
      <c r="CQ2354">
        <v>0.33</v>
      </c>
      <c r="CR2354">
        <v>15.42</v>
      </c>
      <c r="CS2354" t="s">
        <v>11037</v>
      </c>
      <c r="CT2354">
        <v>11.47</v>
      </c>
      <c r="CU2354">
        <v>11.47</v>
      </c>
      <c r="CV2354">
        <v>0.23</v>
      </c>
      <c r="CW2354">
        <v>9.65</v>
      </c>
      <c r="CX2354">
        <v>3.02</v>
      </c>
      <c r="CY2354">
        <v>33.659999999999997</v>
      </c>
      <c r="CZ2354" t="s">
        <v>1259</v>
      </c>
      <c r="DA2354">
        <v>13.72</v>
      </c>
      <c r="DB2354">
        <v>7.25</v>
      </c>
      <c r="DC2354">
        <v>4.6399999999999997</v>
      </c>
      <c r="DD2354">
        <v>1.34</v>
      </c>
      <c r="DE2354">
        <v>64473</v>
      </c>
      <c r="DF2354">
        <v>600188</v>
      </c>
      <c r="DG2354" t="s">
        <v>116</v>
      </c>
      <c r="DH2354" t="s">
        <v>116</v>
      </c>
      <c r="DI2354" t="s">
        <v>116</v>
      </c>
    </row>
    <row r="2355" spans="1:113" x14ac:dyDescent="0.4">
      <c r="A2355" t="str">
        <f>"600189"</f>
        <v>600189</v>
      </c>
      <c r="B2355" t="s">
        <v>11038</v>
      </c>
      <c r="C2355">
        <v>0.79</v>
      </c>
      <c r="D2355">
        <v>3.83</v>
      </c>
      <c r="E2355">
        <v>0.03</v>
      </c>
      <c r="F2355">
        <v>3.82</v>
      </c>
      <c r="G2355">
        <v>3.83</v>
      </c>
      <c r="H2355">
        <v>30005</v>
      </c>
      <c r="I2355">
        <v>345</v>
      </c>
      <c r="J2355">
        <v>0.26</v>
      </c>
      <c r="K2355">
        <v>0.63</v>
      </c>
      <c r="L2355">
        <v>3.81</v>
      </c>
      <c r="M2355">
        <v>3.89</v>
      </c>
      <c r="N2355">
        <v>3.8</v>
      </c>
      <c r="O2355">
        <v>3.8</v>
      </c>
      <c r="P2355">
        <v>27.51</v>
      </c>
      <c r="Q2355">
        <v>11502810</v>
      </c>
      <c r="R2355">
        <v>1.36</v>
      </c>
      <c r="S2355" t="s">
        <v>2407</v>
      </c>
      <c r="T2355" t="s">
        <v>294</v>
      </c>
      <c r="U2355">
        <v>2.37</v>
      </c>
      <c r="V2355">
        <v>3.83</v>
      </c>
      <c r="W2355">
        <v>15251</v>
      </c>
      <c r="X2355">
        <v>14754</v>
      </c>
      <c r="Y2355">
        <v>1.03</v>
      </c>
      <c r="Z2355">
        <v>708</v>
      </c>
      <c r="AA2355">
        <v>983</v>
      </c>
      <c r="AB2355" t="s">
        <v>116</v>
      </c>
      <c r="AC2355">
        <v>0</v>
      </c>
      <c r="AD2355">
        <v>0</v>
      </c>
      <c r="AE2355" t="s">
        <v>116</v>
      </c>
      <c r="AF2355" t="s">
        <v>116</v>
      </c>
      <c r="AG2355">
        <v>4.7699999999999996</v>
      </c>
      <c r="AH2355" t="s">
        <v>2284</v>
      </c>
      <c r="AI2355" t="s">
        <v>9623</v>
      </c>
      <c r="AJ2355">
        <v>0.87</v>
      </c>
      <c r="AK2355">
        <v>460</v>
      </c>
      <c r="AL2355">
        <v>65</v>
      </c>
      <c r="AM2355">
        <v>1.4E-3</v>
      </c>
      <c r="AN2355">
        <v>2</v>
      </c>
      <c r="AO2355">
        <v>1.06</v>
      </c>
      <c r="AP2355">
        <v>6.98</v>
      </c>
      <c r="AQ2355">
        <v>2.68</v>
      </c>
      <c r="AR2355">
        <v>2.68</v>
      </c>
      <c r="AS2355">
        <v>1.02</v>
      </c>
      <c r="AT2355" t="s">
        <v>251</v>
      </c>
      <c r="AU2355">
        <v>33.72</v>
      </c>
      <c r="AV2355">
        <v>65.41</v>
      </c>
      <c r="AW2355">
        <v>0.99</v>
      </c>
      <c r="BA2355">
        <v>0.26</v>
      </c>
      <c r="BB2355">
        <v>2.37</v>
      </c>
      <c r="BC2355">
        <v>0</v>
      </c>
      <c r="BD2355">
        <v>0.89</v>
      </c>
      <c r="BE2355">
        <v>0.52</v>
      </c>
      <c r="BF2355">
        <v>-1.54</v>
      </c>
      <c r="BG2355">
        <v>0.79</v>
      </c>
      <c r="BH2355">
        <v>-0.1</v>
      </c>
      <c r="BI2355">
        <v>20191024</v>
      </c>
      <c r="BJ2355">
        <v>19981007</v>
      </c>
      <c r="BK2355">
        <v>7.17</v>
      </c>
      <c r="BL2355" t="s">
        <v>116</v>
      </c>
      <c r="BM2355" t="s">
        <v>116</v>
      </c>
      <c r="BN2355">
        <v>67.52</v>
      </c>
      <c r="BO2355">
        <v>30.3</v>
      </c>
      <c r="BP2355">
        <v>1.28</v>
      </c>
      <c r="BQ2355">
        <v>53.23</v>
      </c>
      <c r="BR2355">
        <v>30.73</v>
      </c>
      <c r="BS2355">
        <v>9.5399999999999991</v>
      </c>
      <c r="BT2355">
        <v>1.01</v>
      </c>
      <c r="BU2355">
        <v>30.22</v>
      </c>
      <c r="BV2355">
        <v>14.64</v>
      </c>
      <c r="BW2355">
        <v>1.27</v>
      </c>
      <c r="BX2355">
        <v>17.850000000000001</v>
      </c>
      <c r="BY2355">
        <v>11.45</v>
      </c>
      <c r="BZ2355">
        <v>6.87</v>
      </c>
      <c r="CA2355">
        <v>1.42</v>
      </c>
      <c r="CB2355">
        <v>-0.24</v>
      </c>
      <c r="CC2355">
        <v>1.42</v>
      </c>
      <c r="CD2355">
        <v>0.93</v>
      </c>
      <c r="CE2355">
        <v>0.75</v>
      </c>
      <c r="CF2355">
        <v>-0.06</v>
      </c>
      <c r="CG2355">
        <v>3.4</v>
      </c>
      <c r="CH2355">
        <v>1.18</v>
      </c>
      <c r="CI2355">
        <v>0.55000000000000004</v>
      </c>
      <c r="CJ2355">
        <v>25794</v>
      </c>
      <c r="CK2355">
        <v>11400</v>
      </c>
      <c r="CL2355" t="s">
        <v>2219</v>
      </c>
      <c r="CM2355">
        <v>111.34</v>
      </c>
      <c r="CN2355">
        <v>9.52</v>
      </c>
      <c r="CO2355">
        <v>0.91</v>
      </c>
      <c r="CP2355">
        <v>23.3</v>
      </c>
      <c r="CQ2355">
        <v>2.4</v>
      </c>
      <c r="CR2355">
        <v>0</v>
      </c>
      <c r="CS2355" t="s">
        <v>3672</v>
      </c>
      <c r="CT2355">
        <v>4.2300000000000004</v>
      </c>
      <c r="CU2355">
        <v>0</v>
      </c>
      <c r="CV2355">
        <v>2.4900000000000002</v>
      </c>
      <c r="CW2355">
        <v>0.47</v>
      </c>
      <c r="CX2355">
        <v>0.16</v>
      </c>
      <c r="CY2355">
        <v>44.87</v>
      </c>
      <c r="CZ2355" t="s">
        <v>4458</v>
      </c>
      <c r="DA2355">
        <v>40</v>
      </c>
      <c r="DB2355">
        <v>12.37</v>
      </c>
      <c r="DC2355">
        <v>6.54</v>
      </c>
      <c r="DD2355">
        <v>0.17</v>
      </c>
      <c r="DE2355">
        <v>2154</v>
      </c>
      <c r="DF2355">
        <v>600189</v>
      </c>
      <c r="DG2355" t="s">
        <v>116</v>
      </c>
      <c r="DH2355" t="s">
        <v>116</v>
      </c>
      <c r="DI2355" t="s">
        <v>116</v>
      </c>
    </row>
    <row r="2356" spans="1:113" x14ac:dyDescent="0.4">
      <c r="A2356" t="str">
        <f>"600190"</f>
        <v>600190</v>
      </c>
      <c r="B2356" t="s">
        <v>11039</v>
      </c>
      <c r="C2356">
        <v>0.66</v>
      </c>
      <c r="D2356">
        <v>3.03</v>
      </c>
      <c r="E2356">
        <v>0.02</v>
      </c>
      <c r="F2356">
        <v>3.02</v>
      </c>
      <c r="G2356">
        <v>3.03</v>
      </c>
      <c r="H2356">
        <v>26514</v>
      </c>
      <c r="I2356">
        <v>128</v>
      </c>
      <c r="J2356">
        <v>0</v>
      </c>
      <c r="K2356">
        <v>0.15</v>
      </c>
      <c r="L2356">
        <v>3.02</v>
      </c>
      <c r="M2356">
        <v>3.05</v>
      </c>
      <c r="N2356">
        <v>3.01</v>
      </c>
      <c r="O2356">
        <v>3.01</v>
      </c>
      <c r="P2356">
        <v>30.65</v>
      </c>
      <c r="Q2356">
        <v>8034196</v>
      </c>
      <c r="R2356">
        <v>0.95</v>
      </c>
      <c r="S2356" t="s">
        <v>515</v>
      </c>
      <c r="T2356" t="s">
        <v>434</v>
      </c>
      <c r="U2356">
        <v>1.33</v>
      </c>
      <c r="V2356">
        <v>3.03</v>
      </c>
      <c r="W2356">
        <v>12482</v>
      </c>
      <c r="X2356">
        <v>14032</v>
      </c>
      <c r="Y2356">
        <v>0.89</v>
      </c>
      <c r="Z2356">
        <v>2404</v>
      </c>
      <c r="AA2356">
        <v>639</v>
      </c>
      <c r="AB2356" t="s">
        <v>116</v>
      </c>
      <c r="AC2356">
        <v>0</v>
      </c>
      <c r="AD2356">
        <v>0</v>
      </c>
      <c r="AE2356" t="s">
        <v>116</v>
      </c>
      <c r="AF2356" t="s">
        <v>116</v>
      </c>
      <c r="AG2356">
        <v>17.79</v>
      </c>
      <c r="AH2356" t="s">
        <v>5307</v>
      </c>
      <c r="AI2356" t="s">
        <v>11040</v>
      </c>
      <c r="AJ2356">
        <v>0.74</v>
      </c>
      <c r="AK2356">
        <v>379</v>
      </c>
      <c r="AL2356">
        <v>70</v>
      </c>
      <c r="AM2356">
        <v>4.0000000000000002E-4</v>
      </c>
      <c r="AN2356">
        <v>2</v>
      </c>
      <c r="AO2356">
        <v>0.66</v>
      </c>
      <c r="AP2356">
        <v>2.36</v>
      </c>
      <c r="AQ2356">
        <v>0.33</v>
      </c>
      <c r="AR2356">
        <v>14.34</v>
      </c>
      <c r="AS2356">
        <v>0.62</v>
      </c>
      <c r="AT2356" t="s">
        <v>5600</v>
      </c>
      <c r="AU2356">
        <v>22.02</v>
      </c>
      <c r="AV2356">
        <v>25.08</v>
      </c>
      <c r="AW2356">
        <v>1.02</v>
      </c>
      <c r="BA2356">
        <v>0.33</v>
      </c>
      <c r="BB2356">
        <v>1.33</v>
      </c>
      <c r="BC2356">
        <v>0</v>
      </c>
      <c r="BD2356">
        <v>0.67</v>
      </c>
      <c r="BE2356">
        <v>0.33</v>
      </c>
      <c r="BF2356">
        <v>-0.66</v>
      </c>
      <c r="BG2356">
        <v>0.66</v>
      </c>
      <c r="BH2356">
        <v>0</v>
      </c>
      <c r="BI2356">
        <v>20191030</v>
      </c>
      <c r="BJ2356">
        <v>19990609</v>
      </c>
      <c r="BK2356">
        <v>20.02</v>
      </c>
      <c r="BL2356">
        <v>2.23</v>
      </c>
      <c r="BM2356" t="s">
        <v>116</v>
      </c>
      <c r="BN2356">
        <v>171.57</v>
      </c>
      <c r="BO2356">
        <v>63.3</v>
      </c>
      <c r="BP2356">
        <v>1.1200000000000001</v>
      </c>
      <c r="BQ2356">
        <v>62.45</v>
      </c>
      <c r="BR2356">
        <v>13.75</v>
      </c>
      <c r="BS2356">
        <v>90.46</v>
      </c>
      <c r="BT2356">
        <v>3.7</v>
      </c>
      <c r="BU2356">
        <v>62.69</v>
      </c>
      <c r="BV2356">
        <v>2.41</v>
      </c>
      <c r="BW2356">
        <v>3.01</v>
      </c>
      <c r="BX2356">
        <v>26.49</v>
      </c>
      <c r="BY2356">
        <v>57.2</v>
      </c>
      <c r="BZ2356">
        <v>50.61</v>
      </c>
      <c r="CA2356">
        <v>1.88</v>
      </c>
      <c r="CB2356">
        <v>0.31</v>
      </c>
      <c r="CC2356">
        <v>1.9</v>
      </c>
      <c r="CD2356">
        <v>1.52</v>
      </c>
      <c r="CE2356">
        <v>1.48</v>
      </c>
      <c r="CF2356">
        <v>1.01</v>
      </c>
      <c r="CG2356">
        <v>11.87</v>
      </c>
      <c r="CH2356">
        <v>4.33</v>
      </c>
      <c r="CI2356">
        <v>-1.33</v>
      </c>
      <c r="CJ2356">
        <v>103183</v>
      </c>
      <c r="CK2356">
        <v>6318</v>
      </c>
      <c r="CL2356" t="s">
        <v>1328</v>
      </c>
      <c r="CM2356">
        <v>29.24</v>
      </c>
      <c r="CN2356">
        <v>31.11</v>
      </c>
      <c r="CO2356">
        <v>0.96</v>
      </c>
      <c r="CP2356">
        <v>14</v>
      </c>
      <c r="CQ2356">
        <v>1.06</v>
      </c>
      <c r="CR2356">
        <v>0.66</v>
      </c>
      <c r="CS2356" t="s">
        <v>5752</v>
      </c>
      <c r="CT2356">
        <v>3.16</v>
      </c>
      <c r="CU2356">
        <v>0</v>
      </c>
      <c r="CV2356">
        <v>1.32</v>
      </c>
      <c r="CW2356">
        <v>0.59</v>
      </c>
      <c r="CX2356">
        <v>0.22</v>
      </c>
      <c r="CY2356">
        <v>36.89</v>
      </c>
      <c r="CZ2356" t="s">
        <v>11041</v>
      </c>
      <c r="DA2356">
        <v>11.53</v>
      </c>
      <c r="DB2356">
        <v>3.28</v>
      </c>
      <c r="DC2356">
        <v>2.6</v>
      </c>
      <c r="DD2356">
        <v>0</v>
      </c>
      <c r="DE2356">
        <v>1549</v>
      </c>
      <c r="DF2356">
        <v>600190</v>
      </c>
      <c r="DG2356" t="s">
        <v>116</v>
      </c>
      <c r="DH2356" t="s">
        <v>116</v>
      </c>
      <c r="DI2356" t="s">
        <v>116</v>
      </c>
    </row>
    <row r="2357" spans="1:113" x14ac:dyDescent="0.4">
      <c r="A2357" t="str">
        <f>"600191"</f>
        <v>600191</v>
      </c>
      <c r="B2357" t="s">
        <v>11042</v>
      </c>
      <c r="C2357">
        <v>-1.1599999999999999</v>
      </c>
      <c r="D2357">
        <v>5.0999999999999996</v>
      </c>
      <c r="E2357">
        <v>-0.06</v>
      </c>
      <c r="F2357">
        <v>5.0999999999999996</v>
      </c>
      <c r="G2357">
        <v>5.1100000000000003</v>
      </c>
      <c r="H2357">
        <v>66810</v>
      </c>
      <c r="I2357">
        <v>524</v>
      </c>
      <c r="J2357">
        <v>0</v>
      </c>
      <c r="K2357">
        <v>1.38</v>
      </c>
      <c r="L2357">
        <v>5.17</v>
      </c>
      <c r="M2357">
        <v>5.28</v>
      </c>
      <c r="N2357">
        <v>5.0999999999999996</v>
      </c>
      <c r="O2357">
        <v>5.16</v>
      </c>
      <c r="P2357">
        <v>31.43</v>
      </c>
      <c r="Q2357">
        <v>34704448</v>
      </c>
      <c r="R2357">
        <v>1</v>
      </c>
      <c r="S2357" t="s">
        <v>863</v>
      </c>
      <c r="T2357" t="s">
        <v>796</v>
      </c>
      <c r="U2357">
        <v>3.49</v>
      </c>
      <c r="V2357">
        <v>5.19</v>
      </c>
      <c r="W2357">
        <v>37228</v>
      </c>
      <c r="X2357">
        <v>29582</v>
      </c>
      <c r="Y2357">
        <v>1.26</v>
      </c>
      <c r="Z2357">
        <v>60</v>
      </c>
      <c r="AA2357">
        <v>1194</v>
      </c>
      <c r="AB2357" t="s">
        <v>116</v>
      </c>
      <c r="AC2357">
        <v>100300</v>
      </c>
      <c r="AD2357">
        <v>0.01</v>
      </c>
      <c r="AE2357" t="s">
        <v>116</v>
      </c>
      <c r="AF2357" t="s">
        <v>116</v>
      </c>
      <c r="AG2357">
        <v>4.8499999999999996</v>
      </c>
      <c r="AH2357" t="s">
        <v>11043</v>
      </c>
      <c r="AI2357" t="s">
        <v>11043</v>
      </c>
      <c r="AJ2357">
        <v>-1.0900000000000001</v>
      </c>
      <c r="AK2357">
        <v>1197</v>
      </c>
      <c r="AL2357">
        <v>56</v>
      </c>
      <c r="AM2357">
        <v>1.1999999999999999E-3</v>
      </c>
      <c r="AN2357">
        <v>-1</v>
      </c>
      <c r="AO2357">
        <v>0.2</v>
      </c>
      <c r="AP2357">
        <v>6.03</v>
      </c>
      <c r="AQ2357">
        <v>-3.59</v>
      </c>
      <c r="AR2357">
        <v>29.44</v>
      </c>
      <c r="AS2357">
        <v>3.02</v>
      </c>
      <c r="AT2357" t="s">
        <v>6452</v>
      </c>
      <c r="AU2357">
        <v>763.22</v>
      </c>
      <c r="AV2357" t="s">
        <v>116</v>
      </c>
      <c r="AW2357">
        <v>1.75</v>
      </c>
      <c r="BA2357">
        <v>0.19</v>
      </c>
      <c r="BB2357">
        <v>2.33</v>
      </c>
      <c r="BC2357">
        <v>-1.1599999999999999</v>
      </c>
      <c r="BD2357">
        <v>0.67</v>
      </c>
      <c r="BE2357">
        <v>-1.35</v>
      </c>
      <c r="BF2357">
        <v>-3.41</v>
      </c>
      <c r="BG2357">
        <v>0</v>
      </c>
      <c r="BH2357">
        <v>-1.83</v>
      </c>
      <c r="BI2357">
        <v>20191031</v>
      </c>
      <c r="BJ2357">
        <v>19981210</v>
      </c>
      <c r="BK2357">
        <v>4.8499999999999996</v>
      </c>
      <c r="BL2357" t="s">
        <v>116</v>
      </c>
      <c r="BM2357" t="s">
        <v>116</v>
      </c>
      <c r="BN2357">
        <v>21.33</v>
      </c>
      <c r="BO2357">
        <v>18.87</v>
      </c>
      <c r="BP2357">
        <v>0</v>
      </c>
      <c r="BQ2357">
        <v>11.5</v>
      </c>
      <c r="BR2357">
        <v>2.25</v>
      </c>
      <c r="BS2357">
        <v>0.98</v>
      </c>
      <c r="BT2357">
        <v>0.39</v>
      </c>
      <c r="BU2357">
        <v>1.1200000000000001</v>
      </c>
      <c r="BV2357">
        <v>0.05</v>
      </c>
      <c r="BW2357">
        <v>0.05</v>
      </c>
      <c r="BX2357">
        <v>5.78</v>
      </c>
      <c r="BY2357">
        <v>0.72</v>
      </c>
      <c r="BZ2357">
        <v>0.69</v>
      </c>
      <c r="CA2357">
        <v>0.59</v>
      </c>
      <c r="CB2357">
        <v>0.92</v>
      </c>
      <c r="CC2357">
        <v>0.59</v>
      </c>
      <c r="CD2357">
        <v>0.59</v>
      </c>
      <c r="CE2357">
        <v>0.59</v>
      </c>
      <c r="CF2357">
        <v>0.59</v>
      </c>
      <c r="CG2357">
        <v>3.08</v>
      </c>
      <c r="CH2357">
        <v>-0.02</v>
      </c>
      <c r="CI2357">
        <v>-0.23</v>
      </c>
      <c r="CJ2357">
        <v>35291</v>
      </c>
      <c r="CK2357">
        <v>6276</v>
      </c>
      <c r="CL2357" t="s">
        <v>1590</v>
      </c>
      <c r="CM2357">
        <v>197.02</v>
      </c>
      <c r="CN2357">
        <v>1297.03</v>
      </c>
      <c r="CO2357">
        <v>1.31</v>
      </c>
      <c r="CP2357">
        <v>-1283.1500000000001</v>
      </c>
      <c r="CQ2357">
        <v>34.229999999999997</v>
      </c>
      <c r="CR2357">
        <v>0</v>
      </c>
      <c r="CS2357" t="s">
        <v>3604</v>
      </c>
      <c r="CT2357">
        <v>3.89</v>
      </c>
      <c r="CU2357">
        <v>0</v>
      </c>
      <c r="CV2357">
        <v>1.19</v>
      </c>
      <c r="CW2357">
        <v>0.63</v>
      </c>
      <c r="CX2357">
        <v>0</v>
      </c>
      <c r="CY2357">
        <v>88.5</v>
      </c>
      <c r="CZ2357" t="s">
        <v>5816</v>
      </c>
      <c r="DA2357">
        <v>4.4400000000000004</v>
      </c>
      <c r="DB2357">
        <v>82.32</v>
      </c>
      <c r="DC2357">
        <v>81.680000000000007</v>
      </c>
      <c r="DD2357">
        <v>0</v>
      </c>
      <c r="DE2357">
        <v>504</v>
      </c>
      <c r="DF2357">
        <v>600191</v>
      </c>
      <c r="DG2357" t="s">
        <v>116</v>
      </c>
      <c r="DH2357" t="s">
        <v>116</v>
      </c>
      <c r="DI2357" t="s">
        <v>116</v>
      </c>
    </row>
    <row r="2358" spans="1:113" x14ac:dyDescent="0.4">
      <c r="A2358" t="str">
        <f>"600192"</f>
        <v>600192</v>
      </c>
      <c r="B2358" t="s">
        <v>11044</v>
      </c>
      <c r="C2358">
        <v>-2.1</v>
      </c>
      <c r="D2358">
        <v>5.13</v>
      </c>
      <c r="E2358">
        <v>-0.11</v>
      </c>
      <c r="F2358">
        <v>5.12</v>
      </c>
      <c r="G2358">
        <v>5.13</v>
      </c>
      <c r="H2358">
        <v>64269</v>
      </c>
      <c r="I2358">
        <v>1039</v>
      </c>
      <c r="J2358">
        <v>0</v>
      </c>
      <c r="K2358">
        <v>1.45</v>
      </c>
      <c r="L2358">
        <v>5.22</v>
      </c>
      <c r="M2358">
        <v>5.24</v>
      </c>
      <c r="N2358">
        <v>5.1100000000000003</v>
      </c>
      <c r="O2358">
        <v>5.24</v>
      </c>
      <c r="P2358">
        <v>173.63</v>
      </c>
      <c r="Q2358">
        <v>33312456</v>
      </c>
      <c r="R2358">
        <v>0.93</v>
      </c>
      <c r="S2358" t="s">
        <v>397</v>
      </c>
      <c r="T2358" t="s">
        <v>1122</v>
      </c>
      <c r="U2358">
        <v>2.48</v>
      </c>
      <c r="V2358">
        <v>5.18</v>
      </c>
      <c r="W2358">
        <v>42016</v>
      </c>
      <c r="X2358">
        <v>22253</v>
      </c>
      <c r="Y2358">
        <v>1.89</v>
      </c>
      <c r="Z2358">
        <v>438</v>
      </c>
      <c r="AA2358">
        <v>290</v>
      </c>
      <c r="AB2358" t="s">
        <v>116</v>
      </c>
      <c r="AC2358">
        <v>174900</v>
      </c>
      <c r="AD2358">
        <v>0.01</v>
      </c>
      <c r="AE2358" t="s">
        <v>116</v>
      </c>
      <c r="AF2358" t="s">
        <v>116</v>
      </c>
      <c r="AG2358">
        <v>4.42</v>
      </c>
      <c r="AH2358" t="s">
        <v>8168</v>
      </c>
      <c r="AI2358" t="s">
        <v>8168</v>
      </c>
      <c r="AJ2358">
        <v>-2.02</v>
      </c>
      <c r="AK2358">
        <v>1224</v>
      </c>
      <c r="AL2358">
        <v>53</v>
      </c>
      <c r="AM2358">
        <v>1.1999999999999999E-3</v>
      </c>
      <c r="AN2358">
        <v>-1</v>
      </c>
      <c r="AO2358">
        <v>1.19</v>
      </c>
      <c r="AP2358">
        <v>5.99</v>
      </c>
      <c r="AQ2358">
        <v>-1.72</v>
      </c>
      <c r="AR2358">
        <v>21.45</v>
      </c>
      <c r="AS2358">
        <v>2.38</v>
      </c>
      <c r="AT2358" t="s">
        <v>11045</v>
      </c>
      <c r="AU2358">
        <v>268.48</v>
      </c>
      <c r="AV2358">
        <v>195.78</v>
      </c>
      <c r="AW2358">
        <v>1.53</v>
      </c>
      <c r="BA2358">
        <v>-0.38</v>
      </c>
      <c r="BB2358">
        <v>0</v>
      </c>
      <c r="BC2358">
        <v>-2.48</v>
      </c>
      <c r="BD2358">
        <v>-1.08</v>
      </c>
      <c r="BE2358">
        <v>-1.72</v>
      </c>
      <c r="BF2358">
        <v>-2.1</v>
      </c>
      <c r="BG2358">
        <v>0.39</v>
      </c>
      <c r="BH2358">
        <v>-1.02</v>
      </c>
      <c r="BI2358">
        <v>20191030</v>
      </c>
      <c r="BJ2358">
        <v>19981224</v>
      </c>
      <c r="BK2358">
        <v>4.42</v>
      </c>
      <c r="BL2358" t="s">
        <v>116</v>
      </c>
      <c r="BM2358" t="s">
        <v>116</v>
      </c>
      <c r="BN2358">
        <v>44.81</v>
      </c>
      <c r="BO2358">
        <v>19.38</v>
      </c>
      <c r="BP2358">
        <v>1.31</v>
      </c>
      <c r="BQ2358">
        <v>53.83</v>
      </c>
      <c r="BR2358">
        <v>32.35</v>
      </c>
      <c r="BS2358">
        <v>7.56</v>
      </c>
      <c r="BT2358">
        <v>1.6</v>
      </c>
      <c r="BU2358">
        <v>18.59</v>
      </c>
      <c r="BV2358">
        <v>9.9600000000000009</v>
      </c>
      <c r="BW2358">
        <v>14.51</v>
      </c>
      <c r="BX2358">
        <v>9.07</v>
      </c>
      <c r="BY2358">
        <v>12.92</v>
      </c>
      <c r="BZ2358">
        <v>10.14</v>
      </c>
      <c r="CA2358">
        <v>0.17</v>
      </c>
      <c r="CB2358">
        <v>0.02</v>
      </c>
      <c r="CC2358">
        <v>0.2</v>
      </c>
      <c r="CD2358">
        <v>0.14000000000000001</v>
      </c>
      <c r="CE2358">
        <v>0.1</v>
      </c>
      <c r="CF2358">
        <v>-0.05</v>
      </c>
      <c r="CG2358">
        <v>5.4</v>
      </c>
      <c r="CH2358">
        <v>-0.31</v>
      </c>
      <c r="CI2358">
        <v>-2.0299999999999998</v>
      </c>
      <c r="CJ2358">
        <v>40475</v>
      </c>
      <c r="CK2358">
        <v>6683</v>
      </c>
      <c r="CL2358" t="s">
        <v>1521</v>
      </c>
      <c r="CM2358">
        <v>-24.25</v>
      </c>
      <c r="CN2358">
        <v>-4.51</v>
      </c>
      <c r="CO2358">
        <v>1.17</v>
      </c>
      <c r="CP2358">
        <v>-72.91</v>
      </c>
      <c r="CQ2358">
        <v>1.75</v>
      </c>
      <c r="CR2358">
        <v>0.12</v>
      </c>
      <c r="CS2358" t="s">
        <v>3988</v>
      </c>
      <c r="CT2358">
        <v>4.3899999999999997</v>
      </c>
      <c r="CU2358">
        <v>0</v>
      </c>
      <c r="CV2358">
        <v>2.0499999999999998</v>
      </c>
      <c r="CW2358">
        <v>1.22</v>
      </c>
      <c r="CX2358">
        <v>-7.0000000000000007E-2</v>
      </c>
      <c r="CY2358">
        <v>43.24</v>
      </c>
      <c r="CZ2358" t="s">
        <v>366</v>
      </c>
      <c r="DA2358">
        <v>21.58</v>
      </c>
      <c r="DB2358">
        <v>1.3</v>
      </c>
      <c r="DC2358">
        <v>0.76</v>
      </c>
      <c r="DD2358">
        <v>0.48</v>
      </c>
      <c r="DE2358">
        <v>3853</v>
      </c>
      <c r="DF2358">
        <v>600192</v>
      </c>
      <c r="DG2358" t="s">
        <v>116</v>
      </c>
      <c r="DH2358" t="s">
        <v>116</v>
      </c>
      <c r="DI2358" t="s">
        <v>116</v>
      </c>
    </row>
    <row r="2359" spans="1:113" x14ac:dyDescent="0.4">
      <c r="A2359" t="str">
        <f>"600193"</f>
        <v>600193</v>
      </c>
      <c r="B2359" t="s">
        <v>11046</v>
      </c>
      <c r="C2359">
        <v>1.5</v>
      </c>
      <c r="D2359">
        <v>4.05</v>
      </c>
      <c r="E2359">
        <v>0.06</v>
      </c>
      <c r="F2359">
        <v>4.05</v>
      </c>
      <c r="G2359">
        <v>4.0599999999999996</v>
      </c>
      <c r="H2359">
        <v>31501</v>
      </c>
      <c r="I2359">
        <v>310</v>
      </c>
      <c r="J2359">
        <v>-0.24</v>
      </c>
      <c r="K2359">
        <v>0.74</v>
      </c>
      <c r="L2359">
        <v>3.98</v>
      </c>
      <c r="M2359">
        <v>4.09</v>
      </c>
      <c r="N2359">
        <v>3.98</v>
      </c>
      <c r="O2359">
        <v>3.99</v>
      </c>
      <c r="P2359">
        <v>72.709999999999994</v>
      </c>
      <c r="Q2359">
        <v>12779409</v>
      </c>
      <c r="R2359">
        <v>1.62</v>
      </c>
      <c r="S2359" t="s">
        <v>3331</v>
      </c>
      <c r="T2359" t="s">
        <v>1653</v>
      </c>
      <c r="U2359">
        <v>2.76</v>
      </c>
      <c r="V2359">
        <v>4.0599999999999996</v>
      </c>
      <c r="W2359">
        <v>12412</v>
      </c>
      <c r="X2359">
        <v>19089</v>
      </c>
      <c r="Y2359">
        <v>0.65</v>
      </c>
      <c r="Z2359">
        <v>15</v>
      </c>
      <c r="AA2359">
        <v>10</v>
      </c>
      <c r="AB2359" t="s">
        <v>116</v>
      </c>
      <c r="AC2359">
        <v>80400</v>
      </c>
      <c r="AD2359">
        <v>0.01</v>
      </c>
      <c r="AE2359" t="s">
        <v>116</v>
      </c>
      <c r="AF2359" t="s">
        <v>116</v>
      </c>
      <c r="AG2359">
        <v>4.25</v>
      </c>
      <c r="AH2359" t="s">
        <v>11047</v>
      </c>
      <c r="AI2359" t="s">
        <v>11047</v>
      </c>
      <c r="AJ2359">
        <v>1.58</v>
      </c>
      <c r="AK2359">
        <v>328</v>
      </c>
      <c r="AL2359">
        <v>96</v>
      </c>
      <c r="AM2359">
        <v>2.3E-3</v>
      </c>
      <c r="AN2359">
        <v>4</v>
      </c>
      <c r="AO2359">
        <v>2.5299999999999998</v>
      </c>
      <c r="AP2359">
        <v>16.71</v>
      </c>
      <c r="AQ2359">
        <v>18.77</v>
      </c>
      <c r="AR2359">
        <v>28.98</v>
      </c>
      <c r="AS2359">
        <v>1.1499999999999999</v>
      </c>
      <c r="AT2359" t="s">
        <v>5264</v>
      </c>
      <c r="AU2359">
        <v>63.38</v>
      </c>
      <c r="AV2359">
        <v>60.04</v>
      </c>
      <c r="AW2359">
        <v>0.57999999999999996</v>
      </c>
      <c r="BA2359">
        <v>-0.25</v>
      </c>
      <c r="BB2359">
        <v>2.5099999999999998</v>
      </c>
      <c r="BC2359">
        <v>-0.25</v>
      </c>
      <c r="BD2359">
        <v>1.67</v>
      </c>
      <c r="BE2359">
        <v>1.76</v>
      </c>
      <c r="BF2359">
        <v>-0.98</v>
      </c>
      <c r="BG2359">
        <v>1.76</v>
      </c>
      <c r="BH2359">
        <v>-0.17</v>
      </c>
      <c r="BI2359">
        <v>20191031</v>
      </c>
      <c r="BJ2359">
        <v>19990527</v>
      </c>
      <c r="BK2359">
        <v>4.25</v>
      </c>
      <c r="BL2359" t="s">
        <v>116</v>
      </c>
      <c r="BM2359" t="s">
        <v>116</v>
      </c>
      <c r="BN2359">
        <v>8.07</v>
      </c>
      <c r="BO2359">
        <v>2.4300000000000002</v>
      </c>
      <c r="BP2359">
        <v>0.21</v>
      </c>
      <c r="BQ2359">
        <v>67.260000000000005</v>
      </c>
      <c r="BR2359">
        <v>5.41</v>
      </c>
      <c r="BS2359">
        <v>0</v>
      </c>
      <c r="BT2359">
        <v>0.08</v>
      </c>
      <c r="BU2359">
        <v>5.4</v>
      </c>
      <c r="BV2359">
        <v>3.55</v>
      </c>
      <c r="BW2359">
        <v>1.24</v>
      </c>
      <c r="BX2359">
        <v>1.48</v>
      </c>
      <c r="BY2359">
        <v>3.32</v>
      </c>
      <c r="BZ2359">
        <v>2.83</v>
      </c>
      <c r="CA2359">
        <v>0.27</v>
      </c>
      <c r="CB2359">
        <v>-0.02</v>
      </c>
      <c r="CC2359">
        <v>0.28999999999999998</v>
      </c>
      <c r="CD2359">
        <v>0.22</v>
      </c>
      <c r="CE2359">
        <v>0.18</v>
      </c>
      <c r="CF2359">
        <v>0.16</v>
      </c>
      <c r="CG2359">
        <v>-3.79</v>
      </c>
      <c r="CH2359">
        <v>-0.2</v>
      </c>
      <c r="CI2359">
        <v>-0.24</v>
      </c>
      <c r="CJ2359">
        <v>35890</v>
      </c>
      <c r="CK2359">
        <v>7658</v>
      </c>
      <c r="CL2359" t="s">
        <v>4691</v>
      </c>
      <c r="CM2359">
        <v>-7.84</v>
      </c>
      <c r="CN2359">
        <v>191.61</v>
      </c>
      <c r="CO2359">
        <v>7.08</v>
      </c>
      <c r="CP2359">
        <v>-86.15</v>
      </c>
      <c r="CQ2359">
        <v>5.19</v>
      </c>
      <c r="CR2359">
        <v>0</v>
      </c>
      <c r="CS2359" t="s">
        <v>145</v>
      </c>
      <c r="CT2359">
        <v>0.56999999999999995</v>
      </c>
      <c r="CU2359">
        <v>0</v>
      </c>
      <c r="CV2359">
        <v>0.35</v>
      </c>
      <c r="CW2359">
        <v>-0.89</v>
      </c>
      <c r="CX2359">
        <v>-0.05</v>
      </c>
      <c r="CY2359">
        <v>30.15</v>
      </c>
      <c r="CZ2359" t="s">
        <v>2056</v>
      </c>
      <c r="DA2359">
        <v>14.69</v>
      </c>
      <c r="DB2359">
        <v>8.18</v>
      </c>
      <c r="DC2359">
        <v>5.36</v>
      </c>
      <c r="DD2359">
        <v>0</v>
      </c>
      <c r="DE2359">
        <v>67</v>
      </c>
      <c r="DF2359">
        <v>600193</v>
      </c>
      <c r="DG2359" t="s">
        <v>116</v>
      </c>
      <c r="DH2359" t="s">
        <v>116</v>
      </c>
      <c r="DI2359" t="s">
        <v>116</v>
      </c>
    </row>
    <row r="2360" spans="1:113" x14ac:dyDescent="0.4">
      <c r="A2360" t="str">
        <f>"600195"</f>
        <v>600195</v>
      </c>
      <c r="B2360" t="s">
        <v>11048</v>
      </c>
      <c r="C2360">
        <v>-6.84</v>
      </c>
      <c r="D2360">
        <v>11.72</v>
      </c>
      <c r="E2360">
        <v>-0.86</v>
      </c>
      <c r="F2360">
        <v>11.72</v>
      </c>
      <c r="G2360">
        <v>11.73</v>
      </c>
      <c r="H2360">
        <v>640314</v>
      </c>
      <c r="I2360">
        <v>3804</v>
      </c>
      <c r="J2360">
        <v>0</v>
      </c>
      <c r="K2360">
        <v>7.6</v>
      </c>
      <c r="L2360">
        <v>11.81</v>
      </c>
      <c r="M2360">
        <v>11.92</v>
      </c>
      <c r="N2360">
        <v>11.32</v>
      </c>
      <c r="O2360">
        <v>12.58</v>
      </c>
      <c r="P2360">
        <v>27.24</v>
      </c>
      <c r="Q2360">
        <v>745222080</v>
      </c>
      <c r="R2360">
        <v>2.6</v>
      </c>
      <c r="S2360" t="s">
        <v>389</v>
      </c>
      <c r="T2360" t="s">
        <v>165</v>
      </c>
      <c r="U2360">
        <v>4.7699999999999996</v>
      </c>
      <c r="V2360">
        <v>11.64</v>
      </c>
      <c r="W2360">
        <v>350249</v>
      </c>
      <c r="X2360">
        <v>290065</v>
      </c>
      <c r="Y2360">
        <v>1.21</v>
      </c>
      <c r="Z2360">
        <v>1002</v>
      </c>
      <c r="AA2360">
        <v>765</v>
      </c>
      <c r="AB2360" t="s">
        <v>116</v>
      </c>
      <c r="AC2360">
        <v>43575200</v>
      </c>
      <c r="AD2360">
        <v>0.87</v>
      </c>
      <c r="AE2360" t="s">
        <v>116</v>
      </c>
      <c r="AF2360" t="s">
        <v>116</v>
      </c>
      <c r="AG2360">
        <v>8.42</v>
      </c>
      <c r="AH2360" t="s">
        <v>983</v>
      </c>
      <c r="AI2360" t="s">
        <v>983</v>
      </c>
      <c r="AJ2360">
        <v>-6.76</v>
      </c>
      <c r="AK2360">
        <v>4107</v>
      </c>
      <c r="AL2360">
        <v>156</v>
      </c>
      <c r="AM2360">
        <v>1.9E-3</v>
      </c>
      <c r="AN2360">
        <v>-2</v>
      </c>
      <c r="AO2360">
        <v>-6.69</v>
      </c>
      <c r="AP2360">
        <v>-3.93</v>
      </c>
      <c r="AQ2360">
        <v>-17.7</v>
      </c>
      <c r="AR2360">
        <v>57.8</v>
      </c>
      <c r="AS2360">
        <v>15.18</v>
      </c>
      <c r="AT2360" t="s">
        <v>3610</v>
      </c>
      <c r="AU2360">
        <v>28.25</v>
      </c>
      <c r="AV2360">
        <v>23.75</v>
      </c>
      <c r="AW2360">
        <v>1.01</v>
      </c>
      <c r="BA2360">
        <v>-6.12</v>
      </c>
      <c r="BB2360">
        <v>-5.25</v>
      </c>
      <c r="BC2360">
        <v>-10.02</v>
      </c>
      <c r="BD2360">
        <v>-7.49</v>
      </c>
      <c r="BE2360">
        <v>-0.76</v>
      </c>
      <c r="BF2360">
        <v>-1.68</v>
      </c>
      <c r="BG2360">
        <v>3.53</v>
      </c>
      <c r="BH2360">
        <v>0.65</v>
      </c>
      <c r="BI2360">
        <v>20191030</v>
      </c>
      <c r="BJ2360">
        <v>19990107</v>
      </c>
      <c r="BK2360">
        <v>8.42</v>
      </c>
      <c r="BL2360" t="s">
        <v>116</v>
      </c>
      <c r="BM2360" t="s">
        <v>116</v>
      </c>
      <c r="BN2360">
        <v>58.28</v>
      </c>
      <c r="BO2360">
        <v>41.39</v>
      </c>
      <c r="BP2360">
        <v>5.12</v>
      </c>
      <c r="BQ2360">
        <v>20.21</v>
      </c>
      <c r="BR2360">
        <v>24.17</v>
      </c>
      <c r="BS2360">
        <v>13.81</v>
      </c>
      <c r="BT2360">
        <v>6.34</v>
      </c>
      <c r="BU2360">
        <v>11.2</v>
      </c>
      <c r="BV2360">
        <v>8.14</v>
      </c>
      <c r="BW2360">
        <v>7.87</v>
      </c>
      <c r="BX2360">
        <v>6.29</v>
      </c>
      <c r="BY2360">
        <v>29.55</v>
      </c>
      <c r="BZ2360">
        <v>21.27</v>
      </c>
      <c r="CA2360">
        <v>3.41</v>
      </c>
      <c r="CB2360">
        <v>1.47</v>
      </c>
      <c r="CC2360">
        <v>3.46</v>
      </c>
      <c r="CD2360">
        <v>3.02</v>
      </c>
      <c r="CE2360">
        <v>2.72</v>
      </c>
      <c r="CF2360">
        <v>2.67</v>
      </c>
      <c r="CG2360">
        <v>23.67</v>
      </c>
      <c r="CH2360">
        <v>-3.01</v>
      </c>
      <c r="CI2360">
        <v>-4.5999999999999996</v>
      </c>
      <c r="CJ2360">
        <v>31500</v>
      </c>
      <c r="CK2360">
        <v>13395</v>
      </c>
      <c r="CL2360" t="s">
        <v>11049</v>
      </c>
      <c r="CM2360">
        <v>-19.579999999999998</v>
      </c>
      <c r="CN2360">
        <v>-7.47</v>
      </c>
      <c r="CO2360">
        <v>2.39</v>
      </c>
      <c r="CP2360">
        <v>-32.840000000000003</v>
      </c>
      <c r="CQ2360">
        <v>3.34</v>
      </c>
      <c r="CR2360">
        <v>1.47</v>
      </c>
      <c r="CS2360" t="s">
        <v>3767</v>
      </c>
      <c r="CT2360">
        <v>4.91</v>
      </c>
      <c r="CU2360">
        <v>0</v>
      </c>
      <c r="CV2360">
        <v>0.75</v>
      </c>
      <c r="CW2360">
        <v>2.81</v>
      </c>
      <c r="CX2360">
        <v>-0.36</v>
      </c>
      <c r="CY2360">
        <v>71.010000000000005</v>
      </c>
      <c r="CZ2360" t="s">
        <v>10603</v>
      </c>
      <c r="DA2360">
        <v>28</v>
      </c>
      <c r="DB2360">
        <v>11.53</v>
      </c>
      <c r="DC2360">
        <v>9.1999999999999993</v>
      </c>
      <c r="DD2360">
        <v>0.93</v>
      </c>
      <c r="DE2360">
        <v>4236</v>
      </c>
      <c r="DF2360">
        <v>600195</v>
      </c>
      <c r="DG2360" t="s">
        <v>116</v>
      </c>
      <c r="DH2360" t="s">
        <v>116</v>
      </c>
      <c r="DI2360" t="s">
        <v>116</v>
      </c>
    </row>
    <row r="2361" spans="1:113" x14ac:dyDescent="0.4">
      <c r="A2361" t="str">
        <f>"600196"</f>
        <v>600196</v>
      </c>
      <c r="B2361" t="s">
        <v>11050</v>
      </c>
      <c r="C2361">
        <v>-0.23</v>
      </c>
      <c r="D2361">
        <v>26.24</v>
      </c>
      <c r="E2361">
        <v>-0.06</v>
      </c>
      <c r="F2361">
        <v>26.24</v>
      </c>
      <c r="G2361">
        <v>26.25</v>
      </c>
      <c r="H2361">
        <v>161742</v>
      </c>
      <c r="I2361">
        <v>1911</v>
      </c>
      <c r="J2361">
        <v>0</v>
      </c>
      <c r="K2361">
        <v>0.8</v>
      </c>
      <c r="L2361">
        <v>26.31</v>
      </c>
      <c r="M2361">
        <v>26.68</v>
      </c>
      <c r="N2361">
        <v>26.21</v>
      </c>
      <c r="O2361">
        <v>26.3</v>
      </c>
      <c r="P2361">
        <v>24.44</v>
      </c>
      <c r="Q2361">
        <v>428697952</v>
      </c>
      <c r="R2361">
        <v>1.32</v>
      </c>
      <c r="S2361" t="s">
        <v>574</v>
      </c>
      <c r="T2361" t="s">
        <v>1653</v>
      </c>
      <c r="U2361">
        <v>1.79</v>
      </c>
      <c r="V2361">
        <v>26.51</v>
      </c>
      <c r="W2361">
        <v>75561</v>
      </c>
      <c r="X2361">
        <v>86182</v>
      </c>
      <c r="Y2361">
        <v>0.88</v>
      </c>
      <c r="Z2361">
        <v>163</v>
      </c>
      <c r="AA2361">
        <v>376</v>
      </c>
      <c r="AB2361" t="s">
        <v>116</v>
      </c>
      <c r="AC2361">
        <v>847200</v>
      </c>
      <c r="AD2361">
        <v>0</v>
      </c>
      <c r="AE2361" t="s">
        <v>116</v>
      </c>
      <c r="AF2361" t="s">
        <v>116</v>
      </c>
      <c r="AG2361">
        <v>20.11</v>
      </c>
      <c r="AH2361" t="s">
        <v>11051</v>
      </c>
      <c r="AI2361" t="s">
        <v>11051</v>
      </c>
      <c r="AJ2361">
        <v>-0.15</v>
      </c>
      <c r="AK2361">
        <v>3526</v>
      </c>
      <c r="AL2361">
        <v>46</v>
      </c>
      <c r="AM2361">
        <v>2.0000000000000001E-4</v>
      </c>
      <c r="AN2361">
        <v>-1</v>
      </c>
      <c r="AO2361">
        <v>-0.76</v>
      </c>
      <c r="AP2361">
        <v>4.33</v>
      </c>
      <c r="AQ2361">
        <v>4.09</v>
      </c>
      <c r="AR2361">
        <v>14.34</v>
      </c>
      <c r="AS2361">
        <v>1.51</v>
      </c>
      <c r="AT2361" t="s">
        <v>11052</v>
      </c>
      <c r="AU2361">
        <v>25.12</v>
      </c>
      <c r="AV2361">
        <v>24.83</v>
      </c>
      <c r="AW2361">
        <v>0.74</v>
      </c>
      <c r="BA2361">
        <v>0.04</v>
      </c>
      <c r="BB2361">
        <v>1.44</v>
      </c>
      <c r="BC2361">
        <v>-0.34</v>
      </c>
      <c r="BD2361">
        <v>0.78</v>
      </c>
      <c r="BE2361">
        <v>-0.27</v>
      </c>
      <c r="BF2361">
        <v>-1.65</v>
      </c>
      <c r="BG2361">
        <v>0.11</v>
      </c>
      <c r="BH2361">
        <v>-1.01</v>
      </c>
      <c r="BI2361">
        <v>20191107</v>
      </c>
      <c r="BJ2361">
        <v>19980807</v>
      </c>
      <c r="BK2361">
        <v>25.63</v>
      </c>
      <c r="BL2361" t="s">
        <v>116</v>
      </c>
      <c r="BM2361">
        <v>5.52</v>
      </c>
      <c r="BN2361">
        <v>785.69</v>
      </c>
      <c r="BO2361">
        <v>306.33999999999997</v>
      </c>
      <c r="BP2361">
        <v>73.180000000000007</v>
      </c>
      <c r="BQ2361">
        <v>51.7</v>
      </c>
      <c r="BR2361">
        <v>234.1</v>
      </c>
      <c r="BS2361">
        <v>72.91</v>
      </c>
      <c r="BT2361">
        <v>78.739999999999995</v>
      </c>
      <c r="BU2361">
        <v>193.27</v>
      </c>
      <c r="BV2361">
        <v>38.590000000000003</v>
      </c>
      <c r="BW2361">
        <v>44.63</v>
      </c>
      <c r="BX2361">
        <v>119.18</v>
      </c>
      <c r="BY2361">
        <v>212.28</v>
      </c>
      <c r="BZ2361">
        <v>85.37</v>
      </c>
      <c r="CA2361">
        <v>29.31</v>
      </c>
      <c r="CB2361">
        <v>15.37</v>
      </c>
      <c r="CC2361">
        <v>29.59</v>
      </c>
      <c r="CD2361">
        <v>24.56</v>
      </c>
      <c r="CE2361">
        <v>20.64</v>
      </c>
      <c r="CF2361">
        <v>17.22</v>
      </c>
      <c r="CG2361">
        <v>140.18</v>
      </c>
      <c r="CH2361">
        <v>23.28</v>
      </c>
      <c r="CI2361">
        <v>24.32</v>
      </c>
      <c r="CJ2361">
        <v>127272</v>
      </c>
      <c r="CK2361">
        <v>8430</v>
      </c>
      <c r="CL2361" t="s">
        <v>11053</v>
      </c>
      <c r="CM2361">
        <v>-1.45</v>
      </c>
      <c r="CN2361">
        <v>17.010000000000002</v>
      </c>
      <c r="CO2361">
        <v>2.2000000000000002</v>
      </c>
      <c r="CP2361">
        <v>28.88</v>
      </c>
      <c r="CQ2361">
        <v>3.17</v>
      </c>
      <c r="CR2361">
        <v>1.22</v>
      </c>
      <c r="CS2361" t="s">
        <v>4366</v>
      </c>
      <c r="CT2361">
        <v>11.95</v>
      </c>
      <c r="CU2361">
        <v>0</v>
      </c>
      <c r="CV2361">
        <v>4.6500000000000004</v>
      </c>
      <c r="CW2361">
        <v>5.47</v>
      </c>
      <c r="CX2361">
        <v>0.91</v>
      </c>
      <c r="CY2361">
        <v>38.99</v>
      </c>
      <c r="CZ2361" t="s">
        <v>9535</v>
      </c>
      <c r="DA2361">
        <v>59.79</v>
      </c>
      <c r="DB2361">
        <v>13.81</v>
      </c>
      <c r="DC2361">
        <v>9.7200000000000006</v>
      </c>
      <c r="DD2361">
        <v>12.9</v>
      </c>
      <c r="DE2361">
        <v>28245</v>
      </c>
      <c r="DF2361">
        <v>600196</v>
      </c>
      <c r="DG2361" t="s">
        <v>116</v>
      </c>
      <c r="DH2361" t="s">
        <v>116</v>
      </c>
      <c r="DI2361" t="s">
        <v>116</v>
      </c>
    </row>
    <row r="2362" spans="1:113" x14ac:dyDescent="0.4">
      <c r="A2362" t="str">
        <f>"600197"</f>
        <v>600197</v>
      </c>
      <c r="B2362" t="s">
        <v>11054</v>
      </c>
      <c r="C2362">
        <v>-0.96</v>
      </c>
      <c r="D2362">
        <v>15.46</v>
      </c>
      <c r="E2362">
        <v>-0.15</v>
      </c>
      <c r="F2362">
        <v>15.46</v>
      </c>
      <c r="G2362">
        <v>15.47</v>
      </c>
      <c r="H2362">
        <v>60975</v>
      </c>
      <c r="I2362">
        <v>138</v>
      </c>
      <c r="J2362">
        <v>-0.12</v>
      </c>
      <c r="K2362">
        <v>1.38</v>
      </c>
      <c r="L2362">
        <v>15.72</v>
      </c>
      <c r="M2362">
        <v>15.87</v>
      </c>
      <c r="N2362">
        <v>15.46</v>
      </c>
      <c r="O2362">
        <v>15.61</v>
      </c>
      <c r="P2362">
        <v>16.91</v>
      </c>
      <c r="Q2362">
        <v>95588384</v>
      </c>
      <c r="R2362">
        <v>1.36</v>
      </c>
      <c r="S2362" t="s">
        <v>1212</v>
      </c>
      <c r="T2362" t="s">
        <v>616</v>
      </c>
      <c r="U2362">
        <v>2.63</v>
      </c>
      <c r="V2362">
        <v>15.68</v>
      </c>
      <c r="W2362">
        <v>34632</v>
      </c>
      <c r="X2362">
        <v>26343</v>
      </c>
      <c r="Y2362">
        <v>1.31</v>
      </c>
      <c r="Z2362">
        <v>253</v>
      </c>
      <c r="AA2362">
        <v>423</v>
      </c>
      <c r="AB2362" t="s">
        <v>116</v>
      </c>
      <c r="AC2362">
        <v>991900</v>
      </c>
      <c r="AD2362">
        <v>0.03</v>
      </c>
      <c r="AE2362" t="s">
        <v>116</v>
      </c>
      <c r="AF2362" t="s">
        <v>116</v>
      </c>
      <c r="AG2362">
        <v>4.41</v>
      </c>
      <c r="AH2362" t="s">
        <v>11055</v>
      </c>
      <c r="AI2362" t="s">
        <v>11055</v>
      </c>
      <c r="AJ2362">
        <v>-0.88</v>
      </c>
      <c r="AK2362">
        <v>2297</v>
      </c>
      <c r="AL2362">
        <v>27</v>
      </c>
      <c r="AM2362">
        <v>5.9999999999999995E-4</v>
      </c>
      <c r="AN2362">
        <v>-1</v>
      </c>
      <c r="AO2362">
        <v>0.79</v>
      </c>
      <c r="AP2362">
        <v>4.5999999999999996</v>
      </c>
      <c r="AQ2362">
        <v>-8.74</v>
      </c>
      <c r="AR2362">
        <v>21.92</v>
      </c>
      <c r="AS2362">
        <v>2.79</v>
      </c>
      <c r="AT2362" t="s">
        <v>9467</v>
      </c>
      <c r="AU2362">
        <v>15.47</v>
      </c>
      <c r="AV2362">
        <v>15.93</v>
      </c>
      <c r="AW2362">
        <v>1.29</v>
      </c>
      <c r="BA2362">
        <v>0.7</v>
      </c>
      <c r="BB2362">
        <v>1.67</v>
      </c>
      <c r="BC2362">
        <v>-0.96</v>
      </c>
      <c r="BD2362">
        <v>0.43</v>
      </c>
      <c r="BE2362">
        <v>-1.65</v>
      </c>
      <c r="BF2362">
        <v>-2.58</v>
      </c>
      <c r="BG2362">
        <v>0</v>
      </c>
      <c r="BH2362">
        <v>-1.39</v>
      </c>
      <c r="BI2362">
        <v>20191026</v>
      </c>
      <c r="BJ2362">
        <v>19990916</v>
      </c>
      <c r="BK2362">
        <v>4.41</v>
      </c>
      <c r="BL2362" t="s">
        <v>116</v>
      </c>
      <c r="BM2362" t="s">
        <v>116</v>
      </c>
      <c r="BN2362">
        <v>40.89</v>
      </c>
      <c r="BO2362">
        <v>27.03</v>
      </c>
      <c r="BP2362">
        <v>0.65</v>
      </c>
      <c r="BQ2362">
        <v>32.31</v>
      </c>
      <c r="BR2362">
        <v>27.72</v>
      </c>
      <c r="BS2362">
        <v>3.62</v>
      </c>
      <c r="BT2362">
        <v>0.78</v>
      </c>
      <c r="BU2362">
        <v>5.86</v>
      </c>
      <c r="BV2362">
        <v>7.07</v>
      </c>
      <c r="BW2362">
        <v>0.09</v>
      </c>
      <c r="BX2362">
        <v>2.13</v>
      </c>
      <c r="BY2362">
        <v>15.11</v>
      </c>
      <c r="BZ2362">
        <v>7.52</v>
      </c>
      <c r="CA2362">
        <v>4.4400000000000004</v>
      </c>
      <c r="CB2362">
        <v>0.23</v>
      </c>
      <c r="CC2362">
        <v>4.41</v>
      </c>
      <c r="CD2362">
        <v>3.04</v>
      </c>
      <c r="CE2362">
        <v>3.02</v>
      </c>
      <c r="CF2362">
        <v>2.85</v>
      </c>
      <c r="CG2362">
        <v>16.11</v>
      </c>
      <c r="CH2362">
        <v>2.73</v>
      </c>
      <c r="CI2362">
        <v>4.38</v>
      </c>
      <c r="CJ2362">
        <v>45107</v>
      </c>
      <c r="CK2362">
        <v>4842</v>
      </c>
      <c r="CL2362" t="s">
        <v>9503</v>
      </c>
      <c r="CM2362">
        <v>4.3899999999999997</v>
      </c>
      <c r="CN2362">
        <v>0.83</v>
      </c>
      <c r="CO2362">
        <v>2.68</v>
      </c>
      <c r="CP2362">
        <v>24.99</v>
      </c>
      <c r="CQ2362">
        <v>4.51</v>
      </c>
      <c r="CR2362">
        <v>2.2400000000000002</v>
      </c>
      <c r="CS2362" t="s">
        <v>10626</v>
      </c>
      <c r="CT2362">
        <v>5.76</v>
      </c>
      <c r="CU2362">
        <v>5.76</v>
      </c>
      <c r="CV2362">
        <v>0.48</v>
      </c>
      <c r="CW2362">
        <v>3.65</v>
      </c>
      <c r="CX2362">
        <v>0.62</v>
      </c>
      <c r="CY2362">
        <v>66.099999999999994</v>
      </c>
      <c r="CZ2362" t="s">
        <v>11056</v>
      </c>
      <c r="DA2362">
        <v>50.24</v>
      </c>
      <c r="DB2362">
        <v>29.37</v>
      </c>
      <c r="DC2362">
        <v>20.02</v>
      </c>
      <c r="DD2362">
        <v>0.12</v>
      </c>
      <c r="DE2362">
        <v>2015</v>
      </c>
      <c r="DF2362">
        <v>600197</v>
      </c>
      <c r="DG2362" t="s">
        <v>116</v>
      </c>
      <c r="DH2362" t="s">
        <v>116</v>
      </c>
      <c r="DI2362" t="s">
        <v>116</v>
      </c>
    </row>
    <row r="2363" spans="1:113" x14ac:dyDescent="0.4">
      <c r="A2363" t="str">
        <f>"600198"</f>
        <v>600198</v>
      </c>
      <c r="B2363" t="s">
        <v>11057</v>
      </c>
      <c r="C2363">
        <v>-3.28</v>
      </c>
      <c r="D2363">
        <v>10.63</v>
      </c>
      <c r="E2363">
        <v>-0.36</v>
      </c>
      <c r="F2363">
        <v>10.63</v>
      </c>
      <c r="G2363">
        <v>10.64</v>
      </c>
      <c r="H2363">
        <v>203652</v>
      </c>
      <c r="I2363">
        <v>1756</v>
      </c>
      <c r="J2363">
        <v>0.09</v>
      </c>
      <c r="K2363">
        <v>2.31</v>
      </c>
      <c r="L2363">
        <v>10.99</v>
      </c>
      <c r="M2363">
        <v>11.03</v>
      </c>
      <c r="N2363">
        <v>10.58</v>
      </c>
      <c r="O2363">
        <v>10.99</v>
      </c>
      <c r="P2363" t="s">
        <v>116</v>
      </c>
      <c r="Q2363">
        <v>220750992</v>
      </c>
      <c r="R2363">
        <v>0.91</v>
      </c>
      <c r="S2363" t="s">
        <v>465</v>
      </c>
      <c r="T2363" t="s">
        <v>165</v>
      </c>
      <c r="U2363">
        <v>4.09</v>
      </c>
      <c r="V2363">
        <v>10.84</v>
      </c>
      <c r="W2363">
        <v>116155</v>
      </c>
      <c r="X2363">
        <v>87497</v>
      </c>
      <c r="Y2363">
        <v>1.33</v>
      </c>
      <c r="Z2363">
        <v>1158</v>
      </c>
      <c r="AA2363">
        <v>353</v>
      </c>
      <c r="AB2363" t="s">
        <v>116</v>
      </c>
      <c r="AC2363">
        <v>364900</v>
      </c>
      <c r="AD2363">
        <v>0.01</v>
      </c>
      <c r="AE2363" t="s">
        <v>116</v>
      </c>
      <c r="AF2363" t="s">
        <v>116</v>
      </c>
      <c r="AG2363">
        <v>8.8000000000000007</v>
      </c>
      <c r="AH2363" t="s">
        <v>11058</v>
      </c>
      <c r="AI2363" t="s">
        <v>11059</v>
      </c>
      <c r="AJ2363">
        <v>-3.2</v>
      </c>
      <c r="AK2363">
        <v>3255</v>
      </c>
      <c r="AL2363">
        <v>63</v>
      </c>
      <c r="AM2363">
        <v>6.9999999999999999E-4</v>
      </c>
      <c r="AN2363">
        <v>-1</v>
      </c>
      <c r="AO2363">
        <v>1.04</v>
      </c>
      <c r="AP2363">
        <v>13.45</v>
      </c>
      <c r="AQ2363">
        <v>-1.02</v>
      </c>
      <c r="AR2363">
        <v>57.48</v>
      </c>
      <c r="AS2363">
        <v>3.5</v>
      </c>
      <c r="AT2363" t="s">
        <v>4722</v>
      </c>
      <c r="AU2363" t="s">
        <v>116</v>
      </c>
      <c r="AV2363">
        <v>16.18</v>
      </c>
      <c r="AW2363">
        <v>1.3</v>
      </c>
      <c r="BA2363">
        <v>0</v>
      </c>
      <c r="BB2363">
        <v>0.36</v>
      </c>
      <c r="BC2363">
        <v>-3.73</v>
      </c>
      <c r="BD2363">
        <v>-1.37</v>
      </c>
      <c r="BE2363">
        <v>-3.28</v>
      </c>
      <c r="BF2363">
        <v>-3.63</v>
      </c>
      <c r="BG2363">
        <v>0.47</v>
      </c>
      <c r="BH2363">
        <v>-1.91</v>
      </c>
      <c r="BI2363">
        <v>20191026</v>
      </c>
      <c r="BJ2363">
        <v>19981021</v>
      </c>
      <c r="BK2363">
        <v>8.82</v>
      </c>
      <c r="BL2363" t="s">
        <v>116</v>
      </c>
      <c r="BM2363" t="s">
        <v>116</v>
      </c>
      <c r="BN2363">
        <v>63.25</v>
      </c>
      <c r="BO2363">
        <v>-3.53</v>
      </c>
      <c r="BP2363">
        <v>3.84</v>
      </c>
      <c r="BQ2363">
        <v>99.51</v>
      </c>
      <c r="BR2363">
        <v>29.64</v>
      </c>
      <c r="BS2363">
        <v>5.07</v>
      </c>
      <c r="BT2363">
        <v>4.49</v>
      </c>
      <c r="BU2363">
        <v>49.31</v>
      </c>
      <c r="BV2363">
        <v>5.0199999999999996</v>
      </c>
      <c r="BW2363">
        <v>11.6</v>
      </c>
      <c r="BX2363">
        <v>36.79</v>
      </c>
      <c r="BY2363">
        <v>8.6199999999999992</v>
      </c>
      <c r="BZ2363">
        <v>5.72</v>
      </c>
      <c r="CA2363">
        <v>-5.47</v>
      </c>
      <c r="CB2363">
        <v>-1.42</v>
      </c>
      <c r="CC2363">
        <v>-5.75</v>
      </c>
      <c r="CD2363">
        <v>-5.87</v>
      </c>
      <c r="CE2363">
        <v>-5.54</v>
      </c>
      <c r="CF2363">
        <v>-5.99</v>
      </c>
      <c r="CG2363">
        <v>-49.6</v>
      </c>
      <c r="CH2363">
        <v>0.4</v>
      </c>
      <c r="CI2363">
        <v>-5.87</v>
      </c>
      <c r="CJ2363">
        <v>95122</v>
      </c>
      <c r="CK2363">
        <v>6109</v>
      </c>
      <c r="CL2363" t="s">
        <v>2589</v>
      </c>
      <c r="CM2363">
        <v>-319.60000000000002</v>
      </c>
      <c r="CN2363">
        <v>-45.1</v>
      </c>
      <c r="CO2363">
        <v>-26.56</v>
      </c>
      <c r="CP2363">
        <v>234.79</v>
      </c>
      <c r="CQ2363">
        <v>10.87</v>
      </c>
      <c r="CR2363">
        <v>0</v>
      </c>
      <c r="CS2363" t="s">
        <v>11060</v>
      </c>
      <c r="CT2363">
        <v>-0.4</v>
      </c>
      <c r="CU2363">
        <v>0</v>
      </c>
      <c r="CV2363">
        <v>4.17</v>
      </c>
      <c r="CW2363">
        <v>-5.62</v>
      </c>
      <c r="CX2363">
        <v>0.05</v>
      </c>
      <c r="CY2363">
        <v>-5.58</v>
      </c>
      <c r="CZ2363" t="s">
        <v>116</v>
      </c>
      <c r="DA2363">
        <v>33.67</v>
      </c>
      <c r="DB2363">
        <v>-63.47</v>
      </c>
      <c r="DC2363">
        <v>-64.25</v>
      </c>
      <c r="DD2363">
        <v>1.81</v>
      </c>
      <c r="DE2363">
        <v>1886</v>
      </c>
      <c r="DF2363">
        <v>600198</v>
      </c>
      <c r="DG2363" t="s">
        <v>116</v>
      </c>
      <c r="DH2363" t="s">
        <v>116</v>
      </c>
      <c r="DI2363" t="s">
        <v>116</v>
      </c>
    </row>
    <row r="2364" spans="1:113" x14ac:dyDescent="0.4">
      <c r="A2364" t="str">
        <f>"600199"</f>
        <v>600199</v>
      </c>
      <c r="B2364" t="s">
        <v>11061</v>
      </c>
      <c r="C2364">
        <v>-0.97</v>
      </c>
      <c r="D2364">
        <v>6.13</v>
      </c>
      <c r="E2364">
        <v>-0.06</v>
      </c>
      <c r="F2364">
        <v>6.13</v>
      </c>
      <c r="G2364">
        <v>6.14</v>
      </c>
      <c r="H2364">
        <v>109588</v>
      </c>
      <c r="I2364">
        <v>506</v>
      </c>
      <c r="J2364">
        <v>0</v>
      </c>
      <c r="K2364">
        <v>1.97</v>
      </c>
      <c r="L2364">
        <v>6.19</v>
      </c>
      <c r="M2364">
        <v>6.28</v>
      </c>
      <c r="N2364">
        <v>6.11</v>
      </c>
      <c r="O2364">
        <v>6.19</v>
      </c>
      <c r="P2364" t="s">
        <v>116</v>
      </c>
      <c r="Q2364">
        <v>67865728</v>
      </c>
      <c r="R2364">
        <v>1.47</v>
      </c>
      <c r="S2364" t="s">
        <v>1212</v>
      </c>
      <c r="T2364" t="s">
        <v>575</v>
      </c>
      <c r="U2364">
        <v>2.75</v>
      </c>
      <c r="V2364">
        <v>6.19</v>
      </c>
      <c r="W2364">
        <v>63099</v>
      </c>
      <c r="X2364">
        <v>46489</v>
      </c>
      <c r="Y2364">
        <v>1.36</v>
      </c>
      <c r="Z2364">
        <v>476</v>
      </c>
      <c r="AA2364">
        <v>1296</v>
      </c>
      <c r="AB2364" t="s">
        <v>116</v>
      </c>
      <c r="AC2364">
        <v>292800</v>
      </c>
      <c r="AD2364">
        <v>0.01</v>
      </c>
      <c r="AE2364" t="s">
        <v>116</v>
      </c>
      <c r="AF2364" t="s">
        <v>116</v>
      </c>
      <c r="AG2364">
        <v>5.56</v>
      </c>
      <c r="AH2364" t="s">
        <v>8600</v>
      </c>
      <c r="AI2364" t="s">
        <v>11062</v>
      </c>
      <c r="AJ2364">
        <v>-0.89</v>
      </c>
      <c r="AK2364">
        <v>2097</v>
      </c>
      <c r="AL2364">
        <v>52</v>
      </c>
      <c r="AM2364">
        <v>8.9999999999999998E-4</v>
      </c>
      <c r="AN2364">
        <v>-1</v>
      </c>
      <c r="AO2364">
        <v>1</v>
      </c>
      <c r="AP2364">
        <v>9.07</v>
      </c>
      <c r="AQ2364">
        <v>-7.4</v>
      </c>
      <c r="AR2364">
        <v>34.58</v>
      </c>
      <c r="AS2364">
        <v>2.9</v>
      </c>
      <c r="AT2364" t="s">
        <v>11063</v>
      </c>
      <c r="AU2364">
        <v>140.71</v>
      </c>
      <c r="AV2364">
        <v>39.58</v>
      </c>
      <c r="AW2364">
        <v>1.04</v>
      </c>
      <c r="BA2364">
        <v>0</v>
      </c>
      <c r="BB2364">
        <v>1.45</v>
      </c>
      <c r="BC2364">
        <v>-1.29</v>
      </c>
      <c r="BD2364">
        <v>0.05</v>
      </c>
      <c r="BE2364">
        <v>-0.97</v>
      </c>
      <c r="BF2364">
        <v>-2.39</v>
      </c>
      <c r="BG2364">
        <v>0.33</v>
      </c>
      <c r="BH2364">
        <v>-1.01</v>
      </c>
      <c r="BI2364">
        <v>20191031</v>
      </c>
      <c r="BJ2364">
        <v>19980812</v>
      </c>
      <c r="BK2364">
        <v>6.58</v>
      </c>
      <c r="BL2364" t="s">
        <v>116</v>
      </c>
      <c r="BM2364" t="s">
        <v>116</v>
      </c>
      <c r="BN2364">
        <v>36.96</v>
      </c>
      <c r="BO2364">
        <v>29.29</v>
      </c>
      <c r="BP2364">
        <v>0.06</v>
      </c>
      <c r="BQ2364">
        <v>20.57</v>
      </c>
      <c r="BR2364">
        <v>23.54</v>
      </c>
      <c r="BS2364">
        <v>4.66</v>
      </c>
      <c r="BT2364">
        <v>2.77</v>
      </c>
      <c r="BU2364">
        <v>5.92</v>
      </c>
      <c r="BV2364">
        <v>8.19</v>
      </c>
      <c r="BW2364">
        <v>0.83</v>
      </c>
      <c r="BX2364">
        <v>11.67</v>
      </c>
      <c r="BY2364">
        <v>6.93</v>
      </c>
      <c r="BZ2364">
        <v>4.28</v>
      </c>
      <c r="CA2364">
        <v>-0.72</v>
      </c>
      <c r="CB2364">
        <v>0.01</v>
      </c>
      <c r="CC2364">
        <v>-0.72</v>
      </c>
      <c r="CD2364">
        <v>-0.71</v>
      </c>
      <c r="CE2364">
        <v>-0.72</v>
      </c>
      <c r="CF2364">
        <v>-0.78</v>
      </c>
      <c r="CG2364">
        <v>8.6</v>
      </c>
      <c r="CH2364">
        <v>-1.73</v>
      </c>
      <c r="CI2364">
        <v>3.46</v>
      </c>
      <c r="CJ2364">
        <v>80964</v>
      </c>
      <c r="CK2364">
        <v>4663</v>
      </c>
      <c r="CL2364" t="s">
        <v>4809</v>
      </c>
      <c r="CM2364">
        <v>-4507.3500000000004</v>
      </c>
      <c r="CN2364">
        <v>-13.12</v>
      </c>
      <c r="CO2364">
        <v>1.38</v>
      </c>
      <c r="CP2364">
        <v>-23.34</v>
      </c>
      <c r="CQ2364">
        <v>5.82</v>
      </c>
      <c r="CR2364">
        <v>0.24</v>
      </c>
      <c r="CS2364" t="s">
        <v>2384</v>
      </c>
      <c r="CT2364">
        <v>4.45</v>
      </c>
      <c r="CU2364">
        <v>0</v>
      </c>
      <c r="CV2364">
        <v>1.77</v>
      </c>
      <c r="CW2364">
        <v>1.31</v>
      </c>
      <c r="CX2364">
        <v>-0.26</v>
      </c>
      <c r="CY2364">
        <v>79.25</v>
      </c>
      <c r="CZ2364" t="s">
        <v>11064</v>
      </c>
      <c r="DA2364">
        <v>38.21</v>
      </c>
      <c r="DB2364">
        <v>-10.37</v>
      </c>
      <c r="DC2364">
        <v>-10.33</v>
      </c>
      <c r="DD2364">
        <v>0.14000000000000001</v>
      </c>
      <c r="DE2364">
        <v>3114</v>
      </c>
      <c r="DF2364">
        <v>600199</v>
      </c>
      <c r="DG2364" t="s">
        <v>116</v>
      </c>
      <c r="DH2364" t="s">
        <v>116</v>
      </c>
      <c r="DI2364" t="s">
        <v>116</v>
      </c>
    </row>
    <row r="2365" spans="1:113" x14ac:dyDescent="0.4">
      <c r="A2365" t="str">
        <f>"600200"</f>
        <v>600200</v>
      </c>
      <c r="B2365" t="s">
        <v>11065</v>
      </c>
      <c r="C2365">
        <v>1.58</v>
      </c>
      <c r="D2365">
        <v>5.13</v>
      </c>
      <c r="E2365">
        <v>0.08</v>
      </c>
      <c r="F2365">
        <v>5.12</v>
      </c>
      <c r="G2365">
        <v>5.13</v>
      </c>
      <c r="H2365">
        <v>124118</v>
      </c>
      <c r="I2365">
        <v>2543</v>
      </c>
      <c r="J2365">
        <v>0.39</v>
      </c>
      <c r="K2365">
        <v>1.75</v>
      </c>
      <c r="L2365">
        <v>5.0599999999999996</v>
      </c>
      <c r="M2365">
        <v>5.19</v>
      </c>
      <c r="N2365">
        <v>5.05</v>
      </c>
      <c r="O2365">
        <v>5.05</v>
      </c>
      <c r="P2365">
        <v>49.56</v>
      </c>
      <c r="Q2365">
        <v>63799056</v>
      </c>
      <c r="R2365">
        <v>2.23</v>
      </c>
      <c r="S2365" t="s">
        <v>574</v>
      </c>
      <c r="T2365" t="s">
        <v>323</v>
      </c>
      <c r="U2365">
        <v>2.77</v>
      </c>
      <c r="V2365">
        <v>5.14</v>
      </c>
      <c r="W2365">
        <v>55784</v>
      </c>
      <c r="X2365">
        <v>68334</v>
      </c>
      <c r="Y2365">
        <v>0.82</v>
      </c>
      <c r="Z2365">
        <v>705</v>
      </c>
      <c r="AA2365">
        <v>228</v>
      </c>
      <c r="AB2365" t="s">
        <v>116</v>
      </c>
      <c r="AC2365">
        <v>45000</v>
      </c>
      <c r="AD2365">
        <v>0</v>
      </c>
      <c r="AE2365" t="s">
        <v>116</v>
      </c>
      <c r="AF2365" t="s">
        <v>116</v>
      </c>
      <c r="AG2365">
        <v>7.11</v>
      </c>
      <c r="AH2365" t="s">
        <v>4304</v>
      </c>
      <c r="AI2365" t="s">
        <v>11066</v>
      </c>
      <c r="AJ2365">
        <v>1.66</v>
      </c>
      <c r="AK2365">
        <v>1742</v>
      </c>
      <c r="AL2365">
        <v>71</v>
      </c>
      <c r="AM2365">
        <v>1E-3</v>
      </c>
      <c r="AN2365">
        <v>2</v>
      </c>
      <c r="AO2365">
        <v>2.19</v>
      </c>
      <c r="AP2365">
        <v>5.34</v>
      </c>
      <c r="AQ2365">
        <v>2.4</v>
      </c>
      <c r="AR2365">
        <v>-13.34</v>
      </c>
      <c r="AS2365">
        <v>2.11</v>
      </c>
      <c r="AT2365" t="s">
        <v>11067</v>
      </c>
      <c r="AU2365" t="s">
        <v>116</v>
      </c>
      <c r="AV2365" t="s">
        <v>116</v>
      </c>
      <c r="AW2365">
        <v>1.0900000000000001</v>
      </c>
      <c r="BA2365">
        <v>0.2</v>
      </c>
      <c r="BB2365">
        <v>2.77</v>
      </c>
      <c r="BC2365">
        <v>0</v>
      </c>
      <c r="BD2365">
        <v>1.79</v>
      </c>
      <c r="BE2365">
        <v>1.38</v>
      </c>
      <c r="BF2365">
        <v>-1.1599999999999999</v>
      </c>
      <c r="BG2365">
        <v>1.58</v>
      </c>
      <c r="BH2365">
        <v>-0.2</v>
      </c>
      <c r="BI2365">
        <v>20191026</v>
      </c>
      <c r="BJ2365">
        <v>19990401</v>
      </c>
      <c r="BK2365">
        <v>7.12</v>
      </c>
      <c r="BL2365" t="s">
        <v>116</v>
      </c>
      <c r="BM2365" t="s">
        <v>116</v>
      </c>
      <c r="BN2365">
        <v>39.950000000000003</v>
      </c>
      <c r="BO2365">
        <v>23.92</v>
      </c>
      <c r="BP2365">
        <v>0.06</v>
      </c>
      <c r="BQ2365">
        <v>39.950000000000003</v>
      </c>
      <c r="BR2365">
        <v>21</v>
      </c>
      <c r="BS2365">
        <v>5.35</v>
      </c>
      <c r="BT2365">
        <v>1.49</v>
      </c>
      <c r="BU2365">
        <v>14.97</v>
      </c>
      <c r="BV2365">
        <v>2.35</v>
      </c>
      <c r="BW2365">
        <v>6.59</v>
      </c>
      <c r="BX2365">
        <v>14.04</v>
      </c>
      <c r="BY2365">
        <v>15.18</v>
      </c>
      <c r="BZ2365">
        <v>10.35</v>
      </c>
      <c r="CA2365">
        <v>0.82</v>
      </c>
      <c r="CB2365">
        <v>1.45</v>
      </c>
      <c r="CC2365">
        <v>0.66</v>
      </c>
      <c r="CD2365">
        <v>0.55000000000000004</v>
      </c>
      <c r="CE2365">
        <v>0.55000000000000004</v>
      </c>
      <c r="CF2365">
        <v>-0.56000000000000005</v>
      </c>
      <c r="CG2365">
        <v>1.62</v>
      </c>
      <c r="CH2365">
        <v>0.73</v>
      </c>
      <c r="CI2365">
        <v>0.14000000000000001</v>
      </c>
      <c r="CJ2365">
        <v>73270</v>
      </c>
      <c r="CK2365">
        <v>8025</v>
      </c>
      <c r="CL2365" t="s">
        <v>3250</v>
      </c>
      <c r="CM2365">
        <v>-51.96</v>
      </c>
      <c r="CN2365">
        <v>8.5500000000000007</v>
      </c>
      <c r="CO2365">
        <v>1.53</v>
      </c>
      <c r="CP2365">
        <v>49.94</v>
      </c>
      <c r="CQ2365">
        <v>2.41</v>
      </c>
      <c r="CR2365">
        <v>0</v>
      </c>
      <c r="CS2365" t="s">
        <v>178</v>
      </c>
      <c r="CT2365">
        <v>3.36</v>
      </c>
      <c r="CU2365">
        <v>0</v>
      </c>
      <c r="CV2365">
        <v>1.97</v>
      </c>
      <c r="CW2365">
        <v>0.23</v>
      </c>
      <c r="CX2365">
        <v>0.1</v>
      </c>
      <c r="CY2365">
        <v>59.89</v>
      </c>
      <c r="CZ2365" t="s">
        <v>10736</v>
      </c>
      <c r="DA2365">
        <v>31.82</v>
      </c>
      <c r="DB2365">
        <v>5.4</v>
      </c>
      <c r="DC2365">
        <v>3.64</v>
      </c>
      <c r="DD2365">
        <v>0.11</v>
      </c>
      <c r="DE2365">
        <v>1791</v>
      </c>
      <c r="DF2365">
        <v>600200</v>
      </c>
      <c r="DG2365" t="s">
        <v>116</v>
      </c>
      <c r="DH2365" t="s">
        <v>116</v>
      </c>
      <c r="DI2365" t="s">
        <v>116</v>
      </c>
    </row>
    <row r="2366" spans="1:113" x14ac:dyDescent="0.4">
      <c r="A2366" t="str">
        <f>"600201"</f>
        <v>600201</v>
      </c>
      <c r="B2366" t="s">
        <v>11068</v>
      </c>
      <c r="C2366">
        <v>-1.21</v>
      </c>
      <c r="D2366">
        <v>18.809999999999999</v>
      </c>
      <c r="E2366">
        <v>-0.23</v>
      </c>
      <c r="F2366">
        <v>18.809999999999999</v>
      </c>
      <c r="G2366">
        <v>18.82</v>
      </c>
      <c r="H2366">
        <v>169059</v>
      </c>
      <c r="I2366">
        <v>1358</v>
      </c>
      <c r="J2366">
        <v>0.21</v>
      </c>
      <c r="K2366">
        <v>1.5</v>
      </c>
      <c r="L2366">
        <v>19</v>
      </c>
      <c r="M2366">
        <v>19.22</v>
      </c>
      <c r="N2366">
        <v>18.72</v>
      </c>
      <c r="O2366">
        <v>19.04</v>
      </c>
      <c r="P2366">
        <v>63.95</v>
      </c>
      <c r="Q2366">
        <v>320190944</v>
      </c>
      <c r="R2366">
        <v>0.85</v>
      </c>
      <c r="S2366" t="s">
        <v>132</v>
      </c>
      <c r="T2366" t="s">
        <v>796</v>
      </c>
      <c r="U2366">
        <v>2.63</v>
      </c>
      <c r="V2366">
        <v>18.940000000000001</v>
      </c>
      <c r="W2366">
        <v>94341</v>
      </c>
      <c r="X2366">
        <v>74718</v>
      </c>
      <c r="Y2366">
        <v>1.26</v>
      </c>
      <c r="Z2366">
        <v>1399</v>
      </c>
      <c r="AA2366">
        <v>21</v>
      </c>
      <c r="AB2366" t="s">
        <v>116</v>
      </c>
      <c r="AC2366">
        <v>1812600</v>
      </c>
      <c r="AD2366">
        <v>0.01</v>
      </c>
      <c r="AE2366" t="s">
        <v>116</v>
      </c>
      <c r="AF2366" t="s">
        <v>116</v>
      </c>
      <c r="AG2366">
        <v>11.26</v>
      </c>
      <c r="AH2366" t="s">
        <v>11069</v>
      </c>
      <c r="AI2366" t="s">
        <v>11069</v>
      </c>
      <c r="AJ2366">
        <v>-1.1299999999999999</v>
      </c>
      <c r="AK2366">
        <v>3437</v>
      </c>
      <c r="AL2366">
        <v>49</v>
      </c>
      <c r="AM2366">
        <v>4.0000000000000002E-4</v>
      </c>
      <c r="AN2366">
        <v>-1</v>
      </c>
      <c r="AO2366">
        <v>2.11</v>
      </c>
      <c r="AP2366">
        <v>0.11</v>
      </c>
      <c r="AQ2366">
        <v>1.51</v>
      </c>
      <c r="AR2366">
        <v>15.75</v>
      </c>
      <c r="AS2366">
        <v>1.72</v>
      </c>
      <c r="AT2366" t="s">
        <v>11070</v>
      </c>
      <c r="AU2366">
        <v>65.819999999999993</v>
      </c>
      <c r="AV2366">
        <v>28.08</v>
      </c>
      <c r="AW2366">
        <v>0.36</v>
      </c>
      <c r="BA2366">
        <v>-0.21</v>
      </c>
      <c r="BB2366">
        <v>0.95</v>
      </c>
      <c r="BC2366">
        <v>-1.68</v>
      </c>
      <c r="BD2366">
        <v>-0.53</v>
      </c>
      <c r="BE2366">
        <v>-1</v>
      </c>
      <c r="BF2366">
        <v>-2.13</v>
      </c>
      <c r="BG2366">
        <v>0.48</v>
      </c>
      <c r="BH2366">
        <v>-0.68</v>
      </c>
      <c r="BI2366">
        <v>20191019</v>
      </c>
      <c r="BJ2366">
        <v>19990115</v>
      </c>
      <c r="BK2366">
        <v>11.26</v>
      </c>
      <c r="BL2366" t="s">
        <v>116</v>
      </c>
      <c r="BM2366" t="s">
        <v>116</v>
      </c>
      <c r="BN2366">
        <v>56.09</v>
      </c>
      <c r="BO2366">
        <v>47.92</v>
      </c>
      <c r="BP2366">
        <v>1.99</v>
      </c>
      <c r="BQ2366">
        <v>11.01</v>
      </c>
      <c r="BR2366">
        <v>28.13</v>
      </c>
      <c r="BS2366">
        <v>7.39</v>
      </c>
      <c r="BT2366">
        <v>3.43</v>
      </c>
      <c r="BU2366">
        <v>4.13</v>
      </c>
      <c r="BV2366">
        <v>2.4500000000000002</v>
      </c>
      <c r="BW2366">
        <v>7.33</v>
      </c>
      <c r="BX2366">
        <v>8.81</v>
      </c>
      <c r="BY2366">
        <v>8.48</v>
      </c>
      <c r="BZ2366">
        <v>3.15</v>
      </c>
      <c r="CA2366">
        <v>2.67</v>
      </c>
      <c r="CB2366">
        <v>0.28999999999999998</v>
      </c>
      <c r="CC2366">
        <v>2.66</v>
      </c>
      <c r="CD2366">
        <v>2.56</v>
      </c>
      <c r="CE2366">
        <v>2.48</v>
      </c>
      <c r="CF2366">
        <v>2.42</v>
      </c>
      <c r="CG2366">
        <v>24.67</v>
      </c>
      <c r="CH2366">
        <v>1.25</v>
      </c>
      <c r="CI2366">
        <v>-1.44</v>
      </c>
      <c r="CJ2366">
        <v>38335</v>
      </c>
      <c r="CK2366">
        <v>25705</v>
      </c>
      <c r="CL2366" t="s">
        <v>11071</v>
      </c>
      <c r="CM2366">
        <v>-63.52</v>
      </c>
      <c r="CN2366">
        <v>-40.79</v>
      </c>
      <c r="CO2366">
        <v>4.42</v>
      </c>
      <c r="CP2366">
        <v>168.95</v>
      </c>
      <c r="CQ2366">
        <v>24.99</v>
      </c>
      <c r="CR2366">
        <v>1.92</v>
      </c>
      <c r="CS2366" t="s">
        <v>1528</v>
      </c>
      <c r="CT2366">
        <v>4.25</v>
      </c>
      <c r="CU2366">
        <v>0</v>
      </c>
      <c r="CV2366">
        <v>0.78</v>
      </c>
      <c r="CW2366">
        <v>2.19</v>
      </c>
      <c r="CX2366">
        <v>0.11</v>
      </c>
      <c r="CY2366">
        <v>85.44</v>
      </c>
      <c r="CZ2366" t="s">
        <v>9778</v>
      </c>
      <c r="DA2366">
        <v>62.83</v>
      </c>
      <c r="DB2366">
        <v>31.43</v>
      </c>
      <c r="DC2366">
        <v>29.3</v>
      </c>
      <c r="DD2366">
        <v>0.6</v>
      </c>
      <c r="DE2366">
        <v>1512</v>
      </c>
      <c r="DF2366">
        <v>600201</v>
      </c>
      <c r="DG2366" t="s">
        <v>116</v>
      </c>
      <c r="DH2366" t="s">
        <v>116</v>
      </c>
      <c r="DI2366" t="s">
        <v>116</v>
      </c>
    </row>
    <row r="2367" spans="1:113" x14ac:dyDescent="0.4">
      <c r="A2367" t="str">
        <f>"600202"</f>
        <v>600202</v>
      </c>
      <c r="B2367" t="s">
        <v>11072</v>
      </c>
      <c r="C2367">
        <v>-1.23</v>
      </c>
      <c r="D2367">
        <v>4.8099999999999996</v>
      </c>
      <c r="E2367">
        <v>-0.06</v>
      </c>
      <c r="F2367">
        <v>4.8099999999999996</v>
      </c>
      <c r="G2367">
        <v>4.83</v>
      </c>
      <c r="H2367">
        <v>38353</v>
      </c>
      <c r="I2367">
        <v>77</v>
      </c>
      <c r="J2367">
        <v>-0.2</v>
      </c>
      <c r="K2367">
        <v>1</v>
      </c>
      <c r="L2367">
        <v>4.87</v>
      </c>
      <c r="M2367">
        <v>4.92</v>
      </c>
      <c r="N2367">
        <v>4.79</v>
      </c>
      <c r="O2367">
        <v>4.87</v>
      </c>
      <c r="P2367">
        <v>34.200000000000003</v>
      </c>
      <c r="Q2367">
        <v>18646552</v>
      </c>
      <c r="R2367">
        <v>1.47</v>
      </c>
      <c r="S2367" t="s">
        <v>397</v>
      </c>
      <c r="T2367" t="s">
        <v>1287</v>
      </c>
      <c r="U2367">
        <v>2.67</v>
      </c>
      <c r="V2367">
        <v>4.8600000000000003</v>
      </c>
      <c r="W2367">
        <v>22800</v>
      </c>
      <c r="X2367">
        <v>15553</v>
      </c>
      <c r="Y2367">
        <v>1.47</v>
      </c>
      <c r="Z2367">
        <v>262</v>
      </c>
      <c r="AA2367">
        <v>676</v>
      </c>
      <c r="AB2367" t="s">
        <v>116</v>
      </c>
      <c r="AC2367">
        <v>12200</v>
      </c>
      <c r="AD2367">
        <v>0</v>
      </c>
      <c r="AE2367" t="s">
        <v>116</v>
      </c>
      <c r="AF2367" t="s">
        <v>116</v>
      </c>
      <c r="AG2367">
        <v>3.83</v>
      </c>
      <c r="AH2367" t="s">
        <v>6488</v>
      </c>
      <c r="AI2367" t="s">
        <v>6488</v>
      </c>
      <c r="AJ2367">
        <v>-1.1599999999999999</v>
      </c>
      <c r="AK2367">
        <v>654</v>
      </c>
      <c r="AL2367">
        <v>59</v>
      </c>
      <c r="AM2367">
        <v>1.5E-3</v>
      </c>
      <c r="AN2367">
        <v>-1</v>
      </c>
      <c r="AO2367">
        <v>1.48</v>
      </c>
      <c r="AP2367">
        <v>3.22</v>
      </c>
      <c r="AQ2367">
        <v>1.91</v>
      </c>
      <c r="AR2367">
        <v>46.2</v>
      </c>
      <c r="AS2367">
        <v>1.52</v>
      </c>
      <c r="AT2367" t="s">
        <v>6956</v>
      </c>
      <c r="AU2367">
        <v>36.53</v>
      </c>
      <c r="AV2367">
        <v>88.48</v>
      </c>
      <c r="AW2367">
        <v>1.18</v>
      </c>
      <c r="BA2367">
        <v>0</v>
      </c>
      <c r="BB2367">
        <v>1.03</v>
      </c>
      <c r="BC2367">
        <v>-1.64</v>
      </c>
      <c r="BD2367">
        <v>-0.17</v>
      </c>
      <c r="BE2367">
        <v>-1.23</v>
      </c>
      <c r="BF2367">
        <v>-2.2400000000000002</v>
      </c>
      <c r="BG2367">
        <v>0.42</v>
      </c>
      <c r="BH2367">
        <v>-1.06</v>
      </c>
      <c r="BI2367">
        <v>20191022</v>
      </c>
      <c r="BJ2367">
        <v>19990603</v>
      </c>
      <c r="BK2367">
        <v>3.83</v>
      </c>
      <c r="BL2367" t="s">
        <v>116</v>
      </c>
      <c r="BM2367" t="s">
        <v>116</v>
      </c>
      <c r="BN2367">
        <v>19.79</v>
      </c>
      <c r="BO2367">
        <v>6.57</v>
      </c>
      <c r="BP2367">
        <v>0</v>
      </c>
      <c r="BQ2367">
        <v>66.81</v>
      </c>
      <c r="BR2367">
        <v>13.98</v>
      </c>
      <c r="BS2367">
        <v>4.28</v>
      </c>
      <c r="BT2367">
        <v>0.38</v>
      </c>
      <c r="BU2367">
        <v>11.2</v>
      </c>
      <c r="BV2367">
        <v>4.29</v>
      </c>
      <c r="BW2367">
        <v>5.6</v>
      </c>
      <c r="BX2367">
        <v>0.78</v>
      </c>
      <c r="BY2367">
        <v>7.06</v>
      </c>
      <c r="BZ2367">
        <v>5.43</v>
      </c>
      <c r="CA2367">
        <v>0.42</v>
      </c>
      <c r="CB2367">
        <v>0</v>
      </c>
      <c r="CC2367">
        <v>0.42</v>
      </c>
      <c r="CD2367">
        <v>0.4</v>
      </c>
      <c r="CE2367">
        <v>0.4</v>
      </c>
      <c r="CF2367">
        <v>0.33</v>
      </c>
      <c r="CG2367">
        <v>0.63</v>
      </c>
      <c r="CH2367">
        <v>-0.22</v>
      </c>
      <c r="CI2367">
        <v>0.61</v>
      </c>
      <c r="CJ2367">
        <v>30558</v>
      </c>
      <c r="CK2367">
        <v>8276</v>
      </c>
      <c r="CL2367" t="s">
        <v>1713</v>
      </c>
      <c r="CM2367">
        <v>274.54000000000002</v>
      </c>
      <c r="CN2367">
        <v>81.290000000000006</v>
      </c>
      <c r="CO2367">
        <v>2.81</v>
      </c>
      <c r="CP2367">
        <v>-83.12</v>
      </c>
      <c r="CQ2367">
        <v>2.61</v>
      </c>
      <c r="CR2367">
        <v>0</v>
      </c>
      <c r="CS2367" t="s">
        <v>4800</v>
      </c>
      <c r="CT2367">
        <v>1.71</v>
      </c>
      <c r="CU2367">
        <v>0</v>
      </c>
      <c r="CV2367">
        <v>0.2</v>
      </c>
      <c r="CW2367">
        <v>0.16</v>
      </c>
      <c r="CX2367">
        <v>-0.06</v>
      </c>
      <c r="CY2367">
        <v>33.19</v>
      </c>
      <c r="CZ2367" t="s">
        <v>314</v>
      </c>
      <c r="DA2367">
        <v>23.1</v>
      </c>
      <c r="DB2367">
        <v>5.92</v>
      </c>
      <c r="DC2367">
        <v>5.73</v>
      </c>
      <c r="DD2367">
        <v>0.23</v>
      </c>
      <c r="DE2367">
        <v>560</v>
      </c>
      <c r="DF2367">
        <v>600202</v>
      </c>
      <c r="DG2367" t="s">
        <v>116</v>
      </c>
      <c r="DH2367" t="s">
        <v>116</v>
      </c>
      <c r="DI2367" t="s">
        <v>116</v>
      </c>
    </row>
    <row r="2368" spans="1:113" x14ac:dyDescent="0.4">
      <c r="A2368" t="str">
        <f>"600203"</f>
        <v>600203</v>
      </c>
      <c r="B2368" t="s">
        <v>11073</v>
      </c>
      <c r="C2368">
        <v>-2.0699999999999998</v>
      </c>
      <c r="D2368">
        <v>6.16</v>
      </c>
      <c r="E2368">
        <v>-0.13</v>
      </c>
      <c r="F2368">
        <v>6.16</v>
      </c>
      <c r="G2368">
        <v>6.17</v>
      </c>
      <c r="H2368">
        <v>58002</v>
      </c>
      <c r="I2368">
        <v>398</v>
      </c>
      <c r="J2368">
        <v>-0.15</v>
      </c>
      <c r="K2368">
        <v>1.3</v>
      </c>
      <c r="L2368">
        <v>6.29</v>
      </c>
      <c r="M2368">
        <v>6.36</v>
      </c>
      <c r="N2368">
        <v>6.16</v>
      </c>
      <c r="O2368">
        <v>6.29</v>
      </c>
      <c r="P2368">
        <v>63.1</v>
      </c>
      <c r="Q2368">
        <v>36356212</v>
      </c>
      <c r="R2368">
        <v>1.04</v>
      </c>
      <c r="S2368" t="s">
        <v>233</v>
      </c>
      <c r="T2368" t="s">
        <v>975</v>
      </c>
      <c r="U2368">
        <v>3.18</v>
      </c>
      <c r="V2368">
        <v>6.27</v>
      </c>
      <c r="W2368">
        <v>30794</v>
      </c>
      <c r="X2368">
        <v>27208</v>
      </c>
      <c r="Y2368">
        <v>1.1299999999999999</v>
      </c>
      <c r="Z2368">
        <v>615</v>
      </c>
      <c r="AA2368">
        <v>209</v>
      </c>
      <c r="AB2368" t="s">
        <v>116</v>
      </c>
      <c r="AC2368">
        <v>40900</v>
      </c>
      <c r="AD2368">
        <v>0</v>
      </c>
      <c r="AE2368" t="s">
        <v>116</v>
      </c>
      <c r="AF2368" t="s">
        <v>116</v>
      </c>
      <c r="AG2368">
        <v>4.46</v>
      </c>
      <c r="AH2368" t="s">
        <v>5460</v>
      </c>
      <c r="AI2368" t="s">
        <v>183</v>
      </c>
      <c r="AJ2368">
        <v>-1.99</v>
      </c>
      <c r="AK2368">
        <v>1401</v>
      </c>
      <c r="AL2368">
        <v>41</v>
      </c>
      <c r="AM2368">
        <v>8.9999999999999998E-4</v>
      </c>
      <c r="AN2368">
        <v>-2</v>
      </c>
      <c r="AO2368">
        <v>-2.06</v>
      </c>
      <c r="AP2368">
        <v>7.88</v>
      </c>
      <c r="AQ2368">
        <v>-4.79</v>
      </c>
      <c r="AR2368">
        <v>41.61</v>
      </c>
      <c r="AS2368">
        <v>1.88</v>
      </c>
      <c r="AT2368" t="s">
        <v>977</v>
      </c>
      <c r="AU2368">
        <v>50.84</v>
      </c>
      <c r="AV2368">
        <v>67.5</v>
      </c>
      <c r="AW2368">
        <v>1.78</v>
      </c>
      <c r="BA2368">
        <v>0</v>
      </c>
      <c r="BB2368">
        <v>1.1100000000000001</v>
      </c>
      <c r="BC2368">
        <v>-2.0699999999999998</v>
      </c>
      <c r="BD2368">
        <v>-0.35</v>
      </c>
      <c r="BE2368">
        <v>-2.0699999999999998</v>
      </c>
      <c r="BF2368">
        <v>-3.14</v>
      </c>
      <c r="BG2368">
        <v>0</v>
      </c>
      <c r="BH2368">
        <v>-1.72</v>
      </c>
      <c r="BI2368">
        <v>20191031</v>
      </c>
      <c r="BJ2368">
        <v>19990514</v>
      </c>
      <c r="BK2368">
        <v>4.5599999999999996</v>
      </c>
      <c r="BL2368" t="s">
        <v>116</v>
      </c>
      <c r="BM2368" t="s">
        <v>116</v>
      </c>
      <c r="BN2368">
        <v>80.09</v>
      </c>
      <c r="BO2368">
        <v>20.88</v>
      </c>
      <c r="BP2368">
        <v>0.66</v>
      </c>
      <c r="BQ2368">
        <v>73.099999999999994</v>
      </c>
      <c r="BR2368">
        <v>64.83</v>
      </c>
      <c r="BS2368">
        <v>6.1</v>
      </c>
      <c r="BT2368">
        <v>1.4</v>
      </c>
      <c r="BU2368">
        <v>56.86</v>
      </c>
      <c r="BV2368">
        <v>12.9</v>
      </c>
      <c r="BW2368">
        <v>28.68</v>
      </c>
      <c r="BX2368">
        <v>16.12</v>
      </c>
      <c r="BY2368">
        <v>85.14</v>
      </c>
      <c r="BZ2368">
        <v>79.569999999999993</v>
      </c>
      <c r="CA2368">
        <v>0.56999999999999995</v>
      </c>
      <c r="CB2368">
        <v>0.73</v>
      </c>
      <c r="CC2368">
        <v>0.56000000000000005</v>
      </c>
      <c r="CD2368">
        <v>0.44</v>
      </c>
      <c r="CE2368">
        <v>0.33</v>
      </c>
      <c r="CF2368">
        <v>-0.41</v>
      </c>
      <c r="CG2368">
        <v>-0.12</v>
      </c>
      <c r="CH2368">
        <v>2.52</v>
      </c>
      <c r="CI2368">
        <v>2.8</v>
      </c>
      <c r="CJ2368">
        <v>29667</v>
      </c>
      <c r="CK2368">
        <v>10398</v>
      </c>
      <c r="CL2368" t="s">
        <v>2206</v>
      </c>
      <c r="CM2368">
        <v>69.010000000000005</v>
      </c>
      <c r="CN2368">
        <v>16.149999999999999</v>
      </c>
      <c r="CO2368">
        <v>1.35</v>
      </c>
      <c r="CP2368">
        <v>11.16</v>
      </c>
      <c r="CQ2368">
        <v>0.33</v>
      </c>
      <c r="CR2368">
        <v>0</v>
      </c>
      <c r="CS2368" t="s">
        <v>1012</v>
      </c>
      <c r="CT2368">
        <v>4.57</v>
      </c>
      <c r="CU2368">
        <v>0</v>
      </c>
      <c r="CV2368">
        <v>3.53</v>
      </c>
      <c r="CW2368">
        <v>-0.03</v>
      </c>
      <c r="CX2368">
        <v>0.55000000000000004</v>
      </c>
      <c r="CY2368">
        <v>26.07</v>
      </c>
      <c r="CZ2368" t="s">
        <v>9621</v>
      </c>
      <c r="DA2368">
        <v>6.55</v>
      </c>
      <c r="DB2368">
        <v>0.67</v>
      </c>
      <c r="DC2368">
        <v>0.39</v>
      </c>
      <c r="DD2368">
        <v>2.68</v>
      </c>
      <c r="DE2368">
        <v>4297</v>
      </c>
      <c r="DF2368">
        <v>600203</v>
      </c>
      <c r="DG2368" t="s">
        <v>116</v>
      </c>
      <c r="DH2368" t="s">
        <v>116</v>
      </c>
      <c r="DI2368" t="s">
        <v>116</v>
      </c>
    </row>
    <row r="2369" spans="1:113" x14ac:dyDescent="0.4">
      <c r="A2369" t="str">
        <f>"600206"</f>
        <v>600206</v>
      </c>
      <c r="B2369" t="s">
        <v>11074</v>
      </c>
      <c r="C2369">
        <v>-3.02</v>
      </c>
      <c r="D2369">
        <v>12.2</v>
      </c>
      <c r="E2369">
        <v>-0.38</v>
      </c>
      <c r="F2369">
        <v>12.2</v>
      </c>
      <c r="G2369">
        <v>12.21</v>
      </c>
      <c r="H2369">
        <v>604876</v>
      </c>
      <c r="I2369">
        <v>7590</v>
      </c>
      <c r="J2369">
        <v>-0.72</v>
      </c>
      <c r="K2369">
        <v>7.21</v>
      </c>
      <c r="L2369">
        <v>12.39</v>
      </c>
      <c r="M2369">
        <v>12.49</v>
      </c>
      <c r="N2369">
        <v>12.14</v>
      </c>
      <c r="O2369">
        <v>12.58</v>
      </c>
      <c r="P2369">
        <v>103.1</v>
      </c>
      <c r="Q2369">
        <v>743524480</v>
      </c>
      <c r="R2369">
        <v>0.94</v>
      </c>
      <c r="S2369" t="s">
        <v>3507</v>
      </c>
      <c r="T2369" t="s">
        <v>165</v>
      </c>
      <c r="U2369">
        <v>2.78</v>
      </c>
      <c r="V2369">
        <v>12.29</v>
      </c>
      <c r="W2369">
        <v>342087</v>
      </c>
      <c r="X2369">
        <v>262789</v>
      </c>
      <c r="Y2369">
        <v>1.3</v>
      </c>
      <c r="Z2369">
        <v>2066</v>
      </c>
      <c r="AA2369">
        <v>1407</v>
      </c>
      <c r="AB2369" t="s">
        <v>116</v>
      </c>
      <c r="AC2369">
        <v>4319200</v>
      </c>
      <c r="AD2369">
        <v>0.06</v>
      </c>
      <c r="AE2369" t="s">
        <v>116</v>
      </c>
      <c r="AF2369" t="s">
        <v>116</v>
      </c>
      <c r="AG2369">
        <v>8.39</v>
      </c>
      <c r="AH2369" t="s">
        <v>3338</v>
      </c>
      <c r="AI2369" t="s">
        <v>11075</v>
      </c>
      <c r="AJ2369">
        <v>-2.94</v>
      </c>
      <c r="AK2369">
        <v>4414</v>
      </c>
      <c r="AL2369">
        <v>137</v>
      </c>
      <c r="AM2369">
        <v>1.6000000000000001E-3</v>
      </c>
      <c r="AN2369">
        <v>-1</v>
      </c>
      <c r="AO2369">
        <v>2.1800000000000002</v>
      </c>
      <c r="AP2369">
        <v>30.2</v>
      </c>
      <c r="AQ2369">
        <v>5.9</v>
      </c>
      <c r="AR2369">
        <v>87</v>
      </c>
      <c r="AS2369">
        <v>10.83</v>
      </c>
      <c r="AT2369" t="s">
        <v>5628</v>
      </c>
      <c r="AU2369">
        <v>120.11</v>
      </c>
      <c r="AV2369">
        <v>130.81</v>
      </c>
      <c r="AW2369">
        <v>2.09</v>
      </c>
      <c r="BA2369">
        <v>-1.51</v>
      </c>
      <c r="BB2369">
        <v>-0.72</v>
      </c>
      <c r="BC2369">
        <v>-3.5</v>
      </c>
      <c r="BD2369">
        <v>-2.29</v>
      </c>
      <c r="BE2369">
        <v>-1.53</v>
      </c>
      <c r="BF2369">
        <v>-2.3199999999999998</v>
      </c>
      <c r="BG2369">
        <v>0.49</v>
      </c>
      <c r="BH2369">
        <v>-0.73</v>
      </c>
      <c r="BI2369">
        <v>20191030</v>
      </c>
      <c r="BJ2369">
        <v>19990319</v>
      </c>
      <c r="BK2369">
        <v>8.4700000000000006</v>
      </c>
      <c r="BL2369" t="s">
        <v>116</v>
      </c>
      <c r="BM2369" t="s">
        <v>116</v>
      </c>
      <c r="BN2369">
        <v>36.31</v>
      </c>
      <c r="BO2369">
        <v>30.27</v>
      </c>
      <c r="BP2369">
        <v>1.7</v>
      </c>
      <c r="BQ2369">
        <v>11.98</v>
      </c>
      <c r="BR2369">
        <v>25.25</v>
      </c>
      <c r="BS2369">
        <v>3.65</v>
      </c>
      <c r="BT2369">
        <v>0.34</v>
      </c>
      <c r="BU2369">
        <v>2.93</v>
      </c>
      <c r="BV2369">
        <v>7.73</v>
      </c>
      <c r="BW2369">
        <v>4.08</v>
      </c>
      <c r="BX2369">
        <v>14.7</v>
      </c>
      <c r="BY2369">
        <v>72.16</v>
      </c>
      <c r="BZ2369">
        <v>69.400000000000006</v>
      </c>
      <c r="CA2369">
        <v>0.87</v>
      </c>
      <c r="CB2369">
        <v>0.24</v>
      </c>
      <c r="CC2369">
        <v>0.95</v>
      </c>
      <c r="CD2369">
        <v>0.8</v>
      </c>
      <c r="CE2369">
        <v>0.75</v>
      </c>
      <c r="CF2369">
        <v>0.43</v>
      </c>
      <c r="CG2369">
        <v>6.92</v>
      </c>
      <c r="CH2369">
        <v>-4.34</v>
      </c>
      <c r="CI2369">
        <v>-3.51</v>
      </c>
      <c r="CJ2369">
        <v>83432</v>
      </c>
      <c r="CK2369">
        <v>6696</v>
      </c>
      <c r="CL2369" t="s">
        <v>5051</v>
      </c>
      <c r="CM2369">
        <v>10.32</v>
      </c>
      <c r="CN2369">
        <v>123.12</v>
      </c>
      <c r="CO2369">
        <v>3.41</v>
      </c>
      <c r="CP2369">
        <v>-23.81</v>
      </c>
      <c r="CQ2369">
        <v>1.43</v>
      </c>
      <c r="CR2369">
        <v>0.05</v>
      </c>
      <c r="CS2369" t="s">
        <v>431</v>
      </c>
      <c r="CT2369">
        <v>3.57</v>
      </c>
      <c r="CU2369">
        <v>0</v>
      </c>
      <c r="CV2369">
        <v>1.74</v>
      </c>
      <c r="CW2369">
        <v>0.82</v>
      </c>
      <c r="CX2369">
        <v>-0.51</v>
      </c>
      <c r="CY2369">
        <v>83.34</v>
      </c>
      <c r="CZ2369" t="s">
        <v>4235</v>
      </c>
      <c r="DA2369">
        <v>3.82</v>
      </c>
      <c r="DB2369">
        <v>1.2</v>
      </c>
      <c r="DC2369">
        <v>1.04</v>
      </c>
      <c r="DD2369">
        <v>0.75</v>
      </c>
      <c r="DE2369">
        <v>1217</v>
      </c>
      <c r="DF2369">
        <v>600206</v>
      </c>
      <c r="DG2369" t="s">
        <v>116</v>
      </c>
      <c r="DH2369" t="s">
        <v>116</v>
      </c>
      <c r="DI2369" t="s">
        <v>116</v>
      </c>
    </row>
    <row r="2370" spans="1:113" x14ac:dyDescent="0.4">
      <c r="A2370" t="str">
        <f>"600207"</f>
        <v>600207</v>
      </c>
      <c r="B2370" t="s">
        <v>11076</v>
      </c>
      <c r="C2370">
        <v>-0.64</v>
      </c>
      <c r="D2370">
        <v>4.6399999999999997</v>
      </c>
      <c r="E2370">
        <v>-0.03</v>
      </c>
      <c r="F2370">
        <v>4.63</v>
      </c>
      <c r="G2370">
        <v>4.6399999999999997</v>
      </c>
      <c r="H2370">
        <v>53347</v>
      </c>
      <c r="I2370">
        <v>641</v>
      </c>
      <c r="J2370">
        <v>0.22</v>
      </c>
      <c r="K2370">
        <v>0.62</v>
      </c>
      <c r="L2370">
        <v>4.6500000000000004</v>
      </c>
      <c r="M2370">
        <v>4.6900000000000004</v>
      </c>
      <c r="N2370">
        <v>4.6100000000000003</v>
      </c>
      <c r="O2370">
        <v>4.67</v>
      </c>
      <c r="P2370">
        <v>111.01</v>
      </c>
      <c r="Q2370">
        <v>24780296</v>
      </c>
      <c r="R2370">
        <v>0.9</v>
      </c>
      <c r="S2370" t="s">
        <v>690</v>
      </c>
      <c r="T2370" t="s">
        <v>652</v>
      </c>
      <c r="U2370">
        <v>1.71</v>
      </c>
      <c r="V2370">
        <v>4.6500000000000004</v>
      </c>
      <c r="W2370">
        <v>31280</v>
      </c>
      <c r="X2370">
        <v>22067</v>
      </c>
      <c r="Y2370">
        <v>1.42</v>
      </c>
      <c r="Z2370">
        <v>1112</v>
      </c>
      <c r="AA2370">
        <v>1214</v>
      </c>
      <c r="AB2370" t="s">
        <v>116</v>
      </c>
      <c r="AC2370">
        <v>88800</v>
      </c>
      <c r="AD2370">
        <v>0.01</v>
      </c>
      <c r="AE2370" t="s">
        <v>116</v>
      </c>
      <c r="AF2370" t="s">
        <v>116</v>
      </c>
      <c r="AG2370">
        <v>8.6300000000000008</v>
      </c>
      <c r="AH2370" t="s">
        <v>6177</v>
      </c>
      <c r="AI2370" t="s">
        <v>6177</v>
      </c>
      <c r="AJ2370">
        <v>-0.56999999999999995</v>
      </c>
      <c r="AK2370">
        <v>1068</v>
      </c>
      <c r="AL2370">
        <v>50</v>
      </c>
      <c r="AM2370">
        <v>5.9999999999999995E-4</v>
      </c>
      <c r="AN2370">
        <v>-1</v>
      </c>
      <c r="AO2370">
        <v>2.2000000000000002</v>
      </c>
      <c r="AP2370">
        <v>1.75</v>
      </c>
      <c r="AQ2370">
        <v>-1.07</v>
      </c>
      <c r="AR2370">
        <v>6.91</v>
      </c>
      <c r="AS2370">
        <v>1.73</v>
      </c>
      <c r="AT2370" t="s">
        <v>11077</v>
      </c>
      <c r="AU2370" t="s">
        <v>116</v>
      </c>
      <c r="AV2370" t="s">
        <v>116</v>
      </c>
      <c r="AW2370">
        <v>1.27</v>
      </c>
      <c r="BA2370">
        <v>-0.43</v>
      </c>
      <c r="BB2370">
        <v>0.43</v>
      </c>
      <c r="BC2370">
        <v>-1.28</v>
      </c>
      <c r="BD2370">
        <v>-0.53</v>
      </c>
      <c r="BE2370">
        <v>-0.22</v>
      </c>
      <c r="BF2370">
        <v>-1.07</v>
      </c>
      <c r="BG2370">
        <v>0.65</v>
      </c>
      <c r="BH2370">
        <v>-0.11</v>
      </c>
      <c r="BI2370">
        <v>20191030</v>
      </c>
      <c r="BJ2370">
        <v>19990714</v>
      </c>
      <c r="BK2370">
        <v>8.6300000000000008</v>
      </c>
      <c r="BL2370" t="s">
        <v>116</v>
      </c>
      <c r="BM2370" t="s">
        <v>116</v>
      </c>
      <c r="BN2370">
        <v>19.670000000000002</v>
      </c>
      <c r="BO2370">
        <v>16</v>
      </c>
      <c r="BP2370">
        <v>0.31</v>
      </c>
      <c r="BQ2370">
        <v>17.09</v>
      </c>
      <c r="BR2370">
        <v>6.78</v>
      </c>
      <c r="BS2370">
        <v>4.6100000000000003</v>
      </c>
      <c r="BT2370">
        <v>1.87</v>
      </c>
      <c r="BU2370">
        <v>2.65</v>
      </c>
      <c r="BV2370">
        <v>1.41</v>
      </c>
      <c r="BW2370">
        <v>2.02</v>
      </c>
      <c r="BX2370">
        <v>28.81</v>
      </c>
      <c r="BY2370">
        <v>13.55</v>
      </c>
      <c r="BZ2370">
        <v>12.54</v>
      </c>
      <c r="CA2370">
        <v>-0.08</v>
      </c>
      <c r="CB2370">
        <v>-7.0000000000000007E-2</v>
      </c>
      <c r="CC2370">
        <v>0.44</v>
      </c>
      <c r="CD2370">
        <v>0.32</v>
      </c>
      <c r="CE2370">
        <v>0.27</v>
      </c>
      <c r="CF2370">
        <v>-0.4</v>
      </c>
      <c r="CG2370">
        <v>-25.36</v>
      </c>
      <c r="CH2370">
        <v>0.18</v>
      </c>
      <c r="CI2370">
        <v>-1.77</v>
      </c>
      <c r="CJ2370">
        <v>46420</v>
      </c>
      <c r="CK2370">
        <v>6637</v>
      </c>
      <c r="CL2370" t="s">
        <v>1243</v>
      </c>
      <c r="CM2370">
        <v>203.34</v>
      </c>
      <c r="CN2370">
        <v>-14.57</v>
      </c>
      <c r="CO2370">
        <v>2.5</v>
      </c>
      <c r="CP2370">
        <v>221.37</v>
      </c>
      <c r="CQ2370">
        <v>2.96</v>
      </c>
      <c r="CR2370">
        <v>0</v>
      </c>
      <c r="CS2370" t="s">
        <v>1650</v>
      </c>
      <c r="CT2370">
        <v>1.85</v>
      </c>
      <c r="CU2370">
        <v>0</v>
      </c>
      <c r="CV2370">
        <v>3.34</v>
      </c>
      <c r="CW2370">
        <v>-2.94</v>
      </c>
      <c r="CX2370">
        <v>0.02</v>
      </c>
      <c r="CY2370">
        <v>81.349999999999994</v>
      </c>
      <c r="CZ2370" t="s">
        <v>1702</v>
      </c>
      <c r="DA2370">
        <v>7.42</v>
      </c>
      <c r="DB2370">
        <v>-0.56999999999999995</v>
      </c>
      <c r="DC2370">
        <v>2</v>
      </c>
      <c r="DD2370">
        <v>0.01</v>
      </c>
      <c r="DE2370">
        <v>2257</v>
      </c>
      <c r="DF2370">
        <v>600207</v>
      </c>
      <c r="DG2370" t="s">
        <v>116</v>
      </c>
      <c r="DH2370" t="s">
        <v>116</v>
      </c>
      <c r="DI2370" t="s">
        <v>116</v>
      </c>
    </row>
    <row r="2371" spans="1:113" x14ac:dyDescent="0.4">
      <c r="A2371" t="str">
        <f>"600208"</f>
        <v>600208</v>
      </c>
      <c r="B2371" t="s">
        <v>11078</v>
      </c>
      <c r="C2371">
        <v>-0.8</v>
      </c>
      <c r="D2371">
        <v>3.71</v>
      </c>
      <c r="E2371">
        <v>-0.03</v>
      </c>
      <c r="F2371">
        <v>3.71</v>
      </c>
      <c r="G2371">
        <v>3.72</v>
      </c>
      <c r="H2371">
        <v>1371775</v>
      </c>
      <c r="I2371">
        <v>24516</v>
      </c>
      <c r="J2371">
        <v>0</v>
      </c>
      <c r="K2371">
        <v>1.6</v>
      </c>
      <c r="L2371">
        <v>3.75</v>
      </c>
      <c r="M2371">
        <v>3.8</v>
      </c>
      <c r="N2371">
        <v>3.71</v>
      </c>
      <c r="O2371">
        <v>3.74</v>
      </c>
      <c r="P2371">
        <v>9.74</v>
      </c>
      <c r="Q2371">
        <v>515281152</v>
      </c>
      <c r="R2371">
        <v>1.18</v>
      </c>
      <c r="S2371" t="s">
        <v>124</v>
      </c>
      <c r="T2371" t="s">
        <v>590</v>
      </c>
      <c r="U2371">
        <v>2.41</v>
      </c>
      <c r="V2371">
        <v>3.76</v>
      </c>
      <c r="W2371">
        <v>633371</v>
      </c>
      <c r="X2371">
        <v>738404</v>
      </c>
      <c r="Y2371">
        <v>0.86</v>
      </c>
      <c r="Z2371">
        <v>3250</v>
      </c>
      <c r="AA2371">
        <v>8688</v>
      </c>
      <c r="AB2371" t="s">
        <v>116</v>
      </c>
      <c r="AC2371">
        <v>2270600</v>
      </c>
      <c r="AD2371">
        <v>0.02</v>
      </c>
      <c r="AE2371" t="s">
        <v>116</v>
      </c>
      <c r="AF2371" t="s">
        <v>116</v>
      </c>
      <c r="AG2371">
        <v>85.98</v>
      </c>
      <c r="AH2371" t="s">
        <v>11079</v>
      </c>
      <c r="AI2371" t="s">
        <v>11080</v>
      </c>
      <c r="AJ2371">
        <v>-0.73</v>
      </c>
      <c r="AK2371">
        <v>4161</v>
      </c>
      <c r="AL2371">
        <v>330</v>
      </c>
      <c r="AM2371">
        <v>4.0000000000000002E-4</v>
      </c>
      <c r="AN2371">
        <v>-1</v>
      </c>
      <c r="AO2371">
        <v>-0.53</v>
      </c>
      <c r="AP2371">
        <v>-0.27</v>
      </c>
      <c r="AQ2371">
        <v>27.93</v>
      </c>
      <c r="AR2371">
        <v>30.59</v>
      </c>
      <c r="AS2371">
        <v>3.72</v>
      </c>
      <c r="AT2371" t="s">
        <v>2258</v>
      </c>
      <c r="AU2371">
        <v>9.99</v>
      </c>
      <c r="AV2371">
        <v>12.73</v>
      </c>
      <c r="AW2371">
        <v>1.54</v>
      </c>
      <c r="BA2371">
        <v>0.27</v>
      </c>
      <c r="BB2371">
        <v>1.6</v>
      </c>
      <c r="BC2371">
        <v>-0.8</v>
      </c>
      <c r="BD2371">
        <v>0.44</v>
      </c>
      <c r="BE2371">
        <v>-1.07</v>
      </c>
      <c r="BF2371">
        <v>-2.37</v>
      </c>
      <c r="BG2371">
        <v>0</v>
      </c>
      <c r="BH2371">
        <v>-1.24</v>
      </c>
      <c r="BI2371">
        <v>20191030</v>
      </c>
      <c r="BJ2371">
        <v>19990623</v>
      </c>
      <c r="BK2371">
        <v>85.99</v>
      </c>
      <c r="BL2371" t="s">
        <v>116</v>
      </c>
      <c r="BM2371" t="s">
        <v>116</v>
      </c>
      <c r="BN2371">
        <v>1415.46</v>
      </c>
      <c r="BO2371">
        <v>353.52</v>
      </c>
      <c r="BP2371">
        <v>7.54</v>
      </c>
      <c r="BQ2371">
        <v>74.489999999999995</v>
      </c>
      <c r="BR2371">
        <v>908.78</v>
      </c>
      <c r="BS2371">
        <v>5.19</v>
      </c>
      <c r="BT2371">
        <v>1.46</v>
      </c>
      <c r="BU2371">
        <v>490.14</v>
      </c>
      <c r="BV2371">
        <v>659.49</v>
      </c>
      <c r="BW2371">
        <v>2.2799999999999998</v>
      </c>
      <c r="BX2371">
        <v>79.72</v>
      </c>
      <c r="BY2371">
        <v>110.62</v>
      </c>
      <c r="BZ2371">
        <v>66.56</v>
      </c>
      <c r="CA2371">
        <v>30.87</v>
      </c>
      <c r="CB2371">
        <v>26.95</v>
      </c>
      <c r="CC2371">
        <v>30.46</v>
      </c>
      <c r="CD2371">
        <v>24.36</v>
      </c>
      <c r="CE2371">
        <v>24.57</v>
      </c>
      <c r="CF2371">
        <v>25.4</v>
      </c>
      <c r="CG2371">
        <v>180.45</v>
      </c>
      <c r="CH2371">
        <v>1.27</v>
      </c>
      <c r="CI2371">
        <v>-24.87</v>
      </c>
      <c r="CJ2371">
        <v>105835</v>
      </c>
      <c r="CK2371">
        <v>34856</v>
      </c>
      <c r="CL2371" t="s">
        <v>11081</v>
      </c>
      <c r="CM2371">
        <v>38.79</v>
      </c>
      <c r="CN2371">
        <v>56.19</v>
      </c>
      <c r="CO2371">
        <v>0.9</v>
      </c>
      <c r="CP2371">
        <v>251.77</v>
      </c>
      <c r="CQ2371">
        <v>2.88</v>
      </c>
      <c r="CR2371">
        <v>1.57</v>
      </c>
      <c r="CS2371" t="s">
        <v>230</v>
      </c>
      <c r="CT2371">
        <v>4.1100000000000003</v>
      </c>
      <c r="CU2371">
        <v>0</v>
      </c>
      <c r="CV2371">
        <v>0.93</v>
      </c>
      <c r="CW2371">
        <v>2.1</v>
      </c>
      <c r="CX2371">
        <v>0.01</v>
      </c>
      <c r="CY2371">
        <v>24.98</v>
      </c>
      <c r="CZ2371" t="s">
        <v>11082</v>
      </c>
      <c r="DA2371">
        <v>39.83</v>
      </c>
      <c r="DB2371">
        <v>27.9</v>
      </c>
      <c r="DC2371">
        <v>22.21</v>
      </c>
      <c r="DD2371">
        <v>0</v>
      </c>
      <c r="DE2371">
        <v>1427</v>
      </c>
      <c r="DF2371">
        <v>600208</v>
      </c>
      <c r="DG2371" t="s">
        <v>116</v>
      </c>
      <c r="DH2371" t="s">
        <v>116</v>
      </c>
      <c r="DI2371" t="s">
        <v>116</v>
      </c>
    </row>
    <row r="2372" spans="1:113" x14ac:dyDescent="0.4">
      <c r="A2372" t="str">
        <f>"600209"</f>
        <v>600209</v>
      </c>
      <c r="B2372" t="s">
        <v>11083</v>
      </c>
      <c r="C2372">
        <v>-3.24</v>
      </c>
      <c r="D2372">
        <v>3.29</v>
      </c>
      <c r="E2372">
        <v>-0.11</v>
      </c>
      <c r="F2372">
        <v>3.29</v>
      </c>
      <c r="G2372">
        <v>3.3</v>
      </c>
      <c r="H2372">
        <v>55554</v>
      </c>
      <c r="I2372">
        <v>1304</v>
      </c>
      <c r="J2372">
        <v>0</v>
      </c>
      <c r="K2372">
        <v>1.27</v>
      </c>
      <c r="L2372">
        <v>3.4</v>
      </c>
      <c r="M2372">
        <v>3.44</v>
      </c>
      <c r="N2372">
        <v>3.28</v>
      </c>
      <c r="O2372">
        <v>3.4</v>
      </c>
      <c r="P2372" t="s">
        <v>116</v>
      </c>
      <c r="Q2372">
        <v>18631564</v>
      </c>
      <c r="R2372">
        <v>0.71</v>
      </c>
      <c r="S2372" t="s">
        <v>173</v>
      </c>
      <c r="T2372" t="s">
        <v>851</v>
      </c>
      <c r="U2372">
        <v>4.71</v>
      </c>
      <c r="V2372">
        <v>3.35</v>
      </c>
      <c r="W2372">
        <v>36949</v>
      </c>
      <c r="X2372">
        <v>18605</v>
      </c>
      <c r="Y2372">
        <v>1.99</v>
      </c>
      <c r="Z2372">
        <v>319</v>
      </c>
      <c r="AA2372">
        <v>924</v>
      </c>
      <c r="AB2372" t="s">
        <v>116</v>
      </c>
      <c r="AC2372">
        <v>238000</v>
      </c>
      <c r="AD2372">
        <v>0.02</v>
      </c>
      <c r="AE2372" t="s">
        <v>116</v>
      </c>
      <c r="AF2372" t="s">
        <v>116</v>
      </c>
      <c r="AG2372">
        <v>4.3899999999999997</v>
      </c>
      <c r="AH2372" t="s">
        <v>8383</v>
      </c>
      <c r="AI2372" t="s">
        <v>8383</v>
      </c>
      <c r="AJ2372">
        <v>-3.16</v>
      </c>
      <c r="AK2372">
        <v>637</v>
      </c>
      <c r="AL2372">
        <v>87</v>
      </c>
      <c r="AM2372">
        <v>2E-3</v>
      </c>
      <c r="AN2372">
        <v>-1</v>
      </c>
      <c r="AO2372">
        <v>-7.34</v>
      </c>
      <c r="AP2372">
        <v>11.15</v>
      </c>
      <c r="AQ2372">
        <v>14.63</v>
      </c>
      <c r="AR2372">
        <v>-15.08</v>
      </c>
      <c r="AS2372">
        <v>1.67</v>
      </c>
      <c r="AT2372" t="s">
        <v>11084</v>
      </c>
      <c r="AU2372">
        <v>101.55</v>
      </c>
      <c r="AV2372">
        <v>174.56</v>
      </c>
      <c r="AW2372">
        <v>0.46</v>
      </c>
      <c r="BA2372">
        <v>0</v>
      </c>
      <c r="BB2372">
        <v>1.18</v>
      </c>
      <c r="BC2372">
        <v>-3.53</v>
      </c>
      <c r="BD2372">
        <v>-1.36</v>
      </c>
      <c r="BE2372">
        <v>-3.24</v>
      </c>
      <c r="BF2372">
        <v>-4.3600000000000003</v>
      </c>
      <c r="BG2372">
        <v>0.3</v>
      </c>
      <c r="BH2372">
        <v>-1.88</v>
      </c>
      <c r="BI2372">
        <v>20191026</v>
      </c>
      <c r="BJ2372">
        <v>19990325</v>
      </c>
      <c r="BK2372">
        <v>4.3899999999999997</v>
      </c>
      <c r="BL2372" t="s">
        <v>116</v>
      </c>
      <c r="BM2372" t="s">
        <v>116</v>
      </c>
      <c r="BN2372">
        <v>7.46</v>
      </c>
      <c r="BO2372">
        <v>5.82</v>
      </c>
      <c r="BP2372">
        <v>0.34</v>
      </c>
      <c r="BQ2372">
        <v>17.5</v>
      </c>
      <c r="BR2372">
        <v>3.45</v>
      </c>
      <c r="BS2372">
        <v>1.23</v>
      </c>
      <c r="BT2372">
        <v>0.1</v>
      </c>
      <c r="BU2372">
        <v>1.31</v>
      </c>
      <c r="BV2372">
        <v>0.46</v>
      </c>
      <c r="BW2372">
        <v>0.43</v>
      </c>
      <c r="BX2372">
        <v>0.97</v>
      </c>
      <c r="BY2372">
        <v>0.63</v>
      </c>
      <c r="BZ2372">
        <v>0.59</v>
      </c>
      <c r="CA2372">
        <v>-0.28000000000000003</v>
      </c>
      <c r="CB2372">
        <v>-0.01</v>
      </c>
      <c r="CC2372">
        <v>-0.28000000000000003</v>
      </c>
      <c r="CD2372">
        <v>-0.28000000000000003</v>
      </c>
      <c r="CE2372">
        <v>-0.21</v>
      </c>
      <c r="CF2372">
        <v>-0.21</v>
      </c>
      <c r="CG2372">
        <v>0.05</v>
      </c>
      <c r="CH2372">
        <v>-0.22</v>
      </c>
      <c r="CI2372">
        <v>-0.3</v>
      </c>
      <c r="CJ2372">
        <v>31662</v>
      </c>
      <c r="CK2372">
        <v>10478</v>
      </c>
      <c r="CL2372" t="s">
        <v>5041</v>
      </c>
      <c r="CM2372">
        <v>22.11</v>
      </c>
      <c r="CN2372">
        <v>11.92</v>
      </c>
      <c r="CO2372">
        <v>2.48</v>
      </c>
      <c r="CP2372">
        <v>-65.03</v>
      </c>
      <c r="CQ2372">
        <v>22.91</v>
      </c>
      <c r="CR2372">
        <v>0.17</v>
      </c>
      <c r="CS2372" t="s">
        <v>3457</v>
      </c>
      <c r="CT2372">
        <v>1.33</v>
      </c>
      <c r="CU2372">
        <v>0</v>
      </c>
      <c r="CV2372">
        <v>0.22</v>
      </c>
      <c r="CW2372">
        <v>0.01</v>
      </c>
      <c r="CX2372">
        <v>-0.05</v>
      </c>
      <c r="CY2372">
        <v>77.95</v>
      </c>
      <c r="CZ2372" t="s">
        <v>11085</v>
      </c>
      <c r="DA2372">
        <v>6.81</v>
      </c>
      <c r="DB2372">
        <v>-44.58</v>
      </c>
      <c r="DC2372">
        <v>-33.24</v>
      </c>
      <c r="DD2372">
        <v>0</v>
      </c>
      <c r="DE2372">
        <v>296</v>
      </c>
      <c r="DF2372">
        <v>600209</v>
      </c>
      <c r="DG2372" t="s">
        <v>116</v>
      </c>
      <c r="DH2372" t="s">
        <v>116</v>
      </c>
      <c r="DI2372" t="s">
        <v>116</v>
      </c>
    </row>
    <row r="2373" spans="1:113" x14ac:dyDescent="0.4">
      <c r="A2373" t="str">
        <f>"600210"</f>
        <v>600210</v>
      </c>
      <c r="B2373" t="s">
        <v>11086</v>
      </c>
      <c r="C2373">
        <v>-0.27</v>
      </c>
      <c r="D2373">
        <v>3.68</v>
      </c>
      <c r="E2373">
        <v>-0.01</v>
      </c>
      <c r="F2373">
        <v>3.68</v>
      </c>
      <c r="G2373">
        <v>3.69</v>
      </c>
      <c r="H2373">
        <v>72768</v>
      </c>
      <c r="I2373">
        <v>79</v>
      </c>
      <c r="J2373">
        <v>-0.26</v>
      </c>
      <c r="K2373">
        <v>0.48</v>
      </c>
      <c r="L2373">
        <v>3.7</v>
      </c>
      <c r="M2373">
        <v>3.73</v>
      </c>
      <c r="N2373">
        <v>3.68</v>
      </c>
      <c r="O2373">
        <v>3.69</v>
      </c>
      <c r="P2373">
        <v>10.31</v>
      </c>
      <c r="Q2373">
        <v>26984432</v>
      </c>
      <c r="R2373">
        <v>1.1599999999999999</v>
      </c>
      <c r="S2373" t="s">
        <v>345</v>
      </c>
      <c r="T2373" t="s">
        <v>1653</v>
      </c>
      <c r="U2373">
        <v>1.36</v>
      </c>
      <c r="V2373">
        <v>3.71</v>
      </c>
      <c r="W2373">
        <v>37192</v>
      </c>
      <c r="X2373">
        <v>35576</v>
      </c>
      <c r="Y2373">
        <v>1.05</v>
      </c>
      <c r="Z2373">
        <v>2060</v>
      </c>
      <c r="AA2373">
        <v>471</v>
      </c>
      <c r="AB2373" t="s">
        <v>116</v>
      </c>
      <c r="AC2373">
        <v>0</v>
      </c>
      <c r="AD2373">
        <v>0</v>
      </c>
      <c r="AE2373" t="s">
        <v>116</v>
      </c>
      <c r="AF2373" t="s">
        <v>116</v>
      </c>
      <c r="AG2373">
        <v>15.17</v>
      </c>
      <c r="AH2373" t="s">
        <v>11087</v>
      </c>
      <c r="AI2373" t="s">
        <v>11087</v>
      </c>
      <c r="AJ2373">
        <v>-0.19</v>
      </c>
      <c r="AK2373">
        <v>1392</v>
      </c>
      <c r="AL2373">
        <v>52</v>
      </c>
      <c r="AM2373">
        <v>2.9999999999999997E-4</v>
      </c>
      <c r="AN2373">
        <v>-1</v>
      </c>
      <c r="AO2373">
        <v>-0.27</v>
      </c>
      <c r="AP2373">
        <v>6.05</v>
      </c>
      <c r="AQ2373">
        <v>5.14</v>
      </c>
      <c r="AR2373">
        <v>5.44</v>
      </c>
      <c r="AS2373">
        <v>0.65</v>
      </c>
      <c r="AT2373" t="s">
        <v>1686</v>
      </c>
      <c r="AU2373">
        <v>12.47</v>
      </c>
      <c r="AV2373">
        <v>12.9</v>
      </c>
      <c r="AW2373">
        <v>1.43</v>
      </c>
      <c r="BA2373">
        <v>0.27</v>
      </c>
      <c r="BB2373">
        <v>1.08</v>
      </c>
      <c r="BC2373">
        <v>-0.27</v>
      </c>
      <c r="BD2373">
        <v>0.5</v>
      </c>
      <c r="BE2373">
        <v>-0.54</v>
      </c>
      <c r="BF2373">
        <v>-1.34</v>
      </c>
      <c r="BG2373">
        <v>0</v>
      </c>
      <c r="BH2373">
        <v>-0.77</v>
      </c>
      <c r="BI2373">
        <v>20191031</v>
      </c>
      <c r="BJ2373">
        <v>19990824</v>
      </c>
      <c r="BK2373">
        <v>15.17</v>
      </c>
      <c r="BL2373" t="s">
        <v>116</v>
      </c>
      <c r="BM2373" t="s">
        <v>116</v>
      </c>
      <c r="BN2373">
        <v>108.53</v>
      </c>
      <c r="BO2373">
        <v>46.48</v>
      </c>
      <c r="BP2373">
        <v>2.4</v>
      </c>
      <c r="BQ2373">
        <v>54.97</v>
      </c>
      <c r="BR2373">
        <v>57.97</v>
      </c>
      <c r="BS2373">
        <v>26.77</v>
      </c>
      <c r="BT2373">
        <v>2.12</v>
      </c>
      <c r="BU2373">
        <v>54.5</v>
      </c>
      <c r="BV2373">
        <v>18.100000000000001</v>
      </c>
      <c r="BW2373">
        <v>17.16</v>
      </c>
      <c r="BX2373">
        <v>3.62</v>
      </c>
      <c r="BY2373">
        <v>70.5</v>
      </c>
      <c r="BZ2373">
        <v>56.08</v>
      </c>
      <c r="CA2373">
        <v>5.07</v>
      </c>
      <c r="CB2373">
        <v>0.43</v>
      </c>
      <c r="CC2373">
        <v>5.07</v>
      </c>
      <c r="CD2373">
        <v>4.2300000000000004</v>
      </c>
      <c r="CE2373">
        <v>4.0599999999999996</v>
      </c>
      <c r="CF2373">
        <v>3.33</v>
      </c>
      <c r="CG2373">
        <v>22.04</v>
      </c>
      <c r="CH2373">
        <v>6.52</v>
      </c>
      <c r="CI2373">
        <v>2.83</v>
      </c>
      <c r="CJ2373">
        <v>112737</v>
      </c>
      <c r="CK2373">
        <v>9895</v>
      </c>
      <c r="CL2373" t="s">
        <v>229</v>
      </c>
      <c r="CM2373">
        <v>3.84</v>
      </c>
      <c r="CN2373">
        <v>-1.77</v>
      </c>
      <c r="CO2373">
        <v>1.2</v>
      </c>
      <c r="CP2373">
        <v>8.56</v>
      </c>
      <c r="CQ2373">
        <v>0.79</v>
      </c>
      <c r="CR2373">
        <v>4.08</v>
      </c>
      <c r="CS2373" t="s">
        <v>3305</v>
      </c>
      <c r="CT2373">
        <v>3.06</v>
      </c>
      <c r="CU2373">
        <v>0</v>
      </c>
      <c r="CV2373">
        <v>0.24</v>
      </c>
      <c r="CW2373">
        <v>1.45</v>
      </c>
      <c r="CX2373">
        <v>0.43</v>
      </c>
      <c r="CY2373">
        <v>42.82</v>
      </c>
      <c r="CZ2373" t="s">
        <v>5411</v>
      </c>
      <c r="DA2373">
        <v>20.440000000000001</v>
      </c>
      <c r="DB2373">
        <v>7.19</v>
      </c>
      <c r="DC2373">
        <v>5.76</v>
      </c>
      <c r="DD2373">
        <v>1.1299999999999999</v>
      </c>
      <c r="DE2373">
        <v>6750</v>
      </c>
      <c r="DF2373">
        <v>600210</v>
      </c>
      <c r="DG2373" t="s">
        <v>116</v>
      </c>
      <c r="DH2373" t="s">
        <v>116</v>
      </c>
      <c r="DI2373" t="s">
        <v>116</v>
      </c>
    </row>
    <row r="2374" spans="1:113" x14ac:dyDescent="0.4">
      <c r="A2374" t="str">
        <f>"600211"</f>
        <v>600211</v>
      </c>
      <c r="B2374" t="s">
        <v>11088</v>
      </c>
      <c r="C2374">
        <v>0</v>
      </c>
      <c r="D2374">
        <v>31.5</v>
      </c>
      <c r="E2374">
        <v>0</v>
      </c>
      <c r="F2374">
        <v>31.45</v>
      </c>
      <c r="G2374">
        <v>31.5</v>
      </c>
      <c r="H2374">
        <v>18669</v>
      </c>
      <c r="I2374">
        <v>253</v>
      </c>
      <c r="J2374">
        <v>0.38</v>
      </c>
      <c r="K2374">
        <v>1.3</v>
      </c>
      <c r="L2374">
        <v>31.52</v>
      </c>
      <c r="M2374">
        <v>31.86</v>
      </c>
      <c r="N2374">
        <v>31.3</v>
      </c>
      <c r="O2374">
        <v>31.5</v>
      </c>
      <c r="P2374">
        <v>17.5</v>
      </c>
      <c r="Q2374">
        <v>59092216</v>
      </c>
      <c r="R2374">
        <v>1.22</v>
      </c>
      <c r="S2374" t="s">
        <v>781</v>
      </c>
      <c r="T2374" t="s">
        <v>2028</v>
      </c>
      <c r="U2374">
        <v>1.78</v>
      </c>
      <c r="V2374">
        <v>31.65</v>
      </c>
      <c r="W2374">
        <v>9922</v>
      </c>
      <c r="X2374">
        <v>8747</v>
      </c>
      <c r="Y2374">
        <v>1.1299999999999999</v>
      </c>
      <c r="Z2374">
        <v>12</v>
      </c>
      <c r="AA2374">
        <v>141</v>
      </c>
      <c r="AB2374" t="s">
        <v>116</v>
      </c>
      <c r="AC2374">
        <v>189100</v>
      </c>
      <c r="AD2374">
        <v>0.01</v>
      </c>
      <c r="AE2374" t="s">
        <v>116</v>
      </c>
      <c r="AF2374" t="s">
        <v>116</v>
      </c>
      <c r="AG2374">
        <v>1.43</v>
      </c>
      <c r="AH2374" t="s">
        <v>7463</v>
      </c>
      <c r="AI2374" t="s">
        <v>11089</v>
      </c>
      <c r="AJ2374">
        <v>0.08</v>
      </c>
      <c r="AK2374">
        <v>1612</v>
      </c>
      <c r="AL2374">
        <v>12</v>
      </c>
      <c r="AM2374">
        <v>8.0000000000000004E-4</v>
      </c>
      <c r="AN2374">
        <v>0</v>
      </c>
      <c r="AO2374">
        <v>-0.75</v>
      </c>
      <c r="AP2374">
        <v>2.21</v>
      </c>
      <c r="AQ2374">
        <v>-13.22</v>
      </c>
      <c r="AR2374">
        <v>8.1</v>
      </c>
      <c r="AS2374">
        <v>2.56</v>
      </c>
      <c r="AT2374" t="s">
        <v>7333</v>
      </c>
      <c r="AU2374">
        <v>24.96</v>
      </c>
      <c r="AV2374">
        <v>25.87</v>
      </c>
      <c r="AW2374">
        <v>0.95</v>
      </c>
      <c r="BA2374">
        <v>0.06</v>
      </c>
      <c r="BB2374">
        <v>1.1399999999999999</v>
      </c>
      <c r="BC2374">
        <v>-0.63</v>
      </c>
      <c r="BD2374">
        <v>0.48</v>
      </c>
      <c r="BE2374">
        <v>-0.06</v>
      </c>
      <c r="BF2374">
        <v>-1.1299999999999999</v>
      </c>
      <c r="BG2374">
        <v>0.64</v>
      </c>
      <c r="BH2374">
        <v>-0.48</v>
      </c>
      <c r="BI2374">
        <v>20191220</v>
      </c>
      <c r="BJ2374">
        <v>19990721</v>
      </c>
      <c r="BK2374">
        <v>1.77</v>
      </c>
      <c r="BL2374" t="s">
        <v>116</v>
      </c>
      <c r="BM2374" t="s">
        <v>116</v>
      </c>
      <c r="BN2374">
        <v>26.71</v>
      </c>
      <c r="BO2374">
        <v>23.84</v>
      </c>
      <c r="BP2374">
        <v>0.08</v>
      </c>
      <c r="BQ2374">
        <v>10.45</v>
      </c>
      <c r="BR2374">
        <v>12.22</v>
      </c>
      <c r="BS2374">
        <v>1.59</v>
      </c>
      <c r="BT2374">
        <v>11</v>
      </c>
      <c r="BU2374">
        <v>2.66</v>
      </c>
      <c r="BV2374">
        <v>0.56000000000000005</v>
      </c>
      <c r="BW2374">
        <v>3.3</v>
      </c>
      <c r="BX2374">
        <v>14.09</v>
      </c>
      <c r="BY2374">
        <v>9.31</v>
      </c>
      <c r="BZ2374">
        <v>1.49</v>
      </c>
      <c r="CA2374">
        <v>2.7</v>
      </c>
      <c r="CB2374">
        <v>-0.04</v>
      </c>
      <c r="CC2374">
        <v>2.7</v>
      </c>
      <c r="CD2374">
        <v>2.4300000000000002</v>
      </c>
      <c r="CE2374">
        <v>2.39</v>
      </c>
      <c r="CF2374">
        <v>2.38</v>
      </c>
      <c r="CG2374">
        <v>6.99</v>
      </c>
      <c r="CH2374">
        <v>3.9</v>
      </c>
      <c r="CI2374">
        <v>1.26</v>
      </c>
      <c r="CJ2374">
        <v>11497</v>
      </c>
      <c r="CK2374">
        <v>6336</v>
      </c>
      <c r="CL2374" t="s">
        <v>11090</v>
      </c>
      <c r="CM2374">
        <v>3.42</v>
      </c>
      <c r="CN2374">
        <v>25.63</v>
      </c>
      <c r="CO2374">
        <v>2.34</v>
      </c>
      <c r="CP2374">
        <v>14.29</v>
      </c>
      <c r="CQ2374">
        <v>5.99</v>
      </c>
      <c r="CR2374">
        <v>1.19</v>
      </c>
      <c r="CS2374" t="s">
        <v>11091</v>
      </c>
      <c r="CT2374">
        <v>13.46</v>
      </c>
      <c r="CU2374">
        <v>0</v>
      </c>
      <c r="CV2374">
        <v>7.96</v>
      </c>
      <c r="CW2374">
        <v>3.95</v>
      </c>
      <c r="CX2374">
        <v>2.2000000000000002</v>
      </c>
      <c r="CY2374">
        <v>89.25</v>
      </c>
      <c r="CZ2374" t="s">
        <v>4101</v>
      </c>
      <c r="DA2374">
        <v>84.01</v>
      </c>
      <c r="DB2374">
        <v>28.94</v>
      </c>
      <c r="DC2374">
        <v>25.67</v>
      </c>
      <c r="DD2374">
        <v>0.08</v>
      </c>
      <c r="DE2374">
        <v>466</v>
      </c>
      <c r="DF2374">
        <v>600211</v>
      </c>
      <c r="DG2374" t="s">
        <v>116</v>
      </c>
      <c r="DH2374" t="s">
        <v>116</v>
      </c>
      <c r="DI2374" t="s">
        <v>116</v>
      </c>
    </row>
    <row r="2375" spans="1:113" x14ac:dyDescent="0.4">
      <c r="A2375" t="str">
        <f>"600212"</f>
        <v>600212</v>
      </c>
      <c r="B2375" t="s">
        <v>11092</v>
      </c>
      <c r="C2375">
        <v>0</v>
      </c>
      <c r="D2375">
        <v>4.16</v>
      </c>
      <c r="E2375">
        <v>0</v>
      </c>
      <c r="F2375">
        <v>4.16</v>
      </c>
      <c r="G2375">
        <v>4.17</v>
      </c>
      <c r="H2375">
        <v>66259</v>
      </c>
      <c r="I2375">
        <v>1968</v>
      </c>
      <c r="J2375">
        <v>0.24</v>
      </c>
      <c r="K2375">
        <v>1.29</v>
      </c>
      <c r="L2375">
        <v>4.16</v>
      </c>
      <c r="M2375">
        <v>4.2</v>
      </c>
      <c r="N2375">
        <v>4.13</v>
      </c>
      <c r="O2375">
        <v>4.16</v>
      </c>
      <c r="P2375" t="s">
        <v>116</v>
      </c>
      <c r="Q2375">
        <v>27582308</v>
      </c>
      <c r="R2375">
        <v>0.68</v>
      </c>
      <c r="S2375" t="s">
        <v>173</v>
      </c>
      <c r="T2375" t="s">
        <v>645</v>
      </c>
      <c r="U2375">
        <v>1.68</v>
      </c>
      <c r="V2375">
        <v>4.16</v>
      </c>
      <c r="W2375">
        <v>32966</v>
      </c>
      <c r="X2375">
        <v>33293</v>
      </c>
      <c r="Y2375">
        <v>0.99</v>
      </c>
      <c r="Z2375">
        <v>773</v>
      </c>
      <c r="AA2375">
        <v>3918</v>
      </c>
      <c r="AB2375" t="s">
        <v>116</v>
      </c>
      <c r="AC2375">
        <v>24500</v>
      </c>
      <c r="AD2375">
        <v>0</v>
      </c>
      <c r="AE2375" t="s">
        <v>116</v>
      </c>
      <c r="AF2375" t="s">
        <v>116</v>
      </c>
      <c r="AG2375">
        <v>5.12</v>
      </c>
      <c r="AH2375" t="s">
        <v>2793</v>
      </c>
      <c r="AI2375" t="s">
        <v>2793</v>
      </c>
      <c r="AJ2375">
        <v>0.08</v>
      </c>
      <c r="AK2375">
        <v>1184</v>
      </c>
      <c r="AL2375">
        <v>56</v>
      </c>
      <c r="AM2375">
        <v>1.1000000000000001E-3</v>
      </c>
      <c r="AN2375">
        <v>0</v>
      </c>
      <c r="AO2375">
        <v>-0.72</v>
      </c>
      <c r="AP2375">
        <v>-15.45</v>
      </c>
      <c r="AQ2375">
        <v>-13.33</v>
      </c>
      <c r="AR2375">
        <v>6.67</v>
      </c>
      <c r="AS2375">
        <v>1.49</v>
      </c>
      <c r="AT2375" t="s">
        <v>6488</v>
      </c>
      <c r="AU2375" t="s">
        <v>116</v>
      </c>
      <c r="AV2375" t="s">
        <v>116</v>
      </c>
      <c r="AW2375">
        <v>0</v>
      </c>
      <c r="BA2375">
        <v>0</v>
      </c>
      <c r="BB2375">
        <v>0.96</v>
      </c>
      <c r="BC2375">
        <v>-0.72</v>
      </c>
      <c r="BD2375">
        <v>7.0000000000000007E-2</v>
      </c>
      <c r="BE2375">
        <v>0</v>
      </c>
      <c r="BF2375">
        <v>-0.95</v>
      </c>
      <c r="BG2375">
        <v>0.73</v>
      </c>
      <c r="BH2375">
        <v>-7.0000000000000007E-2</v>
      </c>
      <c r="BI2375">
        <v>20191030</v>
      </c>
      <c r="BJ2375">
        <v>19990817</v>
      </c>
      <c r="BK2375">
        <v>5.12</v>
      </c>
      <c r="BL2375" t="s">
        <v>116</v>
      </c>
      <c r="BM2375" t="s">
        <v>116</v>
      </c>
      <c r="BN2375">
        <v>4.0999999999999996</v>
      </c>
      <c r="BO2375">
        <v>3.55</v>
      </c>
      <c r="BP2375">
        <v>0</v>
      </c>
      <c r="BQ2375">
        <v>13.38</v>
      </c>
      <c r="BR2375">
        <v>1.59</v>
      </c>
      <c r="BS2375">
        <v>1.01</v>
      </c>
      <c r="BT2375">
        <v>0.44</v>
      </c>
      <c r="BU2375">
        <v>0.55000000000000004</v>
      </c>
      <c r="BV2375">
        <v>0.06</v>
      </c>
      <c r="BW2375">
        <v>0.3</v>
      </c>
      <c r="BX2375">
        <v>4.68</v>
      </c>
      <c r="BY2375">
        <v>1.89</v>
      </c>
      <c r="BZ2375">
        <v>1.84</v>
      </c>
      <c r="CA2375">
        <v>-2.29</v>
      </c>
      <c r="CB2375">
        <v>-1.08</v>
      </c>
      <c r="CC2375">
        <v>-2.29</v>
      </c>
      <c r="CD2375">
        <v>-2.29</v>
      </c>
      <c r="CE2375">
        <v>-2.29</v>
      </c>
      <c r="CF2375">
        <v>-2.3199999999999998</v>
      </c>
      <c r="CG2375">
        <v>-7.26</v>
      </c>
      <c r="CH2375">
        <v>-0.11</v>
      </c>
      <c r="CI2375">
        <v>-0.26</v>
      </c>
      <c r="CJ2375">
        <v>35430</v>
      </c>
      <c r="CK2375">
        <v>12512</v>
      </c>
      <c r="CL2375" t="s">
        <v>518</v>
      </c>
      <c r="CM2375">
        <v>-736.39</v>
      </c>
      <c r="CN2375">
        <v>11.15</v>
      </c>
      <c r="CO2375">
        <v>6</v>
      </c>
      <c r="CP2375">
        <v>-202.26</v>
      </c>
      <c r="CQ2375">
        <v>11.28</v>
      </c>
      <c r="CR2375">
        <v>0</v>
      </c>
      <c r="CS2375" t="s">
        <v>11093</v>
      </c>
      <c r="CT2375">
        <v>0.69</v>
      </c>
      <c r="CU2375">
        <v>0</v>
      </c>
      <c r="CV2375">
        <v>0.91</v>
      </c>
      <c r="CW2375">
        <v>-1.42</v>
      </c>
      <c r="CX2375">
        <v>-0.02</v>
      </c>
      <c r="CY2375">
        <v>86.62</v>
      </c>
      <c r="CZ2375" t="s">
        <v>11094</v>
      </c>
      <c r="DA2375">
        <v>2.5299999999999998</v>
      </c>
      <c r="DB2375">
        <v>-121.31</v>
      </c>
      <c r="DC2375">
        <v>-121.28</v>
      </c>
      <c r="DD2375">
        <v>0</v>
      </c>
      <c r="DE2375">
        <v>523</v>
      </c>
      <c r="DF2375">
        <v>600212</v>
      </c>
      <c r="DG2375" t="s">
        <v>116</v>
      </c>
      <c r="DH2375" t="s">
        <v>116</v>
      </c>
      <c r="DI2375" t="s">
        <v>116</v>
      </c>
    </row>
    <row r="2376" spans="1:113" x14ac:dyDescent="0.4">
      <c r="A2376" t="str">
        <f>"600213"</f>
        <v>600213</v>
      </c>
      <c r="B2376" t="s">
        <v>11095</v>
      </c>
      <c r="C2376">
        <v>-1.91</v>
      </c>
      <c r="D2376">
        <v>8.75</v>
      </c>
      <c r="E2376">
        <v>-0.17</v>
      </c>
      <c r="F2376">
        <v>8.74</v>
      </c>
      <c r="G2376">
        <v>8.75</v>
      </c>
      <c r="H2376">
        <v>82802</v>
      </c>
      <c r="I2376">
        <v>660</v>
      </c>
      <c r="J2376">
        <v>0.23</v>
      </c>
      <c r="K2376">
        <v>3.76</v>
      </c>
      <c r="L2376">
        <v>8.89</v>
      </c>
      <c r="M2376">
        <v>9.09</v>
      </c>
      <c r="N2376">
        <v>8.6999999999999993</v>
      </c>
      <c r="O2376">
        <v>8.92</v>
      </c>
      <c r="P2376">
        <v>110.02</v>
      </c>
      <c r="Q2376">
        <v>73510880</v>
      </c>
      <c r="R2376">
        <v>0.93</v>
      </c>
      <c r="S2376" t="s">
        <v>1108</v>
      </c>
      <c r="T2376" t="s">
        <v>323</v>
      </c>
      <c r="U2376">
        <v>4.37</v>
      </c>
      <c r="V2376">
        <v>8.8800000000000008</v>
      </c>
      <c r="W2376">
        <v>47445</v>
      </c>
      <c r="X2376">
        <v>35357</v>
      </c>
      <c r="Y2376">
        <v>1.34</v>
      </c>
      <c r="Z2376">
        <v>78</v>
      </c>
      <c r="AA2376">
        <v>26</v>
      </c>
      <c r="AB2376" t="s">
        <v>116</v>
      </c>
      <c r="AC2376">
        <v>244500</v>
      </c>
      <c r="AD2376">
        <v>0.03</v>
      </c>
      <c r="AE2376" t="s">
        <v>116</v>
      </c>
      <c r="AF2376" t="s">
        <v>116</v>
      </c>
      <c r="AG2376">
        <v>2.2000000000000002</v>
      </c>
      <c r="AH2376" t="s">
        <v>8486</v>
      </c>
      <c r="AI2376" t="s">
        <v>8486</v>
      </c>
      <c r="AJ2376">
        <v>-1.83</v>
      </c>
      <c r="AK2376">
        <v>2029</v>
      </c>
      <c r="AL2376">
        <v>41</v>
      </c>
      <c r="AM2376">
        <v>1.9E-3</v>
      </c>
      <c r="AN2376">
        <v>-1</v>
      </c>
      <c r="AO2376">
        <v>-1.69</v>
      </c>
      <c r="AP2376">
        <v>12.9</v>
      </c>
      <c r="AQ2376">
        <v>-5.81</v>
      </c>
      <c r="AR2376">
        <v>45.83</v>
      </c>
      <c r="AS2376">
        <v>7.68</v>
      </c>
      <c r="AT2376" t="s">
        <v>1772</v>
      </c>
      <c r="AU2376">
        <v>277.16000000000003</v>
      </c>
      <c r="AV2376">
        <v>147.26</v>
      </c>
      <c r="AW2376">
        <v>0.8</v>
      </c>
      <c r="BA2376">
        <v>-0.34</v>
      </c>
      <c r="BB2376">
        <v>1.91</v>
      </c>
      <c r="BC2376">
        <v>-2.4700000000000002</v>
      </c>
      <c r="BD2376">
        <v>-0.47</v>
      </c>
      <c r="BE2376">
        <v>-1.57</v>
      </c>
      <c r="BF2376">
        <v>-3.74</v>
      </c>
      <c r="BG2376">
        <v>0.56999999999999995</v>
      </c>
      <c r="BH2376">
        <v>-1.43</v>
      </c>
      <c r="BI2376">
        <v>20191031</v>
      </c>
      <c r="BJ2376">
        <v>19990831</v>
      </c>
      <c r="BK2376">
        <v>2.2000000000000002</v>
      </c>
      <c r="BL2376" t="s">
        <v>116</v>
      </c>
      <c r="BM2376" t="s">
        <v>116</v>
      </c>
      <c r="BN2376">
        <v>50.55</v>
      </c>
      <c r="BO2376">
        <v>2.02</v>
      </c>
      <c r="BP2376">
        <v>0.88</v>
      </c>
      <c r="BQ2376">
        <v>94.27</v>
      </c>
      <c r="BR2376">
        <v>47.72</v>
      </c>
      <c r="BS2376">
        <v>2.12</v>
      </c>
      <c r="BT2376">
        <v>0.48</v>
      </c>
      <c r="BU2376">
        <v>33.24</v>
      </c>
      <c r="BV2376">
        <v>2.48</v>
      </c>
      <c r="BW2376">
        <v>38.4</v>
      </c>
      <c r="BX2376">
        <v>3.42</v>
      </c>
      <c r="BY2376">
        <v>19.73</v>
      </c>
      <c r="BZ2376">
        <v>16.760000000000002</v>
      </c>
      <c r="CA2376">
        <v>0.15</v>
      </c>
      <c r="CB2376">
        <v>0</v>
      </c>
      <c r="CC2376">
        <v>0.15</v>
      </c>
      <c r="CD2376">
        <v>0.13</v>
      </c>
      <c r="CE2376">
        <v>0.13</v>
      </c>
      <c r="CF2376">
        <v>0.13</v>
      </c>
      <c r="CG2376">
        <v>-4.09</v>
      </c>
      <c r="CH2376">
        <v>7.86</v>
      </c>
      <c r="CI2376">
        <v>0.95</v>
      </c>
      <c r="CJ2376">
        <v>27852</v>
      </c>
      <c r="CK2376">
        <v>3870</v>
      </c>
      <c r="CL2376" t="s">
        <v>1444</v>
      </c>
      <c r="CM2376">
        <v>-31.83</v>
      </c>
      <c r="CN2376">
        <v>23.56</v>
      </c>
      <c r="CO2376">
        <v>9.5299999999999994</v>
      </c>
      <c r="CP2376">
        <v>2.4500000000000002</v>
      </c>
      <c r="CQ2376">
        <v>0.98</v>
      </c>
      <c r="CR2376">
        <v>0</v>
      </c>
      <c r="CS2376" t="s">
        <v>484</v>
      </c>
      <c r="CT2376">
        <v>0.92</v>
      </c>
      <c r="CU2376">
        <v>0</v>
      </c>
      <c r="CV2376">
        <v>1.55</v>
      </c>
      <c r="CW2376">
        <v>-1.86</v>
      </c>
      <c r="CX2376">
        <v>3.57</v>
      </c>
      <c r="CY2376">
        <v>4</v>
      </c>
      <c r="CZ2376" t="s">
        <v>8182</v>
      </c>
      <c r="DA2376">
        <v>15.05</v>
      </c>
      <c r="DB2376">
        <v>0.76</v>
      </c>
      <c r="DC2376">
        <v>0.67</v>
      </c>
      <c r="DD2376">
        <v>0.34</v>
      </c>
      <c r="DE2376">
        <v>2053</v>
      </c>
      <c r="DF2376">
        <v>600213</v>
      </c>
      <c r="DG2376" t="s">
        <v>116</v>
      </c>
      <c r="DH2376" t="s">
        <v>116</v>
      </c>
      <c r="DI2376" t="s">
        <v>116</v>
      </c>
    </row>
    <row r="2377" spans="1:113" x14ac:dyDescent="0.4">
      <c r="A2377" t="str">
        <f>"600215"</f>
        <v>600215</v>
      </c>
      <c r="B2377" t="s">
        <v>11096</v>
      </c>
      <c r="C2377">
        <v>-0.47</v>
      </c>
      <c r="D2377">
        <v>6.41</v>
      </c>
      <c r="E2377">
        <v>-0.03</v>
      </c>
      <c r="F2377">
        <v>6.41</v>
      </c>
      <c r="G2377">
        <v>6.42</v>
      </c>
      <c r="H2377">
        <v>28394</v>
      </c>
      <c r="I2377">
        <v>808</v>
      </c>
      <c r="J2377">
        <v>0.16</v>
      </c>
      <c r="K2377">
        <v>0.61</v>
      </c>
      <c r="L2377">
        <v>6.44</v>
      </c>
      <c r="M2377">
        <v>6.49</v>
      </c>
      <c r="N2377">
        <v>6.4</v>
      </c>
      <c r="O2377">
        <v>6.44</v>
      </c>
      <c r="P2377">
        <v>33.340000000000003</v>
      </c>
      <c r="Q2377">
        <v>18286752</v>
      </c>
      <c r="R2377">
        <v>1.41</v>
      </c>
      <c r="S2377" t="s">
        <v>1503</v>
      </c>
      <c r="T2377" t="s">
        <v>294</v>
      </c>
      <c r="U2377">
        <v>1.4</v>
      </c>
      <c r="V2377">
        <v>6.44</v>
      </c>
      <c r="W2377">
        <v>15012</v>
      </c>
      <c r="X2377">
        <v>13382</v>
      </c>
      <c r="Y2377">
        <v>1.1200000000000001</v>
      </c>
      <c r="Z2377">
        <v>114</v>
      </c>
      <c r="AA2377">
        <v>670</v>
      </c>
      <c r="AB2377" t="s">
        <v>116</v>
      </c>
      <c r="AC2377">
        <v>0</v>
      </c>
      <c r="AD2377">
        <v>0</v>
      </c>
      <c r="AE2377" t="s">
        <v>116</v>
      </c>
      <c r="AF2377" t="s">
        <v>116</v>
      </c>
      <c r="AG2377">
        <v>4.6500000000000004</v>
      </c>
      <c r="AH2377" t="s">
        <v>11097</v>
      </c>
      <c r="AI2377" t="s">
        <v>11097</v>
      </c>
      <c r="AJ2377">
        <v>-0.39</v>
      </c>
      <c r="AK2377">
        <v>471</v>
      </c>
      <c r="AL2377">
        <v>60</v>
      </c>
      <c r="AM2377">
        <v>1.2999999999999999E-3</v>
      </c>
      <c r="AN2377">
        <v>-2</v>
      </c>
      <c r="AO2377">
        <v>-0.63</v>
      </c>
      <c r="AP2377">
        <v>-0.47</v>
      </c>
      <c r="AQ2377">
        <v>-2.58</v>
      </c>
      <c r="AR2377">
        <v>-3.98</v>
      </c>
      <c r="AS2377">
        <v>0.89</v>
      </c>
      <c r="AT2377" t="s">
        <v>11098</v>
      </c>
      <c r="AU2377">
        <v>33.36</v>
      </c>
      <c r="AV2377">
        <v>30.51</v>
      </c>
      <c r="AW2377">
        <v>0.5</v>
      </c>
      <c r="BA2377">
        <v>0</v>
      </c>
      <c r="BB2377">
        <v>0.78</v>
      </c>
      <c r="BC2377">
        <v>-0.62</v>
      </c>
      <c r="BD2377">
        <v>0.01</v>
      </c>
      <c r="BE2377">
        <v>-0.47</v>
      </c>
      <c r="BF2377">
        <v>-1.23</v>
      </c>
      <c r="BG2377">
        <v>0.16</v>
      </c>
      <c r="BH2377">
        <v>-0.47</v>
      </c>
      <c r="BI2377">
        <v>20191202</v>
      </c>
      <c r="BJ2377">
        <v>19990909</v>
      </c>
      <c r="BK2377">
        <v>4.6500000000000004</v>
      </c>
      <c r="BL2377" t="s">
        <v>116</v>
      </c>
      <c r="BM2377" t="s">
        <v>116</v>
      </c>
      <c r="BN2377">
        <v>28.55</v>
      </c>
      <c r="BO2377">
        <v>25.6</v>
      </c>
      <c r="BP2377">
        <v>0</v>
      </c>
      <c r="BQ2377">
        <v>10.33</v>
      </c>
      <c r="BR2377">
        <v>23.29</v>
      </c>
      <c r="BS2377">
        <v>0.02</v>
      </c>
      <c r="BT2377">
        <v>0.4</v>
      </c>
      <c r="BU2377">
        <v>2.89</v>
      </c>
      <c r="BV2377">
        <v>11.84</v>
      </c>
      <c r="BW2377">
        <v>0.06</v>
      </c>
      <c r="BX2377">
        <v>9.7899999999999991</v>
      </c>
      <c r="BY2377">
        <v>1.61</v>
      </c>
      <c r="BZ2377">
        <v>1.1599999999999999</v>
      </c>
      <c r="CA2377">
        <v>0.94</v>
      </c>
      <c r="CB2377">
        <v>0.53</v>
      </c>
      <c r="CC2377">
        <v>0.91</v>
      </c>
      <c r="CD2377">
        <v>0.67</v>
      </c>
      <c r="CE2377">
        <v>0.67</v>
      </c>
      <c r="CF2377">
        <v>0.65</v>
      </c>
      <c r="CG2377">
        <v>9.08</v>
      </c>
      <c r="CH2377">
        <v>0.22</v>
      </c>
      <c r="CI2377">
        <v>1.42</v>
      </c>
      <c r="CJ2377">
        <v>27042</v>
      </c>
      <c r="CK2377">
        <v>11810</v>
      </c>
      <c r="CL2377" t="s">
        <v>2557</v>
      </c>
      <c r="CM2377">
        <v>-11.09</v>
      </c>
      <c r="CN2377">
        <v>-69.349999999999994</v>
      </c>
      <c r="CO2377">
        <v>1.1599999999999999</v>
      </c>
      <c r="CP2377">
        <v>138.02000000000001</v>
      </c>
      <c r="CQ2377">
        <v>18.48</v>
      </c>
      <c r="CR2377">
        <v>1</v>
      </c>
      <c r="CS2377" t="s">
        <v>3664</v>
      </c>
      <c r="CT2377">
        <v>5.51</v>
      </c>
      <c r="CU2377">
        <v>0</v>
      </c>
      <c r="CV2377">
        <v>2.1</v>
      </c>
      <c r="CW2377">
        <v>1.95</v>
      </c>
      <c r="CX2377">
        <v>0.05</v>
      </c>
      <c r="CY2377">
        <v>89.67</v>
      </c>
      <c r="CZ2377" t="s">
        <v>7237</v>
      </c>
      <c r="DA2377">
        <v>27.81</v>
      </c>
      <c r="DB2377">
        <v>57.98</v>
      </c>
      <c r="DC2377">
        <v>41.57</v>
      </c>
      <c r="DD2377">
        <v>0</v>
      </c>
      <c r="DE2377">
        <v>83</v>
      </c>
      <c r="DF2377">
        <v>600215</v>
      </c>
      <c r="DG2377" t="s">
        <v>116</v>
      </c>
      <c r="DH2377" t="s">
        <v>116</v>
      </c>
      <c r="DI2377" t="s">
        <v>116</v>
      </c>
    </row>
    <row r="2378" spans="1:113" x14ac:dyDescent="0.4">
      <c r="A2378" t="str">
        <f>"600216"</f>
        <v>600216</v>
      </c>
      <c r="B2378" t="s">
        <v>11099</v>
      </c>
      <c r="C2378">
        <v>-2.12</v>
      </c>
      <c r="D2378">
        <v>12.9</v>
      </c>
      <c r="E2378">
        <v>-0.28000000000000003</v>
      </c>
      <c r="F2378">
        <v>12.9</v>
      </c>
      <c r="G2378">
        <v>12.91</v>
      </c>
      <c r="H2378">
        <v>220340</v>
      </c>
      <c r="I2378">
        <v>4110</v>
      </c>
      <c r="J2378">
        <v>-0.22</v>
      </c>
      <c r="K2378">
        <v>2.2799999999999998</v>
      </c>
      <c r="L2378">
        <v>13.05</v>
      </c>
      <c r="M2378">
        <v>13.18</v>
      </c>
      <c r="N2378">
        <v>12.9</v>
      </c>
      <c r="O2378">
        <v>13.18</v>
      </c>
      <c r="P2378">
        <v>25.93</v>
      </c>
      <c r="Q2378">
        <v>286524128</v>
      </c>
      <c r="R2378">
        <v>0.93</v>
      </c>
      <c r="S2378" t="s">
        <v>574</v>
      </c>
      <c r="T2378" t="s">
        <v>590</v>
      </c>
      <c r="U2378">
        <v>2.12</v>
      </c>
      <c r="V2378">
        <v>13</v>
      </c>
      <c r="W2378">
        <v>122929</v>
      </c>
      <c r="X2378">
        <v>97411</v>
      </c>
      <c r="Y2378">
        <v>1.26</v>
      </c>
      <c r="Z2378">
        <v>2266</v>
      </c>
      <c r="AA2378">
        <v>1401</v>
      </c>
      <c r="AB2378" t="s">
        <v>116</v>
      </c>
      <c r="AC2378">
        <v>1954900</v>
      </c>
      <c r="AD2378">
        <v>0.02</v>
      </c>
      <c r="AE2378" t="s">
        <v>116</v>
      </c>
      <c r="AF2378" t="s">
        <v>116</v>
      </c>
      <c r="AG2378">
        <v>9.65</v>
      </c>
      <c r="AH2378" t="s">
        <v>11100</v>
      </c>
      <c r="AI2378" t="s">
        <v>11100</v>
      </c>
      <c r="AJ2378">
        <v>-2.0499999999999998</v>
      </c>
      <c r="AK2378">
        <v>3195</v>
      </c>
      <c r="AL2378">
        <v>69</v>
      </c>
      <c r="AM2378">
        <v>6.9999999999999999E-4</v>
      </c>
      <c r="AN2378">
        <v>-1</v>
      </c>
      <c r="AO2378">
        <v>-1.07</v>
      </c>
      <c r="AP2378">
        <v>3.7</v>
      </c>
      <c r="AQ2378">
        <v>12.66</v>
      </c>
      <c r="AR2378">
        <v>51.23</v>
      </c>
      <c r="AS2378">
        <v>3.64</v>
      </c>
      <c r="AT2378" t="s">
        <v>11101</v>
      </c>
      <c r="AU2378">
        <v>59.23</v>
      </c>
      <c r="AV2378">
        <v>34.15</v>
      </c>
      <c r="AW2378">
        <v>1.19</v>
      </c>
      <c r="BA2378">
        <v>-0.99</v>
      </c>
      <c r="BB2378">
        <v>0</v>
      </c>
      <c r="BC2378">
        <v>-2.12</v>
      </c>
      <c r="BD2378">
        <v>-1.34</v>
      </c>
      <c r="BE2378">
        <v>-1.1499999999999999</v>
      </c>
      <c r="BF2378">
        <v>-2.12</v>
      </c>
      <c r="BG2378">
        <v>0</v>
      </c>
      <c r="BH2378">
        <v>-0.79</v>
      </c>
      <c r="BI2378">
        <v>20191225</v>
      </c>
      <c r="BJ2378">
        <v>19991021</v>
      </c>
      <c r="BK2378">
        <v>9.65</v>
      </c>
      <c r="BL2378" t="s">
        <v>116</v>
      </c>
      <c r="BM2378" t="s">
        <v>116</v>
      </c>
      <c r="BN2378">
        <v>105.87</v>
      </c>
      <c r="BO2378">
        <v>78.180000000000007</v>
      </c>
      <c r="BP2378">
        <v>4.28</v>
      </c>
      <c r="BQ2378">
        <v>22.11</v>
      </c>
      <c r="BR2378">
        <v>52.07</v>
      </c>
      <c r="BS2378">
        <v>39.799999999999997</v>
      </c>
      <c r="BT2378">
        <v>4.08</v>
      </c>
      <c r="BU2378">
        <v>22.25</v>
      </c>
      <c r="BV2378">
        <v>13.6</v>
      </c>
      <c r="BW2378">
        <v>15.09</v>
      </c>
      <c r="BX2378">
        <v>13.43</v>
      </c>
      <c r="BY2378">
        <v>53.19</v>
      </c>
      <c r="BZ2378">
        <v>31.77</v>
      </c>
      <c r="CA2378">
        <v>4.09</v>
      </c>
      <c r="CB2378">
        <v>0.39</v>
      </c>
      <c r="CC2378">
        <v>4.0199999999999996</v>
      </c>
      <c r="CD2378">
        <v>3.44</v>
      </c>
      <c r="CE2378">
        <v>3.6</v>
      </c>
      <c r="CF2378">
        <v>2.89</v>
      </c>
      <c r="CG2378">
        <v>44.63</v>
      </c>
      <c r="CH2378">
        <v>3.39</v>
      </c>
      <c r="CI2378">
        <v>-1.3</v>
      </c>
      <c r="CJ2378">
        <v>52000</v>
      </c>
      <c r="CK2378">
        <v>11650</v>
      </c>
      <c r="CL2378" t="s">
        <v>11102</v>
      </c>
      <c r="CM2378">
        <v>-30</v>
      </c>
      <c r="CN2378">
        <v>4.21</v>
      </c>
      <c r="CO2378">
        <v>1.59</v>
      </c>
      <c r="CP2378">
        <v>36.71</v>
      </c>
      <c r="CQ2378">
        <v>2.34</v>
      </c>
      <c r="CR2378">
        <v>1.1499999999999999</v>
      </c>
      <c r="CS2378" t="s">
        <v>8566</v>
      </c>
      <c r="CT2378">
        <v>8.1</v>
      </c>
      <c r="CU2378">
        <v>0</v>
      </c>
      <c r="CV2378">
        <v>1.39</v>
      </c>
      <c r="CW2378">
        <v>4.62</v>
      </c>
      <c r="CX2378">
        <v>0.35</v>
      </c>
      <c r="CY2378">
        <v>73.84</v>
      </c>
      <c r="CZ2378" t="s">
        <v>4384</v>
      </c>
      <c r="DA2378">
        <v>40.270000000000003</v>
      </c>
      <c r="DB2378">
        <v>7.68</v>
      </c>
      <c r="DC2378">
        <v>6.77</v>
      </c>
      <c r="DD2378">
        <v>2.36</v>
      </c>
      <c r="DE2378">
        <v>6896</v>
      </c>
      <c r="DF2378">
        <v>600216</v>
      </c>
      <c r="DG2378" t="s">
        <v>116</v>
      </c>
      <c r="DH2378" t="s">
        <v>116</v>
      </c>
      <c r="DI2378" t="s">
        <v>116</v>
      </c>
    </row>
    <row r="2379" spans="1:113" x14ac:dyDescent="0.4">
      <c r="A2379" t="str">
        <f>"600217"</f>
        <v>600217</v>
      </c>
      <c r="B2379" t="s">
        <v>11103</v>
      </c>
      <c r="C2379">
        <v>-0.78</v>
      </c>
      <c r="D2379">
        <v>5.08</v>
      </c>
      <c r="E2379">
        <v>-0.04</v>
      </c>
      <c r="F2379">
        <v>5.08</v>
      </c>
      <c r="G2379">
        <v>5.09</v>
      </c>
      <c r="H2379">
        <v>83515</v>
      </c>
      <c r="I2379">
        <v>1230</v>
      </c>
      <c r="J2379">
        <v>-0.19</v>
      </c>
      <c r="K2379">
        <v>0.63</v>
      </c>
      <c r="L2379">
        <v>5.13</v>
      </c>
      <c r="M2379">
        <v>5.14</v>
      </c>
      <c r="N2379">
        <v>5.07</v>
      </c>
      <c r="O2379">
        <v>5.12</v>
      </c>
      <c r="P2379">
        <v>16.47</v>
      </c>
      <c r="Q2379">
        <v>42665420</v>
      </c>
      <c r="R2379">
        <v>0.93</v>
      </c>
      <c r="S2379" t="s">
        <v>140</v>
      </c>
      <c r="T2379" t="s">
        <v>913</v>
      </c>
      <c r="U2379">
        <v>1.37</v>
      </c>
      <c r="V2379">
        <v>5.1100000000000003</v>
      </c>
      <c r="W2379">
        <v>56196</v>
      </c>
      <c r="X2379">
        <v>27319</v>
      </c>
      <c r="Y2379">
        <v>2.06</v>
      </c>
      <c r="Z2379">
        <v>231</v>
      </c>
      <c r="AA2379">
        <v>1097</v>
      </c>
      <c r="AB2379" t="s">
        <v>116</v>
      </c>
      <c r="AC2379">
        <v>102100</v>
      </c>
      <c r="AD2379">
        <v>0</v>
      </c>
      <c r="AE2379" t="s">
        <v>116</v>
      </c>
      <c r="AF2379" t="s">
        <v>116</v>
      </c>
      <c r="AG2379">
        <v>13.19</v>
      </c>
      <c r="AH2379" t="s">
        <v>11104</v>
      </c>
      <c r="AI2379" t="s">
        <v>11105</v>
      </c>
      <c r="AJ2379">
        <v>-0.7</v>
      </c>
      <c r="AK2379">
        <v>999</v>
      </c>
      <c r="AL2379">
        <v>84</v>
      </c>
      <c r="AM2379">
        <v>5.9999999999999995E-4</v>
      </c>
      <c r="AN2379">
        <v>-1</v>
      </c>
      <c r="AO2379">
        <v>-1.55</v>
      </c>
      <c r="AP2379">
        <v>-0.2</v>
      </c>
      <c r="AQ2379">
        <v>-2.87</v>
      </c>
      <c r="AR2379">
        <v>24.21</v>
      </c>
      <c r="AS2379">
        <v>1.25</v>
      </c>
      <c r="AT2379" t="s">
        <v>11106</v>
      </c>
      <c r="AU2379">
        <v>17.739999999999998</v>
      </c>
      <c r="AV2379">
        <v>22.31</v>
      </c>
      <c r="AW2379">
        <v>0.49</v>
      </c>
      <c r="BA2379">
        <v>0.2</v>
      </c>
      <c r="BB2379">
        <v>0.39</v>
      </c>
      <c r="BC2379">
        <v>-0.98</v>
      </c>
      <c r="BD2379">
        <v>-0.22</v>
      </c>
      <c r="BE2379">
        <v>-0.97</v>
      </c>
      <c r="BF2379">
        <v>-1.17</v>
      </c>
      <c r="BG2379">
        <v>0.2</v>
      </c>
      <c r="BH2379">
        <v>-0.56000000000000005</v>
      </c>
      <c r="BI2379">
        <v>20191030</v>
      </c>
      <c r="BJ2379">
        <v>19991216</v>
      </c>
      <c r="BK2379">
        <v>13.89</v>
      </c>
      <c r="BL2379" t="s">
        <v>116</v>
      </c>
      <c r="BM2379" t="s">
        <v>116</v>
      </c>
      <c r="BN2379">
        <v>54.55</v>
      </c>
      <c r="BO2379">
        <v>17.29</v>
      </c>
      <c r="BP2379">
        <v>0.19</v>
      </c>
      <c r="BQ2379">
        <v>67.95</v>
      </c>
      <c r="BR2379">
        <v>46.59</v>
      </c>
      <c r="BS2379">
        <v>4.79</v>
      </c>
      <c r="BT2379">
        <v>1.1399999999999999</v>
      </c>
      <c r="BU2379">
        <v>28.39</v>
      </c>
      <c r="BV2379">
        <v>1.78</v>
      </c>
      <c r="BW2379">
        <v>35.35</v>
      </c>
      <c r="BX2379">
        <v>0</v>
      </c>
      <c r="BY2379">
        <v>24.31</v>
      </c>
      <c r="BZ2379">
        <v>16.46</v>
      </c>
      <c r="CA2379">
        <v>3.86</v>
      </c>
      <c r="CB2379">
        <v>0.03</v>
      </c>
      <c r="CC2379">
        <v>3.91</v>
      </c>
      <c r="CD2379">
        <v>3.25</v>
      </c>
      <c r="CE2379">
        <v>3.21</v>
      </c>
      <c r="CF2379">
        <v>3.18</v>
      </c>
      <c r="CG2379">
        <v>8.9</v>
      </c>
      <c r="CH2379">
        <v>0.41</v>
      </c>
      <c r="CI2379">
        <v>1.01</v>
      </c>
      <c r="CJ2379">
        <v>45825</v>
      </c>
      <c r="CK2379">
        <v>14553</v>
      </c>
      <c r="CL2379" t="s">
        <v>2018</v>
      </c>
      <c r="CM2379">
        <v>34.07</v>
      </c>
      <c r="CN2379">
        <v>4.1399999999999997</v>
      </c>
      <c r="CO2379">
        <v>4.08</v>
      </c>
      <c r="CP2379">
        <v>171.75</v>
      </c>
      <c r="CQ2379">
        <v>2.9</v>
      </c>
      <c r="CR2379">
        <v>0</v>
      </c>
      <c r="CS2379" t="s">
        <v>4538</v>
      </c>
      <c r="CT2379">
        <v>1.24</v>
      </c>
      <c r="CU2379">
        <v>0</v>
      </c>
      <c r="CV2379">
        <v>0</v>
      </c>
      <c r="CW2379">
        <v>0.64</v>
      </c>
      <c r="CX2379">
        <v>0.03</v>
      </c>
      <c r="CY2379">
        <v>31.69</v>
      </c>
      <c r="CZ2379" t="s">
        <v>11107</v>
      </c>
      <c r="DA2379">
        <v>32.299999999999997</v>
      </c>
      <c r="DB2379">
        <v>15.89</v>
      </c>
      <c r="DC2379">
        <v>13.21</v>
      </c>
      <c r="DD2379">
        <v>0</v>
      </c>
      <c r="DE2379">
        <v>2704</v>
      </c>
      <c r="DF2379">
        <v>600217</v>
      </c>
      <c r="DG2379" t="s">
        <v>116</v>
      </c>
      <c r="DH2379" t="s">
        <v>116</v>
      </c>
      <c r="DI2379" t="s">
        <v>116</v>
      </c>
    </row>
    <row r="2380" spans="1:113" x14ac:dyDescent="0.4">
      <c r="A2380" t="str">
        <f>"600218"</f>
        <v>600218</v>
      </c>
      <c r="B2380" t="s">
        <v>11108</v>
      </c>
      <c r="C2380">
        <v>-2.84</v>
      </c>
      <c r="D2380">
        <v>11.3</v>
      </c>
      <c r="E2380">
        <v>-0.33</v>
      </c>
      <c r="F2380">
        <v>11.3</v>
      </c>
      <c r="G2380">
        <v>11.31</v>
      </c>
      <c r="H2380">
        <v>216355</v>
      </c>
      <c r="I2380">
        <v>1765</v>
      </c>
      <c r="J2380">
        <v>-0.17</v>
      </c>
      <c r="K2380">
        <v>5.87</v>
      </c>
      <c r="L2380">
        <v>11.55</v>
      </c>
      <c r="M2380">
        <v>11.58</v>
      </c>
      <c r="N2380">
        <v>11.29</v>
      </c>
      <c r="O2380">
        <v>11.63</v>
      </c>
      <c r="P2380">
        <v>45.02</v>
      </c>
      <c r="Q2380">
        <v>247199696</v>
      </c>
      <c r="R2380">
        <v>1.19</v>
      </c>
      <c r="S2380" t="s">
        <v>2298</v>
      </c>
      <c r="T2380" t="s">
        <v>575</v>
      </c>
      <c r="U2380">
        <v>2.4900000000000002</v>
      </c>
      <c r="V2380">
        <v>11.43</v>
      </c>
      <c r="W2380">
        <v>128394</v>
      </c>
      <c r="X2380">
        <v>87961</v>
      </c>
      <c r="Y2380">
        <v>1.46</v>
      </c>
      <c r="Z2380">
        <v>740</v>
      </c>
      <c r="AA2380">
        <v>390</v>
      </c>
      <c r="AB2380" t="s">
        <v>116</v>
      </c>
      <c r="AC2380">
        <v>4658100</v>
      </c>
      <c r="AD2380">
        <v>0.17</v>
      </c>
      <c r="AE2380" t="s">
        <v>116</v>
      </c>
      <c r="AF2380" t="s">
        <v>116</v>
      </c>
      <c r="AG2380">
        <v>3.69</v>
      </c>
      <c r="AH2380" t="s">
        <v>11109</v>
      </c>
      <c r="AI2380" t="s">
        <v>11109</v>
      </c>
      <c r="AJ2380">
        <v>-2.76</v>
      </c>
      <c r="AK2380">
        <v>3307</v>
      </c>
      <c r="AL2380">
        <v>65</v>
      </c>
      <c r="AM2380">
        <v>1.8E-3</v>
      </c>
      <c r="AN2380">
        <v>-1</v>
      </c>
      <c r="AO2380">
        <v>0.44</v>
      </c>
      <c r="AP2380">
        <v>9.6</v>
      </c>
      <c r="AQ2380">
        <v>1.71</v>
      </c>
      <c r="AR2380">
        <v>151.11000000000001</v>
      </c>
      <c r="AS2380">
        <v>8.93</v>
      </c>
      <c r="AT2380" t="s">
        <v>11110</v>
      </c>
      <c r="AU2380">
        <v>57.57</v>
      </c>
      <c r="AV2380">
        <v>105.01</v>
      </c>
      <c r="AW2380">
        <v>2.12</v>
      </c>
      <c r="BA2380">
        <v>-0.69</v>
      </c>
      <c r="BB2380">
        <v>-0.43</v>
      </c>
      <c r="BC2380">
        <v>-2.92</v>
      </c>
      <c r="BD2380">
        <v>-1.76</v>
      </c>
      <c r="BE2380">
        <v>-2.16</v>
      </c>
      <c r="BF2380">
        <v>-2.42</v>
      </c>
      <c r="BG2380">
        <v>0.09</v>
      </c>
      <c r="BH2380">
        <v>-1.08</v>
      </c>
      <c r="BI2380">
        <v>20191030</v>
      </c>
      <c r="BJ2380">
        <v>19981203</v>
      </c>
      <c r="BK2380">
        <v>3.69</v>
      </c>
      <c r="BL2380" t="s">
        <v>116</v>
      </c>
      <c r="BM2380" t="s">
        <v>116</v>
      </c>
      <c r="BN2380">
        <v>40.78</v>
      </c>
      <c r="BO2380">
        <v>20.09</v>
      </c>
      <c r="BP2380">
        <v>0.56999999999999995</v>
      </c>
      <c r="BQ2380">
        <v>49.33</v>
      </c>
      <c r="BR2380">
        <v>28.87</v>
      </c>
      <c r="BS2380">
        <v>9.1</v>
      </c>
      <c r="BT2380">
        <v>0.59</v>
      </c>
      <c r="BU2380">
        <v>19.190000000000001</v>
      </c>
      <c r="BV2380">
        <v>5.74</v>
      </c>
      <c r="BW2380">
        <v>10.01</v>
      </c>
      <c r="BX2380">
        <v>10.45</v>
      </c>
      <c r="BY2380">
        <v>29.73</v>
      </c>
      <c r="BZ2380">
        <v>26.42</v>
      </c>
      <c r="CA2380">
        <v>0.84</v>
      </c>
      <c r="CB2380">
        <v>0.05</v>
      </c>
      <c r="CC2380">
        <v>0.85</v>
      </c>
      <c r="CD2380">
        <v>0.67</v>
      </c>
      <c r="CE2380">
        <v>0.69</v>
      </c>
      <c r="CF2380">
        <v>0.36</v>
      </c>
      <c r="CG2380">
        <v>4.63</v>
      </c>
      <c r="CH2380">
        <v>-1.78</v>
      </c>
      <c r="CI2380">
        <v>-1.94</v>
      </c>
      <c r="CJ2380">
        <v>59184</v>
      </c>
      <c r="CK2380">
        <v>4093</v>
      </c>
      <c r="CL2380" t="s">
        <v>1571</v>
      </c>
      <c r="CM2380">
        <v>89.07</v>
      </c>
      <c r="CN2380">
        <v>13.24</v>
      </c>
      <c r="CO2380">
        <v>2.0699999999999998</v>
      </c>
      <c r="CP2380">
        <v>-23.42</v>
      </c>
      <c r="CQ2380">
        <v>1.4</v>
      </c>
      <c r="CR2380">
        <v>0</v>
      </c>
      <c r="CS2380" t="s">
        <v>3067</v>
      </c>
      <c r="CT2380">
        <v>5.45</v>
      </c>
      <c r="CU2380">
        <v>0</v>
      </c>
      <c r="CV2380">
        <v>2.83</v>
      </c>
      <c r="CW2380">
        <v>1.26</v>
      </c>
      <c r="CX2380">
        <v>-0.48</v>
      </c>
      <c r="CY2380">
        <v>49.26</v>
      </c>
      <c r="CZ2380" t="s">
        <v>7180</v>
      </c>
      <c r="DA2380">
        <v>11.16</v>
      </c>
      <c r="DB2380">
        <v>2.82</v>
      </c>
      <c r="DC2380">
        <v>2.33</v>
      </c>
      <c r="DD2380">
        <v>0.95</v>
      </c>
      <c r="DE2380">
        <v>3049</v>
      </c>
      <c r="DF2380">
        <v>600218</v>
      </c>
      <c r="DG2380" t="s">
        <v>116</v>
      </c>
      <c r="DH2380" t="s">
        <v>116</v>
      </c>
      <c r="DI2380" t="s">
        <v>116</v>
      </c>
    </row>
    <row r="2381" spans="1:113" x14ac:dyDescent="0.4">
      <c r="A2381" t="str">
        <f>"600219"</f>
        <v>600219</v>
      </c>
      <c r="B2381" t="s">
        <v>11111</v>
      </c>
      <c r="C2381">
        <v>1.37</v>
      </c>
      <c r="D2381">
        <v>2.2200000000000002</v>
      </c>
      <c r="E2381">
        <v>0.03</v>
      </c>
      <c r="F2381">
        <v>2.2200000000000002</v>
      </c>
      <c r="G2381">
        <v>2.23</v>
      </c>
      <c r="H2381">
        <v>1359692</v>
      </c>
      <c r="I2381">
        <v>4120</v>
      </c>
      <c r="J2381">
        <v>-0.44</v>
      </c>
      <c r="K2381">
        <v>1.39</v>
      </c>
      <c r="L2381">
        <v>2.19</v>
      </c>
      <c r="M2381">
        <v>2.2599999999999998</v>
      </c>
      <c r="N2381">
        <v>2.1800000000000002</v>
      </c>
      <c r="O2381">
        <v>2.19</v>
      </c>
      <c r="P2381">
        <v>15.75</v>
      </c>
      <c r="Q2381">
        <v>302807232</v>
      </c>
      <c r="R2381">
        <v>3.21</v>
      </c>
      <c r="S2381" t="s">
        <v>1428</v>
      </c>
      <c r="T2381" t="s">
        <v>645</v>
      </c>
      <c r="U2381">
        <v>3.65</v>
      </c>
      <c r="V2381">
        <v>2.23</v>
      </c>
      <c r="W2381">
        <v>454335</v>
      </c>
      <c r="X2381">
        <v>905356</v>
      </c>
      <c r="Y2381">
        <v>0.5</v>
      </c>
      <c r="Z2381">
        <v>4148</v>
      </c>
      <c r="AA2381">
        <v>42012</v>
      </c>
      <c r="AB2381" t="s">
        <v>116</v>
      </c>
      <c r="AC2381">
        <v>2756800</v>
      </c>
      <c r="AD2381">
        <v>0.02</v>
      </c>
      <c r="AE2381" t="s">
        <v>116</v>
      </c>
      <c r="AF2381" t="s">
        <v>116</v>
      </c>
      <c r="AG2381">
        <v>97.87</v>
      </c>
      <c r="AH2381" t="s">
        <v>11112</v>
      </c>
      <c r="AI2381" t="s">
        <v>11113</v>
      </c>
      <c r="AJ2381">
        <v>1.45</v>
      </c>
      <c r="AK2381">
        <v>3438</v>
      </c>
      <c r="AL2381">
        <v>395</v>
      </c>
      <c r="AM2381">
        <v>4.0000000000000002E-4</v>
      </c>
      <c r="AN2381">
        <v>1</v>
      </c>
      <c r="AO2381">
        <v>0.46</v>
      </c>
      <c r="AP2381">
        <v>2.78</v>
      </c>
      <c r="AQ2381">
        <v>4.2300000000000004</v>
      </c>
      <c r="AR2381">
        <v>7.77</v>
      </c>
      <c r="AS2381">
        <v>2.16</v>
      </c>
      <c r="AT2381" t="s">
        <v>11114</v>
      </c>
      <c r="AU2381">
        <v>20.329999999999998</v>
      </c>
      <c r="AV2381">
        <v>18.45</v>
      </c>
      <c r="AW2381">
        <v>0.89</v>
      </c>
      <c r="BA2381">
        <v>0</v>
      </c>
      <c r="BB2381">
        <v>3.2</v>
      </c>
      <c r="BC2381">
        <v>-0.46</v>
      </c>
      <c r="BD2381">
        <v>1.69</v>
      </c>
      <c r="BE2381">
        <v>1.37</v>
      </c>
      <c r="BF2381">
        <v>-1.77</v>
      </c>
      <c r="BG2381">
        <v>1.83</v>
      </c>
      <c r="BH2381">
        <v>-0.32</v>
      </c>
      <c r="BI2381">
        <v>20191029</v>
      </c>
      <c r="BJ2381">
        <v>19991223</v>
      </c>
      <c r="BK2381">
        <v>119.5</v>
      </c>
      <c r="BL2381" t="s">
        <v>116</v>
      </c>
      <c r="BM2381" t="s">
        <v>116</v>
      </c>
      <c r="BN2381">
        <v>537.4</v>
      </c>
      <c r="BO2381">
        <v>389.78</v>
      </c>
      <c r="BP2381">
        <v>21.71</v>
      </c>
      <c r="BQ2381">
        <v>23.43</v>
      </c>
      <c r="BR2381">
        <v>225.26</v>
      </c>
      <c r="BS2381">
        <v>236.84</v>
      </c>
      <c r="BT2381">
        <v>23.62</v>
      </c>
      <c r="BU2381">
        <v>94.73</v>
      </c>
      <c r="BV2381">
        <v>48.5</v>
      </c>
      <c r="BW2381">
        <v>24.66</v>
      </c>
      <c r="BX2381">
        <v>165.25</v>
      </c>
      <c r="BY2381">
        <v>163.27000000000001</v>
      </c>
      <c r="BZ2381">
        <v>133.71</v>
      </c>
      <c r="CA2381">
        <v>16.53</v>
      </c>
      <c r="CB2381">
        <v>1.6</v>
      </c>
      <c r="CC2381">
        <v>16.61</v>
      </c>
      <c r="CD2381">
        <v>13.66</v>
      </c>
      <c r="CE2381">
        <v>12.63</v>
      </c>
      <c r="CF2381">
        <v>11.15</v>
      </c>
      <c r="CG2381">
        <v>93.14</v>
      </c>
      <c r="CH2381">
        <v>24.7</v>
      </c>
      <c r="CI2381">
        <v>14.84</v>
      </c>
      <c r="CJ2381">
        <v>239240</v>
      </c>
      <c r="CK2381">
        <v>26348</v>
      </c>
      <c r="CL2381" t="s">
        <v>11115</v>
      </c>
      <c r="CM2381">
        <v>-9.5399999999999991</v>
      </c>
      <c r="CN2381">
        <v>9</v>
      </c>
      <c r="CO2381">
        <v>0.68</v>
      </c>
      <c r="CP2381">
        <v>10.74</v>
      </c>
      <c r="CQ2381">
        <v>1.62</v>
      </c>
      <c r="CR2381">
        <v>2.25</v>
      </c>
      <c r="CS2381" t="s">
        <v>6630</v>
      </c>
      <c r="CT2381">
        <v>3.26</v>
      </c>
      <c r="CU2381">
        <v>0</v>
      </c>
      <c r="CV2381">
        <v>1.38</v>
      </c>
      <c r="CW2381">
        <v>0.78</v>
      </c>
      <c r="CX2381">
        <v>0.21</v>
      </c>
      <c r="CY2381">
        <v>72.53</v>
      </c>
      <c r="CZ2381" t="s">
        <v>8495</v>
      </c>
      <c r="DA2381">
        <v>18.11</v>
      </c>
      <c r="DB2381">
        <v>10.119999999999999</v>
      </c>
      <c r="DC2381">
        <v>7.74</v>
      </c>
      <c r="DD2381">
        <v>1.33</v>
      </c>
      <c r="DE2381">
        <v>18493</v>
      </c>
      <c r="DF2381">
        <v>600219</v>
      </c>
      <c r="DG2381" t="s">
        <v>116</v>
      </c>
      <c r="DH2381" t="s">
        <v>116</v>
      </c>
      <c r="DI2381" t="s">
        <v>116</v>
      </c>
    </row>
    <row r="2382" spans="1:113" x14ac:dyDescent="0.4">
      <c r="A2382" t="str">
        <f>"600220"</f>
        <v>600220</v>
      </c>
      <c r="B2382" t="s">
        <v>11116</v>
      </c>
      <c r="C2382">
        <v>0.45</v>
      </c>
      <c r="D2382">
        <v>2.2400000000000002</v>
      </c>
      <c r="E2382">
        <v>0.01</v>
      </c>
      <c r="F2382">
        <v>2.2400000000000002</v>
      </c>
      <c r="G2382">
        <v>2.25</v>
      </c>
      <c r="H2382">
        <v>79979</v>
      </c>
      <c r="I2382">
        <v>706</v>
      </c>
      <c r="J2382">
        <v>0</v>
      </c>
      <c r="K2382">
        <v>0.45</v>
      </c>
      <c r="L2382">
        <v>2.23</v>
      </c>
      <c r="M2382">
        <v>2.27</v>
      </c>
      <c r="N2382">
        <v>2.23</v>
      </c>
      <c r="O2382">
        <v>2.23</v>
      </c>
      <c r="P2382">
        <v>35.450000000000003</v>
      </c>
      <c r="Q2382">
        <v>18039870</v>
      </c>
      <c r="R2382">
        <v>0.95</v>
      </c>
      <c r="S2382" t="s">
        <v>1420</v>
      </c>
      <c r="T2382" t="s">
        <v>323</v>
      </c>
      <c r="U2382">
        <v>1.79</v>
      </c>
      <c r="V2382">
        <v>2.2599999999999998</v>
      </c>
      <c r="W2382">
        <v>41677</v>
      </c>
      <c r="X2382">
        <v>38302</v>
      </c>
      <c r="Y2382">
        <v>1.0900000000000001</v>
      </c>
      <c r="Z2382">
        <v>567</v>
      </c>
      <c r="AA2382">
        <v>3758</v>
      </c>
      <c r="AB2382" t="s">
        <v>116</v>
      </c>
      <c r="AC2382">
        <v>47300</v>
      </c>
      <c r="AD2382">
        <v>0</v>
      </c>
      <c r="AE2382" t="s">
        <v>116</v>
      </c>
      <c r="AF2382" t="s">
        <v>116</v>
      </c>
      <c r="AG2382">
        <v>17.829999999999998</v>
      </c>
      <c r="AH2382" t="s">
        <v>264</v>
      </c>
      <c r="AI2382" t="s">
        <v>264</v>
      </c>
      <c r="AJ2382">
        <v>0.53</v>
      </c>
      <c r="AK2382">
        <v>789</v>
      </c>
      <c r="AL2382">
        <v>101</v>
      </c>
      <c r="AM2382">
        <v>5.9999999999999995E-4</v>
      </c>
      <c r="AN2382">
        <v>2</v>
      </c>
      <c r="AO2382">
        <v>0</v>
      </c>
      <c r="AP2382">
        <v>4.67</v>
      </c>
      <c r="AQ2382">
        <v>2.75</v>
      </c>
      <c r="AR2382">
        <v>8.2100000000000009</v>
      </c>
      <c r="AS2382">
        <v>0.65</v>
      </c>
      <c r="AT2382" t="s">
        <v>8071</v>
      </c>
      <c r="AU2382">
        <v>31.16</v>
      </c>
      <c r="AV2382">
        <v>29.38</v>
      </c>
      <c r="AW2382">
        <v>1.08</v>
      </c>
      <c r="BA2382">
        <v>0</v>
      </c>
      <c r="BB2382">
        <v>1.79</v>
      </c>
      <c r="BC2382">
        <v>0</v>
      </c>
      <c r="BD2382">
        <v>1.1499999999999999</v>
      </c>
      <c r="BE2382">
        <v>0.45</v>
      </c>
      <c r="BF2382">
        <v>-1.32</v>
      </c>
      <c r="BG2382">
        <v>0.45</v>
      </c>
      <c r="BH2382">
        <v>-0.7</v>
      </c>
      <c r="BI2382">
        <v>20191030</v>
      </c>
      <c r="BJ2382">
        <v>19990927</v>
      </c>
      <c r="BK2382">
        <v>17.829999999999998</v>
      </c>
      <c r="BL2382" t="s">
        <v>116</v>
      </c>
      <c r="BM2382" t="s">
        <v>116</v>
      </c>
      <c r="BN2382">
        <v>51.46</v>
      </c>
      <c r="BO2382">
        <v>22.26</v>
      </c>
      <c r="BP2382">
        <v>2.56</v>
      </c>
      <c r="BQ2382">
        <v>51.78</v>
      </c>
      <c r="BR2382">
        <v>23.65</v>
      </c>
      <c r="BS2382">
        <v>15.56</v>
      </c>
      <c r="BT2382">
        <v>1.47</v>
      </c>
      <c r="BU2382">
        <v>24.23</v>
      </c>
      <c r="BV2382">
        <v>10.16</v>
      </c>
      <c r="BW2382">
        <v>5.23</v>
      </c>
      <c r="BX2382">
        <v>0</v>
      </c>
      <c r="BY2382">
        <v>17.3</v>
      </c>
      <c r="BZ2382">
        <v>13.48</v>
      </c>
      <c r="CA2382">
        <v>1.51</v>
      </c>
      <c r="CB2382">
        <v>0.3</v>
      </c>
      <c r="CC2382">
        <v>1.5</v>
      </c>
      <c r="CD2382">
        <v>1.05</v>
      </c>
      <c r="CE2382">
        <v>0.85</v>
      </c>
      <c r="CF2382">
        <v>0.8</v>
      </c>
      <c r="CG2382">
        <v>3.06</v>
      </c>
      <c r="CH2382">
        <v>3.65</v>
      </c>
      <c r="CI2382">
        <v>2.88</v>
      </c>
      <c r="CJ2382">
        <v>122499</v>
      </c>
      <c r="CK2382">
        <v>9969</v>
      </c>
      <c r="CL2382" t="s">
        <v>10418</v>
      </c>
      <c r="CM2382">
        <v>-8.42</v>
      </c>
      <c r="CN2382">
        <v>-2.59</v>
      </c>
      <c r="CO2382">
        <v>1.79</v>
      </c>
      <c r="CP2382">
        <v>10.93</v>
      </c>
      <c r="CQ2382">
        <v>2.31</v>
      </c>
      <c r="CR2382">
        <v>1.34</v>
      </c>
      <c r="CS2382" t="s">
        <v>9504</v>
      </c>
      <c r="CT2382">
        <v>1.25</v>
      </c>
      <c r="CU2382">
        <v>0</v>
      </c>
      <c r="CV2382">
        <v>0</v>
      </c>
      <c r="CW2382">
        <v>0.17</v>
      </c>
      <c r="CX2382">
        <v>0.2</v>
      </c>
      <c r="CY2382">
        <v>43.25</v>
      </c>
      <c r="CZ2382" t="s">
        <v>4405</v>
      </c>
      <c r="DA2382">
        <v>22.07</v>
      </c>
      <c r="DB2382">
        <v>8.7200000000000006</v>
      </c>
      <c r="DC2382">
        <v>4.8899999999999997</v>
      </c>
      <c r="DD2382">
        <v>0.12</v>
      </c>
      <c r="DE2382">
        <v>5425</v>
      </c>
      <c r="DF2382">
        <v>600220</v>
      </c>
      <c r="DG2382" t="s">
        <v>116</v>
      </c>
      <c r="DH2382" t="s">
        <v>116</v>
      </c>
      <c r="DI2382" t="s">
        <v>116</v>
      </c>
    </row>
    <row r="2383" spans="1:113" x14ac:dyDescent="0.4">
      <c r="A2383" t="str">
        <f>"600221"</f>
        <v>600221</v>
      </c>
      <c r="B2383" t="s">
        <v>11117</v>
      </c>
      <c r="C2383">
        <v>-0.57999999999999996</v>
      </c>
      <c r="D2383">
        <v>1.71</v>
      </c>
      <c r="E2383">
        <v>-0.01</v>
      </c>
      <c r="F2383">
        <v>1.71</v>
      </c>
      <c r="G2383">
        <v>1.72</v>
      </c>
      <c r="H2383">
        <v>735877</v>
      </c>
      <c r="I2383">
        <v>4395</v>
      </c>
      <c r="J2383">
        <v>0</v>
      </c>
      <c r="K2383">
        <v>0.45</v>
      </c>
      <c r="L2383">
        <v>1.71</v>
      </c>
      <c r="M2383">
        <v>1.73</v>
      </c>
      <c r="N2383">
        <v>1.71</v>
      </c>
      <c r="O2383">
        <v>1.72</v>
      </c>
      <c r="P2383">
        <v>35.229999999999997</v>
      </c>
      <c r="Q2383">
        <v>126534104</v>
      </c>
      <c r="R2383">
        <v>0.78</v>
      </c>
      <c r="S2383" t="s">
        <v>544</v>
      </c>
      <c r="T2383" t="s">
        <v>851</v>
      </c>
      <c r="U2383">
        <v>1.1599999999999999</v>
      </c>
      <c r="V2383">
        <v>1.72</v>
      </c>
      <c r="W2383">
        <v>366284</v>
      </c>
      <c r="X2383">
        <v>369594</v>
      </c>
      <c r="Y2383">
        <v>0.99</v>
      </c>
      <c r="Z2383">
        <v>68516</v>
      </c>
      <c r="AA2383">
        <v>40884</v>
      </c>
      <c r="AB2383" t="s">
        <v>116</v>
      </c>
      <c r="AC2383">
        <v>894800</v>
      </c>
      <c r="AD2383">
        <v>0</v>
      </c>
      <c r="AE2383" t="s">
        <v>116</v>
      </c>
      <c r="AF2383" t="s">
        <v>116</v>
      </c>
      <c r="AG2383">
        <v>164.36</v>
      </c>
      <c r="AH2383" t="s">
        <v>11118</v>
      </c>
      <c r="AI2383" t="s">
        <v>11119</v>
      </c>
      <c r="AJ2383">
        <v>-0.5</v>
      </c>
      <c r="AK2383">
        <v>2798</v>
      </c>
      <c r="AL2383">
        <v>263</v>
      </c>
      <c r="AM2383">
        <v>2.0000000000000001E-4</v>
      </c>
      <c r="AN2383">
        <v>-1</v>
      </c>
      <c r="AO2383">
        <v>-1.72</v>
      </c>
      <c r="AP2383">
        <v>3.64</v>
      </c>
      <c r="AQ2383">
        <v>-5.52</v>
      </c>
      <c r="AR2383">
        <v>-9.0399999999999991</v>
      </c>
      <c r="AS2383">
        <v>0.69</v>
      </c>
      <c r="AT2383" t="s">
        <v>11120</v>
      </c>
      <c r="AU2383" t="s">
        <v>116</v>
      </c>
      <c r="AV2383" t="s">
        <v>116</v>
      </c>
      <c r="AW2383">
        <v>0.97</v>
      </c>
      <c r="BA2383">
        <v>-0.57999999999999996</v>
      </c>
      <c r="BB2383">
        <v>0.57999999999999996</v>
      </c>
      <c r="BC2383">
        <v>-0.57999999999999996</v>
      </c>
      <c r="BD2383">
        <v>-0.03</v>
      </c>
      <c r="BE2383">
        <v>0</v>
      </c>
      <c r="BF2383">
        <v>-1.1599999999999999</v>
      </c>
      <c r="BG2383">
        <v>0</v>
      </c>
      <c r="BH2383">
        <v>-0.55000000000000004</v>
      </c>
      <c r="BI2383">
        <v>20191031</v>
      </c>
      <c r="BJ2383">
        <v>19991125</v>
      </c>
      <c r="BK2383">
        <v>168.06</v>
      </c>
      <c r="BL2383">
        <v>3.69</v>
      </c>
      <c r="BM2383" t="s">
        <v>116</v>
      </c>
      <c r="BN2383">
        <v>1968.89</v>
      </c>
      <c r="BO2383">
        <v>535.9</v>
      </c>
      <c r="BP2383">
        <v>153.08000000000001</v>
      </c>
      <c r="BQ2383">
        <v>65.010000000000005</v>
      </c>
      <c r="BR2383">
        <v>513.29999999999995</v>
      </c>
      <c r="BS2383">
        <v>700.46</v>
      </c>
      <c r="BT2383">
        <v>6.28</v>
      </c>
      <c r="BU2383">
        <v>1179.73</v>
      </c>
      <c r="BV2383">
        <v>1.82</v>
      </c>
      <c r="BW2383">
        <v>38.78</v>
      </c>
      <c r="BX2383">
        <v>177.21</v>
      </c>
      <c r="BY2383">
        <v>564.79999999999995</v>
      </c>
      <c r="BZ2383">
        <v>502.32</v>
      </c>
      <c r="CA2383">
        <v>8.5</v>
      </c>
      <c r="CB2383">
        <v>5.81</v>
      </c>
      <c r="CC2383">
        <v>9.8800000000000008</v>
      </c>
      <c r="CD2383">
        <v>7.09</v>
      </c>
      <c r="CE2383">
        <v>6.12</v>
      </c>
      <c r="CF2383">
        <v>1.33</v>
      </c>
      <c r="CG2383">
        <v>128.52000000000001</v>
      </c>
      <c r="CH2383">
        <v>45.33</v>
      </c>
      <c r="CI2383">
        <v>21.76</v>
      </c>
      <c r="CJ2383">
        <v>438331</v>
      </c>
      <c r="CK2383">
        <v>25018</v>
      </c>
      <c r="CL2383" t="s">
        <v>770</v>
      </c>
      <c r="CM2383">
        <v>-16.07</v>
      </c>
      <c r="CN2383">
        <v>7.88</v>
      </c>
      <c r="CO2383">
        <v>0.59</v>
      </c>
      <c r="CP2383">
        <v>6.34</v>
      </c>
      <c r="CQ2383">
        <v>0.51</v>
      </c>
      <c r="CR2383">
        <v>0</v>
      </c>
      <c r="CS2383" t="s">
        <v>1223</v>
      </c>
      <c r="CT2383">
        <v>2.88</v>
      </c>
      <c r="CU2383">
        <v>2.88</v>
      </c>
      <c r="CV2383">
        <v>1.05</v>
      </c>
      <c r="CW2383">
        <v>0.76</v>
      </c>
      <c r="CX2383">
        <v>0.27</v>
      </c>
      <c r="CY2383">
        <v>27.22</v>
      </c>
      <c r="CZ2383" t="s">
        <v>11121</v>
      </c>
      <c r="DA2383">
        <v>11.06</v>
      </c>
      <c r="DB2383">
        <v>1.5</v>
      </c>
      <c r="DC2383">
        <v>1.08</v>
      </c>
      <c r="DD2383">
        <v>0</v>
      </c>
      <c r="DE2383">
        <v>26236</v>
      </c>
      <c r="DF2383">
        <v>600221</v>
      </c>
      <c r="DG2383" t="s">
        <v>116</v>
      </c>
      <c r="DH2383" t="s">
        <v>116</v>
      </c>
      <c r="DI2383" t="s">
        <v>116</v>
      </c>
    </row>
    <row r="2384" spans="1:113" x14ac:dyDescent="0.4">
      <c r="A2384" t="str">
        <f>"600222"</f>
        <v>600222</v>
      </c>
      <c r="B2384" t="s">
        <v>11122</v>
      </c>
      <c r="C2384">
        <v>-0.46</v>
      </c>
      <c r="D2384">
        <v>4.3</v>
      </c>
      <c r="E2384">
        <v>-0.02</v>
      </c>
      <c r="F2384">
        <v>4.29</v>
      </c>
      <c r="G2384">
        <v>4.3</v>
      </c>
      <c r="H2384">
        <v>43078</v>
      </c>
      <c r="I2384">
        <v>959</v>
      </c>
      <c r="J2384">
        <v>-0.22</v>
      </c>
      <c r="K2384">
        <v>0.76</v>
      </c>
      <c r="L2384">
        <v>4.34</v>
      </c>
      <c r="M2384">
        <v>4.37</v>
      </c>
      <c r="N2384">
        <v>4.3</v>
      </c>
      <c r="O2384">
        <v>4.32</v>
      </c>
      <c r="P2384">
        <v>56.23</v>
      </c>
      <c r="Q2384">
        <v>18630218</v>
      </c>
      <c r="R2384">
        <v>0.99</v>
      </c>
      <c r="S2384" t="s">
        <v>781</v>
      </c>
      <c r="T2384" t="s">
        <v>652</v>
      </c>
      <c r="U2384">
        <v>1.62</v>
      </c>
      <c r="V2384">
        <v>4.32</v>
      </c>
      <c r="W2384">
        <v>25391</v>
      </c>
      <c r="X2384">
        <v>17687</v>
      </c>
      <c r="Y2384">
        <v>1.44</v>
      </c>
      <c r="Z2384">
        <v>280</v>
      </c>
      <c r="AA2384">
        <v>541</v>
      </c>
      <c r="AB2384" t="s">
        <v>116</v>
      </c>
      <c r="AC2384">
        <v>324600</v>
      </c>
      <c r="AD2384">
        <v>0.02</v>
      </c>
      <c r="AE2384" t="s">
        <v>116</v>
      </c>
      <c r="AF2384" t="s">
        <v>116</v>
      </c>
      <c r="AG2384">
        <v>5.7</v>
      </c>
      <c r="AH2384" t="s">
        <v>11123</v>
      </c>
      <c r="AI2384" t="s">
        <v>11124</v>
      </c>
      <c r="AJ2384">
        <v>-0.39</v>
      </c>
      <c r="AK2384">
        <v>843</v>
      </c>
      <c r="AL2384">
        <v>51</v>
      </c>
      <c r="AM2384">
        <v>8.9999999999999998E-4</v>
      </c>
      <c r="AN2384">
        <v>-1</v>
      </c>
      <c r="AO2384">
        <v>0.24</v>
      </c>
      <c r="AP2384">
        <v>-0.23</v>
      </c>
      <c r="AQ2384">
        <v>-5.49</v>
      </c>
      <c r="AR2384">
        <v>26.47</v>
      </c>
      <c r="AS2384">
        <v>1.06</v>
      </c>
      <c r="AT2384" t="s">
        <v>11125</v>
      </c>
      <c r="AU2384" t="s">
        <v>116</v>
      </c>
      <c r="AV2384" t="s">
        <v>116</v>
      </c>
      <c r="AW2384">
        <v>1.44</v>
      </c>
      <c r="BA2384">
        <v>0.46</v>
      </c>
      <c r="BB2384">
        <v>1.1599999999999999</v>
      </c>
      <c r="BC2384">
        <v>-0.46</v>
      </c>
      <c r="BD2384">
        <v>0.11</v>
      </c>
      <c r="BE2384">
        <v>-0.92</v>
      </c>
      <c r="BF2384">
        <v>-1.6</v>
      </c>
      <c r="BG2384">
        <v>0</v>
      </c>
      <c r="BH2384">
        <v>-0.56999999999999995</v>
      </c>
      <c r="BI2384">
        <v>20191026</v>
      </c>
      <c r="BJ2384">
        <v>19991105</v>
      </c>
      <c r="BK2384">
        <v>5.74</v>
      </c>
      <c r="BL2384" t="s">
        <v>116</v>
      </c>
      <c r="BM2384" t="s">
        <v>116</v>
      </c>
      <c r="BN2384">
        <v>26.19</v>
      </c>
      <c r="BO2384">
        <v>13.06</v>
      </c>
      <c r="BP2384">
        <v>0.03</v>
      </c>
      <c r="BQ2384">
        <v>50.01</v>
      </c>
      <c r="BR2384">
        <v>16.02</v>
      </c>
      <c r="BS2384">
        <v>4.24</v>
      </c>
      <c r="BT2384">
        <v>0.64</v>
      </c>
      <c r="BU2384">
        <v>7.64</v>
      </c>
      <c r="BV2384">
        <v>3.12</v>
      </c>
      <c r="BW2384">
        <v>5.13</v>
      </c>
      <c r="BX2384">
        <v>6.53</v>
      </c>
      <c r="BY2384">
        <v>8.8800000000000008</v>
      </c>
      <c r="BZ2384">
        <v>5.68</v>
      </c>
      <c r="CA2384">
        <v>0.4</v>
      </c>
      <c r="CB2384">
        <v>0.06</v>
      </c>
      <c r="CC2384">
        <v>0.38</v>
      </c>
      <c r="CD2384">
        <v>0.32</v>
      </c>
      <c r="CE2384">
        <v>0.33</v>
      </c>
      <c r="CF2384">
        <v>0.15</v>
      </c>
      <c r="CG2384">
        <v>1.44</v>
      </c>
      <c r="CH2384">
        <v>-0.82</v>
      </c>
      <c r="CI2384">
        <v>-2.77</v>
      </c>
      <c r="CJ2384">
        <v>42434</v>
      </c>
      <c r="CK2384">
        <v>9589</v>
      </c>
      <c r="CL2384" t="s">
        <v>3250</v>
      </c>
      <c r="CM2384">
        <v>482.9</v>
      </c>
      <c r="CN2384">
        <v>4.5199999999999996</v>
      </c>
      <c r="CO2384">
        <v>1.89</v>
      </c>
      <c r="CP2384">
        <v>-30.12</v>
      </c>
      <c r="CQ2384">
        <v>2.78</v>
      </c>
      <c r="CR2384">
        <v>0</v>
      </c>
      <c r="CS2384" t="s">
        <v>2039</v>
      </c>
      <c r="CT2384">
        <v>2.2799999999999998</v>
      </c>
      <c r="CU2384">
        <v>0</v>
      </c>
      <c r="CV2384">
        <v>1.1399999999999999</v>
      </c>
      <c r="CW2384">
        <v>0.25</v>
      </c>
      <c r="CX2384">
        <v>-0.14000000000000001</v>
      </c>
      <c r="CY2384">
        <v>49.88</v>
      </c>
      <c r="CZ2384" t="s">
        <v>8395</v>
      </c>
      <c r="DA2384">
        <v>36.07</v>
      </c>
      <c r="DB2384">
        <v>4.5199999999999996</v>
      </c>
      <c r="DC2384">
        <v>3.7</v>
      </c>
      <c r="DD2384">
        <v>0.37</v>
      </c>
      <c r="DE2384">
        <v>1817</v>
      </c>
      <c r="DF2384">
        <v>600222</v>
      </c>
      <c r="DG2384" t="s">
        <v>116</v>
      </c>
      <c r="DH2384" t="s">
        <v>116</v>
      </c>
      <c r="DI2384" t="s">
        <v>116</v>
      </c>
    </row>
    <row r="2385" spans="1:113" x14ac:dyDescent="0.4">
      <c r="A2385" t="str">
        <f>"600223"</f>
        <v>600223</v>
      </c>
      <c r="B2385" t="s">
        <v>11126</v>
      </c>
      <c r="C2385">
        <v>1.9</v>
      </c>
      <c r="D2385">
        <v>6.96</v>
      </c>
      <c r="E2385">
        <v>0.13</v>
      </c>
      <c r="F2385">
        <v>6.96</v>
      </c>
      <c r="G2385">
        <v>6.97</v>
      </c>
      <c r="H2385">
        <v>1193563</v>
      </c>
      <c r="I2385">
        <v>14825</v>
      </c>
      <c r="J2385">
        <v>-0.99</v>
      </c>
      <c r="K2385">
        <v>11.92</v>
      </c>
      <c r="L2385">
        <v>6.82</v>
      </c>
      <c r="M2385">
        <v>7.48</v>
      </c>
      <c r="N2385">
        <v>6.77</v>
      </c>
      <c r="O2385">
        <v>6.83</v>
      </c>
      <c r="P2385">
        <v>28.24</v>
      </c>
      <c r="Q2385">
        <v>848655232</v>
      </c>
      <c r="R2385">
        <v>1.5</v>
      </c>
      <c r="S2385" t="s">
        <v>148</v>
      </c>
      <c r="T2385" t="s">
        <v>645</v>
      </c>
      <c r="U2385">
        <v>10.4</v>
      </c>
      <c r="V2385">
        <v>7.11</v>
      </c>
      <c r="W2385">
        <v>599525</v>
      </c>
      <c r="X2385">
        <v>594038</v>
      </c>
      <c r="Y2385">
        <v>1.01</v>
      </c>
      <c r="Z2385">
        <v>849</v>
      </c>
      <c r="AA2385">
        <v>263</v>
      </c>
      <c r="AB2385" t="s">
        <v>116</v>
      </c>
      <c r="AC2385">
        <v>15408400</v>
      </c>
      <c r="AD2385">
        <v>0.52</v>
      </c>
      <c r="AE2385" t="s">
        <v>116</v>
      </c>
      <c r="AF2385" t="s">
        <v>116</v>
      </c>
      <c r="AG2385">
        <v>10.01</v>
      </c>
      <c r="AH2385" t="s">
        <v>11127</v>
      </c>
      <c r="AI2385" t="s">
        <v>11127</v>
      </c>
      <c r="AJ2385">
        <v>1.98</v>
      </c>
      <c r="AK2385">
        <v>4388</v>
      </c>
      <c r="AL2385">
        <v>272</v>
      </c>
      <c r="AM2385">
        <v>2.7000000000000001E-3</v>
      </c>
      <c r="AN2385">
        <v>2</v>
      </c>
      <c r="AO2385">
        <v>9.77</v>
      </c>
      <c r="AP2385">
        <v>29.37</v>
      </c>
      <c r="AQ2385">
        <v>98.29</v>
      </c>
      <c r="AR2385">
        <v>129.69999999999999</v>
      </c>
      <c r="AS2385">
        <v>27.51</v>
      </c>
      <c r="AT2385" t="s">
        <v>3446</v>
      </c>
      <c r="AU2385">
        <v>31.43</v>
      </c>
      <c r="AV2385">
        <v>42.99</v>
      </c>
      <c r="AW2385">
        <v>1.04</v>
      </c>
      <c r="BA2385">
        <v>-0.15</v>
      </c>
      <c r="BB2385">
        <v>9.52</v>
      </c>
      <c r="BC2385">
        <v>-0.88</v>
      </c>
      <c r="BD2385">
        <v>4.0999999999999996</v>
      </c>
      <c r="BE2385">
        <v>2.0499999999999998</v>
      </c>
      <c r="BF2385">
        <v>-6.95</v>
      </c>
      <c r="BG2385">
        <v>2.81</v>
      </c>
      <c r="BH2385">
        <v>-2.2000000000000002</v>
      </c>
      <c r="BI2385">
        <v>20191026</v>
      </c>
      <c r="BJ2385">
        <v>20000113</v>
      </c>
      <c r="BK2385">
        <v>10.01</v>
      </c>
      <c r="BL2385" t="s">
        <v>116</v>
      </c>
      <c r="BM2385" t="s">
        <v>116</v>
      </c>
      <c r="BN2385">
        <v>571.49</v>
      </c>
      <c r="BO2385">
        <v>25.78</v>
      </c>
      <c r="BP2385">
        <v>10.68</v>
      </c>
      <c r="BQ2385">
        <v>93.62</v>
      </c>
      <c r="BR2385">
        <v>556.16</v>
      </c>
      <c r="BS2385">
        <v>8.11</v>
      </c>
      <c r="BT2385">
        <v>1.76</v>
      </c>
      <c r="BU2385">
        <v>483.34</v>
      </c>
      <c r="BV2385">
        <v>447.86</v>
      </c>
      <c r="BW2385">
        <v>1.29</v>
      </c>
      <c r="BX2385">
        <v>1.0900000000000001</v>
      </c>
      <c r="BY2385">
        <v>70.08</v>
      </c>
      <c r="BZ2385">
        <v>56.42</v>
      </c>
      <c r="CA2385">
        <v>3.51</v>
      </c>
      <c r="CB2385">
        <v>0.57999999999999996</v>
      </c>
      <c r="CC2385">
        <v>3.49</v>
      </c>
      <c r="CD2385">
        <v>2.09</v>
      </c>
      <c r="CE2385">
        <v>1.85</v>
      </c>
      <c r="CF2385">
        <v>1.81</v>
      </c>
      <c r="CG2385">
        <v>13.61</v>
      </c>
      <c r="CH2385">
        <v>-65.97</v>
      </c>
      <c r="CI2385">
        <v>-4.13</v>
      </c>
      <c r="CJ2385">
        <v>25968</v>
      </c>
      <c r="CK2385">
        <v>16706</v>
      </c>
      <c r="CL2385" t="s">
        <v>9752</v>
      </c>
      <c r="CM2385">
        <v>47.53</v>
      </c>
      <c r="CN2385">
        <v>28.45</v>
      </c>
      <c r="CO2385">
        <v>2.7</v>
      </c>
      <c r="CP2385">
        <v>-1.06</v>
      </c>
      <c r="CQ2385">
        <v>0.99</v>
      </c>
      <c r="CR2385">
        <v>0.72</v>
      </c>
      <c r="CS2385" t="s">
        <v>246</v>
      </c>
      <c r="CT2385">
        <v>2.58</v>
      </c>
      <c r="CU2385">
        <v>0</v>
      </c>
      <c r="CV2385">
        <v>0.11</v>
      </c>
      <c r="CW2385">
        <v>1.36</v>
      </c>
      <c r="CX2385">
        <v>-6.59</v>
      </c>
      <c r="CY2385">
        <v>4.51</v>
      </c>
      <c r="CZ2385" t="s">
        <v>9899</v>
      </c>
      <c r="DA2385">
        <v>19.489999999999998</v>
      </c>
      <c r="DB2385">
        <v>5.01</v>
      </c>
      <c r="DC2385">
        <v>2.64</v>
      </c>
      <c r="DD2385">
        <v>0.24</v>
      </c>
      <c r="DE2385">
        <v>3601</v>
      </c>
      <c r="DF2385">
        <v>600223</v>
      </c>
      <c r="DG2385" t="s">
        <v>116</v>
      </c>
      <c r="DH2385" t="s">
        <v>116</v>
      </c>
      <c r="DI2385" t="s">
        <v>116</v>
      </c>
    </row>
    <row r="2386" spans="1:113" x14ac:dyDescent="0.4">
      <c r="A2386" t="str">
        <f>"600225"</f>
        <v>600225</v>
      </c>
      <c r="B2386" t="s">
        <v>11128</v>
      </c>
      <c r="C2386">
        <v>-0.34</v>
      </c>
      <c r="D2386">
        <v>2.94</v>
      </c>
      <c r="E2386">
        <v>-0.01</v>
      </c>
      <c r="F2386">
        <v>2.94</v>
      </c>
      <c r="G2386">
        <v>2.95</v>
      </c>
      <c r="H2386">
        <v>84074</v>
      </c>
      <c r="I2386">
        <v>943</v>
      </c>
      <c r="J2386">
        <v>-0.33</v>
      </c>
      <c r="K2386">
        <v>0.9</v>
      </c>
      <c r="L2386">
        <v>2.96</v>
      </c>
      <c r="M2386">
        <v>3.01</v>
      </c>
      <c r="N2386">
        <v>2.94</v>
      </c>
      <c r="O2386">
        <v>2.95</v>
      </c>
      <c r="P2386" t="s">
        <v>116</v>
      </c>
      <c r="Q2386">
        <v>24990504</v>
      </c>
      <c r="R2386">
        <v>1.49</v>
      </c>
      <c r="S2386" t="s">
        <v>148</v>
      </c>
      <c r="T2386" t="s">
        <v>1035</v>
      </c>
      <c r="U2386">
        <v>2.37</v>
      </c>
      <c r="V2386">
        <v>2.97</v>
      </c>
      <c r="W2386">
        <v>36920</v>
      </c>
      <c r="X2386">
        <v>47154</v>
      </c>
      <c r="Y2386">
        <v>0.78</v>
      </c>
      <c r="Z2386">
        <v>3216</v>
      </c>
      <c r="AA2386">
        <v>371</v>
      </c>
      <c r="AB2386" t="s">
        <v>116</v>
      </c>
      <c r="AC2386">
        <v>15400</v>
      </c>
      <c r="AD2386">
        <v>0</v>
      </c>
      <c r="AE2386" t="s">
        <v>116</v>
      </c>
      <c r="AF2386" t="s">
        <v>116</v>
      </c>
      <c r="AG2386">
        <v>9.33</v>
      </c>
      <c r="AH2386" t="s">
        <v>11129</v>
      </c>
      <c r="AI2386" t="s">
        <v>5460</v>
      </c>
      <c r="AJ2386">
        <v>-0.26</v>
      </c>
      <c r="AK2386">
        <v>611</v>
      </c>
      <c r="AL2386">
        <v>138</v>
      </c>
      <c r="AM2386">
        <v>1.5E-3</v>
      </c>
      <c r="AN2386">
        <v>-1</v>
      </c>
      <c r="AO2386">
        <v>-0.34</v>
      </c>
      <c r="AP2386">
        <v>0.34</v>
      </c>
      <c r="AQ2386">
        <v>-8.6999999999999993</v>
      </c>
      <c r="AR2386">
        <v>-14.04</v>
      </c>
      <c r="AS2386">
        <v>1.75</v>
      </c>
      <c r="AT2386" t="s">
        <v>9444</v>
      </c>
      <c r="AU2386" t="s">
        <v>116</v>
      </c>
      <c r="AV2386" t="s">
        <v>116</v>
      </c>
      <c r="AW2386">
        <v>1.34</v>
      </c>
      <c r="BA2386">
        <v>0.34</v>
      </c>
      <c r="BB2386">
        <v>2.0299999999999998</v>
      </c>
      <c r="BC2386">
        <v>-0.34</v>
      </c>
      <c r="BD2386">
        <v>0.76</v>
      </c>
      <c r="BE2386">
        <v>-0.68</v>
      </c>
      <c r="BF2386">
        <v>-2.33</v>
      </c>
      <c r="BG2386">
        <v>0</v>
      </c>
      <c r="BH2386">
        <v>-1.1000000000000001</v>
      </c>
      <c r="BI2386">
        <v>20191029</v>
      </c>
      <c r="BJ2386">
        <v>20000127</v>
      </c>
      <c r="BK2386">
        <v>9.35</v>
      </c>
      <c r="BL2386" t="s">
        <v>116</v>
      </c>
      <c r="BM2386" t="s">
        <v>116</v>
      </c>
      <c r="BN2386">
        <v>137.46</v>
      </c>
      <c r="BO2386">
        <v>9.68</v>
      </c>
      <c r="BP2386">
        <v>2.8</v>
      </c>
      <c r="BQ2386">
        <v>90.92</v>
      </c>
      <c r="BR2386">
        <v>94.23</v>
      </c>
      <c r="BS2386">
        <v>4.53</v>
      </c>
      <c r="BT2386">
        <v>3.07</v>
      </c>
      <c r="BU2386">
        <v>90.87</v>
      </c>
      <c r="BV2386">
        <v>54.21</v>
      </c>
      <c r="BW2386">
        <v>8.7899999999999991</v>
      </c>
      <c r="BX2386">
        <v>11.49</v>
      </c>
      <c r="BY2386">
        <v>7.59</v>
      </c>
      <c r="BZ2386">
        <v>4.97</v>
      </c>
      <c r="CA2386">
        <v>-4.0599999999999996</v>
      </c>
      <c r="CB2386">
        <v>-0.1</v>
      </c>
      <c r="CC2386">
        <v>-3.18</v>
      </c>
      <c r="CD2386">
        <v>-2.69</v>
      </c>
      <c r="CE2386">
        <v>-2.69</v>
      </c>
      <c r="CF2386">
        <v>-3.26</v>
      </c>
      <c r="CG2386">
        <v>-13.16</v>
      </c>
      <c r="CH2386">
        <v>0.89</v>
      </c>
      <c r="CI2386">
        <v>-0.11</v>
      </c>
      <c r="CJ2386">
        <v>28309</v>
      </c>
      <c r="CK2386">
        <v>16992</v>
      </c>
      <c r="CL2386" t="s">
        <v>5984</v>
      </c>
      <c r="CM2386">
        <v>-2.1800000000000002</v>
      </c>
      <c r="CN2386">
        <v>-65.69</v>
      </c>
      <c r="CO2386">
        <v>2.84</v>
      </c>
      <c r="CP2386">
        <v>30.84</v>
      </c>
      <c r="CQ2386">
        <v>3.62</v>
      </c>
      <c r="CR2386">
        <v>0</v>
      </c>
      <c r="CS2386" t="s">
        <v>3493</v>
      </c>
      <c r="CT2386">
        <v>1.04</v>
      </c>
      <c r="CU2386">
        <v>0</v>
      </c>
      <c r="CV2386">
        <v>1.23</v>
      </c>
      <c r="CW2386">
        <v>-1.41</v>
      </c>
      <c r="CX2386">
        <v>0.1</v>
      </c>
      <c r="CY2386">
        <v>7.04</v>
      </c>
      <c r="CZ2386" t="s">
        <v>11130</v>
      </c>
      <c r="DA2386">
        <v>34.51</v>
      </c>
      <c r="DB2386">
        <v>-53.51</v>
      </c>
      <c r="DC2386">
        <v>-35.44</v>
      </c>
      <c r="DD2386">
        <v>0.49</v>
      </c>
      <c r="DE2386">
        <v>690</v>
      </c>
      <c r="DF2386">
        <v>600225</v>
      </c>
      <c r="DG2386" t="s">
        <v>116</v>
      </c>
      <c r="DH2386" t="s">
        <v>116</v>
      </c>
      <c r="DI2386" t="s">
        <v>116</v>
      </c>
    </row>
    <row r="2387" spans="1:113" x14ac:dyDescent="0.4">
      <c r="A2387" t="str">
        <f>"600226"</f>
        <v>600226</v>
      </c>
      <c r="B2387" t="s">
        <v>11131</v>
      </c>
      <c r="C2387">
        <v>-2.2200000000000002</v>
      </c>
      <c r="D2387">
        <v>3.09</v>
      </c>
      <c r="E2387">
        <v>-7.0000000000000007E-2</v>
      </c>
      <c r="F2387">
        <v>3.09</v>
      </c>
      <c r="G2387">
        <v>3.1</v>
      </c>
      <c r="H2387">
        <v>316274</v>
      </c>
      <c r="I2387">
        <v>2614</v>
      </c>
      <c r="J2387">
        <v>-0.63</v>
      </c>
      <c r="K2387">
        <v>1.59</v>
      </c>
      <c r="L2387">
        <v>3.16</v>
      </c>
      <c r="M2387">
        <v>3.21</v>
      </c>
      <c r="N2387">
        <v>3.08</v>
      </c>
      <c r="O2387">
        <v>3.16</v>
      </c>
      <c r="P2387">
        <v>33.479999999999997</v>
      </c>
      <c r="Q2387">
        <v>99701360</v>
      </c>
      <c r="R2387">
        <v>0.82</v>
      </c>
      <c r="S2387" t="s">
        <v>1384</v>
      </c>
      <c r="T2387" t="s">
        <v>590</v>
      </c>
      <c r="U2387">
        <v>4.1100000000000003</v>
      </c>
      <c r="V2387">
        <v>3.15</v>
      </c>
      <c r="W2387">
        <v>212048</v>
      </c>
      <c r="X2387">
        <v>104226</v>
      </c>
      <c r="Y2387">
        <v>2.0299999999999998</v>
      </c>
      <c r="Z2387">
        <v>8758</v>
      </c>
      <c r="AA2387">
        <v>1866</v>
      </c>
      <c r="AB2387" t="s">
        <v>116</v>
      </c>
      <c r="AC2387">
        <v>74600</v>
      </c>
      <c r="AD2387">
        <v>0</v>
      </c>
      <c r="AE2387" t="s">
        <v>116</v>
      </c>
      <c r="AF2387" t="s">
        <v>116</v>
      </c>
      <c r="AG2387">
        <v>19.93</v>
      </c>
      <c r="AH2387" t="s">
        <v>11132</v>
      </c>
      <c r="AI2387" t="s">
        <v>11133</v>
      </c>
      <c r="AJ2387">
        <v>-2.14</v>
      </c>
      <c r="AK2387">
        <v>2208</v>
      </c>
      <c r="AL2387">
        <v>143</v>
      </c>
      <c r="AM2387">
        <v>6.9999999999999999E-4</v>
      </c>
      <c r="AN2387">
        <v>-2</v>
      </c>
      <c r="AO2387">
        <v>-1.28</v>
      </c>
      <c r="AP2387">
        <v>8.0399999999999991</v>
      </c>
      <c r="AQ2387">
        <v>4.75</v>
      </c>
      <c r="AR2387">
        <v>11.23</v>
      </c>
      <c r="AS2387">
        <v>1.85</v>
      </c>
      <c r="AT2387" t="s">
        <v>11134</v>
      </c>
      <c r="AU2387">
        <v>66.44</v>
      </c>
      <c r="AV2387">
        <v>68.430000000000007</v>
      </c>
      <c r="AW2387">
        <v>1.43</v>
      </c>
      <c r="BA2387">
        <v>0</v>
      </c>
      <c r="BB2387">
        <v>1.58</v>
      </c>
      <c r="BC2387">
        <v>-2.5299999999999998</v>
      </c>
      <c r="BD2387">
        <v>-0.24</v>
      </c>
      <c r="BE2387">
        <v>-2.2200000000000002</v>
      </c>
      <c r="BF2387">
        <v>-3.74</v>
      </c>
      <c r="BG2387">
        <v>0.32</v>
      </c>
      <c r="BH2387">
        <v>-1.97</v>
      </c>
      <c r="BI2387">
        <v>20191031</v>
      </c>
      <c r="BJ2387">
        <v>19991116</v>
      </c>
      <c r="BK2387">
        <v>31.39</v>
      </c>
      <c r="BL2387" t="s">
        <v>116</v>
      </c>
      <c r="BM2387" t="s">
        <v>116</v>
      </c>
      <c r="BN2387">
        <v>50.68</v>
      </c>
      <c r="BO2387">
        <v>44.35</v>
      </c>
      <c r="BP2387">
        <v>-0.05</v>
      </c>
      <c r="BQ2387">
        <v>12.57</v>
      </c>
      <c r="BR2387">
        <v>15.62</v>
      </c>
      <c r="BS2387">
        <v>5.17</v>
      </c>
      <c r="BT2387">
        <v>0.55000000000000004</v>
      </c>
      <c r="BU2387">
        <v>4.78</v>
      </c>
      <c r="BV2387">
        <v>1.94</v>
      </c>
      <c r="BW2387">
        <v>3.05</v>
      </c>
      <c r="BX2387">
        <v>3.24</v>
      </c>
      <c r="BY2387">
        <v>6.62</v>
      </c>
      <c r="BZ2387">
        <v>3.95</v>
      </c>
      <c r="CA2387">
        <v>2.4300000000000002</v>
      </c>
      <c r="CB2387">
        <v>1.47</v>
      </c>
      <c r="CC2387">
        <v>2.44</v>
      </c>
      <c r="CD2387">
        <v>2.14</v>
      </c>
      <c r="CE2387">
        <v>2.17</v>
      </c>
      <c r="CF2387">
        <v>1.77</v>
      </c>
      <c r="CG2387">
        <v>8.16</v>
      </c>
      <c r="CH2387">
        <v>-1.57</v>
      </c>
      <c r="CI2387">
        <v>-3.94</v>
      </c>
      <c r="CJ2387">
        <v>66114</v>
      </c>
      <c r="CK2387">
        <v>25839</v>
      </c>
      <c r="CL2387" t="s">
        <v>6171</v>
      </c>
      <c r="CM2387">
        <v>1.99</v>
      </c>
      <c r="CN2387">
        <v>-6.85</v>
      </c>
      <c r="CO2387">
        <v>2.19</v>
      </c>
      <c r="CP2387">
        <v>-61.81</v>
      </c>
      <c r="CQ2387">
        <v>14.64</v>
      </c>
      <c r="CR2387">
        <v>0.71</v>
      </c>
      <c r="CS2387" t="s">
        <v>1395</v>
      </c>
      <c r="CT2387">
        <v>1.41</v>
      </c>
      <c r="CU2387">
        <v>0</v>
      </c>
      <c r="CV2387">
        <v>0.1</v>
      </c>
      <c r="CW2387">
        <v>0.26</v>
      </c>
      <c r="CX2387">
        <v>-0.05</v>
      </c>
      <c r="CY2387">
        <v>87.52</v>
      </c>
      <c r="CZ2387" t="s">
        <v>759</v>
      </c>
      <c r="DA2387">
        <v>40.39</v>
      </c>
      <c r="DB2387">
        <v>36.700000000000003</v>
      </c>
      <c r="DC2387">
        <v>32.799999999999997</v>
      </c>
      <c r="DD2387">
        <v>0.17</v>
      </c>
      <c r="DE2387">
        <v>1026</v>
      </c>
      <c r="DF2387">
        <v>600226</v>
      </c>
      <c r="DG2387" t="s">
        <v>116</v>
      </c>
      <c r="DH2387" t="s">
        <v>116</v>
      </c>
      <c r="DI2387" t="s">
        <v>116</v>
      </c>
    </row>
    <row r="2388" spans="1:113" x14ac:dyDescent="0.4">
      <c r="A2388" t="str">
        <f>"600227"</f>
        <v>600227</v>
      </c>
      <c r="B2388" t="s">
        <v>11135</v>
      </c>
      <c r="C2388">
        <v>0.4</v>
      </c>
      <c r="D2388">
        <v>2.48</v>
      </c>
      <c r="E2388">
        <v>0.01</v>
      </c>
      <c r="F2388">
        <v>2.4700000000000002</v>
      </c>
      <c r="G2388">
        <v>2.48</v>
      </c>
      <c r="H2388">
        <v>77734</v>
      </c>
      <c r="I2388">
        <v>3076</v>
      </c>
      <c r="J2388">
        <v>0</v>
      </c>
      <c r="K2388">
        <v>0.61</v>
      </c>
      <c r="L2388">
        <v>2.46</v>
      </c>
      <c r="M2388">
        <v>2.4900000000000002</v>
      </c>
      <c r="N2388">
        <v>2.46</v>
      </c>
      <c r="O2388">
        <v>2.4700000000000002</v>
      </c>
      <c r="P2388" t="s">
        <v>116</v>
      </c>
      <c r="Q2388">
        <v>19252828</v>
      </c>
      <c r="R2388">
        <v>0.4</v>
      </c>
      <c r="S2388" t="s">
        <v>697</v>
      </c>
      <c r="T2388" t="s">
        <v>1056</v>
      </c>
      <c r="U2388">
        <v>1.21</v>
      </c>
      <c r="V2388">
        <v>2.48</v>
      </c>
      <c r="W2388">
        <v>42161</v>
      </c>
      <c r="X2388">
        <v>35573</v>
      </c>
      <c r="Y2388">
        <v>1.19</v>
      </c>
      <c r="Z2388">
        <v>2540</v>
      </c>
      <c r="AA2388">
        <v>1820</v>
      </c>
      <c r="AB2388" t="s">
        <v>116</v>
      </c>
      <c r="AC2388">
        <v>147800</v>
      </c>
      <c r="AD2388">
        <v>0.01</v>
      </c>
      <c r="AE2388" t="s">
        <v>116</v>
      </c>
      <c r="AF2388" t="s">
        <v>116</v>
      </c>
      <c r="AG2388">
        <v>12.78</v>
      </c>
      <c r="AH2388" t="s">
        <v>1872</v>
      </c>
      <c r="AI2388" t="s">
        <v>8822</v>
      </c>
      <c r="AJ2388">
        <v>0.48</v>
      </c>
      <c r="AK2388">
        <v>1038</v>
      </c>
      <c r="AL2388">
        <v>75</v>
      </c>
      <c r="AM2388">
        <v>5.9999999999999995E-4</v>
      </c>
      <c r="AN2388">
        <v>1</v>
      </c>
      <c r="AO2388">
        <v>-3.51</v>
      </c>
      <c r="AP2388">
        <v>8.77</v>
      </c>
      <c r="AQ2388">
        <v>-0.4</v>
      </c>
      <c r="AR2388">
        <v>-10.14</v>
      </c>
      <c r="AS2388">
        <v>0.8</v>
      </c>
      <c r="AT2388" t="s">
        <v>3884</v>
      </c>
      <c r="AU2388" t="s">
        <v>116</v>
      </c>
      <c r="AV2388">
        <v>21.1</v>
      </c>
      <c r="AW2388">
        <v>0.36</v>
      </c>
      <c r="BA2388">
        <v>-0.4</v>
      </c>
      <c r="BB2388">
        <v>0.81</v>
      </c>
      <c r="BC2388">
        <v>-0.4</v>
      </c>
      <c r="BD2388">
        <v>0.27</v>
      </c>
      <c r="BE2388">
        <v>0.81</v>
      </c>
      <c r="BF2388">
        <v>-0.4</v>
      </c>
      <c r="BG2388">
        <v>0.81</v>
      </c>
      <c r="BH2388">
        <v>0.13</v>
      </c>
      <c r="BI2388">
        <v>20191031</v>
      </c>
      <c r="BJ2388">
        <v>20000221</v>
      </c>
      <c r="BK2388">
        <v>16.93</v>
      </c>
      <c r="BL2388" t="s">
        <v>116</v>
      </c>
      <c r="BM2388" t="s">
        <v>116</v>
      </c>
      <c r="BN2388">
        <v>49.33</v>
      </c>
      <c r="BO2388">
        <v>31.85</v>
      </c>
      <c r="BP2388">
        <v>0.14000000000000001</v>
      </c>
      <c r="BQ2388">
        <v>35.159999999999997</v>
      </c>
      <c r="BR2388">
        <v>18.45</v>
      </c>
      <c r="BS2388">
        <v>22.56</v>
      </c>
      <c r="BT2388">
        <v>3.42</v>
      </c>
      <c r="BU2388">
        <v>15.7</v>
      </c>
      <c r="BV2388">
        <v>2.68</v>
      </c>
      <c r="BW2388">
        <v>8.69</v>
      </c>
      <c r="BX2388">
        <v>25.84</v>
      </c>
      <c r="BY2388">
        <v>14.29</v>
      </c>
      <c r="BZ2388">
        <v>11.17</v>
      </c>
      <c r="CA2388">
        <v>-16.649999999999999</v>
      </c>
      <c r="CB2388">
        <v>0</v>
      </c>
      <c r="CC2388">
        <v>-16.63</v>
      </c>
      <c r="CD2388">
        <v>-16.75</v>
      </c>
      <c r="CE2388">
        <v>-16.739999999999998</v>
      </c>
      <c r="CF2388">
        <v>-16.84</v>
      </c>
      <c r="CG2388">
        <v>-13.88</v>
      </c>
      <c r="CH2388">
        <v>1.53</v>
      </c>
      <c r="CI2388">
        <v>-1.1000000000000001</v>
      </c>
      <c r="CJ2388">
        <v>70714</v>
      </c>
      <c r="CK2388">
        <v>13765</v>
      </c>
      <c r="CL2388" t="s">
        <v>1700</v>
      </c>
      <c r="CM2388">
        <v>-982.76</v>
      </c>
      <c r="CN2388">
        <v>-16.760000000000002</v>
      </c>
      <c r="CO2388">
        <v>1.32</v>
      </c>
      <c r="CP2388">
        <v>27.47</v>
      </c>
      <c r="CQ2388">
        <v>2.94</v>
      </c>
      <c r="CR2388">
        <v>0</v>
      </c>
      <c r="CS2388" t="s">
        <v>11136</v>
      </c>
      <c r="CT2388">
        <v>1.88</v>
      </c>
      <c r="CU2388">
        <v>0</v>
      </c>
      <c r="CV2388">
        <v>1.53</v>
      </c>
      <c r="CW2388">
        <v>-0.82</v>
      </c>
      <c r="CX2388">
        <v>0.09</v>
      </c>
      <c r="CY2388">
        <v>64.56</v>
      </c>
      <c r="CZ2388" t="s">
        <v>11137</v>
      </c>
      <c r="DA2388">
        <v>21.81</v>
      </c>
      <c r="DB2388">
        <v>-116.53</v>
      </c>
      <c r="DC2388">
        <v>-117.13</v>
      </c>
      <c r="DD2388">
        <v>0.46</v>
      </c>
      <c r="DE2388">
        <v>1244</v>
      </c>
      <c r="DF2388">
        <v>600227</v>
      </c>
      <c r="DG2388" t="s">
        <v>116</v>
      </c>
      <c r="DH2388" t="s">
        <v>116</v>
      </c>
      <c r="DI2388" t="s">
        <v>116</v>
      </c>
    </row>
    <row r="2389" spans="1:113" x14ac:dyDescent="0.4">
      <c r="A2389" t="str">
        <f>"600228"</f>
        <v>600228</v>
      </c>
      <c r="B2389" t="s">
        <v>11138</v>
      </c>
      <c r="C2389">
        <v>0.16</v>
      </c>
      <c r="D2389">
        <v>6.4</v>
      </c>
      <c r="E2389">
        <v>0.01</v>
      </c>
      <c r="F2389">
        <v>6.4</v>
      </c>
      <c r="G2389">
        <v>6.43</v>
      </c>
      <c r="H2389">
        <v>15157</v>
      </c>
      <c r="I2389">
        <v>59</v>
      </c>
      <c r="J2389">
        <v>-0.15</v>
      </c>
      <c r="K2389">
        <v>0.63</v>
      </c>
      <c r="L2389">
        <v>6.38</v>
      </c>
      <c r="M2389">
        <v>6.45</v>
      </c>
      <c r="N2389">
        <v>6.32</v>
      </c>
      <c r="O2389">
        <v>6.39</v>
      </c>
      <c r="P2389" t="s">
        <v>116</v>
      </c>
      <c r="Q2389">
        <v>9669216</v>
      </c>
      <c r="R2389">
        <v>1.29</v>
      </c>
      <c r="S2389" t="s">
        <v>891</v>
      </c>
      <c r="T2389" t="s">
        <v>683</v>
      </c>
      <c r="U2389">
        <v>2.0299999999999998</v>
      </c>
      <c r="V2389">
        <v>6.38</v>
      </c>
      <c r="W2389">
        <v>9281</v>
      </c>
      <c r="X2389">
        <v>5876</v>
      </c>
      <c r="Y2389">
        <v>1.58</v>
      </c>
      <c r="Z2389">
        <v>339</v>
      </c>
      <c r="AA2389">
        <v>151</v>
      </c>
      <c r="AB2389" t="s">
        <v>116</v>
      </c>
      <c r="AC2389">
        <v>30000</v>
      </c>
      <c r="AD2389">
        <v>0</v>
      </c>
      <c r="AE2389" t="s">
        <v>116</v>
      </c>
      <c r="AF2389" t="s">
        <v>116</v>
      </c>
      <c r="AG2389">
        <v>2.41</v>
      </c>
      <c r="AH2389" t="s">
        <v>1555</v>
      </c>
      <c r="AI2389" t="s">
        <v>1555</v>
      </c>
      <c r="AJ2389">
        <v>0.23</v>
      </c>
      <c r="AK2389">
        <v>428</v>
      </c>
      <c r="AL2389">
        <v>35</v>
      </c>
      <c r="AM2389">
        <v>1.5E-3</v>
      </c>
      <c r="AN2389">
        <v>2</v>
      </c>
      <c r="AO2389">
        <v>0.32</v>
      </c>
      <c r="AP2389">
        <v>-0.16</v>
      </c>
      <c r="AQ2389">
        <v>-13.98</v>
      </c>
      <c r="AR2389">
        <v>-24.17</v>
      </c>
      <c r="AS2389">
        <v>0.84</v>
      </c>
      <c r="AT2389" t="s">
        <v>11139</v>
      </c>
      <c r="AU2389" t="s">
        <v>116</v>
      </c>
      <c r="AV2389">
        <v>192.72</v>
      </c>
      <c r="AW2389">
        <v>0.24</v>
      </c>
      <c r="BA2389">
        <v>-0.16</v>
      </c>
      <c r="BB2389">
        <v>0.94</v>
      </c>
      <c r="BC2389">
        <v>-1.1000000000000001</v>
      </c>
      <c r="BD2389">
        <v>-0.17</v>
      </c>
      <c r="BE2389">
        <v>0.31</v>
      </c>
      <c r="BF2389">
        <v>-0.78</v>
      </c>
      <c r="BG2389">
        <v>1.27</v>
      </c>
      <c r="BH2389">
        <v>0.33</v>
      </c>
      <c r="BI2389">
        <v>20191019</v>
      </c>
      <c r="BJ2389">
        <v>19990119</v>
      </c>
      <c r="BK2389">
        <v>2.41</v>
      </c>
      <c r="BL2389" t="s">
        <v>116</v>
      </c>
      <c r="BM2389" t="s">
        <v>116</v>
      </c>
      <c r="BN2389">
        <v>2.67</v>
      </c>
      <c r="BO2389">
        <v>0.57999999999999996</v>
      </c>
      <c r="BP2389">
        <v>0.72</v>
      </c>
      <c r="BQ2389">
        <v>51.44</v>
      </c>
      <c r="BR2389">
        <v>1.42</v>
      </c>
      <c r="BS2389">
        <v>0.75</v>
      </c>
      <c r="BT2389">
        <v>0.1</v>
      </c>
      <c r="BU2389">
        <v>1.03</v>
      </c>
      <c r="BV2389">
        <v>0.11</v>
      </c>
      <c r="BW2389">
        <v>0.2</v>
      </c>
      <c r="BX2389">
        <v>3.37</v>
      </c>
      <c r="BY2389">
        <v>3.3</v>
      </c>
      <c r="BZ2389">
        <v>2.76</v>
      </c>
      <c r="CA2389">
        <v>0.04</v>
      </c>
      <c r="CB2389">
        <v>0</v>
      </c>
      <c r="CC2389">
        <v>0.04</v>
      </c>
      <c r="CD2389">
        <v>0.02</v>
      </c>
      <c r="CE2389">
        <v>-0.04</v>
      </c>
      <c r="CF2389">
        <v>-0.04</v>
      </c>
      <c r="CG2389">
        <v>-5.52</v>
      </c>
      <c r="CH2389">
        <v>0.03</v>
      </c>
      <c r="CI2389">
        <v>-0.2</v>
      </c>
      <c r="CJ2389">
        <v>14340</v>
      </c>
      <c r="CK2389">
        <v>12523</v>
      </c>
      <c r="CL2389" t="s">
        <v>6920</v>
      </c>
      <c r="CM2389">
        <v>-145.19999999999999</v>
      </c>
      <c r="CN2389">
        <v>-18</v>
      </c>
      <c r="CO2389">
        <v>26.67</v>
      </c>
      <c r="CP2389">
        <v>446.88</v>
      </c>
      <c r="CQ2389">
        <v>4.6900000000000004</v>
      </c>
      <c r="CR2389">
        <v>0</v>
      </c>
      <c r="CS2389" t="s">
        <v>1189</v>
      </c>
      <c r="CT2389">
        <v>0.24</v>
      </c>
      <c r="CU2389">
        <v>0</v>
      </c>
      <c r="CV2389">
        <v>1.4</v>
      </c>
      <c r="CW2389">
        <v>-2.29</v>
      </c>
      <c r="CX2389">
        <v>0.01</v>
      </c>
      <c r="CY2389">
        <v>21.69</v>
      </c>
      <c r="CZ2389" t="s">
        <v>11140</v>
      </c>
      <c r="DA2389">
        <v>16.34</v>
      </c>
      <c r="DB2389">
        <v>1.29</v>
      </c>
      <c r="DC2389">
        <v>-1.1200000000000001</v>
      </c>
      <c r="DD2389">
        <v>0.11</v>
      </c>
      <c r="DE2389">
        <v>175</v>
      </c>
      <c r="DF2389">
        <v>600228</v>
      </c>
      <c r="DG2389" t="s">
        <v>116</v>
      </c>
      <c r="DH2389" t="s">
        <v>116</v>
      </c>
      <c r="DI2389" t="s">
        <v>116</v>
      </c>
    </row>
    <row r="2390" spans="1:113" x14ac:dyDescent="0.4">
      <c r="A2390" t="str">
        <f>"600229"</f>
        <v>600229</v>
      </c>
      <c r="B2390" t="s">
        <v>11141</v>
      </c>
      <c r="C2390">
        <v>-1.55</v>
      </c>
      <c r="D2390">
        <v>6.99</v>
      </c>
      <c r="E2390">
        <v>-0.11</v>
      </c>
      <c r="F2390">
        <v>6.98</v>
      </c>
      <c r="G2390">
        <v>6.99</v>
      </c>
      <c r="H2390">
        <v>54085</v>
      </c>
      <c r="I2390">
        <v>629</v>
      </c>
      <c r="J2390">
        <v>0.28999999999999998</v>
      </c>
      <c r="K2390">
        <v>0.77</v>
      </c>
      <c r="L2390">
        <v>7.16</v>
      </c>
      <c r="M2390">
        <v>7.21</v>
      </c>
      <c r="N2390">
        <v>6.97</v>
      </c>
      <c r="O2390">
        <v>7.1</v>
      </c>
      <c r="P2390">
        <v>14.1</v>
      </c>
      <c r="Q2390">
        <v>38408672</v>
      </c>
      <c r="R2390">
        <v>1.3</v>
      </c>
      <c r="S2390" t="s">
        <v>1902</v>
      </c>
      <c r="T2390" t="s">
        <v>645</v>
      </c>
      <c r="U2390">
        <v>3.38</v>
      </c>
      <c r="V2390">
        <v>7.1</v>
      </c>
      <c r="W2390">
        <v>32335</v>
      </c>
      <c r="X2390">
        <v>21750</v>
      </c>
      <c r="Y2390">
        <v>1.49</v>
      </c>
      <c r="Z2390">
        <v>39</v>
      </c>
      <c r="AA2390">
        <v>41</v>
      </c>
      <c r="AB2390" t="s">
        <v>116</v>
      </c>
      <c r="AC2390">
        <v>421700</v>
      </c>
      <c r="AD2390">
        <v>0.02</v>
      </c>
      <c r="AE2390" t="s">
        <v>116</v>
      </c>
      <c r="AF2390" t="s">
        <v>116</v>
      </c>
      <c r="AG2390">
        <v>7.02</v>
      </c>
      <c r="AH2390" t="s">
        <v>4340</v>
      </c>
      <c r="AI2390" t="s">
        <v>4340</v>
      </c>
      <c r="AJ2390">
        <v>-1.47</v>
      </c>
      <c r="AK2390">
        <v>1081</v>
      </c>
      <c r="AL2390">
        <v>50</v>
      </c>
      <c r="AM2390">
        <v>6.9999999999999999E-4</v>
      </c>
      <c r="AN2390">
        <v>-1</v>
      </c>
      <c r="AO2390">
        <v>0.87</v>
      </c>
      <c r="AP2390">
        <v>4.8</v>
      </c>
      <c r="AQ2390">
        <v>-0.85</v>
      </c>
      <c r="AR2390">
        <v>7.21</v>
      </c>
      <c r="AS2390">
        <v>1.85</v>
      </c>
      <c r="AT2390" t="s">
        <v>11098</v>
      </c>
      <c r="AU2390">
        <v>11.76</v>
      </c>
      <c r="AV2390">
        <v>14.1</v>
      </c>
      <c r="AW2390">
        <v>1.43</v>
      </c>
      <c r="BA2390">
        <v>0.85</v>
      </c>
      <c r="BB2390">
        <v>1.55</v>
      </c>
      <c r="BC2390">
        <v>-1.83</v>
      </c>
      <c r="BD2390">
        <v>0.02</v>
      </c>
      <c r="BE2390">
        <v>-2.37</v>
      </c>
      <c r="BF2390">
        <v>-3.05</v>
      </c>
      <c r="BG2390">
        <v>0.28999999999999998</v>
      </c>
      <c r="BH2390">
        <v>-1.57</v>
      </c>
      <c r="BI2390">
        <v>20191030</v>
      </c>
      <c r="BJ2390">
        <v>20000309</v>
      </c>
      <c r="BK2390">
        <v>7.02</v>
      </c>
      <c r="BL2390" t="s">
        <v>116</v>
      </c>
      <c r="BM2390" t="s">
        <v>116</v>
      </c>
      <c r="BN2390">
        <v>39.49</v>
      </c>
      <c r="BO2390">
        <v>26.81</v>
      </c>
      <c r="BP2390">
        <v>0.06</v>
      </c>
      <c r="BQ2390">
        <v>31.97</v>
      </c>
      <c r="BR2390">
        <v>20.350000000000001</v>
      </c>
      <c r="BS2390">
        <v>4.6399999999999997</v>
      </c>
      <c r="BT2390">
        <v>3.14</v>
      </c>
      <c r="BU2390">
        <v>9.5399999999999991</v>
      </c>
      <c r="BV2390">
        <v>4.6500000000000004</v>
      </c>
      <c r="BW2390">
        <v>5.12</v>
      </c>
      <c r="BX2390">
        <v>4.41</v>
      </c>
      <c r="BY2390">
        <v>16.18</v>
      </c>
      <c r="BZ2390">
        <v>10</v>
      </c>
      <c r="CA2390">
        <v>2.6</v>
      </c>
      <c r="CB2390">
        <v>0.7</v>
      </c>
      <c r="CC2390">
        <v>2.61</v>
      </c>
      <c r="CD2390">
        <v>2.6</v>
      </c>
      <c r="CE2390">
        <v>2.61</v>
      </c>
      <c r="CF2390">
        <v>1.94</v>
      </c>
      <c r="CG2390">
        <v>14.82</v>
      </c>
      <c r="CH2390">
        <v>0.51</v>
      </c>
      <c r="CI2390">
        <v>-2.38</v>
      </c>
      <c r="CJ2390">
        <v>38071</v>
      </c>
      <c r="CK2390">
        <v>7693</v>
      </c>
      <c r="CL2390" t="s">
        <v>2630</v>
      </c>
      <c r="CM2390">
        <v>36.200000000000003</v>
      </c>
      <c r="CN2390">
        <v>4.76</v>
      </c>
      <c r="CO2390">
        <v>1.83</v>
      </c>
      <c r="CP2390">
        <v>95.72</v>
      </c>
      <c r="CQ2390">
        <v>3.03</v>
      </c>
      <c r="CR2390">
        <v>2.86</v>
      </c>
      <c r="CS2390" t="s">
        <v>8703</v>
      </c>
      <c r="CT2390">
        <v>3.82</v>
      </c>
      <c r="CU2390">
        <v>0</v>
      </c>
      <c r="CV2390">
        <v>0.63</v>
      </c>
      <c r="CW2390">
        <v>2.11</v>
      </c>
      <c r="CX2390">
        <v>7.0000000000000007E-2</v>
      </c>
      <c r="CY2390">
        <v>67.88</v>
      </c>
      <c r="CZ2390" t="s">
        <v>11142</v>
      </c>
      <c r="DA2390">
        <v>38.17</v>
      </c>
      <c r="DB2390">
        <v>16.079999999999998</v>
      </c>
      <c r="DC2390">
        <v>16.14</v>
      </c>
      <c r="DD2390">
        <v>0</v>
      </c>
      <c r="DE2390">
        <v>1766</v>
      </c>
      <c r="DF2390">
        <v>600229</v>
      </c>
      <c r="DG2390" t="s">
        <v>116</v>
      </c>
      <c r="DH2390" t="s">
        <v>116</v>
      </c>
      <c r="DI2390" t="s">
        <v>116</v>
      </c>
    </row>
    <row r="2391" spans="1:113" x14ac:dyDescent="0.4">
      <c r="A2391" t="str">
        <f>"600230"</f>
        <v>600230</v>
      </c>
      <c r="B2391" t="s">
        <v>11143</v>
      </c>
      <c r="C2391">
        <v>-1.98</v>
      </c>
      <c r="D2391">
        <v>10.41</v>
      </c>
      <c r="E2391">
        <v>-0.21</v>
      </c>
      <c r="F2391">
        <v>10.4</v>
      </c>
      <c r="G2391">
        <v>10.41</v>
      </c>
      <c r="H2391">
        <v>108194</v>
      </c>
      <c r="I2391">
        <v>1122</v>
      </c>
      <c r="J2391">
        <v>0.28999999999999998</v>
      </c>
      <c r="K2391">
        <v>2.63</v>
      </c>
      <c r="L2391">
        <v>10.6</v>
      </c>
      <c r="M2391">
        <v>10.61</v>
      </c>
      <c r="N2391">
        <v>10.32</v>
      </c>
      <c r="O2391">
        <v>10.62</v>
      </c>
      <c r="P2391">
        <v>64.84</v>
      </c>
      <c r="Q2391">
        <v>113532304</v>
      </c>
      <c r="R2391">
        <v>1.18</v>
      </c>
      <c r="S2391" t="s">
        <v>697</v>
      </c>
      <c r="T2391" t="s">
        <v>608</v>
      </c>
      <c r="U2391">
        <v>2.73</v>
      </c>
      <c r="V2391">
        <v>10.49</v>
      </c>
      <c r="W2391">
        <v>59368</v>
      </c>
      <c r="X2391">
        <v>48826</v>
      </c>
      <c r="Y2391">
        <v>1.22</v>
      </c>
      <c r="Z2391">
        <v>585</v>
      </c>
      <c r="AA2391">
        <v>8</v>
      </c>
      <c r="AB2391" t="s">
        <v>116</v>
      </c>
      <c r="AC2391">
        <v>665700</v>
      </c>
      <c r="AD2391">
        <v>0.03</v>
      </c>
      <c r="AE2391" t="s">
        <v>116</v>
      </c>
      <c r="AF2391" t="s">
        <v>116</v>
      </c>
      <c r="AG2391">
        <v>4.12</v>
      </c>
      <c r="AH2391" t="s">
        <v>338</v>
      </c>
      <c r="AI2391" t="s">
        <v>338</v>
      </c>
      <c r="AJ2391">
        <v>-1.9</v>
      </c>
      <c r="AK2391">
        <v>2724</v>
      </c>
      <c r="AL2391">
        <v>40</v>
      </c>
      <c r="AM2391">
        <v>1E-3</v>
      </c>
      <c r="AN2391">
        <v>-1</v>
      </c>
      <c r="AO2391">
        <v>2.5499999999999998</v>
      </c>
      <c r="AP2391">
        <v>12.18</v>
      </c>
      <c r="AQ2391">
        <v>-11.85</v>
      </c>
      <c r="AR2391">
        <v>-34.729999999999997</v>
      </c>
      <c r="AS2391">
        <v>4.8899999999999997</v>
      </c>
      <c r="AT2391" t="s">
        <v>11144</v>
      </c>
      <c r="AU2391">
        <v>367.39</v>
      </c>
      <c r="AV2391">
        <v>4.33</v>
      </c>
      <c r="AW2391">
        <v>2.13</v>
      </c>
      <c r="BA2391">
        <v>-0.19</v>
      </c>
      <c r="BB2391">
        <v>-0.09</v>
      </c>
      <c r="BC2391">
        <v>-2.82</v>
      </c>
      <c r="BD2391">
        <v>-1.19</v>
      </c>
      <c r="BE2391">
        <v>-1.79</v>
      </c>
      <c r="BF2391">
        <v>-1.89</v>
      </c>
      <c r="BG2391">
        <v>0.87</v>
      </c>
      <c r="BH2391">
        <v>-0.78</v>
      </c>
      <c r="BI2391">
        <v>20191029</v>
      </c>
      <c r="BJ2391">
        <v>20000406</v>
      </c>
      <c r="BK2391">
        <v>4.12</v>
      </c>
      <c r="BL2391" t="s">
        <v>116</v>
      </c>
      <c r="BM2391" t="s">
        <v>116</v>
      </c>
      <c r="BN2391">
        <v>47.09</v>
      </c>
      <c r="BO2391">
        <v>35.43</v>
      </c>
      <c r="BP2391">
        <v>3.64</v>
      </c>
      <c r="BQ2391">
        <v>17.05</v>
      </c>
      <c r="BR2391">
        <v>21.93</v>
      </c>
      <c r="BS2391">
        <v>18.04</v>
      </c>
      <c r="BT2391">
        <v>2.12</v>
      </c>
      <c r="BU2391">
        <v>4.2300000000000004</v>
      </c>
      <c r="BV2391">
        <v>2.14</v>
      </c>
      <c r="BW2391">
        <v>0.04</v>
      </c>
      <c r="BX2391">
        <v>5.25</v>
      </c>
      <c r="BY2391">
        <v>16.13</v>
      </c>
      <c r="BZ2391">
        <v>14.19</v>
      </c>
      <c r="CA2391">
        <v>0.11</v>
      </c>
      <c r="CB2391">
        <v>0</v>
      </c>
      <c r="CC2391">
        <v>0.22</v>
      </c>
      <c r="CD2391">
        <v>0.32</v>
      </c>
      <c r="CE2391">
        <v>0.5</v>
      </c>
      <c r="CF2391">
        <v>0.42</v>
      </c>
      <c r="CG2391">
        <v>23.38</v>
      </c>
      <c r="CH2391">
        <v>0.99</v>
      </c>
      <c r="CI2391">
        <v>-3.97</v>
      </c>
      <c r="CJ2391">
        <v>43752</v>
      </c>
      <c r="CK2391">
        <v>5060</v>
      </c>
      <c r="CL2391" t="s">
        <v>11145</v>
      </c>
      <c r="CM2391">
        <v>-95.18</v>
      </c>
      <c r="CN2391">
        <v>-54.56</v>
      </c>
      <c r="CO2391">
        <v>1.21</v>
      </c>
      <c r="CP2391">
        <v>43.38</v>
      </c>
      <c r="CQ2391">
        <v>2.66</v>
      </c>
      <c r="CR2391">
        <v>1.92</v>
      </c>
      <c r="CS2391" t="s">
        <v>505</v>
      </c>
      <c r="CT2391">
        <v>8.6</v>
      </c>
      <c r="CU2391">
        <v>0</v>
      </c>
      <c r="CV2391">
        <v>1.27</v>
      </c>
      <c r="CW2391">
        <v>5.68</v>
      </c>
      <c r="CX2391">
        <v>0.24</v>
      </c>
      <c r="CY2391">
        <v>75.239999999999995</v>
      </c>
      <c r="CZ2391" t="s">
        <v>3608</v>
      </c>
      <c r="DA2391">
        <v>12</v>
      </c>
      <c r="DB2391">
        <v>0.7</v>
      </c>
      <c r="DC2391">
        <v>3.07</v>
      </c>
      <c r="DD2391">
        <v>0.22</v>
      </c>
      <c r="DE2391">
        <v>1320</v>
      </c>
      <c r="DF2391">
        <v>600230</v>
      </c>
      <c r="DG2391" t="s">
        <v>116</v>
      </c>
      <c r="DH2391" t="s">
        <v>116</v>
      </c>
      <c r="DI2391" t="s">
        <v>116</v>
      </c>
    </row>
    <row r="2392" spans="1:113" x14ac:dyDescent="0.4">
      <c r="A2392" t="str">
        <f>"600231"</f>
        <v>600231</v>
      </c>
      <c r="B2392" t="s">
        <v>11146</v>
      </c>
      <c r="C2392">
        <v>0.74</v>
      </c>
      <c r="D2392">
        <v>2.71</v>
      </c>
      <c r="E2392">
        <v>0.02</v>
      </c>
      <c r="F2392">
        <v>2.71</v>
      </c>
      <c r="G2392">
        <v>2.72</v>
      </c>
      <c r="H2392">
        <v>84179</v>
      </c>
      <c r="I2392">
        <v>534</v>
      </c>
      <c r="J2392">
        <v>0</v>
      </c>
      <c r="K2392">
        <v>0.3</v>
      </c>
      <c r="L2392">
        <v>2.69</v>
      </c>
      <c r="M2392">
        <v>2.74</v>
      </c>
      <c r="N2392">
        <v>2.68</v>
      </c>
      <c r="O2392">
        <v>2.69</v>
      </c>
      <c r="P2392">
        <v>13.35</v>
      </c>
      <c r="Q2392">
        <v>22816696</v>
      </c>
      <c r="R2392">
        <v>1.79</v>
      </c>
      <c r="S2392" t="s">
        <v>1587</v>
      </c>
      <c r="T2392" t="s">
        <v>434</v>
      </c>
      <c r="U2392">
        <v>2.23</v>
      </c>
      <c r="V2392">
        <v>2.71</v>
      </c>
      <c r="W2392">
        <v>33341</v>
      </c>
      <c r="X2392">
        <v>50838</v>
      </c>
      <c r="Y2392">
        <v>0.66</v>
      </c>
      <c r="Z2392">
        <v>2117</v>
      </c>
      <c r="AA2392">
        <v>5178</v>
      </c>
      <c r="AB2392" t="s">
        <v>116</v>
      </c>
      <c r="AC2392">
        <v>64300</v>
      </c>
      <c r="AD2392">
        <v>0</v>
      </c>
      <c r="AE2392" t="s">
        <v>116</v>
      </c>
      <c r="AF2392" t="s">
        <v>116</v>
      </c>
      <c r="AG2392">
        <v>27.71</v>
      </c>
      <c r="AH2392" t="s">
        <v>11147</v>
      </c>
      <c r="AI2392" t="s">
        <v>11147</v>
      </c>
      <c r="AJ2392">
        <v>0.82</v>
      </c>
      <c r="AK2392">
        <v>735</v>
      </c>
      <c r="AL2392">
        <v>115</v>
      </c>
      <c r="AM2392">
        <v>4.0000000000000002E-4</v>
      </c>
      <c r="AN2392">
        <v>2</v>
      </c>
      <c r="AO2392">
        <v>1.1200000000000001</v>
      </c>
      <c r="AP2392">
        <v>0</v>
      </c>
      <c r="AQ2392">
        <v>-1.0900000000000001</v>
      </c>
      <c r="AR2392">
        <v>3.2</v>
      </c>
      <c r="AS2392">
        <v>1.18</v>
      </c>
      <c r="AT2392" t="s">
        <v>7190</v>
      </c>
      <c r="AU2392">
        <v>21.94</v>
      </c>
      <c r="AV2392">
        <v>6.27</v>
      </c>
      <c r="AW2392">
        <v>1.01</v>
      </c>
      <c r="BA2392">
        <v>0</v>
      </c>
      <c r="BB2392">
        <v>1.86</v>
      </c>
      <c r="BC2392">
        <v>-0.37</v>
      </c>
      <c r="BD2392">
        <v>0.76</v>
      </c>
      <c r="BE2392">
        <v>0.74</v>
      </c>
      <c r="BF2392">
        <v>-1.0900000000000001</v>
      </c>
      <c r="BG2392">
        <v>1.1200000000000001</v>
      </c>
      <c r="BH2392">
        <v>-0.02</v>
      </c>
      <c r="BI2392">
        <v>20191031</v>
      </c>
      <c r="BJ2392">
        <v>20000511</v>
      </c>
      <c r="BK2392">
        <v>27.71</v>
      </c>
      <c r="BL2392" t="s">
        <v>116</v>
      </c>
      <c r="BM2392" t="s">
        <v>116</v>
      </c>
      <c r="BN2392">
        <v>148.06</v>
      </c>
      <c r="BO2392">
        <v>77.319999999999993</v>
      </c>
      <c r="BP2392">
        <v>0</v>
      </c>
      <c r="BQ2392">
        <v>47.78</v>
      </c>
      <c r="BR2392">
        <v>55.99</v>
      </c>
      <c r="BS2392">
        <v>80.52</v>
      </c>
      <c r="BT2392">
        <v>5.45</v>
      </c>
      <c r="BU2392">
        <v>67.709999999999994</v>
      </c>
      <c r="BV2392">
        <v>14.46</v>
      </c>
      <c r="BW2392">
        <v>0.82</v>
      </c>
      <c r="BX2392">
        <v>4.5199999999999996</v>
      </c>
      <c r="BY2392">
        <v>161.13</v>
      </c>
      <c r="BZ2392">
        <v>149.06</v>
      </c>
      <c r="CA2392">
        <v>6.47</v>
      </c>
      <c r="CB2392">
        <v>0.01</v>
      </c>
      <c r="CC2392">
        <v>5.73</v>
      </c>
      <c r="CD2392">
        <v>4.22</v>
      </c>
      <c r="CE2392">
        <v>4.22</v>
      </c>
      <c r="CF2392">
        <v>4.75</v>
      </c>
      <c r="CG2392">
        <v>36.909999999999997</v>
      </c>
      <c r="CH2392">
        <v>13.15</v>
      </c>
      <c r="CI2392">
        <v>-1.49</v>
      </c>
      <c r="CJ2392">
        <v>65013</v>
      </c>
      <c r="CK2392">
        <v>10979</v>
      </c>
      <c r="CL2392" t="s">
        <v>11148</v>
      </c>
      <c r="CM2392">
        <v>-66.959999999999994</v>
      </c>
      <c r="CN2392">
        <v>1.95</v>
      </c>
      <c r="CO2392">
        <v>0.97</v>
      </c>
      <c r="CP2392">
        <v>5.71</v>
      </c>
      <c r="CQ2392">
        <v>0.47</v>
      </c>
      <c r="CR2392">
        <v>1.62</v>
      </c>
      <c r="CS2392" t="s">
        <v>771</v>
      </c>
      <c r="CT2392">
        <v>2.79</v>
      </c>
      <c r="CU2392">
        <v>2.79</v>
      </c>
      <c r="CV2392">
        <v>0.16</v>
      </c>
      <c r="CW2392">
        <v>1.33</v>
      </c>
      <c r="CX2392">
        <v>0.47</v>
      </c>
      <c r="CY2392">
        <v>52.22</v>
      </c>
      <c r="CZ2392" t="s">
        <v>4223</v>
      </c>
      <c r="DA2392">
        <v>7.49</v>
      </c>
      <c r="DB2392">
        <v>4.0199999999999996</v>
      </c>
      <c r="DC2392">
        <v>2.62</v>
      </c>
      <c r="DD2392">
        <v>7.0000000000000007E-2</v>
      </c>
      <c r="DE2392">
        <v>7931</v>
      </c>
      <c r="DF2392">
        <v>600231</v>
      </c>
      <c r="DG2392" t="s">
        <v>116</v>
      </c>
      <c r="DH2392" t="s">
        <v>116</v>
      </c>
      <c r="DI2392" t="s">
        <v>116</v>
      </c>
    </row>
    <row r="2393" spans="1:113" x14ac:dyDescent="0.4">
      <c r="A2393" t="str">
        <f>"600232"</f>
        <v>600232</v>
      </c>
      <c r="B2393" t="s">
        <v>11149</v>
      </c>
      <c r="C2393">
        <v>-1.1000000000000001</v>
      </c>
      <c r="D2393">
        <v>6.28</v>
      </c>
      <c r="E2393">
        <v>-7.0000000000000007E-2</v>
      </c>
      <c r="F2393">
        <v>6.27</v>
      </c>
      <c r="G2393">
        <v>6.28</v>
      </c>
      <c r="H2393">
        <v>60283</v>
      </c>
      <c r="I2393">
        <v>797</v>
      </c>
      <c r="J2393">
        <v>-0.15</v>
      </c>
      <c r="K2393">
        <v>1.65</v>
      </c>
      <c r="L2393">
        <v>6.38</v>
      </c>
      <c r="M2393">
        <v>6.57</v>
      </c>
      <c r="N2393">
        <v>6.27</v>
      </c>
      <c r="O2393">
        <v>6.35</v>
      </c>
      <c r="P2393">
        <v>72.88</v>
      </c>
      <c r="Q2393">
        <v>38641168</v>
      </c>
      <c r="R2393">
        <v>1.5</v>
      </c>
      <c r="S2393" t="s">
        <v>1420</v>
      </c>
      <c r="T2393" t="s">
        <v>590</v>
      </c>
      <c r="U2393">
        <v>4.72</v>
      </c>
      <c r="V2393">
        <v>6.41</v>
      </c>
      <c r="W2393">
        <v>33440</v>
      </c>
      <c r="X2393">
        <v>26843</v>
      </c>
      <c r="Y2393">
        <v>1.25</v>
      </c>
      <c r="Z2393">
        <v>350</v>
      </c>
      <c r="AA2393">
        <v>82</v>
      </c>
      <c r="AB2393" t="s">
        <v>116</v>
      </c>
      <c r="AC2393">
        <v>183100</v>
      </c>
      <c r="AD2393">
        <v>0.02</v>
      </c>
      <c r="AE2393" t="s">
        <v>116</v>
      </c>
      <c r="AF2393" t="s">
        <v>116</v>
      </c>
      <c r="AG2393">
        <v>3.65</v>
      </c>
      <c r="AH2393" t="s">
        <v>11150</v>
      </c>
      <c r="AI2393" t="s">
        <v>11150</v>
      </c>
      <c r="AJ2393">
        <v>-1.03</v>
      </c>
      <c r="AK2393">
        <v>1219</v>
      </c>
      <c r="AL2393">
        <v>49</v>
      </c>
      <c r="AM2393">
        <v>1.4E-3</v>
      </c>
      <c r="AN2393">
        <v>-1</v>
      </c>
      <c r="AO2393">
        <v>1.95</v>
      </c>
      <c r="AP2393">
        <v>6.62</v>
      </c>
      <c r="AQ2393">
        <v>6.62</v>
      </c>
      <c r="AR2393">
        <v>28.16</v>
      </c>
      <c r="AS2393">
        <v>3.21</v>
      </c>
      <c r="AT2393" t="s">
        <v>11151</v>
      </c>
      <c r="AU2393">
        <v>97.77</v>
      </c>
      <c r="AV2393">
        <v>90.2</v>
      </c>
      <c r="AW2393">
        <v>1.55</v>
      </c>
      <c r="BA2393">
        <v>0.47</v>
      </c>
      <c r="BB2393">
        <v>3.46</v>
      </c>
      <c r="BC2393">
        <v>-1.26</v>
      </c>
      <c r="BD2393">
        <v>0.94</v>
      </c>
      <c r="BE2393">
        <v>-1.57</v>
      </c>
      <c r="BF2393">
        <v>-4.41</v>
      </c>
      <c r="BG2393">
        <v>0.16</v>
      </c>
      <c r="BH2393">
        <v>-2.0499999999999998</v>
      </c>
      <c r="BI2393">
        <v>20191031</v>
      </c>
      <c r="BJ2393">
        <v>20000602</v>
      </c>
      <c r="BK2393">
        <v>3.65</v>
      </c>
      <c r="BL2393" t="s">
        <v>116</v>
      </c>
      <c r="BM2393" t="s">
        <v>116</v>
      </c>
      <c r="BN2393">
        <v>19.690000000000001</v>
      </c>
      <c r="BO2393">
        <v>11.08</v>
      </c>
      <c r="BP2393">
        <v>0.54</v>
      </c>
      <c r="BQ2393">
        <v>41.01</v>
      </c>
      <c r="BR2393">
        <v>14.82</v>
      </c>
      <c r="BS2393">
        <v>3.89</v>
      </c>
      <c r="BT2393">
        <v>0.59</v>
      </c>
      <c r="BU2393">
        <v>8.0500000000000007</v>
      </c>
      <c r="BV2393">
        <v>8.06</v>
      </c>
      <c r="BW2393">
        <v>3.3</v>
      </c>
      <c r="BX2393">
        <v>4.01</v>
      </c>
      <c r="BY2393">
        <v>8.26</v>
      </c>
      <c r="BZ2393">
        <v>6.89</v>
      </c>
      <c r="CA2393">
        <v>0.48</v>
      </c>
      <c r="CB2393">
        <v>0</v>
      </c>
      <c r="CC2393">
        <v>0.48</v>
      </c>
      <c r="CD2393">
        <v>0.34</v>
      </c>
      <c r="CE2393">
        <v>0.24</v>
      </c>
      <c r="CF2393">
        <v>0.22</v>
      </c>
      <c r="CG2393">
        <v>2.58</v>
      </c>
      <c r="CH2393">
        <v>-1.89</v>
      </c>
      <c r="CI2393">
        <v>-1.68</v>
      </c>
      <c r="CJ2393">
        <v>30347</v>
      </c>
      <c r="CK2393">
        <v>6180</v>
      </c>
      <c r="CL2393" t="s">
        <v>2781</v>
      </c>
      <c r="CM2393">
        <v>-7.7</v>
      </c>
      <c r="CN2393">
        <v>-5.45</v>
      </c>
      <c r="CO2393">
        <v>2.0699999999999998</v>
      </c>
      <c r="CP2393">
        <v>-12.1</v>
      </c>
      <c r="CQ2393">
        <v>2.77</v>
      </c>
      <c r="CR2393">
        <v>1.56</v>
      </c>
      <c r="CS2393" t="s">
        <v>2638</v>
      </c>
      <c r="CT2393">
        <v>3.04</v>
      </c>
      <c r="CU2393">
        <v>0</v>
      </c>
      <c r="CV2393">
        <v>1.1000000000000001</v>
      </c>
      <c r="CW2393">
        <v>0.71</v>
      </c>
      <c r="CX2393">
        <v>-0.52</v>
      </c>
      <c r="CY2393">
        <v>56.27</v>
      </c>
      <c r="CZ2393" t="s">
        <v>1939</v>
      </c>
      <c r="DA2393">
        <v>16.55</v>
      </c>
      <c r="DB2393">
        <v>5.83</v>
      </c>
      <c r="DC2393">
        <v>2.86</v>
      </c>
      <c r="DD2393">
        <v>0.05</v>
      </c>
      <c r="DE2393">
        <v>1961</v>
      </c>
      <c r="DF2393">
        <v>600232</v>
      </c>
      <c r="DG2393" t="s">
        <v>116</v>
      </c>
      <c r="DH2393" t="s">
        <v>116</v>
      </c>
      <c r="DI2393" t="s">
        <v>116</v>
      </c>
    </row>
    <row r="2394" spans="1:113" x14ac:dyDescent="0.4">
      <c r="A2394" t="str">
        <f>"600233"</f>
        <v>600233</v>
      </c>
      <c r="B2394" t="s">
        <v>11152</v>
      </c>
      <c r="C2394">
        <v>0.32</v>
      </c>
      <c r="D2394">
        <v>12.5</v>
      </c>
      <c r="E2394">
        <v>0.04</v>
      </c>
      <c r="F2394">
        <v>12.49</v>
      </c>
      <c r="G2394">
        <v>12.5</v>
      </c>
      <c r="H2394">
        <v>77596</v>
      </c>
      <c r="I2394">
        <v>532</v>
      </c>
      <c r="J2394">
        <v>0.24</v>
      </c>
      <c r="K2394">
        <v>0.27</v>
      </c>
      <c r="L2394">
        <v>12.48</v>
      </c>
      <c r="M2394">
        <v>12.7</v>
      </c>
      <c r="N2394">
        <v>12.43</v>
      </c>
      <c r="O2394">
        <v>12.46</v>
      </c>
      <c r="P2394">
        <v>19.36</v>
      </c>
      <c r="Q2394">
        <v>97612184</v>
      </c>
      <c r="R2394">
        <v>1.55</v>
      </c>
      <c r="S2394" t="s">
        <v>3113</v>
      </c>
      <c r="T2394" t="s">
        <v>434</v>
      </c>
      <c r="U2394">
        <v>2.17</v>
      </c>
      <c r="V2394">
        <v>12.58</v>
      </c>
      <c r="W2394">
        <v>39169</v>
      </c>
      <c r="X2394">
        <v>38427</v>
      </c>
      <c r="Y2394">
        <v>1.02</v>
      </c>
      <c r="Z2394">
        <v>291</v>
      </c>
      <c r="AA2394">
        <v>152</v>
      </c>
      <c r="AB2394" t="s">
        <v>116</v>
      </c>
      <c r="AC2394">
        <v>79900</v>
      </c>
      <c r="AD2394">
        <v>0</v>
      </c>
      <c r="AE2394" t="s">
        <v>116</v>
      </c>
      <c r="AF2394" t="s">
        <v>116</v>
      </c>
      <c r="AG2394">
        <v>28.35</v>
      </c>
      <c r="AH2394" t="s">
        <v>11153</v>
      </c>
      <c r="AI2394" t="s">
        <v>11154</v>
      </c>
      <c r="AJ2394">
        <v>0.4</v>
      </c>
      <c r="AK2394">
        <v>2770</v>
      </c>
      <c r="AL2394">
        <v>28</v>
      </c>
      <c r="AM2394">
        <v>1E-4</v>
      </c>
      <c r="AN2394">
        <v>2</v>
      </c>
      <c r="AO2394">
        <v>1.54</v>
      </c>
      <c r="AP2394">
        <v>0.73</v>
      </c>
      <c r="AQ2394">
        <v>9.65</v>
      </c>
      <c r="AR2394">
        <v>26.9</v>
      </c>
      <c r="AS2394">
        <v>1.51</v>
      </c>
      <c r="AT2394" t="s">
        <v>11155</v>
      </c>
      <c r="AU2394">
        <v>17.54</v>
      </c>
      <c r="AV2394">
        <v>18.66</v>
      </c>
      <c r="AW2394">
        <v>1.27</v>
      </c>
      <c r="BA2394">
        <v>0.16</v>
      </c>
      <c r="BB2394">
        <v>1.93</v>
      </c>
      <c r="BC2394">
        <v>-0.24</v>
      </c>
      <c r="BD2394">
        <v>0.96</v>
      </c>
      <c r="BE2394">
        <v>0.16</v>
      </c>
      <c r="BF2394">
        <v>-1.57</v>
      </c>
      <c r="BG2394">
        <v>0.56000000000000005</v>
      </c>
      <c r="BH2394">
        <v>-0.64</v>
      </c>
      <c r="BI2394">
        <v>20191120</v>
      </c>
      <c r="BJ2394">
        <v>20000608</v>
      </c>
      <c r="BK2394">
        <v>28.43</v>
      </c>
      <c r="BL2394" t="s">
        <v>116</v>
      </c>
      <c r="BM2394" t="s">
        <v>116</v>
      </c>
      <c r="BN2394">
        <v>208.68</v>
      </c>
      <c r="BO2394">
        <v>126.05</v>
      </c>
      <c r="BP2394">
        <v>3.27</v>
      </c>
      <c r="BQ2394">
        <v>38.03</v>
      </c>
      <c r="BR2394">
        <v>78.42</v>
      </c>
      <c r="BS2394">
        <v>63.3</v>
      </c>
      <c r="BT2394">
        <v>30.15</v>
      </c>
      <c r="BU2394">
        <v>45.97</v>
      </c>
      <c r="BV2394">
        <v>0.57999999999999996</v>
      </c>
      <c r="BW2394">
        <v>11.89</v>
      </c>
      <c r="BX2394">
        <v>61.27</v>
      </c>
      <c r="BY2394">
        <v>216.16</v>
      </c>
      <c r="BZ2394">
        <v>189.19</v>
      </c>
      <c r="CA2394">
        <v>17.670000000000002</v>
      </c>
      <c r="CB2394">
        <v>0.62</v>
      </c>
      <c r="CC2394">
        <v>17.73</v>
      </c>
      <c r="CD2394">
        <v>13.86</v>
      </c>
      <c r="CE2394">
        <v>13.76</v>
      </c>
      <c r="CF2394">
        <v>13.41</v>
      </c>
      <c r="CG2394">
        <v>53.58</v>
      </c>
      <c r="CH2394">
        <v>19.809999999999999</v>
      </c>
      <c r="CI2394">
        <v>-6.16</v>
      </c>
      <c r="CJ2394">
        <v>47384</v>
      </c>
      <c r="CK2394">
        <v>10857</v>
      </c>
      <c r="CL2394" t="s">
        <v>11156</v>
      </c>
      <c r="CM2394">
        <v>9.75</v>
      </c>
      <c r="CN2394">
        <v>16.07</v>
      </c>
      <c r="CO2394">
        <v>2.97</v>
      </c>
      <c r="CP2394">
        <v>17.940000000000001</v>
      </c>
      <c r="CQ2394">
        <v>1.64</v>
      </c>
      <c r="CR2394">
        <v>1.19</v>
      </c>
      <c r="CS2394" t="s">
        <v>5936</v>
      </c>
      <c r="CT2394">
        <v>4.21</v>
      </c>
      <c r="CU2394">
        <v>4.21</v>
      </c>
      <c r="CV2394">
        <v>2.16</v>
      </c>
      <c r="CW2394">
        <v>1.88</v>
      </c>
      <c r="CX2394">
        <v>0.7</v>
      </c>
      <c r="CY2394">
        <v>60.4</v>
      </c>
      <c r="CZ2394" t="s">
        <v>11157</v>
      </c>
      <c r="DA2394">
        <v>12.48</v>
      </c>
      <c r="DB2394">
        <v>8.17</v>
      </c>
      <c r="DC2394">
        <v>6.37</v>
      </c>
      <c r="DD2394">
        <v>0.56000000000000005</v>
      </c>
      <c r="DE2394">
        <v>18888</v>
      </c>
      <c r="DF2394">
        <v>600233</v>
      </c>
      <c r="DG2394" t="s">
        <v>116</v>
      </c>
      <c r="DH2394" t="s">
        <v>116</v>
      </c>
      <c r="DI2394" t="s">
        <v>116</v>
      </c>
    </row>
    <row r="2395" spans="1:113" x14ac:dyDescent="0.4">
      <c r="A2395" t="str">
        <f>"600234"</f>
        <v>600234</v>
      </c>
      <c r="B2395" t="s">
        <v>11158</v>
      </c>
      <c r="C2395">
        <v>-0.45</v>
      </c>
      <c r="D2395">
        <v>8.8800000000000008</v>
      </c>
      <c r="E2395">
        <v>-0.04</v>
      </c>
      <c r="F2395">
        <v>8.8800000000000008</v>
      </c>
      <c r="G2395">
        <v>8.89</v>
      </c>
      <c r="H2395">
        <v>3728</v>
      </c>
      <c r="I2395">
        <v>60</v>
      </c>
      <c r="J2395">
        <v>-0.1</v>
      </c>
      <c r="K2395">
        <v>0.18</v>
      </c>
      <c r="L2395">
        <v>8.91</v>
      </c>
      <c r="M2395">
        <v>9.11</v>
      </c>
      <c r="N2395">
        <v>8.8800000000000008</v>
      </c>
      <c r="O2395">
        <v>8.92</v>
      </c>
      <c r="P2395">
        <v>150.84</v>
      </c>
      <c r="Q2395">
        <v>3319731</v>
      </c>
      <c r="R2395">
        <v>0.65</v>
      </c>
      <c r="S2395" t="s">
        <v>217</v>
      </c>
      <c r="T2395" t="s">
        <v>675</v>
      </c>
      <c r="U2395">
        <v>2.58</v>
      </c>
      <c r="V2395">
        <v>8.91</v>
      </c>
      <c r="W2395">
        <v>2468</v>
      </c>
      <c r="X2395">
        <v>1260</v>
      </c>
      <c r="Y2395">
        <v>1.96</v>
      </c>
      <c r="Z2395">
        <v>67</v>
      </c>
      <c r="AA2395">
        <v>121</v>
      </c>
      <c r="AB2395" t="s">
        <v>116</v>
      </c>
      <c r="AC2395">
        <v>91800</v>
      </c>
      <c r="AD2395">
        <v>0.01</v>
      </c>
      <c r="AE2395" t="s">
        <v>116</v>
      </c>
      <c r="AF2395" t="s">
        <v>116</v>
      </c>
      <c r="AG2395">
        <v>2.02</v>
      </c>
      <c r="AH2395" t="s">
        <v>6064</v>
      </c>
      <c r="AI2395" t="s">
        <v>6064</v>
      </c>
      <c r="AJ2395">
        <v>-0.37</v>
      </c>
      <c r="AK2395">
        <v>139</v>
      </c>
      <c r="AL2395">
        <v>27</v>
      </c>
      <c r="AM2395">
        <v>1.2999999999999999E-3</v>
      </c>
      <c r="AN2395">
        <v>-3</v>
      </c>
      <c r="AO2395">
        <v>-1.99</v>
      </c>
      <c r="AP2395">
        <v>13.12</v>
      </c>
      <c r="AQ2395">
        <v>8.56</v>
      </c>
      <c r="AR2395">
        <v>12.55</v>
      </c>
      <c r="AS2395">
        <v>0.31</v>
      </c>
      <c r="AT2395" t="s">
        <v>11159</v>
      </c>
      <c r="AU2395" t="s">
        <v>116</v>
      </c>
      <c r="AV2395" t="s">
        <v>116</v>
      </c>
      <c r="AW2395">
        <v>0.47</v>
      </c>
      <c r="BA2395">
        <v>-0.11</v>
      </c>
      <c r="BB2395">
        <v>2.13</v>
      </c>
      <c r="BC2395">
        <v>-0.45</v>
      </c>
      <c r="BD2395">
        <v>-0.16</v>
      </c>
      <c r="BE2395">
        <v>-0.34</v>
      </c>
      <c r="BF2395">
        <v>-2.52</v>
      </c>
      <c r="BG2395">
        <v>0</v>
      </c>
      <c r="BH2395">
        <v>-0.28999999999999998</v>
      </c>
      <c r="BI2395">
        <v>20191225</v>
      </c>
      <c r="BJ2395">
        <v>20000615</v>
      </c>
      <c r="BK2395">
        <v>2.02</v>
      </c>
      <c r="BL2395" t="s">
        <v>116</v>
      </c>
      <c r="BM2395" t="s">
        <v>116</v>
      </c>
      <c r="BN2395">
        <v>5.8</v>
      </c>
      <c r="BO2395">
        <v>0.63</v>
      </c>
      <c r="BP2395">
        <v>0.19</v>
      </c>
      <c r="BQ2395">
        <v>85.86</v>
      </c>
      <c r="BR2395">
        <v>1.1399999999999999</v>
      </c>
      <c r="BS2395">
        <v>0.03</v>
      </c>
      <c r="BT2395">
        <v>0</v>
      </c>
      <c r="BU2395">
        <v>3.99</v>
      </c>
      <c r="BV2395">
        <v>0</v>
      </c>
      <c r="BW2395">
        <v>0.62</v>
      </c>
      <c r="BX2395">
        <v>3.29</v>
      </c>
      <c r="BY2395">
        <v>1.4</v>
      </c>
      <c r="BZ2395">
        <v>0.9</v>
      </c>
      <c r="CA2395">
        <v>0.16</v>
      </c>
      <c r="CB2395">
        <v>0</v>
      </c>
      <c r="CC2395">
        <v>0.16</v>
      </c>
      <c r="CD2395">
        <v>0.1</v>
      </c>
      <c r="CE2395">
        <v>0.09</v>
      </c>
      <c r="CF2395">
        <v>0.09</v>
      </c>
      <c r="CG2395">
        <v>-4.8099999999999996</v>
      </c>
      <c r="CH2395">
        <v>0.04</v>
      </c>
      <c r="CI2395">
        <v>0.06</v>
      </c>
      <c r="CJ2395">
        <v>8669</v>
      </c>
      <c r="CK2395">
        <v>13866</v>
      </c>
      <c r="CL2395" t="s">
        <v>11160</v>
      </c>
      <c r="CM2395">
        <v>433.99</v>
      </c>
      <c r="CN2395">
        <v>21.22</v>
      </c>
      <c r="CO2395">
        <v>28.54</v>
      </c>
      <c r="CP2395">
        <v>439.45</v>
      </c>
      <c r="CQ2395">
        <v>12.87</v>
      </c>
      <c r="CR2395">
        <v>0</v>
      </c>
      <c r="CS2395" t="s">
        <v>8251</v>
      </c>
      <c r="CT2395">
        <v>0.31</v>
      </c>
      <c r="CU2395">
        <v>0</v>
      </c>
      <c r="CV2395">
        <v>1.62</v>
      </c>
      <c r="CW2395">
        <v>-2.38</v>
      </c>
      <c r="CX2395">
        <v>0.02</v>
      </c>
      <c r="CY2395">
        <v>10.86</v>
      </c>
      <c r="CZ2395" t="s">
        <v>11161</v>
      </c>
      <c r="DA2395">
        <v>35.89</v>
      </c>
      <c r="DB2395">
        <v>11.44</v>
      </c>
      <c r="DC2395">
        <v>6.4</v>
      </c>
      <c r="DD2395">
        <v>0</v>
      </c>
      <c r="DE2395">
        <v>119</v>
      </c>
      <c r="DF2395">
        <v>600234</v>
      </c>
      <c r="DG2395" t="s">
        <v>116</v>
      </c>
      <c r="DH2395" t="s">
        <v>116</v>
      </c>
      <c r="DI2395" t="s">
        <v>116</v>
      </c>
    </row>
    <row r="2396" spans="1:113" x14ac:dyDescent="0.4">
      <c r="A2396" t="str">
        <f>"600235"</f>
        <v>600235</v>
      </c>
      <c r="B2396" t="s">
        <v>11162</v>
      </c>
      <c r="C2396">
        <v>-2.2400000000000002</v>
      </c>
      <c r="D2396">
        <v>4.79</v>
      </c>
      <c r="E2396">
        <v>-0.11</v>
      </c>
      <c r="F2396">
        <v>4.78</v>
      </c>
      <c r="G2396">
        <v>4.79</v>
      </c>
      <c r="H2396">
        <v>69446</v>
      </c>
      <c r="I2396">
        <v>665</v>
      </c>
      <c r="J2396">
        <v>-0.61</v>
      </c>
      <c r="K2396">
        <v>1.98</v>
      </c>
      <c r="L2396">
        <v>4.9000000000000004</v>
      </c>
      <c r="M2396">
        <v>4.91</v>
      </c>
      <c r="N2396">
        <v>4.7699999999999996</v>
      </c>
      <c r="O2396">
        <v>4.9000000000000004</v>
      </c>
      <c r="P2396">
        <v>190.8</v>
      </c>
      <c r="Q2396">
        <v>33668648</v>
      </c>
      <c r="R2396">
        <v>0.66</v>
      </c>
      <c r="S2396" t="s">
        <v>824</v>
      </c>
      <c r="T2396" t="s">
        <v>590</v>
      </c>
      <c r="U2396">
        <v>2.86</v>
      </c>
      <c r="V2396">
        <v>4.8499999999999996</v>
      </c>
      <c r="W2396">
        <v>42353</v>
      </c>
      <c r="X2396">
        <v>27094</v>
      </c>
      <c r="Y2396">
        <v>1.56</v>
      </c>
      <c r="Z2396">
        <v>227</v>
      </c>
      <c r="AA2396">
        <v>344</v>
      </c>
      <c r="AB2396" t="s">
        <v>116</v>
      </c>
      <c r="AC2396">
        <v>229800</v>
      </c>
      <c r="AD2396">
        <v>0.02</v>
      </c>
      <c r="AE2396" t="s">
        <v>116</v>
      </c>
      <c r="AF2396" t="s">
        <v>116</v>
      </c>
      <c r="AG2396">
        <v>3.51</v>
      </c>
      <c r="AH2396" t="s">
        <v>184</v>
      </c>
      <c r="AI2396" t="s">
        <v>184</v>
      </c>
      <c r="AJ2396">
        <v>-2.17</v>
      </c>
      <c r="AK2396">
        <v>1346</v>
      </c>
      <c r="AL2396">
        <v>52</v>
      </c>
      <c r="AM2396">
        <v>1.5E-3</v>
      </c>
      <c r="AN2396">
        <v>-1</v>
      </c>
      <c r="AO2396">
        <v>0.01</v>
      </c>
      <c r="AP2396">
        <v>5.27</v>
      </c>
      <c r="AQ2396">
        <v>4.13</v>
      </c>
      <c r="AR2396">
        <v>-22.43</v>
      </c>
      <c r="AS2396">
        <v>3.04</v>
      </c>
      <c r="AT2396" t="s">
        <v>11163</v>
      </c>
      <c r="AU2396" t="s">
        <v>116</v>
      </c>
      <c r="AV2396">
        <v>167.87</v>
      </c>
      <c r="AW2396">
        <v>1.73</v>
      </c>
      <c r="BA2396">
        <v>0</v>
      </c>
      <c r="BB2396">
        <v>0.2</v>
      </c>
      <c r="BC2396">
        <v>-2.65</v>
      </c>
      <c r="BD2396">
        <v>-1.06</v>
      </c>
      <c r="BE2396">
        <v>-2.2400000000000002</v>
      </c>
      <c r="BF2396">
        <v>-2.44</v>
      </c>
      <c r="BG2396">
        <v>0.42</v>
      </c>
      <c r="BH2396">
        <v>-1.19</v>
      </c>
      <c r="BI2396">
        <v>20191030</v>
      </c>
      <c r="BJ2396">
        <v>20000615</v>
      </c>
      <c r="BK2396">
        <v>3.51</v>
      </c>
      <c r="BL2396" t="s">
        <v>116</v>
      </c>
      <c r="BM2396" t="s">
        <v>116</v>
      </c>
      <c r="BN2396">
        <v>22.04</v>
      </c>
      <c r="BO2396">
        <v>12.92</v>
      </c>
      <c r="BP2396">
        <v>0</v>
      </c>
      <c r="BQ2396">
        <v>41.39</v>
      </c>
      <c r="BR2396">
        <v>9.75</v>
      </c>
      <c r="BS2396">
        <v>10.53</v>
      </c>
      <c r="BT2396">
        <v>0.56999999999999995</v>
      </c>
      <c r="BU2396">
        <v>9.07</v>
      </c>
      <c r="BV2396">
        <v>3.45</v>
      </c>
      <c r="BW2396">
        <v>2.89</v>
      </c>
      <c r="BX2396">
        <v>8.3000000000000007</v>
      </c>
      <c r="BY2396">
        <v>10.67</v>
      </c>
      <c r="BZ2396">
        <v>9.15</v>
      </c>
      <c r="CA2396">
        <v>0.06</v>
      </c>
      <c r="CB2396">
        <v>-0.03</v>
      </c>
      <c r="CC2396">
        <v>7.0000000000000007E-2</v>
      </c>
      <c r="CD2396">
        <v>7.0000000000000007E-2</v>
      </c>
      <c r="CE2396">
        <v>7.0000000000000007E-2</v>
      </c>
      <c r="CF2396">
        <v>-7.0000000000000007E-2</v>
      </c>
      <c r="CG2396">
        <v>0.4</v>
      </c>
      <c r="CH2396">
        <v>0.34</v>
      </c>
      <c r="CI2396">
        <v>-0.21</v>
      </c>
      <c r="CJ2396">
        <v>33771</v>
      </c>
      <c r="CK2396">
        <v>6775</v>
      </c>
      <c r="CL2396" t="s">
        <v>943</v>
      </c>
      <c r="CM2396">
        <v>-65</v>
      </c>
      <c r="CN2396">
        <v>-6.92</v>
      </c>
      <c r="CO2396">
        <v>1.3</v>
      </c>
      <c r="CP2396">
        <v>49.4</v>
      </c>
      <c r="CQ2396">
        <v>1.58</v>
      </c>
      <c r="CR2396">
        <v>0.1</v>
      </c>
      <c r="CS2396" t="s">
        <v>2098</v>
      </c>
      <c r="CT2396">
        <v>3.68</v>
      </c>
      <c r="CU2396">
        <v>0</v>
      </c>
      <c r="CV2396">
        <v>2.36</v>
      </c>
      <c r="CW2396">
        <v>0.11</v>
      </c>
      <c r="CX2396">
        <v>0.1</v>
      </c>
      <c r="CY2396">
        <v>58.61</v>
      </c>
      <c r="CZ2396" t="s">
        <v>366</v>
      </c>
      <c r="DA2396">
        <v>14.29</v>
      </c>
      <c r="DB2396">
        <v>0.61</v>
      </c>
      <c r="DC2396">
        <v>0.62</v>
      </c>
      <c r="DD2396">
        <v>0.4</v>
      </c>
      <c r="DE2396">
        <v>1441</v>
      </c>
      <c r="DF2396">
        <v>600235</v>
      </c>
      <c r="DG2396" t="s">
        <v>116</v>
      </c>
      <c r="DH2396" t="s">
        <v>116</v>
      </c>
      <c r="DI2396" t="s">
        <v>116</v>
      </c>
    </row>
    <row r="2397" spans="1:113" x14ac:dyDescent="0.4">
      <c r="A2397" t="str">
        <f>"600236"</f>
        <v>600236</v>
      </c>
      <c r="B2397" t="s">
        <v>11164</v>
      </c>
      <c r="C2397">
        <v>0.62</v>
      </c>
      <c r="D2397">
        <v>4.84</v>
      </c>
      <c r="E2397">
        <v>0.03</v>
      </c>
      <c r="F2397">
        <v>4.83</v>
      </c>
      <c r="G2397">
        <v>4.84</v>
      </c>
      <c r="H2397">
        <v>27489</v>
      </c>
      <c r="I2397">
        <v>279</v>
      </c>
      <c r="J2397">
        <v>0.21</v>
      </c>
      <c r="K2397">
        <v>0.03</v>
      </c>
      <c r="L2397">
        <v>4.8</v>
      </c>
      <c r="M2397">
        <v>4.84</v>
      </c>
      <c r="N2397">
        <v>4.8</v>
      </c>
      <c r="O2397">
        <v>4.8099999999999996</v>
      </c>
      <c r="P2397">
        <v>14.54</v>
      </c>
      <c r="Q2397">
        <v>13257125</v>
      </c>
      <c r="R2397">
        <v>0.99</v>
      </c>
      <c r="S2397" t="s">
        <v>1363</v>
      </c>
      <c r="T2397" t="s">
        <v>982</v>
      </c>
      <c r="U2397">
        <v>0.83</v>
      </c>
      <c r="V2397">
        <v>4.82</v>
      </c>
      <c r="W2397">
        <v>7089</v>
      </c>
      <c r="X2397">
        <v>20400</v>
      </c>
      <c r="Y2397">
        <v>0.35</v>
      </c>
      <c r="Z2397">
        <v>40</v>
      </c>
      <c r="AA2397">
        <v>2216</v>
      </c>
      <c r="AB2397" t="s">
        <v>116</v>
      </c>
      <c r="AC2397">
        <v>43000</v>
      </c>
      <c r="AD2397">
        <v>0</v>
      </c>
      <c r="AE2397" t="s">
        <v>116</v>
      </c>
      <c r="AF2397" t="s">
        <v>116</v>
      </c>
      <c r="AG2397">
        <v>78.819999999999993</v>
      </c>
      <c r="AH2397" t="s">
        <v>11165</v>
      </c>
      <c r="AI2397" t="s">
        <v>11165</v>
      </c>
      <c r="AJ2397">
        <v>0.7</v>
      </c>
      <c r="AK2397">
        <v>1688</v>
      </c>
      <c r="AL2397">
        <v>16</v>
      </c>
      <c r="AM2397">
        <v>0</v>
      </c>
      <c r="AN2397">
        <v>2</v>
      </c>
      <c r="AO2397">
        <v>-0.01</v>
      </c>
      <c r="AP2397">
        <v>0.62</v>
      </c>
      <c r="AQ2397">
        <v>6.14</v>
      </c>
      <c r="AR2397">
        <v>17.170000000000002</v>
      </c>
      <c r="AS2397">
        <v>0.14000000000000001</v>
      </c>
      <c r="AT2397" t="s">
        <v>11166</v>
      </c>
      <c r="AU2397">
        <v>16.309999999999999</v>
      </c>
      <c r="AV2397">
        <v>16</v>
      </c>
      <c r="AW2397">
        <v>0.24</v>
      </c>
      <c r="BA2397">
        <v>-0.21</v>
      </c>
      <c r="BB2397">
        <v>0.62</v>
      </c>
      <c r="BC2397">
        <v>-0.21</v>
      </c>
      <c r="BD2397">
        <v>0.27</v>
      </c>
      <c r="BE2397">
        <v>0.83</v>
      </c>
      <c r="BF2397">
        <v>0</v>
      </c>
      <c r="BG2397">
        <v>0.83</v>
      </c>
      <c r="BH2397">
        <v>0.36</v>
      </c>
      <c r="BI2397">
        <v>20191026</v>
      </c>
      <c r="BJ2397">
        <v>20000323</v>
      </c>
      <c r="BK2397">
        <v>78.819999999999993</v>
      </c>
      <c r="BL2397" t="s">
        <v>116</v>
      </c>
      <c r="BM2397" t="s">
        <v>116</v>
      </c>
      <c r="BN2397">
        <v>447.7</v>
      </c>
      <c r="BO2397">
        <v>145.27000000000001</v>
      </c>
      <c r="BP2397">
        <v>24.06</v>
      </c>
      <c r="BQ2397">
        <v>62.18</v>
      </c>
      <c r="BR2397">
        <v>42.19</v>
      </c>
      <c r="BS2397">
        <v>350.78</v>
      </c>
      <c r="BT2397">
        <v>7.07</v>
      </c>
      <c r="BU2397">
        <v>95.3</v>
      </c>
      <c r="BV2397">
        <v>2.1</v>
      </c>
      <c r="BW2397">
        <v>9.1</v>
      </c>
      <c r="BX2397">
        <v>14.96</v>
      </c>
      <c r="BY2397">
        <v>71.69</v>
      </c>
      <c r="BZ2397">
        <v>33.85</v>
      </c>
      <c r="CA2397">
        <v>26.65</v>
      </c>
      <c r="CB2397">
        <v>0.28000000000000003</v>
      </c>
      <c r="CC2397">
        <v>26.43</v>
      </c>
      <c r="CD2397">
        <v>22.58</v>
      </c>
      <c r="CE2397">
        <v>19.670000000000002</v>
      </c>
      <c r="CF2397">
        <v>19.899999999999999</v>
      </c>
      <c r="CG2397">
        <v>36.200000000000003</v>
      </c>
      <c r="CH2397">
        <v>48.02</v>
      </c>
      <c r="CI2397">
        <v>4.1100000000000003</v>
      </c>
      <c r="CJ2397">
        <v>60514</v>
      </c>
      <c r="CK2397">
        <v>31919</v>
      </c>
      <c r="CL2397" t="s">
        <v>7827</v>
      </c>
      <c r="CM2397">
        <v>-2.2400000000000002</v>
      </c>
      <c r="CN2397">
        <v>0.09</v>
      </c>
      <c r="CO2397">
        <v>2.63</v>
      </c>
      <c r="CP2397">
        <v>7.94</v>
      </c>
      <c r="CQ2397">
        <v>5.32</v>
      </c>
      <c r="CR2397">
        <v>3.97</v>
      </c>
      <c r="CS2397" t="s">
        <v>3553</v>
      </c>
      <c r="CT2397">
        <v>1.84</v>
      </c>
      <c r="CU2397">
        <v>0</v>
      </c>
      <c r="CV2397">
        <v>0.19</v>
      </c>
      <c r="CW2397">
        <v>0.46</v>
      </c>
      <c r="CX2397">
        <v>0.61</v>
      </c>
      <c r="CY2397">
        <v>32.450000000000003</v>
      </c>
      <c r="CZ2397" t="s">
        <v>11167</v>
      </c>
      <c r="DA2397">
        <v>52.79</v>
      </c>
      <c r="DB2397">
        <v>37.18</v>
      </c>
      <c r="DC2397">
        <v>27.44</v>
      </c>
      <c r="DD2397">
        <v>0</v>
      </c>
      <c r="DE2397">
        <v>3567</v>
      </c>
      <c r="DF2397">
        <v>600236</v>
      </c>
      <c r="DG2397" t="s">
        <v>116</v>
      </c>
      <c r="DH2397" t="s">
        <v>116</v>
      </c>
      <c r="DI2397" t="s">
        <v>116</v>
      </c>
    </row>
    <row r="2398" spans="1:113" x14ac:dyDescent="0.4">
      <c r="A2398" t="str">
        <f>"600237"</f>
        <v>600237</v>
      </c>
      <c r="B2398" t="s">
        <v>11168</v>
      </c>
      <c r="C2398">
        <v>-1.0900000000000001</v>
      </c>
      <c r="D2398">
        <v>3.63</v>
      </c>
      <c r="E2398">
        <v>-0.04</v>
      </c>
      <c r="F2398">
        <v>3.63</v>
      </c>
      <c r="G2398">
        <v>3.64</v>
      </c>
      <c r="H2398">
        <v>137987</v>
      </c>
      <c r="I2398">
        <v>170</v>
      </c>
      <c r="J2398">
        <v>-0.26</v>
      </c>
      <c r="K2398">
        <v>2.44</v>
      </c>
      <c r="L2398">
        <v>3.63</v>
      </c>
      <c r="M2398">
        <v>3.71</v>
      </c>
      <c r="N2398">
        <v>3.61</v>
      </c>
      <c r="O2398">
        <v>3.67</v>
      </c>
      <c r="P2398" t="s">
        <v>116</v>
      </c>
      <c r="Q2398">
        <v>50488668</v>
      </c>
      <c r="R2398">
        <v>1.37</v>
      </c>
      <c r="S2398" t="s">
        <v>233</v>
      </c>
      <c r="T2398" t="s">
        <v>575</v>
      </c>
      <c r="U2398">
        <v>2.72</v>
      </c>
      <c r="V2398">
        <v>3.66</v>
      </c>
      <c r="W2398">
        <v>72149</v>
      </c>
      <c r="X2398">
        <v>65838</v>
      </c>
      <c r="Y2398">
        <v>1.1000000000000001</v>
      </c>
      <c r="Z2398">
        <v>966</v>
      </c>
      <c r="AA2398">
        <v>231</v>
      </c>
      <c r="AB2398" t="s">
        <v>116</v>
      </c>
      <c r="AC2398">
        <v>74400</v>
      </c>
      <c r="AD2398">
        <v>0</v>
      </c>
      <c r="AE2398" t="s">
        <v>116</v>
      </c>
      <c r="AF2398" t="s">
        <v>116</v>
      </c>
      <c r="AG2398">
        <v>5.64</v>
      </c>
      <c r="AH2398" t="s">
        <v>8716</v>
      </c>
      <c r="AI2398" t="s">
        <v>8716</v>
      </c>
      <c r="AJ2398">
        <v>-1.01</v>
      </c>
      <c r="AK2398">
        <v>1495</v>
      </c>
      <c r="AL2398">
        <v>92</v>
      </c>
      <c r="AM2398">
        <v>1.6000000000000001E-3</v>
      </c>
      <c r="AN2398">
        <v>-1</v>
      </c>
      <c r="AO2398">
        <v>1.96</v>
      </c>
      <c r="AP2398">
        <v>9.01</v>
      </c>
      <c r="AQ2398">
        <v>-5.47</v>
      </c>
      <c r="AR2398">
        <v>10.33</v>
      </c>
      <c r="AS2398">
        <v>2.94</v>
      </c>
      <c r="AT2398" t="s">
        <v>7893</v>
      </c>
      <c r="AU2398" t="s">
        <v>116</v>
      </c>
      <c r="AV2398">
        <v>214.97</v>
      </c>
      <c r="AW2398">
        <v>1.71</v>
      </c>
      <c r="BA2398">
        <v>-1.0900000000000001</v>
      </c>
      <c r="BB2398">
        <v>1.0900000000000001</v>
      </c>
      <c r="BC2398">
        <v>-1.63</v>
      </c>
      <c r="BD2398">
        <v>-0.3</v>
      </c>
      <c r="BE2398">
        <v>0</v>
      </c>
      <c r="BF2398">
        <v>-2.16</v>
      </c>
      <c r="BG2398">
        <v>0.55000000000000004</v>
      </c>
      <c r="BH2398">
        <v>-0.79</v>
      </c>
      <c r="BI2398">
        <v>20191029</v>
      </c>
      <c r="BJ2398">
        <v>20000609</v>
      </c>
      <c r="BK2398">
        <v>5.64</v>
      </c>
      <c r="BL2398" t="s">
        <v>116</v>
      </c>
      <c r="BM2398" t="s">
        <v>116</v>
      </c>
      <c r="BN2398">
        <v>18.41</v>
      </c>
      <c r="BO2398">
        <v>12.24</v>
      </c>
      <c r="BP2398">
        <v>0.49</v>
      </c>
      <c r="BQ2398">
        <v>30.84</v>
      </c>
      <c r="BR2398">
        <v>9.7899999999999991</v>
      </c>
      <c r="BS2398">
        <v>7.78</v>
      </c>
      <c r="BT2398">
        <v>0.19</v>
      </c>
      <c r="BU2398">
        <v>5.39</v>
      </c>
      <c r="BV2398">
        <v>2.4300000000000002</v>
      </c>
      <c r="BW2398">
        <v>2.84</v>
      </c>
      <c r="BX2398">
        <v>8.3800000000000008</v>
      </c>
      <c r="BY2398">
        <v>6.07</v>
      </c>
      <c r="BZ2398">
        <v>5.1100000000000003</v>
      </c>
      <c r="CA2398">
        <v>-0.22</v>
      </c>
      <c r="CB2398">
        <v>0</v>
      </c>
      <c r="CC2398">
        <v>-0.22</v>
      </c>
      <c r="CD2398">
        <v>-0.23</v>
      </c>
      <c r="CE2398">
        <v>-0.21</v>
      </c>
      <c r="CF2398">
        <v>-0.23</v>
      </c>
      <c r="CG2398">
        <v>-2.4700000000000002</v>
      </c>
      <c r="CH2398">
        <v>0.62</v>
      </c>
      <c r="CI2398">
        <v>-0.68</v>
      </c>
      <c r="CJ2398">
        <v>48476</v>
      </c>
      <c r="CK2398">
        <v>9692</v>
      </c>
      <c r="CL2398" t="s">
        <v>777</v>
      </c>
      <c r="CM2398">
        <v>-584.66</v>
      </c>
      <c r="CN2398">
        <v>-6.78</v>
      </c>
      <c r="CO2398">
        <v>1.67</v>
      </c>
      <c r="CP2398">
        <v>33.24</v>
      </c>
      <c r="CQ2398">
        <v>3.37</v>
      </c>
      <c r="CR2398">
        <v>0</v>
      </c>
      <c r="CS2398" t="s">
        <v>11169</v>
      </c>
      <c r="CT2398">
        <v>2.17</v>
      </c>
      <c r="CU2398">
        <v>0</v>
      </c>
      <c r="CV2398">
        <v>1.48</v>
      </c>
      <c r="CW2398">
        <v>-0.44</v>
      </c>
      <c r="CX2398">
        <v>0.11</v>
      </c>
      <c r="CY2398">
        <v>66.489999999999995</v>
      </c>
      <c r="CZ2398" t="s">
        <v>11170</v>
      </c>
      <c r="DA2398">
        <v>15.82</v>
      </c>
      <c r="DB2398">
        <v>-3.64</v>
      </c>
      <c r="DC2398">
        <v>-3.42</v>
      </c>
      <c r="DD2398">
        <v>0.19</v>
      </c>
      <c r="DE2398">
        <v>2054</v>
      </c>
      <c r="DF2398">
        <v>600237</v>
      </c>
      <c r="DG2398" t="s">
        <v>116</v>
      </c>
      <c r="DH2398" t="s">
        <v>116</v>
      </c>
      <c r="DI2398" t="s">
        <v>116</v>
      </c>
    </row>
    <row r="2399" spans="1:113" x14ac:dyDescent="0.4">
      <c r="A2399" t="str">
        <f>"600238"</f>
        <v>600238</v>
      </c>
      <c r="B2399" t="s">
        <v>11171</v>
      </c>
      <c r="C2399">
        <v>-0.65</v>
      </c>
      <c r="D2399">
        <v>6.16</v>
      </c>
      <c r="E2399">
        <v>-0.04</v>
      </c>
      <c r="F2399">
        <v>6.15</v>
      </c>
      <c r="G2399">
        <v>6.16</v>
      </c>
      <c r="H2399">
        <v>5534</v>
      </c>
      <c r="I2399">
        <v>331</v>
      </c>
      <c r="J2399">
        <v>0.16</v>
      </c>
      <c r="K2399">
        <v>0.12</v>
      </c>
      <c r="L2399">
        <v>6.24</v>
      </c>
      <c r="M2399">
        <v>6.25</v>
      </c>
      <c r="N2399">
        <v>6.15</v>
      </c>
      <c r="O2399">
        <v>6.2</v>
      </c>
      <c r="P2399" t="s">
        <v>116</v>
      </c>
      <c r="Q2399">
        <v>3415980</v>
      </c>
      <c r="R2399">
        <v>0.45</v>
      </c>
      <c r="S2399" t="s">
        <v>2477</v>
      </c>
      <c r="T2399" t="s">
        <v>851</v>
      </c>
      <c r="U2399">
        <v>1.61</v>
      </c>
      <c r="V2399">
        <v>6.17</v>
      </c>
      <c r="W2399">
        <v>4037</v>
      </c>
      <c r="X2399">
        <v>1497</v>
      </c>
      <c r="Y2399">
        <v>2.7</v>
      </c>
      <c r="Z2399">
        <v>258</v>
      </c>
      <c r="AA2399">
        <v>294</v>
      </c>
      <c r="AB2399" t="s">
        <v>116</v>
      </c>
      <c r="AC2399">
        <v>11200</v>
      </c>
      <c r="AD2399">
        <v>0</v>
      </c>
      <c r="AE2399" t="s">
        <v>116</v>
      </c>
      <c r="AF2399" t="s">
        <v>116</v>
      </c>
      <c r="AG2399">
        <v>4.45</v>
      </c>
      <c r="AH2399" t="s">
        <v>4695</v>
      </c>
      <c r="AI2399" t="s">
        <v>1300</v>
      </c>
      <c r="AJ2399">
        <v>-0.56999999999999995</v>
      </c>
      <c r="AK2399">
        <v>156</v>
      </c>
      <c r="AL2399">
        <v>35</v>
      </c>
      <c r="AM2399">
        <v>8.0000000000000004E-4</v>
      </c>
      <c r="AN2399">
        <v>-3</v>
      </c>
      <c r="AO2399">
        <v>-4.5</v>
      </c>
      <c r="AP2399">
        <v>13.86</v>
      </c>
      <c r="AQ2399">
        <v>-22.32</v>
      </c>
      <c r="AR2399">
        <v>30.23</v>
      </c>
      <c r="AS2399">
        <v>0.23</v>
      </c>
      <c r="AT2399" t="s">
        <v>8623</v>
      </c>
      <c r="AU2399">
        <v>37.619999999999997</v>
      </c>
      <c r="AV2399">
        <v>68.150000000000006</v>
      </c>
      <c r="AW2399">
        <v>0.52</v>
      </c>
      <c r="BA2399">
        <v>0.65</v>
      </c>
      <c r="BB2399">
        <v>0.81</v>
      </c>
      <c r="BC2399">
        <v>-0.81</v>
      </c>
      <c r="BD2399">
        <v>-0.44</v>
      </c>
      <c r="BE2399">
        <v>-1.28</v>
      </c>
      <c r="BF2399">
        <v>-1.44</v>
      </c>
      <c r="BG2399">
        <v>0.16</v>
      </c>
      <c r="BH2399">
        <v>-0.21</v>
      </c>
      <c r="BI2399">
        <v>20191030</v>
      </c>
      <c r="BJ2399">
        <v>20000120</v>
      </c>
      <c r="BK2399">
        <v>4.4800000000000004</v>
      </c>
      <c r="BL2399" t="s">
        <v>116</v>
      </c>
      <c r="BM2399" t="s">
        <v>116</v>
      </c>
      <c r="BN2399">
        <v>13.01</v>
      </c>
      <c r="BO2399">
        <v>6.68</v>
      </c>
      <c r="BP2399">
        <v>0.04</v>
      </c>
      <c r="BQ2399">
        <v>48.36</v>
      </c>
      <c r="BR2399">
        <v>7.61</v>
      </c>
      <c r="BS2399">
        <v>2.08</v>
      </c>
      <c r="BT2399">
        <v>0.27</v>
      </c>
      <c r="BU2399">
        <v>5.54</v>
      </c>
      <c r="BV2399">
        <v>3.48</v>
      </c>
      <c r="BW2399">
        <v>1.04</v>
      </c>
      <c r="BX2399">
        <v>1.27</v>
      </c>
      <c r="BY2399">
        <v>5.73</v>
      </c>
      <c r="BZ2399">
        <v>4.99</v>
      </c>
      <c r="CA2399">
        <v>-1.29</v>
      </c>
      <c r="CB2399">
        <v>-0.02</v>
      </c>
      <c r="CC2399">
        <v>-1.3</v>
      </c>
      <c r="CD2399">
        <v>-1.3</v>
      </c>
      <c r="CE2399">
        <v>-1.3</v>
      </c>
      <c r="CF2399">
        <v>-1.34</v>
      </c>
      <c r="CG2399">
        <v>-0.36</v>
      </c>
      <c r="CH2399">
        <v>-1.67</v>
      </c>
      <c r="CI2399">
        <v>-1.02</v>
      </c>
      <c r="CJ2399">
        <v>15717</v>
      </c>
      <c r="CK2399">
        <v>15312</v>
      </c>
      <c r="CL2399" t="s">
        <v>4868</v>
      </c>
      <c r="CM2399">
        <v>20.190000000000001</v>
      </c>
      <c r="CN2399">
        <v>64.8</v>
      </c>
      <c r="CO2399">
        <v>4.13</v>
      </c>
      <c r="CP2399">
        <v>-16.52</v>
      </c>
      <c r="CQ2399">
        <v>4.82</v>
      </c>
      <c r="CR2399">
        <v>0</v>
      </c>
      <c r="CS2399" t="s">
        <v>11172</v>
      </c>
      <c r="CT2399">
        <v>1.49</v>
      </c>
      <c r="CU2399">
        <v>0</v>
      </c>
      <c r="CV2399">
        <v>0.28000000000000003</v>
      </c>
      <c r="CW2399">
        <v>-0.08</v>
      </c>
      <c r="CX2399">
        <v>-0.37</v>
      </c>
      <c r="CY2399">
        <v>51.37</v>
      </c>
      <c r="CZ2399" t="s">
        <v>11173</v>
      </c>
      <c r="DA2399">
        <v>12.85</v>
      </c>
      <c r="DB2399">
        <v>-22.59</v>
      </c>
      <c r="DC2399">
        <v>-22.69</v>
      </c>
      <c r="DD2399">
        <v>0.04</v>
      </c>
      <c r="DE2399">
        <v>815</v>
      </c>
      <c r="DF2399">
        <v>600238</v>
      </c>
      <c r="DG2399" t="s">
        <v>116</v>
      </c>
      <c r="DH2399" t="s">
        <v>116</v>
      </c>
      <c r="DI2399" t="s">
        <v>116</v>
      </c>
    </row>
    <row r="2400" spans="1:113" x14ac:dyDescent="0.4">
      <c r="A2400" t="str">
        <f>"600239"</f>
        <v>600239</v>
      </c>
      <c r="B2400" t="s">
        <v>11174</v>
      </c>
      <c r="C2400">
        <v>0</v>
      </c>
      <c r="D2400">
        <v>2.89</v>
      </c>
      <c r="E2400">
        <v>0</v>
      </c>
      <c r="F2400">
        <v>2.88</v>
      </c>
      <c r="G2400">
        <v>2.89</v>
      </c>
      <c r="H2400">
        <v>72875</v>
      </c>
      <c r="I2400">
        <v>369</v>
      </c>
      <c r="J2400">
        <v>0.35</v>
      </c>
      <c r="K2400">
        <v>0.45</v>
      </c>
      <c r="L2400">
        <v>2.89</v>
      </c>
      <c r="M2400">
        <v>2.91</v>
      </c>
      <c r="N2400">
        <v>2.88</v>
      </c>
      <c r="O2400">
        <v>2.89</v>
      </c>
      <c r="P2400" t="s">
        <v>116</v>
      </c>
      <c r="Q2400">
        <v>21092992</v>
      </c>
      <c r="R2400">
        <v>0.84</v>
      </c>
      <c r="S2400" t="s">
        <v>148</v>
      </c>
      <c r="T2400" t="s">
        <v>1043</v>
      </c>
      <c r="U2400">
        <v>1.04</v>
      </c>
      <c r="V2400">
        <v>2.89</v>
      </c>
      <c r="W2400">
        <v>47419</v>
      </c>
      <c r="X2400">
        <v>25456</v>
      </c>
      <c r="Y2400">
        <v>1.86</v>
      </c>
      <c r="Z2400">
        <v>5006</v>
      </c>
      <c r="AA2400">
        <v>330</v>
      </c>
      <c r="AB2400" t="s">
        <v>116</v>
      </c>
      <c r="AC2400">
        <v>59500</v>
      </c>
      <c r="AD2400">
        <v>0</v>
      </c>
      <c r="AE2400" t="s">
        <v>116</v>
      </c>
      <c r="AF2400" t="s">
        <v>116</v>
      </c>
      <c r="AG2400">
        <v>16.059999999999999</v>
      </c>
      <c r="AH2400" t="s">
        <v>11175</v>
      </c>
      <c r="AI2400" t="s">
        <v>11175</v>
      </c>
      <c r="AJ2400">
        <v>0.08</v>
      </c>
      <c r="AK2400">
        <v>741</v>
      </c>
      <c r="AL2400">
        <v>98</v>
      </c>
      <c r="AM2400">
        <v>5.9999999999999995E-4</v>
      </c>
      <c r="AN2400">
        <v>0</v>
      </c>
      <c r="AO2400">
        <v>0</v>
      </c>
      <c r="AP2400">
        <v>0.35</v>
      </c>
      <c r="AQ2400">
        <v>-2.36</v>
      </c>
      <c r="AR2400">
        <v>3.66</v>
      </c>
      <c r="AS2400">
        <v>0.78</v>
      </c>
      <c r="AT2400" t="s">
        <v>9257</v>
      </c>
      <c r="AU2400" t="s">
        <v>116</v>
      </c>
      <c r="AV2400">
        <v>9.44</v>
      </c>
      <c r="AW2400">
        <v>1.32</v>
      </c>
      <c r="BA2400">
        <v>0</v>
      </c>
      <c r="BB2400">
        <v>0.69</v>
      </c>
      <c r="BC2400">
        <v>-0.35</v>
      </c>
      <c r="BD2400">
        <v>0.15</v>
      </c>
      <c r="BE2400">
        <v>0</v>
      </c>
      <c r="BF2400">
        <v>-0.69</v>
      </c>
      <c r="BG2400">
        <v>0.35</v>
      </c>
      <c r="BH2400">
        <v>-0.15</v>
      </c>
      <c r="BI2400">
        <v>20191029</v>
      </c>
      <c r="BJ2400">
        <v>19991202</v>
      </c>
      <c r="BK2400">
        <v>16.059999999999999</v>
      </c>
      <c r="BL2400" t="s">
        <v>116</v>
      </c>
      <c r="BM2400" t="s">
        <v>116</v>
      </c>
      <c r="BN2400">
        <v>887.41</v>
      </c>
      <c r="BO2400">
        <v>44.18</v>
      </c>
      <c r="BP2400">
        <v>33.14</v>
      </c>
      <c r="BQ2400">
        <v>91.29</v>
      </c>
      <c r="BR2400">
        <v>586.74</v>
      </c>
      <c r="BS2400">
        <v>26.46</v>
      </c>
      <c r="BT2400">
        <v>4.2</v>
      </c>
      <c r="BU2400">
        <v>537.38</v>
      </c>
      <c r="BV2400">
        <v>515.15</v>
      </c>
      <c r="BW2400">
        <v>5.9</v>
      </c>
      <c r="BX2400">
        <v>13.88</v>
      </c>
      <c r="BY2400">
        <v>48.52</v>
      </c>
      <c r="BZ2400">
        <v>31.87</v>
      </c>
      <c r="CA2400">
        <v>-12.78</v>
      </c>
      <c r="CB2400">
        <v>0.14000000000000001</v>
      </c>
      <c r="CC2400">
        <v>-13.6</v>
      </c>
      <c r="CD2400">
        <v>-12.36</v>
      </c>
      <c r="CE2400">
        <v>-10.63</v>
      </c>
      <c r="CF2400">
        <v>-10.39</v>
      </c>
      <c r="CG2400">
        <v>5.78</v>
      </c>
      <c r="CH2400">
        <v>-9.5</v>
      </c>
      <c r="CI2400">
        <v>-4.7300000000000004</v>
      </c>
      <c r="CJ2400">
        <v>50142</v>
      </c>
      <c r="CK2400">
        <v>18606</v>
      </c>
      <c r="CL2400" t="s">
        <v>2630</v>
      </c>
      <c r="CM2400">
        <v>-567.15</v>
      </c>
      <c r="CN2400">
        <v>-30.61</v>
      </c>
      <c r="CO2400">
        <v>1.18</v>
      </c>
      <c r="CP2400">
        <v>-4.88</v>
      </c>
      <c r="CQ2400">
        <v>0.96</v>
      </c>
      <c r="CR2400">
        <v>3.18</v>
      </c>
      <c r="CS2400" t="s">
        <v>9349</v>
      </c>
      <c r="CT2400">
        <v>2.44</v>
      </c>
      <c r="CU2400">
        <v>2.44</v>
      </c>
      <c r="CV2400">
        <v>0.86</v>
      </c>
      <c r="CW2400">
        <v>0.36</v>
      </c>
      <c r="CX2400">
        <v>-0.59</v>
      </c>
      <c r="CY2400">
        <v>4.9800000000000004</v>
      </c>
      <c r="CZ2400" t="s">
        <v>11176</v>
      </c>
      <c r="DA2400">
        <v>34.33</v>
      </c>
      <c r="DB2400">
        <v>-26.35</v>
      </c>
      <c r="DC2400">
        <v>-21.91</v>
      </c>
      <c r="DD2400">
        <v>0</v>
      </c>
      <c r="DE2400">
        <v>4087</v>
      </c>
      <c r="DF2400">
        <v>600239</v>
      </c>
      <c r="DG2400" t="s">
        <v>116</v>
      </c>
      <c r="DH2400" t="s">
        <v>116</v>
      </c>
      <c r="DI2400" t="s">
        <v>116</v>
      </c>
    </row>
    <row r="2401" spans="1:113" x14ac:dyDescent="0.4">
      <c r="A2401" t="str">
        <f>"600241"</f>
        <v>600241</v>
      </c>
      <c r="B2401" t="s">
        <v>11177</v>
      </c>
      <c r="C2401">
        <v>-4.63</v>
      </c>
      <c r="D2401">
        <v>5.36</v>
      </c>
      <c r="E2401">
        <v>-0.26</v>
      </c>
      <c r="F2401">
        <v>5.35</v>
      </c>
      <c r="G2401">
        <v>5.36</v>
      </c>
      <c r="H2401">
        <v>250269</v>
      </c>
      <c r="I2401">
        <v>3840</v>
      </c>
      <c r="J2401">
        <v>0</v>
      </c>
      <c r="K2401">
        <v>9.9499999999999993</v>
      </c>
      <c r="L2401">
        <v>5.7</v>
      </c>
      <c r="M2401">
        <v>5.7</v>
      </c>
      <c r="N2401">
        <v>5.25</v>
      </c>
      <c r="O2401">
        <v>5.62</v>
      </c>
      <c r="P2401" t="s">
        <v>116</v>
      </c>
      <c r="Q2401">
        <v>138236304</v>
      </c>
      <c r="R2401">
        <v>4.17</v>
      </c>
      <c r="S2401" t="s">
        <v>566</v>
      </c>
      <c r="T2401" t="s">
        <v>434</v>
      </c>
      <c r="U2401">
        <v>8.01</v>
      </c>
      <c r="V2401">
        <v>5.52</v>
      </c>
      <c r="W2401">
        <v>130085</v>
      </c>
      <c r="X2401">
        <v>120184</v>
      </c>
      <c r="Y2401">
        <v>1.08</v>
      </c>
      <c r="Z2401">
        <v>264</v>
      </c>
      <c r="AA2401">
        <v>127</v>
      </c>
      <c r="AB2401" t="s">
        <v>116</v>
      </c>
      <c r="AC2401">
        <v>6528200</v>
      </c>
      <c r="AD2401">
        <v>0.85</v>
      </c>
      <c r="AE2401" t="s">
        <v>116</v>
      </c>
      <c r="AF2401" t="s">
        <v>116</v>
      </c>
      <c r="AG2401">
        <v>2.52</v>
      </c>
      <c r="AH2401" t="s">
        <v>10924</v>
      </c>
      <c r="AI2401" t="s">
        <v>5806</v>
      </c>
      <c r="AJ2401">
        <v>-4.55</v>
      </c>
      <c r="AK2401">
        <v>2369</v>
      </c>
      <c r="AL2401">
        <v>106</v>
      </c>
      <c r="AM2401">
        <v>4.1999999999999997E-3</v>
      </c>
      <c r="AN2401">
        <v>-1</v>
      </c>
      <c r="AO2401">
        <v>5.72</v>
      </c>
      <c r="AP2401">
        <v>12.61</v>
      </c>
      <c r="AQ2401">
        <v>1.71</v>
      </c>
      <c r="AR2401">
        <v>-6.62</v>
      </c>
      <c r="AS2401">
        <v>18.64</v>
      </c>
      <c r="AT2401" t="s">
        <v>11178</v>
      </c>
      <c r="AU2401" t="s">
        <v>116</v>
      </c>
      <c r="AV2401" t="s">
        <v>116</v>
      </c>
      <c r="AW2401">
        <v>1.8</v>
      </c>
      <c r="BA2401">
        <v>1.42</v>
      </c>
      <c r="BB2401">
        <v>1.42</v>
      </c>
      <c r="BC2401">
        <v>-6.58</v>
      </c>
      <c r="BD2401">
        <v>-1.72</v>
      </c>
      <c r="BE2401">
        <v>-5.96</v>
      </c>
      <c r="BF2401">
        <v>-5.96</v>
      </c>
      <c r="BG2401">
        <v>2.1</v>
      </c>
      <c r="BH2401">
        <v>-2.91</v>
      </c>
      <c r="BI2401">
        <v>20191030</v>
      </c>
      <c r="BJ2401">
        <v>20001128</v>
      </c>
      <c r="BK2401">
        <v>2.94</v>
      </c>
      <c r="BL2401" t="s">
        <v>116</v>
      </c>
      <c r="BM2401" t="s">
        <v>116</v>
      </c>
      <c r="BN2401">
        <v>17.45</v>
      </c>
      <c r="BO2401">
        <v>12.55</v>
      </c>
      <c r="BP2401">
        <v>-0.26</v>
      </c>
      <c r="BQ2401">
        <v>29.59</v>
      </c>
      <c r="BR2401">
        <v>6.77</v>
      </c>
      <c r="BS2401">
        <v>6.86</v>
      </c>
      <c r="BT2401">
        <v>1.23</v>
      </c>
      <c r="BU2401">
        <v>4.8099999999999996</v>
      </c>
      <c r="BV2401">
        <v>2.0099999999999998</v>
      </c>
      <c r="BW2401">
        <v>0.78</v>
      </c>
      <c r="BX2401">
        <v>10.95</v>
      </c>
      <c r="BY2401">
        <v>3.24</v>
      </c>
      <c r="BZ2401">
        <v>2.57</v>
      </c>
      <c r="CA2401">
        <v>-0.35</v>
      </c>
      <c r="CB2401">
        <v>0.04</v>
      </c>
      <c r="CC2401">
        <v>-0.13</v>
      </c>
      <c r="CD2401">
        <v>-0.16</v>
      </c>
      <c r="CE2401">
        <v>-0.03</v>
      </c>
      <c r="CF2401">
        <v>-0.25</v>
      </c>
      <c r="CG2401">
        <v>-1.69</v>
      </c>
      <c r="CH2401">
        <v>-7.0000000000000007E-2</v>
      </c>
      <c r="CI2401">
        <v>-0.09</v>
      </c>
      <c r="CJ2401">
        <v>13726</v>
      </c>
      <c r="CK2401">
        <v>9780</v>
      </c>
      <c r="CL2401" t="s">
        <v>1629</v>
      </c>
      <c r="CM2401">
        <v>90.29</v>
      </c>
      <c r="CN2401">
        <v>-52.44</v>
      </c>
      <c r="CO2401">
        <v>1.26</v>
      </c>
      <c r="CP2401">
        <v>-229.5</v>
      </c>
      <c r="CQ2401">
        <v>4.87</v>
      </c>
      <c r="CR2401">
        <v>0</v>
      </c>
      <c r="CS2401" t="s">
        <v>10913</v>
      </c>
      <c r="CT2401">
        <v>4.26</v>
      </c>
      <c r="CU2401">
        <v>0</v>
      </c>
      <c r="CV2401">
        <v>3.72</v>
      </c>
      <c r="CW2401">
        <v>-0.56999999999999995</v>
      </c>
      <c r="CX2401">
        <v>-0.02</v>
      </c>
      <c r="CY2401">
        <v>71.91</v>
      </c>
      <c r="CZ2401" t="s">
        <v>2238</v>
      </c>
      <c r="DA2401">
        <v>20.69</v>
      </c>
      <c r="DB2401">
        <v>-10.77</v>
      </c>
      <c r="DC2401">
        <v>-0.96</v>
      </c>
      <c r="DD2401">
        <v>0.12</v>
      </c>
      <c r="DE2401">
        <v>1415</v>
      </c>
      <c r="DF2401">
        <v>600241</v>
      </c>
      <c r="DG2401" t="s">
        <v>116</v>
      </c>
      <c r="DH2401" t="s">
        <v>116</v>
      </c>
      <c r="DI2401" t="s">
        <v>116</v>
      </c>
    </row>
    <row r="2402" spans="1:113" x14ac:dyDescent="0.4">
      <c r="A2402" t="str">
        <f>"600242"</f>
        <v>600242</v>
      </c>
      <c r="B2402" t="s">
        <v>11179</v>
      </c>
      <c r="C2402">
        <v>10.07</v>
      </c>
      <c r="D2402">
        <v>7.98</v>
      </c>
      <c r="E2402">
        <v>0.73</v>
      </c>
      <c r="F2402">
        <v>7.98</v>
      </c>
      <c r="G2402" t="s">
        <v>116</v>
      </c>
      <c r="H2402">
        <v>466871</v>
      </c>
      <c r="I2402">
        <v>1389</v>
      </c>
      <c r="J2402">
        <v>0</v>
      </c>
      <c r="K2402">
        <v>11.31</v>
      </c>
      <c r="L2402">
        <v>7.29</v>
      </c>
      <c r="M2402">
        <v>7.98</v>
      </c>
      <c r="N2402">
        <v>7.07</v>
      </c>
      <c r="O2402">
        <v>7.25</v>
      </c>
      <c r="P2402">
        <v>96.56</v>
      </c>
      <c r="Q2402">
        <v>353138688</v>
      </c>
      <c r="R2402">
        <v>2.66</v>
      </c>
      <c r="S2402" t="s">
        <v>607</v>
      </c>
      <c r="T2402" t="s">
        <v>551</v>
      </c>
      <c r="U2402">
        <v>12.55</v>
      </c>
      <c r="V2402">
        <v>7.56</v>
      </c>
      <c r="W2402">
        <v>226486</v>
      </c>
      <c r="X2402">
        <v>240385</v>
      </c>
      <c r="Y2402">
        <v>0.94</v>
      </c>
      <c r="Z2402">
        <v>41269</v>
      </c>
      <c r="AA2402">
        <v>0</v>
      </c>
      <c r="AB2402" t="s">
        <v>116</v>
      </c>
      <c r="AC2402">
        <v>1562200</v>
      </c>
      <c r="AD2402">
        <v>0.09</v>
      </c>
      <c r="AE2402">
        <v>0.09</v>
      </c>
      <c r="AF2402">
        <v>32932662</v>
      </c>
      <c r="AG2402">
        <v>4.13</v>
      </c>
      <c r="AH2402" t="s">
        <v>1639</v>
      </c>
      <c r="AI2402" t="s">
        <v>11180</v>
      </c>
      <c r="AJ2402">
        <v>10.15</v>
      </c>
      <c r="AK2402">
        <v>3753</v>
      </c>
      <c r="AL2402">
        <v>124</v>
      </c>
      <c r="AM2402">
        <v>3.0000000000000001E-3</v>
      </c>
      <c r="AN2402">
        <v>4</v>
      </c>
      <c r="AO2402">
        <v>19.649999999999999</v>
      </c>
      <c r="AP2402">
        <v>19.46</v>
      </c>
      <c r="AQ2402">
        <v>-18.07</v>
      </c>
      <c r="AR2402">
        <v>-50.62</v>
      </c>
      <c r="AS2402">
        <v>20.09</v>
      </c>
      <c r="AT2402" t="s">
        <v>11181</v>
      </c>
      <c r="AU2402">
        <v>69.5</v>
      </c>
      <c r="AV2402">
        <v>30.02</v>
      </c>
      <c r="AW2402">
        <v>2.62</v>
      </c>
      <c r="BA2402">
        <v>0.55000000000000004</v>
      </c>
      <c r="BB2402">
        <v>10.07</v>
      </c>
      <c r="BC2402">
        <v>-2.48</v>
      </c>
      <c r="BD2402">
        <v>4.33</v>
      </c>
      <c r="BE2402">
        <v>9.4700000000000006</v>
      </c>
      <c r="BF2402">
        <v>0</v>
      </c>
      <c r="BG2402">
        <v>12.87</v>
      </c>
      <c r="BH2402">
        <v>5.74</v>
      </c>
      <c r="BI2402">
        <v>20191226</v>
      </c>
      <c r="BJ2402">
        <v>20001207</v>
      </c>
      <c r="BK2402">
        <v>4.57</v>
      </c>
      <c r="BL2402" t="s">
        <v>116</v>
      </c>
      <c r="BM2402" t="s">
        <v>116</v>
      </c>
      <c r="BN2402">
        <v>36.840000000000003</v>
      </c>
      <c r="BO2402">
        <v>21.32</v>
      </c>
      <c r="BP2402">
        <v>1.88</v>
      </c>
      <c r="BQ2402">
        <v>37.03</v>
      </c>
      <c r="BR2402">
        <v>13.7</v>
      </c>
      <c r="BS2402">
        <v>0.04</v>
      </c>
      <c r="BT2402">
        <v>0.53</v>
      </c>
      <c r="BU2402">
        <v>8.19</v>
      </c>
      <c r="BV2402">
        <v>0.27</v>
      </c>
      <c r="BW2402">
        <v>7.32</v>
      </c>
      <c r="BX2402">
        <v>21</v>
      </c>
      <c r="BY2402">
        <v>23.55</v>
      </c>
      <c r="BZ2402">
        <v>21.67</v>
      </c>
      <c r="CA2402">
        <v>0.45</v>
      </c>
      <c r="CB2402">
        <v>0.01</v>
      </c>
      <c r="CC2402">
        <v>0.46</v>
      </c>
      <c r="CD2402">
        <v>0.4</v>
      </c>
      <c r="CE2402">
        <v>0.28000000000000003</v>
      </c>
      <c r="CF2402">
        <v>0.28000000000000003</v>
      </c>
      <c r="CG2402">
        <v>-4.5599999999999996</v>
      </c>
      <c r="CH2402">
        <v>-0.46</v>
      </c>
      <c r="CI2402">
        <v>-1.82</v>
      </c>
      <c r="CJ2402">
        <v>42309</v>
      </c>
      <c r="CK2402">
        <v>5492</v>
      </c>
      <c r="CL2402" t="s">
        <v>1807</v>
      </c>
      <c r="CM2402">
        <v>-70.89</v>
      </c>
      <c r="CN2402">
        <v>9.35</v>
      </c>
      <c r="CO2402">
        <v>1.71</v>
      </c>
      <c r="CP2402">
        <v>-79.83</v>
      </c>
      <c r="CQ2402">
        <v>1.55</v>
      </c>
      <c r="CR2402">
        <v>0</v>
      </c>
      <c r="CS2402" t="s">
        <v>11182</v>
      </c>
      <c r="CT2402">
        <v>4.67</v>
      </c>
      <c r="CU2402">
        <v>0</v>
      </c>
      <c r="CV2402">
        <v>4.5999999999999996</v>
      </c>
      <c r="CW2402">
        <v>-1</v>
      </c>
      <c r="CX2402">
        <v>-0.1</v>
      </c>
      <c r="CY2402">
        <v>57.87</v>
      </c>
      <c r="CZ2402" t="s">
        <v>3690</v>
      </c>
      <c r="DA2402">
        <v>8.02</v>
      </c>
      <c r="DB2402">
        <v>1.92</v>
      </c>
      <c r="DC2402">
        <v>1.2</v>
      </c>
      <c r="DD2402">
        <v>0.05</v>
      </c>
      <c r="DE2402">
        <v>336</v>
      </c>
      <c r="DF2402">
        <v>600242</v>
      </c>
      <c r="DG2402" t="s">
        <v>116</v>
      </c>
      <c r="DH2402" t="s">
        <v>116</v>
      </c>
      <c r="DI2402" t="s">
        <v>116</v>
      </c>
    </row>
    <row r="2403" spans="1:113" x14ac:dyDescent="0.4">
      <c r="A2403" t="str">
        <f>"600243"</f>
        <v>600243</v>
      </c>
      <c r="B2403" t="s">
        <v>11183</v>
      </c>
      <c r="C2403">
        <v>-1.55</v>
      </c>
      <c r="D2403">
        <v>4.4400000000000004</v>
      </c>
      <c r="E2403">
        <v>-7.0000000000000007E-2</v>
      </c>
      <c r="F2403">
        <v>4.4400000000000004</v>
      </c>
      <c r="G2403">
        <v>4.45</v>
      </c>
      <c r="H2403">
        <v>113821</v>
      </c>
      <c r="I2403">
        <v>2499</v>
      </c>
      <c r="J2403">
        <v>1.1399999999999999</v>
      </c>
      <c r="K2403">
        <v>2.59</v>
      </c>
      <c r="L2403">
        <v>4.5</v>
      </c>
      <c r="M2403">
        <v>4.54</v>
      </c>
      <c r="N2403">
        <v>4.3499999999999996</v>
      </c>
      <c r="O2403">
        <v>4.51</v>
      </c>
      <c r="P2403" t="s">
        <v>116</v>
      </c>
      <c r="Q2403">
        <v>50752240</v>
      </c>
      <c r="R2403">
        <v>0.88</v>
      </c>
      <c r="S2403" t="s">
        <v>712</v>
      </c>
      <c r="T2403" t="s">
        <v>698</v>
      </c>
      <c r="U2403">
        <v>4.21</v>
      </c>
      <c r="V2403">
        <v>4.46</v>
      </c>
      <c r="W2403">
        <v>66601</v>
      </c>
      <c r="X2403">
        <v>47220</v>
      </c>
      <c r="Y2403">
        <v>1.41</v>
      </c>
      <c r="Z2403">
        <v>383</v>
      </c>
      <c r="AA2403">
        <v>164</v>
      </c>
      <c r="AB2403" t="s">
        <v>116</v>
      </c>
      <c r="AC2403">
        <v>61700</v>
      </c>
      <c r="AD2403">
        <v>0.01</v>
      </c>
      <c r="AE2403" t="s">
        <v>116</v>
      </c>
      <c r="AF2403" t="s">
        <v>116</v>
      </c>
      <c r="AG2403">
        <v>4.3899999999999997</v>
      </c>
      <c r="AH2403" t="s">
        <v>8151</v>
      </c>
      <c r="AI2403" t="s">
        <v>8151</v>
      </c>
      <c r="AJ2403">
        <v>-1.48</v>
      </c>
      <c r="AK2403">
        <v>1577</v>
      </c>
      <c r="AL2403">
        <v>72</v>
      </c>
      <c r="AM2403">
        <v>1.6000000000000001E-3</v>
      </c>
      <c r="AN2403">
        <v>-1</v>
      </c>
      <c r="AO2403">
        <v>-1.32</v>
      </c>
      <c r="AP2403">
        <v>-14.62</v>
      </c>
      <c r="AQ2403">
        <v>5.21</v>
      </c>
      <c r="AR2403">
        <v>14.73</v>
      </c>
      <c r="AS2403">
        <v>5.61</v>
      </c>
      <c r="AT2403" t="s">
        <v>6898</v>
      </c>
      <c r="AU2403" t="s">
        <v>116</v>
      </c>
      <c r="AV2403" t="s">
        <v>116</v>
      </c>
      <c r="AW2403">
        <v>0.4</v>
      </c>
      <c r="BA2403">
        <v>-0.22</v>
      </c>
      <c r="BB2403">
        <v>0.67</v>
      </c>
      <c r="BC2403">
        <v>-3.55</v>
      </c>
      <c r="BD2403">
        <v>-1.1299999999999999</v>
      </c>
      <c r="BE2403">
        <v>-1.33</v>
      </c>
      <c r="BF2403">
        <v>-2.2000000000000002</v>
      </c>
      <c r="BG2403">
        <v>2.0699999999999998</v>
      </c>
      <c r="BH2403">
        <v>-0.42</v>
      </c>
      <c r="BI2403">
        <v>20191219</v>
      </c>
      <c r="BJ2403">
        <v>20001120</v>
      </c>
      <c r="BK2403">
        <v>4.3899999999999997</v>
      </c>
      <c r="BL2403" t="s">
        <v>116</v>
      </c>
      <c r="BM2403" t="s">
        <v>116</v>
      </c>
      <c r="BN2403">
        <v>23.42</v>
      </c>
      <c r="BO2403">
        <v>14.57</v>
      </c>
      <c r="BP2403">
        <v>0.01</v>
      </c>
      <c r="BQ2403">
        <v>37.71</v>
      </c>
      <c r="BR2403">
        <v>14.89</v>
      </c>
      <c r="BS2403">
        <v>5.88</v>
      </c>
      <c r="BT2403">
        <v>0.92</v>
      </c>
      <c r="BU2403">
        <v>8.18</v>
      </c>
      <c r="BV2403">
        <v>6.88</v>
      </c>
      <c r="BW2403">
        <v>3.34</v>
      </c>
      <c r="BX2403">
        <v>12.44</v>
      </c>
      <c r="BY2403">
        <v>5.17</v>
      </c>
      <c r="BZ2403">
        <v>4.75</v>
      </c>
      <c r="CA2403">
        <v>-0.98</v>
      </c>
      <c r="CB2403">
        <v>0</v>
      </c>
      <c r="CC2403">
        <v>-0.99</v>
      </c>
      <c r="CD2403">
        <v>-0.91</v>
      </c>
      <c r="CE2403">
        <v>-0.84</v>
      </c>
      <c r="CF2403">
        <v>-0.94</v>
      </c>
      <c r="CG2403">
        <v>-2.5</v>
      </c>
      <c r="CH2403">
        <v>-0.34</v>
      </c>
      <c r="CI2403">
        <v>-0.89</v>
      </c>
      <c r="CJ2403">
        <v>28608</v>
      </c>
      <c r="CK2403">
        <v>7090</v>
      </c>
      <c r="CL2403" t="s">
        <v>4280</v>
      </c>
      <c r="CM2403">
        <v>1.74</v>
      </c>
      <c r="CN2403">
        <v>-4.9400000000000004</v>
      </c>
      <c r="CO2403">
        <v>1.34</v>
      </c>
      <c r="CP2403">
        <v>-58.11</v>
      </c>
      <c r="CQ2403">
        <v>3.77</v>
      </c>
      <c r="CR2403">
        <v>0</v>
      </c>
      <c r="CS2403" t="s">
        <v>11184</v>
      </c>
      <c r="CT2403">
        <v>3.32</v>
      </c>
      <c r="CU2403">
        <v>0</v>
      </c>
      <c r="CV2403">
        <v>2.84</v>
      </c>
      <c r="CW2403">
        <v>-0.56999999999999995</v>
      </c>
      <c r="CX2403">
        <v>-0.08</v>
      </c>
      <c r="CY2403">
        <v>62.23</v>
      </c>
      <c r="CZ2403" t="s">
        <v>11185</v>
      </c>
      <c r="DA2403">
        <v>8.16</v>
      </c>
      <c r="DB2403">
        <v>-18.989999999999998</v>
      </c>
      <c r="DC2403">
        <v>-16.309999999999999</v>
      </c>
      <c r="DD2403">
        <v>0.21</v>
      </c>
      <c r="DE2403">
        <v>2375</v>
      </c>
      <c r="DF2403">
        <v>600243</v>
      </c>
      <c r="DG2403" t="s">
        <v>116</v>
      </c>
      <c r="DH2403" t="s">
        <v>116</v>
      </c>
      <c r="DI2403" t="s">
        <v>116</v>
      </c>
    </row>
    <row r="2404" spans="1:113" x14ac:dyDescent="0.4">
      <c r="A2404" t="str">
        <f>"600246"</f>
        <v>600246</v>
      </c>
      <c r="B2404" t="s">
        <v>11186</v>
      </c>
      <c r="C2404">
        <v>3.03</v>
      </c>
      <c r="D2404">
        <v>5.0999999999999996</v>
      </c>
      <c r="E2404">
        <v>0.15</v>
      </c>
      <c r="F2404">
        <v>5.0999999999999996</v>
      </c>
      <c r="G2404">
        <v>5.1100000000000003</v>
      </c>
      <c r="H2404">
        <v>271910</v>
      </c>
      <c r="I2404">
        <v>5386</v>
      </c>
      <c r="J2404">
        <v>0.79</v>
      </c>
      <c r="K2404">
        <v>1.32</v>
      </c>
      <c r="L2404">
        <v>4.97</v>
      </c>
      <c r="M2404">
        <v>5.2</v>
      </c>
      <c r="N2404">
        <v>4.95</v>
      </c>
      <c r="O2404">
        <v>4.95</v>
      </c>
      <c r="P2404">
        <v>32.75</v>
      </c>
      <c r="Q2404">
        <v>138502016</v>
      </c>
      <c r="R2404">
        <v>2.17</v>
      </c>
      <c r="S2404" t="s">
        <v>148</v>
      </c>
      <c r="T2404" t="s">
        <v>165</v>
      </c>
      <c r="U2404">
        <v>5.05</v>
      </c>
      <c r="V2404">
        <v>5.09</v>
      </c>
      <c r="W2404">
        <v>122216</v>
      </c>
      <c r="X2404">
        <v>149694</v>
      </c>
      <c r="Y2404">
        <v>0.82</v>
      </c>
      <c r="Z2404">
        <v>575</v>
      </c>
      <c r="AA2404">
        <v>222</v>
      </c>
      <c r="AB2404" t="s">
        <v>116</v>
      </c>
      <c r="AC2404">
        <v>1328200</v>
      </c>
      <c r="AD2404">
        <v>0.04</v>
      </c>
      <c r="AE2404" t="s">
        <v>116</v>
      </c>
      <c r="AF2404" t="s">
        <v>116</v>
      </c>
      <c r="AG2404">
        <v>20.54</v>
      </c>
      <c r="AH2404" t="s">
        <v>11187</v>
      </c>
      <c r="AI2404" t="s">
        <v>11187</v>
      </c>
      <c r="AJ2404">
        <v>3.11</v>
      </c>
      <c r="AK2404">
        <v>1953</v>
      </c>
      <c r="AL2404">
        <v>139</v>
      </c>
      <c r="AM2404">
        <v>6.9999999999999999E-4</v>
      </c>
      <c r="AN2404">
        <v>2</v>
      </c>
      <c r="AO2404">
        <v>8.51</v>
      </c>
      <c r="AP2404">
        <v>17.510000000000002</v>
      </c>
      <c r="AQ2404">
        <v>36.729999999999997</v>
      </c>
      <c r="AR2404">
        <v>54.92</v>
      </c>
      <c r="AS2404">
        <v>4.58</v>
      </c>
      <c r="AT2404" t="s">
        <v>157</v>
      </c>
      <c r="AU2404">
        <v>45.99</v>
      </c>
      <c r="AV2404">
        <v>32.01</v>
      </c>
      <c r="AW2404">
        <v>1.31</v>
      </c>
      <c r="BA2404">
        <v>0.4</v>
      </c>
      <c r="BB2404">
        <v>5.05</v>
      </c>
      <c r="BC2404">
        <v>0</v>
      </c>
      <c r="BD2404">
        <v>2.9</v>
      </c>
      <c r="BE2404">
        <v>2.62</v>
      </c>
      <c r="BF2404">
        <v>-1.92</v>
      </c>
      <c r="BG2404">
        <v>3.03</v>
      </c>
      <c r="BH2404">
        <v>0.13</v>
      </c>
      <c r="BI2404">
        <v>20191030</v>
      </c>
      <c r="BJ2404">
        <v>20000922</v>
      </c>
      <c r="BK2404">
        <v>20.54</v>
      </c>
      <c r="BL2404" t="s">
        <v>116</v>
      </c>
      <c r="BM2404" t="s">
        <v>116</v>
      </c>
      <c r="BN2404">
        <v>128.97999999999999</v>
      </c>
      <c r="BO2404">
        <v>73.48</v>
      </c>
      <c r="BP2404">
        <v>5.0199999999999996</v>
      </c>
      <c r="BQ2404">
        <v>39.14</v>
      </c>
      <c r="BR2404">
        <v>73.66</v>
      </c>
      <c r="BS2404">
        <v>1.53</v>
      </c>
      <c r="BT2404">
        <v>0</v>
      </c>
      <c r="BU2404">
        <v>25.82</v>
      </c>
      <c r="BV2404">
        <v>42.24</v>
      </c>
      <c r="BW2404">
        <v>0.25</v>
      </c>
      <c r="BX2404">
        <v>35.25</v>
      </c>
      <c r="BY2404">
        <v>7.11</v>
      </c>
      <c r="BZ2404">
        <v>3.29</v>
      </c>
      <c r="CA2404">
        <v>3.13</v>
      </c>
      <c r="CB2404">
        <v>3.97</v>
      </c>
      <c r="CC2404">
        <v>3.16</v>
      </c>
      <c r="CD2404">
        <v>2.65</v>
      </c>
      <c r="CE2404">
        <v>2.4</v>
      </c>
      <c r="CF2404">
        <v>-1.58</v>
      </c>
      <c r="CG2404">
        <v>15.15</v>
      </c>
      <c r="CH2404">
        <v>-6.42</v>
      </c>
      <c r="CI2404">
        <v>4.29</v>
      </c>
      <c r="CJ2404">
        <v>43309</v>
      </c>
      <c r="CK2404">
        <v>13723</v>
      </c>
      <c r="CL2404" t="s">
        <v>2986</v>
      </c>
      <c r="CM2404">
        <v>-29.32</v>
      </c>
      <c r="CN2404">
        <v>-74.599999999999994</v>
      </c>
      <c r="CO2404">
        <v>1.43</v>
      </c>
      <c r="CP2404">
        <v>-16.32</v>
      </c>
      <c r="CQ2404">
        <v>14.73</v>
      </c>
      <c r="CR2404">
        <v>0.94</v>
      </c>
      <c r="CS2404" t="s">
        <v>8242</v>
      </c>
      <c r="CT2404">
        <v>3.58</v>
      </c>
      <c r="CU2404">
        <v>0</v>
      </c>
      <c r="CV2404">
        <v>1.72</v>
      </c>
      <c r="CW2404">
        <v>0.74</v>
      </c>
      <c r="CX2404">
        <v>-0.31</v>
      </c>
      <c r="CY2404">
        <v>56.97</v>
      </c>
      <c r="CZ2404" t="s">
        <v>6350</v>
      </c>
      <c r="DA2404">
        <v>53.71</v>
      </c>
      <c r="DB2404">
        <v>44.02</v>
      </c>
      <c r="DC2404">
        <v>33.74</v>
      </c>
      <c r="DD2404">
        <v>0</v>
      </c>
      <c r="DE2404">
        <v>352</v>
      </c>
      <c r="DF2404">
        <v>600246</v>
      </c>
      <c r="DG2404" t="s">
        <v>116</v>
      </c>
      <c r="DH2404" t="s">
        <v>116</v>
      </c>
      <c r="DI2404" t="s">
        <v>116</v>
      </c>
    </row>
    <row r="2405" spans="1:113" x14ac:dyDescent="0.4">
      <c r="A2405" t="str">
        <f>"600247"</f>
        <v>600247</v>
      </c>
      <c r="B2405" t="s">
        <v>11188</v>
      </c>
      <c r="C2405">
        <v>-2.81</v>
      </c>
      <c r="D2405">
        <v>3.46</v>
      </c>
      <c r="E2405">
        <v>-0.1</v>
      </c>
      <c r="F2405">
        <v>3.46</v>
      </c>
      <c r="G2405">
        <v>3.47</v>
      </c>
      <c r="H2405">
        <v>27518</v>
      </c>
      <c r="I2405">
        <v>135</v>
      </c>
      <c r="J2405">
        <v>0</v>
      </c>
      <c r="K2405">
        <v>0.82</v>
      </c>
      <c r="L2405">
        <v>3.56</v>
      </c>
      <c r="M2405">
        <v>3.56</v>
      </c>
      <c r="N2405">
        <v>3.43</v>
      </c>
      <c r="O2405">
        <v>3.56</v>
      </c>
      <c r="P2405" t="s">
        <v>116</v>
      </c>
      <c r="Q2405">
        <v>9615609</v>
      </c>
      <c r="R2405">
        <v>0.83</v>
      </c>
      <c r="S2405" t="s">
        <v>566</v>
      </c>
      <c r="T2405" t="s">
        <v>294</v>
      </c>
      <c r="U2405">
        <v>3.65</v>
      </c>
      <c r="V2405">
        <v>3.49</v>
      </c>
      <c r="W2405">
        <v>17860</v>
      </c>
      <c r="X2405">
        <v>9658</v>
      </c>
      <c r="Y2405">
        <v>1.85</v>
      </c>
      <c r="Z2405">
        <v>24</v>
      </c>
      <c r="AA2405">
        <v>172</v>
      </c>
      <c r="AB2405" t="s">
        <v>116</v>
      </c>
      <c r="AC2405">
        <v>11000</v>
      </c>
      <c r="AD2405">
        <v>0</v>
      </c>
      <c r="AE2405" t="s">
        <v>116</v>
      </c>
      <c r="AF2405" t="s">
        <v>116</v>
      </c>
      <c r="AG2405">
        <v>3.36</v>
      </c>
      <c r="AH2405" t="s">
        <v>6717</v>
      </c>
      <c r="AI2405" t="s">
        <v>6717</v>
      </c>
      <c r="AJ2405">
        <v>-2.73</v>
      </c>
      <c r="AK2405">
        <v>326</v>
      </c>
      <c r="AL2405">
        <v>84</v>
      </c>
      <c r="AM2405">
        <v>2.5000000000000001E-3</v>
      </c>
      <c r="AN2405">
        <v>-1</v>
      </c>
      <c r="AO2405">
        <v>-3.9</v>
      </c>
      <c r="AP2405">
        <v>3.9</v>
      </c>
      <c r="AQ2405">
        <v>-7.98</v>
      </c>
      <c r="AR2405">
        <v>-25.91</v>
      </c>
      <c r="AS2405">
        <v>0.89</v>
      </c>
      <c r="AT2405" t="s">
        <v>11189</v>
      </c>
      <c r="AU2405" t="s">
        <v>116</v>
      </c>
      <c r="AV2405">
        <v>156.94</v>
      </c>
      <c r="AW2405">
        <v>0.79</v>
      </c>
      <c r="BA2405">
        <v>0</v>
      </c>
      <c r="BB2405">
        <v>0</v>
      </c>
      <c r="BC2405">
        <v>-3.65</v>
      </c>
      <c r="BD2405">
        <v>-1.85</v>
      </c>
      <c r="BE2405">
        <v>-2.81</v>
      </c>
      <c r="BF2405">
        <v>-2.81</v>
      </c>
      <c r="BG2405">
        <v>0.87</v>
      </c>
      <c r="BH2405">
        <v>-0.96</v>
      </c>
      <c r="BI2405">
        <v>20191031</v>
      </c>
      <c r="BJ2405">
        <v>20001123</v>
      </c>
      <c r="BK2405">
        <v>3.36</v>
      </c>
      <c r="BL2405" t="s">
        <v>116</v>
      </c>
      <c r="BM2405" t="s">
        <v>116</v>
      </c>
      <c r="BN2405">
        <v>9.57</v>
      </c>
      <c r="BO2405">
        <v>-0.22</v>
      </c>
      <c r="BP2405">
        <v>0.1</v>
      </c>
      <c r="BQ2405">
        <v>101.29</v>
      </c>
      <c r="BR2405">
        <v>0.12</v>
      </c>
      <c r="BS2405">
        <v>0.02</v>
      </c>
      <c r="BT2405">
        <v>0</v>
      </c>
      <c r="BU2405">
        <v>7.83</v>
      </c>
      <c r="BV2405">
        <v>0.02</v>
      </c>
      <c r="BW2405">
        <v>7.0000000000000007E-2</v>
      </c>
      <c r="BX2405">
        <v>2.19</v>
      </c>
      <c r="BY2405">
        <v>0.1</v>
      </c>
      <c r="BZ2405">
        <v>0.02</v>
      </c>
      <c r="CA2405">
        <v>-0.34</v>
      </c>
      <c r="CB2405">
        <v>0</v>
      </c>
      <c r="CC2405">
        <v>-0.34</v>
      </c>
      <c r="CD2405">
        <v>-0.34</v>
      </c>
      <c r="CE2405">
        <v>-0.34</v>
      </c>
      <c r="CF2405">
        <v>-0.34</v>
      </c>
      <c r="CG2405">
        <v>-6.37</v>
      </c>
      <c r="CH2405">
        <v>0</v>
      </c>
      <c r="CI2405">
        <v>0</v>
      </c>
      <c r="CJ2405">
        <v>16619</v>
      </c>
      <c r="CK2405">
        <v>18692</v>
      </c>
      <c r="CL2405" t="s">
        <v>10988</v>
      </c>
      <c r="CM2405">
        <v>-327.32</v>
      </c>
      <c r="CN2405">
        <v>-62.86</v>
      </c>
      <c r="CO2405">
        <v>-51.76</v>
      </c>
      <c r="CP2405">
        <v>8509.42</v>
      </c>
      <c r="CQ2405">
        <v>111.62</v>
      </c>
      <c r="CR2405">
        <v>0</v>
      </c>
      <c r="CS2405" t="s">
        <v>5461</v>
      </c>
      <c r="CT2405">
        <v>-7.0000000000000007E-2</v>
      </c>
      <c r="CU2405">
        <v>0</v>
      </c>
      <c r="CV2405">
        <v>0.65</v>
      </c>
      <c r="CW2405">
        <v>-1.89</v>
      </c>
      <c r="CX2405">
        <v>0</v>
      </c>
      <c r="CY2405">
        <v>-2.35</v>
      </c>
      <c r="CZ2405" t="s">
        <v>116</v>
      </c>
      <c r="DA2405">
        <v>76.83</v>
      </c>
      <c r="DB2405">
        <v>-324.82</v>
      </c>
      <c r="DC2405">
        <v>-322.52999999999997</v>
      </c>
      <c r="DD2405">
        <v>0</v>
      </c>
      <c r="DE2405">
        <v>128</v>
      </c>
      <c r="DF2405">
        <v>600247</v>
      </c>
      <c r="DG2405" t="s">
        <v>116</v>
      </c>
      <c r="DH2405" t="s">
        <v>116</v>
      </c>
      <c r="DI2405" t="s">
        <v>116</v>
      </c>
    </row>
    <row r="2406" spans="1:113" x14ac:dyDescent="0.4">
      <c r="A2406" t="str">
        <f>"600248"</f>
        <v>600248</v>
      </c>
      <c r="B2406" t="s">
        <v>11190</v>
      </c>
      <c r="C2406">
        <v>0.23</v>
      </c>
      <c r="D2406">
        <v>4.3600000000000003</v>
      </c>
      <c r="E2406">
        <v>0.01</v>
      </c>
      <c r="F2406">
        <v>4.3499999999999996</v>
      </c>
      <c r="G2406">
        <v>4.3600000000000003</v>
      </c>
      <c r="H2406">
        <v>23570</v>
      </c>
      <c r="I2406">
        <v>264</v>
      </c>
      <c r="J2406">
        <v>0.46</v>
      </c>
      <c r="K2406">
        <v>0.36</v>
      </c>
      <c r="L2406">
        <v>4.37</v>
      </c>
      <c r="M2406">
        <v>4.38</v>
      </c>
      <c r="N2406">
        <v>4.33</v>
      </c>
      <c r="O2406">
        <v>4.3499999999999996</v>
      </c>
      <c r="P2406">
        <v>13.82</v>
      </c>
      <c r="Q2406">
        <v>10262941</v>
      </c>
      <c r="R2406">
        <v>0.81</v>
      </c>
      <c r="S2406" t="s">
        <v>181</v>
      </c>
      <c r="T2406" t="s">
        <v>913</v>
      </c>
      <c r="U2406">
        <v>1.1499999999999999</v>
      </c>
      <c r="V2406">
        <v>4.3499999999999996</v>
      </c>
      <c r="W2406">
        <v>10953</v>
      </c>
      <c r="X2406">
        <v>12617</v>
      </c>
      <c r="Y2406">
        <v>0.87</v>
      </c>
      <c r="Z2406">
        <v>281</v>
      </c>
      <c r="AA2406">
        <v>1503</v>
      </c>
      <c r="AB2406" t="s">
        <v>116</v>
      </c>
      <c r="AC2406">
        <v>168700</v>
      </c>
      <c r="AD2406">
        <v>0.01</v>
      </c>
      <c r="AE2406" t="s">
        <v>116</v>
      </c>
      <c r="AF2406" t="s">
        <v>116</v>
      </c>
      <c r="AG2406">
        <v>6.57</v>
      </c>
      <c r="AH2406" t="s">
        <v>1531</v>
      </c>
      <c r="AI2406" t="s">
        <v>10196</v>
      </c>
      <c r="AJ2406">
        <v>0.31</v>
      </c>
      <c r="AK2406">
        <v>431</v>
      </c>
      <c r="AL2406">
        <v>55</v>
      </c>
      <c r="AM2406">
        <v>8.0000000000000004E-4</v>
      </c>
      <c r="AN2406">
        <v>2</v>
      </c>
      <c r="AO2406">
        <v>-0.01</v>
      </c>
      <c r="AP2406">
        <v>5.0599999999999996</v>
      </c>
      <c r="AQ2406">
        <v>1.63</v>
      </c>
      <c r="AR2406">
        <v>14.44</v>
      </c>
      <c r="AS2406">
        <v>0.79</v>
      </c>
      <c r="AT2406" t="s">
        <v>8719</v>
      </c>
      <c r="AU2406">
        <v>11.86</v>
      </c>
      <c r="AV2406">
        <v>14.22</v>
      </c>
      <c r="AW2406">
        <v>0.91</v>
      </c>
      <c r="BA2406">
        <v>0.46</v>
      </c>
      <c r="BB2406">
        <v>0.69</v>
      </c>
      <c r="BC2406">
        <v>-0.46</v>
      </c>
      <c r="BD2406">
        <v>0.1</v>
      </c>
      <c r="BE2406">
        <v>-0.23</v>
      </c>
      <c r="BF2406">
        <v>-0.46</v>
      </c>
      <c r="BG2406">
        <v>0.69</v>
      </c>
      <c r="BH2406">
        <v>0.13</v>
      </c>
      <c r="BI2406">
        <v>20191202</v>
      </c>
      <c r="BJ2406">
        <v>20000622</v>
      </c>
      <c r="BK2406">
        <v>9.18</v>
      </c>
      <c r="BL2406" t="s">
        <v>116</v>
      </c>
      <c r="BM2406" t="s">
        <v>116</v>
      </c>
      <c r="BN2406">
        <v>80.77</v>
      </c>
      <c r="BO2406">
        <v>28.7</v>
      </c>
      <c r="BP2406">
        <v>0</v>
      </c>
      <c r="BQ2406">
        <v>64.47</v>
      </c>
      <c r="BR2406">
        <v>69.67</v>
      </c>
      <c r="BS2406">
        <v>6.4</v>
      </c>
      <c r="BT2406">
        <v>0.85</v>
      </c>
      <c r="BU2406">
        <v>51.01</v>
      </c>
      <c r="BV2406">
        <v>25.78</v>
      </c>
      <c r="BW2406">
        <v>29.94</v>
      </c>
      <c r="BX2406">
        <v>5.9</v>
      </c>
      <c r="BY2406">
        <v>53.75</v>
      </c>
      <c r="BZ2406">
        <v>49.03</v>
      </c>
      <c r="CA2406">
        <v>2.5099999999999998</v>
      </c>
      <c r="CB2406">
        <v>0.01</v>
      </c>
      <c r="CC2406">
        <v>2.56</v>
      </c>
      <c r="CD2406">
        <v>2.17</v>
      </c>
      <c r="CE2406">
        <v>2.17</v>
      </c>
      <c r="CF2406">
        <v>2.1</v>
      </c>
      <c r="CG2406">
        <v>11.31</v>
      </c>
      <c r="CH2406">
        <v>-8.18</v>
      </c>
      <c r="CI2406">
        <v>-9.61</v>
      </c>
      <c r="CJ2406">
        <v>25228</v>
      </c>
      <c r="CK2406">
        <v>11841</v>
      </c>
      <c r="CL2406" t="s">
        <v>3589</v>
      </c>
      <c r="CM2406">
        <v>34.729999999999997</v>
      </c>
      <c r="CN2406">
        <v>2.65</v>
      </c>
      <c r="CO2406">
        <v>1.39</v>
      </c>
      <c r="CP2406">
        <v>-4.8899999999999997</v>
      </c>
      <c r="CQ2406">
        <v>0.74</v>
      </c>
      <c r="CR2406">
        <v>2.29</v>
      </c>
      <c r="CS2406" t="s">
        <v>2045</v>
      </c>
      <c r="CT2406">
        <v>3.13</v>
      </c>
      <c r="CU2406">
        <v>0</v>
      </c>
      <c r="CV2406">
        <v>0.64</v>
      </c>
      <c r="CW2406">
        <v>1.23</v>
      </c>
      <c r="CX2406">
        <v>-0.89</v>
      </c>
      <c r="CY2406">
        <v>35.53</v>
      </c>
      <c r="CZ2406" t="s">
        <v>11191</v>
      </c>
      <c r="DA2406">
        <v>8.7899999999999991</v>
      </c>
      <c r="DB2406">
        <v>4.68</v>
      </c>
      <c r="DC2406">
        <v>4.04</v>
      </c>
      <c r="DD2406">
        <v>0.03</v>
      </c>
      <c r="DE2406">
        <v>4591</v>
      </c>
      <c r="DF2406">
        <v>600248</v>
      </c>
      <c r="DG2406" t="s">
        <v>116</v>
      </c>
      <c r="DH2406" t="s">
        <v>116</v>
      </c>
      <c r="DI2406" t="s">
        <v>116</v>
      </c>
    </row>
    <row r="2407" spans="1:113" x14ac:dyDescent="0.4">
      <c r="A2407" t="str">
        <f>"600249"</f>
        <v>600249</v>
      </c>
      <c r="B2407" t="s">
        <v>11192</v>
      </c>
      <c r="C2407">
        <v>-1.73</v>
      </c>
      <c r="D2407">
        <v>4.54</v>
      </c>
      <c r="E2407">
        <v>-0.08</v>
      </c>
      <c r="F2407">
        <v>4.54</v>
      </c>
      <c r="G2407">
        <v>4.55</v>
      </c>
      <c r="H2407">
        <v>63457</v>
      </c>
      <c r="I2407">
        <v>2959</v>
      </c>
      <c r="J2407">
        <v>0.44</v>
      </c>
      <c r="K2407">
        <v>1.1499999999999999</v>
      </c>
      <c r="L2407">
        <v>4.6100000000000003</v>
      </c>
      <c r="M2407">
        <v>4.66</v>
      </c>
      <c r="N2407">
        <v>4.5</v>
      </c>
      <c r="O2407">
        <v>4.62</v>
      </c>
      <c r="P2407">
        <v>240.14</v>
      </c>
      <c r="Q2407">
        <v>28940384</v>
      </c>
      <c r="R2407">
        <v>0.65</v>
      </c>
      <c r="S2407" t="s">
        <v>953</v>
      </c>
      <c r="T2407" t="s">
        <v>982</v>
      </c>
      <c r="U2407">
        <v>3.46</v>
      </c>
      <c r="V2407">
        <v>4.5599999999999996</v>
      </c>
      <c r="W2407">
        <v>38454</v>
      </c>
      <c r="X2407">
        <v>25003</v>
      </c>
      <c r="Y2407">
        <v>1.54</v>
      </c>
      <c r="Z2407">
        <v>44</v>
      </c>
      <c r="AA2407">
        <v>507</v>
      </c>
      <c r="AB2407" t="s">
        <v>116</v>
      </c>
      <c r="AC2407">
        <v>71900</v>
      </c>
      <c r="AD2407">
        <v>0</v>
      </c>
      <c r="AE2407" t="s">
        <v>116</v>
      </c>
      <c r="AF2407" t="s">
        <v>116</v>
      </c>
      <c r="AG2407">
        <v>5.5</v>
      </c>
      <c r="AH2407" t="s">
        <v>9176</v>
      </c>
      <c r="AI2407" t="s">
        <v>9176</v>
      </c>
      <c r="AJ2407">
        <v>-1.65</v>
      </c>
      <c r="AK2407">
        <v>1320</v>
      </c>
      <c r="AL2407">
        <v>48</v>
      </c>
      <c r="AM2407">
        <v>8.9999999999999998E-4</v>
      </c>
      <c r="AN2407">
        <v>-1</v>
      </c>
      <c r="AO2407">
        <v>-2.79</v>
      </c>
      <c r="AP2407">
        <v>11.82</v>
      </c>
      <c r="AQ2407">
        <v>11.82</v>
      </c>
      <c r="AR2407">
        <v>25.41</v>
      </c>
      <c r="AS2407">
        <v>1.91</v>
      </c>
      <c r="AT2407" t="s">
        <v>11193</v>
      </c>
      <c r="AU2407">
        <v>91.22</v>
      </c>
      <c r="AV2407">
        <v>114.96</v>
      </c>
      <c r="AW2407">
        <v>1.28</v>
      </c>
      <c r="BA2407">
        <v>-0.22</v>
      </c>
      <c r="BB2407">
        <v>0.87</v>
      </c>
      <c r="BC2407">
        <v>-2.6</v>
      </c>
      <c r="BD2407">
        <v>-1.28</v>
      </c>
      <c r="BE2407">
        <v>-1.52</v>
      </c>
      <c r="BF2407">
        <v>-2.58</v>
      </c>
      <c r="BG2407">
        <v>0.89</v>
      </c>
      <c r="BH2407">
        <v>-0.45</v>
      </c>
      <c r="BI2407">
        <v>20191030</v>
      </c>
      <c r="BJ2407">
        <v>20040130</v>
      </c>
      <c r="BK2407">
        <v>5.5</v>
      </c>
      <c r="BL2407" t="s">
        <v>116</v>
      </c>
      <c r="BM2407" t="s">
        <v>116</v>
      </c>
      <c r="BN2407">
        <v>24.64</v>
      </c>
      <c r="BO2407">
        <v>18.04</v>
      </c>
      <c r="BP2407">
        <v>-1.36</v>
      </c>
      <c r="BQ2407">
        <v>32.31</v>
      </c>
      <c r="BR2407">
        <v>9.51</v>
      </c>
      <c r="BS2407">
        <v>8.3800000000000008</v>
      </c>
      <c r="BT2407">
        <v>2.34</v>
      </c>
      <c r="BU2407">
        <v>6.6</v>
      </c>
      <c r="BV2407">
        <v>3.6</v>
      </c>
      <c r="BW2407">
        <v>1.61</v>
      </c>
      <c r="BX2407">
        <v>8.57</v>
      </c>
      <c r="BY2407">
        <v>8.82</v>
      </c>
      <c r="BZ2407">
        <v>7.29</v>
      </c>
      <c r="CA2407">
        <v>7.0000000000000007E-2</v>
      </c>
      <c r="CB2407">
        <v>0.14000000000000001</v>
      </c>
      <c r="CC2407">
        <v>0.09</v>
      </c>
      <c r="CD2407">
        <v>-0.11</v>
      </c>
      <c r="CE2407">
        <v>0.08</v>
      </c>
      <c r="CF2407">
        <v>-0.43</v>
      </c>
      <c r="CG2407">
        <v>1.51</v>
      </c>
      <c r="CH2407">
        <v>0.37</v>
      </c>
      <c r="CI2407">
        <v>0.25</v>
      </c>
      <c r="CJ2407">
        <v>54570</v>
      </c>
      <c r="CK2407">
        <v>6081</v>
      </c>
      <c r="CL2407" t="s">
        <v>10939</v>
      </c>
      <c r="CM2407">
        <v>263.51</v>
      </c>
      <c r="CN2407">
        <v>-1.44</v>
      </c>
      <c r="CO2407">
        <v>1.38</v>
      </c>
      <c r="CP2407">
        <v>68.260000000000005</v>
      </c>
      <c r="CQ2407">
        <v>2.83</v>
      </c>
      <c r="CR2407">
        <v>0</v>
      </c>
      <c r="CS2407" t="s">
        <v>342</v>
      </c>
      <c r="CT2407">
        <v>3.28</v>
      </c>
      <c r="CU2407">
        <v>0</v>
      </c>
      <c r="CV2407">
        <v>1.56</v>
      </c>
      <c r="CW2407">
        <v>0.27</v>
      </c>
      <c r="CX2407">
        <v>7.0000000000000007E-2</v>
      </c>
      <c r="CY2407">
        <v>73.22</v>
      </c>
      <c r="CZ2407" t="s">
        <v>343</v>
      </c>
      <c r="DA2407">
        <v>17.37</v>
      </c>
      <c r="DB2407">
        <v>0.79</v>
      </c>
      <c r="DC2407">
        <v>0.88</v>
      </c>
      <c r="DD2407">
        <v>0.08</v>
      </c>
      <c r="DE2407">
        <v>2391</v>
      </c>
      <c r="DF2407">
        <v>600249</v>
      </c>
      <c r="DG2407" t="s">
        <v>116</v>
      </c>
      <c r="DH2407" t="s">
        <v>116</v>
      </c>
      <c r="DI2407" t="s">
        <v>116</v>
      </c>
    </row>
    <row r="2408" spans="1:113" x14ac:dyDescent="0.4">
      <c r="A2408" t="str">
        <f>"600250"</f>
        <v>600250</v>
      </c>
      <c r="B2408" t="s">
        <v>11194</v>
      </c>
      <c r="C2408">
        <v>-0.47</v>
      </c>
      <c r="D2408">
        <v>6.42</v>
      </c>
      <c r="E2408">
        <v>-0.03</v>
      </c>
      <c r="F2408">
        <v>6.41</v>
      </c>
      <c r="G2408">
        <v>6.42</v>
      </c>
      <c r="H2408">
        <v>9157</v>
      </c>
      <c r="I2408">
        <v>1</v>
      </c>
      <c r="J2408">
        <v>0</v>
      </c>
      <c r="K2408">
        <v>0.35</v>
      </c>
      <c r="L2408">
        <v>6.45</v>
      </c>
      <c r="M2408">
        <v>6.53</v>
      </c>
      <c r="N2408">
        <v>6.4</v>
      </c>
      <c r="O2408">
        <v>6.45</v>
      </c>
      <c r="P2408">
        <v>68.55</v>
      </c>
      <c r="Q2408">
        <v>5933751</v>
      </c>
      <c r="R2408">
        <v>0.91</v>
      </c>
      <c r="S2408" t="s">
        <v>566</v>
      </c>
      <c r="T2408" t="s">
        <v>323</v>
      </c>
      <c r="U2408">
        <v>2.02</v>
      </c>
      <c r="V2408">
        <v>6.48</v>
      </c>
      <c r="W2408">
        <v>5911</v>
      </c>
      <c r="X2408">
        <v>3246</v>
      </c>
      <c r="Y2408">
        <v>1.82</v>
      </c>
      <c r="Z2408">
        <v>265</v>
      </c>
      <c r="AA2408">
        <v>19</v>
      </c>
      <c r="AB2408" t="s">
        <v>116</v>
      </c>
      <c r="AC2408">
        <v>600</v>
      </c>
      <c r="AD2408">
        <v>0</v>
      </c>
      <c r="AE2408" t="s">
        <v>116</v>
      </c>
      <c r="AF2408" t="s">
        <v>116</v>
      </c>
      <c r="AG2408">
        <v>2.59</v>
      </c>
      <c r="AH2408" t="s">
        <v>3148</v>
      </c>
      <c r="AI2408" t="s">
        <v>10725</v>
      </c>
      <c r="AJ2408">
        <v>-0.39</v>
      </c>
      <c r="AK2408">
        <v>377</v>
      </c>
      <c r="AL2408">
        <v>24</v>
      </c>
      <c r="AM2408">
        <v>8.9999999999999998E-4</v>
      </c>
      <c r="AN2408">
        <v>-1</v>
      </c>
      <c r="AO2408">
        <v>-0.15</v>
      </c>
      <c r="AP2408">
        <v>4.22</v>
      </c>
      <c r="AQ2408">
        <v>-4.8899999999999997</v>
      </c>
      <c r="AR2408">
        <v>-19.04</v>
      </c>
      <c r="AS2408">
        <v>0.63</v>
      </c>
      <c r="AT2408" t="s">
        <v>9396</v>
      </c>
      <c r="AU2408">
        <v>10.09</v>
      </c>
      <c r="AV2408">
        <v>10.26</v>
      </c>
      <c r="AW2408">
        <v>1.06</v>
      </c>
      <c r="BA2408">
        <v>0</v>
      </c>
      <c r="BB2408">
        <v>1.24</v>
      </c>
      <c r="BC2408">
        <v>-0.78</v>
      </c>
      <c r="BD2408">
        <v>0.47</v>
      </c>
      <c r="BE2408">
        <v>-0.47</v>
      </c>
      <c r="BF2408">
        <v>-1.68</v>
      </c>
      <c r="BG2408">
        <v>0.31</v>
      </c>
      <c r="BH2408">
        <v>-0.93</v>
      </c>
      <c r="BI2408">
        <v>20191227</v>
      </c>
      <c r="BJ2408">
        <v>20010306</v>
      </c>
      <c r="BK2408">
        <v>2.97</v>
      </c>
      <c r="BL2408" t="s">
        <v>116</v>
      </c>
      <c r="BM2408" t="s">
        <v>116</v>
      </c>
      <c r="BN2408">
        <v>16</v>
      </c>
      <c r="BO2408">
        <v>6.21</v>
      </c>
      <c r="BP2408">
        <v>-0.39</v>
      </c>
      <c r="BQ2408">
        <v>63.65</v>
      </c>
      <c r="BR2408">
        <v>5.36</v>
      </c>
      <c r="BS2408">
        <v>0.2</v>
      </c>
      <c r="BT2408">
        <v>0.04</v>
      </c>
      <c r="BU2408">
        <v>10.14</v>
      </c>
      <c r="BV2408">
        <v>0.3</v>
      </c>
      <c r="BW2408">
        <v>1.33</v>
      </c>
      <c r="BX2408">
        <v>1.96</v>
      </c>
      <c r="BY2408">
        <v>6.56</v>
      </c>
      <c r="BZ2408">
        <v>6.29</v>
      </c>
      <c r="CA2408">
        <v>0.2</v>
      </c>
      <c r="CB2408">
        <v>0.53</v>
      </c>
      <c r="CC2408">
        <v>0.21</v>
      </c>
      <c r="CD2408">
        <v>0.21</v>
      </c>
      <c r="CE2408">
        <v>0.21</v>
      </c>
      <c r="CF2408">
        <v>-0.12</v>
      </c>
      <c r="CG2408">
        <v>1.1000000000000001</v>
      </c>
      <c r="CH2408">
        <v>-0.91</v>
      </c>
      <c r="CI2408">
        <v>-0.5</v>
      </c>
      <c r="CJ2408">
        <v>11866</v>
      </c>
      <c r="CK2408">
        <v>12251</v>
      </c>
      <c r="CL2408" t="s">
        <v>4790</v>
      </c>
      <c r="CM2408">
        <v>18.13</v>
      </c>
      <c r="CN2408">
        <v>-18.940000000000001</v>
      </c>
      <c r="CO2408">
        <v>2.67</v>
      </c>
      <c r="CP2408">
        <v>-20.96</v>
      </c>
      <c r="CQ2408">
        <v>2.9</v>
      </c>
      <c r="CR2408">
        <v>0</v>
      </c>
      <c r="CS2408" t="s">
        <v>2516</v>
      </c>
      <c r="CT2408">
        <v>2.4</v>
      </c>
      <c r="CU2408">
        <v>2.4</v>
      </c>
      <c r="CV2408">
        <v>0.66</v>
      </c>
      <c r="CW2408">
        <v>0.37</v>
      </c>
      <c r="CX2408">
        <v>-0.31</v>
      </c>
      <c r="CY2408">
        <v>38.799999999999997</v>
      </c>
      <c r="CZ2408" t="s">
        <v>744</v>
      </c>
      <c r="DA2408">
        <v>4.0999999999999996</v>
      </c>
      <c r="DB2408">
        <v>3.12</v>
      </c>
      <c r="DC2408">
        <v>3.18</v>
      </c>
      <c r="DD2408">
        <v>0</v>
      </c>
      <c r="DE2408">
        <v>332</v>
      </c>
      <c r="DF2408">
        <v>600250</v>
      </c>
      <c r="DG2408" t="s">
        <v>116</v>
      </c>
      <c r="DH2408" t="s">
        <v>116</v>
      </c>
      <c r="DI2408" t="s">
        <v>116</v>
      </c>
    </row>
    <row r="2409" spans="1:113" x14ac:dyDescent="0.4">
      <c r="A2409" t="str">
        <f>"600251"</f>
        <v>600251</v>
      </c>
      <c r="B2409" t="s">
        <v>11195</v>
      </c>
      <c r="C2409">
        <v>0.75</v>
      </c>
      <c r="D2409">
        <v>5.34</v>
      </c>
      <c r="E2409">
        <v>0.04</v>
      </c>
      <c r="F2409">
        <v>5.33</v>
      </c>
      <c r="G2409">
        <v>5.34</v>
      </c>
      <c r="H2409">
        <v>49044</v>
      </c>
      <c r="I2409">
        <v>2048</v>
      </c>
      <c r="J2409">
        <v>0</v>
      </c>
      <c r="K2409">
        <v>0.62</v>
      </c>
      <c r="L2409">
        <v>5.33</v>
      </c>
      <c r="M2409">
        <v>5.42</v>
      </c>
      <c r="N2409">
        <v>5.3</v>
      </c>
      <c r="O2409">
        <v>5.3</v>
      </c>
      <c r="P2409">
        <v>20.45</v>
      </c>
      <c r="Q2409">
        <v>26282094</v>
      </c>
      <c r="R2409">
        <v>1.53</v>
      </c>
      <c r="S2409" t="s">
        <v>449</v>
      </c>
      <c r="T2409" t="s">
        <v>616</v>
      </c>
      <c r="U2409">
        <v>2.2599999999999998</v>
      </c>
      <c r="V2409">
        <v>5.36</v>
      </c>
      <c r="W2409">
        <v>27009</v>
      </c>
      <c r="X2409">
        <v>22035</v>
      </c>
      <c r="Y2409">
        <v>1.23</v>
      </c>
      <c r="Z2409">
        <v>93</v>
      </c>
      <c r="AA2409">
        <v>82</v>
      </c>
      <c r="AB2409" t="s">
        <v>116</v>
      </c>
      <c r="AC2409">
        <v>92200</v>
      </c>
      <c r="AD2409">
        <v>0</v>
      </c>
      <c r="AE2409" t="s">
        <v>116</v>
      </c>
      <c r="AF2409" t="s">
        <v>116</v>
      </c>
      <c r="AG2409">
        <v>7.85</v>
      </c>
      <c r="AH2409" t="s">
        <v>11196</v>
      </c>
      <c r="AI2409" t="s">
        <v>11196</v>
      </c>
      <c r="AJ2409">
        <v>0.83</v>
      </c>
      <c r="AK2409">
        <v>993</v>
      </c>
      <c r="AL2409">
        <v>49</v>
      </c>
      <c r="AM2409">
        <v>5.9999999999999995E-4</v>
      </c>
      <c r="AN2409">
        <v>2</v>
      </c>
      <c r="AO2409">
        <v>0.18</v>
      </c>
      <c r="AP2409">
        <v>0.95</v>
      </c>
      <c r="AQ2409">
        <v>3.49</v>
      </c>
      <c r="AR2409">
        <v>8.3800000000000008</v>
      </c>
      <c r="AS2409">
        <v>1.06</v>
      </c>
      <c r="AT2409" t="s">
        <v>11197</v>
      </c>
      <c r="AU2409">
        <v>35.35</v>
      </c>
      <c r="AV2409">
        <v>44.89</v>
      </c>
      <c r="AW2409">
        <v>0.71</v>
      </c>
      <c r="BA2409">
        <v>0.56999999999999995</v>
      </c>
      <c r="BB2409">
        <v>2.2599999999999998</v>
      </c>
      <c r="BC2409">
        <v>0</v>
      </c>
      <c r="BD2409">
        <v>1.1100000000000001</v>
      </c>
      <c r="BE2409">
        <v>0.19</v>
      </c>
      <c r="BF2409">
        <v>-1.48</v>
      </c>
      <c r="BG2409">
        <v>0.75</v>
      </c>
      <c r="BH2409">
        <v>-0.36</v>
      </c>
      <c r="BI2409">
        <v>20191112</v>
      </c>
      <c r="BJ2409">
        <v>20030609</v>
      </c>
      <c r="BK2409">
        <v>7.85</v>
      </c>
      <c r="BL2409" t="s">
        <v>116</v>
      </c>
      <c r="BM2409" t="s">
        <v>116</v>
      </c>
      <c r="BN2409">
        <v>48.86</v>
      </c>
      <c r="BO2409">
        <v>21.32</v>
      </c>
      <c r="BP2409">
        <v>3.2</v>
      </c>
      <c r="BQ2409">
        <v>49.8</v>
      </c>
      <c r="BR2409">
        <v>29.16</v>
      </c>
      <c r="BS2409">
        <v>8.1300000000000008</v>
      </c>
      <c r="BT2409">
        <v>1.3</v>
      </c>
      <c r="BU2409">
        <v>23.85</v>
      </c>
      <c r="BV2409">
        <v>11.75</v>
      </c>
      <c r="BW2409">
        <v>2.16</v>
      </c>
      <c r="BX2409">
        <v>3.66</v>
      </c>
      <c r="BY2409">
        <v>23.67</v>
      </c>
      <c r="BZ2409">
        <v>21.77</v>
      </c>
      <c r="CA2409">
        <v>1.46</v>
      </c>
      <c r="CB2409">
        <v>1.76</v>
      </c>
      <c r="CC2409">
        <v>1.46</v>
      </c>
      <c r="CD2409">
        <v>1.42</v>
      </c>
      <c r="CE2409">
        <v>1.54</v>
      </c>
      <c r="CF2409">
        <v>1.29</v>
      </c>
      <c r="CG2409">
        <v>8.69</v>
      </c>
      <c r="CH2409">
        <v>10.67</v>
      </c>
      <c r="CI2409">
        <v>-4.3499999999999996</v>
      </c>
      <c r="CJ2409">
        <v>43722</v>
      </c>
      <c r="CK2409">
        <v>10610</v>
      </c>
      <c r="CL2409" t="s">
        <v>2880</v>
      </c>
      <c r="CM2409">
        <v>19.600000000000001</v>
      </c>
      <c r="CN2409">
        <v>41.59</v>
      </c>
      <c r="CO2409">
        <v>1.97</v>
      </c>
      <c r="CP2409">
        <v>3.93</v>
      </c>
      <c r="CQ2409">
        <v>1.77</v>
      </c>
      <c r="CR2409">
        <v>0.24</v>
      </c>
      <c r="CS2409" t="s">
        <v>8761</v>
      </c>
      <c r="CT2409">
        <v>2.72</v>
      </c>
      <c r="CU2409">
        <v>0</v>
      </c>
      <c r="CV2409">
        <v>0.47</v>
      </c>
      <c r="CW2409">
        <v>1.1100000000000001</v>
      </c>
      <c r="CX2409">
        <v>1.36</v>
      </c>
      <c r="CY2409">
        <v>43.65</v>
      </c>
      <c r="CZ2409" t="s">
        <v>7828</v>
      </c>
      <c r="DA2409">
        <v>8.0399999999999991</v>
      </c>
      <c r="DB2409">
        <v>6.15</v>
      </c>
      <c r="DC2409">
        <v>6.49</v>
      </c>
      <c r="DD2409">
        <v>0.01</v>
      </c>
      <c r="DE2409">
        <v>796</v>
      </c>
      <c r="DF2409">
        <v>600251</v>
      </c>
      <c r="DG2409" t="s">
        <v>116</v>
      </c>
      <c r="DH2409" t="s">
        <v>116</v>
      </c>
      <c r="DI2409" t="s">
        <v>116</v>
      </c>
    </row>
    <row r="2410" spans="1:113" x14ac:dyDescent="0.4">
      <c r="A2410" t="str">
        <f>"600252"</f>
        <v>600252</v>
      </c>
      <c r="B2410" t="s">
        <v>11198</v>
      </c>
      <c r="C2410">
        <v>-0.32</v>
      </c>
      <c r="D2410">
        <v>3.16</v>
      </c>
      <c r="E2410">
        <v>-0.01</v>
      </c>
      <c r="F2410">
        <v>3.16</v>
      </c>
      <c r="G2410">
        <v>3.17</v>
      </c>
      <c r="H2410">
        <v>248606</v>
      </c>
      <c r="I2410">
        <v>1446</v>
      </c>
      <c r="J2410">
        <v>0</v>
      </c>
      <c r="K2410">
        <v>0.72</v>
      </c>
      <c r="L2410">
        <v>3.16</v>
      </c>
      <c r="M2410">
        <v>3.2</v>
      </c>
      <c r="N2410">
        <v>3.15</v>
      </c>
      <c r="O2410">
        <v>3.17</v>
      </c>
      <c r="P2410">
        <v>14.27</v>
      </c>
      <c r="Q2410">
        <v>78960456</v>
      </c>
      <c r="R2410">
        <v>0.93</v>
      </c>
      <c r="S2410" t="s">
        <v>781</v>
      </c>
      <c r="T2410" t="s">
        <v>982</v>
      </c>
      <c r="U2410">
        <v>1.58</v>
      </c>
      <c r="V2410">
        <v>3.18</v>
      </c>
      <c r="W2410">
        <v>152093</v>
      </c>
      <c r="X2410">
        <v>96514</v>
      </c>
      <c r="Y2410">
        <v>1.58</v>
      </c>
      <c r="Z2410">
        <v>1640</v>
      </c>
      <c r="AA2410">
        <v>1178</v>
      </c>
      <c r="AB2410" t="s">
        <v>116</v>
      </c>
      <c r="AC2410">
        <v>125100</v>
      </c>
      <c r="AD2410">
        <v>0</v>
      </c>
      <c r="AE2410" t="s">
        <v>116</v>
      </c>
      <c r="AF2410" t="s">
        <v>116</v>
      </c>
      <c r="AG2410">
        <v>34.75</v>
      </c>
      <c r="AH2410" t="s">
        <v>11199</v>
      </c>
      <c r="AI2410" t="s">
        <v>11199</v>
      </c>
      <c r="AJ2410">
        <v>-0.24</v>
      </c>
      <c r="AK2410">
        <v>2313</v>
      </c>
      <c r="AL2410">
        <v>107</v>
      </c>
      <c r="AM2410">
        <v>2.9999999999999997E-4</v>
      </c>
      <c r="AN2410">
        <v>-3</v>
      </c>
      <c r="AO2410">
        <v>-2.1800000000000002</v>
      </c>
      <c r="AP2410">
        <v>8.2200000000000006</v>
      </c>
      <c r="AQ2410">
        <v>9.7200000000000006</v>
      </c>
      <c r="AR2410">
        <v>25.9</v>
      </c>
      <c r="AS2410">
        <v>0.96</v>
      </c>
      <c r="AT2410" t="s">
        <v>9023</v>
      </c>
      <c r="AU2410">
        <v>15.41</v>
      </c>
      <c r="AV2410">
        <v>17.899999999999999</v>
      </c>
      <c r="AW2410">
        <v>1.18</v>
      </c>
      <c r="BA2410">
        <v>-0.32</v>
      </c>
      <c r="BB2410">
        <v>0.95</v>
      </c>
      <c r="BC2410">
        <v>-0.63</v>
      </c>
      <c r="BD2410">
        <v>0.19</v>
      </c>
      <c r="BE2410">
        <v>0</v>
      </c>
      <c r="BF2410">
        <v>-1.25</v>
      </c>
      <c r="BG2410">
        <v>0.32</v>
      </c>
      <c r="BH2410">
        <v>-0.51</v>
      </c>
      <c r="BI2410">
        <v>20191026</v>
      </c>
      <c r="BJ2410">
        <v>20001130</v>
      </c>
      <c r="BK2410">
        <v>34.75</v>
      </c>
      <c r="BL2410" t="s">
        <v>116</v>
      </c>
      <c r="BM2410" t="s">
        <v>116</v>
      </c>
      <c r="BN2410">
        <v>77.22</v>
      </c>
      <c r="BO2410">
        <v>62.45</v>
      </c>
      <c r="BP2410">
        <v>0.04</v>
      </c>
      <c r="BQ2410">
        <v>19.079999999999998</v>
      </c>
      <c r="BR2410">
        <v>38.840000000000003</v>
      </c>
      <c r="BS2410">
        <v>12.72</v>
      </c>
      <c r="BT2410">
        <v>3.51</v>
      </c>
      <c r="BU2410">
        <v>12.83</v>
      </c>
      <c r="BV2410">
        <v>4.01</v>
      </c>
      <c r="BW2410">
        <v>2.9</v>
      </c>
      <c r="BX2410">
        <v>0.86</v>
      </c>
      <c r="BY2410">
        <v>27.52</v>
      </c>
      <c r="BZ2410">
        <v>3.13</v>
      </c>
      <c r="CA2410">
        <v>6.97</v>
      </c>
      <c r="CB2410">
        <v>1.06</v>
      </c>
      <c r="CC2410">
        <v>6.94</v>
      </c>
      <c r="CD2410">
        <v>5.77</v>
      </c>
      <c r="CE2410">
        <v>5.77</v>
      </c>
      <c r="CF2410">
        <v>4.82</v>
      </c>
      <c r="CG2410">
        <v>21.53</v>
      </c>
      <c r="CH2410">
        <v>6.4</v>
      </c>
      <c r="CI2410">
        <v>5.75</v>
      </c>
      <c r="CJ2410">
        <v>136687</v>
      </c>
      <c r="CK2410">
        <v>18954</v>
      </c>
      <c r="CL2410" t="s">
        <v>3973</v>
      </c>
      <c r="CM2410">
        <v>20.81</v>
      </c>
      <c r="CN2410">
        <v>11.77</v>
      </c>
      <c r="CO2410">
        <v>1.76</v>
      </c>
      <c r="CP2410">
        <v>17.149999999999999</v>
      </c>
      <c r="CQ2410">
        <v>3.99</v>
      </c>
      <c r="CR2410">
        <v>1.9</v>
      </c>
      <c r="CS2410" t="s">
        <v>1297</v>
      </c>
      <c r="CT2410">
        <v>1.8</v>
      </c>
      <c r="CU2410">
        <v>0</v>
      </c>
      <c r="CV2410">
        <v>0.02</v>
      </c>
      <c r="CW2410">
        <v>0.62</v>
      </c>
      <c r="CX2410">
        <v>0.18</v>
      </c>
      <c r="CY2410">
        <v>80.87</v>
      </c>
      <c r="CZ2410" t="s">
        <v>11200</v>
      </c>
      <c r="DA2410">
        <v>88.62</v>
      </c>
      <c r="DB2410">
        <v>25.33</v>
      </c>
      <c r="DC2410">
        <v>20.97</v>
      </c>
      <c r="DD2410">
        <v>0.48</v>
      </c>
      <c r="DE2410">
        <v>2434</v>
      </c>
      <c r="DF2410">
        <v>600252</v>
      </c>
      <c r="DG2410" t="s">
        <v>116</v>
      </c>
      <c r="DH2410" t="s">
        <v>116</v>
      </c>
      <c r="DI2410" t="s">
        <v>116</v>
      </c>
    </row>
    <row r="2411" spans="1:113" x14ac:dyDescent="0.4">
      <c r="A2411" t="str">
        <f>"600255"</f>
        <v>600255</v>
      </c>
      <c r="B2411" t="s">
        <v>11201</v>
      </c>
      <c r="C2411">
        <v>0.64</v>
      </c>
      <c r="D2411">
        <v>1.58</v>
      </c>
      <c r="E2411">
        <v>0.01</v>
      </c>
      <c r="F2411">
        <v>1.58</v>
      </c>
      <c r="G2411">
        <v>1.59</v>
      </c>
      <c r="H2411">
        <v>351032</v>
      </c>
      <c r="I2411">
        <v>2750</v>
      </c>
      <c r="J2411">
        <v>0</v>
      </c>
      <c r="K2411">
        <v>1.98</v>
      </c>
      <c r="L2411">
        <v>1.57</v>
      </c>
      <c r="M2411">
        <v>1.62</v>
      </c>
      <c r="N2411">
        <v>1.56</v>
      </c>
      <c r="O2411">
        <v>1.57</v>
      </c>
      <c r="P2411" t="s">
        <v>116</v>
      </c>
      <c r="Q2411">
        <v>55796560</v>
      </c>
      <c r="R2411">
        <v>1.86</v>
      </c>
      <c r="S2411" t="s">
        <v>1517</v>
      </c>
      <c r="T2411" t="s">
        <v>575</v>
      </c>
      <c r="U2411">
        <v>3.82</v>
      </c>
      <c r="V2411">
        <v>1.59</v>
      </c>
      <c r="W2411">
        <v>107648</v>
      </c>
      <c r="X2411">
        <v>243384</v>
      </c>
      <c r="Y2411">
        <v>0.44</v>
      </c>
      <c r="Z2411">
        <v>3</v>
      </c>
      <c r="AA2411">
        <v>10195</v>
      </c>
      <c r="AB2411" t="s">
        <v>116</v>
      </c>
      <c r="AC2411">
        <v>66300</v>
      </c>
      <c r="AD2411">
        <v>0</v>
      </c>
      <c r="AE2411" t="s">
        <v>116</v>
      </c>
      <c r="AF2411" t="s">
        <v>116</v>
      </c>
      <c r="AG2411">
        <v>17.7</v>
      </c>
      <c r="AH2411" t="s">
        <v>2054</v>
      </c>
      <c r="AI2411" t="s">
        <v>2054</v>
      </c>
      <c r="AJ2411">
        <v>0.71</v>
      </c>
      <c r="AK2411">
        <v>1656</v>
      </c>
      <c r="AL2411">
        <v>212</v>
      </c>
      <c r="AM2411">
        <v>1.1999999999999999E-3</v>
      </c>
      <c r="AN2411">
        <v>2</v>
      </c>
      <c r="AO2411">
        <v>0.64</v>
      </c>
      <c r="AP2411">
        <v>3.95</v>
      </c>
      <c r="AQ2411">
        <v>-2.4700000000000002</v>
      </c>
      <c r="AR2411">
        <v>-12.22</v>
      </c>
      <c r="AS2411">
        <v>2.2400000000000002</v>
      </c>
      <c r="AT2411" t="s">
        <v>6193</v>
      </c>
      <c r="AU2411" t="s">
        <v>116</v>
      </c>
      <c r="AV2411" t="s">
        <v>116</v>
      </c>
      <c r="AW2411">
        <v>1.29</v>
      </c>
      <c r="BA2411">
        <v>0</v>
      </c>
      <c r="BB2411">
        <v>3.18</v>
      </c>
      <c r="BC2411">
        <v>-0.64</v>
      </c>
      <c r="BD2411">
        <v>1.24</v>
      </c>
      <c r="BE2411">
        <v>0.64</v>
      </c>
      <c r="BF2411">
        <v>-2.4700000000000002</v>
      </c>
      <c r="BG2411">
        <v>1.28</v>
      </c>
      <c r="BH2411">
        <v>-0.61</v>
      </c>
      <c r="BI2411">
        <v>20191026</v>
      </c>
      <c r="BJ2411">
        <v>20001122</v>
      </c>
      <c r="BK2411">
        <v>17.7</v>
      </c>
      <c r="BL2411" t="s">
        <v>116</v>
      </c>
      <c r="BM2411" t="s">
        <v>116</v>
      </c>
      <c r="BN2411">
        <v>40.659999999999997</v>
      </c>
      <c r="BO2411">
        <v>21.59</v>
      </c>
      <c r="BP2411">
        <v>2.59</v>
      </c>
      <c r="BQ2411">
        <v>40.549999999999997</v>
      </c>
      <c r="BR2411">
        <v>20.28</v>
      </c>
      <c r="BS2411">
        <v>10.79</v>
      </c>
      <c r="BT2411">
        <v>0.43</v>
      </c>
      <c r="BU2411">
        <v>15.94</v>
      </c>
      <c r="BV2411">
        <v>4.87</v>
      </c>
      <c r="BW2411">
        <v>6.45</v>
      </c>
      <c r="BX2411">
        <v>11.59</v>
      </c>
      <c r="BY2411">
        <v>27.77</v>
      </c>
      <c r="BZ2411">
        <v>25.84</v>
      </c>
      <c r="CA2411">
        <v>-0.25</v>
      </c>
      <c r="CB2411">
        <v>0.01</v>
      </c>
      <c r="CC2411">
        <v>-0.21</v>
      </c>
      <c r="CD2411">
        <v>-0.35</v>
      </c>
      <c r="CE2411">
        <v>-0.57999999999999996</v>
      </c>
      <c r="CF2411">
        <v>-0.66</v>
      </c>
      <c r="CG2411">
        <v>-8.36</v>
      </c>
      <c r="CH2411">
        <v>1.65</v>
      </c>
      <c r="CI2411">
        <v>-0.55000000000000004</v>
      </c>
      <c r="CJ2411">
        <v>154795</v>
      </c>
      <c r="CK2411">
        <v>10104</v>
      </c>
      <c r="CL2411" t="s">
        <v>11202</v>
      </c>
      <c r="CM2411">
        <v>-239.42</v>
      </c>
      <c r="CN2411">
        <v>-35.36</v>
      </c>
      <c r="CO2411">
        <v>1.3</v>
      </c>
      <c r="CP2411">
        <v>16.989999999999998</v>
      </c>
      <c r="CQ2411">
        <v>1.01</v>
      </c>
      <c r="CR2411">
        <v>0</v>
      </c>
      <c r="CS2411" t="s">
        <v>4281</v>
      </c>
      <c r="CT2411">
        <v>1.22</v>
      </c>
      <c r="CU2411">
        <v>0</v>
      </c>
      <c r="CV2411">
        <v>0.66</v>
      </c>
      <c r="CW2411">
        <v>-0.47</v>
      </c>
      <c r="CX2411">
        <v>0.09</v>
      </c>
      <c r="CY2411">
        <v>53.08</v>
      </c>
      <c r="CZ2411" t="s">
        <v>11203</v>
      </c>
      <c r="DA2411">
        <v>6.95</v>
      </c>
      <c r="DB2411">
        <v>-0.88</v>
      </c>
      <c r="DC2411">
        <v>-2.1</v>
      </c>
      <c r="DD2411">
        <v>0.56000000000000005</v>
      </c>
      <c r="DE2411">
        <v>1851</v>
      </c>
      <c r="DF2411">
        <v>600255</v>
      </c>
      <c r="DG2411" t="s">
        <v>116</v>
      </c>
      <c r="DH2411" t="s">
        <v>116</v>
      </c>
      <c r="DI2411" t="s">
        <v>116</v>
      </c>
    </row>
    <row r="2412" spans="1:113" x14ac:dyDescent="0.4">
      <c r="A2412" t="str">
        <f>"600256"</f>
        <v>600256</v>
      </c>
      <c r="B2412" t="s">
        <v>11204</v>
      </c>
      <c r="C2412">
        <v>0</v>
      </c>
      <c r="D2412">
        <v>3.28</v>
      </c>
      <c r="E2412">
        <v>0</v>
      </c>
      <c r="F2412">
        <v>3.28</v>
      </c>
      <c r="G2412">
        <v>3.29</v>
      </c>
      <c r="H2412">
        <v>209234</v>
      </c>
      <c r="I2412">
        <v>928</v>
      </c>
      <c r="J2412">
        <v>0</v>
      </c>
      <c r="K2412">
        <v>0.31</v>
      </c>
      <c r="L2412">
        <v>3.28</v>
      </c>
      <c r="M2412">
        <v>3.31</v>
      </c>
      <c r="N2412">
        <v>3.27</v>
      </c>
      <c r="O2412">
        <v>3.28</v>
      </c>
      <c r="P2412">
        <v>14</v>
      </c>
      <c r="Q2412">
        <v>68879008</v>
      </c>
      <c r="R2412">
        <v>1.26</v>
      </c>
      <c r="S2412" t="s">
        <v>4171</v>
      </c>
      <c r="T2412" t="s">
        <v>616</v>
      </c>
      <c r="U2412">
        <v>1.22</v>
      </c>
      <c r="V2412">
        <v>3.29</v>
      </c>
      <c r="W2412">
        <v>116185</v>
      </c>
      <c r="X2412">
        <v>93049</v>
      </c>
      <c r="Y2412">
        <v>1.25</v>
      </c>
      <c r="Z2412">
        <v>7895</v>
      </c>
      <c r="AA2412">
        <v>3147</v>
      </c>
      <c r="AB2412" t="s">
        <v>116</v>
      </c>
      <c r="AC2412">
        <v>221700</v>
      </c>
      <c r="AD2412">
        <v>0</v>
      </c>
      <c r="AE2412" t="s">
        <v>116</v>
      </c>
      <c r="AF2412" t="s">
        <v>116</v>
      </c>
      <c r="AG2412">
        <v>67.37</v>
      </c>
      <c r="AH2412" t="s">
        <v>11205</v>
      </c>
      <c r="AI2412" t="s">
        <v>11206</v>
      </c>
      <c r="AJ2412">
        <v>0.08</v>
      </c>
      <c r="AK2412">
        <v>1615</v>
      </c>
      <c r="AL2412">
        <v>130</v>
      </c>
      <c r="AM2412">
        <v>2.0000000000000001E-4</v>
      </c>
      <c r="AN2412">
        <v>0</v>
      </c>
      <c r="AO2412">
        <v>0</v>
      </c>
      <c r="AP2412">
        <v>0.92</v>
      </c>
      <c r="AQ2412">
        <v>-0.91</v>
      </c>
      <c r="AR2412">
        <v>-10.38</v>
      </c>
      <c r="AS2412">
        <v>0.56000000000000005</v>
      </c>
      <c r="AT2412" t="s">
        <v>11207</v>
      </c>
      <c r="AU2412">
        <v>14.13</v>
      </c>
      <c r="AV2412">
        <v>12.78</v>
      </c>
      <c r="AW2412">
        <v>0.89</v>
      </c>
      <c r="BA2412">
        <v>0</v>
      </c>
      <c r="BB2412">
        <v>0.91</v>
      </c>
      <c r="BC2412">
        <v>-0.3</v>
      </c>
      <c r="BD2412">
        <v>0.36</v>
      </c>
      <c r="BE2412">
        <v>0</v>
      </c>
      <c r="BF2412">
        <v>-0.91</v>
      </c>
      <c r="BG2412">
        <v>0.31</v>
      </c>
      <c r="BH2412">
        <v>-0.36</v>
      </c>
      <c r="BI2412">
        <v>20191216</v>
      </c>
      <c r="BJ2412">
        <v>20000526</v>
      </c>
      <c r="BK2412">
        <v>67.94</v>
      </c>
      <c r="BL2412" t="s">
        <v>116</v>
      </c>
      <c r="BM2412" t="s">
        <v>116</v>
      </c>
      <c r="BN2412">
        <v>502.13</v>
      </c>
      <c r="BO2412">
        <v>155.72999999999999</v>
      </c>
      <c r="BP2412">
        <v>19.940000000000001</v>
      </c>
      <c r="BQ2412">
        <v>65.02</v>
      </c>
      <c r="BR2412">
        <v>59.29</v>
      </c>
      <c r="BS2412">
        <v>174.65</v>
      </c>
      <c r="BT2412">
        <v>18.77</v>
      </c>
      <c r="BU2412">
        <v>183.82</v>
      </c>
      <c r="BV2412">
        <v>8.3800000000000008</v>
      </c>
      <c r="BW2412">
        <v>4.88</v>
      </c>
      <c r="BX2412">
        <v>13.07</v>
      </c>
      <c r="BY2412">
        <v>98.35</v>
      </c>
      <c r="BZ2412">
        <v>69.099999999999994</v>
      </c>
      <c r="CA2412">
        <v>13.74</v>
      </c>
      <c r="CB2412">
        <v>-0.09</v>
      </c>
      <c r="CC2412">
        <v>13.28</v>
      </c>
      <c r="CD2412">
        <v>11.02</v>
      </c>
      <c r="CE2412">
        <v>11.94</v>
      </c>
      <c r="CF2412">
        <v>12.14</v>
      </c>
      <c r="CG2412">
        <v>64.510000000000005</v>
      </c>
      <c r="CH2412">
        <v>24.78</v>
      </c>
      <c r="CI2412">
        <v>1.56</v>
      </c>
      <c r="CJ2412">
        <v>168972</v>
      </c>
      <c r="CK2412">
        <v>22226</v>
      </c>
      <c r="CL2412" t="s">
        <v>957</v>
      </c>
      <c r="CM2412">
        <v>-12.27</v>
      </c>
      <c r="CN2412">
        <v>5.81</v>
      </c>
      <c r="CO2412">
        <v>1.43</v>
      </c>
      <c r="CP2412">
        <v>8.99</v>
      </c>
      <c r="CQ2412">
        <v>2.27</v>
      </c>
      <c r="CR2412">
        <v>3.05</v>
      </c>
      <c r="CS2412" t="s">
        <v>586</v>
      </c>
      <c r="CT2412">
        <v>2.29</v>
      </c>
      <c r="CU2412">
        <v>0</v>
      </c>
      <c r="CV2412">
        <v>0.19</v>
      </c>
      <c r="CW2412">
        <v>0.95</v>
      </c>
      <c r="CX2412">
        <v>0.36</v>
      </c>
      <c r="CY2412">
        <v>31.01</v>
      </c>
      <c r="CZ2412" t="s">
        <v>6943</v>
      </c>
      <c r="DA2412">
        <v>29.74</v>
      </c>
      <c r="DB2412">
        <v>13.97</v>
      </c>
      <c r="DC2412">
        <v>12.14</v>
      </c>
      <c r="DD2412">
        <v>0</v>
      </c>
      <c r="DE2412">
        <v>5738</v>
      </c>
      <c r="DF2412">
        <v>600256</v>
      </c>
      <c r="DG2412" t="s">
        <v>116</v>
      </c>
      <c r="DH2412" t="s">
        <v>116</v>
      </c>
      <c r="DI2412" t="s">
        <v>116</v>
      </c>
    </row>
    <row r="2413" spans="1:113" x14ac:dyDescent="0.4">
      <c r="A2413" t="str">
        <f>"600257"</f>
        <v>600257</v>
      </c>
      <c r="B2413" t="s">
        <v>11208</v>
      </c>
      <c r="C2413">
        <v>-0.7</v>
      </c>
      <c r="D2413">
        <v>4.25</v>
      </c>
      <c r="E2413">
        <v>-0.03</v>
      </c>
      <c r="F2413">
        <v>4.25</v>
      </c>
      <c r="G2413">
        <v>4.2699999999999996</v>
      </c>
      <c r="H2413">
        <v>32953</v>
      </c>
      <c r="I2413">
        <v>280</v>
      </c>
      <c r="J2413">
        <v>-0.22</v>
      </c>
      <c r="K2413">
        <v>0.68</v>
      </c>
      <c r="L2413">
        <v>4.28</v>
      </c>
      <c r="M2413">
        <v>4.3</v>
      </c>
      <c r="N2413">
        <v>4.25</v>
      </c>
      <c r="O2413">
        <v>4.28</v>
      </c>
      <c r="P2413">
        <v>288.77</v>
      </c>
      <c r="Q2413">
        <v>14094093</v>
      </c>
      <c r="R2413">
        <v>0.85</v>
      </c>
      <c r="S2413" t="s">
        <v>2216</v>
      </c>
      <c r="T2413" t="s">
        <v>599</v>
      </c>
      <c r="U2413">
        <v>1.17</v>
      </c>
      <c r="V2413">
        <v>4.28</v>
      </c>
      <c r="W2413">
        <v>20753</v>
      </c>
      <c r="X2413">
        <v>12200</v>
      </c>
      <c r="Y2413">
        <v>1.7</v>
      </c>
      <c r="Z2413">
        <v>1284</v>
      </c>
      <c r="AA2413">
        <v>110</v>
      </c>
      <c r="AB2413" t="s">
        <v>116</v>
      </c>
      <c r="AC2413">
        <v>91600</v>
      </c>
      <c r="AD2413">
        <v>0.01</v>
      </c>
      <c r="AE2413" t="s">
        <v>116</v>
      </c>
      <c r="AF2413" t="s">
        <v>116</v>
      </c>
      <c r="AG2413">
        <v>4.8099999999999996</v>
      </c>
      <c r="AH2413" t="s">
        <v>1461</v>
      </c>
      <c r="AI2413" t="s">
        <v>1461</v>
      </c>
      <c r="AJ2413">
        <v>-0.62</v>
      </c>
      <c r="AK2413">
        <v>458</v>
      </c>
      <c r="AL2413">
        <v>72</v>
      </c>
      <c r="AM2413">
        <v>1.5E-3</v>
      </c>
      <c r="AN2413">
        <v>-1</v>
      </c>
      <c r="AO2413">
        <v>-1.4</v>
      </c>
      <c r="AP2413">
        <v>4.17</v>
      </c>
      <c r="AQ2413">
        <v>2.91</v>
      </c>
      <c r="AR2413">
        <v>1.67</v>
      </c>
      <c r="AS2413">
        <v>0.87</v>
      </c>
      <c r="AT2413" t="s">
        <v>11209</v>
      </c>
      <c r="AU2413">
        <v>2314.23</v>
      </c>
      <c r="AV2413">
        <v>115.81</v>
      </c>
      <c r="AW2413">
        <v>1.17</v>
      </c>
      <c r="BA2413">
        <v>0</v>
      </c>
      <c r="BB2413">
        <v>0.47</v>
      </c>
      <c r="BC2413">
        <v>-0.7</v>
      </c>
      <c r="BD2413">
        <v>-7.0000000000000007E-2</v>
      </c>
      <c r="BE2413">
        <v>-0.7</v>
      </c>
      <c r="BF2413">
        <v>-1.1599999999999999</v>
      </c>
      <c r="BG2413">
        <v>0</v>
      </c>
      <c r="BH2413">
        <v>-0.63</v>
      </c>
      <c r="BI2413">
        <v>20191029</v>
      </c>
      <c r="BJ2413">
        <v>20000612</v>
      </c>
      <c r="BK2413">
        <v>4.8099999999999996</v>
      </c>
      <c r="BL2413" t="s">
        <v>116</v>
      </c>
      <c r="BM2413" t="s">
        <v>116</v>
      </c>
      <c r="BN2413">
        <v>17.88</v>
      </c>
      <c r="BO2413">
        <v>13.07</v>
      </c>
      <c r="BP2413">
        <v>0.56000000000000005</v>
      </c>
      <c r="BQ2413">
        <v>23.78</v>
      </c>
      <c r="BR2413">
        <v>11.25</v>
      </c>
      <c r="BS2413">
        <v>2.0699999999999998</v>
      </c>
      <c r="BT2413">
        <v>2.5499999999999998</v>
      </c>
      <c r="BU2413">
        <v>3.62</v>
      </c>
      <c r="BV2413">
        <v>5.66</v>
      </c>
      <c r="BW2413">
        <v>1.18</v>
      </c>
      <c r="BX2413">
        <v>6</v>
      </c>
      <c r="BY2413">
        <v>7.94</v>
      </c>
      <c r="BZ2413">
        <v>6.29</v>
      </c>
      <c r="CA2413">
        <v>0.08</v>
      </c>
      <c r="CB2413">
        <v>0.1</v>
      </c>
      <c r="CC2413">
        <v>0.05</v>
      </c>
      <c r="CD2413">
        <v>0.05</v>
      </c>
      <c r="CE2413">
        <v>0.05</v>
      </c>
      <c r="CF2413">
        <v>-0.06</v>
      </c>
      <c r="CG2413">
        <v>1.82</v>
      </c>
      <c r="CH2413">
        <v>-0.56000000000000005</v>
      </c>
      <c r="CI2413">
        <v>-0.52</v>
      </c>
      <c r="CJ2413">
        <v>31955</v>
      </c>
      <c r="CK2413">
        <v>11786</v>
      </c>
      <c r="CL2413" t="s">
        <v>3552</v>
      </c>
      <c r="CM2413">
        <v>-75.95</v>
      </c>
      <c r="CN2413">
        <v>10.97</v>
      </c>
      <c r="CO2413">
        <v>1.57</v>
      </c>
      <c r="CP2413">
        <v>-36.29</v>
      </c>
      <c r="CQ2413">
        <v>2.58</v>
      </c>
      <c r="CR2413">
        <v>0</v>
      </c>
      <c r="CS2413" t="s">
        <v>3700</v>
      </c>
      <c r="CT2413">
        <v>2.72</v>
      </c>
      <c r="CU2413">
        <v>0</v>
      </c>
      <c r="CV2413">
        <v>1.25</v>
      </c>
      <c r="CW2413">
        <v>0.38</v>
      </c>
      <c r="CX2413">
        <v>-0.12</v>
      </c>
      <c r="CY2413">
        <v>73.099999999999994</v>
      </c>
      <c r="CZ2413" t="s">
        <v>8261</v>
      </c>
      <c r="DA2413">
        <v>20.72</v>
      </c>
      <c r="DB2413">
        <v>1.04</v>
      </c>
      <c r="DC2413">
        <v>0.67</v>
      </c>
      <c r="DD2413">
        <v>0.02</v>
      </c>
      <c r="DE2413">
        <v>1303</v>
      </c>
      <c r="DF2413">
        <v>600257</v>
      </c>
      <c r="DG2413" t="s">
        <v>116</v>
      </c>
      <c r="DH2413" t="s">
        <v>116</v>
      </c>
      <c r="DI2413" t="s">
        <v>116</v>
      </c>
    </row>
    <row r="2414" spans="1:113" x14ac:dyDescent="0.4">
      <c r="A2414" t="str">
        <f>"600258"</f>
        <v>600258</v>
      </c>
      <c r="B2414" t="s">
        <v>11210</v>
      </c>
      <c r="C2414">
        <v>-0.28999999999999998</v>
      </c>
      <c r="D2414">
        <v>20.91</v>
      </c>
      <c r="E2414">
        <v>-0.06</v>
      </c>
      <c r="F2414">
        <v>20.9</v>
      </c>
      <c r="G2414">
        <v>20.91</v>
      </c>
      <c r="H2414">
        <v>67412</v>
      </c>
      <c r="I2414">
        <v>641</v>
      </c>
      <c r="J2414">
        <v>0.14000000000000001</v>
      </c>
      <c r="K2414">
        <v>0.69</v>
      </c>
      <c r="L2414">
        <v>20.96</v>
      </c>
      <c r="M2414">
        <v>21.23</v>
      </c>
      <c r="N2414">
        <v>20.66</v>
      </c>
      <c r="O2414">
        <v>20.97</v>
      </c>
      <c r="P2414">
        <v>21.54</v>
      </c>
      <c r="Q2414">
        <v>141262880</v>
      </c>
      <c r="R2414">
        <v>0.6</v>
      </c>
      <c r="S2414" t="s">
        <v>156</v>
      </c>
      <c r="T2414" t="s">
        <v>165</v>
      </c>
      <c r="U2414">
        <v>2.72</v>
      </c>
      <c r="V2414">
        <v>20.96</v>
      </c>
      <c r="W2414">
        <v>39208</v>
      </c>
      <c r="X2414">
        <v>28204</v>
      </c>
      <c r="Y2414">
        <v>1.39</v>
      </c>
      <c r="Z2414">
        <v>13</v>
      </c>
      <c r="AA2414">
        <v>13</v>
      </c>
      <c r="AB2414" t="s">
        <v>116</v>
      </c>
      <c r="AC2414">
        <v>384800</v>
      </c>
      <c r="AD2414">
        <v>0</v>
      </c>
      <c r="AE2414" t="s">
        <v>116</v>
      </c>
      <c r="AF2414" t="s">
        <v>116</v>
      </c>
      <c r="AG2414">
        <v>9.7899999999999991</v>
      </c>
      <c r="AH2414" t="s">
        <v>11211</v>
      </c>
      <c r="AI2414" t="s">
        <v>11212</v>
      </c>
      <c r="AJ2414">
        <v>-0.21</v>
      </c>
      <c r="AK2414">
        <v>3240</v>
      </c>
      <c r="AL2414">
        <v>21</v>
      </c>
      <c r="AM2414">
        <v>2.0000000000000001E-4</v>
      </c>
      <c r="AN2414">
        <v>-2</v>
      </c>
      <c r="AO2414">
        <v>0.1</v>
      </c>
      <c r="AP2414">
        <v>17.600000000000001</v>
      </c>
      <c r="AQ2414">
        <v>23.07</v>
      </c>
      <c r="AR2414">
        <v>31.92</v>
      </c>
      <c r="AS2414">
        <v>1.36</v>
      </c>
      <c r="AT2414" t="s">
        <v>11213</v>
      </c>
      <c r="AU2414">
        <v>26.66</v>
      </c>
      <c r="AV2414">
        <v>24.1</v>
      </c>
      <c r="AW2414">
        <v>1.71</v>
      </c>
      <c r="BA2414">
        <v>-0.05</v>
      </c>
      <c r="BB2414">
        <v>1.24</v>
      </c>
      <c r="BC2414">
        <v>-1.48</v>
      </c>
      <c r="BD2414">
        <v>-7.0000000000000007E-2</v>
      </c>
      <c r="BE2414">
        <v>-0.24</v>
      </c>
      <c r="BF2414">
        <v>-1.51</v>
      </c>
      <c r="BG2414">
        <v>1.21</v>
      </c>
      <c r="BH2414">
        <v>-0.22</v>
      </c>
      <c r="BI2414">
        <v>20191206</v>
      </c>
      <c r="BJ2414">
        <v>20000601</v>
      </c>
      <c r="BK2414">
        <v>9.8800000000000008</v>
      </c>
      <c r="BL2414" t="s">
        <v>116</v>
      </c>
      <c r="BM2414" t="s">
        <v>116</v>
      </c>
      <c r="BN2414">
        <v>170.73</v>
      </c>
      <c r="BO2414">
        <v>87.75</v>
      </c>
      <c r="BP2414">
        <v>3.53</v>
      </c>
      <c r="BQ2414">
        <v>46.54</v>
      </c>
      <c r="BR2414">
        <v>25.77</v>
      </c>
      <c r="BS2414">
        <v>23.67</v>
      </c>
      <c r="BT2414">
        <v>38.15</v>
      </c>
      <c r="BU2414">
        <v>35.32</v>
      </c>
      <c r="BV2414">
        <v>0.5</v>
      </c>
      <c r="BW2414">
        <v>2.29</v>
      </c>
      <c r="BX2414">
        <v>48.21</v>
      </c>
      <c r="BY2414">
        <v>62.31</v>
      </c>
      <c r="BZ2414">
        <v>3.88</v>
      </c>
      <c r="CA2414">
        <v>10.39</v>
      </c>
      <c r="CB2414">
        <v>0.3</v>
      </c>
      <c r="CC2414">
        <v>10.37</v>
      </c>
      <c r="CD2414">
        <v>7.47</v>
      </c>
      <c r="CE2414">
        <v>7.19</v>
      </c>
      <c r="CF2414">
        <v>6.89</v>
      </c>
      <c r="CG2414">
        <v>28.43</v>
      </c>
      <c r="CH2414">
        <v>14.16</v>
      </c>
      <c r="CI2414">
        <v>5.27</v>
      </c>
      <c r="CJ2414">
        <v>26455</v>
      </c>
      <c r="CK2414">
        <v>18717</v>
      </c>
      <c r="CL2414" t="s">
        <v>11214</v>
      </c>
      <c r="CM2414">
        <v>-10.27</v>
      </c>
      <c r="CN2414">
        <v>-2.16</v>
      </c>
      <c r="CO2414">
        <v>2.35</v>
      </c>
      <c r="CP2414">
        <v>14.58</v>
      </c>
      <c r="CQ2414">
        <v>3.31</v>
      </c>
      <c r="CR2414">
        <v>0.53</v>
      </c>
      <c r="CS2414" t="s">
        <v>8121</v>
      </c>
      <c r="CT2414">
        <v>8.8800000000000008</v>
      </c>
      <c r="CU2414">
        <v>0</v>
      </c>
      <c r="CV2414">
        <v>4.88</v>
      </c>
      <c r="CW2414">
        <v>2.88</v>
      </c>
      <c r="CX2414">
        <v>1.43</v>
      </c>
      <c r="CY2414">
        <v>51.4</v>
      </c>
      <c r="CZ2414" t="s">
        <v>122</v>
      </c>
      <c r="DA2414">
        <v>93.77</v>
      </c>
      <c r="DB2414">
        <v>16.68</v>
      </c>
      <c r="DC2414">
        <v>11.54</v>
      </c>
      <c r="DD2414">
        <v>0.19</v>
      </c>
      <c r="DE2414">
        <v>24861</v>
      </c>
      <c r="DF2414">
        <v>600258</v>
      </c>
      <c r="DG2414" t="s">
        <v>116</v>
      </c>
      <c r="DH2414" t="s">
        <v>116</v>
      </c>
      <c r="DI2414" t="s">
        <v>116</v>
      </c>
    </row>
    <row r="2415" spans="1:113" x14ac:dyDescent="0.4">
      <c r="A2415" t="str">
        <f>"600259"</f>
        <v>600259</v>
      </c>
      <c r="B2415" t="s">
        <v>11215</v>
      </c>
      <c r="C2415">
        <v>9.11</v>
      </c>
      <c r="D2415">
        <v>35.21</v>
      </c>
      <c r="E2415">
        <v>2.94</v>
      </c>
      <c r="F2415">
        <v>35.200000000000003</v>
      </c>
      <c r="G2415">
        <v>35.21</v>
      </c>
      <c r="H2415">
        <v>256585</v>
      </c>
      <c r="I2415">
        <v>2511</v>
      </c>
      <c r="J2415">
        <v>0.09</v>
      </c>
      <c r="K2415">
        <v>8.5</v>
      </c>
      <c r="L2415">
        <v>32.549999999999997</v>
      </c>
      <c r="M2415">
        <v>35.5</v>
      </c>
      <c r="N2415">
        <v>32.549999999999997</v>
      </c>
      <c r="O2415">
        <v>32.270000000000003</v>
      </c>
      <c r="P2415">
        <v>113.31</v>
      </c>
      <c r="Q2415">
        <v>888049344</v>
      </c>
      <c r="R2415">
        <v>5.32</v>
      </c>
      <c r="S2415" t="s">
        <v>1509</v>
      </c>
      <c r="T2415" t="s">
        <v>851</v>
      </c>
      <c r="U2415">
        <v>9.14</v>
      </c>
      <c r="V2415">
        <v>34.61</v>
      </c>
      <c r="W2415">
        <v>147162</v>
      </c>
      <c r="X2415">
        <v>109423</v>
      </c>
      <c r="Y2415">
        <v>1.34</v>
      </c>
      <c r="Z2415">
        <v>158</v>
      </c>
      <c r="AA2415">
        <v>78</v>
      </c>
      <c r="AB2415" t="s">
        <v>116</v>
      </c>
      <c r="AC2415">
        <v>419900</v>
      </c>
      <c r="AD2415">
        <v>0.01</v>
      </c>
      <c r="AE2415" t="s">
        <v>116</v>
      </c>
      <c r="AF2415" t="s">
        <v>116</v>
      </c>
      <c r="AG2415">
        <v>3.02</v>
      </c>
      <c r="AH2415" t="s">
        <v>11216</v>
      </c>
      <c r="AI2415" t="s">
        <v>11216</v>
      </c>
      <c r="AJ2415">
        <v>9.19</v>
      </c>
      <c r="AK2415">
        <v>4174</v>
      </c>
      <c r="AL2415">
        <v>61</v>
      </c>
      <c r="AM2415">
        <v>2E-3</v>
      </c>
      <c r="AN2415">
        <v>1</v>
      </c>
      <c r="AO2415">
        <v>8.51</v>
      </c>
      <c r="AP2415">
        <v>16.010000000000002</v>
      </c>
      <c r="AQ2415">
        <v>9.65</v>
      </c>
      <c r="AR2415">
        <v>57.47</v>
      </c>
      <c r="AS2415">
        <v>17.09</v>
      </c>
      <c r="AT2415" t="s">
        <v>11217</v>
      </c>
      <c r="AU2415" t="s">
        <v>116</v>
      </c>
      <c r="AV2415" t="s">
        <v>116</v>
      </c>
      <c r="AW2415">
        <v>1.05</v>
      </c>
      <c r="BA2415">
        <v>0.87</v>
      </c>
      <c r="BB2415">
        <v>10.01</v>
      </c>
      <c r="BC2415">
        <v>0.87</v>
      </c>
      <c r="BD2415">
        <v>7.25</v>
      </c>
      <c r="BE2415">
        <v>8.17</v>
      </c>
      <c r="BF2415">
        <v>-0.82</v>
      </c>
      <c r="BG2415">
        <v>8.17</v>
      </c>
      <c r="BH2415">
        <v>1.86</v>
      </c>
      <c r="BI2415">
        <v>20191031</v>
      </c>
      <c r="BJ2415">
        <v>20000525</v>
      </c>
      <c r="BK2415">
        <v>3.02</v>
      </c>
      <c r="BL2415" t="s">
        <v>116</v>
      </c>
      <c r="BM2415" t="s">
        <v>116</v>
      </c>
      <c r="BN2415">
        <v>37.659999999999997</v>
      </c>
      <c r="BO2415">
        <v>17.510000000000002</v>
      </c>
      <c r="BP2415">
        <v>1.23</v>
      </c>
      <c r="BQ2415">
        <v>50.25</v>
      </c>
      <c r="BR2415">
        <v>27.16</v>
      </c>
      <c r="BS2415">
        <v>2.85</v>
      </c>
      <c r="BT2415">
        <v>1.91</v>
      </c>
      <c r="BU2415">
        <v>15.14</v>
      </c>
      <c r="BV2415">
        <v>16.14</v>
      </c>
      <c r="BW2415">
        <v>2.0699999999999998</v>
      </c>
      <c r="BX2415">
        <v>20.88</v>
      </c>
      <c r="BY2415">
        <v>28.66</v>
      </c>
      <c r="BZ2415">
        <v>27.16</v>
      </c>
      <c r="CA2415">
        <v>0.95</v>
      </c>
      <c r="CB2415">
        <v>0.19</v>
      </c>
      <c r="CC2415">
        <v>0.93</v>
      </c>
      <c r="CD2415">
        <v>0.64</v>
      </c>
      <c r="CE2415">
        <v>0.7</v>
      </c>
      <c r="CF2415">
        <v>0.03</v>
      </c>
      <c r="CG2415">
        <v>-6.71</v>
      </c>
      <c r="CH2415">
        <v>1.73</v>
      </c>
      <c r="CI2415">
        <v>-1.85</v>
      </c>
      <c r="CJ2415">
        <v>48710</v>
      </c>
      <c r="CK2415">
        <v>3083</v>
      </c>
      <c r="CL2415" t="s">
        <v>6607</v>
      </c>
      <c r="CM2415">
        <v>152.02000000000001</v>
      </c>
      <c r="CN2415">
        <v>80.150000000000006</v>
      </c>
      <c r="CO2415">
        <v>6.07</v>
      </c>
      <c r="CP2415">
        <v>61.42</v>
      </c>
      <c r="CQ2415">
        <v>3.71</v>
      </c>
      <c r="CR2415">
        <v>0</v>
      </c>
      <c r="CS2415" t="s">
        <v>2528</v>
      </c>
      <c r="CT2415">
        <v>5.8</v>
      </c>
      <c r="CU2415">
        <v>0</v>
      </c>
      <c r="CV2415">
        <v>6.92</v>
      </c>
      <c r="CW2415">
        <v>-2.2200000000000002</v>
      </c>
      <c r="CX2415">
        <v>0.56999999999999995</v>
      </c>
      <c r="CY2415">
        <v>46.49</v>
      </c>
      <c r="CZ2415" t="s">
        <v>527</v>
      </c>
      <c r="DA2415">
        <v>5.22</v>
      </c>
      <c r="DB2415">
        <v>3.33</v>
      </c>
      <c r="DC2415">
        <v>2.4500000000000002</v>
      </c>
      <c r="DD2415">
        <v>0.05</v>
      </c>
      <c r="DE2415">
        <v>1628</v>
      </c>
      <c r="DF2415">
        <v>600259</v>
      </c>
      <c r="DG2415" t="s">
        <v>116</v>
      </c>
      <c r="DH2415" t="s">
        <v>116</v>
      </c>
      <c r="DI2415" t="s">
        <v>116</v>
      </c>
    </row>
    <row r="2416" spans="1:113" x14ac:dyDescent="0.4">
      <c r="A2416" t="str">
        <f>"600260"</f>
        <v>600260</v>
      </c>
      <c r="B2416" t="s">
        <v>11218</v>
      </c>
      <c r="C2416">
        <v>-1.85</v>
      </c>
      <c r="D2416">
        <v>13.24</v>
      </c>
      <c r="E2416">
        <v>-0.25</v>
      </c>
      <c r="F2416">
        <v>13.23</v>
      </c>
      <c r="G2416">
        <v>13.24</v>
      </c>
      <c r="H2416">
        <v>225734</v>
      </c>
      <c r="I2416">
        <v>2407</v>
      </c>
      <c r="J2416">
        <v>-7.0000000000000007E-2</v>
      </c>
      <c r="K2416">
        <v>2.38</v>
      </c>
      <c r="L2416">
        <v>13.52</v>
      </c>
      <c r="M2416">
        <v>13.68</v>
      </c>
      <c r="N2416">
        <v>13.21</v>
      </c>
      <c r="O2416">
        <v>13.49</v>
      </c>
      <c r="P2416">
        <v>10.27</v>
      </c>
      <c r="Q2416">
        <v>302956256</v>
      </c>
      <c r="R2416">
        <v>1.1100000000000001</v>
      </c>
      <c r="S2416" t="s">
        <v>465</v>
      </c>
      <c r="T2416" t="s">
        <v>774</v>
      </c>
      <c r="U2416">
        <v>3.48</v>
      </c>
      <c r="V2416">
        <v>13.42</v>
      </c>
      <c r="W2416">
        <v>133067</v>
      </c>
      <c r="X2416">
        <v>92668</v>
      </c>
      <c r="Y2416">
        <v>1.44</v>
      </c>
      <c r="Z2416">
        <v>575</v>
      </c>
      <c r="AA2416">
        <v>1224</v>
      </c>
      <c r="AB2416" t="s">
        <v>116</v>
      </c>
      <c r="AC2416">
        <v>914000</v>
      </c>
      <c r="AD2416">
        <v>0.01</v>
      </c>
      <c r="AE2416" t="s">
        <v>116</v>
      </c>
      <c r="AF2416" t="s">
        <v>116</v>
      </c>
      <c r="AG2416">
        <v>9.49</v>
      </c>
      <c r="AH2416" t="s">
        <v>11219</v>
      </c>
      <c r="AI2416" t="s">
        <v>11220</v>
      </c>
      <c r="AJ2416">
        <v>-1.78</v>
      </c>
      <c r="AK2416">
        <v>3755</v>
      </c>
      <c r="AL2416">
        <v>60</v>
      </c>
      <c r="AM2416">
        <v>5.9999999999999995E-4</v>
      </c>
      <c r="AN2416">
        <v>-2</v>
      </c>
      <c r="AO2416">
        <v>-1.18</v>
      </c>
      <c r="AP2416">
        <v>8.6999999999999993</v>
      </c>
      <c r="AQ2416">
        <v>-12.14</v>
      </c>
      <c r="AR2416">
        <v>10.27</v>
      </c>
      <c r="AS2416">
        <v>2.91</v>
      </c>
      <c r="AT2416" t="s">
        <v>2608</v>
      </c>
      <c r="AU2416">
        <v>12.87</v>
      </c>
      <c r="AV2416">
        <v>14.64</v>
      </c>
      <c r="AW2416">
        <v>1.52</v>
      </c>
      <c r="BA2416">
        <v>0.22</v>
      </c>
      <c r="BB2416">
        <v>1.41</v>
      </c>
      <c r="BC2416">
        <v>-2.08</v>
      </c>
      <c r="BD2416">
        <v>-0.51</v>
      </c>
      <c r="BE2416">
        <v>-2.0699999999999998</v>
      </c>
      <c r="BF2416">
        <v>-3.22</v>
      </c>
      <c r="BG2416">
        <v>0.23</v>
      </c>
      <c r="BH2416">
        <v>-1.34</v>
      </c>
      <c r="BI2416">
        <v>20191112</v>
      </c>
      <c r="BJ2416">
        <v>20000706</v>
      </c>
      <c r="BK2416">
        <v>10.01</v>
      </c>
      <c r="BL2416" t="s">
        <v>116</v>
      </c>
      <c r="BM2416" t="s">
        <v>116</v>
      </c>
      <c r="BN2416">
        <v>159.94999999999999</v>
      </c>
      <c r="BO2416">
        <v>63.96</v>
      </c>
      <c r="BP2416">
        <v>2.2000000000000002</v>
      </c>
      <c r="BQ2416">
        <v>58.64</v>
      </c>
      <c r="BR2416">
        <v>134.74</v>
      </c>
      <c r="BS2416">
        <v>8.35</v>
      </c>
      <c r="BT2416">
        <v>1.1100000000000001</v>
      </c>
      <c r="BU2416">
        <v>90.98</v>
      </c>
      <c r="BV2416">
        <v>28.33</v>
      </c>
      <c r="BW2416">
        <v>11.34</v>
      </c>
      <c r="BX2416">
        <v>19.12</v>
      </c>
      <c r="BY2416">
        <v>115.68</v>
      </c>
      <c r="BZ2416">
        <v>98.49</v>
      </c>
      <c r="CA2416">
        <v>10.78</v>
      </c>
      <c r="CB2416">
        <v>0.45</v>
      </c>
      <c r="CC2416">
        <v>11.13</v>
      </c>
      <c r="CD2416">
        <v>9.52</v>
      </c>
      <c r="CE2416">
        <v>9.68</v>
      </c>
      <c r="CF2416">
        <v>8.7200000000000006</v>
      </c>
      <c r="CG2416">
        <v>31.22</v>
      </c>
      <c r="CH2416">
        <v>21.38</v>
      </c>
      <c r="CI2416">
        <v>1.26</v>
      </c>
      <c r="CJ2416">
        <v>70171</v>
      </c>
      <c r="CK2416">
        <v>11065</v>
      </c>
      <c r="CL2416" t="s">
        <v>11221</v>
      </c>
      <c r="CM2416">
        <v>14.82</v>
      </c>
      <c r="CN2416">
        <v>-2.44</v>
      </c>
      <c r="CO2416">
        <v>2.0699999999999998</v>
      </c>
      <c r="CP2416">
        <v>6.2</v>
      </c>
      <c r="CQ2416">
        <v>1.1499999999999999</v>
      </c>
      <c r="CR2416">
        <v>0.86</v>
      </c>
      <c r="CS2416" t="s">
        <v>11222</v>
      </c>
      <c r="CT2416">
        <v>6.39</v>
      </c>
      <c r="CU2416">
        <v>0</v>
      </c>
      <c r="CV2416">
        <v>1.91</v>
      </c>
      <c r="CW2416">
        <v>3.12</v>
      </c>
      <c r="CX2416">
        <v>2.14</v>
      </c>
      <c r="CY2416">
        <v>39.99</v>
      </c>
      <c r="CZ2416" t="s">
        <v>7269</v>
      </c>
      <c r="DA2416">
        <v>14.86</v>
      </c>
      <c r="DB2416">
        <v>9.32</v>
      </c>
      <c r="DC2416">
        <v>8.3699999999999992</v>
      </c>
      <c r="DD2416">
        <v>3.61</v>
      </c>
      <c r="DE2416">
        <v>2680</v>
      </c>
      <c r="DF2416">
        <v>600260</v>
      </c>
      <c r="DG2416" t="s">
        <v>116</v>
      </c>
      <c r="DH2416" t="s">
        <v>116</v>
      </c>
      <c r="DI2416" t="s">
        <v>116</v>
      </c>
    </row>
    <row r="2417" spans="1:113" x14ac:dyDescent="0.4">
      <c r="A2417" t="str">
        <f>"600261"</f>
        <v>600261</v>
      </c>
      <c r="B2417" t="s">
        <v>11223</v>
      </c>
      <c r="C2417">
        <v>-1.89</v>
      </c>
      <c r="D2417">
        <v>4.68</v>
      </c>
      <c r="E2417">
        <v>-0.09</v>
      </c>
      <c r="F2417">
        <v>4.67</v>
      </c>
      <c r="G2417">
        <v>4.68</v>
      </c>
      <c r="H2417">
        <v>167689</v>
      </c>
      <c r="I2417">
        <v>529</v>
      </c>
      <c r="J2417">
        <v>0</v>
      </c>
      <c r="K2417">
        <v>1.1499999999999999</v>
      </c>
      <c r="L2417">
        <v>4.76</v>
      </c>
      <c r="M2417">
        <v>4.8</v>
      </c>
      <c r="N2417">
        <v>4.6500000000000004</v>
      </c>
      <c r="O2417">
        <v>4.7699999999999996</v>
      </c>
      <c r="P2417">
        <v>9.76</v>
      </c>
      <c r="Q2417">
        <v>79323992</v>
      </c>
      <c r="R2417">
        <v>0.93</v>
      </c>
      <c r="S2417" t="s">
        <v>209</v>
      </c>
      <c r="T2417" t="s">
        <v>590</v>
      </c>
      <c r="U2417">
        <v>3.14</v>
      </c>
      <c r="V2417">
        <v>4.7300000000000004</v>
      </c>
      <c r="W2417">
        <v>107341</v>
      </c>
      <c r="X2417">
        <v>60348</v>
      </c>
      <c r="Y2417">
        <v>1.78</v>
      </c>
      <c r="Z2417">
        <v>307</v>
      </c>
      <c r="AA2417">
        <v>941</v>
      </c>
      <c r="AB2417" t="s">
        <v>116</v>
      </c>
      <c r="AC2417">
        <v>23500</v>
      </c>
      <c r="AD2417">
        <v>0</v>
      </c>
      <c r="AE2417" t="s">
        <v>116</v>
      </c>
      <c r="AF2417" t="s">
        <v>116</v>
      </c>
      <c r="AG2417">
        <v>14.52</v>
      </c>
      <c r="AH2417" t="s">
        <v>4481</v>
      </c>
      <c r="AI2417" t="s">
        <v>4481</v>
      </c>
      <c r="AJ2417">
        <v>-1.81</v>
      </c>
      <c r="AK2417">
        <v>2796</v>
      </c>
      <c r="AL2417">
        <v>60</v>
      </c>
      <c r="AM2417">
        <v>4.0000000000000002E-4</v>
      </c>
      <c r="AN2417">
        <v>-1</v>
      </c>
      <c r="AO2417">
        <v>-1.89</v>
      </c>
      <c r="AP2417">
        <v>9.86</v>
      </c>
      <c r="AQ2417">
        <v>8.33</v>
      </c>
      <c r="AR2417">
        <v>43.56</v>
      </c>
      <c r="AS2417">
        <v>2</v>
      </c>
      <c r="AT2417" t="s">
        <v>8297</v>
      </c>
      <c r="AU2417">
        <v>10.99</v>
      </c>
      <c r="AV2417">
        <v>17.670000000000002</v>
      </c>
      <c r="AW2417">
        <v>1.92</v>
      </c>
      <c r="BA2417">
        <v>-0.21</v>
      </c>
      <c r="BB2417">
        <v>0.63</v>
      </c>
      <c r="BC2417">
        <v>-2.52</v>
      </c>
      <c r="BD2417">
        <v>-0.83</v>
      </c>
      <c r="BE2417">
        <v>-1.68</v>
      </c>
      <c r="BF2417">
        <v>-2.5</v>
      </c>
      <c r="BG2417">
        <v>0.65</v>
      </c>
      <c r="BH2417">
        <v>-1.06</v>
      </c>
      <c r="BI2417">
        <v>20191029</v>
      </c>
      <c r="BJ2417">
        <v>20000720</v>
      </c>
      <c r="BK2417">
        <v>14.52</v>
      </c>
      <c r="BL2417" t="s">
        <v>116</v>
      </c>
      <c r="BM2417" t="s">
        <v>116</v>
      </c>
      <c r="BN2417">
        <v>63.65</v>
      </c>
      <c r="BO2417">
        <v>38.119999999999997</v>
      </c>
      <c r="BP2417">
        <v>0.35</v>
      </c>
      <c r="BQ2417">
        <v>39.549999999999997</v>
      </c>
      <c r="BR2417">
        <v>40.53</v>
      </c>
      <c r="BS2417">
        <v>11.85</v>
      </c>
      <c r="BT2417">
        <v>2.65</v>
      </c>
      <c r="BU2417">
        <v>20.32</v>
      </c>
      <c r="BV2417">
        <v>6.84</v>
      </c>
      <c r="BW2417">
        <v>13.96</v>
      </c>
      <c r="BX2417">
        <v>2.86</v>
      </c>
      <c r="BY2417">
        <v>40.36</v>
      </c>
      <c r="BZ2417">
        <v>27.7</v>
      </c>
      <c r="CA2417">
        <v>6.24</v>
      </c>
      <c r="CB2417">
        <v>0.17</v>
      </c>
      <c r="CC2417">
        <v>6.28</v>
      </c>
      <c r="CD2417">
        <v>5.36</v>
      </c>
      <c r="CE2417">
        <v>5.22</v>
      </c>
      <c r="CF2417">
        <v>4.16</v>
      </c>
      <c r="CG2417">
        <v>18.11</v>
      </c>
      <c r="CH2417">
        <v>4.9000000000000004</v>
      </c>
      <c r="CI2417">
        <v>-4.05</v>
      </c>
      <c r="CJ2417">
        <v>52391</v>
      </c>
      <c r="CK2417">
        <v>16018</v>
      </c>
      <c r="CL2417" t="s">
        <v>5440</v>
      </c>
      <c r="CM2417">
        <v>80.98</v>
      </c>
      <c r="CN2417">
        <v>-3.84</v>
      </c>
      <c r="CO2417">
        <v>1.78</v>
      </c>
      <c r="CP2417">
        <v>13.86</v>
      </c>
      <c r="CQ2417">
        <v>1.68</v>
      </c>
      <c r="CR2417">
        <v>3.21</v>
      </c>
      <c r="CS2417" t="s">
        <v>2182</v>
      </c>
      <c r="CT2417">
        <v>2.63</v>
      </c>
      <c r="CU2417">
        <v>0</v>
      </c>
      <c r="CV2417">
        <v>0.2</v>
      </c>
      <c r="CW2417">
        <v>1.25</v>
      </c>
      <c r="CX2417">
        <v>0.34</v>
      </c>
      <c r="CY2417">
        <v>59.9</v>
      </c>
      <c r="CZ2417" t="s">
        <v>11224</v>
      </c>
      <c r="DA2417">
        <v>31.37</v>
      </c>
      <c r="DB2417">
        <v>15.47</v>
      </c>
      <c r="DC2417">
        <v>12.93</v>
      </c>
      <c r="DD2417">
        <v>1.55</v>
      </c>
      <c r="DE2417">
        <v>10171</v>
      </c>
      <c r="DF2417">
        <v>600261</v>
      </c>
      <c r="DG2417" t="s">
        <v>116</v>
      </c>
      <c r="DH2417" t="s">
        <v>116</v>
      </c>
      <c r="DI2417" t="s">
        <v>116</v>
      </c>
    </row>
    <row r="2418" spans="1:113" x14ac:dyDescent="0.4">
      <c r="A2418" t="str">
        <f>"600262"</f>
        <v>600262</v>
      </c>
      <c r="B2418" t="s">
        <v>11225</v>
      </c>
      <c r="C2418">
        <v>0.44</v>
      </c>
      <c r="D2418">
        <v>18.18</v>
      </c>
      <c r="E2418">
        <v>0.08</v>
      </c>
      <c r="F2418">
        <v>18.16</v>
      </c>
      <c r="G2418">
        <v>18.190000000000001</v>
      </c>
      <c r="H2418">
        <v>3557</v>
      </c>
      <c r="I2418">
        <v>39</v>
      </c>
      <c r="J2418">
        <v>0.11</v>
      </c>
      <c r="K2418">
        <v>0.21</v>
      </c>
      <c r="L2418">
        <v>18.059999999999999</v>
      </c>
      <c r="M2418">
        <v>18.399999999999999</v>
      </c>
      <c r="N2418">
        <v>17.920000000000002</v>
      </c>
      <c r="O2418">
        <v>18.100000000000001</v>
      </c>
      <c r="P2418">
        <v>51.01</v>
      </c>
      <c r="Q2418">
        <v>6486851</v>
      </c>
      <c r="R2418">
        <v>1.24</v>
      </c>
      <c r="S2418" t="s">
        <v>1108</v>
      </c>
      <c r="T2418" t="s">
        <v>796</v>
      </c>
      <c r="U2418">
        <v>2.65</v>
      </c>
      <c r="V2418">
        <v>18.23</v>
      </c>
      <c r="W2418">
        <v>1614</v>
      </c>
      <c r="X2418">
        <v>1943</v>
      </c>
      <c r="Y2418">
        <v>0.83</v>
      </c>
      <c r="Z2418">
        <v>29</v>
      </c>
      <c r="AA2418">
        <v>18</v>
      </c>
      <c r="AB2418" t="s">
        <v>116</v>
      </c>
      <c r="AC2418">
        <v>12600</v>
      </c>
      <c r="AD2418">
        <v>0</v>
      </c>
      <c r="AE2418" t="s">
        <v>116</v>
      </c>
      <c r="AF2418" t="s">
        <v>116</v>
      </c>
      <c r="AG2418">
        <v>1.7</v>
      </c>
      <c r="AH2418" t="s">
        <v>7609</v>
      </c>
      <c r="AI2418" t="s">
        <v>7609</v>
      </c>
      <c r="AJ2418">
        <v>0.52</v>
      </c>
      <c r="AK2418">
        <v>334</v>
      </c>
      <c r="AL2418">
        <v>11</v>
      </c>
      <c r="AM2418">
        <v>5.9999999999999995E-4</v>
      </c>
      <c r="AN2418">
        <v>1</v>
      </c>
      <c r="AO2418">
        <v>0.33</v>
      </c>
      <c r="AP2418">
        <v>1.91</v>
      </c>
      <c r="AQ2418">
        <v>-6.39</v>
      </c>
      <c r="AR2418">
        <v>6.07</v>
      </c>
      <c r="AS2418">
        <v>0.49</v>
      </c>
      <c r="AT2418" t="s">
        <v>7050</v>
      </c>
      <c r="AU2418">
        <v>35.56</v>
      </c>
      <c r="AV2418">
        <v>27.05</v>
      </c>
      <c r="AW2418">
        <v>0.5</v>
      </c>
      <c r="BA2418">
        <v>-0.22</v>
      </c>
      <c r="BB2418">
        <v>1.66</v>
      </c>
      <c r="BC2418">
        <v>-0.99</v>
      </c>
      <c r="BD2418">
        <v>0.75</v>
      </c>
      <c r="BE2418">
        <v>0.66</v>
      </c>
      <c r="BF2418">
        <v>-1.2</v>
      </c>
      <c r="BG2418">
        <v>1.45</v>
      </c>
      <c r="BH2418">
        <v>-0.3</v>
      </c>
      <c r="BI2418">
        <v>20191026</v>
      </c>
      <c r="BJ2418">
        <v>20000630</v>
      </c>
      <c r="BK2418">
        <v>1.7</v>
      </c>
      <c r="BL2418" t="s">
        <v>116</v>
      </c>
      <c r="BM2418" t="s">
        <v>116</v>
      </c>
      <c r="BN2418">
        <v>26.04</v>
      </c>
      <c r="BO2418">
        <v>11.63</v>
      </c>
      <c r="BP2418">
        <v>0</v>
      </c>
      <c r="BQ2418">
        <v>55.32</v>
      </c>
      <c r="BR2418">
        <v>20.56</v>
      </c>
      <c r="BS2418">
        <v>2.67</v>
      </c>
      <c r="BT2418">
        <v>0.88</v>
      </c>
      <c r="BU2418">
        <v>13.14</v>
      </c>
      <c r="BV2418">
        <v>9.89</v>
      </c>
      <c r="BW2418">
        <v>6.54</v>
      </c>
      <c r="BX2418">
        <v>4.04</v>
      </c>
      <c r="BY2418">
        <v>9.9</v>
      </c>
      <c r="BZ2418">
        <v>7.16</v>
      </c>
      <c r="CA2418">
        <v>0.5</v>
      </c>
      <c r="CB2418">
        <v>0.12</v>
      </c>
      <c r="CC2418">
        <v>0.53</v>
      </c>
      <c r="CD2418">
        <v>0.45</v>
      </c>
      <c r="CE2418">
        <v>0.45</v>
      </c>
      <c r="CF2418">
        <v>0.42</v>
      </c>
      <c r="CG2418">
        <v>1.72</v>
      </c>
      <c r="CH2418">
        <v>-3.21</v>
      </c>
      <c r="CI2418">
        <v>-1.08</v>
      </c>
      <c r="CJ2418">
        <v>8986</v>
      </c>
      <c r="CK2418">
        <v>8055</v>
      </c>
      <c r="CL2418" t="s">
        <v>11226</v>
      </c>
      <c r="CM2418">
        <v>-37.56</v>
      </c>
      <c r="CN2418">
        <v>8.6</v>
      </c>
      <c r="CO2418">
        <v>2.66</v>
      </c>
      <c r="CP2418">
        <v>-9.6199999999999992</v>
      </c>
      <c r="CQ2418">
        <v>3.12</v>
      </c>
      <c r="CR2418">
        <v>1.1599999999999999</v>
      </c>
      <c r="CS2418" t="s">
        <v>8878</v>
      </c>
      <c r="CT2418">
        <v>6.84</v>
      </c>
      <c r="CU2418">
        <v>0</v>
      </c>
      <c r="CV2418">
        <v>2.38</v>
      </c>
      <c r="CW2418">
        <v>1.01</v>
      </c>
      <c r="CX2418">
        <v>-1.89</v>
      </c>
      <c r="CY2418">
        <v>44.68</v>
      </c>
      <c r="CZ2418" t="s">
        <v>2488</v>
      </c>
      <c r="DA2418">
        <v>27.68</v>
      </c>
      <c r="DB2418">
        <v>5.0999999999999996</v>
      </c>
      <c r="DC2418">
        <v>4.59</v>
      </c>
      <c r="DD2418">
        <v>0.14000000000000001</v>
      </c>
      <c r="DE2418">
        <v>798</v>
      </c>
      <c r="DF2418">
        <v>600262</v>
      </c>
      <c r="DG2418" t="s">
        <v>116</v>
      </c>
      <c r="DH2418" t="s">
        <v>116</v>
      </c>
      <c r="DI2418" t="s">
        <v>116</v>
      </c>
    </row>
    <row r="2419" spans="1:113" x14ac:dyDescent="0.4">
      <c r="A2419" t="str">
        <f>"600265"</f>
        <v>600265</v>
      </c>
      <c r="B2419" t="s">
        <v>11227</v>
      </c>
      <c r="C2419">
        <v>0</v>
      </c>
      <c r="D2419">
        <v>24.44</v>
      </c>
      <c r="E2419">
        <v>0</v>
      </c>
      <c r="F2419">
        <v>24.35</v>
      </c>
      <c r="G2419">
        <v>24.44</v>
      </c>
      <c r="H2419">
        <v>1054</v>
      </c>
      <c r="I2419">
        <v>2</v>
      </c>
      <c r="J2419">
        <v>0.7</v>
      </c>
      <c r="K2419">
        <v>0.08</v>
      </c>
      <c r="L2419">
        <v>24.25</v>
      </c>
      <c r="M2419">
        <v>24.49</v>
      </c>
      <c r="N2419">
        <v>24.1</v>
      </c>
      <c r="O2419">
        <v>24.44</v>
      </c>
      <c r="P2419" t="s">
        <v>116</v>
      </c>
      <c r="Q2419">
        <v>2557378</v>
      </c>
      <c r="R2419">
        <v>2.2000000000000002</v>
      </c>
      <c r="S2419" t="s">
        <v>1310</v>
      </c>
      <c r="T2419" t="s">
        <v>1043</v>
      </c>
      <c r="U2419">
        <v>1.6</v>
      </c>
      <c r="V2419">
        <v>24.26</v>
      </c>
      <c r="W2419">
        <v>738</v>
      </c>
      <c r="X2419">
        <v>316</v>
      </c>
      <c r="Y2419">
        <v>2.34</v>
      </c>
      <c r="Z2419">
        <v>7</v>
      </c>
      <c r="AA2419">
        <v>9</v>
      </c>
      <c r="AB2419" t="s">
        <v>116</v>
      </c>
      <c r="AC2419">
        <v>9700</v>
      </c>
      <c r="AD2419">
        <v>0</v>
      </c>
      <c r="AE2419" t="s">
        <v>116</v>
      </c>
      <c r="AF2419" t="s">
        <v>116</v>
      </c>
      <c r="AG2419">
        <v>1.3</v>
      </c>
      <c r="AH2419" t="s">
        <v>6891</v>
      </c>
      <c r="AI2419" t="s">
        <v>6891</v>
      </c>
      <c r="AJ2419">
        <v>0.08</v>
      </c>
      <c r="AK2419">
        <v>64</v>
      </c>
      <c r="AL2419">
        <v>16</v>
      </c>
      <c r="AM2419">
        <v>1.2999999999999999E-3</v>
      </c>
      <c r="AN2419">
        <v>0</v>
      </c>
      <c r="AO2419">
        <v>-0.66</v>
      </c>
      <c r="AP2419">
        <v>-1.85</v>
      </c>
      <c r="AQ2419">
        <v>-8.09</v>
      </c>
      <c r="AR2419">
        <v>-9.35</v>
      </c>
      <c r="AS2419">
        <v>0.28000000000000003</v>
      </c>
      <c r="AT2419" t="s">
        <v>11228</v>
      </c>
      <c r="AU2419">
        <v>153.18</v>
      </c>
      <c r="AV2419">
        <v>523.65</v>
      </c>
      <c r="AW2419">
        <v>0.36</v>
      </c>
      <c r="BA2419">
        <v>-0.78</v>
      </c>
      <c r="BB2419">
        <v>0.2</v>
      </c>
      <c r="BC2419">
        <v>-1.39</v>
      </c>
      <c r="BD2419">
        <v>-0.75</v>
      </c>
      <c r="BE2419">
        <v>0.78</v>
      </c>
      <c r="BF2419">
        <v>-0.2</v>
      </c>
      <c r="BG2419">
        <v>1.41</v>
      </c>
      <c r="BH2419">
        <v>0.75</v>
      </c>
      <c r="BI2419">
        <v>20191029</v>
      </c>
      <c r="BJ2419">
        <v>20000825</v>
      </c>
      <c r="BK2419">
        <v>1.3</v>
      </c>
      <c r="BL2419" t="s">
        <v>116</v>
      </c>
      <c r="BM2419" t="s">
        <v>116</v>
      </c>
      <c r="BN2419">
        <v>3.44</v>
      </c>
      <c r="BO2419">
        <v>0.28999999999999998</v>
      </c>
      <c r="BP2419">
        <v>-0.03</v>
      </c>
      <c r="BQ2419">
        <v>92.44</v>
      </c>
      <c r="BR2419">
        <v>2.74</v>
      </c>
      <c r="BS2419">
        <v>0.27</v>
      </c>
      <c r="BT2419">
        <v>0.21</v>
      </c>
      <c r="BU2419">
        <v>1.0900000000000001</v>
      </c>
      <c r="BV2419">
        <v>1.85</v>
      </c>
      <c r="BW2419">
        <v>0.56000000000000005</v>
      </c>
      <c r="BX2419">
        <v>2.85</v>
      </c>
      <c r="BY2419">
        <v>1.43</v>
      </c>
      <c r="BZ2419">
        <v>1.37</v>
      </c>
      <c r="CA2419">
        <v>-7.0000000000000007E-2</v>
      </c>
      <c r="CB2419">
        <v>0</v>
      </c>
      <c r="CC2419">
        <v>-0.06</v>
      </c>
      <c r="CD2419">
        <v>-7.0000000000000007E-2</v>
      </c>
      <c r="CE2419">
        <v>-0.06</v>
      </c>
      <c r="CF2419">
        <v>-0.12</v>
      </c>
      <c r="CG2419">
        <v>-4</v>
      </c>
      <c r="CH2419">
        <v>-0.59</v>
      </c>
      <c r="CI2419">
        <v>-0.34</v>
      </c>
      <c r="CJ2419">
        <v>3514</v>
      </c>
      <c r="CK2419">
        <v>10686</v>
      </c>
      <c r="CL2419" t="s">
        <v>11229</v>
      </c>
      <c r="CM2419">
        <v>69.319999999999993</v>
      </c>
      <c r="CN2419">
        <v>164.79</v>
      </c>
      <c r="CO2419">
        <v>108.36</v>
      </c>
      <c r="CP2419">
        <v>-53.94</v>
      </c>
      <c r="CQ2419">
        <v>22.19</v>
      </c>
      <c r="CR2419">
        <v>0</v>
      </c>
      <c r="CS2419" t="s">
        <v>6745</v>
      </c>
      <c r="CT2419">
        <v>0.23</v>
      </c>
      <c r="CU2419">
        <v>0</v>
      </c>
      <c r="CV2419">
        <v>2.2000000000000002</v>
      </c>
      <c r="CW2419">
        <v>-3.08</v>
      </c>
      <c r="CX2419">
        <v>-0.45</v>
      </c>
      <c r="CY2419">
        <v>8.51</v>
      </c>
      <c r="CZ2419" t="s">
        <v>11230</v>
      </c>
      <c r="DA2419">
        <v>4.42</v>
      </c>
      <c r="DB2419">
        <v>-4.62</v>
      </c>
      <c r="DC2419">
        <v>-4.54</v>
      </c>
      <c r="DD2419">
        <v>0</v>
      </c>
      <c r="DE2419">
        <v>391</v>
      </c>
      <c r="DF2419">
        <v>600265</v>
      </c>
      <c r="DG2419" t="s">
        <v>116</v>
      </c>
      <c r="DH2419" t="s">
        <v>116</v>
      </c>
      <c r="DI2419" t="s">
        <v>116</v>
      </c>
    </row>
    <row r="2420" spans="1:113" x14ac:dyDescent="0.4">
      <c r="A2420" t="str">
        <f>"600266"</f>
        <v>600266</v>
      </c>
      <c r="B2420" t="s">
        <v>11231</v>
      </c>
      <c r="C2420">
        <v>0.5</v>
      </c>
      <c r="D2420">
        <v>8</v>
      </c>
      <c r="E2420">
        <v>0.04</v>
      </c>
      <c r="F2420">
        <v>7.99</v>
      </c>
      <c r="G2420">
        <v>8</v>
      </c>
      <c r="H2420">
        <v>98570</v>
      </c>
      <c r="I2420">
        <v>967</v>
      </c>
      <c r="J2420">
        <v>0.13</v>
      </c>
      <c r="K2420">
        <v>0.52</v>
      </c>
      <c r="L2420">
        <v>7.96</v>
      </c>
      <c r="M2420">
        <v>8.06</v>
      </c>
      <c r="N2420">
        <v>7.93</v>
      </c>
      <c r="O2420">
        <v>7.96</v>
      </c>
      <c r="P2420">
        <v>6.28</v>
      </c>
      <c r="Q2420">
        <v>78959552</v>
      </c>
      <c r="R2420">
        <v>0.95</v>
      </c>
      <c r="S2420" t="s">
        <v>148</v>
      </c>
      <c r="T2420" t="s">
        <v>165</v>
      </c>
      <c r="U2420">
        <v>1.63</v>
      </c>
      <c r="V2420">
        <v>8.01</v>
      </c>
      <c r="W2420">
        <v>45818</v>
      </c>
      <c r="X2420">
        <v>52752</v>
      </c>
      <c r="Y2420">
        <v>0.87</v>
      </c>
      <c r="Z2420">
        <v>501</v>
      </c>
      <c r="AA2420">
        <v>466</v>
      </c>
      <c r="AB2420" t="s">
        <v>116</v>
      </c>
      <c r="AC2420">
        <v>156800</v>
      </c>
      <c r="AD2420">
        <v>0</v>
      </c>
      <c r="AE2420" t="s">
        <v>116</v>
      </c>
      <c r="AF2420" t="s">
        <v>116</v>
      </c>
      <c r="AG2420">
        <v>18.8</v>
      </c>
      <c r="AH2420" t="s">
        <v>11232</v>
      </c>
      <c r="AI2420" t="s">
        <v>11232</v>
      </c>
      <c r="AJ2420">
        <v>0.57999999999999996</v>
      </c>
      <c r="AK2420">
        <v>2042</v>
      </c>
      <c r="AL2420">
        <v>48</v>
      </c>
      <c r="AM2420">
        <v>2.9999999999999997E-4</v>
      </c>
      <c r="AN2420">
        <v>2</v>
      </c>
      <c r="AO2420">
        <v>1.78</v>
      </c>
      <c r="AP2420">
        <v>1.1399999999999999</v>
      </c>
      <c r="AQ2420">
        <v>13.15</v>
      </c>
      <c r="AR2420">
        <v>25</v>
      </c>
      <c r="AS2420">
        <v>0.9</v>
      </c>
      <c r="AT2420" t="s">
        <v>11233</v>
      </c>
      <c r="AU2420">
        <v>6.38</v>
      </c>
      <c r="AV2420">
        <v>12.23</v>
      </c>
      <c r="AW2420">
        <v>0.88</v>
      </c>
      <c r="BA2420">
        <v>0</v>
      </c>
      <c r="BB2420">
        <v>1.26</v>
      </c>
      <c r="BC2420">
        <v>-0.38</v>
      </c>
      <c r="BD2420">
        <v>0.63</v>
      </c>
      <c r="BE2420">
        <v>0.5</v>
      </c>
      <c r="BF2420">
        <v>-0.74</v>
      </c>
      <c r="BG2420">
        <v>0.88</v>
      </c>
      <c r="BH2420">
        <v>-0.13</v>
      </c>
      <c r="BI2420">
        <v>20191029</v>
      </c>
      <c r="BJ2420">
        <v>19990203</v>
      </c>
      <c r="BK2420">
        <v>18.8</v>
      </c>
      <c r="BL2420" t="s">
        <v>116</v>
      </c>
      <c r="BM2420" t="s">
        <v>116</v>
      </c>
      <c r="BN2420">
        <v>1175.6300000000001</v>
      </c>
      <c r="BO2420">
        <v>247.76</v>
      </c>
      <c r="BP2420">
        <v>27.14</v>
      </c>
      <c r="BQ2420">
        <v>76.62</v>
      </c>
      <c r="BR2420">
        <v>1073.92</v>
      </c>
      <c r="BS2420">
        <v>5.92</v>
      </c>
      <c r="BT2420">
        <v>0</v>
      </c>
      <c r="BU2420">
        <v>383.67</v>
      </c>
      <c r="BV2420">
        <v>825.19</v>
      </c>
      <c r="BW2420">
        <v>0.71</v>
      </c>
      <c r="BX2420">
        <v>34.9</v>
      </c>
      <c r="BY2420">
        <v>106.63</v>
      </c>
      <c r="BZ2420">
        <v>82.91</v>
      </c>
      <c r="CA2420">
        <v>23.19</v>
      </c>
      <c r="CB2420">
        <v>10.29</v>
      </c>
      <c r="CC2420">
        <v>23.15</v>
      </c>
      <c r="CD2420">
        <v>19.62</v>
      </c>
      <c r="CE2420">
        <v>17.97</v>
      </c>
      <c r="CF2420">
        <v>10.95</v>
      </c>
      <c r="CG2420">
        <v>135.85</v>
      </c>
      <c r="CH2420">
        <v>-21.9</v>
      </c>
      <c r="CI2420">
        <v>-5.99</v>
      </c>
      <c r="CJ2420">
        <v>68915</v>
      </c>
      <c r="CK2420">
        <v>15863</v>
      </c>
      <c r="CL2420" t="s">
        <v>11234</v>
      </c>
      <c r="CM2420">
        <v>167.97</v>
      </c>
      <c r="CN2420">
        <v>38.83</v>
      </c>
      <c r="CO2420">
        <v>0.72</v>
      </c>
      <c r="CP2420">
        <v>-6.87</v>
      </c>
      <c r="CQ2420">
        <v>1.41</v>
      </c>
      <c r="CR2420">
        <v>2.5</v>
      </c>
      <c r="CS2420" t="s">
        <v>6786</v>
      </c>
      <c r="CT2420">
        <v>11.06</v>
      </c>
      <c r="CU2420">
        <v>11.06</v>
      </c>
      <c r="CV2420">
        <v>1.86</v>
      </c>
      <c r="CW2420">
        <v>7.22</v>
      </c>
      <c r="CX2420">
        <v>-1.1599999999999999</v>
      </c>
      <c r="CY2420">
        <v>21.07</v>
      </c>
      <c r="CZ2420" t="s">
        <v>11235</v>
      </c>
      <c r="DA2420">
        <v>22.25</v>
      </c>
      <c r="DB2420">
        <v>21.75</v>
      </c>
      <c r="DC2420">
        <v>16.86</v>
      </c>
      <c r="DD2420">
        <v>0</v>
      </c>
      <c r="DE2420">
        <v>2524</v>
      </c>
      <c r="DF2420">
        <v>600266</v>
      </c>
      <c r="DG2420" t="s">
        <v>116</v>
      </c>
      <c r="DH2420" t="s">
        <v>116</v>
      </c>
      <c r="DI2420" t="s">
        <v>116</v>
      </c>
    </row>
    <row r="2421" spans="1:113" x14ac:dyDescent="0.4">
      <c r="A2421" t="str">
        <f>"600267"</f>
        <v>600267</v>
      </c>
      <c r="B2421" t="s">
        <v>11236</v>
      </c>
      <c r="C2421">
        <v>-1.24</v>
      </c>
      <c r="D2421">
        <v>9.57</v>
      </c>
      <c r="E2421">
        <v>-0.12</v>
      </c>
      <c r="F2421">
        <v>9.57</v>
      </c>
      <c r="G2421">
        <v>9.58</v>
      </c>
      <c r="H2421">
        <v>144249</v>
      </c>
      <c r="I2421">
        <v>1178</v>
      </c>
      <c r="J2421">
        <v>-0.2</v>
      </c>
      <c r="K2421">
        <v>1.49</v>
      </c>
      <c r="L2421">
        <v>9.6300000000000008</v>
      </c>
      <c r="M2421">
        <v>9.74</v>
      </c>
      <c r="N2421">
        <v>9.57</v>
      </c>
      <c r="O2421">
        <v>9.69</v>
      </c>
      <c r="P2421">
        <v>5.52</v>
      </c>
      <c r="Q2421">
        <v>139224256</v>
      </c>
      <c r="R2421">
        <v>0.9</v>
      </c>
      <c r="S2421" t="s">
        <v>574</v>
      </c>
      <c r="T2421" t="s">
        <v>590</v>
      </c>
      <c r="U2421">
        <v>1.75</v>
      </c>
      <c r="V2421">
        <v>9.65</v>
      </c>
      <c r="W2421">
        <v>87042</v>
      </c>
      <c r="X2421">
        <v>57207</v>
      </c>
      <c r="Y2421">
        <v>1.52</v>
      </c>
      <c r="Z2421">
        <v>908</v>
      </c>
      <c r="AA2421">
        <v>144</v>
      </c>
      <c r="AB2421" t="s">
        <v>116</v>
      </c>
      <c r="AC2421">
        <v>785200</v>
      </c>
      <c r="AD2421">
        <v>0.01</v>
      </c>
      <c r="AE2421" t="s">
        <v>116</v>
      </c>
      <c r="AF2421" t="s">
        <v>116</v>
      </c>
      <c r="AG2421">
        <v>9.66</v>
      </c>
      <c r="AH2421" t="s">
        <v>10308</v>
      </c>
      <c r="AI2421" t="s">
        <v>10308</v>
      </c>
      <c r="AJ2421">
        <v>-1.1599999999999999</v>
      </c>
      <c r="AK2421">
        <v>2664</v>
      </c>
      <c r="AL2421">
        <v>54</v>
      </c>
      <c r="AM2421">
        <v>5.9999999999999995E-4</v>
      </c>
      <c r="AN2421">
        <v>-1</v>
      </c>
      <c r="AO2421">
        <v>-0.62</v>
      </c>
      <c r="AP2421">
        <v>-9.4600000000000009</v>
      </c>
      <c r="AQ2421">
        <v>-1.44</v>
      </c>
      <c r="AR2421">
        <v>14.06</v>
      </c>
      <c r="AS2421">
        <v>2.58</v>
      </c>
      <c r="AT2421" t="s">
        <v>11237</v>
      </c>
      <c r="AU2421">
        <v>12.23</v>
      </c>
      <c r="AV2421" t="s">
        <v>116</v>
      </c>
      <c r="AW2421">
        <v>0.57999999999999996</v>
      </c>
      <c r="BA2421">
        <v>-0.62</v>
      </c>
      <c r="BB2421">
        <v>0.52</v>
      </c>
      <c r="BC2421">
        <v>-1.24</v>
      </c>
      <c r="BD2421">
        <v>-0.4</v>
      </c>
      <c r="BE2421">
        <v>-0.62</v>
      </c>
      <c r="BF2421">
        <v>-1.75</v>
      </c>
      <c r="BG2421">
        <v>0</v>
      </c>
      <c r="BH2421">
        <v>-0.84</v>
      </c>
      <c r="BI2421">
        <v>20191031</v>
      </c>
      <c r="BJ2421">
        <v>20000725</v>
      </c>
      <c r="BK2421">
        <v>9.66</v>
      </c>
      <c r="BL2421" t="s">
        <v>116</v>
      </c>
      <c r="BM2421" t="s">
        <v>116</v>
      </c>
      <c r="BN2421">
        <v>245.92</v>
      </c>
      <c r="BO2421">
        <v>74.38</v>
      </c>
      <c r="BP2421">
        <v>13.75</v>
      </c>
      <c r="BQ2421">
        <v>64.16</v>
      </c>
      <c r="BR2421">
        <v>92.51</v>
      </c>
      <c r="BS2421">
        <v>73.03</v>
      </c>
      <c r="BT2421">
        <v>9.15</v>
      </c>
      <c r="BU2421">
        <v>112.13</v>
      </c>
      <c r="BV2421">
        <v>22.45</v>
      </c>
      <c r="BW2421">
        <v>21.71</v>
      </c>
      <c r="BX2421">
        <v>36.49</v>
      </c>
      <c r="BY2421">
        <v>83.12</v>
      </c>
      <c r="BZ2421">
        <v>45.6</v>
      </c>
      <c r="CA2421">
        <v>16.260000000000002</v>
      </c>
      <c r="CB2421">
        <v>16.02</v>
      </c>
      <c r="CC2421">
        <v>16.2</v>
      </c>
      <c r="CD2421">
        <v>14.7</v>
      </c>
      <c r="CE2421">
        <v>12.55</v>
      </c>
      <c r="CF2421">
        <v>-4.04</v>
      </c>
      <c r="CG2421">
        <v>24.82</v>
      </c>
      <c r="CH2421">
        <v>6.14</v>
      </c>
      <c r="CI2421">
        <v>2.14</v>
      </c>
      <c r="CJ2421">
        <v>37363</v>
      </c>
      <c r="CK2421">
        <v>14941</v>
      </c>
      <c r="CL2421" t="s">
        <v>11238</v>
      </c>
      <c r="CM2421">
        <v>17542</v>
      </c>
      <c r="CN2421">
        <v>6.5</v>
      </c>
      <c r="CO2421">
        <v>1.24</v>
      </c>
      <c r="CP2421">
        <v>15.06</v>
      </c>
      <c r="CQ2421">
        <v>1.1100000000000001</v>
      </c>
      <c r="CR2421">
        <v>0</v>
      </c>
      <c r="CS2421" t="s">
        <v>3198</v>
      </c>
      <c r="CT2421">
        <v>7.7</v>
      </c>
      <c r="CU2421">
        <v>0</v>
      </c>
      <c r="CV2421">
        <v>3.78</v>
      </c>
      <c r="CW2421">
        <v>2.57</v>
      </c>
      <c r="CX2421">
        <v>0.64</v>
      </c>
      <c r="CY2421">
        <v>30.25</v>
      </c>
      <c r="CZ2421" t="s">
        <v>11239</v>
      </c>
      <c r="DA2421">
        <v>45.14</v>
      </c>
      <c r="DB2421">
        <v>19.559999999999999</v>
      </c>
      <c r="DC2421">
        <v>15.1</v>
      </c>
      <c r="DD2421">
        <v>4.4000000000000004</v>
      </c>
      <c r="DE2421">
        <v>9871</v>
      </c>
      <c r="DF2421">
        <v>600267</v>
      </c>
      <c r="DG2421" t="s">
        <v>116</v>
      </c>
      <c r="DH2421" t="s">
        <v>116</v>
      </c>
      <c r="DI2421" t="s">
        <v>116</v>
      </c>
    </row>
    <row r="2422" spans="1:113" x14ac:dyDescent="0.4">
      <c r="A2422" t="str">
        <f>"600268"</f>
        <v>600268</v>
      </c>
      <c r="B2422" t="s">
        <v>11240</v>
      </c>
      <c r="C2422">
        <v>-2.08</v>
      </c>
      <c r="D2422">
        <v>5.18</v>
      </c>
      <c r="E2422">
        <v>-0.11</v>
      </c>
      <c r="F2422">
        <v>5.18</v>
      </c>
      <c r="G2422">
        <v>5.19</v>
      </c>
      <c r="H2422">
        <v>107318</v>
      </c>
      <c r="I2422">
        <v>2210</v>
      </c>
      <c r="J2422">
        <v>-0.56999999999999995</v>
      </c>
      <c r="K2422">
        <v>1.69</v>
      </c>
      <c r="L2422">
        <v>5.27</v>
      </c>
      <c r="M2422">
        <v>5.33</v>
      </c>
      <c r="N2422">
        <v>5.18</v>
      </c>
      <c r="O2422">
        <v>5.29</v>
      </c>
      <c r="P2422" t="s">
        <v>116</v>
      </c>
      <c r="Q2422">
        <v>56502976</v>
      </c>
      <c r="R2422">
        <v>0.95</v>
      </c>
      <c r="S2422" t="s">
        <v>397</v>
      </c>
      <c r="T2422" t="s">
        <v>323</v>
      </c>
      <c r="U2422">
        <v>2.84</v>
      </c>
      <c r="V2422">
        <v>5.27</v>
      </c>
      <c r="W2422">
        <v>65212</v>
      </c>
      <c r="X2422">
        <v>42106</v>
      </c>
      <c r="Y2422">
        <v>1.55</v>
      </c>
      <c r="Z2422">
        <v>16</v>
      </c>
      <c r="AA2422">
        <v>472</v>
      </c>
      <c r="AB2422" t="s">
        <v>116</v>
      </c>
      <c r="AC2422">
        <v>197600</v>
      </c>
      <c r="AD2422">
        <v>0.01</v>
      </c>
      <c r="AE2422" t="s">
        <v>116</v>
      </c>
      <c r="AF2422" t="s">
        <v>116</v>
      </c>
      <c r="AG2422">
        <v>6.35</v>
      </c>
      <c r="AH2422" t="s">
        <v>11241</v>
      </c>
      <c r="AI2422" t="s">
        <v>11242</v>
      </c>
      <c r="AJ2422">
        <v>-2</v>
      </c>
      <c r="AK2422">
        <v>1308</v>
      </c>
      <c r="AL2422">
        <v>82</v>
      </c>
      <c r="AM2422">
        <v>1.2999999999999999E-3</v>
      </c>
      <c r="AN2422">
        <v>-2</v>
      </c>
      <c r="AO2422">
        <v>-1.53</v>
      </c>
      <c r="AP2422">
        <v>3.39</v>
      </c>
      <c r="AQ2422">
        <v>2.98</v>
      </c>
      <c r="AR2422">
        <v>23.33</v>
      </c>
      <c r="AS2422">
        <v>3.4</v>
      </c>
      <c r="AT2422" t="s">
        <v>11243</v>
      </c>
      <c r="AU2422" t="s">
        <v>116</v>
      </c>
      <c r="AV2422">
        <v>68.98</v>
      </c>
      <c r="AW2422">
        <v>0.92</v>
      </c>
      <c r="BA2422">
        <v>-0.38</v>
      </c>
      <c r="BB2422">
        <v>0.76</v>
      </c>
      <c r="BC2422">
        <v>-2.08</v>
      </c>
      <c r="BD2422">
        <v>-0.47</v>
      </c>
      <c r="BE2422">
        <v>-1.71</v>
      </c>
      <c r="BF2422">
        <v>-2.81</v>
      </c>
      <c r="BG2422">
        <v>0</v>
      </c>
      <c r="BH2422">
        <v>-1.61</v>
      </c>
      <c r="BI2422">
        <v>20191030</v>
      </c>
      <c r="BJ2422">
        <v>19991118</v>
      </c>
      <c r="BK2422">
        <v>6.95</v>
      </c>
      <c r="BL2422" t="s">
        <v>116</v>
      </c>
      <c r="BM2422" t="s">
        <v>116</v>
      </c>
      <c r="BN2422">
        <v>85.75</v>
      </c>
      <c r="BO2422">
        <v>22.39</v>
      </c>
      <c r="BP2422">
        <v>6.14</v>
      </c>
      <c r="BQ2422">
        <v>66.739999999999995</v>
      </c>
      <c r="BR2422">
        <v>62.6</v>
      </c>
      <c r="BS2422">
        <v>10</v>
      </c>
      <c r="BT2422">
        <v>3.16</v>
      </c>
      <c r="BU2422">
        <v>55.52</v>
      </c>
      <c r="BV2422">
        <v>8.67</v>
      </c>
      <c r="BW2422">
        <v>40.18</v>
      </c>
      <c r="BX2422">
        <v>13.17</v>
      </c>
      <c r="BY2422">
        <v>29.26</v>
      </c>
      <c r="BZ2422">
        <v>22</v>
      </c>
      <c r="CA2422">
        <v>-0.12</v>
      </c>
      <c r="CB2422">
        <v>-0.11</v>
      </c>
      <c r="CC2422">
        <v>-0.1</v>
      </c>
      <c r="CD2422">
        <v>-0.19</v>
      </c>
      <c r="CE2422">
        <v>-0.99</v>
      </c>
      <c r="CF2422">
        <v>-1.36</v>
      </c>
      <c r="CG2422">
        <v>0.1</v>
      </c>
      <c r="CH2422">
        <v>-3.11</v>
      </c>
      <c r="CI2422">
        <v>-5.41</v>
      </c>
      <c r="CJ2422">
        <v>54003</v>
      </c>
      <c r="CK2422">
        <v>5851</v>
      </c>
      <c r="CL2422" t="s">
        <v>11244</v>
      </c>
      <c r="CM2422">
        <v>-321.27</v>
      </c>
      <c r="CN2422">
        <v>2.3199999999999998</v>
      </c>
      <c r="CO2422">
        <v>1.61</v>
      </c>
      <c r="CP2422">
        <v>-11.6</v>
      </c>
      <c r="CQ2422">
        <v>1.23</v>
      </c>
      <c r="CR2422">
        <v>0.77</v>
      </c>
      <c r="CS2422" t="s">
        <v>11245</v>
      </c>
      <c r="CT2422">
        <v>3.22</v>
      </c>
      <c r="CU2422">
        <v>0</v>
      </c>
      <c r="CV2422">
        <v>1.89</v>
      </c>
      <c r="CW2422">
        <v>0.01</v>
      </c>
      <c r="CX2422">
        <v>-0.45</v>
      </c>
      <c r="CY2422">
        <v>26.1</v>
      </c>
      <c r="CZ2422" t="s">
        <v>11246</v>
      </c>
      <c r="DA2422">
        <v>24.82</v>
      </c>
      <c r="DB2422">
        <v>-0.41</v>
      </c>
      <c r="DC2422">
        <v>-3.39</v>
      </c>
      <c r="DD2422">
        <v>1.73</v>
      </c>
      <c r="DE2422">
        <v>3843</v>
      </c>
      <c r="DF2422">
        <v>600268</v>
      </c>
      <c r="DG2422" t="s">
        <v>116</v>
      </c>
      <c r="DH2422" t="s">
        <v>116</v>
      </c>
      <c r="DI2422" t="s">
        <v>116</v>
      </c>
    </row>
    <row r="2423" spans="1:113" x14ac:dyDescent="0.4">
      <c r="A2423" t="str">
        <f>"600269"</f>
        <v>600269</v>
      </c>
      <c r="B2423" t="s">
        <v>11247</v>
      </c>
      <c r="C2423">
        <v>-0.25</v>
      </c>
      <c r="D2423">
        <v>4.07</v>
      </c>
      <c r="E2423">
        <v>-0.01</v>
      </c>
      <c r="F2423">
        <v>4.07</v>
      </c>
      <c r="G2423">
        <v>4.08</v>
      </c>
      <c r="H2423">
        <v>102104</v>
      </c>
      <c r="I2423">
        <v>837</v>
      </c>
      <c r="J2423">
        <v>0</v>
      </c>
      <c r="K2423">
        <v>0.44</v>
      </c>
      <c r="L2423">
        <v>4.08</v>
      </c>
      <c r="M2423">
        <v>4.1100000000000003</v>
      </c>
      <c r="N2423">
        <v>4.07</v>
      </c>
      <c r="O2423">
        <v>4.08</v>
      </c>
      <c r="P2423">
        <v>7.07</v>
      </c>
      <c r="Q2423">
        <v>41732864</v>
      </c>
      <c r="R2423">
        <v>1.73</v>
      </c>
      <c r="S2423" t="s">
        <v>809</v>
      </c>
      <c r="T2423" t="s">
        <v>683</v>
      </c>
      <c r="U2423">
        <v>0.98</v>
      </c>
      <c r="V2423">
        <v>4.09</v>
      </c>
      <c r="W2423">
        <v>43438</v>
      </c>
      <c r="X2423">
        <v>58666</v>
      </c>
      <c r="Y2423">
        <v>0.74</v>
      </c>
      <c r="Z2423">
        <v>9581</v>
      </c>
      <c r="AA2423">
        <v>65</v>
      </c>
      <c r="AB2423" t="s">
        <v>116</v>
      </c>
      <c r="AC2423">
        <v>264000</v>
      </c>
      <c r="AD2423">
        <v>0.01</v>
      </c>
      <c r="AE2423" t="s">
        <v>116</v>
      </c>
      <c r="AF2423" t="s">
        <v>116</v>
      </c>
      <c r="AG2423">
        <v>23.35</v>
      </c>
      <c r="AH2423" t="s">
        <v>11248</v>
      </c>
      <c r="AI2423" t="s">
        <v>11248</v>
      </c>
      <c r="AJ2423">
        <v>-0.17</v>
      </c>
      <c r="AK2423">
        <v>944</v>
      </c>
      <c r="AL2423">
        <v>108</v>
      </c>
      <c r="AM2423">
        <v>5.0000000000000001E-4</v>
      </c>
      <c r="AN2423">
        <v>-1</v>
      </c>
      <c r="AO2423">
        <v>-0.49</v>
      </c>
      <c r="AP2423">
        <v>0.99</v>
      </c>
      <c r="AQ2423">
        <v>-1.45</v>
      </c>
      <c r="AR2423">
        <v>7.11</v>
      </c>
      <c r="AS2423">
        <v>0.93</v>
      </c>
      <c r="AT2423" t="s">
        <v>11249</v>
      </c>
      <c r="AU2423">
        <v>7.04</v>
      </c>
      <c r="AV2423">
        <v>8.1300000000000008</v>
      </c>
      <c r="AW2423">
        <v>0.74</v>
      </c>
      <c r="BA2423">
        <v>0</v>
      </c>
      <c r="BB2423">
        <v>0.74</v>
      </c>
      <c r="BC2423">
        <v>-0.25</v>
      </c>
      <c r="BD2423">
        <v>0.18</v>
      </c>
      <c r="BE2423">
        <v>-0.25</v>
      </c>
      <c r="BF2423">
        <v>-0.97</v>
      </c>
      <c r="BG2423">
        <v>0</v>
      </c>
      <c r="BH2423">
        <v>-0.42</v>
      </c>
      <c r="BI2423">
        <v>20191112</v>
      </c>
      <c r="BJ2423">
        <v>20000518</v>
      </c>
      <c r="BK2423">
        <v>23.35</v>
      </c>
      <c r="BL2423" t="s">
        <v>116</v>
      </c>
      <c r="BM2423" t="s">
        <v>116</v>
      </c>
      <c r="BN2423">
        <v>353.61</v>
      </c>
      <c r="BO2423">
        <v>156.15</v>
      </c>
      <c r="BP2423">
        <v>13.71</v>
      </c>
      <c r="BQ2423">
        <v>51.96</v>
      </c>
      <c r="BR2423">
        <v>76.31</v>
      </c>
      <c r="BS2423">
        <v>257.86</v>
      </c>
      <c r="BT2423">
        <v>0.97</v>
      </c>
      <c r="BU2423">
        <v>73.599999999999994</v>
      </c>
      <c r="BV2423">
        <v>22.46</v>
      </c>
      <c r="BW2423">
        <v>5.4</v>
      </c>
      <c r="BX2423">
        <v>18.61</v>
      </c>
      <c r="BY2423">
        <v>33.58</v>
      </c>
      <c r="BZ2423">
        <v>18.75</v>
      </c>
      <c r="CA2423">
        <v>10.56</v>
      </c>
      <c r="CB2423">
        <v>0.3</v>
      </c>
      <c r="CC2423">
        <v>14.2</v>
      </c>
      <c r="CD2423">
        <v>10</v>
      </c>
      <c r="CE2423">
        <v>10.08</v>
      </c>
      <c r="CF2423">
        <v>5.44</v>
      </c>
      <c r="CG2423">
        <v>98.91</v>
      </c>
      <c r="CH2423">
        <v>13.63</v>
      </c>
      <c r="CI2423">
        <v>-4.5199999999999996</v>
      </c>
      <c r="CJ2423">
        <v>87682</v>
      </c>
      <c r="CK2423">
        <v>12565</v>
      </c>
      <c r="CL2423" t="s">
        <v>3637</v>
      </c>
      <c r="CM2423">
        <v>21.97</v>
      </c>
      <c r="CN2423">
        <v>5.84</v>
      </c>
      <c r="CO2423">
        <v>0.61</v>
      </c>
      <c r="CP2423">
        <v>6.97</v>
      </c>
      <c r="CQ2423">
        <v>2.83</v>
      </c>
      <c r="CR2423">
        <v>2.46</v>
      </c>
      <c r="CS2423" t="s">
        <v>4617</v>
      </c>
      <c r="CT2423">
        <v>6.69</v>
      </c>
      <c r="CU2423">
        <v>0</v>
      </c>
      <c r="CV2423">
        <v>0.8</v>
      </c>
      <c r="CW2423">
        <v>4.24</v>
      </c>
      <c r="CX2423">
        <v>0.57999999999999996</v>
      </c>
      <c r="CY2423">
        <v>44.16</v>
      </c>
      <c r="CZ2423" t="s">
        <v>2734</v>
      </c>
      <c r="DA2423">
        <v>44.17</v>
      </c>
      <c r="DB2423">
        <v>31.45</v>
      </c>
      <c r="DC2423">
        <v>30.01</v>
      </c>
      <c r="DD2423">
        <v>0.31</v>
      </c>
      <c r="DE2423">
        <v>3669</v>
      </c>
      <c r="DF2423">
        <v>600269</v>
      </c>
      <c r="DG2423" t="s">
        <v>116</v>
      </c>
      <c r="DH2423" t="s">
        <v>116</v>
      </c>
      <c r="DI2423" t="s">
        <v>116</v>
      </c>
    </row>
    <row r="2424" spans="1:113" x14ac:dyDescent="0.4">
      <c r="A2424" t="str">
        <f>"600271"</f>
        <v>600271</v>
      </c>
      <c r="B2424" t="s">
        <v>11250</v>
      </c>
      <c r="C2424">
        <v>-0.89</v>
      </c>
      <c r="D2424">
        <v>22.16</v>
      </c>
      <c r="E2424">
        <v>-0.2</v>
      </c>
      <c r="F2424">
        <v>22.15</v>
      </c>
      <c r="G2424">
        <v>22.16</v>
      </c>
      <c r="H2424">
        <v>128268</v>
      </c>
      <c r="I2424">
        <v>786</v>
      </c>
      <c r="J2424">
        <v>-0.04</v>
      </c>
      <c r="K2424">
        <v>0.69</v>
      </c>
      <c r="L2424">
        <v>22.37</v>
      </c>
      <c r="M2424">
        <v>22.54</v>
      </c>
      <c r="N2424">
        <v>22.12</v>
      </c>
      <c r="O2424">
        <v>22.36</v>
      </c>
      <c r="P2424">
        <v>27.04</v>
      </c>
      <c r="Q2424">
        <v>286321440</v>
      </c>
      <c r="R2424">
        <v>1.08</v>
      </c>
      <c r="S2424" t="s">
        <v>241</v>
      </c>
      <c r="T2424" t="s">
        <v>165</v>
      </c>
      <c r="U2424">
        <v>1.88</v>
      </c>
      <c r="V2424">
        <v>22.32</v>
      </c>
      <c r="W2424">
        <v>62338</v>
      </c>
      <c r="X2424">
        <v>65930</v>
      </c>
      <c r="Y2424">
        <v>0.95</v>
      </c>
      <c r="Z2424">
        <v>215</v>
      </c>
      <c r="AA2424">
        <v>737</v>
      </c>
      <c r="AB2424" t="s">
        <v>116</v>
      </c>
      <c r="AC2424">
        <v>2261600</v>
      </c>
      <c r="AD2424">
        <v>0.01</v>
      </c>
      <c r="AE2424" t="s">
        <v>116</v>
      </c>
      <c r="AF2424" t="s">
        <v>116</v>
      </c>
      <c r="AG2424">
        <v>18.53</v>
      </c>
      <c r="AH2424" t="s">
        <v>11251</v>
      </c>
      <c r="AI2424" t="s">
        <v>11252</v>
      </c>
      <c r="AJ2424">
        <v>-0.82</v>
      </c>
      <c r="AK2424">
        <v>3606</v>
      </c>
      <c r="AL2424">
        <v>36</v>
      </c>
      <c r="AM2424">
        <v>2.0000000000000001E-4</v>
      </c>
      <c r="AN2424">
        <v>-1</v>
      </c>
      <c r="AO2424">
        <v>2.12</v>
      </c>
      <c r="AP2424">
        <v>7.31</v>
      </c>
      <c r="AQ2424">
        <v>4.68</v>
      </c>
      <c r="AR2424">
        <v>-1.29</v>
      </c>
      <c r="AS2424">
        <v>1.23</v>
      </c>
      <c r="AT2424" t="s">
        <v>11253</v>
      </c>
      <c r="AU2424">
        <v>21.63</v>
      </c>
      <c r="AV2424">
        <v>25.51</v>
      </c>
      <c r="AW2424">
        <v>1.68</v>
      </c>
      <c r="BA2424">
        <v>0.04</v>
      </c>
      <c r="BB2424">
        <v>0.81</v>
      </c>
      <c r="BC2424">
        <v>-1.07</v>
      </c>
      <c r="BD2424">
        <v>-0.17</v>
      </c>
      <c r="BE2424">
        <v>-0.94</v>
      </c>
      <c r="BF2424">
        <v>-1.69</v>
      </c>
      <c r="BG2424">
        <v>0.18</v>
      </c>
      <c r="BH2424">
        <v>-0.73</v>
      </c>
      <c r="BI2424">
        <v>20191031</v>
      </c>
      <c r="BJ2424">
        <v>20030711</v>
      </c>
      <c r="BK2424">
        <v>18.63</v>
      </c>
      <c r="BL2424" t="s">
        <v>116</v>
      </c>
      <c r="BM2424" t="s">
        <v>116</v>
      </c>
      <c r="BN2424">
        <v>228.04</v>
      </c>
      <c r="BO2424">
        <v>115.66</v>
      </c>
      <c r="BP2424">
        <v>21.84</v>
      </c>
      <c r="BQ2424">
        <v>39.700000000000003</v>
      </c>
      <c r="BR2424">
        <v>173.32</v>
      </c>
      <c r="BS2424">
        <v>12.03</v>
      </c>
      <c r="BT2424">
        <v>11.21</v>
      </c>
      <c r="BU2424">
        <v>66.489999999999995</v>
      </c>
      <c r="BV2424">
        <v>28.24</v>
      </c>
      <c r="BW2424">
        <v>28.31</v>
      </c>
      <c r="BX2424">
        <v>4.43</v>
      </c>
      <c r="BY2424">
        <v>191.48</v>
      </c>
      <c r="BZ2424">
        <v>153.49</v>
      </c>
      <c r="CA2424">
        <v>20.94</v>
      </c>
      <c r="CB2424">
        <v>0.88</v>
      </c>
      <c r="CC2424">
        <v>21.18</v>
      </c>
      <c r="CD2424">
        <v>17.23</v>
      </c>
      <c r="CE2424">
        <v>11.45</v>
      </c>
      <c r="CF2424">
        <v>7.62</v>
      </c>
      <c r="CG2424">
        <v>79.66</v>
      </c>
      <c r="CH2424">
        <v>-14.23</v>
      </c>
      <c r="CI2424">
        <v>-28.95</v>
      </c>
      <c r="CJ2424">
        <v>89799</v>
      </c>
      <c r="CK2424">
        <v>11619</v>
      </c>
      <c r="CL2424" t="s">
        <v>11254</v>
      </c>
      <c r="CM2424">
        <v>34</v>
      </c>
      <c r="CN2424">
        <v>-17.13</v>
      </c>
      <c r="CO2424">
        <v>3.71</v>
      </c>
      <c r="CP2424">
        <v>-29</v>
      </c>
      <c r="CQ2424">
        <v>2.16</v>
      </c>
      <c r="CR2424">
        <v>1.99</v>
      </c>
      <c r="CS2424" t="s">
        <v>9787</v>
      </c>
      <c r="CT2424">
        <v>5.97</v>
      </c>
      <c r="CU2424">
        <v>5.97</v>
      </c>
      <c r="CV2424">
        <v>0.24</v>
      </c>
      <c r="CW2424">
        <v>4.28</v>
      </c>
      <c r="CX2424">
        <v>-0.76</v>
      </c>
      <c r="CY2424">
        <v>50.72</v>
      </c>
      <c r="CZ2424" t="s">
        <v>4792</v>
      </c>
      <c r="DA2424">
        <v>19.84</v>
      </c>
      <c r="DB2424">
        <v>10.94</v>
      </c>
      <c r="DC2424">
        <v>5.98</v>
      </c>
      <c r="DD2424">
        <v>4.1399999999999997</v>
      </c>
      <c r="DE2424">
        <v>20990</v>
      </c>
      <c r="DF2424">
        <v>600271</v>
      </c>
      <c r="DG2424" t="s">
        <v>116</v>
      </c>
      <c r="DH2424" t="s">
        <v>116</v>
      </c>
      <c r="DI2424" t="s">
        <v>116</v>
      </c>
    </row>
    <row r="2425" spans="1:113" x14ac:dyDescent="0.4">
      <c r="A2425" t="str">
        <f>"600272"</f>
        <v>600272</v>
      </c>
      <c r="B2425" t="s">
        <v>11255</v>
      </c>
      <c r="C2425">
        <v>-0.66</v>
      </c>
      <c r="D2425">
        <v>7.5</v>
      </c>
      <c r="E2425">
        <v>-0.05</v>
      </c>
      <c r="F2425">
        <v>7.5</v>
      </c>
      <c r="G2425">
        <v>7.51</v>
      </c>
      <c r="H2425">
        <v>7923</v>
      </c>
      <c r="I2425">
        <v>33</v>
      </c>
      <c r="J2425">
        <v>0</v>
      </c>
      <c r="K2425">
        <v>0.5</v>
      </c>
      <c r="L2425">
        <v>7.54</v>
      </c>
      <c r="M2425">
        <v>7.64</v>
      </c>
      <c r="N2425">
        <v>7.48</v>
      </c>
      <c r="O2425">
        <v>7.55</v>
      </c>
      <c r="P2425">
        <v>96.35</v>
      </c>
      <c r="Q2425">
        <v>5993685</v>
      </c>
      <c r="R2425">
        <v>1.44</v>
      </c>
      <c r="S2425" t="s">
        <v>781</v>
      </c>
      <c r="T2425" t="s">
        <v>1653</v>
      </c>
      <c r="U2425">
        <v>2.12</v>
      </c>
      <c r="V2425">
        <v>7.56</v>
      </c>
      <c r="W2425">
        <v>4450</v>
      </c>
      <c r="X2425">
        <v>3473</v>
      </c>
      <c r="Y2425">
        <v>1.28</v>
      </c>
      <c r="Z2425">
        <v>50</v>
      </c>
      <c r="AA2425">
        <v>8</v>
      </c>
      <c r="AB2425" t="s">
        <v>116</v>
      </c>
      <c r="AC2425">
        <v>0</v>
      </c>
      <c r="AD2425">
        <v>0</v>
      </c>
      <c r="AE2425" t="s">
        <v>116</v>
      </c>
      <c r="AF2425" t="s">
        <v>116</v>
      </c>
      <c r="AG2425">
        <v>1.6</v>
      </c>
      <c r="AH2425" t="s">
        <v>6865</v>
      </c>
      <c r="AI2425" t="s">
        <v>6508</v>
      </c>
      <c r="AJ2425">
        <v>-0.59</v>
      </c>
      <c r="AK2425">
        <v>326</v>
      </c>
      <c r="AL2425">
        <v>24</v>
      </c>
      <c r="AM2425">
        <v>1.5E-3</v>
      </c>
      <c r="AN2425">
        <v>-1</v>
      </c>
      <c r="AO2425">
        <v>0.01</v>
      </c>
      <c r="AP2425">
        <v>3.88</v>
      </c>
      <c r="AQ2425">
        <v>-6.13</v>
      </c>
      <c r="AR2425">
        <v>6.31</v>
      </c>
      <c r="AS2425">
        <v>0.89</v>
      </c>
      <c r="AT2425" t="s">
        <v>9995</v>
      </c>
      <c r="AU2425">
        <v>80.36</v>
      </c>
      <c r="AV2425">
        <v>51.73</v>
      </c>
      <c r="AW2425">
        <v>1.19</v>
      </c>
      <c r="BA2425">
        <v>-0.13</v>
      </c>
      <c r="BB2425">
        <v>1.19</v>
      </c>
      <c r="BC2425">
        <v>-0.93</v>
      </c>
      <c r="BD2425">
        <v>0.2</v>
      </c>
      <c r="BE2425">
        <v>-0.53</v>
      </c>
      <c r="BF2425">
        <v>-1.83</v>
      </c>
      <c r="BG2425">
        <v>0.27</v>
      </c>
      <c r="BH2425">
        <v>-0.86</v>
      </c>
      <c r="BI2425">
        <v>20191030</v>
      </c>
      <c r="BJ2425">
        <v>20010228</v>
      </c>
      <c r="BK2425">
        <v>2.4300000000000002</v>
      </c>
      <c r="BL2425">
        <v>0.8</v>
      </c>
      <c r="BM2425" t="s">
        <v>116</v>
      </c>
      <c r="BN2425">
        <v>10.4</v>
      </c>
      <c r="BO2425">
        <v>5.13</v>
      </c>
      <c r="BP2425">
        <v>0.05</v>
      </c>
      <c r="BQ2425">
        <v>50.14</v>
      </c>
      <c r="BR2425">
        <v>5.25</v>
      </c>
      <c r="BS2425">
        <v>1.68</v>
      </c>
      <c r="BT2425">
        <v>0.01</v>
      </c>
      <c r="BU2425">
        <v>2.93</v>
      </c>
      <c r="BV2425">
        <v>0.99</v>
      </c>
      <c r="BW2425">
        <v>1.43</v>
      </c>
      <c r="BX2425">
        <v>0.15</v>
      </c>
      <c r="BY2425">
        <v>6.4</v>
      </c>
      <c r="BZ2425">
        <v>4.95</v>
      </c>
      <c r="CA2425">
        <v>0.26</v>
      </c>
      <c r="CB2425">
        <v>0.05</v>
      </c>
      <c r="CC2425">
        <v>0.26</v>
      </c>
      <c r="CD2425">
        <v>0.14000000000000001</v>
      </c>
      <c r="CE2425">
        <v>0.14000000000000001</v>
      </c>
      <c r="CF2425">
        <v>0.06</v>
      </c>
      <c r="CG2425">
        <v>1.47</v>
      </c>
      <c r="CH2425">
        <v>-0.09</v>
      </c>
      <c r="CI2425">
        <v>-0.03</v>
      </c>
      <c r="CJ2425">
        <v>27449</v>
      </c>
      <c r="CK2425">
        <v>6146</v>
      </c>
      <c r="CL2425" t="s">
        <v>1438</v>
      </c>
      <c r="CM2425">
        <v>-46.95</v>
      </c>
      <c r="CN2425">
        <v>-0.42</v>
      </c>
      <c r="CO2425">
        <v>3.55</v>
      </c>
      <c r="CP2425">
        <v>-197.25</v>
      </c>
      <c r="CQ2425">
        <v>2.85</v>
      </c>
      <c r="CR2425">
        <v>0.6</v>
      </c>
      <c r="CS2425" t="s">
        <v>6382</v>
      </c>
      <c r="CT2425">
        <v>2.11</v>
      </c>
      <c r="CU2425">
        <v>0</v>
      </c>
      <c r="CV2425">
        <v>0.06</v>
      </c>
      <c r="CW2425">
        <v>0.61</v>
      </c>
      <c r="CX2425">
        <v>-0.04</v>
      </c>
      <c r="CY2425">
        <v>49.34</v>
      </c>
      <c r="CZ2425" t="s">
        <v>883</v>
      </c>
      <c r="DA2425">
        <v>22.67</v>
      </c>
      <c r="DB2425">
        <v>4.05</v>
      </c>
      <c r="DC2425">
        <v>2.2200000000000002</v>
      </c>
      <c r="DD2425">
        <v>0</v>
      </c>
      <c r="DE2425">
        <v>955</v>
      </c>
      <c r="DF2425">
        <v>600272</v>
      </c>
      <c r="DG2425" t="s">
        <v>116</v>
      </c>
      <c r="DH2425" t="s">
        <v>116</v>
      </c>
      <c r="DI2425" t="s">
        <v>116</v>
      </c>
    </row>
    <row r="2426" spans="1:113" x14ac:dyDescent="0.4">
      <c r="A2426" t="str">
        <f>"600273"</f>
        <v>600273</v>
      </c>
      <c r="B2426" t="s">
        <v>11256</v>
      </c>
      <c r="C2426">
        <v>-3.51</v>
      </c>
      <c r="D2426">
        <v>11.01</v>
      </c>
      <c r="E2426">
        <v>-0.4</v>
      </c>
      <c r="F2426">
        <v>11.01</v>
      </c>
      <c r="G2426">
        <v>11.02</v>
      </c>
      <c r="H2426">
        <v>369219</v>
      </c>
      <c r="I2426">
        <v>4744</v>
      </c>
      <c r="J2426">
        <v>-0.08</v>
      </c>
      <c r="K2426">
        <v>2.61</v>
      </c>
      <c r="L2426">
        <v>11.28</v>
      </c>
      <c r="M2426">
        <v>11.47</v>
      </c>
      <c r="N2426">
        <v>11</v>
      </c>
      <c r="O2426">
        <v>11.41</v>
      </c>
      <c r="P2426">
        <v>12.56</v>
      </c>
      <c r="Q2426">
        <v>415191264</v>
      </c>
      <c r="R2426">
        <v>1.24</v>
      </c>
      <c r="S2426" t="s">
        <v>891</v>
      </c>
      <c r="T2426" t="s">
        <v>590</v>
      </c>
      <c r="U2426">
        <v>4.12</v>
      </c>
      <c r="V2426">
        <v>11.25</v>
      </c>
      <c r="W2426">
        <v>222451</v>
      </c>
      <c r="X2426">
        <v>146768</v>
      </c>
      <c r="Y2426">
        <v>1.52</v>
      </c>
      <c r="Z2426">
        <v>485</v>
      </c>
      <c r="AA2426">
        <v>84</v>
      </c>
      <c r="AB2426" t="s">
        <v>116</v>
      </c>
      <c r="AC2426">
        <v>9599300</v>
      </c>
      <c r="AD2426">
        <v>0.11</v>
      </c>
      <c r="AE2426" t="s">
        <v>116</v>
      </c>
      <c r="AF2426" t="s">
        <v>116</v>
      </c>
      <c r="AG2426">
        <v>14.14</v>
      </c>
      <c r="AH2426" t="s">
        <v>11257</v>
      </c>
      <c r="AI2426" t="s">
        <v>11258</v>
      </c>
      <c r="AJ2426">
        <v>-3.43</v>
      </c>
      <c r="AK2426">
        <v>3683</v>
      </c>
      <c r="AL2426">
        <v>100</v>
      </c>
      <c r="AM2426">
        <v>6.9999999999999999E-4</v>
      </c>
      <c r="AN2426">
        <v>-1</v>
      </c>
      <c r="AO2426">
        <v>1.95</v>
      </c>
      <c r="AP2426">
        <v>20.59</v>
      </c>
      <c r="AQ2426">
        <v>3.04</v>
      </c>
      <c r="AR2426">
        <v>26.55</v>
      </c>
      <c r="AS2426">
        <v>4.5599999999999996</v>
      </c>
      <c r="AT2426" t="s">
        <v>2901</v>
      </c>
      <c r="AU2426">
        <v>13.29</v>
      </c>
      <c r="AV2426">
        <v>14.34</v>
      </c>
      <c r="AW2426">
        <v>1.83</v>
      </c>
      <c r="BA2426">
        <v>-1.1399999999999999</v>
      </c>
      <c r="BB2426">
        <v>0.53</v>
      </c>
      <c r="BC2426">
        <v>-3.59</v>
      </c>
      <c r="BD2426">
        <v>-1.45</v>
      </c>
      <c r="BE2426">
        <v>-2.39</v>
      </c>
      <c r="BF2426">
        <v>-4.01</v>
      </c>
      <c r="BG2426">
        <v>0.09</v>
      </c>
      <c r="BH2426">
        <v>-2.06</v>
      </c>
      <c r="BI2426">
        <v>20191025</v>
      </c>
      <c r="BJ2426">
        <v>20030627</v>
      </c>
      <c r="BK2426">
        <v>14.33</v>
      </c>
      <c r="BL2426" t="s">
        <v>116</v>
      </c>
      <c r="BM2426" t="s">
        <v>116</v>
      </c>
      <c r="BN2426">
        <v>82.79</v>
      </c>
      <c r="BO2426">
        <v>69.069999999999993</v>
      </c>
      <c r="BP2426">
        <v>0.24</v>
      </c>
      <c r="BQ2426">
        <v>16.28</v>
      </c>
      <c r="BR2426">
        <v>26.46</v>
      </c>
      <c r="BS2426">
        <v>41.81</v>
      </c>
      <c r="BT2426">
        <v>3.8</v>
      </c>
      <c r="BU2426">
        <v>12.15</v>
      </c>
      <c r="BV2426">
        <v>4.6900000000000004</v>
      </c>
      <c r="BW2426">
        <v>4.9000000000000004</v>
      </c>
      <c r="BX2426">
        <v>24.81</v>
      </c>
      <c r="BY2426">
        <v>40.630000000000003</v>
      </c>
      <c r="BZ2426">
        <v>26.2</v>
      </c>
      <c r="CA2426">
        <v>11.29</v>
      </c>
      <c r="CB2426">
        <v>0.09</v>
      </c>
      <c r="CC2426">
        <v>11.26</v>
      </c>
      <c r="CD2426">
        <v>9.4499999999999993</v>
      </c>
      <c r="CE2426">
        <v>9.42</v>
      </c>
      <c r="CF2426">
        <v>9.15</v>
      </c>
      <c r="CG2426">
        <v>30.12</v>
      </c>
      <c r="CH2426">
        <v>11.64</v>
      </c>
      <c r="CI2426">
        <v>0.79</v>
      </c>
      <c r="CJ2426">
        <v>35781</v>
      </c>
      <c r="CK2426">
        <v>22643</v>
      </c>
      <c r="CL2426" t="s">
        <v>11259</v>
      </c>
      <c r="CM2426">
        <v>10.19</v>
      </c>
      <c r="CN2426">
        <v>-3.03</v>
      </c>
      <c r="CO2426">
        <v>2.2799999999999998</v>
      </c>
      <c r="CP2426">
        <v>13.55</v>
      </c>
      <c r="CQ2426">
        <v>3.88</v>
      </c>
      <c r="CR2426">
        <v>2.57</v>
      </c>
      <c r="CS2426" t="s">
        <v>6983</v>
      </c>
      <c r="CT2426">
        <v>4.82</v>
      </c>
      <c r="CU2426">
        <v>0</v>
      </c>
      <c r="CV2426">
        <v>1.73</v>
      </c>
      <c r="CW2426">
        <v>2.1</v>
      </c>
      <c r="CX2426">
        <v>0.81</v>
      </c>
      <c r="CY2426">
        <v>83.43</v>
      </c>
      <c r="CZ2426" t="s">
        <v>11260</v>
      </c>
      <c r="DA2426">
        <v>35.51</v>
      </c>
      <c r="DB2426">
        <v>27.78</v>
      </c>
      <c r="DC2426">
        <v>23.19</v>
      </c>
      <c r="DD2426">
        <v>1.6</v>
      </c>
      <c r="DE2426">
        <v>1330</v>
      </c>
      <c r="DF2426">
        <v>600273</v>
      </c>
      <c r="DG2426" t="s">
        <v>116</v>
      </c>
      <c r="DH2426" t="s">
        <v>116</v>
      </c>
      <c r="DI2426" t="s">
        <v>116</v>
      </c>
    </row>
    <row r="2427" spans="1:113" x14ac:dyDescent="0.4">
      <c r="A2427" t="str">
        <f>"600275"</f>
        <v>600275</v>
      </c>
      <c r="B2427" t="s">
        <v>11261</v>
      </c>
      <c r="C2427">
        <v>-1.29</v>
      </c>
      <c r="D2427">
        <v>2.29</v>
      </c>
      <c r="E2427">
        <v>-0.03</v>
      </c>
      <c r="F2427">
        <v>2.29</v>
      </c>
      <c r="G2427">
        <v>2.2999999999999998</v>
      </c>
      <c r="H2427">
        <v>48390</v>
      </c>
      <c r="I2427">
        <v>338</v>
      </c>
      <c r="J2427">
        <v>0</v>
      </c>
      <c r="K2427">
        <v>0.95</v>
      </c>
      <c r="L2427">
        <v>2.31</v>
      </c>
      <c r="M2427">
        <v>2.36</v>
      </c>
      <c r="N2427">
        <v>2.2799999999999998</v>
      </c>
      <c r="O2427">
        <v>2.3199999999999998</v>
      </c>
      <c r="P2427" t="s">
        <v>116</v>
      </c>
      <c r="Q2427">
        <v>11253737</v>
      </c>
      <c r="R2427">
        <v>0.55000000000000004</v>
      </c>
      <c r="S2427" t="s">
        <v>449</v>
      </c>
      <c r="T2427" t="s">
        <v>774</v>
      </c>
      <c r="U2427">
        <v>3.45</v>
      </c>
      <c r="V2427">
        <v>2.33</v>
      </c>
      <c r="W2427">
        <v>23715</v>
      </c>
      <c r="X2427">
        <v>24675</v>
      </c>
      <c r="Y2427">
        <v>0.96</v>
      </c>
      <c r="Z2427">
        <v>548</v>
      </c>
      <c r="AA2427">
        <v>1162</v>
      </c>
      <c r="AB2427" t="s">
        <v>116</v>
      </c>
      <c r="AC2427">
        <v>13900</v>
      </c>
      <c r="AD2427">
        <v>0</v>
      </c>
      <c r="AE2427" t="s">
        <v>116</v>
      </c>
      <c r="AF2427" t="s">
        <v>116</v>
      </c>
      <c r="AG2427">
        <v>5.09</v>
      </c>
      <c r="AH2427" t="s">
        <v>3871</v>
      </c>
      <c r="AI2427" t="s">
        <v>3871</v>
      </c>
      <c r="AJ2427">
        <v>-1.22</v>
      </c>
      <c r="AK2427">
        <v>418</v>
      </c>
      <c r="AL2427">
        <v>116</v>
      </c>
      <c r="AM2427">
        <v>2.3E-3</v>
      </c>
      <c r="AN2427">
        <v>-1</v>
      </c>
      <c r="AO2427">
        <v>-3.78</v>
      </c>
      <c r="AP2427">
        <v>5.05</v>
      </c>
      <c r="AQ2427">
        <v>3.15</v>
      </c>
      <c r="AR2427">
        <v>-17.03</v>
      </c>
      <c r="AS2427">
        <v>1.37</v>
      </c>
      <c r="AT2427" t="s">
        <v>11262</v>
      </c>
      <c r="AU2427" t="s">
        <v>116</v>
      </c>
      <c r="AV2427">
        <v>272.18</v>
      </c>
      <c r="AW2427">
        <v>0.74</v>
      </c>
      <c r="BA2427">
        <v>-0.43</v>
      </c>
      <c r="BB2427">
        <v>1.72</v>
      </c>
      <c r="BC2427">
        <v>-1.72</v>
      </c>
      <c r="BD2427">
        <v>0.24</v>
      </c>
      <c r="BE2427">
        <v>-0.87</v>
      </c>
      <c r="BF2427">
        <v>-2.97</v>
      </c>
      <c r="BG2427">
        <v>0.44</v>
      </c>
      <c r="BH2427">
        <v>-1.54</v>
      </c>
      <c r="BI2427">
        <v>20191030</v>
      </c>
      <c r="BJ2427">
        <v>20000810</v>
      </c>
      <c r="BK2427">
        <v>5.09</v>
      </c>
      <c r="BL2427" t="s">
        <v>116</v>
      </c>
      <c r="BM2427" t="s">
        <v>116</v>
      </c>
      <c r="BN2427">
        <v>2.23</v>
      </c>
      <c r="BO2427">
        <v>1.35</v>
      </c>
      <c r="BP2427">
        <v>0.01</v>
      </c>
      <c r="BQ2427">
        <v>38.92</v>
      </c>
      <c r="BR2427">
        <v>0.67</v>
      </c>
      <c r="BS2427">
        <v>0.12</v>
      </c>
      <c r="BT2427">
        <v>0.31</v>
      </c>
      <c r="BU2427">
        <v>0.87</v>
      </c>
      <c r="BV2427">
        <v>0.03</v>
      </c>
      <c r="BW2427">
        <v>0.13</v>
      </c>
      <c r="BX2427">
        <v>1.32</v>
      </c>
      <c r="BY2427">
        <v>0.19</v>
      </c>
      <c r="BZ2427">
        <v>0.17</v>
      </c>
      <c r="CA2427">
        <v>-0.21</v>
      </c>
      <c r="CB2427">
        <v>-0.09</v>
      </c>
      <c r="CC2427">
        <v>-0.16</v>
      </c>
      <c r="CD2427">
        <v>-0.16</v>
      </c>
      <c r="CE2427">
        <v>-0.16</v>
      </c>
      <c r="CF2427">
        <v>-0.21</v>
      </c>
      <c r="CG2427">
        <v>-5.31</v>
      </c>
      <c r="CH2427">
        <v>-0.1</v>
      </c>
      <c r="CI2427">
        <v>-0.13</v>
      </c>
      <c r="CJ2427">
        <v>38722</v>
      </c>
      <c r="CK2427">
        <v>9098</v>
      </c>
      <c r="CL2427" t="s">
        <v>10831</v>
      </c>
      <c r="CM2427">
        <v>-128.69999999999999</v>
      </c>
      <c r="CN2427">
        <v>38.07</v>
      </c>
      <c r="CO2427">
        <v>8.6300000000000008</v>
      </c>
      <c r="CP2427">
        <v>-114.83</v>
      </c>
      <c r="CQ2427">
        <v>61.06</v>
      </c>
      <c r="CR2427">
        <v>0</v>
      </c>
      <c r="CS2427" t="s">
        <v>11263</v>
      </c>
      <c r="CT2427">
        <v>0.27</v>
      </c>
      <c r="CU2427">
        <v>0</v>
      </c>
      <c r="CV2427">
        <v>0.26</v>
      </c>
      <c r="CW2427">
        <v>-1.04</v>
      </c>
      <c r="CX2427">
        <v>-0.02</v>
      </c>
      <c r="CY2427">
        <v>60.46</v>
      </c>
      <c r="CZ2427" t="s">
        <v>11264</v>
      </c>
      <c r="DA2427">
        <v>10.52</v>
      </c>
      <c r="DB2427">
        <v>-108.69</v>
      </c>
      <c r="DC2427">
        <v>-86.23</v>
      </c>
      <c r="DD2427">
        <v>0</v>
      </c>
      <c r="DE2427">
        <v>456</v>
      </c>
      <c r="DF2427">
        <v>600275</v>
      </c>
      <c r="DG2427" t="s">
        <v>116</v>
      </c>
      <c r="DH2427" t="s">
        <v>116</v>
      </c>
      <c r="DI2427" t="s">
        <v>116</v>
      </c>
    </row>
    <row r="2428" spans="1:113" x14ac:dyDescent="0.4">
      <c r="A2428" t="str">
        <f>"600276"</f>
        <v>600276</v>
      </c>
      <c r="B2428" t="s">
        <v>11265</v>
      </c>
      <c r="C2428">
        <v>0</v>
      </c>
      <c r="D2428">
        <v>84.38</v>
      </c>
      <c r="E2428">
        <v>0</v>
      </c>
      <c r="F2428">
        <v>84.38</v>
      </c>
      <c r="G2428">
        <v>84.39</v>
      </c>
      <c r="H2428">
        <v>142714</v>
      </c>
      <c r="I2428">
        <v>1252</v>
      </c>
      <c r="J2428">
        <v>-0.05</v>
      </c>
      <c r="K2428">
        <v>0.32</v>
      </c>
      <c r="L2428">
        <v>84</v>
      </c>
      <c r="M2428">
        <v>85.08</v>
      </c>
      <c r="N2428">
        <v>83.99</v>
      </c>
      <c r="O2428">
        <v>84.38</v>
      </c>
      <c r="P2428">
        <v>74.94</v>
      </c>
      <c r="Q2428">
        <v>1207783040</v>
      </c>
      <c r="R2428">
        <v>1.1000000000000001</v>
      </c>
      <c r="S2428" t="s">
        <v>574</v>
      </c>
      <c r="T2428" t="s">
        <v>323</v>
      </c>
      <c r="U2428">
        <v>1.29</v>
      </c>
      <c r="V2428">
        <v>84.63</v>
      </c>
      <c r="W2428">
        <v>63541</v>
      </c>
      <c r="X2428">
        <v>79174</v>
      </c>
      <c r="Y2428">
        <v>0.8</v>
      </c>
      <c r="Z2428">
        <v>119</v>
      </c>
      <c r="AA2428">
        <v>134</v>
      </c>
      <c r="AB2428" t="s">
        <v>116</v>
      </c>
      <c r="AC2428">
        <v>6988800</v>
      </c>
      <c r="AD2428">
        <v>0</v>
      </c>
      <c r="AE2428" t="s">
        <v>116</v>
      </c>
      <c r="AF2428" t="s">
        <v>116</v>
      </c>
      <c r="AG2428">
        <v>44.04</v>
      </c>
      <c r="AH2428" t="s">
        <v>11266</v>
      </c>
      <c r="AI2428" t="s">
        <v>11267</v>
      </c>
      <c r="AJ2428">
        <v>0.08</v>
      </c>
      <c r="AK2428">
        <v>4529</v>
      </c>
      <c r="AL2428">
        <v>32</v>
      </c>
      <c r="AM2428">
        <v>1E-4</v>
      </c>
      <c r="AN2428">
        <v>0</v>
      </c>
      <c r="AO2428">
        <v>-0.15</v>
      </c>
      <c r="AP2428">
        <v>-1.77</v>
      </c>
      <c r="AQ2428">
        <v>4.1100000000000003</v>
      </c>
      <c r="AR2428">
        <v>92.76</v>
      </c>
      <c r="AS2428">
        <v>0.53</v>
      </c>
      <c r="AT2428" t="s">
        <v>11268</v>
      </c>
      <c r="AU2428">
        <v>76.34</v>
      </c>
      <c r="AV2428">
        <v>91.79</v>
      </c>
      <c r="AW2428">
        <v>1.17</v>
      </c>
      <c r="BA2428">
        <v>-0.45</v>
      </c>
      <c r="BB2428">
        <v>0.83</v>
      </c>
      <c r="BC2428">
        <v>-0.46</v>
      </c>
      <c r="BD2428">
        <v>0.3</v>
      </c>
      <c r="BE2428">
        <v>0.45</v>
      </c>
      <c r="BF2428">
        <v>-0.82</v>
      </c>
      <c r="BG2428">
        <v>0.46</v>
      </c>
      <c r="BH2428">
        <v>-0.3</v>
      </c>
      <c r="BI2428">
        <v>20191025</v>
      </c>
      <c r="BJ2428">
        <v>20001018</v>
      </c>
      <c r="BK2428">
        <v>44.23</v>
      </c>
      <c r="BL2428" t="s">
        <v>116</v>
      </c>
      <c r="BM2428" t="s">
        <v>116</v>
      </c>
      <c r="BN2428">
        <v>259.52999999999997</v>
      </c>
      <c r="BO2428">
        <v>231.53</v>
      </c>
      <c r="BP2428">
        <v>1.02</v>
      </c>
      <c r="BQ2428">
        <v>10.39</v>
      </c>
      <c r="BR2428">
        <v>215.12</v>
      </c>
      <c r="BS2428">
        <v>22.05</v>
      </c>
      <c r="BT2428">
        <v>3.52</v>
      </c>
      <c r="BU2428">
        <v>25.63</v>
      </c>
      <c r="BV2428">
        <v>13.65</v>
      </c>
      <c r="BW2428">
        <v>54.19</v>
      </c>
      <c r="BX2428">
        <v>16.32</v>
      </c>
      <c r="BY2428">
        <v>169.45</v>
      </c>
      <c r="BZ2428">
        <v>21.72</v>
      </c>
      <c r="CA2428">
        <v>44.58</v>
      </c>
      <c r="CB2428">
        <v>2.17</v>
      </c>
      <c r="CC2428">
        <v>44.02</v>
      </c>
      <c r="CD2428">
        <v>37.33</v>
      </c>
      <c r="CE2428">
        <v>37.35</v>
      </c>
      <c r="CF2428">
        <v>35.36</v>
      </c>
      <c r="CG2428">
        <v>154.13999999999999</v>
      </c>
      <c r="CH2428">
        <v>26.08</v>
      </c>
      <c r="CI2428">
        <v>1.97</v>
      </c>
      <c r="CJ2428">
        <v>111300</v>
      </c>
      <c r="CK2428">
        <v>24026</v>
      </c>
      <c r="CL2428" t="s">
        <v>11269</v>
      </c>
      <c r="CM2428">
        <v>28.26</v>
      </c>
      <c r="CN2428">
        <v>36.01</v>
      </c>
      <c r="CO2428">
        <v>16.12</v>
      </c>
      <c r="CP2428">
        <v>143.09</v>
      </c>
      <c r="CQ2428">
        <v>22.02</v>
      </c>
      <c r="CR2428">
        <v>0.22</v>
      </c>
      <c r="CS2428" t="s">
        <v>11270</v>
      </c>
      <c r="CT2428">
        <v>5.23</v>
      </c>
      <c r="CU2428">
        <v>0</v>
      </c>
      <c r="CV2428">
        <v>0.37</v>
      </c>
      <c r="CW2428">
        <v>3.49</v>
      </c>
      <c r="CX2428">
        <v>0.59</v>
      </c>
      <c r="CY2428">
        <v>89.21</v>
      </c>
      <c r="CZ2428" t="s">
        <v>8188</v>
      </c>
      <c r="DA2428">
        <v>87.18</v>
      </c>
      <c r="DB2428">
        <v>26.31</v>
      </c>
      <c r="DC2428">
        <v>22.04</v>
      </c>
      <c r="DD2428">
        <v>28.99</v>
      </c>
      <c r="DE2428">
        <v>21016</v>
      </c>
      <c r="DF2428">
        <v>600276</v>
      </c>
      <c r="DG2428" t="s">
        <v>116</v>
      </c>
      <c r="DH2428" t="s">
        <v>116</v>
      </c>
      <c r="DI2428" t="s">
        <v>116</v>
      </c>
    </row>
    <row r="2429" spans="1:113" x14ac:dyDescent="0.4">
      <c r="A2429" t="str">
        <f>"600277"</f>
        <v>600277</v>
      </c>
      <c r="B2429" t="s">
        <v>11271</v>
      </c>
      <c r="C2429">
        <v>5.13</v>
      </c>
      <c r="D2429">
        <v>4.51</v>
      </c>
      <c r="E2429">
        <v>0.22</v>
      </c>
      <c r="F2429">
        <v>4.51</v>
      </c>
      <c r="G2429">
        <v>4.5199999999999996</v>
      </c>
      <c r="H2429">
        <v>748903</v>
      </c>
      <c r="I2429">
        <v>6154</v>
      </c>
      <c r="J2429">
        <v>0.22</v>
      </c>
      <c r="K2429">
        <v>2.8</v>
      </c>
      <c r="L2429">
        <v>4.29</v>
      </c>
      <c r="M2429">
        <v>4.68</v>
      </c>
      <c r="N2429">
        <v>4.28</v>
      </c>
      <c r="O2429">
        <v>4.29</v>
      </c>
      <c r="P2429">
        <v>12.16</v>
      </c>
      <c r="Q2429">
        <v>339172064</v>
      </c>
      <c r="R2429">
        <v>2.56</v>
      </c>
      <c r="S2429" t="s">
        <v>173</v>
      </c>
      <c r="T2429" t="s">
        <v>796</v>
      </c>
      <c r="U2429">
        <v>9.32</v>
      </c>
      <c r="V2429">
        <v>4.53</v>
      </c>
      <c r="W2429">
        <v>324350</v>
      </c>
      <c r="X2429">
        <v>424554</v>
      </c>
      <c r="Y2429">
        <v>0.76</v>
      </c>
      <c r="Z2429">
        <v>229</v>
      </c>
      <c r="AA2429">
        <v>5816</v>
      </c>
      <c r="AB2429" t="s">
        <v>116</v>
      </c>
      <c r="AC2429">
        <v>831800</v>
      </c>
      <c r="AD2429">
        <v>0.01</v>
      </c>
      <c r="AE2429" t="s">
        <v>116</v>
      </c>
      <c r="AF2429" t="s">
        <v>116</v>
      </c>
      <c r="AG2429">
        <v>26.74</v>
      </c>
      <c r="AH2429" t="s">
        <v>11272</v>
      </c>
      <c r="AI2429" t="s">
        <v>11273</v>
      </c>
      <c r="AJ2429">
        <v>5.21</v>
      </c>
      <c r="AK2429">
        <v>3801</v>
      </c>
      <c r="AL2429">
        <v>197</v>
      </c>
      <c r="AM2429">
        <v>6.9999999999999999E-4</v>
      </c>
      <c r="AN2429">
        <v>1</v>
      </c>
      <c r="AO2429">
        <v>3.68</v>
      </c>
      <c r="AP2429">
        <v>19.309999999999999</v>
      </c>
      <c r="AQ2429">
        <v>3.92</v>
      </c>
      <c r="AR2429">
        <v>-19.100000000000001</v>
      </c>
      <c r="AS2429">
        <v>5.59</v>
      </c>
      <c r="AT2429" t="s">
        <v>11274</v>
      </c>
      <c r="AU2429">
        <v>14.37</v>
      </c>
      <c r="AV2429">
        <v>16.03</v>
      </c>
      <c r="AW2429">
        <v>1.23</v>
      </c>
      <c r="BA2429">
        <v>0</v>
      </c>
      <c r="BB2429">
        <v>9.09</v>
      </c>
      <c r="BC2429">
        <v>-0.23</v>
      </c>
      <c r="BD2429">
        <v>5.57</v>
      </c>
      <c r="BE2429">
        <v>5.13</v>
      </c>
      <c r="BF2429">
        <v>-3.63</v>
      </c>
      <c r="BG2429">
        <v>5.37</v>
      </c>
      <c r="BH2429">
        <v>-0.44</v>
      </c>
      <c r="BI2429">
        <v>20191029</v>
      </c>
      <c r="BJ2429">
        <v>20000725</v>
      </c>
      <c r="BK2429">
        <v>27.39</v>
      </c>
      <c r="BL2429" t="s">
        <v>116</v>
      </c>
      <c r="BM2429" t="s">
        <v>116</v>
      </c>
      <c r="BN2429">
        <v>365.67</v>
      </c>
      <c r="BO2429">
        <v>152.51</v>
      </c>
      <c r="BP2429">
        <v>28.25</v>
      </c>
      <c r="BQ2429">
        <v>50.57</v>
      </c>
      <c r="BR2429">
        <v>152.33000000000001</v>
      </c>
      <c r="BS2429">
        <v>127.85</v>
      </c>
      <c r="BT2429">
        <v>10.36</v>
      </c>
      <c r="BU2429">
        <v>130.43</v>
      </c>
      <c r="BV2429">
        <v>4.21</v>
      </c>
      <c r="BW2429">
        <v>8.17</v>
      </c>
      <c r="BX2429">
        <v>96.12</v>
      </c>
      <c r="BY2429">
        <v>98.25</v>
      </c>
      <c r="BZ2429">
        <v>83.25</v>
      </c>
      <c r="CA2429">
        <v>10.130000000000001</v>
      </c>
      <c r="CB2429">
        <v>9.42</v>
      </c>
      <c r="CC2429">
        <v>10.14</v>
      </c>
      <c r="CD2429">
        <v>9.07</v>
      </c>
      <c r="CE2429">
        <v>7.62</v>
      </c>
      <c r="CF2429">
        <v>3.28</v>
      </c>
      <c r="CG2429">
        <v>25.93</v>
      </c>
      <c r="CH2429">
        <v>20.45</v>
      </c>
      <c r="CI2429">
        <v>16.82</v>
      </c>
      <c r="CJ2429">
        <v>67794</v>
      </c>
      <c r="CK2429">
        <v>19764</v>
      </c>
      <c r="CL2429" t="s">
        <v>213</v>
      </c>
      <c r="CM2429">
        <v>13.19</v>
      </c>
      <c r="CN2429">
        <v>-30.54</v>
      </c>
      <c r="CO2429">
        <v>0.81</v>
      </c>
      <c r="CP2429">
        <v>6.04</v>
      </c>
      <c r="CQ2429">
        <v>1.26</v>
      </c>
      <c r="CR2429">
        <v>1.88</v>
      </c>
      <c r="CS2429" t="s">
        <v>11275</v>
      </c>
      <c r="CT2429">
        <v>5.57</v>
      </c>
      <c r="CU2429">
        <v>0</v>
      </c>
      <c r="CV2429">
        <v>3.51</v>
      </c>
      <c r="CW2429">
        <v>0.95</v>
      </c>
      <c r="CX2429">
        <v>0.75</v>
      </c>
      <c r="CY2429">
        <v>41.71</v>
      </c>
      <c r="CZ2429" t="s">
        <v>5287</v>
      </c>
      <c r="DA2429">
        <v>15.27</v>
      </c>
      <c r="DB2429">
        <v>10.31</v>
      </c>
      <c r="DC2429">
        <v>7.75</v>
      </c>
      <c r="DD2429">
        <v>0.37</v>
      </c>
      <c r="DE2429">
        <v>4264</v>
      </c>
      <c r="DF2429">
        <v>600277</v>
      </c>
      <c r="DG2429" t="s">
        <v>116</v>
      </c>
      <c r="DH2429" t="s">
        <v>116</v>
      </c>
      <c r="DI2429" t="s">
        <v>116</v>
      </c>
    </row>
    <row r="2430" spans="1:113" x14ac:dyDescent="0.4">
      <c r="A2430" t="str">
        <f>"600278"</f>
        <v>600278</v>
      </c>
      <c r="B2430" t="s">
        <v>11276</v>
      </c>
      <c r="C2430">
        <v>0</v>
      </c>
      <c r="D2430">
        <v>10.5</v>
      </c>
      <c r="E2430">
        <v>0</v>
      </c>
      <c r="F2430">
        <v>10.49</v>
      </c>
      <c r="G2430">
        <v>10.5</v>
      </c>
      <c r="H2430">
        <v>40669</v>
      </c>
      <c r="I2430">
        <v>496</v>
      </c>
      <c r="J2430">
        <v>-0.09</v>
      </c>
      <c r="K2430">
        <v>0.78</v>
      </c>
      <c r="L2430">
        <v>10.48</v>
      </c>
      <c r="M2430">
        <v>10.61</v>
      </c>
      <c r="N2430">
        <v>10.48</v>
      </c>
      <c r="O2430">
        <v>10.5</v>
      </c>
      <c r="P2430">
        <v>43.62</v>
      </c>
      <c r="Q2430">
        <v>42911200</v>
      </c>
      <c r="R2430">
        <v>0.76</v>
      </c>
      <c r="S2430" t="s">
        <v>566</v>
      </c>
      <c r="T2430" t="s">
        <v>1653</v>
      </c>
      <c r="U2430">
        <v>1.24</v>
      </c>
      <c r="V2430">
        <v>10.55</v>
      </c>
      <c r="W2430">
        <v>21164</v>
      </c>
      <c r="X2430">
        <v>19505</v>
      </c>
      <c r="Y2430">
        <v>1.0900000000000001</v>
      </c>
      <c r="Z2430">
        <v>286</v>
      </c>
      <c r="AA2430">
        <v>379</v>
      </c>
      <c r="AB2430" t="s">
        <v>116</v>
      </c>
      <c r="AC2430">
        <v>79600</v>
      </c>
      <c r="AD2430">
        <v>0</v>
      </c>
      <c r="AE2430" t="s">
        <v>116</v>
      </c>
      <c r="AF2430" t="s">
        <v>116</v>
      </c>
      <c r="AG2430">
        <v>5.22</v>
      </c>
      <c r="AH2430" t="s">
        <v>11277</v>
      </c>
      <c r="AI2430" t="s">
        <v>11277</v>
      </c>
      <c r="AJ2430">
        <v>0.08</v>
      </c>
      <c r="AK2430">
        <v>1377</v>
      </c>
      <c r="AL2430">
        <v>30</v>
      </c>
      <c r="AM2430">
        <v>5.9999999999999995E-4</v>
      </c>
      <c r="AN2430">
        <v>0</v>
      </c>
      <c r="AO2430">
        <v>-0.85</v>
      </c>
      <c r="AP2430">
        <v>-1.04</v>
      </c>
      <c r="AQ2430">
        <v>-10.94</v>
      </c>
      <c r="AR2430">
        <v>30.27</v>
      </c>
      <c r="AS2430">
        <v>2.13</v>
      </c>
      <c r="AT2430" t="s">
        <v>11278</v>
      </c>
      <c r="AU2430">
        <v>38.630000000000003</v>
      </c>
      <c r="AV2430">
        <v>36.15</v>
      </c>
      <c r="AW2430">
        <v>0.64</v>
      </c>
      <c r="BA2430">
        <v>-0.19</v>
      </c>
      <c r="BB2430">
        <v>1.05</v>
      </c>
      <c r="BC2430">
        <v>-0.19</v>
      </c>
      <c r="BD2430">
        <v>0.49</v>
      </c>
      <c r="BE2430">
        <v>0.19</v>
      </c>
      <c r="BF2430">
        <v>-1.04</v>
      </c>
      <c r="BG2430">
        <v>0.19</v>
      </c>
      <c r="BH2430">
        <v>-0.49</v>
      </c>
      <c r="BI2430">
        <v>20191026</v>
      </c>
      <c r="BJ2430">
        <v>20000712</v>
      </c>
      <c r="BK2430">
        <v>5.22</v>
      </c>
      <c r="BL2430" t="s">
        <v>116</v>
      </c>
      <c r="BM2430" t="s">
        <v>116</v>
      </c>
      <c r="BN2430">
        <v>88.34</v>
      </c>
      <c r="BO2430">
        <v>39.75</v>
      </c>
      <c r="BP2430">
        <v>2.72</v>
      </c>
      <c r="BQ2430">
        <v>51.92</v>
      </c>
      <c r="BR2430">
        <v>59.17</v>
      </c>
      <c r="BS2430">
        <v>8.23</v>
      </c>
      <c r="BT2430">
        <v>0.9</v>
      </c>
      <c r="BU2430">
        <v>40.6</v>
      </c>
      <c r="BV2430">
        <v>9.23</v>
      </c>
      <c r="BW2430">
        <v>11.97</v>
      </c>
      <c r="BX2430">
        <v>9.6199999999999992</v>
      </c>
      <c r="BY2430">
        <v>129.13999999999999</v>
      </c>
      <c r="BZ2430">
        <v>121.97</v>
      </c>
      <c r="CA2430">
        <v>1.94</v>
      </c>
      <c r="CB2430">
        <v>0.27</v>
      </c>
      <c r="CC2430">
        <v>1.98</v>
      </c>
      <c r="CD2430">
        <v>1.55</v>
      </c>
      <c r="CE2430">
        <v>0.94</v>
      </c>
      <c r="CF2430">
        <v>0.84</v>
      </c>
      <c r="CG2430">
        <v>13.38</v>
      </c>
      <c r="CH2430">
        <v>0.15</v>
      </c>
      <c r="CI2430">
        <v>-4.03</v>
      </c>
      <c r="CJ2430">
        <v>32434</v>
      </c>
      <c r="CK2430">
        <v>5900</v>
      </c>
      <c r="CL2430" t="s">
        <v>8664</v>
      </c>
      <c r="CM2430">
        <v>-9.34</v>
      </c>
      <c r="CN2430">
        <v>1.2</v>
      </c>
      <c r="CO2430">
        <v>1.38</v>
      </c>
      <c r="CP2430">
        <v>377.4</v>
      </c>
      <c r="CQ2430">
        <v>0.42</v>
      </c>
      <c r="CR2430">
        <v>0.86</v>
      </c>
      <c r="CS2430" t="s">
        <v>5826</v>
      </c>
      <c r="CT2430">
        <v>7.61</v>
      </c>
      <c r="CU2430">
        <v>0</v>
      </c>
      <c r="CV2430">
        <v>1.84</v>
      </c>
      <c r="CW2430">
        <v>2.56</v>
      </c>
      <c r="CX2430">
        <v>0.03</v>
      </c>
      <c r="CY2430">
        <v>45</v>
      </c>
      <c r="CZ2430" t="s">
        <v>6832</v>
      </c>
      <c r="DA2430">
        <v>5.55</v>
      </c>
      <c r="DB2430">
        <v>1.5</v>
      </c>
      <c r="DC2430">
        <v>0.73</v>
      </c>
      <c r="DD2430">
        <v>0</v>
      </c>
      <c r="DE2430">
        <v>1765</v>
      </c>
      <c r="DF2430">
        <v>600278</v>
      </c>
      <c r="DG2430" t="s">
        <v>116</v>
      </c>
      <c r="DH2430" t="s">
        <v>116</v>
      </c>
      <c r="DI2430" t="s">
        <v>116</v>
      </c>
    </row>
    <row r="2431" spans="1:113" x14ac:dyDescent="0.4">
      <c r="A2431" t="str">
        <f>"600279"</f>
        <v>600279</v>
      </c>
      <c r="B2431" t="s">
        <v>11279</v>
      </c>
      <c r="C2431">
        <v>-0.47</v>
      </c>
      <c r="D2431">
        <v>4.26</v>
      </c>
      <c r="E2431">
        <v>-0.02</v>
      </c>
      <c r="F2431">
        <v>4.26</v>
      </c>
      <c r="G2431">
        <v>4.2699999999999996</v>
      </c>
      <c r="H2431">
        <v>39977</v>
      </c>
      <c r="I2431">
        <v>102</v>
      </c>
      <c r="J2431">
        <v>0</v>
      </c>
      <c r="K2431">
        <v>0.57999999999999996</v>
      </c>
      <c r="L2431">
        <v>4.26</v>
      </c>
      <c r="M2431">
        <v>4.33</v>
      </c>
      <c r="N2431">
        <v>4.25</v>
      </c>
      <c r="O2431">
        <v>4.28</v>
      </c>
      <c r="P2431">
        <v>31.21</v>
      </c>
      <c r="Q2431">
        <v>17168348</v>
      </c>
      <c r="R2431">
        <v>1.26</v>
      </c>
      <c r="S2431" t="s">
        <v>515</v>
      </c>
      <c r="T2431" t="s">
        <v>906</v>
      </c>
      <c r="U2431">
        <v>1.87</v>
      </c>
      <c r="V2431">
        <v>4.29</v>
      </c>
      <c r="W2431">
        <v>22081</v>
      </c>
      <c r="X2431">
        <v>17896</v>
      </c>
      <c r="Y2431">
        <v>1.23</v>
      </c>
      <c r="Z2431">
        <v>404</v>
      </c>
      <c r="AA2431">
        <v>364</v>
      </c>
      <c r="AB2431" t="s">
        <v>116</v>
      </c>
      <c r="AC2431">
        <v>55000</v>
      </c>
      <c r="AD2431">
        <v>0</v>
      </c>
      <c r="AE2431" t="s">
        <v>116</v>
      </c>
      <c r="AF2431" t="s">
        <v>116</v>
      </c>
      <c r="AG2431">
        <v>6.93</v>
      </c>
      <c r="AH2431" t="s">
        <v>740</v>
      </c>
      <c r="AI2431" t="s">
        <v>11280</v>
      </c>
      <c r="AJ2431">
        <v>-0.39</v>
      </c>
      <c r="AK2431">
        <v>577</v>
      </c>
      <c r="AL2431">
        <v>69</v>
      </c>
      <c r="AM2431">
        <v>1E-3</v>
      </c>
      <c r="AN2431">
        <v>-1</v>
      </c>
      <c r="AO2431">
        <v>-0.47</v>
      </c>
      <c r="AP2431">
        <v>4.67</v>
      </c>
      <c r="AQ2431">
        <v>2.65</v>
      </c>
      <c r="AR2431">
        <v>10.65</v>
      </c>
      <c r="AS2431">
        <v>0.97</v>
      </c>
      <c r="AT2431" t="s">
        <v>3843</v>
      </c>
      <c r="AU2431">
        <v>32.76</v>
      </c>
      <c r="AV2431">
        <v>37.21</v>
      </c>
      <c r="AW2431">
        <v>0.92</v>
      </c>
      <c r="BA2431">
        <v>-0.47</v>
      </c>
      <c r="BB2431">
        <v>1.17</v>
      </c>
      <c r="BC2431">
        <v>-0.7</v>
      </c>
      <c r="BD2431">
        <v>0.34</v>
      </c>
      <c r="BE2431">
        <v>0</v>
      </c>
      <c r="BF2431">
        <v>-1.62</v>
      </c>
      <c r="BG2431">
        <v>0.24</v>
      </c>
      <c r="BH2431">
        <v>-0.81</v>
      </c>
      <c r="BI2431">
        <v>20191213</v>
      </c>
      <c r="BJ2431">
        <v>20000731</v>
      </c>
      <c r="BK2431">
        <v>11.87</v>
      </c>
      <c r="BL2431" t="s">
        <v>116</v>
      </c>
      <c r="BM2431" t="s">
        <v>116</v>
      </c>
      <c r="BN2431">
        <v>95.78</v>
      </c>
      <c r="BO2431">
        <v>36.82</v>
      </c>
      <c r="BP2431">
        <v>14.45</v>
      </c>
      <c r="BQ2431">
        <v>46.47</v>
      </c>
      <c r="BR2431">
        <v>28.1</v>
      </c>
      <c r="BS2431">
        <v>37.14</v>
      </c>
      <c r="BT2431">
        <v>8.86</v>
      </c>
      <c r="BU2431">
        <v>22.83</v>
      </c>
      <c r="BV2431">
        <v>6.2</v>
      </c>
      <c r="BW2431">
        <v>1.85</v>
      </c>
      <c r="BX2431">
        <v>20.83</v>
      </c>
      <c r="BY2431">
        <v>37.36</v>
      </c>
      <c r="BZ2431">
        <v>34.69</v>
      </c>
      <c r="CA2431">
        <v>1.0900000000000001</v>
      </c>
      <c r="CB2431">
        <v>0</v>
      </c>
      <c r="CC2431">
        <v>2.09</v>
      </c>
      <c r="CD2431">
        <v>1.7</v>
      </c>
      <c r="CE2431">
        <v>1.22</v>
      </c>
      <c r="CF2431">
        <v>0.36</v>
      </c>
      <c r="CG2431">
        <v>7.88</v>
      </c>
      <c r="CH2431">
        <v>3.16</v>
      </c>
      <c r="CI2431">
        <v>-0.31</v>
      </c>
      <c r="CJ2431">
        <v>45846</v>
      </c>
      <c r="CK2431">
        <v>8946</v>
      </c>
      <c r="CL2431" t="s">
        <v>2433</v>
      </c>
      <c r="CM2431">
        <v>17.899999999999999</v>
      </c>
      <c r="CN2431">
        <v>-32.450000000000003</v>
      </c>
      <c r="CO2431">
        <v>0.8</v>
      </c>
      <c r="CP2431">
        <v>16</v>
      </c>
      <c r="CQ2431">
        <v>1.35</v>
      </c>
      <c r="CR2431">
        <v>0.82</v>
      </c>
      <c r="CS2431" t="s">
        <v>1971</v>
      </c>
      <c r="CT2431">
        <v>5.31</v>
      </c>
      <c r="CU2431">
        <v>5.31</v>
      </c>
      <c r="CV2431">
        <v>1.75</v>
      </c>
      <c r="CW2431">
        <v>0.66</v>
      </c>
      <c r="CX2431">
        <v>0.27</v>
      </c>
      <c r="CY2431">
        <v>38.450000000000003</v>
      </c>
      <c r="CZ2431" t="s">
        <v>1606</v>
      </c>
      <c r="DA2431">
        <v>7.14</v>
      </c>
      <c r="DB2431">
        <v>2.93</v>
      </c>
      <c r="DC2431">
        <v>3.25</v>
      </c>
      <c r="DD2431">
        <v>0</v>
      </c>
      <c r="DE2431">
        <v>2160</v>
      </c>
      <c r="DF2431">
        <v>600279</v>
      </c>
      <c r="DG2431" t="s">
        <v>116</v>
      </c>
      <c r="DH2431" t="s">
        <v>116</v>
      </c>
      <c r="DI2431" t="s">
        <v>116</v>
      </c>
    </row>
    <row r="2432" spans="1:113" x14ac:dyDescent="0.4">
      <c r="A2432" t="str">
        <f>"600280"</f>
        <v>600280</v>
      </c>
      <c r="B2432" t="s">
        <v>11281</v>
      </c>
      <c r="C2432">
        <v>-0.72</v>
      </c>
      <c r="D2432">
        <v>2.75</v>
      </c>
      <c r="E2432">
        <v>-0.02</v>
      </c>
      <c r="F2432">
        <v>2.75</v>
      </c>
      <c r="G2432">
        <v>2.76</v>
      </c>
      <c r="H2432">
        <v>65107</v>
      </c>
      <c r="I2432">
        <v>1294</v>
      </c>
      <c r="J2432">
        <v>-0.35</v>
      </c>
      <c r="K2432">
        <v>0.56999999999999995</v>
      </c>
      <c r="L2432">
        <v>2.77</v>
      </c>
      <c r="M2432">
        <v>2.8</v>
      </c>
      <c r="N2432">
        <v>2.74</v>
      </c>
      <c r="O2432">
        <v>2.77</v>
      </c>
      <c r="P2432" t="s">
        <v>116</v>
      </c>
      <c r="Q2432">
        <v>18036520</v>
      </c>
      <c r="R2432">
        <v>1.04</v>
      </c>
      <c r="S2432" t="s">
        <v>746</v>
      </c>
      <c r="T2432" t="s">
        <v>323</v>
      </c>
      <c r="U2432">
        <v>2.17</v>
      </c>
      <c r="V2432">
        <v>2.77</v>
      </c>
      <c r="W2432">
        <v>35138</v>
      </c>
      <c r="X2432">
        <v>29969</v>
      </c>
      <c r="Y2432">
        <v>1.17</v>
      </c>
      <c r="Z2432">
        <v>1371</v>
      </c>
      <c r="AA2432">
        <v>4420</v>
      </c>
      <c r="AB2432" t="s">
        <v>116</v>
      </c>
      <c r="AC2432">
        <v>40400</v>
      </c>
      <c r="AD2432">
        <v>0</v>
      </c>
      <c r="AE2432" t="s">
        <v>116</v>
      </c>
      <c r="AF2432" t="s">
        <v>116</v>
      </c>
      <c r="AG2432">
        <v>11.48</v>
      </c>
      <c r="AH2432" t="s">
        <v>8722</v>
      </c>
      <c r="AI2432" t="s">
        <v>8722</v>
      </c>
      <c r="AJ2432">
        <v>-0.65</v>
      </c>
      <c r="AK2432">
        <v>772</v>
      </c>
      <c r="AL2432">
        <v>84</v>
      </c>
      <c r="AM2432">
        <v>6.9999999999999999E-4</v>
      </c>
      <c r="AN2432">
        <v>-1</v>
      </c>
      <c r="AO2432">
        <v>-0.72</v>
      </c>
      <c r="AP2432">
        <v>0.36</v>
      </c>
      <c r="AQ2432">
        <v>-13.25</v>
      </c>
      <c r="AR2432">
        <v>-15.38</v>
      </c>
      <c r="AS2432">
        <v>1.29</v>
      </c>
      <c r="AT2432" t="s">
        <v>4901</v>
      </c>
      <c r="AU2432" t="s">
        <v>116</v>
      </c>
      <c r="AV2432" t="s">
        <v>116</v>
      </c>
      <c r="AW2432">
        <v>1.24</v>
      </c>
      <c r="BA2432">
        <v>0</v>
      </c>
      <c r="BB2432">
        <v>1.08</v>
      </c>
      <c r="BC2432">
        <v>-1.08</v>
      </c>
      <c r="BD2432">
        <v>0.01</v>
      </c>
      <c r="BE2432">
        <v>-0.72</v>
      </c>
      <c r="BF2432">
        <v>-1.79</v>
      </c>
      <c r="BG2432">
        <v>0.36</v>
      </c>
      <c r="BH2432">
        <v>-0.73</v>
      </c>
      <c r="BI2432">
        <v>20191030</v>
      </c>
      <c r="BJ2432">
        <v>20000926</v>
      </c>
      <c r="BK2432">
        <v>11.48</v>
      </c>
      <c r="BL2432" t="s">
        <v>116</v>
      </c>
      <c r="BM2432" t="s">
        <v>116</v>
      </c>
      <c r="BN2432">
        <v>152.33000000000001</v>
      </c>
      <c r="BO2432">
        <v>13.75</v>
      </c>
      <c r="BP2432">
        <v>0.38</v>
      </c>
      <c r="BQ2432">
        <v>90.73</v>
      </c>
      <c r="BR2432">
        <v>101.42</v>
      </c>
      <c r="BS2432">
        <v>38.67</v>
      </c>
      <c r="BT2432">
        <v>3.74</v>
      </c>
      <c r="BU2432">
        <v>126.7</v>
      </c>
      <c r="BV2432">
        <v>71.459999999999994</v>
      </c>
      <c r="BW2432">
        <v>0.09</v>
      </c>
      <c r="BX2432">
        <v>0.4</v>
      </c>
      <c r="BY2432">
        <v>56.72</v>
      </c>
      <c r="BZ2432">
        <v>45.24</v>
      </c>
      <c r="CA2432">
        <v>0.37</v>
      </c>
      <c r="CB2432">
        <v>0.08</v>
      </c>
      <c r="CC2432">
        <v>0.1</v>
      </c>
      <c r="CD2432">
        <v>-0.6</v>
      </c>
      <c r="CE2432">
        <v>-0.56999999999999995</v>
      </c>
      <c r="CF2432">
        <v>-0.38</v>
      </c>
      <c r="CG2432">
        <v>-1.69</v>
      </c>
      <c r="CH2432">
        <v>2.56</v>
      </c>
      <c r="CI2432">
        <v>-2.15</v>
      </c>
      <c r="CJ2432">
        <v>48849</v>
      </c>
      <c r="CK2432">
        <v>10341</v>
      </c>
      <c r="CL2432" t="s">
        <v>3462</v>
      </c>
      <c r="CM2432">
        <v>-177.37</v>
      </c>
      <c r="CN2432">
        <v>-5.09</v>
      </c>
      <c r="CO2432">
        <v>2.2999999999999998</v>
      </c>
      <c r="CP2432">
        <v>12.32</v>
      </c>
      <c r="CQ2432">
        <v>0.56000000000000005</v>
      </c>
      <c r="CR2432">
        <v>0</v>
      </c>
      <c r="CS2432" t="s">
        <v>6745</v>
      </c>
      <c r="CT2432">
        <v>1.2</v>
      </c>
      <c r="CU2432">
        <v>0</v>
      </c>
      <c r="CV2432">
        <v>0.03</v>
      </c>
      <c r="CW2432">
        <v>-0.15</v>
      </c>
      <c r="CX2432">
        <v>0.22</v>
      </c>
      <c r="CY2432">
        <v>9.02</v>
      </c>
      <c r="CZ2432" t="s">
        <v>11282</v>
      </c>
      <c r="DA2432">
        <v>20.239999999999998</v>
      </c>
      <c r="DB2432">
        <v>0.65</v>
      </c>
      <c r="DC2432">
        <v>-1</v>
      </c>
      <c r="DD2432">
        <v>0</v>
      </c>
      <c r="DE2432">
        <v>4283</v>
      </c>
      <c r="DF2432">
        <v>600280</v>
      </c>
      <c r="DG2432" t="s">
        <v>116</v>
      </c>
      <c r="DH2432" t="s">
        <v>116</v>
      </c>
      <c r="DI2432" t="s">
        <v>116</v>
      </c>
    </row>
    <row r="2433" spans="1:113" x14ac:dyDescent="0.4">
      <c r="A2433" t="str">
        <f>"600281"</f>
        <v>600281</v>
      </c>
      <c r="B2433" t="s">
        <v>11283</v>
      </c>
      <c r="C2433">
        <v>0.24</v>
      </c>
      <c r="D2433">
        <v>4.1500000000000004</v>
      </c>
      <c r="E2433">
        <v>0.01</v>
      </c>
      <c r="F2433">
        <v>4.1399999999999997</v>
      </c>
      <c r="G2433">
        <v>4.1500000000000004</v>
      </c>
      <c r="H2433">
        <v>44555</v>
      </c>
      <c r="I2433">
        <v>495</v>
      </c>
      <c r="J2433">
        <v>0.24</v>
      </c>
      <c r="K2433">
        <v>0.87</v>
      </c>
      <c r="L2433">
        <v>4.12</v>
      </c>
      <c r="M2433">
        <v>4.1900000000000004</v>
      </c>
      <c r="N2433">
        <v>4.1100000000000003</v>
      </c>
      <c r="O2433">
        <v>4.1399999999999997</v>
      </c>
      <c r="P2433" t="s">
        <v>116</v>
      </c>
      <c r="Q2433">
        <v>18450088</v>
      </c>
      <c r="R2433">
        <v>0.95</v>
      </c>
      <c r="S2433" t="s">
        <v>173</v>
      </c>
      <c r="T2433" t="s">
        <v>675</v>
      </c>
      <c r="U2433">
        <v>1.93</v>
      </c>
      <c r="V2433">
        <v>4.1399999999999997</v>
      </c>
      <c r="W2433">
        <v>25091</v>
      </c>
      <c r="X2433">
        <v>19464</v>
      </c>
      <c r="Y2433">
        <v>1.29</v>
      </c>
      <c r="Z2433">
        <v>848</v>
      </c>
      <c r="AA2433">
        <v>806</v>
      </c>
      <c r="AB2433" t="s">
        <v>116</v>
      </c>
      <c r="AC2433">
        <v>74600</v>
      </c>
      <c r="AD2433">
        <v>0.01</v>
      </c>
      <c r="AE2433" t="s">
        <v>116</v>
      </c>
      <c r="AF2433" t="s">
        <v>116</v>
      </c>
      <c r="AG2433">
        <v>5.14</v>
      </c>
      <c r="AH2433" t="s">
        <v>5423</v>
      </c>
      <c r="AI2433" t="s">
        <v>5423</v>
      </c>
      <c r="AJ2433">
        <v>0.32</v>
      </c>
      <c r="AK2433">
        <v>745</v>
      </c>
      <c r="AL2433">
        <v>60</v>
      </c>
      <c r="AM2433">
        <v>1.1999999999999999E-3</v>
      </c>
      <c r="AN2433">
        <v>2</v>
      </c>
      <c r="AO2433">
        <v>0.98</v>
      </c>
      <c r="AP2433">
        <v>5.0599999999999996</v>
      </c>
      <c r="AQ2433">
        <v>-8.7899999999999991</v>
      </c>
      <c r="AR2433">
        <v>15.92</v>
      </c>
      <c r="AS2433">
        <v>1.55</v>
      </c>
      <c r="AT2433" t="s">
        <v>7767</v>
      </c>
      <c r="AU2433" t="s">
        <v>116</v>
      </c>
      <c r="AV2433" t="s">
        <v>116</v>
      </c>
      <c r="AW2433">
        <v>1.31</v>
      </c>
      <c r="BA2433">
        <v>-0.48</v>
      </c>
      <c r="BB2433">
        <v>1.21</v>
      </c>
      <c r="BC2433">
        <v>-0.72</v>
      </c>
      <c r="BD2433">
        <v>0.02</v>
      </c>
      <c r="BE2433">
        <v>0.73</v>
      </c>
      <c r="BF2433">
        <v>-0.95</v>
      </c>
      <c r="BG2433">
        <v>0.97</v>
      </c>
      <c r="BH2433">
        <v>0.22</v>
      </c>
      <c r="BI2433">
        <v>20191030</v>
      </c>
      <c r="BJ2433">
        <v>20001109</v>
      </c>
      <c r="BK2433">
        <v>5.14</v>
      </c>
      <c r="BL2433" t="s">
        <v>116</v>
      </c>
      <c r="BM2433" t="s">
        <v>116</v>
      </c>
      <c r="BN2433">
        <v>12.45</v>
      </c>
      <c r="BO2433">
        <v>4.04</v>
      </c>
      <c r="BP2433">
        <v>0</v>
      </c>
      <c r="BQ2433">
        <v>67.53</v>
      </c>
      <c r="BR2433">
        <v>3.91</v>
      </c>
      <c r="BS2433">
        <v>0.26</v>
      </c>
      <c r="BT2433">
        <v>0.05</v>
      </c>
      <c r="BU2433">
        <v>6.38</v>
      </c>
      <c r="BV2433">
        <v>0.59</v>
      </c>
      <c r="BW2433">
        <v>0.84</v>
      </c>
      <c r="BX2433">
        <v>5.78</v>
      </c>
      <c r="BY2433">
        <v>3.19</v>
      </c>
      <c r="BZ2433">
        <v>3.04</v>
      </c>
      <c r="CA2433">
        <v>-0.28000000000000003</v>
      </c>
      <c r="CB2433">
        <v>0</v>
      </c>
      <c r="CC2433">
        <v>-0.34</v>
      </c>
      <c r="CD2433">
        <v>-0.32</v>
      </c>
      <c r="CE2433">
        <v>-0.32</v>
      </c>
      <c r="CF2433">
        <v>-0.28000000000000003</v>
      </c>
      <c r="CG2433">
        <v>-7.43</v>
      </c>
      <c r="CH2433">
        <v>-1.93</v>
      </c>
      <c r="CI2433">
        <v>-1.08</v>
      </c>
      <c r="CJ2433">
        <v>28926</v>
      </c>
      <c r="CK2433">
        <v>9922</v>
      </c>
      <c r="CL2433" t="s">
        <v>3250</v>
      </c>
      <c r="CM2433">
        <v>6.24</v>
      </c>
      <c r="CN2433">
        <v>-40.35</v>
      </c>
      <c r="CO2433">
        <v>5.28</v>
      </c>
      <c r="CP2433">
        <v>-11.04</v>
      </c>
      <c r="CQ2433">
        <v>6.69</v>
      </c>
      <c r="CR2433">
        <v>0</v>
      </c>
      <c r="CS2433" t="s">
        <v>11284</v>
      </c>
      <c r="CT2433">
        <v>0.79</v>
      </c>
      <c r="CU2433">
        <v>0</v>
      </c>
      <c r="CV2433">
        <v>1.1200000000000001</v>
      </c>
      <c r="CW2433">
        <v>-1.44</v>
      </c>
      <c r="CX2433">
        <v>-0.38</v>
      </c>
      <c r="CY2433">
        <v>32.47</v>
      </c>
      <c r="CZ2433" t="s">
        <v>11285</v>
      </c>
      <c r="DA2433">
        <v>4.6100000000000003</v>
      </c>
      <c r="DB2433">
        <v>-8.7899999999999991</v>
      </c>
      <c r="DC2433">
        <v>-10.16</v>
      </c>
      <c r="DD2433">
        <v>0</v>
      </c>
      <c r="DE2433">
        <v>362</v>
      </c>
      <c r="DF2433">
        <v>600281</v>
      </c>
      <c r="DG2433" t="s">
        <v>116</v>
      </c>
      <c r="DH2433" t="s">
        <v>116</v>
      </c>
      <c r="DI2433" t="s">
        <v>116</v>
      </c>
    </row>
    <row r="2434" spans="1:113" x14ac:dyDescent="0.4">
      <c r="A2434" t="str">
        <f>"600282"</f>
        <v>600282</v>
      </c>
      <c r="B2434" t="s">
        <v>11286</v>
      </c>
      <c r="C2434">
        <v>0.3</v>
      </c>
      <c r="D2434">
        <v>3.37</v>
      </c>
      <c r="E2434">
        <v>0.01</v>
      </c>
      <c r="F2434">
        <v>3.36</v>
      </c>
      <c r="G2434">
        <v>3.37</v>
      </c>
      <c r="H2434">
        <v>250891</v>
      </c>
      <c r="I2434">
        <v>1352</v>
      </c>
      <c r="J2434">
        <v>0</v>
      </c>
      <c r="K2434">
        <v>0.56999999999999995</v>
      </c>
      <c r="L2434">
        <v>3.36</v>
      </c>
      <c r="M2434">
        <v>3.42</v>
      </c>
      <c r="N2434">
        <v>3.35</v>
      </c>
      <c r="O2434">
        <v>3.36</v>
      </c>
      <c r="P2434">
        <v>4.71</v>
      </c>
      <c r="Q2434">
        <v>84735496</v>
      </c>
      <c r="R2434">
        <v>1.21</v>
      </c>
      <c r="S2434" t="s">
        <v>1587</v>
      </c>
      <c r="T2434" t="s">
        <v>323</v>
      </c>
      <c r="U2434">
        <v>2.08</v>
      </c>
      <c r="V2434">
        <v>3.38</v>
      </c>
      <c r="W2434">
        <v>116893</v>
      </c>
      <c r="X2434">
        <v>133998</v>
      </c>
      <c r="Y2434">
        <v>0.87</v>
      </c>
      <c r="Z2434">
        <v>6029</v>
      </c>
      <c r="AA2434">
        <v>410</v>
      </c>
      <c r="AB2434" t="s">
        <v>116</v>
      </c>
      <c r="AC2434">
        <v>316200</v>
      </c>
      <c r="AD2434">
        <v>0</v>
      </c>
      <c r="AE2434" t="s">
        <v>116</v>
      </c>
      <c r="AF2434" t="s">
        <v>116</v>
      </c>
      <c r="AG2434">
        <v>44.28</v>
      </c>
      <c r="AH2434" t="s">
        <v>11287</v>
      </c>
      <c r="AI2434" t="s">
        <v>11287</v>
      </c>
      <c r="AJ2434">
        <v>0.37</v>
      </c>
      <c r="AK2434">
        <v>2179</v>
      </c>
      <c r="AL2434">
        <v>115</v>
      </c>
      <c r="AM2434">
        <v>2.9999999999999997E-4</v>
      </c>
      <c r="AN2434">
        <v>4</v>
      </c>
      <c r="AO2434">
        <v>1.51</v>
      </c>
      <c r="AP2434">
        <v>2.12</v>
      </c>
      <c r="AQ2434">
        <v>8.36</v>
      </c>
      <c r="AR2434">
        <v>8.01</v>
      </c>
      <c r="AS2434">
        <v>1.02</v>
      </c>
      <c r="AT2434" t="s">
        <v>11288</v>
      </c>
      <c r="AU2434">
        <v>5.07</v>
      </c>
      <c r="AV2434">
        <v>3.72</v>
      </c>
      <c r="AW2434">
        <v>1.02</v>
      </c>
      <c r="BA2434">
        <v>0</v>
      </c>
      <c r="BB2434">
        <v>1.79</v>
      </c>
      <c r="BC2434">
        <v>-0.3</v>
      </c>
      <c r="BD2434">
        <v>0.52</v>
      </c>
      <c r="BE2434">
        <v>0.3</v>
      </c>
      <c r="BF2434">
        <v>-1.46</v>
      </c>
      <c r="BG2434">
        <v>0.6</v>
      </c>
      <c r="BH2434">
        <v>-0.22</v>
      </c>
      <c r="BI2434">
        <v>20191030</v>
      </c>
      <c r="BJ2434">
        <v>20000919</v>
      </c>
      <c r="BK2434">
        <v>44.28</v>
      </c>
      <c r="BL2434" t="s">
        <v>116</v>
      </c>
      <c r="BM2434" t="s">
        <v>116</v>
      </c>
      <c r="BN2434">
        <v>448.53</v>
      </c>
      <c r="BO2434">
        <v>165.14</v>
      </c>
      <c r="BP2434">
        <v>48.48</v>
      </c>
      <c r="BQ2434">
        <v>52.37</v>
      </c>
      <c r="BR2434">
        <v>193.63</v>
      </c>
      <c r="BS2434">
        <v>196.66</v>
      </c>
      <c r="BT2434">
        <v>8.23</v>
      </c>
      <c r="BU2434">
        <v>223.22</v>
      </c>
      <c r="BV2434">
        <v>56.11</v>
      </c>
      <c r="BW2434">
        <v>9.99</v>
      </c>
      <c r="BX2434">
        <v>18.73</v>
      </c>
      <c r="BY2434">
        <v>367.31</v>
      </c>
      <c r="BZ2434">
        <v>316.52</v>
      </c>
      <c r="CA2434">
        <v>33.81</v>
      </c>
      <c r="CB2434">
        <v>3.23</v>
      </c>
      <c r="CC2434">
        <v>33.47</v>
      </c>
      <c r="CD2434">
        <v>28.39</v>
      </c>
      <c r="CE2434">
        <v>23.75</v>
      </c>
      <c r="CF2434">
        <v>21.43</v>
      </c>
      <c r="CG2434">
        <v>91.81</v>
      </c>
      <c r="CH2434">
        <v>21.35</v>
      </c>
      <c r="CI2434">
        <v>21.62</v>
      </c>
      <c r="CJ2434">
        <v>126273</v>
      </c>
      <c r="CK2434">
        <v>19551</v>
      </c>
      <c r="CL2434" t="s">
        <v>7724</v>
      </c>
      <c r="CM2434">
        <v>-30.9</v>
      </c>
      <c r="CN2434">
        <v>9.18</v>
      </c>
      <c r="CO2434">
        <v>0.9</v>
      </c>
      <c r="CP2434">
        <v>6.99</v>
      </c>
      <c r="CQ2434">
        <v>0.41</v>
      </c>
      <c r="CR2434">
        <v>8.89</v>
      </c>
      <c r="CS2434" t="s">
        <v>11289</v>
      </c>
      <c r="CT2434">
        <v>3.73</v>
      </c>
      <c r="CU2434">
        <v>0</v>
      </c>
      <c r="CV2434">
        <v>0.42</v>
      </c>
      <c r="CW2434">
        <v>2.0699999999999998</v>
      </c>
      <c r="CX2434">
        <v>0.48</v>
      </c>
      <c r="CY2434">
        <v>36.82</v>
      </c>
      <c r="CZ2434" t="s">
        <v>11290</v>
      </c>
      <c r="DA2434">
        <v>13.83</v>
      </c>
      <c r="DB2434">
        <v>9.2100000000000009</v>
      </c>
      <c r="DC2434">
        <v>6.47</v>
      </c>
      <c r="DD2434">
        <v>4.24</v>
      </c>
      <c r="DE2434">
        <v>10572</v>
      </c>
      <c r="DF2434">
        <v>600282</v>
      </c>
      <c r="DG2434" t="s">
        <v>116</v>
      </c>
      <c r="DH2434" t="s">
        <v>116</v>
      </c>
      <c r="DI2434" t="s">
        <v>116</v>
      </c>
    </row>
    <row r="2435" spans="1:113" x14ac:dyDescent="0.4">
      <c r="A2435" t="str">
        <f>"600283"</f>
        <v>600283</v>
      </c>
      <c r="B2435" t="s">
        <v>11291</v>
      </c>
      <c r="C2435">
        <v>-1</v>
      </c>
      <c r="D2435">
        <v>9.8800000000000008</v>
      </c>
      <c r="E2435">
        <v>-0.1</v>
      </c>
      <c r="F2435">
        <v>9.8699999999999992</v>
      </c>
      <c r="G2435">
        <v>9.8800000000000008</v>
      </c>
      <c r="H2435">
        <v>22787</v>
      </c>
      <c r="I2435">
        <v>154</v>
      </c>
      <c r="J2435">
        <v>0</v>
      </c>
      <c r="K2435">
        <v>0.65</v>
      </c>
      <c r="L2435">
        <v>9.9</v>
      </c>
      <c r="M2435">
        <v>9.99</v>
      </c>
      <c r="N2435">
        <v>9.81</v>
      </c>
      <c r="O2435">
        <v>9.98</v>
      </c>
      <c r="P2435">
        <v>142.03</v>
      </c>
      <c r="Q2435">
        <v>22593376</v>
      </c>
      <c r="R2435">
        <v>0.82</v>
      </c>
      <c r="S2435" t="s">
        <v>1345</v>
      </c>
      <c r="T2435" t="s">
        <v>590</v>
      </c>
      <c r="U2435">
        <v>1.8</v>
      </c>
      <c r="V2435">
        <v>9.91</v>
      </c>
      <c r="W2435">
        <v>14697</v>
      </c>
      <c r="X2435">
        <v>8090</v>
      </c>
      <c r="Y2435">
        <v>1.82</v>
      </c>
      <c r="Z2435">
        <v>47</v>
      </c>
      <c r="AA2435">
        <v>118</v>
      </c>
      <c r="AB2435" t="s">
        <v>116</v>
      </c>
      <c r="AC2435">
        <v>609800</v>
      </c>
      <c r="AD2435">
        <v>0.05</v>
      </c>
      <c r="AE2435" t="s">
        <v>116</v>
      </c>
      <c r="AF2435" t="s">
        <v>116</v>
      </c>
      <c r="AG2435">
        <v>3.53</v>
      </c>
      <c r="AH2435" t="s">
        <v>11292</v>
      </c>
      <c r="AI2435" t="s">
        <v>11292</v>
      </c>
      <c r="AJ2435">
        <v>-0.93</v>
      </c>
      <c r="AK2435">
        <v>708</v>
      </c>
      <c r="AL2435">
        <v>32</v>
      </c>
      <c r="AM2435">
        <v>8.9999999999999998E-4</v>
      </c>
      <c r="AN2435">
        <v>-2</v>
      </c>
      <c r="AO2435">
        <v>-0.81</v>
      </c>
      <c r="AP2435">
        <v>0.71</v>
      </c>
      <c r="AQ2435">
        <v>6.58</v>
      </c>
      <c r="AR2435">
        <v>-11.79</v>
      </c>
      <c r="AS2435">
        <v>1.87</v>
      </c>
      <c r="AT2435" t="s">
        <v>11293</v>
      </c>
      <c r="AU2435" t="s">
        <v>116</v>
      </c>
      <c r="AV2435">
        <v>60.15</v>
      </c>
      <c r="AW2435">
        <v>1.39</v>
      </c>
      <c r="BA2435">
        <v>-0.8</v>
      </c>
      <c r="BB2435">
        <v>0.1</v>
      </c>
      <c r="BC2435">
        <v>-1.7</v>
      </c>
      <c r="BD2435">
        <v>-0.65</v>
      </c>
      <c r="BE2435">
        <v>-0.2</v>
      </c>
      <c r="BF2435">
        <v>-1.1000000000000001</v>
      </c>
      <c r="BG2435">
        <v>0.71</v>
      </c>
      <c r="BH2435">
        <v>-0.35</v>
      </c>
      <c r="BI2435">
        <v>20191030</v>
      </c>
      <c r="BJ2435">
        <v>20001018</v>
      </c>
      <c r="BK2435">
        <v>3.53</v>
      </c>
      <c r="BL2435" t="s">
        <v>116</v>
      </c>
      <c r="BM2435" t="s">
        <v>116</v>
      </c>
      <c r="BN2435">
        <v>51.59</v>
      </c>
      <c r="BO2435">
        <v>18.28</v>
      </c>
      <c r="BP2435">
        <v>4.83</v>
      </c>
      <c r="BQ2435">
        <v>55.2</v>
      </c>
      <c r="BR2435">
        <v>11.06</v>
      </c>
      <c r="BS2435">
        <v>27.17</v>
      </c>
      <c r="BT2435">
        <v>4.5999999999999996</v>
      </c>
      <c r="BU2435">
        <v>15.2</v>
      </c>
      <c r="BV2435">
        <v>3.83</v>
      </c>
      <c r="BW2435">
        <v>0.78</v>
      </c>
      <c r="BX2435">
        <v>11.62</v>
      </c>
      <c r="BY2435">
        <v>8.57</v>
      </c>
      <c r="BZ2435">
        <v>5.27</v>
      </c>
      <c r="CA2435">
        <v>0.78</v>
      </c>
      <c r="CB2435">
        <v>-0.38</v>
      </c>
      <c r="CC2435">
        <v>0.79</v>
      </c>
      <c r="CD2435">
        <v>0.46</v>
      </c>
      <c r="CE2435">
        <v>0.18</v>
      </c>
      <c r="CF2435">
        <v>0</v>
      </c>
      <c r="CG2435">
        <v>2.41</v>
      </c>
      <c r="CH2435">
        <v>2.78</v>
      </c>
      <c r="CI2435">
        <v>-0.57999999999999996</v>
      </c>
      <c r="CJ2435">
        <v>24211</v>
      </c>
      <c r="CK2435">
        <v>5040</v>
      </c>
      <c r="CL2435" t="s">
        <v>2763</v>
      </c>
      <c r="CM2435">
        <v>-79.52</v>
      </c>
      <c r="CN2435">
        <v>9.06</v>
      </c>
      <c r="CO2435">
        <v>1.91</v>
      </c>
      <c r="CP2435">
        <v>12.53</v>
      </c>
      <c r="CQ2435">
        <v>4.07</v>
      </c>
      <c r="CR2435">
        <v>0</v>
      </c>
      <c r="CS2435" t="s">
        <v>8613</v>
      </c>
      <c r="CT2435">
        <v>5.18</v>
      </c>
      <c r="CU2435">
        <v>0</v>
      </c>
      <c r="CV2435">
        <v>3.29</v>
      </c>
      <c r="CW2435">
        <v>0.68</v>
      </c>
      <c r="CX2435">
        <v>0.79</v>
      </c>
      <c r="CY2435">
        <v>35.43</v>
      </c>
      <c r="CZ2435" t="s">
        <v>3989</v>
      </c>
      <c r="DA2435">
        <v>38.5</v>
      </c>
      <c r="DB2435">
        <v>9.1199999999999992</v>
      </c>
      <c r="DC2435">
        <v>2.15</v>
      </c>
      <c r="DD2435">
        <v>0</v>
      </c>
      <c r="DE2435">
        <v>1665</v>
      </c>
      <c r="DF2435">
        <v>600283</v>
      </c>
      <c r="DG2435" t="s">
        <v>116</v>
      </c>
      <c r="DH2435" t="s">
        <v>116</v>
      </c>
      <c r="DI2435" t="s">
        <v>116</v>
      </c>
    </row>
    <row r="2436" spans="1:113" x14ac:dyDescent="0.4">
      <c r="A2436" t="str">
        <f>"600284"</f>
        <v>600284</v>
      </c>
      <c r="B2436" t="s">
        <v>11294</v>
      </c>
      <c r="C2436">
        <v>-1.1100000000000001</v>
      </c>
      <c r="D2436">
        <v>6.23</v>
      </c>
      <c r="E2436">
        <v>-7.0000000000000007E-2</v>
      </c>
      <c r="F2436">
        <v>6.23</v>
      </c>
      <c r="G2436">
        <v>6.24</v>
      </c>
      <c r="H2436">
        <v>63382</v>
      </c>
      <c r="I2436">
        <v>842</v>
      </c>
      <c r="J2436">
        <v>-0.31</v>
      </c>
      <c r="K2436">
        <v>0.65</v>
      </c>
      <c r="L2436">
        <v>6.31</v>
      </c>
      <c r="M2436">
        <v>6.33</v>
      </c>
      <c r="N2436">
        <v>6.23</v>
      </c>
      <c r="O2436">
        <v>6.3</v>
      </c>
      <c r="P2436">
        <v>18.16</v>
      </c>
      <c r="Q2436">
        <v>39851800</v>
      </c>
      <c r="R2436">
        <v>1.52</v>
      </c>
      <c r="S2436" t="s">
        <v>181</v>
      </c>
      <c r="T2436" t="s">
        <v>1653</v>
      </c>
      <c r="U2436">
        <v>1.59</v>
      </c>
      <c r="V2436">
        <v>6.29</v>
      </c>
      <c r="W2436">
        <v>41485</v>
      </c>
      <c r="X2436">
        <v>21898</v>
      </c>
      <c r="Y2436">
        <v>1.89</v>
      </c>
      <c r="Z2436">
        <v>1268</v>
      </c>
      <c r="AA2436">
        <v>391</v>
      </c>
      <c r="AB2436" t="s">
        <v>116</v>
      </c>
      <c r="AC2436">
        <v>217100</v>
      </c>
      <c r="AD2436">
        <v>0.01</v>
      </c>
      <c r="AE2436" t="s">
        <v>116</v>
      </c>
      <c r="AF2436" t="s">
        <v>116</v>
      </c>
      <c r="AG2436">
        <v>9.6999999999999993</v>
      </c>
      <c r="AH2436" t="s">
        <v>11295</v>
      </c>
      <c r="AI2436" t="s">
        <v>11295</v>
      </c>
      <c r="AJ2436">
        <v>-1.03</v>
      </c>
      <c r="AK2436">
        <v>1480</v>
      </c>
      <c r="AL2436">
        <v>43</v>
      </c>
      <c r="AM2436">
        <v>4.0000000000000002E-4</v>
      </c>
      <c r="AN2436">
        <v>-1</v>
      </c>
      <c r="AO2436">
        <v>-0.48</v>
      </c>
      <c r="AP2436">
        <v>1.1399999999999999</v>
      </c>
      <c r="AQ2436">
        <v>0.32</v>
      </c>
      <c r="AR2436">
        <v>29.52</v>
      </c>
      <c r="AS2436">
        <v>0.93</v>
      </c>
      <c r="AT2436" t="s">
        <v>11296</v>
      </c>
      <c r="AU2436">
        <v>12.39</v>
      </c>
      <c r="AV2436">
        <v>13.35</v>
      </c>
      <c r="AW2436">
        <v>0.94</v>
      </c>
      <c r="BA2436">
        <v>0.16</v>
      </c>
      <c r="BB2436">
        <v>0.48</v>
      </c>
      <c r="BC2436">
        <v>-1.1100000000000001</v>
      </c>
      <c r="BD2436">
        <v>-0.2</v>
      </c>
      <c r="BE2436">
        <v>-1.27</v>
      </c>
      <c r="BF2436">
        <v>-1.58</v>
      </c>
      <c r="BG2436">
        <v>0</v>
      </c>
      <c r="BH2436">
        <v>-0.91</v>
      </c>
      <c r="BI2436">
        <v>20191030</v>
      </c>
      <c r="BJ2436">
        <v>20040316</v>
      </c>
      <c r="BK2436">
        <v>9.6999999999999993</v>
      </c>
      <c r="BL2436" t="s">
        <v>116</v>
      </c>
      <c r="BM2436" t="s">
        <v>116</v>
      </c>
      <c r="BN2436">
        <v>127.98</v>
      </c>
      <c r="BO2436">
        <v>59.69</v>
      </c>
      <c r="BP2436">
        <v>2.02</v>
      </c>
      <c r="BQ2436">
        <v>51.78</v>
      </c>
      <c r="BR2436">
        <v>101.12</v>
      </c>
      <c r="BS2436">
        <v>1.98</v>
      </c>
      <c r="BT2436">
        <v>0.88</v>
      </c>
      <c r="BU2436">
        <v>54.17</v>
      </c>
      <c r="BV2436">
        <v>28.12</v>
      </c>
      <c r="BW2436">
        <v>7.8</v>
      </c>
      <c r="BX2436">
        <v>19.91</v>
      </c>
      <c r="BY2436">
        <v>32.82</v>
      </c>
      <c r="BZ2436">
        <v>29.41</v>
      </c>
      <c r="CA2436">
        <v>2.68</v>
      </c>
      <c r="CB2436">
        <v>1.19</v>
      </c>
      <c r="CC2436">
        <v>2.85</v>
      </c>
      <c r="CD2436">
        <v>2.5299999999999998</v>
      </c>
      <c r="CE2436">
        <v>2.5</v>
      </c>
      <c r="CF2436">
        <v>2.02</v>
      </c>
      <c r="CG2436">
        <v>26.13</v>
      </c>
      <c r="CH2436">
        <v>5.6</v>
      </c>
      <c r="CI2436">
        <v>21.15</v>
      </c>
      <c r="CJ2436">
        <v>89648</v>
      </c>
      <c r="CK2436">
        <v>7576</v>
      </c>
      <c r="CL2436" t="s">
        <v>11297</v>
      </c>
      <c r="CM2436">
        <v>16.2</v>
      </c>
      <c r="CN2436">
        <v>69.41</v>
      </c>
      <c r="CO2436">
        <v>1.01</v>
      </c>
      <c r="CP2436">
        <v>10.8</v>
      </c>
      <c r="CQ2436">
        <v>1.84</v>
      </c>
      <c r="CR2436">
        <v>2.41</v>
      </c>
      <c r="CS2436" t="s">
        <v>5036</v>
      </c>
      <c r="CT2436">
        <v>6.15</v>
      </c>
      <c r="CU2436">
        <v>0</v>
      </c>
      <c r="CV2436">
        <v>2.0499999999999998</v>
      </c>
      <c r="CW2436">
        <v>2.69</v>
      </c>
      <c r="CX2436">
        <v>0.57999999999999996</v>
      </c>
      <c r="CY2436">
        <v>46.64</v>
      </c>
      <c r="CZ2436" t="s">
        <v>5839</v>
      </c>
      <c r="DA2436">
        <v>10.37</v>
      </c>
      <c r="DB2436">
        <v>8.17</v>
      </c>
      <c r="DC2436">
        <v>7.61</v>
      </c>
      <c r="DD2436">
        <v>1.57</v>
      </c>
      <c r="DE2436">
        <v>522</v>
      </c>
      <c r="DF2436">
        <v>600284</v>
      </c>
      <c r="DG2436" t="s">
        <v>116</v>
      </c>
      <c r="DH2436" t="s">
        <v>116</v>
      </c>
      <c r="DI2436" t="s">
        <v>116</v>
      </c>
    </row>
    <row r="2437" spans="1:113" x14ac:dyDescent="0.4">
      <c r="A2437" t="str">
        <f>"600285"</f>
        <v>600285</v>
      </c>
      <c r="B2437" t="s">
        <v>11298</v>
      </c>
      <c r="C2437">
        <v>-0.74</v>
      </c>
      <c r="D2437">
        <v>9.43</v>
      </c>
      <c r="E2437">
        <v>-7.0000000000000007E-2</v>
      </c>
      <c r="F2437">
        <v>9.43</v>
      </c>
      <c r="G2437">
        <v>9.44</v>
      </c>
      <c r="H2437">
        <v>76619</v>
      </c>
      <c r="I2437">
        <v>672</v>
      </c>
      <c r="J2437">
        <v>-0.2</v>
      </c>
      <c r="K2437">
        <v>1.35</v>
      </c>
      <c r="L2437">
        <v>9.5399999999999991</v>
      </c>
      <c r="M2437">
        <v>9.6199999999999992</v>
      </c>
      <c r="N2437">
        <v>9.41</v>
      </c>
      <c r="O2437">
        <v>9.5</v>
      </c>
      <c r="P2437">
        <v>15.34</v>
      </c>
      <c r="Q2437">
        <v>73038328</v>
      </c>
      <c r="R2437">
        <v>0.79</v>
      </c>
      <c r="S2437" t="s">
        <v>781</v>
      </c>
      <c r="T2437" t="s">
        <v>652</v>
      </c>
      <c r="U2437">
        <v>2.21</v>
      </c>
      <c r="V2437">
        <v>9.5299999999999994</v>
      </c>
      <c r="W2437">
        <v>46405</v>
      </c>
      <c r="X2437">
        <v>30214</v>
      </c>
      <c r="Y2437">
        <v>1.54</v>
      </c>
      <c r="Z2437">
        <v>36</v>
      </c>
      <c r="AA2437">
        <v>100</v>
      </c>
      <c r="AB2437" t="s">
        <v>116</v>
      </c>
      <c r="AC2437">
        <v>141200</v>
      </c>
      <c r="AD2437">
        <v>0</v>
      </c>
      <c r="AE2437" t="s">
        <v>116</v>
      </c>
      <c r="AF2437" t="s">
        <v>116</v>
      </c>
      <c r="AG2437">
        <v>5.68</v>
      </c>
      <c r="AH2437" t="s">
        <v>11299</v>
      </c>
      <c r="AI2437" t="s">
        <v>11299</v>
      </c>
      <c r="AJ2437">
        <v>-0.66</v>
      </c>
      <c r="AK2437">
        <v>1820</v>
      </c>
      <c r="AL2437">
        <v>42</v>
      </c>
      <c r="AM2437">
        <v>6.9999999999999999E-4</v>
      </c>
      <c r="AN2437">
        <v>-1</v>
      </c>
      <c r="AO2437">
        <v>-2.89</v>
      </c>
      <c r="AP2437">
        <v>-8</v>
      </c>
      <c r="AQ2437">
        <v>14.3</v>
      </c>
      <c r="AR2437">
        <v>27.95</v>
      </c>
      <c r="AS2437">
        <v>1.82</v>
      </c>
      <c r="AT2437" t="s">
        <v>9108</v>
      </c>
      <c r="AU2437">
        <v>18.32</v>
      </c>
      <c r="AV2437">
        <v>22.01</v>
      </c>
      <c r="AW2437">
        <v>1.06</v>
      </c>
      <c r="BA2437">
        <v>0.42</v>
      </c>
      <c r="BB2437">
        <v>1.26</v>
      </c>
      <c r="BC2437">
        <v>-0.95</v>
      </c>
      <c r="BD2437">
        <v>0.34</v>
      </c>
      <c r="BE2437">
        <v>-1.1499999999999999</v>
      </c>
      <c r="BF2437">
        <v>-1.98</v>
      </c>
      <c r="BG2437">
        <v>0.21</v>
      </c>
      <c r="BH2437">
        <v>-1.08</v>
      </c>
      <c r="BI2437">
        <v>20191030</v>
      </c>
      <c r="BJ2437">
        <v>20001018</v>
      </c>
      <c r="BK2437">
        <v>5.68</v>
      </c>
      <c r="BL2437" t="s">
        <v>116</v>
      </c>
      <c r="BM2437" t="s">
        <v>116</v>
      </c>
      <c r="BN2437">
        <v>34.51</v>
      </c>
      <c r="BO2437">
        <v>22.18</v>
      </c>
      <c r="BP2437">
        <v>0.11</v>
      </c>
      <c r="BQ2437">
        <v>35.43</v>
      </c>
      <c r="BR2437">
        <v>18.28</v>
      </c>
      <c r="BS2437">
        <v>7.63</v>
      </c>
      <c r="BT2437">
        <v>2.44</v>
      </c>
      <c r="BU2437">
        <v>11.34</v>
      </c>
      <c r="BV2437">
        <v>2.5</v>
      </c>
      <c r="BW2437">
        <v>3.11</v>
      </c>
      <c r="BX2437">
        <v>4.74</v>
      </c>
      <c r="BY2437">
        <v>16.91</v>
      </c>
      <c r="BZ2437">
        <v>3.81</v>
      </c>
      <c r="CA2437">
        <v>3.1</v>
      </c>
      <c r="CB2437">
        <v>-0.01</v>
      </c>
      <c r="CC2437">
        <v>3.09</v>
      </c>
      <c r="CD2437">
        <v>2.61</v>
      </c>
      <c r="CE2437">
        <v>2.62</v>
      </c>
      <c r="CF2437">
        <v>2.46</v>
      </c>
      <c r="CG2437">
        <v>9.98</v>
      </c>
      <c r="CH2437">
        <v>3.64</v>
      </c>
      <c r="CI2437">
        <v>1.0900000000000001</v>
      </c>
      <c r="CJ2437">
        <v>40074</v>
      </c>
      <c r="CK2437">
        <v>10524</v>
      </c>
      <c r="CL2437" t="s">
        <v>11300</v>
      </c>
      <c r="CM2437">
        <v>23.05</v>
      </c>
      <c r="CN2437">
        <v>6.03</v>
      </c>
      <c r="CO2437">
        <v>2.4900000000000002</v>
      </c>
      <c r="CP2437">
        <v>14.69</v>
      </c>
      <c r="CQ2437">
        <v>3.17</v>
      </c>
      <c r="CR2437">
        <v>1.62</v>
      </c>
      <c r="CS2437" t="s">
        <v>2279</v>
      </c>
      <c r="CT2437">
        <v>3.78</v>
      </c>
      <c r="CU2437">
        <v>3.78</v>
      </c>
      <c r="CV2437">
        <v>0.83</v>
      </c>
      <c r="CW2437">
        <v>1.76</v>
      </c>
      <c r="CX2437">
        <v>0.64</v>
      </c>
      <c r="CY2437">
        <v>64.260000000000005</v>
      </c>
      <c r="CZ2437" t="s">
        <v>11301</v>
      </c>
      <c r="DA2437">
        <v>77.47</v>
      </c>
      <c r="DB2437">
        <v>18.309999999999999</v>
      </c>
      <c r="DC2437">
        <v>15.48</v>
      </c>
      <c r="DD2437">
        <v>0.34</v>
      </c>
      <c r="DE2437">
        <v>2319</v>
      </c>
      <c r="DF2437">
        <v>600285</v>
      </c>
      <c r="DG2437" t="s">
        <v>116</v>
      </c>
      <c r="DH2437" t="s">
        <v>116</v>
      </c>
      <c r="DI2437" t="s">
        <v>116</v>
      </c>
    </row>
    <row r="2438" spans="1:113" x14ac:dyDescent="0.4">
      <c r="A2438" t="str">
        <f>"600287"</f>
        <v>600287</v>
      </c>
      <c r="B2438" t="s">
        <v>11302</v>
      </c>
      <c r="C2438">
        <v>-0.5</v>
      </c>
      <c r="D2438">
        <v>5.92</v>
      </c>
      <c r="E2438">
        <v>-0.03</v>
      </c>
      <c r="F2438">
        <v>5.92</v>
      </c>
      <c r="G2438">
        <v>5.93</v>
      </c>
      <c r="H2438">
        <v>35750</v>
      </c>
      <c r="I2438">
        <v>837</v>
      </c>
      <c r="J2438">
        <v>0.17</v>
      </c>
      <c r="K2438">
        <v>0.82</v>
      </c>
      <c r="L2438">
        <v>5.94</v>
      </c>
      <c r="M2438">
        <v>5.99</v>
      </c>
      <c r="N2438">
        <v>5.91</v>
      </c>
      <c r="O2438">
        <v>5.95</v>
      </c>
      <c r="P2438">
        <v>11.25</v>
      </c>
      <c r="Q2438">
        <v>21283018</v>
      </c>
      <c r="R2438">
        <v>1.06</v>
      </c>
      <c r="S2438" t="s">
        <v>566</v>
      </c>
      <c r="T2438" t="s">
        <v>323</v>
      </c>
      <c r="U2438">
        <v>1.34</v>
      </c>
      <c r="V2438">
        <v>5.95</v>
      </c>
      <c r="W2438">
        <v>17842</v>
      </c>
      <c r="X2438">
        <v>17908</v>
      </c>
      <c r="Y2438">
        <v>1</v>
      </c>
      <c r="Z2438">
        <v>1712</v>
      </c>
      <c r="AA2438">
        <v>71</v>
      </c>
      <c r="AB2438" t="s">
        <v>116</v>
      </c>
      <c r="AC2438">
        <v>102200</v>
      </c>
      <c r="AD2438">
        <v>0.01</v>
      </c>
      <c r="AE2438" t="s">
        <v>116</v>
      </c>
      <c r="AF2438" t="s">
        <v>116</v>
      </c>
      <c r="AG2438">
        <v>4.37</v>
      </c>
      <c r="AH2438" t="s">
        <v>1661</v>
      </c>
      <c r="AI2438" t="s">
        <v>1661</v>
      </c>
      <c r="AJ2438">
        <v>-0.43</v>
      </c>
      <c r="AK2438">
        <v>602</v>
      </c>
      <c r="AL2438">
        <v>59</v>
      </c>
      <c r="AM2438">
        <v>1.4E-3</v>
      </c>
      <c r="AN2438">
        <v>-1</v>
      </c>
      <c r="AO2438">
        <v>0.01</v>
      </c>
      <c r="AP2438">
        <v>6.09</v>
      </c>
      <c r="AQ2438">
        <v>-2.15</v>
      </c>
      <c r="AR2438">
        <v>24.11</v>
      </c>
      <c r="AS2438">
        <v>1.64</v>
      </c>
      <c r="AT2438" t="s">
        <v>2823</v>
      </c>
      <c r="AU2438">
        <v>14.03</v>
      </c>
      <c r="AV2438">
        <v>30.27</v>
      </c>
      <c r="AW2438">
        <v>1.61</v>
      </c>
      <c r="BA2438">
        <v>-0.17</v>
      </c>
      <c r="BB2438">
        <v>0.67</v>
      </c>
      <c r="BC2438">
        <v>-0.67</v>
      </c>
      <c r="BD2438">
        <v>0.05</v>
      </c>
      <c r="BE2438">
        <v>-0.34</v>
      </c>
      <c r="BF2438">
        <v>-1.17</v>
      </c>
      <c r="BG2438">
        <v>0.17</v>
      </c>
      <c r="BH2438">
        <v>-0.56000000000000005</v>
      </c>
      <c r="BI2438">
        <v>20191030</v>
      </c>
      <c r="BJ2438">
        <v>20000901</v>
      </c>
      <c r="BK2438">
        <v>4.37</v>
      </c>
      <c r="BL2438" t="s">
        <v>116</v>
      </c>
      <c r="BM2438" t="s">
        <v>116</v>
      </c>
      <c r="BN2438">
        <v>50.49</v>
      </c>
      <c r="BO2438">
        <v>21.46</v>
      </c>
      <c r="BP2438">
        <v>1.92</v>
      </c>
      <c r="BQ2438">
        <v>53.7</v>
      </c>
      <c r="BR2438">
        <v>37.25</v>
      </c>
      <c r="BS2438">
        <v>3.09</v>
      </c>
      <c r="BT2438">
        <v>0.43</v>
      </c>
      <c r="BU2438">
        <v>24.64</v>
      </c>
      <c r="BV2438">
        <v>4.97</v>
      </c>
      <c r="BW2438">
        <v>3.44</v>
      </c>
      <c r="BX2438">
        <v>1.96</v>
      </c>
      <c r="BY2438">
        <v>33.82</v>
      </c>
      <c r="BZ2438">
        <v>30.83</v>
      </c>
      <c r="CA2438">
        <v>2.4900000000000002</v>
      </c>
      <c r="CB2438">
        <v>0.19</v>
      </c>
      <c r="CC2438">
        <v>2.4900000000000002</v>
      </c>
      <c r="CD2438">
        <v>1.86</v>
      </c>
      <c r="CE2438">
        <v>1.72</v>
      </c>
      <c r="CF2438">
        <v>0.59</v>
      </c>
      <c r="CG2438">
        <v>9.2899999999999991</v>
      </c>
      <c r="CH2438">
        <v>0.78</v>
      </c>
      <c r="CI2438">
        <v>0.43</v>
      </c>
      <c r="CJ2438">
        <v>34052</v>
      </c>
      <c r="CK2438">
        <v>6417</v>
      </c>
      <c r="CL2438" t="s">
        <v>1800</v>
      </c>
      <c r="CM2438">
        <v>134.47999999999999</v>
      </c>
      <c r="CN2438">
        <v>-13.92</v>
      </c>
      <c r="CO2438">
        <v>1.21</v>
      </c>
      <c r="CP2438">
        <v>33.119999999999997</v>
      </c>
      <c r="CQ2438">
        <v>0.76</v>
      </c>
      <c r="CR2438">
        <v>1.35</v>
      </c>
      <c r="CS2438" t="s">
        <v>1548</v>
      </c>
      <c r="CT2438">
        <v>4.91</v>
      </c>
      <c r="CU2438">
        <v>0</v>
      </c>
      <c r="CV2438">
        <v>0.45</v>
      </c>
      <c r="CW2438">
        <v>2.13</v>
      </c>
      <c r="CX2438">
        <v>0.18</v>
      </c>
      <c r="CY2438">
        <v>42.5</v>
      </c>
      <c r="CZ2438" t="s">
        <v>2808</v>
      </c>
      <c r="DA2438">
        <v>8.85</v>
      </c>
      <c r="DB2438">
        <v>7.37</v>
      </c>
      <c r="DC2438">
        <v>5.0999999999999996</v>
      </c>
      <c r="DD2438">
        <v>0</v>
      </c>
      <c r="DE2438">
        <v>2252</v>
      </c>
      <c r="DF2438">
        <v>600287</v>
      </c>
      <c r="DG2438" t="s">
        <v>116</v>
      </c>
      <c r="DH2438" t="s">
        <v>116</v>
      </c>
      <c r="DI2438" t="s">
        <v>116</v>
      </c>
    </row>
    <row r="2439" spans="1:113" x14ac:dyDescent="0.4">
      <c r="A2439" t="str">
        <f>"600288"</f>
        <v>600288</v>
      </c>
      <c r="B2439" t="s">
        <v>11303</v>
      </c>
      <c r="C2439">
        <v>-1.02</v>
      </c>
      <c r="D2439">
        <v>11.67</v>
      </c>
      <c r="E2439">
        <v>-0.12</v>
      </c>
      <c r="F2439">
        <v>11.67</v>
      </c>
      <c r="G2439">
        <v>11.68</v>
      </c>
      <c r="H2439">
        <v>35679</v>
      </c>
      <c r="I2439">
        <v>234</v>
      </c>
      <c r="J2439">
        <v>0.09</v>
      </c>
      <c r="K2439">
        <v>0.82</v>
      </c>
      <c r="L2439">
        <v>11.85</v>
      </c>
      <c r="M2439">
        <v>11.93</v>
      </c>
      <c r="N2439">
        <v>11.63</v>
      </c>
      <c r="O2439">
        <v>11.79</v>
      </c>
      <c r="P2439">
        <v>120.46</v>
      </c>
      <c r="Q2439">
        <v>41935096</v>
      </c>
      <c r="R2439">
        <v>0.99</v>
      </c>
      <c r="S2439" t="s">
        <v>607</v>
      </c>
      <c r="T2439" t="s">
        <v>165</v>
      </c>
      <c r="U2439">
        <v>2.54</v>
      </c>
      <c r="V2439">
        <v>11.75</v>
      </c>
      <c r="W2439">
        <v>18343</v>
      </c>
      <c r="X2439">
        <v>17336</v>
      </c>
      <c r="Y2439">
        <v>1.06</v>
      </c>
      <c r="Z2439">
        <v>284</v>
      </c>
      <c r="AA2439">
        <v>118</v>
      </c>
      <c r="AB2439" t="s">
        <v>116</v>
      </c>
      <c r="AC2439">
        <v>238100</v>
      </c>
      <c r="AD2439">
        <v>0.01</v>
      </c>
      <c r="AE2439" t="s">
        <v>116</v>
      </c>
      <c r="AF2439" t="s">
        <v>116</v>
      </c>
      <c r="AG2439">
        <v>4.37</v>
      </c>
      <c r="AH2439" t="s">
        <v>10175</v>
      </c>
      <c r="AI2439" t="s">
        <v>10175</v>
      </c>
      <c r="AJ2439">
        <v>-0.94</v>
      </c>
      <c r="AK2439">
        <v>1772</v>
      </c>
      <c r="AL2439">
        <v>20</v>
      </c>
      <c r="AM2439">
        <v>5.0000000000000001E-4</v>
      </c>
      <c r="AN2439">
        <v>-1</v>
      </c>
      <c r="AO2439">
        <v>1.4</v>
      </c>
      <c r="AP2439">
        <v>4.57</v>
      </c>
      <c r="AQ2439">
        <v>8.06</v>
      </c>
      <c r="AR2439">
        <v>69.430000000000007</v>
      </c>
      <c r="AS2439">
        <v>1.1599999999999999</v>
      </c>
      <c r="AT2439" t="s">
        <v>2387</v>
      </c>
      <c r="AU2439">
        <v>100.38</v>
      </c>
      <c r="AV2439">
        <v>100.65</v>
      </c>
      <c r="AW2439">
        <v>1.36</v>
      </c>
      <c r="BA2439">
        <v>0.51</v>
      </c>
      <c r="BB2439">
        <v>1.19</v>
      </c>
      <c r="BC2439">
        <v>-1.36</v>
      </c>
      <c r="BD2439">
        <v>-0.31</v>
      </c>
      <c r="BE2439">
        <v>-1.52</v>
      </c>
      <c r="BF2439">
        <v>-2.1800000000000002</v>
      </c>
      <c r="BG2439">
        <v>0.34</v>
      </c>
      <c r="BH2439">
        <v>-0.71</v>
      </c>
      <c r="BI2439">
        <v>20191024</v>
      </c>
      <c r="BJ2439">
        <v>20001129</v>
      </c>
      <c r="BK2439">
        <v>4.37</v>
      </c>
      <c r="BL2439" t="s">
        <v>116</v>
      </c>
      <c r="BM2439" t="s">
        <v>116</v>
      </c>
      <c r="BN2439">
        <v>31.39</v>
      </c>
      <c r="BO2439">
        <v>15.83</v>
      </c>
      <c r="BP2439">
        <v>3.81</v>
      </c>
      <c r="BQ2439">
        <v>37.43</v>
      </c>
      <c r="BR2439">
        <v>21.86</v>
      </c>
      <c r="BS2439">
        <v>3.05</v>
      </c>
      <c r="BT2439">
        <v>0.68</v>
      </c>
      <c r="BU2439">
        <v>11.32</v>
      </c>
      <c r="BV2439">
        <v>7.32</v>
      </c>
      <c r="BW2439">
        <v>7.31</v>
      </c>
      <c r="BX2439">
        <v>1.88</v>
      </c>
      <c r="BY2439">
        <v>22.14</v>
      </c>
      <c r="BZ2439">
        <v>16.71</v>
      </c>
      <c r="CA2439">
        <v>0.57999999999999996</v>
      </c>
      <c r="CB2439">
        <v>0.32</v>
      </c>
      <c r="CC2439">
        <v>0.62</v>
      </c>
      <c r="CD2439">
        <v>0.44</v>
      </c>
      <c r="CE2439">
        <v>0.32</v>
      </c>
      <c r="CF2439">
        <v>0.26</v>
      </c>
      <c r="CG2439">
        <v>8.4</v>
      </c>
      <c r="CH2439">
        <v>-1.84</v>
      </c>
      <c r="CI2439">
        <v>-3.51</v>
      </c>
      <c r="CJ2439">
        <v>34359</v>
      </c>
      <c r="CK2439">
        <v>8930</v>
      </c>
      <c r="CL2439" t="s">
        <v>6619</v>
      </c>
      <c r="CM2439">
        <v>0.44</v>
      </c>
      <c r="CN2439">
        <v>-4.0999999999999996</v>
      </c>
      <c r="CO2439">
        <v>3.22</v>
      </c>
      <c r="CP2439">
        <v>-27.68</v>
      </c>
      <c r="CQ2439">
        <v>2.2999999999999998</v>
      </c>
      <c r="CR2439">
        <v>0.1</v>
      </c>
      <c r="CS2439" t="s">
        <v>1012</v>
      </c>
      <c r="CT2439">
        <v>3.62</v>
      </c>
      <c r="CU2439">
        <v>0</v>
      </c>
      <c r="CV2439">
        <v>0.43</v>
      </c>
      <c r="CW2439">
        <v>1.92</v>
      </c>
      <c r="CX2439">
        <v>-0.42</v>
      </c>
      <c r="CY2439">
        <v>50.44</v>
      </c>
      <c r="CZ2439" t="s">
        <v>8307</v>
      </c>
      <c r="DA2439">
        <v>24.54</v>
      </c>
      <c r="DB2439">
        <v>2.62</v>
      </c>
      <c r="DC2439">
        <v>1.43</v>
      </c>
      <c r="DD2439">
        <v>1.36</v>
      </c>
      <c r="DE2439">
        <v>2572</v>
      </c>
      <c r="DF2439">
        <v>600288</v>
      </c>
      <c r="DG2439" t="s">
        <v>116</v>
      </c>
      <c r="DH2439" t="s">
        <v>116</v>
      </c>
      <c r="DI2439" t="s">
        <v>116</v>
      </c>
    </row>
    <row r="2440" spans="1:113" x14ac:dyDescent="0.4">
      <c r="A2440" t="str">
        <f>"600289"</f>
        <v>600289</v>
      </c>
      <c r="B2440" t="s">
        <v>11304</v>
      </c>
      <c r="C2440">
        <v>-5.09</v>
      </c>
      <c r="D2440">
        <v>3.54</v>
      </c>
      <c r="E2440">
        <v>-0.19</v>
      </c>
      <c r="F2440" t="s">
        <v>116</v>
      </c>
      <c r="G2440">
        <v>3.54</v>
      </c>
      <c r="H2440">
        <v>161018</v>
      </c>
      <c r="I2440">
        <v>687</v>
      </c>
      <c r="J2440">
        <v>0</v>
      </c>
      <c r="K2440">
        <v>2.85</v>
      </c>
      <c r="L2440">
        <v>3.68</v>
      </c>
      <c r="M2440">
        <v>3.78</v>
      </c>
      <c r="N2440">
        <v>3.54</v>
      </c>
      <c r="O2440">
        <v>3.73</v>
      </c>
      <c r="P2440" t="s">
        <v>116</v>
      </c>
      <c r="Q2440">
        <v>57943260</v>
      </c>
      <c r="R2440">
        <v>2.2999999999999998</v>
      </c>
      <c r="S2440" t="s">
        <v>607</v>
      </c>
      <c r="T2440" t="s">
        <v>1287</v>
      </c>
      <c r="U2440">
        <v>6.43</v>
      </c>
      <c r="V2440">
        <v>3.6</v>
      </c>
      <c r="W2440">
        <v>93138</v>
      </c>
      <c r="X2440">
        <v>67880</v>
      </c>
      <c r="Y2440">
        <v>1.37</v>
      </c>
      <c r="Z2440">
        <v>0</v>
      </c>
      <c r="AA2440">
        <v>2711</v>
      </c>
      <c r="AB2440" t="s">
        <v>116</v>
      </c>
      <c r="AC2440">
        <v>717600</v>
      </c>
      <c r="AD2440">
        <v>0.05</v>
      </c>
      <c r="AE2440">
        <v>0.02</v>
      </c>
      <c r="AF2440">
        <v>959694</v>
      </c>
      <c r="AG2440">
        <v>5.66</v>
      </c>
      <c r="AH2440" t="s">
        <v>618</v>
      </c>
      <c r="AI2440" t="s">
        <v>5882</v>
      </c>
      <c r="AJ2440">
        <v>-5.0199999999999996</v>
      </c>
      <c r="AK2440">
        <v>1238</v>
      </c>
      <c r="AL2440">
        <v>130</v>
      </c>
      <c r="AM2440">
        <v>2.3E-3</v>
      </c>
      <c r="AN2440">
        <v>-1</v>
      </c>
      <c r="AO2440">
        <v>-4.32</v>
      </c>
      <c r="AP2440">
        <v>30.15</v>
      </c>
      <c r="AQ2440">
        <v>36.15</v>
      </c>
      <c r="AR2440">
        <v>41.6</v>
      </c>
      <c r="AS2440">
        <v>3.81</v>
      </c>
      <c r="AT2440" t="s">
        <v>11305</v>
      </c>
      <c r="AU2440" t="s">
        <v>116</v>
      </c>
      <c r="AV2440" t="s">
        <v>116</v>
      </c>
      <c r="AW2440">
        <v>0.55000000000000004</v>
      </c>
      <c r="BA2440">
        <v>-1.34</v>
      </c>
      <c r="BB2440">
        <v>1.34</v>
      </c>
      <c r="BC2440">
        <v>-5.09</v>
      </c>
      <c r="BD2440">
        <v>-3.52</v>
      </c>
      <c r="BE2440">
        <v>-3.8</v>
      </c>
      <c r="BF2440">
        <v>-6.35</v>
      </c>
      <c r="BG2440">
        <v>0</v>
      </c>
      <c r="BH2440">
        <v>-1.57</v>
      </c>
      <c r="BI2440">
        <v>20191029</v>
      </c>
      <c r="BJ2440">
        <v>20000720</v>
      </c>
      <c r="BK2440">
        <v>6.31</v>
      </c>
      <c r="BL2440" t="s">
        <v>116</v>
      </c>
      <c r="BM2440" t="s">
        <v>116</v>
      </c>
      <c r="BN2440">
        <v>25</v>
      </c>
      <c r="BO2440">
        <v>-9.41</v>
      </c>
      <c r="BP2440">
        <v>-0.04</v>
      </c>
      <c r="BQ2440">
        <v>137.78</v>
      </c>
      <c r="BR2440">
        <v>19.47</v>
      </c>
      <c r="BS2440">
        <v>3.48</v>
      </c>
      <c r="BT2440">
        <v>1.36</v>
      </c>
      <c r="BU2440">
        <v>4.97</v>
      </c>
      <c r="BV2440">
        <v>2.33</v>
      </c>
      <c r="BW2440">
        <v>3.98</v>
      </c>
      <c r="BX2440">
        <v>14.11</v>
      </c>
      <c r="BY2440">
        <v>4.57</v>
      </c>
      <c r="BZ2440">
        <v>1.32</v>
      </c>
      <c r="CA2440">
        <v>-1.82</v>
      </c>
      <c r="CB2440">
        <v>0</v>
      </c>
      <c r="CC2440">
        <v>-1.65</v>
      </c>
      <c r="CD2440">
        <v>-1.71</v>
      </c>
      <c r="CE2440">
        <v>-1.7</v>
      </c>
      <c r="CF2440">
        <v>-1.89</v>
      </c>
      <c r="CG2440">
        <v>-32.57</v>
      </c>
      <c r="CH2440">
        <v>-1.64</v>
      </c>
      <c r="CI2440">
        <v>-1.65</v>
      </c>
      <c r="CJ2440">
        <v>37111</v>
      </c>
      <c r="CK2440">
        <v>11393</v>
      </c>
      <c r="CL2440" t="s">
        <v>3086</v>
      </c>
      <c r="CM2440">
        <v>62.85</v>
      </c>
      <c r="CN2440">
        <v>-36.32</v>
      </c>
      <c r="CO2440">
        <v>-2.38</v>
      </c>
      <c r="CP2440">
        <v>-13.6</v>
      </c>
      <c r="CQ2440">
        <v>4.8899999999999997</v>
      </c>
      <c r="CR2440">
        <v>0</v>
      </c>
      <c r="CS2440" t="s">
        <v>11306</v>
      </c>
      <c r="CT2440">
        <v>-1.49</v>
      </c>
      <c r="CU2440">
        <v>0</v>
      </c>
      <c r="CV2440">
        <v>2.2400000000000002</v>
      </c>
      <c r="CW2440">
        <v>-5.16</v>
      </c>
      <c r="CX2440">
        <v>-0.26</v>
      </c>
      <c r="CY2440">
        <v>-37.619999999999997</v>
      </c>
      <c r="CZ2440" t="s">
        <v>116</v>
      </c>
      <c r="DA2440">
        <v>71.16</v>
      </c>
      <c r="DB2440">
        <v>-39.92</v>
      </c>
      <c r="DC2440">
        <v>-37.26</v>
      </c>
      <c r="DD2440">
        <v>1.83</v>
      </c>
      <c r="DE2440">
        <v>2430</v>
      </c>
      <c r="DF2440">
        <v>600289</v>
      </c>
      <c r="DG2440" t="s">
        <v>116</v>
      </c>
      <c r="DH2440" t="s">
        <v>116</v>
      </c>
      <c r="DI2440" t="s">
        <v>116</v>
      </c>
    </row>
    <row r="2441" spans="1:113" x14ac:dyDescent="0.4">
      <c r="A2441" t="str">
        <f>"600290"</f>
        <v>600290</v>
      </c>
      <c r="B2441" t="s">
        <v>11307</v>
      </c>
      <c r="C2441">
        <v>-5.12</v>
      </c>
      <c r="D2441">
        <v>3.15</v>
      </c>
      <c r="E2441">
        <v>-0.17</v>
      </c>
      <c r="F2441" t="s">
        <v>116</v>
      </c>
      <c r="G2441">
        <v>3.15</v>
      </c>
      <c r="H2441">
        <v>1819</v>
      </c>
      <c r="I2441">
        <v>51</v>
      </c>
      <c r="J2441">
        <v>0</v>
      </c>
      <c r="K2441">
        <v>0.02</v>
      </c>
      <c r="L2441">
        <v>3.15</v>
      </c>
      <c r="M2441">
        <v>3.15</v>
      </c>
      <c r="N2441">
        <v>3.15</v>
      </c>
      <c r="O2441">
        <v>3.32</v>
      </c>
      <c r="P2441">
        <v>162.87</v>
      </c>
      <c r="Q2441">
        <v>572985</v>
      </c>
      <c r="R2441">
        <v>0</v>
      </c>
      <c r="S2441" t="s">
        <v>397</v>
      </c>
      <c r="T2441" t="s">
        <v>590</v>
      </c>
      <c r="U2441">
        <v>0</v>
      </c>
      <c r="V2441">
        <v>3.15</v>
      </c>
      <c r="W2441">
        <v>145</v>
      </c>
      <c r="X2441">
        <v>1674</v>
      </c>
      <c r="Y2441">
        <v>0.09</v>
      </c>
      <c r="Z2441">
        <v>0</v>
      </c>
      <c r="AA2441">
        <v>802878</v>
      </c>
      <c r="AB2441" t="s">
        <v>116</v>
      </c>
      <c r="AC2441">
        <v>75000</v>
      </c>
      <c r="AD2441">
        <v>0</v>
      </c>
      <c r="AE2441">
        <v>441.38</v>
      </c>
      <c r="AF2441">
        <v>252906576</v>
      </c>
      <c r="AG2441">
        <v>7.6</v>
      </c>
      <c r="AH2441" t="s">
        <v>10235</v>
      </c>
      <c r="AI2441" t="s">
        <v>10235</v>
      </c>
      <c r="AJ2441">
        <v>-5.04</v>
      </c>
      <c r="AK2441">
        <v>97</v>
      </c>
      <c r="AL2441">
        <v>19</v>
      </c>
      <c r="AM2441">
        <v>2.0000000000000001E-4</v>
      </c>
      <c r="AN2441">
        <v>-2</v>
      </c>
      <c r="AO2441">
        <v>-0.63</v>
      </c>
      <c r="AP2441">
        <v>6.78</v>
      </c>
      <c r="AQ2441">
        <v>-21.25</v>
      </c>
      <c r="AR2441">
        <v>-32.11</v>
      </c>
      <c r="AS2441">
        <v>0.03</v>
      </c>
      <c r="AT2441" t="s">
        <v>7967</v>
      </c>
      <c r="AU2441" t="s">
        <v>116</v>
      </c>
      <c r="AV2441" t="s">
        <v>116</v>
      </c>
      <c r="AW2441">
        <v>1.38</v>
      </c>
      <c r="BA2441">
        <v>-5.12</v>
      </c>
      <c r="BB2441">
        <v>-5.12</v>
      </c>
      <c r="BC2441">
        <v>-5.12</v>
      </c>
      <c r="BD2441">
        <v>-5.12</v>
      </c>
      <c r="BE2441">
        <v>0</v>
      </c>
      <c r="BF2441">
        <v>0</v>
      </c>
      <c r="BG2441">
        <v>0</v>
      </c>
      <c r="BH2441">
        <v>0</v>
      </c>
      <c r="BI2441">
        <v>20191031</v>
      </c>
      <c r="BJ2441">
        <v>20001106</v>
      </c>
      <c r="BK2441">
        <v>7.6</v>
      </c>
      <c r="BL2441" t="s">
        <v>116</v>
      </c>
      <c r="BM2441" t="s">
        <v>116</v>
      </c>
      <c r="BN2441">
        <v>66.709999999999994</v>
      </c>
      <c r="BO2441">
        <v>40.81</v>
      </c>
      <c r="BP2441">
        <v>0.55000000000000004</v>
      </c>
      <c r="BQ2441">
        <v>38</v>
      </c>
      <c r="BR2441">
        <v>48.34</v>
      </c>
      <c r="BS2441">
        <v>12.86</v>
      </c>
      <c r="BT2441">
        <v>1.72</v>
      </c>
      <c r="BU2441">
        <v>24.44</v>
      </c>
      <c r="BV2441">
        <v>3.89</v>
      </c>
      <c r="BW2441">
        <v>21.05</v>
      </c>
      <c r="BX2441">
        <v>28.71</v>
      </c>
      <c r="BY2441">
        <v>8.08</v>
      </c>
      <c r="BZ2441">
        <v>5.76</v>
      </c>
      <c r="CA2441">
        <v>0.22</v>
      </c>
      <c r="CB2441">
        <v>0.39</v>
      </c>
      <c r="CC2441">
        <v>0.23</v>
      </c>
      <c r="CD2441">
        <v>0.14000000000000001</v>
      </c>
      <c r="CE2441">
        <v>0.11</v>
      </c>
      <c r="CF2441">
        <v>-0.3</v>
      </c>
      <c r="CG2441">
        <v>4.07</v>
      </c>
      <c r="CH2441">
        <v>1</v>
      </c>
      <c r="CI2441">
        <v>3.07</v>
      </c>
      <c r="CJ2441">
        <v>54178</v>
      </c>
      <c r="CK2441">
        <v>9702</v>
      </c>
      <c r="CL2441" t="s">
        <v>929</v>
      </c>
      <c r="CM2441">
        <v>-36.04</v>
      </c>
      <c r="CN2441">
        <v>-25.75</v>
      </c>
      <c r="CO2441">
        <v>0.59</v>
      </c>
      <c r="CP2441">
        <v>23.84</v>
      </c>
      <c r="CQ2441">
        <v>2.96</v>
      </c>
      <c r="CR2441">
        <v>0</v>
      </c>
      <c r="CS2441" t="s">
        <v>3943</v>
      </c>
      <c r="CT2441">
        <v>5.37</v>
      </c>
      <c r="CU2441">
        <v>0</v>
      </c>
      <c r="CV2441">
        <v>3.78</v>
      </c>
      <c r="CW2441">
        <v>0.54</v>
      </c>
      <c r="CX2441">
        <v>0.13</v>
      </c>
      <c r="CY2441">
        <v>61.18</v>
      </c>
      <c r="CZ2441" t="s">
        <v>6969</v>
      </c>
      <c r="DA2441">
        <v>28.68</v>
      </c>
      <c r="DB2441">
        <v>2.76</v>
      </c>
      <c r="DC2441">
        <v>1.36</v>
      </c>
      <c r="DD2441">
        <v>0.28999999999999998</v>
      </c>
      <c r="DE2441">
        <v>1631</v>
      </c>
      <c r="DF2441">
        <v>600290</v>
      </c>
      <c r="DG2441" t="s">
        <v>116</v>
      </c>
      <c r="DH2441" t="s">
        <v>116</v>
      </c>
      <c r="DI2441" t="s">
        <v>116</v>
      </c>
    </row>
    <row r="2442" spans="1:113" x14ac:dyDescent="0.4">
      <c r="A2442" t="str">
        <f>"600291"</f>
        <v>600291</v>
      </c>
      <c r="B2442" t="s">
        <v>11308</v>
      </c>
      <c r="C2442">
        <v>0.69</v>
      </c>
      <c r="D2442">
        <v>8.75</v>
      </c>
      <c r="E2442">
        <v>0.06</v>
      </c>
      <c r="F2442">
        <v>8.74</v>
      </c>
      <c r="G2442">
        <v>8.75</v>
      </c>
      <c r="H2442">
        <v>178064</v>
      </c>
      <c r="I2442">
        <v>1552</v>
      </c>
      <c r="J2442">
        <v>0.11</v>
      </c>
      <c r="K2442">
        <v>1.63</v>
      </c>
      <c r="L2442">
        <v>8.68</v>
      </c>
      <c r="M2442">
        <v>9</v>
      </c>
      <c r="N2442">
        <v>8.64</v>
      </c>
      <c r="O2442">
        <v>8.69</v>
      </c>
      <c r="P2442" t="s">
        <v>116</v>
      </c>
      <c r="Q2442">
        <v>157313056</v>
      </c>
      <c r="R2442">
        <v>1.6</v>
      </c>
      <c r="S2442" t="s">
        <v>1496</v>
      </c>
      <c r="T2442" t="s">
        <v>796</v>
      </c>
      <c r="U2442">
        <v>4.1399999999999997</v>
      </c>
      <c r="V2442">
        <v>8.83</v>
      </c>
      <c r="W2442">
        <v>86338</v>
      </c>
      <c r="X2442">
        <v>91726</v>
      </c>
      <c r="Y2442">
        <v>0.94</v>
      </c>
      <c r="Z2442">
        <v>1231</v>
      </c>
      <c r="AA2442">
        <v>648</v>
      </c>
      <c r="AB2442" t="s">
        <v>116</v>
      </c>
      <c r="AC2442">
        <v>225700</v>
      </c>
      <c r="AD2442">
        <v>0</v>
      </c>
      <c r="AE2442" t="s">
        <v>116</v>
      </c>
      <c r="AF2442" t="s">
        <v>116</v>
      </c>
      <c r="AG2442">
        <v>10.93</v>
      </c>
      <c r="AH2442" t="s">
        <v>11309</v>
      </c>
      <c r="AI2442" t="s">
        <v>11309</v>
      </c>
      <c r="AJ2442">
        <v>0.77</v>
      </c>
      <c r="AK2442">
        <v>2719</v>
      </c>
      <c r="AL2442">
        <v>65</v>
      </c>
      <c r="AM2442">
        <v>5.9999999999999995E-4</v>
      </c>
      <c r="AN2442">
        <v>2</v>
      </c>
      <c r="AO2442">
        <v>0.46</v>
      </c>
      <c r="AP2442">
        <v>6.45</v>
      </c>
      <c r="AQ2442">
        <v>-1.46</v>
      </c>
      <c r="AR2442">
        <v>-14.83</v>
      </c>
      <c r="AS2442">
        <v>3.31</v>
      </c>
      <c r="AT2442" t="s">
        <v>11310</v>
      </c>
      <c r="AU2442" t="s">
        <v>116</v>
      </c>
      <c r="AV2442">
        <v>25.33</v>
      </c>
      <c r="AW2442">
        <v>1.78</v>
      </c>
      <c r="BA2442">
        <v>-0.12</v>
      </c>
      <c r="BB2442">
        <v>3.57</v>
      </c>
      <c r="BC2442">
        <v>-0.57999999999999996</v>
      </c>
      <c r="BD2442">
        <v>1.66</v>
      </c>
      <c r="BE2442">
        <v>0.81</v>
      </c>
      <c r="BF2442">
        <v>-2.78</v>
      </c>
      <c r="BG2442">
        <v>1.27</v>
      </c>
      <c r="BH2442">
        <v>-0.97</v>
      </c>
      <c r="BI2442">
        <v>20191118</v>
      </c>
      <c r="BJ2442">
        <v>20000731</v>
      </c>
      <c r="BK2442">
        <v>10.93</v>
      </c>
      <c r="BL2442" t="s">
        <v>116</v>
      </c>
      <c r="BM2442" t="s">
        <v>116</v>
      </c>
      <c r="BN2442">
        <v>712.49</v>
      </c>
      <c r="BO2442">
        <v>108.81</v>
      </c>
      <c r="BP2442">
        <v>147.75</v>
      </c>
      <c r="BQ2442">
        <v>63.99</v>
      </c>
      <c r="BR2442">
        <v>0</v>
      </c>
      <c r="BS2442">
        <v>11.7</v>
      </c>
      <c r="BT2442">
        <v>17.079999999999998</v>
      </c>
      <c r="BU2442">
        <v>0</v>
      </c>
      <c r="BV2442">
        <v>0</v>
      </c>
      <c r="BW2442">
        <v>0</v>
      </c>
      <c r="BX2442">
        <v>59.69</v>
      </c>
      <c r="BY2442">
        <v>105.6</v>
      </c>
      <c r="BZ2442">
        <v>0</v>
      </c>
      <c r="CA2442">
        <v>-20.51</v>
      </c>
      <c r="CB2442">
        <v>-31.77</v>
      </c>
      <c r="CC2442">
        <v>-20.28</v>
      </c>
      <c r="CD2442">
        <v>-25.2</v>
      </c>
      <c r="CE2442">
        <v>-15.64</v>
      </c>
      <c r="CF2442">
        <v>-4.71</v>
      </c>
      <c r="CG2442">
        <v>14.07</v>
      </c>
      <c r="CH2442">
        <v>-489.5</v>
      </c>
      <c r="CI2442">
        <v>-7.56</v>
      </c>
      <c r="CJ2442">
        <v>81090</v>
      </c>
      <c r="CK2442">
        <v>6636</v>
      </c>
      <c r="CL2442" t="s">
        <v>1527</v>
      </c>
      <c r="CM2442">
        <v>-489.4</v>
      </c>
      <c r="CN2442">
        <v>-41.28</v>
      </c>
      <c r="CO2442">
        <v>0.88</v>
      </c>
      <c r="CP2442">
        <v>-0.2</v>
      </c>
      <c r="CQ2442">
        <v>0.91</v>
      </c>
      <c r="CR2442">
        <v>0.18</v>
      </c>
      <c r="CS2442" t="s">
        <v>11311</v>
      </c>
      <c r="CT2442">
        <v>9.9499999999999993</v>
      </c>
      <c r="CU2442">
        <v>0</v>
      </c>
      <c r="CV2442">
        <v>5.46</v>
      </c>
      <c r="CW2442">
        <v>1.29</v>
      </c>
      <c r="CX2442">
        <v>-44.78</v>
      </c>
      <c r="CY2442">
        <v>15.27</v>
      </c>
      <c r="CZ2442" t="s">
        <v>11312</v>
      </c>
      <c r="DA2442" t="s">
        <v>116</v>
      </c>
      <c r="DB2442">
        <v>-19.420000000000002</v>
      </c>
      <c r="DC2442">
        <v>-14.81</v>
      </c>
      <c r="DD2442">
        <v>0</v>
      </c>
      <c r="DE2442">
        <v>17155</v>
      </c>
      <c r="DF2442">
        <v>600291</v>
      </c>
      <c r="DG2442" t="s">
        <v>116</v>
      </c>
      <c r="DH2442" t="s">
        <v>116</v>
      </c>
      <c r="DI2442" t="s">
        <v>116</v>
      </c>
    </row>
    <row r="2443" spans="1:113" x14ac:dyDescent="0.4">
      <c r="A2443" t="str">
        <f>"600292"</f>
        <v>600292</v>
      </c>
      <c r="B2443" t="s">
        <v>11313</v>
      </c>
      <c r="C2443">
        <v>-0.36</v>
      </c>
      <c r="D2443">
        <v>5.61</v>
      </c>
      <c r="E2443">
        <v>-0.02</v>
      </c>
      <c r="F2443">
        <v>5.6</v>
      </c>
      <c r="G2443">
        <v>5.61</v>
      </c>
      <c r="H2443">
        <v>32197</v>
      </c>
      <c r="I2443">
        <v>326</v>
      </c>
      <c r="J2443">
        <v>0.36</v>
      </c>
      <c r="K2443">
        <v>0.41</v>
      </c>
      <c r="L2443">
        <v>5.63</v>
      </c>
      <c r="M2443">
        <v>5.67</v>
      </c>
      <c r="N2443">
        <v>5.59</v>
      </c>
      <c r="O2443">
        <v>5.63</v>
      </c>
      <c r="P2443">
        <v>31.75</v>
      </c>
      <c r="Q2443">
        <v>18160004</v>
      </c>
      <c r="R2443">
        <v>0.97</v>
      </c>
      <c r="S2443" t="s">
        <v>140</v>
      </c>
      <c r="T2443" t="s">
        <v>906</v>
      </c>
      <c r="U2443">
        <v>1.42</v>
      </c>
      <c r="V2443">
        <v>5.64</v>
      </c>
      <c r="W2443">
        <v>18163</v>
      </c>
      <c r="X2443">
        <v>14034</v>
      </c>
      <c r="Y2443">
        <v>1.29</v>
      </c>
      <c r="Z2443">
        <v>504</v>
      </c>
      <c r="AA2443">
        <v>146</v>
      </c>
      <c r="AB2443" t="s">
        <v>116</v>
      </c>
      <c r="AC2443">
        <v>85600</v>
      </c>
      <c r="AD2443">
        <v>0</v>
      </c>
      <c r="AE2443" t="s">
        <v>116</v>
      </c>
      <c r="AF2443" t="s">
        <v>116</v>
      </c>
      <c r="AG2443">
        <v>7.81</v>
      </c>
      <c r="AH2443" t="s">
        <v>11314</v>
      </c>
      <c r="AI2443" t="s">
        <v>11314</v>
      </c>
      <c r="AJ2443">
        <v>-0.28000000000000003</v>
      </c>
      <c r="AK2443">
        <v>724</v>
      </c>
      <c r="AL2443">
        <v>44</v>
      </c>
      <c r="AM2443">
        <v>5.9999999999999995E-4</v>
      </c>
      <c r="AN2443">
        <v>-1</v>
      </c>
      <c r="AO2443">
        <v>0.53</v>
      </c>
      <c r="AP2443">
        <v>3.89</v>
      </c>
      <c r="AQ2443">
        <v>1.63</v>
      </c>
      <c r="AR2443">
        <v>14.96</v>
      </c>
      <c r="AS2443">
        <v>0.86</v>
      </c>
      <c r="AT2443" t="s">
        <v>11315</v>
      </c>
      <c r="AU2443">
        <v>36.11</v>
      </c>
      <c r="AV2443">
        <v>34.86</v>
      </c>
      <c r="AW2443">
        <v>1.65</v>
      </c>
      <c r="BA2443">
        <v>0</v>
      </c>
      <c r="BB2443">
        <v>0.71</v>
      </c>
      <c r="BC2443">
        <v>-0.71</v>
      </c>
      <c r="BD2443">
        <v>0.18</v>
      </c>
      <c r="BE2443">
        <v>-0.36</v>
      </c>
      <c r="BF2443">
        <v>-1.06</v>
      </c>
      <c r="BG2443">
        <v>0.36</v>
      </c>
      <c r="BH2443">
        <v>-0.54</v>
      </c>
      <c r="BI2443">
        <v>20191030</v>
      </c>
      <c r="BJ2443">
        <v>20001101</v>
      </c>
      <c r="BK2443">
        <v>7.81</v>
      </c>
      <c r="BL2443" t="s">
        <v>116</v>
      </c>
      <c r="BM2443" t="s">
        <v>116</v>
      </c>
      <c r="BN2443">
        <v>92.26</v>
      </c>
      <c r="BO2443">
        <v>49.98</v>
      </c>
      <c r="BP2443">
        <v>3.45</v>
      </c>
      <c r="BQ2443">
        <v>42.09</v>
      </c>
      <c r="BR2443">
        <v>40.82</v>
      </c>
      <c r="BS2443">
        <v>34.17</v>
      </c>
      <c r="BT2443">
        <v>5.12</v>
      </c>
      <c r="BU2443">
        <v>35.299999999999997</v>
      </c>
      <c r="BV2443">
        <v>6.82</v>
      </c>
      <c r="BW2443">
        <v>23.8</v>
      </c>
      <c r="BX2443">
        <v>29.89</v>
      </c>
      <c r="BY2443">
        <v>29.3</v>
      </c>
      <c r="BZ2443">
        <v>24.55</v>
      </c>
      <c r="CA2443">
        <v>1.45</v>
      </c>
      <c r="CB2443">
        <v>0.02</v>
      </c>
      <c r="CC2443">
        <v>1.48</v>
      </c>
      <c r="CD2443">
        <v>1.1599999999999999</v>
      </c>
      <c r="CE2443">
        <v>1.03</v>
      </c>
      <c r="CF2443">
        <v>0.98</v>
      </c>
      <c r="CG2443">
        <v>10.36</v>
      </c>
      <c r="CH2443">
        <v>-1.83</v>
      </c>
      <c r="CI2443">
        <v>0.98</v>
      </c>
      <c r="CJ2443">
        <v>46259</v>
      </c>
      <c r="CK2443">
        <v>8048</v>
      </c>
      <c r="CL2443" t="s">
        <v>5566</v>
      </c>
      <c r="CM2443">
        <v>-4.0199999999999996</v>
      </c>
      <c r="CN2443">
        <v>18.27</v>
      </c>
      <c r="CO2443">
        <v>0.88</v>
      </c>
      <c r="CP2443">
        <v>-23.93</v>
      </c>
      <c r="CQ2443">
        <v>1.49</v>
      </c>
      <c r="CR2443">
        <v>0.89</v>
      </c>
      <c r="CS2443" t="s">
        <v>533</v>
      </c>
      <c r="CT2443">
        <v>6.4</v>
      </c>
      <c r="CU2443">
        <v>0</v>
      </c>
      <c r="CV2443">
        <v>3.83</v>
      </c>
      <c r="CW2443">
        <v>1.33</v>
      </c>
      <c r="CX2443">
        <v>-0.23</v>
      </c>
      <c r="CY2443">
        <v>54.18</v>
      </c>
      <c r="CZ2443" t="s">
        <v>5446</v>
      </c>
      <c r="DA2443">
        <v>16.22</v>
      </c>
      <c r="DB2443">
        <v>4.95</v>
      </c>
      <c r="DC2443">
        <v>3.53</v>
      </c>
      <c r="DD2443">
        <v>0.31</v>
      </c>
      <c r="DE2443">
        <v>2157</v>
      </c>
      <c r="DF2443">
        <v>600292</v>
      </c>
      <c r="DG2443" t="s">
        <v>116</v>
      </c>
      <c r="DH2443" t="s">
        <v>116</v>
      </c>
      <c r="DI2443" t="s">
        <v>116</v>
      </c>
    </row>
    <row r="2444" spans="1:113" x14ac:dyDescent="0.4">
      <c r="A2444" t="str">
        <f>"600293"</f>
        <v>600293</v>
      </c>
      <c r="B2444" t="s">
        <v>11316</v>
      </c>
      <c r="C2444">
        <v>-0.63</v>
      </c>
      <c r="D2444">
        <v>3.15</v>
      </c>
      <c r="E2444">
        <v>-0.02</v>
      </c>
      <c r="F2444">
        <v>3.14</v>
      </c>
      <c r="G2444">
        <v>3.15</v>
      </c>
      <c r="H2444">
        <v>141384</v>
      </c>
      <c r="I2444">
        <v>1979</v>
      </c>
      <c r="J2444">
        <v>0</v>
      </c>
      <c r="K2444">
        <v>1.22</v>
      </c>
      <c r="L2444">
        <v>3.16</v>
      </c>
      <c r="M2444">
        <v>3.22</v>
      </c>
      <c r="N2444">
        <v>3.14</v>
      </c>
      <c r="O2444">
        <v>3.17</v>
      </c>
      <c r="P2444">
        <v>44.99</v>
      </c>
      <c r="Q2444">
        <v>44988688</v>
      </c>
      <c r="R2444">
        <v>1.43</v>
      </c>
      <c r="S2444" t="s">
        <v>1384</v>
      </c>
      <c r="T2444" t="s">
        <v>774</v>
      </c>
      <c r="U2444">
        <v>2.52</v>
      </c>
      <c r="V2444">
        <v>3.18</v>
      </c>
      <c r="W2444">
        <v>73604</v>
      </c>
      <c r="X2444">
        <v>67780</v>
      </c>
      <c r="Y2444">
        <v>1.0900000000000001</v>
      </c>
      <c r="Z2444">
        <v>2148</v>
      </c>
      <c r="AA2444">
        <v>547</v>
      </c>
      <c r="AB2444" t="s">
        <v>116</v>
      </c>
      <c r="AC2444">
        <v>85300</v>
      </c>
      <c r="AD2444">
        <v>0</v>
      </c>
      <c r="AE2444" t="s">
        <v>116</v>
      </c>
      <c r="AF2444" t="s">
        <v>116</v>
      </c>
      <c r="AG2444">
        <v>11.62</v>
      </c>
      <c r="AH2444" t="s">
        <v>5767</v>
      </c>
      <c r="AI2444" t="s">
        <v>5767</v>
      </c>
      <c r="AJ2444">
        <v>-0.55000000000000004</v>
      </c>
      <c r="AK2444">
        <v>1477</v>
      </c>
      <c r="AL2444">
        <v>96</v>
      </c>
      <c r="AM2444">
        <v>8.0000000000000004E-4</v>
      </c>
      <c r="AN2444">
        <v>-1</v>
      </c>
      <c r="AO2444">
        <v>-0.94</v>
      </c>
      <c r="AP2444">
        <v>1.61</v>
      </c>
      <c r="AQ2444">
        <v>-17.11</v>
      </c>
      <c r="AR2444">
        <v>-19.440000000000001</v>
      </c>
      <c r="AS2444">
        <v>2.5499999999999998</v>
      </c>
      <c r="AT2444" t="s">
        <v>9463</v>
      </c>
      <c r="AU2444">
        <v>138.54</v>
      </c>
      <c r="AV2444">
        <v>15.23</v>
      </c>
      <c r="AW2444">
        <v>2.0699999999999998</v>
      </c>
      <c r="BA2444">
        <v>-0.32</v>
      </c>
      <c r="BB2444">
        <v>1.58</v>
      </c>
      <c r="BC2444">
        <v>-0.95</v>
      </c>
      <c r="BD2444">
        <v>0.38</v>
      </c>
      <c r="BE2444">
        <v>-0.32</v>
      </c>
      <c r="BF2444">
        <v>-2.17</v>
      </c>
      <c r="BG2444">
        <v>0.32</v>
      </c>
      <c r="BH2444">
        <v>-1.01</v>
      </c>
      <c r="BI2444">
        <v>20191031</v>
      </c>
      <c r="BJ2444">
        <v>20000919</v>
      </c>
      <c r="BK2444">
        <v>11.62</v>
      </c>
      <c r="BL2444" t="s">
        <v>116</v>
      </c>
      <c r="BM2444" t="s">
        <v>116</v>
      </c>
      <c r="BN2444">
        <v>69.75</v>
      </c>
      <c r="BO2444">
        <v>39.26</v>
      </c>
      <c r="BP2444">
        <v>1.03</v>
      </c>
      <c r="BQ2444">
        <v>42.23</v>
      </c>
      <c r="BR2444">
        <v>31.43</v>
      </c>
      <c r="BS2444">
        <v>18.36</v>
      </c>
      <c r="BT2444">
        <v>4.6100000000000003</v>
      </c>
      <c r="BU2444">
        <v>26.96</v>
      </c>
      <c r="BV2444">
        <v>2.74</v>
      </c>
      <c r="BW2444">
        <v>12.72</v>
      </c>
      <c r="BX2444">
        <v>20.38</v>
      </c>
      <c r="BY2444">
        <v>27.65</v>
      </c>
      <c r="BZ2444">
        <v>24.47</v>
      </c>
      <c r="CA2444">
        <v>0.8</v>
      </c>
      <c r="CB2444">
        <v>0.03</v>
      </c>
      <c r="CC2444">
        <v>0.77</v>
      </c>
      <c r="CD2444">
        <v>0.62</v>
      </c>
      <c r="CE2444">
        <v>0.61</v>
      </c>
      <c r="CF2444">
        <v>0.54</v>
      </c>
      <c r="CG2444">
        <v>6.64</v>
      </c>
      <c r="CH2444">
        <v>1.1000000000000001</v>
      </c>
      <c r="CI2444">
        <v>0.23</v>
      </c>
      <c r="CJ2444">
        <v>40627</v>
      </c>
      <c r="CK2444">
        <v>13640</v>
      </c>
      <c r="CL2444" t="s">
        <v>4389</v>
      </c>
      <c r="CM2444">
        <v>-77.81</v>
      </c>
      <c r="CN2444">
        <v>-69.94</v>
      </c>
      <c r="CO2444">
        <v>0.93</v>
      </c>
      <c r="CP2444">
        <v>33.42</v>
      </c>
      <c r="CQ2444">
        <v>1.32</v>
      </c>
      <c r="CR2444">
        <v>0</v>
      </c>
      <c r="CS2444" t="s">
        <v>170</v>
      </c>
      <c r="CT2444">
        <v>3.38</v>
      </c>
      <c r="CU2444">
        <v>0</v>
      </c>
      <c r="CV2444">
        <v>1.75</v>
      </c>
      <c r="CW2444">
        <v>0.56999999999999995</v>
      </c>
      <c r="CX2444">
        <v>0.09</v>
      </c>
      <c r="CY2444">
        <v>56.29</v>
      </c>
      <c r="CZ2444" t="s">
        <v>7916</v>
      </c>
      <c r="DA2444">
        <v>11.51</v>
      </c>
      <c r="DB2444">
        <v>2.88</v>
      </c>
      <c r="DC2444">
        <v>2.21</v>
      </c>
      <c r="DD2444">
        <v>0.17</v>
      </c>
      <c r="DE2444">
        <v>2942</v>
      </c>
      <c r="DF2444">
        <v>600293</v>
      </c>
      <c r="DG2444" t="s">
        <v>116</v>
      </c>
      <c r="DH2444" t="s">
        <v>116</v>
      </c>
      <c r="DI2444" t="s">
        <v>116</v>
      </c>
    </row>
    <row r="2445" spans="1:113" x14ac:dyDescent="0.4">
      <c r="A2445" t="str">
        <f>"600295"</f>
        <v>600295</v>
      </c>
      <c r="B2445" t="s">
        <v>11317</v>
      </c>
      <c r="C2445">
        <v>0.23</v>
      </c>
      <c r="D2445">
        <v>8.7899999999999991</v>
      </c>
      <c r="E2445">
        <v>0.02</v>
      </c>
      <c r="F2445">
        <v>8.7799999999999994</v>
      </c>
      <c r="G2445">
        <v>8.7899999999999991</v>
      </c>
      <c r="H2445">
        <v>74879</v>
      </c>
      <c r="I2445">
        <v>371</v>
      </c>
      <c r="J2445">
        <v>0</v>
      </c>
      <c r="K2445">
        <v>1.22</v>
      </c>
      <c r="L2445">
        <v>8.8000000000000007</v>
      </c>
      <c r="M2445">
        <v>8.98</v>
      </c>
      <c r="N2445">
        <v>8.7100000000000009</v>
      </c>
      <c r="O2445">
        <v>8.77</v>
      </c>
      <c r="P2445">
        <v>9.66</v>
      </c>
      <c r="Q2445">
        <v>66141524</v>
      </c>
      <c r="R2445">
        <v>1.74</v>
      </c>
      <c r="S2445" t="s">
        <v>1509</v>
      </c>
      <c r="T2445" t="s">
        <v>796</v>
      </c>
      <c r="U2445">
        <v>3.08</v>
      </c>
      <c r="V2445">
        <v>8.83</v>
      </c>
      <c r="W2445">
        <v>36383</v>
      </c>
      <c r="X2445">
        <v>38496</v>
      </c>
      <c r="Y2445">
        <v>0.95</v>
      </c>
      <c r="Z2445">
        <v>435</v>
      </c>
      <c r="AA2445">
        <v>442</v>
      </c>
      <c r="AB2445" t="s">
        <v>116</v>
      </c>
      <c r="AC2445">
        <v>122300</v>
      </c>
      <c r="AD2445">
        <v>0</v>
      </c>
      <c r="AE2445" t="s">
        <v>116</v>
      </c>
      <c r="AF2445" t="s">
        <v>116</v>
      </c>
      <c r="AG2445">
        <v>6.12</v>
      </c>
      <c r="AH2445" t="s">
        <v>11318</v>
      </c>
      <c r="AI2445" t="s">
        <v>11319</v>
      </c>
      <c r="AJ2445">
        <v>0.3</v>
      </c>
      <c r="AK2445">
        <v>2161</v>
      </c>
      <c r="AL2445">
        <v>35</v>
      </c>
      <c r="AM2445">
        <v>5.9999999999999995E-4</v>
      </c>
      <c r="AN2445">
        <v>4</v>
      </c>
      <c r="AO2445">
        <v>1.86</v>
      </c>
      <c r="AP2445">
        <v>3.66</v>
      </c>
      <c r="AQ2445">
        <v>13.13</v>
      </c>
      <c r="AR2445">
        <v>19.59</v>
      </c>
      <c r="AS2445">
        <v>1.22</v>
      </c>
      <c r="AT2445" t="s">
        <v>11318</v>
      </c>
      <c r="AU2445">
        <v>9.17</v>
      </c>
      <c r="AV2445">
        <v>13.59</v>
      </c>
      <c r="AW2445">
        <v>1.08</v>
      </c>
      <c r="BA2445">
        <v>0.34</v>
      </c>
      <c r="BB2445">
        <v>2.39</v>
      </c>
      <c r="BC2445">
        <v>-0.68</v>
      </c>
      <c r="BD2445">
        <v>0.72</v>
      </c>
      <c r="BE2445">
        <v>-0.11</v>
      </c>
      <c r="BF2445">
        <v>-2.12</v>
      </c>
      <c r="BG2445">
        <v>0.92</v>
      </c>
      <c r="BH2445">
        <v>-0.49</v>
      </c>
      <c r="BI2445">
        <v>20191202</v>
      </c>
      <c r="BJ2445">
        <v>20010426</v>
      </c>
      <c r="BK2445">
        <v>14.28</v>
      </c>
      <c r="BL2445">
        <v>4.2</v>
      </c>
      <c r="BM2445" t="s">
        <v>116</v>
      </c>
      <c r="BN2445">
        <v>508.9</v>
      </c>
      <c r="BO2445">
        <v>117.81</v>
      </c>
      <c r="BP2445">
        <v>43.38</v>
      </c>
      <c r="BQ2445">
        <v>68.33</v>
      </c>
      <c r="BR2445">
        <v>186.71</v>
      </c>
      <c r="BS2445">
        <v>210.02</v>
      </c>
      <c r="BT2445">
        <v>11.07</v>
      </c>
      <c r="BU2445">
        <v>262.54000000000002</v>
      </c>
      <c r="BV2445">
        <v>40.15</v>
      </c>
      <c r="BW2445">
        <v>14.36</v>
      </c>
      <c r="BX2445">
        <v>33.78</v>
      </c>
      <c r="BY2445">
        <v>166.15</v>
      </c>
      <c r="BZ2445">
        <v>122.9</v>
      </c>
      <c r="CA2445">
        <v>14.09</v>
      </c>
      <c r="CB2445">
        <v>4.21</v>
      </c>
      <c r="CC2445">
        <v>14.06</v>
      </c>
      <c r="CD2445">
        <v>11.66</v>
      </c>
      <c r="CE2445">
        <v>9.74</v>
      </c>
      <c r="CF2445">
        <v>9.3699999999999992</v>
      </c>
      <c r="CG2445">
        <v>61.28</v>
      </c>
      <c r="CH2445">
        <v>33.68</v>
      </c>
      <c r="CI2445">
        <v>16.850000000000001</v>
      </c>
      <c r="CJ2445">
        <v>62913</v>
      </c>
      <c r="CK2445">
        <v>16404</v>
      </c>
      <c r="CL2445" t="s">
        <v>7875</v>
      </c>
      <c r="CM2445">
        <v>84.12</v>
      </c>
      <c r="CN2445">
        <v>-10.96</v>
      </c>
      <c r="CO2445">
        <v>1.02</v>
      </c>
      <c r="CP2445">
        <v>3.73</v>
      </c>
      <c r="CQ2445">
        <v>0.76</v>
      </c>
      <c r="CR2445">
        <v>1.63</v>
      </c>
      <c r="CS2445" t="s">
        <v>4039</v>
      </c>
      <c r="CT2445">
        <v>8.66</v>
      </c>
      <c r="CU2445">
        <v>8.66</v>
      </c>
      <c r="CV2445">
        <v>2.37</v>
      </c>
      <c r="CW2445">
        <v>4.29</v>
      </c>
      <c r="CX2445">
        <v>2.36</v>
      </c>
      <c r="CY2445">
        <v>23.15</v>
      </c>
      <c r="CZ2445" t="s">
        <v>3665</v>
      </c>
      <c r="DA2445">
        <v>26.03</v>
      </c>
      <c r="DB2445">
        <v>8.48</v>
      </c>
      <c r="DC2445">
        <v>5.86</v>
      </c>
      <c r="DD2445">
        <v>1.54</v>
      </c>
      <c r="DE2445">
        <v>25185</v>
      </c>
      <c r="DF2445">
        <v>600295</v>
      </c>
      <c r="DG2445" t="s">
        <v>116</v>
      </c>
      <c r="DH2445" t="s">
        <v>116</v>
      </c>
      <c r="DI2445" t="s">
        <v>116</v>
      </c>
    </row>
    <row r="2446" spans="1:113" x14ac:dyDescent="0.4">
      <c r="A2446" t="str">
        <f>"600297"</f>
        <v>600297</v>
      </c>
      <c r="B2446" t="s">
        <v>11320</v>
      </c>
      <c r="C2446">
        <v>-0.3</v>
      </c>
      <c r="D2446">
        <v>3.29</v>
      </c>
      <c r="E2446">
        <v>-0.01</v>
      </c>
      <c r="F2446">
        <v>3.28</v>
      </c>
      <c r="G2446">
        <v>3.29</v>
      </c>
      <c r="H2446">
        <v>258755</v>
      </c>
      <c r="I2446">
        <v>1098</v>
      </c>
      <c r="J2446">
        <v>0.3</v>
      </c>
      <c r="K2446">
        <v>0.32</v>
      </c>
      <c r="L2446">
        <v>3.3</v>
      </c>
      <c r="M2446">
        <v>3.34</v>
      </c>
      <c r="N2446">
        <v>3.28</v>
      </c>
      <c r="O2446">
        <v>3.3</v>
      </c>
      <c r="P2446">
        <v>8.9600000000000009</v>
      </c>
      <c r="Q2446">
        <v>85728032</v>
      </c>
      <c r="R2446">
        <v>1.4</v>
      </c>
      <c r="S2446" t="s">
        <v>256</v>
      </c>
      <c r="T2446" t="s">
        <v>434</v>
      </c>
      <c r="U2446">
        <v>1.82</v>
      </c>
      <c r="V2446">
        <v>3.31</v>
      </c>
      <c r="W2446">
        <v>117777</v>
      </c>
      <c r="X2446">
        <v>140978</v>
      </c>
      <c r="Y2446">
        <v>0.84</v>
      </c>
      <c r="Z2446">
        <v>4348</v>
      </c>
      <c r="AA2446">
        <v>1528</v>
      </c>
      <c r="AB2446" t="s">
        <v>116</v>
      </c>
      <c r="AC2446">
        <v>119800</v>
      </c>
      <c r="AD2446">
        <v>0</v>
      </c>
      <c r="AE2446" t="s">
        <v>116</v>
      </c>
      <c r="AF2446" t="s">
        <v>116</v>
      </c>
      <c r="AG2446">
        <v>81.099999999999994</v>
      </c>
      <c r="AH2446" t="s">
        <v>11321</v>
      </c>
      <c r="AI2446" t="s">
        <v>11322</v>
      </c>
      <c r="AJ2446">
        <v>-0.23</v>
      </c>
      <c r="AK2446">
        <v>2188</v>
      </c>
      <c r="AL2446">
        <v>118</v>
      </c>
      <c r="AM2446">
        <v>1E-4</v>
      </c>
      <c r="AN2446">
        <v>-1</v>
      </c>
      <c r="AO2446">
        <v>0.01</v>
      </c>
      <c r="AP2446">
        <v>-1.5</v>
      </c>
      <c r="AQ2446">
        <v>-15.42</v>
      </c>
      <c r="AR2446">
        <v>-18.670000000000002</v>
      </c>
      <c r="AS2446">
        <v>0.86</v>
      </c>
      <c r="AT2446" t="s">
        <v>11323</v>
      </c>
      <c r="AU2446">
        <v>11.42</v>
      </c>
      <c r="AV2446">
        <v>8.24</v>
      </c>
      <c r="AW2446">
        <v>1.44</v>
      </c>
      <c r="BA2446">
        <v>0</v>
      </c>
      <c r="BB2446">
        <v>1.21</v>
      </c>
      <c r="BC2446">
        <v>-0.61</v>
      </c>
      <c r="BD2446">
        <v>0.4</v>
      </c>
      <c r="BE2446">
        <v>-0.3</v>
      </c>
      <c r="BF2446">
        <v>-1.5</v>
      </c>
      <c r="BG2446">
        <v>0.3</v>
      </c>
      <c r="BH2446">
        <v>-0.7</v>
      </c>
      <c r="BI2446">
        <v>20191225</v>
      </c>
      <c r="BJ2446">
        <v>20001116</v>
      </c>
      <c r="BK2446">
        <v>81.599999999999994</v>
      </c>
      <c r="BL2446" t="s">
        <v>116</v>
      </c>
      <c r="BM2446" t="s">
        <v>116</v>
      </c>
      <c r="BN2446">
        <v>1322.74</v>
      </c>
      <c r="BO2446">
        <v>377.65</v>
      </c>
      <c r="BP2446">
        <v>93.77</v>
      </c>
      <c r="BQ2446">
        <v>64.36</v>
      </c>
      <c r="BR2446">
        <v>768.74</v>
      </c>
      <c r="BS2446">
        <v>133.97</v>
      </c>
      <c r="BT2446">
        <v>97.55</v>
      </c>
      <c r="BU2446">
        <v>643.35</v>
      </c>
      <c r="BV2446">
        <v>183.51</v>
      </c>
      <c r="BW2446">
        <v>26.45</v>
      </c>
      <c r="BX2446">
        <v>134.25</v>
      </c>
      <c r="BY2446">
        <v>1221.77</v>
      </c>
      <c r="BZ2446">
        <v>1098.44</v>
      </c>
      <c r="CA2446">
        <v>37.06</v>
      </c>
      <c r="CB2446">
        <v>2.77</v>
      </c>
      <c r="CC2446">
        <v>37.85</v>
      </c>
      <c r="CD2446">
        <v>28.04</v>
      </c>
      <c r="CE2446">
        <v>22.46</v>
      </c>
      <c r="CF2446">
        <v>20.149999999999999</v>
      </c>
      <c r="CG2446">
        <v>161.82</v>
      </c>
      <c r="CH2446">
        <v>-49.49</v>
      </c>
      <c r="CI2446">
        <v>-32.22</v>
      </c>
      <c r="CJ2446">
        <v>37930</v>
      </c>
      <c r="CK2446">
        <v>78998</v>
      </c>
      <c r="CL2446" t="s">
        <v>11324</v>
      </c>
      <c r="CM2446">
        <v>-28.76</v>
      </c>
      <c r="CN2446">
        <v>1.47</v>
      </c>
      <c r="CO2446">
        <v>0.71</v>
      </c>
      <c r="CP2446">
        <v>-5.43</v>
      </c>
      <c r="CQ2446">
        <v>0.22</v>
      </c>
      <c r="CR2446">
        <v>0.46</v>
      </c>
      <c r="CS2446" t="s">
        <v>3543</v>
      </c>
      <c r="CT2446">
        <v>4.63</v>
      </c>
      <c r="CU2446">
        <v>0</v>
      </c>
      <c r="CV2446">
        <v>1.65</v>
      </c>
      <c r="CW2446">
        <v>1.98</v>
      </c>
      <c r="CX2446">
        <v>-0.61</v>
      </c>
      <c r="CY2446">
        <v>28.55</v>
      </c>
      <c r="CZ2446" t="s">
        <v>4089</v>
      </c>
      <c r="DA2446">
        <v>10.09</v>
      </c>
      <c r="DB2446">
        <v>3.03</v>
      </c>
      <c r="DC2446">
        <v>1.84</v>
      </c>
      <c r="DD2446">
        <v>0</v>
      </c>
      <c r="DE2446">
        <v>50490</v>
      </c>
      <c r="DF2446">
        <v>600297</v>
      </c>
      <c r="DG2446" t="s">
        <v>116</v>
      </c>
      <c r="DH2446" t="s">
        <v>116</v>
      </c>
      <c r="DI2446" t="s">
        <v>116</v>
      </c>
    </row>
    <row r="2447" spans="1:113" x14ac:dyDescent="0.4">
      <c r="A2447" t="str">
        <f>"600298"</f>
        <v>600298</v>
      </c>
      <c r="B2447" t="s">
        <v>11325</v>
      </c>
      <c r="C2447">
        <v>0.82</v>
      </c>
      <c r="D2447">
        <v>29.64</v>
      </c>
      <c r="E2447">
        <v>0.24</v>
      </c>
      <c r="F2447">
        <v>29.63</v>
      </c>
      <c r="G2447">
        <v>29.64</v>
      </c>
      <c r="H2447">
        <v>38615</v>
      </c>
      <c r="I2447">
        <v>517</v>
      </c>
      <c r="J2447">
        <v>0.37</v>
      </c>
      <c r="K2447">
        <v>0.47</v>
      </c>
      <c r="L2447">
        <v>29.44</v>
      </c>
      <c r="M2447">
        <v>29.87</v>
      </c>
      <c r="N2447">
        <v>29.31</v>
      </c>
      <c r="O2447">
        <v>29.4</v>
      </c>
      <c r="P2447">
        <v>27.52</v>
      </c>
      <c r="Q2447">
        <v>114627256</v>
      </c>
      <c r="R2447">
        <v>0.97</v>
      </c>
      <c r="S2447" t="s">
        <v>863</v>
      </c>
      <c r="T2447" t="s">
        <v>774</v>
      </c>
      <c r="U2447">
        <v>1.9</v>
      </c>
      <c r="V2447">
        <v>29.68</v>
      </c>
      <c r="W2447">
        <v>18452</v>
      </c>
      <c r="X2447">
        <v>20163</v>
      </c>
      <c r="Y2447">
        <v>0.92</v>
      </c>
      <c r="Z2447">
        <v>9</v>
      </c>
      <c r="AA2447">
        <v>124</v>
      </c>
      <c r="AB2447" t="s">
        <v>116</v>
      </c>
      <c r="AC2447">
        <v>223700</v>
      </c>
      <c r="AD2447">
        <v>0</v>
      </c>
      <c r="AE2447" t="s">
        <v>116</v>
      </c>
      <c r="AF2447" t="s">
        <v>116</v>
      </c>
      <c r="AG2447">
        <v>8.24</v>
      </c>
      <c r="AH2447" t="s">
        <v>11326</v>
      </c>
      <c r="AI2447" t="s">
        <v>11326</v>
      </c>
      <c r="AJ2447">
        <v>0.89</v>
      </c>
      <c r="AK2447">
        <v>2832</v>
      </c>
      <c r="AL2447">
        <v>14</v>
      </c>
      <c r="AM2447">
        <v>2.0000000000000001E-4</v>
      </c>
      <c r="AN2447">
        <v>1</v>
      </c>
      <c r="AO2447">
        <v>-0.87</v>
      </c>
      <c r="AP2447">
        <v>-2.08</v>
      </c>
      <c r="AQ2447">
        <v>8.06</v>
      </c>
      <c r="AR2447">
        <v>19.13</v>
      </c>
      <c r="AS2447">
        <v>0.86</v>
      </c>
      <c r="AT2447" t="s">
        <v>11327</v>
      </c>
      <c r="AU2447">
        <v>28.79</v>
      </c>
      <c r="AV2447">
        <v>28.51</v>
      </c>
      <c r="AW2447">
        <v>0.44</v>
      </c>
      <c r="BA2447">
        <v>0.14000000000000001</v>
      </c>
      <c r="BB2447">
        <v>1.6</v>
      </c>
      <c r="BC2447">
        <v>-0.31</v>
      </c>
      <c r="BD2447">
        <v>0.97</v>
      </c>
      <c r="BE2447">
        <v>0.68</v>
      </c>
      <c r="BF2447">
        <v>-0.77</v>
      </c>
      <c r="BG2447">
        <v>1.1299999999999999</v>
      </c>
      <c r="BH2447">
        <v>-0.15</v>
      </c>
      <c r="BI2447">
        <v>20191023</v>
      </c>
      <c r="BJ2447">
        <v>20000818</v>
      </c>
      <c r="BK2447">
        <v>8.24</v>
      </c>
      <c r="BL2447" t="s">
        <v>116</v>
      </c>
      <c r="BM2447" t="s">
        <v>116</v>
      </c>
      <c r="BN2447">
        <v>95.26</v>
      </c>
      <c r="BO2447">
        <v>48</v>
      </c>
      <c r="BP2447">
        <v>2.57</v>
      </c>
      <c r="BQ2447">
        <v>46.91</v>
      </c>
      <c r="BR2447">
        <v>35.65</v>
      </c>
      <c r="BS2447">
        <v>51.47</v>
      </c>
      <c r="BT2447">
        <v>2.82</v>
      </c>
      <c r="BU2447">
        <v>27.96</v>
      </c>
      <c r="BV2447">
        <v>17.149999999999999</v>
      </c>
      <c r="BW2447">
        <v>8.61</v>
      </c>
      <c r="BX2447">
        <v>6.52</v>
      </c>
      <c r="BY2447">
        <v>55.6</v>
      </c>
      <c r="BZ2447">
        <v>35.92</v>
      </c>
      <c r="CA2447">
        <v>8.15</v>
      </c>
      <c r="CB2447">
        <v>-0.05</v>
      </c>
      <c r="CC2447">
        <v>8.2200000000000006</v>
      </c>
      <c r="CD2447">
        <v>6.9</v>
      </c>
      <c r="CE2447">
        <v>6.66</v>
      </c>
      <c r="CF2447">
        <v>6.27</v>
      </c>
      <c r="CG2447">
        <v>32.729999999999997</v>
      </c>
      <c r="CH2447">
        <v>7.47</v>
      </c>
      <c r="CI2447">
        <v>1.74</v>
      </c>
      <c r="CJ2447">
        <v>40867</v>
      </c>
      <c r="CK2447">
        <v>10963</v>
      </c>
      <c r="CL2447" t="s">
        <v>11328</v>
      </c>
      <c r="CM2447">
        <v>-1.21</v>
      </c>
      <c r="CN2447">
        <v>13.49</v>
      </c>
      <c r="CO2447">
        <v>5.09</v>
      </c>
      <c r="CP2447">
        <v>32.700000000000003</v>
      </c>
      <c r="CQ2447">
        <v>4.3899999999999997</v>
      </c>
      <c r="CR2447">
        <v>1.18</v>
      </c>
      <c r="CS2447" t="s">
        <v>11329</v>
      </c>
      <c r="CT2447">
        <v>5.82</v>
      </c>
      <c r="CU2447">
        <v>0</v>
      </c>
      <c r="CV2447">
        <v>0.79</v>
      </c>
      <c r="CW2447">
        <v>3.97</v>
      </c>
      <c r="CX2447">
        <v>0.91</v>
      </c>
      <c r="CY2447">
        <v>50.39</v>
      </c>
      <c r="CZ2447" t="s">
        <v>2770</v>
      </c>
      <c r="DA2447">
        <v>35.4</v>
      </c>
      <c r="DB2447">
        <v>14.66</v>
      </c>
      <c r="DC2447">
        <v>11.97</v>
      </c>
      <c r="DD2447">
        <v>2.41</v>
      </c>
      <c r="DE2447">
        <v>8768</v>
      </c>
      <c r="DF2447">
        <v>600298</v>
      </c>
      <c r="DG2447" t="s">
        <v>116</v>
      </c>
      <c r="DH2447" t="s">
        <v>116</v>
      </c>
      <c r="DI2447" t="s">
        <v>116</v>
      </c>
    </row>
    <row r="2448" spans="1:113" x14ac:dyDescent="0.4">
      <c r="A2448" t="str">
        <f>"600299"</f>
        <v>600299</v>
      </c>
      <c r="B2448" t="s">
        <v>11330</v>
      </c>
      <c r="C2448">
        <v>-1.9</v>
      </c>
      <c r="D2448">
        <v>10.86</v>
      </c>
      <c r="E2448">
        <v>-0.21</v>
      </c>
      <c r="F2448">
        <v>10.85</v>
      </c>
      <c r="G2448">
        <v>10.86</v>
      </c>
      <c r="H2448">
        <v>67708</v>
      </c>
      <c r="I2448">
        <v>1125</v>
      </c>
      <c r="J2448">
        <v>-0.08</v>
      </c>
      <c r="K2448">
        <v>0.25</v>
      </c>
      <c r="L2448">
        <v>11.12</v>
      </c>
      <c r="M2448">
        <v>11.16</v>
      </c>
      <c r="N2448">
        <v>10.85</v>
      </c>
      <c r="O2448">
        <v>11.07</v>
      </c>
      <c r="P2448">
        <v>26.91</v>
      </c>
      <c r="Q2448">
        <v>74392240</v>
      </c>
      <c r="R2448">
        <v>0.75</v>
      </c>
      <c r="S2448" t="s">
        <v>574</v>
      </c>
      <c r="T2448" t="s">
        <v>165</v>
      </c>
      <c r="U2448">
        <v>2.8</v>
      </c>
      <c r="V2448">
        <v>10.99</v>
      </c>
      <c r="W2448">
        <v>42763</v>
      </c>
      <c r="X2448">
        <v>24947</v>
      </c>
      <c r="Y2448">
        <v>1.71</v>
      </c>
      <c r="Z2448">
        <v>662</v>
      </c>
      <c r="AA2448">
        <v>566</v>
      </c>
      <c r="AB2448" t="s">
        <v>116</v>
      </c>
      <c r="AC2448">
        <v>596000</v>
      </c>
      <c r="AD2448">
        <v>0.02</v>
      </c>
      <c r="AE2448" t="s">
        <v>116</v>
      </c>
      <c r="AF2448" t="s">
        <v>116</v>
      </c>
      <c r="AG2448">
        <v>26.82</v>
      </c>
      <c r="AH2448" t="s">
        <v>11331</v>
      </c>
      <c r="AI2448" t="s">
        <v>11331</v>
      </c>
      <c r="AJ2448">
        <v>-1.82</v>
      </c>
      <c r="AK2448">
        <v>2412</v>
      </c>
      <c r="AL2448">
        <v>28</v>
      </c>
      <c r="AM2448">
        <v>1E-4</v>
      </c>
      <c r="AN2448">
        <v>-1</v>
      </c>
      <c r="AO2448">
        <v>-1.27</v>
      </c>
      <c r="AP2448">
        <v>3.46</v>
      </c>
      <c r="AQ2448">
        <v>5.67</v>
      </c>
      <c r="AR2448">
        <v>-3.07</v>
      </c>
      <c r="AS2448">
        <v>2.34</v>
      </c>
      <c r="AT2448" t="s">
        <v>6407</v>
      </c>
      <c r="AU2448">
        <v>28.32</v>
      </c>
      <c r="AV2448">
        <v>31.45</v>
      </c>
      <c r="AW2448">
        <v>0.62</v>
      </c>
      <c r="BA2448">
        <v>0.45</v>
      </c>
      <c r="BB2448">
        <v>0.81</v>
      </c>
      <c r="BC2448">
        <v>-1.99</v>
      </c>
      <c r="BD2448">
        <v>-0.75</v>
      </c>
      <c r="BE2448">
        <v>-2.34</v>
      </c>
      <c r="BF2448">
        <v>-2.69</v>
      </c>
      <c r="BG2448">
        <v>0.09</v>
      </c>
      <c r="BH2448">
        <v>-1.1499999999999999</v>
      </c>
      <c r="BI2448">
        <v>20191024</v>
      </c>
      <c r="BJ2448">
        <v>20000420</v>
      </c>
      <c r="BK2448">
        <v>26.82</v>
      </c>
      <c r="BL2448" t="s">
        <v>116</v>
      </c>
      <c r="BM2448" t="s">
        <v>116</v>
      </c>
      <c r="BN2448">
        <v>214.53</v>
      </c>
      <c r="BO2448">
        <v>138.30000000000001</v>
      </c>
      <c r="BP2448">
        <v>34.71</v>
      </c>
      <c r="BQ2448">
        <v>19.350000000000001</v>
      </c>
      <c r="BR2448">
        <v>93.61</v>
      </c>
      <c r="BS2448">
        <v>61.3</v>
      </c>
      <c r="BT2448">
        <v>22.01</v>
      </c>
      <c r="BU2448">
        <v>27.12</v>
      </c>
      <c r="BV2448">
        <v>17.82</v>
      </c>
      <c r="BW2448">
        <v>18.5</v>
      </c>
      <c r="BX2448">
        <v>21.13</v>
      </c>
      <c r="BY2448">
        <v>83.13</v>
      </c>
      <c r="BZ2448">
        <v>54.57</v>
      </c>
      <c r="CA2448">
        <v>14.29</v>
      </c>
      <c r="CB2448">
        <v>0.01</v>
      </c>
      <c r="CC2448">
        <v>14.31</v>
      </c>
      <c r="CD2448">
        <v>10.25</v>
      </c>
      <c r="CE2448">
        <v>8.1199999999999992</v>
      </c>
      <c r="CF2448">
        <v>6.79</v>
      </c>
      <c r="CG2448">
        <v>91.52</v>
      </c>
      <c r="CH2448">
        <v>19.079999999999998</v>
      </c>
      <c r="CI2448">
        <v>-0.55000000000000004</v>
      </c>
      <c r="CJ2448">
        <v>27602</v>
      </c>
      <c r="CK2448">
        <v>10462</v>
      </c>
      <c r="CL2448" t="s">
        <v>7267</v>
      </c>
      <c r="CM2448">
        <v>14.42</v>
      </c>
      <c r="CN2448">
        <v>-2.4900000000000002</v>
      </c>
      <c r="CO2448">
        <v>2.11</v>
      </c>
      <c r="CP2448">
        <v>15.26</v>
      </c>
      <c r="CQ2448">
        <v>3.5</v>
      </c>
      <c r="CR2448">
        <v>2.54</v>
      </c>
      <c r="CS2448" t="s">
        <v>3386</v>
      </c>
      <c r="CT2448">
        <v>5.16</v>
      </c>
      <c r="CU2448">
        <v>0</v>
      </c>
      <c r="CV2448">
        <v>0.79</v>
      </c>
      <c r="CW2448">
        <v>3.41</v>
      </c>
      <c r="CX2448">
        <v>0.71</v>
      </c>
      <c r="CY2448">
        <v>64.47</v>
      </c>
      <c r="CZ2448" t="s">
        <v>8108</v>
      </c>
      <c r="DA2448">
        <v>34.36</v>
      </c>
      <c r="DB2448">
        <v>17.190000000000001</v>
      </c>
      <c r="DC2448">
        <v>9.77</v>
      </c>
      <c r="DD2448">
        <v>2.1800000000000002</v>
      </c>
      <c r="DE2448">
        <v>2252</v>
      </c>
      <c r="DF2448">
        <v>600299</v>
      </c>
      <c r="DG2448" t="s">
        <v>116</v>
      </c>
      <c r="DH2448" t="s">
        <v>116</v>
      </c>
      <c r="DI2448" t="s">
        <v>116</v>
      </c>
    </row>
    <row r="2449" spans="1:113" x14ac:dyDescent="0.4">
      <c r="A2449" t="str">
        <f>"600300"</f>
        <v>600300</v>
      </c>
      <c r="B2449" t="s">
        <v>11332</v>
      </c>
      <c r="C2449">
        <v>0.35</v>
      </c>
      <c r="D2449">
        <v>2.9</v>
      </c>
      <c r="E2449">
        <v>0.01</v>
      </c>
      <c r="F2449">
        <v>2.89</v>
      </c>
      <c r="G2449">
        <v>2.9</v>
      </c>
      <c r="H2449">
        <v>106774</v>
      </c>
      <c r="I2449">
        <v>684</v>
      </c>
      <c r="J2449">
        <v>0.35</v>
      </c>
      <c r="K2449">
        <v>0.64</v>
      </c>
      <c r="L2449">
        <v>2.88</v>
      </c>
      <c r="M2449">
        <v>2.92</v>
      </c>
      <c r="N2449">
        <v>2.88</v>
      </c>
      <c r="O2449">
        <v>2.89</v>
      </c>
      <c r="P2449">
        <v>39.17</v>
      </c>
      <c r="Q2449">
        <v>30958734</v>
      </c>
      <c r="R2449">
        <v>1.19</v>
      </c>
      <c r="S2449" t="s">
        <v>2407</v>
      </c>
      <c r="T2449" t="s">
        <v>323</v>
      </c>
      <c r="U2449">
        <v>1.38</v>
      </c>
      <c r="V2449">
        <v>2.9</v>
      </c>
      <c r="W2449">
        <v>58420</v>
      </c>
      <c r="X2449">
        <v>48354</v>
      </c>
      <c r="Y2449">
        <v>1.21</v>
      </c>
      <c r="Z2449">
        <v>1049</v>
      </c>
      <c r="AA2449">
        <v>4307</v>
      </c>
      <c r="AB2449" t="s">
        <v>116</v>
      </c>
      <c r="AC2449">
        <v>321100</v>
      </c>
      <c r="AD2449">
        <v>0.01</v>
      </c>
      <c r="AE2449" t="s">
        <v>116</v>
      </c>
      <c r="AF2449" t="s">
        <v>116</v>
      </c>
      <c r="AG2449">
        <v>16.72</v>
      </c>
      <c r="AH2449" t="s">
        <v>11333</v>
      </c>
      <c r="AI2449" t="s">
        <v>11333</v>
      </c>
      <c r="AJ2449">
        <v>0.42</v>
      </c>
      <c r="AK2449">
        <v>956</v>
      </c>
      <c r="AL2449">
        <v>112</v>
      </c>
      <c r="AM2449">
        <v>6.9999999999999999E-4</v>
      </c>
      <c r="AN2449">
        <v>2</v>
      </c>
      <c r="AO2449">
        <v>0.35</v>
      </c>
      <c r="AP2449">
        <v>3.57</v>
      </c>
      <c r="AQ2449">
        <v>-6.75</v>
      </c>
      <c r="AR2449">
        <v>2.84</v>
      </c>
      <c r="AS2449">
        <v>1.05</v>
      </c>
      <c r="AT2449" t="s">
        <v>9687</v>
      </c>
      <c r="AU2449">
        <v>81.739999999999995</v>
      </c>
      <c r="AV2449">
        <v>74.92</v>
      </c>
      <c r="AW2449">
        <v>0.88</v>
      </c>
      <c r="BA2449">
        <v>-0.35</v>
      </c>
      <c r="BB2449">
        <v>1.04</v>
      </c>
      <c r="BC2449">
        <v>-0.35</v>
      </c>
      <c r="BD2449">
        <v>0.33</v>
      </c>
      <c r="BE2449">
        <v>0.69</v>
      </c>
      <c r="BF2449">
        <v>-0.68</v>
      </c>
      <c r="BG2449">
        <v>0.69</v>
      </c>
      <c r="BH2449">
        <v>0.02</v>
      </c>
      <c r="BI2449">
        <v>20191026</v>
      </c>
      <c r="BJ2449">
        <v>20000630</v>
      </c>
      <c r="BK2449">
        <v>16.72</v>
      </c>
      <c r="BL2449" t="s">
        <v>116</v>
      </c>
      <c r="BM2449" t="s">
        <v>116</v>
      </c>
      <c r="BN2449">
        <v>82.46</v>
      </c>
      <c r="BO2449">
        <v>26.72</v>
      </c>
      <c r="BP2449">
        <v>2.81</v>
      </c>
      <c r="BQ2449">
        <v>64.19</v>
      </c>
      <c r="BR2449">
        <v>44.75</v>
      </c>
      <c r="BS2449">
        <v>24.64</v>
      </c>
      <c r="BT2449">
        <v>6.72</v>
      </c>
      <c r="BU2449">
        <v>49.91</v>
      </c>
      <c r="BV2449">
        <v>15.7</v>
      </c>
      <c r="BW2449">
        <v>1.89</v>
      </c>
      <c r="BX2449">
        <v>2.1800000000000002</v>
      </c>
      <c r="BY2449">
        <v>37.99</v>
      </c>
      <c r="BZ2449">
        <v>30.16</v>
      </c>
      <c r="CA2449">
        <v>1.1200000000000001</v>
      </c>
      <c r="CB2449">
        <v>-0.02</v>
      </c>
      <c r="CC2449">
        <v>1.18</v>
      </c>
      <c r="CD2449">
        <v>0.82</v>
      </c>
      <c r="CE2449">
        <v>0.93</v>
      </c>
      <c r="CF2449">
        <v>0.28000000000000003</v>
      </c>
      <c r="CG2449">
        <v>7.47</v>
      </c>
      <c r="CH2449">
        <v>-2.36</v>
      </c>
      <c r="CI2449">
        <v>0.41</v>
      </c>
      <c r="CJ2449">
        <v>91364</v>
      </c>
      <c r="CK2449">
        <v>11132</v>
      </c>
      <c r="CL2449" t="s">
        <v>7044</v>
      </c>
      <c r="CM2449">
        <v>-5.49</v>
      </c>
      <c r="CN2449">
        <v>1.91</v>
      </c>
      <c r="CO2449">
        <v>1.81</v>
      </c>
      <c r="CP2449">
        <v>-20.53</v>
      </c>
      <c r="CQ2449">
        <v>1.28</v>
      </c>
      <c r="CR2449">
        <v>0</v>
      </c>
      <c r="CS2449" t="s">
        <v>743</v>
      </c>
      <c r="CT2449">
        <v>1.6</v>
      </c>
      <c r="CU2449">
        <v>0</v>
      </c>
      <c r="CV2449">
        <v>0.13</v>
      </c>
      <c r="CW2449">
        <v>0.45</v>
      </c>
      <c r="CX2449">
        <v>-0.14000000000000001</v>
      </c>
      <c r="CY2449">
        <v>32.409999999999997</v>
      </c>
      <c r="CZ2449" t="s">
        <v>4846</v>
      </c>
      <c r="DA2449">
        <v>20.62</v>
      </c>
      <c r="DB2449">
        <v>2.95</v>
      </c>
      <c r="DC2449">
        <v>2.44</v>
      </c>
      <c r="DD2449">
        <v>0.04</v>
      </c>
      <c r="DE2449">
        <v>2030</v>
      </c>
      <c r="DF2449">
        <v>600300</v>
      </c>
      <c r="DG2449" t="s">
        <v>116</v>
      </c>
      <c r="DH2449" t="s">
        <v>116</v>
      </c>
      <c r="DI2449" t="s">
        <v>116</v>
      </c>
    </row>
    <row r="2450" spans="1:113" x14ac:dyDescent="0.4">
      <c r="A2450" t="str">
        <f>"600301"</f>
        <v>600301</v>
      </c>
      <c r="B2450" t="s">
        <v>11334</v>
      </c>
      <c r="C2450">
        <v>0.56999999999999995</v>
      </c>
      <c r="D2450">
        <v>7.11</v>
      </c>
      <c r="E2450">
        <v>0.04</v>
      </c>
      <c r="F2450">
        <v>7.1</v>
      </c>
      <c r="G2450">
        <v>7.11</v>
      </c>
      <c r="H2450">
        <v>5856</v>
      </c>
      <c r="I2450">
        <v>264</v>
      </c>
      <c r="J2450">
        <v>0</v>
      </c>
      <c r="K2450">
        <v>0.25</v>
      </c>
      <c r="L2450">
        <v>7.07</v>
      </c>
      <c r="M2450">
        <v>7.15</v>
      </c>
      <c r="N2450">
        <v>7.04</v>
      </c>
      <c r="O2450">
        <v>7.07</v>
      </c>
      <c r="P2450">
        <v>159.22999999999999</v>
      </c>
      <c r="Q2450">
        <v>4155522</v>
      </c>
      <c r="R2450">
        <v>0.9</v>
      </c>
      <c r="S2450" t="s">
        <v>891</v>
      </c>
      <c r="T2450" t="s">
        <v>982</v>
      </c>
      <c r="U2450">
        <v>1.56</v>
      </c>
      <c r="V2450">
        <v>7.1</v>
      </c>
      <c r="W2450">
        <v>3392</v>
      </c>
      <c r="X2450">
        <v>2464</v>
      </c>
      <c r="Y2450">
        <v>1.38</v>
      </c>
      <c r="Z2450">
        <v>61</v>
      </c>
      <c r="AA2450">
        <v>70</v>
      </c>
      <c r="AB2450" t="s">
        <v>116</v>
      </c>
      <c r="AC2450">
        <v>0</v>
      </c>
      <c r="AD2450">
        <v>0</v>
      </c>
      <c r="AE2450" t="s">
        <v>116</v>
      </c>
      <c r="AF2450" t="s">
        <v>116</v>
      </c>
      <c r="AG2450">
        <v>2.35</v>
      </c>
      <c r="AH2450" t="s">
        <v>2863</v>
      </c>
      <c r="AI2450" t="s">
        <v>2863</v>
      </c>
      <c r="AJ2450">
        <v>0.64</v>
      </c>
      <c r="AK2450">
        <v>149</v>
      </c>
      <c r="AL2450">
        <v>39</v>
      </c>
      <c r="AM2450">
        <v>1.6999999999999999E-3</v>
      </c>
      <c r="AN2450">
        <v>2</v>
      </c>
      <c r="AO2450">
        <v>-0.97</v>
      </c>
      <c r="AP2450">
        <v>5.65</v>
      </c>
      <c r="AQ2450">
        <v>12.5</v>
      </c>
      <c r="AR2450">
        <v>16.940000000000001</v>
      </c>
      <c r="AS2450">
        <v>0.37</v>
      </c>
      <c r="AT2450" t="s">
        <v>3938</v>
      </c>
      <c r="AU2450">
        <v>136.97</v>
      </c>
      <c r="AV2450">
        <v>30.89</v>
      </c>
      <c r="AW2450">
        <v>0.05</v>
      </c>
      <c r="BA2450">
        <v>0</v>
      </c>
      <c r="BB2450">
        <v>1.1299999999999999</v>
      </c>
      <c r="BC2450">
        <v>-0.42</v>
      </c>
      <c r="BD2450">
        <v>0.37</v>
      </c>
      <c r="BE2450">
        <v>0.56999999999999995</v>
      </c>
      <c r="BF2450">
        <v>-0.56000000000000005</v>
      </c>
      <c r="BG2450">
        <v>0.99</v>
      </c>
      <c r="BH2450">
        <v>0.2</v>
      </c>
      <c r="BI2450">
        <v>20191025</v>
      </c>
      <c r="BJ2450">
        <v>20000712</v>
      </c>
      <c r="BK2450">
        <v>2.35</v>
      </c>
      <c r="BL2450" t="s">
        <v>116</v>
      </c>
      <c r="BM2450" t="s">
        <v>116</v>
      </c>
      <c r="BN2450">
        <v>4.04</v>
      </c>
      <c r="BO2450">
        <v>3.11</v>
      </c>
      <c r="BP2450">
        <v>0</v>
      </c>
      <c r="BQ2450">
        <v>22.96</v>
      </c>
      <c r="BR2450">
        <v>3.99</v>
      </c>
      <c r="BS2450">
        <v>0</v>
      </c>
      <c r="BT2450">
        <v>0</v>
      </c>
      <c r="BU2450">
        <v>0.66</v>
      </c>
      <c r="BV2450">
        <v>0.84</v>
      </c>
      <c r="BW2450">
        <v>0.25</v>
      </c>
      <c r="BX2450">
        <v>11.19</v>
      </c>
      <c r="BY2450">
        <v>4.95</v>
      </c>
      <c r="BZ2450">
        <v>4.83</v>
      </c>
      <c r="CA2450">
        <v>0.08</v>
      </c>
      <c r="CB2450">
        <v>0</v>
      </c>
      <c r="CC2450">
        <v>0.08</v>
      </c>
      <c r="CD2450">
        <v>0.08</v>
      </c>
      <c r="CE2450">
        <v>0.08</v>
      </c>
      <c r="CF2450">
        <v>0.08</v>
      </c>
      <c r="CG2450">
        <v>-11</v>
      </c>
      <c r="CH2450">
        <v>-0.35</v>
      </c>
      <c r="CI2450">
        <v>-0.35</v>
      </c>
      <c r="CJ2450">
        <v>8085</v>
      </c>
      <c r="CK2450">
        <v>19777</v>
      </c>
      <c r="CL2450" t="s">
        <v>3898</v>
      </c>
      <c r="CM2450">
        <v>-84.18</v>
      </c>
      <c r="CN2450">
        <v>285.70999999999998</v>
      </c>
      <c r="CO2450">
        <v>5.38</v>
      </c>
      <c r="CP2450">
        <v>-47.86</v>
      </c>
      <c r="CQ2450">
        <v>3.37</v>
      </c>
      <c r="CR2450">
        <v>0</v>
      </c>
      <c r="CS2450" t="s">
        <v>379</v>
      </c>
      <c r="CT2450">
        <v>1.32</v>
      </c>
      <c r="CU2450">
        <v>0</v>
      </c>
      <c r="CV2450">
        <v>4.76</v>
      </c>
      <c r="CW2450">
        <v>-4.68</v>
      </c>
      <c r="CX2450">
        <v>-0.15</v>
      </c>
      <c r="CY2450">
        <v>77.040000000000006</v>
      </c>
      <c r="CZ2450" t="s">
        <v>5225</v>
      </c>
      <c r="DA2450">
        <v>2.46</v>
      </c>
      <c r="DB2450">
        <v>1.59</v>
      </c>
      <c r="DC2450">
        <v>1.59</v>
      </c>
      <c r="DD2450">
        <v>0</v>
      </c>
      <c r="DE2450">
        <v>314</v>
      </c>
      <c r="DF2450">
        <v>600301</v>
      </c>
      <c r="DG2450" t="s">
        <v>116</v>
      </c>
      <c r="DH2450" t="s">
        <v>116</v>
      </c>
      <c r="DI2450" t="s">
        <v>116</v>
      </c>
    </row>
    <row r="2451" spans="1:113" x14ac:dyDescent="0.4">
      <c r="A2451" t="str">
        <f>"600302"</f>
        <v>600302</v>
      </c>
      <c r="B2451" t="s">
        <v>11335</v>
      </c>
      <c r="C2451">
        <v>-0.8</v>
      </c>
      <c r="D2451">
        <v>4.96</v>
      </c>
      <c r="E2451">
        <v>-0.04</v>
      </c>
      <c r="F2451">
        <v>4.96</v>
      </c>
      <c r="G2451">
        <v>4.99</v>
      </c>
      <c r="H2451">
        <v>13961</v>
      </c>
      <c r="I2451">
        <v>530</v>
      </c>
      <c r="J2451">
        <v>-0.19</v>
      </c>
      <c r="K2451">
        <v>0.4</v>
      </c>
      <c r="L2451">
        <v>5</v>
      </c>
      <c r="M2451">
        <v>5.08</v>
      </c>
      <c r="N2451">
        <v>4.96</v>
      </c>
      <c r="O2451">
        <v>5</v>
      </c>
      <c r="P2451" t="s">
        <v>116</v>
      </c>
      <c r="Q2451">
        <v>7019722</v>
      </c>
      <c r="R2451">
        <v>0.54</v>
      </c>
      <c r="S2451" t="s">
        <v>3176</v>
      </c>
      <c r="T2451" t="s">
        <v>913</v>
      </c>
      <c r="U2451">
        <v>2.4</v>
      </c>
      <c r="V2451">
        <v>5.03</v>
      </c>
      <c r="W2451">
        <v>7473</v>
      </c>
      <c r="X2451">
        <v>6488</v>
      </c>
      <c r="Y2451">
        <v>1.1499999999999999</v>
      </c>
      <c r="Z2451">
        <v>173</v>
      </c>
      <c r="AA2451">
        <v>50</v>
      </c>
      <c r="AB2451" t="s">
        <v>116</v>
      </c>
      <c r="AC2451">
        <v>17500</v>
      </c>
      <c r="AD2451">
        <v>0</v>
      </c>
      <c r="AE2451" t="s">
        <v>116</v>
      </c>
      <c r="AF2451" t="s">
        <v>116</v>
      </c>
      <c r="AG2451">
        <v>3.46</v>
      </c>
      <c r="AH2451" t="s">
        <v>11336</v>
      </c>
      <c r="AI2451" t="s">
        <v>11336</v>
      </c>
      <c r="AJ2451">
        <v>-0.72</v>
      </c>
      <c r="AK2451">
        <v>454</v>
      </c>
      <c r="AL2451">
        <v>31</v>
      </c>
      <c r="AM2451">
        <v>8.9999999999999998E-4</v>
      </c>
      <c r="AN2451">
        <v>-3</v>
      </c>
      <c r="AO2451">
        <v>-3.69</v>
      </c>
      <c r="AP2451">
        <v>3.77</v>
      </c>
      <c r="AQ2451">
        <v>6.9</v>
      </c>
      <c r="AR2451">
        <v>13.24</v>
      </c>
      <c r="AS2451">
        <v>0.71</v>
      </c>
      <c r="AT2451" t="s">
        <v>9280</v>
      </c>
      <c r="AU2451" t="s">
        <v>116</v>
      </c>
      <c r="AV2451">
        <v>60.49</v>
      </c>
      <c r="AW2451">
        <v>1.29</v>
      </c>
      <c r="BA2451">
        <v>0</v>
      </c>
      <c r="BB2451">
        <v>1.6</v>
      </c>
      <c r="BC2451">
        <v>-0.8</v>
      </c>
      <c r="BD2451">
        <v>0.56000000000000005</v>
      </c>
      <c r="BE2451">
        <v>-0.8</v>
      </c>
      <c r="BF2451">
        <v>-2.36</v>
      </c>
      <c r="BG2451">
        <v>0</v>
      </c>
      <c r="BH2451">
        <v>-1.36</v>
      </c>
      <c r="BI2451">
        <v>20191030</v>
      </c>
      <c r="BJ2451">
        <v>20001213</v>
      </c>
      <c r="BK2451">
        <v>3.46</v>
      </c>
      <c r="BL2451" t="s">
        <v>116</v>
      </c>
      <c r="BM2451" t="s">
        <v>116</v>
      </c>
      <c r="BN2451">
        <v>15.61</v>
      </c>
      <c r="BO2451">
        <v>11.66</v>
      </c>
      <c r="BP2451">
        <v>0.79</v>
      </c>
      <c r="BQ2451">
        <v>20.29</v>
      </c>
      <c r="BR2451">
        <v>12.17</v>
      </c>
      <c r="BS2451">
        <v>1.81</v>
      </c>
      <c r="BT2451">
        <v>0.32</v>
      </c>
      <c r="BU2451">
        <v>2.93</v>
      </c>
      <c r="BV2451">
        <v>5</v>
      </c>
      <c r="BW2451">
        <v>3.13</v>
      </c>
      <c r="BX2451">
        <v>3.47</v>
      </c>
      <c r="BY2451">
        <v>4.1900000000000004</v>
      </c>
      <c r="BZ2451">
        <v>3.32</v>
      </c>
      <c r="CA2451">
        <v>-0.75</v>
      </c>
      <c r="CB2451">
        <v>0.06</v>
      </c>
      <c r="CC2451">
        <v>-0.74</v>
      </c>
      <c r="CD2451">
        <v>-0.72</v>
      </c>
      <c r="CE2451">
        <v>-0.72</v>
      </c>
      <c r="CF2451">
        <v>-0.82</v>
      </c>
      <c r="CG2451">
        <v>2.42</v>
      </c>
      <c r="CH2451">
        <v>-1.04</v>
      </c>
      <c r="CI2451">
        <v>-1.32</v>
      </c>
      <c r="CJ2451">
        <v>17628</v>
      </c>
      <c r="CK2451">
        <v>11233</v>
      </c>
      <c r="CL2451" t="s">
        <v>504</v>
      </c>
      <c r="CM2451">
        <v>-116.81</v>
      </c>
      <c r="CN2451">
        <v>-19.53</v>
      </c>
      <c r="CO2451">
        <v>1.47</v>
      </c>
      <c r="CP2451">
        <v>-16.510000000000002</v>
      </c>
      <c r="CQ2451">
        <v>4.0999999999999996</v>
      </c>
      <c r="CR2451">
        <v>0</v>
      </c>
      <c r="CS2451" t="s">
        <v>7009</v>
      </c>
      <c r="CT2451">
        <v>3.37</v>
      </c>
      <c r="CU2451">
        <v>0</v>
      </c>
      <c r="CV2451">
        <v>1</v>
      </c>
      <c r="CW2451">
        <v>0.7</v>
      </c>
      <c r="CX2451">
        <v>-0.3</v>
      </c>
      <c r="CY2451">
        <v>74.67</v>
      </c>
      <c r="CZ2451" t="s">
        <v>11337</v>
      </c>
      <c r="DA2451">
        <v>20.74</v>
      </c>
      <c r="DB2451">
        <v>-18.03</v>
      </c>
      <c r="DC2451">
        <v>-17.309999999999999</v>
      </c>
      <c r="DD2451">
        <v>0.27</v>
      </c>
      <c r="DE2451">
        <v>1796</v>
      </c>
      <c r="DF2451">
        <v>600302</v>
      </c>
      <c r="DG2451" t="s">
        <v>116</v>
      </c>
      <c r="DH2451" t="s">
        <v>116</v>
      </c>
      <c r="DI2451" t="s">
        <v>116</v>
      </c>
    </row>
    <row r="2452" spans="1:113" x14ac:dyDescent="0.4">
      <c r="A2452" t="str">
        <f>"600303"</f>
        <v>600303</v>
      </c>
      <c r="B2452" t="s">
        <v>11338</v>
      </c>
      <c r="C2452">
        <v>-0.28000000000000003</v>
      </c>
      <c r="D2452">
        <v>3.57</v>
      </c>
      <c r="E2452">
        <v>-0.01</v>
      </c>
      <c r="F2452">
        <v>3.56</v>
      </c>
      <c r="G2452">
        <v>3.57</v>
      </c>
      <c r="H2452">
        <v>152109</v>
      </c>
      <c r="I2452">
        <v>754</v>
      </c>
      <c r="J2452">
        <v>0.85</v>
      </c>
      <c r="K2452">
        <v>2.25</v>
      </c>
      <c r="L2452">
        <v>3.65</v>
      </c>
      <c r="M2452">
        <v>3.73</v>
      </c>
      <c r="N2452">
        <v>3.52</v>
      </c>
      <c r="O2452">
        <v>3.58</v>
      </c>
      <c r="P2452" t="s">
        <v>116</v>
      </c>
      <c r="Q2452">
        <v>55515036</v>
      </c>
      <c r="R2452">
        <v>1.93</v>
      </c>
      <c r="S2452" t="s">
        <v>1108</v>
      </c>
      <c r="T2452" t="s">
        <v>434</v>
      </c>
      <c r="U2452">
        <v>5.87</v>
      </c>
      <c r="V2452">
        <v>3.65</v>
      </c>
      <c r="W2452">
        <v>80230</v>
      </c>
      <c r="X2452">
        <v>71879</v>
      </c>
      <c r="Y2452">
        <v>1.1200000000000001</v>
      </c>
      <c r="Z2452">
        <v>400</v>
      </c>
      <c r="AA2452">
        <v>653</v>
      </c>
      <c r="AB2452" t="s">
        <v>116</v>
      </c>
      <c r="AC2452">
        <v>481400</v>
      </c>
      <c r="AD2452">
        <v>0.03</v>
      </c>
      <c r="AE2452" t="s">
        <v>116</v>
      </c>
      <c r="AF2452" t="s">
        <v>116</v>
      </c>
      <c r="AG2452">
        <v>6.76</v>
      </c>
      <c r="AH2452" t="s">
        <v>6633</v>
      </c>
      <c r="AI2452" t="s">
        <v>6633</v>
      </c>
      <c r="AJ2452">
        <v>-0.2</v>
      </c>
      <c r="AK2452">
        <v>1422</v>
      </c>
      <c r="AL2452">
        <v>107</v>
      </c>
      <c r="AM2452">
        <v>1.6000000000000001E-3</v>
      </c>
      <c r="AN2452">
        <v>-1</v>
      </c>
      <c r="AO2452">
        <v>0.85</v>
      </c>
      <c r="AP2452">
        <v>10.19</v>
      </c>
      <c r="AQ2452">
        <v>-3.25</v>
      </c>
      <c r="AR2452">
        <v>-8.6999999999999993</v>
      </c>
      <c r="AS2452">
        <v>3.08</v>
      </c>
      <c r="AT2452" t="s">
        <v>9222</v>
      </c>
      <c r="AU2452" t="s">
        <v>116</v>
      </c>
      <c r="AV2452" t="s">
        <v>116</v>
      </c>
      <c r="AW2452">
        <v>1.21</v>
      </c>
      <c r="BA2452">
        <v>1.96</v>
      </c>
      <c r="BB2452">
        <v>4.1900000000000004</v>
      </c>
      <c r="BC2452">
        <v>-1.68</v>
      </c>
      <c r="BD2452">
        <v>1.95</v>
      </c>
      <c r="BE2452">
        <v>-2.19</v>
      </c>
      <c r="BF2452">
        <v>-4.29</v>
      </c>
      <c r="BG2452">
        <v>1.42</v>
      </c>
      <c r="BH2452">
        <v>-2.23</v>
      </c>
      <c r="BI2452">
        <v>20191030</v>
      </c>
      <c r="BJ2452">
        <v>20001226</v>
      </c>
      <c r="BK2452">
        <v>6.76</v>
      </c>
      <c r="BL2452" t="s">
        <v>116</v>
      </c>
      <c r="BM2452" t="s">
        <v>116</v>
      </c>
      <c r="BN2452">
        <v>59.89</v>
      </c>
      <c r="BO2452">
        <v>27.86</v>
      </c>
      <c r="BP2452">
        <v>1.61</v>
      </c>
      <c r="BQ2452">
        <v>50.78</v>
      </c>
      <c r="BR2452">
        <v>24.03</v>
      </c>
      <c r="BS2452">
        <v>22.73</v>
      </c>
      <c r="BT2452">
        <v>7.14</v>
      </c>
      <c r="BU2452">
        <v>23.11</v>
      </c>
      <c r="BV2452">
        <v>3.04</v>
      </c>
      <c r="BW2452">
        <v>10.54</v>
      </c>
      <c r="BX2452">
        <v>11.1</v>
      </c>
      <c r="BY2452">
        <v>20.239999999999998</v>
      </c>
      <c r="BZ2452">
        <v>17.41</v>
      </c>
      <c r="CA2452">
        <v>-0.95</v>
      </c>
      <c r="CB2452">
        <v>-0.04</v>
      </c>
      <c r="CC2452">
        <v>-0.74</v>
      </c>
      <c r="CD2452">
        <v>-0.89</v>
      </c>
      <c r="CE2452">
        <v>-0.88</v>
      </c>
      <c r="CF2452">
        <v>-1.02</v>
      </c>
      <c r="CG2452">
        <v>7.2</v>
      </c>
      <c r="CH2452">
        <v>-0.79</v>
      </c>
      <c r="CI2452">
        <v>-1.66</v>
      </c>
      <c r="CJ2452">
        <v>63847</v>
      </c>
      <c r="CK2452">
        <v>7728</v>
      </c>
      <c r="CL2452" t="s">
        <v>10939</v>
      </c>
      <c r="CM2452">
        <v>-184.4</v>
      </c>
      <c r="CN2452">
        <v>-9.68</v>
      </c>
      <c r="CO2452">
        <v>0.87</v>
      </c>
      <c r="CP2452">
        <v>-30.64</v>
      </c>
      <c r="CQ2452">
        <v>1.19</v>
      </c>
      <c r="CR2452">
        <v>0</v>
      </c>
      <c r="CS2452" t="s">
        <v>1329</v>
      </c>
      <c r="CT2452">
        <v>4.12</v>
      </c>
      <c r="CU2452">
        <v>0</v>
      </c>
      <c r="CV2452">
        <v>1.64</v>
      </c>
      <c r="CW2452">
        <v>1.07</v>
      </c>
      <c r="CX2452">
        <v>-0.12</v>
      </c>
      <c r="CY2452">
        <v>46.53</v>
      </c>
      <c r="CZ2452" t="s">
        <v>11339</v>
      </c>
      <c r="DA2452">
        <v>13.98</v>
      </c>
      <c r="DB2452">
        <v>-4.68</v>
      </c>
      <c r="DC2452">
        <v>-4.33</v>
      </c>
      <c r="DD2452">
        <v>0.49</v>
      </c>
      <c r="DE2452">
        <v>4070</v>
      </c>
      <c r="DF2452">
        <v>600303</v>
      </c>
      <c r="DG2452" t="s">
        <v>116</v>
      </c>
      <c r="DH2452" t="s">
        <v>116</v>
      </c>
      <c r="DI2452" t="s">
        <v>116</v>
      </c>
    </row>
    <row r="2453" spans="1:113" x14ac:dyDescent="0.4">
      <c r="A2453" t="str">
        <f>"600305"</f>
        <v>600305</v>
      </c>
      <c r="B2453" t="s">
        <v>11340</v>
      </c>
      <c r="C2453">
        <v>-1.21</v>
      </c>
      <c r="D2453">
        <v>14.65</v>
      </c>
      <c r="E2453">
        <v>-0.18</v>
      </c>
      <c r="F2453">
        <v>14.65</v>
      </c>
      <c r="G2453">
        <v>14.66</v>
      </c>
      <c r="H2453">
        <v>106269</v>
      </c>
      <c r="I2453">
        <v>1129</v>
      </c>
      <c r="J2453">
        <v>-0.13</v>
      </c>
      <c r="K2453">
        <v>1.36</v>
      </c>
      <c r="L2453">
        <v>14.85</v>
      </c>
      <c r="M2453">
        <v>14.91</v>
      </c>
      <c r="N2453">
        <v>14.61</v>
      </c>
      <c r="O2453">
        <v>14.83</v>
      </c>
      <c r="P2453">
        <v>34.35</v>
      </c>
      <c r="Q2453">
        <v>157361680</v>
      </c>
      <c r="R2453">
        <v>1.01</v>
      </c>
      <c r="S2453" t="s">
        <v>863</v>
      </c>
      <c r="T2453" t="s">
        <v>323</v>
      </c>
      <c r="U2453">
        <v>2.02</v>
      </c>
      <c r="V2453">
        <v>14.81</v>
      </c>
      <c r="W2453">
        <v>53382</v>
      </c>
      <c r="X2453">
        <v>52887</v>
      </c>
      <c r="Y2453">
        <v>1.01</v>
      </c>
      <c r="Z2453">
        <v>184</v>
      </c>
      <c r="AA2453">
        <v>167</v>
      </c>
      <c r="AB2453" t="s">
        <v>116</v>
      </c>
      <c r="AC2453">
        <v>255400</v>
      </c>
      <c r="AD2453">
        <v>0</v>
      </c>
      <c r="AE2453" t="s">
        <v>116</v>
      </c>
      <c r="AF2453" t="s">
        <v>116</v>
      </c>
      <c r="AG2453">
        <v>7.84</v>
      </c>
      <c r="AH2453" t="s">
        <v>11341</v>
      </c>
      <c r="AI2453" t="s">
        <v>11341</v>
      </c>
      <c r="AJ2453">
        <v>-1.1399999999999999</v>
      </c>
      <c r="AK2453">
        <v>3160</v>
      </c>
      <c r="AL2453">
        <v>34</v>
      </c>
      <c r="AM2453">
        <v>4.0000000000000002E-4</v>
      </c>
      <c r="AN2453">
        <v>-1</v>
      </c>
      <c r="AO2453">
        <v>0.21</v>
      </c>
      <c r="AP2453">
        <v>6.47</v>
      </c>
      <c r="AQ2453">
        <v>5.4</v>
      </c>
      <c r="AR2453">
        <v>42.51</v>
      </c>
      <c r="AS2453">
        <v>2.4500000000000002</v>
      </c>
      <c r="AT2453" t="s">
        <v>11342</v>
      </c>
      <c r="AU2453">
        <v>34.07</v>
      </c>
      <c r="AV2453">
        <v>37.69</v>
      </c>
      <c r="AW2453">
        <v>1.1299999999999999</v>
      </c>
      <c r="BA2453">
        <v>0.13</v>
      </c>
      <c r="BB2453">
        <v>0.54</v>
      </c>
      <c r="BC2453">
        <v>-1.48</v>
      </c>
      <c r="BD2453">
        <v>-0.15</v>
      </c>
      <c r="BE2453">
        <v>-1.35</v>
      </c>
      <c r="BF2453">
        <v>-1.74</v>
      </c>
      <c r="BG2453">
        <v>0.27</v>
      </c>
      <c r="BH2453">
        <v>-1.06</v>
      </c>
      <c r="BI2453">
        <v>20191029</v>
      </c>
      <c r="BJ2453">
        <v>20010206</v>
      </c>
      <c r="BK2453">
        <v>7.84</v>
      </c>
      <c r="BL2453" t="s">
        <v>116</v>
      </c>
      <c r="BM2453" t="s">
        <v>116</v>
      </c>
      <c r="BN2453">
        <v>28.48</v>
      </c>
      <c r="BO2453">
        <v>21.91</v>
      </c>
      <c r="BP2453">
        <v>1.1599999999999999</v>
      </c>
      <c r="BQ2453">
        <v>18.989999999999998</v>
      </c>
      <c r="BR2453">
        <v>10.81</v>
      </c>
      <c r="BS2453">
        <v>9.14</v>
      </c>
      <c r="BT2453">
        <v>0.83</v>
      </c>
      <c r="BU2453">
        <v>4.51</v>
      </c>
      <c r="BV2453">
        <v>2.84</v>
      </c>
      <c r="BW2453">
        <v>0.93</v>
      </c>
      <c r="BX2453">
        <v>3.04</v>
      </c>
      <c r="BY2453">
        <v>13.3</v>
      </c>
      <c r="BZ2453">
        <v>7.44</v>
      </c>
      <c r="CA2453">
        <v>2.98</v>
      </c>
      <c r="CB2453">
        <v>0.23</v>
      </c>
      <c r="CC2453">
        <v>3.02</v>
      </c>
      <c r="CD2453">
        <v>2.54</v>
      </c>
      <c r="CE2453">
        <v>2.5099999999999998</v>
      </c>
      <c r="CF2453">
        <v>1.83</v>
      </c>
      <c r="CG2453">
        <v>9.7100000000000009</v>
      </c>
      <c r="CH2453">
        <v>2.91</v>
      </c>
      <c r="CI2453">
        <v>-0.36</v>
      </c>
      <c r="CJ2453">
        <v>67417</v>
      </c>
      <c r="CK2453">
        <v>6435</v>
      </c>
      <c r="CL2453" t="s">
        <v>4868</v>
      </c>
      <c r="CM2453">
        <v>14.81</v>
      </c>
      <c r="CN2453">
        <v>7.62</v>
      </c>
      <c r="CO2453">
        <v>5.24</v>
      </c>
      <c r="CP2453">
        <v>39.43</v>
      </c>
      <c r="CQ2453">
        <v>8.6300000000000008</v>
      </c>
      <c r="CR2453">
        <v>0.82</v>
      </c>
      <c r="CS2453" t="s">
        <v>3311</v>
      </c>
      <c r="CT2453">
        <v>2.8</v>
      </c>
      <c r="CU2453">
        <v>0</v>
      </c>
      <c r="CV2453">
        <v>0.39</v>
      </c>
      <c r="CW2453">
        <v>1.24</v>
      </c>
      <c r="CX2453">
        <v>0.37</v>
      </c>
      <c r="CY2453">
        <v>76.930000000000007</v>
      </c>
      <c r="CZ2453" t="s">
        <v>11343</v>
      </c>
      <c r="DA2453">
        <v>44.05</v>
      </c>
      <c r="DB2453">
        <v>22.44</v>
      </c>
      <c r="DC2453">
        <v>18.84</v>
      </c>
      <c r="DD2453">
        <v>0.37</v>
      </c>
      <c r="DE2453">
        <v>2624</v>
      </c>
      <c r="DF2453">
        <v>600305</v>
      </c>
      <c r="DG2453" t="s">
        <v>116</v>
      </c>
      <c r="DH2453" t="s">
        <v>116</v>
      </c>
      <c r="DI2453" t="s">
        <v>116</v>
      </c>
    </row>
    <row r="2454" spans="1:113" x14ac:dyDescent="0.4">
      <c r="A2454" t="str">
        <f>"600306"</f>
        <v>600306</v>
      </c>
      <c r="B2454" t="s">
        <v>11344</v>
      </c>
      <c r="C2454">
        <v>-0.69</v>
      </c>
      <c r="D2454">
        <v>5.77</v>
      </c>
      <c r="E2454">
        <v>-0.04</v>
      </c>
      <c r="F2454">
        <v>5.76</v>
      </c>
      <c r="G2454">
        <v>5.77</v>
      </c>
      <c r="H2454">
        <v>10664</v>
      </c>
      <c r="I2454">
        <v>229</v>
      </c>
      <c r="J2454">
        <v>0.17</v>
      </c>
      <c r="K2454">
        <v>0.6</v>
      </c>
      <c r="L2454">
        <v>5.8</v>
      </c>
      <c r="M2454">
        <v>5.86</v>
      </c>
      <c r="N2454">
        <v>5.75</v>
      </c>
      <c r="O2454">
        <v>5.81</v>
      </c>
      <c r="P2454" t="s">
        <v>116</v>
      </c>
      <c r="Q2454">
        <v>6189304</v>
      </c>
      <c r="R2454">
        <v>0.56000000000000005</v>
      </c>
      <c r="S2454" t="s">
        <v>746</v>
      </c>
      <c r="T2454" t="s">
        <v>434</v>
      </c>
      <c r="U2454">
        <v>1.89</v>
      </c>
      <c r="V2454">
        <v>5.8</v>
      </c>
      <c r="W2454">
        <v>5733</v>
      </c>
      <c r="X2454">
        <v>4931</v>
      </c>
      <c r="Y2454">
        <v>1.1599999999999999</v>
      </c>
      <c r="Z2454">
        <v>17</v>
      </c>
      <c r="AA2454">
        <v>56</v>
      </c>
      <c r="AB2454" t="s">
        <v>116</v>
      </c>
      <c r="AC2454">
        <v>6400</v>
      </c>
      <c r="AD2454">
        <v>0</v>
      </c>
      <c r="AE2454" t="s">
        <v>116</v>
      </c>
      <c r="AF2454" t="s">
        <v>116</v>
      </c>
      <c r="AG2454">
        <v>1.77</v>
      </c>
      <c r="AH2454" t="s">
        <v>11345</v>
      </c>
      <c r="AI2454" t="s">
        <v>11346</v>
      </c>
      <c r="AJ2454">
        <v>-0.61</v>
      </c>
      <c r="AK2454">
        <v>360</v>
      </c>
      <c r="AL2454">
        <v>30</v>
      </c>
      <c r="AM2454">
        <v>1.6999999999999999E-3</v>
      </c>
      <c r="AN2454">
        <v>-2</v>
      </c>
      <c r="AO2454">
        <v>-0.68</v>
      </c>
      <c r="AP2454">
        <v>6.26</v>
      </c>
      <c r="AQ2454">
        <v>-1.2</v>
      </c>
      <c r="AR2454">
        <v>-9.2799999999999994</v>
      </c>
      <c r="AS2454">
        <v>0.86</v>
      </c>
      <c r="AT2454" t="s">
        <v>11347</v>
      </c>
      <c r="AU2454" t="s">
        <v>116</v>
      </c>
      <c r="AV2454" t="s">
        <v>116</v>
      </c>
      <c r="AW2454">
        <v>1.42</v>
      </c>
      <c r="BA2454">
        <v>-0.17</v>
      </c>
      <c r="BB2454">
        <v>0.86</v>
      </c>
      <c r="BC2454">
        <v>-1.03</v>
      </c>
      <c r="BD2454">
        <v>-0.1</v>
      </c>
      <c r="BE2454">
        <v>-0.52</v>
      </c>
      <c r="BF2454">
        <v>-1.54</v>
      </c>
      <c r="BG2454">
        <v>0.35</v>
      </c>
      <c r="BH2454">
        <v>-0.57999999999999996</v>
      </c>
      <c r="BI2454">
        <v>20191031</v>
      </c>
      <c r="BJ2454">
        <v>20001226</v>
      </c>
      <c r="BK2454">
        <v>1.78</v>
      </c>
      <c r="BL2454" t="s">
        <v>116</v>
      </c>
      <c r="BM2454" t="s">
        <v>116</v>
      </c>
      <c r="BN2454">
        <v>14.43</v>
      </c>
      <c r="BO2454">
        <v>-0.56000000000000005</v>
      </c>
      <c r="BP2454">
        <v>0.01</v>
      </c>
      <c r="BQ2454">
        <v>103.84</v>
      </c>
      <c r="BR2454">
        <v>1.1200000000000001</v>
      </c>
      <c r="BS2454">
        <v>10</v>
      </c>
      <c r="BT2454">
        <v>3.28</v>
      </c>
      <c r="BU2454">
        <v>14.86</v>
      </c>
      <c r="BV2454">
        <v>0.68</v>
      </c>
      <c r="BW2454">
        <v>0.01</v>
      </c>
      <c r="BX2454">
        <v>2.04</v>
      </c>
      <c r="BY2454">
        <v>7.41</v>
      </c>
      <c r="BZ2454">
        <v>6.2</v>
      </c>
      <c r="CA2454">
        <v>-0.71</v>
      </c>
      <c r="CB2454">
        <v>0</v>
      </c>
      <c r="CC2454">
        <v>-0.71</v>
      </c>
      <c r="CD2454">
        <v>-0.78</v>
      </c>
      <c r="CE2454">
        <v>-0.78</v>
      </c>
      <c r="CF2454">
        <v>-0.71</v>
      </c>
      <c r="CG2454">
        <v>-4.57</v>
      </c>
      <c r="CH2454">
        <v>0.16</v>
      </c>
      <c r="CI2454">
        <v>-0.51</v>
      </c>
      <c r="CJ2454">
        <v>12347</v>
      </c>
      <c r="CK2454">
        <v>10068</v>
      </c>
      <c r="CL2454" t="s">
        <v>1527</v>
      </c>
      <c r="CM2454">
        <v>9.94</v>
      </c>
      <c r="CN2454">
        <v>7.34</v>
      </c>
      <c r="CO2454">
        <v>-18.309999999999999</v>
      </c>
      <c r="CP2454">
        <v>66.290000000000006</v>
      </c>
      <c r="CQ2454">
        <v>1.39</v>
      </c>
      <c r="CR2454">
        <v>0</v>
      </c>
      <c r="CS2454" t="s">
        <v>11348</v>
      </c>
      <c r="CT2454">
        <v>-0.32</v>
      </c>
      <c r="CU2454">
        <v>0</v>
      </c>
      <c r="CV2454">
        <v>1.1399999999999999</v>
      </c>
      <c r="CW2454">
        <v>-2.57</v>
      </c>
      <c r="CX2454">
        <v>0.09</v>
      </c>
      <c r="CY2454">
        <v>-3.89</v>
      </c>
      <c r="CZ2454" t="s">
        <v>116</v>
      </c>
      <c r="DA2454">
        <v>16.37</v>
      </c>
      <c r="DB2454">
        <v>-9.6199999999999992</v>
      </c>
      <c r="DC2454">
        <v>-10.5</v>
      </c>
      <c r="DD2454">
        <v>0</v>
      </c>
      <c r="DE2454">
        <v>439</v>
      </c>
      <c r="DF2454">
        <v>600306</v>
      </c>
      <c r="DG2454" t="s">
        <v>116</v>
      </c>
      <c r="DH2454" t="s">
        <v>116</v>
      </c>
      <c r="DI2454" t="s">
        <v>116</v>
      </c>
    </row>
    <row r="2455" spans="1:113" x14ac:dyDescent="0.4">
      <c r="A2455" t="str">
        <f>"600307"</f>
        <v>600307</v>
      </c>
      <c r="B2455" t="s">
        <v>11349</v>
      </c>
      <c r="C2455">
        <v>1.51</v>
      </c>
      <c r="D2455">
        <v>2.02</v>
      </c>
      <c r="E2455">
        <v>0.03</v>
      </c>
      <c r="F2455">
        <v>2.0099999999999998</v>
      </c>
      <c r="G2455">
        <v>2.02</v>
      </c>
      <c r="H2455">
        <v>317908</v>
      </c>
      <c r="I2455">
        <v>1577</v>
      </c>
      <c r="J2455">
        <v>0.5</v>
      </c>
      <c r="K2455">
        <v>0.51</v>
      </c>
      <c r="L2455">
        <v>1.99</v>
      </c>
      <c r="M2455">
        <v>2.0299999999999998</v>
      </c>
      <c r="N2455">
        <v>1.99</v>
      </c>
      <c r="O2455">
        <v>1.99</v>
      </c>
      <c r="P2455">
        <v>7.57</v>
      </c>
      <c r="Q2455">
        <v>63928020</v>
      </c>
      <c r="R2455">
        <v>1.31</v>
      </c>
      <c r="S2455" t="s">
        <v>1587</v>
      </c>
      <c r="T2455" t="s">
        <v>1122</v>
      </c>
      <c r="U2455">
        <v>2.0099999999999998</v>
      </c>
      <c r="V2455">
        <v>2.0099999999999998</v>
      </c>
      <c r="W2455">
        <v>103745</v>
      </c>
      <c r="X2455">
        <v>214163</v>
      </c>
      <c r="Y2455">
        <v>0.48</v>
      </c>
      <c r="Z2455">
        <v>3964</v>
      </c>
      <c r="AA2455">
        <v>11490</v>
      </c>
      <c r="AB2455" t="s">
        <v>116</v>
      </c>
      <c r="AC2455">
        <v>200600</v>
      </c>
      <c r="AD2455">
        <v>0</v>
      </c>
      <c r="AE2455" t="s">
        <v>116</v>
      </c>
      <c r="AF2455" t="s">
        <v>116</v>
      </c>
      <c r="AG2455">
        <v>62.63</v>
      </c>
      <c r="AH2455" t="s">
        <v>11350</v>
      </c>
      <c r="AI2455" t="s">
        <v>11350</v>
      </c>
      <c r="AJ2455">
        <v>1.58</v>
      </c>
      <c r="AK2455">
        <v>2501</v>
      </c>
      <c r="AL2455">
        <v>127</v>
      </c>
      <c r="AM2455">
        <v>2.0000000000000001E-4</v>
      </c>
      <c r="AN2455">
        <v>1</v>
      </c>
      <c r="AO2455">
        <v>1</v>
      </c>
      <c r="AP2455">
        <v>-0.98</v>
      </c>
      <c r="AQ2455">
        <v>6.88</v>
      </c>
      <c r="AR2455">
        <v>5.76</v>
      </c>
      <c r="AS2455">
        <v>1.1200000000000001</v>
      </c>
      <c r="AT2455" t="s">
        <v>11351</v>
      </c>
      <c r="AU2455">
        <v>9.9499999999999993</v>
      </c>
      <c r="AV2455">
        <v>11.58</v>
      </c>
      <c r="AW2455">
        <v>0.85</v>
      </c>
      <c r="BA2455">
        <v>0</v>
      </c>
      <c r="BB2455">
        <v>2.0099999999999998</v>
      </c>
      <c r="BC2455">
        <v>0</v>
      </c>
      <c r="BD2455">
        <v>1.05</v>
      </c>
      <c r="BE2455">
        <v>1.51</v>
      </c>
      <c r="BF2455">
        <v>-0.49</v>
      </c>
      <c r="BG2455">
        <v>1.51</v>
      </c>
      <c r="BH2455">
        <v>0.46</v>
      </c>
      <c r="BI2455">
        <v>20191025</v>
      </c>
      <c r="BJ2455">
        <v>20001220</v>
      </c>
      <c r="BK2455">
        <v>62.63</v>
      </c>
      <c r="BL2455" t="s">
        <v>116</v>
      </c>
      <c r="BM2455" t="s">
        <v>116</v>
      </c>
      <c r="BN2455">
        <v>373.64</v>
      </c>
      <c r="BO2455">
        <v>118.36</v>
      </c>
      <c r="BP2455">
        <v>0.57999999999999996</v>
      </c>
      <c r="BQ2455">
        <v>68.17</v>
      </c>
      <c r="BR2455">
        <v>98.45</v>
      </c>
      <c r="BS2455">
        <v>217.7</v>
      </c>
      <c r="BT2455">
        <v>27.95</v>
      </c>
      <c r="BU2455">
        <v>238.38</v>
      </c>
      <c r="BV2455">
        <v>46.07</v>
      </c>
      <c r="BW2455">
        <v>2.34</v>
      </c>
      <c r="BX2455">
        <v>67.13</v>
      </c>
      <c r="BY2455">
        <v>358.89</v>
      </c>
      <c r="BZ2455">
        <v>317.2</v>
      </c>
      <c r="CA2455">
        <v>12.79</v>
      </c>
      <c r="CB2455">
        <v>0.74</v>
      </c>
      <c r="CC2455">
        <v>12.9</v>
      </c>
      <c r="CD2455">
        <v>12.64</v>
      </c>
      <c r="CE2455">
        <v>12.53</v>
      </c>
      <c r="CF2455">
        <v>12.41</v>
      </c>
      <c r="CG2455">
        <v>-25.62</v>
      </c>
      <c r="CH2455">
        <v>28.61</v>
      </c>
      <c r="CI2455">
        <v>-12.37</v>
      </c>
      <c r="CJ2455">
        <v>265854</v>
      </c>
      <c r="CK2455">
        <v>10652</v>
      </c>
      <c r="CL2455" t="s">
        <v>6612</v>
      </c>
      <c r="CM2455">
        <v>16.7</v>
      </c>
      <c r="CN2455">
        <v>-0.89</v>
      </c>
      <c r="CO2455">
        <v>1.07</v>
      </c>
      <c r="CP2455">
        <v>4.42</v>
      </c>
      <c r="CQ2455">
        <v>0.35</v>
      </c>
      <c r="CR2455">
        <v>0</v>
      </c>
      <c r="CS2455" t="s">
        <v>541</v>
      </c>
      <c r="CT2455">
        <v>1.89</v>
      </c>
      <c r="CU2455">
        <v>0</v>
      </c>
      <c r="CV2455">
        <v>1.07</v>
      </c>
      <c r="CW2455">
        <v>-0.41</v>
      </c>
      <c r="CX2455">
        <v>0.46</v>
      </c>
      <c r="CY2455">
        <v>31.68</v>
      </c>
      <c r="CZ2455" t="s">
        <v>6775</v>
      </c>
      <c r="DA2455">
        <v>11.62</v>
      </c>
      <c r="DB2455">
        <v>3.56</v>
      </c>
      <c r="DC2455">
        <v>3.49</v>
      </c>
      <c r="DD2455">
        <v>3.17</v>
      </c>
      <c r="DE2455">
        <v>22025</v>
      </c>
      <c r="DF2455">
        <v>600307</v>
      </c>
      <c r="DG2455" t="s">
        <v>116</v>
      </c>
      <c r="DH2455" t="s">
        <v>116</v>
      </c>
      <c r="DI2455" t="s">
        <v>116</v>
      </c>
    </row>
    <row r="2456" spans="1:113" x14ac:dyDescent="0.4">
      <c r="A2456" t="str">
        <f>"600308"</f>
        <v>600308</v>
      </c>
      <c r="B2456" t="s">
        <v>11352</v>
      </c>
      <c r="C2456">
        <v>-0.45</v>
      </c>
      <c r="D2456">
        <v>4.38</v>
      </c>
      <c r="E2456">
        <v>-0.02</v>
      </c>
      <c r="F2456">
        <v>4.37</v>
      </c>
      <c r="G2456">
        <v>4.38</v>
      </c>
      <c r="H2456">
        <v>92498</v>
      </c>
      <c r="I2456">
        <v>399</v>
      </c>
      <c r="J2456">
        <v>0</v>
      </c>
      <c r="K2456">
        <v>0.79</v>
      </c>
      <c r="L2456">
        <v>4.4000000000000004</v>
      </c>
      <c r="M2456">
        <v>4.42</v>
      </c>
      <c r="N2456">
        <v>4.37</v>
      </c>
      <c r="O2456">
        <v>4.4000000000000004</v>
      </c>
      <c r="P2456">
        <v>7.94</v>
      </c>
      <c r="Q2456">
        <v>40663480</v>
      </c>
      <c r="R2456">
        <v>1.37</v>
      </c>
      <c r="S2456" t="s">
        <v>824</v>
      </c>
      <c r="T2456" t="s">
        <v>645</v>
      </c>
      <c r="U2456">
        <v>1.1399999999999999</v>
      </c>
      <c r="V2456">
        <v>4.4000000000000004</v>
      </c>
      <c r="W2456">
        <v>49551</v>
      </c>
      <c r="X2456">
        <v>42947</v>
      </c>
      <c r="Y2456">
        <v>1.1499999999999999</v>
      </c>
      <c r="Z2456">
        <v>2607</v>
      </c>
      <c r="AA2456">
        <v>756</v>
      </c>
      <c r="AB2456" t="s">
        <v>116</v>
      </c>
      <c r="AC2456">
        <v>61200</v>
      </c>
      <c r="AD2456">
        <v>0</v>
      </c>
      <c r="AE2456" t="s">
        <v>116</v>
      </c>
      <c r="AF2456" t="s">
        <v>116</v>
      </c>
      <c r="AG2456">
        <v>11.68</v>
      </c>
      <c r="AH2456" t="s">
        <v>1429</v>
      </c>
      <c r="AI2456" t="s">
        <v>1429</v>
      </c>
      <c r="AJ2456">
        <v>-0.38</v>
      </c>
      <c r="AK2456">
        <v>1171</v>
      </c>
      <c r="AL2456">
        <v>79</v>
      </c>
      <c r="AM2456">
        <v>6.9999999999999999E-4</v>
      </c>
      <c r="AN2456">
        <v>-1</v>
      </c>
      <c r="AO2456">
        <v>0.93</v>
      </c>
      <c r="AP2456">
        <v>4.53</v>
      </c>
      <c r="AQ2456">
        <v>4.53</v>
      </c>
      <c r="AR2456">
        <v>5.16</v>
      </c>
      <c r="AS2456">
        <v>1.23</v>
      </c>
      <c r="AT2456" t="s">
        <v>11241</v>
      </c>
      <c r="AU2456">
        <v>9.26</v>
      </c>
      <c r="AV2456">
        <v>7.11</v>
      </c>
      <c r="AW2456">
        <v>0.97</v>
      </c>
      <c r="BA2456">
        <v>0</v>
      </c>
      <c r="BB2456">
        <v>0.45</v>
      </c>
      <c r="BC2456">
        <v>-0.68</v>
      </c>
      <c r="BD2456">
        <v>-0.09</v>
      </c>
      <c r="BE2456">
        <v>-0.45</v>
      </c>
      <c r="BF2456">
        <v>-0.9</v>
      </c>
      <c r="BG2456">
        <v>0.23</v>
      </c>
      <c r="BH2456">
        <v>-0.37</v>
      </c>
      <c r="BI2456">
        <v>20191031</v>
      </c>
      <c r="BJ2456">
        <v>20000928</v>
      </c>
      <c r="BK2456">
        <v>11.68</v>
      </c>
      <c r="BL2456" t="s">
        <v>116</v>
      </c>
      <c r="BM2456" t="s">
        <v>116</v>
      </c>
      <c r="BN2456">
        <v>141.49</v>
      </c>
      <c r="BO2456">
        <v>79.760000000000005</v>
      </c>
      <c r="BP2456">
        <v>2.0099999999999998</v>
      </c>
      <c r="BQ2456">
        <v>42.21</v>
      </c>
      <c r="BR2456">
        <v>56.69</v>
      </c>
      <c r="BS2456">
        <v>61.58</v>
      </c>
      <c r="BT2456">
        <v>5.82</v>
      </c>
      <c r="BU2456">
        <v>55.3</v>
      </c>
      <c r="BV2456">
        <v>12.72</v>
      </c>
      <c r="BW2456">
        <v>10.77</v>
      </c>
      <c r="BX2456">
        <v>22.44</v>
      </c>
      <c r="BY2456">
        <v>100.5</v>
      </c>
      <c r="BZ2456">
        <v>87.47</v>
      </c>
      <c r="CA2456">
        <v>5.88</v>
      </c>
      <c r="CB2456">
        <v>-0.06</v>
      </c>
      <c r="CC2456">
        <v>6.06</v>
      </c>
      <c r="CD2456">
        <v>4.66</v>
      </c>
      <c r="CE2456">
        <v>4.83</v>
      </c>
      <c r="CF2456">
        <v>4.47</v>
      </c>
      <c r="CG2456">
        <v>38.71</v>
      </c>
      <c r="CH2456">
        <v>13.09</v>
      </c>
      <c r="CI2456">
        <v>-4.92</v>
      </c>
      <c r="CJ2456">
        <v>78780</v>
      </c>
      <c r="CK2456">
        <v>9538</v>
      </c>
      <c r="CL2456" t="s">
        <v>563</v>
      </c>
      <c r="CM2456">
        <v>-25.69</v>
      </c>
      <c r="CN2456">
        <v>-9.6999999999999993</v>
      </c>
      <c r="CO2456">
        <v>0.64</v>
      </c>
      <c r="CP2456">
        <v>3.91</v>
      </c>
      <c r="CQ2456">
        <v>0.51</v>
      </c>
      <c r="CR2456">
        <v>4.22</v>
      </c>
      <c r="CS2456" t="s">
        <v>11353</v>
      </c>
      <c r="CT2456">
        <v>6.83</v>
      </c>
      <c r="CU2456">
        <v>0</v>
      </c>
      <c r="CV2456">
        <v>1.92</v>
      </c>
      <c r="CW2456">
        <v>3.32</v>
      </c>
      <c r="CX2456">
        <v>1.1200000000000001</v>
      </c>
      <c r="CY2456">
        <v>56.37</v>
      </c>
      <c r="CZ2456" t="s">
        <v>6672</v>
      </c>
      <c r="DA2456">
        <v>12.97</v>
      </c>
      <c r="DB2456">
        <v>5.85</v>
      </c>
      <c r="DC2456">
        <v>4.8</v>
      </c>
      <c r="DD2456">
        <v>0.64</v>
      </c>
      <c r="DE2456">
        <v>6828</v>
      </c>
      <c r="DF2456">
        <v>600308</v>
      </c>
      <c r="DG2456" t="s">
        <v>116</v>
      </c>
      <c r="DH2456" t="s">
        <v>116</v>
      </c>
      <c r="DI2456" t="s">
        <v>116</v>
      </c>
    </row>
    <row r="2457" spans="1:113" x14ac:dyDescent="0.4">
      <c r="A2457" t="str">
        <f>"600309"</f>
        <v>600309</v>
      </c>
      <c r="B2457" t="s">
        <v>11354</v>
      </c>
      <c r="C2457">
        <v>3.92</v>
      </c>
      <c r="D2457">
        <v>54.4</v>
      </c>
      <c r="E2457">
        <v>2.0499999999999998</v>
      </c>
      <c r="F2457">
        <v>54.39</v>
      </c>
      <c r="G2457">
        <v>54.4</v>
      </c>
      <c r="H2457">
        <v>209546</v>
      </c>
      <c r="I2457">
        <v>1311</v>
      </c>
      <c r="J2457">
        <v>-0.01</v>
      </c>
      <c r="K2457">
        <v>1.47</v>
      </c>
      <c r="L2457">
        <v>52.15</v>
      </c>
      <c r="M2457">
        <v>54.85</v>
      </c>
      <c r="N2457">
        <v>52.1</v>
      </c>
      <c r="O2457">
        <v>52.35</v>
      </c>
      <c r="P2457">
        <v>16.22</v>
      </c>
      <c r="Q2457">
        <v>1129873536</v>
      </c>
      <c r="R2457">
        <v>1.8</v>
      </c>
      <c r="S2457" t="s">
        <v>891</v>
      </c>
      <c r="T2457" t="s">
        <v>645</v>
      </c>
      <c r="U2457">
        <v>5.25</v>
      </c>
      <c r="V2457">
        <v>53.92</v>
      </c>
      <c r="W2457">
        <v>81013</v>
      </c>
      <c r="X2457">
        <v>128535</v>
      </c>
      <c r="Y2457">
        <v>0.63</v>
      </c>
      <c r="Z2457">
        <v>66</v>
      </c>
      <c r="AA2457">
        <v>1049</v>
      </c>
      <c r="AB2457" t="s">
        <v>116</v>
      </c>
      <c r="AC2457">
        <v>4018000</v>
      </c>
      <c r="AD2457">
        <v>0.01</v>
      </c>
      <c r="AE2457" t="s">
        <v>116</v>
      </c>
      <c r="AF2457" t="s">
        <v>116</v>
      </c>
      <c r="AG2457">
        <v>14.24</v>
      </c>
      <c r="AH2457" t="s">
        <v>11355</v>
      </c>
      <c r="AI2457" t="s">
        <v>11356</v>
      </c>
      <c r="AJ2457">
        <v>3.99</v>
      </c>
      <c r="AK2457">
        <v>4575</v>
      </c>
      <c r="AL2457">
        <v>46</v>
      </c>
      <c r="AM2457">
        <v>2.9999999999999997E-4</v>
      </c>
      <c r="AN2457">
        <v>1</v>
      </c>
      <c r="AO2457">
        <v>2.36</v>
      </c>
      <c r="AP2457">
        <v>12.37</v>
      </c>
      <c r="AQ2457">
        <v>23.16</v>
      </c>
      <c r="AR2457">
        <v>109.31</v>
      </c>
      <c r="AS2457">
        <v>1.47</v>
      </c>
      <c r="AT2457" t="s">
        <v>11355</v>
      </c>
      <c r="AU2457">
        <v>34.51</v>
      </c>
      <c r="AV2457">
        <v>16.100000000000001</v>
      </c>
      <c r="AW2457">
        <v>0.5</v>
      </c>
      <c r="BA2457">
        <v>-0.38</v>
      </c>
      <c r="BB2457">
        <v>4.78</v>
      </c>
      <c r="BC2457">
        <v>-0.48</v>
      </c>
      <c r="BD2457">
        <v>3</v>
      </c>
      <c r="BE2457">
        <v>4.3099999999999996</v>
      </c>
      <c r="BF2457">
        <v>-0.82</v>
      </c>
      <c r="BG2457">
        <v>4.41</v>
      </c>
      <c r="BH2457">
        <v>0.92</v>
      </c>
      <c r="BI2457">
        <v>20191025</v>
      </c>
      <c r="BJ2457">
        <v>20010105</v>
      </c>
      <c r="BK2457">
        <v>31.4</v>
      </c>
      <c r="BL2457" t="s">
        <v>116</v>
      </c>
      <c r="BM2457" t="s">
        <v>116</v>
      </c>
      <c r="BN2457">
        <v>964.85</v>
      </c>
      <c r="BO2457">
        <v>403.41</v>
      </c>
      <c r="BP2457">
        <v>16.309999999999999</v>
      </c>
      <c r="BQ2457">
        <v>56.5</v>
      </c>
      <c r="BR2457">
        <v>287.2</v>
      </c>
      <c r="BS2457">
        <v>356.74</v>
      </c>
      <c r="BT2457">
        <v>49.9</v>
      </c>
      <c r="BU2457">
        <v>483.02</v>
      </c>
      <c r="BV2457">
        <v>96.65</v>
      </c>
      <c r="BW2457">
        <v>49.69</v>
      </c>
      <c r="BX2457">
        <v>21.62</v>
      </c>
      <c r="BY2457">
        <v>485.39</v>
      </c>
      <c r="BZ2457">
        <v>340.63</v>
      </c>
      <c r="CA2457">
        <v>100.24</v>
      </c>
      <c r="CB2457">
        <v>1.33</v>
      </c>
      <c r="CC2457">
        <v>100.27</v>
      </c>
      <c r="CD2457">
        <v>82.81</v>
      </c>
      <c r="CE2457">
        <v>78.989999999999995</v>
      </c>
      <c r="CF2457">
        <v>72.47</v>
      </c>
      <c r="CG2457">
        <v>323.39999999999998</v>
      </c>
      <c r="CH2457">
        <v>131.22</v>
      </c>
      <c r="CI2457">
        <v>-25.7</v>
      </c>
      <c r="CJ2457">
        <v>106750</v>
      </c>
      <c r="CK2457">
        <v>13337</v>
      </c>
      <c r="CL2457" t="s">
        <v>11357</v>
      </c>
      <c r="CM2457">
        <v>-41.75</v>
      </c>
      <c r="CN2457">
        <v>-12.48</v>
      </c>
      <c r="CO2457">
        <v>4.2300000000000004</v>
      </c>
      <c r="CP2457">
        <v>13.02</v>
      </c>
      <c r="CQ2457">
        <v>3.52</v>
      </c>
      <c r="CR2457">
        <v>3.68</v>
      </c>
      <c r="CS2457" t="s">
        <v>11358</v>
      </c>
      <c r="CT2457">
        <v>12.85</v>
      </c>
      <c r="CU2457">
        <v>0</v>
      </c>
      <c r="CV2457">
        <v>0.69</v>
      </c>
      <c r="CW2457">
        <v>10.3</v>
      </c>
      <c r="CX2457">
        <v>4.18</v>
      </c>
      <c r="CY2457">
        <v>41.81</v>
      </c>
      <c r="CZ2457" t="s">
        <v>11359</v>
      </c>
      <c r="DA2457">
        <v>29.82</v>
      </c>
      <c r="DB2457">
        <v>20.65</v>
      </c>
      <c r="DC2457">
        <v>16.27</v>
      </c>
      <c r="DD2457">
        <v>12.12</v>
      </c>
      <c r="DE2457">
        <v>11080</v>
      </c>
      <c r="DF2457">
        <v>600309</v>
      </c>
      <c r="DG2457" t="s">
        <v>116</v>
      </c>
      <c r="DH2457" t="s">
        <v>116</v>
      </c>
      <c r="DI2457" t="s">
        <v>116</v>
      </c>
    </row>
    <row r="2458" spans="1:113" x14ac:dyDescent="0.4">
      <c r="A2458" t="str">
        <f>"600310"</f>
        <v>600310</v>
      </c>
      <c r="B2458" t="s">
        <v>11360</v>
      </c>
      <c r="C2458">
        <v>-1.17</v>
      </c>
      <c r="D2458">
        <v>4.2300000000000004</v>
      </c>
      <c r="E2458">
        <v>-0.05</v>
      </c>
      <c r="F2458">
        <v>4.2300000000000004</v>
      </c>
      <c r="G2458">
        <v>4.25</v>
      </c>
      <c r="H2458">
        <v>73922</v>
      </c>
      <c r="I2458">
        <v>286</v>
      </c>
      <c r="J2458">
        <v>-0.23</v>
      </c>
      <c r="K2458">
        <v>0.89</v>
      </c>
      <c r="L2458">
        <v>4.2699999999999996</v>
      </c>
      <c r="M2458">
        <v>4.3499999999999996</v>
      </c>
      <c r="N2458">
        <v>4.22</v>
      </c>
      <c r="O2458">
        <v>4.28</v>
      </c>
      <c r="P2458">
        <v>15.22</v>
      </c>
      <c r="Q2458">
        <v>31635738</v>
      </c>
      <c r="R2458">
        <v>1.03</v>
      </c>
      <c r="S2458" t="s">
        <v>1363</v>
      </c>
      <c r="T2458" t="s">
        <v>982</v>
      </c>
      <c r="U2458">
        <v>3.04</v>
      </c>
      <c r="V2458">
        <v>4.28</v>
      </c>
      <c r="W2458">
        <v>43044</v>
      </c>
      <c r="X2458">
        <v>30878</v>
      </c>
      <c r="Y2458">
        <v>1.39</v>
      </c>
      <c r="Z2458">
        <v>1406</v>
      </c>
      <c r="AA2458">
        <v>514</v>
      </c>
      <c r="AB2458" t="s">
        <v>116</v>
      </c>
      <c r="AC2458">
        <v>141800</v>
      </c>
      <c r="AD2458">
        <v>0.01</v>
      </c>
      <c r="AE2458" t="s">
        <v>116</v>
      </c>
      <c r="AF2458" t="s">
        <v>116</v>
      </c>
      <c r="AG2458">
        <v>8.2799999999999994</v>
      </c>
      <c r="AH2458" t="s">
        <v>9620</v>
      </c>
      <c r="AI2458" t="s">
        <v>9620</v>
      </c>
      <c r="AJ2458">
        <v>-1.0900000000000001</v>
      </c>
      <c r="AK2458">
        <v>979</v>
      </c>
      <c r="AL2458">
        <v>76</v>
      </c>
      <c r="AM2458">
        <v>8.9999999999999998E-4</v>
      </c>
      <c r="AN2458">
        <v>-1</v>
      </c>
      <c r="AO2458">
        <v>-0.48</v>
      </c>
      <c r="AP2458">
        <v>7.91</v>
      </c>
      <c r="AQ2458">
        <v>-1.17</v>
      </c>
      <c r="AR2458">
        <v>18.32</v>
      </c>
      <c r="AS2458">
        <v>1.79</v>
      </c>
      <c r="AT2458" t="s">
        <v>11125</v>
      </c>
      <c r="AU2458">
        <v>15.12</v>
      </c>
      <c r="AV2458">
        <v>51.12</v>
      </c>
      <c r="AW2458">
        <v>1.67</v>
      </c>
      <c r="BA2458">
        <v>-0.23</v>
      </c>
      <c r="BB2458">
        <v>1.64</v>
      </c>
      <c r="BC2458">
        <v>-1.4</v>
      </c>
      <c r="BD2458">
        <v>-0.01</v>
      </c>
      <c r="BE2458">
        <v>-0.94</v>
      </c>
      <c r="BF2458">
        <v>-2.76</v>
      </c>
      <c r="BG2458">
        <v>0.24</v>
      </c>
      <c r="BH2458">
        <v>-1.1599999999999999</v>
      </c>
      <c r="BI2458">
        <v>20191029</v>
      </c>
      <c r="BJ2458">
        <v>20010228</v>
      </c>
      <c r="BK2458">
        <v>8.2799999999999994</v>
      </c>
      <c r="BL2458" t="s">
        <v>116</v>
      </c>
      <c r="BM2458" t="s">
        <v>116</v>
      </c>
      <c r="BN2458">
        <v>163.98</v>
      </c>
      <c r="BO2458">
        <v>20.350000000000001</v>
      </c>
      <c r="BP2458">
        <v>4.97</v>
      </c>
      <c r="BQ2458">
        <v>84.56</v>
      </c>
      <c r="BR2458">
        <v>73.44</v>
      </c>
      <c r="BS2458">
        <v>28.95</v>
      </c>
      <c r="BT2458">
        <v>3.71</v>
      </c>
      <c r="BU2458">
        <v>96.6</v>
      </c>
      <c r="BV2458">
        <v>10.32</v>
      </c>
      <c r="BW2458">
        <v>10.36</v>
      </c>
      <c r="BX2458">
        <v>2.75</v>
      </c>
      <c r="BY2458">
        <v>194.73</v>
      </c>
      <c r="BZ2458">
        <v>187.36</v>
      </c>
      <c r="CA2458">
        <v>2.58</v>
      </c>
      <c r="CB2458">
        <v>-0.03</v>
      </c>
      <c r="CC2458">
        <v>2.59</v>
      </c>
      <c r="CD2458">
        <v>2.12</v>
      </c>
      <c r="CE2458">
        <v>1.73</v>
      </c>
      <c r="CF2458">
        <v>0.55000000000000004</v>
      </c>
      <c r="CG2458">
        <v>7.65</v>
      </c>
      <c r="CH2458">
        <v>-1.49</v>
      </c>
      <c r="CI2458">
        <v>-3.58</v>
      </c>
      <c r="CJ2458">
        <v>41340</v>
      </c>
      <c r="CK2458">
        <v>10005</v>
      </c>
      <c r="CL2458" t="s">
        <v>3722</v>
      </c>
      <c r="CM2458">
        <v>1699.85</v>
      </c>
      <c r="CN2458">
        <v>106.63</v>
      </c>
      <c r="CO2458">
        <v>1.72</v>
      </c>
      <c r="CP2458">
        <v>-23.51</v>
      </c>
      <c r="CQ2458">
        <v>0.18</v>
      </c>
      <c r="CR2458">
        <v>0.59</v>
      </c>
      <c r="CS2458" t="s">
        <v>3899</v>
      </c>
      <c r="CT2458">
        <v>2.46</v>
      </c>
      <c r="CU2458">
        <v>0</v>
      </c>
      <c r="CV2458">
        <v>0.33</v>
      </c>
      <c r="CW2458">
        <v>0.92</v>
      </c>
      <c r="CX2458">
        <v>-0.18</v>
      </c>
      <c r="CY2458">
        <v>12.41</v>
      </c>
      <c r="CZ2458" t="s">
        <v>557</v>
      </c>
      <c r="DA2458">
        <v>3.79</v>
      </c>
      <c r="DB2458">
        <v>1.32</v>
      </c>
      <c r="DC2458">
        <v>0.89</v>
      </c>
      <c r="DD2458">
        <v>0</v>
      </c>
      <c r="DE2458">
        <v>2450</v>
      </c>
      <c r="DF2458">
        <v>600310</v>
      </c>
      <c r="DG2458" t="s">
        <v>116</v>
      </c>
      <c r="DH2458" t="s">
        <v>116</v>
      </c>
      <c r="DI2458" t="s">
        <v>116</v>
      </c>
    </row>
    <row r="2459" spans="1:113" x14ac:dyDescent="0.4">
      <c r="A2459" t="str">
        <f>"600311"</f>
        <v>600311</v>
      </c>
      <c r="B2459" t="s">
        <v>11361</v>
      </c>
      <c r="C2459">
        <v>0.9</v>
      </c>
      <c r="D2459">
        <v>3.38</v>
      </c>
      <c r="E2459">
        <v>0.03</v>
      </c>
      <c r="F2459">
        <v>3.37</v>
      </c>
      <c r="G2459">
        <v>3.38</v>
      </c>
      <c r="H2459">
        <v>310652</v>
      </c>
      <c r="I2459">
        <v>5995</v>
      </c>
      <c r="J2459">
        <v>0.6</v>
      </c>
      <c r="K2459">
        <v>4.67</v>
      </c>
      <c r="L2459">
        <v>3.38</v>
      </c>
      <c r="M2459">
        <v>3.47</v>
      </c>
      <c r="N2459">
        <v>3.35</v>
      </c>
      <c r="O2459">
        <v>3.35</v>
      </c>
      <c r="P2459" t="s">
        <v>116</v>
      </c>
      <c r="Q2459">
        <v>105781384</v>
      </c>
      <c r="R2459">
        <v>1.85</v>
      </c>
      <c r="S2459" t="s">
        <v>871</v>
      </c>
      <c r="T2459" t="s">
        <v>1122</v>
      </c>
      <c r="U2459">
        <v>3.58</v>
      </c>
      <c r="V2459">
        <v>3.41</v>
      </c>
      <c r="W2459">
        <v>126571</v>
      </c>
      <c r="X2459">
        <v>184081</v>
      </c>
      <c r="Y2459">
        <v>0.69</v>
      </c>
      <c r="Z2459">
        <v>2564</v>
      </c>
      <c r="AA2459">
        <v>1285</v>
      </c>
      <c r="AB2459" t="s">
        <v>116</v>
      </c>
      <c r="AC2459">
        <v>775400</v>
      </c>
      <c r="AD2459">
        <v>0.04</v>
      </c>
      <c r="AE2459" t="s">
        <v>116</v>
      </c>
      <c r="AF2459" t="s">
        <v>116</v>
      </c>
      <c r="AG2459">
        <v>6.66</v>
      </c>
      <c r="AH2459" t="s">
        <v>4739</v>
      </c>
      <c r="AI2459" t="s">
        <v>4739</v>
      </c>
      <c r="AJ2459">
        <v>0.97</v>
      </c>
      <c r="AK2459">
        <v>2537</v>
      </c>
      <c r="AL2459">
        <v>122</v>
      </c>
      <c r="AM2459">
        <v>1.8E-3</v>
      </c>
      <c r="AN2459">
        <v>4</v>
      </c>
      <c r="AO2459">
        <v>2.12</v>
      </c>
      <c r="AP2459">
        <v>7.99</v>
      </c>
      <c r="AQ2459">
        <v>-7.65</v>
      </c>
      <c r="AR2459">
        <v>-10.58</v>
      </c>
      <c r="AS2459">
        <v>5.61</v>
      </c>
      <c r="AT2459" t="s">
        <v>11362</v>
      </c>
      <c r="AU2459" t="s">
        <v>116</v>
      </c>
      <c r="AV2459" t="s">
        <v>116</v>
      </c>
      <c r="AW2459">
        <v>1.1100000000000001</v>
      </c>
      <c r="BA2459">
        <v>0.9</v>
      </c>
      <c r="BB2459">
        <v>3.58</v>
      </c>
      <c r="BC2459">
        <v>0</v>
      </c>
      <c r="BD2459">
        <v>1.65</v>
      </c>
      <c r="BE2459">
        <v>0</v>
      </c>
      <c r="BF2459">
        <v>-2.59</v>
      </c>
      <c r="BG2459">
        <v>0.9</v>
      </c>
      <c r="BH2459">
        <v>-0.75</v>
      </c>
      <c r="BI2459">
        <v>20191022</v>
      </c>
      <c r="BJ2459">
        <v>20010626</v>
      </c>
      <c r="BK2459">
        <v>6.66</v>
      </c>
      <c r="BL2459" t="s">
        <v>116</v>
      </c>
      <c r="BM2459" t="s">
        <v>116</v>
      </c>
      <c r="BN2459">
        <v>8.33</v>
      </c>
      <c r="BO2459">
        <v>6.76</v>
      </c>
      <c r="BP2459">
        <v>0</v>
      </c>
      <c r="BQ2459">
        <v>18.829999999999998</v>
      </c>
      <c r="BR2459">
        <v>5.25</v>
      </c>
      <c r="BS2459">
        <v>2.27</v>
      </c>
      <c r="BT2459">
        <v>0.43</v>
      </c>
      <c r="BU2459">
        <v>1.5</v>
      </c>
      <c r="BV2459">
        <v>0.19</v>
      </c>
      <c r="BW2459">
        <v>0</v>
      </c>
      <c r="BX2459">
        <v>0.52</v>
      </c>
      <c r="BY2459">
        <v>1.57</v>
      </c>
      <c r="BZ2459">
        <v>2.46</v>
      </c>
      <c r="CA2459">
        <v>-0.44</v>
      </c>
      <c r="CB2459">
        <v>0</v>
      </c>
      <c r="CC2459">
        <v>-0.45</v>
      </c>
      <c r="CD2459">
        <v>-0.45</v>
      </c>
      <c r="CE2459">
        <v>-0.45</v>
      </c>
      <c r="CF2459">
        <v>-0.45</v>
      </c>
      <c r="CG2459">
        <v>-2.61</v>
      </c>
      <c r="CH2459">
        <v>-1.32</v>
      </c>
      <c r="CI2459">
        <v>-1.35</v>
      </c>
      <c r="CJ2459">
        <v>86553</v>
      </c>
      <c r="CK2459">
        <v>6402</v>
      </c>
      <c r="CL2459" t="s">
        <v>11363</v>
      </c>
      <c r="CM2459">
        <v>21.17</v>
      </c>
      <c r="CN2459">
        <v>157.4</v>
      </c>
      <c r="CO2459">
        <v>4.92</v>
      </c>
      <c r="CP2459">
        <v>-17.079999999999998</v>
      </c>
      <c r="CQ2459">
        <v>14.37</v>
      </c>
      <c r="CR2459">
        <v>0</v>
      </c>
      <c r="CS2459" t="s">
        <v>4719</v>
      </c>
      <c r="CT2459">
        <v>0.69</v>
      </c>
      <c r="CU2459">
        <v>0.69</v>
      </c>
      <c r="CV2459">
        <v>0.08</v>
      </c>
      <c r="CW2459">
        <v>-0.39</v>
      </c>
      <c r="CX2459">
        <v>-0.2</v>
      </c>
      <c r="CY2459">
        <v>81.17</v>
      </c>
      <c r="CZ2459" t="s">
        <v>11364</v>
      </c>
      <c r="DA2459">
        <v>-57.07</v>
      </c>
      <c r="DB2459">
        <v>-28.27</v>
      </c>
      <c r="DC2459">
        <v>-28.49</v>
      </c>
      <c r="DD2459">
        <v>0</v>
      </c>
      <c r="DE2459">
        <v>652</v>
      </c>
      <c r="DF2459">
        <v>600311</v>
      </c>
      <c r="DG2459" t="s">
        <v>116</v>
      </c>
      <c r="DH2459" t="s">
        <v>116</v>
      </c>
      <c r="DI2459" t="s">
        <v>116</v>
      </c>
    </row>
    <row r="2460" spans="1:113" x14ac:dyDescent="0.4">
      <c r="A2460" t="str">
        <f>"600312"</f>
        <v>600312</v>
      </c>
      <c r="B2460" t="s">
        <v>11365</v>
      </c>
      <c r="C2460">
        <v>-0.93</v>
      </c>
      <c r="D2460">
        <v>6.38</v>
      </c>
      <c r="E2460">
        <v>-0.06</v>
      </c>
      <c r="F2460">
        <v>6.37</v>
      </c>
      <c r="G2460">
        <v>6.38</v>
      </c>
      <c r="H2460">
        <v>73815</v>
      </c>
      <c r="I2460">
        <v>473</v>
      </c>
      <c r="J2460">
        <v>-0.3</v>
      </c>
      <c r="K2460">
        <v>0.54</v>
      </c>
      <c r="L2460">
        <v>6.44</v>
      </c>
      <c r="M2460">
        <v>6.51</v>
      </c>
      <c r="N2460">
        <v>6.35</v>
      </c>
      <c r="O2460">
        <v>6.44</v>
      </c>
      <c r="P2460">
        <v>55.06</v>
      </c>
      <c r="Q2460">
        <v>47538504</v>
      </c>
      <c r="R2460">
        <v>0.87</v>
      </c>
      <c r="S2460" t="s">
        <v>397</v>
      </c>
      <c r="T2460" t="s">
        <v>652</v>
      </c>
      <c r="U2460">
        <v>2.48</v>
      </c>
      <c r="V2460">
        <v>6.44</v>
      </c>
      <c r="W2460">
        <v>46480</v>
      </c>
      <c r="X2460">
        <v>27335</v>
      </c>
      <c r="Y2460">
        <v>1.7</v>
      </c>
      <c r="Z2460">
        <v>290</v>
      </c>
      <c r="AA2460">
        <v>58</v>
      </c>
      <c r="AB2460" t="s">
        <v>116</v>
      </c>
      <c r="AC2460">
        <v>138500</v>
      </c>
      <c r="AD2460">
        <v>0</v>
      </c>
      <c r="AE2460" t="s">
        <v>116</v>
      </c>
      <c r="AF2460" t="s">
        <v>116</v>
      </c>
      <c r="AG2460">
        <v>13.57</v>
      </c>
      <c r="AH2460" t="s">
        <v>11366</v>
      </c>
      <c r="AI2460" t="s">
        <v>11366</v>
      </c>
      <c r="AJ2460">
        <v>-0.85</v>
      </c>
      <c r="AK2460">
        <v>2076</v>
      </c>
      <c r="AL2460">
        <v>36</v>
      </c>
      <c r="AM2460">
        <v>2.9999999999999997E-4</v>
      </c>
      <c r="AN2460">
        <v>-1</v>
      </c>
      <c r="AO2460">
        <v>-1.39</v>
      </c>
      <c r="AP2460">
        <v>-0.93</v>
      </c>
      <c r="AQ2460">
        <v>-9.25</v>
      </c>
      <c r="AR2460">
        <v>-20.41</v>
      </c>
      <c r="AS2460">
        <v>0.91</v>
      </c>
      <c r="AT2460" t="s">
        <v>3024</v>
      </c>
      <c r="AU2460">
        <v>21.53</v>
      </c>
      <c r="AV2460">
        <v>30.23</v>
      </c>
      <c r="AW2460">
        <v>1.26</v>
      </c>
      <c r="BA2460">
        <v>0</v>
      </c>
      <c r="BB2460">
        <v>1.0900000000000001</v>
      </c>
      <c r="BC2460">
        <v>-1.4</v>
      </c>
      <c r="BD2460">
        <v>0</v>
      </c>
      <c r="BE2460">
        <v>-0.93</v>
      </c>
      <c r="BF2460">
        <v>-2</v>
      </c>
      <c r="BG2460">
        <v>0.47</v>
      </c>
      <c r="BH2460">
        <v>-0.94</v>
      </c>
      <c r="BI2460">
        <v>20191029</v>
      </c>
      <c r="BJ2460">
        <v>20010221</v>
      </c>
      <c r="BK2460">
        <v>13.57</v>
      </c>
      <c r="BL2460" t="s">
        <v>116</v>
      </c>
      <c r="BM2460" t="s">
        <v>116</v>
      </c>
      <c r="BN2460">
        <v>230.24</v>
      </c>
      <c r="BO2460">
        <v>89.56</v>
      </c>
      <c r="BP2460">
        <v>2.86</v>
      </c>
      <c r="BQ2460">
        <v>59.86</v>
      </c>
      <c r="BR2460">
        <v>178.98</v>
      </c>
      <c r="BS2460">
        <v>28.71</v>
      </c>
      <c r="BT2460">
        <v>10.77</v>
      </c>
      <c r="BU2460">
        <v>135.51</v>
      </c>
      <c r="BV2460">
        <v>35.75</v>
      </c>
      <c r="BW2460">
        <v>113.91</v>
      </c>
      <c r="BX2460">
        <v>48.84</v>
      </c>
      <c r="BY2460">
        <v>59.07</v>
      </c>
      <c r="BZ2460">
        <v>50.67</v>
      </c>
      <c r="CA2460">
        <v>1.33</v>
      </c>
      <c r="CB2460">
        <v>0.18</v>
      </c>
      <c r="CC2460">
        <v>1.44</v>
      </c>
      <c r="CD2460">
        <v>1.1599999999999999</v>
      </c>
      <c r="CE2460">
        <v>1.18</v>
      </c>
      <c r="CF2460">
        <v>1.04</v>
      </c>
      <c r="CG2460">
        <v>22.23</v>
      </c>
      <c r="CH2460">
        <v>-0.28999999999999998</v>
      </c>
      <c r="CI2460">
        <v>-6.31</v>
      </c>
      <c r="CJ2460">
        <v>56713</v>
      </c>
      <c r="CK2460">
        <v>14237</v>
      </c>
      <c r="CL2460" t="s">
        <v>2169</v>
      </c>
      <c r="CM2460">
        <v>5156.37</v>
      </c>
      <c r="CN2460">
        <v>18.16</v>
      </c>
      <c r="CO2460">
        <v>0.97</v>
      </c>
      <c r="CP2460">
        <v>-300.33999999999997</v>
      </c>
      <c r="CQ2460">
        <v>1.47</v>
      </c>
      <c r="CR2460">
        <v>1</v>
      </c>
      <c r="CS2460" t="s">
        <v>2201</v>
      </c>
      <c r="CT2460">
        <v>6.6</v>
      </c>
      <c r="CU2460">
        <v>0</v>
      </c>
      <c r="CV2460">
        <v>3.6</v>
      </c>
      <c r="CW2460">
        <v>1.64</v>
      </c>
      <c r="CX2460">
        <v>-0.02</v>
      </c>
      <c r="CY2460">
        <v>38.9</v>
      </c>
      <c r="CZ2460" t="s">
        <v>2517</v>
      </c>
      <c r="DA2460">
        <v>14.22</v>
      </c>
      <c r="DB2460">
        <v>2.2400000000000002</v>
      </c>
      <c r="DC2460">
        <v>2</v>
      </c>
      <c r="DD2460">
        <v>1.17</v>
      </c>
      <c r="DE2460">
        <v>5188</v>
      </c>
      <c r="DF2460">
        <v>600312</v>
      </c>
      <c r="DG2460" t="s">
        <v>116</v>
      </c>
      <c r="DH2460" t="s">
        <v>116</v>
      </c>
      <c r="DI2460" t="s">
        <v>116</v>
      </c>
    </row>
    <row r="2461" spans="1:113" x14ac:dyDescent="0.4">
      <c r="A2461" t="str">
        <f>"600313"</f>
        <v>600313</v>
      </c>
      <c r="B2461" t="s">
        <v>11367</v>
      </c>
      <c r="C2461">
        <v>0.37</v>
      </c>
      <c r="D2461">
        <v>2.73</v>
      </c>
      <c r="E2461">
        <v>0.01</v>
      </c>
      <c r="F2461">
        <v>2.72</v>
      </c>
      <c r="G2461">
        <v>2.73</v>
      </c>
      <c r="H2461">
        <v>128672</v>
      </c>
      <c r="I2461">
        <v>2073</v>
      </c>
      <c r="J2461">
        <v>0</v>
      </c>
      <c r="K2461">
        <v>1.26</v>
      </c>
      <c r="L2461">
        <v>2.72</v>
      </c>
      <c r="M2461">
        <v>2.75</v>
      </c>
      <c r="N2461">
        <v>2.71</v>
      </c>
      <c r="O2461">
        <v>2.72</v>
      </c>
      <c r="P2461" t="s">
        <v>116</v>
      </c>
      <c r="Q2461">
        <v>35137784</v>
      </c>
      <c r="R2461">
        <v>0.81</v>
      </c>
      <c r="S2461" t="s">
        <v>1871</v>
      </c>
      <c r="T2461" t="s">
        <v>165</v>
      </c>
      <c r="U2461">
        <v>1.47</v>
      </c>
      <c r="V2461">
        <v>2.73</v>
      </c>
      <c r="W2461">
        <v>58725</v>
      </c>
      <c r="X2461">
        <v>69947</v>
      </c>
      <c r="Y2461">
        <v>0.84</v>
      </c>
      <c r="Z2461">
        <v>12705</v>
      </c>
      <c r="AA2461">
        <v>1381</v>
      </c>
      <c r="AB2461" t="s">
        <v>116</v>
      </c>
      <c r="AC2461">
        <v>23400</v>
      </c>
      <c r="AD2461">
        <v>0</v>
      </c>
      <c r="AE2461" t="s">
        <v>116</v>
      </c>
      <c r="AF2461" t="s">
        <v>116</v>
      </c>
      <c r="AG2461">
        <v>10.19</v>
      </c>
      <c r="AH2461" t="s">
        <v>11368</v>
      </c>
      <c r="AI2461" t="s">
        <v>11369</v>
      </c>
      <c r="AJ2461">
        <v>0.44</v>
      </c>
      <c r="AK2461">
        <v>1119</v>
      </c>
      <c r="AL2461">
        <v>115</v>
      </c>
      <c r="AM2461">
        <v>1.1000000000000001E-3</v>
      </c>
      <c r="AN2461">
        <v>1</v>
      </c>
      <c r="AO2461">
        <v>-0.36</v>
      </c>
      <c r="AP2461">
        <v>1.87</v>
      </c>
      <c r="AQ2461">
        <v>-5.54</v>
      </c>
      <c r="AR2461">
        <v>24.09</v>
      </c>
      <c r="AS2461">
        <v>2.1</v>
      </c>
      <c r="AT2461" t="s">
        <v>11370</v>
      </c>
      <c r="AU2461">
        <v>130.01</v>
      </c>
      <c r="AV2461">
        <v>93.19</v>
      </c>
      <c r="AW2461">
        <v>0.61</v>
      </c>
      <c r="BA2461">
        <v>0</v>
      </c>
      <c r="BB2461">
        <v>1.1000000000000001</v>
      </c>
      <c r="BC2461">
        <v>-0.37</v>
      </c>
      <c r="BD2461">
        <v>0.4</v>
      </c>
      <c r="BE2461">
        <v>0.37</v>
      </c>
      <c r="BF2461">
        <v>-0.73</v>
      </c>
      <c r="BG2461">
        <v>0.74</v>
      </c>
      <c r="BH2461">
        <v>-0.03</v>
      </c>
      <c r="BI2461">
        <v>20191026</v>
      </c>
      <c r="BJ2461">
        <v>20010119</v>
      </c>
      <c r="BK2461">
        <v>10.82</v>
      </c>
      <c r="BL2461" t="s">
        <v>116</v>
      </c>
      <c r="BM2461" t="s">
        <v>116</v>
      </c>
      <c r="BN2461">
        <v>31.6</v>
      </c>
      <c r="BO2461">
        <v>14.11</v>
      </c>
      <c r="BP2461">
        <v>6.56</v>
      </c>
      <c r="BQ2461">
        <v>34.58</v>
      </c>
      <c r="BR2461">
        <v>18.72</v>
      </c>
      <c r="BS2461">
        <v>6.49</v>
      </c>
      <c r="BT2461">
        <v>2.8</v>
      </c>
      <c r="BU2461">
        <v>9.25</v>
      </c>
      <c r="BV2461">
        <v>4.18</v>
      </c>
      <c r="BW2461">
        <v>1.47</v>
      </c>
      <c r="BX2461">
        <v>4.1900000000000004</v>
      </c>
      <c r="BY2461">
        <v>38.979999999999997</v>
      </c>
      <c r="BZ2461">
        <v>37.68</v>
      </c>
      <c r="CA2461">
        <v>-0.14000000000000001</v>
      </c>
      <c r="CB2461">
        <v>7.0000000000000007E-2</v>
      </c>
      <c r="CC2461">
        <v>-0.15</v>
      </c>
      <c r="CD2461">
        <v>-0.2</v>
      </c>
      <c r="CE2461">
        <v>-0.11</v>
      </c>
      <c r="CF2461">
        <v>-0.26</v>
      </c>
      <c r="CG2461">
        <v>-1.06</v>
      </c>
      <c r="CH2461">
        <v>-0.76</v>
      </c>
      <c r="CI2461">
        <v>-1.95</v>
      </c>
      <c r="CJ2461">
        <v>72716</v>
      </c>
      <c r="CK2461">
        <v>8408</v>
      </c>
      <c r="CL2461" t="s">
        <v>5322</v>
      </c>
      <c r="CM2461">
        <v>-450.68</v>
      </c>
      <c r="CN2461">
        <v>70.72</v>
      </c>
      <c r="CO2461">
        <v>2.09</v>
      </c>
      <c r="CP2461">
        <v>-38.630000000000003</v>
      </c>
      <c r="CQ2461">
        <v>0.76</v>
      </c>
      <c r="CR2461">
        <v>0</v>
      </c>
      <c r="CS2461" t="s">
        <v>848</v>
      </c>
      <c r="CT2461">
        <v>1.3</v>
      </c>
      <c r="CU2461">
        <v>0</v>
      </c>
      <c r="CV2461">
        <v>0.39</v>
      </c>
      <c r="CW2461">
        <v>-0.1</v>
      </c>
      <c r="CX2461">
        <v>-7.0000000000000007E-2</v>
      </c>
      <c r="CY2461">
        <v>44.66</v>
      </c>
      <c r="CZ2461" t="s">
        <v>11371</v>
      </c>
      <c r="DA2461">
        <v>3.33</v>
      </c>
      <c r="DB2461">
        <v>-0.36</v>
      </c>
      <c r="DC2461">
        <v>-0.28000000000000003</v>
      </c>
      <c r="DD2461">
        <v>0.21</v>
      </c>
      <c r="DE2461">
        <v>1192</v>
      </c>
      <c r="DF2461">
        <v>600313</v>
      </c>
      <c r="DG2461" t="s">
        <v>116</v>
      </c>
      <c r="DH2461" t="s">
        <v>116</v>
      </c>
      <c r="DI2461" t="s">
        <v>116</v>
      </c>
    </row>
    <row r="2462" spans="1:113" x14ac:dyDescent="0.4">
      <c r="A2462" t="str">
        <f>"600315"</f>
        <v>600315</v>
      </c>
      <c r="B2462" t="s">
        <v>11372</v>
      </c>
      <c r="C2462">
        <v>1.23</v>
      </c>
      <c r="D2462">
        <v>30.38</v>
      </c>
      <c r="E2462">
        <v>0.37</v>
      </c>
      <c r="F2462">
        <v>30.37</v>
      </c>
      <c r="G2462">
        <v>30.38</v>
      </c>
      <c r="H2462">
        <v>61638</v>
      </c>
      <c r="I2462">
        <v>452</v>
      </c>
      <c r="J2462">
        <v>7.0000000000000007E-2</v>
      </c>
      <c r="K2462">
        <v>0.92</v>
      </c>
      <c r="L2462">
        <v>30.04</v>
      </c>
      <c r="M2462">
        <v>30.66</v>
      </c>
      <c r="N2462">
        <v>29.95</v>
      </c>
      <c r="O2462">
        <v>30.01</v>
      </c>
      <c r="P2462">
        <v>28.3</v>
      </c>
      <c r="Q2462">
        <v>187552032</v>
      </c>
      <c r="R2462">
        <v>1.87</v>
      </c>
      <c r="S2462" t="s">
        <v>953</v>
      </c>
      <c r="T2462" t="s">
        <v>1653</v>
      </c>
      <c r="U2462">
        <v>2.37</v>
      </c>
      <c r="V2462">
        <v>30.43</v>
      </c>
      <c r="W2462">
        <v>30114</v>
      </c>
      <c r="X2462">
        <v>31524</v>
      </c>
      <c r="Y2462">
        <v>0.96</v>
      </c>
      <c r="Z2462">
        <v>10</v>
      </c>
      <c r="AA2462">
        <v>164</v>
      </c>
      <c r="AB2462" t="s">
        <v>116</v>
      </c>
      <c r="AC2462">
        <v>402500</v>
      </c>
      <c r="AD2462">
        <v>0</v>
      </c>
      <c r="AE2462" t="s">
        <v>116</v>
      </c>
      <c r="AF2462" t="s">
        <v>116</v>
      </c>
      <c r="AG2462">
        <v>6.71</v>
      </c>
      <c r="AH2462" t="s">
        <v>11373</v>
      </c>
      <c r="AI2462" t="s">
        <v>11373</v>
      </c>
      <c r="AJ2462">
        <v>1.31</v>
      </c>
      <c r="AK2462">
        <v>2471</v>
      </c>
      <c r="AL2462">
        <v>25</v>
      </c>
      <c r="AM2462">
        <v>4.0000000000000002E-4</v>
      </c>
      <c r="AN2462">
        <v>2</v>
      </c>
      <c r="AO2462">
        <v>1.36</v>
      </c>
      <c r="AP2462">
        <v>1.27</v>
      </c>
      <c r="AQ2462">
        <v>-11.69</v>
      </c>
      <c r="AR2462">
        <v>12.31</v>
      </c>
      <c r="AS2462">
        <v>2.13</v>
      </c>
      <c r="AT2462" t="s">
        <v>11374</v>
      </c>
      <c r="AU2462">
        <v>32.520000000000003</v>
      </c>
      <c r="AV2462">
        <v>37.74</v>
      </c>
      <c r="AW2462">
        <v>0.69</v>
      </c>
      <c r="BA2462">
        <v>0.1</v>
      </c>
      <c r="BB2462">
        <v>2.17</v>
      </c>
      <c r="BC2462">
        <v>-0.2</v>
      </c>
      <c r="BD2462">
        <v>1.39</v>
      </c>
      <c r="BE2462">
        <v>1.1299999999999999</v>
      </c>
      <c r="BF2462">
        <v>-0.91</v>
      </c>
      <c r="BG2462">
        <v>1.44</v>
      </c>
      <c r="BH2462">
        <v>-0.16</v>
      </c>
      <c r="BI2462">
        <v>20191028</v>
      </c>
      <c r="BJ2462">
        <v>20010315</v>
      </c>
      <c r="BK2462">
        <v>6.71</v>
      </c>
      <c r="BL2462" t="s">
        <v>116</v>
      </c>
      <c r="BM2462" t="s">
        <v>116</v>
      </c>
      <c r="BN2462">
        <v>111.19</v>
      </c>
      <c r="BO2462">
        <v>62.12</v>
      </c>
      <c r="BP2462">
        <v>0</v>
      </c>
      <c r="BQ2462">
        <v>44.13</v>
      </c>
      <c r="BR2462">
        <v>58.21</v>
      </c>
      <c r="BS2462">
        <v>11.27</v>
      </c>
      <c r="BT2462">
        <v>7.97</v>
      </c>
      <c r="BU2462">
        <v>30.76</v>
      </c>
      <c r="BV2462">
        <v>9.59</v>
      </c>
      <c r="BW2462">
        <v>12.61</v>
      </c>
      <c r="BX2462">
        <v>8.69</v>
      </c>
      <c r="BY2462">
        <v>57.35</v>
      </c>
      <c r="BZ2462">
        <v>22.01</v>
      </c>
      <c r="CA2462">
        <v>6.59</v>
      </c>
      <c r="CB2462">
        <v>1.28</v>
      </c>
      <c r="CC2462">
        <v>6.6</v>
      </c>
      <c r="CD2462">
        <v>5.4</v>
      </c>
      <c r="CE2462">
        <v>5.4</v>
      </c>
      <c r="CF2462">
        <v>3.8</v>
      </c>
      <c r="CG2462">
        <v>42.99</v>
      </c>
      <c r="CH2462">
        <v>7.25</v>
      </c>
      <c r="CI2462">
        <v>3.34</v>
      </c>
      <c r="CJ2462">
        <v>24087</v>
      </c>
      <c r="CK2462">
        <v>11998</v>
      </c>
      <c r="CL2462" t="s">
        <v>11375</v>
      </c>
      <c r="CM2462">
        <v>19.09</v>
      </c>
      <c r="CN2462">
        <v>5.81</v>
      </c>
      <c r="CO2462">
        <v>3.28</v>
      </c>
      <c r="CP2462">
        <v>28.14</v>
      </c>
      <c r="CQ2462">
        <v>3.56</v>
      </c>
      <c r="CR2462">
        <v>0.82</v>
      </c>
      <c r="CS2462" t="s">
        <v>4366</v>
      </c>
      <c r="CT2462">
        <v>9.25</v>
      </c>
      <c r="CU2462">
        <v>0</v>
      </c>
      <c r="CV2462">
        <v>1.29</v>
      </c>
      <c r="CW2462">
        <v>6.4</v>
      </c>
      <c r="CX2462">
        <v>1.08</v>
      </c>
      <c r="CY2462">
        <v>55.87</v>
      </c>
      <c r="CZ2462" t="s">
        <v>987</v>
      </c>
      <c r="DA2462">
        <v>61.63</v>
      </c>
      <c r="DB2462">
        <v>11.49</v>
      </c>
      <c r="DC2462">
        <v>9.42</v>
      </c>
      <c r="DD2462">
        <v>1.1200000000000001</v>
      </c>
      <c r="DE2462">
        <v>3505</v>
      </c>
      <c r="DF2462">
        <v>600315</v>
      </c>
      <c r="DG2462" t="s">
        <v>116</v>
      </c>
      <c r="DH2462" t="s">
        <v>116</v>
      </c>
      <c r="DI2462" t="s">
        <v>116</v>
      </c>
    </row>
    <row r="2463" spans="1:113" x14ac:dyDescent="0.4">
      <c r="A2463" t="str">
        <f>"600316"</f>
        <v>600316</v>
      </c>
      <c r="B2463" t="s">
        <v>11376</v>
      </c>
      <c r="C2463">
        <v>-0.31</v>
      </c>
      <c r="D2463">
        <v>12.79</v>
      </c>
      <c r="E2463">
        <v>-0.04</v>
      </c>
      <c r="F2463">
        <v>12.79</v>
      </c>
      <c r="G2463">
        <v>12.8</v>
      </c>
      <c r="H2463">
        <v>77984</v>
      </c>
      <c r="I2463">
        <v>773</v>
      </c>
      <c r="J2463">
        <v>-7.0000000000000007E-2</v>
      </c>
      <c r="K2463">
        <v>1.0900000000000001</v>
      </c>
      <c r="L2463">
        <v>12.88</v>
      </c>
      <c r="M2463">
        <v>13.05</v>
      </c>
      <c r="N2463">
        <v>12.75</v>
      </c>
      <c r="O2463">
        <v>12.83</v>
      </c>
      <c r="P2463" t="s">
        <v>116</v>
      </c>
      <c r="Q2463">
        <v>100925120</v>
      </c>
      <c r="R2463">
        <v>1.27</v>
      </c>
      <c r="S2463" t="s">
        <v>1789</v>
      </c>
      <c r="T2463" t="s">
        <v>683</v>
      </c>
      <c r="U2463">
        <v>2.34</v>
      </c>
      <c r="V2463">
        <v>12.94</v>
      </c>
      <c r="W2463">
        <v>39481</v>
      </c>
      <c r="X2463">
        <v>38503</v>
      </c>
      <c r="Y2463">
        <v>1.03</v>
      </c>
      <c r="Z2463">
        <v>546</v>
      </c>
      <c r="AA2463">
        <v>169</v>
      </c>
      <c r="AB2463" t="s">
        <v>116</v>
      </c>
      <c r="AC2463">
        <v>380000</v>
      </c>
      <c r="AD2463">
        <v>0.01</v>
      </c>
      <c r="AE2463" t="s">
        <v>116</v>
      </c>
      <c r="AF2463" t="s">
        <v>116</v>
      </c>
      <c r="AG2463">
        <v>7.17</v>
      </c>
      <c r="AH2463" t="s">
        <v>11377</v>
      </c>
      <c r="AI2463" t="s">
        <v>11377</v>
      </c>
      <c r="AJ2463">
        <v>-0.23</v>
      </c>
      <c r="AK2463">
        <v>2180</v>
      </c>
      <c r="AL2463">
        <v>36</v>
      </c>
      <c r="AM2463">
        <v>5.0000000000000001E-4</v>
      </c>
      <c r="AN2463">
        <v>-1</v>
      </c>
      <c r="AO2463">
        <v>-0.92</v>
      </c>
      <c r="AP2463">
        <v>0.16</v>
      </c>
      <c r="AQ2463">
        <v>-12.28</v>
      </c>
      <c r="AR2463">
        <v>29.48</v>
      </c>
      <c r="AS2463">
        <v>2.1</v>
      </c>
      <c r="AT2463" t="s">
        <v>11378</v>
      </c>
      <c r="AU2463">
        <v>63.77</v>
      </c>
      <c r="AV2463">
        <v>61.82</v>
      </c>
      <c r="AW2463">
        <v>1.04</v>
      </c>
      <c r="BA2463">
        <v>0.39</v>
      </c>
      <c r="BB2463">
        <v>1.71</v>
      </c>
      <c r="BC2463">
        <v>-0.62</v>
      </c>
      <c r="BD2463">
        <v>0.87</v>
      </c>
      <c r="BE2463">
        <v>-0.7</v>
      </c>
      <c r="BF2463">
        <v>-1.99</v>
      </c>
      <c r="BG2463">
        <v>0.31</v>
      </c>
      <c r="BH2463">
        <v>-1.18</v>
      </c>
      <c r="BI2463">
        <v>20191025</v>
      </c>
      <c r="BJ2463">
        <v>20001215</v>
      </c>
      <c r="BK2463">
        <v>7.17</v>
      </c>
      <c r="BL2463" t="s">
        <v>116</v>
      </c>
      <c r="BM2463" t="s">
        <v>116</v>
      </c>
      <c r="BN2463">
        <v>73.98</v>
      </c>
      <c r="BO2463">
        <v>48.04</v>
      </c>
      <c r="BP2463">
        <v>0.17</v>
      </c>
      <c r="BQ2463">
        <v>34.83</v>
      </c>
      <c r="BR2463">
        <v>54.03</v>
      </c>
      <c r="BS2463">
        <v>6.61</v>
      </c>
      <c r="BT2463">
        <v>1.19</v>
      </c>
      <c r="BU2463">
        <v>25.2</v>
      </c>
      <c r="BV2463">
        <v>36.22</v>
      </c>
      <c r="BW2463">
        <v>3.4</v>
      </c>
      <c r="BX2463">
        <v>31.53</v>
      </c>
      <c r="BY2463">
        <v>17</v>
      </c>
      <c r="BZ2463">
        <v>16.18</v>
      </c>
      <c r="CA2463">
        <v>-0.67</v>
      </c>
      <c r="CB2463">
        <v>0.01</v>
      </c>
      <c r="CC2463">
        <v>-0.68</v>
      </c>
      <c r="CD2463">
        <v>-0.79</v>
      </c>
      <c r="CE2463">
        <v>-0.8</v>
      </c>
      <c r="CF2463">
        <v>-1.1100000000000001</v>
      </c>
      <c r="CG2463">
        <v>7.84</v>
      </c>
      <c r="CH2463">
        <v>-2.41</v>
      </c>
      <c r="CI2463">
        <v>-4</v>
      </c>
      <c r="CJ2463">
        <v>60111</v>
      </c>
      <c r="CK2463">
        <v>6185</v>
      </c>
      <c r="CL2463" t="s">
        <v>9669</v>
      </c>
      <c r="CM2463">
        <v>-6.03</v>
      </c>
      <c r="CN2463">
        <v>28.17</v>
      </c>
      <c r="CO2463">
        <v>1.91</v>
      </c>
      <c r="CP2463">
        <v>-38.049999999999997</v>
      </c>
      <c r="CQ2463">
        <v>5.39</v>
      </c>
      <c r="CR2463">
        <v>0.09</v>
      </c>
      <c r="CS2463" t="s">
        <v>10925</v>
      </c>
      <c r="CT2463">
        <v>6.7</v>
      </c>
      <c r="CU2463">
        <v>0</v>
      </c>
      <c r="CV2463">
        <v>4.4000000000000004</v>
      </c>
      <c r="CW2463">
        <v>1.0900000000000001</v>
      </c>
      <c r="CX2463">
        <v>-0.34</v>
      </c>
      <c r="CY2463">
        <v>64.94</v>
      </c>
      <c r="CZ2463" t="s">
        <v>11379</v>
      </c>
      <c r="DA2463">
        <v>4.87</v>
      </c>
      <c r="DB2463">
        <v>-3.94</v>
      </c>
      <c r="DC2463">
        <v>-4.6900000000000004</v>
      </c>
      <c r="DD2463">
        <v>0.31</v>
      </c>
      <c r="DE2463">
        <v>6681</v>
      </c>
      <c r="DF2463">
        <v>600316</v>
      </c>
      <c r="DG2463" t="s">
        <v>116</v>
      </c>
      <c r="DH2463" t="s">
        <v>116</v>
      </c>
      <c r="DI2463" t="s">
        <v>116</v>
      </c>
    </row>
    <row r="2464" spans="1:113" x14ac:dyDescent="0.4">
      <c r="A2464" t="str">
        <f>"600317"</f>
        <v>600317</v>
      </c>
      <c r="B2464" t="s">
        <v>11380</v>
      </c>
      <c r="C2464">
        <v>0</v>
      </c>
      <c r="D2464">
        <v>2.52</v>
      </c>
      <c r="E2464">
        <v>0</v>
      </c>
      <c r="F2464">
        <v>2.52</v>
      </c>
      <c r="G2464">
        <v>2.5299999999999998</v>
      </c>
      <c r="H2464">
        <v>51712</v>
      </c>
      <c r="I2464">
        <v>478</v>
      </c>
      <c r="J2464">
        <v>-0.39</v>
      </c>
      <c r="K2464">
        <v>0.08</v>
      </c>
      <c r="L2464">
        <v>2.52</v>
      </c>
      <c r="M2464">
        <v>2.5299999999999998</v>
      </c>
      <c r="N2464">
        <v>2.5099999999999998</v>
      </c>
      <c r="O2464">
        <v>2.52</v>
      </c>
      <c r="P2464">
        <v>14.62</v>
      </c>
      <c r="Q2464">
        <v>13040444</v>
      </c>
      <c r="R2464">
        <v>0.76</v>
      </c>
      <c r="S2464" t="s">
        <v>515</v>
      </c>
      <c r="T2464" t="s">
        <v>434</v>
      </c>
      <c r="U2464">
        <v>0.79</v>
      </c>
      <c r="V2464">
        <v>2.52</v>
      </c>
      <c r="W2464">
        <v>30724</v>
      </c>
      <c r="X2464">
        <v>20988</v>
      </c>
      <c r="Y2464">
        <v>1.46</v>
      </c>
      <c r="Z2464">
        <v>7169</v>
      </c>
      <c r="AA2464">
        <v>5470</v>
      </c>
      <c r="AB2464" t="s">
        <v>116</v>
      </c>
      <c r="AC2464">
        <v>6300</v>
      </c>
      <c r="AD2464">
        <v>0</v>
      </c>
      <c r="AE2464" t="s">
        <v>116</v>
      </c>
      <c r="AF2464" t="s">
        <v>116</v>
      </c>
      <c r="AG2464">
        <v>64.73</v>
      </c>
      <c r="AH2464" t="s">
        <v>11381</v>
      </c>
      <c r="AI2464" t="s">
        <v>11381</v>
      </c>
      <c r="AJ2464">
        <v>0.08</v>
      </c>
      <c r="AK2464">
        <v>1684</v>
      </c>
      <c r="AL2464">
        <v>31</v>
      </c>
      <c r="AM2464">
        <v>0</v>
      </c>
      <c r="AN2464">
        <v>0</v>
      </c>
      <c r="AO2464">
        <v>-0.78</v>
      </c>
      <c r="AP2464">
        <v>0.8</v>
      </c>
      <c r="AQ2464">
        <v>-2.7</v>
      </c>
      <c r="AR2464">
        <v>13.87</v>
      </c>
      <c r="AS2464">
        <v>0.37</v>
      </c>
      <c r="AT2464" t="s">
        <v>9977</v>
      </c>
      <c r="AU2464">
        <v>12.79</v>
      </c>
      <c r="AV2464">
        <v>16.3</v>
      </c>
      <c r="AW2464">
        <v>1.01</v>
      </c>
      <c r="BA2464">
        <v>0</v>
      </c>
      <c r="BB2464">
        <v>0.4</v>
      </c>
      <c r="BC2464">
        <v>-0.4</v>
      </c>
      <c r="BD2464">
        <v>7.0000000000000007E-2</v>
      </c>
      <c r="BE2464">
        <v>0</v>
      </c>
      <c r="BF2464">
        <v>-0.4</v>
      </c>
      <c r="BG2464">
        <v>0.4</v>
      </c>
      <c r="BH2464">
        <v>-7.0000000000000007E-2</v>
      </c>
      <c r="BI2464">
        <v>20191025</v>
      </c>
      <c r="BJ2464">
        <v>20020131</v>
      </c>
      <c r="BK2464">
        <v>64.73</v>
      </c>
      <c r="BL2464" t="s">
        <v>116</v>
      </c>
      <c r="BM2464" t="s">
        <v>116</v>
      </c>
      <c r="BN2464">
        <v>156.75</v>
      </c>
      <c r="BO2464">
        <v>121.74</v>
      </c>
      <c r="BP2464">
        <v>5.51</v>
      </c>
      <c r="BQ2464">
        <v>18.82</v>
      </c>
      <c r="BR2464">
        <v>38.409999999999997</v>
      </c>
      <c r="BS2464">
        <v>96.42</v>
      </c>
      <c r="BT2464">
        <v>10.31</v>
      </c>
      <c r="BU2464">
        <v>12.72</v>
      </c>
      <c r="BV2464">
        <v>0.39</v>
      </c>
      <c r="BW2464">
        <v>3.13</v>
      </c>
      <c r="BX2464">
        <v>15.37</v>
      </c>
      <c r="BY2464">
        <v>34.18</v>
      </c>
      <c r="BZ2464">
        <v>21.36</v>
      </c>
      <c r="CA2464">
        <v>11.19</v>
      </c>
      <c r="CB2464">
        <v>0.9</v>
      </c>
      <c r="CC2464">
        <v>11.19</v>
      </c>
      <c r="CD2464">
        <v>8.69</v>
      </c>
      <c r="CE2464">
        <v>8.3699999999999992</v>
      </c>
      <c r="CF2464">
        <v>8.2799999999999994</v>
      </c>
      <c r="CG2464">
        <v>34.96</v>
      </c>
      <c r="CH2464">
        <v>13.64</v>
      </c>
      <c r="CI2464">
        <v>-1.1200000000000001</v>
      </c>
      <c r="CJ2464">
        <v>143908</v>
      </c>
      <c r="CK2464">
        <v>9767</v>
      </c>
      <c r="CL2464" t="s">
        <v>3564</v>
      </c>
      <c r="CM2464">
        <v>48.81</v>
      </c>
      <c r="CN2464">
        <v>6.25</v>
      </c>
      <c r="CO2464">
        <v>1.34</v>
      </c>
      <c r="CP2464">
        <v>11.95</v>
      </c>
      <c r="CQ2464">
        <v>4.7699999999999996</v>
      </c>
      <c r="CR2464">
        <v>1.87</v>
      </c>
      <c r="CS2464" t="s">
        <v>8209</v>
      </c>
      <c r="CT2464">
        <v>1.88</v>
      </c>
      <c r="CU2464">
        <v>0</v>
      </c>
      <c r="CV2464">
        <v>0.24</v>
      </c>
      <c r="CW2464">
        <v>0.54</v>
      </c>
      <c r="CX2464">
        <v>0.21</v>
      </c>
      <c r="CY2464">
        <v>77.67</v>
      </c>
      <c r="CZ2464" t="s">
        <v>11382</v>
      </c>
      <c r="DA2464">
        <v>37.49</v>
      </c>
      <c r="DB2464">
        <v>32.729999999999997</v>
      </c>
      <c r="DC2464">
        <v>24.49</v>
      </c>
      <c r="DD2464">
        <v>0</v>
      </c>
      <c r="DE2464">
        <v>4842</v>
      </c>
      <c r="DF2464">
        <v>600317</v>
      </c>
      <c r="DG2464" t="s">
        <v>116</v>
      </c>
      <c r="DH2464" t="s">
        <v>116</v>
      </c>
      <c r="DI2464" t="s">
        <v>116</v>
      </c>
    </row>
    <row r="2465" spans="1:113" x14ac:dyDescent="0.4">
      <c r="A2465" t="str">
        <f>"600318"</f>
        <v>600318</v>
      </c>
      <c r="B2465" t="s">
        <v>11383</v>
      </c>
      <c r="C2465">
        <v>-1.1499999999999999</v>
      </c>
      <c r="D2465">
        <v>6.85</v>
      </c>
      <c r="E2465">
        <v>-0.08</v>
      </c>
      <c r="F2465">
        <v>6.85</v>
      </c>
      <c r="G2465">
        <v>6.86</v>
      </c>
      <c r="H2465">
        <v>97130</v>
      </c>
      <c r="I2465">
        <v>1525</v>
      </c>
      <c r="J2465">
        <v>-0.43</v>
      </c>
      <c r="K2465">
        <v>2.0099999999999998</v>
      </c>
      <c r="L2465">
        <v>6.91</v>
      </c>
      <c r="M2465">
        <v>7.18</v>
      </c>
      <c r="N2465">
        <v>6.85</v>
      </c>
      <c r="O2465">
        <v>6.93</v>
      </c>
      <c r="P2465">
        <v>68.150000000000006</v>
      </c>
      <c r="Q2465">
        <v>68362552</v>
      </c>
      <c r="R2465">
        <v>1.84</v>
      </c>
      <c r="S2465" t="s">
        <v>732</v>
      </c>
      <c r="T2465" t="s">
        <v>575</v>
      </c>
      <c r="U2465">
        <v>4.76</v>
      </c>
      <c r="V2465">
        <v>7.04</v>
      </c>
      <c r="W2465">
        <v>47688</v>
      </c>
      <c r="X2465">
        <v>49442</v>
      </c>
      <c r="Y2465">
        <v>0.96</v>
      </c>
      <c r="Z2465">
        <v>475</v>
      </c>
      <c r="AA2465">
        <v>150</v>
      </c>
      <c r="AB2465" t="s">
        <v>116</v>
      </c>
      <c r="AC2465">
        <v>139600</v>
      </c>
      <c r="AD2465">
        <v>0.01</v>
      </c>
      <c r="AE2465" t="s">
        <v>116</v>
      </c>
      <c r="AF2465" t="s">
        <v>116</v>
      </c>
      <c r="AG2465">
        <v>4.84</v>
      </c>
      <c r="AH2465" t="s">
        <v>5658</v>
      </c>
      <c r="AI2465" t="s">
        <v>517</v>
      </c>
      <c r="AJ2465">
        <v>-1.08</v>
      </c>
      <c r="AK2465">
        <v>1507</v>
      </c>
      <c r="AL2465">
        <v>64</v>
      </c>
      <c r="AM2465">
        <v>1.2999999999999999E-3</v>
      </c>
      <c r="AN2465">
        <v>-1</v>
      </c>
      <c r="AO2465">
        <v>0.45</v>
      </c>
      <c r="AP2465">
        <v>4.0999999999999996</v>
      </c>
      <c r="AQ2465">
        <v>-9.6300000000000008</v>
      </c>
      <c r="AR2465">
        <v>-3.79</v>
      </c>
      <c r="AS2465">
        <v>3.87</v>
      </c>
      <c r="AT2465" t="s">
        <v>3141</v>
      </c>
      <c r="AU2465">
        <v>65.540000000000006</v>
      </c>
      <c r="AV2465">
        <v>66.39</v>
      </c>
      <c r="AW2465">
        <v>1.74</v>
      </c>
      <c r="BA2465">
        <v>-0.28999999999999998</v>
      </c>
      <c r="BB2465">
        <v>3.61</v>
      </c>
      <c r="BC2465">
        <v>-1.1499999999999999</v>
      </c>
      <c r="BD2465">
        <v>1.56</v>
      </c>
      <c r="BE2465">
        <v>-0.87</v>
      </c>
      <c r="BF2465">
        <v>-4.5999999999999996</v>
      </c>
      <c r="BG2465">
        <v>0</v>
      </c>
      <c r="BH2465">
        <v>-2.72</v>
      </c>
      <c r="BI2465">
        <v>20191026</v>
      </c>
      <c r="BJ2465">
        <v>20001208</v>
      </c>
      <c r="BK2465">
        <v>5.13</v>
      </c>
      <c r="BL2465" t="s">
        <v>116</v>
      </c>
      <c r="BM2465" t="s">
        <v>116</v>
      </c>
      <c r="BN2465">
        <v>55.67</v>
      </c>
      <c r="BO2465">
        <v>12.79</v>
      </c>
      <c r="BP2465">
        <v>12.97</v>
      </c>
      <c r="BQ2465">
        <v>53.73</v>
      </c>
      <c r="BR2465">
        <v>20.27</v>
      </c>
      <c r="BS2465">
        <v>0.31</v>
      </c>
      <c r="BT2465">
        <v>0.14000000000000001</v>
      </c>
      <c r="BU2465">
        <v>17.440000000000001</v>
      </c>
      <c r="BV2465">
        <v>0</v>
      </c>
      <c r="BW2465">
        <v>0.37</v>
      </c>
      <c r="BX2465">
        <v>5.76</v>
      </c>
      <c r="BY2465">
        <v>3.78</v>
      </c>
      <c r="BZ2465">
        <v>0.62</v>
      </c>
      <c r="CA2465">
        <v>1.56</v>
      </c>
      <c r="CB2465">
        <v>0.18</v>
      </c>
      <c r="CC2465">
        <v>1.56</v>
      </c>
      <c r="CD2465">
        <v>1.06</v>
      </c>
      <c r="CE2465">
        <v>0.39</v>
      </c>
      <c r="CF2465">
        <v>0.39</v>
      </c>
      <c r="CG2465">
        <v>3.31</v>
      </c>
      <c r="CH2465">
        <v>3.29</v>
      </c>
      <c r="CI2465">
        <v>-2.3199999999999998</v>
      </c>
      <c r="CJ2465">
        <v>24001</v>
      </c>
      <c r="CK2465">
        <v>10456</v>
      </c>
      <c r="CL2465" t="s">
        <v>11384</v>
      </c>
      <c r="CM2465">
        <v>1.8</v>
      </c>
      <c r="CN2465">
        <v>-3.17</v>
      </c>
      <c r="CO2465">
        <v>2.75</v>
      </c>
      <c r="CP2465">
        <v>10.7</v>
      </c>
      <c r="CQ2465">
        <v>9.3000000000000007</v>
      </c>
      <c r="CR2465">
        <v>0</v>
      </c>
      <c r="CS2465" t="s">
        <v>3695</v>
      </c>
      <c r="CT2465">
        <v>2.4900000000000002</v>
      </c>
      <c r="CU2465">
        <v>0</v>
      </c>
      <c r="CV2465">
        <v>1.1200000000000001</v>
      </c>
      <c r="CW2465">
        <v>0.64</v>
      </c>
      <c r="CX2465">
        <v>0.64</v>
      </c>
      <c r="CY2465">
        <v>22.97</v>
      </c>
      <c r="CZ2465" t="s">
        <v>8314</v>
      </c>
      <c r="DA2465">
        <v>83.71</v>
      </c>
      <c r="DB2465">
        <v>41.25</v>
      </c>
      <c r="DC2465">
        <v>10.24</v>
      </c>
      <c r="DD2465">
        <v>0.01</v>
      </c>
      <c r="DE2465">
        <v>266</v>
      </c>
      <c r="DF2465">
        <v>600318</v>
      </c>
      <c r="DG2465" t="s">
        <v>116</v>
      </c>
      <c r="DH2465" t="s">
        <v>116</v>
      </c>
      <c r="DI2465" t="s">
        <v>116</v>
      </c>
    </row>
    <row r="2466" spans="1:113" x14ac:dyDescent="0.4">
      <c r="A2466" t="str">
        <f>"600319"</f>
        <v>600319</v>
      </c>
      <c r="B2466" t="s">
        <v>11385</v>
      </c>
      <c r="C2466">
        <v>2.4300000000000002</v>
      </c>
      <c r="D2466">
        <v>4.63</v>
      </c>
      <c r="E2466">
        <v>0.11</v>
      </c>
      <c r="F2466">
        <v>4.63</v>
      </c>
      <c r="G2466">
        <v>4.6399999999999997</v>
      </c>
      <c r="H2466">
        <v>37215</v>
      </c>
      <c r="I2466">
        <v>254</v>
      </c>
      <c r="J2466">
        <v>-0.85</v>
      </c>
      <c r="K2466">
        <v>1.18</v>
      </c>
      <c r="L2466">
        <v>4.55</v>
      </c>
      <c r="M2466">
        <v>4.75</v>
      </c>
      <c r="N2466">
        <v>4.55</v>
      </c>
      <c r="O2466">
        <v>4.5199999999999996</v>
      </c>
      <c r="P2466">
        <v>56.08</v>
      </c>
      <c r="Q2466">
        <v>17433830</v>
      </c>
      <c r="R2466">
        <v>1.41</v>
      </c>
      <c r="S2466" t="s">
        <v>891</v>
      </c>
      <c r="T2466" t="s">
        <v>645</v>
      </c>
      <c r="U2466">
        <v>4.42</v>
      </c>
      <c r="V2466">
        <v>4.68</v>
      </c>
      <c r="W2466">
        <v>17861</v>
      </c>
      <c r="X2466">
        <v>19354</v>
      </c>
      <c r="Y2466">
        <v>0.92</v>
      </c>
      <c r="Z2466">
        <v>300</v>
      </c>
      <c r="AA2466">
        <v>100</v>
      </c>
      <c r="AB2466" t="s">
        <v>116</v>
      </c>
      <c r="AC2466">
        <v>26800</v>
      </c>
      <c r="AD2466">
        <v>0</v>
      </c>
      <c r="AE2466" t="s">
        <v>116</v>
      </c>
      <c r="AF2466" t="s">
        <v>116</v>
      </c>
      <c r="AG2466">
        <v>3.16</v>
      </c>
      <c r="AH2466" t="s">
        <v>11386</v>
      </c>
      <c r="AI2466" t="s">
        <v>11386</v>
      </c>
      <c r="AJ2466">
        <v>2.5099999999999998</v>
      </c>
      <c r="AK2466">
        <v>532</v>
      </c>
      <c r="AL2466">
        <v>70</v>
      </c>
      <c r="AM2466">
        <v>2.2000000000000001E-3</v>
      </c>
      <c r="AN2466">
        <v>1</v>
      </c>
      <c r="AO2466">
        <v>-0.64</v>
      </c>
      <c r="AP2466">
        <v>13.48</v>
      </c>
      <c r="AQ2466">
        <v>-3.34</v>
      </c>
      <c r="AR2466">
        <v>0.65</v>
      </c>
      <c r="AS2466">
        <v>1.77</v>
      </c>
      <c r="AT2466" t="s">
        <v>11387</v>
      </c>
      <c r="AU2466">
        <v>120.25</v>
      </c>
      <c r="AV2466">
        <v>470.22</v>
      </c>
      <c r="AW2466">
        <v>0.53</v>
      </c>
      <c r="BA2466">
        <v>0.66</v>
      </c>
      <c r="BB2466">
        <v>5.09</v>
      </c>
      <c r="BC2466">
        <v>0.66</v>
      </c>
      <c r="BD2466">
        <v>3.64</v>
      </c>
      <c r="BE2466">
        <v>1.76</v>
      </c>
      <c r="BF2466">
        <v>-2.5299999999999998</v>
      </c>
      <c r="BG2466">
        <v>1.76</v>
      </c>
      <c r="BH2466">
        <v>-1.21</v>
      </c>
      <c r="BI2466">
        <v>20191105</v>
      </c>
      <c r="BJ2466">
        <v>20010326</v>
      </c>
      <c r="BK2466">
        <v>3.16</v>
      </c>
      <c r="BL2466" t="s">
        <v>116</v>
      </c>
      <c r="BM2466" t="s">
        <v>116</v>
      </c>
      <c r="BN2466">
        <v>12.83</v>
      </c>
      <c r="BO2466">
        <v>0.56000000000000005</v>
      </c>
      <c r="BP2466">
        <v>0</v>
      </c>
      <c r="BQ2466">
        <v>95.62</v>
      </c>
      <c r="BR2466">
        <v>4.9800000000000004</v>
      </c>
      <c r="BS2466">
        <v>6.51</v>
      </c>
      <c r="BT2466">
        <v>1.24</v>
      </c>
      <c r="BU2466">
        <v>11.93</v>
      </c>
      <c r="BV2466">
        <v>1.96</v>
      </c>
      <c r="BW2466">
        <v>1.0900000000000001</v>
      </c>
      <c r="BX2466">
        <v>8.5399999999999991</v>
      </c>
      <c r="BY2466">
        <v>14.07</v>
      </c>
      <c r="BZ2466">
        <v>12.31</v>
      </c>
      <c r="CA2466">
        <v>0.2</v>
      </c>
      <c r="CB2466">
        <v>0</v>
      </c>
      <c r="CC2466">
        <v>0.2</v>
      </c>
      <c r="CD2466">
        <v>0.2</v>
      </c>
      <c r="CE2466">
        <v>0.2</v>
      </c>
      <c r="CF2466">
        <v>0.18</v>
      </c>
      <c r="CG2466">
        <v>-11.63</v>
      </c>
      <c r="CH2466">
        <v>1.23</v>
      </c>
      <c r="CI2466">
        <v>-0.16</v>
      </c>
      <c r="CJ2466">
        <v>20211</v>
      </c>
      <c r="CK2466">
        <v>10396</v>
      </c>
      <c r="CL2466" t="s">
        <v>2532</v>
      </c>
      <c r="CM2466">
        <v>86.16</v>
      </c>
      <c r="CN2466">
        <v>-10.28</v>
      </c>
      <c r="CO2466">
        <v>26.02</v>
      </c>
      <c r="CP2466">
        <v>11.91</v>
      </c>
      <c r="CQ2466">
        <v>1.04</v>
      </c>
      <c r="CR2466">
        <v>0</v>
      </c>
      <c r="CS2466" t="s">
        <v>11182</v>
      </c>
      <c r="CT2466">
        <v>0.18</v>
      </c>
      <c r="CU2466">
        <v>0</v>
      </c>
      <c r="CV2466">
        <v>2.71</v>
      </c>
      <c r="CW2466">
        <v>-3.69</v>
      </c>
      <c r="CX2466">
        <v>0.39</v>
      </c>
      <c r="CY2466">
        <v>4.38</v>
      </c>
      <c r="CZ2466" t="s">
        <v>11388</v>
      </c>
      <c r="DA2466">
        <v>12.5</v>
      </c>
      <c r="DB2466">
        <v>1.39</v>
      </c>
      <c r="DC2466">
        <v>1.39</v>
      </c>
      <c r="DD2466">
        <v>0.04</v>
      </c>
      <c r="DE2466">
        <v>1331</v>
      </c>
      <c r="DF2466">
        <v>600319</v>
      </c>
      <c r="DG2466" t="s">
        <v>116</v>
      </c>
      <c r="DH2466" t="s">
        <v>116</v>
      </c>
      <c r="DI2466" t="s">
        <v>116</v>
      </c>
    </row>
    <row r="2467" spans="1:113" x14ac:dyDescent="0.4">
      <c r="A2467" t="str">
        <f>"600320"</f>
        <v>600320</v>
      </c>
      <c r="B2467" t="s">
        <v>11389</v>
      </c>
      <c r="C2467">
        <v>-0.28000000000000003</v>
      </c>
      <c r="D2467">
        <v>3.61</v>
      </c>
      <c r="E2467">
        <v>-0.01</v>
      </c>
      <c r="F2467">
        <v>3.61</v>
      </c>
      <c r="G2467">
        <v>3.62</v>
      </c>
      <c r="H2467">
        <v>55994</v>
      </c>
      <c r="I2467">
        <v>31</v>
      </c>
      <c r="J2467">
        <v>-0.27</v>
      </c>
      <c r="K2467">
        <v>0.17</v>
      </c>
      <c r="L2467">
        <v>3.62</v>
      </c>
      <c r="M2467">
        <v>3.64</v>
      </c>
      <c r="N2467">
        <v>3.6</v>
      </c>
      <c r="O2467">
        <v>3.62</v>
      </c>
      <c r="P2467">
        <v>58.64</v>
      </c>
      <c r="Q2467">
        <v>20282152</v>
      </c>
      <c r="R2467">
        <v>0.89</v>
      </c>
      <c r="S2467" t="s">
        <v>598</v>
      </c>
      <c r="T2467" t="s">
        <v>1653</v>
      </c>
      <c r="U2467">
        <v>1.1000000000000001</v>
      </c>
      <c r="V2467">
        <v>3.62</v>
      </c>
      <c r="W2467">
        <v>26358</v>
      </c>
      <c r="X2467">
        <v>29636</v>
      </c>
      <c r="Y2467">
        <v>0.89</v>
      </c>
      <c r="Z2467">
        <v>125</v>
      </c>
      <c r="AA2467">
        <v>1618</v>
      </c>
      <c r="AB2467" t="s">
        <v>116</v>
      </c>
      <c r="AC2467">
        <v>40100</v>
      </c>
      <c r="AD2467">
        <v>0</v>
      </c>
      <c r="AE2467" t="s">
        <v>116</v>
      </c>
      <c r="AF2467" t="s">
        <v>116</v>
      </c>
      <c r="AG2467">
        <v>33.22</v>
      </c>
      <c r="AH2467" t="s">
        <v>11390</v>
      </c>
      <c r="AI2467" t="s">
        <v>11391</v>
      </c>
      <c r="AJ2467">
        <v>-0.2</v>
      </c>
      <c r="AK2467">
        <v>1058</v>
      </c>
      <c r="AL2467">
        <v>53</v>
      </c>
      <c r="AM2467">
        <v>2.0000000000000001E-4</v>
      </c>
      <c r="AN2467">
        <v>-1</v>
      </c>
      <c r="AO2467">
        <v>1.69</v>
      </c>
      <c r="AP2467">
        <v>4.03</v>
      </c>
      <c r="AQ2467">
        <v>4.6399999999999997</v>
      </c>
      <c r="AR2467">
        <v>15.71</v>
      </c>
      <c r="AS2467">
        <v>0.31</v>
      </c>
      <c r="AT2467" t="s">
        <v>11392</v>
      </c>
      <c r="AU2467">
        <v>38.71</v>
      </c>
      <c r="AV2467">
        <v>42.93</v>
      </c>
      <c r="AW2467">
        <v>0.84</v>
      </c>
      <c r="BA2467">
        <v>0</v>
      </c>
      <c r="BB2467">
        <v>0.55000000000000004</v>
      </c>
      <c r="BC2467">
        <v>-0.55000000000000004</v>
      </c>
      <c r="BD2467">
        <v>0.06</v>
      </c>
      <c r="BE2467">
        <v>-0.28000000000000003</v>
      </c>
      <c r="BF2467">
        <v>-0.82</v>
      </c>
      <c r="BG2467">
        <v>0.28000000000000003</v>
      </c>
      <c r="BH2467">
        <v>-0.34</v>
      </c>
      <c r="BI2467">
        <v>20191031</v>
      </c>
      <c r="BJ2467">
        <v>20001221</v>
      </c>
      <c r="BK2467">
        <v>52.68</v>
      </c>
      <c r="BL2467">
        <v>19.46</v>
      </c>
      <c r="BM2467" t="s">
        <v>116</v>
      </c>
      <c r="BN2467">
        <v>747.76</v>
      </c>
      <c r="BO2467">
        <v>151.15</v>
      </c>
      <c r="BP2467">
        <v>23.71</v>
      </c>
      <c r="BQ2467">
        <v>76.62</v>
      </c>
      <c r="BR2467">
        <v>374.31</v>
      </c>
      <c r="BS2467">
        <v>191.96</v>
      </c>
      <c r="BT2467">
        <v>35.29</v>
      </c>
      <c r="BU2467">
        <v>450</v>
      </c>
      <c r="BV2467">
        <v>91.73</v>
      </c>
      <c r="BW2467">
        <v>66.2</v>
      </c>
      <c r="BX2467">
        <v>46.49</v>
      </c>
      <c r="BY2467">
        <v>155.38</v>
      </c>
      <c r="BZ2467">
        <v>129.13999999999999</v>
      </c>
      <c r="CA2467">
        <v>2.85</v>
      </c>
      <c r="CB2467">
        <v>1.2</v>
      </c>
      <c r="CC2467">
        <v>2.96</v>
      </c>
      <c r="CD2467">
        <v>1.82</v>
      </c>
      <c r="CE2467">
        <v>2.4300000000000002</v>
      </c>
      <c r="CF2467">
        <v>1.84</v>
      </c>
      <c r="CG2467">
        <v>34.6</v>
      </c>
      <c r="CH2467">
        <v>0.91</v>
      </c>
      <c r="CI2467">
        <v>-3.68</v>
      </c>
      <c r="CJ2467">
        <v>238089</v>
      </c>
      <c r="CK2467">
        <v>15749</v>
      </c>
      <c r="CL2467" t="s">
        <v>1931</v>
      </c>
      <c r="CM2467">
        <v>24.78</v>
      </c>
      <c r="CN2467">
        <v>5.07</v>
      </c>
      <c r="CO2467">
        <v>1.26</v>
      </c>
      <c r="CP2467">
        <v>208.37</v>
      </c>
      <c r="CQ2467">
        <v>1.22</v>
      </c>
      <c r="CR2467">
        <v>1.39</v>
      </c>
      <c r="CS2467" t="s">
        <v>3798</v>
      </c>
      <c r="CT2467">
        <v>2.87</v>
      </c>
      <c r="CU2467">
        <v>0</v>
      </c>
      <c r="CV2467">
        <v>0.88</v>
      </c>
      <c r="CW2467">
        <v>0.66</v>
      </c>
      <c r="CX2467">
        <v>0.02</v>
      </c>
      <c r="CY2467">
        <v>20.21</v>
      </c>
      <c r="CZ2467" t="s">
        <v>951</v>
      </c>
      <c r="DA2467">
        <v>16.89</v>
      </c>
      <c r="DB2467">
        <v>1.84</v>
      </c>
      <c r="DC2467">
        <v>1.57</v>
      </c>
      <c r="DD2467">
        <v>4.22</v>
      </c>
      <c r="DE2467">
        <v>8796</v>
      </c>
      <c r="DF2467">
        <v>600320</v>
      </c>
      <c r="DG2467" t="s">
        <v>116</v>
      </c>
      <c r="DH2467" t="s">
        <v>116</v>
      </c>
      <c r="DI2467" t="s">
        <v>116</v>
      </c>
    </row>
    <row r="2468" spans="1:113" x14ac:dyDescent="0.4">
      <c r="A2468" t="str">
        <f>"600321"</f>
        <v>600321</v>
      </c>
      <c r="B2468" t="s">
        <v>11393</v>
      </c>
      <c r="C2468">
        <v>0</v>
      </c>
      <c r="D2468">
        <v>2.21</v>
      </c>
      <c r="E2468">
        <v>0</v>
      </c>
      <c r="F2468">
        <v>2.21</v>
      </c>
      <c r="G2468">
        <v>2.2200000000000002</v>
      </c>
      <c r="H2468">
        <v>40168</v>
      </c>
      <c r="I2468">
        <v>442</v>
      </c>
      <c r="J2468">
        <v>-0.44</v>
      </c>
      <c r="K2468">
        <v>0.27</v>
      </c>
      <c r="L2468">
        <v>2.21</v>
      </c>
      <c r="M2468">
        <v>2.2799999999999998</v>
      </c>
      <c r="N2468">
        <v>2.19</v>
      </c>
      <c r="O2468">
        <v>2.21</v>
      </c>
      <c r="P2468">
        <v>253.02</v>
      </c>
      <c r="Q2468">
        <v>8961599</v>
      </c>
      <c r="R2468">
        <v>1.04</v>
      </c>
      <c r="S2468" t="s">
        <v>249</v>
      </c>
      <c r="T2468" t="s">
        <v>582</v>
      </c>
      <c r="U2468">
        <v>4.07</v>
      </c>
      <c r="V2468">
        <v>2.23</v>
      </c>
      <c r="W2468">
        <v>18056</v>
      </c>
      <c r="X2468">
        <v>22112</v>
      </c>
      <c r="Y2468">
        <v>0.82</v>
      </c>
      <c r="Z2468">
        <v>1915</v>
      </c>
      <c r="AA2468">
        <v>1000</v>
      </c>
      <c r="AB2468" t="s">
        <v>116</v>
      </c>
      <c r="AC2468">
        <v>15500</v>
      </c>
      <c r="AD2468">
        <v>0</v>
      </c>
      <c r="AE2468" t="s">
        <v>116</v>
      </c>
      <c r="AF2468" t="s">
        <v>116</v>
      </c>
      <c r="AG2468">
        <v>15.11</v>
      </c>
      <c r="AH2468" t="s">
        <v>5741</v>
      </c>
      <c r="AI2468" t="s">
        <v>5741</v>
      </c>
      <c r="AJ2468">
        <v>0.08</v>
      </c>
      <c r="AK2468">
        <v>356</v>
      </c>
      <c r="AL2468">
        <v>113</v>
      </c>
      <c r="AM2468">
        <v>6.9999999999999999E-4</v>
      </c>
      <c r="AN2468">
        <v>0</v>
      </c>
      <c r="AO2468">
        <v>-1.77</v>
      </c>
      <c r="AP2468">
        <v>10.5</v>
      </c>
      <c r="AQ2468">
        <v>20.77</v>
      </c>
      <c r="AR2468">
        <v>24.86</v>
      </c>
      <c r="AS2468">
        <v>0.51</v>
      </c>
      <c r="AT2468" t="s">
        <v>1705</v>
      </c>
      <c r="AU2468">
        <v>112</v>
      </c>
      <c r="AV2468">
        <v>87.39</v>
      </c>
      <c r="AW2468">
        <v>0.51</v>
      </c>
      <c r="BA2468">
        <v>0</v>
      </c>
      <c r="BB2468">
        <v>3.17</v>
      </c>
      <c r="BC2468">
        <v>-0.9</v>
      </c>
      <c r="BD2468">
        <v>0.95</v>
      </c>
      <c r="BE2468">
        <v>0</v>
      </c>
      <c r="BF2468">
        <v>-3.07</v>
      </c>
      <c r="BG2468">
        <v>0.91</v>
      </c>
      <c r="BH2468">
        <v>-0.95</v>
      </c>
      <c r="BI2468">
        <v>20191031</v>
      </c>
      <c r="BJ2468">
        <v>20010524</v>
      </c>
      <c r="BK2468">
        <v>15.11</v>
      </c>
      <c r="BL2468" t="s">
        <v>116</v>
      </c>
      <c r="BM2468" t="s">
        <v>116</v>
      </c>
      <c r="BN2468">
        <v>34.26</v>
      </c>
      <c r="BO2468">
        <v>27.02</v>
      </c>
      <c r="BP2468">
        <v>0.16</v>
      </c>
      <c r="BQ2468">
        <v>20.64</v>
      </c>
      <c r="BR2468">
        <v>9.91</v>
      </c>
      <c r="BS2468">
        <v>20.49</v>
      </c>
      <c r="BT2468">
        <v>2.0299999999999998</v>
      </c>
      <c r="BU2468">
        <v>5.17</v>
      </c>
      <c r="BV2468">
        <v>2.1800000000000002</v>
      </c>
      <c r="BW2468">
        <v>4.3099999999999996</v>
      </c>
      <c r="BX2468">
        <v>10.210000000000001</v>
      </c>
      <c r="BY2468">
        <v>10.75</v>
      </c>
      <c r="BZ2468">
        <v>9.56</v>
      </c>
      <c r="CA2468">
        <v>7.0000000000000007E-2</v>
      </c>
      <c r="CB2468">
        <v>0.03</v>
      </c>
      <c r="CC2468">
        <v>7.0000000000000007E-2</v>
      </c>
      <c r="CD2468">
        <v>0.1</v>
      </c>
      <c r="CE2468">
        <v>0.1</v>
      </c>
      <c r="CF2468">
        <v>0.08</v>
      </c>
      <c r="CG2468">
        <v>0.73</v>
      </c>
      <c r="CH2468">
        <v>-0.53</v>
      </c>
      <c r="CI2468">
        <v>-0.34</v>
      </c>
      <c r="CJ2468">
        <v>65619</v>
      </c>
      <c r="CK2468">
        <v>11958</v>
      </c>
      <c r="CL2468" t="s">
        <v>2134</v>
      </c>
      <c r="CM2468">
        <v>-45.89</v>
      </c>
      <c r="CN2468">
        <v>-28.52</v>
      </c>
      <c r="CO2468">
        <v>1.24</v>
      </c>
      <c r="CP2468">
        <v>-62.92</v>
      </c>
      <c r="CQ2468">
        <v>3.11</v>
      </c>
      <c r="CR2468">
        <v>0</v>
      </c>
      <c r="CS2468" t="s">
        <v>5809</v>
      </c>
      <c r="CT2468">
        <v>1.79</v>
      </c>
      <c r="CU2468">
        <v>0</v>
      </c>
      <c r="CV2468">
        <v>0.68</v>
      </c>
      <c r="CW2468">
        <v>0.05</v>
      </c>
      <c r="CX2468">
        <v>-0.04</v>
      </c>
      <c r="CY2468">
        <v>78.88</v>
      </c>
      <c r="CZ2468" t="s">
        <v>911</v>
      </c>
      <c r="DA2468">
        <v>11.04</v>
      </c>
      <c r="DB2468">
        <v>0.63</v>
      </c>
      <c r="DC2468">
        <v>0.92</v>
      </c>
      <c r="DD2468">
        <v>0</v>
      </c>
      <c r="DE2468">
        <v>723</v>
      </c>
      <c r="DF2468">
        <v>600321</v>
      </c>
      <c r="DG2468" t="s">
        <v>116</v>
      </c>
      <c r="DH2468" t="s">
        <v>116</v>
      </c>
      <c r="DI2468" t="s">
        <v>116</v>
      </c>
    </row>
    <row r="2469" spans="1:113" x14ac:dyDescent="0.4">
      <c r="A2469" t="str">
        <f>"600322"</f>
        <v>600322</v>
      </c>
      <c r="B2469" t="s">
        <v>11394</v>
      </c>
      <c r="C2469">
        <v>-0.34</v>
      </c>
      <c r="D2469">
        <v>2.95</v>
      </c>
      <c r="E2469">
        <v>-0.01</v>
      </c>
      <c r="F2469">
        <v>2.94</v>
      </c>
      <c r="G2469">
        <v>2.95</v>
      </c>
      <c r="H2469">
        <v>183066</v>
      </c>
      <c r="I2469">
        <v>1656</v>
      </c>
      <c r="J2469">
        <v>0</v>
      </c>
      <c r="K2469">
        <v>1.66</v>
      </c>
      <c r="L2469">
        <v>2.96</v>
      </c>
      <c r="M2469">
        <v>2.99</v>
      </c>
      <c r="N2469">
        <v>2.94</v>
      </c>
      <c r="O2469">
        <v>2.96</v>
      </c>
      <c r="P2469">
        <v>11.19</v>
      </c>
      <c r="Q2469">
        <v>54277024</v>
      </c>
      <c r="R2469">
        <v>1.37</v>
      </c>
      <c r="S2469" t="s">
        <v>148</v>
      </c>
      <c r="T2469" t="s">
        <v>1035</v>
      </c>
      <c r="U2469">
        <v>1.69</v>
      </c>
      <c r="V2469">
        <v>2.96</v>
      </c>
      <c r="W2469">
        <v>95591</v>
      </c>
      <c r="X2469">
        <v>87475</v>
      </c>
      <c r="Y2469">
        <v>1.0900000000000001</v>
      </c>
      <c r="Z2469">
        <v>1099</v>
      </c>
      <c r="AA2469">
        <v>2884</v>
      </c>
      <c r="AB2469" t="s">
        <v>116</v>
      </c>
      <c r="AC2469">
        <v>320600</v>
      </c>
      <c r="AD2469">
        <v>0.01</v>
      </c>
      <c r="AE2469" t="s">
        <v>116</v>
      </c>
      <c r="AF2469" t="s">
        <v>116</v>
      </c>
      <c r="AG2469">
        <v>11.06</v>
      </c>
      <c r="AH2469" t="s">
        <v>5398</v>
      </c>
      <c r="AI2469" t="s">
        <v>5398</v>
      </c>
      <c r="AJ2469">
        <v>-0.26</v>
      </c>
      <c r="AK2469">
        <v>963</v>
      </c>
      <c r="AL2469">
        <v>190</v>
      </c>
      <c r="AM2469">
        <v>1.6999999999999999E-3</v>
      </c>
      <c r="AN2469">
        <v>-1</v>
      </c>
      <c r="AO2469">
        <v>0.68</v>
      </c>
      <c r="AP2469">
        <v>-0.67</v>
      </c>
      <c r="AQ2469">
        <v>-6.94</v>
      </c>
      <c r="AR2469">
        <v>-9.23</v>
      </c>
      <c r="AS2469">
        <v>2.2599999999999998</v>
      </c>
      <c r="AT2469" t="s">
        <v>7099</v>
      </c>
      <c r="AU2469">
        <v>15.93</v>
      </c>
      <c r="AV2469">
        <v>24.21</v>
      </c>
      <c r="AW2469">
        <v>1.35</v>
      </c>
      <c r="BA2469">
        <v>0</v>
      </c>
      <c r="BB2469">
        <v>1.01</v>
      </c>
      <c r="BC2469">
        <v>-0.68</v>
      </c>
      <c r="BD2469">
        <v>0.17</v>
      </c>
      <c r="BE2469">
        <v>-0.34</v>
      </c>
      <c r="BF2469">
        <v>-1.34</v>
      </c>
      <c r="BG2469">
        <v>0.34</v>
      </c>
      <c r="BH2469">
        <v>-0.5</v>
      </c>
      <c r="BI2469">
        <v>20191030</v>
      </c>
      <c r="BJ2469">
        <v>20010910</v>
      </c>
      <c r="BK2469">
        <v>11.06</v>
      </c>
      <c r="BL2469" t="s">
        <v>116</v>
      </c>
      <c r="BM2469" t="s">
        <v>116</v>
      </c>
      <c r="BN2469">
        <v>308.66000000000003</v>
      </c>
      <c r="BO2469">
        <v>47.34</v>
      </c>
      <c r="BP2469">
        <v>7.86</v>
      </c>
      <c r="BQ2469">
        <v>82.12</v>
      </c>
      <c r="BR2469">
        <v>287.36</v>
      </c>
      <c r="BS2469">
        <v>0.82</v>
      </c>
      <c r="BT2469">
        <v>0.06</v>
      </c>
      <c r="BU2469">
        <v>211.07</v>
      </c>
      <c r="BV2469">
        <v>266.52999999999997</v>
      </c>
      <c r="BW2469">
        <v>0.01</v>
      </c>
      <c r="BX2469">
        <v>22.05</v>
      </c>
      <c r="BY2469">
        <v>32.36</v>
      </c>
      <c r="BZ2469">
        <v>25.87</v>
      </c>
      <c r="CA2469">
        <v>3.76</v>
      </c>
      <c r="CB2469">
        <v>0.02</v>
      </c>
      <c r="CC2469">
        <v>3.76</v>
      </c>
      <c r="CD2469">
        <v>2.57</v>
      </c>
      <c r="CE2469">
        <v>2.19</v>
      </c>
      <c r="CF2469">
        <v>2.17</v>
      </c>
      <c r="CG2469">
        <v>11.28</v>
      </c>
      <c r="CH2469">
        <v>6.14</v>
      </c>
      <c r="CI2469">
        <v>-6.08</v>
      </c>
      <c r="CJ2469">
        <v>66696</v>
      </c>
      <c r="CK2469">
        <v>12145</v>
      </c>
      <c r="CL2469" t="s">
        <v>10448</v>
      </c>
      <c r="CM2469">
        <v>47.09</v>
      </c>
      <c r="CN2469">
        <v>39.31</v>
      </c>
      <c r="CO2469">
        <v>0.69</v>
      </c>
      <c r="CP2469">
        <v>5.31</v>
      </c>
      <c r="CQ2469">
        <v>1.01</v>
      </c>
      <c r="CR2469">
        <v>0</v>
      </c>
      <c r="CS2469" t="s">
        <v>729</v>
      </c>
      <c r="CT2469">
        <v>4.28</v>
      </c>
      <c r="CU2469">
        <v>0</v>
      </c>
      <c r="CV2469">
        <v>1.99</v>
      </c>
      <c r="CW2469">
        <v>1.02</v>
      </c>
      <c r="CX2469">
        <v>0.56000000000000005</v>
      </c>
      <c r="CY2469">
        <v>15.34</v>
      </c>
      <c r="CZ2469" t="s">
        <v>5404</v>
      </c>
      <c r="DA2469">
        <v>20.05</v>
      </c>
      <c r="DB2469">
        <v>11.61</v>
      </c>
      <c r="DC2469">
        <v>6.76</v>
      </c>
      <c r="DD2469">
        <v>0</v>
      </c>
      <c r="DE2469">
        <v>570</v>
      </c>
      <c r="DF2469">
        <v>600322</v>
      </c>
      <c r="DG2469" t="s">
        <v>116</v>
      </c>
      <c r="DH2469" t="s">
        <v>116</v>
      </c>
      <c r="DI2469" t="s">
        <v>116</v>
      </c>
    </row>
    <row r="2470" spans="1:113" x14ac:dyDescent="0.4">
      <c r="A2470" t="str">
        <f>"600323"</f>
        <v>600323</v>
      </c>
      <c r="B2470" t="s">
        <v>11395</v>
      </c>
      <c r="C2470">
        <v>-0.69</v>
      </c>
      <c r="D2470">
        <v>17.29</v>
      </c>
      <c r="E2470">
        <v>-0.12</v>
      </c>
      <c r="F2470">
        <v>17.27</v>
      </c>
      <c r="G2470">
        <v>17.29</v>
      </c>
      <c r="H2470">
        <v>30588</v>
      </c>
      <c r="I2470">
        <v>131</v>
      </c>
      <c r="J2470">
        <v>0</v>
      </c>
      <c r="K2470">
        <v>0.4</v>
      </c>
      <c r="L2470">
        <v>17.46</v>
      </c>
      <c r="M2470">
        <v>17.54</v>
      </c>
      <c r="N2470">
        <v>17.25</v>
      </c>
      <c r="O2470">
        <v>17.41</v>
      </c>
      <c r="P2470">
        <v>13.49</v>
      </c>
      <c r="Q2470">
        <v>53079132</v>
      </c>
      <c r="R2470">
        <v>0.94</v>
      </c>
      <c r="S2470" t="s">
        <v>1345</v>
      </c>
      <c r="T2470" t="s">
        <v>551</v>
      </c>
      <c r="U2470">
        <v>1.67</v>
      </c>
      <c r="V2470">
        <v>17.350000000000001</v>
      </c>
      <c r="W2470">
        <v>17238</v>
      </c>
      <c r="X2470">
        <v>13350</v>
      </c>
      <c r="Y2470">
        <v>1.29</v>
      </c>
      <c r="Z2470">
        <v>115</v>
      </c>
      <c r="AA2470">
        <v>209</v>
      </c>
      <c r="AB2470" t="s">
        <v>116</v>
      </c>
      <c r="AC2470">
        <v>66300</v>
      </c>
      <c r="AD2470">
        <v>0</v>
      </c>
      <c r="AE2470" t="s">
        <v>116</v>
      </c>
      <c r="AF2470" t="s">
        <v>116</v>
      </c>
      <c r="AG2470">
        <v>7.66</v>
      </c>
      <c r="AH2470" t="s">
        <v>11220</v>
      </c>
      <c r="AI2470" t="s">
        <v>11220</v>
      </c>
      <c r="AJ2470">
        <v>-0.61</v>
      </c>
      <c r="AK2470">
        <v>2055</v>
      </c>
      <c r="AL2470">
        <v>15</v>
      </c>
      <c r="AM2470">
        <v>2.0000000000000001E-4</v>
      </c>
      <c r="AN2470">
        <v>-1</v>
      </c>
      <c r="AO2470">
        <v>1.17</v>
      </c>
      <c r="AP2470">
        <v>1.23</v>
      </c>
      <c r="AQ2470">
        <v>-2.48</v>
      </c>
      <c r="AR2470">
        <v>25.02</v>
      </c>
      <c r="AS2470">
        <v>0.73</v>
      </c>
      <c r="AT2470" t="s">
        <v>10297</v>
      </c>
      <c r="AU2470">
        <v>15.26</v>
      </c>
      <c r="AV2470">
        <v>15.13</v>
      </c>
      <c r="AW2470">
        <v>0.94</v>
      </c>
      <c r="BA2470">
        <v>0.28999999999999998</v>
      </c>
      <c r="BB2470">
        <v>0.75</v>
      </c>
      <c r="BC2470">
        <v>-0.92</v>
      </c>
      <c r="BD2470">
        <v>-0.33</v>
      </c>
      <c r="BE2470">
        <v>-0.97</v>
      </c>
      <c r="BF2470">
        <v>-1.43</v>
      </c>
      <c r="BG2470">
        <v>0.23</v>
      </c>
      <c r="BH2470">
        <v>-0.36</v>
      </c>
      <c r="BI2470">
        <v>20191029</v>
      </c>
      <c r="BJ2470">
        <v>20001225</v>
      </c>
      <c r="BK2470">
        <v>7.66</v>
      </c>
      <c r="BL2470" t="s">
        <v>116</v>
      </c>
      <c r="BM2470" t="s">
        <v>116</v>
      </c>
      <c r="BN2470">
        <v>192.88</v>
      </c>
      <c r="BO2470">
        <v>64.150000000000006</v>
      </c>
      <c r="BP2470">
        <v>6.03</v>
      </c>
      <c r="BQ2470">
        <v>63.61</v>
      </c>
      <c r="BR2470">
        <v>34.380000000000003</v>
      </c>
      <c r="BS2470">
        <v>36.299999999999997</v>
      </c>
      <c r="BT2470">
        <v>73.680000000000007</v>
      </c>
      <c r="BU2470">
        <v>50.77</v>
      </c>
      <c r="BV2470">
        <v>6.88</v>
      </c>
      <c r="BW2470">
        <v>7.17</v>
      </c>
      <c r="BX2470">
        <v>15.15</v>
      </c>
      <c r="BY2470">
        <v>42.69</v>
      </c>
      <c r="BZ2470">
        <v>30.1</v>
      </c>
      <c r="CA2470">
        <v>8.94</v>
      </c>
      <c r="CB2470">
        <v>0.46</v>
      </c>
      <c r="CC2470">
        <v>9.1</v>
      </c>
      <c r="CD2470">
        <v>7.3</v>
      </c>
      <c r="CE2470">
        <v>7.36</v>
      </c>
      <c r="CF2470">
        <v>7.19</v>
      </c>
      <c r="CG2470">
        <v>36.799999999999997</v>
      </c>
      <c r="CH2470">
        <v>7.27</v>
      </c>
      <c r="CI2470">
        <v>-1.1599999999999999</v>
      </c>
      <c r="CJ2470">
        <v>23362</v>
      </c>
      <c r="CK2470">
        <v>17897</v>
      </c>
      <c r="CL2470" t="s">
        <v>11396</v>
      </c>
      <c r="CM2470">
        <v>-0.99</v>
      </c>
      <c r="CN2470">
        <v>19.05</v>
      </c>
      <c r="CO2470">
        <v>2.0699999999999998</v>
      </c>
      <c r="CP2470">
        <v>18.22</v>
      </c>
      <c r="CQ2470">
        <v>3.1</v>
      </c>
      <c r="CR2470">
        <v>1.1599999999999999</v>
      </c>
      <c r="CS2470" t="s">
        <v>9255</v>
      </c>
      <c r="CT2470">
        <v>8.3699999999999992</v>
      </c>
      <c r="CU2470">
        <v>0</v>
      </c>
      <c r="CV2470">
        <v>1.98</v>
      </c>
      <c r="CW2470">
        <v>4.8</v>
      </c>
      <c r="CX2470">
        <v>0.95</v>
      </c>
      <c r="CY2470">
        <v>33.26</v>
      </c>
      <c r="CZ2470" t="s">
        <v>2860</v>
      </c>
      <c r="DA2470">
        <v>29.48</v>
      </c>
      <c r="DB2470">
        <v>20.94</v>
      </c>
      <c r="DC2470">
        <v>17.25</v>
      </c>
      <c r="DD2470">
        <v>0.39</v>
      </c>
      <c r="DE2470">
        <v>4561</v>
      </c>
      <c r="DF2470">
        <v>600323</v>
      </c>
      <c r="DG2470" t="s">
        <v>116</v>
      </c>
      <c r="DH2470" t="s">
        <v>116</v>
      </c>
      <c r="DI2470" t="s">
        <v>116</v>
      </c>
    </row>
    <row r="2471" spans="1:113" x14ac:dyDescent="0.4">
      <c r="A2471" t="str">
        <f>"600325"</f>
        <v>600325</v>
      </c>
      <c r="B2471" t="s">
        <v>11397</v>
      </c>
      <c r="C2471">
        <v>-1.4</v>
      </c>
      <c r="D2471">
        <v>7.73</v>
      </c>
      <c r="E2471">
        <v>-0.11</v>
      </c>
      <c r="F2471">
        <v>7.73</v>
      </c>
      <c r="G2471">
        <v>7.74</v>
      </c>
      <c r="H2471">
        <v>338190</v>
      </c>
      <c r="I2471">
        <v>3163</v>
      </c>
      <c r="J2471">
        <v>0</v>
      </c>
      <c r="K2471">
        <v>1.6</v>
      </c>
      <c r="L2471">
        <v>7.84</v>
      </c>
      <c r="M2471">
        <v>7.86</v>
      </c>
      <c r="N2471">
        <v>7.71</v>
      </c>
      <c r="O2471">
        <v>7.84</v>
      </c>
      <c r="P2471">
        <v>7.1</v>
      </c>
      <c r="Q2471">
        <v>263104560</v>
      </c>
      <c r="R2471">
        <v>0.82</v>
      </c>
      <c r="S2471" t="s">
        <v>148</v>
      </c>
      <c r="T2471" t="s">
        <v>551</v>
      </c>
      <c r="U2471">
        <v>1.91</v>
      </c>
      <c r="V2471">
        <v>7.78</v>
      </c>
      <c r="W2471">
        <v>175385</v>
      </c>
      <c r="X2471">
        <v>162805</v>
      </c>
      <c r="Y2471">
        <v>1.08</v>
      </c>
      <c r="Z2471">
        <v>417</v>
      </c>
      <c r="AA2471">
        <v>848</v>
      </c>
      <c r="AB2471" t="s">
        <v>116</v>
      </c>
      <c r="AC2471">
        <v>1615000</v>
      </c>
      <c r="AD2471">
        <v>0.01</v>
      </c>
      <c r="AE2471" t="s">
        <v>116</v>
      </c>
      <c r="AF2471" t="s">
        <v>116</v>
      </c>
      <c r="AG2471">
        <v>21.08</v>
      </c>
      <c r="AH2471" t="s">
        <v>11398</v>
      </c>
      <c r="AI2471" t="s">
        <v>11399</v>
      </c>
      <c r="AJ2471">
        <v>-1.33</v>
      </c>
      <c r="AK2471">
        <v>3748</v>
      </c>
      <c r="AL2471">
        <v>90</v>
      </c>
      <c r="AM2471">
        <v>4.0000000000000002E-4</v>
      </c>
      <c r="AN2471">
        <v>-1</v>
      </c>
      <c r="AO2471">
        <v>1.99</v>
      </c>
      <c r="AP2471">
        <v>10.9</v>
      </c>
      <c r="AQ2471">
        <v>12.52</v>
      </c>
      <c r="AR2471">
        <v>32.14</v>
      </c>
      <c r="AS2471">
        <v>2.25</v>
      </c>
      <c r="AT2471" t="s">
        <v>11400</v>
      </c>
      <c r="AU2471">
        <v>6.83</v>
      </c>
      <c r="AV2471">
        <v>7.16</v>
      </c>
      <c r="AW2471">
        <v>1.55</v>
      </c>
      <c r="BA2471">
        <v>0</v>
      </c>
      <c r="BB2471">
        <v>0.26</v>
      </c>
      <c r="BC2471">
        <v>-1.66</v>
      </c>
      <c r="BD2471">
        <v>-0.77</v>
      </c>
      <c r="BE2471">
        <v>-1.4</v>
      </c>
      <c r="BF2471">
        <v>-1.65</v>
      </c>
      <c r="BG2471">
        <v>0.26</v>
      </c>
      <c r="BH2471">
        <v>-0.64</v>
      </c>
      <c r="BI2471">
        <v>20191211</v>
      </c>
      <c r="BJ2471">
        <v>20040225</v>
      </c>
      <c r="BK2471">
        <v>21.17</v>
      </c>
      <c r="BL2471" t="s">
        <v>116</v>
      </c>
      <c r="BM2471" t="s">
        <v>116</v>
      </c>
      <c r="BN2471">
        <v>2172.56</v>
      </c>
      <c r="BO2471">
        <v>185.77</v>
      </c>
      <c r="BP2471">
        <v>181.57</v>
      </c>
      <c r="BQ2471">
        <v>83.09</v>
      </c>
      <c r="BR2471">
        <v>2033.95</v>
      </c>
      <c r="BS2471">
        <v>6.77</v>
      </c>
      <c r="BT2471">
        <v>1.39</v>
      </c>
      <c r="BU2471">
        <v>1150.0899999999999</v>
      </c>
      <c r="BV2471">
        <v>1526.66</v>
      </c>
      <c r="BW2471">
        <v>0.52</v>
      </c>
      <c r="BX2471">
        <v>9.94</v>
      </c>
      <c r="BY2471">
        <v>194.38</v>
      </c>
      <c r="BZ2471">
        <v>128</v>
      </c>
      <c r="CA2471">
        <v>29.17</v>
      </c>
      <c r="CB2471">
        <v>1.39</v>
      </c>
      <c r="CC2471">
        <v>29.64</v>
      </c>
      <c r="CD2471">
        <v>21.77</v>
      </c>
      <c r="CE2471">
        <v>17.3</v>
      </c>
      <c r="CF2471">
        <v>17.16</v>
      </c>
      <c r="CG2471">
        <v>87.3</v>
      </c>
      <c r="CH2471">
        <v>191.95</v>
      </c>
      <c r="CI2471">
        <v>59.12</v>
      </c>
      <c r="CJ2471">
        <v>55433</v>
      </c>
      <c r="CK2471">
        <v>27138</v>
      </c>
      <c r="CL2471" t="s">
        <v>11401</v>
      </c>
      <c r="CM2471">
        <v>6.81</v>
      </c>
      <c r="CN2471">
        <v>47.95</v>
      </c>
      <c r="CO2471">
        <v>1.3</v>
      </c>
      <c r="CP2471">
        <v>0.85</v>
      </c>
      <c r="CQ2471">
        <v>0.84</v>
      </c>
      <c r="CR2471">
        <v>4.53</v>
      </c>
      <c r="CS2471" t="s">
        <v>11402</v>
      </c>
      <c r="CT2471">
        <v>5.95</v>
      </c>
      <c r="CU2471">
        <v>5.95</v>
      </c>
      <c r="CV2471">
        <v>0.47</v>
      </c>
      <c r="CW2471">
        <v>4.12</v>
      </c>
      <c r="CX2471">
        <v>9.07</v>
      </c>
      <c r="CY2471">
        <v>8.5500000000000007</v>
      </c>
      <c r="CZ2471" t="s">
        <v>7522</v>
      </c>
      <c r="DA2471">
        <v>34.15</v>
      </c>
      <c r="DB2471">
        <v>15.01</v>
      </c>
      <c r="DC2471">
        <v>8.9</v>
      </c>
      <c r="DD2471">
        <v>0</v>
      </c>
      <c r="DE2471">
        <v>4972</v>
      </c>
      <c r="DF2471">
        <v>600325</v>
      </c>
      <c r="DG2471" t="s">
        <v>116</v>
      </c>
      <c r="DH2471" t="s">
        <v>116</v>
      </c>
      <c r="DI2471" t="s">
        <v>116</v>
      </c>
    </row>
    <row r="2472" spans="1:113" x14ac:dyDescent="0.4">
      <c r="A2472" t="str">
        <f>"600326"</f>
        <v>600326</v>
      </c>
      <c r="B2472" t="s">
        <v>11403</v>
      </c>
      <c r="C2472">
        <v>-0.28000000000000003</v>
      </c>
      <c r="D2472">
        <v>7.14</v>
      </c>
      <c r="E2472">
        <v>-0.02</v>
      </c>
      <c r="F2472">
        <v>7.13</v>
      </c>
      <c r="G2472">
        <v>7.14</v>
      </c>
      <c r="H2472">
        <v>121817</v>
      </c>
      <c r="I2472">
        <v>655</v>
      </c>
      <c r="J2472">
        <v>0</v>
      </c>
      <c r="K2472">
        <v>1.41</v>
      </c>
      <c r="L2472">
        <v>7.16</v>
      </c>
      <c r="M2472">
        <v>7.2</v>
      </c>
      <c r="N2472">
        <v>7.11</v>
      </c>
      <c r="O2472">
        <v>7.16</v>
      </c>
      <c r="P2472">
        <v>10.85</v>
      </c>
      <c r="Q2472">
        <v>87206136</v>
      </c>
      <c r="R2472">
        <v>1</v>
      </c>
      <c r="S2472" t="s">
        <v>660</v>
      </c>
      <c r="T2472" t="s">
        <v>2028</v>
      </c>
      <c r="U2472">
        <v>1.26</v>
      </c>
      <c r="V2472">
        <v>7.16</v>
      </c>
      <c r="W2472">
        <v>65414</v>
      </c>
      <c r="X2472">
        <v>56403</v>
      </c>
      <c r="Y2472">
        <v>1.1599999999999999</v>
      </c>
      <c r="Z2472">
        <v>468</v>
      </c>
      <c r="AA2472">
        <v>439</v>
      </c>
      <c r="AB2472" t="s">
        <v>116</v>
      </c>
      <c r="AC2472">
        <v>464100</v>
      </c>
      <c r="AD2472">
        <v>0.01</v>
      </c>
      <c r="AE2472" t="s">
        <v>116</v>
      </c>
      <c r="AF2472" t="s">
        <v>116</v>
      </c>
      <c r="AG2472">
        <v>8.65</v>
      </c>
      <c r="AH2472" t="s">
        <v>2720</v>
      </c>
      <c r="AI2472" t="s">
        <v>2720</v>
      </c>
      <c r="AJ2472">
        <v>-0.2</v>
      </c>
      <c r="AK2472">
        <v>1920</v>
      </c>
      <c r="AL2472">
        <v>63</v>
      </c>
      <c r="AM2472">
        <v>6.9999999999999999E-4</v>
      </c>
      <c r="AN2472">
        <v>-1</v>
      </c>
      <c r="AO2472">
        <v>-0.83</v>
      </c>
      <c r="AP2472">
        <v>5.78</v>
      </c>
      <c r="AQ2472">
        <v>2</v>
      </c>
      <c r="AR2472">
        <v>11.56</v>
      </c>
      <c r="AS2472">
        <v>1.95</v>
      </c>
      <c r="AT2472" t="s">
        <v>2386</v>
      </c>
      <c r="AU2472">
        <v>12.44</v>
      </c>
      <c r="AV2472">
        <v>13.74</v>
      </c>
      <c r="AW2472">
        <v>1.1100000000000001</v>
      </c>
      <c r="BA2472">
        <v>0</v>
      </c>
      <c r="BB2472">
        <v>0.56000000000000005</v>
      </c>
      <c r="BC2472">
        <v>-0.7</v>
      </c>
      <c r="BD2472">
        <v>-0.02</v>
      </c>
      <c r="BE2472">
        <v>-0.28000000000000003</v>
      </c>
      <c r="BF2472">
        <v>-0.83</v>
      </c>
      <c r="BG2472">
        <v>0.42</v>
      </c>
      <c r="BH2472">
        <v>-0.26</v>
      </c>
      <c r="BI2472">
        <v>20191029</v>
      </c>
      <c r="BJ2472">
        <v>20010116</v>
      </c>
      <c r="BK2472">
        <v>8.65</v>
      </c>
      <c r="BL2472" t="s">
        <v>116</v>
      </c>
      <c r="BM2472" t="s">
        <v>116</v>
      </c>
      <c r="BN2472">
        <v>93.46</v>
      </c>
      <c r="BO2472">
        <v>34.06</v>
      </c>
      <c r="BP2472">
        <v>16.47</v>
      </c>
      <c r="BQ2472">
        <v>45.94</v>
      </c>
      <c r="BR2472">
        <v>48.82</v>
      </c>
      <c r="BS2472">
        <v>25.42</v>
      </c>
      <c r="BT2472">
        <v>3.46</v>
      </c>
      <c r="BU2472">
        <v>31.16</v>
      </c>
      <c r="BV2472">
        <v>7.55</v>
      </c>
      <c r="BW2472">
        <v>8.8699999999999992</v>
      </c>
      <c r="BX2472">
        <v>8.0399999999999991</v>
      </c>
      <c r="BY2472">
        <v>39.29</v>
      </c>
      <c r="BZ2472">
        <v>26.22</v>
      </c>
      <c r="CA2472">
        <v>8.31</v>
      </c>
      <c r="CB2472">
        <v>0.73</v>
      </c>
      <c r="CC2472">
        <v>8.49</v>
      </c>
      <c r="CD2472">
        <v>7.75</v>
      </c>
      <c r="CE2472">
        <v>4.2699999999999996</v>
      </c>
      <c r="CF2472">
        <v>4.1900000000000004</v>
      </c>
      <c r="CG2472">
        <v>16.079999999999998</v>
      </c>
      <c r="CH2472">
        <v>5.34</v>
      </c>
      <c r="CI2472">
        <v>1.17</v>
      </c>
      <c r="CJ2472">
        <v>91694</v>
      </c>
      <c r="CK2472">
        <v>6810</v>
      </c>
      <c r="CL2472" t="s">
        <v>10581</v>
      </c>
      <c r="CM2472">
        <v>12.37</v>
      </c>
      <c r="CN2472">
        <v>8.4600000000000009</v>
      </c>
      <c r="CO2472">
        <v>1.81</v>
      </c>
      <c r="CP2472">
        <v>11.56</v>
      </c>
      <c r="CQ2472">
        <v>1.57</v>
      </c>
      <c r="CR2472">
        <v>1.1200000000000001</v>
      </c>
      <c r="CS2472" t="s">
        <v>1374</v>
      </c>
      <c r="CT2472">
        <v>3.94</v>
      </c>
      <c r="CU2472">
        <v>0</v>
      </c>
      <c r="CV2472">
        <v>0.93</v>
      </c>
      <c r="CW2472">
        <v>1.86</v>
      </c>
      <c r="CX2472">
        <v>0.62</v>
      </c>
      <c r="CY2472">
        <v>36.44</v>
      </c>
      <c r="CZ2472" t="s">
        <v>7245</v>
      </c>
      <c r="DA2472">
        <v>33.26</v>
      </c>
      <c r="DB2472">
        <v>21.14</v>
      </c>
      <c r="DC2472">
        <v>10.87</v>
      </c>
      <c r="DD2472">
        <v>1.1299999999999999</v>
      </c>
      <c r="DE2472">
        <v>709</v>
      </c>
      <c r="DF2472">
        <v>600326</v>
      </c>
      <c r="DG2472" t="s">
        <v>116</v>
      </c>
      <c r="DH2472" t="s">
        <v>116</v>
      </c>
      <c r="DI2472" t="s">
        <v>116</v>
      </c>
    </row>
    <row r="2473" spans="1:113" x14ac:dyDescent="0.4">
      <c r="A2473" t="str">
        <f>"600327"</f>
        <v>600327</v>
      </c>
      <c r="B2473" t="s">
        <v>11404</v>
      </c>
      <c r="C2473">
        <v>0</v>
      </c>
      <c r="D2473">
        <v>3.47</v>
      </c>
      <c r="E2473">
        <v>0</v>
      </c>
      <c r="F2473">
        <v>3.47</v>
      </c>
      <c r="G2473">
        <v>3.48</v>
      </c>
      <c r="H2473">
        <v>63399</v>
      </c>
      <c r="I2473">
        <v>334</v>
      </c>
      <c r="J2473">
        <v>0</v>
      </c>
      <c r="K2473">
        <v>0.72</v>
      </c>
      <c r="L2473">
        <v>3.46</v>
      </c>
      <c r="M2473">
        <v>3.51</v>
      </c>
      <c r="N2473">
        <v>3.46</v>
      </c>
      <c r="O2473">
        <v>3.47</v>
      </c>
      <c r="P2473">
        <v>9.48</v>
      </c>
      <c r="Q2473">
        <v>22091636</v>
      </c>
      <c r="R2473">
        <v>1.18</v>
      </c>
      <c r="S2473" t="s">
        <v>746</v>
      </c>
      <c r="T2473" t="s">
        <v>323</v>
      </c>
      <c r="U2473">
        <v>1.44</v>
      </c>
      <c r="V2473">
        <v>3.48</v>
      </c>
      <c r="W2473">
        <v>29870</v>
      </c>
      <c r="X2473">
        <v>33529</v>
      </c>
      <c r="Y2473">
        <v>0.89</v>
      </c>
      <c r="Z2473">
        <v>62</v>
      </c>
      <c r="AA2473">
        <v>1401</v>
      </c>
      <c r="AB2473" t="s">
        <v>116</v>
      </c>
      <c r="AC2473">
        <v>116600</v>
      </c>
      <c r="AD2473">
        <v>0.01</v>
      </c>
      <c r="AE2473" t="s">
        <v>116</v>
      </c>
      <c r="AF2473" t="s">
        <v>116</v>
      </c>
      <c r="AG2473">
        <v>8.85</v>
      </c>
      <c r="AH2473" t="s">
        <v>7616</v>
      </c>
      <c r="AI2473" t="s">
        <v>7616</v>
      </c>
      <c r="AJ2473">
        <v>0.08</v>
      </c>
      <c r="AK2473">
        <v>858</v>
      </c>
      <c r="AL2473">
        <v>74</v>
      </c>
      <c r="AM2473">
        <v>8.0000000000000004E-4</v>
      </c>
      <c r="AN2473">
        <v>0</v>
      </c>
      <c r="AO2473">
        <v>-0.28000000000000003</v>
      </c>
      <c r="AP2473">
        <v>2.97</v>
      </c>
      <c r="AQ2473">
        <v>0.28999999999999998</v>
      </c>
      <c r="AR2473">
        <v>6.22</v>
      </c>
      <c r="AS2473">
        <v>1.3</v>
      </c>
      <c r="AT2473" t="s">
        <v>6483</v>
      </c>
      <c r="AU2473">
        <v>10.35</v>
      </c>
      <c r="AV2473">
        <v>10.42</v>
      </c>
      <c r="AW2473">
        <v>0.95</v>
      </c>
      <c r="BA2473">
        <v>-0.28999999999999998</v>
      </c>
      <c r="BB2473">
        <v>1.1499999999999999</v>
      </c>
      <c r="BC2473">
        <v>-0.28999999999999998</v>
      </c>
      <c r="BD2473">
        <v>0.42</v>
      </c>
      <c r="BE2473">
        <v>0.28999999999999998</v>
      </c>
      <c r="BF2473">
        <v>-1.1399999999999999</v>
      </c>
      <c r="BG2473">
        <v>0.28999999999999998</v>
      </c>
      <c r="BH2473">
        <v>-0.42</v>
      </c>
      <c r="BI2473">
        <v>20191026</v>
      </c>
      <c r="BJ2473">
        <v>20020625</v>
      </c>
      <c r="BK2473">
        <v>8.85</v>
      </c>
      <c r="BL2473" t="s">
        <v>116</v>
      </c>
      <c r="BM2473" t="s">
        <v>116</v>
      </c>
      <c r="BN2473">
        <v>48.76</v>
      </c>
      <c r="BO2473">
        <v>28.12</v>
      </c>
      <c r="BP2473">
        <v>0.9</v>
      </c>
      <c r="BQ2473">
        <v>40.479999999999997</v>
      </c>
      <c r="BR2473">
        <v>21.41</v>
      </c>
      <c r="BS2473">
        <v>8.7899999999999991</v>
      </c>
      <c r="BT2473">
        <v>4.9400000000000004</v>
      </c>
      <c r="BU2473">
        <v>17.62</v>
      </c>
      <c r="BV2473">
        <v>8.23</v>
      </c>
      <c r="BW2473">
        <v>1.23</v>
      </c>
      <c r="BX2473">
        <v>1.07</v>
      </c>
      <c r="BY2473">
        <v>68.510000000000005</v>
      </c>
      <c r="BZ2473">
        <v>59.45</v>
      </c>
      <c r="CA2473">
        <v>3.24</v>
      </c>
      <c r="CB2473">
        <v>0.34</v>
      </c>
      <c r="CC2473">
        <v>3.55</v>
      </c>
      <c r="CD2473">
        <v>2.58</v>
      </c>
      <c r="CE2473">
        <v>2.4300000000000002</v>
      </c>
      <c r="CF2473">
        <v>1.47</v>
      </c>
      <c r="CG2473">
        <v>14.6</v>
      </c>
      <c r="CH2473">
        <v>2.52</v>
      </c>
      <c r="CI2473">
        <v>-0.1</v>
      </c>
      <c r="CJ2473">
        <v>30164</v>
      </c>
      <c r="CK2473">
        <v>16162</v>
      </c>
      <c r="CL2473" t="s">
        <v>3603</v>
      </c>
      <c r="CM2473">
        <v>0.82</v>
      </c>
      <c r="CN2473">
        <v>1.35</v>
      </c>
      <c r="CO2473">
        <v>1.0900000000000001</v>
      </c>
      <c r="CP2473">
        <v>12.19</v>
      </c>
      <c r="CQ2473">
        <v>0.45</v>
      </c>
      <c r="CR2473">
        <v>4.8</v>
      </c>
      <c r="CS2473" t="s">
        <v>3543</v>
      </c>
      <c r="CT2473">
        <v>3.18</v>
      </c>
      <c r="CU2473">
        <v>0</v>
      </c>
      <c r="CV2473">
        <v>0.12</v>
      </c>
      <c r="CW2473">
        <v>1.65</v>
      </c>
      <c r="CX2473">
        <v>0.28000000000000003</v>
      </c>
      <c r="CY2473">
        <v>57.67</v>
      </c>
      <c r="CZ2473" t="s">
        <v>11405</v>
      </c>
      <c r="DA2473">
        <v>13.22</v>
      </c>
      <c r="DB2473">
        <v>4.7300000000000004</v>
      </c>
      <c r="DC2473">
        <v>3.55</v>
      </c>
      <c r="DD2473">
        <v>0</v>
      </c>
      <c r="DE2473">
        <v>5023</v>
      </c>
      <c r="DF2473">
        <v>600327</v>
      </c>
      <c r="DG2473" t="s">
        <v>116</v>
      </c>
      <c r="DH2473" t="s">
        <v>116</v>
      </c>
      <c r="DI2473" t="s">
        <v>116</v>
      </c>
    </row>
    <row r="2474" spans="1:113" x14ac:dyDescent="0.4">
      <c r="A2474" t="str">
        <f>"600328"</f>
        <v>600328</v>
      </c>
      <c r="B2474" t="s">
        <v>11406</v>
      </c>
      <c r="C2474">
        <v>-1.22</v>
      </c>
      <c r="D2474">
        <v>8.1199999999999992</v>
      </c>
      <c r="E2474">
        <v>-0.1</v>
      </c>
      <c r="F2474">
        <v>8.1199999999999992</v>
      </c>
      <c r="G2474">
        <v>8.1300000000000008</v>
      </c>
      <c r="H2474">
        <v>91433</v>
      </c>
      <c r="I2474">
        <v>1402</v>
      </c>
      <c r="J2474">
        <v>0.25</v>
      </c>
      <c r="K2474">
        <v>2.09</v>
      </c>
      <c r="L2474">
        <v>8.1300000000000008</v>
      </c>
      <c r="M2474">
        <v>8.27</v>
      </c>
      <c r="N2474">
        <v>8.09</v>
      </c>
      <c r="O2474">
        <v>8.2200000000000006</v>
      </c>
      <c r="P2474">
        <v>9.11</v>
      </c>
      <c r="Q2474">
        <v>74723304</v>
      </c>
      <c r="R2474">
        <v>1.98</v>
      </c>
      <c r="S2474" t="s">
        <v>891</v>
      </c>
      <c r="T2474" t="s">
        <v>796</v>
      </c>
      <c r="U2474">
        <v>2.19</v>
      </c>
      <c r="V2474">
        <v>8.17</v>
      </c>
      <c r="W2474">
        <v>50461</v>
      </c>
      <c r="X2474">
        <v>40972</v>
      </c>
      <c r="Y2474">
        <v>1.23</v>
      </c>
      <c r="Z2474">
        <v>440</v>
      </c>
      <c r="AA2474">
        <v>373</v>
      </c>
      <c r="AB2474" t="s">
        <v>116</v>
      </c>
      <c r="AC2474">
        <v>1804900</v>
      </c>
      <c r="AD2474">
        <v>0.08</v>
      </c>
      <c r="AE2474" t="s">
        <v>116</v>
      </c>
      <c r="AF2474" t="s">
        <v>116</v>
      </c>
      <c r="AG2474">
        <v>4.38</v>
      </c>
      <c r="AH2474" t="s">
        <v>6163</v>
      </c>
      <c r="AI2474" t="s">
        <v>6163</v>
      </c>
      <c r="AJ2474">
        <v>-1.1399999999999999</v>
      </c>
      <c r="AK2474">
        <v>1647</v>
      </c>
      <c r="AL2474">
        <v>56</v>
      </c>
      <c r="AM2474">
        <v>1.2999999999999999E-3</v>
      </c>
      <c r="AN2474">
        <v>-1</v>
      </c>
      <c r="AO2474">
        <v>1.37</v>
      </c>
      <c r="AP2474">
        <v>4.5</v>
      </c>
      <c r="AQ2474">
        <v>2.65</v>
      </c>
      <c r="AR2474">
        <v>21.81</v>
      </c>
      <c r="AS2474">
        <v>3.12</v>
      </c>
      <c r="AT2474" t="s">
        <v>11407</v>
      </c>
      <c r="AU2474">
        <v>11.34</v>
      </c>
      <c r="AV2474">
        <v>13.29</v>
      </c>
      <c r="AW2474">
        <v>0.93</v>
      </c>
      <c r="BA2474">
        <v>-1.0900000000000001</v>
      </c>
      <c r="BB2474">
        <v>0.61</v>
      </c>
      <c r="BC2474">
        <v>-1.58</v>
      </c>
      <c r="BD2474">
        <v>-0.57999999999999996</v>
      </c>
      <c r="BE2474">
        <v>-0.12</v>
      </c>
      <c r="BF2474">
        <v>-1.81</v>
      </c>
      <c r="BG2474">
        <v>0.37</v>
      </c>
      <c r="BH2474">
        <v>-0.64</v>
      </c>
      <c r="BI2474">
        <v>20191025</v>
      </c>
      <c r="BJ2474">
        <v>20001222</v>
      </c>
      <c r="BK2474">
        <v>4.38</v>
      </c>
      <c r="BL2474" t="s">
        <v>116</v>
      </c>
      <c r="BM2474" t="s">
        <v>116</v>
      </c>
      <c r="BN2474">
        <v>65.319999999999993</v>
      </c>
      <c r="BO2474">
        <v>26.22</v>
      </c>
      <c r="BP2474">
        <v>5.23</v>
      </c>
      <c r="BQ2474">
        <v>51.85</v>
      </c>
      <c r="BR2474">
        <v>20.96</v>
      </c>
      <c r="BS2474">
        <v>36.200000000000003</v>
      </c>
      <c r="BT2474">
        <v>3.21</v>
      </c>
      <c r="BU2474">
        <v>31.9</v>
      </c>
      <c r="BV2474">
        <v>4.4000000000000004</v>
      </c>
      <c r="BW2474">
        <v>2.73</v>
      </c>
      <c r="BX2474">
        <v>10.18</v>
      </c>
      <c r="BY2474">
        <v>29.82</v>
      </c>
      <c r="BZ2474">
        <v>18.13</v>
      </c>
      <c r="CA2474">
        <v>5.94</v>
      </c>
      <c r="CB2474">
        <v>0.32</v>
      </c>
      <c r="CC2474">
        <v>5.94</v>
      </c>
      <c r="CD2474">
        <v>4.6100000000000003</v>
      </c>
      <c r="CE2474">
        <v>2.93</v>
      </c>
      <c r="CF2474">
        <v>2.59</v>
      </c>
      <c r="CG2474">
        <v>10.43</v>
      </c>
      <c r="CH2474">
        <v>6.65</v>
      </c>
      <c r="CI2474">
        <v>0.38</v>
      </c>
      <c r="CJ2474">
        <v>37649</v>
      </c>
      <c r="CK2474">
        <v>7786</v>
      </c>
      <c r="CL2474" t="s">
        <v>4537</v>
      </c>
      <c r="CM2474">
        <v>18.73</v>
      </c>
      <c r="CN2474">
        <v>5.6</v>
      </c>
      <c r="CO2474">
        <v>1.36</v>
      </c>
      <c r="CP2474">
        <v>5.35</v>
      </c>
      <c r="CQ2474">
        <v>1.19</v>
      </c>
      <c r="CR2474">
        <v>2.27</v>
      </c>
      <c r="CS2474" t="s">
        <v>1458</v>
      </c>
      <c r="CT2474">
        <v>5.99</v>
      </c>
      <c r="CU2474">
        <v>0</v>
      </c>
      <c r="CV2474">
        <v>2.3199999999999998</v>
      </c>
      <c r="CW2474">
        <v>2.38</v>
      </c>
      <c r="CX2474">
        <v>1.52</v>
      </c>
      <c r="CY2474">
        <v>40.14</v>
      </c>
      <c r="CZ2474" t="s">
        <v>9097</v>
      </c>
      <c r="DA2474">
        <v>39.19</v>
      </c>
      <c r="DB2474">
        <v>19.91</v>
      </c>
      <c r="DC2474">
        <v>9.82</v>
      </c>
      <c r="DD2474">
        <v>0.05</v>
      </c>
      <c r="DE2474">
        <v>4321</v>
      </c>
      <c r="DF2474">
        <v>600328</v>
      </c>
      <c r="DG2474" t="s">
        <v>116</v>
      </c>
      <c r="DH2474" t="s">
        <v>116</v>
      </c>
      <c r="DI2474" t="s">
        <v>116</v>
      </c>
    </row>
    <row r="2475" spans="1:113" x14ac:dyDescent="0.4">
      <c r="A2475" t="str">
        <f>"600329"</f>
        <v>600329</v>
      </c>
      <c r="B2475" t="s">
        <v>11408</v>
      </c>
      <c r="C2475">
        <v>-0.66</v>
      </c>
      <c r="D2475">
        <v>13.49</v>
      </c>
      <c r="E2475">
        <v>-0.09</v>
      </c>
      <c r="F2475">
        <v>13.49</v>
      </c>
      <c r="G2475">
        <v>13.5</v>
      </c>
      <c r="H2475">
        <v>29867</v>
      </c>
      <c r="I2475">
        <v>292</v>
      </c>
      <c r="J2475">
        <v>0</v>
      </c>
      <c r="K2475">
        <v>0.53</v>
      </c>
      <c r="L2475">
        <v>13.53</v>
      </c>
      <c r="M2475">
        <v>13.65</v>
      </c>
      <c r="N2475">
        <v>13.47</v>
      </c>
      <c r="O2475">
        <v>13.58</v>
      </c>
      <c r="P2475">
        <v>17.48</v>
      </c>
      <c r="Q2475">
        <v>40485088</v>
      </c>
      <c r="R2475">
        <v>1.23</v>
      </c>
      <c r="S2475" t="s">
        <v>781</v>
      </c>
      <c r="T2475" t="s">
        <v>1035</v>
      </c>
      <c r="U2475">
        <v>1.33</v>
      </c>
      <c r="V2475">
        <v>13.56</v>
      </c>
      <c r="W2475">
        <v>17252</v>
      </c>
      <c r="X2475">
        <v>12619</v>
      </c>
      <c r="Y2475">
        <v>1.37</v>
      </c>
      <c r="Z2475">
        <v>19</v>
      </c>
      <c r="AA2475">
        <v>227</v>
      </c>
      <c r="AB2475" t="s">
        <v>116</v>
      </c>
      <c r="AC2475">
        <v>446600</v>
      </c>
      <c r="AD2475">
        <v>0.01</v>
      </c>
      <c r="AE2475" t="s">
        <v>116</v>
      </c>
      <c r="AF2475" t="s">
        <v>116</v>
      </c>
      <c r="AG2475">
        <v>5.66</v>
      </c>
      <c r="AH2475" t="s">
        <v>11409</v>
      </c>
      <c r="AI2475" t="s">
        <v>11410</v>
      </c>
      <c r="AJ2475">
        <v>-0.59</v>
      </c>
      <c r="AK2475">
        <v>1592</v>
      </c>
      <c r="AL2475">
        <v>19</v>
      </c>
      <c r="AM2475">
        <v>2.9999999999999997E-4</v>
      </c>
      <c r="AN2475">
        <v>-1</v>
      </c>
      <c r="AO2475">
        <v>0.89</v>
      </c>
      <c r="AP2475">
        <v>0.82</v>
      </c>
      <c r="AQ2475">
        <v>-0.88</v>
      </c>
      <c r="AR2475">
        <v>10.39</v>
      </c>
      <c r="AS2475">
        <v>1.24</v>
      </c>
      <c r="AT2475" t="s">
        <v>11411</v>
      </c>
      <c r="AU2475">
        <v>17.12</v>
      </c>
      <c r="AV2475">
        <v>18.47</v>
      </c>
      <c r="AW2475">
        <v>1.2</v>
      </c>
      <c r="BA2475">
        <v>-0.37</v>
      </c>
      <c r="BB2475">
        <v>0.52</v>
      </c>
      <c r="BC2475">
        <v>-0.81</v>
      </c>
      <c r="BD2475">
        <v>-0.18</v>
      </c>
      <c r="BE2475">
        <v>-0.3</v>
      </c>
      <c r="BF2475">
        <v>-1.17</v>
      </c>
      <c r="BG2475">
        <v>0.15</v>
      </c>
      <c r="BH2475">
        <v>-0.48</v>
      </c>
      <c r="BI2475">
        <v>20191031</v>
      </c>
      <c r="BJ2475">
        <v>20010606</v>
      </c>
      <c r="BK2475">
        <v>7.69</v>
      </c>
      <c r="BL2475" t="s">
        <v>116</v>
      </c>
      <c r="BM2475" t="s">
        <v>116</v>
      </c>
      <c r="BN2475">
        <v>75.540000000000006</v>
      </c>
      <c r="BO2475">
        <v>52.04</v>
      </c>
      <c r="BP2475">
        <v>1.34</v>
      </c>
      <c r="BQ2475">
        <v>29.34</v>
      </c>
      <c r="BR2475">
        <v>50.19</v>
      </c>
      <c r="BS2475">
        <v>10.64</v>
      </c>
      <c r="BT2475">
        <v>1.73</v>
      </c>
      <c r="BU2475">
        <v>20.51</v>
      </c>
      <c r="BV2475">
        <v>14.37</v>
      </c>
      <c r="BW2475">
        <v>16.57</v>
      </c>
      <c r="BX2475">
        <v>13.24</v>
      </c>
      <c r="BY2475">
        <v>51.77</v>
      </c>
      <c r="BZ2475">
        <v>29.46</v>
      </c>
      <c r="CA2475">
        <v>5.55</v>
      </c>
      <c r="CB2475">
        <v>1.31</v>
      </c>
      <c r="CC2475">
        <v>5.47</v>
      </c>
      <c r="CD2475">
        <v>4.53</v>
      </c>
      <c r="CE2475">
        <v>4.45</v>
      </c>
      <c r="CF2475">
        <v>4.16</v>
      </c>
      <c r="CG2475">
        <v>25.94</v>
      </c>
      <c r="CH2475">
        <v>2.74</v>
      </c>
      <c r="CI2475">
        <v>-1.1499999999999999</v>
      </c>
      <c r="CJ2475">
        <v>30414</v>
      </c>
      <c r="CK2475">
        <v>7892</v>
      </c>
      <c r="CL2475" t="s">
        <v>10087</v>
      </c>
      <c r="CM2475">
        <v>11.01</v>
      </c>
      <c r="CN2475">
        <v>10.42</v>
      </c>
      <c r="CO2475">
        <v>1.99</v>
      </c>
      <c r="CP2475">
        <v>37.81</v>
      </c>
      <c r="CQ2475">
        <v>2</v>
      </c>
      <c r="CR2475">
        <v>1.63</v>
      </c>
      <c r="CS2475" t="s">
        <v>1985</v>
      </c>
      <c r="CT2475">
        <v>6.77</v>
      </c>
      <c r="CU2475">
        <v>0</v>
      </c>
      <c r="CV2475">
        <v>1.72</v>
      </c>
      <c r="CW2475">
        <v>3.37</v>
      </c>
      <c r="CX2475">
        <v>0.36</v>
      </c>
      <c r="CY2475">
        <v>68.89</v>
      </c>
      <c r="CZ2475" t="s">
        <v>10408</v>
      </c>
      <c r="DA2475">
        <v>43.1</v>
      </c>
      <c r="DB2475">
        <v>10.72</v>
      </c>
      <c r="DC2475">
        <v>8.6</v>
      </c>
      <c r="DD2475">
        <v>0.8</v>
      </c>
      <c r="DE2475">
        <v>4642</v>
      </c>
      <c r="DF2475">
        <v>600329</v>
      </c>
      <c r="DG2475" t="s">
        <v>116</v>
      </c>
      <c r="DH2475" t="s">
        <v>116</v>
      </c>
      <c r="DI2475" t="s">
        <v>116</v>
      </c>
    </row>
    <row r="2476" spans="1:113" x14ac:dyDescent="0.4">
      <c r="A2476" t="str">
        <f>"600330"</f>
        <v>600330</v>
      </c>
      <c r="B2476" t="s">
        <v>11412</v>
      </c>
      <c r="C2476">
        <v>-3.02</v>
      </c>
      <c r="D2476">
        <v>7.72</v>
      </c>
      <c r="E2476">
        <v>-0.24</v>
      </c>
      <c r="F2476">
        <v>7.71</v>
      </c>
      <c r="G2476">
        <v>7.72</v>
      </c>
      <c r="H2476">
        <v>573433</v>
      </c>
      <c r="I2476">
        <v>3905</v>
      </c>
      <c r="J2476">
        <v>-0.25</v>
      </c>
      <c r="K2476">
        <v>5.75</v>
      </c>
      <c r="L2476">
        <v>7.92</v>
      </c>
      <c r="M2476">
        <v>8.1199999999999992</v>
      </c>
      <c r="N2476">
        <v>7.68</v>
      </c>
      <c r="O2476">
        <v>7.96</v>
      </c>
      <c r="P2476">
        <v>39.33</v>
      </c>
      <c r="Q2476">
        <v>451776384</v>
      </c>
      <c r="R2476">
        <v>1</v>
      </c>
      <c r="S2476" t="s">
        <v>233</v>
      </c>
      <c r="T2476" t="s">
        <v>590</v>
      </c>
      <c r="U2476">
        <v>5.53</v>
      </c>
      <c r="V2476">
        <v>7.88</v>
      </c>
      <c r="W2476">
        <v>322214</v>
      </c>
      <c r="X2476">
        <v>251218</v>
      </c>
      <c r="Y2476">
        <v>1.28</v>
      </c>
      <c r="Z2476">
        <v>601</v>
      </c>
      <c r="AA2476">
        <v>1881</v>
      </c>
      <c r="AB2476" t="s">
        <v>116</v>
      </c>
      <c r="AC2476">
        <v>4957100</v>
      </c>
      <c r="AD2476">
        <v>0.08</v>
      </c>
      <c r="AE2476" t="s">
        <v>116</v>
      </c>
      <c r="AF2476" t="s">
        <v>116</v>
      </c>
      <c r="AG2476">
        <v>9.9700000000000006</v>
      </c>
      <c r="AH2476" t="s">
        <v>11413</v>
      </c>
      <c r="AI2476" t="s">
        <v>11413</v>
      </c>
      <c r="AJ2476">
        <v>-2.94</v>
      </c>
      <c r="AK2476">
        <v>3728</v>
      </c>
      <c r="AL2476">
        <v>154</v>
      </c>
      <c r="AM2476">
        <v>1.5E-3</v>
      </c>
      <c r="AN2476">
        <v>-1</v>
      </c>
      <c r="AO2476">
        <v>8.11</v>
      </c>
      <c r="AP2476">
        <v>31.29</v>
      </c>
      <c r="AQ2476">
        <v>14.71</v>
      </c>
      <c r="AR2476">
        <v>41.39</v>
      </c>
      <c r="AS2476">
        <v>7.71</v>
      </c>
      <c r="AT2476" t="s">
        <v>11414</v>
      </c>
      <c r="AU2476">
        <v>39.049999999999997</v>
      </c>
      <c r="AV2476">
        <v>27.13</v>
      </c>
      <c r="AW2476">
        <v>1.44</v>
      </c>
      <c r="BA2476">
        <v>-0.5</v>
      </c>
      <c r="BB2476">
        <v>2.0099999999999998</v>
      </c>
      <c r="BC2476">
        <v>-3.52</v>
      </c>
      <c r="BD2476">
        <v>-1.02</v>
      </c>
      <c r="BE2476">
        <v>-2.5299999999999998</v>
      </c>
      <c r="BF2476">
        <v>-4.93</v>
      </c>
      <c r="BG2476">
        <v>0.52</v>
      </c>
      <c r="BH2476">
        <v>-1.99</v>
      </c>
      <c r="BI2476">
        <v>20191018</v>
      </c>
      <c r="BJ2476">
        <v>20010118</v>
      </c>
      <c r="BK2476">
        <v>9.9700000000000006</v>
      </c>
      <c r="BL2476" t="s">
        <v>116</v>
      </c>
      <c r="BM2476" t="s">
        <v>116</v>
      </c>
      <c r="BN2476">
        <v>64.69</v>
      </c>
      <c r="BO2476">
        <v>40.25</v>
      </c>
      <c r="BP2476">
        <v>0.64</v>
      </c>
      <c r="BQ2476">
        <v>36.770000000000003</v>
      </c>
      <c r="BR2476">
        <v>28.62</v>
      </c>
      <c r="BS2476">
        <v>20.54</v>
      </c>
      <c r="BT2476">
        <v>1.92</v>
      </c>
      <c r="BU2476">
        <v>18.72</v>
      </c>
      <c r="BV2476">
        <v>8.2200000000000006</v>
      </c>
      <c r="BW2476">
        <v>10.34</v>
      </c>
      <c r="BX2476">
        <v>24.58</v>
      </c>
      <c r="BY2476">
        <v>18.97</v>
      </c>
      <c r="BZ2476">
        <v>14.37</v>
      </c>
      <c r="CA2476">
        <v>1.78</v>
      </c>
      <c r="CB2476">
        <v>-0.01</v>
      </c>
      <c r="CC2476">
        <v>1.76</v>
      </c>
      <c r="CD2476">
        <v>1.47</v>
      </c>
      <c r="CE2476">
        <v>1.47</v>
      </c>
      <c r="CF2476">
        <v>0.79</v>
      </c>
      <c r="CG2476">
        <v>5.52</v>
      </c>
      <c r="CH2476">
        <v>-1.25</v>
      </c>
      <c r="CI2476">
        <v>-2.67</v>
      </c>
      <c r="CJ2476">
        <v>76052</v>
      </c>
      <c r="CK2476">
        <v>9785</v>
      </c>
      <c r="CL2476" t="s">
        <v>6539</v>
      </c>
      <c r="CM2476">
        <v>-37.11</v>
      </c>
      <c r="CN2476">
        <v>-0.57999999999999996</v>
      </c>
      <c r="CO2476">
        <v>1.91</v>
      </c>
      <c r="CP2476">
        <v>-61.48</v>
      </c>
      <c r="CQ2476">
        <v>4.0599999999999996</v>
      </c>
      <c r="CR2476">
        <v>0.64</v>
      </c>
      <c r="CS2476" t="s">
        <v>2902</v>
      </c>
      <c r="CT2476">
        <v>4.04</v>
      </c>
      <c r="CU2476">
        <v>0</v>
      </c>
      <c r="CV2476">
        <v>2.4700000000000002</v>
      </c>
      <c r="CW2476">
        <v>0.55000000000000004</v>
      </c>
      <c r="CX2476">
        <v>-0.13</v>
      </c>
      <c r="CY2476">
        <v>62.23</v>
      </c>
      <c r="CZ2476" t="s">
        <v>1298</v>
      </c>
      <c r="DA2476">
        <v>24.24</v>
      </c>
      <c r="DB2476">
        <v>9.3800000000000008</v>
      </c>
      <c r="DC2476">
        <v>7.73</v>
      </c>
      <c r="DD2476">
        <v>1.2</v>
      </c>
      <c r="DE2476">
        <v>4482</v>
      </c>
      <c r="DF2476">
        <v>600330</v>
      </c>
      <c r="DG2476" t="s">
        <v>116</v>
      </c>
      <c r="DH2476" t="s">
        <v>116</v>
      </c>
      <c r="DI2476" t="s">
        <v>116</v>
      </c>
    </row>
    <row r="2477" spans="1:113" x14ac:dyDescent="0.4">
      <c r="A2477" t="str">
        <f>"600331"</f>
        <v>600331</v>
      </c>
      <c r="B2477" t="s">
        <v>11415</v>
      </c>
      <c r="C2477">
        <v>1.1599999999999999</v>
      </c>
      <c r="D2477">
        <v>2.61</v>
      </c>
      <c r="E2477">
        <v>0.03</v>
      </c>
      <c r="F2477">
        <v>2.61</v>
      </c>
      <c r="G2477">
        <v>2.62</v>
      </c>
      <c r="H2477">
        <v>421836</v>
      </c>
      <c r="I2477">
        <v>5138</v>
      </c>
      <c r="J2477">
        <v>0.38</v>
      </c>
      <c r="K2477">
        <v>2.08</v>
      </c>
      <c r="L2477">
        <v>2.56</v>
      </c>
      <c r="M2477">
        <v>2.75</v>
      </c>
      <c r="N2477">
        <v>2.56</v>
      </c>
      <c r="O2477">
        <v>2.58</v>
      </c>
      <c r="P2477">
        <v>53.97</v>
      </c>
      <c r="Q2477">
        <v>111645840</v>
      </c>
      <c r="R2477">
        <v>2.5499999999999998</v>
      </c>
      <c r="S2477" t="s">
        <v>441</v>
      </c>
      <c r="T2477" t="s">
        <v>582</v>
      </c>
      <c r="U2477">
        <v>7.36</v>
      </c>
      <c r="V2477">
        <v>2.65</v>
      </c>
      <c r="W2477">
        <v>184440</v>
      </c>
      <c r="X2477">
        <v>237396</v>
      </c>
      <c r="Y2477">
        <v>0.78</v>
      </c>
      <c r="Z2477">
        <v>1487</v>
      </c>
      <c r="AA2477">
        <v>2141</v>
      </c>
      <c r="AB2477" t="s">
        <v>116</v>
      </c>
      <c r="AC2477">
        <v>411700</v>
      </c>
      <c r="AD2477">
        <v>0.01</v>
      </c>
      <c r="AE2477" t="s">
        <v>116</v>
      </c>
      <c r="AF2477" t="s">
        <v>116</v>
      </c>
      <c r="AG2477">
        <v>20.32</v>
      </c>
      <c r="AH2477" t="s">
        <v>11416</v>
      </c>
      <c r="AI2477" t="s">
        <v>11416</v>
      </c>
      <c r="AJ2477">
        <v>1.24</v>
      </c>
      <c r="AK2477">
        <v>2331</v>
      </c>
      <c r="AL2477">
        <v>181</v>
      </c>
      <c r="AM2477">
        <v>8.9999999999999998E-4</v>
      </c>
      <c r="AN2477">
        <v>2</v>
      </c>
      <c r="AO2477">
        <v>1.1499999999999999</v>
      </c>
      <c r="AP2477">
        <v>6.53</v>
      </c>
      <c r="AQ2477">
        <v>3.98</v>
      </c>
      <c r="AR2477">
        <v>29.21</v>
      </c>
      <c r="AS2477">
        <v>3.3</v>
      </c>
      <c r="AT2477" t="s">
        <v>11417</v>
      </c>
      <c r="AU2477" t="s">
        <v>116</v>
      </c>
      <c r="AV2477" t="s">
        <v>116</v>
      </c>
      <c r="AW2477">
        <v>1.7</v>
      </c>
      <c r="BA2477">
        <v>-0.78</v>
      </c>
      <c r="BB2477">
        <v>6.59</v>
      </c>
      <c r="BC2477">
        <v>-0.78</v>
      </c>
      <c r="BD2477">
        <v>2.58</v>
      </c>
      <c r="BE2477">
        <v>1.95</v>
      </c>
      <c r="BF2477">
        <v>-5.09</v>
      </c>
      <c r="BG2477">
        <v>1.95</v>
      </c>
      <c r="BH2477">
        <v>-1.42</v>
      </c>
      <c r="BI2477">
        <v>20191031</v>
      </c>
      <c r="BJ2477">
        <v>20011220</v>
      </c>
      <c r="BK2477">
        <v>20.32</v>
      </c>
      <c r="BL2477" t="s">
        <v>116</v>
      </c>
      <c r="BM2477" t="s">
        <v>116</v>
      </c>
      <c r="BN2477">
        <v>45.93</v>
      </c>
      <c r="BO2477">
        <v>22.82</v>
      </c>
      <c r="BP2477">
        <v>0.44</v>
      </c>
      <c r="BQ2477">
        <v>49.36</v>
      </c>
      <c r="BR2477">
        <v>8.99</v>
      </c>
      <c r="BS2477">
        <v>11.39</v>
      </c>
      <c r="BT2477">
        <v>1.1499999999999999</v>
      </c>
      <c r="BU2477">
        <v>22.47</v>
      </c>
      <c r="BV2477">
        <v>4.22</v>
      </c>
      <c r="BW2477">
        <v>0.3</v>
      </c>
      <c r="BX2477">
        <v>30.75</v>
      </c>
      <c r="BY2477">
        <v>18.489999999999998</v>
      </c>
      <c r="BZ2477">
        <v>16.64</v>
      </c>
      <c r="CA2477">
        <v>0.71</v>
      </c>
      <c r="CB2477">
        <v>1.18</v>
      </c>
      <c r="CC2477">
        <v>0.74</v>
      </c>
      <c r="CD2477">
        <v>0.74</v>
      </c>
      <c r="CE2477">
        <v>0.74</v>
      </c>
      <c r="CF2477">
        <v>0.59</v>
      </c>
      <c r="CG2477">
        <v>-29.59</v>
      </c>
      <c r="CH2477">
        <v>0.35</v>
      </c>
      <c r="CI2477">
        <v>-0.09</v>
      </c>
      <c r="CJ2477">
        <v>99379</v>
      </c>
      <c r="CK2477">
        <v>12882</v>
      </c>
      <c r="CL2477" t="s">
        <v>2619</v>
      </c>
      <c r="CM2477">
        <v>345.69</v>
      </c>
      <c r="CN2477">
        <v>-47.92</v>
      </c>
      <c r="CO2477">
        <v>2.3199999999999998</v>
      </c>
      <c r="CP2477">
        <v>151.57</v>
      </c>
      <c r="CQ2477">
        <v>2.87</v>
      </c>
      <c r="CR2477">
        <v>0</v>
      </c>
      <c r="CS2477" t="s">
        <v>1223</v>
      </c>
      <c r="CT2477">
        <v>1.1200000000000001</v>
      </c>
      <c r="CU2477">
        <v>0</v>
      </c>
      <c r="CV2477">
        <v>1.51</v>
      </c>
      <c r="CW2477">
        <v>-1.46</v>
      </c>
      <c r="CX2477">
        <v>0.02</v>
      </c>
      <c r="CY2477">
        <v>49.69</v>
      </c>
      <c r="CZ2477" t="s">
        <v>2460</v>
      </c>
      <c r="DA2477">
        <v>9.9700000000000006</v>
      </c>
      <c r="DB2477">
        <v>3.82</v>
      </c>
      <c r="DC2477">
        <v>3.99</v>
      </c>
      <c r="DD2477">
        <v>0.01</v>
      </c>
      <c r="DE2477">
        <v>3331</v>
      </c>
      <c r="DF2477">
        <v>600331</v>
      </c>
      <c r="DG2477" t="s">
        <v>116</v>
      </c>
      <c r="DH2477" t="s">
        <v>116</v>
      </c>
      <c r="DI2477" t="s">
        <v>116</v>
      </c>
    </row>
    <row r="2478" spans="1:113" x14ac:dyDescent="0.4">
      <c r="A2478" t="str">
        <f>"600332"</f>
        <v>600332</v>
      </c>
      <c r="B2478" t="s">
        <v>11418</v>
      </c>
      <c r="C2478">
        <v>-0.09</v>
      </c>
      <c r="D2478">
        <v>33.729999999999997</v>
      </c>
      <c r="E2478">
        <v>-0.03</v>
      </c>
      <c r="F2478">
        <v>33.729999999999997</v>
      </c>
      <c r="G2478">
        <v>33.74</v>
      </c>
      <c r="H2478">
        <v>52693</v>
      </c>
      <c r="I2478">
        <v>491</v>
      </c>
      <c r="J2478">
        <v>0.03</v>
      </c>
      <c r="K2478">
        <v>0.37</v>
      </c>
      <c r="L2478">
        <v>33.67</v>
      </c>
      <c r="M2478">
        <v>33.92</v>
      </c>
      <c r="N2478">
        <v>33.64</v>
      </c>
      <c r="O2478">
        <v>33.76</v>
      </c>
      <c r="P2478">
        <v>13.02</v>
      </c>
      <c r="Q2478">
        <v>178121920</v>
      </c>
      <c r="R2478">
        <v>1.29</v>
      </c>
      <c r="S2478" t="s">
        <v>781</v>
      </c>
      <c r="T2478" t="s">
        <v>551</v>
      </c>
      <c r="U2478">
        <v>0.83</v>
      </c>
      <c r="V2478">
        <v>33.799999999999997</v>
      </c>
      <c r="W2478">
        <v>25449</v>
      </c>
      <c r="X2478">
        <v>27244</v>
      </c>
      <c r="Y2478">
        <v>0.93</v>
      </c>
      <c r="Z2478">
        <v>263</v>
      </c>
      <c r="AA2478">
        <v>42</v>
      </c>
      <c r="AB2478" t="s">
        <v>116</v>
      </c>
      <c r="AC2478">
        <v>552200</v>
      </c>
      <c r="AD2478">
        <v>0</v>
      </c>
      <c r="AE2478" t="s">
        <v>116</v>
      </c>
      <c r="AF2478" t="s">
        <v>116</v>
      </c>
      <c r="AG2478">
        <v>14.06</v>
      </c>
      <c r="AH2478" t="s">
        <v>11419</v>
      </c>
      <c r="AI2478" t="s">
        <v>11419</v>
      </c>
      <c r="AJ2478">
        <v>-0.01</v>
      </c>
      <c r="AK2478">
        <v>2762</v>
      </c>
      <c r="AL2478">
        <v>19</v>
      </c>
      <c r="AM2478">
        <v>1E-4</v>
      </c>
      <c r="AN2478">
        <v>-1</v>
      </c>
      <c r="AO2478">
        <v>0.3</v>
      </c>
      <c r="AP2478">
        <v>1.47</v>
      </c>
      <c r="AQ2478">
        <v>-2.54</v>
      </c>
      <c r="AR2478">
        <v>-4.54</v>
      </c>
      <c r="AS2478">
        <v>0.9</v>
      </c>
      <c r="AT2478" t="s">
        <v>11420</v>
      </c>
      <c r="AU2478">
        <v>17.350000000000001</v>
      </c>
      <c r="AV2478">
        <v>15.94</v>
      </c>
      <c r="AW2478">
        <v>1.02</v>
      </c>
      <c r="BA2478">
        <v>-0.27</v>
      </c>
      <c r="BB2478">
        <v>0.47</v>
      </c>
      <c r="BC2478">
        <v>-0.36</v>
      </c>
      <c r="BD2478">
        <v>0.13</v>
      </c>
      <c r="BE2478">
        <v>0.18</v>
      </c>
      <c r="BF2478">
        <v>-0.56000000000000005</v>
      </c>
      <c r="BG2478">
        <v>0.27</v>
      </c>
      <c r="BH2478">
        <v>-0.22</v>
      </c>
      <c r="BI2478">
        <v>20191029</v>
      </c>
      <c r="BJ2478">
        <v>20010206</v>
      </c>
      <c r="BK2478">
        <v>16.260000000000002</v>
      </c>
      <c r="BL2478" t="s">
        <v>116</v>
      </c>
      <c r="BM2478">
        <v>2.2000000000000002</v>
      </c>
      <c r="BN2478">
        <v>543.17999999999995</v>
      </c>
      <c r="BO2478">
        <v>241.57</v>
      </c>
      <c r="BP2478">
        <v>17.62</v>
      </c>
      <c r="BQ2478">
        <v>52.28</v>
      </c>
      <c r="BR2478">
        <v>434.98</v>
      </c>
      <c r="BS2478">
        <v>28.77</v>
      </c>
      <c r="BT2478">
        <v>24.11</v>
      </c>
      <c r="BU2478">
        <v>268.95999999999998</v>
      </c>
      <c r="BV2478">
        <v>90.41</v>
      </c>
      <c r="BW2478">
        <v>146.46</v>
      </c>
      <c r="BX2478">
        <v>98.65</v>
      </c>
      <c r="BY2478">
        <v>500.62</v>
      </c>
      <c r="BZ2478">
        <v>391.87</v>
      </c>
      <c r="CA2478">
        <v>39.68</v>
      </c>
      <c r="CB2478">
        <v>1.55</v>
      </c>
      <c r="CC2478">
        <v>40.51</v>
      </c>
      <c r="CD2478">
        <v>33.799999999999997</v>
      </c>
      <c r="CE2478">
        <v>31.6</v>
      </c>
      <c r="CF2478">
        <v>27.46</v>
      </c>
      <c r="CG2478">
        <v>112.96</v>
      </c>
      <c r="CH2478">
        <v>10.220000000000001</v>
      </c>
      <c r="CI2478">
        <v>-0.35</v>
      </c>
      <c r="CJ2478">
        <v>75901</v>
      </c>
      <c r="CK2478">
        <v>7756</v>
      </c>
      <c r="CL2478" t="s">
        <v>11421</v>
      </c>
      <c r="CM2478">
        <v>-8.1300000000000008</v>
      </c>
      <c r="CN2478">
        <v>67.569999999999993</v>
      </c>
      <c r="CO2478">
        <v>2.27</v>
      </c>
      <c r="CP2478">
        <v>53.63</v>
      </c>
      <c r="CQ2478">
        <v>1.1000000000000001</v>
      </c>
      <c r="CR2478">
        <v>1.26</v>
      </c>
      <c r="CS2478" t="s">
        <v>11422</v>
      </c>
      <c r="CT2478">
        <v>14.86</v>
      </c>
      <c r="CU2478">
        <v>0</v>
      </c>
      <c r="CV2478">
        <v>6.07</v>
      </c>
      <c r="CW2478">
        <v>6.95</v>
      </c>
      <c r="CX2478">
        <v>0.63</v>
      </c>
      <c r="CY2478">
        <v>44.47</v>
      </c>
      <c r="CZ2478" t="s">
        <v>11423</v>
      </c>
      <c r="DA2478">
        <v>21.72</v>
      </c>
      <c r="DB2478">
        <v>7.93</v>
      </c>
      <c r="DC2478">
        <v>6.31</v>
      </c>
      <c r="DD2478">
        <v>4.6399999999999997</v>
      </c>
      <c r="DE2478">
        <v>23131</v>
      </c>
      <c r="DF2478">
        <v>600332</v>
      </c>
      <c r="DG2478" t="s">
        <v>116</v>
      </c>
      <c r="DH2478" t="s">
        <v>116</v>
      </c>
      <c r="DI2478" t="s">
        <v>116</v>
      </c>
    </row>
    <row r="2479" spans="1:113" x14ac:dyDescent="0.4">
      <c r="A2479" t="str">
        <f>"600333"</f>
        <v>600333</v>
      </c>
      <c r="B2479" t="s">
        <v>11424</v>
      </c>
      <c r="C2479">
        <v>-0.19</v>
      </c>
      <c r="D2479">
        <v>5.18</v>
      </c>
      <c r="E2479">
        <v>-0.01</v>
      </c>
      <c r="F2479">
        <v>5.17</v>
      </c>
      <c r="G2479">
        <v>5.18</v>
      </c>
      <c r="H2479">
        <v>32998</v>
      </c>
      <c r="I2479">
        <v>1004</v>
      </c>
      <c r="J2479">
        <v>0</v>
      </c>
      <c r="K2479">
        <v>0.62</v>
      </c>
      <c r="L2479">
        <v>5.21</v>
      </c>
      <c r="M2479">
        <v>5.22</v>
      </c>
      <c r="N2479">
        <v>5.18</v>
      </c>
      <c r="O2479">
        <v>5.19</v>
      </c>
      <c r="P2479" t="s">
        <v>116</v>
      </c>
      <c r="Q2479">
        <v>17162988</v>
      </c>
      <c r="R2479">
        <v>0.83</v>
      </c>
      <c r="S2479" t="s">
        <v>690</v>
      </c>
      <c r="T2479" t="s">
        <v>294</v>
      </c>
      <c r="U2479">
        <v>0.77</v>
      </c>
      <c r="V2479">
        <v>5.2</v>
      </c>
      <c r="W2479">
        <v>18154</v>
      </c>
      <c r="X2479">
        <v>14844</v>
      </c>
      <c r="Y2479">
        <v>1.22</v>
      </c>
      <c r="Z2479">
        <v>587</v>
      </c>
      <c r="AA2479">
        <v>113</v>
      </c>
      <c r="AB2479" t="s">
        <v>116</v>
      </c>
      <c r="AC2479">
        <v>45300</v>
      </c>
      <c r="AD2479">
        <v>0</v>
      </c>
      <c r="AE2479" t="s">
        <v>116</v>
      </c>
      <c r="AF2479" t="s">
        <v>116</v>
      </c>
      <c r="AG2479">
        <v>5.3</v>
      </c>
      <c r="AH2479" t="s">
        <v>11129</v>
      </c>
      <c r="AI2479" t="s">
        <v>11425</v>
      </c>
      <c r="AJ2479">
        <v>-0.12</v>
      </c>
      <c r="AK2479">
        <v>684</v>
      </c>
      <c r="AL2479">
        <v>48</v>
      </c>
      <c r="AM2479">
        <v>8.9999999999999998E-4</v>
      </c>
      <c r="AN2479">
        <v>-3</v>
      </c>
      <c r="AO2479">
        <v>-0.76</v>
      </c>
      <c r="AP2479">
        <v>-2.81</v>
      </c>
      <c r="AQ2479">
        <v>-9.2799999999999994</v>
      </c>
      <c r="AR2479">
        <v>-7.33</v>
      </c>
      <c r="AS2479">
        <v>1.31</v>
      </c>
      <c r="AT2479" t="s">
        <v>8008</v>
      </c>
      <c r="AU2479" t="s">
        <v>116</v>
      </c>
      <c r="AV2479" t="s">
        <v>116</v>
      </c>
      <c r="AW2479">
        <v>0.97</v>
      </c>
      <c r="BA2479">
        <v>0.39</v>
      </c>
      <c r="BB2479">
        <v>0.57999999999999996</v>
      </c>
      <c r="BC2479">
        <v>-0.19</v>
      </c>
      <c r="BD2479">
        <v>0.22</v>
      </c>
      <c r="BE2479">
        <v>-0.57999999999999996</v>
      </c>
      <c r="BF2479">
        <v>-0.77</v>
      </c>
      <c r="BG2479">
        <v>0</v>
      </c>
      <c r="BH2479">
        <v>-0.41</v>
      </c>
      <c r="BI2479">
        <v>20191025</v>
      </c>
      <c r="BJ2479">
        <v>20001211</v>
      </c>
      <c r="BK2479">
        <v>6.09</v>
      </c>
      <c r="BL2479" t="s">
        <v>116</v>
      </c>
      <c r="BM2479" t="s">
        <v>116</v>
      </c>
      <c r="BN2479">
        <v>56.22</v>
      </c>
      <c r="BO2479">
        <v>20.05</v>
      </c>
      <c r="BP2479">
        <v>0.28000000000000003</v>
      </c>
      <c r="BQ2479">
        <v>63.83</v>
      </c>
      <c r="BR2479">
        <v>8.6199999999999992</v>
      </c>
      <c r="BS2479">
        <v>36.72</v>
      </c>
      <c r="BT2479">
        <v>2.83</v>
      </c>
      <c r="BU2479">
        <v>26.92</v>
      </c>
      <c r="BV2479">
        <v>4.42</v>
      </c>
      <c r="BW2479">
        <v>0.96</v>
      </c>
      <c r="BX2479">
        <v>9.91</v>
      </c>
      <c r="BY2479">
        <v>10.86</v>
      </c>
      <c r="BZ2479">
        <v>7.51</v>
      </c>
      <c r="CA2479">
        <v>-0.88</v>
      </c>
      <c r="CB2479">
        <v>0.02</v>
      </c>
      <c r="CC2479">
        <v>-0.85</v>
      </c>
      <c r="CD2479">
        <v>-0.86</v>
      </c>
      <c r="CE2479">
        <v>-0.85</v>
      </c>
      <c r="CF2479">
        <v>-0.92</v>
      </c>
      <c r="CG2479">
        <v>2.4500000000000002</v>
      </c>
      <c r="CH2479">
        <v>-0.08</v>
      </c>
      <c r="CI2479">
        <v>-0.39</v>
      </c>
      <c r="CJ2479">
        <v>44337</v>
      </c>
      <c r="CK2479">
        <v>5666</v>
      </c>
      <c r="CL2479" t="s">
        <v>1835</v>
      </c>
      <c r="CM2479">
        <v>34.19</v>
      </c>
      <c r="CN2479">
        <v>4.2</v>
      </c>
      <c r="CO2479">
        <v>1.57</v>
      </c>
      <c r="CP2479">
        <v>-386.09</v>
      </c>
      <c r="CQ2479">
        <v>2.9</v>
      </c>
      <c r="CR2479">
        <v>0</v>
      </c>
      <c r="CS2479" t="s">
        <v>7906</v>
      </c>
      <c r="CT2479">
        <v>3.29</v>
      </c>
      <c r="CU2479">
        <v>0</v>
      </c>
      <c r="CV2479">
        <v>1.63</v>
      </c>
      <c r="CW2479">
        <v>0.4</v>
      </c>
      <c r="CX2479">
        <v>-0.01</v>
      </c>
      <c r="CY2479">
        <v>35.67</v>
      </c>
      <c r="CZ2479" t="s">
        <v>11426</v>
      </c>
      <c r="DA2479">
        <v>30.86</v>
      </c>
      <c r="DB2479">
        <v>-8.1</v>
      </c>
      <c r="DC2479">
        <v>-7.82</v>
      </c>
      <c r="DD2479">
        <v>0.02</v>
      </c>
      <c r="DE2479">
        <v>2747</v>
      </c>
      <c r="DF2479">
        <v>600333</v>
      </c>
      <c r="DG2479" t="s">
        <v>116</v>
      </c>
      <c r="DH2479" t="s">
        <v>116</v>
      </c>
      <c r="DI2479" t="s">
        <v>116</v>
      </c>
    </row>
    <row r="2480" spans="1:113" x14ac:dyDescent="0.4">
      <c r="A2480" t="str">
        <f>"600335"</f>
        <v>600335</v>
      </c>
      <c r="B2480" t="s">
        <v>11427</v>
      </c>
      <c r="C2480">
        <v>1.59</v>
      </c>
      <c r="D2480">
        <v>5.74</v>
      </c>
      <c r="E2480">
        <v>0.09</v>
      </c>
      <c r="F2480">
        <v>5.74</v>
      </c>
      <c r="G2480">
        <v>5.75</v>
      </c>
      <c r="H2480">
        <v>107249</v>
      </c>
      <c r="I2480">
        <v>2345</v>
      </c>
      <c r="J2480">
        <v>0.35</v>
      </c>
      <c r="K2480">
        <v>1.04</v>
      </c>
      <c r="L2480">
        <v>5.66</v>
      </c>
      <c r="M2480">
        <v>5.79</v>
      </c>
      <c r="N2480">
        <v>5.66</v>
      </c>
      <c r="O2480">
        <v>5.65</v>
      </c>
      <c r="P2480">
        <v>11.94</v>
      </c>
      <c r="Q2480">
        <v>61508152</v>
      </c>
      <c r="R2480">
        <v>1.99</v>
      </c>
      <c r="S2480" t="s">
        <v>293</v>
      </c>
      <c r="T2480" t="s">
        <v>1035</v>
      </c>
      <c r="U2480">
        <v>2.2999999999999998</v>
      </c>
      <c r="V2480">
        <v>5.74</v>
      </c>
      <c r="W2480">
        <v>49421</v>
      </c>
      <c r="X2480">
        <v>57828</v>
      </c>
      <c r="Y2480">
        <v>0.85</v>
      </c>
      <c r="Z2480">
        <v>768</v>
      </c>
      <c r="AA2480">
        <v>1243</v>
      </c>
      <c r="AB2480" t="s">
        <v>116</v>
      </c>
      <c r="AC2480">
        <v>91100</v>
      </c>
      <c r="AD2480">
        <v>0</v>
      </c>
      <c r="AE2480" t="s">
        <v>116</v>
      </c>
      <c r="AF2480" t="s">
        <v>116</v>
      </c>
      <c r="AG2480">
        <v>10.3</v>
      </c>
      <c r="AH2480" t="s">
        <v>11428</v>
      </c>
      <c r="AI2480" t="s">
        <v>11429</v>
      </c>
      <c r="AJ2480">
        <v>1.67</v>
      </c>
      <c r="AK2480">
        <v>1892</v>
      </c>
      <c r="AL2480">
        <v>57</v>
      </c>
      <c r="AM2480">
        <v>5.9999999999999995E-4</v>
      </c>
      <c r="AN2480">
        <v>1</v>
      </c>
      <c r="AO2480">
        <v>1.76</v>
      </c>
      <c r="AP2480">
        <v>4.9400000000000004</v>
      </c>
      <c r="AQ2480">
        <v>-10.73</v>
      </c>
      <c r="AR2480">
        <v>-5.75</v>
      </c>
      <c r="AS2480">
        <v>2.5</v>
      </c>
      <c r="AT2480" t="s">
        <v>9171</v>
      </c>
      <c r="AU2480">
        <v>16.809999999999999</v>
      </c>
      <c r="AV2480">
        <v>14.06</v>
      </c>
      <c r="AW2480">
        <v>1.45</v>
      </c>
      <c r="BA2480">
        <v>0.18</v>
      </c>
      <c r="BB2480">
        <v>2.48</v>
      </c>
      <c r="BC2480">
        <v>0.18</v>
      </c>
      <c r="BD2480">
        <v>1.51</v>
      </c>
      <c r="BE2480">
        <v>1.41</v>
      </c>
      <c r="BF2480">
        <v>-0.86</v>
      </c>
      <c r="BG2480">
        <v>1.41</v>
      </c>
      <c r="BH2480">
        <v>0.09</v>
      </c>
      <c r="BI2480">
        <v>20191029</v>
      </c>
      <c r="BJ2480">
        <v>20010305</v>
      </c>
      <c r="BK2480">
        <v>14.57</v>
      </c>
      <c r="BL2480" t="s">
        <v>116</v>
      </c>
      <c r="BM2480" t="s">
        <v>116</v>
      </c>
      <c r="BN2480">
        <v>328.17</v>
      </c>
      <c r="BO2480">
        <v>101.1</v>
      </c>
      <c r="BP2480">
        <v>0.23</v>
      </c>
      <c r="BQ2480">
        <v>69.12</v>
      </c>
      <c r="BR2480">
        <v>243.1</v>
      </c>
      <c r="BS2480">
        <v>30.74</v>
      </c>
      <c r="BT2480">
        <v>8.36</v>
      </c>
      <c r="BU2480">
        <v>194.88</v>
      </c>
      <c r="BV2480">
        <v>111.04</v>
      </c>
      <c r="BW2480">
        <v>41.66</v>
      </c>
      <c r="BX2480">
        <v>30.47</v>
      </c>
      <c r="BY2480">
        <v>374.83</v>
      </c>
      <c r="BZ2480">
        <v>347.32</v>
      </c>
      <c r="CA2480">
        <v>6.26</v>
      </c>
      <c r="CB2480">
        <v>-0.23</v>
      </c>
      <c r="CC2480">
        <v>6.53</v>
      </c>
      <c r="CD2480">
        <v>4.63</v>
      </c>
      <c r="CE2480">
        <v>5.25</v>
      </c>
      <c r="CF2480">
        <v>4.04</v>
      </c>
      <c r="CG2480">
        <v>54.36</v>
      </c>
      <c r="CH2480">
        <v>6.78</v>
      </c>
      <c r="CI2480">
        <v>-24.99</v>
      </c>
      <c r="CJ2480">
        <v>25740</v>
      </c>
      <c r="CK2480">
        <v>16677</v>
      </c>
      <c r="CL2480" t="s">
        <v>7289</v>
      </c>
      <c r="CM2480">
        <v>-15.64</v>
      </c>
      <c r="CN2480">
        <v>-8.9</v>
      </c>
      <c r="CO2480">
        <v>0.83</v>
      </c>
      <c r="CP2480">
        <v>12.33</v>
      </c>
      <c r="CQ2480">
        <v>0.22</v>
      </c>
      <c r="CR2480">
        <v>2.61</v>
      </c>
      <c r="CS2480" t="s">
        <v>4791</v>
      </c>
      <c r="CT2480">
        <v>6.94</v>
      </c>
      <c r="CU2480">
        <v>0</v>
      </c>
      <c r="CV2480">
        <v>2.09</v>
      </c>
      <c r="CW2480">
        <v>3.73</v>
      </c>
      <c r="CX2480">
        <v>0.47</v>
      </c>
      <c r="CY2480">
        <v>30.81</v>
      </c>
      <c r="CZ2480" t="s">
        <v>3669</v>
      </c>
      <c r="DA2480">
        <v>7.34</v>
      </c>
      <c r="DB2480">
        <v>1.67</v>
      </c>
      <c r="DC2480">
        <v>1.4</v>
      </c>
      <c r="DD2480">
        <v>4.9000000000000004</v>
      </c>
      <c r="DE2480">
        <v>3892</v>
      </c>
      <c r="DF2480">
        <v>600335</v>
      </c>
      <c r="DG2480" t="s">
        <v>116</v>
      </c>
      <c r="DH2480" t="s">
        <v>116</v>
      </c>
      <c r="DI2480" t="s">
        <v>116</v>
      </c>
    </row>
    <row r="2481" spans="1:113" x14ac:dyDescent="0.4">
      <c r="A2481" t="str">
        <f>"600336"</f>
        <v>600336</v>
      </c>
      <c r="B2481" t="s">
        <v>11430</v>
      </c>
      <c r="C2481">
        <v>0</v>
      </c>
      <c r="D2481">
        <v>4.33</v>
      </c>
      <c r="E2481">
        <v>0</v>
      </c>
      <c r="F2481">
        <v>4.33</v>
      </c>
      <c r="G2481">
        <v>4.34</v>
      </c>
      <c r="H2481">
        <v>44755</v>
      </c>
      <c r="I2481">
        <v>155</v>
      </c>
      <c r="J2481">
        <v>0.23</v>
      </c>
      <c r="K2481">
        <v>0.57999999999999996</v>
      </c>
      <c r="L2481">
        <v>4.34</v>
      </c>
      <c r="M2481">
        <v>4.3499999999999996</v>
      </c>
      <c r="N2481">
        <v>4.3099999999999996</v>
      </c>
      <c r="O2481">
        <v>4.33</v>
      </c>
      <c r="P2481">
        <v>29.73</v>
      </c>
      <c r="Q2481">
        <v>19382636</v>
      </c>
      <c r="R2481">
        <v>1.22</v>
      </c>
      <c r="S2481" t="s">
        <v>209</v>
      </c>
      <c r="T2481" t="s">
        <v>645</v>
      </c>
      <c r="U2481">
        <v>0.92</v>
      </c>
      <c r="V2481">
        <v>4.33</v>
      </c>
      <c r="W2481">
        <v>22031</v>
      </c>
      <c r="X2481">
        <v>22724</v>
      </c>
      <c r="Y2481">
        <v>0.97</v>
      </c>
      <c r="Z2481">
        <v>133</v>
      </c>
      <c r="AA2481">
        <v>2034</v>
      </c>
      <c r="AB2481" t="s">
        <v>116</v>
      </c>
      <c r="AC2481">
        <v>0</v>
      </c>
      <c r="AD2481">
        <v>0</v>
      </c>
      <c r="AE2481" t="s">
        <v>116</v>
      </c>
      <c r="AF2481" t="s">
        <v>116</v>
      </c>
      <c r="AG2481">
        <v>7.77</v>
      </c>
      <c r="AH2481" t="s">
        <v>3248</v>
      </c>
      <c r="AI2481" t="s">
        <v>11431</v>
      </c>
      <c r="AJ2481">
        <v>0.08</v>
      </c>
      <c r="AK2481">
        <v>604</v>
      </c>
      <c r="AL2481">
        <v>74</v>
      </c>
      <c r="AM2481">
        <v>1E-3</v>
      </c>
      <c r="AN2481">
        <v>0</v>
      </c>
      <c r="AO2481">
        <v>-1.1399999999999999</v>
      </c>
      <c r="AP2481">
        <v>2.12</v>
      </c>
      <c r="AQ2481">
        <v>1.88</v>
      </c>
      <c r="AR2481">
        <v>29.64</v>
      </c>
      <c r="AS2481">
        <v>1.1200000000000001</v>
      </c>
      <c r="AT2481" t="s">
        <v>7956</v>
      </c>
      <c r="AU2481">
        <v>32.049999999999997</v>
      </c>
      <c r="AV2481">
        <v>49.51</v>
      </c>
      <c r="AW2481">
        <v>1.36</v>
      </c>
      <c r="BA2481">
        <v>0.23</v>
      </c>
      <c r="BB2481">
        <v>0.46</v>
      </c>
      <c r="BC2481">
        <v>-0.46</v>
      </c>
      <c r="BD2481">
        <v>0.02</v>
      </c>
      <c r="BE2481">
        <v>-0.23</v>
      </c>
      <c r="BF2481">
        <v>-0.46</v>
      </c>
      <c r="BG2481">
        <v>0.46</v>
      </c>
      <c r="BH2481">
        <v>-0.02</v>
      </c>
      <c r="BI2481">
        <v>20191227</v>
      </c>
      <c r="BJ2481">
        <v>20001229</v>
      </c>
      <c r="BK2481">
        <v>7.99</v>
      </c>
      <c r="BL2481" t="s">
        <v>116</v>
      </c>
      <c r="BM2481" t="s">
        <v>116</v>
      </c>
      <c r="BN2481">
        <v>67.739999999999995</v>
      </c>
      <c r="BO2481">
        <v>19.12</v>
      </c>
      <c r="BP2481">
        <v>1.79</v>
      </c>
      <c r="BQ2481">
        <v>69.14</v>
      </c>
      <c r="BR2481">
        <v>44.67</v>
      </c>
      <c r="BS2481">
        <v>5.61</v>
      </c>
      <c r="BT2481">
        <v>5.31</v>
      </c>
      <c r="BU2481">
        <v>42.42</v>
      </c>
      <c r="BV2481">
        <v>8.15</v>
      </c>
      <c r="BW2481">
        <v>9.1</v>
      </c>
      <c r="BX2481">
        <v>11.7</v>
      </c>
      <c r="BY2481">
        <v>49.08</v>
      </c>
      <c r="BZ2481">
        <v>39.1</v>
      </c>
      <c r="CA2481">
        <v>1.1200000000000001</v>
      </c>
      <c r="CB2481">
        <v>-0.12</v>
      </c>
      <c r="CC2481">
        <v>1.23</v>
      </c>
      <c r="CD2481">
        <v>0.93</v>
      </c>
      <c r="CE2481">
        <v>0.87</v>
      </c>
      <c r="CF2481">
        <v>0.56000000000000005</v>
      </c>
      <c r="CG2481">
        <v>-0.86</v>
      </c>
      <c r="CH2481">
        <v>13.71</v>
      </c>
      <c r="CI2481">
        <v>9.76</v>
      </c>
      <c r="CJ2481">
        <v>35075</v>
      </c>
      <c r="CK2481">
        <v>11369</v>
      </c>
      <c r="CL2481" t="s">
        <v>6947</v>
      </c>
      <c r="CM2481">
        <v>77.290000000000006</v>
      </c>
      <c r="CN2481">
        <v>12.5</v>
      </c>
      <c r="CO2481">
        <v>1.81</v>
      </c>
      <c r="CP2481">
        <v>2.52</v>
      </c>
      <c r="CQ2481">
        <v>0.7</v>
      </c>
      <c r="CR2481">
        <v>0.69</v>
      </c>
      <c r="CS2481" t="s">
        <v>3966</v>
      </c>
      <c r="CT2481">
        <v>2.39</v>
      </c>
      <c r="CU2481">
        <v>0</v>
      </c>
      <c r="CV2481">
        <v>1.46</v>
      </c>
      <c r="CW2481">
        <v>-0.11</v>
      </c>
      <c r="CX2481">
        <v>1.72</v>
      </c>
      <c r="CY2481">
        <v>28.22</v>
      </c>
      <c r="CZ2481" t="s">
        <v>2847</v>
      </c>
      <c r="DA2481">
        <v>20.34</v>
      </c>
      <c r="DB2481">
        <v>2.2799999999999998</v>
      </c>
      <c r="DC2481">
        <v>1.78</v>
      </c>
      <c r="DD2481">
        <v>0.97</v>
      </c>
      <c r="DE2481">
        <v>6456</v>
      </c>
      <c r="DF2481">
        <v>600336</v>
      </c>
      <c r="DG2481" t="s">
        <v>116</v>
      </c>
      <c r="DH2481" t="s">
        <v>116</v>
      </c>
      <c r="DI2481" t="s">
        <v>116</v>
      </c>
    </row>
    <row r="2482" spans="1:113" x14ac:dyDescent="0.4">
      <c r="A2482" t="str">
        <f>"600337"</f>
        <v>600337</v>
      </c>
      <c r="B2482" t="s">
        <v>11432</v>
      </c>
      <c r="C2482">
        <v>-0.94</v>
      </c>
      <c r="D2482">
        <v>4.2300000000000004</v>
      </c>
      <c r="E2482">
        <v>-0.04</v>
      </c>
      <c r="F2482">
        <v>4.22</v>
      </c>
      <c r="G2482">
        <v>4.2300000000000004</v>
      </c>
      <c r="H2482">
        <v>132902</v>
      </c>
      <c r="I2482">
        <v>1450</v>
      </c>
      <c r="J2482">
        <v>0</v>
      </c>
      <c r="K2482">
        <v>0.77</v>
      </c>
      <c r="L2482">
        <v>4.2699999999999996</v>
      </c>
      <c r="M2482">
        <v>4.32</v>
      </c>
      <c r="N2482">
        <v>4.22</v>
      </c>
      <c r="O2482">
        <v>4.2699999999999996</v>
      </c>
      <c r="P2482">
        <v>15.85</v>
      </c>
      <c r="Q2482">
        <v>56558192</v>
      </c>
      <c r="R2482">
        <v>0.82</v>
      </c>
      <c r="S2482" t="s">
        <v>2640</v>
      </c>
      <c r="T2482" t="s">
        <v>616</v>
      </c>
      <c r="U2482">
        <v>2.34</v>
      </c>
      <c r="V2482">
        <v>4.26</v>
      </c>
      <c r="W2482">
        <v>81507</v>
      </c>
      <c r="X2482">
        <v>51395</v>
      </c>
      <c r="Y2482">
        <v>1.59</v>
      </c>
      <c r="Z2482">
        <v>2150</v>
      </c>
      <c r="AA2482">
        <v>170</v>
      </c>
      <c r="AB2482" t="s">
        <v>116</v>
      </c>
      <c r="AC2482">
        <v>168700</v>
      </c>
      <c r="AD2482">
        <v>0</v>
      </c>
      <c r="AE2482" t="s">
        <v>116</v>
      </c>
      <c r="AF2482" t="s">
        <v>116</v>
      </c>
      <c r="AG2482">
        <v>17.28</v>
      </c>
      <c r="AH2482" t="s">
        <v>11433</v>
      </c>
      <c r="AI2482" t="s">
        <v>11434</v>
      </c>
      <c r="AJ2482">
        <v>-0.86</v>
      </c>
      <c r="AK2482">
        <v>2636</v>
      </c>
      <c r="AL2482">
        <v>50</v>
      </c>
      <c r="AM2482">
        <v>2.9999999999999997E-4</v>
      </c>
      <c r="AN2482">
        <v>-1</v>
      </c>
      <c r="AO2482">
        <v>-3.21</v>
      </c>
      <c r="AP2482">
        <v>8.74</v>
      </c>
      <c r="AQ2482">
        <v>6.28</v>
      </c>
      <c r="AR2482">
        <v>12.8</v>
      </c>
      <c r="AS2482">
        <v>1.27</v>
      </c>
      <c r="AT2482" t="s">
        <v>4830</v>
      </c>
      <c r="AU2482">
        <v>15.99</v>
      </c>
      <c r="AV2482">
        <v>16.600000000000001</v>
      </c>
      <c r="AW2482">
        <v>1.05</v>
      </c>
      <c r="BA2482">
        <v>0</v>
      </c>
      <c r="BB2482">
        <v>1.17</v>
      </c>
      <c r="BC2482">
        <v>-1.17</v>
      </c>
      <c r="BD2482">
        <v>-0.34</v>
      </c>
      <c r="BE2482">
        <v>-0.94</v>
      </c>
      <c r="BF2482">
        <v>-2.08</v>
      </c>
      <c r="BG2482">
        <v>0.24</v>
      </c>
      <c r="BH2482">
        <v>-0.6</v>
      </c>
      <c r="BI2482">
        <v>20191031</v>
      </c>
      <c r="BJ2482">
        <v>20001127</v>
      </c>
      <c r="BK2482">
        <v>17.71</v>
      </c>
      <c r="BL2482" t="s">
        <v>116</v>
      </c>
      <c r="BM2482" t="s">
        <v>116</v>
      </c>
      <c r="BN2482">
        <v>79.17</v>
      </c>
      <c r="BO2482">
        <v>45.2</v>
      </c>
      <c r="BP2482">
        <v>0.18</v>
      </c>
      <c r="BQ2482">
        <v>42.68</v>
      </c>
      <c r="BR2482">
        <v>42.73</v>
      </c>
      <c r="BS2482">
        <v>17.510000000000002</v>
      </c>
      <c r="BT2482">
        <v>6.18</v>
      </c>
      <c r="BU2482">
        <v>23.72</v>
      </c>
      <c r="BV2482">
        <v>19.350000000000001</v>
      </c>
      <c r="BW2482">
        <v>3.35</v>
      </c>
      <c r="BX2482">
        <v>12.64</v>
      </c>
      <c r="BY2482">
        <v>42.14</v>
      </c>
      <c r="BZ2482">
        <v>19.82</v>
      </c>
      <c r="CA2482">
        <v>4.1500000000000004</v>
      </c>
      <c r="CB2482">
        <v>0.12</v>
      </c>
      <c r="CC2482">
        <v>4.2</v>
      </c>
      <c r="CD2482">
        <v>3.5</v>
      </c>
      <c r="CE2482">
        <v>3.54</v>
      </c>
      <c r="CF2482">
        <v>3.1</v>
      </c>
      <c r="CG2482">
        <v>17.64</v>
      </c>
      <c r="CH2482">
        <v>4.7300000000000004</v>
      </c>
      <c r="CI2482">
        <v>-10.63</v>
      </c>
      <c r="CJ2482">
        <v>30789</v>
      </c>
      <c r="CK2482">
        <v>34083</v>
      </c>
      <c r="CL2482" t="s">
        <v>7875</v>
      </c>
      <c r="CM2482">
        <v>5.14</v>
      </c>
      <c r="CN2482">
        <v>5.2</v>
      </c>
      <c r="CO2482">
        <v>1.66</v>
      </c>
      <c r="CP2482">
        <v>15.85</v>
      </c>
      <c r="CQ2482">
        <v>1.78</v>
      </c>
      <c r="CR2482">
        <v>4.46</v>
      </c>
      <c r="CS2482" t="s">
        <v>541</v>
      </c>
      <c r="CT2482">
        <v>2.5499999999999998</v>
      </c>
      <c r="CU2482">
        <v>0</v>
      </c>
      <c r="CV2482">
        <v>0.71</v>
      </c>
      <c r="CW2482">
        <v>1</v>
      </c>
      <c r="CX2482">
        <v>0.27</v>
      </c>
      <c r="CY2482">
        <v>57.1</v>
      </c>
      <c r="CZ2482" t="s">
        <v>1026</v>
      </c>
      <c r="DA2482">
        <v>52.96</v>
      </c>
      <c r="DB2482">
        <v>9.86</v>
      </c>
      <c r="DC2482">
        <v>8.41</v>
      </c>
      <c r="DD2482">
        <v>0.47</v>
      </c>
      <c r="DE2482">
        <v>8262</v>
      </c>
      <c r="DF2482">
        <v>600337</v>
      </c>
      <c r="DG2482" t="s">
        <v>116</v>
      </c>
      <c r="DH2482" t="s">
        <v>116</v>
      </c>
      <c r="DI2482" t="s">
        <v>116</v>
      </c>
    </row>
    <row r="2483" spans="1:113" x14ac:dyDescent="0.4">
      <c r="A2483" t="str">
        <f>"600338"</f>
        <v>600338</v>
      </c>
      <c r="B2483" t="s">
        <v>11435</v>
      </c>
      <c r="C2483">
        <v>3.79</v>
      </c>
      <c r="D2483">
        <v>11.79</v>
      </c>
      <c r="E2483">
        <v>0.43</v>
      </c>
      <c r="F2483">
        <v>11.78</v>
      </c>
      <c r="G2483">
        <v>11.79</v>
      </c>
      <c r="H2483">
        <v>340031</v>
      </c>
      <c r="I2483">
        <v>4014</v>
      </c>
      <c r="J2483">
        <v>-7.0000000000000007E-2</v>
      </c>
      <c r="K2483">
        <v>3.72</v>
      </c>
      <c r="L2483">
        <v>11.46</v>
      </c>
      <c r="M2483">
        <v>12.08</v>
      </c>
      <c r="N2483">
        <v>11.27</v>
      </c>
      <c r="O2483">
        <v>11.36</v>
      </c>
      <c r="P2483">
        <v>15.55</v>
      </c>
      <c r="Q2483">
        <v>397573728</v>
      </c>
      <c r="R2483">
        <v>2.08</v>
      </c>
      <c r="S2483" t="s">
        <v>441</v>
      </c>
      <c r="T2483" t="s">
        <v>2028</v>
      </c>
      <c r="U2483">
        <v>7.13</v>
      </c>
      <c r="V2483">
        <v>11.69</v>
      </c>
      <c r="W2483">
        <v>179956</v>
      </c>
      <c r="X2483">
        <v>160075</v>
      </c>
      <c r="Y2483">
        <v>1.1200000000000001</v>
      </c>
      <c r="Z2483">
        <v>390</v>
      </c>
      <c r="AA2483">
        <v>81</v>
      </c>
      <c r="AB2483" t="s">
        <v>116</v>
      </c>
      <c r="AC2483">
        <v>1142600</v>
      </c>
      <c r="AD2483">
        <v>0.04</v>
      </c>
      <c r="AE2483" t="s">
        <v>116</v>
      </c>
      <c r="AF2483" t="s">
        <v>116</v>
      </c>
      <c r="AG2483">
        <v>9.14</v>
      </c>
      <c r="AH2483" t="s">
        <v>516</v>
      </c>
      <c r="AI2483" t="s">
        <v>516</v>
      </c>
      <c r="AJ2483">
        <v>3.86</v>
      </c>
      <c r="AK2483">
        <v>4054</v>
      </c>
      <c r="AL2483">
        <v>84</v>
      </c>
      <c r="AM2483">
        <v>8.9999999999999998E-4</v>
      </c>
      <c r="AN2483">
        <v>1</v>
      </c>
      <c r="AO2483">
        <v>6.12</v>
      </c>
      <c r="AP2483">
        <v>15.02</v>
      </c>
      <c r="AQ2483">
        <v>-2.08</v>
      </c>
      <c r="AR2483">
        <v>-14.87</v>
      </c>
      <c r="AS2483">
        <v>13.85</v>
      </c>
      <c r="AT2483" t="s">
        <v>11436</v>
      </c>
      <c r="AU2483">
        <v>16.53</v>
      </c>
      <c r="AV2483">
        <v>11.97</v>
      </c>
      <c r="AW2483">
        <v>1.48</v>
      </c>
      <c r="BA2483">
        <v>0.88</v>
      </c>
      <c r="BB2483">
        <v>6.34</v>
      </c>
      <c r="BC2483">
        <v>-0.79</v>
      </c>
      <c r="BD2483">
        <v>2.93</v>
      </c>
      <c r="BE2483">
        <v>2.88</v>
      </c>
      <c r="BF2483">
        <v>-2.4</v>
      </c>
      <c r="BG2483">
        <v>4.6100000000000003</v>
      </c>
      <c r="BH2483">
        <v>0.86</v>
      </c>
      <c r="BI2483">
        <v>20191026</v>
      </c>
      <c r="BJ2483">
        <v>20001227</v>
      </c>
      <c r="BK2483">
        <v>9.14</v>
      </c>
      <c r="BL2483" t="s">
        <v>116</v>
      </c>
      <c r="BM2483" t="s">
        <v>116</v>
      </c>
      <c r="BN2483">
        <v>46.35</v>
      </c>
      <c r="BO2483">
        <v>26.78</v>
      </c>
      <c r="BP2483">
        <v>0</v>
      </c>
      <c r="BQ2483">
        <v>42.22</v>
      </c>
      <c r="BR2483">
        <v>26.62</v>
      </c>
      <c r="BS2483">
        <v>13.24</v>
      </c>
      <c r="BT2483">
        <v>0.02</v>
      </c>
      <c r="BU2483">
        <v>13.44</v>
      </c>
      <c r="BV2483">
        <v>2.0699999999999998</v>
      </c>
      <c r="BW2483">
        <v>1.79</v>
      </c>
      <c r="BX2483">
        <v>0.22</v>
      </c>
      <c r="BY2483">
        <v>13.44</v>
      </c>
      <c r="BZ2483">
        <v>3.87</v>
      </c>
      <c r="CA2483">
        <v>6.62</v>
      </c>
      <c r="CB2483">
        <v>0.02</v>
      </c>
      <c r="CC2483">
        <v>6.6</v>
      </c>
      <c r="CD2483">
        <v>5.2</v>
      </c>
      <c r="CE2483">
        <v>5.2</v>
      </c>
      <c r="CF2483">
        <v>5.15</v>
      </c>
      <c r="CG2483">
        <v>22.8</v>
      </c>
      <c r="CH2483">
        <v>6.84</v>
      </c>
      <c r="CI2483">
        <v>-4.05</v>
      </c>
      <c r="CJ2483">
        <v>34009</v>
      </c>
      <c r="CK2483">
        <v>7221</v>
      </c>
      <c r="CL2483" t="s">
        <v>11437</v>
      </c>
      <c r="CM2483">
        <v>-32.340000000000003</v>
      </c>
      <c r="CN2483">
        <v>-14.4</v>
      </c>
      <c r="CO2483">
        <v>4.0199999999999996</v>
      </c>
      <c r="CP2483">
        <v>15.75</v>
      </c>
      <c r="CQ2483">
        <v>8.02</v>
      </c>
      <c r="CR2483">
        <v>2.79</v>
      </c>
      <c r="CS2483" t="s">
        <v>11438</v>
      </c>
      <c r="CT2483">
        <v>2.93</v>
      </c>
      <c r="CU2483">
        <v>0</v>
      </c>
      <c r="CV2483">
        <v>0.02</v>
      </c>
      <c r="CW2483">
        <v>2.4900000000000002</v>
      </c>
      <c r="CX2483">
        <v>0.75</v>
      </c>
      <c r="CY2483">
        <v>57.78</v>
      </c>
      <c r="CZ2483" t="s">
        <v>11439</v>
      </c>
      <c r="DA2483">
        <v>71.180000000000007</v>
      </c>
      <c r="DB2483">
        <v>49.23</v>
      </c>
      <c r="DC2483">
        <v>38.69</v>
      </c>
      <c r="DD2483">
        <v>0</v>
      </c>
      <c r="DE2483">
        <v>1987</v>
      </c>
      <c r="DF2483">
        <v>600338</v>
      </c>
      <c r="DG2483" t="s">
        <v>116</v>
      </c>
      <c r="DH2483" t="s">
        <v>116</v>
      </c>
      <c r="DI2483" t="s">
        <v>116</v>
      </c>
    </row>
    <row r="2484" spans="1:113" x14ac:dyDescent="0.4">
      <c r="A2484" t="str">
        <f>"600339"</f>
        <v>600339</v>
      </c>
      <c r="B2484" t="s">
        <v>11440</v>
      </c>
      <c r="C2484">
        <v>0</v>
      </c>
      <c r="D2484">
        <v>3.33</v>
      </c>
      <c r="E2484">
        <v>0</v>
      </c>
      <c r="F2484">
        <v>3.33</v>
      </c>
      <c r="G2484">
        <v>3.34</v>
      </c>
      <c r="H2484">
        <v>195279</v>
      </c>
      <c r="I2484">
        <v>961</v>
      </c>
      <c r="J2484">
        <v>0</v>
      </c>
      <c r="K2484">
        <v>1.26</v>
      </c>
      <c r="L2484">
        <v>3.32</v>
      </c>
      <c r="M2484">
        <v>3.38</v>
      </c>
      <c r="N2484">
        <v>3.31</v>
      </c>
      <c r="O2484">
        <v>3.33</v>
      </c>
      <c r="P2484">
        <v>33.979999999999997</v>
      </c>
      <c r="Q2484">
        <v>65183792</v>
      </c>
      <c r="R2484">
        <v>1.3</v>
      </c>
      <c r="S2484" t="s">
        <v>433</v>
      </c>
      <c r="T2484" t="s">
        <v>616</v>
      </c>
      <c r="U2484">
        <v>2.1</v>
      </c>
      <c r="V2484">
        <v>3.34</v>
      </c>
      <c r="W2484">
        <v>95962</v>
      </c>
      <c r="X2484">
        <v>99317</v>
      </c>
      <c r="Y2484">
        <v>0.97</v>
      </c>
      <c r="Z2484">
        <v>2878</v>
      </c>
      <c r="AA2484">
        <v>2409</v>
      </c>
      <c r="AB2484" t="s">
        <v>116</v>
      </c>
      <c r="AC2484">
        <v>286800</v>
      </c>
      <c r="AD2484">
        <v>0.01</v>
      </c>
      <c r="AE2484" t="s">
        <v>116</v>
      </c>
      <c r="AF2484" t="s">
        <v>116</v>
      </c>
      <c r="AG2484">
        <v>15.52</v>
      </c>
      <c r="AH2484" t="s">
        <v>11441</v>
      </c>
      <c r="AI2484" t="s">
        <v>11442</v>
      </c>
      <c r="AJ2484">
        <v>0.08</v>
      </c>
      <c r="AK2484">
        <v>1648</v>
      </c>
      <c r="AL2484">
        <v>118</v>
      </c>
      <c r="AM2484">
        <v>8.0000000000000004E-4</v>
      </c>
      <c r="AN2484">
        <v>0</v>
      </c>
      <c r="AO2484">
        <v>-0.9</v>
      </c>
      <c r="AP2484">
        <v>3.42</v>
      </c>
      <c r="AQ2484">
        <v>-10.24</v>
      </c>
      <c r="AR2484">
        <v>-6.93</v>
      </c>
      <c r="AS2484">
        <v>1.26</v>
      </c>
      <c r="AT2484" t="s">
        <v>11441</v>
      </c>
      <c r="AU2484">
        <v>22.12</v>
      </c>
      <c r="AV2484">
        <v>19.47</v>
      </c>
      <c r="AW2484">
        <v>0.86</v>
      </c>
      <c r="BA2484">
        <v>-0.3</v>
      </c>
      <c r="BB2484">
        <v>1.5</v>
      </c>
      <c r="BC2484">
        <v>-0.6</v>
      </c>
      <c r="BD2484">
        <v>0.24</v>
      </c>
      <c r="BE2484">
        <v>0.3</v>
      </c>
      <c r="BF2484">
        <v>-1.48</v>
      </c>
      <c r="BG2484">
        <v>0.6</v>
      </c>
      <c r="BH2484">
        <v>-0.24</v>
      </c>
      <c r="BI2484">
        <v>20191031</v>
      </c>
      <c r="BJ2484">
        <v>20001225</v>
      </c>
      <c r="BK2484">
        <v>55.83</v>
      </c>
      <c r="BL2484" t="s">
        <v>116</v>
      </c>
      <c r="BM2484" t="s">
        <v>116</v>
      </c>
      <c r="BN2484">
        <v>943.66</v>
      </c>
      <c r="BO2484">
        <v>233.53</v>
      </c>
      <c r="BP2484">
        <v>0.5</v>
      </c>
      <c r="BQ2484">
        <v>75.2</v>
      </c>
      <c r="BR2484">
        <v>860.17</v>
      </c>
      <c r="BS2484">
        <v>51.56</v>
      </c>
      <c r="BT2484">
        <v>18.37</v>
      </c>
      <c r="BU2484">
        <v>687.87</v>
      </c>
      <c r="BV2484">
        <v>333.83</v>
      </c>
      <c r="BW2484">
        <v>141.55000000000001</v>
      </c>
      <c r="BX2484">
        <v>143.65</v>
      </c>
      <c r="BY2484">
        <v>356.15</v>
      </c>
      <c r="BZ2484">
        <v>329.8</v>
      </c>
      <c r="CA2484">
        <v>8.58</v>
      </c>
      <c r="CB2484">
        <v>0.1</v>
      </c>
      <c r="CC2484">
        <v>9.26</v>
      </c>
      <c r="CD2484">
        <v>4.12</v>
      </c>
      <c r="CE2484">
        <v>4.0999999999999996</v>
      </c>
      <c r="CF2484">
        <v>3.34</v>
      </c>
      <c r="CG2484">
        <v>28.59</v>
      </c>
      <c r="CH2484">
        <v>-114.35</v>
      </c>
      <c r="CI2484">
        <v>-110.27</v>
      </c>
      <c r="CJ2484">
        <v>59348</v>
      </c>
      <c r="CK2484">
        <v>26154</v>
      </c>
      <c r="CL2484" t="s">
        <v>11443</v>
      </c>
      <c r="CM2484">
        <v>-21.84</v>
      </c>
      <c r="CN2484">
        <v>2.72</v>
      </c>
      <c r="CO2484">
        <v>0.8</v>
      </c>
      <c r="CP2484">
        <v>-1.63</v>
      </c>
      <c r="CQ2484">
        <v>0.52</v>
      </c>
      <c r="CR2484">
        <v>1.56</v>
      </c>
      <c r="CS2484" t="s">
        <v>5752</v>
      </c>
      <c r="CT2484">
        <v>4.18</v>
      </c>
      <c r="CU2484">
        <v>0</v>
      </c>
      <c r="CV2484">
        <v>2.57</v>
      </c>
      <c r="CW2484">
        <v>0.51</v>
      </c>
      <c r="CX2484">
        <v>-2.0499999999999998</v>
      </c>
      <c r="CY2484">
        <v>24.75</v>
      </c>
      <c r="CZ2484" t="s">
        <v>6023</v>
      </c>
      <c r="DA2484">
        <v>7.4</v>
      </c>
      <c r="DB2484">
        <v>2.41</v>
      </c>
      <c r="DC2484">
        <v>1.1499999999999999</v>
      </c>
      <c r="DD2484">
        <v>0.93</v>
      </c>
      <c r="DE2484">
        <v>48039</v>
      </c>
      <c r="DF2484">
        <v>600339</v>
      </c>
      <c r="DG2484" t="s">
        <v>116</v>
      </c>
      <c r="DH2484" t="s">
        <v>116</v>
      </c>
      <c r="DI2484" t="s">
        <v>116</v>
      </c>
    </row>
    <row r="2485" spans="1:113" x14ac:dyDescent="0.4">
      <c r="A2485" t="str">
        <f>"600340"</f>
        <v>600340</v>
      </c>
      <c r="B2485" t="s">
        <v>11444</v>
      </c>
      <c r="C2485">
        <v>-7.0000000000000007E-2</v>
      </c>
      <c r="D2485">
        <v>28.03</v>
      </c>
      <c r="E2485">
        <v>-0.02</v>
      </c>
      <c r="F2485">
        <v>28.02</v>
      </c>
      <c r="G2485">
        <v>28.03</v>
      </c>
      <c r="H2485">
        <v>93732</v>
      </c>
      <c r="I2485">
        <v>574</v>
      </c>
      <c r="J2485">
        <v>-0.06</v>
      </c>
      <c r="K2485">
        <v>0.31</v>
      </c>
      <c r="L2485">
        <v>28.08</v>
      </c>
      <c r="M2485">
        <v>28.28</v>
      </c>
      <c r="N2485">
        <v>27.97</v>
      </c>
      <c r="O2485">
        <v>28.05</v>
      </c>
      <c r="P2485">
        <v>6.5</v>
      </c>
      <c r="Q2485">
        <v>263342320</v>
      </c>
      <c r="R2485">
        <v>0.91</v>
      </c>
      <c r="S2485" t="s">
        <v>148</v>
      </c>
      <c r="T2485" t="s">
        <v>608</v>
      </c>
      <c r="U2485">
        <v>1.1100000000000001</v>
      </c>
      <c r="V2485">
        <v>28.1</v>
      </c>
      <c r="W2485">
        <v>46687</v>
      </c>
      <c r="X2485">
        <v>47045</v>
      </c>
      <c r="Y2485">
        <v>0.99</v>
      </c>
      <c r="Z2485">
        <v>127</v>
      </c>
      <c r="AA2485">
        <v>127</v>
      </c>
      <c r="AB2485" t="s">
        <v>116</v>
      </c>
      <c r="AC2485">
        <v>1468600</v>
      </c>
      <c r="AD2485">
        <v>0</v>
      </c>
      <c r="AE2485" t="s">
        <v>116</v>
      </c>
      <c r="AF2485" t="s">
        <v>116</v>
      </c>
      <c r="AG2485">
        <v>29.79</v>
      </c>
      <c r="AH2485" t="s">
        <v>11445</v>
      </c>
      <c r="AI2485" t="s">
        <v>11446</v>
      </c>
      <c r="AJ2485">
        <v>0.01</v>
      </c>
      <c r="AK2485">
        <v>3366</v>
      </c>
      <c r="AL2485">
        <v>28</v>
      </c>
      <c r="AM2485">
        <v>1E-4</v>
      </c>
      <c r="AN2485">
        <v>-1</v>
      </c>
      <c r="AO2485">
        <v>1.55</v>
      </c>
      <c r="AP2485">
        <v>0.36</v>
      </c>
      <c r="AQ2485">
        <v>2.67</v>
      </c>
      <c r="AR2485">
        <v>15.59</v>
      </c>
      <c r="AS2485">
        <v>0.81</v>
      </c>
      <c r="AT2485" t="s">
        <v>11447</v>
      </c>
      <c r="AU2485">
        <v>6.21</v>
      </c>
      <c r="AV2485">
        <v>7.19</v>
      </c>
      <c r="AW2485">
        <v>1.1200000000000001</v>
      </c>
      <c r="BA2485">
        <v>0.11</v>
      </c>
      <c r="BB2485">
        <v>0.82</v>
      </c>
      <c r="BC2485">
        <v>-0.28999999999999998</v>
      </c>
      <c r="BD2485">
        <v>0.16</v>
      </c>
      <c r="BE2485">
        <v>-0.18</v>
      </c>
      <c r="BF2485">
        <v>-0.88</v>
      </c>
      <c r="BG2485">
        <v>0.21</v>
      </c>
      <c r="BH2485">
        <v>-0.23</v>
      </c>
      <c r="BI2485">
        <v>20191227</v>
      </c>
      <c r="BJ2485">
        <v>20031230</v>
      </c>
      <c r="BK2485">
        <v>30.14</v>
      </c>
      <c r="BL2485" t="s">
        <v>116</v>
      </c>
      <c r="BM2485" t="s">
        <v>116</v>
      </c>
      <c r="BN2485">
        <v>4453.34</v>
      </c>
      <c r="BO2485">
        <v>476.64</v>
      </c>
      <c r="BP2485">
        <v>193.92</v>
      </c>
      <c r="BQ2485">
        <v>84.94</v>
      </c>
      <c r="BR2485">
        <v>4023.69</v>
      </c>
      <c r="BS2485">
        <v>56.94</v>
      </c>
      <c r="BT2485">
        <v>67.95</v>
      </c>
      <c r="BU2485">
        <v>2527.67</v>
      </c>
      <c r="BV2485">
        <v>2776.13</v>
      </c>
      <c r="BW2485">
        <v>387.69</v>
      </c>
      <c r="BX2485">
        <v>18.71</v>
      </c>
      <c r="BY2485">
        <v>643.17999999999995</v>
      </c>
      <c r="BZ2485">
        <v>383.34</v>
      </c>
      <c r="CA2485">
        <v>142.69</v>
      </c>
      <c r="CB2485">
        <v>2.0499999999999998</v>
      </c>
      <c r="CC2485">
        <v>140.41999999999999</v>
      </c>
      <c r="CD2485">
        <v>98.88</v>
      </c>
      <c r="CE2485">
        <v>97.46</v>
      </c>
      <c r="CF2485">
        <v>97.04</v>
      </c>
      <c r="CG2485">
        <v>341.57</v>
      </c>
      <c r="CH2485">
        <v>-395.54</v>
      </c>
      <c r="CI2485">
        <v>-50.09</v>
      </c>
      <c r="CJ2485">
        <v>80268</v>
      </c>
      <c r="CK2485">
        <v>14399</v>
      </c>
      <c r="CL2485" t="s">
        <v>11448</v>
      </c>
      <c r="CM2485">
        <v>23.71</v>
      </c>
      <c r="CN2485">
        <v>42.48</v>
      </c>
      <c r="CO2485">
        <v>2.12</v>
      </c>
      <c r="CP2485">
        <v>-2.14</v>
      </c>
      <c r="CQ2485">
        <v>1.31</v>
      </c>
      <c r="CR2485">
        <v>4.2699999999999996</v>
      </c>
      <c r="CS2485" t="s">
        <v>11449</v>
      </c>
      <c r="CT2485">
        <v>13.21</v>
      </c>
      <c r="CU2485">
        <v>13.21</v>
      </c>
      <c r="CV2485">
        <v>0.62</v>
      </c>
      <c r="CW2485">
        <v>11.33</v>
      </c>
      <c r="CX2485">
        <v>-13.12</v>
      </c>
      <c r="CY2485">
        <v>10.7</v>
      </c>
      <c r="CZ2485" t="s">
        <v>1218</v>
      </c>
      <c r="DA2485">
        <v>40.4</v>
      </c>
      <c r="DB2485">
        <v>22.18</v>
      </c>
      <c r="DC2485">
        <v>15.15</v>
      </c>
      <c r="DD2485">
        <v>7.0000000000000007E-2</v>
      </c>
      <c r="DE2485">
        <v>26779</v>
      </c>
      <c r="DF2485">
        <v>600340</v>
      </c>
      <c r="DG2485" t="s">
        <v>116</v>
      </c>
      <c r="DH2485" t="s">
        <v>116</v>
      </c>
      <c r="DI2485" t="s">
        <v>116</v>
      </c>
    </row>
    <row r="2486" spans="1:113" x14ac:dyDescent="0.4">
      <c r="A2486" t="str">
        <f>"600343"</f>
        <v>600343</v>
      </c>
      <c r="B2486" t="s">
        <v>11450</v>
      </c>
      <c r="C2486">
        <v>0.99</v>
      </c>
      <c r="D2486">
        <v>9.19</v>
      </c>
      <c r="E2486">
        <v>0.09</v>
      </c>
      <c r="F2486">
        <v>9.18</v>
      </c>
      <c r="G2486">
        <v>9.19</v>
      </c>
      <c r="H2486">
        <v>80068</v>
      </c>
      <c r="I2486">
        <v>772</v>
      </c>
      <c r="J2486">
        <v>0.11</v>
      </c>
      <c r="K2486">
        <v>1.25</v>
      </c>
      <c r="L2486">
        <v>9.1</v>
      </c>
      <c r="M2486">
        <v>9.2799999999999994</v>
      </c>
      <c r="N2486">
        <v>9.08</v>
      </c>
      <c r="O2486">
        <v>9.1</v>
      </c>
      <c r="P2486">
        <v>196.91</v>
      </c>
      <c r="Q2486">
        <v>73673088</v>
      </c>
      <c r="R2486">
        <v>1.85</v>
      </c>
      <c r="S2486" t="s">
        <v>1789</v>
      </c>
      <c r="T2486" t="s">
        <v>913</v>
      </c>
      <c r="U2486">
        <v>2.2000000000000002</v>
      </c>
      <c r="V2486">
        <v>9.1999999999999993</v>
      </c>
      <c r="W2486">
        <v>35687</v>
      </c>
      <c r="X2486">
        <v>44382</v>
      </c>
      <c r="Y2486">
        <v>0.8</v>
      </c>
      <c r="Z2486">
        <v>1131</v>
      </c>
      <c r="AA2486">
        <v>276</v>
      </c>
      <c r="AB2486" t="s">
        <v>116</v>
      </c>
      <c r="AC2486">
        <v>535100</v>
      </c>
      <c r="AD2486">
        <v>0.02</v>
      </c>
      <c r="AE2486" t="s">
        <v>116</v>
      </c>
      <c r="AF2486" t="s">
        <v>116</v>
      </c>
      <c r="AG2486">
        <v>6.38</v>
      </c>
      <c r="AH2486" t="s">
        <v>11451</v>
      </c>
      <c r="AI2486" t="s">
        <v>11451</v>
      </c>
      <c r="AJ2486">
        <v>1.07</v>
      </c>
      <c r="AK2486">
        <v>1995</v>
      </c>
      <c r="AL2486">
        <v>40</v>
      </c>
      <c r="AM2486">
        <v>5.9999999999999995E-4</v>
      </c>
      <c r="AN2486">
        <v>2</v>
      </c>
      <c r="AO2486">
        <v>1.32</v>
      </c>
      <c r="AP2486">
        <v>4.55</v>
      </c>
      <c r="AQ2486">
        <v>-4.17</v>
      </c>
      <c r="AR2486">
        <v>21.72</v>
      </c>
      <c r="AS2486">
        <v>2.23</v>
      </c>
      <c r="AT2486" t="s">
        <v>11452</v>
      </c>
      <c r="AU2486">
        <v>165.59</v>
      </c>
      <c r="AV2486">
        <v>254.68</v>
      </c>
      <c r="AW2486">
        <v>1.02</v>
      </c>
      <c r="BA2486">
        <v>0</v>
      </c>
      <c r="BB2486">
        <v>1.98</v>
      </c>
      <c r="BC2486">
        <v>-0.22</v>
      </c>
      <c r="BD2486">
        <v>1.1100000000000001</v>
      </c>
      <c r="BE2486">
        <v>0.99</v>
      </c>
      <c r="BF2486">
        <v>-0.97</v>
      </c>
      <c r="BG2486">
        <v>1.21</v>
      </c>
      <c r="BH2486">
        <v>-0.12</v>
      </c>
      <c r="BI2486">
        <v>20191024</v>
      </c>
      <c r="BJ2486">
        <v>20030408</v>
      </c>
      <c r="BK2486">
        <v>6.38</v>
      </c>
      <c r="BL2486" t="s">
        <v>116</v>
      </c>
      <c r="BM2486" t="s">
        <v>116</v>
      </c>
      <c r="BN2486">
        <v>43.97</v>
      </c>
      <c r="BO2486">
        <v>21.99</v>
      </c>
      <c r="BP2486">
        <v>5.05</v>
      </c>
      <c r="BQ2486">
        <v>38.51</v>
      </c>
      <c r="BR2486">
        <v>31.92</v>
      </c>
      <c r="BS2486">
        <v>7.38</v>
      </c>
      <c r="BT2486">
        <v>1.78</v>
      </c>
      <c r="BU2486">
        <v>15.99</v>
      </c>
      <c r="BV2486">
        <v>11.12</v>
      </c>
      <c r="BW2486">
        <v>13.31</v>
      </c>
      <c r="BX2486">
        <v>11.64</v>
      </c>
      <c r="BY2486">
        <v>17.75</v>
      </c>
      <c r="BZ2486">
        <v>16.149999999999999</v>
      </c>
      <c r="CA2486">
        <v>0.32</v>
      </c>
      <c r="CB2486">
        <v>0</v>
      </c>
      <c r="CC2486">
        <v>0.31</v>
      </c>
      <c r="CD2486">
        <v>0.27</v>
      </c>
      <c r="CE2486">
        <v>0.22</v>
      </c>
      <c r="CF2486">
        <v>0.17</v>
      </c>
      <c r="CG2486">
        <v>3.44</v>
      </c>
      <c r="CH2486">
        <v>-3.78</v>
      </c>
      <c r="CI2486">
        <v>-6.14</v>
      </c>
      <c r="CJ2486">
        <v>81670</v>
      </c>
      <c r="CK2486">
        <v>4393</v>
      </c>
      <c r="CL2486" t="s">
        <v>992</v>
      </c>
      <c r="CM2486">
        <v>124.53</v>
      </c>
      <c r="CN2486">
        <v>99.92</v>
      </c>
      <c r="CO2486">
        <v>2.67</v>
      </c>
      <c r="CP2486">
        <v>-15.51</v>
      </c>
      <c r="CQ2486">
        <v>3.3</v>
      </c>
      <c r="CR2486">
        <v>0.54</v>
      </c>
      <c r="CS2486" t="s">
        <v>958</v>
      </c>
      <c r="CT2486">
        <v>3.44</v>
      </c>
      <c r="CU2486">
        <v>0</v>
      </c>
      <c r="CV2486">
        <v>1.82</v>
      </c>
      <c r="CW2486">
        <v>0.54</v>
      </c>
      <c r="CX2486">
        <v>-0.59</v>
      </c>
      <c r="CY2486">
        <v>50</v>
      </c>
      <c r="CZ2486" t="s">
        <v>11453</v>
      </c>
      <c r="DA2486">
        <v>9.0500000000000007</v>
      </c>
      <c r="DB2486">
        <v>1.78</v>
      </c>
      <c r="DC2486">
        <v>1.26</v>
      </c>
      <c r="DD2486">
        <v>0.2</v>
      </c>
      <c r="DE2486">
        <v>2288</v>
      </c>
      <c r="DF2486">
        <v>600343</v>
      </c>
      <c r="DG2486" t="s">
        <v>116</v>
      </c>
      <c r="DH2486" t="s">
        <v>116</v>
      </c>
      <c r="DI2486" t="s">
        <v>116</v>
      </c>
    </row>
    <row r="2487" spans="1:113" x14ac:dyDescent="0.4">
      <c r="A2487" t="str">
        <f>"600345"</f>
        <v>600345</v>
      </c>
      <c r="B2487" t="s">
        <v>11454</v>
      </c>
      <c r="C2487">
        <v>0.23</v>
      </c>
      <c r="D2487">
        <v>22.26</v>
      </c>
      <c r="E2487">
        <v>0.05</v>
      </c>
      <c r="F2487">
        <v>22.24</v>
      </c>
      <c r="G2487">
        <v>22.26</v>
      </c>
      <c r="H2487">
        <v>41810</v>
      </c>
      <c r="I2487">
        <v>274</v>
      </c>
      <c r="J2487">
        <v>0.36</v>
      </c>
      <c r="K2487">
        <v>2.11</v>
      </c>
      <c r="L2487">
        <v>22.23</v>
      </c>
      <c r="M2487">
        <v>22.79</v>
      </c>
      <c r="N2487">
        <v>22.12</v>
      </c>
      <c r="O2487">
        <v>22.21</v>
      </c>
      <c r="P2487">
        <v>32.130000000000003</v>
      </c>
      <c r="Q2487">
        <v>94015296</v>
      </c>
      <c r="R2487">
        <v>1.56</v>
      </c>
      <c r="S2487" t="s">
        <v>465</v>
      </c>
      <c r="T2487" t="s">
        <v>774</v>
      </c>
      <c r="U2487">
        <v>3.02</v>
      </c>
      <c r="V2487">
        <v>22.49</v>
      </c>
      <c r="W2487">
        <v>21665</v>
      </c>
      <c r="X2487">
        <v>20145</v>
      </c>
      <c r="Y2487">
        <v>1.08</v>
      </c>
      <c r="Z2487">
        <v>35</v>
      </c>
      <c r="AA2487">
        <v>362</v>
      </c>
      <c r="AB2487" t="s">
        <v>116</v>
      </c>
      <c r="AC2487">
        <v>33300</v>
      </c>
      <c r="AD2487">
        <v>0</v>
      </c>
      <c r="AE2487" t="s">
        <v>116</v>
      </c>
      <c r="AF2487" t="s">
        <v>116</v>
      </c>
      <c r="AG2487">
        <v>1.98</v>
      </c>
      <c r="AH2487" t="s">
        <v>7836</v>
      </c>
      <c r="AI2487" t="s">
        <v>7836</v>
      </c>
      <c r="AJ2487">
        <v>0.3</v>
      </c>
      <c r="AK2487">
        <v>2269</v>
      </c>
      <c r="AL2487">
        <v>18</v>
      </c>
      <c r="AM2487">
        <v>8.9999999999999998E-4</v>
      </c>
      <c r="AN2487">
        <v>4</v>
      </c>
      <c r="AO2487">
        <v>1.23</v>
      </c>
      <c r="AP2487">
        <v>9.39</v>
      </c>
      <c r="AQ2487">
        <v>-5.56</v>
      </c>
      <c r="AR2487">
        <v>1.74</v>
      </c>
      <c r="AS2487">
        <v>4.01</v>
      </c>
      <c r="AT2487" t="s">
        <v>5403</v>
      </c>
      <c r="AU2487">
        <v>36.840000000000003</v>
      </c>
      <c r="AV2487">
        <v>18.97</v>
      </c>
      <c r="AW2487">
        <v>1.69</v>
      </c>
      <c r="BA2487">
        <v>0.09</v>
      </c>
      <c r="BB2487">
        <v>2.61</v>
      </c>
      <c r="BC2487">
        <v>-0.41</v>
      </c>
      <c r="BD2487">
        <v>1.24</v>
      </c>
      <c r="BE2487">
        <v>0.13</v>
      </c>
      <c r="BF2487">
        <v>-2.33</v>
      </c>
      <c r="BG2487">
        <v>0.63</v>
      </c>
      <c r="BH2487">
        <v>-1.02</v>
      </c>
      <c r="BI2487">
        <v>20191031</v>
      </c>
      <c r="BJ2487">
        <v>20001222</v>
      </c>
      <c r="BK2487">
        <v>1.98</v>
      </c>
      <c r="BL2487" t="s">
        <v>116</v>
      </c>
      <c r="BM2487" t="s">
        <v>116</v>
      </c>
      <c r="BN2487">
        <v>20.59</v>
      </c>
      <c r="BO2487">
        <v>19.329999999999998</v>
      </c>
      <c r="BP2487">
        <v>0</v>
      </c>
      <c r="BQ2487">
        <v>6.1</v>
      </c>
      <c r="BR2487">
        <v>3.59</v>
      </c>
      <c r="BS2487">
        <v>0.38</v>
      </c>
      <c r="BT2487">
        <v>0.3</v>
      </c>
      <c r="BU2487">
        <v>1.19</v>
      </c>
      <c r="BV2487">
        <v>0.3</v>
      </c>
      <c r="BW2487">
        <v>1.1200000000000001</v>
      </c>
      <c r="BX2487">
        <v>6.22</v>
      </c>
      <c r="BY2487">
        <v>1.38</v>
      </c>
      <c r="BZ2487">
        <v>1.19</v>
      </c>
      <c r="CA2487">
        <v>1.04</v>
      </c>
      <c r="CB2487">
        <v>1.1100000000000001</v>
      </c>
      <c r="CC2487">
        <v>1.04</v>
      </c>
      <c r="CD2487">
        <v>1.03</v>
      </c>
      <c r="CE2487">
        <v>1.03</v>
      </c>
      <c r="CF2487">
        <v>1.03</v>
      </c>
      <c r="CG2487">
        <v>7.11</v>
      </c>
      <c r="CH2487">
        <v>-0.35</v>
      </c>
      <c r="CI2487">
        <v>-0.98</v>
      </c>
      <c r="CJ2487">
        <v>30872</v>
      </c>
      <c r="CK2487">
        <v>3378</v>
      </c>
      <c r="CL2487" t="s">
        <v>7685</v>
      </c>
      <c r="CM2487">
        <v>-52.27</v>
      </c>
      <c r="CN2487">
        <v>15.05</v>
      </c>
      <c r="CO2487">
        <v>2.2799999999999998</v>
      </c>
      <c r="CP2487">
        <v>-126.55</v>
      </c>
      <c r="CQ2487">
        <v>32.020000000000003</v>
      </c>
      <c r="CR2487">
        <v>1.62</v>
      </c>
      <c r="CS2487" t="s">
        <v>4586</v>
      </c>
      <c r="CT2487">
        <v>9.76</v>
      </c>
      <c r="CU2487">
        <v>0</v>
      </c>
      <c r="CV2487">
        <v>3.14</v>
      </c>
      <c r="CW2487">
        <v>3.59</v>
      </c>
      <c r="CX2487">
        <v>-0.18</v>
      </c>
      <c r="CY2487">
        <v>93.9</v>
      </c>
      <c r="CZ2487" t="s">
        <v>7338</v>
      </c>
      <c r="DA2487">
        <v>13.22</v>
      </c>
      <c r="DB2487">
        <v>75.489999999999995</v>
      </c>
      <c r="DC2487">
        <v>74.75</v>
      </c>
      <c r="DD2487">
        <v>0.02</v>
      </c>
      <c r="DE2487">
        <v>155</v>
      </c>
      <c r="DF2487">
        <v>600345</v>
      </c>
      <c r="DG2487" t="s">
        <v>116</v>
      </c>
      <c r="DH2487" t="s">
        <v>116</v>
      </c>
      <c r="DI2487" t="s">
        <v>116</v>
      </c>
    </row>
    <row r="2488" spans="1:113" x14ac:dyDescent="0.4">
      <c r="A2488" t="str">
        <f>"600346"</f>
        <v>600346</v>
      </c>
      <c r="B2488" t="s">
        <v>11455</v>
      </c>
      <c r="C2488">
        <v>2.67</v>
      </c>
      <c r="D2488">
        <v>15.4</v>
      </c>
      <c r="E2488">
        <v>0.4</v>
      </c>
      <c r="F2488">
        <v>15.39</v>
      </c>
      <c r="G2488">
        <v>15.4</v>
      </c>
      <c r="H2488">
        <v>185601</v>
      </c>
      <c r="I2488">
        <v>2186</v>
      </c>
      <c r="J2488">
        <v>0.13</v>
      </c>
      <c r="K2488">
        <v>0.4</v>
      </c>
      <c r="L2488">
        <v>15</v>
      </c>
      <c r="M2488">
        <v>15.48</v>
      </c>
      <c r="N2488">
        <v>14.91</v>
      </c>
      <c r="O2488">
        <v>15</v>
      </c>
      <c r="P2488">
        <v>11.93</v>
      </c>
      <c r="Q2488">
        <v>282971104</v>
      </c>
      <c r="R2488">
        <v>1.75</v>
      </c>
      <c r="S2488" t="s">
        <v>630</v>
      </c>
      <c r="T2488" t="s">
        <v>434</v>
      </c>
      <c r="U2488">
        <v>3.8</v>
      </c>
      <c r="V2488">
        <v>15.25</v>
      </c>
      <c r="W2488">
        <v>84103</v>
      </c>
      <c r="X2488">
        <v>101498</v>
      </c>
      <c r="Y2488">
        <v>0.83</v>
      </c>
      <c r="Z2488">
        <v>140</v>
      </c>
      <c r="AA2488">
        <v>2318</v>
      </c>
      <c r="AB2488" t="s">
        <v>116</v>
      </c>
      <c r="AC2488">
        <v>924000</v>
      </c>
      <c r="AD2488">
        <v>0</v>
      </c>
      <c r="AE2488" t="s">
        <v>116</v>
      </c>
      <c r="AF2488" t="s">
        <v>116</v>
      </c>
      <c r="AG2488">
        <v>46.32</v>
      </c>
      <c r="AH2488" t="s">
        <v>11456</v>
      </c>
      <c r="AI2488" t="s">
        <v>11457</v>
      </c>
      <c r="AJ2488">
        <v>2.74</v>
      </c>
      <c r="AK2488">
        <v>4063</v>
      </c>
      <c r="AL2488">
        <v>46</v>
      </c>
      <c r="AM2488">
        <v>1E-4</v>
      </c>
      <c r="AN2488">
        <v>3</v>
      </c>
      <c r="AO2488">
        <v>5.27</v>
      </c>
      <c r="AP2488">
        <v>9.76</v>
      </c>
      <c r="AQ2488">
        <v>1.1200000000000001</v>
      </c>
      <c r="AR2488">
        <v>66.489999999999995</v>
      </c>
      <c r="AS2488">
        <v>1.04</v>
      </c>
      <c r="AT2488" t="s">
        <v>11458</v>
      </c>
      <c r="AU2488">
        <v>16.71</v>
      </c>
      <c r="AV2488">
        <v>32.630000000000003</v>
      </c>
      <c r="AW2488">
        <v>1.25</v>
      </c>
      <c r="BA2488">
        <v>0</v>
      </c>
      <c r="BB2488">
        <v>3.2</v>
      </c>
      <c r="BC2488">
        <v>-0.6</v>
      </c>
      <c r="BD2488">
        <v>1.64</v>
      </c>
      <c r="BE2488">
        <v>2.67</v>
      </c>
      <c r="BF2488">
        <v>-0.52</v>
      </c>
      <c r="BG2488">
        <v>3.29</v>
      </c>
      <c r="BH2488">
        <v>1.03</v>
      </c>
      <c r="BI2488">
        <v>20191024</v>
      </c>
      <c r="BJ2488">
        <v>20010820</v>
      </c>
      <c r="BK2488">
        <v>70.39</v>
      </c>
      <c r="BL2488" t="s">
        <v>116</v>
      </c>
      <c r="BM2488" t="s">
        <v>116</v>
      </c>
      <c r="BN2488">
        <v>1692.07</v>
      </c>
      <c r="BO2488">
        <v>322.82</v>
      </c>
      <c r="BP2488">
        <v>3.14</v>
      </c>
      <c r="BQ2488">
        <v>80.739999999999995</v>
      </c>
      <c r="BR2488">
        <v>505.59</v>
      </c>
      <c r="BS2488">
        <v>819.99</v>
      </c>
      <c r="BT2488">
        <v>54.98</v>
      </c>
      <c r="BU2488">
        <v>858.32</v>
      </c>
      <c r="BV2488">
        <v>154.27000000000001</v>
      </c>
      <c r="BW2488">
        <v>38.82</v>
      </c>
      <c r="BX2488">
        <v>184.71</v>
      </c>
      <c r="BY2488">
        <v>763.29</v>
      </c>
      <c r="BZ2488">
        <v>626.03</v>
      </c>
      <c r="CA2488">
        <v>89.34</v>
      </c>
      <c r="CB2488">
        <v>0.57999999999999996</v>
      </c>
      <c r="CC2488">
        <v>89.35</v>
      </c>
      <c r="CD2488">
        <v>68.099999999999994</v>
      </c>
      <c r="CE2488">
        <v>68.17</v>
      </c>
      <c r="CF2488">
        <v>66.239999999999995</v>
      </c>
      <c r="CG2488">
        <v>74.14</v>
      </c>
      <c r="CH2488">
        <v>266.24</v>
      </c>
      <c r="CI2488">
        <v>54.27</v>
      </c>
      <c r="CJ2488">
        <v>24000</v>
      </c>
      <c r="CK2488">
        <v>74145</v>
      </c>
      <c r="CL2488" t="s">
        <v>11459</v>
      </c>
      <c r="CM2488">
        <v>86.64</v>
      </c>
      <c r="CN2488">
        <v>74.14</v>
      </c>
      <c r="CO2488">
        <v>3.36</v>
      </c>
      <c r="CP2488">
        <v>4.07</v>
      </c>
      <c r="CQ2488">
        <v>1.42</v>
      </c>
      <c r="CR2488">
        <v>1.37</v>
      </c>
      <c r="CS2488" t="s">
        <v>11460</v>
      </c>
      <c r="CT2488">
        <v>4.59</v>
      </c>
      <c r="CU2488">
        <v>0</v>
      </c>
      <c r="CV2488">
        <v>2.62</v>
      </c>
      <c r="CW2488">
        <v>1.05</v>
      </c>
      <c r="CX2488">
        <v>3.78</v>
      </c>
      <c r="CY2488">
        <v>19.079999999999998</v>
      </c>
      <c r="CZ2488" t="s">
        <v>11461</v>
      </c>
      <c r="DA2488">
        <v>17.98</v>
      </c>
      <c r="DB2488">
        <v>11.7</v>
      </c>
      <c r="DC2488">
        <v>8.93</v>
      </c>
      <c r="DD2488">
        <v>7.46</v>
      </c>
      <c r="DE2488">
        <v>21729</v>
      </c>
      <c r="DF2488">
        <v>600346</v>
      </c>
      <c r="DG2488" t="s">
        <v>116</v>
      </c>
      <c r="DH2488" t="s">
        <v>116</v>
      </c>
      <c r="DI2488" t="s">
        <v>116</v>
      </c>
    </row>
    <row r="2489" spans="1:113" x14ac:dyDescent="0.4">
      <c r="A2489" t="str">
        <f>"600348"</f>
        <v>600348</v>
      </c>
      <c r="B2489" t="s">
        <v>11462</v>
      </c>
      <c r="C2489">
        <v>1.31</v>
      </c>
      <c r="D2489">
        <v>5.42</v>
      </c>
      <c r="E2489">
        <v>7.0000000000000007E-2</v>
      </c>
      <c r="F2489">
        <v>5.41</v>
      </c>
      <c r="G2489">
        <v>5.42</v>
      </c>
      <c r="H2489">
        <v>254949</v>
      </c>
      <c r="I2489">
        <v>2278</v>
      </c>
      <c r="J2489">
        <v>0</v>
      </c>
      <c r="K2489">
        <v>1.06</v>
      </c>
      <c r="L2489">
        <v>5.37</v>
      </c>
      <c r="M2489">
        <v>5.53</v>
      </c>
      <c r="N2489">
        <v>5.34</v>
      </c>
      <c r="O2489">
        <v>5.35</v>
      </c>
      <c r="P2489">
        <v>6.12</v>
      </c>
      <c r="Q2489">
        <v>138417872</v>
      </c>
      <c r="R2489">
        <v>2.2200000000000002</v>
      </c>
      <c r="S2489" t="s">
        <v>1121</v>
      </c>
      <c r="T2489" t="s">
        <v>675</v>
      </c>
      <c r="U2489">
        <v>3.55</v>
      </c>
      <c r="V2489">
        <v>5.43</v>
      </c>
      <c r="W2489">
        <v>96181</v>
      </c>
      <c r="X2489">
        <v>158768</v>
      </c>
      <c r="Y2489">
        <v>0.61</v>
      </c>
      <c r="Z2489">
        <v>1091</v>
      </c>
      <c r="AA2489">
        <v>599</v>
      </c>
      <c r="AB2489" t="s">
        <v>116</v>
      </c>
      <c r="AC2489">
        <v>453800</v>
      </c>
      <c r="AD2489">
        <v>0.01</v>
      </c>
      <c r="AE2489" t="s">
        <v>116</v>
      </c>
      <c r="AF2489" t="s">
        <v>116</v>
      </c>
      <c r="AG2489">
        <v>24.05</v>
      </c>
      <c r="AH2489" t="s">
        <v>11463</v>
      </c>
      <c r="AI2489" t="s">
        <v>11463</v>
      </c>
      <c r="AJ2489">
        <v>1.39</v>
      </c>
      <c r="AK2489">
        <v>2548</v>
      </c>
      <c r="AL2489">
        <v>100</v>
      </c>
      <c r="AM2489">
        <v>4.0000000000000002E-4</v>
      </c>
      <c r="AN2489">
        <v>2</v>
      </c>
      <c r="AO2489">
        <v>1.49</v>
      </c>
      <c r="AP2489">
        <v>4.2300000000000004</v>
      </c>
      <c r="AQ2489">
        <v>4.2300000000000004</v>
      </c>
      <c r="AR2489">
        <v>13.87</v>
      </c>
      <c r="AS2489">
        <v>2.54</v>
      </c>
      <c r="AT2489" t="s">
        <v>11464</v>
      </c>
      <c r="AU2489">
        <v>6.02</v>
      </c>
      <c r="AV2489">
        <v>6.61</v>
      </c>
      <c r="AW2489">
        <v>1.0900000000000001</v>
      </c>
      <c r="BA2489">
        <v>0.37</v>
      </c>
      <c r="BB2489">
        <v>3.36</v>
      </c>
      <c r="BC2489">
        <v>-0.19</v>
      </c>
      <c r="BD2489">
        <v>1.48</v>
      </c>
      <c r="BE2489">
        <v>0.93</v>
      </c>
      <c r="BF2489">
        <v>-1.99</v>
      </c>
      <c r="BG2489">
        <v>1.5</v>
      </c>
      <c r="BH2489">
        <v>-0.17</v>
      </c>
      <c r="BI2489">
        <v>20191030</v>
      </c>
      <c r="BJ2489">
        <v>20030821</v>
      </c>
      <c r="BK2489">
        <v>24.05</v>
      </c>
      <c r="BL2489" t="s">
        <v>116</v>
      </c>
      <c r="BM2489" t="s">
        <v>116</v>
      </c>
      <c r="BN2489">
        <v>466.03</v>
      </c>
      <c r="BO2489">
        <v>225.6</v>
      </c>
      <c r="BP2489">
        <v>8.02</v>
      </c>
      <c r="BQ2489">
        <v>49.87</v>
      </c>
      <c r="BR2489">
        <v>143.69999999999999</v>
      </c>
      <c r="BS2489">
        <v>195.8</v>
      </c>
      <c r="BT2489">
        <v>49.84</v>
      </c>
      <c r="BU2489">
        <v>190.24</v>
      </c>
      <c r="BV2489">
        <v>6.15</v>
      </c>
      <c r="BW2489">
        <v>42.03</v>
      </c>
      <c r="BX2489">
        <v>-0.19</v>
      </c>
      <c r="BY2489">
        <v>244.94</v>
      </c>
      <c r="BZ2489">
        <v>197.51</v>
      </c>
      <c r="CA2489">
        <v>22.19</v>
      </c>
      <c r="CB2489">
        <v>0.77</v>
      </c>
      <c r="CC2489">
        <v>21.96</v>
      </c>
      <c r="CD2489">
        <v>16.690000000000001</v>
      </c>
      <c r="CE2489">
        <v>15.97</v>
      </c>
      <c r="CF2489">
        <v>15.9</v>
      </c>
      <c r="CG2489">
        <v>111.79</v>
      </c>
      <c r="CH2489">
        <v>7.43</v>
      </c>
      <c r="CI2489">
        <v>-2.44</v>
      </c>
      <c r="CJ2489">
        <v>93911</v>
      </c>
      <c r="CK2489">
        <v>10669</v>
      </c>
      <c r="CL2489" t="s">
        <v>3650</v>
      </c>
      <c r="CM2489">
        <v>13.71</v>
      </c>
      <c r="CN2489">
        <v>-3.13</v>
      </c>
      <c r="CO2489">
        <v>0.74</v>
      </c>
      <c r="CP2489">
        <v>17.53</v>
      </c>
      <c r="CQ2489">
        <v>0.53</v>
      </c>
      <c r="CR2489">
        <v>5.17</v>
      </c>
      <c r="CS2489" t="s">
        <v>3324</v>
      </c>
      <c r="CT2489">
        <v>7.32</v>
      </c>
      <c r="CU2489">
        <v>7.32</v>
      </c>
      <c r="CV2489">
        <v>-0.01</v>
      </c>
      <c r="CW2489">
        <v>4.6500000000000004</v>
      </c>
      <c r="CX2489">
        <v>0.31</v>
      </c>
      <c r="CY2489">
        <v>48.41</v>
      </c>
      <c r="CZ2489" t="s">
        <v>154</v>
      </c>
      <c r="DA2489">
        <v>19.36</v>
      </c>
      <c r="DB2489">
        <v>9.06</v>
      </c>
      <c r="DC2489">
        <v>6.52</v>
      </c>
      <c r="DD2489">
        <v>1.47</v>
      </c>
      <c r="DE2489">
        <v>32227</v>
      </c>
      <c r="DF2489">
        <v>600348</v>
      </c>
      <c r="DG2489" t="s">
        <v>116</v>
      </c>
      <c r="DH2489" t="s">
        <v>116</v>
      </c>
      <c r="DI2489" t="s">
        <v>116</v>
      </c>
    </row>
    <row r="2490" spans="1:113" x14ac:dyDescent="0.4">
      <c r="A2490" t="str">
        <f>"600350"</f>
        <v>600350</v>
      </c>
      <c r="B2490" t="s">
        <v>11465</v>
      </c>
      <c r="C2490">
        <v>0</v>
      </c>
      <c r="D2490">
        <v>4.83</v>
      </c>
      <c r="E2490">
        <v>0</v>
      </c>
      <c r="F2490">
        <v>4.83</v>
      </c>
      <c r="G2490">
        <v>4.84</v>
      </c>
      <c r="H2490">
        <v>50259</v>
      </c>
      <c r="I2490">
        <v>141</v>
      </c>
      <c r="J2490">
        <v>0</v>
      </c>
      <c r="K2490">
        <v>0.1</v>
      </c>
      <c r="L2490">
        <v>4.83</v>
      </c>
      <c r="M2490">
        <v>4.8600000000000003</v>
      </c>
      <c r="N2490">
        <v>4.8</v>
      </c>
      <c r="O2490">
        <v>4.83</v>
      </c>
      <c r="P2490">
        <v>8.2100000000000009</v>
      </c>
      <c r="Q2490">
        <v>24270244</v>
      </c>
      <c r="R2490">
        <v>1.38</v>
      </c>
      <c r="S2490" t="s">
        <v>809</v>
      </c>
      <c r="T2490" t="s">
        <v>645</v>
      </c>
      <c r="U2490">
        <v>1.24</v>
      </c>
      <c r="V2490">
        <v>4.83</v>
      </c>
      <c r="W2490">
        <v>24512</v>
      </c>
      <c r="X2490">
        <v>25747</v>
      </c>
      <c r="Y2490">
        <v>0.95</v>
      </c>
      <c r="Z2490">
        <v>47</v>
      </c>
      <c r="AA2490">
        <v>40</v>
      </c>
      <c r="AB2490" t="s">
        <v>116</v>
      </c>
      <c r="AC2490">
        <v>28000</v>
      </c>
      <c r="AD2490">
        <v>0</v>
      </c>
      <c r="AE2490" t="s">
        <v>116</v>
      </c>
      <c r="AF2490" t="s">
        <v>116</v>
      </c>
      <c r="AG2490">
        <v>48.11</v>
      </c>
      <c r="AH2490" t="s">
        <v>11466</v>
      </c>
      <c r="AI2490" t="s">
        <v>11466</v>
      </c>
      <c r="AJ2490">
        <v>0.08</v>
      </c>
      <c r="AK2490">
        <v>1666</v>
      </c>
      <c r="AL2490">
        <v>30</v>
      </c>
      <c r="AM2490">
        <v>1E-4</v>
      </c>
      <c r="AN2490">
        <v>0</v>
      </c>
      <c r="AO2490">
        <v>0.42</v>
      </c>
      <c r="AP2490">
        <v>1.47</v>
      </c>
      <c r="AQ2490">
        <v>9.52</v>
      </c>
      <c r="AR2490">
        <v>11.32</v>
      </c>
      <c r="AS2490">
        <v>0.8</v>
      </c>
      <c r="AT2490" t="s">
        <v>568</v>
      </c>
      <c r="AU2490">
        <v>11.03</v>
      </c>
      <c r="AV2490">
        <v>7.89</v>
      </c>
      <c r="AW2490">
        <v>0.59</v>
      </c>
      <c r="BA2490">
        <v>0</v>
      </c>
      <c r="BB2490">
        <v>0.62</v>
      </c>
      <c r="BC2490">
        <v>-0.62</v>
      </c>
      <c r="BD2490">
        <v>-0.02</v>
      </c>
      <c r="BE2490">
        <v>0</v>
      </c>
      <c r="BF2490">
        <v>-0.62</v>
      </c>
      <c r="BG2490">
        <v>0.63</v>
      </c>
      <c r="BH2490">
        <v>0.02</v>
      </c>
      <c r="BI2490">
        <v>20191025</v>
      </c>
      <c r="BJ2490">
        <v>20020318</v>
      </c>
      <c r="BK2490">
        <v>48.11</v>
      </c>
      <c r="BL2490" t="s">
        <v>116</v>
      </c>
      <c r="BM2490" t="s">
        <v>116</v>
      </c>
      <c r="BN2490">
        <v>753.98</v>
      </c>
      <c r="BO2490">
        <v>283.61</v>
      </c>
      <c r="BP2490">
        <v>21.39</v>
      </c>
      <c r="BQ2490">
        <v>59.55</v>
      </c>
      <c r="BR2490">
        <v>65.02</v>
      </c>
      <c r="BS2490">
        <v>47.61</v>
      </c>
      <c r="BT2490">
        <v>392.27</v>
      </c>
      <c r="BU2490">
        <v>121.2</v>
      </c>
      <c r="BV2490">
        <v>19.940000000000001</v>
      </c>
      <c r="BW2490">
        <v>1.73</v>
      </c>
      <c r="BX2490">
        <v>33.19</v>
      </c>
      <c r="BY2490">
        <v>54.46</v>
      </c>
      <c r="BZ2490">
        <v>25.7</v>
      </c>
      <c r="CA2490">
        <v>29.14</v>
      </c>
      <c r="CB2490">
        <v>10.83</v>
      </c>
      <c r="CC2490">
        <v>29.55</v>
      </c>
      <c r="CD2490">
        <v>22.28</v>
      </c>
      <c r="CE2490">
        <v>21.22</v>
      </c>
      <c r="CF2490">
        <v>20.76</v>
      </c>
      <c r="CG2490">
        <v>173.36</v>
      </c>
      <c r="CH2490">
        <v>35.869999999999997</v>
      </c>
      <c r="CI2490">
        <v>1.94</v>
      </c>
      <c r="CJ2490">
        <v>60658</v>
      </c>
      <c r="CK2490">
        <v>10366</v>
      </c>
      <c r="CL2490" t="s">
        <v>3552</v>
      </c>
      <c r="CM2490">
        <v>-28.26</v>
      </c>
      <c r="CN2490">
        <v>10.25</v>
      </c>
      <c r="CO2490">
        <v>0.82</v>
      </c>
      <c r="CP2490">
        <v>6.48</v>
      </c>
      <c r="CQ2490">
        <v>4.2699999999999996</v>
      </c>
      <c r="CR2490">
        <v>4.58</v>
      </c>
      <c r="CS2490" t="s">
        <v>1265</v>
      </c>
      <c r="CT2490">
        <v>5.89</v>
      </c>
      <c r="CU2490">
        <v>0</v>
      </c>
      <c r="CV2490">
        <v>0.69</v>
      </c>
      <c r="CW2490">
        <v>3.6</v>
      </c>
      <c r="CX2490">
        <v>0.75</v>
      </c>
      <c r="CY2490">
        <v>37.619999999999997</v>
      </c>
      <c r="CZ2490" t="s">
        <v>2926</v>
      </c>
      <c r="DA2490">
        <v>52.81</v>
      </c>
      <c r="DB2490">
        <v>53.5</v>
      </c>
      <c r="DC2490">
        <v>38.97</v>
      </c>
      <c r="DD2490">
        <v>0.01</v>
      </c>
      <c r="DE2490">
        <v>5922</v>
      </c>
      <c r="DF2490">
        <v>600350</v>
      </c>
      <c r="DG2490" t="s">
        <v>116</v>
      </c>
      <c r="DH2490" t="s">
        <v>116</v>
      </c>
      <c r="DI2490" t="s">
        <v>116</v>
      </c>
    </row>
    <row r="2491" spans="1:113" x14ac:dyDescent="0.4">
      <c r="A2491" t="str">
        <f>"600351"</f>
        <v>600351</v>
      </c>
      <c r="B2491" t="s">
        <v>11467</v>
      </c>
      <c r="C2491">
        <v>-0.7</v>
      </c>
      <c r="D2491">
        <v>5.66</v>
      </c>
      <c r="E2491">
        <v>-0.04</v>
      </c>
      <c r="F2491">
        <v>5.66</v>
      </c>
      <c r="G2491">
        <v>5.67</v>
      </c>
      <c r="H2491">
        <v>54651</v>
      </c>
      <c r="I2491">
        <v>773</v>
      </c>
      <c r="J2491">
        <v>0</v>
      </c>
      <c r="K2491">
        <v>0.71</v>
      </c>
      <c r="L2491">
        <v>5.7</v>
      </c>
      <c r="M2491">
        <v>5.73</v>
      </c>
      <c r="N2491">
        <v>5.65</v>
      </c>
      <c r="O2491">
        <v>5.7</v>
      </c>
      <c r="P2491">
        <v>14.42</v>
      </c>
      <c r="Q2491">
        <v>31169612</v>
      </c>
      <c r="R2491">
        <v>1.24</v>
      </c>
      <c r="S2491" t="s">
        <v>781</v>
      </c>
      <c r="T2491" t="s">
        <v>675</v>
      </c>
      <c r="U2491">
        <v>1.4</v>
      </c>
      <c r="V2491">
        <v>5.7</v>
      </c>
      <c r="W2491">
        <v>30024</v>
      </c>
      <c r="X2491">
        <v>24627</v>
      </c>
      <c r="Y2491">
        <v>1.22</v>
      </c>
      <c r="Z2491">
        <v>21</v>
      </c>
      <c r="AA2491">
        <v>180</v>
      </c>
      <c r="AB2491" t="s">
        <v>116</v>
      </c>
      <c r="AC2491">
        <v>27900</v>
      </c>
      <c r="AD2491">
        <v>0</v>
      </c>
      <c r="AE2491" t="s">
        <v>116</v>
      </c>
      <c r="AF2491" t="s">
        <v>116</v>
      </c>
      <c r="AG2491">
        <v>7.7</v>
      </c>
      <c r="AH2491" t="s">
        <v>11468</v>
      </c>
      <c r="AI2491" t="s">
        <v>11468</v>
      </c>
      <c r="AJ2491">
        <v>-0.62</v>
      </c>
      <c r="AK2491">
        <v>873</v>
      </c>
      <c r="AL2491">
        <v>63</v>
      </c>
      <c r="AM2491">
        <v>8.0000000000000004E-4</v>
      </c>
      <c r="AN2491">
        <v>-1</v>
      </c>
      <c r="AO2491">
        <v>-0.34</v>
      </c>
      <c r="AP2491">
        <v>1.98</v>
      </c>
      <c r="AQ2491">
        <v>-1.57</v>
      </c>
      <c r="AR2491">
        <v>5.2</v>
      </c>
      <c r="AS2491">
        <v>1.04</v>
      </c>
      <c r="AT2491" t="s">
        <v>1467</v>
      </c>
      <c r="AU2491">
        <v>15.21</v>
      </c>
      <c r="AV2491">
        <v>15.94</v>
      </c>
      <c r="AW2491">
        <v>1.01</v>
      </c>
      <c r="BA2491">
        <v>0</v>
      </c>
      <c r="BB2491">
        <v>0.53</v>
      </c>
      <c r="BC2491">
        <v>-0.88</v>
      </c>
      <c r="BD2491">
        <v>0.06</v>
      </c>
      <c r="BE2491">
        <v>-0.7</v>
      </c>
      <c r="BF2491">
        <v>-1.22</v>
      </c>
      <c r="BG2491">
        <v>0.18</v>
      </c>
      <c r="BH2491">
        <v>-0.76</v>
      </c>
      <c r="BI2491">
        <v>20191030</v>
      </c>
      <c r="BJ2491">
        <v>20020926</v>
      </c>
      <c r="BK2491">
        <v>7.7</v>
      </c>
      <c r="BL2491" t="s">
        <v>116</v>
      </c>
      <c r="BM2491" t="s">
        <v>116</v>
      </c>
      <c r="BN2491">
        <v>47.5</v>
      </c>
      <c r="BO2491">
        <v>29.05</v>
      </c>
      <c r="BP2491">
        <v>0.38</v>
      </c>
      <c r="BQ2491">
        <v>38.049999999999997</v>
      </c>
      <c r="BR2491">
        <v>22.46</v>
      </c>
      <c r="BS2491">
        <v>16.22</v>
      </c>
      <c r="BT2491">
        <v>1.75</v>
      </c>
      <c r="BU2491">
        <v>16.89</v>
      </c>
      <c r="BV2491">
        <v>5.16</v>
      </c>
      <c r="BW2491">
        <v>5.93</v>
      </c>
      <c r="BX2491">
        <v>9.5500000000000007</v>
      </c>
      <c r="BY2491">
        <v>23.26</v>
      </c>
      <c r="BZ2491">
        <v>8.4600000000000009</v>
      </c>
      <c r="CA2491">
        <v>2.57</v>
      </c>
      <c r="CB2491">
        <v>-0.05</v>
      </c>
      <c r="CC2491">
        <v>2.57</v>
      </c>
      <c r="CD2491">
        <v>2.25</v>
      </c>
      <c r="CE2491">
        <v>2.27</v>
      </c>
      <c r="CF2491">
        <v>2.14</v>
      </c>
      <c r="CG2491">
        <v>9.8800000000000008</v>
      </c>
      <c r="CH2491">
        <v>2.19</v>
      </c>
      <c r="CI2491">
        <v>-0.45</v>
      </c>
      <c r="CJ2491">
        <v>57555</v>
      </c>
      <c r="CK2491">
        <v>9131</v>
      </c>
      <c r="CL2491" t="s">
        <v>5173</v>
      </c>
      <c r="CM2491">
        <v>6.15</v>
      </c>
      <c r="CN2491">
        <v>4.07</v>
      </c>
      <c r="CO2491">
        <v>1.5</v>
      </c>
      <c r="CP2491">
        <v>19.920000000000002</v>
      </c>
      <c r="CQ2491">
        <v>1.87</v>
      </c>
      <c r="CR2491">
        <v>4.42</v>
      </c>
      <c r="CS2491" t="s">
        <v>7206</v>
      </c>
      <c r="CT2491">
        <v>3.77</v>
      </c>
      <c r="CU2491">
        <v>0</v>
      </c>
      <c r="CV2491">
        <v>1.24</v>
      </c>
      <c r="CW2491">
        <v>1.28</v>
      </c>
      <c r="CX2491">
        <v>0.28000000000000003</v>
      </c>
      <c r="CY2491">
        <v>61.15</v>
      </c>
      <c r="CZ2491" t="s">
        <v>6295</v>
      </c>
      <c r="DA2491">
        <v>63.62</v>
      </c>
      <c r="DB2491">
        <v>11.07</v>
      </c>
      <c r="DC2491">
        <v>9.74</v>
      </c>
      <c r="DD2491">
        <v>0.82</v>
      </c>
      <c r="DE2491">
        <v>5478</v>
      </c>
      <c r="DF2491">
        <v>600351</v>
      </c>
      <c r="DG2491" t="s">
        <v>116</v>
      </c>
      <c r="DH2491" t="s">
        <v>116</v>
      </c>
      <c r="DI2491" t="s">
        <v>116</v>
      </c>
    </row>
    <row r="2492" spans="1:113" x14ac:dyDescent="0.4">
      <c r="A2492" t="str">
        <f>"600352"</f>
        <v>600352</v>
      </c>
      <c r="B2492" t="s">
        <v>11469</v>
      </c>
      <c r="C2492">
        <v>-0.5</v>
      </c>
      <c r="D2492">
        <v>13.85</v>
      </c>
      <c r="E2492">
        <v>-7.0000000000000007E-2</v>
      </c>
      <c r="F2492">
        <v>13.85</v>
      </c>
      <c r="G2492">
        <v>13.86</v>
      </c>
      <c r="H2492">
        <v>504883</v>
      </c>
      <c r="I2492">
        <v>7282</v>
      </c>
      <c r="J2492">
        <v>-0.13</v>
      </c>
      <c r="K2492">
        <v>1.55</v>
      </c>
      <c r="L2492">
        <v>13.98</v>
      </c>
      <c r="M2492">
        <v>14.1</v>
      </c>
      <c r="N2492">
        <v>13.83</v>
      </c>
      <c r="O2492">
        <v>13.92</v>
      </c>
      <c r="P2492">
        <v>8.6999999999999993</v>
      </c>
      <c r="Q2492">
        <v>703921536</v>
      </c>
      <c r="R2492">
        <v>1.31</v>
      </c>
      <c r="S2492" t="s">
        <v>1192</v>
      </c>
      <c r="T2492" t="s">
        <v>590</v>
      </c>
      <c r="U2492">
        <v>1.94</v>
      </c>
      <c r="V2492">
        <v>13.94</v>
      </c>
      <c r="W2492">
        <v>257886</v>
      </c>
      <c r="X2492">
        <v>246997</v>
      </c>
      <c r="Y2492">
        <v>1.04</v>
      </c>
      <c r="Z2492">
        <v>161</v>
      </c>
      <c r="AA2492">
        <v>784</v>
      </c>
      <c r="AB2492" t="s">
        <v>116</v>
      </c>
      <c r="AC2492">
        <v>2798800</v>
      </c>
      <c r="AD2492">
        <v>0.01</v>
      </c>
      <c r="AE2492" t="s">
        <v>116</v>
      </c>
      <c r="AF2492" t="s">
        <v>116</v>
      </c>
      <c r="AG2492">
        <v>32.53</v>
      </c>
      <c r="AH2492" t="s">
        <v>11470</v>
      </c>
      <c r="AI2492" t="s">
        <v>11470</v>
      </c>
      <c r="AJ2492">
        <v>-0.43</v>
      </c>
      <c r="AK2492">
        <v>4229</v>
      </c>
      <c r="AL2492">
        <v>119</v>
      </c>
      <c r="AM2492">
        <v>4.0000000000000002E-4</v>
      </c>
      <c r="AN2492">
        <v>-1</v>
      </c>
      <c r="AO2492">
        <v>1.47</v>
      </c>
      <c r="AP2492">
        <v>5.16</v>
      </c>
      <c r="AQ2492">
        <v>-2.67</v>
      </c>
      <c r="AR2492">
        <v>47.34</v>
      </c>
      <c r="AS2492">
        <v>2.09</v>
      </c>
      <c r="AT2492" t="s">
        <v>11471</v>
      </c>
      <c r="AU2492">
        <v>9.36</v>
      </c>
      <c r="AV2492">
        <v>10.96</v>
      </c>
      <c r="AW2492">
        <v>1.55</v>
      </c>
      <c r="BA2492">
        <v>0.43</v>
      </c>
      <c r="BB2492">
        <v>1.29</v>
      </c>
      <c r="BC2492">
        <v>-0.65</v>
      </c>
      <c r="BD2492">
        <v>0.16</v>
      </c>
      <c r="BE2492">
        <v>-0.93</v>
      </c>
      <c r="BF2492">
        <v>-1.77</v>
      </c>
      <c r="BG2492">
        <v>0.14000000000000001</v>
      </c>
      <c r="BH2492">
        <v>-0.66</v>
      </c>
      <c r="BI2492">
        <v>20191028</v>
      </c>
      <c r="BJ2492">
        <v>20030801</v>
      </c>
      <c r="BK2492">
        <v>32.53</v>
      </c>
      <c r="BL2492" t="s">
        <v>116</v>
      </c>
      <c r="BM2492" t="s">
        <v>116</v>
      </c>
      <c r="BN2492">
        <v>508.16</v>
      </c>
      <c r="BO2492">
        <v>236.19</v>
      </c>
      <c r="BP2492">
        <v>20.75</v>
      </c>
      <c r="BQ2492">
        <v>49.44</v>
      </c>
      <c r="BR2492">
        <v>341.99</v>
      </c>
      <c r="BS2492">
        <v>49.94</v>
      </c>
      <c r="BT2492">
        <v>7.96</v>
      </c>
      <c r="BU2492">
        <v>106.33</v>
      </c>
      <c r="BV2492">
        <v>221.96</v>
      </c>
      <c r="BW2492">
        <v>37</v>
      </c>
      <c r="BX2492">
        <v>15.64</v>
      </c>
      <c r="BY2492">
        <v>166.23</v>
      </c>
      <c r="BZ2492">
        <v>97.12</v>
      </c>
      <c r="CA2492">
        <v>50.39</v>
      </c>
      <c r="CB2492">
        <v>4.7699999999999996</v>
      </c>
      <c r="CC2492">
        <v>49.98</v>
      </c>
      <c r="CD2492">
        <v>39.979999999999997</v>
      </c>
      <c r="CE2492">
        <v>38.82</v>
      </c>
      <c r="CF2492">
        <v>33.799999999999997</v>
      </c>
      <c r="CG2492">
        <v>185.3</v>
      </c>
      <c r="CH2492">
        <v>42.41</v>
      </c>
      <c r="CI2492">
        <v>-6.28</v>
      </c>
      <c r="CJ2492">
        <v>239421</v>
      </c>
      <c r="CK2492">
        <v>10066</v>
      </c>
      <c r="CL2492" t="s">
        <v>11472</v>
      </c>
      <c r="CM2492">
        <v>22.13</v>
      </c>
      <c r="CN2492">
        <v>14.11</v>
      </c>
      <c r="CO2492">
        <v>1.91</v>
      </c>
      <c r="CP2492">
        <v>10.62</v>
      </c>
      <c r="CQ2492">
        <v>2.71</v>
      </c>
      <c r="CR2492">
        <v>1.77</v>
      </c>
      <c r="CS2492" t="s">
        <v>11473</v>
      </c>
      <c r="CT2492">
        <v>7.26</v>
      </c>
      <c r="CU2492">
        <v>0</v>
      </c>
      <c r="CV2492">
        <v>0.48</v>
      </c>
      <c r="CW2492">
        <v>5.7</v>
      </c>
      <c r="CX2492">
        <v>1.3</v>
      </c>
      <c r="CY2492">
        <v>46.48</v>
      </c>
      <c r="CZ2492" t="s">
        <v>11474</v>
      </c>
      <c r="DA2492">
        <v>41.58</v>
      </c>
      <c r="DB2492">
        <v>30.31</v>
      </c>
      <c r="DC2492">
        <v>23.36</v>
      </c>
      <c r="DD2492">
        <v>5.6</v>
      </c>
      <c r="DE2492">
        <v>8207</v>
      </c>
      <c r="DF2492">
        <v>600352</v>
      </c>
      <c r="DG2492" t="s">
        <v>116</v>
      </c>
      <c r="DH2492" t="s">
        <v>116</v>
      </c>
      <c r="DI2492" t="s">
        <v>116</v>
      </c>
    </row>
    <row r="2493" spans="1:113" x14ac:dyDescent="0.4">
      <c r="A2493" t="str">
        <f>"600353"</f>
        <v>600353</v>
      </c>
      <c r="B2493" t="s">
        <v>11475</v>
      </c>
      <c r="C2493">
        <v>-1.97</v>
      </c>
      <c r="D2493">
        <v>5.47</v>
      </c>
      <c r="E2493">
        <v>-0.11</v>
      </c>
      <c r="F2493">
        <v>5.47</v>
      </c>
      <c r="G2493">
        <v>5.48</v>
      </c>
      <c r="H2493">
        <v>76528</v>
      </c>
      <c r="I2493">
        <v>727</v>
      </c>
      <c r="J2493">
        <v>0.18</v>
      </c>
      <c r="K2493">
        <v>1.41</v>
      </c>
      <c r="L2493">
        <v>5.58</v>
      </c>
      <c r="M2493">
        <v>5.62</v>
      </c>
      <c r="N2493">
        <v>5.44</v>
      </c>
      <c r="O2493">
        <v>5.58</v>
      </c>
      <c r="P2493">
        <v>37.090000000000003</v>
      </c>
      <c r="Q2493">
        <v>42442912</v>
      </c>
      <c r="R2493">
        <v>0.94</v>
      </c>
      <c r="S2493" t="s">
        <v>233</v>
      </c>
      <c r="T2493" t="s">
        <v>582</v>
      </c>
      <c r="U2493">
        <v>3.23</v>
      </c>
      <c r="V2493">
        <v>5.55</v>
      </c>
      <c r="W2493">
        <v>45996</v>
      </c>
      <c r="X2493">
        <v>30532</v>
      </c>
      <c r="Y2493">
        <v>1.51</v>
      </c>
      <c r="Z2493">
        <v>6</v>
      </c>
      <c r="AA2493">
        <v>387</v>
      </c>
      <c r="AB2493" t="s">
        <v>116</v>
      </c>
      <c r="AC2493">
        <v>104300</v>
      </c>
      <c r="AD2493">
        <v>0.01</v>
      </c>
      <c r="AE2493" t="s">
        <v>116</v>
      </c>
      <c r="AF2493" t="s">
        <v>116</v>
      </c>
      <c r="AG2493">
        <v>5.44</v>
      </c>
      <c r="AH2493" t="s">
        <v>11476</v>
      </c>
      <c r="AI2493" t="s">
        <v>11476</v>
      </c>
      <c r="AJ2493">
        <v>-1.89</v>
      </c>
      <c r="AK2493">
        <v>1430</v>
      </c>
      <c r="AL2493">
        <v>54</v>
      </c>
      <c r="AM2493">
        <v>1E-3</v>
      </c>
      <c r="AN2493">
        <v>-1</v>
      </c>
      <c r="AO2493">
        <v>1.67</v>
      </c>
      <c r="AP2493">
        <v>10.06</v>
      </c>
      <c r="AQ2493">
        <v>-11.63</v>
      </c>
      <c r="AR2493">
        <v>39.19</v>
      </c>
      <c r="AS2493">
        <v>2.4700000000000002</v>
      </c>
      <c r="AT2493" t="s">
        <v>3937</v>
      </c>
      <c r="AU2493">
        <v>47.02</v>
      </c>
      <c r="AV2493">
        <v>52.74</v>
      </c>
      <c r="AW2493">
        <v>1.83</v>
      </c>
      <c r="BA2493">
        <v>0</v>
      </c>
      <c r="BB2493">
        <v>0.72</v>
      </c>
      <c r="BC2493">
        <v>-2.5099999999999998</v>
      </c>
      <c r="BD2493">
        <v>-0.61</v>
      </c>
      <c r="BE2493">
        <v>-1.97</v>
      </c>
      <c r="BF2493">
        <v>-2.67</v>
      </c>
      <c r="BG2493">
        <v>0.55000000000000004</v>
      </c>
      <c r="BH2493">
        <v>-1.36</v>
      </c>
      <c r="BI2493">
        <v>20191030</v>
      </c>
      <c r="BJ2493">
        <v>20021120</v>
      </c>
      <c r="BK2493">
        <v>5.44</v>
      </c>
      <c r="BL2493" t="s">
        <v>116</v>
      </c>
      <c r="BM2493" t="s">
        <v>116</v>
      </c>
      <c r="BN2493">
        <v>17.98</v>
      </c>
      <c r="BO2493">
        <v>11.09</v>
      </c>
      <c r="BP2493">
        <v>1.74</v>
      </c>
      <c r="BQ2493">
        <v>28.66</v>
      </c>
      <c r="BR2493">
        <v>13.8</v>
      </c>
      <c r="BS2493">
        <v>3.16</v>
      </c>
      <c r="BT2493">
        <v>0.33</v>
      </c>
      <c r="BU2493">
        <v>4.97</v>
      </c>
      <c r="BV2493">
        <v>3.04</v>
      </c>
      <c r="BW2493">
        <v>4.87</v>
      </c>
      <c r="BX2493">
        <v>0.86</v>
      </c>
      <c r="BY2493">
        <v>8.7799999999999994</v>
      </c>
      <c r="BZ2493">
        <v>6.93</v>
      </c>
      <c r="CA2493">
        <v>0.85</v>
      </c>
      <c r="CB2493">
        <v>0</v>
      </c>
      <c r="CC2493">
        <v>0.87</v>
      </c>
      <c r="CD2493">
        <v>0.72</v>
      </c>
      <c r="CE2493">
        <v>0.6</v>
      </c>
      <c r="CF2493">
        <v>0.56999999999999995</v>
      </c>
      <c r="CG2493">
        <v>3.88</v>
      </c>
      <c r="CH2493">
        <v>0.16</v>
      </c>
      <c r="CI2493">
        <v>-0.03</v>
      </c>
      <c r="CJ2493">
        <v>50188</v>
      </c>
      <c r="CK2493">
        <v>6174</v>
      </c>
      <c r="CL2493" t="s">
        <v>3293</v>
      </c>
      <c r="CM2493">
        <v>12.87</v>
      </c>
      <c r="CN2493">
        <v>16.489999999999998</v>
      </c>
      <c r="CO2493">
        <v>2.68</v>
      </c>
      <c r="CP2493">
        <v>188.66</v>
      </c>
      <c r="CQ2493">
        <v>3.39</v>
      </c>
      <c r="CR2493">
        <v>1.06</v>
      </c>
      <c r="CS2493" t="s">
        <v>4424</v>
      </c>
      <c r="CT2493">
        <v>2.04</v>
      </c>
      <c r="CU2493">
        <v>0</v>
      </c>
      <c r="CV2493">
        <v>0.16</v>
      </c>
      <c r="CW2493">
        <v>0.71</v>
      </c>
      <c r="CX2493">
        <v>0.03</v>
      </c>
      <c r="CY2493">
        <v>61.66</v>
      </c>
      <c r="CZ2493" t="s">
        <v>6544</v>
      </c>
      <c r="DA2493">
        <v>21.02</v>
      </c>
      <c r="DB2493">
        <v>9.7100000000000009</v>
      </c>
      <c r="DC2493">
        <v>6.85</v>
      </c>
      <c r="DD2493">
        <v>0.27</v>
      </c>
      <c r="DE2493">
        <v>2148</v>
      </c>
      <c r="DF2493">
        <v>600353</v>
      </c>
      <c r="DG2493" t="s">
        <v>116</v>
      </c>
      <c r="DH2493" t="s">
        <v>116</v>
      </c>
      <c r="DI2493" t="s">
        <v>116</v>
      </c>
    </row>
    <row r="2494" spans="1:113" x14ac:dyDescent="0.4">
      <c r="A2494" t="str">
        <f>"600354"</f>
        <v>600354</v>
      </c>
      <c r="B2494" t="s">
        <v>11477</v>
      </c>
      <c r="C2494">
        <v>0.62</v>
      </c>
      <c r="D2494">
        <v>4.88</v>
      </c>
      <c r="E2494">
        <v>0.03</v>
      </c>
      <c r="F2494">
        <v>4.88</v>
      </c>
      <c r="G2494">
        <v>4.8899999999999997</v>
      </c>
      <c r="H2494">
        <v>151088</v>
      </c>
      <c r="I2494">
        <v>4204</v>
      </c>
      <c r="J2494">
        <v>0.21</v>
      </c>
      <c r="K2494">
        <v>2.86</v>
      </c>
      <c r="L2494">
        <v>4.84</v>
      </c>
      <c r="M2494">
        <v>4.93</v>
      </c>
      <c r="N2494">
        <v>4.83</v>
      </c>
      <c r="O2494">
        <v>4.8499999999999996</v>
      </c>
      <c r="P2494" t="s">
        <v>116</v>
      </c>
      <c r="Q2494">
        <v>73558992</v>
      </c>
      <c r="R2494">
        <v>0.9</v>
      </c>
      <c r="S2494" t="s">
        <v>1871</v>
      </c>
      <c r="T2494" t="s">
        <v>1122</v>
      </c>
      <c r="U2494">
        <v>2.06</v>
      </c>
      <c r="V2494">
        <v>4.87</v>
      </c>
      <c r="W2494">
        <v>68745</v>
      </c>
      <c r="X2494">
        <v>82343</v>
      </c>
      <c r="Y2494">
        <v>0.83</v>
      </c>
      <c r="Z2494">
        <v>1443</v>
      </c>
      <c r="AA2494">
        <v>1111</v>
      </c>
      <c r="AB2494" t="s">
        <v>116</v>
      </c>
      <c r="AC2494">
        <v>157800</v>
      </c>
      <c r="AD2494">
        <v>0.01</v>
      </c>
      <c r="AE2494" t="s">
        <v>116</v>
      </c>
      <c r="AF2494" t="s">
        <v>116</v>
      </c>
      <c r="AG2494">
        <v>5.28</v>
      </c>
      <c r="AH2494" t="s">
        <v>11478</v>
      </c>
      <c r="AI2494" t="s">
        <v>11478</v>
      </c>
      <c r="AJ2494">
        <v>0.7</v>
      </c>
      <c r="AK2494">
        <v>1878</v>
      </c>
      <c r="AL2494">
        <v>80</v>
      </c>
      <c r="AM2494">
        <v>1.5E-3</v>
      </c>
      <c r="AN2494">
        <v>1</v>
      </c>
      <c r="AO2494">
        <v>-0.61</v>
      </c>
      <c r="AP2494">
        <v>6.55</v>
      </c>
      <c r="AQ2494">
        <v>-7.4</v>
      </c>
      <c r="AR2494">
        <v>33.700000000000003</v>
      </c>
      <c r="AS2494">
        <v>4.03</v>
      </c>
      <c r="AT2494" t="s">
        <v>7394</v>
      </c>
      <c r="AU2494" t="s">
        <v>116</v>
      </c>
      <c r="AV2494" t="s">
        <v>116</v>
      </c>
      <c r="AW2494">
        <v>0.97</v>
      </c>
      <c r="BA2494">
        <v>-0.21</v>
      </c>
      <c r="BB2494">
        <v>1.65</v>
      </c>
      <c r="BC2494">
        <v>-0.41</v>
      </c>
      <c r="BD2494">
        <v>0.38</v>
      </c>
      <c r="BE2494">
        <v>0.83</v>
      </c>
      <c r="BF2494">
        <v>-1.01</v>
      </c>
      <c r="BG2494">
        <v>1.04</v>
      </c>
      <c r="BH2494">
        <v>0.23</v>
      </c>
      <c r="BI2494">
        <v>20191216</v>
      </c>
      <c r="BJ2494">
        <v>20040115</v>
      </c>
      <c r="BK2494">
        <v>5.28</v>
      </c>
      <c r="BL2494" t="s">
        <v>116</v>
      </c>
      <c r="BM2494" t="s">
        <v>116</v>
      </c>
      <c r="BN2494">
        <v>19.09</v>
      </c>
      <c r="BO2494">
        <v>5.89</v>
      </c>
      <c r="BP2494">
        <v>0.56999999999999995</v>
      </c>
      <c r="BQ2494">
        <v>66.13</v>
      </c>
      <c r="BR2494">
        <v>10.87</v>
      </c>
      <c r="BS2494">
        <v>5.03</v>
      </c>
      <c r="BT2494">
        <v>1.78</v>
      </c>
      <c r="BU2494">
        <v>11.06</v>
      </c>
      <c r="BV2494">
        <v>3.64</v>
      </c>
      <c r="BW2494">
        <v>1.66</v>
      </c>
      <c r="BX2494">
        <v>8.99</v>
      </c>
      <c r="BY2494">
        <v>6.85</v>
      </c>
      <c r="BZ2494">
        <v>6.44</v>
      </c>
      <c r="CA2494">
        <v>-1.39</v>
      </c>
      <c r="CB2494">
        <v>-0.11</v>
      </c>
      <c r="CC2494">
        <v>-1.38</v>
      </c>
      <c r="CD2494">
        <v>-1.43</v>
      </c>
      <c r="CE2494">
        <v>-1.1000000000000001</v>
      </c>
      <c r="CF2494">
        <v>-1.17</v>
      </c>
      <c r="CG2494">
        <v>-8.68</v>
      </c>
      <c r="CH2494">
        <v>0.2</v>
      </c>
      <c r="CI2494">
        <v>-2.04</v>
      </c>
      <c r="CJ2494">
        <v>72815</v>
      </c>
      <c r="CK2494">
        <v>5151</v>
      </c>
      <c r="CL2494" t="s">
        <v>11479</v>
      </c>
      <c r="CM2494">
        <v>11.52</v>
      </c>
      <c r="CN2494">
        <v>86.84</v>
      </c>
      <c r="CO2494">
        <v>4.37</v>
      </c>
      <c r="CP2494">
        <v>131.21</v>
      </c>
      <c r="CQ2494">
        <v>3.76</v>
      </c>
      <c r="CR2494">
        <v>0</v>
      </c>
      <c r="CS2494" t="s">
        <v>11480</v>
      </c>
      <c r="CT2494">
        <v>1.1200000000000001</v>
      </c>
      <c r="CU2494">
        <v>0</v>
      </c>
      <c r="CV2494">
        <v>1.7</v>
      </c>
      <c r="CW2494">
        <v>-1.65</v>
      </c>
      <c r="CX2494">
        <v>0.04</v>
      </c>
      <c r="CY2494">
        <v>30.86</v>
      </c>
      <c r="CZ2494" t="s">
        <v>11481</v>
      </c>
      <c r="DA2494">
        <v>6.01</v>
      </c>
      <c r="DB2494">
        <v>-20.239999999999998</v>
      </c>
      <c r="DC2494">
        <v>-16.010000000000002</v>
      </c>
      <c r="DD2494">
        <v>0.05</v>
      </c>
      <c r="DE2494">
        <v>819</v>
      </c>
      <c r="DF2494">
        <v>600354</v>
      </c>
      <c r="DG2494" t="s">
        <v>116</v>
      </c>
      <c r="DH2494" t="s">
        <v>116</v>
      </c>
      <c r="DI2494" t="s">
        <v>116</v>
      </c>
    </row>
    <row r="2495" spans="1:113" x14ac:dyDescent="0.4">
      <c r="A2495" t="str">
        <f>"600355"</f>
        <v>600355</v>
      </c>
      <c r="B2495" t="s">
        <v>11482</v>
      </c>
      <c r="C2495">
        <v>-1.44</v>
      </c>
      <c r="D2495">
        <v>3.43</v>
      </c>
      <c r="E2495">
        <v>-0.05</v>
      </c>
      <c r="F2495">
        <v>3.43</v>
      </c>
      <c r="G2495">
        <v>3.44</v>
      </c>
      <c r="H2495">
        <v>94870</v>
      </c>
      <c r="I2495">
        <v>970</v>
      </c>
      <c r="J2495">
        <v>0</v>
      </c>
      <c r="K2495">
        <v>1.93</v>
      </c>
      <c r="L2495">
        <v>3.48</v>
      </c>
      <c r="M2495">
        <v>3.51</v>
      </c>
      <c r="N2495">
        <v>3.41</v>
      </c>
      <c r="O2495">
        <v>3.48</v>
      </c>
      <c r="P2495" t="s">
        <v>116</v>
      </c>
      <c r="Q2495">
        <v>32952788</v>
      </c>
      <c r="R2495">
        <v>0.86</v>
      </c>
      <c r="S2495" t="s">
        <v>233</v>
      </c>
      <c r="T2495" t="s">
        <v>774</v>
      </c>
      <c r="U2495">
        <v>2.87</v>
      </c>
      <c r="V2495">
        <v>3.47</v>
      </c>
      <c r="W2495">
        <v>53429</v>
      </c>
      <c r="X2495">
        <v>41441</v>
      </c>
      <c r="Y2495">
        <v>1.29</v>
      </c>
      <c r="Z2495">
        <v>517</v>
      </c>
      <c r="AA2495">
        <v>1063</v>
      </c>
      <c r="AB2495" t="s">
        <v>116</v>
      </c>
      <c r="AC2495">
        <v>91600</v>
      </c>
      <c r="AD2495">
        <v>0.01</v>
      </c>
      <c r="AE2495" t="s">
        <v>116</v>
      </c>
      <c r="AF2495" t="s">
        <v>116</v>
      </c>
      <c r="AG2495">
        <v>4.92</v>
      </c>
      <c r="AH2495" t="s">
        <v>3986</v>
      </c>
      <c r="AI2495" t="s">
        <v>3986</v>
      </c>
      <c r="AJ2495">
        <v>-1.36</v>
      </c>
      <c r="AK2495">
        <v>1330</v>
      </c>
      <c r="AL2495">
        <v>71</v>
      </c>
      <c r="AM2495">
        <v>1.4E-3</v>
      </c>
      <c r="AN2495">
        <v>-1</v>
      </c>
      <c r="AO2495">
        <v>1.47</v>
      </c>
      <c r="AP2495">
        <v>2.69</v>
      </c>
      <c r="AQ2495">
        <v>-2</v>
      </c>
      <c r="AR2495">
        <v>-1.1499999999999999</v>
      </c>
      <c r="AS2495">
        <v>2.2999999999999998</v>
      </c>
      <c r="AT2495" t="s">
        <v>1405</v>
      </c>
      <c r="AU2495" t="s">
        <v>116</v>
      </c>
      <c r="AV2495">
        <v>153.28</v>
      </c>
      <c r="AW2495">
        <v>1.72</v>
      </c>
      <c r="BA2495">
        <v>0</v>
      </c>
      <c r="BB2495">
        <v>0.86</v>
      </c>
      <c r="BC2495">
        <v>-2.0099999999999998</v>
      </c>
      <c r="BD2495">
        <v>-0.19</v>
      </c>
      <c r="BE2495">
        <v>-1.44</v>
      </c>
      <c r="BF2495">
        <v>-2.2799999999999998</v>
      </c>
      <c r="BG2495">
        <v>0.59</v>
      </c>
      <c r="BH2495">
        <v>-1.25</v>
      </c>
      <c r="BI2495">
        <v>20191225</v>
      </c>
      <c r="BJ2495">
        <v>20020613</v>
      </c>
      <c r="BK2495">
        <v>4.92</v>
      </c>
      <c r="BL2495" t="s">
        <v>116</v>
      </c>
      <c r="BM2495" t="s">
        <v>116</v>
      </c>
      <c r="BN2495">
        <v>5.46</v>
      </c>
      <c r="BO2495">
        <v>3.41</v>
      </c>
      <c r="BP2495">
        <v>-0.01</v>
      </c>
      <c r="BQ2495">
        <v>37.76</v>
      </c>
      <c r="BR2495">
        <v>3.43</v>
      </c>
      <c r="BS2495">
        <v>1.43</v>
      </c>
      <c r="BT2495">
        <v>0.26</v>
      </c>
      <c r="BU2495">
        <v>1.6</v>
      </c>
      <c r="BV2495">
        <v>1.08</v>
      </c>
      <c r="BW2495">
        <v>0.6</v>
      </c>
      <c r="BX2495">
        <v>1.51</v>
      </c>
      <c r="BY2495">
        <v>2.2999999999999998</v>
      </c>
      <c r="BZ2495">
        <v>1.69</v>
      </c>
      <c r="CA2495">
        <v>-0.17</v>
      </c>
      <c r="CB2495">
        <v>-0.06</v>
      </c>
      <c r="CC2495">
        <v>-0.17</v>
      </c>
      <c r="CD2495">
        <v>-0.2</v>
      </c>
      <c r="CE2495">
        <v>-0.2</v>
      </c>
      <c r="CF2495">
        <v>-0.22</v>
      </c>
      <c r="CG2495">
        <v>-3.43</v>
      </c>
      <c r="CH2495">
        <v>-0.03</v>
      </c>
      <c r="CI2495">
        <v>-0.38</v>
      </c>
      <c r="CJ2495">
        <v>35915</v>
      </c>
      <c r="CK2495">
        <v>11498</v>
      </c>
      <c r="CL2495" t="s">
        <v>4640</v>
      </c>
      <c r="CM2495">
        <v>-588.73</v>
      </c>
      <c r="CN2495">
        <v>-22.13</v>
      </c>
      <c r="CO2495">
        <v>4.95</v>
      </c>
      <c r="CP2495">
        <v>-641.91999999999996</v>
      </c>
      <c r="CQ2495">
        <v>7.34</v>
      </c>
      <c r="CR2495">
        <v>0</v>
      </c>
      <c r="CS2495" t="s">
        <v>2087</v>
      </c>
      <c r="CT2495">
        <v>0.69</v>
      </c>
      <c r="CU2495">
        <v>0</v>
      </c>
      <c r="CV2495">
        <v>0.31</v>
      </c>
      <c r="CW2495">
        <v>-0.7</v>
      </c>
      <c r="CX2495">
        <v>-0.01</v>
      </c>
      <c r="CY2495">
        <v>62.46</v>
      </c>
      <c r="CZ2495" t="s">
        <v>10063</v>
      </c>
      <c r="DA2495">
        <v>26.66</v>
      </c>
      <c r="DB2495">
        <v>-7.19</v>
      </c>
      <c r="DC2495">
        <v>-8.82</v>
      </c>
      <c r="DD2495">
        <v>0.31</v>
      </c>
      <c r="DE2495">
        <v>611</v>
      </c>
      <c r="DF2495">
        <v>600355</v>
      </c>
      <c r="DG2495" t="s">
        <v>116</v>
      </c>
      <c r="DH2495" t="s">
        <v>116</v>
      </c>
      <c r="DI2495" t="s">
        <v>116</v>
      </c>
    </row>
    <row r="2496" spans="1:113" x14ac:dyDescent="0.4">
      <c r="A2496" t="str">
        <f>"600356"</f>
        <v>600356</v>
      </c>
      <c r="B2496" t="s">
        <v>11483</v>
      </c>
      <c r="C2496">
        <v>-0.65</v>
      </c>
      <c r="D2496">
        <v>7.59</v>
      </c>
      <c r="E2496">
        <v>-0.05</v>
      </c>
      <c r="F2496">
        <v>7.58</v>
      </c>
      <c r="G2496">
        <v>7.59</v>
      </c>
      <c r="H2496">
        <v>14544</v>
      </c>
      <c r="I2496">
        <v>340</v>
      </c>
      <c r="J2496">
        <v>-0.12</v>
      </c>
      <c r="K2496">
        <v>0.49</v>
      </c>
      <c r="L2496">
        <v>7.64</v>
      </c>
      <c r="M2496">
        <v>7.69</v>
      </c>
      <c r="N2496">
        <v>7.58</v>
      </c>
      <c r="O2496">
        <v>7.64</v>
      </c>
      <c r="P2496">
        <v>21.74</v>
      </c>
      <c r="Q2496">
        <v>11111870</v>
      </c>
      <c r="R2496">
        <v>0.99</v>
      </c>
      <c r="S2496" t="s">
        <v>824</v>
      </c>
      <c r="T2496" t="s">
        <v>1287</v>
      </c>
      <c r="U2496">
        <v>1.44</v>
      </c>
      <c r="V2496">
        <v>7.64</v>
      </c>
      <c r="W2496">
        <v>8324</v>
      </c>
      <c r="X2496">
        <v>6220</v>
      </c>
      <c r="Y2496">
        <v>1.34</v>
      </c>
      <c r="Z2496">
        <v>187</v>
      </c>
      <c r="AA2496">
        <v>192</v>
      </c>
      <c r="AB2496" t="s">
        <v>116</v>
      </c>
      <c r="AC2496">
        <v>3800</v>
      </c>
      <c r="AD2496">
        <v>0</v>
      </c>
      <c r="AE2496" t="s">
        <v>116</v>
      </c>
      <c r="AF2496" t="s">
        <v>116</v>
      </c>
      <c r="AG2496">
        <v>2.99</v>
      </c>
      <c r="AH2496" t="s">
        <v>2163</v>
      </c>
      <c r="AI2496" t="s">
        <v>2163</v>
      </c>
      <c r="AJ2496">
        <v>-0.57999999999999996</v>
      </c>
      <c r="AK2496">
        <v>580</v>
      </c>
      <c r="AL2496">
        <v>25</v>
      </c>
      <c r="AM2496">
        <v>8.0000000000000004E-4</v>
      </c>
      <c r="AN2496">
        <v>-1</v>
      </c>
      <c r="AO2496">
        <v>-0.26</v>
      </c>
      <c r="AP2496">
        <v>-0.78</v>
      </c>
      <c r="AQ2496">
        <v>-3.31</v>
      </c>
      <c r="AR2496">
        <v>39.99</v>
      </c>
      <c r="AS2496">
        <v>0.72</v>
      </c>
      <c r="AT2496" t="s">
        <v>11484</v>
      </c>
      <c r="AU2496">
        <v>25.14</v>
      </c>
      <c r="AV2496">
        <v>33.950000000000003</v>
      </c>
      <c r="AW2496">
        <v>1.1000000000000001</v>
      </c>
      <c r="BA2496">
        <v>0</v>
      </c>
      <c r="BB2496">
        <v>0.65</v>
      </c>
      <c r="BC2496">
        <v>-0.79</v>
      </c>
      <c r="BD2496">
        <v>0</v>
      </c>
      <c r="BE2496">
        <v>-0.65</v>
      </c>
      <c r="BF2496">
        <v>-1.3</v>
      </c>
      <c r="BG2496">
        <v>0.13</v>
      </c>
      <c r="BH2496">
        <v>-0.66</v>
      </c>
      <c r="BI2496">
        <v>20191026</v>
      </c>
      <c r="BJ2496">
        <v>20010419</v>
      </c>
      <c r="BK2496">
        <v>2.99</v>
      </c>
      <c r="BL2496" t="s">
        <v>116</v>
      </c>
      <c r="BM2496" t="s">
        <v>116</v>
      </c>
      <c r="BN2496">
        <v>30.35</v>
      </c>
      <c r="BO2496">
        <v>21.68</v>
      </c>
      <c r="BP2496">
        <v>0.2</v>
      </c>
      <c r="BQ2496">
        <v>27.91</v>
      </c>
      <c r="BR2496">
        <v>16.2</v>
      </c>
      <c r="BS2496">
        <v>8.77</v>
      </c>
      <c r="BT2496">
        <v>2.88</v>
      </c>
      <c r="BU2496">
        <v>7.51</v>
      </c>
      <c r="BV2496">
        <v>4.95</v>
      </c>
      <c r="BW2496">
        <v>4.62</v>
      </c>
      <c r="BX2496">
        <v>9.26</v>
      </c>
      <c r="BY2496">
        <v>12.68</v>
      </c>
      <c r="BZ2496">
        <v>9.52</v>
      </c>
      <c r="CA2496">
        <v>1.05</v>
      </c>
      <c r="CB2496">
        <v>0</v>
      </c>
      <c r="CC2496">
        <v>1.05</v>
      </c>
      <c r="CD2496">
        <v>0.78</v>
      </c>
      <c r="CE2496">
        <v>0.78</v>
      </c>
      <c r="CF2496">
        <v>0.73</v>
      </c>
      <c r="CG2496">
        <v>7.74</v>
      </c>
      <c r="CH2496">
        <v>0.96</v>
      </c>
      <c r="CI2496">
        <v>0.51</v>
      </c>
      <c r="CJ2496">
        <v>18484</v>
      </c>
      <c r="CK2496">
        <v>10892</v>
      </c>
      <c r="CL2496" t="s">
        <v>11485</v>
      </c>
      <c r="CM2496">
        <v>42.7</v>
      </c>
      <c r="CN2496">
        <v>10.38</v>
      </c>
      <c r="CO2496">
        <v>1.05</v>
      </c>
      <c r="CP2496">
        <v>23.52</v>
      </c>
      <c r="CQ2496">
        <v>1.79</v>
      </c>
      <c r="CR2496">
        <v>0.9</v>
      </c>
      <c r="CS2496" t="s">
        <v>3228</v>
      </c>
      <c r="CT2496">
        <v>7.26</v>
      </c>
      <c r="CU2496">
        <v>0</v>
      </c>
      <c r="CV2496">
        <v>3.1</v>
      </c>
      <c r="CW2496">
        <v>2.59</v>
      </c>
      <c r="CX2496">
        <v>0.32</v>
      </c>
      <c r="CY2496">
        <v>71.44</v>
      </c>
      <c r="CZ2496" t="s">
        <v>7166</v>
      </c>
      <c r="DA2496">
        <v>24.88</v>
      </c>
      <c r="DB2496">
        <v>8.27</v>
      </c>
      <c r="DC2496">
        <v>6.17</v>
      </c>
      <c r="DD2496">
        <v>0.37</v>
      </c>
      <c r="DE2496">
        <v>1984</v>
      </c>
      <c r="DF2496">
        <v>600356</v>
      </c>
      <c r="DG2496" t="s">
        <v>116</v>
      </c>
      <c r="DH2496" t="s">
        <v>116</v>
      </c>
      <c r="DI2496" t="s">
        <v>116</v>
      </c>
    </row>
    <row r="2497" spans="1:113" x14ac:dyDescent="0.4">
      <c r="A2497" t="str">
        <f>"600358"</f>
        <v>600358</v>
      </c>
      <c r="B2497" t="s">
        <v>11486</v>
      </c>
      <c r="C2497">
        <v>-1.88</v>
      </c>
      <c r="D2497">
        <v>4.17</v>
      </c>
      <c r="E2497">
        <v>-0.08</v>
      </c>
      <c r="F2497">
        <v>4.17</v>
      </c>
      <c r="G2497">
        <v>4.18</v>
      </c>
      <c r="H2497">
        <v>27900</v>
      </c>
      <c r="I2497">
        <v>808</v>
      </c>
      <c r="J2497">
        <v>0</v>
      </c>
      <c r="K2497">
        <v>0.55000000000000004</v>
      </c>
      <c r="L2497">
        <v>4.24</v>
      </c>
      <c r="M2497">
        <v>4.25</v>
      </c>
      <c r="N2497">
        <v>4.17</v>
      </c>
      <c r="O2497">
        <v>4.25</v>
      </c>
      <c r="P2497" t="s">
        <v>116</v>
      </c>
      <c r="Q2497">
        <v>11735994</v>
      </c>
      <c r="R2497">
        <v>0.74</v>
      </c>
      <c r="S2497" t="s">
        <v>1412</v>
      </c>
      <c r="T2497" t="s">
        <v>323</v>
      </c>
      <c r="U2497">
        <v>1.88</v>
      </c>
      <c r="V2497">
        <v>4.21</v>
      </c>
      <c r="W2497">
        <v>16702</v>
      </c>
      <c r="X2497">
        <v>11198</v>
      </c>
      <c r="Y2497">
        <v>1.49</v>
      </c>
      <c r="Z2497">
        <v>177</v>
      </c>
      <c r="AA2497">
        <v>116</v>
      </c>
      <c r="AB2497" t="s">
        <v>116</v>
      </c>
      <c r="AC2497">
        <v>2100</v>
      </c>
      <c r="AD2497">
        <v>0</v>
      </c>
      <c r="AE2497" t="s">
        <v>116</v>
      </c>
      <c r="AF2497" t="s">
        <v>116</v>
      </c>
      <c r="AG2497">
        <v>5.05</v>
      </c>
      <c r="AH2497" t="s">
        <v>8030</v>
      </c>
      <c r="AI2497" t="s">
        <v>8030</v>
      </c>
      <c r="AJ2497">
        <v>-1.81</v>
      </c>
      <c r="AK2497">
        <v>661</v>
      </c>
      <c r="AL2497">
        <v>42</v>
      </c>
      <c r="AM2497">
        <v>8.0000000000000004E-4</v>
      </c>
      <c r="AN2497">
        <v>-1</v>
      </c>
      <c r="AO2497">
        <v>-1.42</v>
      </c>
      <c r="AP2497">
        <v>6.65</v>
      </c>
      <c r="AQ2497">
        <v>8.8800000000000008</v>
      </c>
      <c r="AR2497">
        <v>18.47</v>
      </c>
      <c r="AS2497">
        <v>0.78</v>
      </c>
      <c r="AT2497" t="s">
        <v>5778</v>
      </c>
      <c r="AU2497" t="s">
        <v>116</v>
      </c>
      <c r="AV2497" t="s">
        <v>116</v>
      </c>
      <c r="AW2497">
        <v>0.77</v>
      </c>
      <c r="BA2497">
        <v>-0.24</v>
      </c>
      <c r="BB2497">
        <v>0</v>
      </c>
      <c r="BC2497">
        <v>-1.88</v>
      </c>
      <c r="BD2497">
        <v>-1.02</v>
      </c>
      <c r="BE2497">
        <v>-1.65</v>
      </c>
      <c r="BF2497">
        <v>-1.88</v>
      </c>
      <c r="BG2497">
        <v>0</v>
      </c>
      <c r="BH2497">
        <v>-0.86</v>
      </c>
      <c r="BI2497">
        <v>20191030</v>
      </c>
      <c r="BJ2497">
        <v>20000922</v>
      </c>
      <c r="BK2497">
        <v>5.05</v>
      </c>
      <c r="BL2497" t="s">
        <v>116</v>
      </c>
      <c r="BM2497" t="s">
        <v>116</v>
      </c>
      <c r="BN2497">
        <v>7.98</v>
      </c>
      <c r="BO2497">
        <v>4.51</v>
      </c>
      <c r="BP2497">
        <v>1.05</v>
      </c>
      <c r="BQ2497">
        <v>30.34</v>
      </c>
      <c r="BR2497">
        <v>5.43</v>
      </c>
      <c r="BS2497">
        <v>0.25</v>
      </c>
      <c r="BT2497">
        <v>0.04</v>
      </c>
      <c r="BU2497">
        <v>2.42</v>
      </c>
      <c r="BV2497">
        <v>0.14000000000000001</v>
      </c>
      <c r="BW2497">
        <v>1.87</v>
      </c>
      <c r="BX2497">
        <v>3.55</v>
      </c>
      <c r="BY2497">
        <v>2.56</v>
      </c>
      <c r="BZ2497">
        <v>1.94</v>
      </c>
      <c r="CA2497">
        <v>0.19</v>
      </c>
      <c r="CB2497">
        <v>0.01</v>
      </c>
      <c r="CC2497">
        <v>0.19</v>
      </c>
      <c r="CD2497">
        <v>0.13</v>
      </c>
      <c r="CE2497">
        <v>-0.02</v>
      </c>
      <c r="CF2497">
        <v>-0.04</v>
      </c>
      <c r="CG2497">
        <v>-4.09</v>
      </c>
      <c r="CH2497">
        <v>-0.83</v>
      </c>
      <c r="CI2497">
        <v>-0.61</v>
      </c>
      <c r="CJ2497">
        <v>41089</v>
      </c>
      <c r="CK2497">
        <v>8724</v>
      </c>
      <c r="CL2497" t="s">
        <v>229</v>
      </c>
      <c r="CM2497">
        <v>86.89</v>
      </c>
      <c r="CN2497">
        <v>30.59</v>
      </c>
      <c r="CO2497">
        <v>4.67</v>
      </c>
      <c r="CP2497">
        <v>-25.49</v>
      </c>
      <c r="CQ2497">
        <v>8.23</v>
      </c>
      <c r="CR2497">
        <v>0</v>
      </c>
      <c r="CS2497" t="s">
        <v>1451</v>
      </c>
      <c r="CT2497">
        <v>0.89</v>
      </c>
      <c r="CU2497">
        <v>0</v>
      </c>
      <c r="CV2497">
        <v>0.7</v>
      </c>
      <c r="CW2497">
        <v>-0.81</v>
      </c>
      <c r="CX2497">
        <v>-0.16</v>
      </c>
      <c r="CY2497">
        <v>56.47</v>
      </c>
      <c r="CZ2497" t="s">
        <v>11487</v>
      </c>
      <c r="DA2497">
        <v>24.03</v>
      </c>
      <c r="DB2497">
        <v>7.26</v>
      </c>
      <c r="DC2497">
        <v>-0.86</v>
      </c>
      <c r="DD2497">
        <v>0</v>
      </c>
      <c r="DE2497">
        <v>148</v>
      </c>
      <c r="DF2497">
        <v>600358</v>
      </c>
      <c r="DG2497" t="s">
        <v>116</v>
      </c>
      <c r="DH2497" t="s">
        <v>116</v>
      </c>
      <c r="DI2497" t="s">
        <v>116</v>
      </c>
    </row>
    <row r="2498" spans="1:113" x14ac:dyDescent="0.4">
      <c r="A2498" t="str">
        <f>"600359"</f>
        <v>600359</v>
      </c>
      <c r="B2498" t="s">
        <v>11488</v>
      </c>
      <c r="C2498">
        <v>0.19</v>
      </c>
      <c r="D2498">
        <v>5.33</v>
      </c>
      <c r="E2498">
        <v>0.01</v>
      </c>
      <c r="F2498">
        <v>5.33</v>
      </c>
      <c r="G2498">
        <v>5.34</v>
      </c>
      <c r="H2498">
        <v>81634</v>
      </c>
      <c r="I2498">
        <v>873</v>
      </c>
      <c r="J2498">
        <v>0</v>
      </c>
      <c r="K2498">
        <v>2.14</v>
      </c>
      <c r="L2498">
        <v>5.3</v>
      </c>
      <c r="M2498">
        <v>5.39</v>
      </c>
      <c r="N2498">
        <v>5.3</v>
      </c>
      <c r="O2498">
        <v>5.32</v>
      </c>
      <c r="P2498" t="s">
        <v>116</v>
      </c>
      <c r="Q2498">
        <v>43661036</v>
      </c>
      <c r="R2498">
        <v>0.67</v>
      </c>
      <c r="S2498" t="s">
        <v>449</v>
      </c>
      <c r="T2498" t="s">
        <v>616</v>
      </c>
      <c r="U2498">
        <v>1.69</v>
      </c>
      <c r="V2498">
        <v>5.35</v>
      </c>
      <c r="W2498">
        <v>41161</v>
      </c>
      <c r="X2498">
        <v>40473</v>
      </c>
      <c r="Y2498">
        <v>1.02</v>
      </c>
      <c r="Z2498">
        <v>206</v>
      </c>
      <c r="AA2498">
        <v>554</v>
      </c>
      <c r="AB2498" t="s">
        <v>116</v>
      </c>
      <c r="AC2498">
        <v>174900</v>
      </c>
      <c r="AD2498">
        <v>0.01</v>
      </c>
      <c r="AE2498" t="s">
        <v>116</v>
      </c>
      <c r="AF2498" t="s">
        <v>116</v>
      </c>
      <c r="AG2498">
        <v>3.82</v>
      </c>
      <c r="AH2498" t="s">
        <v>5824</v>
      </c>
      <c r="AI2498" t="s">
        <v>5824</v>
      </c>
      <c r="AJ2498">
        <v>0.26</v>
      </c>
      <c r="AK2498">
        <v>1519</v>
      </c>
      <c r="AL2498">
        <v>54</v>
      </c>
      <c r="AM2498">
        <v>1.4E-3</v>
      </c>
      <c r="AN2498">
        <v>1</v>
      </c>
      <c r="AO2498">
        <v>-1.1100000000000001</v>
      </c>
      <c r="AP2498">
        <v>-5.33</v>
      </c>
      <c r="AQ2498">
        <v>-9.51</v>
      </c>
      <c r="AR2498">
        <v>25.41</v>
      </c>
      <c r="AS2498">
        <v>3.59</v>
      </c>
      <c r="AT2498" t="s">
        <v>2127</v>
      </c>
      <c r="AU2498" t="s">
        <v>116</v>
      </c>
      <c r="AV2498" t="s">
        <v>116</v>
      </c>
      <c r="AW2498">
        <v>0.85</v>
      </c>
      <c r="BA2498">
        <v>-0.38</v>
      </c>
      <c r="BB2498">
        <v>1.32</v>
      </c>
      <c r="BC2498">
        <v>-0.38</v>
      </c>
      <c r="BD2498">
        <v>0.53</v>
      </c>
      <c r="BE2498">
        <v>0.56999999999999995</v>
      </c>
      <c r="BF2498">
        <v>-1.1100000000000001</v>
      </c>
      <c r="BG2498">
        <v>0.56999999999999995</v>
      </c>
      <c r="BH2498">
        <v>-0.35</v>
      </c>
      <c r="BI2498">
        <v>20191030</v>
      </c>
      <c r="BJ2498">
        <v>19990429</v>
      </c>
      <c r="BK2498">
        <v>3.82</v>
      </c>
      <c r="BL2498" t="s">
        <v>116</v>
      </c>
      <c r="BM2498" t="s">
        <v>116</v>
      </c>
      <c r="BN2498">
        <v>19.350000000000001</v>
      </c>
      <c r="BO2498">
        <v>4.37</v>
      </c>
      <c r="BP2498">
        <v>-0.06</v>
      </c>
      <c r="BQ2498">
        <v>77.72</v>
      </c>
      <c r="BR2498">
        <v>10.74</v>
      </c>
      <c r="BS2498">
        <v>5.7</v>
      </c>
      <c r="BT2498">
        <v>0.4</v>
      </c>
      <c r="BU2498">
        <v>11.52</v>
      </c>
      <c r="BV2498">
        <v>3.59</v>
      </c>
      <c r="BW2498">
        <v>0.61</v>
      </c>
      <c r="BX2498">
        <v>9.23</v>
      </c>
      <c r="BY2498">
        <v>2.82</v>
      </c>
      <c r="BZ2498">
        <v>2.12</v>
      </c>
      <c r="CA2498">
        <v>-0.16</v>
      </c>
      <c r="CB2498">
        <v>0.01</v>
      </c>
      <c r="CC2498">
        <v>-0.18</v>
      </c>
      <c r="CD2498">
        <v>-0.18</v>
      </c>
      <c r="CE2498">
        <v>-0.18</v>
      </c>
      <c r="CF2498">
        <v>-0.52</v>
      </c>
      <c r="CG2498">
        <v>-9.23</v>
      </c>
      <c r="CH2498">
        <v>-0.05</v>
      </c>
      <c r="CI2498">
        <v>0.8</v>
      </c>
      <c r="CJ2498">
        <v>56329</v>
      </c>
      <c r="CK2498">
        <v>4042</v>
      </c>
      <c r="CL2498" t="s">
        <v>6612</v>
      </c>
      <c r="CM2498">
        <v>58.23</v>
      </c>
      <c r="CN2498">
        <v>-33.85</v>
      </c>
      <c r="CO2498">
        <v>4.66</v>
      </c>
      <c r="CP2498">
        <v>-376.22</v>
      </c>
      <c r="CQ2498">
        <v>7.2</v>
      </c>
      <c r="CR2498">
        <v>0</v>
      </c>
      <c r="CS2498" t="s">
        <v>3457</v>
      </c>
      <c r="CT2498">
        <v>1.1399999999999999</v>
      </c>
      <c r="CU2498">
        <v>0</v>
      </c>
      <c r="CV2498">
        <v>2.42</v>
      </c>
      <c r="CW2498">
        <v>-2.42</v>
      </c>
      <c r="CX2498">
        <v>-0.01</v>
      </c>
      <c r="CY2498">
        <v>22.58</v>
      </c>
      <c r="CZ2498" t="s">
        <v>11489</v>
      </c>
      <c r="DA2498">
        <v>25.01</v>
      </c>
      <c r="DB2498">
        <v>-5.51</v>
      </c>
      <c r="DC2498">
        <v>-6.5</v>
      </c>
      <c r="DD2498">
        <v>0.03</v>
      </c>
      <c r="DE2498">
        <v>1668</v>
      </c>
      <c r="DF2498">
        <v>600359</v>
      </c>
      <c r="DG2498" t="s">
        <v>116</v>
      </c>
      <c r="DH2498" t="s">
        <v>116</v>
      </c>
      <c r="DI2498" t="s">
        <v>116</v>
      </c>
    </row>
    <row r="2499" spans="1:113" x14ac:dyDescent="0.4">
      <c r="A2499" t="str">
        <f>"600360"</f>
        <v>600360</v>
      </c>
      <c r="B2499" t="s">
        <v>11490</v>
      </c>
      <c r="C2499">
        <v>-2.92</v>
      </c>
      <c r="D2499">
        <v>6.31</v>
      </c>
      <c r="E2499">
        <v>-0.19</v>
      </c>
      <c r="F2499">
        <v>6.3</v>
      </c>
      <c r="G2499">
        <v>6.31</v>
      </c>
      <c r="H2499">
        <v>494647</v>
      </c>
      <c r="I2499">
        <v>5921</v>
      </c>
      <c r="J2499">
        <v>-0.46</v>
      </c>
      <c r="K2499">
        <v>5.18</v>
      </c>
      <c r="L2499">
        <v>6.5</v>
      </c>
      <c r="M2499">
        <v>6.58</v>
      </c>
      <c r="N2499">
        <v>6.31</v>
      </c>
      <c r="O2499">
        <v>6.5</v>
      </c>
      <c r="P2499">
        <v>82.26</v>
      </c>
      <c r="Q2499">
        <v>317086240</v>
      </c>
      <c r="R2499">
        <v>1.1200000000000001</v>
      </c>
      <c r="S2499" t="s">
        <v>3507</v>
      </c>
      <c r="T2499" t="s">
        <v>294</v>
      </c>
      <c r="U2499">
        <v>4.1500000000000004</v>
      </c>
      <c r="V2499">
        <v>6.41</v>
      </c>
      <c r="W2499">
        <v>288397</v>
      </c>
      <c r="X2499">
        <v>206250</v>
      </c>
      <c r="Y2499">
        <v>1.4</v>
      </c>
      <c r="Z2499">
        <v>7400</v>
      </c>
      <c r="AA2499">
        <v>603</v>
      </c>
      <c r="AB2499" t="s">
        <v>116</v>
      </c>
      <c r="AC2499">
        <v>1875300</v>
      </c>
      <c r="AD2499">
        <v>0.04</v>
      </c>
      <c r="AE2499" t="s">
        <v>116</v>
      </c>
      <c r="AF2499" t="s">
        <v>116</v>
      </c>
      <c r="AG2499">
        <v>9.5500000000000007</v>
      </c>
      <c r="AH2499" t="s">
        <v>11491</v>
      </c>
      <c r="AI2499" t="s">
        <v>8841</v>
      </c>
      <c r="AJ2499">
        <v>-2.85</v>
      </c>
      <c r="AK2499">
        <v>3543</v>
      </c>
      <c r="AL2499">
        <v>140</v>
      </c>
      <c r="AM2499">
        <v>1.5E-3</v>
      </c>
      <c r="AN2499">
        <v>-2</v>
      </c>
      <c r="AO2499">
        <v>3.11</v>
      </c>
      <c r="AP2499">
        <v>11.68</v>
      </c>
      <c r="AQ2499">
        <v>5.52</v>
      </c>
      <c r="AR2499">
        <v>30.94</v>
      </c>
      <c r="AS2499">
        <v>6.78</v>
      </c>
      <c r="AT2499" t="s">
        <v>6685</v>
      </c>
      <c r="AU2499">
        <v>73</v>
      </c>
      <c r="AV2499">
        <v>57.38</v>
      </c>
      <c r="AW2499">
        <v>1.62</v>
      </c>
      <c r="BA2499">
        <v>0</v>
      </c>
      <c r="BB2499">
        <v>1.23</v>
      </c>
      <c r="BC2499">
        <v>-2.92</v>
      </c>
      <c r="BD2499">
        <v>-1.38</v>
      </c>
      <c r="BE2499">
        <v>-2.92</v>
      </c>
      <c r="BF2499">
        <v>-4.0999999999999996</v>
      </c>
      <c r="BG2499">
        <v>0</v>
      </c>
      <c r="BH2499">
        <v>-1.54</v>
      </c>
      <c r="BI2499">
        <v>20191203</v>
      </c>
      <c r="BJ2499">
        <v>20010316</v>
      </c>
      <c r="BK2499">
        <v>9.64</v>
      </c>
      <c r="BL2499" t="s">
        <v>116</v>
      </c>
      <c r="BM2499" t="s">
        <v>116</v>
      </c>
      <c r="BN2499">
        <v>53.2</v>
      </c>
      <c r="BO2499">
        <v>30.72</v>
      </c>
      <c r="BP2499">
        <v>-0.11</v>
      </c>
      <c r="BQ2499">
        <v>42.45</v>
      </c>
      <c r="BR2499">
        <v>34.46</v>
      </c>
      <c r="BS2499">
        <v>9.41</v>
      </c>
      <c r="BT2499">
        <v>1.18</v>
      </c>
      <c r="BU2499">
        <v>19.72</v>
      </c>
      <c r="BV2499">
        <v>2.2400000000000002</v>
      </c>
      <c r="BW2499">
        <v>4.47</v>
      </c>
      <c r="BX2499">
        <v>11.6</v>
      </c>
      <c r="BY2499">
        <v>12.1</v>
      </c>
      <c r="BZ2499">
        <v>9.56</v>
      </c>
      <c r="CA2499">
        <v>0.63</v>
      </c>
      <c r="CB2499">
        <v>0.05</v>
      </c>
      <c r="CC2499">
        <v>0.63</v>
      </c>
      <c r="CD2499">
        <v>0.52</v>
      </c>
      <c r="CE2499">
        <v>0.55000000000000004</v>
      </c>
      <c r="CF2499">
        <v>0.5</v>
      </c>
      <c r="CG2499">
        <v>8.6999999999999993</v>
      </c>
      <c r="CH2499">
        <v>2.13</v>
      </c>
      <c r="CI2499">
        <v>2.75</v>
      </c>
      <c r="CJ2499">
        <v>95803</v>
      </c>
      <c r="CK2499">
        <v>7615</v>
      </c>
      <c r="CL2499" t="s">
        <v>191</v>
      </c>
      <c r="CM2499">
        <v>-29.03</v>
      </c>
      <c r="CN2499">
        <v>-3.33</v>
      </c>
      <c r="CO2499">
        <v>1.98</v>
      </c>
      <c r="CP2499">
        <v>28.57</v>
      </c>
      <c r="CQ2499">
        <v>5.03</v>
      </c>
      <c r="CR2499">
        <v>0.55000000000000004</v>
      </c>
      <c r="CS2499" t="s">
        <v>6382</v>
      </c>
      <c r="CT2499">
        <v>3.19</v>
      </c>
      <c r="CU2499">
        <v>0</v>
      </c>
      <c r="CV2499">
        <v>1.2</v>
      </c>
      <c r="CW2499">
        <v>0.9</v>
      </c>
      <c r="CX2499">
        <v>0.22</v>
      </c>
      <c r="CY2499">
        <v>57.75</v>
      </c>
      <c r="CZ2499" t="s">
        <v>11492</v>
      </c>
      <c r="DA2499">
        <v>21</v>
      </c>
      <c r="DB2499">
        <v>5.2</v>
      </c>
      <c r="DC2499">
        <v>4.58</v>
      </c>
      <c r="DD2499">
        <v>0.33</v>
      </c>
      <c r="DE2499">
        <v>2163</v>
      </c>
      <c r="DF2499">
        <v>600360</v>
      </c>
      <c r="DG2499" t="s">
        <v>116</v>
      </c>
      <c r="DH2499" t="s">
        <v>116</v>
      </c>
      <c r="DI2499" t="s">
        <v>116</v>
      </c>
    </row>
    <row r="2500" spans="1:113" x14ac:dyDescent="0.4">
      <c r="A2500" t="str">
        <f>"600361"</f>
        <v>600361</v>
      </c>
      <c r="B2500" t="s">
        <v>11493</v>
      </c>
      <c r="C2500">
        <v>-0.79</v>
      </c>
      <c r="D2500">
        <v>3.75</v>
      </c>
      <c r="E2500">
        <v>-0.03</v>
      </c>
      <c r="F2500">
        <v>3.75</v>
      </c>
      <c r="G2500">
        <v>3.76</v>
      </c>
      <c r="H2500">
        <v>20003</v>
      </c>
      <c r="I2500">
        <v>119</v>
      </c>
      <c r="J2500">
        <v>0</v>
      </c>
      <c r="K2500">
        <v>0.3</v>
      </c>
      <c r="L2500">
        <v>3.77</v>
      </c>
      <c r="M2500">
        <v>3.82</v>
      </c>
      <c r="N2500">
        <v>3.75</v>
      </c>
      <c r="O2500">
        <v>3.78</v>
      </c>
      <c r="P2500">
        <v>30.02</v>
      </c>
      <c r="Q2500">
        <v>7563100</v>
      </c>
      <c r="R2500">
        <v>0.83</v>
      </c>
      <c r="S2500" t="s">
        <v>2064</v>
      </c>
      <c r="T2500" t="s">
        <v>165</v>
      </c>
      <c r="U2500">
        <v>1.85</v>
      </c>
      <c r="V2500">
        <v>3.78</v>
      </c>
      <c r="W2500">
        <v>12283</v>
      </c>
      <c r="X2500">
        <v>7720</v>
      </c>
      <c r="Y2500">
        <v>1.59</v>
      </c>
      <c r="Z2500">
        <v>141</v>
      </c>
      <c r="AA2500">
        <v>329</v>
      </c>
      <c r="AB2500" t="s">
        <v>116</v>
      </c>
      <c r="AC2500">
        <v>0</v>
      </c>
      <c r="AD2500">
        <v>0</v>
      </c>
      <c r="AE2500" t="s">
        <v>116</v>
      </c>
      <c r="AF2500" t="s">
        <v>116</v>
      </c>
      <c r="AG2500">
        <v>6.66</v>
      </c>
      <c r="AH2500" t="s">
        <v>9176</v>
      </c>
      <c r="AI2500" t="s">
        <v>9176</v>
      </c>
      <c r="AJ2500">
        <v>-0.72</v>
      </c>
      <c r="AK2500">
        <v>350</v>
      </c>
      <c r="AL2500">
        <v>57</v>
      </c>
      <c r="AM2500">
        <v>8.9999999999999998E-4</v>
      </c>
      <c r="AN2500">
        <v>-1</v>
      </c>
      <c r="AO2500">
        <v>-0.79</v>
      </c>
      <c r="AP2500">
        <v>4.46</v>
      </c>
      <c r="AQ2500">
        <v>1.63</v>
      </c>
      <c r="AR2500">
        <v>12.95</v>
      </c>
      <c r="AS2500">
        <v>0.67</v>
      </c>
      <c r="AT2500" t="s">
        <v>721</v>
      </c>
      <c r="AU2500">
        <v>32</v>
      </c>
      <c r="AV2500">
        <v>29.94</v>
      </c>
      <c r="AW2500">
        <v>1.35</v>
      </c>
      <c r="BA2500">
        <v>-0.26</v>
      </c>
      <c r="BB2500">
        <v>1.06</v>
      </c>
      <c r="BC2500">
        <v>-0.79</v>
      </c>
      <c r="BD2500">
        <v>0.03</v>
      </c>
      <c r="BE2500">
        <v>-0.53</v>
      </c>
      <c r="BF2500">
        <v>-1.83</v>
      </c>
      <c r="BG2500">
        <v>0</v>
      </c>
      <c r="BH2500">
        <v>-0.82</v>
      </c>
      <c r="BI2500">
        <v>20191025</v>
      </c>
      <c r="BJ2500">
        <v>20011129</v>
      </c>
      <c r="BK2500">
        <v>6.66</v>
      </c>
      <c r="BL2500" t="s">
        <v>116</v>
      </c>
      <c r="BM2500" t="s">
        <v>116</v>
      </c>
      <c r="BN2500">
        <v>99.09</v>
      </c>
      <c r="BO2500">
        <v>27.31</v>
      </c>
      <c r="BP2500">
        <v>0.03</v>
      </c>
      <c r="BQ2500">
        <v>72.400000000000006</v>
      </c>
      <c r="BR2500">
        <v>63.56</v>
      </c>
      <c r="BS2500">
        <v>6.31</v>
      </c>
      <c r="BT2500">
        <v>1.58</v>
      </c>
      <c r="BU2500">
        <v>70.88</v>
      </c>
      <c r="BV2500">
        <v>11.37</v>
      </c>
      <c r="BW2500">
        <v>0.79</v>
      </c>
      <c r="BX2500">
        <v>16.86</v>
      </c>
      <c r="BY2500">
        <v>92.88</v>
      </c>
      <c r="BZ2500">
        <v>72.5</v>
      </c>
      <c r="CA2500">
        <v>0.65</v>
      </c>
      <c r="CB2500">
        <v>0.66</v>
      </c>
      <c r="CC2500">
        <v>0.7</v>
      </c>
      <c r="CD2500">
        <v>0.62</v>
      </c>
      <c r="CE2500">
        <v>0.62</v>
      </c>
      <c r="CF2500">
        <v>0.54</v>
      </c>
      <c r="CG2500">
        <v>2.33</v>
      </c>
      <c r="CH2500">
        <v>6.54</v>
      </c>
      <c r="CI2500">
        <v>-1.3</v>
      </c>
      <c r="CJ2500">
        <v>29445</v>
      </c>
      <c r="CK2500">
        <v>10180</v>
      </c>
      <c r="CL2500" t="s">
        <v>10698</v>
      </c>
      <c r="CM2500">
        <v>-7.92</v>
      </c>
      <c r="CN2500">
        <v>0.46</v>
      </c>
      <c r="CO2500">
        <v>0.91</v>
      </c>
      <c r="CP2500">
        <v>3.82</v>
      </c>
      <c r="CQ2500">
        <v>0.27</v>
      </c>
      <c r="CR2500">
        <v>1.87</v>
      </c>
      <c r="CS2500" t="s">
        <v>3590</v>
      </c>
      <c r="CT2500">
        <v>4.0999999999999996</v>
      </c>
      <c r="CU2500">
        <v>0</v>
      </c>
      <c r="CV2500">
        <v>2.5299999999999998</v>
      </c>
      <c r="CW2500">
        <v>0.35</v>
      </c>
      <c r="CX2500">
        <v>0.98</v>
      </c>
      <c r="CY2500">
        <v>27.57</v>
      </c>
      <c r="CZ2500" t="s">
        <v>5577</v>
      </c>
      <c r="DA2500">
        <v>21.94</v>
      </c>
      <c r="DB2500">
        <v>0.7</v>
      </c>
      <c r="DC2500">
        <v>0.67</v>
      </c>
      <c r="DD2500">
        <v>0</v>
      </c>
      <c r="DE2500">
        <v>17210</v>
      </c>
      <c r="DF2500">
        <v>600361</v>
      </c>
      <c r="DG2500" t="s">
        <v>116</v>
      </c>
      <c r="DH2500" t="s">
        <v>116</v>
      </c>
      <c r="DI2500" t="s">
        <v>116</v>
      </c>
    </row>
    <row r="2501" spans="1:113" x14ac:dyDescent="0.4">
      <c r="A2501" t="str">
        <f>"600362"</f>
        <v>600362</v>
      </c>
      <c r="B2501" t="s">
        <v>11494</v>
      </c>
      <c r="C2501">
        <v>3.83</v>
      </c>
      <c r="D2501">
        <v>16.79</v>
      </c>
      <c r="E2501">
        <v>0.62</v>
      </c>
      <c r="F2501">
        <v>16.78</v>
      </c>
      <c r="G2501">
        <v>16.79</v>
      </c>
      <c r="H2501">
        <v>702785</v>
      </c>
      <c r="I2501">
        <v>3628</v>
      </c>
      <c r="J2501">
        <v>-0.05</v>
      </c>
      <c r="K2501">
        <v>3.39</v>
      </c>
      <c r="L2501">
        <v>16.260000000000002</v>
      </c>
      <c r="M2501">
        <v>17.62</v>
      </c>
      <c r="N2501">
        <v>16.190000000000001</v>
      </c>
      <c r="O2501">
        <v>16.170000000000002</v>
      </c>
      <c r="P2501">
        <v>21.11</v>
      </c>
      <c r="Q2501">
        <v>1181251456</v>
      </c>
      <c r="R2501">
        <v>2.19</v>
      </c>
      <c r="S2501" t="s">
        <v>1517</v>
      </c>
      <c r="T2501" t="s">
        <v>683</v>
      </c>
      <c r="U2501">
        <v>8.84</v>
      </c>
      <c r="V2501">
        <v>16.809999999999999</v>
      </c>
      <c r="W2501">
        <v>298065</v>
      </c>
      <c r="X2501">
        <v>404720</v>
      </c>
      <c r="Y2501">
        <v>0.74</v>
      </c>
      <c r="Z2501">
        <v>115</v>
      </c>
      <c r="AA2501">
        <v>984</v>
      </c>
      <c r="AB2501" t="s">
        <v>116</v>
      </c>
      <c r="AC2501">
        <v>5162600</v>
      </c>
      <c r="AD2501">
        <v>0.04</v>
      </c>
      <c r="AE2501" t="s">
        <v>116</v>
      </c>
      <c r="AF2501" t="s">
        <v>116</v>
      </c>
      <c r="AG2501">
        <v>20.75</v>
      </c>
      <c r="AH2501" t="s">
        <v>11495</v>
      </c>
      <c r="AI2501" t="s">
        <v>11495</v>
      </c>
      <c r="AJ2501">
        <v>3.91</v>
      </c>
      <c r="AK2501">
        <v>4521</v>
      </c>
      <c r="AL2501">
        <v>155</v>
      </c>
      <c r="AM2501">
        <v>6.9999999999999999E-4</v>
      </c>
      <c r="AN2501">
        <v>1</v>
      </c>
      <c r="AO2501">
        <v>3.45</v>
      </c>
      <c r="AP2501">
        <v>19.16</v>
      </c>
      <c r="AQ2501">
        <v>16.600000000000001</v>
      </c>
      <c r="AR2501">
        <v>29.55</v>
      </c>
      <c r="AS2501">
        <v>8.08</v>
      </c>
      <c r="AT2501" t="s">
        <v>11496</v>
      </c>
      <c r="AU2501">
        <v>23.56</v>
      </c>
      <c r="AV2501">
        <v>23.75</v>
      </c>
      <c r="AW2501">
        <v>1.1100000000000001</v>
      </c>
      <c r="BA2501">
        <v>0.56000000000000005</v>
      </c>
      <c r="BB2501">
        <v>8.9700000000000006</v>
      </c>
      <c r="BC2501">
        <v>0.12</v>
      </c>
      <c r="BD2501">
        <v>3.95</v>
      </c>
      <c r="BE2501">
        <v>3.26</v>
      </c>
      <c r="BF2501">
        <v>-4.71</v>
      </c>
      <c r="BG2501">
        <v>3.71</v>
      </c>
      <c r="BH2501">
        <v>-0.11</v>
      </c>
      <c r="BI2501">
        <v>20191030</v>
      </c>
      <c r="BJ2501">
        <v>20020111</v>
      </c>
      <c r="BK2501">
        <v>34.630000000000003</v>
      </c>
      <c r="BL2501" t="s">
        <v>116</v>
      </c>
      <c r="BM2501">
        <v>13.87</v>
      </c>
      <c r="BN2501">
        <v>1330.18</v>
      </c>
      <c r="BO2501">
        <v>513.26</v>
      </c>
      <c r="BP2501">
        <v>56.86</v>
      </c>
      <c r="BQ2501">
        <v>57.14</v>
      </c>
      <c r="BR2501">
        <v>928.77</v>
      </c>
      <c r="BS2501">
        <v>207.56</v>
      </c>
      <c r="BT2501">
        <v>27.25</v>
      </c>
      <c r="BU2501">
        <v>720.14</v>
      </c>
      <c r="BV2501">
        <v>224.25</v>
      </c>
      <c r="BW2501">
        <v>57.29</v>
      </c>
      <c r="BX2501">
        <v>116.64</v>
      </c>
      <c r="BY2501">
        <v>1712.4</v>
      </c>
      <c r="BZ2501">
        <v>1645.66</v>
      </c>
      <c r="CA2501">
        <v>27.04</v>
      </c>
      <c r="CB2501">
        <v>2.02</v>
      </c>
      <c r="CC2501">
        <v>28.17</v>
      </c>
      <c r="CD2501">
        <v>20.37</v>
      </c>
      <c r="CE2501">
        <v>20.65</v>
      </c>
      <c r="CF2501">
        <v>22.19</v>
      </c>
      <c r="CG2501">
        <v>204.45</v>
      </c>
      <c r="CH2501">
        <v>87.81</v>
      </c>
      <c r="CI2501">
        <v>24.56</v>
      </c>
      <c r="CJ2501">
        <v>126084</v>
      </c>
      <c r="CK2501">
        <v>6898</v>
      </c>
      <c r="CL2501" t="s">
        <v>327</v>
      </c>
      <c r="CM2501">
        <v>0.99</v>
      </c>
      <c r="CN2501">
        <v>5.32</v>
      </c>
      <c r="CO2501">
        <v>1.1299999999999999</v>
      </c>
      <c r="CP2501">
        <v>6.62</v>
      </c>
      <c r="CQ2501">
        <v>0.34</v>
      </c>
      <c r="CR2501">
        <v>1.19</v>
      </c>
      <c r="CS2501" t="s">
        <v>11497</v>
      </c>
      <c r="CT2501">
        <v>14.82</v>
      </c>
      <c r="CU2501">
        <v>0</v>
      </c>
      <c r="CV2501">
        <v>3.37</v>
      </c>
      <c r="CW2501">
        <v>5.9</v>
      </c>
      <c r="CX2501">
        <v>2.54</v>
      </c>
      <c r="CY2501">
        <v>38.590000000000003</v>
      </c>
      <c r="CZ2501" t="s">
        <v>527</v>
      </c>
      <c r="DA2501">
        <v>3.9</v>
      </c>
      <c r="DB2501">
        <v>1.58</v>
      </c>
      <c r="DC2501">
        <v>1.21</v>
      </c>
      <c r="DD2501">
        <v>2.0299999999999998</v>
      </c>
      <c r="DE2501">
        <v>19711</v>
      </c>
      <c r="DF2501">
        <v>600362</v>
      </c>
      <c r="DG2501" t="s">
        <v>116</v>
      </c>
      <c r="DH2501" t="s">
        <v>116</v>
      </c>
      <c r="DI2501" t="s">
        <v>116</v>
      </c>
    </row>
    <row r="2502" spans="1:113" x14ac:dyDescent="0.4">
      <c r="A2502" t="str">
        <f>"600363"</f>
        <v>600363</v>
      </c>
      <c r="B2502" t="s">
        <v>11498</v>
      </c>
      <c r="C2502">
        <v>-2.66</v>
      </c>
      <c r="D2502">
        <v>15.34</v>
      </c>
      <c r="E2502">
        <v>-0.42</v>
      </c>
      <c r="F2502">
        <v>15.34</v>
      </c>
      <c r="G2502">
        <v>15.35</v>
      </c>
      <c r="H2502">
        <v>118705</v>
      </c>
      <c r="I2502">
        <v>2888</v>
      </c>
      <c r="J2502">
        <v>-0.31</v>
      </c>
      <c r="K2502">
        <v>2.68</v>
      </c>
      <c r="L2502">
        <v>15.73</v>
      </c>
      <c r="M2502">
        <v>15.84</v>
      </c>
      <c r="N2502">
        <v>15.31</v>
      </c>
      <c r="O2502">
        <v>15.76</v>
      </c>
      <c r="P2502">
        <v>32.979999999999997</v>
      </c>
      <c r="Q2502">
        <v>185114384</v>
      </c>
      <c r="R2502">
        <v>0.6</v>
      </c>
      <c r="S2502" t="s">
        <v>233</v>
      </c>
      <c r="T2502" t="s">
        <v>683</v>
      </c>
      <c r="U2502">
        <v>3.36</v>
      </c>
      <c r="V2502">
        <v>15.59</v>
      </c>
      <c r="W2502">
        <v>78456</v>
      </c>
      <c r="X2502">
        <v>40249</v>
      </c>
      <c r="Y2502">
        <v>1.95</v>
      </c>
      <c r="Z2502">
        <v>3219</v>
      </c>
      <c r="AA2502">
        <v>386</v>
      </c>
      <c r="AB2502" t="s">
        <v>116</v>
      </c>
      <c r="AC2502">
        <v>346100</v>
      </c>
      <c r="AD2502">
        <v>0.01</v>
      </c>
      <c r="AE2502" t="s">
        <v>116</v>
      </c>
      <c r="AF2502" t="s">
        <v>116</v>
      </c>
      <c r="AG2502">
        <v>4.43</v>
      </c>
      <c r="AH2502" t="s">
        <v>9917</v>
      </c>
      <c r="AI2502" t="s">
        <v>9917</v>
      </c>
      <c r="AJ2502">
        <v>-2.59</v>
      </c>
      <c r="AK2502">
        <v>2356</v>
      </c>
      <c r="AL2502">
        <v>50</v>
      </c>
      <c r="AM2502">
        <v>1.1000000000000001E-3</v>
      </c>
      <c r="AN2502">
        <v>-1</v>
      </c>
      <c r="AO2502">
        <v>-4.18</v>
      </c>
      <c r="AP2502">
        <v>8.33</v>
      </c>
      <c r="AQ2502">
        <v>17.64</v>
      </c>
      <c r="AR2502">
        <v>93</v>
      </c>
      <c r="AS2502">
        <v>3.39</v>
      </c>
      <c r="AT2502" t="s">
        <v>11499</v>
      </c>
      <c r="AU2502">
        <v>32.909999999999997</v>
      </c>
      <c r="AV2502">
        <v>29.95</v>
      </c>
      <c r="AW2502">
        <v>0.03</v>
      </c>
      <c r="BA2502">
        <v>-0.19</v>
      </c>
      <c r="BB2502">
        <v>0.51</v>
      </c>
      <c r="BC2502">
        <v>-2.86</v>
      </c>
      <c r="BD2502">
        <v>-1.05</v>
      </c>
      <c r="BE2502">
        <v>-2.48</v>
      </c>
      <c r="BF2502">
        <v>-3.16</v>
      </c>
      <c r="BG2502">
        <v>0.2</v>
      </c>
      <c r="BH2502">
        <v>-1.61</v>
      </c>
      <c r="BI2502">
        <v>20191031</v>
      </c>
      <c r="BJ2502">
        <v>20010329</v>
      </c>
      <c r="BK2502">
        <v>4.43</v>
      </c>
      <c r="BL2502" t="s">
        <v>116</v>
      </c>
      <c r="BM2502" t="s">
        <v>116</v>
      </c>
      <c r="BN2502">
        <v>57.71</v>
      </c>
      <c r="BO2502">
        <v>25.77</v>
      </c>
      <c r="BP2502">
        <v>3.21</v>
      </c>
      <c r="BQ2502">
        <v>49.77</v>
      </c>
      <c r="BR2502">
        <v>34.58</v>
      </c>
      <c r="BS2502">
        <v>5.51</v>
      </c>
      <c r="BT2502">
        <v>0.35</v>
      </c>
      <c r="BU2502">
        <v>28.22</v>
      </c>
      <c r="BV2502">
        <v>8.27</v>
      </c>
      <c r="BW2502">
        <v>12.42</v>
      </c>
      <c r="BX2502">
        <v>6.34</v>
      </c>
      <c r="BY2502">
        <v>33.07</v>
      </c>
      <c r="BZ2502">
        <v>29.42</v>
      </c>
      <c r="CA2502">
        <v>1.84</v>
      </c>
      <c r="CB2502">
        <v>1.78</v>
      </c>
      <c r="CC2502">
        <v>1.86</v>
      </c>
      <c r="CD2502">
        <v>1.79</v>
      </c>
      <c r="CE2502">
        <v>1.55</v>
      </c>
      <c r="CF2502">
        <v>1.41</v>
      </c>
      <c r="CG2502">
        <v>13.31</v>
      </c>
      <c r="CH2502">
        <v>-0.95</v>
      </c>
      <c r="CI2502">
        <v>-0.46</v>
      </c>
      <c r="CJ2502">
        <v>36599</v>
      </c>
      <c r="CK2502">
        <v>9555</v>
      </c>
      <c r="CL2502" t="s">
        <v>3558</v>
      </c>
      <c r="CM2502">
        <v>-11.69</v>
      </c>
      <c r="CN2502">
        <v>32.46</v>
      </c>
      <c r="CO2502">
        <v>2.64</v>
      </c>
      <c r="CP2502">
        <v>-71.31</v>
      </c>
      <c r="CQ2502">
        <v>2.06</v>
      </c>
      <c r="CR2502">
        <v>0.34</v>
      </c>
      <c r="CS2502" t="s">
        <v>2309</v>
      </c>
      <c r="CT2502">
        <v>5.81</v>
      </c>
      <c r="CU2502">
        <v>0</v>
      </c>
      <c r="CV2502">
        <v>1.43</v>
      </c>
      <c r="CW2502">
        <v>3</v>
      </c>
      <c r="CX2502">
        <v>-0.22</v>
      </c>
      <c r="CY2502">
        <v>44.66</v>
      </c>
      <c r="CZ2502" t="s">
        <v>7120</v>
      </c>
      <c r="DA2502">
        <v>11.04</v>
      </c>
      <c r="DB2502">
        <v>5.57</v>
      </c>
      <c r="DC2502">
        <v>4.68</v>
      </c>
      <c r="DD2502">
        <v>1.1000000000000001</v>
      </c>
      <c r="DE2502">
        <v>6055</v>
      </c>
      <c r="DF2502">
        <v>600363</v>
      </c>
      <c r="DG2502" t="s">
        <v>116</v>
      </c>
      <c r="DH2502" t="s">
        <v>116</v>
      </c>
      <c r="DI2502" t="s">
        <v>116</v>
      </c>
    </row>
    <row r="2503" spans="1:113" x14ac:dyDescent="0.4">
      <c r="A2503" t="str">
        <f>"600365"</f>
        <v>600365</v>
      </c>
      <c r="B2503" t="s">
        <v>11500</v>
      </c>
      <c r="C2503">
        <v>-1.2</v>
      </c>
      <c r="D2503">
        <v>4.13</v>
      </c>
      <c r="E2503">
        <v>-0.05</v>
      </c>
      <c r="F2503">
        <v>4.12</v>
      </c>
      <c r="G2503">
        <v>4.13</v>
      </c>
      <c r="H2503">
        <v>43679</v>
      </c>
      <c r="I2503">
        <v>437</v>
      </c>
      <c r="J2503">
        <v>0</v>
      </c>
      <c r="K2503">
        <v>1.0900000000000001</v>
      </c>
      <c r="L2503">
        <v>4.21</v>
      </c>
      <c r="M2503">
        <v>4.2300000000000004</v>
      </c>
      <c r="N2503">
        <v>4.12</v>
      </c>
      <c r="O2503">
        <v>4.18</v>
      </c>
      <c r="P2503">
        <v>396.8</v>
      </c>
      <c r="Q2503">
        <v>18250032</v>
      </c>
      <c r="R2503">
        <v>0.79</v>
      </c>
      <c r="S2503" t="s">
        <v>2477</v>
      </c>
      <c r="T2503" t="s">
        <v>294</v>
      </c>
      <c r="U2503">
        <v>2.63</v>
      </c>
      <c r="V2503">
        <v>4.18</v>
      </c>
      <c r="W2503">
        <v>27395</v>
      </c>
      <c r="X2503">
        <v>16284</v>
      </c>
      <c r="Y2503">
        <v>1.68</v>
      </c>
      <c r="Z2503">
        <v>93</v>
      </c>
      <c r="AA2503">
        <v>508</v>
      </c>
      <c r="AB2503" t="s">
        <v>116</v>
      </c>
      <c r="AC2503">
        <v>32000</v>
      </c>
      <c r="AD2503">
        <v>0</v>
      </c>
      <c r="AE2503" t="s">
        <v>116</v>
      </c>
      <c r="AF2503" t="s">
        <v>116</v>
      </c>
      <c r="AG2503">
        <v>4</v>
      </c>
      <c r="AH2503" t="s">
        <v>8284</v>
      </c>
      <c r="AI2503" t="s">
        <v>8284</v>
      </c>
      <c r="AJ2503">
        <v>-1.1200000000000001</v>
      </c>
      <c r="AK2503">
        <v>1009</v>
      </c>
      <c r="AL2503">
        <v>43</v>
      </c>
      <c r="AM2503">
        <v>1.1000000000000001E-3</v>
      </c>
      <c r="AN2503">
        <v>-1</v>
      </c>
      <c r="AO2503">
        <v>-0.24</v>
      </c>
      <c r="AP2503">
        <v>4.29</v>
      </c>
      <c r="AQ2503">
        <v>-7.81</v>
      </c>
      <c r="AR2503">
        <v>13.77</v>
      </c>
      <c r="AS2503">
        <v>1.39</v>
      </c>
      <c r="AT2503" t="s">
        <v>9832</v>
      </c>
      <c r="AU2503">
        <v>314.39999999999998</v>
      </c>
      <c r="AV2503">
        <v>393.54</v>
      </c>
      <c r="AW2503">
        <v>1.27</v>
      </c>
      <c r="BA2503">
        <v>0.72</v>
      </c>
      <c r="BB2503">
        <v>1.2</v>
      </c>
      <c r="BC2503">
        <v>-1.44</v>
      </c>
      <c r="BD2503">
        <v>-0.04</v>
      </c>
      <c r="BE2503">
        <v>-1.9</v>
      </c>
      <c r="BF2503">
        <v>-2.36</v>
      </c>
      <c r="BG2503">
        <v>0.24</v>
      </c>
      <c r="BH2503">
        <v>-1.1499999999999999</v>
      </c>
      <c r="BI2503">
        <v>20191025</v>
      </c>
      <c r="BJ2503">
        <v>20010115</v>
      </c>
      <c r="BK2503">
        <v>4</v>
      </c>
      <c r="BL2503" t="s">
        <v>116</v>
      </c>
      <c r="BM2503" t="s">
        <v>116</v>
      </c>
      <c r="BN2503">
        <v>11.63</v>
      </c>
      <c r="BO2503">
        <v>6.96</v>
      </c>
      <c r="BP2503">
        <v>0.88</v>
      </c>
      <c r="BQ2503">
        <v>32.54</v>
      </c>
      <c r="BR2503">
        <v>8.89</v>
      </c>
      <c r="BS2503">
        <v>1.77</v>
      </c>
      <c r="BT2503">
        <v>0</v>
      </c>
      <c r="BU2503">
        <v>3.75</v>
      </c>
      <c r="BV2503">
        <v>2.41</v>
      </c>
      <c r="BW2503">
        <v>2.73</v>
      </c>
      <c r="BX2503">
        <v>5.48</v>
      </c>
      <c r="BY2503">
        <v>8.83</v>
      </c>
      <c r="BZ2503">
        <v>6.86</v>
      </c>
      <c r="CA2503">
        <v>0.3</v>
      </c>
      <c r="CB2503">
        <v>0</v>
      </c>
      <c r="CC2503">
        <v>0.3</v>
      </c>
      <c r="CD2503">
        <v>0.19</v>
      </c>
      <c r="CE2503">
        <v>0.03</v>
      </c>
      <c r="CF2503">
        <v>0.03</v>
      </c>
      <c r="CG2503">
        <v>-2.59</v>
      </c>
      <c r="CH2503">
        <v>-0.53</v>
      </c>
      <c r="CI2503">
        <v>-1.79</v>
      </c>
      <c r="CJ2503">
        <v>27755</v>
      </c>
      <c r="CK2503">
        <v>11328</v>
      </c>
      <c r="CL2503" t="s">
        <v>2800</v>
      </c>
      <c r="CM2503">
        <v>51.15</v>
      </c>
      <c r="CN2503">
        <v>32.17</v>
      </c>
      <c r="CO2503">
        <v>2.37</v>
      </c>
      <c r="CP2503">
        <v>-31.28</v>
      </c>
      <c r="CQ2503">
        <v>1.87</v>
      </c>
      <c r="CR2503">
        <v>0</v>
      </c>
      <c r="CS2503" t="s">
        <v>571</v>
      </c>
      <c r="CT2503">
        <v>1.74</v>
      </c>
      <c r="CU2503">
        <v>0</v>
      </c>
      <c r="CV2503">
        <v>1.37</v>
      </c>
      <c r="CW2503">
        <v>-0.65</v>
      </c>
      <c r="CX2503">
        <v>-0.13</v>
      </c>
      <c r="CY2503">
        <v>59.91</v>
      </c>
      <c r="CZ2503" t="s">
        <v>11501</v>
      </c>
      <c r="DA2503">
        <v>22.32</v>
      </c>
      <c r="DB2503">
        <v>3.37</v>
      </c>
      <c r="DC2503">
        <v>0.35</v>
      </c>
      <c r="DD2503">
        <v>0.01</v>
      </c>
      <c r="DE2503">
        <v>625</v>
      </c>
      <c r="DF2503">
        <v>600365</v>
      </c>
      <c r="DG2503" t="s">
        <v>116</v>
      </c>
      <c r="DH2503" t="s">
        <v>116</v>
      </c>
      <c r="DI2503" t="s">
        <v>116</v>
      </c>
    </row>
    <row r="2504" spans="1:113" x14ac:dyDescent="0.4">
      <c r="A2504" t="str">
        <f>"600366"</f>
        <v>600366</v>
      </c>
      <c r="B2504" t="s">
        <v>11502</v>
      </c>
      <c r="C2504">
        <v>0.76</v>
      </c>
      <c r="D2504">
        <v>6.67</v>
      </c>
      <c r="E2504">
        <v>0.05</v>
      </c>
      <c r="F2504">
        <v>6.66</v>
      </c>
      <c r="G2504">
        <v>6.67</v>
      </c>
      <c r="H2504">
        <v>563947</v>
      </c>
      <c r="I2504">
        <v>4679</v>
      </c>
      <c r="J2504">
        <v>0.3</v>
      </c>
      <c r="K2504">
        <v>5.7</v>
      </c>
      <c r="L2504">
        <v>6.65</v>
      </c>
      <c r="M2504">
        <v>6.91</v>
      </c>
      <c r="N2504">
        <v>6.61</v>
      </c>
      <c r="O2504">
        <v>6.62</v>
      </c>
      <c r="P2504">
        <v>105.61</v>
      </c>
      <c r="Q2504">
        <v>380578432</v>
      </c>
      <c r="R2504">
        <v>2.12</v>
      </c>
      <c r="S2504" t="s">
        <v>2977</v>
      </c>
      <c r="T2504" t="s">
        <v>590</v>
      </c>
      <c r="U2504">
        <v>4.53</v>
      </c>
      <c r="V2504">
        <v>6.75</v>
      </c>
      <c r="W2504">
        <v>262187</v>
      </c>
      <c r="X2504">
        <v>301760</v>
      </c>
      <c r="Y2504">
        <v>0.87</v>
      </c>
      <c r="Z2504">
        <v>3008</v>
      </c>
      <c r="AA2504">
        <v>82</v>
      </c>
      <c r="AB2504" t="s">
        <v>116</v>
      </c>
      <c r="AC2504">
        <v>821100</v>
      </c>
      <c r="AD2504">
        <v>0.02</v>
      </c>
      <c r="AE2504" t="s">
        <v>116</v>
      </c>
      <c r="AF2504" t="s">
        <v>116</v>
      </c>
      <c r="AG2504">
        <v>9.89</v>
      </c>
      <c r="AH2504" t="s">
        <v>11503</v>
      </c>
      <c r="AI2504" t="s">
        <v>11503</v>
      </c>
      <c r="AJ2504">
        <v>0.83</v>
      </c>
      <c r="AK2504">
        <v>4071</v>
      </c>
      <c r="AL2504">
        <v>139</v>
      </c>
      <c r="AM2504">
        <v>1.4E-3</v>
      </c>
      <c r="AN2504">
        <v>4</v>
      </c>
      <c r="AO2504">
        <v>3.09</v>
      </c>
      <c r="AP2504">
        <v>10.43</v>
      </c>
      <c r="AQ2504">
        <v>4.55</v>
      </c>
      <c r="AR2504">
        <v>35.85</v>
      </c>
      <c r="AS2504">
        <v>8.5</v>
      </c>
      <c r="AT2504" t="s">
        <v>11504</v>
      </c>
      <c r="AU2504">
        <v>93.03</v>
      </c>
      <c r="AV2504">
        <v>73.86</v>
      </c>
      <c r="AW2504">
        <v>1.01</v>
      </c>
      <c r="BA2504">
        <v>0.45</v>
      </c>
      <c r="BB2504">
        <v>4.38</v>
      </c>
      <c r="BC2504">
        <v>-0.15</v>
      </c>
      <c r="BD2504">
        <v>1.94</v>
      </c>
      <c r="BE2504">
        <v>0.3</v>
      </c>
      <c r="BF2504">
        <v>-3.47</v>
      </c>
      <c r="BG2504">
        <v>0.91</v>
      </c>
      <c r="BH2504">
        <v>-1.19</v>
      </c>
      <c r="BI2504">
        <v>20191022</v>
      </c>
      <c r="BJ2504">
        <v>20001030</v>
      </c>
      <c r="BK2504">
        <v>9.89</v>
      </c>
      <c r="BL2504" t="s">
        <v>116</v>
      </c>
      <c r="BM2504" t="s">
        <v>116</v>
      </c>
      <c r="BN2504">
        <v>57.24</v>
      </c>
      <c r="BO2504">
        <v>42.57</v>
      </c>
      <c r="BP2504">
        <v>0.7</v>
      </c>
      <c r="BQ2504">
        <v>24.4</v>
      </c>
      <c r="BR2504">
        <v>34.21</v>
      </c>
      <c r="BS2504">
        <v>11.53</v>
      </c>
      <c r="BT2504">
        <v>1.25</v>
      </c>
      <c r="BU2504">
        <v>13.76</v>
      </c>
      <c r="BV2504">
        <v>7.88</v>
      </c>
      <c r="BW2504">
        <v>5.49</v>
      </c>
      <c r="BX2504">
        <v>1.47</v>
      </c>
      <c r="BY2504">
        <v>13.47</v>
      </c>
      <c r="BZ2504">
        <v>11.05</v>
      </c>
      <c r="CA2504">
        <v>0.59</v>
      </c>
      <c r="CB2504">
        <v>0.34</v>
      </c>
      <c r="CC2504">
        <v>0.59</v>
      </c>
      <c r="CD2504">
        <v>0.44</v>
      </c>
      <c r="CE2504">
        <v>0.47</v>
      </c>
      <c r="CF2504">
        <v>0.24</v>
      </c>
      <c r="CG2504">
        <v>29.22</v>
      </c>
      <c r="CH2504">
        <v>0.95</v>
      </c>
      <c r="CI2504">
        <v>-2.2200000000000002</v>
      </c>
      <c r="CJ2504">
        <v>87619</v>
      </c>
      <c r="CK2504">
        <v>7571</v>
      </c>
      <c r="CL2504" t="s">
        <v>1863</v>
      </c>
      <c r="CM2504">
        <v>-28.21</v>
      </c>
      <c r="CN2504">
        <v>-12.35</v>
      </c>
      <c r="CO2504">
        <v>1.55</v>
      </c>
      <c r="CP2504">
        <v>69.239999999999995</v>
      </c>
      <c r="CQ2504">
        <v>4.9000000000000004</v>
      </c>
      <c r="CR2504">
        <v>1.47</v>
      </c>
      <c r="CS2504" t="s">
        <v>9504</v>
      </c>
      <c r="CT2504">
        <v>4.3</v>
      </c>
      <c r="CU2504">
        <v>0</v>
      </c>
      <c r="CV2504">
        <v>0.15</v>
      </c>
      <c r="CW2504">
        <v>2.95</v>
      </c>
      <c r="CX2504">
        <v>0.1</v>
      </c>
      <c r="CY2504">
        <v>74.37</v>
      </c>
      <c r="CZ2504" t="s">
        <v>2070</v>
      </c>
      <c r="DA2504">
        <v>17.96</v>
      </c>
      <c r="DB2504">
        <v>4.38</v>
      </c>
      <c r="DC2504">
        <v>3.48</v>
      </c>
      <c r="DD2504">
        <v>1.03</v>
      </c>
      <c r="DE2504">
        <v>3418</v>
      </c>
      <c r="DF2504">
        <v>600366</v>
      </c>
      <c r="DG2504" t="s">
        <v>116</v>
      </c>
      <c r="DH2504" t="s">
        <v>116</v>
      </c>
      <c r="DI2504" t="s">
        <v>116</v>
      </c>
    </row>
    <row r="2505" spans="1:113" x14ac:dyDescent="0.4">
      <c r="A2505" t="str">
        <f>"600367"</f>
        <v>600367</v>
      </c>
      <c r="B2505" t="s">
        <v>11505</v>
      </c>
      <c r="C2505">
        <v>-0.39</v>
      </c>
      <c r="D2505">
        <v>7.57</v>
      </c>
      <c r="E2505">
        <v>-0.03</v>
      </c>
      <c r="F2505">
        <v>7.56</v>
      </c>
      <c r="G2505">
        <v>7.57</v>
      </c>
      <c r="H2505">
        <v>43225</v>
      </c>
      <c r="I2505">
        <v>308</v>
      </c>
      <c r="J2505">
        <v>-0.12</v>
      </c>
      <c r="K2505">
        <v>1.48</v>
      </c>
      <c r="L2505">
        <v>7.63</v>
      </c>
      <c r="M2505">
        <v>7.75</v>
      </c>
      <c r="N2505">
        <v>7.56</v>
      </c>
      <c r="O2505">
        <v>7.6</v>
      </c>
      <c r="P2505">
        <v>29.1</v>
      </c>
      <c r="Q2505">
        <v>33066676</v>
      </c>
      <c r="R2505">
        <v>2.0699999999999998</v>
      </c>
      <c r="S2505" t="s">
        <v>891</v>
      </c>
      <c r="T2505" t="s">
        <v>1056</v>
      </c>
      <c r="U2505">
        <v>2.5</v>
      </c>
      <c r="V2505">
        <v>7.65</v>
      </c>
      <c r="W2505">
        <v>20529</v>
      </c>
      <c r="X2505">
        <v>22696</v>
      </c>
      <c r="Y2505">
        <v>0.9</v>
      </c>
      <c r="Z2505">
        <v>205</v>
      </c>
      <c r="AA2505">
        <v>303</v>
      </c>
      <c r="AB2505" t="s">
        <v>116</v>
      </c>
      <c r="AC2505">
        <v>66400</v>
      </c>
      <c r="AD2505">
        <v>0</v>
      </c>
      <c r="AE2505" t="s">
        <v>116</v>
      </c>
      <c r="AF2505" t="s">
        <v>116</v>
      </c>
      <c r="AG2505">
        <v>2.91</v>
      </c>
      <c r="AH2505" t="s">
        <v>4271</v>
      </c>
      <c r="AI2505" t="s">
        <v>6905</v>
      </c>
      <c r="AJ2505">
        <v>-0.32</v>
      </c>
      <c r="AK2505">
        <v>894</v>
      </c>
      <c r="AL2505">
        <v>48</v>
      </c>
      <c r="AM2505">
        <v>1.6999999999999999E-3</v>
      </c>
      <c r="AN2505">
        <v>-1</v>
      </c>
      <c r="AO2505">
        <v>1.35</v>
      </c>
      <c r="AP2505">
        <v>8.4499999999999993</v>
      </c>
      <c r="AQ2505">
        <v>0.66</v>
      </c>
      <c r="AR2505">
        <v>6.32</v>
      </c>
      <c r="AS2505">
        <v>2.3199999999999998</v>
      </c>
      <c r="AT2505" t="s">
        <v>11506</v>
      </c>
      <c r="AU2505">
        <v>30.36</v>
      </c>
      <c r="AV2505">
        <v>19.46</v>
      </c>
      <c r="AW2505">
        <v>1.1299999999999999</v>
      </c>
      <c r="BA2505">
        <v>0.39</v>
      </c>
      <c r="BB2505">
        <v>1.97</v>
      </c>
      <c r="BC2505">
        <v>-0.53</v>
      </c>
      <c r="BD2505">
        <v>0.66</v>
      </c>
      <c r="BE2505">
        <v>-0.79</v>
      </c>
      <c r="BF2505">
        <v>-2.3199999999999998</v>
      </c>
      <c r="BG2505">
        <v>0.13</v>
      </c>
      <c r="BH2505">
        <v>-1.05</v>
      </c>
      <c r="BI2505">
        <v>20191023</v>
      </c>
      <c r="BJ2505">
        <v>20010320</v>
      </c>
      <c r="BK2505">
        <v>2.98</v>
      </c>
      <c r="BL2505" t="s">
        <v>116</v>
      </c>
      <c r="BM2505" t="s">
        <v>116</v>
      </c>
      <c r="BN2505">
        <v>20.62</v>
      </c>
      <c r="BO2505">
        <v>13.29</v>
      </c>
      <c r="BP2505">
        <v>0.76</v>
      </c>
      <c r="BQ2505">
        <v>31.85</v>
      </c>
      <c r="BR2505">
        <v>12.24</v>
      </c>
      <c r="BS2505">
        <v>5.0599999999999996</v>
      </c>
      <c r="BT2505">
        <v>0.54</v>
      </c>
      <c r="BU2505">
        <v>5.87</v>
      </c>
      <c r="BV2505">
        <v>3.62</v>
      </c>
      <c r="BW2505">
        <v>2.2599999999999998</v>
      </c>
      <c r="BX2505">
        <v>3.26</v>
      </c>
      <c r="BY2505">
        <v>11.45</v>
      </c>
      <c r="BZ2505">
        <v>8.76</v>
      </c>
      <c r="CA2505">
        <v>0.78</v>
      </c>
      <c r="CB2505">
        <v>-7.0000000000000007E-2</v>
      </c>
      <c r="CC2505">
        <v>0.79</v>
      </c>
      <c r="CD2505">
        <v>0.68</v>
      </c>
      <c r="CE2505">
        <v>0.57999999999999996</v>
      </c>
      <c r="CF2505">
        <v>0.55000000000000004</v>
      </c>
      <c r="CG2505">
        <v>5.25</v>
      </c>
      <c r="CH2505">
        <v>0.92</v>
      </c>
      <c r="CI2505">
        <v>1.04</v>
      </c>
      <c r="CJ2505">
        <v>31659</v>
      </c>
      <c r="CK2505">
        <v>5879</v>
      </c>
      <c r="CL2505" t="s">
        <v>11507</v>
      </c>
      <c r="CM2505">
        <v>-41.72</v>
      </c>
      <c r="CN2505">
        <v>-0.43</v>
      </c>
      <c r="CO2505">
        <v>1.7</v>
      </c>
      <c r="CP2505">
        <v>24.47</v>
      </c>
      <c r="CQ2505">
        <v>1.97</v>
      </c>
      <c r="CR2505">
        <v>0.53</v>
      </c>
      <c r="CS2505" t="s">
        <v>3110</v>
      </c>
      <c r="CT2505">
        <v>4.46</v>
      </c>
      <c r="CU2505">
        <v>0</v>
      </c>
      <c r="CV2505">
        <v>1.0900000000000001</v>
      </c>
      <c r="CW2505">
        <v>1.76</v>
      </c>
      <c r="CX2505">
        <v>0.31</v>
      </c>
      <c r="CY2505">
        <v>64.459999999999994</v>
      </c>
      <c r="CZ2505" t="s">
        <v>8243</v>
      </c>
      <c r="DA2505">
        <v>23.47</v>
      </c>
      <c r="DB2505">
        <v>6.85</v>
      </c>
      <c r="DC2505">
        <v>5.08</v>
      </c>
      <c r="DD2505">
        <v>0.01</v>
      </c>
      <c r="DE2505">
        <v>2872</v>
      </c>
      <c r="DF2505">
        <v>600367</v>
      </c>
      <c r="DG2505" t="s">
        <v>116</v>
      </c>
      <c r="DH2505" t="s">
        <v>116</v>
      </c>
      <c r="DI2505" t="s">
        <v>116</v>
      </c>
    </row>
    <row r="2506" spans="1:113" x14ac:dyDescent="0.4">
      <c r="A2506" t="str">
        <f>"600368"</f>
        <v>600368</v>
      </c>
      <c r="B2506" t="s">
        <v>11508</v>
      </c>
      <c r="C2506">
        <v>-0.23</v>
      </c>
      <c r="D2506">
        <v>4.41</v>
      </c>
      <c r="E2506">
        <v>-0.01</v>
      </c>
      <c r="F2506">
        <v>4.41</v>
      </c>
      <c r="G2506">
        <v>4.42</v>
      </c>
      <c r="H2506">
        <v>111022</v>
      </c>
      <c r="I2506">
        <v>1032</v>
      </c>
      <c r="J2506">
        <v>-0.22</v>
      </c>
      <c r="K2506">
        <v>0.99</v>
      </c>
      <c r="L2506">
        <v>4.42</v>
      </c>
      <c r="M2506">
        <v>4.4800000000000004</v>
      </c>
      <c r="N2506">
        <v>4.41</v>
      </c>
      <c r="O2506">
        <v>4.42</v>
      </c>
      <c r="P2506">
        <v>4.3499999999999996</v>
      </c>
      <c r="Q2506">
        <v>49317424</v>
      </c>
      <c r="R2506">
        <v>1.42</v>
      </c>
      <c r="S2506" t="s">
        <v>809</v>
      </c>
      <c r="T2506" t="s">
        <v>982</v>
      </c>
      <c r="U2506">
        <v>1.58</v>
      </c>
      <c r="V2506">
        <v>4.4400000000000004</v>
      </c>
      <c r="W2506">
        <v>53386</v>
      </c>
      <c r="X2506">
        <v>57636</v>
      </c>
      <c r="Y2506">
        <v>0.93</v>
      </c>
      <c r="Z2506">
        <v>2635</v>
      </c>
      <c r="AA2506">
        <v>910</v>
      </c>
      <c r="AB2506" t="s">
        <v>116</v>
      </c>
      <c r="AC2506">
        <v>40700</v>
      </c>
      <c r="AD2506">
        <v>0</v>
      </c>
      <c r="AE2506" t="s">
        <v>116</v>
      </c>
      <c r="AF2506" t="s">
        <v>116</v>
      </c>
      <c r="AG2506">
        <v>11.26</v>
      </c>
      <c r="AH2506" t="s">
        <v>11509</v>
      </c>
      <c r="AI2506" t="s">
        <v>11509</v>
      </c>
      <c r="AJ2506">
        <v>-0.15</v>
      </c>
      <c r="AK2506">
        <v>1316</v>
      </c>
      <c r="AL2506">
        <v>84</v>
      </c>
      <c r="AM2506">
        <v>6.9999999999999999E-4</v>
      </c>
      <c r="AN2506">
        <v>-1</v>
      </c>
      <c r="AO2506">
        <v>-0.01</v>
      </c>
      <c r="AP2506">
        <v>2.8</v>
      </c>
      <c r="AQ2506">
        <v>-5.36</v>
      </c>
      <c r="AR2506">
        <v>49.19</v>
      </c>
      <c r="AS2506">
        <v>1.99</v>
      </c>
      <c r="AT2506" t="s">
        <v>11510</v>
      </c>
      <c r="AU2506">
        <v>5.03</v>
      </c>
      <c r="AV2506">
        <v>11.7</v>
      </c>
      <c r="AW2506">
        <v>1.35</v>
      </c>
      <c r="BA2506">
        <v>0</v>
      </c>
      <c r="BB2506">
        <v>1.36</v>
      </c>
      <c r="BC2506">
        <v>-0.23</v>
      </c>
      <c r="BD2506">
        <v>0.5</v>
      </c>
      <c r="BE2506">
        <v>-0.23</v>
      </c>
      <c r="BF2506">
        <v>-1.56</v>
      </c>
      <c r="BG2506">
        <v>0</v>
      </c>
      <c r="BH2506">
        <v>-0.73</v>
      </c>
      <c r="BI2506">
        <v>20191025</v>
      </c>
      <c r="BJ2506">
        <v>20001221</v>
      </c>
      <c r="BK2506">
        <v>11.26</v>
      </c>
      <c r="BL2506" t="s">
        <v>116</v>
      </c>
      <c r="BM2506" t="s">
        <v>116</v>
      </c>
      <c r="BN2506">
        <v>110.85</v>
      </c>
      <c r="BO2506">
        <v>42.99</v>
      </c>
      <c r="BP2506">
        <v>-0.56999999999999995</v>
      </c>
      <c r="BQ2506">
        <v>61.73</v>
      </c>
      <c r="BR2506">
        <v>28.82</v>
      </c>
      <c r="BS2506">
        <v>55.91</v>
      </c>
      <c r="BT2506">
        <v>0.73</v>
      </c>
      <c r="BU2506">
        <v>13.77</v>
      </c>
      <c r="BV2506">
        <v>20.32</v>
      </c>
      <c r="BW2506">
        <v>1.89</v>
      </c>
      <c r="BX2506">
        <v>4.68</v>
      </c>
      <c r="BY2506">
        <v>15.99</v>
      </c>
      <c r="BZ2506">
        <v>8.75</v>
      </c>
      <c r="CA2506">
        <v>9.52</v>
      </c>
      <c r="CB2506">
        <v>0.79</v>
      </c>
      <c r="CC2506">
        <v>9.56</v>
      </c>
      <c r="CD2506">
        <v>8.52</v>
      </c>
      <c r="CE2506">
        <v>8.5500000000000007</v>
      </c>
      <c r="CF2506">
        <v>4.46</v>
      </c>
      <c r="CG2506">
        <v>22.32</v>
      </c>
      <c r="CH2506">
        <v>5.33</v>
      </c>
      <c r="CI2506">
        <v>-3.81</v>
      </c>
      <c r="CJ2506">
        <v>69445</v>
      </c>
      <c r="CK2506">
        <v>8027</v>
      </c>
      <c r="CL2506" t="s">
        <v>3671</v>
      </c>
      <c r="CM2506">
        <v>191.37</v>
      </c>
      <c r="CN2506">
        <v>28.35</v>
      </c>
      <c r="CO2506">
        <v>1.1499999999999999</v>
      </c>
      <c r="CP2506">
        <v>9.32</v>
      </c>
      <c r="CQ2506">
        <v>3.1</v>
      </c>
      <c r="CR2506">
        <v>2.59</v>
      </c>
      <c r="CS2506" t="s">
        <v>10012</v>
      </c>
      <c r="CT2506">
        <v>3.82</v>
      </c>
      <c r="CU2506">
        <v>0</v>
      </c>
      <c r="CV2506">
        <v>0.42</v>
      </c>
      <c r="CW2506">
        <v>1.98</v>
      </c>
      <c r="CX2506">
        <v>0.47</v>
      </c>
      <c r="CY2506">
        <v>38.78</v>
      </c>
      <c r="CZ2506" t="s">
        <v>11511</v>
      </c>
      <c r="DA2506">
        <v>45.26</v>
      </c>
      <c r="DB2506">
        <v>59.53</v>
      </c>
      <c r="DC2506">
        <v>53.49</v>
      </c>
      <c r="DD2506">
        <v>0</v>
      </c>
      <c r="DE2506">
        <v>1055</v>
      </c>
      <c r="DF2506">
        <v>600368</v>
      </c>
      <c r="DG2506" t="s">
        <v>116</v>
      </c>
      <c r="DH2506" t="s">
        <v>116</v>
      </c>
      <c r="DI2506" t="s">
        <v>116</v>
      </c>
    </row>
    <row r="2507" spans="1:113" x14ac:dyDescent="0.4">
      <c r="A2507" t="str">
        <f>"600369"</f>
        <v>600369</v>
      </c>
      <c r="B2507" t="s">
        <v>11512</v>
      </c>
      <c r="C2507">
        <v>-3.8</v>
      </c>
      <c r="D2507">
        <v>5.07</v>
      </c>
      <c r="E2507">
        <v>-0.2</v>
      </c>
      <c r="F2507">
        <v>5.0599999999999996</v>
      </c>
      <c r="G2507">
        <v>5.07</v>
      </c>
      <c r="H2507">
        <v>1107671</v>
      </c>
      <c r="I2507">
        <v>10496</v>
      </c>
      <c r="J2507">
        <v>-0.19</v>
      </c>
      <c r="K2507">
        <v>1.96</v>
      </c>
      <c r="L2507">
        <v>5.23</v>
      </c>
      <c r="M2507">
        <v>5.29</v>
      </c>
      <c r="N2507">
        <v>5.03</v>
      </c>
      <c r="O2507">
        <v>5.27</v>
      </c>
      <c r="P2507">
        <v>31.95</v>
      </c>
      <c r="Q2507">
        <v>574045504</v>
      </c>
      <c r="R2507">
        <v>1.1200000000000001</v>
      </c>
      <c r="S2507" t="s">
        <v>623</v>
      </c>
      <c r="T2507" t="s">
        <v>906</v>
      </c>
      <c r="U2507">
        <v>4.93</v>
      </c>
      <c r="V2507">
        <v>5.18</v>
      </c>
      <c r="W2507">
        <v>597261</v>
      </c>
      <c r="X2507">
        <v>510410</v>
      </c>
      <c r="Y2507">
        <v>1.17</v>
      </c>
      <c r="Z2507">
        <v>5350</v>
      </c>
      <c r="AA2507">
        <v>2089</v>
      </c>
      <c r="AB2507" t="s">
        <v>116</v>
      </c>
      <c r="AC2507">
        <v>7484100</v>
      </c>
      <c r="AD2507">
        <v>0.06</v>
      </c>
      <c r="AE2507" t="s">
        <v>116</v>
      </c>
      <c r="AF2507" t="s">
        <v>116</v>
      </c>
      <c r="AG2507">
        <v>56.45</v>
      </c>
      <c r="AH2507" t="s">
        <v>11513</v>
      </c>
      <c r="AI2507" t="s">
        <v>11513</v>
      </c>
      <c r="AJ2507">
        <v>-3.72</v>
      </c>
      <c r="AK2507">
        <v>4118</v>
      </c>
      <c r="AL2507">
        <v>269</v>
      </c>
      <c r="AM2507">
        <v>5.0000000000000001E-4</v>
      </c>
      <c r="AN2507">
        <v>-1</v>
      </c>
      <c r="AO2507">
        <v>1.59</v>
      </c>
      <c r="AP2507">
        <v>17.09</v>
      </c>
      <c r="AQ2507">
        <v>11.43</v>
      </c>
      <c r="AR2507">
        <v>46.96</v>
      </c>
      <c r="AS2507">
        <v>4.29</v>
      </c>
      <c r="AT2507" t="s">
        <v>11514</v>
      </c>
      <c r="AU2507">
        <v>47.56</v>
      </c>
      <c r="AV2507">
        <v>126.17</v>
      </c>
      <c r="AW2507">
        <v>1.73</v>
      </c>
      <c r="BA2507">
        <v>-0.76</v>
      </c>
      <c r="BB2507">
        <v>0.38</v>
      </c>
      <c r="BC2507">
        <v>-4.55</v>
      </c>
      <c r="BD2507">
        <v>-1.66</v>
      </c>
      <c r="BE2507">
        <v>-3.06</v>
      </c>
      <c r="BF2507">
        <v>-4.16</v>
      </c>
      <c r="BG2507">
        <v>0.8</v>
      </c>
      <c r="BH2507">
        <v>-2.13</v>
      </c>
      <c r="BI2507">
        <v>20191118</v>
      </c>
      <c r="BJ2507">
        <v>20010109</v>
      </c>
      <c r="BK2507">
        <v>56.45</v>
      </c>
      <c r="BL2507" t="s">
        <v>116</v>
      </c>
      <c r="BM2507" t="s">
        <v>116</v>
      </c>
      <c r="BN2507">
        <v>672.63</v>
      </c>
      <c r="BO2507">
        <v>191.71</v>
      </c>
      <c r="BP2507">
        <v>7.56</v>
      </c>
      <c r="BQ2507">
        <v>70.37</v>
      </c>
      <c r="BR2507">
        <v>0</v>
      </c>
      <c r="BS2507">
        <v>2.97</v>
      </c>
      <c r="BT2507">
        <v>1.58</v>
      </c>
      <c r="BU2507">
        <v>0</v>
      </c>
      <c r="BV2507">
        <v>0</v>
      </c>
      <c r="BW2507">
        <v>0</v>
      </c>
      <c r="BX2507">
        <v>77.680000000000007</v>
      </c>
      <c r="BY2507">
        <v>23.31</v>
      </c>
      <c r="BZ2507">
        <v>0</v>
      </c>
      <c r="CA2507">
        <v>7.77</v>
      </c>
      <c r="CB2507">
        <v>7.55</v>
      </c>
      <c r="CC2507">
        <v>7.72</v>
      </c>
      <c r="CD2507">
        <v>6.56</v>
      </c>
      <c r="CE2507">
        <v>6.72</v>
      </c>
      <c r="CF2507">
        <v>6.53</v>
      </c>
      <c r="CG2507">
        <v>27.95</v>
      </c>
      <c r="CH2507">
        <v>5.92</v>
      </c>
      <c r="CI2507">
        <v>28.24</v>
      </c>
      <c r="CJ2507">
        <v>153511</v>
      </c>
      <c r="CK2507">
        <v>16832</v>
      </c>
      <c r="CL2507" t="s">
        <v>11515</v>
      </c>
      <c r="CM2507">
        <v>126.26</v>
      </c>
      <c r="CN2507">
        <v>27.52</v>
      </c>
      <c r="CO2507">
        <v>1.49</v>
      </c>
      <c r="CP2507">
        <v>48.35</v>
      </c>
      <c r="CQ2507">
        <v>12.28</v>
      </c>
      <c r="CR2507">
        <v>0.59</v>
      </c>
      <c r="CS2507" t="s">
        <v>5567</v>
      </c>
      <c r="CT2507">
        <v>3.4</v>
      </c>
      <c r="CU2507">
        <v>0</v>
      </c>
      <c r="CV2507">
        <v>1.38</v>
      </c>
      <c r="CW2507">
        <v>0.5</v>
      </c>
      <c r="CX2507">
        <v>0.1</v>
      </c>
      <c r="CY2507">
        <v>28.5</v>
      </c>
      <c r="CZ2507" t="s">
        <v>2783</v>
      </c>
      <c r="DA2507" t="s">
        <v>116</v>
      </c>
      <c r="DB2507">
        <v>33.31</v>
      </c>
      <c r="DC2507">
        <v>28.82</v>
      </c>
      <c r="DD2507">
        <v>0</v>
      </c>
      <c r="DE2507">
        <v>2660</v>
      </c>
      <c r="DF2507">
        <v>600369</v>
      </c>
      <c r="DG2507" t="s">
        <v>116</v>
      </c>
      <c r="DH2507" t="s">
        <v>116</v>
      </c>
      <c r="DI2507" t="s">
        <v>116</v>
      </c>
    </row>
    <row r="2508" spans="1:113" x14ac:dyDescent="0.4">
      <c r="A2508" t="str">
        <f>"600370"</f>
        <v>600370</v>
      </c>
      <c r="B2508" t="s">
        <v>11516</v>
      </c>
      <c r="C2508">
        <v>-2.0099999999999998</v>
      </c>
      <c r="D2508">
        <v>2.93</v>
      </c>
      <c r="E2508">
        <v>-0.06</v>
      </c>
      <c r="F2508">
        <v>2.92</v>
      </c>
      <c r="G2508">
        <v>2.93</v>
      </c>
      <c r="H2508">
        <v>44196</v>
      </c>
      <c r="I2508">
        <v>612</v>
      </c>
      <c r="J2508">
        <v>-0.33</v>
      </c>
      <c r="K2508">
        <v>0.55000000000000004</v>
      </c>
      <c r="L2508">
        <v>2.97</v>
      </c>
      <c r="M2508">
        <v>3</v>
      </c>
      <c r="N2508">
        <v>2.92</v>
      </c>
      <c r="O2508">
        <v>2.99</v>
      </c>
      <c r="P2508">
        <v>36.909999999999997</v>
      </c>
      <c r="Q2508">
        <v>13046922</v>
      </c>
      <c r="R2508">
        <v>1.45</v>
      </c>
      <c r="S2508" t="s">
        <v>1420</v>
      </c>
      <c r="T2508" t="s">
        <v>323</v>
      </c>
      <c r="U2508">
        <v>2.68</v>
      </c>
      <c r="V2508">
        <v>2.95</v>
      </c>
      <c r="W2508">
        <v>32621</v>
      </c>
      <c r="X2508">
        <v>11575</v>
      </c>
      <c r="Y2508">
        <v>2.82</v>
      </c>
      <c r="Z2508">
        <v>2956</v>
      </c>
      <c r="AA2508">
        <v>381</v>
      </c>
      <c r="AB2508" t="s">
        <v>116</v>
      </c>
      <c r="AC2508">
        <v>37100</v>
      </c>
      <c r="AD2508">
        <v>0</v>
      </c>
      <c r="AE2508" t="s">
        <v>116</v>
      </c>
      <c r="AF2508" t="s">
        <v>116</v>
      </c>
      <c r="AG2508">
        <v>7.97</v>
      </c>
      <c r="AH2508" t="s">
        <v>6541</v>
      </c>
      <c r="AI2508" t="s">
        <v>6541</v>
      </c>
      <c r="AJ2508">
        <v>-1.93</v>
      </c>
      <c r="AK2508">
        <v>568</v>
      </c>
      <c r="AL2508">
        <v>78</v>
      </c>
      <c r="AM2508">
        <v>1E-3</v>
      </c>
      <c r="AN2508">
        <v>-1</v>
      </c>
      <c r="AO2508">
        <v>1.03</v>
      </c>
      <c r="AP2508">
        <v>5.0199999999999996</v>
      </c>
      <c r="AQ2508">
        <v>-0.34</v>
      </c>
      <c r="AR2508">
        <v>1.91</v>
      </c>
      <c r="AS2508">
        <v>1.22</v>
      </c>
      <c r="AT2508" t="s">
        <v>5601</v>
      </c>
      <c r="AU2508">
        <v>42.91</v>
      </c>
      <c r="AV2508">
        <v>43.56</v>
      </c>
      <c r="AW2508">
        <v>0.76</v>
      </c>
      <c r="BA2508">
        <v>-0.67</v>
      </c>
      <c r="BB2508">
        <v>0.33</v>
      </c>
      <c r="BC2508">
        <v>-2.34</v>
      </c>
      <c r="BD2508">
        <v>-1.27</v>
      </c>
      <c r="BE2508">
        <v>-1.35</v>
      </c>
      <c r="BF2508">
        <v>-2.33</v>
      </c>
      <c r="BG2508">
        <v>0.34</v>
      </c>
      <c r="BH2508">
        <v>-0.74</v>
      </c>
      <c r="BI2508">
        <v>20191030</v>
      </c>
      <c r="BJ2508">
        <v>20030306</v>
      </c>
      <c r="BK2508">
        <v>7.97</v>
      </c>
      <c r="BL2508" t="s">
        <v>116</v>
      </c>
      <c r="BM2508" t="s">
        <v>116</v>
      </c>
      <c r="BN2508">
        <v>18.18</v>
      </c>
      <c r="BO2508">
        <v>13.36</v>
      </c>
      <c r="BP2508">
        <v>2.65</v>
      </c>
      <c r="BQ2508">
        <v>11.97</v>
      </c>
      <c r="BR2508">
        <v>15.51</v>
      </c>
      <c r="BS2508">
        <v>2.34</v>
      </c>
      <c r="BT2508">
        <v>0.32</v>
      </c>
      <c r="BU2508">
        <v>2.1800000000000002</v>
      </c>
      <c r="BV2508">
        <v>2.52</v>
      </c>
      <c r="BW2508">
        <v>1.06</v>
      </c>
      <c r="BX2508">
        <v>0.59</v>
      </c>
      <c r="BY2508">
        <v>7.57</v>
      </c>
      <c r="BZ2508">
        <v>6.37</v>
      </c>
      <c r="CA2508">
        <v>0.98</v>
      </c>
      <c r="CB2508">
        <v>0</v>
      </c>
      <c r="CC2508">
        <v>0.96</v>
      </c>
      <c r="CD2508">
        <v>0.69</v>
      </c>
      <c r="CE2508">
        <v>0.47</v>
      </c>
      <c r="CF2508">
        <v>0.45</v>
      </c>
      <c r="CG2508">
        <v>3.68</v>
      </c>
      <c r="CH2508">
        <v>1.6</v>
      </c>
      <c r="CI2508">
        <v>1.42</v>
      </c>
      <c r="CJ2508">
        <v>25806</v>
      </c>
      <c r="CK2508">
        <v>13990</v>
      </c>
      <c r="CL2508" t="s">
        <v>950</v>
      </c>
      <c r="CM2508">
        <v>1.74</v>
      </c>
      <c r="CN2508">
        <v>-12.75</v>
      </c>
      <c r="CO2508">
        <v>1.75</v>
      </c>
      <c r="CP2508">
        <v>14.62</v>
      </c>
      <c r="CQ2508">
        <v>3.08</v>
      </c>
      <c r="CR2508">
        <v>0.85</v>
      </c>
      <c r="CS2508" t="s">
        <v>484</v>
      </c>
      <c r="CT2508">
        <v>1.68</v>
      </c>
      <c r="CU2508">
        <v>0</v>
      </c>
      <c r="CV2508">
        <v>7.0000000000000007E-2</v>
      </c>
      <c r="CW2508">
        <v>0.46</v>
      </c>
      <c r="CX2508">
        <v>0.2</v>
      </c>
      <c r="CY2508">
        <v>73.47</v>
      </c>
      <c r="CZ2508" t="s">
        <v>506</v>
      </c>
      <c r="DA2508">
        <v>15.89</v>
      </c>
      <c r="DB2508">
        <v>12.88</v>
      </c>
      <c r="DC2508">
        <v>6.27</v>
      </c>
      <c r="DD2508">
        <v>0.06</v>
      </c>
      <c r="DE2508">
        <v>972</v>
      </c>
      <c r="DF2508">
        <v>600370</v>
      </c>
      <c r="DG2508" t="s">
        <v>116</v>
      </c>
      <c r="DH2508" t="s">
        <v>116</v>
      </c>
      <c r="DI2508" t="s">
        <v>116</v>
      </c>
    </row>
    <row r="2509" spans="1:113" x14ac:dyDescent="0.4">
      <c r="A2509" t="str">
        <f>"600371"</f>
        <v>600371</v>
      </c>
      <c r="B2509" t="s">
        <v>11517</v>
      </c>
      <c r="C2509">
        <v>1.79</v>
      </c>
      <c r="D2509">
        <v>11.93</v>
      </c>
      <c r="E2509">
        <v>0.21</v>
      </c>
      <c r="F2509">
        <v>11.93</v>
      </c>
      <c r="G2509">
        <v>11.94</v>
      </c>
      <c r="H2509">
        <v>135220</v>
      </c>
      <c r="I2509">
        <v>3093</v>
      </c>
      <c r="J2509">
        <v>0.08</v>
      </c>
      <c r="K2509">
        <v>6.01</v>
      </c>
      <c r="L2509">
        <v>11.71</v>
      </c>
      <c r="M2509">
        <v>12.16</v>
      </c>
      <c r="N2509">
        <v>11.64</v>
      </c>
      <c r="O2509">
        <v>11.72</v>
      </c>
      <c r="P2509">
        <v>45.6</v>
      </c>
      <c r="Q2509">
        <v>160503616</v>
      </c>
      <c r="R2509">
        <v>1.03</v>
      </c>
      <c r="S2509" t="s">
        <v>1871</v>
      </c>
      <c r="T2509" t="s">
        <v>1287</v>
      </c>
      <c r="U2509">
        <v>4.4400000000000004</v>
      </c>
      <c r="V2509">
        <v>11.87</v>
      </c>
      <c r="W2509">
        <v>65947</v>
      </c>
      <c r="X2509">
        <v>69273</v>
      </c>
      <c r="Y2509">
        <v>0.95</v>
      </c>
      <c r="Z2509">
        <v>198</v>
      </c>
      <c r="AA2509">
        <v>368</v>
      </c>
      <c r="AB2509" t="s">
        <v>116</v>
      </c>
      <c r="AC2509">
        <v>174500</v>
      </c>
      <c r="AD2509">
        <v>0.01</v>
      </c>
      <c r="AE2509" t="s">
        <v>116</v>
      </c>
      <c r="AF2509" t="s">
        <v>116</v>
      </c>
      <c r="AG2509">
        <v>2.25</v>
      </c>
      <c r="AH2509" t="s">
        <v>11518</v>
      </c>
      <c r="AI2509" t="s">
        <v>11518</v>
      </c>
      <c r="AJ2509">
        <v>1.87</v>
      </c>
      <c r="AK2509">
        <v>2797</v>
      </c>
      <c r="AL2509">
        <v>48</v>
      </c>
      <c r="AM2509">
        <v>2.0999999999999999E-3</v>
      </c>
      <c r="AN2509">
        <v>1</v>
      </c>
      <c r="AO2509">
        <v>0.67</v>
      </c>
      <c r="AP2509">
        <v>9.15</v>
      </c>
      <c r="AQ2509">
        <v>3.83</v>
      </c>
      <c r="AR2509">
        <v>97.19</v>
      </c>
      <c r="AS2509">
        <v>11.72</v>
      </c>
      <c r="AT2509" t="s">
        <v>5803</v>
      </c>
      <c r="AU2509">
        <v>42.51</v>
      </c>
      <c r="AV2509">
        <v>51.6</v>
      </c>
      <c r="AW2509">
        <v>0.28999999999999998</v>
      </c>
      <c r="BA2509">
        <v>-0.09</v>
      </c>
      <c r="BB2509">
        <v>3.75</v>
      </c>
      <c r="BC2509">
        <v>-0.68</v>
      </c>
      <c r="BD2509">
        <v>1.28</v>
      </c>
      <c r="BE2509">
        <v>1.88</v>
      </c>
      <c r="BF2509">
        <v>-1.89</v>
      </c>
      <c r="BG2509">
        <v>2.4900000000000002</v>
      </c>
      <c r="BH2509">
        <v>0.51</v>
      </c>
      <c r="BI2509">
        <v>20191029</v>
      </c>
      <c r="BJ2509">
        <v>20020916</v>
      </c>
      <c r="BK2509">
        <v>2.25</v>
      </c>
      <c r="BL2509" t="s">
        <v>116</v>
      </c>
      <c r="BM2509" t="s">
        <v>116</v>
      </c>
      <c r="BN2509">
        <v>8.1199999999999992</v>
      </c>
      <c r="BO2509">
        <v>4.76</v>
      </c>
      <c r="BP2509">
        <v>0.54</v>
      </c>
      <c r="BQ2509">
        <v>34.72</v>
      </c>
      <c r="BR2509">
        <v>5.66</v>
      </c>
      <c r="BS2509">
        <v>1</v>
      </c>
      <c r="BT2509">
        <v>0.11</v>
      </c>
      <c r="BU2509">
        <v>2.71</v>
      </c>
      <c r="BV2509">
        <v>0.61</v>
      </c>
      <c r="BW2509">
        <v>0</v>
      </c>
      <c r="BX2509">
        <v>0.34</v>
      </c>
      <c r="BY2509">
        <v>1.85</v>
      </c>
      <c r="BZ2509">
        <v>1.05</v>
      </c>
      <c r="CA2509">
        <v>0.49</v>
      </c>
      <c r="CB2509">
        <v>0.17</v>
      </c>
      <c r="CC2509">
        <v>0.49</v>
      </c>
      <c r="CD2509">
        <v>0.49</v>
      </c>
      <c r="CE2509">
        <v>0.44</v>
      </c>
      <c r="CF2509">
        <v>0.44</v>
      </c>
      <c r="CG2509">
        <v>1.53</v>
      </c>
      <c r="CH2509">
        <v>1.1100000000000001</v>
      </c>
      <c r="CI2509">
        <v>0.75</v>
      </c>
      <c r="CJ2509">
        <v>37056</v>
      </c>
      <c r="CK2509">
        <v>3112</v>
      </c>
      <c r="CL2509" t="s">
        <v>1923</v>
      </c>
      <c r="CM2509">
        <v>33.69</v>
      </c>
      <c r="CN2509">
        <v>4.7699999999999996</v>
      </c>
      <c r="CO2509">
        <v>5.65</v>
      </c>
      <c r="CP2509">
        <v>24.12</v>
      </c>
      <c r="CQ2509">
        <v>14.5</v>
      </c>
      <c r="CR2509">
        <v>1.68</v>
      </c>
      <c r="CS2509" t="s">
        <v>8761</v>
      </c>
      <c r="CT2509">
        <v>2.11</v>
      </c>
      <c r="CU2509">
        <v>0</v>
      </c>
      <c r="CV2509">
        <v>0.15</v>
      </c>
      <c r="CW2509">
        <v>0.68</v>
      </c>
      <c r="CX2509">
        <v>0.49</v>
      </c>
      <c r="CY2509">
        <v>58.61</v>
      </c>
      <c r="CZ2509" t="s">
        <v>7632</v>
      </c>
      <c r="DA2509">
        <v>43.31</v>
      </c>
      <c r="DB2509">
        <v>26.62</v>
      </c>
      <c r="DC2509">
        <v>23.85</v>
      </c>
      <c r="DD2509">
        <v>7.0000000000000007E-2</v>
      </c>
      <c r="DE2509">
        <v>233</v>
      </c>
      <c r="DF2509">
        <v>600371</v>
      </c>
      <c r="DG2509" t="s">
        <v>116</v>
      </c>
      <c r="DH2509" t="s">
        <v>116</v>
      </c>
      <c r="DI2509" t="s">
        <v>116</v>
      </c>
    </row>
    <row r="2510" spans="1:113" x14ac:dyDescent="0.4">
      <c r="A2510" t="str">
        <f>"600372"</f>
        <v>600372</v>
      </c>
      <c r="B2510" t="s">
        <v>11519</v>
      </c>
      <c r="C2510">
        <v>-0.63</v>
      </c>
      <c r="D2510">
        <v>14.13</v>
      </c>
      <c r="E2510">
        <v>-0.09</v>
      </c>
      <c r="F2510">
        <v>14.12</v>
      </c>
      <c r="G2510">
        <v>14.13</v>
      </c>
      <c r="H2510">
        <v>51296</v>
      </c>
      <c r="I2510">
        <v>586</v>
      </c>
      <c r="J2510">
        <v>-0.06</v>
      </c>
      <c r="K2510">
        <v>0.28999999999999998</v>
      </c>
      <c r="L2510">
        <v>14.22</v>
      </c>
      <c r="M2510">
        <v>14.39</v>
      </c>
      <c r="N2510">
        <v>14.11</v>
      </c>
      <c r="O2510">
        <v>14.22</v>
      </c>
      <c r="P2510">
        <v>70.010000000000005</v>
      </c>
      <c r="Q2510">
        <v>73053656</v>
      </c>
      <c r="R2510">
        <v>0.97</v>
      </c>
      <c r="S2510" t="s">
        <v>1789</v>
      </c>
      <c r="T2510" t="s">
        <v>165</v>
      </c>
      <c r="U2510">
        <v>1.97</v>
      </c>
      <c r="V2510">
        <v>14.24</v>
      </c>
      <c r="W2510">
        <v>27280</v>
      </c>
      <c r="X2510">
        <v>24016</v>
      </c>
      <c r="Y2510">
        <v>1.1399999999999999</v>
      </c>
      <c r="Z2510">
        <v>821</v>
      </c>
      <c r="AA2510">
        <v>349</v>
      </c>
      <c r="AB2510" t="s">
        <v>116</v>
      </c>
      <c r="AC2510">
        <v>118000</v>
      </c>
      <c r="AD2510">
        <v>0</v>
      </c>
      <c r="AE2510" t="s">
        <v>116</v>
      </c>
      <c r="AF2510" t="s">
        <v>116</v>
      </c>
      <c r="AG2510">
        <v>17.600000000000001</v>
      </c>
      <c r="AH2510" t="s">
        <v>11520</v>
      </c>
      <c r="AI2510" t="s">
        <v>11520</v>
      </c>
      <c r="AJ2510">
        <v>-0.56000000000000005</v>
      </c>
      <c r="AK2510">
        <v>2490</v>
      </c>
      <c r="AL2510">
        <v>21</v>
      </c>
      <c r="AM2510">
        <v>1E-4</v>
      </c>
      <c r="AN2510">
        <v>-1</v>
      </c>
      <c r="AO2510">
        <v>0.15</v>
      </c>
      <c r="AP2510">
        <v>3.29</v>
      </c>
      <c r="AQ2510">
        <v>-1.19</v>
      </c>
      <c r="AR2510">
        <v>9.2799999999999994</v>
      </c>
      <c r="AS2510">
        <v>1.07</v>
      </c>
      <c r="AT2510" t="s">
        <v>11521</v>
      </c>
      <c r="AU2510">
        <v>49.91</v>
      </c>
      <c r="AV2510">
        <v>51.87</v>
      </c>
      <c r="AW2510">
        <v>0.77</v>
      </c>
      <c r="BA2510">
        <v>0</v>
      </c>
      <c r="BB2510">
        <v>1.2</v>
      </c>
      <c r="BC2510">
        <v>-0.77</v>
      </c>
      <c r="BD2510">
        <v>0.15</v>
      </c>
      <c r="BE2510">
        <v>-0.63</v>
      </c>
      <c r="BF2510">
        <v>-1.81</v>
      </c>
      <c r="BG2510">
        <v>0.14000000000000001</v>
      </c>
      <c r="BH2510">
        <v>-0.79</v>
      </c>
      <c r="BI2510">
        <v>20191025</v>
      </c>
      <c r="BJ2510">
        <v>20010706</v>
      </c>
      <c r="BK2510">
        <v>17.600000000000001</v>
      </c>
      <c r="BL2510" t="s">
        <v>116</v>
      </c>
      <c r="BM2510" t="s">
        <v>116</v>
      </c>
      <c r="BN2510">
        <v>245.01</v>
      </c>
      <c r="BO2510">
        <v>77.48</v>
      </c>
      <c r="BP2510">
        <v>3.81</v>
      </c>
      <c r="BQ2510">
        <v>66.819999999999993</v>
      </c>
      <c r="BR2510">
        <v>184.88</v>
      </c>
      <c r="BS2510">
        <v>32.18</v>
      </c>
      <c r="BT2510">
        <v>7.5</v>
      </c>
      <c r="BU2510">
        <v>134.62</v>
      </c>
      <c r="BV2510">
        <v>44.91</v>
      </c>
      <c r="BW2510">
        <v>88.83</v>
      </c>
      <c r="BX2510">
        <v>16.64</v>
      </c>
      <c r="BY2510">
        <v>51.73</v>
      </c>
      <c r="BZ2510">
        <v>35.99</v>
      </c>
      <c r="CA2510">
        <v>3.24</v>
      </c>
      <c r="CB2510">
        <v>0.03</v>
      </c>
      <c r="CC2510">
        <v>3.36</v>
      </c>
      <c r="CD2510">
        <v>2.91</v>
      </c>
      <c r="CE2510">
        <v>2.66</v>
      </c>
      <c r="CF2510">
        <v>2.19</v>
      </c>
      <c r="CG2510">
        <v>35.44</v>
      </c>
      <c r="CH2510">
        <v>-6.29</v>
      </c>
      <c r="CI2510">
        <v>4.42</v>
      </c>
      <c r="CJ2510">
        <v>51138</v>
      </c>
      <c r="CK2510">
        <v>9401</v>
      </c>
      <c r="CL2510" t="s">
        <v>664</v>
      </c>
      <c r="CM2510">
        <v>7.6</v>
      </c>
      <c r="CN2510">
        <v>12.43</v>
      </c>
      <c r="CO2510">
        <v>3.4</v>
      </c>
      <c r="CP2510">
        <v>-39.5</v>
      </c>
      <c r="CQ2510">
        <v>4.8099999999999996</v>
      </c>
      <c r="CR2510">
        <v>0.35</v>
      </c>
      <c r="CS2510" t="s">
        <v>1163</v>
      </c>
      <c r="CT2510">
        <v>4.1500000000000004</v>
      </c>
      <c r="CU2510">
        <v>4.1500000000000004</v>
      </c>
      <c r="CV2510">
        <v>0.95</v>
      </c>
      <c r="CW2510">
        <v>2.0099999999999998</v>
      </c>
      <c r="CX2510">
        <v>-0.36</v>
      </c>
      <c r="CY2510">
        <v>31.62</v>
      </c>
      <c r="CZ2510" t="s">
        <v>2903</v>
      </c>
      <c r="DA2510">
        <v>30.42</v>
      </c>
      <c r="DB2510">
        <v>6.27</v>
      </c>
      <c r="DC2510">
        <v>5.15</v>
      </c>
      <c r="DD2510">
        <v>3.3</v>
      </c>
      <c r="DE2510">
        <v>13832</v>
      </c>
      <c r="DF2510">
        <v>600372</v>
      </c>
      <c r="DG2510" t="s">
        <v>116</v>
      </c>
      <c r="DH2510" t="s">
        <v>116</v>
      </c>
      <c r="DI2510" t="s">
        <v>116</v>
      </c>
    </row>
    <row r="2511" spans="1:113" x14ac:dyDescent="0.4">
      <c r="A2511" t="str">
        <f>"600373"</f>
        <v>600373</v>
      </c>
      <c r="B2511" t="s">
        <v>11522</v>
      </c>
      <c r="C2511">
        <v>-0.08</v>
      </c>
      <c r="D2511">
        <v>13.2</v>
      </c>
      <c r="E2511">
        <v>-0.01</v>
      </c>
      <c r="F2511">
        <v>13.19</v>
      </c>
      <c r="G2511">
        <v>13.2</v>
      </c>
      <c r="H2511">
        <v>75790</v>
      </c>
      <c r="I2511">
        <v>1209</v>
      </c>
      <c r="J2511">
        <v>0.15</v>
      </c>
      <c r="K2511">
        <v>0.56000000000000005</v>
      </c>
      <c r="L2511">
        <v>13.25</v>
      </c>
      <c r="M2511">
        <v>13.4</v>
      </c>
      <c r="N2511">
        <v>13.13</v>
      </c>
      <c r="O2511">
        <v>13.21</v>
      </c>
      <c r="P2511">
        <v>10.53</v>
      </c>
      <c r="Q2511">
        <v>100547640</v>
      </c>
      <c r="R2511">
        <v>0.94</v>
      </c>
      <c r="S2511" t="s">
        <v>1902</v>
      </c>
      <c r="T2511" t="s">
        <v>683</v>
      </c>
      <c r="U2511">
        <v>2.04</v>
      </c>
      <c r="V2511">
        <v>13.27</v>
      </c>
      <c r="W2511">
        <v>38197</v>
      </c>
      <c r="X2511">
        <v>37593</v>
      </c>
      <c r="Y2511">
        <v>1.02</v>
      </c>
      <c r="Z2511">
        <v>15</v>
      </c>
      <c r="AA2511">
        <v>159</v>
      </c>
      <c r="AB2511" t="s">
        <v>116</v>
      </c>
      <c r="AC2511">
        <v>27800</v>
      </c>
      <c r="AD2511">
        <v>0</v>
      </c>
      <c r="AE2511" t="s">
        <v>116</v>
      </c>
      <c r="AF2511" t="s">
        <v>116</v>
      </c>
      <c r="AG2511">
        <v>13.55</v>
      </c>
      <c r="AH2511" t="s">
        <v>11523</v>
      </c>
      <c r="AI2511" t="s">
        <v>11523</v>
      </c>
      <c r="AJ2511">
        <v>0</v>
      </c>
      <c r="AK2511">
        <v>2476</v>
      </c>
      <c r="AL2511">
        <v>31</v>
      </c>
      <c r="AM2511">
        <v>2.0000000000000001E-4</v>
      </c>
      <c r="AN2511">
        <v>-2</v>
      </c>
      <c r="AO2511">
        <v>0.28999999999999998</v>
      </c>
      <c r="AP2511">
        <v>10.55</v>
      </c>
      <c r="AQ2511">
        <v>-1.57</v>
      </c>
      <c r="AR2511">
        <v>5.52</v>
      </c>
      <c r="AS2511">
        <v>1.26</v>
      </c>
      <c r="AT2511" t="s">
        <v>11524</v>
      </c>
      <c r="AU2511">
        <v>10.61</v>
      </c>
      <c r="AV2511">
        <v>11.05</v>
      </c>
      <c r="AW2511">
        <v>1.1299999999999999</v>
      </c>
      <c r="BA2511">
        <v>0.3</v>
      </c>
      <c r="BB2511">
        <v>1.44</v>
      </c>
      <c r="BC2511">
        <v>-0.61</v>
      </c>
      <c r="BD2511">
        <v>0.43</v>
      </c>
      <c r="BE2511">
        <v>-0.38</v>
      </c>
      <c r="BF2511">
        <v>-1.49</v>
      </c>
      <c r="BG2511">
        <v>0.53</v>
      </c>
      <c r="BH2511">
        <v>-0.5</v>
      </c>
      <c r="BI2511">
        <v>20191115</v>
      </c>
      <c r="BJ2511">
        <v>20020304</v>
      </c>
      <c r="BK2511">
        <v>13.55</v>
      </c>
      <c r="BL2511" t="s">
        <v>116</v>
      </c>
      <c r="BM2511" t="s">
        <v>116</v>
      </c>
      <c r="BN2511">
        <v>255.48</v>
      </c>
      <c r="BO2511">
        <v>136.38999999999999</v>
      </c>
      <c r="BP2511">
        <v>2.25</v>
      </c>
      <c r="BQ2511">
        <v>45.73</v>
      </c>
      <c r="BR2511">
        <v>180.62</v>
      </c>
      <c r="BS2511">
        <v>13.53</v>
      </c>
      <c r="BT2511">
        <v>8.7899999999999991</v>
      </c>
      <c r="BU2511">
        <v>97.02</v>
      </c>
      <c r="BV2511">
        <v>17.45</v>
      </c>
      <c r="BW2511">
        <v>13.14</v>
      </c>
      <c r="BX2511">
        <v>54.39</v>
      </c>
      <c r="BY2511">
        <v>86.66</v>
      </c>
      <c r="BZ2511">
        <v>58.06</v>
      </c>
      <c r="CA2511">
        <v>13.62</v>
      </c>
      <c r="CB2511">
        <v>1.75</v>
      </c>
      <c r="CC2511">
        <v>13.56</v>
      </c>
      <c r="CD2511">
        <v>12.85</v>
      </c>
      <c r="CE2511">
        <v>12.73</v>
      </c>
      <c r="CF2511">
        <v>11.57</v>
      </c>
      <c r="CG2511">
        <v>68.3</v>
      </c>
      <c r="CH2511">
        <v>2.6</v>
      </c>
      <c r="CI2511">
        <v>26.65</v>
      </c>
      <c r="CJ2511">
        <v>32259</v>
      </c>
      <c r="CK2511">
        <v>18585</v>
      </c>
      <c r="CL2511" t="s">
        <v>11525</v>
      </c>
      <c r="CM2511">
        <v>5.52</v>
      </c>
      <c r="CN2511">
        <v>-3.59</v>
      </c>
      <c r="CO2511">
        <v>1.31</v>
      </c>
      <c r="CP2511">
        <v>68.739999999999995</v>
      </c>
      <c r="CQ2511">
        <v>2.06</v>
      </c>
      <c r="CR2511">
        <v>3.83</v>
      </c>
      <c r="CS2511" t="s">
        <v>10546</v>
      </c>
      <c r="CT2511">
        <v>10.07</v>
      </c>
      <c r="CU2511">
        <v>0</v>
      </c>
      <c r="CV2511">
        <v>4.01</v>
      </c>
      <c r="CW2511">
        <v>5.04</v>
      </c>
      <c r="CX2511">
        <v>0.19</v>
      </c>
      <c r="CY2511">
        <v>53.39</v>
      </c>
      <c r="CZ2511" t="s">
        <v>7529</v>
      </c>
      <c r="DA2511">
        <v>33.01</v>
      </c>
      <c r="DB2511">
        <v>15.72</v>
      </c>
      <c r="DC2511">
        <v>14.69</v>
      </c>
      <c r="DD2511">
        <v>3.89</v>
      </c>
      <c r="DE2511">
        <v>6092</v>
      </c>
      <c r="DF2511">
        <v>600373</v>
      </c>
      <c r="DG2511" t="s">
        <v>116</v>
      </c>
      <c r="DH2511" t="s">
        <v>116</v>
      </c>
      <c r="DI2511" t="s">
        <v>116</v>
      </c>
    </row>
    <row r="2512" spans="1:113" x14ac:dyDescent="0.4">
      <c r="A2512" t="str">
        <f>"600375"</f>
        <v>600375</v>
      </c>
      <c r="B2512" t="s">
        <v>11526</v>
      </c>
      <c r="C2512">
        <v>-1.27</v>
      </c>
      <c r="D2512">
        <v>4.68</v>
      </c>
      <c r="E2512">
        <v>-0.06</v>
      </c>
      <c r="F2512">
        <v>4.68</v>
      </c>
      <c r="G2512">
        <v>4.6900000000000004</v>
      </c>
      <c r="H2512">
        <v>41980</v>
      </c>
      <c r="I2512">
        <v>1192</v>
      </c>
      <c r="J2512">
        <v>-0.42</v>
      </c>
      <c r="K2512">
        <v>0.76</v>
      </c>
      <c r="L2512">
        <v>4.76</v>
      </c>
      <c r="M2512">
        <v>4.78</v>
      </c>
      <c r="N2512">
        <v>4.68</v>
      </c>
      <c r="O2512">
        <v>4.74</v>
      </c>
      <c r="P2512">
        <v>189.58</v>
      </c>
      <c r="Q2512">
        <v>19901608</v>
      </c>
      <c r="R2512">
        <v>0.87</v>
      </c>
      <c r="S2512" t="s">
        <v>1108</v>
      </c>
      <c r="T2512" t="s">
        <v>575</v>
      </c>
      <c r="U2512">
        <v>2.11</v>
      </c>
      <c r="V2512">
        <v>4.74</v>
      </c>
      <c r="W2512">
        <v>24025</v>
      </c>
      <c r="X2512">
        <v>17955</v>
      </c>
      <c r="Y2512">
        <v>1.34</v>
      </c>
      <c r="Z2512">
        <v>125</v>
      </c>
      <c r="AA2512">
        <v>332</v>
      </c>
      <c r="AB2512" t="s">
        <v>116</v>
      </c>
      <c r="AC2512">
        <v>106600</v>
      </c>
      <c r="AD2512">
        <v>0</v>
      </c>
      <c r="AE2512" t="s">
        <v>116</v>
      </c>
      <c r="AF2512" t="s">
        <v>116</v>
      </c>
      <c r="AG2512">
        <v>5.56</v>
      </c>
      <c r="AH2512" t="s">
        <v>297</v>
      </c>
      <c r="AI2512" t="s">
        <v>297</v>
      </c>
      <c r="AJ2512">
        <v>-1.19</v>
      </c>
      <c r="AK2512">
        <v>630</v>
      </c>
      <c r="AL2512">
        <v>67</v>
      </c>
      <c r="AM2512">
        <v>1.1999999999999999E-3</v>
      </c>
      <c r="AN2512">
        <v>-3</v>
      </c>
      <c r="AO2512">
        <v>-1.68</v>
      </c>
      <c r="AP2512">
        <v>2.86</v>
      </c>
      <c r="AQ2512">
        <v>-1.27</v>
      </c>
      <c r="AR2512">
        <v>32.950000000000003</v>
      </c>
      <c r="AS2512">
        <v>0.92</v>
      </c>
      <c r="AT2512" t="s">
        <v>1023</v>
      </c>
      <c r="AU2512">
        <v>47.34</v>
      </c>
      <c r="AV2512">
        <v>43.72</v>
      </c>
      <c r="AW2512">
        <v>1.01</v>
      </c>
      <c r="BA2512">
        <v>0.42</v>
      </c>
      <c r="BB2512">
        <v>0.84</v>
      </c>
      <c r="BC2512">
        <v>-1.27</v>
      </c>
      <c r="BD2512">
        <v>0.02</v>
      </c>
      <c r="BE2512">
        <v>-1.68</v>
      </c>
      <c r="BF2512">
        <v>-2.09</v>
      </c>
      <c r="BG2512">
        <v>0</v>
      </c>
      <c r="BH2512">
        <v>-1.28</v>
      </c>
      <c r="BI2512">
        <v>20191029</v>
      </c>
      <c r="BJ2512">
        <v>20030401</v>
      </c>
      <c r="BK2512">
        <v>5.56</v>
      </c>
      <c r="BL2512" t="s">
        <v>116</v>
      </c>
      <c r="BM2512" t="s">
        <v>116</v>
      </c>
      <c r="BN2512">
        <v>130.43</v>
      </c>
      <c r="BO2512">
        <v>28.21</v>
      </c>
      <c r="BP2512">
        <v>0.62</v>
      </c>
      <c r="BQ2512">
        <v>77.900000000000006</v>
      </c>
      <c r="BR2512">
        <v>76.33</v>
      </c>
      <c r="BS2512">
        <v>28.06</v>
      </c>
      <c r="BT2512">
        <v>7.49</v>
      </c>
      <c r="BU2512">
        <v>95.29</v>
      </c>
      <c r="BV2512">
        <v>17.02</v>
      </c>
      <c r="BW2512">
        <v>25.52</v>
      </c>
      <c r="BX2512">
        <v>26.67</v>
      </c>
      <c r="BY2512">
        <v>49.81</v>
      </c>
      <c r="BZ2512">
        <v>42.81</v>
      </c>
      <c r="CA2512">
        <v>0.06</v>
      </c>
      <c r="CB2512">
        <v>0</v>
      </c>
      <c r="CC2512">
        <v>0.1</v>
      </c>
      <c r="CD2512">
        <v>0.06</v>
      </c>
      <c r="CE2512">
        <v>0.1</v>
      </c>
      <c r="CF2512">
        <v>-0.31</v>
      </c>
      <c r="CG2512">
        <v>-5.04</v>
      </c>
      <c r="CH2512">
        <v>6.41</v>
      </c>
      <c r="CI2512">
        <v>1.51</v>
      </c>
      <c r="CJ2512">
        <v>40505</v>
      </c>
      <c r="CK2512">
        <v>11248</v>
      </c>
      <c r="CL2512" t="s">
        <v>1067</v>
      </c>
      <c r="CM2512">
        <v>-30.65</v>
      </c>
      <c r="CN2512">
        <v>-1.0900000000000001</v>
      </c>
      <c r="CO2512">
        <v>0.92</v>
      </c>
      <c r="CP2512">
        <v>4.0599999999999996</v>
      </c>
      <c r="CQ2512">
        <v>0.52</v>
      </c>
      <c r="CR2512">
        <v>0</v>
      </c>
      <c r="CS2512" t="s">
        <v>2098</v>
      </c>
      <c r="CT2512">
        <v>5.08</v>
      </c>
      <c r="CU2512">
        <v>0</v>
      </c>
      <c r="CV2512">
        <v>4.8</v>
      </c>
      <c r="CW2512">
        <v>-0.91</v>
      </c>
      <c r="CX2512">
        <v>1.1499999999999999</v>
      </c>
      <c r="CY2512">
        <v>21.63</v>
      </c>
      <c r="CZ2512" t="s">
        <v>11527</v>
      </c>
      <c r="DA2512">
        <v>14.06</v>
      </c>
      <c r="DB2512">
        <v>0.13</v>
      </c>
      <c r="DC2512">
        <v>0.21</v>
      </c>
      <c r="DD2512">
        <v>1.19</v>
      </c>
      <c r="DE2512">
        <v>4172</v>
      </c>
      <c r="DF2512">
        <v>600375</v>
      </c>
      <c r="DG2512" t="s">
        <v>116</v>
      </c>
      <c r="DH2512" t="s">
        <v>116</v>
      </c>
      <c r="DI2512" t="s">
        <v>116</v>
      </c>
    </row>
    <row r="2513" spans="1:113" x14ac:dyDescent="0.4">
      <c r="A2513" t="str">
        <f>"600376"</f>
        <v>600376</v>
      </c>
      <c r="B2513" t="s">
        <v>11528</v>
      </c>
      <c r="C2513">
        <v>0.38</v>
      </c>
      <c r="D2513">
        <v>7.98</v>
      </c>
      <c r="E2513">
        <v>0.03</v>
      </c>
      <c r="F2513">
        <v>7.98</v>
      </c>
      <c r="G2513">
        <v>7.99</v>
      </c>
      <c r="H2513">
        <v>109958</v>
      </c>
      <c r="I2513">
        <v>508</v>
      </c>
      <c r="J2513">
        <v>0</v>
      </c>
      <c r="K2513">
        <v>0.43</v>
      </c>
      <c r="L2513">
        <v>7.94</v>
      </c>
      <c r="M2513">
        <v>8.0399999999999991</v>
      </c>
      <c r="N2513">
        <v>7.93</v>
      </c>
      <c r="O2513">
        <v>7.95</v>
      </c>
      <c r="P2513">
        <v>6.5</v>
      </c>
      <c r="Q2513">
        <v>87814408</v>
      </c>
      <c r="R2513">
        <v>1.1299999999999999</v>
      </c>
      <c r="S2513" t="s">
        <v>148</v>
      </c>
      <c r="T2513" t="s">
        <v>165</v>
      </c>
      <c r="U2513">
        <v>1.38</v>
      </c>
      <c r="V2513">
        <v>7.99</v>
      </c>
      <c r="W2513">
        <v>56928</v>
      </c>
      <c r="X2513">
        <v>53030</v>
      </c>
      <c r="Y2513">
        <v>1.07</v>
      </c>
      <c r="Z2513">
        <v>353</v>
      </c>
      <c r="AA2513">
        <v>1926</v>
      </c>
      <c r="AB2513" t="s">
        <v>116</v>
      </c>
      <c r="AC2513">
        <v>281100</v>
      </c>
      <c r="AD2513">
        <v>0</v>
      </c>
      <c r="AE2513" t="s">
        <v>116</v>
      </c>
      <c r="AF2513" t="s">
        <v>116</v>
      </c>
      <c r="AG2513">
        <v>25.8</v>
      </c>
      <c r="AH2513" t="s">
        <v>11529</v>
      </c>
      <c r="AI2513" t="s">
        <v>11529</v>
      </c>
      <c r="AJ2513">
        <v>0.45</v>
      </c>
      <c r="AK2513">
        <v>2079</v>
      </c>
      <c r="AL2513">
        <v>53</v>
      </c>
      <c r="AM2513">
        <v>2.0000000000000001E-4</v>
      </c>
      <c r="AN2513">
        <v>2</v>
      </c>
      <c r="AO2513">
        <v>1.1499999999999999</v>
      </c>
      <c r="AP2513">
        <v>4.04</v>
      </c>
      <c r="AQ2513">
        <v>-3.16</v>
      </c>
      <c r="AR2513">
        <v>17.53</v>
      </c>
      <c r="AS2513">
        <v>0.88</v>
      </c>
      <c r="AT2513" t="s">
        <v>11530</v>
      </c>
      <c r="AU2513">
        <v>5.57</v>
      </c>
      <c r="AV2513">
        <v>6.5</v>
      </c>
      <c r="AW2513">
        <v>0.94</v>
      </c>
      <c r="BA2513">
        <v>-0.13</v>
      </c>
      <c r="BB2513">
        <v>1.1299999999999999</v>
      </c>
      <c r="BC2513">
        <v>-0.25</v>
      </c>
      <c r="BD2513">
        <v>0.46</v>
      </c>
      <c r="BE2513">
        <v>0.5</v>
      </c>
      <c r="BF2513">
        <v>-0.75</v>
      </c>
      <c r="BG2513">
        <v>0.63</v>
      </c>
      <c r="BH2513">
        <v>-0.08</v>
      </c>
      <c r="BI2513">
        <v>20191031</v>
      </c>
      <c r="BJ2513">
        <v>20010312</v>
      </c>
      <c r="BK2513">
        <v>25.8</v>
      </c>
      <c r="BL2513" t="s">
        <v>116</v>
      </c>
      <c r="BM2513" t="s">
        <v>116</v>
      </c>
      <c r="BN2513">
        <v>2951.21</v>
      </c>
      <c r="BO2513">
        <v>290.06</v>
      </c>
      <c r="BP2513">
        <v>248.03</v>
      </c>
      <c r="BQ2513">
        <v>81.77</v>
      </c>
      <c r="BR2513">
        <v>2547.1799999999998</v>
      </c>
      <c r="BS2513">
        <v>10.85</v>
      </c>
      <c r="BT2513">
        <v>0.85</v>
      </c>
      <c r="BU2513">
        <v>1522.3</v>
      </c>
      <c r="BV2513">
        <v>1755.68</v>
      </c>
      <c r="BW2513">
        <v>3.03</v>
      </c>
      <c r="BX2513">
        <v>74.709999999999994</v>
      </c>
      <c r="BY2513">
        <v>295.45</v>
      </c>
      <c r="BZ2513">
        <v>169.8</v>
      </c>
      <c r="CA2513">
        <v>63.25</v>
      </c>
      <c r="CB2513">
        <v>2.15</v>
      </c>
      <c r="CC2513">
        <v>63.64</v>
      </c>
      <c r="CD2513">
        <v>46.39</v>
      </c>
      <c r="CE2513">
        <v>23.76</v>
      </c>
      <c r="CF2513">
        <v>22.53</v>
      </c>
      <c r="CG2513">
        <v>120.32</v>
      </c>
      <c r="CH2513">
        <v>-15.5</v>
      </c>
      <c r="CI2513">
        <v>-116.1</v>
      </c>
      <c r="CJ2513">
        <v>44348</v>
      </c>
      <c r="CK2513">
        <v>28130</v>
      </c>
      <c r="CL2513" t="s">
        <v>2308</v>
      </c>
      <c r="CM2513">
        <v>28.57</v>
      </c>
      <c r="CN2513">
        <v>38.78</v>
      </c>
      <c r="CO2513">
        <v>0.86</v>
      </c>
      <c r="CP2513">
        <v>-13.28</v>
      </c>
      <c r="CQ2513">
        <v>0.7</v>
      </c>
      <c r="CR2513">
        <v>5.01</v>
      </c>
      <c r="CS2513" t="s">
        <v>9381</v>
      </c>
      <c r="CT2513">
        <v>9.31</v>
      </c>
      <c r="CU2513">
        <v>9.31</v>
      </c>
      <c r="CV2513">
        <v>2.9</v>
      </c>
      <c r="CW2513">
        <v>4.66</v>
      </c>
      <c r="CX2513">
        <v>-0.6</v>
      </c>
      <c r="CY2513">
        <v>9.83</v>
      </c>
      <c r="CZ2513" t="s">
        <v>11531</v>
      </c>
      <c r="DA2513">
        <v>42.53</v>
      </c>
      <c r="DB2513">
        <v>21.41</v>
      </c>
      <c r="DC2513">
        <v>8.0399999999999991</v>
      </c>
      <c r="DD2513">
        <v>0</v>
      </c>
      <c r="DE2513">
        <v>1866</v>
      </c>
      <c r="DF2513">
        <v>600376</v>
      </c>
      <c r="DG2513" t="s">
        <v>116</v>
      </c>
      <c r="DH2513" t="s">
        <v>116</v>
      </c>
      <c r="DI2513" t="s">
        <v>116</v>
      </c>
    </row>
    <row r="2514" spans="1:113" x14ac:dyDescent="0.4">
      <c r="A2514" t="str">
        <f>"600377"</f>
        <v>600377</v>
      </c>
      <c r="B2514" t="s">
        <v>11532</v>
      </c>
      <c r="C2514">
        <v>-0.37</v>
      </c>
      <c r="D2514">
        <v>10.91</v>
      </c>
      <c r="E2514">
        <v>-0.04</v>
      </c>
      <c r="F2514">
        <v>10.9</v>
      </c>
      <c r="G2514">
        <v>10.91</v>
      </c>
      <c r="H2514">
        <v>57446</v>
      </c>
      <c r="I2514">
        <v>222</v>
      </c>
      <c r="J2514">
        <v>0.28000000000000003</v>
      </c>
      <c r="K2514">
        <v>0.15</v>
      </c>
      <c r="L2514">
        <v>10.95</v>
      </c>
      <c r="M2514">
        <v>10.95</v>
      </c>
      <c r="N2514">
        <v>10.85</v>
      </c>
      <c r="O2514">
        <v>10.95</v>
      </c>
      <c r="P2514">
        <v>11.58</v>
      </c>
      <c r="Q2514">
        <v>62545808</v>
      </c>
      <c r="R2514">
        <v>1.8</v>
      </c>
      <c r="S2514" t="s">
        <v>809</v>
      </c>
      <c r="T2514" t="s">
        <v>323</v>
      </c>
      <c r="U2514">
        <v>0.91</v>
      </c>
      <c r="V2514">
        <v>10.89</v>
      </c>
      <c r="W2514">
        <v>31524</v>
      </c>
      <c r="X2514">
        <v>25922</v>
      </c>
      <c r="Y2514">
        <v>1.22</v>
      </c>
      <c r="Z2514">
        <v>190</v>
      </c>
      <c r="AA2514">
        <v>217</v>
      </c>
      <c r="AB2514" t="s">
        <v>116</v>
      </c>
      <c r="AC2514">
        <v>75600</v>
      </c>
      <c r="AD2514">
        <v>0</v>
      </c>
      <c r="AE2514" t="s">
        <v>116</v>
      </c>
      <c r="AF2514" t="s">
        <v>116</v>
      </c>
      <c r="AG2514">
        <v>38</v>
      </c>
      <c r="AH2514" t="s">
        <v>11533</v>
      </c>
      <c r="AI2514" t="s">
        <v>11534</v>
      </c>
      <c r="AJ2514">
        <v>-0.28999999999999998</v>
      </c>
      <c r="AK2514">
        <v>1841</v>
      </c>
      <c r="AL2514">
        <v>31</v>
      </c>
      <c r="AM2514">
        <v>1E-4</v>
      </c>
      <c r="AN2514">
        <v>-1</v>
      </c>
      <c r="AO2514">
        <v>0.74</v>
      </c>
      <c r="AP2514">
        <v>1.49</v>
      </c>
      <c r="AQ2514">
        <v>5.61</v>
      </c>
      <c r="AR2514">
        <v>16.809999999999999</v>
      </c>
      <c r="AS2514">
        <v>1.23</v>
      </c>
      <c r="AT2514" t="s">
        <v>11535</v>
      </c>
      <c r="AU2514">
        <v>12.83</v>
      </c>
      <c r="AV2514">
        <v>12.56</v>
      </c>
      <c r="AW2514">
        <v>0.35</v>
      </c>
      <c r="BA2514">
        <v>0</v>
      </c>
      <c r="BB2514">
        <v>0</v>
      </c>
      <c r="BC2514">
        <v>-0.91</v>
      </c>
      <c r="BD2514">
        <v>-0.56999999999999995</v>
      </c>
      <c r="BE2514">
        <v>-0.37</v>
      </c>
      <c r="BF2514">
        <v>-0.37</v>
      </c>
      <c r="BG2514">
        <v>0.55000000000000004</v>
      </c>
      <c r="BH2514">
        <v>0.2</v>
      </c>
      <c r="BI2514">
        <v>20191026</v>
      </c>
      <c r="BJ2514">
        <v>20010116</v>
      </c>
      <c r="BK2514">
        <v>50.38</v>
      </c>
      <c r="BL2514" t="s">
        <v>116</v>
      </c>
      <c r="BM2514">
        <v>12.22</v>
      </c>
      <c r="BN2514">
        <v>527.79999999999995</v>
      </c>
      <c r="BO2514">
        <v>276.70999999999998</v>
      </c>
      <c r="BP2514">
        <v>40.57</v>
      </c>
      <c r="BQ2514">
        <v>39.89</v>
      </c>
      <c r="BR2514">
        <v>67.88</v>
      </c>
      <c r="BS2514">
        <v>17.25</v>
      </c>
      <c r="BT2514">
        <v>192.57</v>
      </c>
      <c r="BU2514">
        <v>86.19</v>
      </c>
      <c r="BV2514">
        <v>39.380000000000003</v>
      </c>
      <c r="BW2514">
        <v>4.9400000000000004</v>
      </c>
      <c r="BX2514">
        <v>104.28</v>
      </c>
      <c r="BY2514">
        <v>74.959999999999994</v>
      </c>
      <c r="BZ2514">
        <v>30.68</v>
      </c>
      <c r="CA2514">
        <v>46.53</v>
      </c>
      <c r="CB2514">
        <v>7.59</v>
      </c>
      <c r="CC2514">
        <v>46.47</v>
      </c>
      <c r="CD2514">
        <v>36.44</v>
      </c>
      <c r="CE2514">
        <v>35.590000000000003</v>
      </c>
      <c r="CF2514">
        <v>35.1</v>
      </c>
      <c r="CG2514">
        <v>76.64</v>
      </c>
      <c r="CH2514">
        <v>43.77</v>
      </c>
      <c r="CI2514">
        <v>-0.39</v>
      </c>
      <c r="CJ2514">
        <v>24098</v>
      </c>
      <c r="CK2514">
        <v>19426</v>
      </c>
      <c r="CL2514" t="s">
        <v>11536</v>
      </c>
      <c r="CM2514">
        <v>-2.5499999999999998</v>
      </c>
      <c r="CN2514">
        <v>-1.9</v>
      </c>
      <c r="CO2514">
        <v>1.99</v>
      </c>
      <c r="CP2514">
        <v>12.56</v>
      </c>
      <c r="CQ2514">
        <v>7.33</v>
      </c>
      <c r="CR2514">
        <v>4.22</v>
      </c>
      <c r="CS2514" t="s">
        <v>11537</v>
      </c>
      <c r="CT2514">
        <v>5.49</v>
      </c>
      <c r="CU2514">
        <v>0</v>
      </c>
      <c r="CV2514">
        <v>2.0699999999999998</v>
      </c>
      <c r="CW2514">
        <v>1.52</v>
      </c>
      <c r="CX2514">
        <v>0.87</v>
      </c>
      <c r="CY2514">
        <v>52.43</v>
      </c>
      <c r="CZ2514" t="s">
        <v>11538</v>
      </c>
      <c r="DA2514">
        <v>59.08</v>
      </c>
      <c r="DB2514">
        <v>62.08</v>
      </c>
      <c r="DC2514">
        <v>47.48</v>
      </c>
      <c r="DD2514">
        <v>0</v>
      </c>
      <c r="DE2514">
        <v>5288</v>
      </c>
      <c r="DF2514">
        <v>600377</v>
      </c>
      <c r="DG2514" t="s">
        <v>116</v>
      </c>
      <c r="DH2514" t="s">
        <v>116</v>
      </c>
      <c r="DI2514" t="s">
        <v>116</v>
      </c>
    </row>
    <row r="2515" spans="1:113" x14ac:dyDescent="0.4">
      <c r="A2515" t="str">
        <f>"600378"</f>
        <v>600378</v>
      </c>
      <c r="B2515" t="s">
        <v>11539</v>
      </c>
      <c r="C2515">
        <v>-0.8</v>
      </c>
      <c r="D2515">
        <v>18.690000000000001</v>
      </c>
      <c r="E2515">
        <v>-0.15</v>
      </c>
      <c r="F2515">
        <v>18.690000000000001</v>
      </c>
      <c r="G2515">
        <v>18.7</v>
      </c>
      <c r="H2515">
        <v>29790</v>
      </c>
      <c r="I2515">
        <v>253</v>
      </c>
      <c r="J2515">
        <v>-0.04</v>
      </c>
      <c r="K2515">
        <v>1</v>
      </c>
      <c r="L2515">
        <v>18.72</v>
      </c>
      <c r="M2515">
        <v>19.48</v>
      </c>
      <c r="N2515">
        <v>18.54</v>
      </c>
      <c r="O2515">
        <v>18.84</v>
      </c>
      <c r="P2515">
        <v>38.090000000000003</v>
      </c>
      <c r="Q2515">
        <v>56642512</v>
      </c>
      <c r="R2515">
        <v>1.19</v>
      </c>
      <c r="S2515" t="s">
        <v>891</v>
      </c>
      <c r="T2515" t="s">
        <v>582</v>
      </c>
      <c r="U2515">
        <v>4.99</v>
      </c>
      <c r="V2515">
        <v>19.010000000000002</v>
      </c>
      <c r="W2515">
        <v>13808</v>
      </c>
      <c r="X2515">
        <v>15982</v>
      </c>
      <c r="Y2515">
        <v>0.86</v>
      </c>
      <c r="Z2515">
        <v>154</v>
      </c>
      <c r="AA2515">
        <v>43</v>
      </c>
      <c r="AB2515" t="s">
        <v>116</v>
      </c>
      <c r="AC2515">
        <v>357600</v>
      </c>
      <c r="AD2515">
        <v>0.01</v>
      </c>
      <c r="AE2515" t="s">
        <v>116</v>
      </c>
      <c r="AF2515" t="s">
        <v>116</v>
      </c>
      <c r="AG2515">
        <v>2.97</v>
      </c>
      <c r="AH2515" t="s">
        <v>936</v>
      </c>
      <c r="AI2515" t="s">
        <v>11540</v>
      </c>
      <c r="AJ2515">
        <v>-0.72</v>
      </c>
      <c r="AK2515">
        <v>2264</v>
      </c>
      <c r="AL2515">
        <v>13</v>
      </c>
      <c r="AM2515">
        <v>4.0000000000000002E-4</v>
      </c>
      <c r="AN2515">
        <v>-2</v>
      </c>
      <c r="AO2515">
        <v>0.97</v>
      </c>
      <c r="AP2515">
        <v>22.4</v>
      </c>
      <c r="AQ2515">
        <v>6.86</v>
      </c>
      <c r="AR2515">
        <v>111.98</v>
      </c>
      <c r="AS2515">
        <v>1.38</v>
      </c>
      <c r="AT2515" t="s">
        <v>10296</v>
      </c>
      <c r="AU2515">
        <v>32.32</v>
      </c>
      <c r="AV2515">
        <v>31.93</v>
      </c>
      <c r="AW2515">
        <v>1.42</v>
      </c>
      <c r="BA2515">
        <v>-0.64</v>
      </c>
      <c r="BB2515">
        <v>3.4</v>
      </c>
      <c r="BC2515">
        <v>-1.59</v>
      </c>
      <c r="BD2515">
        <v>0.92</v>
      </c>
      <c r="BE2515">
        <v>-0.16</v>
      </c>
      <c r="BF2515">
        <v>-4.0599999999999996</v>
      </c>
      <c r="BG2515">
        <v>0.81</v>
      </c>
      <c r="BH2515">
        <v>-1.72</v>
      </c>
      <c r="BI2515">
        <v>20191029</v>
      </c>
      <c r="BJ2515">
        <v>20010111</v>
      </c>
      <c r="BK2515">
        <v>8.9700000000000006</v>
      </c>
      <c r="BL2515" t="s">
        <v>116</v>
      </c>
      <c r="BM2515" t="s">
        <v>116</v>
      </c>
      <c r="BN2515">
        <v>91.69</v>
      </c>
      <c r="BO2515">
        <v>58.71</v>
      </c>
      <c r="BP2515">
        <v>1.3</v>
      </c>
      <c r="BQ2515">
        <v>34.56</v>
      </c>
      <c r="BR2515">
        <v>49.31</v>
      </c>
      <c r="BS2515">
        <v>25.44</v>
      </c>
      <c r="BT2515">
        <v>7.88</v>
      </c>
      <c r="BU2515">
        <v>18.940000000000001</v>
      </c>
      <c r="BV2515">
        <v>6.48</v>
      </c>
      <c r="BW2515">
        <v>13.25</v>
      </c>
      <c r="BX2515">
        <v>24.91</v>
      </c>
      <c r="BY2515">
        <v>33.299999999999997</v>
      </c>
      <c r="BZ2515">
        <v>23.79</v>
      </c>
      <c r="CA2515">
        <v>3.26</v>
      </c>
      <c r="CB2515">
        <v>-0.04</v>
      </c>
      <c r="CC2515">
        <v>3.89</v>
      </c>
      <c r="CD2515">
        <v>3.42</v>
      </c>
      <c r="CE2515">
        <v>3.3</v>
      </c>
      <c r="CF2515">
        <v>3.16</v>
      </c>
      <c r="CG2515">
        <v>22.7</v>
      </c>
      <c r="CH2515">
        <v>3.64</v>
      </c>
      <c r="CI2515">
        <v>4.04</v>
      </c>
      <c r="CJ2515">
        <v>14086</v>
      </c>
      <c r="CK2515">
        <v>15270</v>
      </c>
      <c r="CL2515" t="s">
        <v>11541</v>
      </c>
      <c r="CM2515">
        <v>-1.86</v>
      </c>
      <c r="CN2515">
        <v>13</v>
      </c>
      <c r="CO2515">
        <v>2.85</v>
      </c>
      <c r="CP2515">
        <v>46.1</v>
      </c>
      <c r="CQ2515">
        <v>5.03</v>
      </c>
      <c r="CR2515">
        <v>0.31</v>
      </c>
      <c r="CS2515" t="s">
        <v>6158</v>
      </c>
      <c r="CT2515">
        <v>6.55</v>
      </c>
      <c r="CU2515">
        <v>0</v>
      </c>
      <c r="CV2515">
        <v>2.78</v>
      </c>
      <c r="CW2515">
        <v>2.5299999999999998</v>
      </c>
      <c r="CX2515">
        <v>0.41</v>
      </c>
      <c r="CY2515">
        <v>64.03</v>
      </c>
      <c r="CZ2515" t="s">
        <v>6974</v>
      </c>
      <c r="DA2515">
        <v>28.58</v>
      </c>
      <c r="DB2515">
        <v>9.7899999999999991</v>
      </c>
      <c r="DC2515">
        <v>9.91</v>
      </c>
      <c r="DD2515">
        <v>2.42</v>
      </c>
      <c r="DE2515">
        <v>6752</v>
      </c>
      <c r="DF2515">
        <v>600378</v>
      </c>
      <c r="DG2515" t="s">
        <v>116</v>
      </c>
      <c r="DH2515" t="s">
        <v>116</v>
      </c>
      <c r="DI2515" t="s">
        <v>116</v>
      </c>
    </row>
    <row r="2516" spans="1:113" x14ac:dyDescent="0.4">
      <c r="A2516" t="str">
        <f>"600379"</f>
        <v>600379</v>
      </c>
      <c r="B2516" t="s">
        <v>11542</v>
      </c>
      <c r="C2516">
        <v>0</v>
      </c>
      <c r="D2516">
        <v>5.53</v>
      </c>
      <c r="E2516">
        <v>0</v>
      </c>
      <c r="F2516">
        <v>5.53</v>
      </c>
      <c r="G2516">
        <v>5.55</v>
      </c>
      <c r="H2516">
        <v>18701</v>
      </c>
      <c r="I2516">
        <v>91</v>
      </c>
      <c r="J2516">
        <v>0.18</v>
      </c>
      <c r="K2516">
        <v>0.56999999999999995</v>
      </c>
      <c r="L2516">
        <v>5.53</v>
      </c>
      <c r="M2516">
        <v>5.58</v>
      </c>
      <c r="N2516">
        <v>5.51</v>
      </c>
      <c r="O2516">
        <v>5.53</v>
      </c>
      <c r="P2516">
        <v>38.409999999999997</v>
      </c>
      <c r="Q2516">
        <v>10362886</v>
      </c>
      <c r="R2516">
        <v>1.34</v>
      </c>
      <c r="S2516" t="s">
        <v>397</v>
      </c>
      <c r="T2516" t="s">
        <v>913</v>
      </c>
      <c r="U2516">
        <v>1.27</v>
      </c>
      <c r="V2516">
        <v>5.54</v>
      </c>
      <c r="W2516">
        <v>11609</v>
      </c>
      <c r="X2516">
        <v>7092</v>
      </c>
      <c r="Y2516">
        <v>1.64</v>
      </c>
      <c r="Z2516">
        <v>9</v>
      </c>
      <c r="AA2516">
        <v>245</v>
      </c>
      <c r="AB2516" t="s">
        <v>116</v>
      </c>
      <c r="AC2516">
        <v>57000</v>
      </c>
      <c r="AD2516">
        <v>0.01</v>
      </c>
      <c r="AE2516" t="s">
        <v>116</v>
      </c>
      <c r="AF2516" t="s">
        <v>116</v>
      </c>
      <c r="AG2516">
        <v>3.3</v>
      </c>
      <c r="AH2516" t="s">
        <v>11543</v>
      </c>
      <c r="AI2516" t="s">
        <v>11543</v>
      </c>
      <c r="AJ2516">
        <v>0.08</v>
      </c>
      <c r="AK2516">
        <v>437</v>
      </c>
      <c r="AL2516">
        <v>43</v>
      </c>
      <c r="AM2516">
        <v>1.2999999999999999E-3</v>
      </c>
      <c r="AN2516">
        <v>0</v>
      </c>
      <c r="AO2516">
        <v>0.19</v>
      </c>
      <c r="AP2516">
        <v>2.6</v>
      </c>
      <c r="AQ2516">
        <v>-4.66</v>
      </c>
      <c r="AR2516">
        <v>16.86</v>
      </c>
      <c r="AS2516">
        <v>1.1000000000000001</v>
      </c>
      <c r="AT2516" t="s">
        <v>7817</v>
      </c>
      <c r="AU2516">
        <v>45.6</v>
      </c>
      <c r="AV2516">
        <v>47.47</v>
      </c>
      <c r="AW2516">
        <v>0.9</v>
      </c>
      <c r="BA2516">
        <v>0</v>
      </c>
      <c r="BB2516">
        <v>0.9</v>
      </c>
      <c r="BC2516">
        <v>-0.36</v>
      </c>
      <c r="BD2516">
        <v>0.21</v>
      </c>
      <c r="BE2516">
        <v>0</v>
      </c>
      <c r="BF2516">
        <v>-0.9</v>
      </c>
      <c r="BG2516">
        <v>0.36</v>
      </c>
      <c r="BH2516">
        <v>-0.21</v>
      </c>
      <c r="BI2516">
        <v>20191117</v>
      </c>
      <c r="BJ2516">
        <v>20020116</v>
      </c>
      <c r="BK2516">
        <v>3.3</v>
      </c>
      <c r="BL2516" t="s">
        <v>116</v>
      </c>
      <c r="BM2516" t="s">
        <v>116</v>
      </c>
      <c r="BN2516">
        <v>8.6</v>
      </c>
      <c r="BO2516">
        <v>5.41</v>
      </c>
      <c r="BP2516">
        <v>0</v>
      </c>
      <c r="BQ2516">
        <v>37.159999999999997</v>
      </c>
      <c r="BR2516">
        <v>6.41</v>
      </c>
      <c r="BS2516">
        <v>1.87</v>
      </c>
      <c r="BT2516">
        <v>0.03</v>
      </c>
      <c r="BU2516">
        <v>2.71</v>
      </c>
      <c r="BV2516">
        <v>1.74</v>
      </c>
      <c r="BW2516">
        <v>3.01</v>
      </c>
      <c r="BX2516">
        <v>0.08</v>
      </c>
      <c r="BY2516">
        <v>6.84</v>
      </c>
      <c r="BZ2516">
        <v>5.38</v>
      </c>
      <c r="CA2516">
        <v>0.41</v>
      </c>
      <c r="CB2516">
        <v>0</v>
      </c>
      <c r="CC2516">
        <v>0.41</v>
      </c>
      <c r="CD2516">
        <v>0.36</v>
      </c>
      <c r="CE2516">
        <v>0.36</v>
      </c>
      <c r="CF2516">
        <v>0.34</v>
      </c>
      <c r="CG2516">
        <v>1.64</v>
      </c>
      <c r="CH2516">
        <v>0.28000000000000003</v>
      </c>
      <c r="CI2516">
        <v>0.15</v>
      </c>
      <c r="CJ2516">
        <v>14166</v>
      </c>
      <c r="CK2516">
        <v>12004</v>
      </c>
      <c r="CL2516" t="s">
        <v>4354</v>
      </c>
      <c r="CM2516">
        <v>4.63</v>
      </c>
      <c r="CN2516">
        <v>4.3600000000000003</v>
      </c>
      <c r="CO2516">
        <v>3.38</v>
      </c>
      <c r="CP2516">
        <v>66.180000000000007</v>
      </c>
      <c r="CQ2516">
        <v>2.67</v>
      </c>
      <c r="CR2516">
        <v>0.84</v>
      </c>
      <c r="CS2516" t="s">
        <v>1808</v>
      </c>
      <c r="CT2516">
        <v>1.64</v>
      </c>
      <c r="CU2516">
        <v>0</v>
      </c>
      <c r="CV2516">
        <v>0.02</v>
      </c>
      <c r="CW2516">
        <v>0.5</v>
      </c>
      <c r="CX2516">
        <v>0.08</v>
      </c>
      <c r="CY2516">
        <v>62.84</v>
      </c>
      <c r="CZ2516" t="s">
        <v>1697</v>
      </c>
      <c r="DA2516">
        <v>21.32</v>
      </c>
      <c r="DB2516">
        <v>5.99</v>
      </c>
      <c r="DC2516">
        <v>5.21</v>
      </c>
      <c r="DD2516">
        <v>0.27</v>
      </c>
      <c r="DE2516">
        <v>1397</v>
      </c>
      <c r="DF2516">
        <v>600379</v>
      </c>
      <c r="DG2516" t="s">
        <v>116</v>
      </c>
      <c r="DH2516" t="s">
        <v>116</v>
      </c>
      <c r="DI2516" t="s">
        <v>116</v>
      </c>
    </row>
    <row r="2517" spans="1:113" x14ac:dyDescent="0.4">
      <c r="A2517" t="str">
        <f>"600380"</f>
        <v>600380</v>
      </c>
      <c r="B2517" t="s">
        <v>11544</v>
      </c>
      <c r="C2517">
        <v>0.5</v>
      </c>
      <c r="D2517">
        <v>10.050000000000001</v>
      </c>
      <c r="E2517">
        <v>0.05</v>
      </c>
      <c r="F2517">
        <v>10.050000000000001</v>
      </c>
      <c r="G2517">
        <v>10.06</v>
      </c>
      <c r="H2517">
        <v>176980</v>
      </c>
      <c r="I2517">
        <v>1223</v>
      </c>
      <c r="J2517">
        <v>0</v>
      </c>
      <c r="K2517">
        <v>0.91</v>
      </c>
      <c r="L2517">
        <v>9.9700000000000006</v>
      </c>
      <c r="M2517">
        <v>10.16</v>
      </c>
      <c r="N2517">
        <v>9.94</v>
      </c>
      <c r="O2517">
        <v>10</v>
      </c>
      <c r="P2517">
        <v>18.760000000000002</v>
      </c>
      <c r="Q2517">
        <v>178197664</v>
      </c>
      <c r="R2517">
        <v>1.33</v>
      </c>
      <c r="S2517" t="s">
        <v>574</v>
      </c>
      <c r="T2517" t="s">
        <v>115</v>
      </c>
      <c r="U2517">
        <v>2.2000000000000002</v>
      </c>
      <c r="V2517">
        <v>10.07</v>
      </c>
      <c r="W2517">
        <v>68744</v>
      </c>
      <c r="X2517">
        <v>108236</v>
      </c>
      <c r="Y2517">
        <v>0.64</v>
      </c>
      <c r="Z2517">
        <v>194</v>
      </c>
      <c r="AA2517">
        <v>176</v>
      </c>
      <c r="AB2517" t="s">
        <v>116</v>
      </c>
      <c r="AC2517">
        <v>379900</v>
      </c>
      <c r="AD2517">
        <v>0</v>
      </c>
      <c r="AE2517" t="s">
        <v>116</v>
      </c>
      <c r="AF2517" t="s">
        <v>116</v>
      </c>
      <c r="AG2517">
        <v>19.38</v>
      </c>
      <c r="AH2517" t="s">
        <v>11545</v>
      </c>
      <c r="AI2517" t="s">
        <v>11545</v>
      </c>
      <c r="AJ2517">
        <v>0.57999999999999996</v>
      </c>
      <c r="AK2517">
        <v>2684</v>
      </c>
      <c r="AL2517">
        <v>66</v>
      </c>
      <c r="AM2517">
        <v>2.9999999999999997E-4</v>
      </c>
      <c r="AN2517">
        <v>2</v>
      </c>
      <c r="AO2517">
        <v>-0.3</v>
      </c>
      <c r="AP2517">
        <v>2.34</v>
      </c>
      <c r="AQ2517">
        <v>1.72</v>
      </c>
      <c r="AR2517">
        <v>54.38</v>
      </c>
      <c r="AS2517">
        <v>1.85</v>
      </c>
      <c r="AT2517" t="s">
        <v>11546</v>
      </c>
      <c r="AU2517">
        <v>23.28</v>
      </c>
      <c r="AV2517">
        <v>27.85</v>
      </c>
      <c r="AW2517">
        <v>0.96</v>
      </c>
      <c r="BA2517">
        <v>-0.3</v>
      </c>
      <c r="BB2517">
        <v>1.6</v>
      </c>
      <c r="BC2517">
        <v>-0.6</v>
      </c>
      <c r="BD2517">
        <v>0.69</v>
      </c>
      <c r="BE2517">
        <v>0.8</v>
      </c>
      <c r="BF2517">
        <v>-1.08</v>
      </c>
      <c r="BG2517">
        <v>1.1100000000000001</v>
      </c>
      <c r="BH2517">
        <v>-0.19</v>
      </c>
      <c r="BI2517">
        <v>20191029</v>
      </c>
      <c r="BJ2517">
        <v>20010608</v>
      </c>
      <c r="BK2517">
        <v>19.38</v>
      </c>
      <c r="BL2517" t="s">
        <v>116</v>
      </c>
      <c r="BM2517" t="s">
        <v>116</v>
      </c>
      <c r="BN2517">
        <v>237.96</v>
      </c>
      <c r="BO2517">
        <v>103.11</v>
      </c>
      <c r="BP2517">
        <v>68.12</v>
      </c>
      <c r="BQ2517">
        <v>28.04</v>
      </c>
      <c r="BR2517">
        <v>149.13999999999999</v>
      </c>
      <c r="BS2517">
        <v>39.76</v>
      </c>
      <c r="BT2517">
        <v>3.83</v>
      </c>
      <c r="BU2517">
        <v>60.7</v>
      </c>
      <c r="BV2517">
        <v>14.19</v>
      </c>
      <c r="BW2517">
        <v>24.63</v>
      </c>
      <c r="BX2517">
        <v>23.98</v>
      </c>
      <c r="BY2517">
        <v>92.91</v>
      </c>
      <c r="BZ2517">
        <v>32.119999999999997</v>
      </c>
      <c r="CA2517">
        <v>17.77</v>
      </c>
      <c r="CB2517">
        <v>0.03</v>
      </c>
      <c r="CC2517">
        <v>18.36</v>
      </c>
      <c r="CD2517">
        <v>15.48</v>
      </c>
      <c r="CE2517">
        <v>7.79</v>
      </c>
      <c r="CF2517">
        <v>7.32</v>
      </c>
      <c r="CG2517">
        <v>53.59</v>
      </c>
      <c r="CH2517">
        <v>17.82</v>
      </c>
      <c r="CI2517">
        <v>-13.62</v>
      </c>
      <c r="CJ2517">
        <v>88315</v>
      </c>
      <c r="CK2517">
        <v>10843</v>
      </c>
      <c r="CL2517" t="s">
        <v>9597</v>
      </c>
      <c r="CM2517">
        <v>21.41</v>
      </c>
      <c r="CN2517">
        <v>7.58</v>
      </c>
      <c r="CO2517">
        <v>1.89</v>
      </c>
      <c r="CP2517">
        <v>10.93</v>
      </c>
      <c r="CQ2517">
        <v>2.1</v>
      </c>
      <c r="CR2517">
        <v>1.59</v>
      </c>
      <c r="CS2517" t="s">
        <v>2937</v>
      </c>
      <c r="CT2517">
        <v>5.32</v>
      </c>
      <c r="CU2517">
        <v>0</v>
      </c>
      <c r="CV2517">
        <v>1.24</v>
      </c>
      <c r="CW2517">
        <v>2.77</v>
      </c>
      <c r="CX2517">
        <v>0.92</v>
      </c>
      <c r="CY2517">
        <v>43.33</v>
      </c>
      <c r="CZ2517" t="s">
        <v>2183</v>
      </c>
      <c r="DA2517">
        <v>65.430000000000007</v>
      </c>
      <c r="DB2517">
        <v>19.13</v>
      </c>
      <c r="DC2517">
        <v>8.3800000000000008</v>
      </c>
      <c r="DD2517">
        <v>5.79</v>
      </c>
      <c r="DE2517">
        <v>10574</v>
      </c>
      <c r="DF2517">
        <v>600380</v>
      </c>
      <c r="DG2517" t="s">
        <v>116</v>
      </c>
      <c r="DH2517" t="s">
        <v>116</v>
      </c>
      <c r="DI2517" t="s">
        <v>116</v>
      </c>
    </row>
    <row r="2518" spans="1:113" x14ac:dyDescent="0.4">
      <c r="A2518" t="str">
        <f>"600381"</f>
        <v>600381</v>
      </c>
      <c r="B2518" t="s">
        <v>11547</v>
      </c>
      <c r="C2518">
        <v>-1.3</v>
      </c>
      <c r="D2518">
        <v>5.31</v>
      </c>
      <c r="E2518">
        <v>-7.0000000000000007E-2</v>
      </c>
      <c r="F2518">
        <v>5.3</v>
      </c>
      <c r="G2518">
        <v>5.31</v>
      </c>
      <c r="H2518">
        <v>29658</v>
      </c>
      <c r="I2518">
        <v>805</v>
      </c>
      <c r="J2518">
        <v>-0.18</v>
      </c>
      <c r="K2518">
        <v>0.51</v>
      </c>
      <c r="L2518">
        <v>5.37</v>
      </c>
      <c r="M2518">
        <v>5.43</v>
      </c>
      <c r="N2518">
        <v>5.31</v>
      </c>
      <c r="O2518">
        <v>5.38</v>
      </c>
      <c r="P2518" t="s">
        <v>116</v>
      </c>
      <c r="Q2518">
        <v>15933012</v>
      </c>
      <c r="R2518">
        <v>0.81</v>
      </c>
      <c r="S2518" t="s">
        <v>559</v>
      </c>
      <c r="T2518" t="s">
        <v>698</v>
      </c>
      <c r="U2518">
        <v>2.23</v>
      </c>
      <c r="V2518">
        <v>5.37</v>
      </c>
      <c r="W2518">
        <v>19734</v>
      </c>
      <c r="X2518">
        <v>9924</v>
      </c>
      <c r="Y2518">
        <v>1.99</v>
      </c>
      <c r="Z2518">
        <v>181</v>
      </c>
      <c r="AA2518">
        <v>46</v>
      </c>
      <c r="AB2518" t="s">
        <v>116</v>
      </c>
      <c r="AC2518">
        <v>70300</v>
      </c>
      <c r="AD2518">
        <v>0.01</v>
      </c>
      <c r="AE2518" t="s">
        <v>116</v>
      </c>
      <c r="AF2518" t="s">
        <v>116</v>
      </c>
      <c r="AG2518">
        <v>5.87</v>
      </c>
      <c r="AH2518" t="s">
        <v>11548</v>
      </c>
      <c r="AI2518" t="s">
        <v>11548</v>
      </c>
      <c r="AJ2518">
        <v>-1.22</v>
      </c>
      <c r="AK2518">
        <v>693</v>
      </c>
      <c r="AL2518">
        <v>43</v>
      </c>
      <c r="AM2518">
        <v>6.9999999999999999E-4</v>
      </c>
      <c r="AN2518">
        <v>-1</v>
      </c>
      <c r="AO2518">
        <v>-0.19</v>
      </c>
      <c r="AP2518">
        <v>-5.85</v>
      </c>
      <c r="AQ2518">
        <v>-0.75</v>
      </c>
      <c r="AR2518">
        <v>-7.49</v>
      </c>
      <c r="AS2518">
        <v>1.19</v>
      </c>
      <c r="AT2518" t="s">
        <v>11549</v>
      </c>
      <c r="AU2518" t="s">
        <v>116</v>
      </c>
      <c r="AV2518">
        <v>45.54</v>
      </c>
      <c r="AW2518">
        <v>0.73</v>
      </c>
      <c r="BA2518">
        <v>-0.19</v>
      </c>
      <c r="BB2518">
        <v>0.93</v>
      </c>
      <c r="BC2518">
        <v>-1.3</v>
      </c>
      <c r="BD2518">
        <v>-0.14000000000000001</v>
      </c>
      <c r="BE2518">
        <v>-1.1200000000000001</v>
      </c>
      <c r="BF2518">
        <v>-2.21</v>
      </c>
      <c r="BG2518">
        <v>0</v>
      </c>
      <c r="BH2518">
        <v>-1.1599999999999999</v>
      </c>
      <c r="BI2518">
        <v>20191028</v>
      </c>
      <c r="BJ2518">
        <v>20010508</v>
      </c>
      <c r="BK2518">
        <v>5.87</v>
      </c>
      <c r="BL2518" t="s">
        <v>116</v>
      </c>
      <c r="BM2518" t="s">
        <v>116</v>
      </c>
      <c r="BN2518">
        <v>23.91</v>
      </c>
      <c r="BO2518">
        <v>23.54</v>
      </c>
      <c r="BP2518">
        <v>0</v>
      </c>
      <c r="BQ2518">
        <v>1.52</v>
      </c>
      <c r="BR2518">
        <v>14.95</v>
      </c>
      <c r="BS2518">
        <v>1.29</v>
      </c>
      <c r="BT2518">
        <v>1.21</v>
      </c>
      <c r="BU2518">
        <v>0.27</v>
      </c>
      <c r="BV2518">
        <v>4.18</v>
      </c>
      <c r="BW2518">
        <v>2.36</v>
      </c>
      <c r="BX2518">
        <v>2.37</v>
      </c>
      <c r="BY2518">
        <v>1.68</v>
      </c>
      <c r="BZ2518">
        <v>1.26</v>
      </c>
      <c r="CA2518">
        <v>-0.36</v>
      </c>
      <c r="CB2518">
        <v>0.08</v>
      </c>
      <c r="CC2518">
        <v>-0.28999999999999998</v>
      </c>
      <c r="CD2518">
        <v>-0.28000000000000003</v>
      </c>
      <c r="CE2518">
        <v>-0.28000000000000003</v>
      </c>
      <c r="CF2518">
        <v>-0.36</v>
      </c>
      <c r="CG2518">
        <v>14.23</v>
      </c>
      <c r="CH2518">
        <v>-2.2599999999999998</v>
      </c>
      <c r="CI2518">
        <v>1.3</v>
      </c>
      <c r="CJ2518">
        <v>38266</v>
      </c>
      <c r="CK2518">
        <v>6520</v>
      </c>
      <c r="CL2518" t="s">
        <v>5349</v>
      </c>
      <c r="CM2518">
        <v>-143.97</v>
      </c>
      <c r="CN2518">
        <v>-33.630000000000003</v>
      </c>
      <c r="CO2518">
        <v>1.32</v>
      </c>
      <c r="CP2518">
        <v>-13.79</v>
      </c>
      <c r="CQ2518">
        <v>18.510000000000002</v>
      </c>
      <c r="CR2518">
        <v>0</v>
      </c>
      <c r="CS2518" t="s">
        <v>3457</v>
      </c>
      <c r="CT2518">
        <v>4.01</v>
      </c>
      <c r="CU2518">
        <v>0</v>
      </c>
      <c r="CV2518">
        <v>0.4</v>
      </c>
      <c r="CW2518">
        <v>2.42</v>
      </c>
      <c r="CX2518">
        <v>-0.39</v>
      </c>
      <c r="CY2518">
        <v>98.48</v>
      </c>
      <c r="CZ2518" t="s">
        <v>11550</v>
      </c>
      <c r="DA2518">
        <v>25.11</v>
      </c>
      <c r="DB2518">
        <v>-21.55</v>
      </c>
      <c r="DC2518">
        <v>-16.86</v>
      </c>
      <c r="DD2518">
        <v>0.03</v>
      </c>
      <c r="DE2518">
        <v>494</v>
      </c>
      <c r="DF2518">
        <v>600381</v>
      </c>
      <c r="DG2518" t="s">
        <v>116</v>
      </c>
      <c r="DH2518" t="s">
        <v>116</v>
      </c>
      <c r="DI2518" t="s">
        <v>116</v>
      </c>
    </row>
    <row r="2519" spans="1:113" x14ac:dyDescent="0.4">
      <c r="A2519" t="str">
        <f>"600382"</f>
        <v>600382</v>
      </c>
      <c r="B2519" t="s">
        <v>11551</v>
      </c>
      <c r="C2519">
        <v>0.14000000000000001</v>
      </c>
      <c r="D2519">
        <v>6.94</v>
      </c>
      <c r="E2519">
        <v>0.01</v>
      </c>
      <c r="F2519">
        <v>6.93</v>
      </c>
      <c r="G2519">
        <v>6.94</v>
      </c>
      <c r="H2519">
        <v>34678</v>
      </c>
      <c r="I2519">
        <v>40</v>
      </c>
      <c r="J2519">
        <v>0</v>
      </c>
      <c r="K2519">
        <v>0.56999999999999995</v>
      </c>
      <c r="L2519">
        <v>6.94</v>
      </c>
      <c r="M2519">
        <v>6.99</v>
      </c>
      <c r="N2519">
        <v>6.93</v>
      </c>
      <c r="O2519">
        <v>6.93</v>
      </c>
      <c r="P2519">
        <v>9.73</v>
      </c>
      <c r="Q2519">
        <v>24130176</v>
      </c>
      <c r="R2519">
        <v>1.43</v>
      </c>
      <c r="S2519" t="s">
        <v>566</v>
      </c>
      <c r="T2519" t="s">
        <v>551</v>
      </c>
      <c r="U2519">
        <v>0.87</v>
      </c>
      <c r="V2519">
        <v>6.96</v>
      </c>
      <c r="W2519">
        <v>18814</v>
      </c>
      <c r="X2519">
        <v>15864</v>
      </c>
      <c r="Y2519">
        <v>1.19</v>
      </c>
      <c r="Z2519">
        <v>1049</v>
      </c>
      <c r="AA2519">
        <v>4</v>
      </c>
      <c r="AB2519" t="s">
        <v>116</v>
      </c>
      <c r="AC2519">
        <v>14600</v>
      </c>
      <c r="AD2519">
        <v>0</v>
      </c>
      <c r="AE2519" t="s">
        <v>116</v>
      </c>
      <c r="AF2519" t="s">
        <v>116</v>
      </c>
      <c r="AG2519">
        <v>6.07</v>
      </c>
      <c r="AH2519" t="s">
        <v>11552</v>
      </c>
      <c r="AI2519" t="s">
        <v>11552</v>
      </c>
      <c r="AJ2519">
        <v>0.22</v>
      </c>
      <c r="AK2519">
        <v>1066</v>
      </c>
      <c r="AL2519">
        <v>33</v>
      </c>
      <c r="AM2519">
        <v>5.0000000000000001E-4</v>
      </c>
      <c r="AN2519">
        <v>2</v>
      </c>
      <c r="AO2519">
        <v>0.28000000000000003</v>
      </c>
      <c r="AP2519">
        <v>2.97</v>
      </c>
      <c r="AQ2519">
        <v>2.5099999999999998</v>
      </c>
      <c r="AR2519">
        <v>17.78</v>
      </c>
      <c r="AS2519">
        <v>1.05</v>
      </c>
      <c r="AT2519" t="s">
        <v>11553</v>
      </c>
      <c r="AU2519">
        <v>9.99</v>
      </c>
      <c r="AV2519">
        <v>10.85</v>
      </c>
      <c r="AW2519">
        <v>0.62</v>
      </c>
      <c r="BA2519">
        <v>0.14000000000000001</v>
      </c>
      <c r="BB2519">
        <v>0.87</v>
      </c>
      <c r="BC2519">
        <v>0</v>
      </c>
      <c r="BD2519">
        <v>0.41</v>
      </c>
      <c r="BE2519">
        <v>0</v>
      </c>
      <c r="BF2519">
        <v>-0.72</v>
      </c>
      <c r="BG2519">
        <v>0.14000000000000001</v>
      </c>
      <c r="BH2519">
        <v>-0.27</v>
      </c>
      <c r="BI2519">
        <v>20191120</v>
      </c>
      <c r="BJ2519">
        <v>20010118</v>
      </c>
      <c r="BK2519">
        <v>6.07</v>
      </c>
      <c r="BL2519" t="s">
        <v>116</v>
      </c>
      <c r="BM2519" t="s">
        <v>116</v>
      </c>
      <c r="BN2519">
        <v>75.36</v>
      </c>
      <c r="BO2519">
        <v>57.6</v>
      </c>
      <c r="BP2519">
        <v>6.3</v>
      </c>
      <c r="BQ2519">
        <v>15.2</v>
      </c>
      <c r="BR2519">
        <v>58.55</v>
      </c>
      <c r="BS2519">
        <v>0.59</v>
      </c>
      <c r="BT2519">
        <v>0.12</v>
      </c>
      <c r="BU2519">
        <v>7.41</v>
      </c>
      <c r="BV2519">
        <v>0.1</v>
      </c>
      <c r="BW2519">
        <v>0.13</v>
      </c>
      <c r="BX2519">
        <v>18.09</v>
      </c>
      <c r="BY2519">
        <v>9.9700000000000006</v>
      </c>
      <c r="BZ2519">
        <v>2.42</v>
      </c>
      <c r="CA2519">
        <v>7.23</v>
      </c>
      <c r="CB2519">
        <v>0.05</v>
      </c>
      <c r="CC2519">
        <v>7.31</v>
      </c>
      <c r="CD2519">
        <v>5.5</v>
      </c>
      <c r="CE2519">
        <v>3.25</v>
      </c>
      <c r="CF2519">
        <v>3.19</v>
      </c>
      <c r="CG2519">
        <v>31.01</v>
      </c>
      <c r="CH2519">
        <v>4.25</v>
      </c>
      <c r="CI2519">
        <v>2.25</v>
      </c>
      <c r="CJ2519">
        <v>26767</v>
      </c>
      <c r="CK2519">
        <v>12360</v>
      </c>
      <c r="CL2519" t="s">
        <v>3385</v>
      </c>
      <c r="CM2519">
        <v>11.5</v>
      </c>
      <c r="CN2519">
        <v>102.28</v>
      </c>
      <c r="CO2519">
        <v>0.73</v>
      </c>
      <c r="CP2519">
        <v>9.9</v>
      </c>
      <c r="CQ2519">
        <v>4.22</v>
      </c>
      <c r="CR2519">
        <v>0.67</v>
      </c>
      <c r="CS2519" t="s">
        <v>11554</v>
      </c>
      <c r="CT2519">
        <v>9.49</v>
      </c>
      <c r="CU2519">
        <v>0</v>
      </c>
      <c r="CV2519">
        <v>2.98</v>
      </c>
      <c r="CW2519">
        <v>5.1100000000000003</v>
      </c>
      <c r="CX2519">
        <v>0.7</v>
      </c>
      <c r="CY2519">
        <v>76.44</v>
      </c>
      <c r="CZ2519" t="s">
        <v>4373</v>
      </c>
      <c r="DA2519">
        <v>75.7</v>
      </c>
      <c r="DB2519">
        <v>72.53</v>
      </c>
      <c r="DC2519">
        <v>32.58</v>
      </c>
      <c r="DD2519">
        <v>0</v>
      </c>
      <c r="DE2519">
        <v>55</v>
      </c>
      <c r="DF2519">
        <v>600382</v>
      </c>
      <c r="DG2519" t="s">
        <v>116</v>
      </c>
      <c r="DH2519" t="s">
        <v>116</v>
      </c>
      <c r="DI2519" t="s">
        <v>116</v>
      </c>
    </row>
    <row r="2520" spans="1:113" x14ac:dyDescent="0.4">
      <c r="A2520" t="str">
        <f>"600383"</f>
        <v>600383</v>
      </c>
      <c r="B2520" t="s">
        <v>11555</v>
      </c>
      <c r="C2520">
        <v>1.1599999999999999</v>
      </c>
      <c r="D2520">
        <v>13.96</v>
      </c>
      <c r="E2520">
        <v>0.16</v>
      </c>
      <c r="F2520">
        <v>13.96</v>
      </c>
      <c r="G2520">
        <v>13.97</v>
      </c>
      <c r="H2520">
        <v>337188</v>
      </c>
      <c r="I2520">
        <v>3411</v>
      </c>
      <c r="J2520">
        <v>-0.2</v>
      </c>
      <c r="K2520">
        <v>0.75</v>
      </c>
      <c r="L2520">
        <v>13.7</v>
      </c>
      <c r="M2520">
        <v>14.15</v>
      </c>
      <c r="N2520">
        <v>13.7</v>
      </c>
      <c r="O2520">
        <v>13.8</v>
      </c>
      <c r="P2520">
        <v>8.7100000000000009</v>
      </c>
      <c r="Q2520">
        <v>470292096</v>
      </c>
      <c r="R2520">
        <v>1.08</v>
      </c>
      <c r="S2520" t="s">
        <v>124</v>
      </c>
      <c r="T2520" t="s">
        <v>115</v>
      </c>
      <c r="U2520">
        <v>3.26</v>
      </c>
      <c r="V2520">
        <v>13.95</v>
      </c>
      <c r="W2520">
        <v>145842</v>
      </c>
      <c r="X2520">
        <v>191346</v>
      </c>
      <c r="Y2520">
        <v>0.76</v>
      </c>
      <c r="Z2520">
        <v>155</v>
      </c>
      <c r="AA2520">
        <v>91</v>
      </c>
      <c r="AB2520" t="s">
        <v>116</v>
      </c>
      <c r="AC2520">
        <v>4056600</v>
      </c>
      <c r="AD2520">
        <v>0.02</v>
      </c>
      <c r="AE2520" t="s">
        <v>116</v>
      </c>
      <c r="AF2520" t="s">
        <v>116</v>
      </c>
      <c r="AG2520">
        <v>45.15</v>
      </c>
      <c r="AH2520" t="s">
        <v>11556</v>
      </c>
      <c r="AI2520" t="s">
        <v>11556</v>
      </c>
      <c r="AJ2520">
        <v>1.24</v>
      </c>
      <c r="AK2520">
        <v>3944</v>
      </c>
      <c r="AL2520">
        <v>85</v>
      </c>
      <c r="AM2520">
        <v>2.0000000000000001E-4</v>
      </c>
      <c r="AN2520">
        <v>2</v>
      </c>
      <c r="AO2520">
        <v>6.49</v>
      </c>
      <c r="AP2520">
        <v>17.309999999999999</v>
      </c>
      <c r="AQ2520">
        <v>20.55</v>
      </c>
      <c r="AR2520">
        <v>54.77</v>
      </c>
      <c r="AS2520">
        <v>1.78</v>
      </c>
      <c r="AT2520" t="s">
        <v>11557</v>
      </c>
      <c r="AU2520">
        <v>7.61</v>
      </c>
      <c r="AV2520">
        <v>7.78</v>
      </c>
      <c r="AW2520">
        <v>1.48</v>
      </c>
      <c r="BA2520">
        <v>-0.72</v>
      </c>
      <c r="BB2520">
        <v>2.54</v>
      </c>
      <c r="BC2520">
        <v>-0.72</v>
      </c>
      <c r="BD2520">
        <v>1.07</v>
      </c>
      <c r="BE2520">
        <v>1.9</v>
      </c>
      <c r="BF2520">
        <v>-1.34</v>
      </c>
      <c r="BG2520">
        <v>1.9</v>
      </c>
      <c r="BH2520">
        <v>0.09</v>
      </c>
      <c r="BI2520">
        <v>20191030</v>
      </c>
      <c r="BJ2520">
        <v>20010412</v>
      </c>
      <c r="BK2520">
        <v>45.15</v>
      </c>
      <c r="BL2520" t="s">
        <v>116</v>
      </c>
      <c r="BM2520" t="s">
        <v>116</v>
      </c>
      <c r="BN2520">
        <v>3216.92</v>
      </c>
      <c r="BO2520">
        <v>491.08</v>
      </c>
      <c r="BP2520">
        <v>267.48</v>
      </c>
      <c r="BQ2520">
        <v>76.42</v>
      </c>
      <c r="BR2520">
        <v>2641.38</v>
      </c>
      <c r="BS2520">
        <v>10.220000000000001</v>
      </c>
      <c r="BT2520">
        <v>0.34</v>
      </c>
      <c r="BU2520">
        <v>1710.5</v>
      </c>
      <c r="BV2520">
        <v>1296.3800000000001</v>
      </c>
      <c r="BW2520">
        <v>1.69</v>
      </c>
      <c r="BX2520">
        <v>31.02</v>
      </c>
      <c r="BY2520">
        <v>425.32</v>
      </c>
      <c r="BZ2520">
        <v>246.21</v>
      </c>
      <c r="CA2520">
        <v>106.19</v>
      </c>
      <c r="CB2520">
        <v>22.53</v>
      </c>
      <c r="CC2520">
        <v>105.58</v>
      </c>
      <c r="CD2520">
        <v>82.4</v>
      </c>
      <c r="CE2520">
        <v>54.25</v>
      </c>
      <c r="CF2520">
        <v>53.26</v>
      </c>
      <c r="CG2520">
        <v>384</v>
      </c>
      <c r="CH2520">
        <v>-2.71</v>
      </c>
      <c r="CI2520">
        <v>12.63</v>
      </c>
      <c r="CJ2520">
        <v>55253</v>
      </c>
      <c r="CK2520">
        <v>34269</v>
      </c>
      <c r="CL2520" t="s">
        <v>11558</v>
      </c>
      <c r="CM2520">
        <v>3.41</v>
      </c>
      <c r="CN2520">
        <v>28.02</v>
      </c>
      <c r="CO2520">
        <v>1.29</v>
      </c>
      <c r="CP2520">
        <v>-232.64</v>
      </c>
      <c r="CQ2520">
        <v>1.48</v>
      </c>
      <c r="CR2520">
        <v>4.3</v>
      </c>
      <c r="CS2520" t="s">
        <v>11559</v>
      </c>
      <c r="CT2520">
        <v>10.86</v>
      </c>
      <c r="CU2520">
        <v>10.86</v>
      </c>
      <c r="CV2520">
        <v>0.69</v>
      </c>
      <c r="CW2520">
        <v>8.51</v>
      </c>
      <c r="CX2520">
        <v>-0.06</v>
      </c>
      <c r="CY2520">
        <v>15.27</v>
      </c>
      <c r="CZ2520" t="s">
        <v>3008</v>
      </c>
      <c r="DA2520">
        <v>42.11</v>
      </c>
      <c r="DB2520">
        <v>24.97</v>
      </c>
      <c r="DC2520">
        <v>12.75</v>
      </c>
      <c r="DD2520">
        <v>0.41</v>
      </c>
      <c r="DE2520">
        <v>7564</v>
      </c>
      <c r="DF2520">
        <v>600383</v>
      </c>
      <c r="DG2520" t="s">
        <v>116</v>
      </c>
      <c r="DH2520" t="s">
        <v>116</v>
      </c>
      <c r="DI2520" t="s">
        <v>116</v>
      </c>
    </row>
    <row r="2521" spans="1:113" x14ac:dyDescent="0.4">
      <c r="A2521" t="str">
        <f>"600385"</f>
        <v>600385</v>
      </c>
      <c r="B2521" t="s">
        <v>11560</v>
      </c>
      <c r="C2521">
        <v>0.5</v>
      </c>
      <c r="D2521">
        <v>7.97</v>
      </c>
      <c r="E2521">
        <v>0.04</v>
      </c>
      <c r="F2521">
        <v>7.97</v>
      </c>
      <c r="G2521">
        <v>7.98</v>
      </c>
      <c r="H2521">
        <v>7636</v>
      </c>
      <c r="I2521">
        <v>54</v>
      </c>
      <c r="J2521">
        <v>0</v>
      </c>
      <c r="K2521">
        <v>0.53</v>
      </c>
      <c r="L2521">
        <v>7.87</v>
      </c>
      <c r="M2521">
        <v>8.01</v>
      </c>
      <c r="N2521">
        <v>7.87</v>
      </c>
      <c r="O2521">
        <v>7.93</v>
      </c>
      <c r="P2521" t="s">
        <v>116</v>
      </c>
      <c r="Q2521">
        <v>6084952</v>
      </c>
      <c r="R2521">
        <v>1.45</v>
      </c>
      <c r="S2521" t="s">
        <v>871</v>
      </c>
      <c r="T2521" t="s">
        <v>645</v>
      </c>
      <c r="U2521">
        <v>1.77</v>
      </c>
      <c r="V2521">
        <v>7.97</v>
      </c>
      <c r="W2521">
        <v>3638</v>
      </c>
      <c r="X2521">
        <v>3998</v>
      </c>
      <c r="Y2521">
        <v>0.91</v>
      </c>
      <c r="Z2521">
        <v>21</v>
      </c>
      <c r="AA2521">
        <v>41</v>
      </c>
      <c r="AB2521" t="s">
        <v>116</v>
      </c>
      <c r="AC2521">
        <v>800</v>
      </c>
      <c r="AD2521">
        <v>0</v>
      </c>
      <c r="AE2521" t="s">
        <v>116</v>
      </c>
      <c r="AF2521" t="s">
        <v>116</v>
      </c>
      <c r="AG2521">
        <v>1.43</v>
      </c>
      <c r="AH2521" t="s">
        <v>9963</v>
      </c>
      <c r="AI2521" t="s">
        <v>11561</v>
      </c>
      <c r="AJ2521">
        <v>0.57999999999999996</v>
      </c>
      <c r="AK2521">
        <v>151</v>
      </c>
      <c r="AL2521">
        <v>51</v>
      </c>
      <c r="AM2521">
        <v>3.5000000000000001E-3</v>
      </c>
      <c r="AN2521">
        <v>2</v>
      </c>
      <c r="AO2521">
        <v>1.01</v>
      </c>
      <c r="AP2521">
        <v>8.14</v>
      </c>
      <c r="AQ2521">
        <v>6.55</v>
      </c>
      <c r="AR2521">
        <v>-17.149999999999999</v>
      </c>
      <c r="AS2521">
        <v>0.87</v>
      </c>
      <c r="AT2521" t="s">
        <v>11562</v>
      </c>
      <c r="AU2521" t="s">
        <v>116</v>
      </c>
      <c r="AV2521" t="s">
        <v>116</v>
      </c>
      <c r="AW2521">
        <v>0</v>
      </c>
      <c r="BA2521">
        <v>-0.76</v>
      </c>
      <c r="BB2521">
        <v>1.01</v>
      </c>
      <c r="BC2521">
        <v>-0.76</v>
      </c>
      <c r="BD2521">
        <v>0.49</v>
      </c>
      <c r="BE2521">
        <v>1.27</v>
      </c>
      <c r="BF2521">
        <v>-0.5</v>
      </c>
      <c r="BG2521">
        <v>1.27</v>
      </c>
      <c r="BH2521">
        <v>0.02</v>
      </c>
      <c r="BI2521">
        <v>20191030</v>
      </c>
      <c r="BJ2521">
        <v>20010723</v>
      </c>
      <c r="BK2521">
        <v>1.48</v>
      </c>
      <c r="BL2521" t="s">
        <v>116</v>
      </c>
      <c r="BM2521" t="s">
        <v>116</v>
      </c>
      <c r="BN2521">
        <v>1.87</v>
      </c>
      <c r="BO2521">
        <v>0.55000000000000004</v>
      </c>
      <c r="BP2521">
        <v>-0.01</v>
      </c>
      <c r="BQ2521">
        <v>71.33</v>
      </c>
      <c r="BR2521">
        <v>1.73</v>
      </c>
      <c r="BS2521">
        <v>0</v>
      </c>
      <c r="BT2521">
        <v>0.1</v>
      </c>
      <c r="BU2521">
        <v>1.34</v>
      </c>
      <c r="BV2521">
        <v>0</v>
      </c>
      <c r="BW2521">
        <v>0</v>
      </c>
      <c r="BX2521">
        <v>2.99</v>
      </c>
      <c r="BY2521">
        <v>0.03</v>
      </c>
      <c r="BZ2521">
        <v>0</v>
      </c>
      <c r="CA2521">
        <v>-0.05</v>
      </c>
      <c r="CB2521">
        <v>0</v>
      </c>
      <c r="CC2521">
        <v>-0.09</v>
      </c>
      <c r="CD2521">
        <v>-0.09</v>
      </c>
      <c r="CE2521">
        <v>-0.09</v>
      </c>
      <c r="CF2521">
        <v>-0.05</v>
      </c>
      <c r="CG2521">
        <v>-4.2699999999999996</v>
      </c>
      <c r="CH2521">
        <v>-0.02</v>
      </c>
      <c r="CI2521">
        <v>-0.02</v>
      </c>
      <c r="CJ2521">
        <v>9899</v>
      </c>
      <c r="CK2521">
        <v>8892</v>
      </c>
      <c r="CL2521" t="s">
        <v>9903</v>
      </c>
      <c r="CM2521">
        <v>-15.8</v>
      </c>
      <c r="CN2521">
        <v>-20.41</v>
      </c>
      <c r="CO2521">
        <v>21.43</v>
      </c>
      <c r="CP2521">
        <v>-486.65</v>
      </c>
      <c r="CQ2521">
        <v>354.9</v>
      </c>
      <c r="CR2521">
        <v>0</v>
      </c>
      <c r="CS2521" t="s">
        <v>7933</v>
      </c>
      <c r="CT2521">
        <v>0.37</v>
      </c>
      <c r="CU2521">
        <v>0</v>
      </c>
      <c r="CV2521">
        <v>2.02</v>
      </c>
      <c r="CW2521">
        <v>-2.88</v>
      </c>
      <c r="CX2521">
        <v>-0.02</v>
      </c>
      <c r="CY2521">
        <v>29.43</v>
      </c>
      <c r="CZ2521" t="s">
        <v>11563</v>
      </c>
      <c r="DA2521">
        <v>88.28</v>
      </c>
      <c r="DB2521">
        <v>-160.37</v>
      </c>
      <c r="DC2521">
        <v>-257.82</v>
      </c>
      <c r="DD2521">
        <v>0</v>
      </c>
      <c r="DE2521">
        <v>81</v>
      </c>
      <c r="DF2521">
        <v>600385</v>
      </c>
      <c r="DG2521" t="s">
        <v>116</v>
      </c>
      <c r="DH2521" t="s">
        <v>116</v>
      </c>
      <c r="DI2521" t="s">
        <v>116</v>
      </c>
    </row>
    <row r="2522" spans="1:113" x14ac:dyDescent="0.4">
      <c r="A2522" t="str">
        <f>"600386"</f>
        <v>600386</v>
      </c>
      <c r="B2522" t="s">
        <v>11564</v>
      </c>
      <c r="C2522">
        <v>-1.06</v>
      </c>
      <c r="D2522">
        <v>3.72</v>
      </c>
      <c r="E2522">
        <v>-0.04</v>
      </c>
      <c r="F2522">
        <v>3.71</v>
      </c>
      <c r="G2522">
        <v>3.72</v>
      </c>
      <c r="H2522">
        <v>60397</v>
      </c>
      <c r="I2522">
        <v>274</v>
      </c>
      <c r="J2522">
        <v>0</v>
      </c>
      <c r="K2522">
        <v>0.75</v>
      </c>
      <c r="L2522">
        <v>3.81</v>
      </c>
      <c r="M2522">
        <v>3.82</v>
      </c>
      <c r="N2522">
        <v>3.69</v>
      </c>
      <c r="O2522">
        <v>3.76</v>
      </c>
      <c r="P2522">
        <v>32.71</v>
      </c>
      <c r="Q2522">
        <v>22619408</v>
      </c>
      <c r="R2522">
        <v>2</v>
      </c>
      <c r="S2522" t="s">
        <v>256</v>
      </c>
      <c r="T2522" t="s">
        <v>165</v>
      </c>
      <c r="U2522">
        <v>3.46</v>
      </c>
      <c r="V2522">
        <v>3.75</v>
      </c>
      <c r="W2522">
        <v>43323</v>
      </c>
      <c r="X2522">
        <v>17074</v>
      </c>
      <c r="Y2522">
        <v>2.54</v>
      </c>
      <c r="Z2522">
        <v>287</v>
      </c>
      <c r="AA2522">
        <v>117</v>
      </c>
      <c r="AB2522" t="s">
        <v>116</v>
      </c>
      <c r="AC2522">
        <v>64800</v>
      </c>
      <c r="AD2522">
        <v>0</v>
      </c>
      <c r="AE2522" t="s">
        <v>116</v>
      </c>
      <c r="AF2522" t="s">
        <v>116</v>
      </c>
      <c r="AG2522">
        <v>8.06</v>
      </c>
      <c r="AH2522" t="s">
        <v>11565</v>
      </c>
      <c r="AI2522" t="s">
        <v>11565</v>
      </c>
      <c r="AJ2522">
        <v>-0.99</v>
      </c>
      <c r="AK2522">
        <v>974</v>
      </c>
      <c r="AL2522">
        <v>62</v>
      </c>
      <c r="AM2522">
        <v>8.0000000000000004E-4</v>
      </c>
      <c r="AN2522">
        <v>-1</v>
      </c>
      <c r="AO2522">
        <v>0.28000000000000003</v>
      </c>
      <c r="AP2522">
        <v>8.14</v>
      </c>
      <c r="AQ2522">
        <v>-5.58</v>
      </c>
      <c r="AR2522">
        <v>15.89</v>
      </c>
      <c r="AS2522">
        <v>1.66</v>
      </c>
      <c r="AT2522" t="s">
        <v>11566</v>
      </c>
      <c r="AU2522">
        <v>27.97</v>
      </c>
      <c r="AV2522">
        <v>29.18</v>
      </c>
      <c r="AW2522">
        <v>1.35</v>
      </c>
      <c r="BA2522">
        <v>1.33</v>
      </c>
      <c r="BB2522">
        <v>1.6</v>
      </c>
      <c r="BC2522">
        <v>-1.86</v>
      </c>
      <c r="BD2522">
        <v>-0.4</v>
      </c>
      <c r="BE2522">
        <v>-2.36</v>
      </c>
      <c r="BF2522">
        <v>-2.62</v>
      </c>
      <c r="BG2522">
        <v>0.81</v>
      </c>
      <c r="BH2522">
        <v>-0.67</v>
      </c>
      <c r="BI2522">
        <v>20191029</v>
      </c>
      <c r="BJ2522">
        <v>20010216</v>
      </c>
      <c r="BK2522">
        <v>8.06</v>
      </c>
      <c r="BL2522" t="s">
        <v>116</v>
      </c>
      <c r="BM2522" t="s">
        <v>116</v>
      </c>
      <c r="BN2522">
        <v>48.27</v>
      </c>
      <c r="BO2522">
        <v>17.54</v>
      </c>
      <c r="BP2522">
        <v>1.21</v>
      </c>
      <c r="BQ2522">
        <v>61.17</v>
      </c>
      <c r="BR2522">
        <v>21.58</v>
      </c>
      <c r="BS2522">
        <v>14.32</v>
      </c>
      <c r="BT2522">
        <v>5.24</v>
      </c>
      <c r="BU2522">
        <v>15.85</v>
      </c>
      <c r="BV2522">
        <v>4.3099999999999996</v>
      </c>
      <c r="BW2522">
        <v>2.82</v>
      </c>
      <c r="BX2522">
        <v>2.2400000000000002</v>
      </c>
      <c r="BY2522">
        <v>37.79</v>
      </c>
      <c r="BZ2522">
        <v>31.77</v>
      </c>
      <c r="CA2522">
        <v>1.33</v>
      </c>
      <c r="CB2522">
        <v>0.01</v>
      </c>
      <c r="CC2522">
        <v>1.31</v>
      </c>
      <c r="CD2522">
        <v>0.77</v>
      </c>
      <c r="CE2522">
        <v>0.69</v>
      </c>
      <c r="CF2522">
        <v>0.67</v>
      </c>
      <c r="CG2522">
        <v>5.09</v>
      </c>
      <c r="CH2522">
        <v>2.75</v>
      </c>
      <c r="CI2522">
        <v>-1.53</v>
      </c>
      <c r="CJ2522">
        <v>28773</v>
      </c>
      <c r="CK2522">
        <v>12612</v>
      </c>
      <c r="CL2522" t="s">
        <v>11567</v>
      </c>
      <c r="CM2522">
        <v>6.94</v>
      </c>
      <c r="CN2522">
        <v>12.82</v>
      </c>
      <c r="CO2522">
        <v>1.71</v>
      </c>
      <c r="CP2522">
        <v>10.9</v>
      </c>
      <c r="CQ2522">
        <v>0.79</v>
      </c>
      <c r="CR2522">
        <v>2.96</v>
      </c>
      <c r="CS2522" t="s">
        <v>7256</v>
      </c>
      <c r="CT2522">
        <v>2.17</v>
      </c>
      <c r="CU2522">
        <v>0</v>
      </c>
      <c r="CV2522">
        <v>0.28000000000000003</v>
      </c>
      <c r="CW2522">
        <v>0.63</v>
      </c>
      <c r="CX2522">
        <v>0.34</v>
      </c>
      <c r="CY2522">
        <v>36.33</v>
      </c>
      <c r="CZ2522" t="s">
        <v>9521</v>
      </c>
      <c r="DA2522">
        <v>15.93</v>
      </c>
      <c r="DB2522">
        <v>3.51</v>
      </c>
      <c r="DC2522">
        <v>1.82</v>
      </c>
      <c r="DD2522">
        <v>0</v>
      </c>
      <c r="DE2522">
        <v>2348</v>
      </c>
      <c r="DF2522">
        <v>600386</v>
      </c>
      <c r="DG2522" t="s">
        <v>116</v>
      </c>
      <c r="DH2522" t="s">
        <v>116</v>
      </c>
      <c r="DI2522" t="s">
        <v>116</v>
      </c>
    </row>
    <row r="2523" spans="1:113" x14ac:dyDescent="0.4">
      <c r="A2523" t="str">
        <f>"600387"</f>
        <v>600387</v>
      </c>
      <c r="B2523" t="s">
        <v>11568</v>
      </c>
      <c r="C2523">
        <v>-1.79</v>
      </c>
      <c r="D2523">
        <v>8.25</v>
      </c>
      <c r="E2523">
        <v>-0.15</v>
      </c>
      <c r="F2523">
        <v>8.25</v>
      </c>
      <c r="G2523">
        <v>8.26</v>
      </c>
      <c r="H2523">
        <v>58511</v>
      </c>
      <c r="I2523">
        <v>576</v>
      </c>
      <c r="J2523">
        <v>-0.11</v>
      </c>
      <c r="K2523">
        <v>1.51</v>
      </c>
      <c r="L2523">
        <v>8.42</v>
      </c>
      <c r="M2523">
        <v>8.4499999999999993</v>
      </c>
      <c r="N2523">
        <v>8.23</v>
      </c>
      <c r="O2523">
        <v>8.4</v>
      </c>
      <c r="P2523">
        <v>6.31</v>
      </c>
      <c r="Q2523">
        <v>48895368</v>
      </c>
      <c r="R2523">
        <v>0.87</v>
      </c>
      <c r="S2523" t="s">
        <v>536</v>
      </c>
      <c r="T2523" t="s">
        <v>590</v>
      </c>
      <c r="U2523">
        <v>2.62</v>
      </c>
      <c r="V2523">
        <v>8.36</v>
      </c>
      <c r="W2523">
        <v>35231</v>
      </c>
      <c r="X2523">
        <v>23280</v>
      </c>
      <c r="Y2523">
        <v>1.51</v>
      </c>
      <c r="Z2523">
        <v>69</v>
      </c>
      <c r="AA2523">
        <v>176</v>
      </c>
      <c r="AB2523" t="s">
        <v>116</v>
      </c>
      <c r="AC2523">
        <v>100200</v>
      </c>
      <c r="AD2523">
        <v>0</v>
      </c>
      <c r="AE2523" t="s">
        <v>116</v>
      </c>
      <c r="AF2523" t="s">
        <v>116</v>
      </c>
      <c r="AG2523">
        <v>3.88</v>
      </c>
      <c r="AH2523" t="s">
        <v>1641</v>
      </c>
      <c r="AI2523" t="s">
        <v>11569</v>
      </c>
      <c r="AJ2523">
        <v>-1.71</v>
      </c>
      <c r="AK2523">
        <v>1326</v>
      </c>
      <c r="AL2523">
        <v>44</v>
      </c>
      <c r="AM2523">
        <v>1.1000000000000001E-3</v>
      </c>
      <c r="AN2523">
        <v>-1</v>
      </c>
      <c r="AO2523">
        <v>-2.14</v>
      </c>
      <c r="AP2523">
        <v>5.77</v>
      </c>
      <c r="AQ2523">
        <v>7.84</v>
      </c>
      <c r="AR2523">
        <v>5.77</v>
      </c>
      <c r="AS2523">
        <v>1.97</v>
      </c>
      <c r="AT2523" t="s">
        <v>9537</v>
      </c>
      <c r="AU2523">
        <v>8.43</v>
      </c>
      <c r="AV2523">
        <v>12.67</v>
      </c>
      <c r="AW2523">
        <v>1.5</v>
      </c>
      <c r="BA2523">
        <v>0.24</v>
      </c>
      <c r="BB2523">
        <v>0.6</v>
      </c>
      <c r="BC2523">
        <v>-2.02</v>
      </c>
      <c r="BD2523">
        <v>-0.52</v>
      </c>
      <c r="BE2523">
        <v>-2.02</v>
      </c>
      <c r="BF2523">
        <v>-2.37</v>
      </c>
      <c r="BG2523">
        <v>0.24</v>
      </c>
      <c r="BH2523">
        <v>-1.27</v>
      </c>
      <c r="BI2523">
        <v>20191209</v>
      </c>
      <c r="BJ2523">
        <v>20040218</v>
      </c>
      <c r="BK2523">
        <v>4.72</v>
      </c>
      <c r="BL2523" t="s">
        <v>116</v>
      </c>
      <c r="BM2523" t="s">
        <v>116</v>
      </c>
      <c r="BN2523">
        <v>45</v>
      </c>
      <c r="BO2523">
        <v>30.33</v>
      </c>
      <c r="BP2523">
        <v>1.64</v>
      </c>
      <c r="BQ2523">
        <v>28.96</v>
      </c>
      <c r="BR2523">
        <v>28.36</v>
      </c>
      <c r="BS2523">
        <v>5.71</v>
      </c>
      <c r="BT2523">
        <v>3.29</v>
      </c>
      <c r="BU2523">
        <v>10.7</v>
      </c>
      <c r="BV2523">
        <v>0.53</v>
      </c>
      <c r="BW2523">
        <v>1.61</v>
      </c>
      <c r="BX2523">
        <v>11.42</v>
      </c>
      <c r="BY2523">
        <v>88.09</v>
      </c>
      <c r="BZ2523">
        <v>84.17</v>
      </c>
      <c r="CA2523">
        <v>4.21</v>
      </c>
      <c r="CB2523">
        <v>4.43</v>
      </c>
      <c r="CC2523">
        <v>4.59</v>
      </c>
      <c r="CD2523">
        <v>4.21</v>
      </c>
      <c r="CE2523">
        <v>4.63</v>
      </c>
      <c r="CF2523">
        <v>0.24</v>
      </c>
      <c r="CG2523">
        <v>11.32</v>
      </c>
      <c r="CH2523">
        <v>1.76</v>
      </c>
      <c r="CI2523">
        <v>3.52</v>
      </c>
      <c r="CJ2523">
        <v>26112</v>
      </c>
      <c r="CK2523">
        <v>11397</v>
      </c>
      <c r="CL2523" t="s">
        <v>540</v>
      </c>
      <c r="CM2523">
        <v>50.05</v>
      </c>
      <c r="CN2523">
        <v>-46.94</v>
      </c>
      <c r="CO2523">
        <v>1.28</v>
      </c>
      <c r="CP2523">
        <v>22.16</v>
      </c>
      <c r="CQ2523">
        <v>0.44</v>
      </c>
      <c r="CR2523">
        <v>0.73</v>
      </c>
      <c r="CS2523" t="s">
        <v>11570</v>
      </c>
      <c r="CT2523">
        <v>6.43</v>
      </c>
      <c r="CU2523">
        <v>0</v>
      </c>
      <c r="CV2523">
        <v>2.42</v>
      </c>
      <c r="CW2523">
        <v>2.4</v>
      </c>
      <c r="CX2523">
        <v>0.37</v>
      </c>
      <c r="CY2523">
        <v>67.400000000000006</v>
      </c>
      <c r="CZ2523" t="s">
        <v>11571</v>
      </c>
      <c r="DA2523">
        <v>4.46</v>
      </c>
      <c r="DB2523">
        <v>4.78</v>
      </c>
      <c r="DC2523">
        <v>5.25</v>
      </c>
      <c r="DD2523">
        <v>0.95</v>
      </c>
      <c r="DE2523">
        <v>1084</v>
      </c>
      <c r="DF2523">
        <v>600387</v>
      </c>
      <c r="DG2523" t="s">
        <v>116</v>
      </c>
      <c r="DH2523" t="s">
        <v>116</v>
      </c>
      <c r="DI2523" t="s">
        <v>116</v>
      </c>
    </row>
    <row r="2524" spans="1:113" x14ac:dyDescent="0.4">
      <c r="A2524" t="str">
        <f>"600388"</f>
        <v>600388</v>
      </c>
      <c r="B2524" t="s">
        <v>11572</v>
      </c>
      <c r="C2524">
        <v>0.74</v>
      </c>
      <c r="D2524">
        <v>9.59</v>
      </c>
      <c r="E2524">
        <v>7.0000000000000007E-2</v>
      </c>
      <c r="F2524">
        <v>9.59</v>
      </c>
      <c r="G2524">
        <v>9.6</v>
      </c>
      <c r="H2524">
        <v>52009</v>
      </c>
      <c r="I2524">
        <v>505</v>
      </c>
      <c r="J2524">
        <v>-0.2</v>
      </c>
      <c r="K2524">
        <v>0.49</v>
      </c>
      <c r="L2524">
        <v>9.5299999999999994</v>
      </c>
      <c r="M2524">
        <v>9.66</v>
      </c>
      <c r="N2524">
        <v>9.5</v>
      </c>
      <c r="O2524">
        <v>9.52</v>
      </c>
      <c r="P2524">
        <v>13.79</v>
      </c>
      <c r="Q2524">
        <v>49845232</v>
      </c>
      <c r="R2524">
        <v>1.22</v>
      </c>
      <c r="S2524" t="s">
        <v>140</v>
      </c>
      <c r="T2524" t="s">
        <v>975</v>
      </c>
      <c r="U2524">
        <v>1.68</v>
      </c>
      <c r="V2524">
        <v>9.58</v>
      </c>
      <c r="W2524">
        <v>25458</v>
      </c>
      <c r="X2524">
        <v>26551</v>
      </c>
      <c r="Y2524">
        <v>0.96</v>
      </c>
      <c r="Z2524">
        <v>92</v>
      </c>
      <c r="AA2524">
        <v>2075</v>
      </c>
      <c r="AB2524" t="s">
        <v>116</v>
      </c>
      <c r="AC2524">
        <v>67700</v>
      </c>
      <c r="AD2524">
        <v>0</v>
      </c>
      <c r="AE2524" t="s">
        <v>116</v>
      </c>
      <c r="AF2524" t="s">
        <v>116</v>
      </c>
      <c r="AG2524">
        <v>10.69</v>
      </c>
      <c r="AH2524" t="s">
        <v>11573</v>
      </c>
      <c r="AI2524" t="s">
        <v>11573</v>
      </c>
      <c r="AJ2524">
        <v>0.81</v>
      </c>
      <c r="AK2524">
        <v>2088</v>
      </c>
      <c r="AL2524">
        <v>25</v>
      </c>
      <c r="AM2524">
        <v>2.0000000000000001E-4</v>
      </c>
      <c r="AN2524">
        <v>1</v>
      </c>
      <c r="AO2524">
        <v>-0.1</v>
      </c>
      <c r="AP2524">
        <v>-1.74</v>
      </c>
      <c r="AQ2524">
        <v>-3.23</v>
      </c>
      <c r="AR2524">
        <v>-3.91</v>
      </c>
      <c r="AS2524">
        <v>0.73</v>
      </c>
      <c r="AT2524" t="s">
        <v>11574</v>
      </c>
      <c r="AU2524">
        <v>12.37</v>
      </c>
      <c r="AV2524">
        <v>12.8</v>
      </c>
      <c r="AW2524">
        <v>0.82</v>
      </c>
      <c r="BA2524">
        <v>0.11</v>
      </c>
      <c r="BB2524">
        <v>1.47</v>
      </c>
      <c r="BC2524">
        <v>-0.21</v>
      </c>
      <c r="BD2524">
        <v>0.67</v>
      </c>
      <c r="BE2524">
        <v>0.63</v>
      </c>
      <c r="BF2524">
        <v>-0.72</v>
      </c>
      <c r="BG2524">
        <v>0.95</v>
      </c>
      <c r="BH2524">
        <v>0.06</v>
      </c>
      <c r="BI2524">
        <v>20191106</v>
      </c>
      <c r="BJ2524">
        <v>20001229</v>
      </c>
      <c r="BK2524">
        <v>10.69</v>
      </c>
      <c r="BL2524" t="s">
        <v>116</v>
      </c>
      <c r="BM2524" t="s">
        <v>116</v>
      </c>
      <c r="BN2524">
        <v>207.36</v>
      </c>
      <c r="BO2524">
        <v>54.92</v>
      </c>
      <c r="BP2524">
        <v>0.75</v>
      </c>
      <c r="BQ2524">
        <v>73.150000000000006</v>
      </c>
      <c r="BR2524">
        <v>165.95</v>
      </c>
      <c r="BS2524">
        <v>9.33</v>
      </c>
      <c r="BT2524">
        <v>9.6999999999999993</v>
      </c>
      <c r="BU2524">
        <v>136.53</v>
      </c>
      <c r="BV2524">
        <v>72.72</v>
      </c>
      <c r="BW2524">
        <v>37.4</v>
      </c>
      <c r="BX2524">
        <v>4.83</v>
      </c>
      <c r="BY2524">
        <v>78.650000000000006</v>
      </c>
      <c r="BZ2524">
        <v>62.11</v>
      </c>
      <c r="CA2524">
        <v>6.65</v>
      </c>
      <c r="CB2524">
        <v>-0.01</v>
      </c>
      <c r="CC2524">
        <v>6.63</v>
      </c>
      <c r="CD2524">
        <v>5.65</v>
      </c>
      <c r="CE2524">
        <v>5.58</v>
      </c>
      <c r="CF2524">
        <v>5.14</v>
      </c>
      <c r="CG2524">
        <v>34.869999999999997</v>
      </c>
      <c r="CH2524">
        <v>-6.23</v>
      </c>
      <c r="CI2524">
        <v>-1.32</v>
      </c>
      <c r="CJ2524">
        <v>92913</v>
      </c>
      <c r="CK2524">
        <v>7694</v>
      </c>
      <c r="CL2524" t="s">
        <v>4951</v>
      </c>
      <c r="CM2524">
        <v>5.24</v>
      </c>
      <c r="CN2524">
        <v>39.01</v>
      </c>
      <c r="CO2524">
        <v>1.87</v>
      </c>
      <c r="CP2524">
        <v>-16.46</v>
      </c>
      <c r="CQ2524">
        <v>1.3</v>
      </c>
      <c r="CR2524">
        <v>1.77</v>
      </c>
      <c r="CS2524" t="s">
        <v>11575</v>
      </c>
      <c r="CT2524">
        <v>5.14</v>
      </c>
      <c r="CU2524">
        <v>0</v>
      </c>
      <c r="CV2524">
        <v>0.45</v>
      </c>
      <c r="CW2524">
        <v>3.26</v>
      </c>
      <c r="CX2524">
        <v>-0.57999999999999996</v>
      </c>
      <c r="CY2524">
        <v>26.49</v>
      </c>
      <c r="CZ2524" t="s">
        <v>6520</v>
      </c>
      <c r="DA2524">
        <v>21.02</v>
      </c>
      <c r="DB2524">
        <v>8.4499999999999993</v>
      </c>
      <c r="DC2524">
        <v>7.09</v>
      </c>
      <c r="DD2524">
        <v>3.21</v>
      </c>
      <c r="DE2524">
        <v>6932</v>
      </c>
      <c r="DF2524">
        <v>600388</v>
      </c>
      <c r="DG2524" t="s">
        <v>116</v>
      </c>
      <c r="DH2524" t="s">
        <v>116</v>
      </c>
      <c r="DI2524" t="s">
        <v>116</v>
      </c>
    </row>
    <row r="2525" spans="1:113" x14ac:dyDescent="0.4">
      <c r="A2525" t="str">
        <f>"600389"</f>
        <v>600389</v>
      </c>
      <c r="B2525" t="s">
        <v>11576</v>
      </c>
      <c r="C2525">
        <v>0.52</v>
      </c>
      <c r="D2525">
        <v>19.36</v>
      </c>
      <c r="E2525">
        <v>0.1</v>
      </c>
      <c r="F2525">
        <v>19.36</v>
      </c>
      <c r="G2525">
        <v>19.37</v>
      </c>
      <c r="H2525">
        <v>20682</v>
      </c>
      <c r="I2525">
        <v>182</v>
      </c>
      <c r="J2525">
        <v>-0.09</v>
      </c>
      <c r="K2525">
        <v>0.7</v>
      </c>
      <c r="L2525">
        <v>19.28</v>
      </c>
      <c r="M2525">
        <v>19.649999999999999</v>
      </c>
      <c r="N2525">
        <v>19.2</v>
      </c>
      <c r="O2525">
        <v>19.260000000000002</v>
      </c>
      <c r="P2525">
        <v>17.04</v>
      </c>
      <c r="Q2525">
        <v>40299868</v>
      </c>
      <c r="R2525">
        <v>2.39</v>
      </c>
      <c r="S2525" t="s">
        <v>697</v>
      </c>
      <c r="T2525" t="s">
        <v>323</v>
      </c>
      <c r="U2525">
        <v>2.34</v>
      </c>
      <c r="V2525">
        <v>19.489999999999998</v>
      </c>
      <c r="W2525">
        <v>14045</v>
      </c>
      <c r="X2525">
        <v>6638</v>
      </c>
      <c r="Y2525">
        <v>2.12</v>
      </c>
      <c r="Z2525">
        <v>0</v>
      </c>
      <c r="AA2525">
        <v>30</v>
      </c>
      <c r="AB2525" t="s">
        <v>116</v>
      </c>
      <c r="AC2525">
        <v>0</v>
      </c>
      <c r="AD2525">
        <v>0</v>
      </c>
      <c r="AE2525" t="s">
        <v>116</v>
      </c>
      <c r="AF2525" t="s">
        <v>116</v>
      </c>
      <c r="AG2525">
        <v>2.97</v>
      </c>
      <c r="AH2525" t="s">
        <v>11577</v>
      </c>
      <c r="AI2525" t="s">
        <v>11577</v>
      </c>
      <c r="AJ2525">
        <v>0.6</v>
      </c>
      <c r="AK2525">
        <v>931</v>
      </c>
      <c r="AL2525">
        <v>22</v>
      </c>
      <c r="AM2525">
        <v>6.9999999999999999E-4</v>
      </c>
      <c r="AN2525">
        <v>4</v>
      </c>
      <c r="AO2525">
        <v>1.53</v>
      </c>
      <c r="AP2525">
        <v>2.54</v>
      </c>
      <c r="AQ2525">
        <v>-7.81</v>
      </c>
      <c r="AR2525">
        <v>17.760000000000002</v>
      </c>
      <c r="AS2525">
        <v>1.7</v>
      </c>
      <c r="AT2525" t="s">
        <v>3106</v>
      </c>
      <c r="AU2525">
        <v>14.91</v>
      </c>
      <c r="AV2525">
        <v>14.66</v>
      </c>
      <c r="AW2525">
        <v>1.26</v>
      </c>
      <c r="BA2525">
        <v>0.1</v>
      </c>
      <c r="BB2525">
        <v>2.02</v>
      </c>
      <c r="BC2525">
        <v>-0.31</v>
      </c>
      <c r="BD2525">
        <v>1.17</v>
      </c>
      <c r="BE2525">
        <v>0.41</v>
      </c>
      <c r="BF2525">
        <v>-1.48</v>
      </c>
      <c r="BG2525">
        <v>0.83</v>
      </c>
      <c r="BH2525">
        <v>-0.65</v>
      </c>
      <c r="BI2525">
        <v>20191029</v>
      </c>
      <c r="BJ2525">
        <v>20010110</v>
      </c>
      <c r="BK2525">
        <v>2.97</v>
      </c>
      <c r="BL2525" t="s">
        <v>116</v>
      </c>
      <c r="BM2525" t="s">
        <v>116</v>
      </c>
      <c r="BN2525">
        <v>44.48</v>
      </c>
      <c r="BO2525">
        <v>19.71</v>
      </c>
      <c r="BP2525">
        <v>0.62</v>
      </c>
      <c r="BQ2525">
        <v>54.3</v>
      </c>
      <c r="BR2525">
        <v>25.69</v>
      </c>
      <c r="BS2525">
        <v>11.68</v>
      </c>
      <c r="BT2525">
        <v>2.31</v>
      </c>
      <c r="BU2525">
        <v>22.72</v>
      </c>
      <c r="BV2525">
        <v>8.6300000000000008</v>
      </c>
      <c r="BW2525">
        <v>5.88</v>
      </c>
      <c r="BX2525">
        <v>1.28</v>
      </c>
      <c r="BY2525">
        <v>36.74</v>
      </c>
      <c r="BZ2525">
        <v>30.14</v>
      </c>
      <c r="CA2525">
        <v>3.22</v>
      </c>
      <c r="CB2525">
        <v>0.38</v>
      </c>
      <c r="CC2525">
        <v>3.19</v>
      </c>
      <c r="CD2525">
        <v>2.5299999999999998</v>
      </c>
      <c r="CE2525">
        <v>2.5299999999999998</v>
      </c>
      <c r="CF2525">
        <v>2.54</v>
      </c>
      <c r="CG2525">
        <v>13.37</v>
      </c>
      <c r="CH2525">
        <v>1.79</v>
      </c>
      <c r="CI2525">
        <v>2.5299999999999998</v>
      </c>
      <c r="CJ2525">
        <v>12290</v>
      </c>
      <c r="CK2525">
        <v>9914</v>
      </c>
      <c r="CL2525" t="s">
        <v>11578</v>
      </c>
      <c r="CM2525">
        <v>-2.48</v>
      </c>
      <c r="CN2525">
        <v>29.23</v>
      </c>
      <c r="CO2525">
        <v>2.92</v>
      </c>
      <c r="CP2525">
        <v>32.19</v>
      </c>
      <c r="CQ2525">
        <v>1.56</v>
      </c>
      <c r="CR2525">
        <v>2.0699999999999998</v>
      </c>
      <c r="CS2525" t="s">
        <v>1978</v>
      </c>
      <c r="CT2525">
        <v>6.64</v>
      </c>
      <c r="CU2525">
        <v>0</v>
      </c>
      <c r="CV2525">
        <v>0.43</v>
      </c>
      <c r="CW2525">
        <v>4.5</v>
      </c>
      <c r="CX2525">
        <v>0.6</v>
      </c>
      <c r="CY2525">
        <v>44.31</v>
      </c>
      <c r="CZ2525" t="s">
        <v>336</v>
      </c>
      <c r="DA2525">
        <v>17.96</v>
      </c>
      <c r="DB2525">
        <v>8.76</v>
      </c>
      <c r="DC2525">
        <v>6.89</v>
      </c>
      <c r="DD2525">
        <v>1.25</v>
      </c>
      <c r="DE2525">
        <v>1566</v>
      </c>
      <c r="DF2525">
        <v>600389</v>
      </c>
      <c r="DG2525" t="s">
        <v>116</v>
      </c>
      <c r="DH2525" t="s">
        <v>116</v>
      </c>
      <c r="DI2525" t="s">
        <v>116</v>
      </c>
    </row>
    <row r="2526" spans="1:113" x14ac:dyDescent="0.4">
      <c r="A2526" t="str">
        <f>"600390"</f>
        <v>600390</v>
      </c>
      <c r="B2526" t="s">
        <v>11579</v>
      </c>
      <c r="C2526">
        <v>0.76</v>
      </c>
      <c r="D2526">
        <v>7.96</v>
      </c>
      <c r="E2526">
        <v>0.06</v>
      </c>
      <c r="F2526">
        <v>7.96</v>
      </c>
      <c r="G2526">
        <v>7.97</v>
      </c>
      <c r="H2526">
        <v>200655</v>
      </c>
      <c r="I2526">
        <v>3391</v>
      </c>
      <c r="J2526">
        <v>0.38</v>
      </c>
      <c r="K2526">
        <v>3.26</v>
      </c>
      <c r="L2526">
        <v>7.91</v>
      </c>
      <c r="M2526">
        <v>8.1199999999999992</v>
      </c>
      <c r="N2526">
        <v>7.9</v>
      </c>
      <c r="O2526">
        <v>7.9</v>
      </c>
      <c r="P2526">
        <v>10.11</v>
      </c>
      <c r="Q2526">
        <v>160842192</v>
      </c>
      <c r="R2526">
        <v>1.75</v>
      </c>
      <c r="S2526" t="s">
        <v>732</v>
      </c>
      <c r="T2526" t="s">
        <v>599</v>
      </c>
      <c r="U2526">
        <v>2.78</v>
      </c>
      <c r="V2526">
        <v>8.02</v>
      </c>
      <c r="W2526">
        <v>97415</v>
      </c>
      <c r="X2526">
        <v>103240</v>
      </c>
      <c r="Y2526">
        <v>0.94</v>
      </c>
      <c r="Z2526">
        <v>2526</v>
      </c>
      <c r="AA2526">
        <v>148</v>
      </c>
      <c r="AB2526" t="s">
        <v>116</v>
      </c>
      <c r="AC2526">
        <v>470600</v>
      </c>
      <c r="AD2526">
        <v>0.01</v>
      </c>
      <c r="AE2526" t="s">
        <v>116</v>
      </c>
      <c r="AF2526" t="s">
        <v>116</v>
      </c>
      <c r="AG2526">
        <v>6.16</v>
      </c>
      <c r="AH2526" t="s">
        <v>5760</v>
      </c>
      <c r="AI2526" t="s">
        <v>11580</v>
      </c>
      <c r="AJ2526">
        <v>0.84</v>
      </c>
      <c r="AK2526">
        <v>2926</v>
      </c>
      <c r="AL2526">
        <v>69</v>
      </c>
      <c r="AM2526">
        <v>1.1000000000000001E-3</v>
      </c>
      <c r="AN2526">
        <v>4</v>
      </c>
      <c r="AO2526">
        <v>2.58</v>
      </c>
      <c r="AP2526">
        <v>8.15</v>
      </c>
      <c r="AQ2526">
        <v>6.13</v>
      </c>
      <c r="AR2526">
        <v>40.909999999999997</v>
      </c>
      <c r="AS2526">
        <v>4.3899999999999997</v>
      </c>
      <c r="AT2526" t="s">
        <v>11581</v>
      </c>
      <c r="AU2526">
        <v>11.16</v>
      </c>
      <c r="AV2526">
        <v>15.92</v>
      </c>
      <c r="AW2526">
        <v>2.34</v>
      </c>
      <c r="BA2526">
        <v>0.13</v>
      </c>
      <c r="BB2526">
        <v>2.78</v>
      </c>
      <c r="BC2526">
        <v>0</v>
      </c>
      <c r="BD2526">
        <v>1.47</v>
      </c>
      <c r="BE2526">
        <v>0.63</v>
      </c>
      <c r="BF2526">
        <v>-1.97</v>
      </c>
      <c r="BG2526">
        <v>0.76</v>
      </c>
      <c r="BH2526">
        <v>-0.71</v>
      </c>
      <c r="BI2526">
        <v>20191029</v>
      </c>
      <c r="BJ2526">
        <v>20010115</v>
      </c>
      <c r="BK2526">
        <v>44.98</v>
      </c>
      <c r="BL2526" t="s">
        <v>116</v>
      </c>
      <c r="BM2526" t="s">
        <v>116</v>
      </c>
      <c r="BN2526">
        <v>1274.67</v>
      </c>
      <c r="BO2526">
        <v>344.06</v>
      </c>
      <c r="BP2526">
        <v>36.82</v>
      </c>
      <c r="BQ2526">
        <v>70.12</v>
      </c>
      <c r="BR2526">
        <v>673.27</v>
      </c>
      <c r="BS2526">
        <v>0.69</v>
      </c>
      <c r="BT2526">
        <v>4.21</v>
      </c>
      <c r="BU2526">
        <v>729.6</v>
      </c>
      <c r="BV2526">
        <v>2.67</v>
      </c>
      <c r="BW2526">
        <v>0.11</v>
      </c>
      <c r="BX2526">
        <v>213.17</v>
      </c>
      <c r="BY2526">
        <v>51.31</v>
      </c>
      <c r="BZ2526">
        <v>51.14</v>
      </c>
      <c r="CA2526">
        <v>40.270000000000003</v>
      </c>
      <c r="CB2526">
        <v>11.14</v>
      </c>
      <c r="CC2526">
        <v>40.21</v>
      </c>
      <c r="CD2526">
        <v>30.96</v>
      </c>
      <c r="CE2526">
        <v>26.55</v>
      </c>
      <c r="CF2526">
        <v>25.9</v>
      </c>
      <c r="CG2526">
        <v>61.67</v>
      </c>
      <c r="CH2526">
        <v>18.27</v>
      </c>
      <c r="CI2526">
        <v>16.48</v>
      </c>
      <c r="CJ2526">
        <v>37004</v>
      </c>
      <c r="CK2526">
        <v>12346</v>
      </c>
      <c r="CL2526" t="s">
        <v>1748</v>
      </c>
      <c r="CM2526">
        <v>56.59</v>
      </c>
      <c r="CN2526">
        <v>-15.19</v>
      </c>
      <c r="CO2526">
        <v>1.04</v>
      </c>
      <c r="CP2526">
        <v>19.59</v>
      </c>
      <c r="CQ2526">
        <v>6.98</v>
      </c>
      <c r="CR2526">
        <v>1.89</v>
      </c>
      <c r="CS2526" t="s">
        <v>3264</v>
      </c>
      <c r="CT2526">
        <v>7.65</v>
      </c>
      <c r="CU2526">
        <v>0</v>
      </c>
      <c r="CV2526">
        <v>4.74</v>
      </c>
      <c r="CW2526">
        <v>1.37</v>
      </c>
      <c r="CX2526">
        <v>0.41</v>
      </c>
      <c r="CY2526">
        <v>26.99</v>
      </c>
      <c r="CZ2526" t="s">
        <v>5797</v>
      </c>
      <c r="DA2526">
        <v>0.33</v>
      </c>
      <c r="DB2526">
        <v>78.48</v>
      </c>
      <c r="DC2526">
        <v>51.75</v>
      </c>
      <c r="DD2526">
        <v>0.04</v>
      </c>
      <c r="DE2526">
        <v>2031</v>
      </c>
      <c r="DF2526">
        <v>600390</v>
      </c>
      <c r="DG2526" t="s">
        <v>116</v>
      </c>
      <c r="DH2526" t="s">
        <v>116</v>
      </c>
      <c r="DI2526" t="s">
        <v>116</v>
      </c>
    </row>
    <row r="2527" spans="1:113" x14ac:dyDescent="0.4">
      <c r="A2527" t="str">
        <f>"600391"</f>
        <v>600391</v>
      </c>
      <c r="B2527" t="s">
        <v>11582</v>
      </c>
      <c r="C2527">
        <v>-0.94</v>
      </c>
      <c r="D2527">
        <v>13.76</v>
      </c>
      <c r="E2527">
        <v>-0.13</v>
      </c>
      <c r="F2527">
        <v>13.76</v>
      </c>
      <c r="G2527">
        <v>13.77</v>
      </c>
      <c r="H2527">
        <v>44877</v>
      </c>
      <c r="I2527">
        <v>446</v>
      </c>
      <c r="J2527">
        <v>-0.06</v>
      </c>
      <c r="K2527">
        <v>1.36</v>
      </c>
      <c r="L2527">
        <v>13.88</v>
      </c>
      <c r="M2527">
        <v>14.03</v>
      </c>
      <c r="N2527">
        <v>13.75</v>
      </c>
      <c r="O2527">
        <v>13.89</v>
      </c>
      <c r="P2527" t="s">
        <v>116</v>
      </c>
      <c r="Q2527">
        <v>62448828</v>
      </c>
      <c r="R2527">
        <v>1.52</v>
      </c>
      <c r="S2527" t="s">
        <v>1789</v>
      </c>
      <c r="T2527" t="s">
        <v>582</v>
      </c>
      <c r="U2527">
        <v>2.02</v>
      </c>
      <c r="V2527">
        <v>13.92</v>
      </c>
      <c r="W2527">
        <v>24675</v>
      </c>
      <c r="X2527">
        <v>20202</v>
      </c>
      <c r="Y2527">
        <v>1.22</v>
      </c>
      <c r="Z2527">
        <v>43</v>
      </c>
      <c r="AA2527">
        <v>46</v>
      </c>
      <c r="AB2527" t="s">
        <v>116</v>
      </c>
      <c r="AC2527">
        <v>260900</v>
      </c>
      <c r="AD2527">
        <v>0.01</v>
      </c>
      <c r="AE2527" t="s">
        <v>116</v>
      </c>
      <c r="AF2527" t="s">
        <v>116</v>
      </c>
      <c r="AG2527">
        <v>3.3</v>
      </c>
      <c r="AH2527" t="s">
        <v>11583</v>
      </c>
      <c r="AI2527" t="s">
        <v>11583</v>
      </c>
      <c r="AJ2527">
        <v>-0.86</v>
      </c>
      <c r="AK2527">
        <v>1769</v>
      </c>
      <c r="AL2527">
        <v>25</v>
      </c>
      <c r="AM2527">
        <v>8.0000000000000004E-4</v>
      </c>
      <c r="AN2527">
        <v>-3</v>
      </c>
      <c r="AO2527">
        <v>-1.72</v>
      </c>
      <c r="AP2527">
        <v>1.25</v>
      </c>
      <c r="AQ2527">
        <v>-12.13</v>
      </c>
      <c r="AR2527">
        <v>25.89</v>
      </c>
      <c r="AS2527">
        <v>2.12</v>
      </c>
      <c r="AT2527" t="s">
        <v>11584</v>
      </c>
      <c r="AU2527" t="s">
        <v>116</v>
      </c>
      <c r="AV2527" t="s">
        <v>116</v>
      </c>
      <c r="AW2527">
        <v>1.1399999999999999</v>
      </c>
      <c r="BA2527">
        <v>-7.0000000000000007E-2</v>
      </c>
      <c r="BB2527">
        <v>1.01</v>
      </c>
      <c r="BC2527">
        <v>-1.01</v>
      </c>
      <c r="BD2527">
        <v>0.18</v>
      </c>
      <c r="BE2527">
        <v>-0.86</v>
      </c>
      <c r="BF2527">
        <v>-1.92</v>
      </c>
      <c r="BG2527">
        <v>7.0000000000000007E-2</v>
      </c>
      <c r="BH2527">
        <v>-1.1200000000000001</v>
      </c>
      <c r="BI2527">
        <v>20191030</v>
      </c>
      <c r="BJ2527">
        <v>20011212</v>
      </c>
      <c r="BK2527">
        <v>3.3</v>
      </c>
      <c r="BL2527" t="s">
        <v>116</v>
      </c>
      <c r="BM2527" t="s">
        <v>116</v>
      </c>
      <c r="BN2527">
        <v>63.09</v>
      </c>
      <c r="BO2527">
        <v>14.22</v>
      </c>
      <c r="BP2527">
        <v>3.58</v>
      </c>
      <c r="BQ2527">
        <v>71.78</v>
      </c>
      <c r="BR2527">
        <v>42.43</v>
      </c>
      <c r="BS2527">
        <v>17.13</v>
      </c>
      <c r="BT2527">
        <v>1.05</v>
      </c>
      <c r="BU2527">
        <v>39.85</v>
      </c>
      <c r="BV2527">
        <v>30.76</v>
      </c>
      <c r="BW2527">
        <v>7.94</v>
      </c>
      <c r="BX2527">
        <v>10.119999999999999</v>
      </c>
      <c r="BY2527">
        <v>16.489999999999998</v>
      </c>
      <c r="BZ2527">
        <v>13.7</v>
      </c>
      <c r="CA2527">
        <v>0</v>
      </c>
      <c r="CB2527">
        <v>0</v>
      </c>
      <c r="CC2527">
        <v>-0.04</v>
      </c>
      <c r="CD2527">
        <v>-0.09</v>
      </c>
      <c r="CE2527">
        <v>-0.2</v>
      </c>
      <c r="CF2527">
        <v>-0.36</v>
      </c>
      <c r="CG2527">
        <v>-0.28000000000000003</v>
      </c>
      <c r="CH2527">
        <v>0.96</v>
      </c>
      <c r="CI2527">
        <v>-0.37</v>
      </c>
      <c r="CJ2527">
        <v>47325</v>
      </c>
      <c r="CK2527">
        <v>4463</v>
      </c>
      <c r="CL2527" t="s">
        <v>8085</v>
      </c>
      <c r="CM2527">
        <v>73.73</v>
      </c>
      <c r="CN2527">
        <v>18.28</v>
      </c>
      <c r="CO2527">
        <v>3.2</v>
      </c>
      <c r="CP2527">
        <v>47.37</v>
      </c>
      <c r="CQ2527">
        <v>2.75</v>
      </c>
      <c r="CR2527">
        <v>0</v>
      </c>
      <c r="CS2527" t="s">
        <v>2267</v>
      </c>
      <c r="CT2527">
        <v>4.3099999999999996</v>
      </c>
      <c r="CU2527">
        <v>0</v>
      </c>
      <c r="CV2527">
        <v>3.07</v>
      </c>
      <c r="CW2527">
        <v>-0.09</v>
      </c>
      <c r="CX2527">
        <v>0.28999999999999998</v>
      </c>
      <c r="CY2527">
        <v>22.53</v>
      </c>
      <c r="CZ2527" t="s">
        <v>11585</v>
      </c>
      <c r="DA2527">
        <v>16.920000000000002</v>
      </c>
      <c r="DB2527">
        <v>0</v>
      </c>
      <c r="DC2527">
        <v>-1.23</v>
      </c>
      <c r="DD2527">
        <v>0.76</v>
      </c>
      <c r="DE2527">
        <v>4893</v>
      </c>
      <c r="DF2527">
        <v>600391</v>
      </c>
      <c r="DG2527" t="s">
        <v>116</v>
      </c>
      <c r="DH2527" t="s">
        <v>116</v>
      </c>
      <c r="DI2527" t="s">
        <v>116</v>
      </c>
    </row>
    <row r="2528" spans="1:113" x14ac:dyDescent="0.4">
      <c r="A2528" t="str">
        <f>"600392"</f>
        <v>600392</v>
      </c>
      <c r="B2528" t="s">
        <v>11586</v>
      </c>
      <c r="C2528">
        <v>2.38</v>
      </c>
      <c r="D2528">
        <v>9.0399999999999991</v>
      </c>
      <c r="E2528">
        <v>0.21</v>
      </c>
      <c r="F2528">
        <v>9.0299999999999994</v>
      </c>
      <c r="G2528">
        <v>9.0399999999999991</v>
      </c>
      <c r="H2528">
        <v>573954</v>
      </c>
      <c r="I2528">
        <v>5139</v>
      </c>
      <c r="J2528">
        <v>0.33</v>
      </c>
      <c r="K2528">
        <v>4</v>
      </c>
      <c r="L2528">
        <v>8.83</v>
      </c>
      <c r="M2528">
        <v>9.4</v>
      </c>
      <c r="N2528">
        <v>8.83</v>
      </c>
      <c r="O2528">
        <v>8.83</v>
      </c>
      <c r="P2528">
        <v>46.27</v>
      </c>
      <c r="Q2528">
        <v>522812544</v>
      </c>
      <c r="R2528">
        <v>2.73</v>
      </c>
      <c r="S2528" t="s">
        <v>1509</v>
      </c>
      <c r="T2528" t="s">
        <v>582</v>
      </c>
      <c r="U2528">
        <v>6.46</v>
      </c>
      <c r="V2528">
        <v>9.11</v>
      </c>
      <c r="W2528">
        <v>275069</v>
      </c>
      <c r="X2528">
        <v>298888</v>
      </c>
      <c r="Y2528">
        <v>0.92</v>
      </c>
      <c r="Z2528">
        <v>576</v>
      </c>
      <c r="AA2528">
        <v>429</v>
      </c>
      <c r="AB2528" t="s">
        <v>116</v>
      </c>
      <c r="AC2528">
        <v>854800</v>
      </c>
      <c r="AD2528">
        <v>0.01</v>
      </c>
      <c r="AE2528" t="s">
        <v>116</v>
      </c>
      <c r="AF2528" t="s">
        <v>116</v>
      </c>
      <c r="AG2528">
        <v>14.34</v>
      </c>
      <c r="AH2528" t="s">
        <v>11587</v>
      </c>
      <c r="AI2528" t="s">
        <v>11588</v>
      </c>
      <c r="AJ2528">
        <v>2.46</v>
      </c>
      <c r="AK2528">
        <v>3895</v>
      </c>
      <c r="AL2528">
        <v>147</v>
      </c>
      <c r="AM2528">
        <v>1E-3</v>
      </c>
      <c r="AN2528">
        <v>2</v>
      </c>
      <c r="AO2528">
        <v>1.81</v>
      </c>
      <c r="AP2528">
        <v>11.06</v>
      </c>
      <c r="AQ2528">
        <v>-0.88</v>
      </c>
      <c r="AR2528">
        <v>5.36</v>
      </c>
      <c r="AS2528">
        <v>6.23</v>
      </c>
      <c r="AT2528" t="s">
        <v>11589</v>
      </c>
      <c r="AU2528">
        <v>77.22</v>
      </c>
      <c r="AV2528">
        <v>55.39</v>
      </c>
      <c r="AW2528">
        <v>1.0900000000000001</v>
      </c>
      <c r="BA2528">
        <v>0</v>
      </c>
      <c r="BB2528">
        <v>6.46</v>
      </c>
      <c r="BC2528">
        <v>0</v>
      </c>
      <c r="BD2528">
        <v>3.16</v>
      </c>
      <c r="BE2528">
        <v>2.38</v>
      </c>
      <c r="BF2528">
        <v>-3.83</v>
      </c>
      <c r="BG2528">
        <v>2.38</v>
      </c>
      <c r="BH2528">
        <v>-0.78</v>
      </c>
      <c r="BI2528">
        <v>20191026</v>
      </c>
      <c r="BJ2528">
        <v>20030529</v>
      </c>
      <c r="BK2528">
        <v>17.55</v>
      </c>
      <c r="BL2528" t="s">
        <v>116</v>
      </c>
      <c r="BM2528" t="s">
        <v>116</v>
      </c>
      <c r="BN2528">
        <v>91.19</v>
      </c>
      <c r="BO2528">
        <v>54.34</v>
      </c>
      <c r="BP2528">
        <v>1.99</v>
      </c>
      <c r="BQ2528">
        <v>38.229999999999997</v>
      </c>
      <c r="BR2528">
        <v>66.45</v>
      </c>
      <c r="BS2528">
        <v>5.42</v>
      </c>
      <c r="BT2528">
        <v>3.22</v>
      </c>
      <c r="BU2528">
        <v>32.520000000000003</v>
      </c>
      <c r="BV2528">
        <v>38.36</v>
      </c>
      <c r="BW2528">
        <v>11.44</v>
      </c>
      <c r="BX2528">
        <v>21.1</v>
      </c>
      <c r="BY2528">
        <v>54.27</v>
      </c>
      <c r="BZ2528">
        <v>46.82</v>
      </c>
      <c r="CA2528">
        <v>3.38</v>
      </c>
      <c r="CB2528">
        <v>0.05</v>
      </c>
      <c r="CC2528">
        <v>3.34</v>
      </c>
      <c r="CD2528">
        <v>2.65</v>
      </c>
      <c r="CE2528">
        <v>2.57</v>
      </c>
      <c r="CF2528">
        <v>2.48</v>
      </c>
      <c r="CG2528">
        <v>15.2</v>
      </c>
      <c r="CH2528">
        <v>2.74</v>
      </c>
      <c r="CI2528">
        <v>-1.37</v>
      </c>
      <c r="CJ2528">
        <v>93203</v>
      </c>
      <c r="CK2528">
        <v>9892</v>
      </c>
      <c r="CL2528" t="s">
        <v>8723</v>
      </c>
      <c r="CM2528">
        <v>-23.94</v>
      </c>
      <c r="CN2528">
        <v>2.0699999999999998</v>
      </c>
      <c r="CO2528">
        <v>2.92</v>
      </c>
      <c r="CP2528">
        <v>57.97</v>
      </c>
      <c r="CQ2528">
        <v>2.92</v>
      </c>
      <c r="CR2528">
        <v>0.33</v>
      </c>
      <c r="CS2528" t="s">
        <v>2902</v>
      </c>
      <c r="CT2528">
        <v>3.1</v>
      </c>
      <c r="CU2528">
        <v>0</v>
      </c>
      <c r="CV2528">
        <v>1.2</v>
      </c>
      <c r="CW2528">
        <v>0.87</v>
      </c>
      <c r="CX2528">
        <v>0.16</v>
      </c>
      <c r="CY2528">
        <v>59.59</v>
      </c>
      <c r="CZ2528" t="s">
        <v>6711</v>
      </c>
      <c r="DA2528">
        <v>13.72</v>
      </c>
      <c r="DB2528">
        <v>6.24</v>
      </c>
      <c r="DC2528">
        <v>4.74</v>
      </c>
      <c r="DD2528">
        <v>1.1599999999999999</v>
      </c>
      <c r="DE2528">
        <v>2052</v>
      </c>
      <c r="DF2528">
        <v>600392</v>
      </c>
      <c r="DG2528" t="s">
        <v>116</v>
      </c>
      <c r="DH2528" t="s">
        <v>116</v>
      </c>
      <c r="DI2528" t="s">
        <v>116</v>
      </c>
    </row>
    <row r="2529" spans="1:113" x14ac:dyDescent="0.4">
      <c r="A2529" t="str">
        <f>"600393"</f>
        <v>600393</v>
      </c>
      <c r="B2529" t="s">
        <v>11590</v>
      </c>
      <c r="C2529">
        <v>0</v>
      </c>
      <c r="D2529">
        <v>2.91</v>
      </c>
      <c r="E2529">
        <v>0</v>
      </c>
      <c r="F2529">
        <v>2.91</v>
      </c>
      <c r="G2529">
        <v>2.92</v>
      </c>
      <c r="H2529">
        <v>302264</v>
      </c>
      <c r="I2529">
        <v>2849</v>
      </c>
      <c r="J2529">
        <v>0</v>
      </c>
      <c r="K2529">
        <v>3.06</v>
      </c>
      <c r="L2529">
        <v>2.9</v>
      </c>
      <c r="M2529">
        <v>2.95</v>
      </c>
      <c r="N2529">
        <v>2.88</v>
      </c>
      <c r="O2529">
        <v>2.91</v>
      </c>
      <c r="P2529">
        <v>14.33</v>
      </c>
      <c r="Q2529">
        <v>87939472</v>
      </c>
      <c r="R2529">
        <v>1</v>
      </c>
      <c r="S2529" t="s">
        <v>124</v>
      </c>
      <c r="T2529" t="s">
        <v>551</v>
      </c>
      <c r="U2529">
        <v>2.41</v>
      </c>
      <c r="V2529">
        <v>2.91</v>
      </c>
      <c r="W2529">
        <v>172190</v>
      </c>
      <c r="X2529">
        <v>130074</v>
      </c>
      <c r="Y2529">
        <v>1.32</v>
      </c>
      <c r="Z2529">
        <v>3170</v>
      </c>
      <c r="AA2529">
        <v>10599</v>
      </c>
      <c r="AB2529" t="s">
        <v>116</v>
      </c>
      <c r="AC2529">
        <v>81200</v>
      </c>
      <c r="AD2529">
        <v>0</v>
      </c>
      <c r="AE2529" t="s">
        <v>116</v>
      </c>
      <c r="AF2529" t="s">
        <v>116</v>
      </c>
      <c r="AG2529">
        <v>9.8800000000000008</v>
      </c>
      <c r="AH2529" t="s">
        <v>11591</v>
      </c>
      <c r="AI2529" t="s">
        <v>11592</v>
      </c>
      <c r="AJ2529">
        <v>0.08</v>
      </c>
      <c r="AK2529">
        <v>1773</v>
      </c>
      <c r="AL2529">
        <v>170</v>
      </c>
      <c r="AM2529">
        <v>1.6999999999999999E-3</v>
      </c>
      <c r="AN2529">
        <v>0</v>
      </c>
      <c r="AO2529">
        <v>-0.69</v>
      </c>
      <c r="AP2529">
        <v>1.04</v>
      </c>
      <c r="AQ2529">
        <v>20.25</v>
      </c>
      <c r="AR2529">
        <v>37.26</v>
      </c>
      <c r="AS2529">
        <v>3.33</v>
      </c>
      <c r="AT2529" t="s">
        <v>11593</v>
      </c>
      <c r="AU2529">
        <v>155.31</v>
      </c>
      <c r="AV2529">
        <v>25.45</v>
      </c>
      <c r="AW2529">
        <v>1.1200000000000001</v>
      </c>
      <c r="BA2529">
        <v>-0.34</v>
      </c>
      <c r="BB2529">
        <v>1.37</v>
      </c>
      <c r="BC2529">
        <v>-1.03</v>
      </c>
      <c r="BD2529">
        <v>-0.02</v>
      </c>
      <c r="BE2529">
        <v>0.34</v>
      </c>
      <c r="BF2529">
        <v>-1.36</v>
      </c>
      <c r="BG2529">
        <v>1.04</v>
      </c>
      <c r="BH2529">
        <v>0.02</v>
      </c>
      <c r="BI2529">
        <v>20191031</v>
      </c>
      <c r="BJ2529">
        <v>20010319</v>
      </c>
      <c r="BK2529">
        <v>25.36</v>
      </c>
      <c r="BL2529" t="s">
        <v>116</v>
      </c>
      <c r="BM2529" t="s">
        <v>116</v>
      </c>
      <c r="BN2529">
        <v>172.19</v>
      </c>
      <c r="BO2529">
        <v>62.95</v>
      </c>
      <c r="BP2529">
        <v>6.51</v>
      </c>
      <c r="BQ2529">
        <v>59.66</v>
      </c>
      <c r="BR2529">
        <v>159.37</v>
      </c>
      <c r="BS2529">
        <v>2.0299999999999998</v>
      </c>
      <c r="BT2529">
        <v>0.57999999999999996</v>
      </c>
      <c r="BU2529">
        <v>89.11</v>
      </c>
      <c r="BV2529">
        <v>120.12</v>
      </c>
      <c r="BW2529">
        <v>5.69</v>
      </c>
      <c r="BX2529">
        <v>20.98</v>
      </c>
      <c r="BY2529">
        <v>43.4</v>
      </c>
      <c r="BZ2529">
        <v>27.69</v>
      </c>
      <c r="CA2529">
        <v>5.19</v>
      </c>
      <c r="CB2529">
        <v>0.24</v>
      </c>
      <c r="CC2529">
        <v>4.8600000000000003</v>
      </c>
      <c r="CD2529">
        <v>3.46</v>
      </c>
      <c r="CE2529">
        <v>3.86</v>
      </c>
      <c r="CF2529">
        <v>3.96</v>
      </c>
      <c r="CG2529">
        <v>13.92</v>
      </c>
      <c r="CH2529">
        <v>29.32</v>
      </c>
      <c r="CI2529">
        <v>-0.25</v>
      </c>
      <c r="CJ2529">
        <v>44182</v>
      </c>
      <c r="CK2529">
        <v>20556</v>
      </c>
      <c r="CL2529" t="s">
        <v>5998</v>
      </c>
      <c r="CM2529">
        <v>-38.57</v>
      </c>
      <c r="CN2529">
        <v>73.849999999999994</v>
      </c>
      <c r="CO2529">
        <v>1.17</v>
      </c>
      <c r="CP2529">
        <v>2.52</v>
      </c>
      <c r="CQ2529">
        <v>1.7</v>
      </c>
      <c r="CR2529">
        <v>0</v>
      </c>
      <c r="CS2529" t="s">
        <v>771</v>
      </c>
      <c r="CT2529">
        <v>2.48</v>
      </c>
      <c r="CU2529">
        <v>0</v>
      </c>
      <c r="CV2529">
        <v>0.83</v>
      </c>
      <c r="CW2529">
        <v>0.55000000000000004</v>
      </c>
      <c r="CX2529">
        <v>1.1599999999999999</v>
      </c>
      <c r="CY2529">
        <v>36.56</v>
      </c>
      <c r="CZ2529" t="s">
        <v>6189</v>
      </c>
      <c r="DA2529">
        <v>36.200000000000003</v>
      </c>
      <c r="DB2529">
        <v>11.96</v>
      </c>
      <c r="DC2529">
        <v>8.9</v>
      </c>
      <c r="DD2529">
        <v>0</v>
      </c>
      <c r="DE2529">
        <v>1257</v>
      </c>
      <c r="DF2529">
        <v>600393</v>
      </c>
      <c r="DG2529" t="s">
        <v>116</v>
      </c>
      <c r="DH2529" t="s">
        <v>116</v>
      </c>
      <c r="DI2529" t="s">
        <v>116</v>
      </c>
    </row>
    <row r="2530" spans="1:113" x14ac:dyDescent="0.4">
      <c r="A2530" t="str">
        <f>"600395"</f>
        <v>600395</v>
      </c>
      <c r="B2530" t="s">
        <v>11594</v>
      </c>
      <c r="C2530">
        <v>-1</v>
      </c>
      <c r="D2530">
        <v>5.94</v>
      </c>
      <c r="E2530">
        <v>-0.06</v>
      </c>
      <c r="F2530">
        <v>5.93</v>
      </c>
      <c r="G2530">
        <v>5.94</v>
      </c>
      <c r="H2530">
        <v>89336</v>
      </c>
      <c r="I2530">
        <v>459</v>
      </c>
      <c r="J2530">
        <v>0</v>
      </c>
      <c r="K2530">
        <v>0.54</v>
      </c>
      <c r="L2530">
        <v>6</v>
      </c>
      <c r="M2530">
        <v>6.1</v>
      </c>
      <c r="N2530">
        <v>5.93</v>
      </c>
      <c r="O2530">
        <v>6</v>
      </c>
      <c r="P2530">
        <v>8.23</v>
      </c>
      <c r="Q2530">
        <v>53643880</v>
      </c>
      <c r="R2530">
        <v>0.96</v>
      </c>
      <c r="S2530" t="s">
        <v>1121</v>
      </c>
      <c r="T2530" t="s">
        <v>1056</v>
      </c>
      <c r="U2530">
        <v>2.83</v>
      </c>
      <c r="V2530">
        <v>6</v>
      </c>
      <c r="W2530">
        <v>47391</v>
      </c>
      <c r="X2530">
        <v>41945</v>
      </c>
      <c r="Y2530">
        <v>1.1299999999999999</v>
      </c>
      <c r="Z2530">
        <v>442</v>
      </c>
      <c r="AA2530">
        <v>131</v>
      </c>
      <c r="AB2530" t="s">
        <v>116</v>
      </c>
      <c r="AC2530">
        <v>129000</v>
      </c>
      <c r="AD2530">
        <v>0</v>
      </c>
      <c r="AE2530" t="s">
        <v>116</v>
      </c>
      <c r="AF2530" t="s">
        <v>116</v>
      </c>
      <c r="AG2530">
        <v>16.55</v>
      </c>
      <c r="AH2530" t="s">
        <v>11595</v>
      </c>
      <c r="AI2530" t="s">
        <v>11595</v>
      </c>
      <c r="AJ2530">
        <v>-0.92</v>
      </c>
      <c r="AK2530">
        <v>1618</v>
      </c>
      <c r="AL2530">
        <v>55</v>
      </c>
      <c r="AM2530">
        <v>2.9999999999999997E-4</v>
      </c>
      <c r="AN2530">
        <v>-1</v>
      </c>
      <c r="AO2530">
        <v>-1.17</v>
      </c>
      <c r="AP2530">
        <v>5.69</v>
      </c>
      <c r="AQ2530">
        <v>15.34</v>
      </c>
      <c r="AR2530">
        <v>28.85</v>
      </c>
      <c r="AS2530">
        <v>1.78</v>
      </c>
      <c r="AT2530" t="s">
        <v>11596</v>
      </c>
      <c r="AU2530">
        <v>8.82</v>
      </c>
      <c r="AV2530">
        <v>10.4</v>
      </c>
      <c r="AW2530">
        <v>0.83</v>
      </c>
      <c r="BA2530">
        <v>0</v>
      </c>
      <c r="BB2530">
        <v>1.67</v>
      </c>
      <c r="BC2530">
        <v>-1.17</v>
      </c>
      <c r="BD2530">
        <v>0.08</v>
      </c>
      <c r="BE2530">
        <v>-1</v>
      </c>
      <c r="BF2530">
        <v>-2.62</v>
      </c>
      <c r="BG2530">
        <v>0.17</v>
      </c>
      <c r="BH2530">
        <v>-1.08</v>
      </c>
      <c r="BI2530">
        <v>20191029</v>
      </c>
      <c r="BJ2530">
        <v>20010531</v>
      </c>
      <c r="BK2530">
        <v>16.55</v>
      </c>
      <c r="BL2530" t="s">
        <v>116</v>
      </c>
      <c r="BM2530" t="s">
        <v>116</v>
      </c>
      <c r="BN2530">
        <v>141.13</v>
      </c>
      <c r="BO2530">
        <v>70.86</v>
      </c>
      <c r="BP2530">
        <v>3.26</v>
      </c>
      <c r="BQ2530">
        <v>47.48</v>
      </c>
      <c r="BR2530">
        <v>52.95</v>
      </c>
      <c r="BS2530">
        <v>26.68</v>
      </c>
      <c r="BT2530">
        <v>7.05</v>
      </c>
      <c r="BU2530">
        <v>41.13</v>
      </c>
      <c r="BV2530">
        <v>0.96</v>
      </c>
      <c r="BW2530">
        <v>5.05</v>
      </c>
      <c r="BX2530">
        <v>24.3</v>
      </c>
      <c r="BY2530">
        <v>49.44</v>
      </c>
      <c r="BZ2530">
        <v>30.63</v>
      </c>
      <c r="CA2530">
        <v>10.96</v>
      </c>
      <c r="CB2530">
        <v>0.23</v>
      </c>
      <c r="CC2530">
        <v>10.94</v>
      </c>
      <c r="CD2530">
        <v>8.9600000000000009</v>
      </c>
      <c r="CE2530">
        <v>8.9600000000000009</v>
      </c>
      <c r="CF2530">
        <v>8.3000000000000007</v>
      </c>
      <c r="CG2530">
        <v>18.37</v>
      </c>
      <c r="CH2530">
        <v>13.15</v>
      </c>
      <c r="CI2530">
        <v>6.03</v>
      </c>
      <c r="CJ2530">
        <v>44294</v>
      </c>
      <c r="CK2530">
        <v>11334</v>
      </c>
      <c r="CL2530" t="s">
        <v>11597</v>
      </c>
      <c r="CM2530">
        <v>23.37</v>
      </c>
      <c r="CN2530">
        <v>11.26</v>
      </c>
      <c r="CO2530">
        <v>1.39</v>
      </c>
      <c r="CP2530">
        <v>7.47</v>
      </c>
      <c r="CQ2530">
        <v>1.99</v>
      </c>
      <c r="CR2530">
        <v>6.73</v>
      </c>
      <c r="CS2530" t="s">
        <v>11598</v>
      </c>
      <c r="CT2530">
        <v>4.28</v>
      </c>
      <c r="CU2530">
        <v>0</v>
      </c>
      <c r="CV2530">
        <v>1.47</v>
      </c>
      <c r="CW2530">
        <v>1.1100000000000001</v>
      </c>
      <c r="CX2530">
        <v>0.79</v>
      </c>
      <c r="CY2530">
        <v>50.21</v>
      </c>
      <c r="CZ2530" t="s">
        <v>11599</v>
      </c>
      <c r="DA2530">
        <v>38.049999999999997</v>
      </c>
      <c r="DB2530">
        <v>22.18</v>
      </c>
      <c r="DC2530">
        <v>18.13</v>
      </c>
      <c r="DD2530">
        <v>0.96</v>
      </c>
      <c r="DE2530">
        <v>21630</v>
      </c>
      <c r="DF2530">
        <v>600395</v>
      </c>
      <c r="DG2530" t="s">
        <v>116</v>
      </c>
      <c r="DH2530" t="s">
        <v>116</v>
      </c>
      <c r="DI2530" t="s">
        <v>116</v>
      </c>
    </row>
    <row r="2531" spans="1:113" x14ac:dyDescent="0.4">
      <c r="A2531" t="str">
        <f>"600396"</f>
        <v>600396</v>
      </c>
      <c r="B2531" t="s">
        <v>11600</v>
      </c>
      <c r="C2531">
        <v>0</v>
      </c>
      <c r="D2531">
        <v>1.9</v>
      </c>
      <c r="E2531">
        <v>0</v>
      </c>
      <c r="F2531">
        <v>1.89</v>
      </c>
      <c r="G2531">
        <v>1.9</v>
      </c>
      <c r="H2531">
        <v>35043</v>
      </c>
      <c r="I2531">
        <v>1814</v>
      </c>
      <c r="J2531">
        <v>0.53</v>
      </c>
      <c r="K2531">
        <v>0.24</v>
      </c>
      <c r="L2531">
        <v>1.9</v>
      </c>
      <c r="M2531">
        <v>1.9</v>
      </c>
      <c r="N2531">
        <v>1.88</v>
      </c>
      <c r="O2531">
        <v>1.9</v>
      </c>
      <c r="P2531" t="s">
        <v>116</v>
      </c>
      <c r="Q2531">
        <v>6620923</v>
      </c>
      <c r="R2531">
        <v>0.6</v>
      </c>
      <c r="S2531" t="s">
        <v>271</v>
      </c>
      <c r="T2531" t="s">
        <v>434</v>
      </c>
      <c r="U2531">
        <v>1.05</v>
      </c>
      <c r="V2531">
        <v>1.89</v>
      </c>
      <c r="W2531">
        <v>21622</v>
      </c>
      <c r="X2531">
        <v>13421</v>
      </c>
      <c r="Y2531">
        <v>1.61</v>
      </c>
      <c r="Z2531">
        <v>1674</v>
      </c>
      <c r="AA2531">
        <v>3816</v>
      </c>
      <c r="AB2531" t="s">
        <v>116</v>
      </c>
      <c r="AC2531">
        <v>0</v>
      </c>
      <c r="AD2531">
        <v>0</v>
      </c>
      <c r="AE2531" t="s">
        <v>116</v>
      </c>
      <c r="AF2531" t="s">
        <v>116</v>
      </c>
      <c r="AG2531">
        <v>14.73</v>
      </c>
      <c r="AH2531" t="s">
        <v>11601</v>
      </c>
      <c r="AI2531" t="s">
        <v>11601</v>
      </c>
      <c r="AJ2531">
        <v>0.08</v>
      </c>
      <c r="AK2531">
        <v>240</v>
      </c>
      <c r="AL2531">
        <v>146</v>
      </c>
      <c r="AM2531">
        <v>1E-3</v>
      </c>
      <c r="AN2531">
        <v>0</v>
      </c>
      <c r="AO2531">
        <v>-1.55</v>
      </c>
      <c r="AP2531">
        <v>4.97</v>
      </c>
      <c r="AQ2531">
        <v>6.15</v>
      </c>
      <c r="AR2531">
        <v>-1.55</v>
      </c>
      <c r="AS2531">
        <v>0.56999999999999995</v>
      </c>
      <c r="AT2531" t="s">
        <v>1770</v>
      </c>
      <c r="AU2531" t="s">
        <v>116</v>
      </c>
      <c r="AV2531" t="s">
        <v>116</v>
      </c>
      <c r="AW2531">
        <v>0.48</v>
      </c>
      <c r="BA2531">
        <v>0</v>
      </c>
      <c r="BB2531">
        <v>0</v>
      </c>
      <c r="BC2531">
        <v>-1.05</v>
      </c>
      <c r="BD2531">
        <v>-0.56000000000000005</v>
      </c>
      <c r="BE2531">
        <v>0</v>
      </c>
      <c r="BF2531">
        <v>0</v>
      </c>
      <c r="BG2531">
        <v>1.06</v>
      </c>
      <c r="BH2531">
        <v>0.56000000000000005</v>
      </c>
      <c r="BI2531">
        <v>20191026</v>
      </c>
      <c r="BJ2531">
        <v>20010328</v>
      </c>
      <c r="BK2531">
        <v>14.73</v>
      </c>
      <c r="BL2531" t="s">
        <v>116</v>
      </c>
      <c r="BM2531" t="s">
        <v>116</v>
      </c>
      <c r="BN2531">
        <v>200.54</v>
      </c>
      <c r="BO2531">
        <v>19.21</v>
      </c>
      <c r="BP2531">
        <v>5.1100000000000003</v>
      </c>
      <c r="BQ2531">
        <v>87.88</v>
      </c>
      <c r="BR2531">
        <v>19.649999999999999</v>
      </c>
      <c r="BS2531">
        <v>157.38</v>
      </c>
      <c r="BT2531">
        <v>2.59</v>
      </c>
      <c r="BU2531">
        <v>117.87</v>
      </c>
      <c r="BV2531">
        <v>2.8</v>
      </c>
      <c r="BW2531">
        <v>8.2200000000000006</v>
      </c>
      <c r="BX2531">
        <v>13.51</v>
      </c>
      <c r="BY2531">
        <v>53.14</v>
      </c>
      <c r="BZ2531">
        <v>47.76</v>
      </c>
      <c r="CA2531">
        <v>-0.74</v>
      </c>
      <c r="CB2531">
        <v>0.85</v>
      </c>
      <c r="CC2531">
        <v>-0.71</v>
      </c>
      <c r="CD2531">
        <v>-0.77</v>
      </c>
      <c r="CE2531">
        <v>-0.49</v>
      </c>
      <c r="CF2531">
        <v>-0.63</v>
      </c>
      <c r="CG2531">
        <v>-10.35</v>
      </c>
      <c r="CH2531">
        <v>10.92</v>
      </c>
      <c r="CI2531">
        <v>-1.71</v>
      </c>
      <c r="CJ2531">
        <v>66662</v>
      </c>
      <c r="CK2531">
        <v>9148</v>
      </c>
      <c r="CL2531" t="s">
        <v>1277</v>
      </c>
      <c r="CM2531">
        <v>88.71</v>
      </c>
      <c r="CN2531">
        <v>-1.7</v>
      </c>
      <c r="CO2531">
        <v>1.46</v>
      </c>
      <c r="CP2531">
        <v>2.56</v>
      </c>
      <c r="CQ2531">
        <v>0.53</v>
      </c>
      <c r="CR2531">
        <v>0</v>
      </c>
      <c r="CS2531" t="s">
        <v>4281</v>
      </c>
      <c r="CT2531">
        <v>1.3</v>
      </c>
      <c r="CU2531">
        <v>0</v>
      </c>
      <c r="CV2531">
        <v>0.92</v>
      </c>
      <c r="CW2531">
        <v>-0.7</v>
      </c>
      <c r="CX2531">
        <v>0.74</v>
      </c>
      <c r="CY2531">
        <v>9.58</v>
      </c>
      <c r="CZ2531" t="s">
        <v>4479</v>
      </c>
      <c r="DA2531">
        <v>10.130000000000001</v>
      </c>
      <c r="DB2531">
        <v>-1.4</v>
      </c>
      <c r="DC2531">
        <v>-0.92</v>
      </c>
      <c r="DD2531">
        <v>0</v>
      </c>
      <c r="DE2531">
        <v>3419</v>
      </c>
      <c r="DF2531">
        <v>600396</v>
      </c>
      <c r="DG2531" t="s">
        <v>116</v>
      </c>
      <c r="DH2531" t="s">
        <v>116</v>
      </c>
      <c r="DI2531" t="s">
        <v>116</v>
      </c>
    </row>
    <row r="2532" spans="1:113" x14ac:dyDescent="0.4">
      <c r="A2532" t="str">
        <f>"600397"</f>
        <v>600397</v>
      </c>
      <c r="B2532" t="s">
        <v>11602</v>
      </c>
      <c r="C2532">
        <v>4.3</v>
      </c>
      <c r="D2532">
        <v>2.67</v>
      </c>
      <c r="E2532">
        <v>0.11</v>
      </c>
      <c r="F2532">
        <v>2.67</v>
      </c>
      <c r="G2532">
        <v>2.68</v>
      </c>
      <c r="H2532">
        <v>618215</v>
      </c>
      <c r="I2532">
        <v>7194</v>
      </c>
      <c r="J2532">
        <v>-0.36</v>
      </c>
      <c r="K2532">
        <v>6.24</v>
      </c>
      <c r="L2532">
        <v>2.56</v>
      </c>
      <c r="M2532">
        <v>2.79</v>
      </c>
      <c r="N2532">
        <v>2.5299999999999998</v>
      </c>
      <c r="O2532">
        <v>2.56</v>
      </c>
      <c r="P2532" t="s">
        <v>116</v>
      </c>
      <c r="Q2532">
        <v>165504448</v>
      </c>
      <c r="R2532">
        <v>2.75</v>
      </c>
      <c r="S2532" t="s">
        <v>1121</v>
      </c>
      <c r="T2532" t="s">
        <v>683</v>
      </c>
      <c r="U2532">
        <v>10.16</v>
      </c>
      <c r="V2532">
        <v>2.68</v>
      </c>
      <c r="W2532">
        <v>273239</v>
      </c>
      <c r="X2532">
        <v>344976</v>
      </c>
      <c r="Y2532">
        <v>0.79</v>
      </c>
      <c r="Z2532">
        <v>1194</v>
      </c>
      <c r="AA2532">
        <v>5509</v>
      </c>
      <c r="AB2532" t="s">
        <v>116</v>
      </c>
      <c r="AC2532">
        <v>523800</v>
      </c>
      <c r="AD2532">
        <v>0.03</v>
      </c>
      <c r="AE2532" t="s">
        <v>116</v>
      </c>
      <c r="AF2532" t="s">
        <v>116</v>
      </c>
      <c r="AG2532">
        <v>9.9</v>
      </c>
      <c r="AH2532" t="s">
        <v>11593</v>
      </c>
      <c r="AI2532" t="s">
        <v>11593</v>
      </c>
      <c r="AJ2532">
        <v>4.37</v>
      </c>
      <c r="AK2532">
        <v>2431</v>
      </c>
      <c r="AL2532">
        <v>254</v>
      </c>
      <c r="AM2532">
        <v>2.5999999999999999E-3</v>
      </c>
      <c r="AN2532">
        <v>2</v>
      </c>
      <c r="AO2532">
        <v>4.3099999999999996</v>
      </c>
      <c r="AP2532">
        <v>0</v>
      </c>
      <c r="AQ2532">
        <v>14.59</v>
      </c>
      <c r="AR2532">
        <v>22.48</v>
      </c>
      <c r="AS2532">
        <v>10.3</v>
      </c>
      <c r="AT2532" t="s">
        <v>11603</v>
      </c>
      <c r="AU2532" t="s">
        <v>116</v>
      </c>
      <c r="AV2532">
        <v>41.13</v>
      </c>
      <c r="AW2532">
        <v>0.74</v>
      </c>
      <c r="BA2532">
        <v>0</v>
      </c>
      <c r="BB2532">
        <v>8.98</v>
      </c>
      <c r="BC2532">
        <v>-1.17</v>
      </c>
      <c r="BD2532">
        <v>4.58</v>
      </c>
      <c r="BE2532">
        <v>4.3</v>
      </c>
      <c r="BF2532">
        <v>-4.3</v>
      </c>
      <c r="BG2532">
        <v>5.53</v>
      </c>
      <c r="BH2532">
        <v>-0.28000000000000003</v>
      </c>
      <c r="BI2532">
        <v>20191026</v>
      </c>
      <c r="BJ2532">
        <v>20020702</v>
      </c>
      <c r="BK2532">
        <v>9.9</v>
      </c>
      <c r="BL2532" t="s">
        <v>116</v>
      </c>
      <c r="BM2532" t="s">
        <v>116</v>
      </c>
      <c r="BN2532">
        <v>64.38</v>
      </c>
      <c r="BO2532">
        <v>7.61</v>
      </c>
      <c r="BP2532">
        <v>-1.0900000000000001</v>
      </c>
      <c r="BQ2532">
        <v>89.88</v>
      </c>
      <c r="BR2532">
        <v>21.81</v>
      </c>
      <c r="BS2532">
        <v>32.450000000000003</v>
      </c>
      <c r="BT2532">
        <v>5.6</v>
      </c>
      <c r="BU2532">
        <v>42.72</v>
      </c>
      <c r="BV2532">
        <v>1.1100000000000001</v>
      </c>
      <c r="BW2532">
        <v>6.14</v>
      </c>
      <c r="BX2532">
        <v>18.63</v>
      </c>
      <c r="BY2532">
        <v>39.94</v>
      </c>
      <c r="BZ2532">
        <v>37.01</v>
      </c>
      <c r="CA2532">
        <v>-0.65</v>
      </c>
      <c r="CB2532">
        <v>0.03</v>
      </c>
      <c r="CC2532">
        <v>-0.87</v>
      </c>
      <c r="CD2532">
        <v>-0.92</v>
      </c>
      <c r="CE2532">
        <v>-0.86</v>
      </c>
      <c r="CF2532">
        <v>-0.75</v>
      </c>
      <c r="CG2532">
        <v>-24.36</v>
      </c>
      <c r="CH2532">
        <v>0.71</v>
      </c>
      <c r="CI2532">
        <v>-1.38</v>
      </c>
      <c r="CJ2532">
        <v>53192</v>
      </c>
      <c r="CK2532">
        <v>11289</v>
      </c>
      <c r="CL2532" t="s">
        <v>11604</v>
      </c>
      <c r="CM2532">
        <v>-205.26</v>
      </c>
      <c r="CN2532">
        <v>13.71</v>
      </c>
      <c r="CO2532">
        <v>3.47</v>
      </c>
      <c r="CP2532">
        <v>37.43</v>
      </c>
      <c r="CQ2532">
        <v>0.66</v>
      </c>
      <c r="CR2532">
        <v>0</v>
      </c>
      <c r="CS2532" t="s">
        <v>8379</v>
      </c>
      <c r="CT2532">
        <v>0.77</v>
      </c>
      <c r="CU2532">
        <v>0</v>
      </c>
      <c r="CV2532">
        <v>1.88</v>
      </c>
      <c r="CW2532">
        <v>-2.46</v>
      </c>
      <c r="CX2532">
        <v>7.0000000000000007E-2</v>
      </c>
      <c r="CY2532">
        <v>11.82</v>
      </c>
      <c r="CZ2532" t="s">
        <v>11605</v>
      </c>
      <c r="DA2532">
        <v>7.35</v>
      </c>
      <c r="DB2532">
        <v>-1.62</v>
      </c>
      <c r="DC2532">
        <v>-2.15</v>
      </c>
      <c r="DD2532">
        <v>0.06</v>
      </c>
      <c r="DE2532">
        <v>9179</v>
      </c>
      <c r="DF2532">
        <v>600397</v>
      </c>
      <c r="DG2532" t="s">
        <v>116</v>
      </c>
      <c r="DH2532" t="s">
        <v>116</v>
      </c>
      <c r="DI2532" t="s">
        <v>116</v>
      </c>
    </row>
    <row r="2533" spans="1:113" x14ac:dyDescent="0.4">
      <c r="A2533" t="str">
        <f>"600398"</f>
        <v>600398</v>
      </c>
      <c r="B2533" t="s">
        <v>11606</v>
      </c>
      <c r="C2533">
        <v>-0.13</v>
      </c>
      <c r="D2533">
        <v>7.59</v>
      </c>
      <c r="E2533">
        <v>-0.01</v>
      </c>
      <c r="F2533">
        <v>7.58</v>
      </c>
      <c r="G2533">
        <v>7.59</v>
      </c>
      <c r="H2533">
        <v>114484</v>
      </c>
      <c r="I2533">
        <v>1136</v>
      </c>
      <c r="J2533">
        <v>-0.12</v>
      </c>
      <c r="K2533">
        <v>0.26</v>
      </c>
      <c r="L2533">
        <v>7.61</v>
      </c>
      <c r="M2533">
        <v>7.63</v>
      </c>
      <c r="N2533">
        <v>7.57</v>
      </c>
      <c r="O2533">
        <v>7.6</v>
      </c>
      <c r="P2533">
        <v>9.6199999999999992</v>
      </c>
      <c r="Q2533">
        <v>87014144</v>
      </c>
      <c r="R2533">
        <v>1.49</v>
      </c>
      <c r="S2533" t="s">
        <v>3070</v>
      </c>
      <c r="T2533" t="s">
        <v>323</v>
      </c>
      <c r="U2533">
        <v>0.79</v>
      </c>
      <c r="V2533">
        <v>7.6</v>
      </c>
      <c r="W2533">
        <v>56899</v>
      </c>
      <c r="X2533">
        <v>57585</v>
      </c>
      <c r="Y2533">
        <v>0.99</v>
      </c>
      <c r="Z2533">
        <v>1844</v>
      </c>
      <c r="AA2533">
        <v>1422</v>
      </c>
      <c r="AB2533" t="s">
        <v>116</v>
      </c>
      <c r="AC2533">
        <v>414700</v>
      </c>
      <c r="AD2533">
        <v>0</v>
      </c>
      <c r="AE2533" t="s">
        <v>116</v>
      </c>
      <c r="AF2533" t="s">
        <v>116</v>
      </c>
      <c r="AG2533">
        <v>44.2</v>
      </c>
      <c r="AH2533" t="s">
        <v>11607</v>
      </c>
      <c r="AI2533" t="s">
        <v>11607</v>
      </c>
      <c r="AJ2533">
        <v>-0.05</v>
      </c>
      <c r="AK2533">
        <v>2660</v>
      </c>
      <c r="AL2533">
        <v>43</v>
      </c>
      <c r="AM2533">
        <v>1E-4</v>
      </c>
      <c r="AN2533">
        <v>-2</v>
      </c>
      <c r="AO2533">
        <v>-0.78</v>
      </c>
      <c r="AP2533">
        <v>-1.17</v>
      </c>
      <c r="AQ2533">
        <v>-6.99</v>
      </c>
      <c r="AR2533">
        <v>-6.3</v>
      </c>
      <c r="AS2533">
        <v>0.88</v>
      </c>
      <c r="AT2533" t="s">
        <v>11608</v>
      </c>
      <c r="AU2533">
        <v>9.74</v>
      </c>
      <c r="AV2533">
        <v>9.7100000000000009</v>
      </c>
      <c r="AW2533">
        <v>0.63</v>
      </c>
      <c r="BA2533">
        <v>0.13</v>
      </c>
      <c r="BB2533">
        <v>0.39</v>
      </c>
      <c r="BC2533">
        <v>-0.39</v>
      </c>
      <c r="BD2533">
        <v>0.01</v>
      </c>
      <c r="BE2533">
        <v>-0.26</v>
      </c>
      <c r="BF2533">
        <v>-0.52</v>
      </c>
      <c r="BG2533">
        <v>0.26</v>
      </c>
      <c r="BH2533">
        <v>-0.14000000000000001</v>
      </c>
      <c r="BI2533">
        <v>20191031</v>
      </c>
      <c r="BJ2533">
        <v>20001228</v>
      </c>
      <c r="BK2533">
        <v>44.2</v>
      </c>
      <c r="BL2533" t="s">
        <v>116</v>
      </c>
      <c r="BM2533" t="s">
        <v>116</v>
      </c>
      <c r="BN2533">
        <v>273.93</v>
      </c>
      <c r="BO2533">
        <v>131.93</v>
      </c>
      <c r="BP2533">
        <v>2.8</v>
      </c>
      <c r="BQ2533">
        <v>50.82</v>
      </c>
      <c r="BR2533">
        <v>193.9</v>
      </c>
      <c r="BS2533">
        <v>39.89</v>
      </c>
      <c r="BT2533">
        <v>9.36</v>
      </c>
      <c r="BU2533">
        <v>107.62</v>
      </c>
      <c r="BV2533">
        <v>94.49</v>
      </c>
      <c r="BW2533">
        <v>8.74</v>
      </c>
      <c r="BX2533">
        <v>14.45</v>
      </c>
      <c r="BY2533">
        <v>146.88999999999999</v>
      </c>
      <c r="BZ2533">
        <v>85.54</v>
      </c>
      <c r="CA2533">
        <v>34.46</v>
      </c>
      <c r="CB2533">
        <v>2</v>
      </c>
      <c r="CC2533">
        <v>34.82</v>
      </c>
      <c r="CD2533">
        <v>25.94</v>
      </c>
      <c r="CE2533">
        <v>26.16</v>
      </c>
      <c r="CF2533">
        <v>24.18</v>
      </c>
      <c r="CG2533">
        <v>86.46</v>
      </c>
      <c r="CH2533">
        <v>2.0099999999999998</v>
      </c>
      <c r="CI2533">
        <v>-25.87</v>
      </c>
      <c r="CJ2533">
        <v>48518</v>
      </c>
      <c r="CK2533">
        <v>26957</v>
      </c>
      <c r="CL2533" t="s">
        <v>11609</v>
      </c>
      <c r="CM2533">
        <v>-0.45</v>
      </c>
      <c r="CN2533">
        <v>12.63</v>
      </c>
      <c r="CO2533">
        <v>2.65</v>
      </c>
      <c r="CP2533">
        <v>166.72</v>
      </c>
      <c r="CQ2533">
        <v>2.2799999999999998</v>
      </c>
      <c r="CR2533">
        <v>5.05</v>
      </c>
      <c r="CS2533" t="s">
        <v>11610</v>
      </c>
      <c r="CT2533">
        <v>2.86</v>
      </c>
      <c r="CU2533">
        <v>2.86</v>
      </c>
      <c r="CV2533">
        <v>0.33</v>
      </c>
      <c r="CW2533">
        <v>1.96</v>
      </c>
      <c r="CX2533">
        <v>0.05</v>
      </c>
      <c r="CY2533">
        <v>48.16</v>
      </c>
      <c r="CZ2533" t="s">
        <v>11611</v>
      </c>
      <c r="DA2533">
        <v>41.77</v>
      </c>
      <c r="DB2533">
        <v>23.46</v>
      </c>
      <c r="DC2533">
        <v>17.809999999999999</v>
      </c>
      <c r="DD2533">
        <v>0.41</v>
      </c>
      <c r="DE2533">
        <v>17994</v>
      </c>
      <c r="DF2533">
        <v>600398</v>
      </c>
      <c r="DG2533" t="s">
        <v>116</v>
      </c>
      <c r="DH2533" t="s">
        <v>116</v>
      </c>
      <c r="DI2533" t="s">
        <v>116</v>
      </c>
    </row>
    <row r="2534" spans="1:113" x14ac:dyDescent="0.4">
      <c r="A2534" t="str">
        <f>"600399"</f>
        <v>600399</v>
      </c>
      <c r="B2534" t="s">
        <v>11612</v>
      </c>
      <c r="C2534">
        <v>1.58</v>
      </c>
      <c r="D2534">
        <v>3.22</v>
      </c>
      <c r="E2534">
        <v>0.05</v>
      </c>
      <c r="F2534">
        <v>3.22</v>
      </c>
      <c r="G2534">
        <v>3.23</v>
      </c>
      <c r="H2534">
        <v>82212</v>
      </c>
      <c r="I2534">
        <v>414</v>
      </c>
      <c r="J2534">
        <v>0</v>
      </c>
      <c r="K2534">
        <v>0.42</v>
      </c>
      <c r="L2534">
        <v>3.16</v>
      </c>
      <c r="M2534">
        <v>3.32</v>
      </c>
      <c r="N2534">
        <v>3.16</v>
      </c>
      <c r="O2534">
        <v>3.17</v>
      </c>
      <c r="P2534">
        <v>27.38</v>
      </c>
      <c r="Q2534">
        <v>26739642</v>
      </c>
      <c r="R2534">
        <v>0.89</v>
      </c>
      <c r="S2534" t="s">
        <v>1839</v>
      </c>
      <c r="T2534" t="s">
        <v>434</v>
      </c>
      <c r="U2534">
        <v>5.05</v>
      </c>
      <c r="V2534">
        <v>3.25</v>
      </c>
      <c r="W2534">
        <v>40342</v>
      </c>
      <c r="X2534">
        <v>41870</v>
      </c>
      <c r="Y2534">
        <v>0.96</v>
      </c>
      <c r="Z2534">
        <v>2513</v>
      </c>
      <c r="AA2534">
        <v>903</v>
      </c>
      <c r="AB2534" t="s">
        <v>116</v>
      </c>
      <c r="AC2534">
        <v>282200</v>
      </c>
      <c r="AD2534">
        <v>0.01</v>
      </c>
      <c r="AE2534" t="s">
        <v>116</v>
      </c>
      <c r="AF2534" t="s">
        <v>116</v>
      </c>
      <c r="AG2534">
        <v>19.72</v>
      </c>
      <c r="AH2534" t="s">
        <v>11613</v>
      </c>
      <c r="AI2534" t="s">
        <v>11613</v>
      </c>
      <c r="AJ2534">
        <v>1.65</v>
      </c>
      <c r="AK2534">
        <v>756</v>
      </c>
      <c r="AL2534">
        <v>109</v>
      </c>
      <c r="AM2534">
        <v>5.9999999999999995E-4</v>
      </c>
      <c r="AN2534">
        <v>2</v>
      </c>
      <c r="AO2534">
        <v>0</v>
      </c>
      <c r="AP2534">
        <v>13.78</v>
      </c>
      <c r="AQ2534">
        <v>15.83</v>
      </c>
      <c r="AR2534">
        <v>28.8</v>
      </c>
      <c r="AS2534">
        <v>0.65</v>
      </c>
      <c r="AT2534" t="s">
        <v>487</v>
      </c>
      <c r="AU2534">
        <v>2.1800000000000002</v>
      </c>
      <c r="AV2534">
        <v>2.44</v>
      </c>
      <c r="AW2534">
        <v>0.78</v>
      </c>
      <c r="BA2534">
        <v>-0.32</v>
      </c>
      <c r="BB2534">
        <v>4.7300000000000004</v>
      </c>
      <c r="BC2534">
        <v>-0.32</v>
      </c>
      <c r="BD2534">
        <v>2.6</v>
      </c>
      <c r="BE2534">
        <v>1.9</v>
      </c>
      <c r="BF2534">
        <v>-3.01</v>
      </c>
      <c r="BG2534">
        <v>1.9</v>
      </c>
      <c r="BH2534">
        <v>-1.03</v>
      </c>
      <c r="BI2534">
        <v>20191026</v>
      </c>
      <c r="BJ2534">
        <v>20001229</v>
      </c>
      <c r="BK2534">
        <v>19.72</v>
      </c>
      <c r="BL2534" t="s">
        <v>116</v>
      </c>
      <c r="BM2534" t="s">
        <v>116</v>
      </c>
      <c r="BN2534">
        <v>84.53</v>
      </c>
      <c r="BO2534">
        <v>43.49</v>
      </c>
      <c r="BP2534">
        <v>0</v>
      </c>
      <c r="BQ2534">
        <v>48.56</v>
      </c>
      <c r="BR2534">
        <v>41.73</v>
      </c>
      <c r="BS2534">
        <v>26.18</v>
      </c>
      <c r="BT2534">
        <v>8.14</v>
      </c>
      <c r="BU2534">
        <v>12.77</v>
      </c>
      <c r="BV2534">
        <v>15.58</v>
      </c>
      <c r="BW2534">
        <v>5.73</v>
      </c>
      <c r="BX2534">
        <v>21.78</v>
      </c>
      <c r="BY2534">
        <v>43.78</v>
      </c>
      <c r="BZ2534">
        <v>38.799999999999997</v>
      </c>
      <c r="CA2534">
        <v>1.66</v>
      </c>
      <c r="CB2534">
        <v>0.09</v>
      </c>
      <c r="CC2534">
        <v>1.74</v>
      </c>
      <c r="CD2534">
        <v>1.74</v>
      </c>
      <c r="CE2534">
        <v>1.74</v>
      </c>
      <c r="CF2534">
        <v>1.66</v>
      </c>
      <c r="CG2534">
        <v>1.24</v>
      </c>
      <c r="CH2534">
        <v>6.53</v>
      </c>
      <c r="CI2534">
        <v>-2.36</v>
      </c>
      <c r="CJ2534">
        <v>91769</v>
      </c>
      <c r="CK2534">
        <v>13864</v>
      </c>
      <c r="CL2534" t="s">
        <v>8731</v>
      </c>
      <c r="CM2534">
        <v>237.85</v>
      </c>
      <c r="CN2534">
        <v>0.6</v>
      </c>
      <c r="CO2534">
        <v>1.46</v>
      </c>
      <c r="CP2534">
        <v>9.73</v>
      </c>
      <c r="CQ2534">
        <v>1.45</v>
      </c>
      <c r="CR2534">
        <v>0</v>
      </c>
      <c r="CS2534" t="s">
        <v>687</v>
      </c>
      <c r="CT2534">
        <v>2.21</v>
      </c>
      <c r="CU2534">
        <v>0</v>
      </c>
      <c r="CV2534">
        <v>1.1000000000000001</v>
      </c>
      <c r="CW2534">
        <v>0.06</v>
      </c>
      <c r="CX2534">
        <v>0.33</v>
      </c>
      <c r="CY2534">
        <v>51.44</v>
      </c>
      <c r="CZ2534" t="s">
        <v>752</v>
      </c>
      <c r="DA2534">
        <v>11.38</v>
      </c>
      <c r="DB2534">
        <v>3.79</v>
      </c>
      <c r="DC2534">
        <v>3.97</v>
      </c>
      <c r="DD2534">
        <v>0.38</v>
      </c>
      <c r="DE2534">
        <v>8242</v>
      </c>
      <c r="DF2534">
        <v>600399</v>
      </c>
      <c r="DG2534" t="s">
        <v>116</v>
      </c>
      <c r="DH2534" t="s">
        <v>116</v>
      </c>
      <c r="DI2534" t="s">
        <v>116</v>
      </c>
    </row>
    <row r="2535" spans="1:113" x14ac:dyDescent="0.4">
      <c r="A2535" t="str">
        <f>"600400"</f>
        <v>600400</v>
      </c>
      <c r="B2535" t="s">
        <v>11614</v>
      </c>
      <c r="C2535">
        <v>0</v>
      </c>
      <c r="D2535">
        <v>3.31</v>
      </c>
      <c r="E2535">
        <v>0</v>
      </c>
      <c r="F2535">
        <v>3.3</v>
      </c>
      <c r="G2535">
        <v>3.31</v>
      </c>
      <c r="H2535">
        <v>65221</v>
      </c>
      <c r="I2535">
        <v>1105</v>
      </c>
      <c r="J2535">
        <v>0.3</v>
      </c>
      <c r="K2535">
        <v>0.26</v>
      </c>
      <c r="L2535">
        <v>3.3</v>
      </c>
      <c r="M2535">
        <v>3.34</v>
      </c>
      <c r="N2535">
        <v>3.3</v>
      </c>
      <c r="O2535">
        <v>3.31</v>
      </c>
      <c r="P2535">
        <v>43.64</v>
      </c>
      <c r="Q2535">
        <v>21664844</v>
      </c>
      <c r="R2535">
        <v>1.51</v>
      </c>
      <c r="S2535" t="s">
        <v>3070</v>
      </c>
      <c r="T2535" t="s">
        <v>323</v>
      </c>
      <c r="U2535">
        <v>1.21</v>
      </c>
      <c r="V2535">
        <v>3.32</v>
      </c>
      <c r="W2535">
        <v>27886</v>
      </c>
      <c r="X2535">
        <v>37335</v>
      </c>
      <c r="Y2535">
        <v>0.75</v>
      </c>
      <c r="Z2535">
        <v>3676</v>
      </c>
      <c r="AA2535">
        <v>881</v>
      </c>
      <c r="AB2535" t="s">
        <v>116</v>
      </c>
      <c r="AC2535">
        <v>20500</v>
      </c>
      <c r="AD2535">
        <v>0</v>
      </c>
      <c r="AE2535" t="s">
        <v>116</v>
      </c>
      <c r="AF2535" t="s">
        <v>116</v>
      </c>
      <c r="AG2535">
        <v>25.33</v>
      </c>
      <c r="AH2535" t="s">
        <v>11615</v>
      </c>
      <c r="AI2535" t="s">
        <v>11615</v>
      </c>
      <c r="AJ2535">
        <v>0.08</v>
      </c>
      <c r="AK2535">
        <v>675</v>
      </c>
      <c r="AL2535">
        <v>97</v>
      </c>
      <c r="AM2535">
        <v>4.0000000000000002E-4</v>
      </c>
      <c r="AN2535">
        <v>0</v>
      </c>
      <c r="AO2535">
        <v>0.3</v>
      </c>
      <c r="AP2535">
        <v>1.85</v>
      </c>
      <c r="AQ2535">
        <v>-4.6100000000000003</v>
      </c>
      <c r="AR2535">
        <v>-10.54</v>
      </c>
      <c r="AS2535">
        <v>0.74</v>
      </c>
      <c r="AT2535" t="s">
        <v>3998</v>
      </c>
      <c r="AU2535">
        <v>47.19</v>
      </c>
      <c r="AV2535">
        <v>40.5</v>
      </c>
      <c r="AW2535">
        <v>0.33</v>
      </c>
      <c r="BA2535">
        <v>-0.3</v>
      </c>
      <c r="BB2535">
        <v>0.91</v>
      </c>
      <c r="BC2535">
        <v>-0.3</v>
      </c>
      <c r="BD2535">
        <v>0.35</v>
      </c>
      <c r="BE2535">
        <v>0.3</v>
      </c>
      <c r="BF2535">
        <v>-0.9</v>
      </c>
      <c r="BG2535">
        <v>0.3</v>
      </c>
      <c r="BH2535">
        <v>-0.35</v>
      </c>
      <c r="BI2535">
        <v>20191030</v>
      </c>
      <c r="BJ2535">
        <v>20010108</v>
      </c>
      <c r="BK2535">
        <v>25.33</v>
      </c>
      <c r="BL2535" t="s">
        <v>116</v>
      </c>
      <c r="BM2535" t="s">
        <v>116</v>
      </c>
      <c r="BN2535">
        <v>55.04</v>
      </c>
      <c r="BO2535">
        <v>41.47</v>
      </c>
      <c r="BP2535">
        <v>0.71</v>
      </c>
      <c r="BQ2535">
        <v>23.35</v>
      </c>
      <c r="BR2535">
        <v>21.71</v>
      </c>
      <c r="BS2535">
        <v>5.9</v>
      </c>
      <c r="BT2535">
        <v>1.29</v>
      </c>
      <c r="BU2535">
        <v>12.3</v>
      </c>
      <c r="BV2535">
        <v>2.27</v>
      </c>
      <c r="BW2535">
        <v>4.07</v>
      </c>
      <c r="BX2535">
        <v>7.52</v>
      </c>
      <c r="BY2535">
        <v>17.84</v>
      </c>
      <c r="BZ2535">
        <v>12.21</v>
      </c>
      <c r="CA2535">
        <v>1.76</v>
      </c>
      <c r="CB2535">
        <v>0.86</v>
      </c>
      <c r="CC2535">
        <v>1.76</v>
      </c>
      <c r="CD2535">
        <v>1.46</v>
      </c>
      <c r="CE2535">
        <v>1.44</v>
      </c>
      <c r="CF2535">
        <v>1.1399999999999999</v>
      </c>
      <c r="CG2535">
        <v>8.9499999999999993</v>
      </c>
      <c r="CH2535">
        <v>-0.38</v>
      </c>
      <c r="CI2535">
        <v>-2.37</v>
      </c>
      <c r="CJ2535">
        <v>40278</v>
      </c>
      <c r="CK2535">
        <v>21783</v>
      </c>
      <c r="CL2535" t="s">
        <v>4983</v>
      </c>
      <c r="CM2535">
        <v>-16.93</v>
      </c>
      <c r="CN2535">
        <v>5.42</v>
      </c>
      <c r="CO2535">
        <v>2.02</v>
      </c>
      <c r="CP2535">
        <v>-223.07</v>
      </c>
      <c r="CQ2535">
        <v>4.7</v>
      </c>
      <c r="CR2535">
        <v>1.45</v>
      </c>
      <c r="CS2535" t="s">
        <v>2039</v>
      </c>
      <c r="CT2535">
        <v>1.64</v>
      </c>
      <c r="CU2535">
        <v>0</v>
      </c>
      <c r="CV2535">
        <v>0.3</v>
      </c>
      <c r="CW2535">
        <v>0.35</v>
      </c>
      <c r="CX2535">
        <v>-0.01</v>
      </c>
      <c r="CY2535">
        <v>75.349999999999994</v>
      </c>
      <c r="CZ2535" t="s">
        <v>2165</v>
      </c>
      <c r="DA2535">
        <v>31.57</v>
      </c>
      <c r="DB2535">
        <v>9.85</v>
      </c>
      <c r="DC2535">
        <v>8.08</v>
      </c>
      <c r="DD2535">
        <v>7.0000000000000007E-2</v>
      </c>
      <c r="DE2535">
        <v>3781</v>
      </c>
      <c r="DF2535">
        <v>600400</v>
      </c>
      <c r="DG2535" t="s">
        <v>116</v>
      </c>
      <c r="DH2535" t="s">
        <v>116</v>
      </c>
      <c r="DI2535" t="s">
        <v>116</v>
      </c>
    </row>
    <row r="2536" spans="1:113" x14ac:dyDescent="0.4">
      <c r="A2536" t="str">
        <f>"600403"</f>
        <v>600403</v>
      </c>
      <c r="B2536" t="s">
        <v>11616</v>
      </c>
      <c r="C2536">
        <v>1.43</v>
      </c>
      <c r="D2536">
        <v>4.25</v>
      </c>
      <c r="E2536">
        <v>0.06</v>
      </c>
      <c r="F2536">
        <v>4.25</v>
      </c>
      <c r="G2536">
        <v>4.26</v>
      </c>
      <c r="H2536">
        <v>128171</v>
      </c>
      <c r="I2536">
        <v>1736</v>
      </c>
      <c r="J2536">
        <v>-0.22</v>
      </c>
      <c r="K2536">
        <v>0.54</v>
      </c>
      <c r="L2536">
        <v>4.18</v>
      </c>
      <c r="M2536">
        <v>4.29</v>
      </c>
      <c r="N2536">
        <v>4.1500000000000004</v>
      </c>
      <c r="O2536">
        <v>4.1900000000000004</v>
      </c>
      <c r="P2536">
        <v>49.91</v>
      </c>
      <c r="Q2536">
        <v>54167712</v>
      </c>
      <c r="R2536">
        <v>1.03</v>
      </c>
      <c r="S2536" t="s">
        <v>1121</v>
      </c>
      <c r="T2536" t="s">
        <v>652</v>
      </c>
      <c r="U2536">
        <v>3.34</v>
      </c>
      <c r="V2536">
        <v>4.2300000000000004</v>
      </c>
      <c r="W2536">
        <v>31276</v>
      </c>
      <c r="X2536">
        <v>96895</v>
      </c>
      <c r="Y2536">
        <v>0.32</v>
      </c>
      <c r="Z2536">
        <v>1550</v>
      </c>
      <c r="AA2536">
        <v>928</v>
      </c>
      <c r="AB2536" t="s">
        <v>116</v>
      </c>
      <c r="AC2536">
        <v>86500</v>
      </c>
      <c r="AD2536">
        <v>0.01</v>
      </c>
      <c r="AE2536" t="s">
        <v>116</v>
      </c>
      <c r="AF2536" t="s">
        <v>116</v>
      </c>
      <c r="AG2536">
        <v>23.91</v>
      </c>
      <c r="AH2536" t="s">
        <v>11617</v>
      </c>
      <c r="AI2536" t="s">
        <v>11617</v>
      </c>
      <c r="AJ2536">
        <v>1.51</v>
      </c>
      <c r="AK2536">
        <v>989</v>
      </c>
      <c r="AL2536">
        <v>130</v>
      </c>
      <c r="AM2536">
        <v>5.0000000000000001E-4</v>
      </c>
      <c r="AN2536">
        <v>1</v>
      </c>
      <c r="AO2536">
        <v>-4.49</v>
      </c>
      <c r="AP2536">
        <v>1.92</v>
      </c>
      <c r="AQ2536">
        <v>23.19</v>
      </c>
      <c r="AR2536">
        <v>18.45</v>
      </c>
      <c r="AS2536">
        <v>3.96</v>
      </c>
      <c r="AT2536" t="s">
        <v>8249</v>
      </c>
      <c r="AU2536">
        <v>77.599999999999994</v>
      </c>
      <c r="AV2536">
        <v>15.6</v>
      </c>
      <c r="AW2536">
        <v>0.7</v>
      </c>
      <c r="BA2536">
        <v>-0.24</v>
      </c>
      <c r="BB2536">
        <v>2.39</v>
      </c>
      <c r="BC2536">
        <v>-0.95</v>
      </c>
      <c r="BD2536">
        <v>0.86</v>
      </c>
      <c r="BE2536">
        <v>1.67</v>
      </c>
      <c r="BF2536">
        <v>-0.93</v>
      </c>
      <c r="BG2536">
        <v>2.41</v>
      </c>
      <c r="BH2536">
        <v>0.56999999999999995</v>
      </c>
      <c r="BI2536">
        <v>20191030</v>
      </c>
      <c r="BJ2536">
        <v>20031009</v>
      </c>
      <c r="BK2536">
        <v>23.91</v>
      </c>
      <c r="BL2536" t="s">
        <v>116</v>
      </c>
      <c r="BM2536" t="s">
        <v>116</v>
      </c>
      <c r="BN2536">
        <v>179.87</v>
      </c>
      <c r="BO2536">
        <v>85.53</v>
      </c>
      <c r="BP2536">
        <v>0.1</v>
      </c>
      <c r="BQ2536">
        <v>52.39</v>
      </c>
      <c r="BR2536">
        <v>86.7</v>
      </c>
      <c r="BS2536">
        <v>68.33</v>
      </c>
      <c r="BT2536">
        <v>11.36</v>
      </c>
      <c r="BU2536">
        <v>90.64</v>
      </c>
      <c r="BV2536">
        <v>3.57</v>
      </c>
      <c r="BW2536">
        <v>10.97</v>
      </c>
      <c r="BX2536">
        <v>3.29</v>
      </c>
      <c r="BY2536">
        <v>45.45</v>
      </c>
      <c r="BZ2536">
        <v>33.299999999999997</v>
      </c>
      <c r="CA2536">
        <v>1.33</v>
      </c>
      <c r="CB2536">
        <v>0.01</v>
      </c>
      <c r="CC2536">
        <v>1.77</v>
      </c>
      <c r="CD2536">
        <v>1.26</v>
      </c>
      <c r="CE2536">
        <v>1.53</v>
      </c>
      <c r="CF2536">
        <v>1.0900000000000001</v>
      </c>
      <c r="CG2536">
        <v>41.51</v>
      </c>
      <c r="CH2536">
        <v>3.85</v>
      </c>
      <c r="CI2536">
        <v>4.1100000000000003</v>
      </c>
      <c r="CJ2536">
        <v>19621</v>
      </c>
      <c r="CK2536">
        <v>16479</v>
      </c>
      <c r="CL2536" t="s">
        <v>2986</v>
      </c>
      <c r="CM2536">
        <v>-77.31</v>
      </c>
      <c r="CN2536">
        <v>-21.88</v>
      </c>
      <c r="CO2536">
        <v>1.19</v>
      </c>
      <c r="CP2536">
        <v>26.37</v>
      </c>
      <c r="CQ2536">
        <v>2.2400000000000002</v>
      </c>
      <c r="CR2536">
        <v>1.93</v>
      </c>
      <c r="CS2536" t="s">
        <v>1322</v>
      </c>
      <c r="CT2536">
        <v>3.58</v>
      </c>
      <c r="CU2536">
        <v>0</v>
      </c>
      <c r="CV2536">
        <v>0.14000000000000001</v>
      </c>
      <c r="CW2536">
        <v>1.74</v>
      </c>
      <c r="CX2536">
        <v>0.16</v>
      </c>
      <c r="CY2536">
        <v>47.55</v>
      </c>
      <c r="CZ2536" t="s">
        <v>11618</v>
      </c>
      <c r="DA2536">
        <v>26.72</v>
      </c>
      <c r="DB2536">
        <v>2.92</v>
      </c>
      <c r="DC2536">
        <v>3.36</v>
      </c>
      <c r="DD2536">
        <v>0.83</v>
      </c>
      <c r="DE2536">
        <v>33648</v>
      </c>
      <c r="DF2536">
        <v>600403</v>
      </c>
      <c r="DG2536" t="s">
        <v>116</v>
      </c>
      <c r="DH2536" t="s">
        <v>116</v>
      </c>
      <c r="DI2536" t="s">
        <v>116</v>
      </c>
    </row>
    <row r="2537" spans="1:113" x14ac:dyDescent="0.4">
      <c r="A2537" t="str">
        <f>"600405"</f>
        <v>600405</v>
      </c>
      <c r="B2537" t="s">
        <v>11619</v>
      </c>
      <c r="C2537">
        <v>-0.85</v>
      </c>
      <c r="D2537">
        <v>4.66</v>
      </c>
      <c r="E2537">
        <v>-0.04</v>
      </c>
      <c r="F2537">
        <v>4.6500000000000004</v>
      </c>
      <c r="G2537">
        <v>4.66</v>
      </c>
      <c r="H2537">
        <v>84758</v>
      </c>
      <c r="I2537">
        <v>823</v>
      </c>
      <c r="J2537">
        <v>-0.2</v>
      </c>
      <c r="K2537">
        <v>1.53</v>
      </c>
      <c r="L2537">
        <v>4.74</v>
      </c>
      <c r="M2537">
        <v>4.78</v>
      </c>
      <c r="N2537">
        <v>4.6500000000000004</v>
      </c>
      <c r="O2537">
        <v>4.7</v>
      </c>
      <c r="P2537">
        <v>121.42</v>
      </c>
      <c r="Q2537">
        <v>39740384</v>
      </c>
      <c r="R2537">
        <v>1.1100000000000001</v>
      </c>
      <c r="S2537" t="s">
        <v>397</v>
      </c>
      <c r="T2537" t="s">
        <v>165</v>
      </c>
      <c r="U2537">
        <v>2.77</v>
      </c>
      <c r="V2537">
        <v>4.6900000000000004</v>
      </c>
      <c r="W2537">
        <v>50311</v>
      </c>
      <c r="X2537">
        <v>34448</v>
      </c>
      <c r="Y2537">
        <v>1.46</v>
      </c>
      <c r="Z2537">
        <v>922</v>
      </c>
      <c r="AA2537">
        <v>345</v>
      </c>
      <c r="AB2537" t="s">
        <v>116</v>
      </c>
      <c r="AC2537">
        <v>441300</v>
      </c>
      <c r="AD2537">
        <v>0.02</v>
      </c>
      <c r="AE2537" t="s">
        <v>116</v>
      </c>
      <c r="AF2537" t="s">
        <v>116</v>
      </c>
      <c r="AG2537">
        <v>5.53</v>
      </c>
      <c r="AH2537" t="s">
        <v>8570</v>
      </c>
      <c r="AI2537" t="s">
        <v>11620</v>
      </c>
      <c r="AJ2537">
        <v>-0.77</v>
      </c>
      <c r="AK2537">
        <v>1622</v>
      </c>
      <c r="AL2537">
        <v>52</v>
      </c>
      <c r="AM2537">
        <v>8.9999999999999998E-4</v>
      </c>
      <c r="AN2537">
        <v>-1</v>
      </c>
      <c r="AO2537">
        <v>0.86</v>
      </c>
      <c r="AP2537">
        <v>5.67</v>
      </c>
      <c r="AQ2537">
        <v>2.64</v>
      </c>
      <c r="AR2537">
        <v>13.94</v>
      </c>
      <c r="AS2537">
        <v>1.73</v>
      </c>
      <c r="AT2537" t="s">
        <v>5709</v>
      </c>
      <c r="AU2537" t="s">
        <v>116</v>
      </c>
      <c r="AV2537" t="s">
        <v>116</v>
      </c>
      <c r="AW2537">
        <v>1.53</v>
      </c>
      <c r="BA2537">
        <v>0.85</v>
      </c>
      <c r="BB2537">
        <v>1.7</v>
      </c>
      <c r="BC2537">
        <v>-1.06</v>
      </c>
      <c r="BD2537">
        <v>-0.24</v>
      </c>
      <c r="BE2537">
        <v>-1.69</v>
      </c>
      <c r="BF2537">
        <v>-2.5099999999999998</v>
      </c>
      <c r="BG2537">
        <v>0.22</v>
      </c>
      <c r="BH2537">
        <v>-0.61</v>
      </c>
      <c r="BI2537">
        <v>20191029</v>
      </c>
      <c r="BJ2537">
        <v>20040401</v>
      </c>
      <c r="BK2537">
        <v>5.6</v>
      </c>
      <c r="BL2537" t="s">
        <v>116</v>
      </c>
      <c r="BM2537" t="s">
        <v>116</v>
      </c>
      <c r="BN2537">
        <v>26.9</v>
      </c>
      <c r="BO2537">
        <v>10.55</v>
      </c>
      <c r="BP2537">
        <v>0.23</v>
      </c>
      <c r="BQ2537">
        <v>59.91</v>
      </c>
      <c r="BR2537">
        <v>14.74</v>
      </c>
      <c r="BS2537">
        <v>9.1199999999999992</v>
      </c>
      <c r="BT2537">
        <v>1.23</v>
      </c>
      <c r="BU2537">
        <v>13.9</v>
      </c>
      <c r="BV2537">
        <v>3.6</v>
      </c>
      <c r="BW2537">
        <v>8.18</v>
      </c>
      <c r="BX2537">
        <v>5.2</v>
      </c>
      <c r="BY2537">
        <v>7.92</v>
      </c>
      <c r="BZ2537">
        <v>5.29</v>
      </c>
      <c r="CA2537">
        <v>0.17</v>
      </c>
      <c r="CB2537">
        <v>0</v>
      </c>
      <c r="CC2537">
        <v>0.2</v>
      </c>
      <c r="CD2537">
        <v>0.16</v>
      </c>
      <c r="CE2537">
        <v>0.16</v>
      </c>
      <c r="CF2537">
        <v>0.12</v>
      </c>
      <c r="CG2537">
        <v>-0.06</v>
      </c>
      <c r="CH2537">
        <v>0.65</v>
      </c>
      <c r="CI2537">
        <v>-7.0000000000000007E-2</v>
      </c>
      <c r="CJ2537">
        <v>88278</v>
      </c>
      <c r="CK2537">
        <v>5564</v>
      </c>
      <c r="CL2537" t="s">
        <v>11621</v>
      </c>
      <c r="CM2537">
        <v>137.46</v>
      </c>
      <c r="CN2537">
        <v>25.57</v>
      </c>
      <c r="CO2537">
        <v>2.4700000000000002</v>
      </c>
      <c r="CP2537">
        <v>40.01</v>
      </c>
      <c r="CQ2537">
        <v>3.29</v>
      </c>
      <c r="CR2537">
        <v>0</v>
      </c>
      <c r="CS2537" t="s">
        <v>944</v>
      </c>
      <c r="CT2537">
        <v>1.88</v>
      </c>
      <c r="CU2537">
        <v>0</v>
      </c>
      <c r="CV2537">
        <v>0.93</v>
      </c>
      <c r="CW2537">
        <v>-0.01</v>
      </c>
      <c r="CX2537">
        <v>0.12</v>
      </c>
      <c r="CY2537">
        <v>39.24</v>
      </c>
      <c r="CZ2537" t="s">
        <v>1534</v>
      </c>
      <c r="DA2537">
        <v>33.25</v>
      </c>
      <c r="DB2537">
        <v>2.1</v>
      </c>
      <c r="DC2537">
        <v>2.0299999999999998</v>
      </c>
      <c r="DD2537">
        <v>0.57999999999999996</v>
      </c>
      <c r="DE2537">
        <v>2675</v>
      </c>
      <c r="DF2537">
        <v>600405</v>
      </c>
      <c r="DG2537" t="s">
        <v>116</v>
      </c>
      <c r="DH2537" t="s">
        <v>116</v>
      </c>
      <c r="DI2537" t="s">
        <v>116</v>
      </c>
    </row>
    <row r="2538" spans="1:113" x14ac:dyDescent="0.4">
      <c r="A2538" t="str">
        <f>"600406"</f>
        <v>600406</v>
      </c>
      <c r="B2538" t="s">
        <v>11622</v>
      </c>
      <c r="C2538">
        <v>-0.83</v>
      </c>
      <c r="D2538">
        <v>21.42</v>
      </c>
      <c r="E2538">
        <v>-0.18</v>
      </c>
      <c r="F2538">
        <v>21.41</v>
      </c>
      <c r="G2538">
        <v>21.42</v>
      </c>
      <c r="H2538">
        <v>94061</v>
      </c>
      <c r="I2538">
        <v>665</v>
      </c>
      <c r="J2538">
        <v>0.09</v>
      </c>
      <c r="K2538">
        <v>0.32</v>
      </c>
      <c r="L2538">
        <v>21.58</v>
      </c>
      <c r="M2538">
        <v>21.8</v>
      </c>
      <c r="N2538">
        <v>21.38</v>
      </c>
      <c r="O2538">
        <v>21.6</v>
      </c>
      <c r="P2538">
        <v>34.6</v>
      </c>
      <c r="Q2538">
        <v>202903936</v>
      </c>
      <c r="R2538">
        <v>0.77</v>
      </c>
      <c r="S2538" t="s">
        <v>607</v>
      </c>
      <c r="T2538" t="s">
        <v>323</v>
      </c>
      <c r="U2538">
        <v>1.94</v>
      </c>
      <c r="V2538">
        <v>21.57</v>
      </c>
      <c r="W2538">
        <v>50509</v>
      </c>
      <c r="X2538">
        <v>43552</v>
      </c>
      <c r="Y2538">
        <v>1.1599999999999999</v>
      </c>
      <c r="Z2538">
        <v>225</v>
      </c>
      <c r="AA2538">
        <v>387</v>
      </c>
      <c r="AB2538" t="s">
        <v>116</v>
      </c>
      <c r="AC2538">
        <v>464000</v>
      </c>
      <c r="AD2538">
        <v>0</v>
      </c>
      <c r="AE2538" t="s">
        <v>116</v>
      </c>
      <c r="AF2538" t="s">
        <v>116</v>
      </c>
      <c r="AG2538">
        <v>29.35</v>
      </c>
      <c r="AH2538" t="s">
        <v>11623</v>
      </c>
      <c r="AI2538" t="s">
        <v>11624</v>
      </c>
      <c r="AJ2538">
        <v>-0.76</v>
      </c>
      <c r="AK2538">
        <v>3837</v>
      </c>
      <c r="AL2538">
        <v>25</v>
      </c>
      <c r="AM2538">
        <v>1E-4</v>
      </c>
      <c r="AN2538">
        <v>-2</v>
      </c>
      <c r="AO2538">
        <v>1.95</v>
      </c>
      <c r="AP2538">
        <v>-6.71</v>
      </c>
      <c r="AQ2538">
        <v>3.88</v>
      </c>
      <c r="AR2538">
        <v>17.95</v>
      </c>
      <c r="AS2538">
        <v>0.49</v>
      </c>
      <c r="AT2538" t="s">
        <v>11625</v>
      </c>
      <c r="AU2538">
        <v>24.8</v>
      </c>
      <c r="AV2538">
        <v>23.79</v>
      </c>
      <c r="AW2538">
        <v>1.06</v>
      </c>
      <c r="BA2538">
        <v>-0.09</v>
      </c>
      <c r="BB2538">
        <v>0.93</v>
      </c>
      <c r="BC2538">
        <v>-1.02</v>
      </c>
      <c r="BD2538">
        <v>-0.13</v>
      </c>
      <c r="BE2538">
        <v>-0.74</v>
      </c>
      <c r="BF2538">
        <v>-1.74</v>
      </c>
      <c r="BG2538">
        <v>0.19</v>
      </c>
      <c r="BH2538">
        <v>-0.7</v>
      </c>
      <c r="BI2538">
        <v>20191030</v>
      </c>
      <c r="BJ2538">
        <v>20031016</v>
      </c>
      <c r="BK2538">
        <v>46.22</v>
      </c>
      <c r="BL2538" t="s">
        <v>116</v>
      </c>
      <c r="BM2538" t="s">
        <v>116</v>
      </c>
      <c r="BN2538">
        <v>537.92999999999995</v>
      </c>
      <c r="BO2538">
        <v>283.01</v>
      </c>
      <c r="BP2538">
        <v>17.079999999999998</v>
      </c>
      <c r="BQ2538">
        <v>44.21</v>
      </c>
      <c r="BR2538">
        <v>406.58</v>
      </c>
      <c r="BS2538">
        <v>66.989999999999995</v>
      </c>
      <c r="BT2538">
        <v>8.1999999999999993</v>
      </c>
      <c r="BU2538">
        <v>233.61</v>
      </c>
      <c r="BV2538">
        <v>73.86</v>
      </c>
      <c r="BW2538">
        <v>189.18</v>
      </c>
      <c r="BX2538">
        <v>99.19</v>
      </c>
      <c r="BY2538">
        <v>171.8</v>
      </c>
      <c r="BZ2538">
        <v>122.12</v>
      </c>
      <c r="CA2538">
        <v>26.04</v>
      </c>
      <c r="CB2538">
        <v>0.44</v>
      </c>
      <c r="CC2538">
        <v>26.25</v>
      </c>
      <c r="CD2538">
        <v>22.84</v>
      </c>
      <c r="CE2538">
        <v>21.46</v>
      </c>
      <c r="CF2538">
        <v>20.13</v>
      </c>
      <c r="CG2538">
        <v>131.5</v>
      </c>
      <c r="CH2538">
        <v>-0.06</v>
      </c>
      <c r="CI2538">
        <v>2.74</v>
      </c>
      <c r="CJ2538">
        <v>52050</v>
      </c>
      <c r="CK2538">
        <v>37246</v>
      </c>
      <c r="CL2538" t="s">
        <v>11626</v>
      </c>
      <c r="CM2538">
        <v>-7.32</v>
      </c>
      <c r="CN2538">
        <v>0.12</v>
      </c>
      <c r="CO2538">
        <v>3.47</v>
      </c>
      <c r="CP2538">
        <v>-15715.19</v>
      </c>
      <c r="CQ2538">
        <v>5.76</v>
      </c>
      <c r="CR2538">
        <v>1.73</v>
      </c>
      <c r="CS2538" t="s">
        <v>7005</v>
      </c>
      <c r="CT2538">
        <v>6.17</v>
      </c>
      <c r="CU2538">
        <v>6.17</v>
      </c>
      <c r="CV2538">
        <v>2.15</v>
      </c>
      <c r="CW2538">
        <v>2.85</v>
      </c>
      <c r="CX2538">
        <v>0</v>
      </c>
      <c r="CY2538">
        <v>52.61</v>
      </c>
      <c r="CZ2538" t="s">
        <v>11627</v>
      </c>
      <c r="DA2538">
        <v>28.92</v>
      </c>
      <c r="DB2538">
        <v>15.16</v>
      </c>
      <c r="DC2538">
        <v>12.49</v>
      </c>
      <c r="DD2538">
        <v>10.17</v>
      </c>
      <c r="DE2538">
        <v>7074</v>
      </c>
      <c r="DF2538">
        <v>600406</v>
      </c>
      <c r="DG2538" t="s">
        <v>116</v>
      </c>
      <c r="DH2538" t="s">
        <v>116</v>
      </c>
      <c r="DI2538" t="s">
        <v>116</v>
      </c>
    </row>
    <row r="2539" spans="1:113" x14ac:dyDescent="0.4">
      <c r="A2539" t="str">
        <f>"600408"</f>
        <v>600408</v>
      </c>
      <c r="B2539" t="s">
        <v>11628</v>
      </c>
      <c r="C2539">
        <v>0.41</v>
      </c>
      <c r="D2539">
        <v>2.4300000000000002</v>
      </c>
      <c r="E2539">
        <v>0.01</v>
      </c>
      <c r="F2539">
        <v>2.42</v>
      </c>
      <c r="G2539">
        <v>2.4300000000000002</v>
      </c>
      <c r="H2539">
        <v>90616</v>
      </c>
      <c r="I2539">
        <v>1296</v>
      </c>
      <c r="J2539">
        <v>0</v>
      </c>
      <c r="K2539">
        <v>0.9</v>
      </c>
      <c r="L2539">
        <v>2.42</v>
      </c>
      <c r="M2539">
        <v>2.5099999999999998</v>
      </c>
      <c r="N2539">
        <v>2.41</v>
      </c>
      <c r="O2539">
        <v>2.42</v>
      </c>
      <c r="P2539">
        <v>11.93</v>
      </c>
      <c r="Q2539">
        <v>22203376</v>
      </c>
      <c r="R2539">
        <v>0.95</v>
      </c>
      <c r="S2539" t="s">
        <v>1927</v>
      </c>
      <c r="T2539" t="s">
        <v>675</v>
      </c>
      <c r="U2539">
        <v>4.13</v>
      </c>
      <c r="V2539">
        <v>2.4500000000000002</v>
      </c>
      <c r="W2539">
        <v>45122</v>
      </c>
      <c r="X2539">
        <v>45494</v>
      </c>
      <c r="Y2539">
        <v>0.99</v>
      </c>
      <c r="Z2539">
        <v>2917</v>
      </c>
      <c r="AA2539">
        <v>800</v>
      </c>
      <c r="AB2539" t="s">
        <v>116</v>
      </c>
      <c r="AC2539">
        <v>27800</v>
      </c>
      <c r="AD2539">
        <v>0</v>
      </c>
      <c r="AE2539" t="s">
        <v>116</v>
      </c>
      <c r="AF2539" t="s">
        <v>116</v>
      </c>
      <c r="AG2539">
        <v>10.07</v>
      </c>
      <c r="AH2539" t="s">
        <v>11629</v>
      </c>
      <c r="AI2539" t="s">
        <v>11629</v>
      </c>
      <c r="AJ2539">
        <v>0.49</v>
      </c>
      <c r="AK2539">
        <v>556</v>
      </c>
      <c r="AL2539">
        <v>163</v>
      </c>
      <c r="AM2539">
        <v>1.6000000000000001E-3</v>
      </c>
      <c r="AN2539">
        <v>1</v>
      </c>
      <c r="AO2539">
        <v>1.25</v>
      </c>
      <c r="AP2539">
        <v>10.96</v>
      </c>
      <c r="AQ2539">
        <v>7.52</v>
      </c>
      <c r="AR2539">
        <v>-6.54</v>
      </c>
      <c r="AS2539">
        <v>1.32</v>
      </c>
      <c r="AT2539" t="s">
        <v>9650</v>
      </c>
      <c r="AU2539">
        <v>6.05</v>
      </c>
      <c r="AV2539">
        <v>2.98</v>
      </c>
      <c r="AW2539">
        <v>1.22</v>
      </c>
      <c r="BA2539">
        <v>0</v>
      </c>
      <c r="BB2539">
        <v>3.72</v>
      </c>
      <c r="BC2539">
        <v>-0.41</v>
      </c>
      <c r="BD2539">
        <v>1.25</v>
      </c>
      <c r="BE2539">
        <v>0.41</v>
      </c>
      <c r="BF2539">
        <v>-3.19</v>
      </c>
      <c r="BG2539">
        <v>0.83</v>
      </c>
      <c r="BH2539">
        <v>-0.84</v>
      </c>
      <c r="BI2539">
        <v>20191026</v>
      </c>
      <c r="BJ2539">
        <v>20030212</v>
      </c>
      <c r="BK2539">
        <v>10.07</v>
      </c>
      <c r="BL2539" t="s">
        <v>116</v>
      </c>
      <c r="BM2539" t="s">
        <v>116</v>
      </c>
      <c r="BN2539">
        <v>57.13</v>
      </c>
      <c r="BO2539">
        <v>16.47</v>
      </c>
      <c r="BP2539">
        <v>0.02</v>
      </c>
      <c r="BQ2539">
        <v>71.14</v>
      </c>
      <c r="BR2539">
        <v>25.41</v>
      </c>
      <c r="BS2539">
        <v>26.58</v>
      </c>
      <c r="BT2539">
        <v>1.76</v>
      </c>
      <c r="BU2539">
        <v>35</v>
      </c>
      <c r="BV2539">
        <v>4.04</v>
      </c>
      <c r="BW2539">
        <v>14.6</v>
      </c>
      <c r="BX2539">
        <v>14.52</v>
      </c>
      <c r="BY2539">
        <v>71.760000000000005</v>
      </c>
      <c r="BZ2539">
        <v>65.959999999999994</v>
      </c>
      <c r="CA2539">
        <v>2.1</v>
      </c>
      <c r="CB2539">
        <v>0</v>
      </c>
      <c r="CC2539">
        <v>1.58</v>
      </c>
      <c r="CD2539">
        <v>1.54</v>
      </c>
      <c r="CE2539">
        <v>1.54</v>
      </c>
      <c r="CF2539">
        <v>1.98</v>
      </c>
      <c r="CG2539">
        <v>-9.4600000000000009</v>
      </c>
      <c r="CH2539">
        <v>1.18</v>
      </c>
      <c r="CI2539">
        <v>0.26</v>
      </c>
      <c r="CJ2539">
        <v>61368</v>
      </c>
      <c r="CK2539">
        <v>11227</v>
      </c>
      <c r="CL2539" t="s">
        <v>1474</v>
      </c>
      <c r="CM2539">
        <v>-73</v>
      </c>
      <c r="CN2539">
        <v>12.5</v>
      </c>
      <c r="CO2539">
        <v>1.49</v>
      </c>
      <c r="CP2539">
        <v>20.65</v>
      </c>
      <c r="CQ2539">
        <v>0.34</v>
      </c>
      <c r="CR2539">
        <v>0</v>
      </c>
      <c r="CS2539" t="s">
        <v>2716</v>
      </c>
      <c r="CT2539">
        <v>1.64</v>
      </c>
      <c r="CU2539">
        <v>0</v>
      </c>
      <c r="CV2539">
        <v>1.44</v>
      </c>
      <c r="CW2539">
        <v>-0.94</v>
      </c>
      <c r="CX2539">
        <v>0.12</v>
      </c>
      <c r="CY2539">
        <v>28.82</v>
      </c>
      <c r="CZ2539" t="s">
        <v>7529</v>
      </c>
      <c r="DA2539">
        <v>8.08</v>
      </c>
      <c r="DB2539">
        <v>2.93</v>
      </c>
      <c r="DC2539">
        <v>2.14</v>
      </c>
      <c r="DD2539">
        <v>0</v>
      </c>
      <c r="DE2539">
        <v>2480</v>
      </c>
      <c r="DF2539">
        <v>600408</v>
      </c>
      <c r="DG2539" t="s">
        <v>116</v>
      </c>
      <c r="DH2539" t="s">
        <v>116</v>
      </c>
      <c r="DI2539" t="s">
        <v>116</v>
      </c>
    </row>
    <row r="2540" spans="1:113" x14ac:dyDescent="0.4">
      <c r="A2540" t="str">
        <f>"600409"</f>
        <v>600409</v>
      </c>
      <c r="B2540" t="s">
        <v>11630</v>
      </c>
      <c r="C2540">
        <v>2.16</v>
      </c>
      <c r="D2540">
        <v>6.14</v>
      </c>
      <c r="E2540">
        <v>0.13</v>
      </c>
      <c r="F2540">
        <v>6.13</v>
      </c>
      <c r="G2540">
        <v>6.14</v>
      </c>
      <c r="H2540">
        <v>407753</v>
      </c>
      <c r="I2540">
        <v>3425</v>
      </c>
      <c r="J2540">
        <v>0</v>
      </c>
      <c r="K2540">
        <v>2</v>
      </c>
      <c r="L2540">
        <v>5.98</v>
      </c>
      <c r="M2540">
        <v>6.18</v>
      </c>
      <c r="N2540">
        <v>5.98</v>
      </c>
      <c r="O2540">
        <v>6.01</v>
      </c>
      <c r="P2540">
        <v>18.010000000000002</v>
      </c>
      <c r="Q2540">
        <v>248998064</v>
      </c>
      <c r="R2540">
        <v>2.0699999999999998</v>
      </c>
      <c r="S2540" t="s">
        <v>891</v>
      </c>
      <c r="T2540" t="s">
        <v>608</v>
      </c>
      <c r="U2540">
        <v>3.33</v>
      </c>
      <c r="V2540">
        <v>6.11</v>
      </c>
      <c r="W2540">
        <v>167308</v>
      </c>
      <c r="X2540">
        <v>240445</v>
      </c>
      <c r="Y2540">
        <v>0.7</v>
      </c>
      <c r="Z2540">
        <v>700</v>
      </c>
      <c r="AA2540">
        <v>930</v>
      </c>
      <c r="AB2540" t="s">
        <v>116</v>
      </c>
      <c r="AC2540">
        <v>241000</v>
      </c>
      <c r="AD2540">
        <v>0</v>
      </c>
      <c r="AE2540" t="s">
        <v>116</v>
      </c>
      <c r="AF2540" t="s">
        <v>116</v>
      </c>
      <c r="AG2540">
        <v>20.37</v>
      </c>
      <c r="AH2540" t="s">
        <v>11631</v>
      </c>
      <c r="AI2540" t="s">
        <v>11632</v>
      </c>
      <c r="AJ2540">
        <v>2.2400000000000002</v>
      </c>
      <c r="AK2540">
        <v>3441</v>
      </c>
      <c r="AL2540">
        <v>118</v>
      </c>
      <c r="AM2540">
        <v>5.9999999999999995E-4</v>
      </c>
      <c r="AN2540">
        <v>2</v>
      </c>
      <c r="AO2540">
        <v>3.88</v>
      </c>
      <c r="AP2540">
        <v>9.64</v>
      </c>
      <c r="AQ2540">
        <v>18.760000000000002</v>
      </c>
      <c r="AR2540">
        <v>11.86</v>
      </c>
      <c r="AS2540">
        <v>3.61</v>
      </c>
      <c r="AT2540" t="s">
        <v>11633</v>
      </c>
      <c r="AU2540">
        <v>22.24</v>
      </c>
      <c r="AV2540">
        <v>7.99</v>
      </c>
      <c r="AW2540">
        <v>1.37</v>
      </c>
      <c r="BA2540">
        <v>-0.5</v>
      </c>
      <c r="BB2540">
        <v>2.83</v>
      </c>
      <c r="BC2540">
        <v>-0.5</v>
      </c>
      <c r="BD2540">
        <v>1.61</v>
      </c>
      <c r="BE2540">
        <v>2.68</v>
      </c>
      <c r="BF2540">
        <v>-0.65</v>
      </c>
      <c r="BG2540">
        <v>2.68</v>
      </c>
      <c r="BH2540">
        <v>0.56000000000000005</v>
      </c>
      <c r="BI2540">
        <v>20191030</v>
      </c>
      <c r="BJ2540">
        <v>20030618</v>
      </c>
      <c r="BK2540">
        <v>20.64</v>
      </c>
      <c r="BL2540" t="s">
        <v>116</v>
      </c>
      <c r="BM2540" t="s">
        <v>116</v>
      </c>
      <c r="BN2540">
        <v>255.58</v>
      </c>
      <c r="BO2540">
        <v>111.12</v>
      </c>
      <c r="BP2540">
        <v>7.99</v>
      </c>
      <c r="BQ2540">
        <v>53.4</v>
      </c>
      <c r="BR2540">
        <v>80.62</v>
      </c>
      <c r="BS2540">
        <v>152.53</v>
      </c>
      <c r="BT2540">
        <v>8.4499999999999993</v>
      </c>
      <c r="BU2540">
        <v>86.35</v>
      </c>
      <c r="BV2540">
        <v>19.61</v>
      </c>
      <c r="BW2540">
        <v>5.88</v>
      </c>
      <c r="BX2540">
        <v>35.450000000000003</v>
      </c>
      <c r="BY2540">
        <v>154.78</v>
      </c>
      <c r="BZ2540">
        <v>123.82</v>
      </c>
      <c r="CA2540">
        <v>7.37</v>
      </c>
      <c r="CB2540">
        <v>0.01</v>
      </c>
      <c r="CC2540">
        <v>7.43</v>
      </c>
      <c r="CD2540">
        <v>6.04</v>
      </c>
      <c r="CE2540">
        <v>5.28</v>
      </c>
      <c r="CF2540">
        <v>5.22</v>
      </c>
      <c r="CG2540">
        <v>50.7</v>
      </c>
      <c r="CH2540">
        <v>2.66</v>
      </c>
      <c r="CI2540">
        <v>-0.82</v>
      </c>
      <c r="CJ2540">
        <v>79714</v>
      </c>
      <c r="CK2540">
        <v>14173</v>
      </c>
      <c r="CL2540" t="s">
        <v>585</v>
      </c>
      <c r="CM2540">
        <v>-65.819999999999993</v>
      </c>
      <c r="CN2540">
        <v>3.6</v>
      </c>
      <c r="CO2540">
        <v>1.1399999999999999</v>
      </c>
      <c r="CP2540">
        <v>47.58</v>
      </c>
      <c r="CQ2540">
        <v>0.82</v>
      </c>
      <c r="CR2540">
        <v>3.76</v>
      </c>
      <c r="CS2540" t="s">
        <v>3081</v>
      </c>
      <c r="CT2540">
        <v>5.38</v>
      </c>
      <c r="CU2540">
        <v>0</v>
      </c>
      <c r="CV2540">
        <v>1.72</v>
      </c>
      <c r="CW2540">
        <v>2.46</v>
      </c>
      <c r="CX2540">
        <v>0.13</v>
      </c>
      <c r="CY2540">
        <v>43.48</v>
      </c>
      <c r="CZ2540" t="s">
        <v>11634</v>
      </c>
      <c r="DA2540">
        <v>20.010000000000002</v>
      </c>
      <c r="DB2540">
        <v>4.76</v>
      </c>
      <c r="DC2540">
        <v>3.41</v>
      </c>
      <c r="DD2540">
        <v>0.33</v>
      </c>
      <c r="DE2540">
        <v>17595</v>
      </c>
      <c r="DF2540">
        <v>600409</v>
      </c>
      <c r="DG2540" t="s">
        <v>116</v>
      </c>
      <c r="DH2540" t="s">
        <v>116</v>
      </c>
      <c r="DI2540" t="s">
        <v>116</v>
      </c>
    </row>
    <row r="2541" spans="1:113" x14ac:dyDescent="0.4">
      <c r="A2541" t="str">
        <f>"600410"</f>
        <v>600410</v>
      </c>
      <c r="B2541" t="s">
        <v>11635</v>
      </c>
      <c r="C2541">
        <v>-2.29</v>
      </c>
      <c r="D2541">
        <v>10.25</v>
      </c>
      <c r="E2541">
        <v>-0.24</v>
      </c>
      <c r="F2541">
        <v>10.25</v>
      </c>
      <c r="G2541">
        <v>10.26</v>
      </c>
      <c r="H2541">
        <v>355728</v>
      </c>
      <c r="I2541">
        <v>5743</v>
      </c>
      <c r="J2541">
        <v>-0.38</v>
      </c>
      <c r="K2541">
        <v>3.24</v>
      </c>
      <c r="L2541">
        <v>10.53</v>
      </c>
      <c r="M2541">
        <v>10.65</v>
      </c>
      <c r="N2541">
        <v>10.23</v>
      </c>
      <c r="O2541">
        <v>10.49</v>
      </c>
      <c r="P2541">
        <v>31.07</v>
      </c>
      <c r="Q2541">
        <v>371647712</v>
      </c>
      <c r="R2541">
        <v>1.04</v>
      </c>
      <c r="S2541" t="s">
        <v>607</v>
      </c>
      <c r="T2541" t="s">
        <v>165</v>
      </c>
      <c r="U2541">
        <v>4</v>
      </c>
      <c r="V2541">
        <v>10.45</v>
      </c>
      <c r="W2541">
        <v>215565</v>
      </c>
      <c r="X2541">
        <v>140165</v>
      </c>
      <c r="Y2541">
        <v>1.54</v>
      </c>
      <c r="Z2541">
        <v>816</v>
      </c>
      <c r="AA2541">
        <v>756</v>
      </c>
      <c r="AB2541" t="s">
        <v>116</v>
      </c>
      <c r="AC2541">
        <v>1362600</v>
      </c>
      <c r="AD2541">
        <v>0.01</v>
      </c>
      <c r="AE2541" t="s">
        <v>116</v>
      </c>
      <c r="AF2541" t="s">
        <v>116</v>
      </c>
      <c r="AG2541">
        <v>10.99</v>
      </c>
      <c r="AH2541" t="s">
        <v>11636</v>
      </c>
      <c r="AI2541" t="s">
        <v>11636</v>
      </c>
      <c r="AJ2541">
        <v>-2.21</v>
      </c>
      <c r="AK2541">
        <v>3780</v>
      </c>
      <c r="AL2541">
        <v>94</v>
      </c>
      <c r="AM2541">
        <v>8.9999999999999998E-4</v>
      </c>
      <c r="AN2541">
        <v>-2</v>
      </c>
      <c r="AO2541">
        <v>-0.88</v>
      </c>
      <c r="AP2541">
        <v>2.4</v>
      </c>
      <c r="AQ2541">
        <v>-9.0500000000000007</v>
      </c>
      <c r="AR2541">
        <v>74.91</v>
      </c>
      <c r="AS2541">
        <v>3.68</v>
      </c>
      <c r="AT2541" t="s">
        <v>11637</v>
      </c>
      <c r="AU2541" t="s">
        <v>116</v>
      </c>
      <c r="AV2541" t="s">
        <v>116</v>
      </c>
      <c r="AW2541">
        <v>2.35</v>
      </c>
      <c r="BA2541">
        <v>0.38</v>
      </c>
      <c r="BB2541">
        <v>1.53</v>
      </c>
      <c r="BC2541">
        <v>-2.48</v>
      </c>
      <c r="BD2541">
        <v>-0.4</v>
      </c>
      <c r="BE2541">
        <v>-2.66</v>
      </c>
      <c r="BF2541">
        <v>-3.76</v>
      </c>
      <c r="BG2541">
        <v>0.2</v>
      </c>
      <c r="BH2541">
        <v>-1.88</v>
      </c>
      <c r="BI2541">
        <v>20191025</v>
      </c>
      <c r="BJ2541">
        <v>20040427</v>
      </c>
      <c r="BK2541">
        <v>10.99</v>
      </c>
      <c r="BL2541" t="s">
        <v>116</v>
      </c>
      <c r="BM2541" t="s">
        <v>116</v>
      </c>
      <c r="BN2541">
        <v>101.62</v>
      </c>
      <c r="BO2541">
        <v>49.94</v>
      </c>
      <c r="BP2541">
        <v>6.81</v>
      </c>
      <c r="BQ2541">
        <v>44.16</v>
      </c>
      <c r="BR2541">
        <v>55.7</v>
      </c>
      <c r="BS2541">
        <v>3.98</v>
      </c>
      <c r="BT2541">
        <v>6.05</v>
      </c>
      <c r="BU2541">
        <v>38.299999999999997</v>
      </c>
      <c r="BV2541">
        <v>7.99</v>
      </c>
      <c r="BW2541">
        <v>19.29</v>
      </c>
      <c r="BX2541">
        <v>25.5</v>
      </c>
      <c r="BY2541">
        <v>33.409999999999997</v>
      </c>
      <c r="BZ2541">
        <v>26.94</v>
      </c>
      <c r="CA2541">
        <v>2.86</v>
      </c>
      <c r="CB2541">
        <v>3.92</v>
      </c>
      <c r="CC2541">
        <v>2.87</v>
      </c>
      <c r="CD2541">
        <v>2.67</v>
      </c>
      <c r="CE2541">
        <v>2.72</v>
      </c>
      <c r="CF2541">
        <v>2.12</v>
      </c>
      <c r="CG2541">
        <v>11.17</v>
      </c>
      <c r="CH2541">
        <v>-1.32</v>
      </c>
      <c r="CI2541">
        <v>-3</v>
      </c>
      <c r="CJ2541">
        <v>137200</v>
      </c>
      <c r="CK2541">
        <v>7037</v>
      </c>
      <c r="CL2541" t="s">
        <v>4983</v>
      </c>
      <c r="CM2541">
        <v>431.12</v>
      </c>
      <c r="CN2541">
        <v>-11.21</v>
      </c>
      <c r="CO2541">
        <v>2.2599999999999998</v>
      </c>
      <c r="CP2541">
        <v>-85.02</v>
      </c>
      <c r="CQ2541">
        <v>3.37</v>
      </c>
      <c r="CR2541">
        <v>0</v>
      </c>
      <c r="CS2541" t="s">
        <v>4428</v>
      </c>
      <c r="CT2541">
        <v>4.54</v>
      </c>
      <c r="CU2541">
        <v>4.54</v>
      </c>
      <c r="CV2541">
        <v>2.3199999999999998</v>
      </c>
      <c r="CW2541">
        <v>1.02</v>
      </c>
      <c r="CX2541">
        <v>-0.12</v>
      </c>
      <c r="CY2541">
        <v>49.14</v>
      </c>
      <c r="CZ2541" t="s">
        <v>11638</v>
      </c>
      <c r="DA2541">
        <v>19.38</v>
      </c>
      <c r="DB2541">
        <v>8.56</v>
      </c>
      <c r="DC2541">
        <v>8.14</v>
      </c>
      <c r="DD2541">
        <v>0.84</v>
      </c>
      <c r="DE2541">
        <v>3911</v>
      </c>
      <c r="DF2541">
        <v>600410</v>
      </c>
      <c r="DG2541" t="s">
        <v>116</v>
      </c>
      <c r="DH2541" t="s">
        <v>116</v>
      </c>
      <c r="DI2541" t="s">
        <v>116</v>
      </c>
    </row>
    <row r="2542" spans="1:113" x14ac:dyDescent="0.4">
      <c r="A2542" t="str">
        <f>"600415"</f>
        <v>600415</v>
      </c>
      <c r="B2542" t="s">
        <v>11639</v>
      </c>
      <c r="C2542">
        <v>-0.52</v>
      </c>
      <c r="D2542">
        <v>3.84</v>
      </c>
      <c r="E2542">
        <v>-0.02</v>
      </c>
      <c r="F2542">
        <v>3.83</v>
      </c>
      <c r="G2542">
        <v>3.84</v>
      </c>
      <c r="H2542">
        <v>113413</v>
      </c>
      <c r="I2542">
        <v>646</v>
      </c>
      <c r="J2542">
        <v>0.26</v>
      </c>
      <c r="K2542">
        <v>0.21</v>
      </c>
      <c r="L2542">
        <v>3.87</v>
      </c>
      <c r="M2542">
        <v>3.9</v>
      </c>
      <c r="N2542">
        <v>3.82</v>
      </c>
      <c r="O2542">
        <v>3.86</v>
      </c>
      <c r="P2542">
        <v>15.34</v>
      </c>
      <c r="Q2542">
        <v>43834416</v>
      </c>
      <c r="R2542">
        <v>0.95</v>
      </c>
      <c r="S2542" t="s">
        <v>4871</v>
      </c>
      <c r="T2542" t="s">
        <v>590</v>
      </c>
      <c r="U2542">
        <v>2.0699999999999998</v>
      </c>
      <c r="V2542">
        <v>3.87</v>
      </c>
      <c r="W2542">
        <v>65534</v>
      </c>
      <c r="X2542">
        <v>47879</v>
      </c>
      <c r="Y2542">
        <v>1.37</v>
      </c>
      <c r="Z2542">
        <v>408</v>
      </c>
      <c r="AA2542">
        <v>3</v>
      </c>
      <c r="AB2542" t="s">
        <v>116</v>
      </c>
      <c r="AC2542">
        <v>303100</v>
      </c>
      <c r="AD2542">
        <v>0</v>
      </c>
      <c r="AE2542" t="s">
        <v>116</v>
      </c>
      <c r="AF2542" t="s">
        <v>116</v>
      </c>
      <c r="AG2542">
        <v>54.43</v>
      </c>
      <c r="AH2542" t="s">
        <v>11640</v>
      </c>
      <c r="AI2542" t="s">
        <v>11640</v>
      </c>
      <c r="AJ2542">
        <v>-0.44</v>
      </c>
      <c r="AK2542">
        <v>1923</v>
      </c>
      <c r="AL2542">
        <v>59</v>
      </c>
      <c r="AM2542">
        <v>1E-4</v>
      </c>
      <c r="AN2542">
        <v>-1</v>
      </c>
      <c r="AO2542">
        <v>0.52</v>
      </c>
      <c r="AP2542">
        <v>0.79</v>
      </c>
      <c r="AQ2542">
        <v>0.52</v>
      </c>
      <c r="AR2542">
        <v>11.95</v>
      </c>
      <c r="AS2542">
        <v>0.5</v>
      </c>
      <c r="AT2542" t="s">
        <v>11641</v>
      </c>
      <c r="AU2542">
        <v>28.02</v>
      </c>
      <c r="AV2542">
        <v>19.309999999999999</v>
      </c>
      <c r="AW2542">
        <v>0.73</v>
      </c>
      <c r="BA2542">
        <v>0.26</v>
      </c>
      <c r="BB2542">
        <v>1.04</v>
      </c>
      <c r="BC2542">
        <v>-1.04</v>
      </c>
      <c r="BD2542">
        <v>0.13</v>
      </c>
      <c r="BE2542">
        <v>-0.78</v>
      </c>
      <c r="BF2542">
        <v>-1.54</v>
      </c>
      <c r="BG2542">
        <v>0.52</v>
      </c>
      <c r="BH2542">
        <v>-0.65</v>
      </c>
      <c r="BI2542">
        <v>20191030</v>
      </c>
      <c r="BJ2542">
        <v>20020509</v>
      </c>
      <c r="BK2542">
        <v>54.43</v>
      </c>
      <c r="BL2542" t="s">
        <v>116</v>
      </c>
      <c r="BM2542" t="s">
        <v>116</v>
      </c>
      <c r="BN2542">
        <v>309.07</v>
      </c>
      <c r="BO2542">
        <v>125.82</v>
      </c>
      <c r="BP2542">
        <v>0.62</v>
      </c>
      <c r="BQ2542">
        <v>59.09</v>
      </c>
      <c r="BR2542">
        <v>158.26</v>
      </c>
      <c r="BS2542">
        <v>48.06</v>
      </c>
      <c r="BT2542">
        <v>36.299999999999997</v>
      </c>
      <c r="BU2542">
        <v>138.9</v>
      </c>
      <c r="BV2542">
        <v>41.55</v>
      </c>
      <c r="BW2542">
        <v>0.22</v>
      </c>
      <c r="BX2542">
        <v>15.18</v>
      </c>
      <c r="BY2542">
        <v>30.99</v>
      </c>
      <c r="BZ2542">
        <v>11.58</v>
      </c>
      <c r="CA2542">
        <v>13.6</v>
      </c>
      <c r="CB2542">
        <v>0.9</v>
      </c>
      <c r="CC2542">
        <v>14.03</v>
      </c>
      <c r="CD2542">
        <v>10.14</v>
      </c>
      <c r="CE2542">
        <v>10.220000000000001</v>
      </c>
      <c r="CF2542">
        <v>7.25</v>
      </c>
      <c r="CG2542">
        <v>44.99</v>
      </c>
      <c r="CH2542">
        <v>-9.56</v>
      </c>
      <c r="CI2542">
        <v>13.59</v>
      </c>
      <c r="CJ2542">
        <v>191920</v>
      </c>
      <c r="CK2542">
        <v>11763</v>
      </c>
      <c r="CL2542" t="s">
        <v>5566</v>
      </c>
      <c r="CM2542">
        <v>-24.78</v>
      </c>
      <c r="CN2542">
        <v>18.28</v>
      </c>
      <c r="CO2542">
        <v>1.66</v>
      </c>
      <c r="CP2542">
        <v>-21.86</v>
      </c>
      <c r="CQ2542">
        <v>6.75</v>
      </c>
      <c r="CR2542">
        <v>1.56</v>
      </c>
      <c r="CS2542" t="s">
        <v>3067</v>
      </c>
      <c r="CT2542">
        <v>2.31</v>
      </c>
      <c r="CU2542">
        <v>0</v>
      </c>
      <c r="CV2542">
        <v>0.28000000000000003</v>
      </c>
      <c r="CW2542">
        <v>0.83</v>
      </c>
      <c r="CX2542">
        <v>-0.18</v>
      </c>
      <c r="CY2542">
        <v>40.71</v>
      </c>
      <c r="CZ2542" t="s">
        <v>11642</v>
      </c>
      <c r="DA2542">
        <v>62.63</v>
      </c>
      <c r="DB2542">
        <v>43.89</v>
      </c>
      <c r="DC2542">
        <v>32.979999999999997</v>
      </c>
      <c r="DD2542">
        <v>0.08</v>
      </c>
      <c r="DE2542">
        <v>4691</v>
      </c>
      <c r="DF2542">
        <v>600415</v>
      </c>
      <c r="DG2542" t="s">
        <v>116</v>
      </c>
      <c r="DH2542" t="s">
        <v>116</v>
      </c>
      <c r="DI2542" t="s">
        <v>116</v>
      </c>
    </row>
    <row r="2543" spans="1:113" x14ac:dyDescent="0.4">
      <c r="A2543" t="str">
        <f>"600416"</f>
        <v>600416</v>
      </c>
      <c r="B2543" t="s">
        <v>11643</v>
      </c>
      <c r="C2543">
        <v>0.28999999999999998</v>
      </c>
      <c r="D2543">
        <v>6.95</v>
      </c>
      <c r="E2543">
        <v>0.02</v>
      </c>
      <c r="F2543">
        <v>6.95</v>
      </c>
      <c r="G2543">
        <v>6.97</v>
      </c>
      <c r="H2543">
        <v>93486</v>
      </c>
      <c r="I2543">
        <v>555</v>
      </c>
      <c r="J2543">
        <v>-0.7</v>
      </c>
      <c r="K2543">
        <v>0.99</v>
      </c>
      <c r="L2543">
        <v>6.89</v>
      </c>
      <c r="M2543">
        <v>7.11</v>
      </c>
      <c r="N2543">
        <v>6.8</v>
      </c>
      <c r="O2543">
        <v>6.93</v>
      </c>
      <c r="P2543" t="s">
        <v>116</v>
      </c>
      <c r="Q2543">
        <v>65313932</v>
      </c>
      <c r="R2543">
        <v>1.33</v>
      </c>
      <c r="S2543" t="s">
        <v>397</v>
      </c>
      <c r="T2543" t="s">
        <v>599</v>
      </c>
      <c r="U2543">
        <v>4.47</v>
      </c>
      <c r="V2543">
        <v>6.99</v>
      </c>
      <c r="W2543">
        <v>45093</v>
      </c>
      <c r="X2543">
        <v>48393</v>
      </c>
      <c r="Y2543">
        <v>0.93</v>
      </c>
      <c r="Z2543">
        <v>445</v>
      </c>
      <c r="AA2543">
        <v>50</v>
      </c>
      <c r="AB2543" t="s">
        <v>116</v>
      </c>
      <c r="AC2543">
        <v>53100</v>
      </c>
      <c r="AD2543">
        <v>0</v>
      </c>
      <c r="AE2543" t="s">
        <v>116</v>
      </c>
      <c r="AF2543" t="s">
        <v>116</v>
      </c>
      <c r="AG2543">
        <v>9.4600000000000009</v>
      </c>
      <c r="AH2543" t="s">
        <v>11644</v>
      </c>
      <c r="AI2543" t="s">
        <v>11644</v>
      </c>
      <c r="AJ2543">
        <v>0.37</v>
      </c>
      <c r="AK2543">
        <v>2015</v>
      </c>
      <c r="AL2543">
        <v>46</v>
      </c>
      <c r="AM2543">
        <v>5.0000000000000001E-4</v>
      </c>
      <c r="AN2543">
        <v>4</v>
      </c>
      <c r="AO2543">
        <v>6.92</v>
      </c>
      <c r="AP2543">
        <v>15.26</v>
      </c>
      <c r="AQ2543">
        <v>1.02</v>
      </c>
      <c r="AR2543">
        <v>34.69</v>
      </c>
      <c r="AS2543">
        <v>1.49</v>
      </c>
      <c r="AT2543" t="s">
        <v>11645</v>
      </c>
      <c r="AU2543" t="s">
        <v>116</v>
      </c>
      <c r="AV2543" t="s">
        <v>116</v>
      </c>
      <c r="AW2543">
        <v>0.43</v>
      </c>
      <c r="BA2543">
        <v>-0.57999999999999996</v>
      </c>
      <c r="BB2543">
        <v>2.6</v>
      </c>
      <c r="BC2543">
        <v>-1.88</v>
      </c>
      <c r="BD2543">
        <v>0.82</v>
      </c>
      <c r="BE2543">
        <v>0.87</v>
      </c>
      <c r="BF2543">
        <v>-2.25</v>
      </c>
      <c r="BG2543">
        <v>2.21</v>
      </c>
      <c r="BH2543">
        <v>-0.53</v>
      </c>
      <c r="BI2543">
        <v>20191029</v>
      </c>
      <c r="BJ2543">
        <v>20020718</v>
      </c>
      <c r="BK2543">
        <v>9.4600000000000009</v>
      </c>
      <c r="BL2543" t="s">
        <v>116</v>
      </c>
      <c r="BM2543" t="s">
        <v>116</v>
      </c>
      <c r="BN2543">
        <v>174.15</v>
      </c>
      <c r="BO2543">
        <v>33.909999999999997</v>
      </c>
      <c r="BP2543">
        <v>5.31</v>
      </c>
      <c r="BQ2543">
        <v>77.48</v>
      </c>
      <c r="BR2543">
        <v>112.52</v>
      </c>
      <c r="BS2543">
        <v>16.88</v>
      </c>
      <c r="BT2543">
        <v>7.09</v>
      </c>
      <c r="BU2543">
        <v>125.09</v>
      </c>
      <c r="BV2543">
        <v>20.48</v>
      </c>
      <c r="BW2543">
        <v>48.74</v>
      </c>
      <c r="BX2543">
        <v>48.47</v>
      </c>
      <c r="BY2543">
        <v>42</v>
      </c>
      <c r="BZ2543">
        <v>38.25</v>
      </c>
      <c r="CA2543">
        <v>-5.5</v>
      </c>
      <c r="CB2543">
        <v>1.51</v>
      </c>
      <c r="CC2543">
        <v>-8.7799999999999994</v>
      </c>
      <c r="CD2543">
        <v>-8.9600000000000009</v>
      </c>
      <c r="CE2543">
        <v>-8.9700000000000006</v>
      </c>
      <c r="CF2543">
        <v>-6.2</v>
      </c>
      <c r="CG2543">
        <v>-26.14</v>
      </c>
      <c r="CH2543">
        <v>-2.21</v>
      </c>
      <c r="CI2543">
        <v>-9.6</v>
      </c>
      <c r="CJ2543">
        <v>28739</v>
      </c>
      <c r="CK2543">
        <v>21874</v>
      </c>
      <c r="CL2543" t="s">
        <v>3487</v>
      </c>
      <c r="CM2543">
        <v>-108.68</v>
      </c>
      <c r="CN2543">
        <v>-7.15</v>
      </c>
      <c r="CO2543">
        <v>1.94</v>
      </c>
      <c r="CP2543">
        <v>-29.8</v>
      </c>
      <c r="CQ2543">
        <v>1.57</v>
      </c>
      <c r="CR2543">
        <v>0</v>
      </c>
      <c r="CS2543" t="s">
        <v>11646</v>
      </c>
      <c r="CT2543">
        <v>3.58</v>
      </c>
      <c r="CU2543">
        <v>0</v>
      </c>
      <c r="CV2543">
        <v>5.12</v>
      </c>
      <c r="CW2543">
        <v>-2.76</v>
      </c>
      <c r="CX2543">
        <v>-0.23</v>
      </c>
      <c r="CY2543">
        <v>19.47</v>
      </c>
      <c r="CZ2543" t="s">
        <v>11647</v>
      </c>
      <c r="DA2543">
        <v>8.94</v>
      </c>
      <c r="DB2543">
        <v>-13.08</v>
      </c>
      <c r="DC2543">
        <v>-21.36</v>
      </c>
      <c r="DD2543">
        <v>0.46</v>
      </c>
      <c r="DE2543">
        <v>7564</v>
      </c>
      <c r="DF2543">
        <v>600416</v>
      </c>
      <c r="DG2543" t="s">
        <v>116</v>
      </c>
      <c r="DH2543" t="s">
        <v>116</v>
      </c>
      <c r="DI2543" t="s">
        <v>116</v>
      </c>
    </row>
    <row r="2544" spans="1:113" x14ac:dyDescent="0.4">
      <c r="A2544" t="str">
        <f>"600418"</f>
        <v>600418</v>
      </c>
      <c r="B2544" t="s">
        <v>11648</v>
      </c>
      <c r="C2544">
        <v>-0.41</v>
      </c>
      <c r="D2544">
        <v>4.9000000000000004</v>
      </c>
      <c r="E2544">
        <v>-0.02</v>
      </c>
      <c r="F2544">
        <v>4.9000000000000004</v>
      </c>
      <c r="G2544">
        <v>4.91</v>
      </c>
      <c r="H2544">
        <v>149580</v>
      </c>
      <c r="I2544">
        <v>2173</v>
      </c>
      <c r="J2544">
        <v>0</v>
      </c>
      <c r="K2544">
        <v>0.79</v>
      </c>
      <c r="L2544">
        <v>4.91</v>
      </c>
      <c r="M2544">
        <v>4.9800000000000004</v>
      </c>
      <c r="N2544">
        <v>4.8899999999999997</v>
      </c>
      <c r="O2544">
        <v>4.92</v>
      </c>
      <c r="P2544">
        <v>57.2</v>
      </c>
      <c r="Q2544">
        <v>73820128</v>
      </c>
      <c r="R2544">
        <v>0.87</v>
      </c>
      <c r="S2544" t="s">
        <v>1108</v>
      </c>
      <c r="T2544" t="s">
        <v>575</v>
      </c>
      <c r="U2544">
        <v>1.83</v>
      </c>
      <c r="V2544">
        <v>4.9400000000000004</v>
      </c>
      <c r="W2544">
        <v>83211</v>
      </c>
      <c r="X2544">
        <v>66369</v>
      </c>
      <c r="Y2544">
        <v>1.25</v>
      </c>
      <c r="Z2544">
        <v>2257</v>
      </c>
      <c r="AA2544">
        <v>880</v>
      </c>
      <c r="AB2544" t="s">
        <v>116</v>
      </c>
      <c r="AC2544">
        <v>214100</v>
      </c>
      <c r="AD2544">
        <v>0</v>
      </c>
      <c r="AE2544" t="s">
        <v>116</v>
      </c>
      <c r="AF2544" t="s">
        <v>116</v>
      </c>
      <c r="AG2544">
        <v>18.93</v>
      </c>
      <c r="AH2544" t="s">
        <v>11649</v>
      </c>
      <c r="AI2544" t="s">
        <v>11649</v>
      </c>
      <c r="AJ2544">
        <v>-0.33</v>
      </c>
      <c r="AK2544">
        <v>1982</v>
      </c>
      <c r="AL2544">
        <v>75</v>
      </c>
      <c r="AM2544">
        <v>4.0000000000000002E-4</v>
      </c>
      <c r="AN2544">
        <v>-1</v>
      </c>
      <c r="AO2544">
        <v>-1.02</v>
      </c>
      <c r="AP2544">
        <v>1.87</v>
      </c>
      <c r="AQ2544">
        <v>-10.09</v>
      </c>
      <c r="AR2544">
        <v>1.87</v>
      </c>
      <c r="AS2544">
        <v>1.2</v>
      </c>
      <c r="AT2544" t="s">
        <v>11650</v>
      </c>
      <c r="AU2544" t="s">
        <v>116</v>
      </c>
      <c r="AV2544" t="s">
        <v>116</v>
      </c>
      <c r="AW2544">
        <v>0.9</v>
      </c>
      <c r="BA2544">
        <v>-0.2</v>
      </c>
      <c r="BB2544">
        <v>1.22</v>
      </c>
      <c r="BC2544">
        <v>-0.61</v>
      </c>
      <c r="BD2544">
        <v>0.31</v>
      </c>
      <c r="BE2544">
        <v>-0.2</v>
      </c>
      <c r="BF2544">
        <v>-1.61</v>
      </c>
      <c r="BG2544">
        <v>0.2</v>
      </c>
      <c r="BH2544">
        <v>-0.71</v>
      </c>
      <c r="BI2544">
        <v>20191030</v>
      </c>
      <c r="BJ2544">
        <v>20010824</v>
      </c>
      <c r="BK2544">
        <v>18.93</v>
      </c>
      <c r="BL2544" t="s">
        <v>116</v>
      </c>
      <c r="BM2544" t="s">
        <v>116</v>
      </c>
      <c r="BN2544">
        <v>470.98</v>
      </c>
      <c r="BO2544">
        <v>129.91</v>
      </c>
      <c r="BP2544">
        <v>8.19</v>
      </c>
      <c r="BQ2544">
        <v>70.680000000000007</v>
      </c>
      <c r="BR2544">
        <v>248.1</v>
      </c>
      <c r="BS2544">
        <v>119.79</v>
      </c>
      <c r="BT2544">
        <v>29.23</v>
      </c>
      <c r="BU2544">
        <v>287.45</v>
      </c>
      <c r="BV2544">
        <v>20.239999999999998</v>
      </c>
      <c r="BW2544">
        <v>56.98</v>
      </c>
      <c r="BX2544">
        <v>52.24</v>
      </c>
      <c r="BY2544">
        <v>371.87</v>
      </c>
      <c r="BZ2544">
        <v>330.86</v>
      </c>
      <c r="CA2544">
        <v>3.52</v>
      </c>
      <c r="CB2544">
        <v>1.97</v>
      </c>
      <c r="CC2544">
        <v>1.89</v>
      </c>
      <c r="CD2544">
        <v>2.56</v>
      </c>
      <c r="CE2544">
        <v>1.22</v>
      </c>
      <c r="CF2544">
        <v>-0.84</v>
      </c>
      <c r="CG2544">
        <v>41.12</v>
      </c>
      <c r="CH2544">
        <v>-23.32</v>
      </c>
      <c r="CI2544">
        <v>-23.43</v>
      </c>
      <c r="CJ2544">
        <v>79424</v>
      </c>
      <c r="CK2544">
        <v>15696</v>
      </c>
      <c r="CL2544" t="s">
        <v>9981</v>
      </c>
      <c r="CM2544">
        <v>154.33000000000001</v>
      </c>
      <c r="CN2544">
        <v>2.36</v>
      </c>
      <c r="CO2544">
        <v>0.71</v>
      </c>
      <c r="CP2544">
        <v>-3.98</v>
      </c>
      <c r="CQ2544">
        <v>0.25</v>
      </c>
      <c r="CR2544">
        <v>0</v>
      </c>
      <c r="CS2544" t="s">
        <v>1322</v>
      </c>
      <c r="CT2544">
        <v>6.86</v>
      </c>
      <c r="CU2544">
        <v>0</v>
      </c>
      <c r="CV2544">
        <v>2.76</v>
      </c>
      <c r="CW2544">
        <v>2.17</v>
      </c>
      <c r="CX2544">
        <v>-1.23</v>
      </c>
      <c r="CY2544">
        <v>27.58</v>
      </c>
      <c r="CZ2544" t="s">
        <v>1316</v>
      </c>
      <c r="DA2544">
        <v>11.03</v>
      </c>
      <c r="DB2544">
        <v>0.95</v>
      </c>
      <c r="DC2544">
        <v>0.33</v>
      </c>
      <c r="DD2544">
        <v>8.08</v>
      </c>
      <c r="DE2544">
        <v>26580</v>
      </c>
      <c r="DF2544">
        <v>600418</v>
      </c>
      <c r="DG2544" t="s">
        <v>116</v>
      </c>
      <c r="DH2544" t="s">
        <v>116</v>
      </c>
      <c r="DI2544" t="s">
        <v>116</v>
      </c>
    </row>
    <row r="2545" spans="1:113" x14ac:dyDescent="0.4">
      <c r="A2545" t="str">
        <f>"600419"</f>
        <v>600419</v>
      </c>
      <c r="B2545" t="s">
        <v>11651</v>
      </c>
      <c r="C2545">
        <v>-0.37</v>
      </c>
      <c r="D2545">
        <v>13.42</v>
      </c>
      <c r="E2545">
        <v>-0.05</v>
      </c>
      <c r="F2545">
        <v>13.41</v>
      </c>
      <c r="G2545">
        <v>13.42</v>
      </c>
      <c r="H2545">
        <v>22582</v>
      </c>
      <c r="I2545">
        <v>207</v>
      </c>
      <c r="J2545">
        <v>0</v>
      </c>
      <c r="K2545">
        <v>1.0900000000000001</v>
      </c>
      <c r="L2545">
        <v>13.46</v>
      </c>
      <c r="M2545">
        <v>13.53</v>
      </c>
      <c r="N2545">
        <v>13.39</v>
      </c>
      <c r="O2545">
        <v>13.47</v>
      </c>
      <c r="P2545">
        <v>17.72</v>
      </c>
      <c r="Q2545">
        <v>30422238</v>
      </c>
      <c r="R2545">
        <v>1.52</v>
      </c>
      <c r="S2545" t="s">
        <v>4803</v>
      </c>
      <c r="T2545" t="s">
        <v>616</v>
      </c>
      <c r="U2545">
        <v>1.04</v>
      </c>
      <c r="V2545">
        <v>13.47</v>
      </c>
      <c r="W2545">
        <v>13148</v>
      </c>
      <c r="X2545">
        <v>9434</v>
      </c>
      <c r="Y2545">
        <v>1.39</v>
      </c>
      <c r="Z2545">
        <v>5</v>
      </c>
      <c r="AA2545">
        <v>163</v>
      </c>
      <c r="AB2545" t="s">
        <v>116</v>
      </c>
      <c r="AC2545">
        <v>28300</v>
      </c>
      <c r="AD2545">
        <v>0</v>
      </c>
      <c r="AE2545" t="s">
        <v>116</v>
      </c>
      <c r="AF2545" t="s">
        <v>116</v>
      </c>
      <c r="AG2545">
        <v>2.0699999999999998</v>
      </c>
      <c r="AH2545" t="s">
        <v>346</v>
      </c>
      <c r="AI2545" t="s">
        <v>346</v>
      </c>
      <c r="AJ2545">
        <v>-0.28999999999999998</v>
      </c>
      <c r="AK2545">
        <v>830</v>
      </c>
      <c r="AL2545">
        <v>27</v>
      </c>
      <c r="AM2545">
        <v>1.2999999999999999E-3</v>
      </c>
      <c r="AN2545">
        <v>-1</v>
      </c>
      <c r="AO2545">
        <v>0</v>
      </c>
      <c r="AP2545">
        <v>0.22</v>
      </c>
      <c r="AQ2545">
        <v>-0.74</v>
      </c>
      <c r="AR2545">
        <v>-1.28</v>
      </c>
      <c r="AS2545">
        <v>2.0699999999999998</v>
      </c>
      <c r="AT2545" t="s">
        <v>6807</v>
      </c>
      <c r="AU2545">
        <v>21.79</v>
      </c>
      <c r="AV2545">
        <v>24.34</v>
      </c>
      <c r="AW2545">
        <v>0.66</v>
      </c>
      <c r="BA2545">
        <v>-7.0000000000000007E-2</v>
      </c>
      <c r="BB2545">
        <v>0.45</v>
      </c>
      <c r="BC2545">
        <v>-0.59</v>
      </c>
      <c r="BD2545">
        <v>0.01</v>
      </c>
      <c r="BE2545">
        <v>-0.3</v>
      </c>
      <c r="BF2545">
        <v>-0.81</v>
      </c>
      <c r="BG2545">
        <v>0.22</v>
      </c>
      <c r="BH2545">
        <v>-0.39</v>
      </c>
      <c r="BI2545">
        <v>20191029</v>
      </c>
      <c r="BJ2545">
        <v>20010628</v>
      </c>
      <c r="BK2545">
        <v>2.0699999999999998</v>
      </c>
      <c r="BL2545" t="s">
        <v>116</v>
      </c>
      <c r="BM2545" t="s">
        <v>116</v>
      </c>
      <c r="BN2545">
        <v>19.7</v>
      </c>
      <c r="BO2545">
        <v>10.050000000000001</v>
      </c>
      <c r="BP2545">
        <v>1.62</v>
      </c>
      <c r="BQ2545">
        <v>40.78</v>
      </c>
      <c r="BR2545">
        <v>4.51</v>
      </c>
      <c r="BS2545">
        <v>9.3800000000000008</v>
      </c>
      <c r="BT2545">
        <v>0.22</v>
      </c>
      <c r="BU2545">
        <v>6.61</v>
      </c>
      <c r="BV2545">
        <v>1.7</v>
      </c>
      <c r="BW2545">
        <v>0.59</v>
      </c>
      <c r="BX2545">
        <v>5.03</v>
      </c>
      <c r="BY2545">
        <v>12.17</v>
      </c>
      <c r="BZ2545">
        <v>8.84</v>
      </c>
      <c r="CA2545">
        <v>1.53</v>
      </c>
      <c r="CB2545">
        <v>0</v>
      </c>
      <c r="CC2545">
        <v>1.4</v>
      </c>
      <c r="CD2545">
        <v>1.22</v>
      </c>
      <c r="CE2545">
        <v>1.18</v>
      </c>
      <c r="CF2545">
        <v>1.23</v>
      </c>
      <c r="CG2545">
        <v>2.62</v>
      </c>
      <c r="CH2545">
        <v>1.02</v>
      </c>
      <c r="CI2545">
        <v>0.06</v>
      </c>
      <c r="CJ2545">
        <v>20796</v>
      </c>
      <c r="CK2545">
        <v>5258</v>
      </c>
      <c r="CL2545" t="s">
        <v>10107</v>
      </c>
      <c r="CM2545">
        <v>12.81</v>
      </c>
      <c r="CN2545">
        <v>10.16</v>
      </c>
      <c r="CO2545">
        <v>2.77</v>
      </c>
      <c r="CP2545">
        <v>27.19</v>
      </c>
      <c r="CQ2545">
        <v>2.2799999999999998</v>
      </c>
      <c r="CR2545">
        <v>1.24</v>
      </c>
      <c r="CS2545" t="s">
        <v>9634</v>
      </c>
      <c r="CT2545">
        <v>4.8499999999999996</v>
      </c>
      <c r="CU2545">
        <v>0</v>
      </c>
      <c r="CV2545">
        <v>2.4300000000000002</v>
      </c>
      <c r="CW2545">
        <v>1.27</v>
      </c>
      <c r="CX2545">
        <v>0.49</v>
      </c>
      <c r="CY2545">
        <v>50.99</v>
      </c>
      <c r="CZ2545" t="s">
        <v>5550</v>
      </c>
      <c r="DA2545">
        <v>27.39</v>
      </c>
      <c r="DB2545">
        <v>12.6</v>
      </c>
      <c r="DC2545">
        <v>9.67</v>
      </c>
      <c r="DD2545">
        <v>0.02</v>
      </c>
      <c r="DE2545">
        <v>2036</v>
      </c>
      <c r="DF2545">
        <v>600419</v>
      </c>
      <c r="DG2545" t="s">
        <v>116</v>
      </c>
      <c r="DH2545" t="s">
        <v>116</v>
      </c>
      <c r="DI2545" t="s">
        <v>116</v>
      </c>
    </row>
    <row r="2546" spans="1:113" x14ac:dyDescent="0.4">
      <c r="A2546" t="str">
        <f>"600420"</f>
        <v>600420</v>
      </c>
      <c r="B2546" t="s">
        <v>11652</v>
      </c>
      <c r="C2546">
        <v>-0.69</v>
      </c>
      <c r="D2546">
        <v>8.61</v>
      </c>
      <c r="E2546">
        <v>-0.06</v>
      </c>
      <c r="F2546">
        <v>8.61</v>
      </c>
      <c r="G2546">
        <v>8.6199999999999992</v>
      </c>
      <c r="H2546">
        <v>39225</v>
      </c>
      <c r="I2546">
        <v>138</v>
      </c>
      <c r="J2546">
        <v>0.12</v>
      </c>
      <c r="K2546">
        <v>0.68</v>
      </c>
      <c r="L2546">
        <v>8.69</v>
      </c>
      <c r="M2546">
        <v>8.73</v>
      </c>
      <c r="N2546">
        <v>8.6</v>
      </c>
      <c r="O2546">
        <v>8.67</v>
      </c>
      <c r="P2546">
        <v>11.54</v>
      </c>
      <c r="Q2546">
        <v>34026112</v>
      </c>
      <c r="R2546">
        <v>1.18</v>
      </c>
      <c r="S2546" t="s">
        <v>574</v>
      </c>
      <c r="T2546" t="s">
        <v>1653</v>
      </c>
      <c r="U2546">
        <v>1.5</v>
      </c>
      <c r="V2546">
        <v>8.67</v>
      </c>
      <c r="W2546">
        <v>23457</v>
      </c>
      <c r="X2546">
        <v>15768</v>
      </c>
      <c r="Y2546">
        <v>1.49</v>
      </c>
      <c r="Z2546">
        <v>87</v>
      </c>
      <c r="AA2546">
        <v>226</v>
      </c>
      <c r="AB2546" t="s">
        <v>116</v>
      </c>
      <c r="AC2546">
        <v>47800</v>
      </c>
      <c r="AD2546">
        <v>0</v>
      </c>
      <c r="AE2546" t="s">
        <v>116</v>
      </c>
      <c r="AF2546" t="s">
        <v>116</v>
      </c>
      <c r="AG2546">
        <v>5.75</v>
      </c>
      <c r="AH2546" t="s">
        <v>2798</v>
      </c>
      <c r="AI2546" t="s">
        <v>11653</v>
      </c>
      <c r="AJ2546">
        <v>-0.62</v>
      </c>
      <c r="AK2546">
        <v>1214</v>
      </c>
      <c r="AL2546">
        <v>32</v>
      </c>
      <c r="AM2546">
        <v>5.9999999999999995E-4</v>
      </c>
      <c r="AN2546">
        <v>-1</v>
      </c>
      <c r="AO2546">
        <v>-0.12</v>
      </c>
      <c r="AP2546">
        <v>1.89</v>
      </c>
      <c r="AQ2546">
        <v>3.24</v>
      </c>
      <c r="AR2546">
        <v>-4.76</v>
      </c>
      <c r="AS2546">
        <v>1.17</v>
      </c>
      <c r="AT2546" t="s">
        <v>11654</v>
      </c>
      <c r="AU2546">
        <v>12.57</v>
      </c>
      <c r="AV2546">
        <v>12.53</v>
      </c>
      <c r="AW2546">
        <v>1.03</v>
      </c>
      <c r="BA2546">
        <v>0.23</v>
      </c>
      <c r="BB2546">
        <v>0.69</v>
      </c>
      <c r="BC2546">
        <v>-0.81</v>
      </c>
      <c r="BD2546">
        <v>0.05</v>
      </c>
      <c r="BE2546">
        <v>-0.92</v>
      </c>
      <c r="BF2546">
        <v>-1.37</v>
      </c>
      <c r="BG2546">
        <v>0.12</v>
      </c>
      <c r="BH2546">
        <v>-0.74</v>
      </c>
      <c r="BI2546">
        <v>20191026</v>
      </c>
      <c r="BJ2546">
        <v>20040616</v>
      </c>
      <c r="BK2546">
        <v>10.27</v>
      </c>
      <c r="BL2546" t="s">
        <v>116</v>
      </c>
      <c r="BM2546" t="s">
        <v>116</v>
      </c>
      <c r="BN2546">
        <v>180.36</v>
      </c>
      <c r="BO2546">
        <v>75.36</v>
      </c>
      <c r="BP2546">
        <v>16.309999999999999</v>
      </c>
      <c r="BQ2546">
        <v>49.18</v>
      </c>
      <c r="BR2546">
        <v>99.97</v>
      </c>
      <c r="BS2546">
        <v>56.12</v>
      </c>
      <c r="BT2546">
        <v>5.35</v>
      </c>
      <c r="BU2546">
        <v>69.430000000000007</v>
      </c>
      <c r="BV2546">
        <v>24.91</v>
      </c>
      <c r="BW2546">
        <v>16.13</v>
      </c>
      <c r="BX2546">
        <v>25.45</v>
      </c>
      <c r="BY2546">
        <v>90.24</v>
      </c>
      <c r="BZ2546">
        <v>43.95</v>
      </c>
      <c r="CA2546">
        <v>8.4</v>
      </c>
      <c r="CB2546">
        <v>-0.08</v>
      </c>
      <c r="CC2546">
        <v>8.77</v>
      </c>
      <c r="CD2546">
        <v>7.88</v>
      </c>
      <c r="CE2546">
        <v>5.75</v>
      </c>
      <c r="CF2546">
        <v>5.33</v>
      </c>
      <c r="CG2546">
        <v>34.82</v>
      </c>
      <c r="CH2546">
        <v>10.71</v>
      </c>
      <c r="CI2546">
        <v>12.33</v>
      </c>
      <c r="CJ2546">
        <v>29147</v>
      </c>
      <c r="CK2546">
        <v>11526</v>
      </c>
      <c r="CL2546" t="s">
        <v>11300</v>
      </c>
      <c r="CM2546">
        <v>-0.41</v>
      </c>
      <c r="CN2546">
        <v>6.36</v>
      </c>
      <c r="CO2546">
        <v>1.25</v>
      </c>
      <c r="CP2546">
        <v>8.25</v>
      </c>
      <c r="CQ2546">
        <v>0.98</v>
      </c>
      <c r="CR2546">
        <v>1.19</v>
      </c>
      <c r="CS2546" t="s">
        <v>2154</v>
      </c>
      <c r="CT2546">
        <v>6.89</v>
      </c>
      <c r="CU2546">
        <v>6.89</v>
      </c>
      <c r="CV2546">
        <v>2.48</v>
      </c>
      <c r="CW2546">
        <v>3.39</v>
      </c>
      <c r="CX2546">
        <v>1.04</v>
      </c>
      <c r="CY2546">
        <v>41.78</v>
      </c>
      <c r="CZ2546" t="s">
        <v>7551</v>
      </c>
      <c r="DA2546">
        <v>51.3</v>
      </c>
      <c r="DB2546">
        <v>9.3000000000000007</v>
      </c>
      <c r="DC2546">
        <v>6.37</v>
      </c>
      <c r="DD2546">
        <v>2.63</v>
      </c>
      <c r="DE2546">
        <v>12374</v>
      </c>
      <c r="DF2546">
        <v>600420</v>
      </c>
      <c r="DG2546" t="s">
        <v>116</v>
      </c>
      <c r="DH2546" t="s">
        <v>116</v>
      </c>
      <c r="DI2546" t="s">
        <v>116</v>
      </c>
    </row>
    <row r="2547" spans="1:113" x14ac:dyDescent="0.4">
      <c r="A2547" t="str">
        <f>"600421"</f>
        <v>600421</v>
      </c>
      <c r="B2547" t="s">
        <v>11655</v>
      </c>
      <c r="C2547">
        <v>-4.9400000000000004</v>
      </c>
      <c r="D2547">
        <v>8.08</v>
      </c>
      <c r="E2547">
        <v>-0.42</v>
      </c>
      <c r="F2547" t="s">
        <v>116</v>
      </c>
      <c r="G2547">
        <v>8.08</v>
      </c>
      <c r="H2547">
        <v>14617</v>
      </c>
      <c r="I2547">
        <v>30</v>
      </c>
      <c r="J2547">
        <v>0</v>
      </c>
      <c r="K2547">
        <v>0.75</v>
      </c>
      <c r="L2547">
        <v>8.5</v>
      </c>
      <c r="M2547">
        <v>8.5299999999999994</v>
      </c>
      <c r="N2547">
        <v>8.08</v>
      </c>
      <c r="O2547">
        <v>8.5</v>
      </c>
      <c r="P2547" t="s">
        <v>116</v>
      </c>
      <c r="Q2547">
        <v>11980694</v>
      </c>
      <c r="R2547">
        <v>1.24</v>
      </c>
      <c r="S2547" t="s">
        <v>173</v>
      </c>
      <c r="T2547" t="s">
        <v>774</v>
      </c>
      <c r="U2547">
        <v>5.29</v>
      </c>
      <c r="V2547">
        <v>8.1999999999999993</v>
      </c>
      <c r="W2547">
        <v>9892</v>
      </c>
      <c r="X2547">
        <v>4725</v>
      </c>
      <c r="Y2547">
        <v>2.09</v>
      </c>
      <c r="Z2547">
        <v>0</v>
      </c>
      <c r="AA2547">
        <v>358</v>
      </c>
      <c r="AB2547" t="s">
        <v>116</v>
      </c>
      <c r="AC2547">
        <v>0</v>
      </c>
      <c r="AD2547">
        <v>0</v>
      </c>
      <c r="AE2547">
        <v>0.02</v>
      </c>
      <c r="AF2547">
        <v>289264</v>
      </c>
      <c r="AG2547">
        <v>1.96</v>
      </c>
      <c r="AH2547" t="s">
        <v>8622</v>
      </c>
      <c r="AI2547" t="s">
        <v>8622</v>
      </c>
      <c r="AJ2547">
        <v>-4.8600000000000003</v>
      </c>
      <c r="AK2547">
        <v>332</v>
      </c>
      <c r="AL2547">
        <v>44</v>
      </c>
      <c r="AM2547">
        <v>2.3E-3</v>
      </c>
      <c r="AN2547">
        <v>-1</v>
      </c>
      <c r="AO2547">
        <v>0.25</v>
      </c>
      <c r="AP2547">
        <v>-0.98</v>
      </c>
      <c r="AQ2547">
        <v>11.45</v>
      </c>
      <c r="AR2547">
        <v>5.48</v>
      </c>
      <c r="AS2547">
        <v>1.61</v>
      </c>
      <c r="AT2547" t="s">
        <v>5528</v>
      </c>
      <c r="AU2547" t="s">
        <v>116</v>
      </c>
      <c r="AV2547" t="s">
        <v>116</v>
      </c>
      <c r="AW2547">
        <v>0.7</v>
      </c>
      <c r="BA2547">
        <v>0</v>
      </c>
      <c r="BB2547">
        <v>0.35</v>
      </c>
      <c r="BC2547">
        <v>-4.9400000000000004</v>
      </c>
      <c r="BD2547">
        <v>-3.57</v>
      </c>
      <c r="BE2547">
        <v>-4.9400000000000004</v>
      </c>
      <c r="BF2547">
        <v>-5.28</v>
      </c>
      <c r="BG2547">
        <v>0</v>
      </c>
      <c r="BH2547">
        <v>-1.37</v>
      </c>
      <c r="BI2547">
        <v>20191029</v>
      </c>
      <c r="BJ2547">
        <v>20040607</v>
      </c>
      <c r="BK2547">
        <v>1.96</v>
      </c>
      <c r="BL2547" t="s">
        <v>116</v>
      </c>
      <c r="BM2547" t="s">
        <v>116</v>
      </c>
      <c r="BN2547">
        <v>0.51</v>
      </c>
      <c r="BO2547">
        <v>-0.03</v>
      </c>
      <c r="BP2547">
        <v>0.09</v>
      </c>
      <c r="BQ2547">
        <v>88.35</v>
      </c>
      <c r="BR2547">
        <v>0.1</v>
      </c>
      <c r="BS2547">
        <v>0.27</v>
      </c>
      <c r="BT2547">
        <v>0.13</v>
      </c>
      <c r="BU2547">
        <v>0.41</v>
      </c>
      <c r="BV2547">
        <v>0.01</v>
      </c>
      <c r="BW2547">
        <v>0</v>
      </c>
      <c r="BX2547">
        <v>2.08</v>
      </c>
      <c r="BY2547">
        <v>7.0000000000000007E-2</v>
      </c>
      <c r="BZ2547">
        <v>0.03</v>
      </c>
      <c r="CA2547">
        <v>-0.06</v>
      </c>
      <c r="CB2547">
        <v>0</v>
      </c>
      <c r="CC2547">
        <v>-0.06</v>
      </c>
      <c r="CD2547">
        <v>-0.06</v>
      </c>
      <c r="CE2547">
        <v>-0.05</v>
      </c>
      <c r="CF2547">
        <v>-0.05</v>
      </c>
      <c r="CG2547">
        <v>-4.3499999999999996</v>
      </c>
      <c r="CH2547">
        <v>-0.05</v>
      </c>
      <c r="CI2547">
        <v>0.01</v>
      </c>
      <c r="CJ2547">
        <v>6427</v>
      </c>
      <c r="CK2547">
        <v>14136</v>
      </c>
      <c r="CL2547" t="s">
        <v>5549</v>
      </c>
      <c r="CM2547">
        <v>-12.76</v>
      </c>
      <c r="CN2547">
        <v>20478.41</v>
      </c>
      <c r="CO2547">
        <v>-496.28</v>
      </c>
      <c r="CP2547">
        <v>-310.52999999999997</v>
      </c>
      <c r="CQ2547">
        <v>227.5</v>
      </c>
      <c r="CR2547">
        <v>0</v>
      </c>
      <c r="CS2547" t="s">
        <v>161</v>
      </c>
      <c r="CT2547">
        <v>-0.02</v>
      </c>
      <c r="CU2547">
        <v>0</v>
      </c>
      <c r="CV2547">
        <v>1.06</v>
      </c>
      <c r="CW2547">
        <v>-2.2200000000000002</v>
      </c>
      <c r="CX2547">
        <v>-0.03</v>
      </c>
      <c r="CY2547">
        <v>-6.3</v>
      </c>
      <c r="CZ2547" t="s">
        <v>116</v>
      </c>
      <c r="DA2547">
        <v>50.23</v>
      </c>
      <c r="DB2547">
        <v>-83.34</v>
      </c>
      <c r="DC2547">
        <v>-76.540000000000006</v>
      </c>
      <c r="DD2547">
        <v>0</v>
      </c>
      <c r="DE2547">
        <v>73</v>
      </c>
      <c r="DF2547">
        <v>600421</v>
      </c>
      <c r="DG2547" t="s">
        <v>116</v>
      </c>
      <c r="DH2547" t="s">
        <v>116</v>
      </c>
      <c r="DI2547" t="s">
        <v>116</v>
      </c>
    </row>
    <row r="2548" spans="1:113" x14ac:dyDescent="0.4">
      <c r="A2548" t="str">
        <f>"600422"</f>
        <v>600422</v>
      </c>
      <c r="B2548" t="s">
        <v>11656</v>
      </c>
      <c r="C2548">
        <v>-1.89</v>
      </c>
      <c r="D2548">
        <v>10.37</v>
      </c>
      <c r="E2548">
        <v>-0.2</v>
      </c>
      <c r="F2548">
        <v>10.37</v>
      </c>
      <c r="G2548">
        <v>10.38</v>
      </c>
      <c r="H2548">
        <v>103210</v>
      </c>
      <c r="I2548">
        <v>649</v>
      </c>
      <c r="J2548">
        <v>0</v>
      </c>
      <c r="K2548">
        <v>1.36</v>
      </c>
      <c r="L2548">
        <v>10.52</v>
      </c>
      <c r="M2548">
        <v>10.6</v>
      </c>
      <c r="N2548">
        <v>10.35</v>
      </c>
      <c r="O2548">
        <v>10.57</v>
      </c>
      <c r="P2548">
        <v>16.45</v>
      </c>
      <c r="Q2548">
        <v>108444640</v>
      </c>
      <c r="R2548">
        <v>1.06</v>
      </c>
      <c r="S2548" t="s">
        <v>781</v>
      </c>
      <c r="T2548" t="s">
        <v>1043</v>
      </c>
      <c r="U2548">
        <v>2.37</v>
      </c>
      <c r="V2548">
        <v>10.51</v>
      </c>
      <c r="W2548">
        <v>68724</v>
      </c>
      <c r="X2548">
        <v>34486</v>
      </c>
      <c r="Y2548">
        <v>1.99</v>
      </c>
      <c r="Z2548">
        <v>1170</v>
      </c>
      <c r="AA2548">
        <v>428</v>
      </c>
      <c r="AB2548" t="s">
        <v>116</v>
      </c>
      <c r="AC2548">
        <v>285100</v>
      </c>
      <c r="AD2548">
        <v>0.01</v>
      </c>
      <c r="AE2548" t="s">
        <v>116</v>
      </c>
      <c r="AF2548" t="s">
        <v>116</v>
      </c>
      <c r="AG2548">
        <v>7.6</v>
      </c>
      <c r="AH2548" t="s">
        <v>11657</v>
      </c>
      <c r="AI2548" t="s">
        <v>11658</v>
      </c>
      <c r="AJ2548">
        <v>-1.82</v>
      </c>
      <c r="AK2548">
        <v>2141</v>
      </c>
      <c r="AL2548">
        <v>48</v>
      </c>
      <c r="AM2548">
        <v>5.9999999999999995E-4</v>
      </c>
      <c r="AN2548">
        <v>-1</v>
      </c>
      <c r="AO2548">
        <v>-1.1299999999999999</v>
      </c>
      <c r="AP2548">
        <v>0.28999999999999998</v>
      </c>
      <c r="AQ2548">
        <v>-3.98</v>
      </c>
      <c r="AR2548">
        <v>70.56</v>
      </c>
      <c r="AS2548">
        <v>2.2400000000000002</v>
      </c>
      <c r="AT2548" t="s">
        <v>5277</v>
      </c>
      <c r="AU2548">
        <v>18.39</v>
      </c>
      <c r="AV2548">
        <v>23.52</v>
      </c>
      <c r="AW2548">
        <v>1.54</v>
      </c>
      <c r="BA2548">
        <v>-0.47</v>
      </c>
      <c r="BB2548">
        <v>0.28000000000000003</v>
      </c>
      <c r="BC2548">
        <v>-2.08</v>
      </c>
      <c r="BD2548">
        <v>-0.59</v>
      </c>
      <c r="BE2548">
        <v>-1.43</v>
      </c>
      <c r="BF2548">
        <v>-2.17</v>
      </c>
      <c r="BG2548">
        <v>0.19</v>
      </c>
      <c r="BH2548">
        <v>-1.3</v>
      </c>
      <c r="BI2548">
        <v>20191217</v>
      </c>
      <c r="BJ2548">
        <v>20001206</v>
      </c>
      <c r="BK2548">
        <v>7.61</v>
      </c>
      <c r="BL2548" t="s">
        <v>116</v>
      </c>
      <c r="BM2548" t="s">
        <v>116</v>
      </c>
      <c r="BN2548">
        <v>71.06</v>
      </c>
      <c r="BO2548">
        <v>40.96</v>
      </c>
      <c r="BP2548">
        <v>1.22</v>
      </c>
      <c r="BQ2548">
        <v>40.64</v>
      </c>
      <c r="BR2548">
        <v>45.51</v>
      </c>
      <c r="BS2548">
        <v>11.06</v>
      </c>
      <c r="BT2548">
        <v>3.93</v>
      </c>
      <c r="BU2548">
        <v>25.42</v>
      </c>
      <c r="BV2548">
        <v>12.45</v>
      </c>
      <c r="BW2548">
        <v>13.15</v>
      </c>
      <c r="BX2548">
        <v>12.09</v>
      </c>
      <c r="BY2548">
        <v>57.65</v>
      </c>
      <c r="BZ2548">
        <v>29.35</v>
      </c>
      <c r="CA2548">
        <v>4.5</v>
      </c>
      <c r="CB2548">
        <v>0.23</v>
      </c>
      <c r="CC2548">
        <v>4.53</v>
      </c>
      <c r="CD2548">
        <v>3.68</v>
      </c>
      <c r="CE2548">
        <v>3.6</v>
      </c>
      <c r="CF2548">
        <v>3.11</v>
      </c>
      <c r="CG2548">
        <v>19.25</v>
      </c>
      <c r="CH2548">
        <v>2.2599999999999998</v>
      </c>
      <c r="CI2548">
        <v>-0.12</v>
      </c>
      <c r="CJ2548">
        <v>61195</v>
      </c>
      <c r="CK2548">
        <v>7545</v>
      </c>
      <c r="CL2548" t="s">
        <v>11659</v>
      </c>
      <c r="CM2548">
        <v>35.15</v>
      </c>
      <c r="CN2548">
        <v>14.15</v>
      </c>
      <c r="CO2548">
        <v>1.93</v>
      </c>
      <c r="CP2548">
        <v>34.94</v>
      </c>
      <c r="CQ2548">
        <v>1.37</v>
      </c>
      <c r="CR2548">
        <v>0.96</v>
      </c>
      <c r="CS2548" t="s">
        <v>11660</v>
      </c>
      <c r="CT2548">
        <v>5.38</v>
      </c>
      <c r="CU2548">
        <v>0</v>
      </c>
      <c r="CV2548">
        <v>1.59</v>
      </c>
      <c r="CW2548">
        <v>2.5299999999999998</v>
      </c>
      <c r="CX2548">
        <v>0.3</v>
      </c>
      <c r="CY2548">
        <v>57.64</v>
      </c>
      <c r="CZ2548" t="s">
        <v>4937</v>
      </c>
      <c r="DA2548">
        <v>49.1</v>
      </c>
      <c r="DB2548">
        <v>7.8</v>
      </c>
      <c r="DC2548">
        <v>6.24</v>
      </c>
      <c r="DD2548">
        <v>0.36</v>
      </c>
      <c r="DE2548">
        <v>4121</v>
      </c>
      <c r="DF2548">
        <v>600422</v>
      </c>
      <c r="DG2548" t="s">
        <v>116</v>
      </c>
      <c r="DH2548" t="s">
        <v>116</v>
      </c>
      <c r="DI2548" t="s">
        <v>116</v>
      </c>
    </row>
    <row r="2549" spans="1:113" x14ac:dyDescent="0.4">
      <c r="A2549" t="str">
        <f>"600423"</f>
        <v>600423</v>
      </c>
      <c r="B2549" t="s">
        <v>11661</v>
      </c>
      <c r="C2549">
        <v>0.3</v>
      </c>
      <c r="D2549">
        <v>3.39</v>
      </c>
      <c r="E2549">
        <v>0.01</v>
      </c>
      <c r="F2549">
        <v>3.38</v>
      </c>
      <c r="G2549">
        <v>3.39</v>
      </c>
      <c r="H2549">
        <v>12466</v>
      </c>
      <c r="I2549">
        <v>422</v>
      </c>
      <c r="J2549">
        <v>0</v>
      </c>
      <c r="K2549">
        <v>0.16</v>
      </c>
      <c r="L2549">
        <v>3.38</v>
      </c>
      <c r="M2549">
        <v>3.41</v>
      </c>
      <c r="N2549">
        <v>3.38</v>
      </c>
      <c r="O2549">
        <v>3.38</v>
      </c>
      <c r="P2549" t="s">
        <v>116</v>
      </c>
      <c r="Q2549">
        <v>4229427</v>
      </c>
      <c r="R2549">
        <v>0.6</v>
      </c>
      <c r="S2549" t="s">
        <v>697</v>
      </c>
      <c r="T2549" t="s">
        <v>982</v>
      </c>
      <c r="U2549">
        <v>0.89</v>
      </c>
      <c r="V2549">
        <v>3.39</v>
      </c>
      <c r="W2549">
        <v>7494</v>
      </c>
      <c r="X2549">
        <v>4972</v>
      </c>
      <c r="Y2549">
        <v>1.51</v>
      </c>
      <c r="Z2549">
        <v>880</v>
      </c>
      <c r="AA2549">
        <v>342</v>
      </c>
      <c r="AB2549" t="s">
        <v>116</v>
      </c>
      <c r="AC2549">
        <v>67600</v>
      </c>
      <c r="AD2549">
        <v>0</v>
      </c>
      <c r="AE2549" t="s">
        <v>116</v>
      </c>
      <c r="AF2549" t="s">
        <v>116</v>
      </c>
      <c r="AG2549">
        <v>7.99</v>
      </c>
      <c r="AH2549" t="s">
        <v>546</v>
      </c>
      <c r="AI2549" t="s">
        <v>546</v>
      </c>
      <c r="AJ2549">
        <v>0.37</v>
      </c>
      <c r="AK2549">
        <v>171</v>
      </c>
      <c r="AL2549">
        <v>73</v>
      </c>
      <c r="AM2549">
        <v>8.9999999999999998E-4</v>
      </c>
      <c r="AN2549">
        <v>1</v>
      </c>
      <c r="AO2549">
        <v>-2.2999999999999998</v>
      </c>
      <c r="AP2549">
        <v>-3.42</v>
      </c>
      <c r="AQ2549">
        <v>3.35</v>
      </c>
      <c r="AR2549">
        <v>-11.26</v>
      </c>
      <c r="AS2549">
        <v>0.24</v>
      </c>
      <c r="AT2549" t="s">
        <v>7019</v>
      </c>
      <c r="AU2549" t="s">
        <v>116</v>
      </c>
      <c r="AV2549">
        <v>6.94</v>
      </c>
      <c r="AW2549">
        <v>0.86</v>
      </c>
      <c r="BA2549">
        <v>0</v>
      </c>
      <c r="BB2549">
        <v>0.89</v>
      </c>
      <c r="BC2549">
        <v>0</v>
      </c>
      <c r="BD2549">
        <v>0.38</v>
      </c>
      <c r="BE2549">
        <v>0.3</v>
      </c>
      <c r="BF2549">
        <v>-0.59</v>
      </c>
      <c r="BG2549">
        <v>0.3</v>
      </c>
      <c r="BH2549">
        <v>-0.08</v>
      </c>
      <c r="BI2549">
        <v>20191019</v>
      </c>
      <c r="BJ2549">
        <v>20030717</v>
      </c>
      <c r="BK2549">
        <v>7.99</v>
      </c>
      <c r="BL2549" t="s">
        <v>116</v>
      </c>
      <c r="BM2549" t="s">
        <v>116</v>
      </c>
      <c r="BN2549">
        <v>20.58</v>
      </c>
      <c r="BO2549">
        <v>17.04</v>
      </c>
      <c r="BP2549">
        <v>-0.25</v>
      </c>
      <c r="BQ2549">
        <v>18.399999999999999</v>
      </c>
      <c r="BR2549">
        <v>5.96</v>
      </c>
      <c r="BS2549">
        <v>14.1</v>
      </c>
      <c r="BT2549">
        <v>0.13</v>
      </c>
      <c r="BU2549">
        <v>2.62</v>
      </c>
      <c r="BV2549">
        <v>2.0299999999999998</v>
      </c>
      <c r="BW2549">
        <v>0.68</v>
      </c>
      <c r="BX2549">
        <v>18.86</v>
      </c>
      <c r="BY2549">
        <v>2.82</v>
      </c>
      <c r="BZ2549">
        <v>3.07</v>
      </c>
      <c r="CA2549">
        <v>-4.75</v>
      </c>
      <c r="CB2549">
        <v>0</v>
      </c>
      <c r="CC2549">
        <v>-4.9000000000000004</v>
      </c>
      <c r="CD2549">
        <v>-4.9000000000000004</v>
      </c>
      <c r="CE2549">
        <v>-4.83</v>
      </c>
      <c r="CF2549">
        <v>-3.51</v>
      </c>
      <c r="CG2549">
        <v>-10.6</v>
      </c>
      <c r="CH2549">
        <v>-2.58</v>
      </c>
      <c r="CI2549">
        <v>-3.91</v>
      </c>
      <c r="CJ2549">
        <v>24345</v>
      </c>
      <c r="CK2549">
        <v>21572</v>
      </c>
      <c r="CL2549" t="s">
        <v>11662</v>
      </c>
      <c r="CM2549">
        <v>-474.6</v>
      </c>
      <c r="CN2549">
        <v>-80.819999999999993</v>
      </c>
      <c r="CO2549">
        <v>1.59</v>
      </c>
      <c r="CP2549">
        <v>-10.49</v>
      </c>
      <c r="CQ2549">
        <v>9.61</v>
      </c>
      <c r="CR2549">
        <v>0</v>
      </c>
      <c r="CS2549" t="s">
        <v>11663</v>
      </c>
      <c r="CT2549">
        <v>2.13</v>
      </c>
      <c r="CU2549">
        <v>0</v>
      </c>
      <c r="CV2549">
        <v>2.36</v>
      </c>
      <c r="CW2549">
        <v>-1.33</v>
      </c>
      <c r="CX2549">
        <v>-0.32</v>
      </c>
      <c r="CY2549">
        <v>82.8</v>
      </c>
      <c r="CZ2549" t="s">
        <v>11664</v>
      </c>
      <c r="DA2549">
        <v>-8.7899999999999991</v>
      </c>
      <c r="DB2549">
        <v>-168.39</v>
      </c>
      <c r="DC2549">
        <v>-171.54</v>
      </c>
      <c r="DD2549">
        <v>0.02</v>
      </c>
      <c r="DE2549">
        <v>2243</v>
      </c>
      <c r="DF2549">
        <v>600423</v>
      </c>
      <c r="DG2549" t="s">
        <v>116</v>
      </c>
      <c r="DH2549" t="s">
        <v>116</v>
      </c>
      <c r="DI2549" t="s">
        <v>116</v>
      </c>
    </row>
    <row r="2550" spans="1:113" x14ac:dyDescent="0.4">
      <c r="A2550" t="str">
        <f>"600425"</f>
        <v>600425</v>
      </c>
      <c r="B2550" t="s">
        <v>11665</v>
      </c>
      <c r="C2550">
        <v>-0.54</v>
      </c>
      <c r="D2550">
        <v>3.67</v>
      </c>
      <c r="E2550">
        <v>-0.02</v>
      </c>
      <c r="F2550">
        <v>3.66</v>
      </c>
      <c r="G2550">
        <v>3.67</v>
      </c>
      <c r="H2550">
        <v>315496</v>
      </c>
      <c r="I2550">
        <v>6353</v>
      </c>
      <c r="J2550">
        <v>0</v>
      </c>
      <c r="K2550">
        <v>2.29</v>
      </c>
      <c r="L2550">
        <v>3.66</v>
      </c>
      <c r="M2550">
        <v>3.73</v>
      </c>
      <c r="N2550">
        <v>3.65</v>
      </c>
      <c r="O2550">
        <v>3.69</v>
      </c>
      <c r="P2550">
        <v>16.41</v>
      </c>
      <c r="Q2550">
        <v>116429272</v>
      </c>
      <c r="R2550">
        <v>1.52</v>
      </c>
      <c r="S2550" t="s">
        <v>660</v>
      </c>
      <c r="T2550" t="s">
        <v>616</v>
      </c>
      <c r="U2550">
        <v>2.17</v>
      </c>
      <c r="V2550">
        <v>3.69</v>
      </c>
      <c r="W2550">
        <v>158248</v>
      </c>
      <c r="X2550">
        <v>157248</v>
      </c>
      <c r="Y2550">
        <v>1.01</v>
      </c>
      <c r="Z2550">
        <v>1388</v>
      </c>
      <c r="AA2550">
        <v>133</v>
      </c>
      <c r="AB2550" t="s">
        <v>116</v>
      </c>
      <c r="AC2550">
        <v>1308500</v>
      </c>
      <c r="AD2550">
        <v>0.04</v>
      </c>
      <c r="AE2550" t="s">
        <v>116</v>
      </c>
      <c r="AF2550" t="s">
        <v>116</v>
      </c>
      <c r="AG2550">
        <v>13.79</v>
      </c>
      <c r="AH2550" t="s">
        <v>11666</v>
      </c>
      <c r="AI2550" t="s">
        <v>11666</v>
      </c>
      <c r="AJ2550">
        <v>-0.47</v>
      </c>
      <c r="AK2550">
        <v>2341</v>
      </c>
      <c r="AL2550">
        <v>135</v>
      </c>
      <c r="AM2550">
        <v>1E-3</v>
      </c>
      <c r="AN2550">
        <v>-1</v>
      </c>
      <c r="AO2550">
        <v>1.95</v>
      </c>
      <c r="AP2550">
        <v>2.5099999999999998</v>
      </c>
      <c r="AQ2550">
        <v>0</v>
      </c>
      <c r="AR2550">
        <v>25.26</v>
      </c>
      <c r="AS2550">
        <v>3.1</v>
      </c>
      <c r="AT2550" t="s">
        <v>11667</v>
      </c>
      <c r="AU2550">
        <v>35.049999999999997</v>
      </c>
      <c r="AV2550">
        <v>13.85</v>
      </c>
      <c r="AW2550">
        <v>1.75</v>
      </c>
      <c r="BA2550">
        <v>-0.81</v>
      </c>
      <c r="BB2550">
        <v>1.08</v>
      </c>
      <c r="BC2550">
        <v>-1.08</v>
      </c>
      <c r="BD2550">
        <v>0.01</v>
      </c>
      <c r="BE2550">
        <v>0.27</v>
      </c>
      <c r="BF2550">
        <v>-1.61</v>
      </c>
      <c r="BG2550">
        <v>0.55000000000000004</v>
      </c>
      <c r="BH2550">
        <v>-0.55000000000000004</v>
      </c>
      <c r="BI2550">
        <v>20191121</v>
      </c>
      <c r="BJ2550">
        <v>20030724</v>
      </c>
      <c r="BK2550">
        <v>13.79</v>
      </c>
      <c r="BL2550" t="s">
        <v>116</v>
      </c>
      <c r="BM2550" t="s">
        <v>116</v>
      </c>
      <c r="BN2550">
        <v>89.3</v>
      </c>
      <c r="BO2550">
        <v>46.7</v>
      </c>
      <c r="BP2550">
        <v>0.34</v>
      </c>
      <c r="BQ2550">
        <v>47.32</v>
      </c>
      <c r="BR2550">
        <v>28.39</v>
      </c>
      <c r="BS2550">
        <v>48.19</v>
      </c>
      <c r="BT2550">
        <v>2.68</v>
      </c>
      <c r="BU2550">
        <v>30.67</v>
      </c>
      <c r="BV2550">
        <v>3.92</v>
      </c>
      <c r="BW2550">
        <v>3.83</v>
      </c>
      <c r="BX2550">
        <v>32.21</v>
      </c>
      <c r="BY2550">
        <v>25.39</v>
      </c>
      <c r="BZ2550">
        <v>16.62</v>
      </c>
      <c r="CA2550">
        <v>5.13</v>
      </c>
      <c r="CB2550">
        <v>0.26</v>
      </c>
      <c r="CC2550">
        <v>7.48</v>
      </c>
      <c r="CD2550">
        <v>6.7</v>
      </c>
      <c r="CE2550">
        <v>2.31</v>
      </c>
      <c r="CF2550">
        <v>3.75</v>
      </c>
      <c r="CG2550">
        <v>-0.98</v>
      </c>
      <c r="CH2550">
        <v>6.02</v>
      </c>
      <c r="CI2550">
        <v>2.34</v>
      </c>
      <c r="CJ2550">
        <v>101922</v>
      </c>
      <c r="CK2550">
        <v>9982</v>
      </c>
      <c r="CL2550" t="s">
        <v>3124</v>
      </c>
      <c r="CM2550">
        <v>-48.85</v>
      </c>
      <c r="CN2550">
        <v>30.08</v>
      </c>
      <c r="CO2550">
        <v>1.08</v>
      </c>
      <c r="CP2550">
        <v>8.4</v>
      </c>
      <c r="CQ2550">
        <v>1.99</v>
      </c>
      <c r="CR2550">
        <v>0</v>
      </c>
      <c r="CS2550" t="s">
        <v>1127</v>
      </c>
      <c r="CT2550">
        <v>3.39</v>
      </c>
      <c r="CU2550">
        <v>0</v>
      </c>
      <c r="CV2550">
        <v>2.34</v>
      </c>
      <c r="CW2550">
        <v>-7.0000000000000007E-2</v>
      </c>
      <c r="CX2550">
        <v>0.44</v>
      </c>
      <c r="CY2550">
        <v>52.3</v>
      </c>
      <c r="CZ2550" t="s">
        <v>9996</v>
      </c>
      <c r="DA2550">
        <v>34.549999999999997</v>
      </c>
      <c r="DB2550">
        <v>20.190000000000001</v>
      </c>
      <c r="DC2550">
        <v>9.11</v>
      </c>
      <c r="DD2550">
        <v>0</v>
      </c>
      <c r="DE2550">
        <v>3937</v>
      </c>
      <c r="DF2550">
        <v>600425</v>
      </c>
      <c r="DG2550" t="s">
        <v>116</v>
      </c>
      <c r="DH2550" t="s">
        <v>116</v>
      </c>
      <c r="DI2550" t="s">
        <v>116</v>
      </c>
    </row>
    <row r="2551" spans="1:113" x14ac:dyDescent="0.4">
      <c r="A2551" t="str">
        <f>"600426"</f>
        <v>600426</v>
      </c>
      <c r="B2551" t="s">
        <v>11668</v>
      </c>
      <c r="C2551">
        <v>3.77</v>
      </c>
      <c r="D2551">
        <v>19.55</v>
      </c>
      <c r="E2551">
        <v>0.71</v>
      </c>
      <c r="F2551">
        <v>19.54</v>
      </c>
      <c r="G2551">
        <v>19.55</v>
      </c>
      <c r="H2551">
        <v>236134</v>
      </c>
      <c r="I2551">
        <v>2245</v>
      </c>
      <c r="J2551">
        <v>0</v>
      </c>
      <c r="K2551">
        <v>1.46</v>
      </c>
      <c r="L2551">
        <v>18.899999999999999</v>
      </c>
      <c r="M2551">
        <v>19.7</v>
      </c>
      <c r="N2551">
        <v>18.899999999999999</v>
      </c>
      <c r="O2551">
        <v>18.84</v>
      </c>
      <c r="P2551">
        <v>12.47</v>
      </c>
      <c r="Q2551">
        <v>457290432</v>
      </c>
      <c r="R2551">
        <v>1.49</v>
      </c>
      <c r="S2551" t="s">
        <v>697</v>
      </c>
      <c r="T2551" t="s">
        <v>645</v>
      </c>
      <c r="U2551">
        <v>4.25</v>
      </c>
      <c r="V2551">
        <v>19.37</v>
      </c>
      <c r="W2551">
        <v>106938</v>
      </c>
      <c r="X2551">
        <v>129196</v>
      </c>
      <c r="Y2551">
        <v>0.83</v>
      </c>
      <c r="Z2551">
        <v>657</v>
      </c>
      <c r="AA2551">
        <v>347</v>
      </c>
      <c r="AB2551" t="s">
        <v>116</v>
      </c>
      <c r="AC2551">
        <v>383700</v>
      </c>
      <c r="AD2551">
        <v>0</v>
      </c>
      <c r="AE2551" t="s">
        <v>116</v>
      </c>
      <c r="AF2551" t="s">
        <v>116</v>
      </c>
      <c r="AG2551">
        <v>16.2</v>
      </c>
      <c r="AH2551" t="s">
        <v>11669</v>
      </c>
      <c r="AI2551" t="s">
        <v>11670</v>
      </c>
      <c r="AJ2551">
        <v>3.85</v>
      </c>
      <c r="AK2551">
        <v>3750</v>
      </c>
      <c r="AL2551">
        <v>63</v>
      </c>
      <c r="AM2551">
        <v>4.0000000000000002E-4</v>
      </c>
      <c r="AN2551">
        <v>2</v>
      </c>
      <c r="AO2551">
        <v>4.2699999999999996</v>
      </c>
      <c r="AP2551">
        <v>17.07</v>
      </c>
      <c r="AQ2551">
        <v>17</v>
      </c>
      <c r="AR2551">
        <v>64.7</v>
      </c>
      <c r="AS2551">
        <v>2.15</v>
      </c>
      <c r="AT2551" t="s">
        <v>11671</v>
      </c>
      <c r="AU2551">
        <v>13.26</v>
      </c>
      <c r="AV2551">
        <v>10.53</v>
      </c>
      <c r="AW2551">
        <v>0.82</v>
      </c>
      <c r="BA2551">
        <v>0.32</v>
      </c>
      <c r="BB2551">
        <v>4.5599999999999996</v>
      </c>
      <c r="BC2551">
        <v>0.32</v>
      </c>
      <c r="BD2551">
        <v>2.79</v>
      </c>
      <c r="BE2551">
        <v>3.44</v>
      </c>
      <c r="BF2551">
        <v>-0.76</v>
      </c>
      <c r="BG2551">
        <v>3.44</v>
      </c>
      <c r="BH2551">
        <v>0.98</v>
      </c>
      <c r="BI2551">
        <v>20191227</v>
      </c>
      <c r="BJ2551">
        <v>20020620</v>
      </c>
      <c r="BK2551">
        <v>16.27</v>
      </c>
      <c r="BL2551" t="s">
        <v>116</v>
      </c>
      <c r="BM2551" t="s">
        <v>116</v>
      </c>
      <c r="BN2551">
        <v>187.3</v>
      </c>
      <c r="BO2551">
        <v>136.75</v>
      </c>
      <c r="BP2551">
        <v>0</v>
      </c>
      <c r="BQ2551">
        <v>26.99</v>
      </c>
      <c r="BR2551">
        <v>46.9</v>
      </c>
      <c r="BS2551">
        <v>122.61</v>
      </c>
      <c r="BT2551">
        <v>6.91</v>
      </c>
      <c r="BU2551">
        <v>31.65</v>
      </c>
      <c r="BV2551">
        <v>4.59</v>
      </c>
      <c r="BW2551">
        <v>0.23</v>
      </c>
      <c r="BX2551">
        <v>20.7</v>
      </c>
      <c r="BY2551">
        <v>106.11</v>
      </c>
      <c r="BZ2551">
        <v>75.67</v>
      </c>
      <c r="CA2551">
        <v>22.52</v>
      </c>
      <c r="CB2551">
        <v>0.38</v>
      </c>
      <c r="CC2551">
        <v>22.51</v>
      </c>
      <c r="CD2551">
        <v>19.12</v>
      </c>
      <c r="CE2551">
        <v>19.12</v>
      </c>
      <c r="CF2551">
        <v>18.79</v>
      </c>
      <c r="CG2551">
        <v>92.32</v>
      </c>
      <c r="CH2551">
        <v>27.25</v>
      </c>
      <c r="CI2551">
        <v>2.27</v>
      </c>
      <c r="CJ2551">
        <v>43713</v>
      </c>
      <c r="CK2551">
        <v>25088</v>
      </c>
      <c r="CL2551" t="s">
        <v>11672</v>
      </c>
      <c r="CM2551">
        <v>-24.55</v>
      </c>
      <c r="CN2551">
        <v>-2.2000000000000002</v>
      </c>
      <c r="CO2551">
        <v>2.33</v>
      </c>
      <c r="CP2551">
        <v>11.67</v>
      </c>
      <c r="CQ2551">
        <v>3</v>
      </c>
      <c r="CR2551">
        <v>1.02</v>
      </c>
      <c r="CS2551" t="s">
        <v>11673</v>
      </c>
      <c r="CT2551">
        <v>8.41</v>
      </c>
      <c r="CU2551">
        <v>0</v>
      </c>
      <c r="CV2551">
        <v>1.27</v>
      </c>
      <c r="CW2551">
        <v>5.68</v>
      </c>
      <c r="CX2551">
        <v>1.68</v>
      </c>
      <c r="CY2551">
        <v>73.010000000000005</v>
      </c>
      <c r="CZ2551" t="s">
        <v>11674</v>
      </c>
      <c r="DA2551">
        <v>28.68</v>
      </c>
      <c r="DB2551">
        <v>21.23</v>
      </c>
      <c r="DC2551">
        <v>18.02</v>
      </c>
      <c r="DD2551">
        <v>2.62</v>
      </c>
      <c r="DE2551">
        <v>3749</v>
      </c>
      <c r="DF2551">
        <v>600426</v>
      </c>
      <c r="DG2551" t="s">
        <v>116</v>
      </c>
      <c r="DH2551" t="s">
        <v>116</v>
      </c>
      <c r="DI2551" t="s">
        <v>116</v>
      </c>
    </row>
    <row r="2552" spans="1:113" x14ac:dyDescent="0.4">
      <c r="A2552" t="str">
        <f>"600428"</f>
        <v>600428</v>
      </c>
      <c r="B2552" t="s">
        <v>11675</v>
      </c>
      <c r="C2552">
        <v>-0.27</v>
      </c>
      <c r="D2552">
        <v>3.68</v>
      </c>
      <c r="E2552">
        <v>-0.01</v>
      </c>
      <c r="F2552">
        <v>3.68</v>
      </c>
      <c r="G2552">
        <v>3.69</v>
      </c>
      <c r="H2552">
        <v>80609</v>
      </c>
      <c r="I2552">
        <v>357</v>
      </c>
      <c r="J2552">
        <v>0</v>
      </c>
      <c r="K2552">
        <v>0.38</v>
      </c>
      <c r="L2552">
        <v>3.7</v>
      </c>
      <c r="M2552">
        <v>3.72</v>
      </c>
      <c r="N2552">
        <v>3.67</v>
      </c>
      <c r="O2552">
        <v>3.69</v>
      </c>
      <c r="P2552">
        <v>40.340000000000003</v>
      </c>
      <c r="Q2552">
        <v>29798072</v>
      </c>
      <c r="R2552">
        <v>1.17</v>
      </c>
      <c r="S2552" t="s">
        <v>940</v>
      </c>
      <c r="T2552" t="s">
        <v>551</v>
      </c>
      <c r="U2552">
        <v>1.36</v>
      </c>
      <c r="V2552">
        <v>3.7</v>
      </c>
      <c r="W2552">
        <v>40646</v>
      </c>
      <c r="X2552">
        <v>39963</v>
      </c>
      <c r="Y2552">
        <v>1.02</v>
      </c>
      <c r="Z2552">
        <v>2938</v>
      </c>
      <c r="AA2552">
        <v>442</v>
      </c>
      <c r="AB2552" t="s">
        <v>116</v>
      </c>
      <c r="AC2552">
        <v>456500</v>
      </c>
      <c r="AD2552">
        <v>0.01</v>
      </c>
      <c r="AE2552" t="s">
        <v>116</v>
      </c>
      <c r="AF2552" t="s">
        <v>116</v>
      </c>
      <c r="AG2552">
        <v>21.47</v>
      </c>
      <c r="AH2552" t="s">
        <v>1640</v>
      </c>
      <c r="AI2552" t="s">
        <v>1640</v>
      </c>
      <c r="AJ2552">
        <v>-0.19</v>
      </c>
      <c r="AK2552">
        <v>1150</v>
      </c>
      <c r="AL2552">
        <v>70</v>
      </c>
      <c r="AM2552">
        <v>2.9999999999999997E-4</v>
      </c>
      <c r="AN2552">
        <v>-1</v>
      </c>
      <c r="AO2552">
        <v>0.82</v>
      </c>
      <c r="AP2552">
        <v>4.55</v>
      </c>
      <c r="AQ2552">
        <v>1.66</v>
      </c>
      <c r="AR2552">
        <v>13.23</v>
      </c>
      <c r="AS2552">
        <v>0.98</v>
      </c>
      <c r="AT2552" t="s">
        <v>568</v>
      </c>
      <c r="AU2552">
        <v>76.040000000000006</v>
      </c>
      <c r="AV2552">
        <v>91.79</v>
      </c>
      <c r="AW2552">
        <v>1.39</v>
      </c>
      <c r="BA2552">
        <v>0.27</v>
      </c>
      <c r="BB2552">
        <v>0.81</v>
      </c>
      <c r="BC2552">
        <v>-0.54</v>
      </c>
      <c r="BD2552">
        <v>0.18</v>
      </c>
      <c r="BE2552">
        <v>-0.54</v>
      </c>
      <c r="BF2552">
        <v>-1.08</v>
      </c>
      <c r="BG2552">
        <v>0.27</v>
      </c>
      <c r="BH2552">
        <v>-0.45</v>
      </c>
      <c r="BI2552">
        <v>20191031</v>
      </c>
      <c r="BJ2552">
        <v>20020418</v>
      </c>
      <c r="BK2552">
        <v>21.47</v>
      </c>
      <c r="BL2552" t="s">
        <v>116</v>
      </c>
      <c r="BM2552" t="s">
        <v>116</v>
      </c>
      <c r="BN2552">
        <v>221.71</v>
      </c>
      <c r="BO2552">
        <v>98.21</v>
      </c>
      <c r="BP2552">
        <v>0.17</v>
      </c>
      <c r="BQ2552">
        <v>55.63</v>
      </c>
      <c r="BR2552">
        <v>32.479999999999997</v>
      </c>
      <c r="BS2552">
        <v>166.82</v>
      </c>
      <c r="BT2552">
        <v>3.63</v>
      </c>
      <c r="BU2552">
        <v>61.97</v>
      </c>
      <c r="BV2552">
        <v>3.81</v>
      </c>
      <c r="BW2552">
        <v>11.23</v>
      </c>
      <c r="BX2552">
        <v>42.82</v>
      </c>
      <c r="BY2552">
        <v>60.8</v>
      </c>
      <c r="BZ2552">
        <v>51.3</v>
      </c>
      <c r="CA2552">
        <v>2.35</v>
      </c>
      <c r="CB2552">
        <v>0.44</v>
      </c>
      <c r="CC2552">
        <v>1.89</v>
      </c>
      <c r="CD2552">
        <v>1.46</v>
      </c>
      <c r="CE2552">
        <v>1.47</v>
      </c>
      <c r="CF2552">
        <v>1.73</v>
      </c>
      <c r="CG2552">
        <v>27.28</v>
      </c>
      <c r="CH2552">
        <v>7.01</v>
      </c>
      <c r="CI2552">
        <v>-5.15</v>
      </c>
      <c r="CJ2552">
        <v>103153</v>
      </c>
      <c r="CK2552">
        <v>7999</v>
      </c>
      <c r="CL2552" t="s">
        <v>1835</v>
      </c>
      <c r="CM2552">
        <v>13.81</v>
      </c>
      <c r="CN2552">
        <v>10.29</v>
      </c>
      <c r="CO2552">
        <v>0.8</v>
      </c>
      <c r="CP2552">
        <v>11.27</v>
      </c>
      <c r="CQ2552">
        <v>1.3</v>
      </c>
      <c r="CR2552">
        <v>0</v>
      </c>
      <c r="CS2552" t="s">
        <v>4067</v>
      </c>
      <c r="CT2552">
        <v>4.58</v>
      </c>
      <c r="CU2552">
        <v>0</v>
      </c>
      <c r="CV2552">
        <v>1.99</v>
      </c>
      <c r="CW2552">
        <v>1.27</v>
      </c>
      <c r="CX2552">
        <v>0.33</v>
      </c>
      <c r="CY2552">
        <v>44.3</v>
      </c>
      <c r="CZ2552" t="s">
        <v>1114</v>
      </c>
      <c r="DA2552">
        <v>15.62</v>
      </c>
      <c r="DB2552">
        <v>3.87</v>
      </c>
      <c r="DC2552">
        <v>2.42</v>
      </c>
      <c r="DD2552">
        <v>0.02</v>
      </c>
      <c r="DE2552">
        <v>1733</v>
      </c>
      <c r="DF2552">
        <v>600428</v>
      </c>
      <c r="DG2552" t="s">
        <v>116</v>
      </c>
      <c r="DH2552" t="s">
        <v>116</v>
      </c>
      <c r="DI2552" t="s">
        <v>116</v>
      </c>
    </row>
    <row r="2553" spans="1:113" x14ac:dyDescent="0.4">
      <c r="A2553" t="str">
        <f>"600429"</f>
        <v>600429</v>
      </c>
      <c r="B2553" t="s">
        <v>11676</v>
      </c>
      <c r="C2553">
        <v>-0.37</v>
      </c>
      <c r="D2553">
        <v>5.41</v>
      </c>
      <c r="E2553">
        <v>-0.02</v>
      </c>
      <c r="F2553">
        <v>5.41</v>
      </c>
      <c r="G2553">
        <v>5.42</v>
      </c>
      <c r="H2553">
        <v>13445</v>
      </c>
      <c r="I2553">
        <v>54</v>
      </c>
      <c r="J2553">
        <v>-0.17</v>
      </c>
      <c r="K2553">
        <v>0.15</v>
      </c>
      <c r="L2553">
        <v>5.41</v>
      </c>
      <c r="M2553">
        <v>5.46</v>
      </c>
      <c r="N2553">
        <v>5.37</v>
      </c>
      <c r="O2553">
        <v>5.43</v>
      </c>
      <c r="P2553">
        <v>29.64</v>
      </c>
      <c r="Q2553">
        <v>7302755</v>
      </c>
      <c r="R2553">
        <v>1</v>
      </c>
      <c r="S2553" t="s">
        <v>4803</v>
      </c>
      <c r="T2553" t="s">
        <v>165</v>
      </c>
      <c r="U2553">
        <v>1.66</v>
      </c>
      <c r="V2553">
        <v>5.43</v>
      </c>
      <c r="W2553">
        <v>8674</v>
      </c>
      <c r="X2553">
        <v>4771</v>
      </c>
      <c r="Y2553">
        <v>1.82</v>
      </c>
      <c r="Z2553">
        <v>33</v>
      </c>
      <c r="AA2553">
        <v>111</v>
      </c>
      <c r="AB2553" t="s">
        <v>116</v>
      </c>
      <c r="AC2553">
        <v>5400</v>
      </c>
      <c r="AD2553">
        <v>0</v>
      </c>
      <c r="AE2553" t="s">
        <v>116</v>
      </c>
      <c r="AF2553" t="s">
        <v>116</v>
      </c>
      <c r="AG2553">
        <v>8.85</v>
      </c>
      <c r="AH2553" t="s">
        <v>5277</v>
      </c>
      <c r="AI2553" t="s">
        <v>11677</v>
      </c>
      <c r="AJ2553">
        <v>-0.28999999999999998</v>
      </c>
      <c r="AK2553">
        <v>489</v>
      </c>
      <c r="AL2553">
        <v>27</v>
      </c>
      <c r="AM2553">
        <v>2.9999999999999997E-4</v>
      </c>
      <c r="AN2553">
        <v>-1</v>
      </c>
      <c r="AO2553">
        <v>0.01</v>
      </c>
      <c r="AP2553">
        <v>4.84</v>
      </c>
      <c r="AQ2553">
        <v>-3.05</v>
      </c>
      <c r="AR2553">
        <v>-0.79</v>
      </c>
      <c r="AS2553">
        <v>0.36</v>
      </c>
      <c r="AT2553" t="s">
        <v>6823</v>
      </c>
      <c r="AU2553">
        <v>32.89</v>
      </c>
      <c r="AV2553">
        <v>44.92</v>
      </c>
      <c r="AW2553">
        <v>0.8</v>
      </c>
      <c r="BA2553">
        <v>-0.37</v>
      </c>
      <c r="BB2553">
        <v>0.55000000000000004</v>
      </c>
      <c r="BC2553">
        <v>-1.1000000000000001</v>
      </c>
      <c r="BD2553">
        <v>0.03</v>
      </c>
      <c r="BE2553">
        <v>0</v>
      </c>
      <c r="BF2553">
        <v>-0.92</v>
      </c>
      <c r="BG2553">
        <v>0.74</v>
      </c>
      <c r="BH2553">
        <v>-0.4</v>
      </c>
      <c r="BI2553">
        <v>20191030</v>
      </c>
      <c r="BJ2553">
        <v>20030915</v>
      </c>
      <c r="BK2553">
        <v>14.98</v>
      </c>
      <c r="BL2553" t="s">
        <v>116</v>
      </c>
      <c r="BM2553" t="s">
        <v>116</v>
      </c>
      <c r="BN2553">
        <v>136.94</v>
      </c>
      <c r="BO2553">
        <v>51.41</v>
      </c>
      <c r="BP2553">
        <v>10.24</v>
      </c>
      <c r="BQ2553">
        <v>54.98</v>
      </c>
      <c r="BR2553">
        <v>38.94</v>
      </c>
      <c r="BS2553">
        <v>24.35</v>
      </c>
      <c r="BT2553">
        <v>41.86</v>
      </c>
      <c r="BU2553">
        <v>29.76</v>
      </c>
      <c r="BV2553">
        <v>6.07</v>
      </c>
      <c r="BW2553">
        <v>11.33</v>
      </c>
      <c r="BX2553">
        <v>33.1</v>
      </c>
      <c r="BY2553">
        <v>62.83</v>
      </c>
      <c r="BZ2553">
        <v>41.58</v>
      </c>
      <c r="CA2553">
        <v>3.18</v>
      </c>
      <c r="CB2553">
        <v>2.1</v>
      </c>
      <c r="CC2553">
        <v>3.16</v>
      </c>
      <c r="CD2553">
        <v>2.42</v>
      </c>
      <c r="CE2553">
        <v>2.0499999999999998</v>
      </c>
      <c r="CF2553">
        <v>1.38</v>
      </c>
      <c r="CG2553">
        <v>1.94</v>
      </c>
      <c r="CH2553">
        <v>2.52</v>
      </c>
      <c r="CI2553">
        <v>0.6</v>
      </c>
      <c r="CJ2553">
        <v>25631</v>
      </c>
      <c r="CK2553">
        <v>14523</v>
      </c>
      <c r="CL2553" t="s">
        <v>4813</v>
      </c>
      <c r="CM2553">
        <v>47.45</v>
      </c>
      <c r="CN2553">
        <v>10.74</v>
      </c>
      <c r="CO2553">
        <v>1.58</v>
      </c>
      <c r="CP2553">
        <v>32.119999999999997</v>
      </c>
      <c r="CQ2553">
        <v>1.29</v>
      </c>
      <c r="CR2553">
        <v>0.68</v>
      </c>
      <c r="CS2553" t="s">
        <v>519</v>
      </c>
      <c r="CT2553">
        <v>3.43</v>
      </c>
      <c r="CU2553">
        <v>0</v>
      </c>
      <c r="CV2553">
        <v>2.21</v>
      </c>
      <c r="CW2553">
        <v>0.13</v>
      </c>
      <c r="CX2553">
        <v>0.17</v>
      </c>
      <c r="CY2553">
        <v>37.54</v>
      </c>
      <c r="CZ2553" t="s">
        <v>11678</v>
      </c>
      <c r="DA2553">
        <v>33.82</v>
      </c>
      <c r="DB2553">
        <v>5.07</v>
      </c>
      <c r="DC2553">
        <v>3.26</v>
      </c>
      <c r="DD2553">
        <v>0.1</v>
      </c>
      <c r="DE2553">
        <v>7847</v>
      </c>
      <c r="DF2553">
        <v>600429</v>
      </c>
      <c r="DG2553" t="s">
        <v>116</v>
      </c>
      <c r="DH2553" t="s">
        <v>116</v>
      </c>
      <c r="DI2553" t="s">
        <v>116</v>
      </c>
    </row>
    <row r="2554" spans="1:113" x14ac:dyDescent="0.4">
      <c r="A2554" t="str">
        <f>"600433"</f>
        <v>600433</v>
      </c>
      <c r="B2554" t="s">
        <v>11679</v>
      </c>
      <c r="C2554">
        <v>0</v>
      </c>
      <c r="D2554">
        <v>3.2</v>
      </c>
      <c r="E2554">
        <v>0</v>
      </c>
      <c r="F2554">
        <v>3.2</v>
      </c>
      <c r="G2554">
        <v>3.21</v>
      </c>
      <c r="H2554">
        <v>72960</v>
      </c>
      <c r="I2554">
        <v>114</v>
      </c>
      <c r="J2554">
        <v>0</v>
      </c>
      <c r="K2554">
        <v>0.56999999999999995</v>
      </c>
      <c r="L2554">
        <v>3.22</v>
      </c>
      <c r="M2554">
        <v>3.25</v>
      </c>
      <c r="N2554">
        <v>3.19</v>
      </c>
      <c r="O2554">
        <v>3.2</v>
      </c>
      <c r="P2554">
        <v>32.950000000000003</v>
      </c>
      <c r="Q2554">
        <v>23496510</v>
      </c>
      <c r="R2554">
        <v>1.33</v>
      </c>
      <c r="S2554" t="s">
        <v>824</v>
      </c>
      <c r="T2554" t="s">
        <v>551</v>
      </c>
      <c r="U2554">
        <v>1.87</v>
      </c>
      <c r="V2554">
        <v>3.22</v>
      </c>
      <c r="W2554">
        <v>28578</v>
      </c>
      <c r="X2554">
        <v>44382</v>
      </c>
      <c r="Y2554">
        <v>0.64</v>
      </c>
      <c r="Z2554">
        <v>877</v>
      </c>
      <c r="AA2554">
        <v>3815</v>
      </c>
      <c r="AB2554" t="s">
        <v>116</v>
      </c>
      <c r="AC2554">
        <v>20000</v>
      </c>
      <c r="AD2554">
        <v>0</v>
      </c>
      <c r="AE2554" t="s">
        <v>116</v>
      </c>
      <c r="AF2554" t="s">
        <v>116</v>
      </c>
      <c r="AG2554">
        <v>12.71</v>
      </c>
      <c r="AH2554" t="s">
        <v>11680</v>
      </c>
      <c r="AI2554" t="s">
        <v>11680</v>
      </c>
      <c r="AJ2554">
        <v>0.08</v>
      </c>
      <c r="AK2554">
        <v>1039</v>
      </c>
      <c r="AL2554">
        <v>70</v>
      </c>
      <c r="AM2554">
        <v>5.9999999999999995E-4</v>
      </c>
      <c r="AN2554">
        <v>0</v>
      </c>
      <c r="AO2554">
        <v>-0.31</v>
      </c>
      <c r="AP2554">
        <v>2.56</v>
      </c>
      <c r="AQ2554">
        <v>-2.14</v>
      </c>
      <c r="AR2554">
        <v>-10.71</v>
      </c>
      <c r="AS2554">
        <v>0.87</v>
      </c>
      <c r="AT2554" t="s">
        <v>873</v>
      </c>
      <c r="AU2554">
        <v>35.479999999999997</v>
      </c>
      <c r="AV2554">
        <v>37.25</v>
      </c>
      <c r="AW2554">
        <v>1.45</v>
      </c>
      <c r="BA2554">
        <v>0.62</v>
      </c>
      <c r="BB2554">
        <v>1.56</v>
      </c>
      <c r="BC2554">
        <v>-0.31</v>
      </c>
      <c r="BD2554">
        <v>0.64</v>
      </c>
      <c r="BE2554">
        <v>-0.62</v>
      </c>
      <c r="BF2554">
        <v>-1.54</v>
      </c>
      <c r="BG2554">
        <v>0.31</v>
      </c>
      <c r="BH2554">
        <v>-0.64</v>
      </c>
      <c r="BI2554">
        <v>20191026</v>
      </c>
      <c r="BJ2554">
        <v>20030619</v>
      </c>
      <c r="BK2554">
        <v>12.71</v>
      </c>
      <c r="BL2554" t="s">
        <v>116</v>
      </c>
      <c r="BM2554" t="s">
        <v>116</v>
      </c>
      <c r="BN2554">
        <v>41.01</v>
      </c>
      <c r="BO2554">
        <v>26.29</v>
      </c>
      <c r="BP2554">
        <v>0.02</v>
      </c>
      <c r="BQ2554">
        <v>35.85</v>
      </c>
      <c r="BR2554">
        <v>15.78</v>
      </c>
      <c r="BS2554">
        <v>21.87</v>
      </c>
      <c r="BT2554">
        <v>2.57</v>
      </c>
      <c r="BU2554">
        <v>14.66</v>
      </c>
      <c r="BV2554">
        <v>3.53</v>
      </c>
      <c r="BW2554">
        <v>4.6100000000000003</v>
      </c>
      <c r="BX2554">
        <v>6.96</v>
      </c>
      <c r="BY2554">
        <v>18.739999999999998</v>
      </c>
      <c r="BZ2554">
        <v>14.72</v>
      </c>
      <c r="CA2554">
        <v>1.1000000000000001</v>
      </c>
      <c r="CB2554">
        <v>-0.03</v>
      </c>
      <c r="CC2554">
        <v>1.1100000000000001</v>
      </c>
      <c r="CD2554">
        <v>0.91</v>
      </c>
      <c r="CE2554">
        <v>0.93</v>
      </c>
      <c r="CF2554">
        <v>0.91</v>
      </c>
      <c r="CG2554">
        <v>6.15</v>
      </c>
      <c r="CH2554">
        <v>1.1499999999999999</v>
      </c>
      <c r="CI2554">
        <v>0.98</v>
      </c>
      <c r="CJ2554">
        <v>49002</v>
      </c>
      <c r="CK2554">
        <v>17064</v>
      </c>
      <c r="CL2554" t="s">
        <v>3916</v>
      </c>
      <c r="CM2554">
        <v>6.23</v>
      </c>
      <c r="CN2554">
        <v>2.02</v>
      </c>
      <c r="CO2554">
        <v>1.55</v>
      </c>
      <c r="CP2554">
        <v>35.479999999999997</v>
      </c>
      <c r="CQ2554">
        <v>2.17</v>
      </c>
      <c r="CR2554">
        <v>0.81</v>
      </c>
      <c r="CS2554" t="s">
        <v>1012</v>
      </c>
      <c r="CT2554">
        <v>2.0699999999999998</v>
      </c>
      <c r="CU2554">
        <v>0</v>
      </c>
      <c r="CV2554">
        <v>0.55000000000000004</v>
      </c>
      <c r="CW2554">
        <v>0.48</v>
      </c>
      <c r="CX2554">
        <v>0.09</v>
      </c>
      <c r="CY2554">
        <v>64.11</v>
      </c>
      <c r="CZ2554" t="s">
        <v>11681</v>
      </c>
      <c r="DA2554">
        <v>21.42</v>
      </c>
      <c r="DB2554">
        <v>5.85</v>
      </c>
      <c r="DC2554">
        <v>4.9400000000000004</v>
      </c>
      <c r="DD2554">
        <v>0.77</v>
      </c>
      <c r="DE2554">
        <v>1651</v>
      </c>
      <c r="DF2554">
        <v>600433</v>
      </c>
      <c r="DG2554" t="s">
        <v>116</v>
      </c>
      <c r="DH2554" t="s">
        <v>116</v>
      </c>
      <c r="DI2554" t="s">
        <v>116</v>
      </c>
    </row>
    <row r="2555" spans="1:113" x14ac:dyDescent="0.4">
      <c r="A2555" t="str">
        <f>"600435"</f>
        <v>600435</v>
      </c>
      <c r="B2555" t="s">
        <v>11682</v>
      </c>
      <c r="C2555">
        <v>0.73</v>
      </c>
      <c r="D2555">
        <v>8.2899999999999991</v>
      </c>
      <c r="E2555">
        <v>0.06</v>
      </c>
      <c r="F2555">
        <v>8.2799999999999994</v>
      </c>
      <c r="G2555">
        <v>8.2899999999999991</v>
      </c>
      <c r="H2555">
        <v>214088</v>
      </c>
      <c r="I2555">
        <v>1845</v>
      </c>
      <c r="J2555">
        <v>-0.11</v>
      </c>
      <c r="K2555">
        <v>1.44</v>
      </c>
      <c r="L2555">
        <v>8.26</v>
      </c>
      <c r="M2555">
        <v>8.52</v>
      </c>
      <c r="N2555">
        <v>8.24</v>
      </c>
      <c r="O2555">
        <v>8.23</v>
      </c>
      <c r="P2555">
        <v>2233.87</v>
      </c>
      <c r="Q2555">
        <v>179226624</v>
      </c>
      <c r="R2555">
        <v>2.2400000000000002</v>
      </c>
      <c r="S2555" t="s">
        <v>682</v>
      </c>
      <c r="T2555" t="s">
        <v>165</v>
      </c>
      <c r="U2555">
        <v>3.4</v>
      </c>
      <c r="V2555">
        <v>8.3699999999999992</v>
      </c>
      <c r="W2555">
        <v>96018</v>
      </c>
      <c r="X2555">
        <v>118070</v>
      </c>
      <c r="Y2555">
        <v>0.81</v>
      </c>
      <c r="Z2555">
        <v>1577</v>
      </c>
      <c r="AA2555">
        <v>764</v>
      </c>
      <c r="AB2555" t="s">
        <v>116</v>
      </c>
      <c r="AC2555">
        <v>427900</v>
      </c>
      <c r="AD2555">
        <v>0.01</v>
      </c>
      <c r="AE2555" t="s">
        <v>116</v>
      </c>
      <c r="AF2555" t="s">
        <v>116</v>
      </c>
      <c r="AG2555">
        <v>14.89</v>
      </c>
      <c r="AH2555" t="s">
        <v>11683</v>
      </c>
      <c r="AI2555" t="s">
        <v>11683</v>
      </c>
      <c r="AJ2555">
        <v>0.81</v>
      </c>
      <c r="AK2555">
        <v>2918</v>
      </c>
      <c r="AL2555">
        <v>73</v>
      </c>
      <c r="AM2555">
        <v>5.0000000000000001E-4</v>
      </c>
      <c r="AN2555">
        <v>2</v>
      </c>
      <c r="AO2555">
        <v>0.36</v>
      </c>
      <c r="AP2555">
        <v>5.47</v>
      </c>
      <c r="AQ2555">
        <v>-2.59</v>
      </c>
      <c r="AR2555">
        <v>11.88</v>
      </c>
      <c r="AS2555">
        <v>2.59</v>
      </c>
      <c r="AT2555" t="s">
        <v>2896</v>
      </c>
      <c r="AU2555">
        <v>248.67</v>
      </c>
      <c r="AV2555">
        <v>249.26</v>
      </c>
      <c r="AW2555">
        <v>0.84</v>
      </c>
      <c r="BA2555">
        <v>0.36</v>
      </c>
      <c r="BB2555">
        <v>3.52</v>
      </c>
      <c r="BC2555">
        <v>0.12</v>
      </c>
      <c r="BD2555">
        <v>1.72</v>
      </c>
      <c r="BE2555">
        <v>0.36</v>
      </c>
      <c r="BF2555">
        <v>-2.7</v>
      </c>
      <c r="BG2555">
        <v>0.61</v>
      </c>
      <c r="BH2555">
        <v>-0.99</v>
      </c>
      <c r="BI2555">
        <v>20191223</v>
      </c>
      <c r="BJ2555">
        <v>20030704</v>
      </c>
      <c r="BK2555">
        <v>14.89</v>
      </c>
      <c r="BL2555" t="s">
        <v>116</v>
      </c>
      <c r="BM2555" t="s">
        <v>116</v>
      </c>
      <c r="BN2555">
        <v>43.83</v>
      </c>
      <c r="BO2555">
        <v>21.3</v>
      </c>
      <c r="BP2555">
        <v>6.37</v>
      </c>
      <c r="BQ2555">
        <v>36.880000000000003</v>
      </c>
      <c r="BR2555">
        <v>29.76</v>
      </c>
      <c r="BS2555">
        <v>8.6199999999999992</v>
      </c>
      <c r="BT2555">
        <v>3.56</v>
      </c>
      <c r="BU2555">
        <v>15.72</v>
      </c>
      <c r="BV2555">
        <v>9.7200000000000006</v>
      </c>
      <c r="BW2555">
        <v>9.5399999999999991</v>
      </c>
      <c r="BX2555">
        <v>1.04</v>
      </c>
      <c r="BY2555">
        <v>9.16</v>
      </c>
      <c r="BZ2555">
        <v>6.01</v>
      </c>
      <c r="CA2555">
        <v>0.51</v>
      </c>
      <c r="CB2555">
        <v>0.01</v>
      </c>
      <c r="CC2555">
        <v>0.49</v>
      </c>
      <c r="CD2555">
        <v>0.4</v>
      </c>
      <c r="CE2555">
        <v>0.04</v>
      </c>
      <c r="CF2555">
        <v>0.04</v>
      </c>
      <c r="CG2555">
        <v>4.46</v>
      </c>
      <c r="CH2555">
        <v>-5.64</v>
      </c>
      <c r="CI2555">
        <v>-6.35</v>
      </c>
      <c r="CJ2555">
        <v>127500</v>
      </c>
      <c r="CK2555">
        <v>6494</v>
      </c>
      <c r="CL2555" t="s">
        <v>2630</v>
      </c>
      <c r="CM2555">
        <v>2.92</v>
      </c>
      <c r="CN2555">
        <v>27.24</v>
      </c>
      <c r="CO2555">
        <v>5.8</v>
      </c>
      <c r="CP2555">
        <v>-21.88</v>
      </c>
      <c r="CQ2555">
        <v>13.48</v>
      </c>
      <c r="CR2555">
        <v>0</v>
      </c>
      <c r="CS2555" t="s">
        <v>350</v>
      </c>
      <c r="CT2555">
        <v>1.43</v>
      </c>
      <c r="CU2555">
        <v>0</v>
      </c>
      <c r="CV2555">
        <v>7.0000000000000007E-2</v>
      </c>
      <c r="CW2555">
        <v>0.3</v>
      </c>
      <c r="CX2555">
        <v>-0.38</v>
      </c>
      <c r="CY2555">
        <v>48.59</v>
      </c>
      <c r="CZ2555" t="s">
        <v>5810</v>
      </c>
      <c r="DA2555">
        <v>34.380000000000003</v>
      </c>
      <c r="DB2555">
        <v>5.55</v>
      </c>
      <c r="DC2555">
        <v>0.45</v>
      </c>
      <c r="DD2555">
        <v>0.85</v>
      </c>
      <c r="DE2555">
        <v>2453</v>
      </c>
      <c r="DF2555">
        <v>600435</v>
      </c>
      <c r="DG2555" t="s">
        <v>116</v>
      </c>
      <c r="DH2555" t="s">
        <v>116</v>
      </c>
      <c r="DI2555" t="s">
        <v>116</v>
      </c>
    </row>
    <row r="2556" spans="1:113" x14ac:dyDescent="0.4">
      <c r="A2556" t="str">
        <f>"600436"</f>
        <v>600436</v>
      </c>
      <c r="B2556" t="s">
        <v>11684</v>
      </c>
      <c r="C2556">
        <v>-1.66</v>
      </c>
      <c r="D2556">
        <v>108.14</v>
      </c>
      <c r="E2556">
        <v>-1.83</v>
      </c>
      <c r="F2556">
        <v>108.12</v>
      </c>
      <c r="G2556">
        <v>108.14</v>
      </c>
      <c r="H2556">
        <v>40623</v>
      </c>
      <c r="I2556">
        <v>244</v>
      </c>
      <c r="J2556">
        <v>0.12</v>
      </c>
      <c r="K2556">
        <v>0.67</v>
      </c>
      <c r="L2556">
        <v>109.97</v>
      </c>
      <c r="M2556">
        <v>110.6</v>
      </c>
      <c r="N2556">
        <v>107.98</v>
      </c>
      <c r="O2556">
        <v>109.97</v>
      </c>
      <c r="P2556">
        <v>44.12</v>
      </c>
      <c r="Q2556">
        <v>443906528</v>
      </c>
      <c r="R2556">
        <v>0.87</v>
      </c>
      <c r="S2556" t="s">
        <v>781</v>
      </c>
      <c r="T2556" t="s">
        <v>975</v>
      </c>
      <c r="U2556">
        <v>2.38</v>
      </c>
      <c r="V2556">
        <v>109.28</v>
      </c>
      <c r="W2556">
        <v>22217</v>
      </c>
      <c r="X2556">
        <v>18406</v>
      </c>
      <c r="Y2556">
        <v>1.21</v>
      </c>
      <c r="Z2556">
        <v>7</v>
      </c>
      <c r="AA2556">
        <v>16</v>
      </c>
      <c r="AB2556" t="s">
        <v>116</v>
      </c>
      <c r="AC2556">
        <v>1055700</v>
      </c>
      <c r="AD2556">
        <v>0</v>
      </c>
      <c r="AE2556" t="s">
        <v>116</v>
      </c>
      <c r="AF2556" t="s">
        <v>116</v>
      </c>
      <c r="AG2556">
        <v>6.03</v>
      </c>
      <c r="AH2556" t="s">
        <v>11685</v>
      </c>
      <c r="AI2556" t="s">
        <v>11685</v>
      </c>
      <c r="AJ2556">
        <v>-1.59</v>
      </c>
      <c r="AK2556">
        <v>3512</v>
      </c>
      <c r="AL2556">
        <v>12</v>
      </c>
      <c r="AM2556">
        <v>2.0000000000000001E-4</v>
      </c>
      <c r="AN2556">
        <v>-1</v>
      </c>
      <c r="AO2556">
        <v>3.47</v>
      </c>
      <c r="AP2556">
        <v>8.3800000000000008</v>
      </c>
      <c r="AQ2556">
        <v>6.94</v>
      </c>
      <c r="AR2556">
        <v>25.67</v>
      </c>
      <c r="AS2556">
        <v>1.62</v>
      </c>
      <c r="AT2556" t="s">
        <v>11686</v>
      </c>
      <c r="AU2556">
        <v>48.98</v>
      </c>
      <c r="AV2556">
        <v>57.08</v>
      </c>
      <c r="AW2556">
        <v>0.42</v>
      </c>
      <c r="BA2556">
        <v>0</v>
      </c>
      <c r="BB2556">
        <v>0.56999999999999995</v>
      </c>
      <c r="BC2556">
        <v>-1.81</v>
      </c>
      <c r="BD2556">
        <v>-0.63</v>
      </c>
      <c r="BE2556">
        <v>-1.66</v>
      </c>
      <c r="BF2556">
        <v>-2.2200000000000002</v>
      </c>
      <c r="BG2556">
        <v>0.15</v>
      </c>
      <c r="BH2556">
        <v>-1.03</v>
      </c>
      <c r="BI2556">
        <v>20191025</v>
      </c>
      <c r="BJ2556">
        <v>20030616</v>
      </c>
      <c r="BK2556">
        <v>6.03</v>
      </c>
      <c r="BL2556" t="s">
        <v>116</v>
      </c>
      <c r="BM2556" t="s">
        <v>116</v>
      </c>
      <c r="BN2556">
        <v>84.27</v>
      </c>
      <c r="BO2556">
        <v>62.79</v>
      </c>
      <c r="BP2556">
        <v>3.21</v>
      </c>
      <c r="BQ2556">
        <v>21.69</v>
      </c>
      <c r="BR2556">
        <v>69.959999999999994</v>
      </c>
      <c r="BS2556">
        <v>2.35</v>
      </c>
      <c r="BT2556">
        <v>1.7</v>
      </c>
      <c r="BU2556">
        <v>17.440000000000001</v>
      </c>
      <c r="BV2556">
        <v>18.71</v>
      </c>
      <c r="BW2556">
        <v>5.61</v>
      </c>
      <c r="BX2556">
        <v>10.78</v>
      </c>
      <c r="BY2556">
        <v>43.42</v>
      </c>
      <c r="BZ2556">
        <v>23.98</v>
      </c>
      <c r="CA2556">
        <v>13.16</v>
      </c>
      <c r="CB2556">
        <v>0.27</v>
      </c>
      <c r="CC2556">
        <v>13.21</v>
      </c>
      <c r="CD2556">
        <v>11.21</v>
      </c>
      <c r="CE2556">
        <v>11.09</v>
      </c>
      <c r="CF2556">
        <v>11.03</v>
      </c>
      <c r="CG2556">
        <v>38.64</v>
      </c>
      <c r="CH2556">
        <v>11.24</v>
      </c>
      <c r="CI2556">
        <v>16.170000000000002</v>
      </c>
      <c r="CJ2556">
        <v>69078</v>
      </c>
      <c r="CK2556">
        <v>3631</v>
      </c>
      <c r="CL2556" t="s">
        <v>11687</v>
      </c>
      <c r="CM2556">
        <v>20.56</v>
      </c>
      <c r="CN2556">
        <v>21.07</v>
      </c>
      <c r="CO2556">
        <v>10.39</v>
      </c>
      <c r="CP2556">
        <v>58.04</v>
      </c>
      <c r="CQ2556">
        <v>15.03</v>
      </c>
      <c r="CR2556">
        <v>0.55000000000000004</v>
      </c>
      <c r="CS2556" t="s">
        <v>11688</v>
      </c>
      <c r="CT2556">
        <v>10.41</v>
      </c>
      <c r="CU2556">
        <v>0</v>
      </c>
      <c r="CV2556">
        <v>1.79</v>
      </c>
      <c r="CW2556">
        <v>6.41</v>
      </c>
      <c r="CX2556">
        <v>1.86</v>
      </c>
      <c r="CY2556">
        <v>74.510000000000005</v>
      </c>
      <c r="CZ2556" t="s">
        <v>11689</v>
      </c>
      <c r="DA2556">
        <v>44.76</v>
      </c>
      <c r="DB2556">
        <v>30.3</v>
      </c>
      <c r="DC2556">
        <v>25.54</v>
      </c>
      <c r="DD2556">
        <v>0.86</v>
      </c>
      <c r="DE2556">
        <v>2233</v>
      </c>
      <c r="DF2556">
        <v>600436</v>
      </c>
      <c r="DG2556" t="s">
        <v>116</v>
      </c>
      <c r="DH2556" t="s">
        <v>116</v>
      </c>
      <c r="DI2556" t="s">
        <v>116</v>
      </c>
    </row>
    <row r="2557" spans="1:113" x14ac:dyDescent="0.4">
      <c r="A2557" t="str">
        <f>"600438"</f>
        <v>600438</v>
      </c>
      <c r="B2557" t="s">
        <v>11690</v>
      </c>
      <c r="C2557">
        <v>-0.46</v>
      </c>
      <c r="D2557">
        <v>13</v>
      </c>
      <c r="E2557">
        <v>-0.06</v>
      </c>
      <c r="F2557">
        <v>13</v>
      </c>
      <c r="G2557">
        <v>13.01</v>
      </c>
      <c r="H2557">
        <v>205354</v>
      </c>
      <c r="I2557">
        <v>1136</v>
      </c>
      <c r="J2557">
        <v>-0.14000000000000001</v>
      </c>
      <c r="K2557">
        <v>0.53</v>
      </c>
      <c r="L2557">
        <v>13.04</v>
      </c>
      <c r="M2557">
        <v>13.1</v>
      </c>
      <c r="N2557">
        <v>12.88</v>
      </c>
      <c r="O2557">
        <v>13.06</v>
      </c>
      <c r="P2557">
        <v>16.88</v>
      </c>
      <c r="Q2557">
        <v>267145504</v>
      </c>
      <c r="R2557">
        <v>0.99</v>
      </c>
      <c r="S2557" t="s">
        <v>389</v>
      </c>
      <c r="T2557" t="s">
        <v>582</v>
      </c>
      <c r="U2557">
        <v>1.68</v>
      </c>
      <c r="V2557">
        <v>13.01</v>
      </c>
      <c r="W2557">
        <v>91740</v>
      </c>
      <c r="X2557">
        <v>113614</v>
      </c>
      <c r="Y2557">
        <v>0.81</v>
      </c>
      <c r="Z2557">
        <v>229</v>
      </c>
      <c r="AA2557">
        <v>150</v>
      </c>
      <c r="AB2557" t="s">
        <v>116</v>
      </c>
      <c r="AC2557">
        <v>157800</v>
      </c>
      <c r="AD2557">
        <v>0</v>
      </c>
      <c r="AE2557" t="s">
        <v>116</v>
      </c>
      <c r="AF2557" t="s">
        <v>116</v>
      </c>
      <c r="AG2557">
        <v>38.83</v>
      </c>
      <c r="AH2557" t="s">
        <v>11691</v>
      </c>
      <c r="AI2557" t="s">
        <v>11691</v>
      </c>
      <c r="AJ2557">
        <v>-0.38</v>
      </c>
      <c r="AK2557">
        <v>3628</v>
      </c>
      <c r="AL2557">
        <v>57</v>
      </c>
      <c r="AM2557">
        <v>1E-4</v>
      </c>
      <c r="AN2557">
        <v>-2</v>
      </c>
      <c r="AO2557">
        <v>1.25</v>
      </c>
      <c r="AP2557">
        <v>-0.76</v>
      </c>
      <c r="AQ2557">
        <v>0.62</v>
      </c>
      <c r="AR2557">
        <v>60.1</v>
      </c>
      <c r="AS2557">
        <v>1.22</v>
      </c>
      <c r="AT2557" t="s">
        <v>11692</v>
      </c>
      <c r="AU2557">
        <v>19.39</v>
      </c>
      <c r="AV2557">
        <v>25</v>
      </c>
      <c r="AW2557">
        <v>1.17</v>
      </c>
      <c r="BA2557">
        <v>-0.15</v>
      </c>
      <c r="BB2557">
        <v>0.31</v>
      </c>
      <c r="BC2557">
        <v>-1.38</v>
      </c>
      <c r="BD2557">
        <v>-0.39</v>
      </c>
      <c r="BE2557">
        <v>-0.31</v>
      </c>
      <c r="BF2557">
        <v>-0.76</v>
      </c>
      <c r="BG2557">
        <v>0.93</v>
      </c>
      <c r="BH2557">
        <v>-7.0000000000000007E-2</v>
      </c>
      <c r="BI2557">
        <v>20191025</v>
      </c>
      <c r="BJ2557">
        <v>20040302</v>
      </c>
      <c r="BK2557">
        <v>38.83</v>
      </c>
      <c r="BL2557" t="s">
        <v>116</v>
      </c>
      <c r="BM2557" t="s">
        <v>116</v>
      </c>
      <c r="BN2557">
        <v>437.82</v>
      </c>
      <c r="BO2557">
        <v>172.07</v>
      </c>
      <c r="BP2557">
        <v>4.8899999999999997</v>
      </c>
      <c r="BQ2557">
        <v>59.58</v>
      </c>
      <c r="BR2557">
        <v>130.22999999999999</v>
      </c>
      <c r="BS2557">
        <v>247.59</v>
      </c>
      <c r="BT2557">
        <v>16.420000000000002</v>
      </c>
      <c r="BU2557">
        <v>171.36</v>
      </c>
      <c r="BV2557">
        <v>27.44</v>
      </c>
      <c r="BW2557">
        <v>15.98</v>
      </c>
      <c r="BX2557">
        <v>56.77</v>
      </c>
      <c r="BY2557">
        <v>280.25</v>
      </c>
      <c r="BZ2557">
        <v>226.1</v>
      </c>
      <c r="CA2557">
        <v>27.09</v>
      </c>
      <c r="CB2557">
        <v>0.82</v>
      </c>
      <c r="CC2557">
        <v>27.18</v>
      </c>
      <c r="CD2557">
        <v>22.8</v>
      </c>
      <c r="CE2557">
        <v>22.43</v>
      </c>
      <c r="CF2557">
        <v>20.86</v>
      </c>
      <c r="CG2557">
        <v>63.77</v>
      </c>
      <c r="CH2557">
        <v>21.65</v>
      </c>
      <c r="CI2557">
        <v>-0.4</v>
      </c>
      <c r="CJ2557">
        <v>51590</v>
      </c>
      <c r="CK2557">
        <v>32759</v>
      </c>
      <c r="CL2557" t="s">
        <v>11693</v>
      </c>
      <c r="CM2557">
        <v>35.24</v>
      </c>
      <c r="CN2557">
        <v>31.03</v>
      </c>
      <c r="CO2557">
        <v>3.09</v>
      </c>
      <c r="CP2557">
        <v>23.31</v>
      </c>
      <c r="CQ2557">
        <v>1.8</v>
      </c>
      <c r="CR2557">
        <v>1.23</v>
      </c>
      <c r="CS2557" t="s">
        <v>11694</v>
      </c>
      <c r="CT2557">
        <v>4.21</v>
      </c>
      <c r="CU2557">
        <v>4.21</v>
      </c>
      <c r="CV2557">
        <v>1.46</v>
      </c>
      <c r="CW2557">
        <v>1.64</v>
      </c>
      <c r="CX2557">
        <v>0.56000000000000005</v>
      </c>
      <c r="CY2557">
        <v>39.299999999999997</v>
      </c>
      <c r="CZ2557" t="s">
        <v>11695</v>
      </c>
      <c r="DA2557">
        <v>19.32</v>
      </c>
      <c r="DB2557">
        <v>9.67</v>
      </c>
      <c r="DC2557">
        <v>8</v>
      </c>
      <c r="DD2557">
        <v>6.54</v>
      </c>
      <c r="DE2557">
        <v>21513</v>
      </c>
      <c r="DF2557">
        <v>600438</v>
      </c>
      <c r="DG2557" t="s">
        <v>116</v>
      </c>
      <c r="DH2557" t="s">
        <v>116</v>
      </c>
      <c r="DI2557" t="s">
        <v>116</v>
      </c>
    </row>
    <row r="2558" spans="1:113" x14ac:dyDescent="0.4">
      <c r="A2558" t="str">
        <f>"600439"</f>
        <v>600439</v>
      </c>
      <c r="B2558" t="s">
        <v>11696</v>
      </c>
      <c r="C2558">
        <v>-2.2000000000000002</v>
      </c>
      <c r="D2558">
        <v>3.56</v>
      </c>
      <c r="E2558">
        <v>-0.08</v>
      </c>
      <c r="F2558">
        <v>3.56</v>
      </c>
      <c r="G2558">
        <v>3.57</v>
      </c>
      <c r="H2558">
        <v>132311</v>
      </c>
      <c r="I2558">
        <v>1403</v>
      </c>
      <c r="J2558">
        <v>0</v>
      </c>
      <c r="K2558">
        <v>1.17</v>
      </c>
      <c r="L2558">
        <v>3.65</v>
      </c>
      <c r="M2558">
        <v>3.67</v>
      </c>
      <c r="N2558">
        <v>3.56</v>
      </c>
      <c r="O2558">
        <v>3.64</v>
      </c>
      <c r="P2558">
        <v>16.43</v>
      </c>
      <c r="Q2558">
        <v>47703344</v>
      </c>
      <c r="R2558">
        <v>0.59</v>
      </c>
      <c r="S2558" t="s">
        <v>3070</v>
      </c>
      <c r="T2558" t="s">
        <v>652</v>
      </c>
      <c r="U2558">
        <v>3.02</v>
      </c>
      <c r="V2558">
        <v>3.61</v>
      </c>
      <c r="W2558">
        <v>93344</v>
      </c>
      <c r="X2558">
        <v>38967</v>
      </c>
      <c r="Y2558">
        <v>2.4</v>
      </c>
      <c r="Z2558">
        <v>530</v>
      </c>
      <c r="AA2558">
        <v>697</v>
      </c>
      <c r="AB2558" t="s">
        <v>116</v>
      </c>
      <c r="AC2558">
        <v>355500</v>
      </c>
      <c r="AD2558">
        <v>0.01</v>
      </c>
      <c r="AE2558" t="s">
        <v>116</v>
      </c>
      <c r="AF2558" t="s">
        <v>116</v>
      </c>
      <c r="AG2558">
        <v>11.32</v>
      </c>
      <c r="AH2558" t="s">
        <v>11697</v>
      </c>
      <c r="AI2558" t="s">
        <v>11697</v>
      </c>
      <c r="AJ2558">
        <v>-2.12</v>
      </c>
      <c r="AK2558">
        <v>1899</v>
      </c>
      <c r="AL2558">
        <v>70</v>
      </c>
      <c r="AM2558">
        <v>5.9999999999999995E-4</v>
      </c>
      <c r="AN2558">
        <v>-3</v>
      </c>
      <c r="AO2558">
        <v>-4.57</v>
      </c>
      <c r="AP2558">
        <v>7.88</v>
      </c>
      <c r="AQ2558">
        <v>10.56</v>
      </c>
      <c r="AR2558">
        <v>36.92</v>
      </c>
      <c r="AS2558">
        <v>1.76</v>
      </c>
      <c r="AT2558" t="s">
        <v>5448</v>
      </c>
      <c r="AU2558">
        <v>17.260000000000002</v>
      </c>
      <c r="AV2558">
        <v>17.21</v>
      </c>
      <c r="AW2558">
        <v>1.1399999999999999</v>
      </c>
      <c r="BA2558">
        <v>0.27</v>
      </c>
      <c r="BB2558">
        <v>0.82</v>
      </c>
      <c r="BC2558">
        <v>-2.2000000000000002</v>
      </c>
      <c r="BD2558">
        <v>-0.95</v>
      </c>
      <c r="BE2558">
        <v>-2.4700000000000002</v>
      </c>
      <c r="BF2558">
        <v>-3</v>
      </c>
      <c r="BG2558">
        <v>0</v>
      </c>
      <c r="BH2558">
        <v>-1.25</v>
      </c>
      <c r="BI2558">
        <v>20191029</v>
      </c>
      <c r="BJ2558">
        <v>20030710</v>
      </c>
      <c r="BK2558">
        <v>11.32</v>
      </c>
      <c r="BL2558" t="s">
        <v>116</v>
      </c>
      <c r="BM2558" t="s">
        <v>116</v>
      </c>
      <c r="BN2558">
        <v>48.37</v>
      </c>
      <c r="BO2558">
        <v>28.15</v>
      </c>
      <c r="BP2558">
        <v>0.04</v>
      </c>
      <c r="BQ2558">
        <v>41.72</v>
      </c>
      <c r="BR2558">
        <v>39.11</v>
      </c>
      <c r="BS2558">
        <v>5.41</v>
      </c>
      <c r="BT2558">
        <v>1.9</v>
      </c>
      <c r="BU2558">
        <v>14.74</v>
      </c>
      <c r="BV2558">
        <v>31.95</v>
      </c>
      <c r="BW2558">
        <v>2.02</v>
      </c>
      <c r="BX2558">
        <v>2.48</v>
      </c>
      <c r="BY2558">
        <v>14.19</v>
      </c>
      <c r="BZ2558">
        <v>9.1999999999999993</v>
      </c>
      <c r="CA2558">
        <v>2</v>
      </c>
      <c r="CB2558">
        <v>0.04</v>
      </c>
      <c r="CC2558">
        <v>2.0299999999999998</v>
      </c>
      <c r="CD2558">
        <v>1.84</v>
      </c>
      <c r="CE2558">
        <v>1.84</v>
      </c>
      <c r="CF2558">
        <v>1.81</v>
      </c>
      <c r="CG2558">
        <v>15.64</v>
      </c>
      <c r="CH2558">
        <v>0.87</v>
      </c>
      <c r="CI2558">
        <v>0.14000000000000001</v>
      </c>
      <c r="CJ2558">
        <v>54850</v>
      </c>
      <c r="CK2558">
        <v>13682</v>
      </c>
      <c r="CL2558" t="s">
        <v>4706</v>
      </c>
      <c r="CM2558">
        <v>-0.39</v>
      </c>
      <c r="CN2558">
        <v>-3.09</v>
      </c>
      <c r="CO2558">
        <v>1.43</v>
      </c>
      <c r="CP2558">
        <v>46.46</v>
      </c>
      <c r="CQ2558">
        <v>2.84</v>
      </c>
      <c r="CR2558">
        <v>1.4</v>
      </c>
      <c r="CS2558" t="s">
        <v>7041</v>
      </c>
      <c r="CT2558">
        <v>2.4900000000000002</v>
      </c>
      <c r="CU2558">
        <v>0</v>
      </c>
      <c r="CV2558">
        <v>0.22</v>
      </c>
      <c r="CW2558">
        <v>1.38</v>
      </c>
      <c r="CX2558">
        <v>0.08</v>
      </c>
      <c r="CY2558">
        <v>58.19</v>
      </c>
      <c r="CZ2558" t="s">
        <v>11698</v>
      </c>
      <c r="DA2558">
        <v>35.159999999999997</v>
      </c>
      <c r="DB2558">
        <v>14.1</v>
      </c>
      <c r="DC2558">
        <v>12.96</v>
      </c>
      <c r="DD2558">
        <v>0.3</v>
      </c>
      <c r="DE2558">
        <v>9023</v>
      </c>
      <c r="DF2558">
        <v>600439</v>
      </c>
      <c r="DG2558" t="s">
        <v>116</v>
      </c>
      <c r="DH2558" t="s">
        <v>116</v>
      </c>
      <c r="DI2558" t="s">
        <v>116</v>
      </c>
    </row>
    <row r="2559" spans="1:113" x14ac:dyDescent="0.4">
      <c r="A2559" t="str">
        <f>"600444"</f>
        <v>600444</v>
      </c>
      <c r="B2559" t="s">
        <v>11699</v>
      </c>
      <c r="C2559">
        <v>-0.38</v>
      </c>
      <c r="D2559">
        <v>10.54</v>
      </c>
      <c r="E2559">
        <v>-0.04</v>
      </c>
      <c r="F2559">
        <v>10.52</v>
      </c>
      <c r="G2559">
        <v>10.54</v>
      </c>
      <c r="H2559">
        <v>7441</v>
      </c>
      <c r="I2559">
        <v>24</v>
      </c>
      <c r="J2559">
        <v>0.09</v>
      </c>
      <c r="K2559">
        <v>0.51</v>
      </c>
      <c r="L2559">
        <v>10.58</v>
      </c>
      <c r="M2559">
        <v>10.63</v>
      </c>
      <c r="N2559">
        <v>10.5</v>
      </c>
      <c r="O2559">
        <v>10.58</v>
      </c>
      <c r="P2559">
        <v>43.82</v>
      </c>
      <c r="Q2559">
        <v>7863379</v>
      </c>
      <c r="R2559">
        <v>1</v>
      </c>
      <c r="S2559" t="s">
        <v>2444</v>
      </c>
      <c r="T2559" t="s">
        <v>575</v>
      </c>
      <c r="U2559">
        <v>1.23</v>
      </c>
      <c r="V2559">
        <v>10.57</v>
      </c>
      <c r="W2559">
        <v>5191</v>
      </c>
      <c r="X2559">
        <v>2250</v>
      </c>
      <c r="Y2559">
        <v>2.31</v>
      </c>
      <c r="Z2559">
        <v>12</v>
      </c>
      <c r="AA2559">
        <v>2</v>
      </c>
      <c r="AB2559" t="s">
        <v>116</v>
      </c>
      <c r="AC2559">
        <v>41300</v>
      </c>
      <c r="AD2559">
        <v>0</v>
      </c>
      <c r="AE2559" t="s">
        <v>116</v>
      </c>
      <c r="AF2559" t="s">
        <v>116</v>
      </c>
      <c r="AG2559">
        <v>1.46</v>
      </c>
      <c r="AH2559" t="s">
        <v>11700</v>
      </c>
      <c r="AI2559" t="s">
        <v>11700</v>
      </c>
      <c r="AJ2559">
        <v>-0.3</v>
      </c>
      <c r="AK2559">
        <v>356</v>
      </c>
      <c r="AL2559">
        <v>21</v>
      </c>
      <c r="AM2559">
        <v>1.4E-3</v>
      </c>
      <c r="AN2559">
        <v>-1</v>
      </c>
      <c r="AO2559">
        <v>-1.03</v>
      </c>
      <c r="AP2559">
        <v>6.14</v>
      </c>
      <c r="AQ2559">
        <v>-3.48</v>
      </c>
      <c r="AR2559">
        <v>11.89</v>
      </c>
      <c r="AS2559">
        <v>0.92</v>
      </c>
      <c r="AT2559" t="s">
        <v>6696</v>
      </c>
      <c r="AU2559">
        <v>38.590000000000003</v>
      </c>
      <c r="AV2559">
        <v>32.700000000000003</v>
      </c>
      <c r="AW2559">
        <v>0.97</v>
      </c>
      <c r="BA2559">
        <v>0</v>
      </c>
      <c r="BB2559">
        <v>0.47</v>
      </c>
      <c r="BC2559">
        <v>-0.76</v>
      </c>
      <c r="BD2559">
        <v>-0.12</v>
      </c>
      <c r="BE2559">
        <v>-0.38</v>
      </c>
      <c r="BF2559">
        <v>-0.85</v>
      </c>
      <c r="BG2559">
        <v>0.38</v>
      </c>
      <c r="BH2559">
        <v>-0.26</v>
      </c>
      <c r="BI2559">
        <v>20191025</v>
      </c>
      <c r="BJ2559">
        <v>20040219</v>
      </c>
      <c r="BK2559">
        <v>1.46</v>
      </c>
      <c r="BL2559" t="s">
        <v>116</v>
      </c>
      <c r="BM2559" t="s">
        <v>116</v>
      </c>
      <c r="BN2559">
        <v>8.89</v>
      </c>
      <c r="BO2559">
        <v>5.65</v>
      </c>
      <c r="BP2559">
        <v>0</v>
      </c>
      <c r="BQ2559">
        <v>36.380000000000003</v>
      </c>
      <c r="BR2559">
        <v>7.61</v>
      </c>
      <c r="BS2559">
        <v>0.81</v>
      </c>
      <c r="BT2559">
        <v>0.13</v>
      </c>
      <c r="BU2559">
        <v>3.17</v>
      </c>
      <c r="BV2559">
        <v>1.4</v>
      </c>
      <c r="BW2559">
        <v>2.57</v>
      </c>
      <c r="BX2559">
        <v>3.29</v>
      </c>
      <c r="BY2559">
        <v>4.8</v>
      </c>
      <c r="BZ2559">
        <v>4.0199999999999996</v>
      </c>
      <c r="CA2559">
        <v>0.28000000000000003</v>
      </c>
      <c r="CB2559">
        <v>0</v>
      </c>
      <c r="CC2559">
        <v>0.28999999999999998</v>
      </c>
      <c r="CD2559">
        <v>0.26</v>
      </c>
      <c r="CE2559">
        <v>0.26</v>
      </c>
      <c r="CF2559">
        <v>0.11</v>
      </c>
      <c r="CG2559">
        <v>0.56000000000000005</v>
      </c>
      <c r="CH2559">
        <v>-0.24</v>
      </c>
      <c r="CI2559">
        <v>-0.06</v>
      </c>
      <c r="CJ2559">
        <v>7918</v>
      </c>
      <c r="CK2559">
        <v>10232</v>
      </c>
      <c r="CL2559" t="s">
        <v>8685</v>
      </c>
      <c r="CM2559">
        <v>-21.44</v>
      </c>
      <c r="CN2559">
        <v>28.09</v>
      </c>
      <c r="CO2559">
        <v>2.73</v>
      </c>
      <c r="CP2559">
        <v>-63.89</v>
      </c>
      <c r="CQ2559">
        <v>3.22</v>
      </c>
      <c r="CR2559">
        <v>1.23</v>
      </c>
      <c r="CS2559" t="s">
        <v>1971</v>
      </c>
      <c r="CT2559">
        <v>3.86</v>
      </c>
      <c r="CU2559">
        <v>0</v>
      </c>
      <c r="CV2559">
        <v>2.25</v>
      </c>
      <c r="CW2559">
        <v>0.38</v>
      </c>
      <c r="CX2559">
        <v>-0.16</v>
      </c>
      <c r="CY2559">
        <v>63.62</v>
      </c>
      <c r="CZ2559" t="s">
        <v>6765</v>
      </c>
      <c r="DA2559">
        <v>16.22</v>
      </c>
      <c r="DB2559">
        <v>5.86</v>
      </c>
      <c r="DC2559">
        <v>5.51</v>
      </c>
      <c r="DD2559">
        <v>0.23</v>
      </c>
      <c r="DE2559">
        <v>451</v>
      </c>
      <c r="DF2559">
        <v>600444</v>
      </c>
      <c r="DG2559" t="s">
        <v>116</v>
      </c>
      <c r="DH2559" t="s">
        <v>116</v>
      </c>
      <c r="DI2559" t="s">
        <v>116</v>
      </c>
    </row>
    <row r="2560" spans="1:113" x14ac:dyDescent="0.4">
      <c r="A2560" t="str">
        <f>"600446"</f>
        <v>600446</v>
      </c>
      <c r="B2560" t="s">
        <v>11701</v>
      </c>
      <c r="C2560">
        <v>-3.83</v>
      </c>
      <c r="D2560">
        <v>20.100000000000001</v>
      </c>
      <c r="E2560">
        <v>-0.8</v>
      </c>
      <c r="F2560">
        <v>20.09</v>
      </c>
      <c r="G2560">
        <v>20.100000000000001</v>
      </c>
      <c r="H2560">
        <v>268317</v>
      </c>
      <c r="I2560">
        <v>6182</v>
      </c>
      <c r="J2560">
        <v>-0.24</v>
      </c>
      <c r="K2560">
        <v>3.14</v>
      </c>
      <c r="L2560">
        <v>20.83</v>
      </c>
      <c r="M2560">
        <v>20.97</v>
      </c>
      <c r="N2560">
        <v>20.04</v>
      </c>
      <c r="O2560">
        <v>20.9</v>
      </c>
      <c r="P2560">
        <v>140.63999999999999</v>
      </c>
      <c r="Q2560">
        <v>552417536</v>
      </c>
      <c r="R2560">
        <v>1.28</v>
      </c>
      <c r="S2560" t="s">
        <v>607</v>
      </c>
      <c r="T2560" t="s">
        <v>115</v>
      </c>
      <c r="U2560">
        <v>4.45</v>
      </c>
      <c r="V2560">
        <v>20.59</v>
      </c>
      <c r="W2560">
        <v>160933</v>
      </c>
      <c r="X2560">
        <v>107384</v>
      </c>
      <c r="Y2560">
        <v>1.5</v>
      </c>
      <c r="Z2560">
        <v>104</v>
      </c>
      <c r="AA2560">
        <v>585</v>
      </c>
      <c r="AB2560" t="s">
        <v>116</v>
      </c>
      <c r="AC2560">
        <v>2724600</v>
      </c>
      <c r="AD2560">
        <v>0.03</v>
      </c>
      <c r="AE2560" t="s">
        <v>116</v>
      </c>
      <c r="AF2560" t="s">
        <v>116</v>
      </c>
      <c r="AG2560">
        <v>8.5299999999999994</v>
      </c>
      <c r="AH2560" t="s">
        <v>11702</v>
      </c>
      <c r="AI2560" t="s">
        <v>11703</v>
      </c>
      <c r="AJ2560">
        <v>-3.75</v>
      </c>
      <c r="AK2560">
        <v>4077</v>
      </c>
      <c r="AL2560">
        <v>66</v>
      </c>
      <c r="AM2560">
        <v>8.0000000000000004E-4</v>
      </c>
      <c r="AN2560">
        <v>-1</v>
      </c>
      <c r="AO2560">
        <v>-1.72</v>
      </c>
      <c r="AP2560">
        <v>8.83</v>
      </c>
      <c r="AQ2560">
        <v>-6.38</v>
      </c>
      <c r="AR2560">
        <v>111.58</v>
      </c>
      <c r="AS2560">
        <v>5.65</v>
      </c>
      <c r="AT2560" t="s">
        <v>2307</v>
      </c>
      <c r="AU2560" t="s">
        <v>116</v>
      </c>
      <c r="AV2560" t="s">
        <v>116</v>
      </c>
      <c r="AW2560">
        <v>2.8</v>
      </c>
      <c r="BA2560">
        <v>-0.33</v>
      </c>
      <c r="BB2560">
        <v>0.33</v>
      </c>
      <c r="BC2560">
        <v>-4.1100000000000003</v>
      </c>
      <c r="BD2560">
        <v>-1.49</v>
      </c>
      <c r="BE2560">
        <v>-3.5</v>
      </c>
      <c r="BF2560">
        <v>-4.1500000000000004</v>
      </c>
      <c r="BG2560">
        <v>0.3</v>
      </c>
      <c r="BH2560">
        <v>-2.34</v>
      </c>
      <c r="BI2560">
        <v>20191024</v>
      </c>
      <c r="BJ2560">
        <v>20031224</v>
      </c>
      <c r="BK2560">
        <v>8.6</v>
      </c>
      <c r="BL2560" t="s">
        <v>116</v>
      </c>
      <c r="BM2560" t="s">
        <v>116</v>
      </c>
      <c r="BN2560">
        <v>41.36</v>
      </c>
      <c r="BO2560">
        <v>17.600000000000001</v>
      </c>
      <c r="BP2560">
        <v>1.56</v>
      </c>
      <c r="BQ2560">
        <v>53.67</v>
      </c>
      <c r="BR2560">
        <v>29.3</v>
      </c>
      <c r="BS2560">
        <v>0.59</v>
      </c>
      <c r="BT2560">
        <v>0.67</v>
      </c>
      <c r="BU2560">
        <v>15.63</v>
      </c>
      <c r="BV2560">
        <v>9.2100000000000009</v>
      </c>
      <c r="BW2560">
        <v>9.75</v>
      </c>
      <c r="BX2560">
        <v>2.94</v>
      </c>
      <c r="BY2560">
        <v>31.7</v>
      </c>
      <c r="BZ2560">
        <v>24.5</v>
      </c>
      <c r="CA2560">
        <v>0.82</v>
      </c>
      <c r="CB2560">
        <v>0.78</v>
      </c>
      <c r="CC2560">
        <v>0.82</v>
      </c>
      <c r="CD2560">
        <v>0.78</v>
      </c>
      <c r="CE2560">
        <v>0.92</v>
      </c>
      <c r="CF2560">
        <v>-0.2</v>
      </c>
      <c r="CG2560">
        <v>5.51</v>
      </c>
      <c r="CH2560">
        <v>-2.04</v>
      </c>
      <c r="CI2560">
        <v>-0.81</v>
      </c>
      <c r="CJ2560">
        <v>118841</v>
      </c>
      <c r="CK2560">
        <v>3994</v>
      </c>
      <c r="CL2560" t="s">
        <v>8522</v>
      </c>
      <c r="CM2560">
        <v>-6.53</v>
      </c>
      <c r="CN2560">
        <v>-10.51</v>
      </c>
      <c r="CO2560">
        <v>9.82</v>
      </c>
      <c r="CP2560">
        <v>-84.59</v>
      </c>
      <c r="CQ2560">
        <v>5.46</v>
      </c>
      <c r="CR2560">
        <v>0</v>
      </c>
      <c r="CS2560" t="s">
        <v>4957</v>
      </c>
      <c r="CT2560">
        <v>2.0499999999999998</v>
      </c>
      <c r="CU2560">
        <v>0</v>
      </c>
      <c r="CV2560">
        <v>0.34</v>
      </c>
      <c r="CW2560">
        <v>0.64</v>
      </c>
      <c r="CX2560">
        <v>-0.24</v>
      </c>
      <c r="CY2560">
        <v>42.57</v>
      </c>
      <c r="CZ2560" t="s">
        <v>6726</v>
      </c>
      <c r="DA2560">
        <v>22.71</v>
      </c>
      <c r="DB2560">
        <v>2.58</v>
      </c>
      <c r="DC2560">
        <v>2.91</v>
      </c>
      <c r="DD2560">
        <v>4.5999999999999996</v>
      </c>
      <c r="DE2560">
        <v>6340</v>
      </c>
      <c r="DF2560">
        <v>600446</v>
      </c>
      <c r="DG2560" t="s">
        <v>116</v>
      </c>
      <c r="DH2560" t="s">
        <v>116</v>
      </c>
      <c r="DI2560" t="s">
        <v>116</v>
      </c>
    </row>
    <row r="2561" spans="1:113" x14ac:dyDescent="0.4">
      <c r="A2561" t="str">
        <f>"600448"</f>
        <v>600448</v>
      </c>
      <c r="B2561" t="s">
        <v>11704</v>
      </c>
      <c r="C2561">
        <v>-2.41</v>
      </c>
      <c r="D2561">
        <v>5.27</v>
      </c>
      <c r="E2561">
        <v>-0.13</v>
      </c>
      <c r="F2561">
        <v>5.27</v>
      </c>
      <c r="G2561">
        <v>5.28</v>
      </c>
      <c r="H2561">
        <v>53857</v>
      </c>
      <c r="I2561">
        <v>629</v>
      </c>
      <c r="J2561">
        <v>-0.18</v>
      </c>
      <c r="K2561">
        <v>1.05</v>
      </c>
      <c r="L2561">
        <v>5.44</v>
      </c>
      <c r="M2561">
        <v>5.44</v>
      </c>
      <c r="N2561">
        <v>5.26</v>
      </c>
      <c r="O2561">
        <v>5.4</v>
      </c>
      <c r="P2561">
        <v>137.84</v>
      </c>
      <c r="Q2561">
        <v>28749140</v>
      </c>
      <c r="R2561">
        <v>1.0900000000000001</v>
      </c>
      <c r="S2561" t="s">
        <v>1420</v>
      </c>
      <c r="T2561" t="s">
        <v>645</v>
      </c>
      <c r="U2561">
        <v>3.33</v>
      </c>
      <c r="V2561">
        <v>5.34</v>
      </c>
      <c r="W2561">
        <v>36118</v>
      </c>
      <c r="X2561">
        <v>17739</v>
      </c>
      <c r="Y2561">
        <v>2.04</v>
      </c>
      <c r="Z2561">
        <v>290</v>
      </c>
      <c r="AA2561">
        <v>48</v>
      </c>
      <c r="AB2561" t="s">
        <v>116</v>
      </c>
      <c r="AC2561">
        <v>68500</v>
      </c>
      <c r="AD2561">
        <v>0</v>
      </c>
      <c r="AE2561" t="s">
        <v>116</v>
      </c>
      <c r="AF2561" t="s">
        <v>116</v>
      </c>
      <c r="AG2561">
        <v>5.15</v>
      </c>
      <c r="AH2561" t="s">
        <v>9046</v>
      </c>
      <c r="AI2561" t="s">
        <v>11705</v>
      </c>
      <c r="AJ2561">
        <v>-2.33</v>
      </c>
      <c r="AK2561">
        <v>1015</v>
      </c>
      <c r="AL2561">
        <v>53</v>
      </c>
      <c r="AM2561">
        <v>1E-3</v>
      </c>
      <c r="AN2561">
        <v>-1</v>
      </c>
      <c r="AO2561">
        <v>-0.93</v>
      </c>
      <c r="AP2561">
        <v>4.7699999999999996</v>
      </c>
      <c r="AQ2561">
        <v>-14.45</v>
      </c>
      <c r="AR2561">
        <v>9.56</v>
      </c>
      <c r="AS2561">
        <v>1.26</v>
      </c>
      <c r="AT2561" t="s">
        <v>8893</v>
      </c>
      <c r="AU2561">
        <v>357.29</v>
      </c>
      <c r="AV2561">
        <v>131.63</v>
      </c>
      <c r="AW2561">
        <v>1.57</v>
      </c>
      <c r="BA2561">
        <v>0.74</v>
      </c>
      <c r="BB2561">
        <v>0.74</v>
      </c>
      <c r="BC2561">
        <v>-2.59</v>
      </c>
      <c r="BD2561">
        <v>-1.1499999999999999</v>
      </c>
      <c r="BE2561">
        <v>-3.13</v>
      </c>
      <c r="BF2561">
        <v>-3.13</v>
      </c>
      <c r="BG2561">
        <v>0.19</v>
      </c>
      <c r="BH2561">
        <v>-1.26</v>
      </c>
      <c r="BI2561">
        <v>20191031</v>
      </c>
      <c r="BJ2561">
        <v>20010903</v>
      </c>
      <c r="BK2561">
        <v>5.25</v>
      </c>
      <c r="BL2561" t="s">
        <v>116</v>
      </c>
      <c r="BM2561" t="s">
        <v>116</v>
      </c>
      <c r="BN2561">
        <v>36.39</v>
      </c>
      <c r="BO2561">
        <v>14.84</v>
      </c>
      <c r="BP2561">
        <v>0.02</v>
      </c>
      <c r="BQ2561">
        <v>59.15</v>
      </c>
      <c r="BR2561">
        <v>22.99</v>
      </c>
      <c r="BS2561">
        <v>9.06</v>
      </c>
      <c r="BT2561">
        <v>2.0699999999999998</v>
      </c>
      <c r="BU2561">
        <v>20.43</v>
      </c>
      <c r="BV2561">
        <v>9.42</v>
      </c>
      <c r="BW2561">
        <v>3.1</v>
      </c>
      <c r="BX2561">
        <v>11.47</v>
      </c>
      <c r="BY2561">
        <v>23.86</v>
      </c>
      <c r="BZ2561">
        <v>22.2</v>
      </c>
      <c r="CA2561">
        <v>0.18</v>
      </c>
      <c r="CB2561">
        <v>0.04</v>
      </c>
      <c r="CC2561">
        <v>0.16</v>
      </c>
      <c r="CD2561">
        <v>0.15</v>
      </c>
      <c r="CE2561">
        <v>0.15</v>
      </c>
      <c r="CF2561">
        <v>0.1</v>
      </c>
      <c r="CG2561">
        <v>-1.93</v>
      </c>
      <c r="CH2561">
        <v>2.0099999999999998</v>
      </c>
      <c r="CI2561">
        <v>-0.49</v>
      </c>
      <c r="CJ2561">
        <v>25873</v>
      </c>
      <c r="CK2561">
        <v>16505</v>
      </c>
      <c r="CL2561" t="s">
        <v>585</v>
      </c>
      <c r="CM2561">
        <v>-46.86</v>
      </c>
      <c r="CN2561">
        <v>-3.69</v>
      </c>
      <c r="CO2561">
        <v>1.86</v>
      </c>
      <c r="CP2561">
        <v>13.78</v>
      </c>
      <c r="CQ2561">
        <v>1.1599999999999999</v>
      </c>
      <c r="CR2561">
        <v>0</v>
      </c>
      <c r="CS2561" t="s">
        <v>944</v>
      </c>
      <c r="CT2561">
        <v>2.83</v>
      </c>
      <c r="CU2561">
        <v>0</v>
      </c>
      <c r="CV2561">
        <v>2.1800000000000002</v>
      </c>
      <c r="CW2561">
        <v>-0.37</v>
      </c>
      <c r="CX2561">
        <v>0.38</v>
      </c>
      <c r="CY2561">
        <v>40.79</v>
      </c>
      <c r="CZ2561" t="s">
        <v>3989</v>
      </c>
      <c r="DA2561">
        <v>6.95</v>
      </c>
      <c r="DB2561">
        <v>0.75</v>
      </c>
      <c r="DC2561">
        <v>0.63</v>
      </c>
      <c r="DD2561">
        <v>0</v>
      </c>
      <c r="DE2561">
        <v>4619</v>
      </c>
      <c r="DF2561">
        <v>600448</v>
      </c>
      <c r="DG2561" t="s">
        <v>116</v>
      </c>
      <c r="DH2561" t="s">
        <v>116</v>
      </c>
      <c r="DI2561" t="s">
        <v>116</v>
      </c>
    </row>
    <row r="2562" spans="1:113" x14ac:dyDescent="0.4">
      <c r="A2562" t="str">
        <f>"600449"</f>
        <v>600449</v>
      </c>
      <c r="B2562" t="s">
        <v>11706</v>
      </c>
      <c r="C2562">
        <v>-1.78</v>
      </c>
      <c r="D2562">
        <v>10.51</v>
      </c>
      <c r="E2562">
        <v>-0.19</v>
      </c>
      <c r="F2562">
        <v>10.5</v>
      </c>
      <c r="G2562">
        <v>10.51</v>
      </c>
      <c r="H2562">
        <v>99517</v>
      </c>
      <c r="I2562">
        <v>904</v>
      </c>
      <c r="J2562">
        <v>-0.18</v>
      </c>
      <c r="K2562">
        <v>2.08</v>
      </c>
      <c r="L2562">
        <v>10.69</v>
      </c>
      <c r="M2562">
        <v>10.75</v>
      </c>
      <c r="N2562">
        <v>10.5</v>
      </c>
      <c r="O2562">
        <v>10.7</v>
      </c>
      <c r="P2562">
        <v>6.19</v>
      </c>
      <c r="Q2562">
        <v>105821520</v>
      </c>
      <c r="R2562">
        <v>0.96</v>
      </c>
      <c r="S2562" t="s">
        <v>660</v>
      </c>
      <c r="T2562" t="s">
        <v>1147</v>
      </c>
      <c r="U2562">
        <v>2.34</v>
      </c>
      <c r="V2562">
        <v>10.63</v>
      </c>
      <c r="W2562">
        <v>60161</v>
      </c>
      <c r="X2562">
        <v>39356</v>
      </c>
      <c r="Y2562">
        <v>1.53</v>
      </c>
      <c r="Z2562">
        <v>1315</v>
      </c>
      <c r="AA2562">
        <v>591</v>
      </c>
      <c r="AB2562" t="s">
        <v>116</v>
      </c>
      <c r="AC2562">
        <v>111200</v>
      </c>
      <c r="AD2562">
        <v>0</v>
      </c>
      <c r="AE2562" t="s">
        <v>116</v>
      </c>
      <c r="AF2562" t="s">
        <v>116</v>
      </c>
      <c r="AG2562">
        <v>4.78</v>
      </c>
      <c r="AH2562" t="s">
        <v>11707</v>
      </c>
      <c r="AI2562" t="s">
        <v>11707</v>
      </c>
      <c r="AJ2562">
        <v>-1.7</v>
      </c>
      <c r="AK2562">
        <v>2525</v>
      </c>
      <c r="AL2562">
        <v>39</v>
      </c>
      <c r="AM2562">
        <v>8.0000000000000004E-4</v>
      </c>
      <c r="AN2562">
        <v>-1</v>
      </c>
      <c r="AO2562">
        <v>-0.85</v>
      </c>
      <c r="AP2562">
        <v>4.37</v>
      </c>
      <c r="AQ2562">
        <v>19.7</v>
      </c>
      <c r="AR2562">
        <v>48.66</v>
      </c>
      <c r="AS2562">
        <v>3.97</v>
      </c>
      <c r="AT2562" t="s">
        <v>8499</v>
      </c>
      <c r="AU2562">
        <v>7.29</v>
      </c>
      <c r="AV2562">
        <v>11.73</v>
      </c>
      <c r="AW2562">
        <v>1.07</v>
      </c>
      <c r="BA2562">
        <v>-0.09</v>
      </c>
      <c r="BB2562">
        <v>0.47</v>
      </c>
      <c r="BC2562">
        <v>-1.87</v>
      </c>
      <c r="BD2562">
        <v>-0.62</v>
      </c>
      <c r="BE2562">
        <v>-1.68</v>
      </c>
      <c r="BF2562">
        <v>-2.23</v>
      </c>
      <c r="BG2562">
        <v>0.1</v>
      </c>
      <c r="BH2562">
        <v>-1.1499999999999999</v>
      </c>
      <c r="BI2562">
        <v>20191026</v>
      </c>
      <c r="BJ2562">
        <v>20030829</v>
      </c>
      <c r="BK2562">
        <v>4.78</v>
      </c>
      <c r="BL2562" t="s">
        <v>116</v>
      </c>
      <c r="BM2562" t="s">
        <v>116</v>
      </c>
      <c r="BN2562">
        <v>81.12</v>
      </c>
      <c r="BO2562">
        <v>54.29</v>
      </c>
      <c r="BP2562">
        <v>3.53</v>
      </c>
      <c r="BQ2562">
        <v>28.73</v>
      </c>
      <c r="BR2562">
        <v>30.42</v>
      </c>
      <c r="BS2562">
        <v>38.79</v>
      </c>
      <c r="BT2562">
        <v>3.61</v>
      </c>
      <c r="BU2562">
        <v>20.94</v>
      </c>
      <c r="BV2562">
        <v>2.4700000000000002</v>
      </c>
      <c r="BW2562">
        <v>7.46</v>
      </c>
      <c r="BX2562">
        <v>20.3</v>
      </c>
      <c r="BY2562">
        <v>36.31</v>
      </c>
      <c r="BZ2562">
        <v>23.05</v>
      </c>
      <c r="CA2562">
        <v>7.72</v>
      </c>
      <c r="CB2562">
        <v>0.02</v>
      </c>
      <c r="CC2562">
        <v>8.2100000000000009</v>
      </c>
      <c r="CD2562">
        <v>6.75</v>
      </c>
      <c r="CE2562">
        <v>6.09</v>
      </c>
      <c r="CF2562">
        <v>5.5</v>
      </c>
      <c r="CG2562">
        <v>26.73</v>
      </c>
      <c r="CH2562">
        <v>7.61</v>
      </c>
      <c r="CI2562">
        <v>5.69</v>
      </c>
      <c r="CJ2562">
        <v>29983</v>
      </c>
      <c r="CK2562">
        <v>8364</v>
      </c>
      <c r="CL2562" t="s">
        <v>11708</v>
      </c>
      <c r="CM2562">
        <v>74.959999999999994</v>
      </c>
      <c r="CN2562">
        <v>16.8</v>
      </c>
      <c r="CO2562">
        <v>0.93</v>
      </c>
      <c r="CP2562">
        <v>6.6</v>
      </c>
      <c r="CQ2562">
        <v>1.38</v>
      </c>
      <c r="CR2562">
        <v>2.85</v>
      </c>
      <c r="CS2562" t="s">
        <v>11709</v>
      </c>
      <c r="CT2562">
        <v>11.35</v>
      </c>
      <c r="CU2562">
        <v>0</v>
      </c>
      <c r="CV2562">
        <v>4.24</v>
      </c>
      <c r="CW2562">
        <v>5.59</v>
      </c>
      <c r="CX2562">
        <v>1.59</v>
      </c>
      <c r="CY2562">
        <v>66.92</v>
      </c>
      <c r="CZ2562" t="s">
        <v>11710</v>
      </c>
      <c r="DA2562">
        <v>36.5</v>
      </c>
      <c r="DB2562">
        <v>21.26</v>
      </c>
      <c r="DC2562">
        <v>16.760000000000002</v>
      </c>
      <c r="DD2562">
        <v>0.02</v>
      </c>
      <c r="DE2562">
        <v>3260</v>
      </c>
      <c r="DF2562">
        <v>600449</v>
      </c>
      <c r="DG2562" t="s">
        <v>116</v>
      </c>
      <c r="DH2562" t="s">
        <v>116</v>
      </c>
      <c r="DI2562" t="s">
        <v>116</v>
      </c>
    </row>
    <row r="2563" spans="1:113" x14ac:dyDescent="0.4">
      <c r="A2563" t="str">
        <f>"600452"</f>
        <v>600452</v>
      </c>
      <c r="B2563" t="s">
        <v>11711</v>
      </c>
      <c r="C2563">
        <v>-2.6</v>
      </c>
      <c r="D2563">
        <v>17.98</v>
      </c>
      <c r="E2563">
        <v>-0.48</v>
      </c>
      <c r="F2563">
        <v>17.98</v>
      </c>
      <c r="G2563">
        <v>17.989999999999998</v>
      </c>
      <c r="H2563">
        <v>47581</v>
      </c>
      <c r="I2563">
        <v>206</v>
      </c>
      <c r="J2563">
        <v>-0.21</v>
      </c>
      <c r="K2563">
        <v>1.52</v>
      </c>
      <c r="L2563">
        <v>18.47</v>
      </c>
      <c r="M2563">
        <v>18.559999999999999</v>
      </c>
      <c r="N2563">
        <v>17.98</v>
      </c>
      <c r="O2563">
        <v>18.46</v>
      </c>
      <c r="P2563">
        <v>13.48</v>
      </c>
      <c r="Q2563">
        <v>86599328</v>
      </c>
      <c r="R2563">
        <v>1.87</v>
      </c>
      <c r="S2563" t="s">
        <v>1363</v>
      </c>
      <c r="T2563" t="s">
        <v>906</v>
      </c>
      <c r="U2563">
        <v>3.14</v>
      </c>
      <c r="V2563">
        <v>18.2</v>
      </c>
      <c r="W2563">
        <v>31990</v>
      </c>
      <c r="X2563">
        <v>15591</v>
      </c>
      <c r="Y2563">
        <v>2.0499999999999998</v>
      </c>
      <c r="Z2563">
        <v>232</v>
      </c>
      <c r="AA2563">
        <v>97</v>
      </c>
      <c r="AB2563" t="s">
        <v>116</v>
      </c>
      <c r="AC2563">
        <v>11100</v>
      </c>
      <c r="AD2563">
        <v>0</v>
      </c>
      <c r="AE2563" t="s">
        <v>116</v>
      </c>
      <c r="AF2563" t="s">
        <v>116</v>
      </c>
      <c r="AG2563">
        <v>3.14</v>
      </c>
      <c r="AH2563" t="s">
        <v>11712</v>
      </c>
      <c r="AI2563" t="s">
        <v>11712</v>
      </c>
      <c r="AJ2563">
        <v>-2.52</v>
      </c>
      <c r="AK2563">
        <v>2072</v>
      </c>
      <c r="AL2563">
        <v>23</v>
      </c>
      <c r="AM2563">
        <v>6.9999999999999999E-4</v>
      </c>
      <c r="AN2563">
        <v>-1</v>
      </c>
      <c r="AO2563">
        <v>-0.49</v>
      </c>
      <c r="AP2563">
        <v>-1.91</v>
      </c>
      <c r="AQ2563">
        <v>-12.21</v>
      </c>
      <c r="AR2563">
        <v>61.05</v>
      </c>
      <c r="AS2563">
        <v>3.14</v>
      </c>
      <c r="AT2563" t="s">
        <v>6819</v>
      </c>
      <c r="AU2563">
        <v>12.47</v>
      </c>
      <c r="AV2563">
        <v>16.170000000000002</v>
      </c>
      <c r="AW2563">
        <v>1.18</v>
      </c>
      <c r="BA2563">
        <v>0.05</v>
      </c>
      <c r="BB2563">
        <v>0.54</v>
      </c>
      <c r="BC2563">
        <v>-2.6</v>
      </c>
      <c r="BD2563">
        <v>-1.41</v>
      </c>
      <c r="BE2563">
        <v>-2.65</v>
      </c>
      <c r="BF2563">
        <v>-3.12</v>
      </c>
      <c r="BG2563">
        <v>0</v>
      </c>
      <c r="BH2563">
        <v>-1.19</v>
      </c>
      <c r="BI2563">
        <v>20191030</v>
      </c>
      <c r="BJ2563">
        <v>20040303</v>
      </c>
      <c r="BK2563">
        <v>3.14</v>
      </c>
      <c r="BL2563" t="s">
        <v>116</v>
      </c>
      <c r="BM2563" t="s">
        <v>116</v>
      </c>
      <c r="BN2563">
        <v>52.07</v>
      </c>
      <c r="BO2563">
        <v>17.32</v>
      </c>
      <c r="BP2563">
        <v>0</v>
      </c>
      <c r="BQ2563">
        <v>66.75</v>
      </c>
      <c r="BR2563">
        <v>8.41</v>
      </c>
      <c r="BS2563">
        <v>39.9</v>
      </c>
      <c r="BT2563">
        <v>0.77</v>
      </c>
      <c r="BU2563">
        <v>25.72</v>
      </c>
      <c r="BV2563">
        <v>0.02</v>
      </c>
      <c r="BW2563">
        <v>4.29</v>
      </c>
      <c r="BX2563">
        <v>4.24</v>
      </c>
      <c r="BY2563">
        <v>19.62</v>
      </c>
      <c r="BZ2563">
        <v>15.53</v>
      </c>
      <c r="CA2563">
        <v>3.3</v>
      </c>
      <c r="CB2563">
        <v>0.25</v>
      </c>
      <c r="CC2563">
        <v>3.32</v>
      </c>
      <c r="CD2563">
        <v>3.14</v>
      </c>
      <c r="CE2563">
        <v>3.14</v>
      </c>
      <c r="CF2563">
        <v>3.12</v>
      </c>
      <c r="CG2563">
        <v>8.82</v>
      </c>
      <c r="CH2563">
        <v>5.57</v>
      </c>
      <c r="CI2563">
        <v>-0.89</v>
      </c>
      <c r="CJ2563">
        <v>11710</v>
      </c>
      <c r="CK2563">
        <v>12950</v>
      </c>
      <c r="CL2563" t="s">
        <v>11713</v>
      </c>
      <c r="CM2563">
        <v>49.08</v>
      </c>
      <c r="CN2563">
        <v>8.33</v>
      </c>
      <c r="CO2563">
        <v>3.26</v>
      </c>
      <c r="CP2563">
        <v>10.130000000000001</v>
      </c>
      <c r="CQ2563">
        <v>2.87</v>
      </c>
      <c r="CR2563">
        <v>0.87</v>
      </c>
      <c r="CS2563" t="s">
        <v>11714</v>
      </c>
      <c r="CT2563">
        <v>5.52</v>
      </c>
      <c r="CU2563">
        <v>0</v>
      </c>
      <c r="CV2563">
        <v>1.35</v>
      </c>
      <c r="CW2563">
        <v>2.81</v>
      </c>
      <c r="CX2563">
        <v>1.78</v>
      </c>
      <c r="CY2563">
        <v>33.25</v>
      </c>
      <c r="CZ2563" t="s">
        <v>11715</v>
      </c>
      <c r="DA2563">
        <v>20.83</v>
      </c>
      <c r="DB2563">
        <v>16.809999999999999</v>
      </c>
      <c r="DC2563">
        <v>15.99</v>
      </c>
      <c r="DD2563">
        <v>0</v>
      </c>
      <c r="DE2563">
        <v>849</v>
      </c>
      <c r="DF2563">
        <v>600452</v>
      </c>
      <c r="DG2563" t="s">
        <v>116</v>
      </c>
      <c r="DH2563" t="s">
        <v>116</v>
      </c>
      <c r="DI2563" t="s">
        <v>116</v>
      </c>
    </row>
    <row r="2564" spans="1:113" x14ac:dyDescent="0.4">
      <c r="A2564" t="str">
        <f>"600455"</f>
        <v>600455</v>
      </c>
      <c r="B2564" t="s">
        <v>11716</v>
      </c>
      <c r="C2564">
        <v>-1.36</v>
      </c>
      <c r="D2564">
        <v>37</v>
      </c>
      <c r="E2564">
        <v>-0.51</v>
      </c>
      <c r="F2564">
        <v>36.979999999999997</v>
      </c>
      <c r="G2564">
        <v>37</v>
      </c>
      <c r="H2564">
        <v>29032</v>
      </c>
      <c r="I2564">
        <v>402</v>
      </c>
      <c r="J2564">
        <v>0</v>
      </c>
      <c r="K2564">
        <v>4.6500000000000004</v>
      </c>
      <c r="L2564">
        <v>38.99</v>
      </c>
      <c r="M2564">
        <v>39.11</v>
      </c>
      <c r="N2564">
        <v>36.5</v>
      </c>
      <c r="O2564">
        <v>37.51</v>
      </c>
      <c r="P2564">
        <v>95.19</v>
      </c>
      <c r="Q2564">
        <v>108860576</v>
      </c>
      <c r="R2564">
        <v>1.53</v>
      </c>
      <c r="S2564" t="s">
        <v>217</v>
      </c>
      <c r="T2564" t="s">
        <v>913</v>
      </c>
      <c r="U2564">
        <v>6.96</v>
      </c>
      <c r="V2564">
        <v>37.5</v>
      </c>
      <c r="W2564">
        <v>17182</v>
      </c>
      <c r="X2564">
        <v>11850</v>
      </c>
      <c r="Y2564">
        <v>1.45</v>
      </c>
      <c r="Z2564">
        <v>5</v>
      </c>
      <c r="AA2564">
        <v>22</v>
      </c>
      <c r="AB2564" t="s">
        <v>116</v>
      </c>
      <c r="AC2564">
        <v>4569600</v>
      </c>
      <c r="AD2564">
        <v>0.26</v>
      </c>
      <c r="AE2564" t="s">
        <v>116</v>
      </c>
      <c r="AF2564" t="s">
        <v>116</v>
      </c>
      <c r="AG2564">
        <v>0.62</v>
      </c>
      <c r="AH2564" t="s">
        <v>2313</v>
      </c>
      <c r="AI2564" t="s">
        <v>2313</v>
      </c>
      <c r="AJ2564">
        <v>-1.28</v>
      </c>
      <c r="AK2564">
        <v>2410</v>
      </c>
      <c r="AL2564">
        <v>12</v>
      </c>
      <c r="AM2564">
        <v>1.9E-3</v>
      </c>
      <c r="AN2564">
        <v>-1</v>
      </c>
      <c r="AO2564">
        <v>11.11</v>
      </c>
      <c r="AP2564">
        <v>16.61</v>
      </c>
      <c r="AQ2564">
        <v>44.08</v>
      </c>
      <c r="AR2564">
        <v>68.260000000000005</v>
      </c>
      <c r="AS2564">
        <v>6.33</v>
      </c>
      <c r="AT2564" t="s">
        <v>5369</v>
      </c>
      <c r="AU2564">
        <v>159.80000000000001</v>
      </c>
      <c r="AV2564">
        <v>730.08</v>
      </c>
      <c r="AW2564">
        <v>0.81</v>
      </c>
      <c r="BA2564">
        <v>3.95</v>
      </c>
      <c r="BB2564">
        <v>4.2699999999999996</v>
      </c>
      <c r="BC2564">
        <v>-2.69</v>
      </c>
      <c r="BD2564">
        <v>-0.04</v>
      </c>
      <c r="BE2564">
        <v>-5.0999999999999996</v>
      </c>
      <c r="BF2564">
        <v>-5.4</v>
      </c>
      <c r="BG2564">
        <v>1.37</v>
      </c>
      <c r="BH2564">
        <v>-1.32</v>
      </c>
      <c r="BI2564">
        <v>20191029</v>
      </c>
      <c r="BJ2564">
        <v>20040329</v>
      </c>
      <c r="BK2564">
        <v>0.62</v>
      </c>
      <c r="BL2564" t="s">
        <v>116</v>
      </c>
      <c r="BM2564" t="s">
        <v>116</v>
      </c>
      <c r="BN2564">
        <v>7.98</v>
      </c>
      <c r="BO2564">
        <v>1.5</v>
      </c>
      <c r="BP2564">
        <v>0.68</v>
      </c>
      <c r="BQ2564">
        <v>72.72</v>
      </c>
      <c r="BR2564">
        <v>3.21</v>
      </c>
      <c r="BS2564">
        <v>4.1500000000000004</v>
      </c>
      <c r="BT2564">
        <v>0.54</v>
      </c>
      <c r="BU2564">
        <v>5.78</v>
      </c>
      <c r="BV2564">
        <v>0.05</v>
      </c>
      <c r="BW2564">
        <v>0.18</v>
      </c>
      <c r="BX2564">
        <v>1.46</v>
      </c>
      <c r="BY2564">
        <v>1.35</v>
      </c>
      <c r="BZ2564">
        <v>0.56000000000000005</v>
      </c>
      <c r="CA2564">
        <v>0.24</v>
      </c>
      <c r="CB2564">
        <v>0</v>
      </c>
      <c r="CC2564">
        <v>0.26</v>
      </c>
      <c r="CD2564">
        <v>0.25</v>
      </c>
      <c r="CE2564">
        <v>0.18</v>
      </c>
      <c r="CF2564">
        <v>0.16</v>
      </c>
      <c r="CG2564">
        <v>-0.65</v>
      </c>
      <c r="CH2564">
        <v>1.23</v>
      </c>
      <c r="CI2564">
        <v>1.04</v>
      </c>
      <c r="CJ2564">
        <v>4677</v>
      </c>
      <c r="CK2564">
        <v>9809</v>
      </c>
      <c r="CL2564" t="s">
        <v>11717</v>
      </c>
      <c r="CM2564">
        <v>163.41999999999999</v>
      </c>
      <c r="CN2564">
        <v>4.66</v>
      </c>
      <c r="CO2564">
        <v>15.41</v>
      </c>
      <c r="CP2564">
        <v>18.82</v>
      </c>
      <c r="CQ2564">
        <v>17.12</v>
      </c>
      <c r="CR2564">
        <v>0</v>
      </c>
      <c r="CS2564" t="s">
        <v>1591</v>
      </c>
      <c r="CT2564">
        <v>2.4</v>
      </c>
      <c r="CU2564">
        <v>0</v>
      </c>
      <c r="CV2564">
        <v>2.33</v>
      </c>
      <c r="CW2564">
        <v>-1.05</v>
      </c>
      <c r="CX2564">
        <v>1.97</v>
      </c>
      <c r="CY2564">
        <v>18.79</v>
      </c>
      <c r="CZ2564" t="s">
        <v>11718</v>
      </c>
      <c r="DA2564">
        <v>58.37</v>
      </c>
      <c r="DB2564">
        <v>17.45</v>
      </c>
      <c r="DC2564">
        <v>13.49</v>
      </c>
      <c r="DD2564">
        <v>0.01</v>
      </c>
      <c r="DE2564">
        <v>562</v>
      </c>
      <c r="DF2564">
        <v>600455</v>
      </c>
      <c r="DG2564" t="s">
        <v>116</v>
      </c>
      <c r="DH2564" t="s">
        <v>116</v>
      </c>
      <c r="DI2564" t="s">
        <v>116</v>
      </c>
    </row>
    <row r="2565" spans="1:113" x14ac:dyDescent="0.4">
      <c r="A2565" t="str">
        <f>"600456"</f>
        <v>600456</v>
      </c>
      <c r="B2565" t="s">
        <v>11719</v>
      </c>
      <c r="C2565">
        <v>0.49</v>
      </c>
      <c r="D2565">
        <v>24.37</v>
      </c>
      <c r="E2565">
        <v>0.12</v>
      </c>
      <c r="F2565">
        <v>24.36</v>
      </c>
      <c r="G2565">
        <v>24.37</v>
      </c>
      <c r="H2565">
        <v>81399</v>
      </c>
      <c r="I2565">
        <v>616</v>
      </c>
      <c r="J2565">
        <v>0.28999999999999998</v>
      </c>
      <c r="K2565">
        <v>1.89</v>
      </c>
      <c r="L2565">
        <v>24.25</v>
      </c>
      <c r="M2565">
        <v>25.1</v>
      </c>
      <c r="N2565">
        <v>24.2</v>
      </c>
      <c r="O2565">
        <v>24.25</v>
      </c>
      <c r="P2565">
        <v>46.24</v>
      </c>
      <c r="Q2565">
        <v>200200400</v>
      </c>
      <c r="R2565">
        <v>1.63</v>
      </c>
      <c r="S2565" t="s">
        <v>1509</v>
      </c>
      <c r="T2565" t="s">
        <v>913</v>
      </c>
      <c r="U2565">
        <v>3.71</v>
      </c>
      <c r="V2565">
        <v>24.59</v>
      </c>
      <c r="W2565">
        <v>40896</v>
      </c>
      <c r="X2565">
        <v>40503</v>
      </c>
      <c r="Y2565">
        <v>1.01</v>
      </c>
      <c r="Z2565">
        <v>104</v>
      </c>
      <c r="AA2565">
        <v>8</v>
      </c>
      <c r="AB2565" t="s">
        <v>116</v>
      </c>
      <c r="AC2565">
        <v>55800</v>
      </c>
      <c r="AD2565">
        <v>0</v>
      </c>
      <c r="AE2565" t="s">
        <v>116</v>
      </c>
      <c r="AF2565" t="s">
        <v>116</v>
      </c>
      <c r="AG2565">
        <v>4.3</v>
      </c>
      <c r="AH2565" t="s">
        <v>11720</v>
      </c>
      <c r="AI2565" t="s">
        <v>11720</v>
      </c>
      <c r="AJ2565">
        <v>0.56999999999999995</v>
      </c>
      <c r="AK2565">
        <v>2728</v>
      </c>
      <c r="AL2565">
        <v>30</v>
      </c>
      <c r="AM2565">
        <v>6.9999999999999999E-4</v>
      </c>
      <c r="AN2565">
        <v>2</v>
      </c>
      <c r="AO2565">
        <v>-0.57999999999999996</v>
      </c>
      <c r="AP2565">
        <v>10.02</v>
      </c>
      <c r="AQ2565">
        <v>-10.86</v>
      </c>
      <c r="AR2565">
        <v>62.58</v>
      </c>
      <c r="AS2565">
        <v>4.03</v>
      </c>
      <c r="AT2565" t="s">
        <v>11721</v>
      </c>
      <c r="AU2565">
        <v>48.92</v>
      </c>
      <c r="AV2565">
        <v>74.319999999999993</v>
      </c>
      <c r="AW2565">
        <v>1.1599999999999999</v>
      </c>
      <c r="BA2565">
        <v>0</v>
      </c>
      <c r="BB2565">
        <v>3.51</v>
      </c>
      <c r="BC2565">
        <v>-0.21</v>
      </c>
      <c r="BD2565">
        <v>1.42</v>
      </c>
      <c r="BE2565">
        <v>0.49</v>
      </c>
      <c r="BF2565">
        <v>-2.91</v>
      </c>
      <c r="BG2565">
        <v>0.7</v>
      </c>
      <c r="BH2565">
        <v>-0.93</v>
      </c>
      <c r="BI2565">
        <v>20191018</v>
      </c>
      <c r="BJ2565">
        <v>20020412</v>
      </c>
      <c r="BK2565">
        <v>4.3</v>
      </c>
      <c r="BL2565" t="s">
        <v>116</v>
      </c>
      <c r="BM2565" t="s">
        <v>116</v>
      </c>
      <c r="BN2565">
        <v>81.569999999999993</v>
      </c>
      <c r="BO2565">
        <v>36.72</v>
      </c>
      <c r="BP2565">
        <v>3.23</v>
      </c>
      <c r="BQ2565">
        <v>51.03</v>
      </c>
      <c r="BR2565">
        <v>55.53</v>
      </c>
      <c r="BS2565">
        <v>21.58</v>
      </c>
      <c r="BT2565">
        <v>1.32</v>
      </c>
      <c r="BU2565">
        <v>37.85</v>
      </c>
      <c r="BV2565">
        <v>20.77</v>
      </c>
      <c r="BW2565">
        <v>16.38</v>
      </c>
      <c r="BX2565">
        <v>23.71</v>
      </c>
      <c r="BY2565">
        <v>32.049999999999997</v>
      </c>
      <c r="BZ2565">
        <v>26.19</v>
      </c>
      <c r="CA2565">
        <v>2.31</v>
      </c>
      <c r="CB2565">
        <v>0</v>
      </c>
      <c r="CC2565">
        <v>2.2999999999999998</v>
      </c>
      <c r="CD2565">
        <v>1.98</v>
      </c>
      <c r="CE2565">
        <v>1.7</v>
      </c>
      <c r="CF2565">
        <v>1.59</v>
      </c>
      <c r="CG2565">
        <v>6.91</v>
      </c>
      <c r="CH2565">
        <v>-1.62</v>
      </c>
      <c r="CI2565">
        <v>-1.26</v>
      </c>
      <c r="CJ2565">
        <v>30359</v>
      </c>
      <c r="CK2565">
        <v>6655</v>
      </c>
      <c r="CL2565" t="s">
        <v>11722</v>
      </c>
      <c r="CM2565">
        <v>75.67</v>
      </c>
      <c r="CN2565">
        <v>24.37</v>
      </c>
      <c r="CO2565">
        <v>2.86</v>
      </c>
      <c r="CP2565">
        <v>-64.67</v>
      </c>
      <c r="CQ2565">
        <v>3.27</v>
      </c>
      <c r="CR2565">
        <v>0.41</v>
      </c>
      <c r="CS2565" t="s">
        <v>1548</v>
      </c>
      <c r="CT2565">
        <v>8.5299999999999994</v>
      </c>
      <c r="CU2565">
        <v>0</v>
      </c>
      <c r="CV2565">
        <v>5.51</v>
      </c>
      <c r="CW2565">
        <v>1.61</v>
      </c>
      <c r="CX2565">
        <v>-0.38</v>
      </c>
      <c r="CY2565">
        <v>45.02</v>
      </c>
      <c r="CZ2565" t="s">
        <v>11723</v>
      </c>
      <c r="DA2565">
        <v>18.309999999999999</v>
      </c>
      <c r="DB2565">
        <v>7.22</v>
      </c>
      <c r="DC2565">
        <v>5.31</v>
      </c>
      <c r="DD2565">
        <v>0.59</v>
      </c>
      <c r="DE2565">
        <v>3518</v>
      </c>
      <c r="DF2565">
        <v>600456</v>
      </c>
      <c r="DG2565" t="s">
        <v>116</v>
      </c>
      <c r="DH2565" t="s">
        <v>116</v>
      </c>
      <c r="DI2565" t="s">
        <v>116</v>
      </c>
    </row>
    <row r="2566" spans="1:113" x14ac:dyDescent="0.4">
      <c r="A2566" t="str">
        <f>"600458"</f>
        <v>600458</v>
      </c>
      <c r="B2566" t="s">
        <v>11724</v>
      </c>
      <c r="C2566">
        <v>2.02</v>
      </c>
      <c r="D2566">
        <v>7.06</v>
      </c>
      <c r="E2566">
        <v>0.14000000000000001</v>
      </c>
      <c r="F2566">
        <v>7.06</v>
      </c>
      <c r="G2566">
        <v>7.07</v>
      </c>
      <c r="H2566">
        <v>179068</v>
      </c>
      <c r="I2566">
        <v>1683</v>
      </c>
      <c r="J2566">
        <v>-0.13</v>
      </c>
      <c r="K2566">
        <v>2.23</v>
      </c>
      <c r="L2566">
        <v>6.92</v>
      </c>
      <c r="M2566">
        <v>7.24</v>
      </c>
      <c r="N2566">
        <v>6.85</v>
      </c>
      <c r="O2566">
        <v>6.92</v>
      </c>
      <c r="P2566">
        <v>340.63</v>
      </c>
      <c r="Q2566">
        <v>126252928</v>
      </c>
      <c r="R2566">
        <v>1.77</v>
      </c>
      <c r="S2566" t="s">
        <v>2444</v>
      </c>
      <c r="T2566" t="s">
        <v>599</v>
      </c>
      <c r="U2566">
        <v>5.64</v>
      </c>
      <c r="V2566">
        <v>7.05</v>
      </c>
      <c r="W2566">
        <v>82681</v>
      </c>
      <c r="X2566">
        <v>96387</v>
      </c>
      <c r="Y2566">
        <v>0.86</v>
      </c>
      <c r="Z2566">
        <v>886</v>
      </c>
      <c r="AA2566">
        <v>775</v>
      </c>
      <c r="AB2566" t="s">
        <v>116</v>
      </c>
      <c r="AC2566">
        <v>164700</v>
      </c>
      <c r="AD2566">
        <v>0.01</v>
      </c>
      <c r="AE2566" t="s">
        <v>116</v>
      </c>
      <c r="AF2566" t="s">
        <v>116</v>
      </c>
      <c r="AG2566">
        <v>8.0299999999999994</v>
      </c>
      <c r="AH2566" t="s">
        <v>9530</v>
      </c>
      <c r="AI2566" t="s">
        <v>9530</v>
      </c>
      <c r="AJ2566">
        <v>2.1</v>
      </c>
      <c r="AK2566">
        <v>2193</v>
      </c>
      <c r="AL2566">
        <v>82</v>
      </c>
      <c r="AM2566">
        <v>1E-3</v>
      </c>
      <c r="AN2566">
        <v>1</v>
      </c>
      <c r="AO2566">
        <v>2.02</v>
      </c>
      <c r="AP2566">
        <v>5.69</v>
      </c>
      <c r="AQ2566">
        <v>-22.5</v>
      </c>
      <c r="AR2566">
        <v>4.75</v>
      </c>
      <c r="AS2566">
        <v>4.5</v>
      </c>
      <c r="AT2566" t="s">
        <v>11725</v>
      </c>
      <c r="AU2566" t="s">
        <v>116</v>
      </c>
      <c r="AV2566" t="s">
        <v>116</v>
      </c>
      <c r="AW2566">
        <v>1.1000000000000001</v>
      </c>
      <c r="BA2566">
        <v>0</v>
      </c>
      <c r="BB2566">
        <v>4.62</v>
      </c>
      <c r="BC2566">
        <v>-1.01</v>
      </c>
      <c r="BD2566">
        <v>1.89</v>
      </c>
      <c r="BE2566">
        <v>2.02</v>
      </c>
      <c r="BF2566">
        <v>-2.4900000000000002</v>
      </c>
      <c r="BG2566">
        <v>3.07</v>
      </c>
      <c r="BH2566">
        <v>0.14000000000000001</v>
      </c>
      <c r="BI2566">
        <v>20191121</v>
      </c>
      <c r="BJ2566">
        <v>20021219</v>
      </c>
      <c r="BK2566">
        <v>8.0299999999999994</v>
      </c>
      <c r="BL2566" t="s">
        <v>116</v>
      </c>
      <c r="BM2566" t="s">
        <v>116</v>
      </c>
      <c r="BN2566">
        <v>153.31</v>
      </c>
      <c r="BO2566">
        <v>46.88</v>
      </c>
      <c r="BP2566">
        <v>0.75</v>
      </c>
      <c r="BQ2566">
        <v>68.930000000000007</v>
      </c>
      <c r="BR2566">
        <v>94.14</v>
      </c>
      <c r="BS2566">
        <v>28.3</v>
      </c>
      <c r="BT2566">
        <v>5.42</v>
      </c>
      <c r="BU2566">
        <v>76.88</v>
      </c>
      <c r="BV2566">
        <v>21.22</v>
      </c>
      <c r="BW2566">
        <v>30.17</v>
      </c>
      <c r="BX2566">
        <v>30.57</v>
      </c>
      <c r="BY2566">
        <v>79.97</v>
      </c>
      <c r="BZ2566">
        <v>66.459999999999994</v>
      </c>
      <c r="CA2566">
        <v>0.34</v>
      </c>
      <c r="CB2566">
        <v>0.13</v>
      </c>
      <c r="CC2566">
        <v>0.44</v>
      </c>
      <c r="CD2566">
        <v>-0.03</v>
      </c>
      <c r="CE2566">
        <v>0.12</v>
      </c>
      <c r="CF2566">
        <v>-0.22</v>
      </c>
      <c r="CG2566">
        <v>8.1300000000000008</v>
      </c>
      <c r="CH2566">
        <v>-0.43</v>
      </c>
      <c r="CI2566">
        <v>2.2599999999999998</v>
      </c>
      <c r="CJ2566">
        <v>44113</v>
      </c>
      <c r="CK2566">
        <v>9024</v>
      </c>
      <c r="CL2566" t="s">
        <v>6596</v>
      </c>
      <c r="CM2566">
        <v>-85.44</v>
      </c>
      <c r="CN2566">
        <v>-3.83</v>
      </c>
      <c r="CO2566">
        <v>1.21</v>
      </c>
      <c r="CP2566">
        <v>-130.53</v>
      </c>
      <c r="CQ2566">
        <v>0.71</v>
      </c>
      <c r="CR2566">
        <v>0.56999999999999995</v>
      </c>
      <c r="CS2566" t="s">
        <v>1315</v>
      </c>
      <c r="CT2566">
        <v>5.84</v>
      </c>
      <c r="CU2566">
        <v>0</v>
      </c>
      <c r="CV2566">
        <v>3.81</v>
      </c>
      <c r="CW2566">
        <v>1.01</v>
      </c>
      <c r="CX2566">
        <v>-0.05</v>
      </c>
      <c r="CY2566">
        <v>30.58</v>
      </c>
      <c r="CZ2566" t="s">
        <v>6969</v>
      </c>
      <c r="DA2566">
        <v>16.899999999999999</v>
      </c>
      <c r="DB2566">
        <v>0.42</v>
      </c>
      <c r="DC2566">
        <v>0.16</v>
      </c>
      <c r="DD2566">
        <v>5.23</v>
      </c>
      <c r="DE2566">
        <v>6889</v>
      </c>
      <c r="DF2566">
        <v>600458</v>
      </c>
      <c r="DG2566" t="s">
        <v>116</v>
      </c>
      <c r="DH2566" t="s">
        <v>116</v>
      </c>
      <c r="DI2566" t="s">
        <v>116</v>
      </c>
    </row>
    <row r="2567" spans="1:113" x14ac:dyDescent="0.4">
      <c r="A2567" t="str">
        <f>"600459"</f>
        <v>600459</v>
      </c>
      <c r="B2567" t="s">
        <v>11726</v>
      </c>
      <c r="C2567">
        <v>1.1200000000000001</v>
      </c>
      <c r="D2567">
        <v>15.37</v>
      </c>
      <c r="E2567">
        <v>0.17</v>
      </c>
      <c r="F2567">
        <v>15.36</v>
      </c>
      <c r="G2567">
        <v>15.37</v>
      </c>
      <c r="H2567">
        <v>202730</v>
      </c>
      <c r="I2567">
        <v>2036</v>
      </c>
      <c r="J2567">
        <v>7.0000000000000007E-2</v>
      </c>
      <c r="K2567">
        <v>4.63</v>
      </c>
      <c r="L2567">
        <v>15.2</v>
      </c>
      <c r="M2567">
        <v>16.059999999999999</v>
      </c>
      <c r="N2567">
        <v>15.14</v>
      </c>
      <c r="O2567">
        <v>15.2</v>
      </c>
      <c r="P2567">
        <v>31.88</v>
      </c>
      <c r="Q2567">
        <v>315522528</v>
      </c>
      <c r="R2567">
        <v>2.33</v>
      </c>
      <c r="S2567" t="s">
        <v>1509</v>
      </c>
      <c r="T2567" t="s">
        <v>1043</v>
      </c>
      <c r="U2567">
        <v>6.05</v>
      </c>
      <c r="V2567">
        <v>15.56</v>
      </c>
      <c r="W2567">
        <v>100770</v>
      </c>
      <c r="X2567">
        <v>101960</v>
      </c>
      <c r="Y2567">
        <v>0.99</v>
      </c>
      <c r="Z2567">
        <v>73</v>
      </c>
      <c r="AA2567">
        <v>1122</v>
      </c>
      <c r="AB2567" t="s">
        <v>116</v>
      </c>
      <c r="AC2567">
        <v>617100</v>
      </c>
      <c r="AD2567">
        <v>0.02</v>
      </c>
      <c r="AE2567" t="s">
        <v>116</v>
      </c>
      <c r="AF2567" t="s">
        <v>116</v>
      </c>
      <c r="AG2567">
        <v>4.38</v>
      </c>
      <c r="AH2567" t="s">
        <v>11727</v>
      </c>
      <c r="AI2567" t="s">
        <v>11727</v>
      </c>
      <c r="AJ2567">
        <v>1.2</v>
      </c>
      <c r="AK2567">
        <v>3765</v>
      </c>
      <c r="AL2567">
        <v>54</v>
      </c>
      <c r="AM2567">
        <v>1.1999999999999999E-3</v>
      </c>
      <c r="AN2567">
        <v>4</v>
      </c>
      <c r="AO2567">
        <v>3.02</v>
      </c>
      <c r="AP2567">
        <v>13.01</v>
      </c>
      <c r="AQ2567">
        <v>-0.45</v>
      </c>
      <c r="AR2567">
        <v>43.13</v>
      </c>
      <c r="AS2567">
        <v>7.67</v>
      </c>
      <c r="AT2567" t="s">
        <v>11728</v>
      </c>
      <c r="AU2567">
        <v>34.450000000000003</v>
      </c>
      <c r="AV2567">
        <v>42.81</v>
      </c>
      <c r="AW2567">
        <v>1.47</v>
      </c>
      <c r="BA2567">
        <v>0</v>
      </c>
      <c r="BB2567">
        <v>5.66</v>
      </c>
      <c r="BC2567">
        <v>-0.39</v>
      </c>
      <c r="BD2567">
        <v>2.39</v>
      </c>
      <c r="BE2567">
        <v>1.1200000000000001</v>
      </c>
      <c r="BF2567">
        <v>-4.3</v>
      </c>
      <c r="BG2567">
        <v>1.52</v>
      </c>
      <c r="BH2567">
        <v>-1.27</v>
      </c>
      <c r="BI2567">
        <v>20191030</v>
      </c>
      <c r="BJ2567">
        <v>20030516</v>
      </c>
      <c r="BK2567">
        <v>4.38</v>
      </c>
      <c r="BL2567" t="s">
        <v>116</v>
      </c>
      <c r="BM2567" t="s">
        <v>116</v>
      </c>
      <c r="BN2567">
        <v>70.41</v>
      </c>
      <c r="BO2567">
        <v>31.45</v>
      </c>
      <c r="BP2567">
        <v>1.93</v>
      </c>
      <c r="BQ2567">
        <v>52.59</v>
      </c>
      <c r="BR2567">
        <v>58.52</v>
      </c>
      <c r="BS2567">
        <v>8.48</v>
      </c>
      <c r="BT2567">
        <v>0.76</v>
      </c>
      <c r="BU2567">
        <v>27.06</v>
      </c>
      <c r="BV2567">
        <v>29.07</v>
      </c>
      <c r="BW2567">
        <v>13.66</v>
      </c>
      <c r="BX2567">
        <v>19.93</v>
      </c>
      <c r="BY2567">
        <v>167.18</v>
      </c>
      <c r="BZ2567">
        <v>162.05000000000001</v>
      </c>
      <c r="CA2567">
        <v>2.16</v>
      </c>
      <c r="CB2567">
        <v>0.21</v>
      </c>
      <c r="CC2567">
        <v>2.17</v>
      </c>
      <c r="CD2567">
        <v>1.76</v>
      </c>
      <c r="CE2567">
        <v>1.58</v>
      </c>
      <c r="CF2567">
        <v>1.45</v>
      </c>
      <c r="CG2567">
        <v>6.27</v>
      </c>
      <c r="CH2567">
        <v>-5.53</v>
      </c>
      <c r="CI2567">
        <v>-0.84</v>
      </c>
      <c r="CJ2567">
        <v>51331</v>
      </c>
      <c r="CK2567">
        <v>5147</v>
      </c>
      <c r="CL2567" t="s">
        <v>9669</v>
      </c>
      <c r="CM2567">
        <v>31.77</v>
      </c>
      <c r="CN2567">
        <v>25.43</v>
      </c>
      <c r="CO2567">
        <v>2.14</v>
      </c>
      <c r="CP2567">
        <v>-12.17</v>
      </c>
      <c r="CQ2567">
        <v>0.4</v>
      </c>
      <c r="CR2567">
        <v>1.17</v>
      </c>
      <c r="CS2567" t="s">
        <v>6158</v>
      </c>
      <c r="CT2567">
        <v>7.19</v>
      </c>
      <c r="CU2567">
        <v>0</v>
      </c>
      <c r="CV2567">
        <v>4.55</v>
      </c>
      <c r="CW2567">
        <v>1.43</v>
      </c>
      <c r="CX2567">
        <v>-1.26</v>
      </c>
      <c r="CY2567">
        <v>44.67</v>
      </c>
      <c r="CZ2567" t="s">
        <v>3510</v>
      </c>
      <c r="DA2567">
        <v>3.07</v>
      </c>
      <c r="DB2567">
        <v>1.29</v>
      </c>
      <c r="DC2567">
        <v>0.95</v>
      </c>
      <c r="DD2567">
        <v>0.76</v>
      </c>
      <c r="DE2567">
        <v>1220</v>
      </c>
      <c r="DF2567">
        <v>600459</v>
      </c>
      <c r="DG2567" t="s">
        <v>116</v>
      </c>
      <c r="DH2567" t="s">
        <v>116</v>
      </c>
      <c r="DI2567" t="s">
        <v>116</v>
      </c>
    </row>
    <row r="2568" spans="1:113" x14ac:dyDescent="0.4">
      <c r="A2568" t="str">
        <f>"600460"</f>
        <v>600460</v>
      </c>
      <c r="B2568" t="s">
        <v>11729</v>
      </c>
      <c r="C2568">
        <v>-4.17</v>
      </c>
      <c r="D2568">
        <v>15.85</v>
      </c>
      <c r="E2568">
        <v>-0.69</v>
      </c>
      <c r="F2568">
        <v>15.84</v>
      </c>
      <c r="G2568">
        <v>15.85</v>
      </c>
      <c r="H2568">
        <v>547918</v>
      </c>
      <c r="I2568">
        <v>17057</v>
      </c>
      <c r="J2568">
        <v>-0.87</v>
      </c>
      <c r="K2568">
        <v>4.18</v>
      </c>
      <c r="L2568">
        <v>16.489999999999998</v>
      </c>
      <c r="M2568">
        <v>16.63</v>
      </c>
      <c r="N2568">
        <v>15.85</v>
      </c>
      <c r="O2568">
        <v>16.54</v>
      </c>
      <c r="P2568">
        <v>308.94</v>
      </c>
      <c r="Q2568">
        <v>891594112</v>
      </c>
      <c r="R2568">
        <v>0.98</v>
      </c>
      <c r="S2568" t="s">
        <v>3507</v>
      </c>
      <c r="T2568" t="s">
        <v>590</v>
      </c>
      <c r="U2568">
        <v>4.72</v>
      </c>
      <c r="V2568">
        <v>16.27</v>
      </c>
      <c r="W2568">
        <v>316558</v>
      </c>
      <c r="X2568">
        <v>231360</v>
      </c>
      <c r="Y2568">
        <v>1.37</v>
      </c>
      <c r="Z2568">
        <v>241</v>
      </c>
      <c r="AA2568">
        <v>2703</v>
      </c>
      <c r="AB2568" t="s">
        <v>116</v>
      </c>
      <c r="AC2568">
        <v>2092600</v>
      </c>
      <c r="AD2568">
        <v>0.02</v>
      </c>
      <c r="AE2568" t="s">
        <v>116</v>
      </c>
      <c r="AF2568" t="s">
        <v>116</v>
      </c>
      <c r="AG2568">
        <v>13.12</v>
      </c>
      <c r="AH2568" t="s">
        <v>11730</v>
      </c>
      <c r="AI2568" t="s">
        <v>11730</v>
      </c>
      <c r="AJ2568">
        <v>-4.09</v>
      </c>
      <c r="AK2568">
        <v>4430</v>
      </c>
      <c r="AL2568">
        <v>124</v>
      </c>
      <c r="AM2568">
        <v>8.9999999999999998E-4</v>
      </c>
      <c r="AN2568">
        <v>-2</v>
      </c>
      <c r="AO2568">
        <v>-0.99</v>
      </c>
      <c r="AP2568">
        <v>8.34</v>
      </c>
      <c r="AQ2568">
        <v>3.26</v>
      </c>
      <c r="AR2568">
        <v>96.16</v>
      </c>
      <c r="AS2568">
        <v>7.22</v>
      </c>
      <c r="AT2568" t="s">
        <v>11731</v>
      </c>
      <c r="AU2568">
        <v>298.95</v>
      </c>
      <c r="AV2568">
        <v>122</v>
      </c>
      <c r="AW2568">
        <v>1.1100000000000001</v>
      </c>
      <c r="BA2568">
        <v>-0.3</v>
      </c>
      <c r="BB2568">
        <v>0.54</v>
      </c>
      <c r="BC2568">
        <v>-4.17</v>
      </c>
      <c r="BD2568">
        <v>-1.62</v>
      </c>
      <c r="BE2568">
        <v>-3.88</v>
      </c>
      <c r="BF2568">
        <v>-4.6900000000000004</v>
      </c>
      <c r="BG2568">
        <v>0</v>
      </c>
      <c r="BH2568">
        <v>-2.5499999999999998</v>
      </c>
      <c r="BI2568">
        <v>20191031</v>
      </c>
      <c r="BJ2568">
        <v>20030311</v>
      </c>
      <c r="BK2568">
        <v>13.12</v>
      </c>
      <c r="BL2568" t="s">
        <v>116</v>
      </c>
      <c r="BM2568" t="s">
        <v>116</v>
      </c>
      <c r="BN2568">
        <v>85.56</v>
      </c>
      <c r="BO2568">
        <v>34.26</v>
      </c>
      <c r="BP2568">
        <v>6.72</v>
      </c>
      <c r="BQ2568">
        <v>52.1</v>
      </c>
      <c r="BR2568">
        <v>36.08</v>
      </c>
      <c r="BS2568">
        <v>27.22</v>
      </c>
      <c r="BT2568">
        <v>1.66</v>
      </c>
      <c r="BU2568">
        <v>31.57</v>
      </c>
      <c r="BV2568">
        <v>14.19</v>
      </c>
      <c r="BW2568">
        <v>8.1199999999999992</v>
      </c>
      <c r="BX2568">
        <v>7.98</v>
      </c>
      <c r="BY2568">
        <v>22.24</v>
      </c>
      <c r="BZ2568">
        <v>17.989999999999998</v>
      </c>
      <c r="CA2568">
        <v>-0.62</v>
      </c>
      <c r="CB2568">
        <v>0.12</v>
      </c>
      <c r="CC2568">
        <v>-0.62</v>
      </c>
      <c r="CD2568">
        <v>-0.43</v>
      </c>
      <c r="CE2568">
        <v>0.5</v>
      </c>
      <c r="CF2568">
        <v>-0.45</v>
      </c>
      <c r="CG2568">
        <v>11.37</v>
      </c>
      <c r="CH2568">
        <v>0.5</v>
      </c>
      <c r="CI2568">
        <v>-2.0499999999999998</v>
      </c>
      <c r="CJ2568">
        <v>149713</v>
      </c>
      <c r="CK2568">
        <v>5070</v>
      </c>
      <c r="CL2568" t="s">
        <v>4543</v>
      </c>
      <c r="CM2568">
        <v>-66.650000000000006</v>
      </c>
      <c r="CN2568">
        <v>0.52</v>
      </c>
      <c r="CO2568">
        <v>6.07</v>
      </c>
      <c r="CP2568">
        <v>418.43</v>
      </c>
      <c r="CQ2568">
        <v>9.35</v>
      </c>
      <c r="CR2568">
        <v>0.25</v>
      </c>
      <c r="CS2568" t="s">
        <v>2865</v>
      </c>
      <c r="CT2568">
        <v>2.61</v>
      </c>
      <c r="CU2568">
        <v>0</v>
      </c>
      <c r="CV2568">
        <v>0.61</v>
      </c>
      <c r="CW2568">
        <v>0.87</v>
      </c>
      <c r="CX2568">
        <v>0.04</v>
      </c>
      <c r="CY2568">
        <v>40.049999999999997</v>
      </c>
      <c r="CZ2568" t="s">
        <v>6053</v>
      </c>
      <c r="DA2568">
        <v>19.09</v>
      </c>
      <c r="DB2568">
        <v>-2.78</v>
      </c>
      <c r="DC2568">
        <v>2.27</v>
      </c>
      <c r="DD2568">
        <v>2.29</v>
      </c>
      <c r="DE2568">
        <v>5469</v>
      </c>
      <c r="DF2568">
        <v>600460</v>
      </c>
      <c r="DG2568" t="s">
        <v>116</v>
      </c>
      <c r="DH2568" t="s">
        <v>116</v>
      </c>
      <c r="DI2568" t="s">
        <v>116</v>
      </c>
    </row>
    <row r="2569" spans="1:113" x14ac:dyDescent="0.4">
      <c r="A2569" t="str">
        <f>"600461"</f>
        <v>600461</v>
      </c>
      <c r="B2569" t="s">
        <v>11732</v>
      </c>
      <c r="C2569">
        <v>0</v>
      </c>
      <c r="D2569">
        <v>5.91</v>
      </c>
      <c r="E2569">
        <v>0</v>
      </c>
      <c r="F2569">
        <v>5.9</v>
      </c>
      <c r="G2569">
        <v>5.91</v>
      </c>
      <c r="H2569">
        <v>33207</v>
      </c>
      <c r="I2569">
        <v>98</v>
      </c>
      <c r="J2569">
        <v>0.17</v>
      </c>
      <c r="K2569">
        <v>0.42</v>
      </c>
      <c r="L2569">
        <v>5.91</v>
      </c>
      <c r="M2569">
        <v>5.96</v>
      </c>
      <c r="N2569">
        <v>5.89</v>
      </c>
      <c r="O2569">
        <v>5.91</v>
      </c>
      <c r="P2569">
        <v>11.91</v>
      </c>
      <c r="Q2569">
        <v>19684860</v>
      </c>
      <c r="R2569">
        <v>1.87</v>
      </c>
      <c r="S2569" t="s">
        <v>1345</v>
      </c>
      <c r="T2569" t="s">
        <v>683</v>
      </c>
      <c r="U2569">
        <v>1.18</v>
      </c>
      <c r="V2569">
        <v>5.93</v>
      </c>
      <c r="W2569">
        <v>17068</v>
      </c>
      <c r="X2569">
        <v>16139</v>
      </c>
      <c r="Y2569">
        <v>1.06</v>
      </c>
      <c r="Z2569">
        <v>336</v>
      </c>
      <c r="AA2569">
        <v>100</v>
      </c>
      <c r="AB2569" t="s">
        <v>116</v>
      </c>
      <c r="AC2569">
        <v>20100</v>
      </c>
      <c r="AD2569">
        <v>0</v>
      </c>
      <c r="AE2569" t="s">
        <v>116</v>
      </c>
      <c r="AF2569" t="s">
        <v>116</v>
      </c>
      <c r="AG2569">
        <v>7.9</v>
      </c>
      <c r="AH2569" t="s">
        <v>4285</v>
      </c>
      <c r="AI2569" t="s">
        <v>5547</v>
      </c>
      <c r="AJ2569">
        <v>0.08</v>
      </c>
      <c r="AK2569">
        <v>978</v>
      </c>
      <c r="AL2569">
        <v>34</v>
      </c>
      <c r="AM2569">
        <v>4.0000000000000002E-4</v>
      </c>
      <c r="AN2569">
        <v>0</v>
      </c>
      <c r="AO2569">
        <v>0.34</v>
      </c>
      <c r="AP2569">
        <v>1.37</v>
      </c>
      <c r="AQ2569">
        <v>-3.11</v>
      </c>
      <c r="AR2569">
        <v>10.88</v>
      </c>
      <c r="AS2569">
        <v>0.79</v>
      </c>
      <c r="AT2569" t="s">
        <v>11733</v>
      </c>
      <c r="AU2569">
        <v>12.41</v>
      </c>
      <c r="AV2569">
        <v>16.57</v>
      </c>
      <c r="AW2569">
        <v>0.91</v>
      </c>
      <c r="BA2569">
        <v>0</v>
      </c>
      <c r="BB2569">
        <v>0.85</v>
      </c>
      <c r="BC2569">
        <v>-0.34</v>
      </c>
      <c r="BD2569">
        <v>0.3</v>
      </c>
      <c r="BE2569">
        <v>0</v>
      </c>
      <c r="BF2569">
        <v>-0.84</v>
      </c>
      <c r="BG2569">
        <v>0.34</v>
      </c>
      <c r="BH2569">
        <v>-0.3</v>
      </c>
      <c r="BI2569">
        <v>20191118</v>
      </c>
      <c r="BJ2569">
        <v>20040601</v>
      </c>
      <c r="BK2569">
        <v>9.42</v>
      </c>
      <c r="BL2569" t="s">
        <v>116</v>
      </c>
      <c r="BM2569" t="s">
        <v>116</v>
      </c>
      <c r="BN2569">
        <v>106.33</v>
      </c>
      <c r="BO2569">
        <v>37.49</v>
      </c>
      <c r="BP2569">
        <v>3.14</v>
      </c>
      <c r="BQ2569">
        <v>61.78</v>
      </c>
      <c r="BR2569">
        <v>28.94</v>
      </c>
      <c r="BS2569">
        <v>32.15</v>
      </c>
      <c r="BT2569">
        <v>32.46</v>
      </c>
      <c r="BU2569">
        <v>41.24</v>
      </c>
      <c r="BV2569">
        <v>5.04</v>
      </c>
      <c r="BW2569">
        <v>5.55</v>
      </c>
      <c r="BX2569">
        <v>13.37</v>
      </c>
      <c r="BY2569">
        <v>36.729999999999997</v>
      </c>
      <c r="BZ2569">
        <v>27.1</v>
      </c>
      <c r="CA2569">
        <v>5.39</v>
      </c>
      <c r="CB2569">
        <v>7.0000000000000007E-2</v>
      </c>
      <c r="CC2569">
        <v>5.42</v>
      </c>
      <c r="CD2569">
        <v>4.16</v>
      </c>
      <c r="CE2569">
        <v>3.51</v>
      </c>
      <c r="CF2569">
        <v>3.3</v>
      </c>
      <c r="CG2569">
        <v>14.56</v>
      </c>
      <c r="CH2569">
        <v>9.06</v>
      </c>
      <c r="CI2569">
        <v>2.87</v>
      </c>
      <c r="CJ2569">
        <v>20112</v>
      </c>
      <c r="CK2569">
        <v>20994</v>
      </c>
      <c r="CL2569" t="s">
        <v>11734</v>
      </c>
      <c r="CM2569">
        <v>47.3</v>
      </c>
      <c r="CN2569">
        <v>11.33</v>
      </c>
      <c r="CO2569">
        <v>1.24</v>
      </c>
      <c r="CP2569">
        <v>6.15</v>
      </c>
      <c r="CQ2569">
        <v>1.52</v>
      </c>
      <c r="CR2569">
        <v>2.41</v>
      </c>
      <c r="CS2569" t="s">
        <v>604</v>
      </c>
      <c r="CT2569">
        <v>4.75</v>
      </c>
      <c r="CU2569">
        <v>4.75</v>
      </c>
      <c r="CV2569">
        <v>1.42</v>
      </c>
      <c r="CW2569">
        <v>1.55</v>
      </c>
      <c r="CX2569">
        <v>0.96</v>
      </c>
      <c r="CY2569">
        <v>35.26</v>
      </c>
      <c r="CZ2569" t="s">
        <v>7588</v>
      </c>
      <c r="DA2569">
        <v>26.21</v>
      </c>
      <c r="DB2569">
        <v>14.67</v>
      </c>
      <c r="DC2569">
        <v>9.5500000000000007</v>
      </c>
      <c r="DD2569">
        <v>0.44</v>
      </c>
      <c r="DE2569">
        <v>5433</v>
      </c>
      <c r="DF2569">
        <v>600461</v>
      </c>
      <c r="DG2569" t="s">
        <v>116</v>
      </c>
      <c r="DH2569" t="s">
        <v>116</v>
      </c>
      <c r="DI2569" t="s">
        <v>116</v>
      </c>
    </row>
    <row r="2570" spans="1:113" x14ac:dyDescent="0.4">
      <c r="A2570" t="str">
        <f>"600462"</f>
        <v>600462</v>
      </c>
      <c r="B2570" t="s">
        <v>11735</v>
      </c>
      <c r="C2570">
        <v>-2.78</v>
      </c>
      <c r="D2570">
        <v>1.75</v>
      </c>
      <c r="E2570">
        <v>-0.05</v>
      </c>
      <c r="F2570">
        <v>1.75</v>
      </c>
      <c r="G2570">
        <v>1.76</v>
      </c>
      <c r="H2570">
        <v>122314</v>
      </c>
      <c r="I2570">
        <v>1750</v>
      </c>
      <c r="J2570">
        <v>0.56999999999999995</v>
      </c>
      <c r="K2570">
        <v>2.29</v>
      </c>
      <c r="L2570">
        <v>1.79</v>
      </c>
      <c r="M2570">
        <v>1.84</v>
      </c>
      <c r="N2570">
        <v>1.73</v>
      </c>
      <c r="O2570">
        <v>1.8</v>
      </c>
      <c r="P2570" t="s">
        <v>116</v>
      </c>
      <c r="Q2570">
        <v>21771312</v>
      </c>
      <c r="R2570">
        <v>0.56000000000000005</v>
      </c>
      <c r="S2570" t="s">
        <v>233</v>
      </c>
      <c r="T2570" t="s">
        <v>115</v>
      </c>
      <c r="U2570">
        <v>6.11</v>
      </c>
      <c r="V2570">
        <v>1.78</v>
      </c>
      <c r="W2570">
        <v>74744</v>
      </c>
      <c r="X2570">
        <v>47570</v>
      </c>
      <c r="Y2570">
        <v>1.57</v>
      </c>
      <c r="Z2570">
        <v>524</v>
      </c>
      <c r="AA2570">
        <v>1849</v>
      </c>
      <c r="AB2570" t="s">
        <v>116</v>
      </c>
      <c r="AC2570">
        <v>614900</v>
      </c>
      <c r="AD2570">
        <v>0.08</v>
      </c>
      <c r="AE2570" t="s">
        <v>116</v>
      </c>
      <c r="AF2570" t="s">
        <v>116</v>
      </c>
      <c r="AG2570">
        <v>5.34</v>
      </c>
      <c r="AH2570" t="s">
        <v>11736</v>
      </c>
      <c r="AI2570" t="s">
        <v>11736</v>
      </c>
      <c r="AJ2570">
        <v>-2.7</v>
      </c>
      <c r="AK2570">
        <v>950</v>
      </c>
      <c r="AL2570">
        <v>129</v>
      </c>
      <c r="AM2570">
        <v>2.3999999999999998E-3</v>
      </c>
      <c r="AN2570">
        <v>-1</v>
      </c>
      <c r="AO2570">
        <v>-6.92</v>
      </c>
      <c r="AP2570">
        <v>4.79</v>
      </c>
      <c r="AQ2570">
        <v>31.58</v>
      </c>
      <c r="AR2570">
        <v>-47.92</v>
      </c>
      <c r="AS2570">
        <v>2.83</v>
      </c>
      <c r="AT2570" t="s">
        <v>11737</v>
      </c>
      <c r="AU2570" t="s">
        <v>116</v>
      </c>
      <c r="AV2570" t="s">
        <v>116</v>
      </c>
      <c r="AW2570">
        <v>0</v>
      </c>
      <c r="BA2570">
        <v>-0.56000000000000005</v>
      </c>
      <c r="BB2570">
        <v>2.2200000000000002</v>
      </c>
      <c r="BC2570">
        <v>-3.89</v>
      </c>
      <c r="BD2570">
        <v>-1.1100000000000001</v>
      </c>
      <c r="BE2570">
        <v>-2.23</v>
      </c>
      <c r="BF2570">
        <v>-4.8899999999999997</v>
      </c>
      <c r="BG2570">
        <v>1.1599999999999999</v>
      </c>
      <c r="BH2570">
        <v>-1.66</v>
      </c>
      <c r="BI2570">
        <v>20191030</v>
      </c>
      <c r="BJ2570">
        <v>20030903</v>
      </c>
      <c r="BK2570">
        <v>5.34</v>
      </c>
      <c r="BL2570" t="s">
        <v>116</v>
      </c>
      <c r="BM2570" t="s">
        <v>116</v>
      </c>
      <c r="BN2570">
        <v>2.0699999999999998</v>
      </c>
      <c r="BO2570">
        <v>-0.13</v>
      </c>
      <c r="BP2570">
        <v>0</v>
      </c>
      <c r="BQ2570">
        <v>106.47</v>
      </c>
      <c r="BR2570">
        <v>1.1000000000000001</v>
      </c>
      <c r="BS2570">
        <v>0.12</v>
      </c>
      <c r="BT2570">
        <v>0</v>
      </c>
      <c r="BU2570">
        <v>1.05</v>
      </c>
      <c r="BV2570">
        <v>0.28000000000000003</v>
      </c>
      <c r="BW2570">
        <v>0.51</v>
      </c>
      <c r="BX2570">
        <v>6.43</v>
      </c>
      <c r="BY2570">
        <v>2.21</v>
      </c>
      <c r="BZ2570">
        <v>1.97</v>
      </c>
      <c r="CA2570">
        <v>-0.18</v>
      </c>
      <c r="CB2570">
        <v>0</v>
      </c>
      <c r="CC2570">
        <v>-0.19</v>
      </c>
      <c r="CD2570">
        <v>-0.19</v>
      </c>
      <c r="CE2570">
        <v>-0.16</v>
      </c>
      <c r="CF2570">
        <v>-0.16</v>
      </c>
      <c r="CG2570">
        <v>-12.12</v>
      </c>
      <c r="CH2570">
        <v>0.01</v>
      </c>
      <c r="CI2570">
        <v>-0.06</v>
      </c>
      <c r="CJ2570">
        <v>29273</v>
      </c>
      <c r="CK2570">
        <v>14759</v>
      </c>
      <c r="CL2570" t="s">
        <v>10807</v>
      </c>
      <c r="CM2570">
        <v>-42.19</v>
      </c>
      <c r="CN2570">
        <v>-90.62</v>
      </c>
      <c r="CO2570">
        <v>-72.08</v>
      </c>
      <c r="CP2570">
        <v>676.06</v>
      </c>
      <c r="CQ2570">
        <v>4.22</v>
      </c>
      <c r="CR2570">
        <v>0</v>
      </c>
      <c r="CS2570" t="s">
        <v>8974</v>
      </c>
      <c r="CT2570">
        <v>-0.02</v>
      </c>
      <c r="CU2570">
        <v>0</v>
      </c>
      <c r="CV2570">
        <v>1.2</v>
      </c>
      <c r="CW2570">
        <v>-2.27</v>
      </c>
      <c r="CX2570">
        <v>0</v>
      </c>
      <c r="CY2570">
        <v>-6.25</v>
      </c>
      <c r="CZ2570" t="s">
        <v>116</v>
      </c>
      <c r="DA2570">
        <v>11.08</v>
      </c>
      <c r="DB2570">
        <v>-7.96</v>
      </c>
      <c r="DC2570">
        <v>-7.33</v>
      </c>
      <c r="DD2570">
        <v>0.02</v>
      </c>
      <c r="DE2570">
        <v>462</v>
      </c>
      <c r="DF2570">
        <v>600462</v>
      </c>
      <c r="DG2570" t="s">
        <v>116</v>
      </c>
      <c r="DH2570" t="s">
        <v>116</v>
      </c>
      <c r="DI2570" t="s">
        <v>116</v>
      </c>
    </row>
    <row r="2571" spans="1:113" x14ac:dyDescent="0.4">
      <c r="A2571" t="str">
        <f>"600463"</f>
        <v>600463</v>
      </c>
      <c r="B2571" t="s">
        <v>11738</v>
      </c>
      <c r="C2571">
        <v>-0.82</v>
      </c>
      <c r="D2571">
        <v>7.22</v>
      </c>
      <c r="E2571">
        <v>-0.06</v>
      </c>
      <c r="F2571">
        <v>7.21</v>
      </c>
      <c r="G2571">
        <v>7.22</v>
      </c>
      <c r="H2571">
        <v>12932</v>
      </c>
      <c r="I2571">
        <v>104</v>
      </c>
      <c r="J2571">
        <v>0.14000000000000001</v>
      </c>
      <c r="K2571">
        <v>0.43</v>
      </c>
      <c r="L2571">
        <v>7.28</v>
      </c>
      <c r="M2571">
        <v>7.33</v>
      </c>
      <c r="N2571">
        <v>7.2</v>
      </c>
      <c r="O2571">
        <v>7.28</v>
      </c>
      <c r="P2571" t="s">
        <v>116</v>
      </c>
      <c r="Q2571">
        <v>9415994</v>
      </c>
      <c r="R2571">
        <v>0.84</v>
      </c>
      <c r="S2571" t="s">
        <v>1503</v>
      </c>
      <c r="T2571" t="s">
        <v>165</v>
      </c>
      <c r="U2571">
        <v>1.79</v>
      </c>
      <c r="V2571">
        <v>7.28</v>
      </c>
      <c r="W2571">
        <v>8161</v>
      </c>
      <c r="X2571">
        <v>4771</v>
      </c>
      <c r="Y2571">
        <v>1.71</v>
      </c>
      <c r="Z2571">
        <v>100</v>
      </c>
      <c r="AA2571">
        <v>48</v>
      </c>
      <c r="AB2571" t="s">
        <v>116</v>
      </c>
      <c r="AC2571">
        <v>0</v>
      </c>
      <c r="AD2571">
        <v>0</v>
      </c>
      <c r="AE2571" t="s">
        <v>116</v>
      </c>
      <c r="AF2571" t="s">
        <v>116</v>
      </c>
      <c r="AG2571">
        <v>3</v>
      </c>
      <c r="AH2571" t="s">
        <v>11739</v>
      </c>
      <c r="AI2571" t="s">
        <v>11739</v>
      </c>
      <c r="AJ2571">
        <v>-0.75</v>
      </c>
      <c r="AK2571">
        <v>499</v>
      </c>
      <c r="AL2571">
        <v>26</v>
      </c>
      <c r="AM2571">
        <v>8.9999999999999998E-4</v>
      </c>
      <c r="AN2571">
        <v>-1</v>
      </c>
      <c r="AO2571">
        <v>-0.68</v>
      </c>
      <c r="AP2571">
        <v>2.7</v>
      </c>
      <c r="AQ2571">
        <v>-10.31</v>
      </c>
      <c r="AR2571">
        <v>1.06</v>
      </c>
      <c r="AS2571">
        <v>1.26</v>
      </c>
      <c r="AT2571" t="s">
        <v>7317</v>
      </c>
      <c r="AU2571" t="s">
        <v>116</v>
      </c>
      <c r="AV2571">
        <v>141.51</v>
      </c>
      <c r="AW2571">
        <v>1.21</v>
      </c>
      <c r="BA2571">
        <v>0</v>
      </c>
      <c r="BB2571">
        <v>0.69</v>
      </c>
      <c r="BC2571">
        <v>-1.1000000000000001</v>
      </c>
      <c r="BD2571">
        <v>0.02</v>
      </c>
      <c r="BE2571">
        <v>-0.82</v>
      </c>
      <c r="BF2571">
        <v>-1.5</v>
      </c>
      <c r="BG2571">
        <v>0.28000000000000003</v>
      </c>
      <c r="BH2571">
        <v>-0.84</v>
      </c>
      <c r="BI2571">
        <v>20191030</v>
      </c>
      <c r="BJ2571">
        <v>20040318</v>
      </c>
      <c r="BK2571">
        <v>3</v>
      </c>
      <c r="BL2571" t="s">
        <v>116</v>
      </c>
      <c r="BM2571" t="s">
        <v>116</v>
      </c>
      <c r="BN2571">
        <v>28.56</v>
      </c>
      <c r="BO2571">
        <v>13.76</v>
      </c>
      <c r="BP2571">
        <v>0.43</v>
      </c>
      <c r="BQ2571">
        <v>50.33</v>
      </c>
      <c r="BR2571">
        <v>15.74</v>
      </c>
      <c r="BS2571">
        <v>1.04</v>
      </c>
      <c r="BT2571">
        <v>0.16</v>
      </c>
      <c r="BU2571">
        <v>14.05</v>
      </c>
      <c r="BV2571">
        <v>10.210000000000001</v>
      </c>
      <c r="BW2571">
        <v>0.67</v>
      </c>
      <c r="BX2571">
        <v>6.37</v>
      </c>
      <c r="BY2571">
        <v>6.24</v>
      </c>
      <c r="BZ2571">
        <v>5.55</v>
      </c>
      <c r="CA2571">
        <v>-0.42</v>
      </c>
      <c r="CB2571">
        <v>-0.05</v>
      </c>
      <c r="CC2571">
        <v>-0.44</v>
      </c>
      <c r="CD2571">
        <v>-0.38</v>
      </c>
      <c r="CE2571">
        <v>-0.31</v>
      </c>
      <c r="CF2571">
        <v>-0.34</v>
      </c>
      <c r="CG2571">
        <v>3.59</v>
      </c>
      <c r="CH2571">
        <v>0.42</v>
      </c>
      <c r="CI2571">
        <v>7.0000000000000007E-2</v>
      </c>
      <c r="CJ2571">
        <v>19425</v>
      </c>
      <c r="CK2571">
        <v>5264</v>
      </c>
      <c r="CL2571" t="s">
        <v>1800</v>
      </c>
      <c r="CM2571">
        <v>-576.59</v>
      </c>
      <c r="CN2571">
        <v>-19.309999999999999</v>
      </c>
      <c r="CO2571">
        <v>1.57</v>
      </c>
      <c r="CP2571">
        <v>51.6</v>
      </c>
      <c r="CQ2571">
        <v>3.47</v>
      </c>
      <c r="CR2571">
        <v>0.22</v>
      </c>
      <c r="CS2571" t="s">
        <v>3087</v>
      </c>
      <c r="CT2571">
        <v>4.59</v>
      </c>
      <c r="CU2571">
        <v>0</v>
      </c>
      <c r="CV2571">
        <v>2.12</v>
      </c>
      <c r="CW2571">
        <v>1.2</v>
      </c>
      <c r="CX2571">
        <v>0.14000000000000001</v>
      </c>
      <c r="CY2571">
        <v>48.17</v>
      </c>
      <c r="CZ2571" t="s">
        <v>11740</v>
      </c>
      <c r="DA2571">
        <v>11.04</v>
      </c>
      <c r="DB2571">
        <v>-6.8</v>
      </c>
      <c r="DC2571">
        <v>-4.8899999999999997</v>
      </c>
      <c r="DD2571">
        <v>0</v>
      </c>
      <c r="DE2571">
        <v>668</v>
      </c>
      <c r="DF2571">
        <v>600463</v>
      </c>
      <c r="DG2571" t="s">
        <v>116</v>
      </c>
      <c r="DH2571" t="s">
        <v>116</v>
      </c>
      <c r="DI2571" t="s">
        <v>116</v>
      </c>
    </row>
    <row r="2572" spans="1:113" x14ac:dyDescent="0.4">
      <c r="A2572" t="str">
        <f>"600466"</f>
        <v>600466</v>
      </c>
      <c r="B2572" t="s">
        <v>11741</v>
      </c>
      <c r="C2572">
        <v>-0.28000000000000003</v>
      </c>
      <c r="D2572">
        <v>7.07</v>
      </c>
      <c r="E2572">
        <v>-0.02</v>
      </c>
      <c r="F2572">
        <v>7.07</v>
      </c>
      <c r="G2572">
        <v>7.08</v>
      </c>
      <c r="H2572">
        <v>216955</v>
      </c>
      <c r="I2572">
        <v>1400</v>
      </c>
      <c r="J2572">
        <v>-0.13</v>
      </c>
      <c r="K2572">
        <v>0.72</v>
      </c>
      <c r="L2572">
        <v>7.08</v>
      </c>
      <c r="M2572">
        <v>7.15</v>
      </c>
      <c r="N2572">
        <v>7.05</v>
      </c>
      <c r="O2572">
        <v>7.09</v>
      </c>
      <c r="P2572">
        <v>6.3</v>
      </c>
      <c r="Q2572">
        <v>153870432</v>
      </c>
      <c r="R2572">
        <v>0.8</v>
      </c>
      <c r="S2572" t="s">
        <v>148</v>
      </c>
      <c r="T2572" t="s">
        <v>582</v>
      </c>
      <c r="U2572">
        <v>1.41</v>
      </c>
      <c r="V2572">
        <v>7.09</v>
      </c>
      <c r="W2572">
        <v>110551</v>
      </c>
      <c r="X2572">
        <v>106404</v>
      </c>
      <c r="Y2572">
        <v>1.04</v>
      </c>
      <c r="Z2572">
        <v>1966</v>
      </c>
      <c r="AA2572">
        <v>259</v>
      </c>
      <c r="AB2572" t="s">
        <v>116</v>
      </c>
      <c r="AC2572">
        <v>1185200</v>
      </c>
      <c r="AD2572">
        <v>0.01</v>
      </c>
      <c r="AE2572" t="s">
        <v>116</v>
      </c>
      <c r="AF2572" t="s">
        <v>116</v>
      </c>
      <c r="AG2572">
        <v>30.1</v>
      </c>
      <c r="AH2572" t="s">
        <v>11742</v>
      </c>
      <c r="AI2572" t="s">
        <v>11742</v>
      </c>
      <c r="AJ2572">
        <v>-0.21</v>
      </c>
      <c r="AK2572">
        <v>3764</v>
      </c>
      <c r="AL2572">
        <v>58</v>
      </c>
      <c r="AM2572">
        <v>2.0000000000000001E-4</v>
      </c>
      <c r="AN2572">
        <v>-1</v>
      </c>
      <c r="AO2572">
        <v>1.29</v>
      </c>
      <c r="AP2572">
        <v>6.8</v>
      </c>
      <c r="AQ2572">
        <v>17.440000000000001</v>
      </c>
      <c r="AR2572">
        <v>38.090000000000003</v>
      </c>
      <c r="AS2572">
        <v>1.75</v>
      </c>
      <c r="AT2572" t="s">
        <v>11743</v>
      </c>
      <c r="AU2572">
        <v>6.01</v>
      </c>
      <c r="AV2572">
        <v>9.57</v>
      </c>
      <c r="AW2572">
        <v>1.58</v>
      </c>
      <c r="BA2572">
        <v>-0.14000000000000001</v>
      </c>
      <c r="BB2572">
        <v>0.85</v>
      </c>
      <c r="BC2572">
        <v>-0.56000000000000005</v>
      </c>
      <c r="BD2572">
        <v>0.03</v>
      </c>
      <c r="BE2572">
        <v>-0.14000000000000001</v>
      </c>
      <c r="BF2572">
        <v>-1.1200000000000001</v>
      </c>
      <c r="BG2572">
        <v>0.28000000000000003</v>
      </c>
      <c r="BH2572">
        <v>-0.31</v>
      </c>
      <c r="BI2572">
        <v>20191126</v>
      </c>
      <c r="BJ2572">
        <v>20010212</v>
      </c>
      <c r="BK2572">
        <v>30.1</v>
      </c>
      <c r="BL2572" t="s">
        <v>116</v>
      </c>
      <c r="BM2572" t="s">
        <v>116</v>
      </c>
      <c r="BN2572">
        <v>1827.18</v>
      </c>
      <c r="BO2572">
        <v>173.49</v>
      </c>
      <c r="BP2572">
        <v>184.07</v>
      </c>
      <c r="BQ2572">
        <v>80.430000000000007</v>
      </c>
      <c r="BR2572">
        <v>1635.79</v>
      </c>
      <c r="BS2572">
        <v>17.29</v>
      </c>
      <c r="BT2572">
        <v>5.87</v>
      </c>
      <c r="BU2572">
        <v>1011.93</v>
      </c>
      <c r="BV2572">
        <v>1208.46</v>
      </c>
      <c r="BW2572">
        <v>19.89</v>
      </c>
      <c r="BX2572">
        <v>6.08</v>
      </c>
      <c r="BY2572">
        <v>278.81</v>
      </c>
      <c r="BZ2572">
        <v>206.29</v>
      </c>
      <c r="CA2572">
        <v>37.36</v>
      </c>
      <c r="CB2572">
        <v>-0.14000000000000001</v>
      </c>
      <c r="CC2572">
        <v>37.6</v>
      </c>
      <c r="CD2572">
        <v>25.9</v>
      </c>
      <c r="CE2572">
        <v>25.35</v>
      </c>
      <c r="CF2572">
        <v>24.58</v>
      </c>
      <c r="CG2572">
        <v>85.18</v>
      </c>
      <c r="CH2572">
        <v>-20.04</v>
      </c>
      <c r="CI2572">
        <v>-25.76</v>
      </c>
      <c r="CJ2572">
        <v>55000</v>
      </c>
      <c r="CK2572">
        <v>22550</v>
      </c>
      <c r="CL2572" t="s">
        <v>11744</v>
      </c>
      <c r="CM2572">
        <v>107.83</v>
      </c>
      <c r="CN2572">
        <v>95.27</v>
      </c>
      <c r="CO2572">
        <v>1.59</v>
      </c>
      <c r="CP2572">
        <v>-10.62</v>
      </c>
      <c r="CQ2572">
        <v>0.76</v>
      </c>
      <c r="CR2572">
        <v>3.65</v>
      </c>
      <c r="CS2572" t="s">
        <v>9924</v>
      </c>
      <c r="CT2572">
        <v>4.45</v>
      </c>
      <c r="CU2572">
        <v>4.45</v>
      </c>
      <c r="CV2572">
        <v>0.2</v>
      </c>
      <c r="CW2572">
        <v>2.83</v>
      </c>
      <c r="CX2572">
        <v>-0.67</v>
      </c>
      <c r="CY2572">
        <v>9.5</v>
      </c>
      <c r="CZ2572" t="s">
        <v>7144</v>
      </c>
      <c r="DA2572">
        <v>26.01</v>
      </c>
      <c r="DB2572">
        <v>13.4</v>
      </c>
      <c r="DC2572">
        <v>9.09</v>
      </c>
      <c r="DD2572">
        <v>0.46</v>
      </c>
      <c r="DE2572">
        <v>18261</v>
      </c>
      <c r="DF2572">
        <v>600466</v>
      </c>
      <c r="DG2572" t="s">
        <v>116</v>
      </c>
      <c r="DH2572" t="s">
        <v>116</v>
      </c>
      <c r="DI2572" t="s">
        <v>116</v>
      </c>
    </row>
    <row r="2573" spans="1:113" x14ac:dyDescent="0.4">
      <c r="A2573" t="str">
        <f>"600467"</f>
        <v>600467</v>
      </c>
      <c r="B2573" t="s">
        <v>11745</v>
      </c>
      <c r="C2573">
        <v>0.83</v>
      </c>
      <c r="D2573">
        <v>2.42</v>
      </c>
      <c r="E2573">
        <v>0.02</v>
      </c>
      <c r="F2573">
        <v>2.41</v>
      </c>
      <c r="G2573">
        <v>2.42</v>
      </c>
      <c r="H2573">
        <v>152450</v>
      </c>
      <c r="I2573">
        <v>3218</v>
      </c>
      <c r="J2573">
        <v>0.41</v>
      </c>
      <c r="K2573">
        <v>1.04</v>
      </c>
      <c r="L2573">
        <v>2.4</v>
      </c>
      <c r="M2573">
        <v>2.4300000000000002</v>
      </c>
      <c r="N2573">
        <v>2.39</v>
      </c>
      <c r="O2573">
        <v>2.4</v>
      </c>
      <c r="P2573">
        <v>49.6</v>
      </c>
      <c r="Q2573">
        <v>36780852</v>
      </c>
      <c r="R2573">
        <v>1.41</v>
      </c>
      <c r="S2573" t="s">
        <v>2216</v>
      </c>
      <c r="T2573" t="s">
        <v>645</v>
      </c>
      <c r="U2573">
        <v>1.67</v>
      </c>
      <c r="V2573">
        <v>2.41</v>
      </c>
      <c r="W2573">
        <v>74359</v>
      </c>
      <c r="X2573">
        <v>78091</v>
      </c>
      <c r="Y2573">
        <v>0.95</v>
      </c>
      <c r="Z2573">
        <v>636</v>
      </c>
      <c r="AA2573">
        <v>12056</v>
      </c>
      <c r="AB2573" t="s">
        <v>116</v>
      </c>
      <c r="AC2573">
        <v>72700</v>
      </c>
      <c r="AD2573">
        <v>0</v>
      </c>
      <c r="AE2573" t="s">
        <v>116</v>
      </c>
      <c r="AF2573" t="s">
        <v>116</v>
      </c>
      <c r="AG2573">
        <v>14.61</v>
      </c>
      <c r="AH2573" t="s">
        <v>11746</v>
      </c>
      <c r="AI2573" t="s">
        <v>11746</v>
      </c>
      <c r="AJ2573">
        <v>0.91</v>
      </c>
      <c r="AK2573">
        <v>1140</v>
      </c>
      <c r="AL2573">
        <v>134</v>
      </c>
      <c r="AM2573">
        <v>8.9999999999999998E-4</v>
      </c>
      <c r="AN2573">
        <v>2</v>
      </c>
      <c r="AO2573">
        <v>1.25</v>
      </c>
      <c r="AP2573">
        <v>2.98</v>
      </c>
      <c r="AQ2573">
        <v>3.42</v>
      </c>
      <c r="AR2573">
        <v>1.38</v>
      </c>
      <c r="AS2573">
        <v>1.78</v>
      </c>
      <c r="AT2573" t="s">
        <v>3803</v>
      </c>
      <c r="AU2573">
        <v>55.32</v>
      </c>
      <c r="AV2573">
        <v>56.99</v>
      </c>
      <c r="AW2573">
        <v>0.98</v>
      </c>
      <c r="BA2573">
        <v>0</v>
      </c>
      <c r="BB2573">
        <v>1.25</v>
      </c>
      <c r="BC2573">
        <v>-0.42</v>
      </c>
      <c r="BD2573">
        <v>0.53</v>
      </c>
      <c r="BE2573">
        <v>0.83</v>
      </c>
      <c r="BF2573">
        <v>-0.41</v>
      </c>
      <c r="BG2573">
        <v>1.26</v>
      </c>
      <c r="BH2573">
        <v>0.31</v>
      </c>
      <c r="BI2573">
        <v>20191024</v>
      </c>
      <c r="BJ2573">
        <v>20040405</v>
      </c>
      <c r="BK2573">
        <v>14.61</v>
      </c>
      <c r="BL2573" t="s">
        <v>116</v>
      </c>
      <c r="BM2573" t="s">
        <v>116</v>
      </c>
      <c r="BN2573">
        <v>60.8</v>
      </c>
      <c r="BO2573">
        <v>30.77</v>
      </c>
      <c r="BP2573">
        <v>0.17</v>
      </c>
      <c r="BQ2573">
        <v>49.11</v>
      </c>
      <c r="BR2573">
        <v>19.920000000000002</v>
      </c>
      <c r="BS2573">
        <v>33.53</v>
      </c>
      <c r="BT2573">
        <v>1.27</v>
      </c>
      <c r="BU2573">
        <v>27.13</v>
      </c>
      <c r="BV2573">
        <v>10.58</v>
      </c>
      <c r="BW2573">
        <v>0.39</v>
      </c>
      <c r="BX2573">
        <v>3.95</v>
      </c>
      <c r="BY2573">
        <v>9.1999999999999993</v>
      </c>
      <c r="BZ2573">
        <v>7.06</v>
      </c>
      <c r="CA2573">
        <v>0.61</v>
      </c>
      <c r="CB2573">
        <v>0.12</v>
      </c>
      <c r="CC2573">
        <v>0.63</v>
      </c>
      <c r="CD2573">
        <v>0.55000000000000004</v>
      </c>
      <c r="CE2573">
        <v>0.53</v>
      </c>
      <c r="CF2573">
        <v>0.4</v>
      </c>
      <c r="CG2573">
        <v>9.99</v>
      </c>
      <c r="CH2573">
        <v>2.11</v>
      </c>
      <c r="CI2573">
        <v>-0.08</v>
      </c>
      <c r="CJ2573">
        <v>74490</v>
      </c>
      <c r="CK2573">
        <v>11525</v>
      </c>
      <c r="CL2573" t="s">
        <v>5647</v>
      </c>
      <c r="CM2573">
        <v>3.64</v>
      </c>
      <c r="CN2573">
        <v>1.7</v>
      </c>
      <c r="CO2573">
        <v>1.1499999999999999</v>
      </c>
      <c r="CP2573">
        <v>16.72</v>
      </c>
      <c r="CQ2573">
        <v>3.84</v>
      </c>
      <c r="CR2573">
        <v>0.54</v>
      </c>
      <c r="CS2573" t="s">
        <v>6004</v>
      </c>
      <c r="CT2573">
        <v>2.11</v>
      </c>
      <c r="CU2573">
        <v>0</v>
      </c>
      <c r="CV2573">
        <v>0.27</v>
      </c>
      <c r="CW2573">
        <v>0.68</v>
      </c>
      <c r="CX2573">
        <v>0.14000000000000001</v>
      </c>
      <c r="CY2573">
        <v>50.61</v>
      </c>
      <c r="CZ2573" t="s">
        <v>7611</v>
      </c>
      <c r="DA2573">
        <v>23.24</v>
      </c>
      <c r="DB2573">
        <v>6.65</v>
      </c>
      <c r="DC2573">
        <v>5.81</v>
      </c>
      <c r="DD2573">
        <v>0.03</v>
      </c>
      <c r="DE2573">
        <v>4770</v>
      </c>
      <c r="DF2573">
        <v>600467</v>
      </c>
      <c r="DG2573" t="s">
        <v>116</v>
      </c>
      <c r="DH2573" t="s">
        <v>116</v>
      </c>
      <c r="DI2573" t="s">
        <v>116</v>
      </c>
    </row>
    <row r="2574" spans="1:113" x14ac:dyDescent="0.4">
      <c r="A2574" t="str">
        <f>"600468"</f>
        <v>600468</v>
      </c>
      <c r="B2574" t="s">
        <v>11747</v>
      </c>
      <c r="C2574">
        <v>0.28000000000000003</v>
      </c>
      <c r="D2574">
        <v>3.62</v>
      </c>
      <c r="E2574">
        <v>0.01</v>
      </c>
      <c r="F2574">
        <v>3.62</v>
      </c>
      <c r="G2574">
        <v>3.63</v>
      </c>
      <c r="H2574">
        <v>63754</v>
      </c>
      <c r="I2574">
        <v>1484</v>
      </c>
      <c r="J2574">
        <v>0.56000000000000005</v>
      </c>
      <c r="K2574">
        <v>0.56999999999999995</v>
      </c>
      <c r="L2574">
        <v>3.6</v>
      </c>
      <c r="M2574">
        <v>3.66</v>
      </c>
      <c r="N2574">
        <v>3.57</v>
      </c>
      <c r="O2574">
        <v>3.61</v>
      </c>
      <c r="P2574">
        <v>74.73</v>
      </c>
      <c r="Q2574">
        <v>22998588</v>
      </c>
      <c r="R2574">
        <v>1.2</v>
      </c>
      <c r="S2574" t="s">
        <v>397</v>
      </c>
      <c r="T2574" t="s">
        <v>1035</v>
      </c>
      <c r="U2574">
        <v>2.4900000000000002</v>
      </c>
      <c r="V2574">
        <v>3.61</v>
      </c>
      <c r="W2574">
        <v>34800</v>
      </c>
      <c r="X2574">
        <v>28954</v>
      </c>
      <c r="Y2574">
        <v>1.2</v>
      </c>
      <c r="Z2574">
        <v>534</v>
      </c>
      <c r="AA2574">
        <v>1063</v>
      </c>
      <c r="AB2574" t="s">
        <v>116</v>
      </c>
      <c r="AC2574">
        <v>175000</v>
      </c>
      <c r="AD2574">
        <v>0.01</v>
      </c>
      <c r="AE2574" t="s">
        <v>116</v>
      </c>
      <c r="AF2574" t="s">
        <v>116</v>
      </c>
      <c r="AG2574">
        <v>11.22</v>
      </c>
      <c r="AH2574" t="s">
        <v>11728</v>
      </c>
      <c r="AI2574" t="s">
        <v>11728</v>
      </c>
      <c r="AJ2574">
        <v>0.35</v>
      </c>
      <c r="AK2574">
        <v>837</v>
      </c>
      <c r="AL2574">
        <v>76</v>
      </c>
      <c r="AM2574">
        <v>6.9999999999999999E-4</v>
      </c>
      <c r="AN2574">
        <v>4</v>
      </c>
      <c r="AO2574">
        <v>3.14</v>
      </c>
      <c r="AP2574">
        <v>11.04</v>
      </c>
      <c r="AQ2574">
        <v>3.13</v>
      </c>
      <c r="AR2574">
        <v>-5.27</v>
      </c>
      <c r="AS2574">
        <v>1.3</v>
      </c>
      <c r="AT2574" t="s">
        <v>7842</v>
      </c>
      <c r="AU2574">
        <v>98.57</v>
      </c>
      <c r="AV2574">
        <v>86.18</v>
      </c>
      <c r="AW2574">
        <v>1.35</v>
      </c>
      <c r="BA2574">
        <v>-0.28000000000000003</v>
      </c>
      <c r="BB2574">
        <v>1.39</v>
      </c>
      <c r="BC2574">
        <v>-1.1100000000000001</v>
      </c>
      <c r="BD2574">
        <v>-7.0000000000000007E-2</v>
      </c>
      <c r="BE2574">
        <v>0.56000000000000005</v>
      </c>
      <c r="BF2574">
        <v>-1.0900000000000001</v>
      </c>
      <c r="BG2574">
        <v>1.4</v>
      </c>
      <c r="BH2574">
        <v>0.35</v>
      </c>
      <c r="BI2574">
        <v>20191030</v>
      </c>
      <c r="BJ2574">
        <v>20010615</v>
      </c>
      <c r="BK2574">
        <v>11.22</v>
      </c>
      <c r="BL2574" t="s">
        <v>116</v>
      </c>
      <c r="BM2574" t="s">
        <v>116</v>
      </c>
      <c r="BN2574">
        <v>26.34</v>
      </c>
      <c r="BO2574">
        <v>16.64</v>
      </c>
      <c r="BP2574">
        <v>1.39</v>
      </c>
      <c r="BQ2574">
        <v>31.53</v>
      </c>
      <c r="BR2574">
        <v>17.82</v>
      </c>
      <c r="BS2574">
        <v>3.3</v>
      </c>
      <c r="BT2574">
        <v>1.24</v>
      </c>
      <c r="BU2574">
        <v>8.0299999999999994</v>
      </c>
      <c r="BV2574">
        <v>3.1</v>
      </c>
      <c r="BW2574">
        <v>6.97</v>
      </c>
      <c r="BX2574">
        <v>4.43</v>
      </c>
      <c r="BY2574">
        <v>11.61</v>
      </c>
      <c r="BZ2574">
        <v>9.5</v>
      </c>
      <c r="CA2574">
        <v>0.59</v>
      </c>
      <c r="CB2574">
        <v>0.22</v>
      </c>
      <c r="CC2574">
        <v>0.59</v>
      </c>
      <c r="CD2574">
        <v>0.47</v>
      </c>
      <c r="CE2574">
        <v>0.41</v>
      </c>
      <c r="CF2574">
        <v>0.28999999999999998</v>
      </c>
      <c r="CG2574">
        <v>2.64</v>
      </c>
      <c r="CH2574">
        <v>-0.43</v>
      </c>
      <c r="CI2574">
        <v>1.23</v>
      </c>
      <c r="CJ2574">
        <v>23153</v>
      </c>
      <c r="CK2574">
        <v>21244</v>
      </c>
      <c r="CL2574" t="s">
        <v>9981</v>
      </c>
      <c r="CM2574">
        <v>-12.69</v>
      </c>
      <c r="CN2574">
        <v>11.69</v>
      </c>
      <c r="CO2574">
        <v>2.44</v>
      </c>
      <c r="CP2574">
        <v>-94.27</v>
      </c>
      <c r="CQ2574">
        <v>3.5</v>
      </c>
      <c r="CR2574">
        <v>0</v>
      </c>
      <c r="CS2574" t="s">
        <v>1223</v>
      </c>
      <c r="CT2574">
        <v>1.48</v>
      </c>
      <c r="CU2574">
        <v>0</v>
      </c>
      <c r="CV2574">
        <v>0.39</v>
      </c>
      <c r="CW2574">
        <v>0.24</v>
      </c>
      <c r="CX2574">
        <v>-0.04</v>
      </c>
      <c r="CY2574">
        <v>63.19</v>
      </c>
      <c r="CZ2574" t="s">
        <v>3278</v>
      </c>
      <c r="DA2574">
        <v>18.16</v>
      </c>
      <c r="DB2574">
        <v>5.07</v>
      </c>
      <c r="DC2574">
        <v>3.51</v>
      </c>
      <c r="DD2574">
        <v>0.5</v>
      </c>
      <c r="DE2574">
        <v>1692</v>
      </c>
      <c r="DF2574">
        <v>600468</v>
      </c>
      <c r="DG2574" t="s">
        <v>116</v>
      </c>
      <c r="DH2574" t="s">
        <v>116</v>
      </c>
      <c r="DI2574" t="s">
        <v>116</v>
      </c>
    </row>
    <row r="2575" spans="1:113" x14ac:dyDescent="0.4">
      <c r="A2575" t="str">
        <f>"600469"</f>
        <v>600469</v>
      </c>
      <c r="B2575" t="s">
        <v>11748</v>
      </c>
      <c r="C2575">
        <v>-0.2</v>
      </c>
      <c r="D2575">
        <v>4.8899999999999997</v>
      </c>
      <c r="E2575">
        <v>-0.01</v>
      </c>
      <c r="F2575">
        <v>4.8899999999999997</v>
      </c>
      <c r="G2575">
        <v>4.9000000000000004</v>
      </c>
      <c r="H2575">
        <v>38112</v>
      </c>
      <c r="I2575">
        <v>178</v>
      </c>
      <c r="J2575">
        <v>-0.19</v>
      </c>
      <c r="K2575">
        <v>0.68</v>
      </c>
      <c r="L2575">
        <v>4.9000000000000004</v>
      </c>
      <c r="M2575">
        <v>4.96</v>
      </c>
      <c r="N2575">
        <v>4.88</v>
      </c>
      <c r="O2575">
        <v>4.9000000000000004</v>
      </c>
      <c r="P2575">
        <v>10.74</v>
      </c>
      <c r="Q2575">
        <v>18752402</v>
      </c>
      <c r="R2575">
        <v>1.21</v>
      </c>
      <c r="S2575" t="s">
        <v>293</v>
      </c>
      <c r="T2575" t="s">
        <v>652</v>
      </c>
      <c r="U2575">
        <v>1.63</v>
      </c>
      <c r="V2575">
        <v>4.92</v>
      </c>
      <c r="W2575">
        <v>19976</v>
      </c>
      <c r="X2575">
        <v>18136</v>
      </c>
      <c r="Y2575">
        <v>1.1000000000000001</v>
      </c>
      <c r="Z2575">
        <v>430</v>
      </c>
      <c r="AA2575">
        <v>231</v>
      </c>
      <c r="AB2575" t="s">
        <v>116</v>
      </c>
      <c r="AC2575">
        <v>149900</v>
      </c>
      <c r="AD2575">
        <v>0.01</v>
      </c>
      <c r="AE2575" t="s">
        <v>116</v>
      </c>
      <c r="AF2575" t="s">
        <v>116</v>
      </c>
      <c r="AG2575">
        <v>5.62</v>
      </c>
      <c r="AH2575" t="s">
        <v>5460</v>
      </c>
      <c r="AI2575" t="s">
        <v>5460</v>
      </c>
      <c r="AJ2575">
        <v>-0.13</v>
      </c>
      <c r="AK2575">
        <v>934</v>
      </c>
      <c r="AL2575">
        <v>41</v>
      </c>
      <c r="AM2575">
        <v>6.9999999999999999E-4</v>
      </c>
      <c r="AN2575">
        <v>-1</v>
      </c>
      <c r="AO2575">
        <v>0.22</v>
      </c>
      <c r="AP2575">
        <v>4.71</v>
      </c>
      <c r="AQ2575">
        <v>-4.3099999999999996</v>
      </c>
      <c r="AR2575">
        <v>39.32</v>
      </c>
      <c r="AS2575">
        <v>1.22</v>
      </c>
      <c r="AT2575" t="s">
        <v>11749</v>
      </c>
      <c r="AU2575">
        <v>13.2</v>
      </c>
      <c r="AV2575">
        <v>150.52000000000001</v>
      </c>
      <c r="AW2575">
        <v>1.29</v>
      </c>
      <c r="BA2575">
        <v>0</v>
      </c>
      <c r="BB2575">
        <v>1.22</v>
      </c>
      <c r="BC2575">
        <v>-0.41</v>
      </c>
      <c r="BD2575">
        <v>0.42</v>
      </c>
      <c r="BE2575">
        <v>-0.2</v>
      </c>
      <c r="BF2575">
        <v>-1.41</v>
      </c>
      <c r="BG2575">
        <v>0.2</v>
      </c>
      <c r="BH2575">
        <v>-0.62</v>
      </c>
      <c r="BI2575">
        <v>20191031</v>
      </c>
      <c r="BJ2575">
        <v>20031021</v>
      </c>
      <c r="BK2575">
        <v>5.62</v>
      </c>
      <c r="BL2575" t="s">
        <v>116</v>
      </c>
      <c r="BM2575" t="s">
        <v>116</v>
      </c>
      <c r="BN2575">
        <v>77.63</v>
      </c>
      <c r="BO2575">
        <v>22.06</v>
      </c>
      <c r="BP2575">
        <v>0</v>
      </c>
      <c r="BQ2575">
        <v>71.59</v>
      </c>
      <c r="BR2575">
        <v>38.18</v>
      </c>
      <c r="BS2575">
        <v>29.08</v>
      </c>
      <c r="BT2575">
        <v>0.55000000000000004</v>
      </c>
      <c r="BU2575">
        <v>48.55</v>
      </c>
      <c r="BV2575">
        <v>9.61</v>
      </c>
      <c r="BW2575">
        <v>12.08</v>
      </c>
      <c r="BX2575">
        <v>18.57</v>
      </c>
      <c r="BY2575">
        <v>44.57</v>
      </c>
      <c r="BZ2575">
        <v>35</v>
      </c>
      <c r="CA2575">
        <v>2.33</v>
      </c>
      <c r="CB2575">
        <v>0</v>
      </c>
      <c r="CC2575">
        <v>2.34</v>
      </c>
      <c r="CD2575">
        <v>1.92</v>
      </c>
      <c r="CE2575">
        <v>1.92</v>
      </c>
      <c r="CF2575">
        <v>1.25</v>
      </c>
      <c r="CG2575">
        <v>-4.76</v>
      </c>
      <c r="CH2575">
        <v>2.89</v>
      </c>
      <c r="CI2575">
        <v>-0.57999999999999996</v>
      </c>
      <c r="CJ2575">
        <v>27670</v>
      </c>
      <c r="CK2575">
        <v>11265</v>
      </c>
      <c r="CL2575" t="s">
        <v>2733</v>
      </c>
      <c r="CM2575">
        <v>10166.200000000001</v>
      </c>
      <c r="CN2575">
        <v>-5.43</v>
      </c>
      <c r="CO2575">
        <v>1.25</v>
      </c>
      <c r="CP2575">
        <v>9.51</v>
      </c>
      <c r="CQ2575">
        <v>0.62</v>
      </c>
      <c r="CR2575">
        <v>0.4</v>
      </c>
      <c r="CS2575" t="s">
        <v>7376</v>
      </c>
      <c r="CT2575">
        <v>3.92</v>
      </c>
      <c r="CU2575">
        <v>0</v>
      </c>
      <c r="CV2575">
        <v>3.3</v>
      </c>
      <c r="CW2575">
        <v>-0.85</v>
      </c>
      <c r="CX2575">
        <v>0.51</v>
      </c>
      <c r="CY2575">
        <v>28.41</v>
      </c>
      <c r="CZ2575" t="s">
        <v>987</v>
      </c>
      <c r="DA2575">
        <v>21.47</v>
      </c>
      <c r="DB2575">
        <v>5.24</v>
      </c>
      <c r="DC2575">
        <v>4.3099999999999996</v>
      </c>
      <c r="DD2575">
        <v>1.56</v>
      </c>
      <c r="DE2575">
        <v>6989</v>
      </c>
      <c r="DF2575">
        <v>600469</v>
      </c>
      <c r="DG2575" t="s">
        <v>116</v>
      </c>
      <c r="DH2575" t="s">
        <v>116</v>
      </c>
      <c r="DI2575" t="s">
        <v>116</v>
      </c>
    </row>
    <row r="2576" spans="1:113" x14ac:dyDescent="0.4">
      <c r="A2576" t="str">
        <f>"600470"</f>
        <v>600470</v>
      </c>
      <c r="B2576" t="s">
        <v>11750</v>
      </c>
      <c r="C2576">
        <v>-0.69</v>
      </c>
      <c r="D2576">
        <v>4.32</v>
      </c>
      <c r="E2576">
        <v>-0.03</v>
      </c>
      <c r="F2576">
        <v>4.3099999999999996</v>
      </c>
      <c r="G2576">
        <v>4.32</v>
      </c>
      <c r="H2576">
        <v>146185</v>
      </c>
      <c r="I2576">
        <v>1084</v>
      </c>
      <c r="J2576">
        <v>-0.22</v>
      </c>
      <c r="K2576">
        <v>2.8</v>
      </c>
      <c r="L2576">
        <v>4.3600000000000003</v>
      </c>
      <c r="M2576">
        <v>4.46</v>
      </c>
      <c r="N2576">
        <v>4.3099999999999996</v>
      </c>
      <c r="O2576">
        <v>4.3499999999999996</v>
      </c>
      <c r="P2576">
        <v>129.66999999999999</v>
      </c>
      <c r="Q2576">
        <v>63945512</v>
      </c>
      <c r="R2576">
        <v>1.95</v>
      </c>
      <c r="S2576" t="s">
        <v>697</v>
      </c>
      <c r="T2576" t="s">
        <v>575</v>
      </c>
      <c r="U2576">
        <v>3.45</v>
      </c>
      <c r="V2576">
        <v>4.37</v>
      </c>
      <c r="W2576">
        <v>73668</v>
      </c>
      <c r="X2576">
        <v>72517</v>
      </c>
      <c r="Y2576">
        <v>1.02</v>
      </c>
      <c r="Z2576">
        <v>2065</v>
      </c>
      <c r="AA2576">
        <v>125</v>
      </c>
      <c r="AB2576" t="s">
        <v>116</v>
      </c>
      <c r="AC2576">
        <v>116800</v>
      </c>
      <c r="AD2576">
        <v>0.01</v>
      </c>
      <c r="AE2576" t="s">
        <v>116</v>
      </c>
      <c r="AF2576" t="s">
        <v>116</v>
      </c>
      <c r="AG2576">
        <v>5.22</v>
      </c>
      <c r="AH2576" t="s">
        <v>7977</v>
      </c>
      <c r="AI2576" t="s">
        <v>7977</v>
      </c>
      <c r="AJ2576">
        <v>-0.61</v>
      </c>
      <c r="AK2576">
        <v>1739</v>
      </c>
      <c r="AL2576">
        <v>84</v>
      </c>
      <c r="AM2576">
        <v>1.6000000000000001E-3</v>
      </c>
      <c r="AN2576">
        <v>-1</v>
      </c>
      <c r="AO2576">
        <v>2.13</v>
      </c>
      <c r="AP2576">
        <v>8</v>
      </c>
      <c r="AQ2576">
        <v>-6.7</v>
      </c>
      <c r="AR2576">
        <v>15.2</v>
      </c>
      <c r="AS2576">
        <v>3.76</v>
      </c>
      <c r="AT2576" t="s">
        <v>707</v>
      </c>
      <c r="AU2576" t="s">
        <v>116</v>
      </c>
      <c r="AV2576" t="s">
        <v>116</v>
      </c>
      <c r="AW2576">
        <v>1.5</v>
      </c>
      <c r="BA2576">
        <v>0.23</v>
      </c>
      <c r="BB2576">
        <v>2.5299999999999998</v>
      </c>
      <c r="BC2576">
        <v>-0.92</v>
      </c>
      <c r="BD2576">
        <v>0.56000000000000005</v>
      </c>
      <c r="BE2576">
        <v>-0.92</v>
      </c>
      <c r="BF2576">
        <v>-3.14</v>
      </c>
      <c r="BG2576">
        <v>0.23</v>
      </c>
      <c r="BH2576">
        <v>-1.25</v>
      </c>
      <c r="BI2576">
        <v>20191029</v>
      </c>
      <c r="BJ2576">
        <v>20040305</v>
      </c>
      <c r="BK2576">
        <v>5.22</v>
      </c>
      <c r="BL2576" t="s">
        <v>116</v>
      </c>
      <c r="BM2576" t="s">
        <v>116</v>
      </c>
      <c r="BN2576">
        <v>51.74</v>
      </c>
      <c r="BO2576">
        <v>14.5</v>
      </c>
      <c r="BP2576">
        <v>-0.69</v>
      </c>
      <c r="BQ2576">
        <v>73.319999999999993</v>
      </c>
      <c r="BR2576">
        <v>19.28</v>
      </c>
      <c r="BS2576">
        <v>24.47</v>
      </c>
      <c r="BT2576">
        <v>3.11</v>
      </c>
      <c r="BU2576">
        <v>31.43</v>
      </c>
      <c r="BV2576">
        <v>9.5399999999999991</v>
      </c>
      <c r="BW2576">
        <v>0.7</v>
      </c>
      <c r="BX2576">
        <v>12.63</v>
      </c>
      <c r="BY2576">
        <v>32.04</v>
      </c>
      <c r="BZ2576">
        <v>29.23</v>
      </c>
      <c r="CA2576">
        <v>-0.03</v>
      </c>
      <c r="CB2576">
        <v>7.66</v>
      </c>
      <c r="CC2576">
        <v>-0.02</v>
      </c>
      <c r="CD2576">
        <v>-0.02</v>
      </c>
      <c r="CE2576">
        <v>0.13</v>
      </c>
      <c r="CF2576">
        <v>-0.48</v>
      </c>
      <c r="CG2576">
        <v>-4.8499999999999996</v>
      </c>
      <c r="CH2576">
        <v>2.74</v>
      </c>
      <c r="CI2576">
        <v>-1.48</v>
      </c>
      <c r="CJ2576">
        <v>42355</v>
      </c>
      <c r="CK2576">
        <v>9175</v>
      </c>
      <c r="CL2576" t="s">
        <v>4451</v>
      </c>
      <c r="CM2576">
        <v>-66.34</v>
      </c>
      <c r="CN2576">
        <v>11.74</v>
      </c>
      <c r="CO2576">
        <v>1.55</v>
      </c>
      <c r="CP2576">
        <v>8.23</v>
      </c>
      <c r="CQ2576">
        <v>0.7</v>
      </c>
      <c r="CR2576">
        <v>0</v>
      </c>
      <c r="CS2576" t="s">
        <v>3644</v>
      </c>
      <c r="CT2576">
        <v>2.78</v>
      </c>
      <c r="CU2576">
        <v>0</v>
      </c>
      <c r="CV2576">
        <v>2.42</v>
      </c>
      <c r="CW2576">
        <v>-0.93</v>
      </c>
      <c r="CX2576">
        <v>0.52</v>
      </c>
      <c r="CY2576">
        <v>28.03</v>
      </c>
      <c r="CZ2576" t="s">
        <v>6889</v>
      </c>
      <c r="DA2576">
        <v>8.7899999999999991</v>
      </c>
      <c r="DB2576">
        <v>-0.1</v>
      </c>
      <c r="DC2576">
        <v>0.41</v>
      </c>
      <c r="DD2576">
        <v>0.47</v>
      </c>
      <c r="DE2576">
        <v>4261</v>
      </c>
      <c r="DF2576">
        <v>600470</v>
      </c>
      <c r="DG2576" t="s">
        <v>116</v>
      </c>
      <c r="DH2576" t="s">
        <v>116</v>
      </c>
      <c r="DI2576" t="s">
        <v>116</v>
      </c>
    </row>
    <row r="2577" spans="1:113" x14ac:dyDescent="0.4">
      <c r="A2577" t="str">
        <f>"600475"</f>
        <v>600475</v>
      </c>
      <c r="B2577" t="s">
        <v>11751</v>
      </c>
      <c r="C2577">
        <v>-0.91</v>
      </c>
      <c r="D2577">
        <v>9.8000000000000007</v>
      </c>
      <c r="E2577">
        <v>-0.09</v>
      </c>
      <c r="F2577">
        <v>9.7899999999999991</v>
      </c>
      <c r="G2577">
        <v>9.8000000000000007</v>
      </c>
      <c r="H2577">
        <v>13966</v>
      </c>
      <c r="I2577">
        <v>162</v>
      </c>
      <c r="J2577">
        <v>-0.09</v>
      </c>
      <c r="K2577">
        <v>0.99</v>
      </c>
      <c r="L2577">
        <v>9.9</v>
      </c>
      <c r="M2577">
        <v>9.92</v>
      </c>
      <c r="N2577">
        <v>9.7899999999999991</v>
      </c>
      <c r="O2577">
        <v>9.89</v>
      </c>
      <c r="P2577">
        <v>12.2</v>
      </c>
      <c r="Q2577">
        <v>13779677</v>
      </c>
      <c r="R2577">
        <v>1.29</v>
      </c>
      <c r="S2577" t="s">
        <v>682</v>
      </c>
      <c r="T2577" t="s">
        <v>323</v>
      </c>
      <c r="U2577">
        <v>1.31</v>
      </c>
      <c r="V2577">
        <v>9.8699999999999992</v>
      </c>
      <c r="W2577">
        <v>8788</v>
      </c>
      <c r="X2577">
        <v>5178</v>
      </c>
      <c r="Y2577">
        <v>1.7</v>
      </c>
      <c r="Z2577">
        <v>116</v>
      </c>
      <c r="AA2577">
        <v>226</v>
      </c>
      <c r="AB2577" t="s">
        <v>116</v>
      </c>
      <c r="AC2577">
        <v>7900</v>
      </c>
      <c r="AD2577">
        <v>0</v>
      </c>
      <c r="AE2577" t="s">
        <v>116</v>
      </c>
      <c r="AF2577" t="s">
        <v>116</v>
      </c>
      <c r="AG2577">
        <v>1.4</v>
      </c>
      <c r="AH2577" t="s">
        <v>11752</v>
      </c>
      <c r="AI2577" t="s">
        <v>11753</v>
      </c>
      <c r="AJ2577">
        <v>-0.83</v>
      </c>
      <c r="AK2577">
        <v>640</v>
      </c>
      <c r="AL2577">
        <v>22</v>
      </c>
      <c r="AM2577">
        <v>1.6000000000000001E-3</v>
      </c>
      <c r="AN2577">
        <v>-1</v>
      </c>
      <c r="AO2577">
        <v>-0.5</v>
      </c>
      <c r="AP2577">
        <v>3.05</v>
      </c>
      <c r="AQ2577">
        <v>-4.1100000000000003</v>
      </c>
      <c r="AR2577">
        <v>22.96</v>
      </c>
      <c r="AS2577">
        <v>0.99</v>
      </c>
      <c r="AT2577" t="s">
        <v>11752</v>
      </c>
      <c r="AU2577">
        <v>12.76</v>
      </c>
      <c r="AV2577">
        <v>13.07</v>
      </c>
      <c r="AW2577">
        <v>1.06</v>
      </c>
      <c r="BA2577">
        <v>0.1</v>
      </c>
      <c r="BB2577">
        <v>0.3</v>
      </c>
      <c r="BC2577">
        <v>-1.01</v>
      </c>
      <c r="BD2577">
        <v>-0.24</v>
      </c>
      <c r="BE2577">
        <v>-1.01</v>
      </c>
      <c r="BF2577">
        <v>-1.21</v>
      </c>
      <c r="BG2577">
        <v>0.1</v>
      </c>
      <c r="BH2577">
        <v>-0.67</v>
      </c>
      <c r="BI2577">
        <v>20191029</v>
      </c>
      <c r="BJ2577">
        <v>20030721</v>
      </c>
      <c r="BK2577">
        <v>5.59</v>
      </c>
      <c r="BL2577" t="s">
        <v>116</v>
      </c>
      <c r="BM2577" t="s">
        <v>116</v>
      </c>
      <c r="BN2577">
        <v>121.39</v>
      </c>
      <c r="BO2577">
        <v>49.82</v>
      </c>
      <c r="BP2577">
        <v>5.64</v>
      </c>
      <c r="BQ2577">
        <v>54.31</v>
      </c>
      <c r="BR2577">
        <v>68.77</v>
      </c>
      <c r="BS2577">
        <v>17.88</v>
      </c>
      <c r="BT2577">
        <v>6.05</v>
      </c>
      <c r="BU2577">
        <v>58.55</v>
      </c>
      <c r="BV2577">
        <v>11.94</v>
      </c>
      <c r="BW2577">
        <v>25.52</v>
      </c>
      <c r="BX2577">
        <v>1.94</v>
      </c>
      <c r="BY2577">
        <v>47.86</v>
      </c>
      <c r="BZ2577">
        <v>40.35</v>
      </c>
      <c r="CA2577">
        <v>4.37</v>
      </c>
      <c r="CB2577">
        <v>2.23</v>
      </c>
      <c r="CC2577">
        <v>4.42</v>
      </c>
      <c r="CD2577">
        <v>3.85</v>
      </c>
      <c r="CE2577">
        <v>3.37</v>
      </c>
      <c r="CF2577">
        <v>3.13</v>
      </c>
      <c r="CG2577">
        <v>39.92</v>
      </c>
      <c r="CH2577">
        <v>4.66</v>
      </c>
      <c r="CI2577">
        <v>4.55</v>
      </c>
      <c r="CJ2577">
        <v>19398</v>
      </c>
      <c r="CK2577">
        <v>7243</v>
      </c>
      <c r="CL2577" t="s">
        <v>11754</v>
      </c>
      <c r="CM2577">
        <v>3.18</v>
      </c>
      <c r="CN2577">
        <v>-9.58</v>
      </c>
      <c r="CO2577">
        <v>1.1000000000000001</v>
      </c>
      <c r="CP2577">
        <v>11.77</v>
      </c>
      <c r="CQ2577">
        <v>1.1499999999999999</v>
      </c>
      <c r="CR2577">
        <v>2.35</v>
      </c>
      <c r="CS2577" t="s">
        <v>3346</v>
      </c>
      <c r="CT2577">
        <v>8.91</v>
      </c>
      <c r="CU2577">
        <v>0</v>
      </c>
      <c r="CV2577">
        <v>0.35</v>
      </c>
      <c r="CW2577">
        <v>7.14</v>
      </c>
      <c r="CX2577">
        <v>0.83</v>
      </c>
      <c r="CY2577">
        <v>41.05</v>
      </c>
      <c r="CZ2577" t="s">
        <v>11755</v>
      </c>
      <c r="DA2577">
        <v>15.68</v>
      </c>
      <c r="DB2577">
        <v>9.1300000000000008</v>
      </c>
      <c r="DC2577">
        <v>7.04</v>
      </c>
      <c r="DD2577">
        <v>1.3</v>
      </c>
      <c r="DE2577">
        <v>3261</v>
      </c>
      <c r="DF2577">
        <v>600475</v>
      </c>
      <c r="DG2577" t="s">
        <v>116</v>
      </c>
      <c r="DH2577" t="s">
        <v>116</v>
      </c>
      <c r="DI2577" t="s">
        <v>116</v>
      </c>
    </row>
    <row r="2578" spans="1:113" x14ac:dyDescent="0.4">
      <c r="A2578" t="str">
        <f>"600476"</f>
        <v>600476</v>
      </c>
      <c r="B2578" t="s">
        <v>11756</v>
      </c>
      <c r="C2578">
        <v>-1.01</v>
      </c>
      <c r="D2578">
        <v>14.7</v>
      </c>
      <c r="E2578">
        <v>-0.15</v>
      </c>
      <c r="F2578">
        <v>14.68</v>
      </c>
      <c r="G2578">
        <v>14.7</v>
      </c>
      <c r="H2578">
        <v>25016</v>
      </c>
      <c r="I2578">
        <v>362</v>
      </c>
      <c r="J2578">
        <v>0.14000000000000001</v>
      </c>
      <c r="K2578">
        <v>1.55</v>
      </c>
      <c r="L2578">
        <v>14.85</v>
      </c>
      <c r="M2578">
        <v>15.04</v>
      </c>
      <c r="N2578">
        <v>14.65</v>
      </c>
      <c r="O2578">
        <v>14.85</v>
      </c>
      <c r="P2578" t="s">
        <v>116</v>
      </c>
      <c r="Q2578">
        <v>37131356</v>
      </c>
      <c r="R2578">
        <v>0.95</v>
      </c>
      <c r="S2578" t="s">
        <v>607</v>
      </c>
      <c r="T2578" t="s">
        <v>599</v>
      </c>
      <c r="U2578">
        <v>2.63</v>
      </c>
      <c r="V2578">
        <v>14.84</v>
      </c>
      <c r="W2578">
        <v>12189</v>
      </c>
      <c r="X2578">
        <v>12827</v>
      </c>
      <c r="Y2578">
        <v>0.95</v>
      </c>
      <c r="Z2578">
        <v>27</v>
      </c>
      <c r="AA2578">
        <v>98</v>
      </c>
      <c r="AB2578" t="s">
        <v>116</v>
      </c>
      <c r="AC2578">
        <v>105400</v>
      </c>
      <c r="AD2578">
        <v>0.01</v>
      </c>
      <c r="AE2578" t="s">
        <v>116</v>
      </c>
      <c r="AF2578" t="s">
        <v>116</v>
      </c>
      <c r="AG2578">
        <v>1.61</v>
      </c>
      <c r="AH2578" t="s">
        <v>11757</v>
      </c>
      <c r="AI2578" t="s">
        <v>11757</v>
      </c>
      <c r="AJ2578">
        <v>-0.93</v>
      </c>
      <c r="AK2578">
        <v>1634</v>
      </c>
      <c r="AL2578">
        <v>15</v>
      </c>
      <c r="AM2578">
        <v>1E-3</v>
      </c>
      <c r="AN2578">
        <v>-1</v>
      </c>
      <c r="AO2578">
        <v>2.5</v>
      </c>
      <c r="AP2578">
        <v>5.3</v>
      </c>
      <c r="AQ2578">
        <v>-8.8699999999999992</v>
      </c>
      <c r="AR2578">
        <v>23.84</v>
      </c>
      <c r="AS2578">
        <v>2.56</v>
      </c>
      <c r="AT2578" t="s">
        <v>8836</v>
      </c>
      <c r="AU2578" t="s">
        <v>116</v>
      </c>
      <c r="AV2578">
        <v>1448.47</v>
      </c>
      <c r="AW2578">
        <v>1.35</v>
      </c>
      <c r="BA2578">
        <v>0</v>
      </c>
      <c r="BB2578">
        <v>1.28</v>
      </c>
      <c r="BC2578">
        <v>-1.35</v>
      </c>
      <c r="BD2578">
        <v>-0.05</v>
      </c>
      <c r="BE2578">
        <v>-1.01</v>
      </c>
      <c r="BF2578">
        <v>-2.2599999999999998</v>
      </c>
      <c r="BG2578">
        <v>0.34</v>
      </c>
      <c r="BH2578">
        <v>-0.96</v>
      </c>
      <c r="BI2578">
        <v>20191026</v>
      </c>
      <c r="BJ2578">
        <v>20031210</v>
      </c>
      <c r="BK2578">
        <v>1.61</v>
      </c>
      <c r="BL2578" t="s">
        <v>116</v>
      </c>
      <c r="BM2578" t="s">
        <v>116</v>
      </c>
      <c r="BN2578">
        <v>4.68</v>
      </c>
      <c r="BO2578">
        <v>2.08</v>
      </c>
      <c r="BP2578">
        <v>0</v>
      </c>
      <c r="BQ2578">
        <v>55.61</v>
      </c>
      <c r="BR2578">
        <v>3.92</v>
      </c>
      <c r="BS2578">
        <v>0.36</v>
      </c>
      <c r="BT2578">
        <v>0.02</v>
      </c>
      <c r="BU2578">
        <v>2.4</v>
      </c>
      <c r="BV2578">
        <v>0.91</v>
      </c>
      <c r="BW2578">
        <v>1.46</v>
      </c>
      <c r="BX2578">
        <v>1.36</v>
      </c>
      <c r="BY2578">
        <v>2.2400000000000002</v>
      </c>
      <c r="BZ2578">
        <v>2.16</v>
      </c>
      <c r="CA2578">
        <v>-0.23</v>
      </c>
      <c r="CB2578">
        <v>0.01</v>
      </c>
      <c r="CC2578">
        <v>-0.24</v>
      </c>
      <c r="CD2578">
        <v>-0.24</v>
      </c>
      <c r="CE2578">
        <v>-0.24</v>
      </c>
      <c r="CF2578">
        <v>-0.26</v>
      </c>
      <c r="CG2578">
        <v>-1.32</v>
      </c>
      <c r="CH2578">
        <v>-0.18</v>
      </c>
      <c r="CI2578">
        <v>-0.35</v>
      </c>
      <c r="CJ2578">
        <v>29299</v>
      </c>
      <c r="CK2578">
        <v>3335</v>
      </c>
      <c r="CL2578" t="s">
        <v>867</v>
      </c>
      <c r="CM2578">
        <v>-118.63</v>
      </c>
      <c r="CN2578">
        <v>31.55</v>
      </c>
      <c r="CO2578">
        <v>11.39</v>
      </c>
      <c r="CP2578">
        <v>-129.88999999999999</v>
      </c>
      <c r="CQ2578">
        <v>10.56</v>
      </c>
      <c r="CR2578">
        <v>0</v>
      </c>
      <c r="CS2578" t="s">
        <v>11758</v>
      </c>
      <c r="CT2578">
        <v>1.29</v>
      </c>
      <c r="CU2578">
        <v>0</v>
      </c>
      <c r="CV2578">
        <v>0.84</v>
      </c>
      <c r="CW2578">
        <v>-0.82</v>
      </c>
      <c r="CX2578">
        <v>-0.11</v>
      </c>
      <c r="CY2578">
        <v>44.39</v>
      </c>
      <c r="CZ2578" t="s">
        <v>11759</v>
      </c>
      <c r="DA2578">
        <v>3.53</v>
      </c>
      <c r="DB2578">
        <v>-10.38</v>
      </c>
      <c r="DC2578">
        <v>-10.62</v>
      </c>
      <c r="DD2578">
        <v>0.02</v>
      </c>
      <c r="DE2578">
        <v>387</v>
      </c>
      <c r="DF2578">
        <v>600476</v>
      </c>
      <c r="DG2578" t="s">
        <v>116</v>
      </c>
      <c r="DH2578" t="s">
        <v>116</v>
      </c>
      <c r="DI2578" t="s">
        <v>116</v>
      </c>
    </row>
    <row r="2579" spans="1:113" x14ac:dyDescent="0.4">
      <c r="A2579" t="str">
        <f>"600477"</f>
        <v>600477</v>
      </c>
      <c r="B2579" t="s">
        <v>11760</v>
      </c>
      <c r="C2579">
        <v>-0.36</v>
      </c>
      <c r="D2579">
        <v>2.79</v>
      </c>
      <c r="E2579">
        <v>-0.01</v>
      </c>
      <c r="F2579">
        <v>2.79</v>
      </c>
      <c r="G2579">
        <v>2.8</v>
      </c>
      <c r="H2579">
        <v>63714</v>
      </c>
      <c r="I2579">
        <v>1081</v>
      </c>
      <c r="J2579">
        <v>-0.35</v>
      </c>
      <c r="K2579">
        <v>0.3</v>
      </c>
      <c r="L2579">
        <v>2.81</v>
      </c>
      <c r="M2579">
        <v>2.83</v>
      </c>
      <c r="N2579">
        <v>2.79</v>
      </c>
      <c r="O2579">
        <v>2.8</v>
      </c>
      <c r="P2579">
        <v>14.94</v>
      </c>
      <c r="Q2579">
        <v>17940758</v>
      </c>
      <c r="R2579">
        <v>0.89</v>
      </c>
      <c r="S2579" t="s">
        <v>2118</v>
      </c>
      <c r="T2579" t="s">
        <v>590</v>
      </c>
      <c r="U2579">
        <v>1.43</v>
      </c>
      <c r="V2579">
        <v>2.82</v>
      </c>
      <c r="W2579">
        <v>29872</v>
      </c>
      <c r="X2579">
        <v>33842</v>
      </c>
      <c r="Y2579">
        <v>0.88</v>
      </c>
      <c r="Z2579">
        <v>2460</v>
      </c>
      <c r="AA2579">
        <v>611</v>
      </c>
      <c r="AB2579" t="s">
        <v>116</v>
      </c>
      <c r="AC2579">
        <v>95800</v>
      </c>
      <c r="AD2579">
        <v>0</v>
      </c>
      <c r="AE2579" t="s">
        <v>116</v>
      </c>
      <c r="AF2579" t="s">
        <v>116</v>
      </c>
      <c r="AG2579">
        <v>21.54</v>
      </c>
      <c r="AH2579" t="s">
        <v>11761</v>
      </c>
      <c r="AI2579" t="s">
        <v>1620</v>
      </c>
      <c r="AJ2579">
        <v>-0.28000000000000003</v>
      </c>
      <c r="AK2579">
        <v>1098</v>
      </c>
      <c r="AL2579">
        <v>58</v>
      </c>
      <c r="AM2579">
        <v>2.9999999999999997E-4</v>
      </c>
      <c r="AN2579">
        <v>-1</v>
      </c>
      <c r="AO2579">
        <v>-0.72</v>
      </c>
      <c r="AP2579">
        <v>4.0999999999999996</v>
      </c>
      <c r="AQ2579">
        <v>-1.76</v>
      </c>
      <c r="AR2579">
        <v>-4.34</v>
      </c>
      <c r="AS2579">
        <v>0.52</v>
      </c>
      <c r="AT2579" t="s">
        <v>8292</v>
      </c>
      <c r="AU2579">
        <v>13.61</v>
      </c>
      <c r="AV2579">
        <v>10.58</v>
      </c>
      <c r="AW2579">
        <v>1.1000000000000001</v>
      </c>
      <c r="BA2579">
        <v>0.36</v>
      </c>
      <c r="BB2579">
        <v>1.07</v>
      </c>
      <c r="BC2579">
        <v>-0.36</v>
      </c>
      <c r="BD2579">
        <v>0.56999999999999995</v>
      </c>
      <c r="BE2579">
        <v>-0.71</v>
      </c>
      <c r="BF2579">
        <v>-1.41</v>
      </c>
      <c r="BG2579">
        <v>0</v>
      </c>
      <c r="BH2579">
        <v>-0.92</v>
      </c>
      <c r="BI2579">
        <v>20191031</v>
      </c>
      <c r="BJ2579">
        <v>20031110</v>
      </c>
      <c r="BK2579">
        <v>21.54</v>
      </c>
      <c r="BL2579" t="s">
        <v>116</v>
      </c>
      <c r="BM2579" t="s">
        <v>116</v>
      </c>
      <c r="BN2579">
        <v>85.63</v>
      </c>
      <c r="BO2579">
        <v>33.46</v>
      </c>
      <c r="BP2579">
        <v>1.73</v>
      </c>
      <c r="BQ2579">
        <v>58.91</v>
      </c>
      <c r="BR2579">
        <v>59.31</v>
      </c>
      <c r="BS2579">
        <v>11.35</v>
      </c>
      <c r="BT2579">
        <v>1.46</v>
      </c>
      <c r="BU2579">
        <v>50.24</v>
      </c>
      <c r="BV2579">
        <v>32.58</v>
      </c>
      <c r="BW2579">
        <v>13.08</v>
      </c>
      <c r="BX2579">
        <v>1.1299999999999999</v>
      </c>
      <c r="BY2579">
        <v>45.1</v>
      </c>
      <c r="BZ2579">
        <v>36.71</v>
      </c>
      <c r="CA2579">
        <v>3.58</v>
      </c>
      <c r="CB2579">
        <v>-0.01</v>
      </c>
      <c r="CC2579">
        <v>3.58</v>
      </c>
      <c r="CD2579">
        <v>3.11</v>
      </c>
      <c r="CE2579">
        <v>3.02</v>
      </c>
      <c r="CF2579">
        <v>2.78</v>
      </c>
      <c r="CG2579">
        <v>8.09</v>
      </c>
      <c r="CH2579">
        <v>3.38</v>
      </c>
      <c r="CI2579">
        <v>0.15</v>
      </c>
      <c r="CJ2579">
        <v>75157</v>
      </c>
      <c r="CK2579">
        <v>16419</v>
      </c>
      <c r="CL2579" t="s">
        <v>11762</v>
      </c>
      <c r="CM2579">
        <v>-29.53</v>
      </c>
      <c r="CN2579">
        <v>8.94</v>
      </c>
      <c r="CO2579">
        <v>1.8</v>
      </c>
      <c r="CP2579">
        <v>17.78</v>
      </c>
      <c r="CQ2579">
        <v>1.33</v>
      </c>
      <c r="CR2579">
        <v>2.98</v>
      </c>
      <c r="CS2579" t="s">
        <v>358</v>
      </c>
      <c r="CT2579">
        <v>1.55</v>
      </c>
      <c r="CU2579">
        <v>0</v>
      </c>
      <c r="CV2579">
        <v>0.05</v>
      </c>
      <c r="CW2579">
        <v>0.38</v>
      </c>
      <c r="CX2579">
        <v>0.16</v>
      </c>
      <c r="CY2579">
        <v>39.07</v>
      </c>
      <c r="CZ2579" t="s">
        <v>11763</v>
      </c>
      <c r="DA2579">
        <v>18.600000000000001</v>
      </c>
      <c r="DB2579">
        <v>7.95</v>
      </c>
      <c r="DC2579">
        <v>6.69</v>
      </c>
      <c r="DD2579">
        <v>1.56</v>
      </c>
      <c r="DE2579">
        <v>4759</v>
      </c>
      <c r="DF2579">
        <v>600477</v>
      </c>
      <c r="DG2579" t="s">
        <v>116</v>
      </c>
      <c r="DH2579" t="s">
        <v>116</v>
      </c>
      <c r="DI2579" t="s">
        <v>116</v>
      </c>
    </row>
    <row r="2580" spans="1:113" x14ac:dyDescent="0.4">
      <c r="A2580" t="str">
        <f>"600478"</f>
        <v>600478</v>
      </c>
      <c r="B2580" t="s">
        <v>11764</v>
      </c>
      <c r="C2580">
        <v>0.7</v>
      </c>
      <c r="D2580">
        <v>4.32</v>
      </c>
      <c r="E2580">
        <v>0.03</v>
      </c>
      <c r="F2580">
        <v>4.32</v>
      </c>
      <c r="G2580">
        <v>4.33</v>
      </c>
      <c r="H2580">
        <v>227758</v>
      </c>
      <c r="I2580">
        <v>2407</v>
      </c>
      <c r="J2580">
        <v>-0.22</v>
      </c>
      <c r="K2580">
        <v>1.55</v>
      </c>
      <c r="L2580">
        <v>4.33</v>
      </c>
      <c r="M2580">
        <v>4.4400000000000004</v>
      </c>
      <c r="N2580">
        <v>4.3</v>
      </c>
      <c r="O2580">
        <v>4.29</v>
      </c>
      <c r="P2580" t="s">
        <v>116</v>
      </c>
      <c r="Q2580">
        <v>99169080</v>
      </c>
      <c r="R2580">
        <v>1.01</v>
      </c>
      <c r="S2580" t="s">
        <v>233</v>
      </c>
      <c r="T2580" t="s">
        <v>599</v>
      </c>
      <c r="U2580">
        <v>3.26</v>
      </c>
      <c r="V2580">
        <v>4.3499999999999996</v>
      </c>
      <c r="W2580">
        <v>126486</v>
      </c>
      <c r="X2580">
        <v>101272</v>
      </c>
      <c r="Y2580">
        <v>1.25</v>
      </c>
      <c r="Z2580">
        <v>395</v>
      </c>
      <c r="AA2580">
        <v>80</v>
      </c>
      <c r="AB2580" t="s">
        <v>116</v>
      </c>
      <c r="AC2580">
        <v>403600</v>
      </c>
      <c r="AD2580">
        <v>0.01</v>
      </c>
      <c r="AE2580" t="s">
        <v>116</v>
      </c>
      <c r="AF2580" t="s">
        <v>116</v>
      </c>
      <c r="AG2580">
        <v>14.7</v>
      </c>
      <c r="AH2580" t="s">
        <v>11765</v>
      </c>
      <c r="AI2580" t="s">
        <v>11766</v>
      </c>
      <c r="AJ2580">
        <v>0.78</v>
      </c>
      <c r="AK2580">
        <v>2412</v>
      </c>
      <c r="AL2580">
        <v>94</v>
      </c>
      <c r="AM2580">
        <v>5.9999999999999995E-4</v>
      </c>
      <c r="AN2580">
        <v>1</v>
      </c>
      <c r="AO2580">
        <v>-1.36</v>
      </c>
      <c r="AP2580">
        <v>12.5</v>
      </c>
      <c r="AQ2580">
        <v>5.62</v>
      </c>
      <c r="AR2580">
        <v>10.77</v>
      </c>
      <c r="AS2580">
        <v>2.0699999999999998</v>
      </c>
      <c r="AT2580" t="s">
        <v>7849</v>
      </c>
      <c r="AU2580" t="s">
        <v>116</v>
      </c>
      <c r="AV2580">
        <v>328.82</v>
      </c>
      <c r="AW2580">
        <v>1.21</v>
      </c>
      <c r="BA2580">
        <v>0.93</v>
      </c>
      <c r="BB2580">
        <v>3.5</v>
      </c>
      <c r="BC2580">
        <v>0.23</v>
      </c>
      <c r="BD2580">
        <v>1.5</v>
      </c>
      <c r="BE2580">
        <v>-0.23</v>
      </c>
      <c r="BF2580">
        <v>-2.7</v>
      </c>
      <c r="BG2580">
        <v>0.47</v>
      </c>
      <c r="BH2580">
        <v>-0.8</v>
      </c>
      <c r="BI2580">
        <v>20191029</v>
      </c>
      <c r="BJ2580">
        <v>20030918</v>
      </c>
      <c r="BK2580">
        <v>16.53</v>
      </c>
      <c r="BL2580" t="s">
        <v>116</v>
      </c>
      <c r="BM2580" t="s">
        <v>116</v>
      </c>
      <c r="BN2580">
        <v>64.17</v>
      </c>
      <c r="BO2580">
        <v>26.74</v>
      </c>
      <c r="BP2580">
        <v>5.24</v>
      </c>
      <c r="BQ2580">
        <v>50.17</v>
      </c>
      <c r="BR2580">
        <v>19.760000000000002</v>
      </c>
      <c r="BS2580">
        <v>16.559999999999999</v>
      </c>
      <c r="BT2580">
        <v>11.98</v>
      </c>
      <c r="BU2580">
        <v>16</v>
      </c>
      <c r="BV2580">
        <v>3.37</v>
      </c>
      <c r="BW2580">
        <v>4.8600000000000003</v>
      </c>
      <c r="BX2580">
        <v>14.05</v>
      </c>
      <c r="BY2580">
        <v>13.76</v>
      </c>
      <c r="BZ2580">
        <v>12.3</v>
      </c>
      <c r="CA2580">
        <v>-2.31</v>
      </c>
      <c r="CB2580">
        <v>0.38</v>
      </c>
      <c r="CC2580">
        <v>-2.29</v>
      </c>
      <c r="CD2580">
        <v>-2.34</v>
      </c>
      <c r="CE2580">
        <v>-1.97</v>
      </c>
      <c r="CF2580">
        <v>-2.06</v>
      </c>
      <c r="CG2580">
        <v>-3.55</v>
      </c>
      <c r="CH2580">
        <v>-0.24</v>
      </c>
      <c r="CI2580">
        <v>-3.29</v>
      </c>
      <c r="CJ2580">
        <v>60248</v>
      </c>
      <c r="CK2580">
        <v>18264</v>
      </c>
      <c r="CL2580" t="s">
        <v>2806</v>
      </c>
      <c r="CM2580">
        <v>-5479.74</v>
      </c>
      <c r="CN2580">
        <v>9.32</v>
      </c>
      <c r="CO2580">
        <v>2.67</v>
      </c>
      <c r="CP2580">
        <v>-296.25</v>
      </c>
      <c r="CQ2580">
        <v>5.19</v>
      </c>
      <c r="CR2580">
        <v>0</v>
      </c>
      <c r="CS2580" t="s">
        <v>11767</v>
      </c>
      <c r="CT2580">
        <v>1.62</v>
      </c>
      <c r="CU2580">
        <v>0</v>
      </c>
      <c r="CV2580">
        <v>0.85</v>
      </c>
      <c r="CW2580">
        <v>-0.21</v>
      </c>
      <c r="CX2580">
        <v>-0.01</v>
      </c>
      <c r="CY2580">
        <v>41.67</v>
      </c>
      <c r="CZ2580" t="s">
        <v>11768</v>
      </c>
      <c r="DA2580">
        <v>10.59</v>
      </c>
      <c r="DB2580">
        <v>-16.82</v>
      </c>
      <c r="DC2580">
        <v>-14.29</v>
      </c>
      <c r="DD2580">
        <v>0.98</v>
      </c>
      <c r="DE2580">
        <v>3068</v>
      </c>
      <c r="DF2580">
        <v>600478</v>
      </c>
      <c r="DG2580" t="s">
        <v>116</v>
      </c>
      <c r="DH2580" t="s">
        <v>116</v>
      </c>
      <c r="DI2580" t="s">
        <v>116</v>
      </c>
    </row>
    <row r="2581" spans="1:113" x14ac:dyDescent="0.4">
      <c r="A2581" t="str">
        <f>"600479"</f>
        <v>600479</v>
      </c>
      <c r="B2581" t="s">
        <v>11769</v>
      </c>
      <c r="C2581">
        <v>0.23</v>
      </c>
      <c r="D2581">
        <v>8.66</v>
      </c>
      <c r="E2581">
        <v>0.02</v>
      </c>
      <c r="F2581">
        <v>8.65</v>
      </c>
      <c r="G2581">
        <v>8.66</v>
      </c>
      <c r="H2581">
        <v>37639</v>
      </c>
      <c r="I2581">
        <v>97</v>
      </c>
      <c r="J2581">
        <v>0</v>
      </c>
      <c r="K2581">
        <v>0.9</v>
      </c>
      <c r="L2581">
        <v>8.65</v>
      </c>
      <c r="M2581">
        <v>8.7200000000000006</v>
      </c>
      <c r="N2581">
        <v>8.6199999999999992</v>
      </c>
      <c r="O2581">
        <v>8.64</v>
      </c>
      <c r="P2581">
        <v>16.920000000000002</v>
      </c>
      <c r="Q2581">
        <v>32653476</v>
      </c>
      <c r="R2581">
        <v>1.1399999999999999</v>
      </c>
      <c r="S2581" t="s">
        <v>781</v>
      </c>
      <c r="T2581" t="s">
        <v>599</v>
      </c>
      <c r="U2581">
        <v>1.1599999999999999</v>
      </c>
      <c r="V2581">
        <v>8.68</v>
      </c>
      <c r="W2581">
        <v>17045</v>
      </c>
      <c r="X2581">
        <v>20594</v>
      </c>
      <c r="Y2581">
        <v>0.83</v>
      </c>
      <c r="Z2581">
        <v>974</v>
      </c>
      <c r="AA2581">
        <v>4</v>
      </c>
      <c r="AB2581" t="s">
        <v>116</v>
      </c>
      <c r="AC2581">
        <v>91700</v>
      </c>
      <c r="AD2581">
        <v>0</v>
      </c>
      <c r="AE2581" t="s">
        <v>116</v>
      </c>
      <c r="AF2581" t="s">
        <v>116</v>
      </c>
      <c r="AG2581">
        <v>4.1900000000000004</v>
      </c>
      <c r="AH2581" t="s">
        <v>11770</v>
      </c>
      <c r="AI2581" t="s">
        <v>11770</v>
      </c>
      <c r="AJ2581">
        <v>0.31</v>
      </c>
      <c r="AK2581">
        <v>1328</v>
      </c>
      <c r="AL2581">
        <v>28</v>
      </c>
      <c r="AM2581">
        <v>6.9999999999999999E-4</v>
      </c>
      <c r="AN2581">
        <v>1</v>
      </c>
      <c r="AO2581">
        <v>0.12</v>
      </c>
      <c r="AP2581">
        <v>2</v>
      </c>
      <c r="AQ2581">
        <v>-3.99</v>
      </c>
      <c r="AR2581">
        <v>17.66</v>
      </c>
      <c r="AS2581">
        <v>1.26</v>
      </c>
      <c r="AT2581" t="s">
        <v>11771</v>
      </c>
      <c r="AU2581">
        <v>13.06</v>
      </c>
      <c r="AV2581">
        <v>14.19</v>
      </c>
      <c r="AW2581">
        <v>1.02</v>
      </c>
      <c r="BA2581">
        <v>0.12</v>
      </c>
      <c r="BB2581">
        <v>0.93</v>
      </c>
      <c r="BC2581">
        <v>-0.23</v>
      </c>
      <c r="BD2581">
        <v>0.41</v>
      </c>
      <c r="BE2581">
        <v>0.12</v>
      </c>
      <c r="BF2581">
        <v>-0.69</v>
      </c>
      <c r="BG2581">
        <v>0.46</v>
      </c>
      <c r="BH2581">
        <v>-0.18</v>
      </c>
      <c r="BI2581">
        <v>20191225</v>
      </c>
      <c r="BJ2581">
        <v>20040312</v>
      </c>
      <c r="BK2581">
        <v>4.1900000000000004</v>
      </c>
      <c r="BL2581" t="s">
        <v>116</v>
      </c>
      <c r="BM2581" t="s">
        <v>116</v>
      </c>
      <c r="BN2581">
        <v>37.159999999999997</v>
      </c>
      <c r="BO2581">
        <v>20.440000000000001</v>
      </c>
      <c r="BP2581">
        <v>4.18</v>
      </c>
      <c r="BQ2581">
        <v>33.74</v>
      </c>
      <c r="BR2581">
        <v>28.27</v>
      </c>
      <c r="BS2581">
        <v>4.7300000000000004</v>
      </c>
      <c r="BT2581">
        <v>2.27</v>
      </c>
      <c r="BU2581">
        <v>11.75</v>
      </c>
      <c r="BV2581">
        <v>4.49</v>
      </c>
      <c r="BW2581">
        <v>3.51</v>
      </c>
      <c r="BX2581">
        <v>5.85</v>
      </c>
      <c r="BY2581">
        <v>26.11</v>
      </c>
      <c r="BZ2581">
        <v>14.4</v>
      </c>
      <c r="CA2581">
        <v>2.4</v>
      </c>
      <c r="CB2581">
        <v>0.16</v>
      </c>
      <c r="CC2581">
        <v>2.39</v>
      </c>
      <c r="CD2581">
        <v>1.85</v>
      </c>
      <c r="CE2581">
        <v>1.61</v>
      </c>
      <c r="CF2581">
        <v>1.6</v>
      </c>
      <c r="CG2581">
        <v>8.4</v>
      </c>
      <c r="CH2581">
        <v>3.7</v>
      </c>
      <c r="CI2581">
        <v>3.61</v>
      </c>
      <c r="CJ2581">
        <v>32549</v>
      </c>
      <c r="CK2581">
        <v>9190</v>
      </c>
      <c r="CL2581" t="s">
        <v>6791</v>
      </c>
      <c r="CM2581">
        <v>16.010000000000002</v>
      </c>
      <c r="CN2581">
        <v>13.97</v>
      </c>
      <c r="CO2581">
        <v>1.77</v>
      </c>
      <c r="CP2581">
        <v>9.7899999999999991</v>
      </c>
      <c r="CQ2581">
        <v>1.39</v>
      </c>
      <c r="CR2581">
        <v>4.62</v>
      </c>
      <c r="CS2581" t="s">
        <v>2050</v>
      </c>
      <c r="CT2581">
        <v>4.88</v>
      </c>
      <c r="CU2581">
        <v>0</v>
      </c>
      <c r="CV2581">
        <v>1.4</v>
      </c>
      <c r="CW2581">
        <v>2.0099999999999998</v>
      </c>
      <c r="CX2581">
        <v>0.88</v>
      </c>
      <c r="CY2581">
        <v>55.01</v>
      </c>
      <c r="CZ2581" t="s">
        <v>11772</v>
      </c>
      <c r="DA2581">
        <v>44.83</v>
      </c>
      <c r="DB2581">
        <v>9.19</v>
      </c>
      <c r="DC2581">
        <v>6.15</v>
      </c>
      <c r="DD2581">
        <v>0.63</v>
      </c>
      <c r="DE2581">
        <v>4847</v>
      </c>
      <c r="DF2581">
        <v>600479</v>
      </c>
      <c r="DG2581" t="s">
        <v>116</v>
      </c>
      <c r="DH2581" t="s">
        <v>116</v>
      </c>
      <c r="DI2581" t="s">
        <v>116</v>
      </c>
    </row>
    <row r="2582" spans="1:113" x14ac:dyDescent="0.4">
      <c r="A2582" t="str">
        <f>"600480"</f>
        <v>600480</v>
      </c>
      <c r="B2582" t="s">
        <v>11773</v>
      </c>
      <c r="C2582">
        <v>-0.98</v>
      </c>
      <c r="D2582">
        <v>8.11</v>
      </c>
      <c r="E2582">
        <v>-0.08</v>
      </c>
      <c r="F2582">
        <v>8.11</v>
      </c>
      <c r="G2582">
        <v>8.1199999999999992</v>
      </c>
      <c r="H2582">
        <v>383777</v>
      </c>
      <c r="I2582">
        <v>4641</v>
      </c>
      <c r="J2582">
        <v>-0.36</v>
      </c>
      <c r="K2582">
        <v>7.04</v>
      </c>
      <c r="L2582">
        <v>8.4</v>
      </c>
      <c r="M2582">
        <v>8.5500000000000007</v>
      </c>
      <c r="N2582">
        <v>8.09</v>
      </c>
      <c r="O2582">
        <v>8.19</v>
      </c>
      <c r="P2582" t="s">
        <v>116</v>
      </c>
      <c r="Q2582">
        <v>319488192</v>
      </c>
      <c r="R2582">
        <v>1.1100000000000001</v>
      </c>
      <c r="S2582" t="s">
        <v>293</v>
      </c>
      <c r="T2582" t="s">
        <v>608</v>
      </c>
      <c r="U2582">
        <v>5.62</v>
      </c>
      <c r="V2582">
        <v>8.32</v>
      </c>
      <c r="W2582">
        <v>209763</v>
      </c>
      <c r="X2582">
        <v>174016</v>
      </c>
      <c r="Y2582">
        <v>1.21</v>
      </c>
      <c r="Z2582">
        <v>770</v>
      </c>
      <c r="AA2582">
        <v>637</v>
      </c>
      <c r="AB2582" t="s">
        <v>116</v>
      </c>
      <c r="AC2582">
        <v>6345400</v>
      </c>
      <c r="AD2582">
        <v>0.26</v>
      </c>
      <c r="AE2582" t="s">
        <v>116</v>
      </c>
      <c r="AF2582" t="s">
        <v>116</v>
      </c>
      <c r="AG2582">
        <v>5.45</v>
      </c>
      <c r="AH2582" t="s">
        <v>11774</v>
      </c>
      <c r="AI2582" t="s">
        <v>4883</v>
      </c>
      <c r="AJ2582">
        <v>-0.9</v>
      </c>
      <c r="AK2582">
        <v>3687</v>
      </c>
      <c r="AL2582">
        <v>104</v>
      </c>
      <c r="AM2582">
        <v>1.9E-3</v>
      </c>
      <c r="AN2582">
        <v>-2</v>
      </c>
      <c r="AO2582">
        <v>-0.73</v>
      </c>
      <c r="AP2582">
        <v>34.049999999999997</v>
      </c>
      <c r="AQ2582">
        <v>12.48</v>
      </c>
      <c r="AR2582">
        <v>5.51</v>
      </c>
      <c r="AS2582">
        <v>13.12</v>
      </c>
      <c r="AT2582" t="s">
        <v>11775</v>
      </c>
      <c r="AU2582" t="s">
        <v>116</v>
      </c>
      <c r="AV2582">
        <v>16.350000000000001</v>
      </c>
      <c r="AW2582">
        <v>0.44</v>
      </c>
      <c r="BA2582">
        <v>2.56</v>
      </c>
      <c r="BB2582">
        <v>4.4000000000000004</v>
      </c>
      <c r="BC2582">
        <v>-1.22</v>
      </c>
      <c r="BD2582">
        <v>1.65</v>
      </c>
      <c r="BE2582">
        <v>-3.45</v>
      </c>
      <c r="BF2582">
        <v>-5.15</v>
      </c>
      <c r="BG2582">
        <v>0.25</v>
      </c>
      <c r="BH2582">
        <v>-2.62</v>
      </c>
      <c r="BI2582">
        <v>20191030</v>
      </c>
      <c r="BJ2582">
        <v>20030815</v>
      </c>
      <c r="BK2582">
        <v>5.48</v>
      </c>
      <c r="BL2582" t="s">
        <v>116</v>
      </c>
      <c r="BM2582" t="s">
        <v>116</v>
      </c>
      <c r="BN2582">
        <v>149.32</v>
      </c>
      <c r="BO2582">
        <v>45.94</v>
      </c>
      <c r="BP2582">
        <v>18.87</v>
      </c>
      <c r="BQ2582">
        <v>56.59</v>
      </c>
      <c r="BR2582">
        <v>90.24</v>
      </c>
      <c r="BS2582">
        <v>27.51</v>
      </c>
      <c r="BT2582">
        <v>3.72</v>
      </c>
      <c r="BU2582">
        <v>69.22</v>
      </c>
      <c r="BV2582">
        <v>22.78</v>
      </c>
      <c r="BW2582">
        <v>31.24</v>
      </c>
      <c r="BX2582">
        <v>25.13</v>
      </c>
      <c r="BY2582">
        <v>83.92</v>
      </c>
      <c r="BZ2582">
        <v>69.95</v>
      </c>
      <c r="CA2582">
        <v>0.92</v>
      </c>
      <c r="CB2582">
        <v>0.15</v>
      </c>
      <c r="CC2582">
        <v>1.04</v>
      </c>
      <c r="CD2582">
        <v>0.8</v>
      </c>
      <c r="CE2582">
        <v>-0.9</v>
      </c>
      <c r="CF2582">
        <v>-1.22</v>
      </c>
      <c r="CG2582">
        <v>14.03</v>
      </c>
      <c r="CH2582">
        <v>-8.32</v>
      </c>
      <c r="CI2582">
        <v>-2.37</v>
      </c>
      <c r="CJ2582">
        <v>45243</v>
      </c>
      <c r="CK2582">
        <v>6467</v>
      </c>
      <c r="CL2582" t="s">
        <v>1629</v>
      </c>
      <c r="CM2582">
        <v>-140.72999999999999</v>
      </c>
      <c r="CN2582">
        <v>-7.96</v>
      </c>
      <c r="CO2582">
        <v>0.97</v>
      </c>
      <c r="CP2582">
        <v>-5.35</v>
      </c>
      <c r="CQ2582">
        <v>0.53</v>
      </c>
      <c r="CR2582">
        <v>2.48</v>
      </c>
      <c r="CS2582" t="s">
        <v>11776</v>
      </c>
      <c r="CT2582">
        <v>8.3800000000000008</v>
      </c>
      <c r="CU2582">
        <v>0</v>
      </c>
      <c r="CV2582">
        <v>4.58</v>
      </c>
      <c r="CW2582">
        <v>2.56</v>
      </c>
      <c r="CX2582">
        <v>-1.52</v>
      </c>
      <c r="CY2582">
        <v>30.77</v>
      </c>
      <c r="CZ2582" t="s">
        <v>11777</v>
      </c>
      <c r="DA2582">
        <v>16.649999999999999</v>
      </c>
      <c r="DB2582">
        <v>1.1000000000000001</v>
      </c>
      <c r="DC2582">
        <v>-1.07</v>
      </c>
      <c r="DD2582">
        <v>3.21</v>
      </c>
      <c r="DE2582">
        <v>8998</v>
      </c>
      <c r="DF2582">
        <v>600480</v>
      </c>
      <c r="DG2582" t="s">
        <v>116</v>
      </c>
      <c r="DH2582" t="s">
        <v>116</v>
      </c>
      <c r="DI2582" t="s">
        <v>116</v>
      </c>
    </row>
    <row r="2583" spans="1:113" x14ac:dyDescent="0.4">
      <c r="A2583" t="str">
        <f>"600481"</f>
        <v>600481</v>
      </c>
      <c r="B2583" t="s">
        <v>11778</v>
      </c>
      <c r="C2583">
        <v>0.31</v>
      </c>
      <c r="D2583">
        <v>3.27</v>
      </c>
      <c r="E2583">
        <v>0.01</v>
      </c>
      <c r="F2583">
        <v>3.26</v>
      </c>
      <c r="G2583">
        <v>3.27</v>
      </c>
      <c r="H2583">
        <v>47152</v>
      </c>
      <c r="I2583">
        <v>274</v>
      </c>
      <c r="J2583">
        <v>0</v>
      </c>
      <c r="K2583">
        <v>0.28999999999999998</v>
      </c>
      <c r="L2583">
        <v>3.26</v>
      </c>
      <c r="M2583">
        <v>3.31</v>
      </c>
      <c r="N2583">
        <v>3.25</v>
      </c>
      <c r="O2583">
        <v>3.26</v>
      </c>
      <c r="P2583">
        <v>31.23</v>
      </c>
      <c r="Q2583">
        <v>15465764</v>
      </c>
      <c r="R2583">
        <v>0.95</v>
      </c>
      <c r="S2583" t="s">
        <v>140</v>
      </c>
      <c r="T2583" t="s">
        <v>323</v>
      </c>
      <c r="U2583">
        <v>1.84</v>
      </c>
      <c r="V2583">
        <v>3.28</v>
      </c>
      <c r="W2583">
        <v>24017</v>
      </c>
      <c r="X2583">
        <v>23135</v>
      </c>
      <c r="Y2583">
        <v>1.04</v>
      </c>
      <c r="Z2583">
        <v>437</v>
      </c>
      <c r="AA2583">
        <v>2691</v>
      </c>
      <c r="AB2583" t="s">
        <v>116</v>
      </c>
      <c r="AC2583">
        <v>3300</v>
      </c>
      <c r="AD2583">
        <v>0</v>
      </c>
      <c r="AE2583" t="s">
        <v>116</v>
      </c>
      <c r="AF2583" t="s">
        <v>116</v>
      </c>
      <c r="AG2583">
        <v>16.27</v>
      </c>
      <c r="AH2583" t="s">
        <v>9003</v>
      </c>
      <c r="AI2583" t="s">
        <v>11299</v>
      </c>
      <c r="AJ2583">
        <v>0.38</v>
      </c>
      <c r="AK2583">
        <v>516</v>
      </c>
      <c r="AL2583">
        <v>91</v>
      </c>
      <c r="AM2583">
        <v>5.9999999999999995E-4</v>
      </c>
      <c r="AN2583">
        <v>1</v>
      </c>
      <c r="AO2583">
        <v>0.31</v>
      </c>
      <c r="AP2583">
        <v>3.48</v>
      </c>
      <c r="AQ2583">
        <v>0</v>
      </c>
      <c r="AR2583">
        <v>1.87</v>
      </c>
      <c r="AS2583">
        <v>0.59</v>
      </c>
      <c r="AT2583" t="s">
        <v>6902</v>
      </c>
      <c r="AU2583">
        <v>23.35</v>
      </c>
      <c r="AV2583">
        <v>21.26</v>
      </c>
      <c r="AW2583">
        <v>0.36</v>
      </c>
      <c r="BA2583">
        <v>0</v>
      </c>
      <c r="BB2583">
        <v>1.53</v>
      </c>
      <c r="BC2583">
        <v>-0.31</v>
      </c>
      <c r="BD2583">
        <v>0.61</v>
      </c>
      <c r="BE2583">
        <v>0.31</v>
      </c>
      <c r="BF2583">
        <v>-1.21</v>
      </c>
      <c r="BG2583">
        <v>0.62</v>
      </c>
      <c r="BH2583">
        <v>-0.31</v>
      </c>
      <c r="BI2583">
        <v>20191227</v>
      </c>
      <c r="BJ2583">
        <v>20030422</v>
      </c>
      <c r="BK2583">
        <v>16.37</v>
      </c>
      <c r="BL2583" t="s">
        <v>116</v>
      </c>
      <c r="BM2583" t="s">
        <v>116</v>
      </c>
      <c r="BN2583">
        <v>39.43</v>
      </c>
      <c r="BO2583">
        <v>22.06</v>
      </c>
      <c r="BP2583">
        <v>0.3</v>
      </c>
      <c r="BQ2583">
        <v>43.31</v>
      </c>
      <c r="BR2583">
        <v>29.56</v>
      </c>
      <c r="BS2583">
        <v>4.45</v>
      </c>
      <c r="BT2583">
        <v>0.92</v>
      </c>
      <c r="BU2583">
        <v>17.05</v>
      </c>
      <c r="BV2583">
        <v>4.21</v>
      </c>
      <c r="BW2583">
        <v>12.01</v>
      </c>
      <c r="BX2583">
        <v>0.42</v>
      </c>
      <c r="BY2583">
        <v>17.41</v>
      </c>
      <c r="BZ2583">
        <v>12.33</v>
      </c>
      <c r="CA2583">
        <v>1.36</v>
      </c>
      <c r="CB2583">
        <v>0.2</v>
      </c>
      <c r="CC2583">
        <v>1.53</v>
      </c>
      <c r="CD2583">
        <v>1.31</v>
      </c>
      <c r="CE2583">
        <v>1.29</v>
      </c>
      <c r="CF2583">
        <v>1.01</v>
      </c>
      <c r="CG2583">
        <v>1.88</v>
      </c>
      <c r="CH2583">
        <v>-1.01</v>
      </c>
      <c r="CI2583">
        <v>-2.82</v>
      </c>
      <c r="CJ2583">
        <v>52397</v>
      </c>
      <c r="CK2583">
        <v>15126</v>
      </c>
      <c r="CL2583" t="s">
        <v>1000</v>
      </c>
      <c r="CM2583">
        <v>-14.94</v>
      </c>
      <c r="CN2583">
        <v>-1.47</v>
      </c>
      <c r="CO2583">
        <v>2.4300000000000002</v>
      </c>
      <c r="CP2583">
        <v>-53.04</v>
      </c>
      <c r="CQ2583">
        <v>3.07</v>
      </c>
      <c r="CR2583">
        <v>3.67</v>
      </c>
      <c r="CS2583" t="s">
        <v>4027</v>
      </c>
      <c r="CT2583">
        <v>1.35</v>
      </c>
      <c r="CU2583">
        <v>0</v>
      </c>
      <c r="CV2583">
        <v>0.03</v>
      </c>
      <c r="CW2583">
        <v>0.11</v>
      </c>
      <c r="CX2583">
        <v>-0.06</v>
      </c>
      <c r="CY2583">
        <v>55.94</v>
      </c>
      <c r="CZ2583" t="s">
        <v>2344</v>
      </c>
      <c r="DA2583">
        <v>29.18</v>
      </c>
      <c r="DB2583">
        <v>7.78</v>
      </c>
      <c r="DC2583">
        <v>7.38</v>
      </c>
      <c r="DD2583">
        <v>0.73</v>
      </c>
      <c r="DE2583">
        <v>1671</v>
      </c>
      <c r="DF2583">
        <v>600481</v>
      </c>
      <c r="DG2583" t="s">
        <v>116</v>
      </c>
      <c r="DH2583" t="s">
        <v>116</v>
      </c>
      <c r="DI2583" t="s">
        <v>116</v>
      </c>
    </row>
    <row r="2584" spans="1:113" x14ac:dyDescent="0.4">
      <c r="A2584" t="str">
        <f>"600482"</f>
        <v>600482</v>
      </c>
      <c r="B2584" t="s">
        <v>11779</v>
      </c>
      <c r="C2584">
        <v>-0.15</v>
      </c>
      <c r="D2584">
        <v>20.100000000000001</v>
      </c>
      <c r="E2584">
        <v>-0.03</v>
      </c>
      <c r="F2584">
        <v>20.100000000000001</v>
      </c>
      <c r="G2584">
        <v>20.11</v>
      </c>
      <c r="H2584">
        <v>48295</v>
      </c>
      <c r="I2584">
        <v>253</v>
      </c>
      <c r="J2584">
        <v>-0.09</v>
      </c>
      <c r="K2584">
        <v>0.56000000000000005</v>
      </c>
      <c r="L2584">
        <v>20.02</v>
      </c>
      <c r="M2584">
        <v>20.38</v>
      </c>
      <c r="N2584">
        <v>20.02</v>
      </c>
      <c r="O2584">
        <v>20.13</v>
      </c>
      <c r="P2584">
        <v>36.21</v>
      </c>
      <c r="Q2584">
        <v>97595376</v>
      </c>
      <c r="R2584">
        <v>1</v>
      </c>
      <c r="S2584" t="s">
        <v>397</v>
      </c>
      <c r="T2584" t="s">
        <v>608</v>
      </c>
      <c r="U2584">
        <v>1.79</v>
      </c>
      <c r="V2584">
        <v>20.21</v>
      </c>
      <c r="W2584">
        <v>21509</v>
      </c>
      <c r="X2584">
        <v>26786</v>
      </c>
      <c r="Y2584">
        <v>0.8</v>
      </c>
      <c r="Z2584">
        <v>122</v>
      </c>
      <c r="AA2584">
        <v>240</v>
      </c>
      <c r="AB2584" t="s">
        <v>116</v>
      </c>
      <c r="AC2584">
        <v>280300</v>
      </c>
      <c r="AD2584">
        <v>0</v>
      </c>
      <c r="AE2584" t="s">
        <v>116</v>
      </c>
      <c r="AF2584" t="s">
        <v>116</v>
      </c>
      <c r="AG2584">
        <v>8.6999999999999993</v>
      </c>
      <c r="AH2584" t="s">
        <v>11780</v>
      </c>
      <c r="AI2584" t="s">
        <v>11781</v>
      </c>
      <c r="AJ2584">
        <v>-7.0000000000000007E-2</v>
      </c>
      <c r="AK2584">
        <v>2437</v>
      </c>
      <c r="AL2584">
        <v>20</v>
      </c>
      <c r="AM2584">
        <v>2.0000000000000001E-4</v>
      </c>
      <c r="AN2584">
        <v>-1</v>
      </c>
      <c r="AO2584">
        <v>1.47</v>
      </c>
      <c r="AP2584">
        <v>-8.51</v>
      </c>
      <c r="AQ2584">
        <v>-13.02</v>
      </c>
      <c r="AR2584">
        <v>-9.74</v>
      </c>
      <c r="AS2584">
        <v>1.1200000000000001</v>
      </c>
      <c r="AT2584" t="s">
        <v>11782</v>
      </c>
      <c r="AU2584">
        <v>32.19</v>
      </c>
      <c r="AV2584">
        <v>25.28</v>
      </c>
      <c r="AW2584">
        <v>0.68</v>
      </c>
      <c r="BA2584">
        <v>-0.55000000000000004</v>
      </c>
      <c r="BB2584">
        <v>1.24</v>
      </c>
      <c r="BC2584">
        <v>-0.55000000000000004</v>
      </c>
      <c r="BD2584">
        <v>0.39</v>
      </c>
      <c r="BE2584">
        <v>0.4</v>
      </c>
      <c r="BF2584">
        <v>-1.37</v>
      </c>
      <c r="BG2584">
        <v>0.4</v>
      </c>
      <c r="BH2584">
        <v>-0.54</v>
      </c>
      <c r="BI2584">
        <v>20191031</v>
      </c>
      <c r="BJ2584">
        <v>20040714</v>
      </c>
      <c r="BK2584">
        <v>16.95</v>
      </c>
      <c r="BL2584" t="s">
        <v>116</v>
      </c>
      <c r="BM2584" t="s">
        <v>116</v>
      </c>
      <c r="BN2584">
        <v>544.37</v>
      </c>
      <c r="BO2584">
        <v>261.67</v>
      </c>
      <c r="BP2584">
        <v>97.39</v>
      </c>
      <c r="BQ2584">
        <v>34.04</v>
      </c>
      <c r="BR2584">
        <v>379.55</v>
      </c>
      <c r="BS2584">
        <v>78.77</v>
      </c>
      <c r="BT2584">
        <v>22.56</v>
      </c>
      <c r="BU2584">
        <v>134.61000000000001</v>
      </c>
      <c r="BV2584">
        <v>86.7</v>
      </c>
      <c r="BW2584">
        <v>155.99</v>
      </c>
      <c r="BX2584">
        <v>185.29</v>
      </c>
      <c r="BY2584">
        <v>219.77</v>
      </c>
      <c r="BZ2584">
        <v>192.2</v>
      </c>
      <c r="CA2584">
        <v>7.22</v>
      </c>
      <c r="CB2584">
        <v>0.17</v>
      </c>
      <c r="CC2584">
        <v>8.1199999999999992</v>
      </c>
      <c r="CD2584">
        <v>7.29</v>
      </c>
      <c r="CE2584">
        <v>7.06</v>
      </c>
      <c r="CF2584">
        <v>5.8</v>
      </c>
      <c r="CG2584">
        <v>53.51</v>
      </c>
      <c r="CH2584">
        <v>-10.95</v>
      </c>
      <c r="CI2584">
        <v>-70.400000000000006</v>
      </c>
      <c r="CJ2584">
        <v>37164</v>
      </c>
      <c r="CK2584">
        <v>11638</v>
      </c>
      <c r="CL2584" t="s">
        <v>11783</v>
      </c>
      <c r="CM2584">
        <v>-29.06</v>
      </c>
      <c r="CN2584">
        <v>9.09</v>
      </c>
      <c r="CO2584">
        <v>1.3</v>
      </c>
      <c r="CP2584">
        <v>-31.11</v>
      </c>
      <c r="CQ2584">
        <v>1.55</v>
      </c>
      <c r="CR2584">
        <v>0</v>
      </c>
      <c r="CS2584" t="s">
        <v>11784</v>
      </c>
      <c r="CT2584">
        <v>15.44</v>
      </c>
      <c r="CU2584">
        <v>0</v>
      </c>
      <c r="CV2584">
        <v>10.93</v>
      </c>
      <c r="CW2584">
        <v>3.16</v>
      </c>
      <c r="CX2584">
        <v>-0.65</v>
      </c>
      <c r="CY2584">
        <v>48.07</v>
      </c>
      <c r="CZ2584" t="s">
        <v>8688</v>
      </c>
      <c r="DA2584">
        <v>12.54</v>
      </c>
      <c r="DB2584">
        <v>3.29</v>
      </c>
      <c r="DC2584">
        <v>3.21</v>
      </c>
      <c r="DD2584">
        <v>3.72</v>
      </c>
      <c r="DE2584">
        <v>25575</v>
      </c>
      <c r="DF2584">
        <v>600482</v>
      </c>
      <c r="DG2584" t="s">
        <v>116</v>
      </c>
      <c r="DH2584" t="s">
        <v>116</v>
      </c>
      <c r="DI2584" t="s">
        <v>116</v>
      </c>
    </row>
    <row r="2585" spans="1:113" x14ac:dyDescent="0.4">
      <c r="A2585" t="str">
        <f>"600483"</f>
        <v>600483</v>
      </c>
      <c r="B2585" t="s">
        <v>11785</v>
      </c>
      <c r="C2585">
        <v>-0.67</v>
      </c>
      <c r="D2585">
        <v>8.94</v>
      </c>
      <c r="E2585">
        <v>-0.06</v>
      </c>
      <c r="F2585">
        <v>8.93</v>
      </c>
      <c r="G2585">
        <v>8.94</v>
      </c>
      <c r="H2585">
        <v>22290</v>
      </c>
      <c r="I2585">
        <v>408</v>
      </c>
      <c r="J2585">
        <v>0.22</v>
      </c>
      <c r="K2585">
        <v>0.14000000000000001</v>
      </c>
      <c r="L2585">
        <v>8.94</v>
      </c>
      <c r="M2585">
        <v>9</v>
      </c>
      <c r="N2585">
        <v>8.89</v>
      </c>
      <c r="O2585">
        <v>9</v>
      </c>
      <c r="P2585">
        <v>10.59</v>
      </c>
      <c r="Q2585">
        <v>19910526</v>
      </c>
      <c r="R2585">
        <v>0.88</v>
      </c>
      <c r="S2585" t="s">
        <v>271</v>
      </c>
      <c r="T2585" t="s">
        <v>975</v>
      </c>
      <c r="U2585">
        <v>1.22</v>
      </c>
      <c r="V2585">
        <v>8.93</v>
      </c>
      <c r="W2585">
        <v>13525</v>
      </c>
      <c r="X2585">
        <v>8765</v>
      </c>
      <c r="Y2585">
        <v>1.54</v>
      </c>
      <c r="Z2585">
        <v>50</v>
      </c>
      <c r="AA2585">
        <v>925</v>
      </c>
      <c r="AB2585" t="s">
        <v>116</v>
      </c>
      <c r="AC2585">
        <v>250300</v>
      </c>
      <c r="AD2585">
        <v>0.01</v>
      </c>
      <c r="AE2585" t="s">
        <v>116</v>
      </c>
      <c r="AF2585" t="s">
        <v>116</v>
      </c>
      <c r="AG2585">
        <v>15.52</v>
      </c>
      <c r="AH2585" t="s">
        <v>7198</v>
      </c>
      <c r="AI2585" t="s">
        <v>7198</v>
      </c>
      <c r="AJ2585">
        <v>-0.59</v>
      </c>
      <c r="AK2585">
        <v>1618</v>
      </c>
      <c r="AL2585">
        <v>14</v>
      </c>
      <c r="AM2585">
        <v>1E-4</v>
      </c>
      <c r="AN2585">
        <v>-1</v>
      </c>
      <c r="AO2585">
        <v>-0.23</v>
      </c>
      <c r="AP2585">
        <v>0.45</v>
      </c>
      <c r="AQ2585">
        <v>3.47</v>
      </c>
      <c r="AR2585">
        <v>7.84</v>
      </c>
      <c r="AS2585">
        <v>0.48</v>
      </c>
      <c r="AT2585" t="s">
        <v>11786</v>
      </c>
      <c r="AU2585">
        <v>10.71</v>
      </c>
      <c r="AV2585">
        <v>13.21</v>
      </c>
      <c r="AW2585">
        <v>0.77</v>
      </c>
      <c r="BA2585">
        <v>-0.67</v>
      </c>
      <c r="BB2585">
        <v>0</v>
      </c>
      <c r="BC2585">
        <v>-1.22</v>
      </c>
      <c r="BD2585">
        <v>-0.75</v>
      </c>
      <c r="BE2585">
        <v>0</v>
      </c>
      <c r="BF2585">
        <v>-0.67</v>
      </c>
      <c r="BG2585">
        <v>0.56000000000000005</v>
      </c>
      <c r="BH2585">
        <v>0.08</v>
      </c>
      <c r="BI2585">
        <v>20191029</v>
      </c>
      <c r="BJ2585">
        <v>20040531</v>
      </c>
      <c r="BK2585">
        <v>15.52</v>
      </c>
      <c r="BL2585" t="s">
        <v>116</v>
      </c>
      <c r="BM2585" t="s">
        <v>116</v>
      </c>
      <c r="BN2585">
        <v>276.93</v>
      </c>
      <c r="BO2585">
        <v>123.97</v>
      </c>
      <c r="BP2585">
        <v>18.71</v>
      </c>
      <c r="BQ2585">
        <v>48.48</v>
      </c>
      <c r="BR2585">
        <v>77.010000000000005</v>
      </c>
      <c r="BS2585">
        <v>145.03</v>
      </c>
      <c r="BT2585">
        <v>3.75</v>
      </c>
      <c r="BU2585">
        <v>32.46</v>
      </c>
      <c r="BV2585">
        <v>4.8099999999999996</v>
      </c>
      <c r="BW2585">
        <v>20.93</v>
      </c>
      <c r="BX2585">
        <v>32.049999999999997</v>
      </c>
      <c r="BY2585">
        <v>74.069999999999993</v>
      </c>
      <c r="BZ2585">
        <v>59.39</v>
      </c>
      <c r="CA2585">
        <v>12.7</v>
      </c>
      <c r="CB2585">
        <v>2.0099999999999998</v>
      </c>
      <c r="CC2585">
        <v>12.73</v>
      </c>
      <c r="CD2585">
        <v>10.4</v>
      </c>
      <c r="CE2585">
        <v>9.82</v>
      </c>
      <c r="CF2585">
        <v>8.64</v>
      </c>
      <c r="CG2585">
        <v>43.83</v>
      </c>
      <c r="CH2585">
        <v>15.59</v>
      </c>
      <c r="CI2585">
        <v>-6.56</v>
      </c>
      <c r="CJ2585">
        <v>21893</v>
      </c>
      <c r="CK2585">
        <v>21337</v>
      </c>
      <c r="CL2585" t="s">
        <v>11787</v>
      </c>
      <c r="CM2585">
        <v>33.229999999999997</v>
      </c>
      <c r="CN2585">
        <v>13.66</v>
      </c>
      <c r="CO2585">
        <v>1.17</v>
      </c>
      <c r="CP2585">
        <v>8.9</v>
      </c>
      <c r="CQ2585">
        <v>1.87</v>
      </c>
      <c r="CR2585">
        <v>2.35</v>
      </c>
      <c r="CS2585" t="s">
        <v>11788</v>
      </c>
      <c r="CT2585">
        <v>7.67</v>
      </c>
      <c r="CU2585">
        <v>7.67</v>
      </c>
      <c r="CV2585">
        <v>2.0699999999999998</v>
      </c>
      <c r="CW2585">
        <v>2.82</v>
      </c>
      <c r="CX2585">
        <v>1</v>
      </c>
      <c r="CY2585">
        <v>44.77</v>
      </c>
      <c r="CZ2585" t="s">
        <v>9491</v>
      </c>
      <c r="DA2585">
        <v>19.829999999999998</v>
      </c>
      <c r="DB2585">
        <v>17.149999999999999</v>
      </c>
      <c r="DC2585">
        <v>13.26</v>
      </c>
      <c r="DD2585">
        <v>0.11</v>
      </c>
      <c r="DE2585">
        <v>3187</v>
      </c>
      <c r="DF2585">
        <v>600483</v>
      </c>
      <c r="DG2585" t="s">
        <v>116</v>
      </c>
      <c r="DH2585" t="s">
        <v>116</v>
      </c>
      <c r="DI2585" t="s">
        <v>116</v>
      </c>
    </row>
    <row r="2586" spans="1:113" x14ac:dyDescent="0.4">
      <c r="A2586" t="str">
        <f>"600485"</f>
        <v>600485</v>
      </c>
      <c r="B2586" t="s">
        <v>11789</v>
      </c>
      <c r="C2586">
        <v>4.92</v>
      </c>
      <c r="D2586">
        <v>2.77</v>
      </c>
      <c r="E2586">
        <v>0.13</v>
      </c>
      <c r="F2586">
        <v>2.77</v>
      </c>
      <c r="G2586" t="s">
        <v>116</v>
      </c>
      <c r="H2586">
        <v>83086</v>
      </c>
      <c r="I2586">
        <v>133</v>
      </c>
      <c r="J2586">
        <v>0</v>
      </c>
      <c r="K2586">
        <v>0.44</v>
      </c>
      <c r="L2586">
        <v>2.77</v>
      </c>
      <c r="M2586">
        <v>2.77</v>
      </c>
      <c r="N2586">
        <v>2.77</v>
      </c>
      <c r="O2586">
        <v>2.64</v>
      </c>
      <c r="P2586" t="s">
        <v>116</v>
      </c>
      <c r="Q2586">
        <v>23014880</v>
      </c>
      <c r="R2586">
        <v>0.12</v>
      </c>
      <c r="S2586" t="s">
        <v>465</v>
      </c>
      <c r="T2586" t="s">
        <v>165</v>
      </c>
      <c r="U2586">
        <v>0</v>
      </c>
      <c r="V2586">
        <v>2.77</v>
      </c>
      <c r="W2586">
        <v>67792</v>
      </c>
      <c r="X2586">
        <v>15294</v>
      </c>
      <c r="Y2586">
        <v>4.43</v>
      </c>
      <c r="Z2586">
        <v>166569</v>
      </c>
      <c r="AA2586">
        <v>0</v>
      </c>
      <c r="AB2586" t="s">
        <v>116</v>
      </c>
      <c r="AC2586">
        <v>8436500</v>
      </c>
      <c r="AD2586">
        <v>0.16</v>
      </c>
      <c r="AE2586">
        <v>2</v>
      </c>
      <c r="AF2586">
        <v>46139612</v>
      </c>
      <c r="AG2586">
        <v>18.95</v>
      </c>
      <c r="AH2586" t="s">
        <v>5030</v>
      </c>
      <c r="AI2586" t="s">
        <v>11790</v>
      </c>
      <c r="AJ2586">
        <v>5</v>
      </c>
      <c r="AK2586">
        <v>479</v>
      </c>
      <c r="AL2586">
        <v>173</v>
      </c>
      <c r="AM2586">
        <v>8.9999999999999998E-4</v>
      </c>
      <c r="AN2586">
        <v>10</v>
      </c>
      <c r="AO2586">
        <v>15.89</v>
      </c>
      <c r="AP2586">
        <v>69.94</v>
      </c>
      <c r="AQ2586">
        <v>84.67</v>
      </c>
      <c r="AR2586">
        <v>-81.02</v>
      </c>
      <c r="AS2586">
        <v>0.44</v>
      </c>
      <c r="AT2586" t="s">
        <v>5030</v>
      </c>
      <c r="AU2586" t="s">
        <v>116</v>
      </c>
      <c r="AV2586" t="s">
        <v>116</v>
      </c>
      <c r="AW2586">
        <v>0</v>
      </c>
      <c r="BA2586">
        <v>4.92</v>
      </c>
      <c r="BB2586">
        <v>4.92</v>
      </c>
      <c r="BC2586">
        <v>4.92</v>
      </c>
      <c r="BD2586">
        <v>4.92</v>
      </c>
      <c r="BE2586">
        <v>0</v>
      </c>
      <c r="BF2586">
        <v>0</v>
      </c>
      <c r="BG2586">
        <v>0</v>
      </c>
      <c r="BH2586">
        <v>0</v>
      </c>
      <c r="BI2586">
        <v>20191031</v>
      </c>
      <c r="BJ2586">
        <v>20030807</v>
      </c>
      <c r="BK2586">
        <v>29.24</v>
      </c>
      <c r="BL2586" t="s">
        <v>116</v>
      </c>
      <c r="BM2586" t="s">
        <v>116</v>
      </c>
      <c r="BN2586">
        <v>78.290000000000006</v>
      </c>
      <c r="BO2586">
        <v>-87.16</v>
      </c>
      <c r="BP2586">
        <v>0.24</v>
      </c>
      <c r="BQ2586">
        <v>211.02</v>
      </c>
      <c r="BR2586">
        <v>29.53</v>
      </c>
      <c r="BS2586">
        <v>4.8499999999999996</v>
      </c>
      <c r="BT2586">
        <v>0.11</v>
      </c>
      <c r="BU2586">
        <v>96.24</v>
      </c>
      <c r="BV2586">
        <v>10.36</v>
      </c>
      <c r="BW2586">
        <v>7.75</v>
      </c>
      <c r="BX2586">
        <v>30.69</v>
      </c>
      <c r="BY2586">
        <v>1.87</v>
      </c>
      <c r="BZ2586">
        <v>1.37</v>
      </c>
      <c r="CA2586">
        <v>-38.51</v>
      </c>
      <c r="CB2586">
        <v>-19.79</v>
      </c>
      <c r="CC2586">
        <v>-163</v>
      </c>
      <c r="CD2586">
        <v>-160.5</v>
      </c>
      <c r="CE2586">
        <v>-158.58000000000001</v>
      </c>
      <c r="CF2586">
        <v>-63.93</v>
      </c>
      <c r="CG2586">
        <v>-143.37</v>
      </c>
      <c r="CH2586">
        <v>2.04</v>
      </c>
      <c r="CI2586">
        <v>-0.16</v>
      </c>
      <c r="CJ2586">
        <v>147832</v>
      </c>
      <c r="CK2586">
        <v>12819</v>
      </c>
      <c r="CL2586" t="s">
        <v>10910</v>
      </c>
      <c r="CM2586">
        <v>-1825.79</v>
      </c>
      <c r="CN2586">
        <v>5.51</v>
      </c>
      <c r="CO2586">
        <v>-0.93</v>
      </c>
      <c r="CP2586">
        <v>39.68</v>
      </c>
      <c r="CQ2586">
        <v>43.36</v>
      </c>
      <c r="CR2586">
        <v>0</v>
      </c>
      <c r="CS2586" t="s">
        <v>11791</v>
      </c>
      <c r="CT2586">
        <v>-2.98</v>
      </c>
      <c r="CU2586">
        <v>0</v>
      </c>
      <c r="CV2586">
        <v>1.05</v>
      </c>
      <c r="CW2586">
        <v>-4.9000000000000004</v>
      </c>
      <c r="CX2586">
        <v>7.0000000000000007E-2</v>
      </c>
      <c r="CY2586">
        <v>-111.33</v>
      </c>
      <c r="CZ2586" t="s">
        <v>116</v>
      </c>
      <c r="DA2586">
        <v>26.81</v>
      </c>
      <c r="DB2586">
        <v>-2061.86</v>
      </c>
      <c r="DC2586">
        <v>-8491.11</v>
      </c>
      <c r="DD2586">
        <v>0.86</v>
      </c>
      <c r="DE2586">
        <v>1428</v>
      </c>
      <c r="DF2586">
        <v>600485</v>
      </c>
      <c r="DG2586" t="s">
        <v>116</v>
      </c>
      <c r="DH2586" t="s">
        <v>116</v>
      </c>
      <c r="DI2586" t="s">
        <v>116</v>
      </c>
    </row>
    <row r="2587" spans="1:113" x14ac:dyDescent="0.4">
      <c r="A2587" t="str">
        <f>"600486"</f>
        <v>600486</v>
      </c>
      <c r="B2587" t="s">
        <v>11792</v>
      </c>
      <c r="C2587">
        <v>1.31</v>
      </c>
      <c r="D2587">
        <v>64.2</v>
      </c>
      <c r="E2587">
        <v>0.83</v>
      </c>
      <c r="F2587">
        <v>64.19</v>
      </c>
      <c r="G2587">
        <v>64.2</v>
      </c>
      <c r="H2587">
        <v>35517</v>
      </c>
      <c r="I2587">
        <v>200</v>
      </c>
      <c r="J2587">
        <v>0</v>
      </c>
      <c r="K2587">
        <v>1.1499999999999999</v>
      </c>
      <c r="L2587">
        <v>63.42</v>
      </c>
      <c r="M2587">
        <v>64.88</v>
      </c>
      <c r="N2587">
        <v>63.37</v>
      </c>
      <c r="O2587">
        <v>63.37</v>
      </c>
      <c r="P2587">
        <v>13.95</v>
      </c>
      <c r="Q2587">
        <v>228582848</v>
      </c>
      <c r="R2587">
        <v>1.17</v>
      </c>
      <c r="S2587" t="s">
        <v>697</v>
      </c>
      <c r="T2587" t="s">
        <v>323</v>
      </c>
      <c r="U2587">
        <v>2.38</v>
      </c>
      <c r="V2587">
        <v>64.36</v>
      </c>
      <c r="W2587">
        <v>16262</v>
      </c>
      <c r="X2587">
        <v>19256</v>
      </c>
      <c r="Y2587">
        <v>0.84</v>
      </c>
      <c r="Z2587">
        <v>11</v>
      </c>
      <c r="AA2587">
        <v>19</v>
      </c>
      <c r="AB2587" t="s">
        <v>116</v>
      </c>
      <c r="AC2587">
        <v>355200</v>
      </c>
      <c r="AD2587">
        <v>0</v>
      </c>
      <c r="AE2587" t="s">
        <v>116</v>
      </c>
      <c r="AF2587" t="s">
        <v>116</v>
      </c>
      <c r="AG2587">
        <v>3.1</v>
      </c>
      <c r="AH2587" t="s">
        <v>11793</v>
      </c>
      <c r="AI2587" t="s">
        <v>11793</v>
      </c>
      <c r="AJ2587">
        <v>1.39</v>
      </c>
      <c r="AK2587">
        <v>3265</v>
      </c>
      <c r="AL2587">
        <v>11</v>
      </c>
      <c r="AM2587">
        <v>4.0000000000000002E-4</v>
      </c>
      <c r="AN2587">
        <v>3</v>
      </c>
      <c r="AO2587">
        <v>4.3099999999999996</v>
      </c>
      <c r="AP2587">
        <v>14.23</v>
      </c>
      <c r="AQ2587">
        <v>29.72</v>
      </c>
      <c r="AR2587">
        <v>74.5</v>
      </c>
      <c r="AS2587">
        <v>1.98</v>
      </c>
      <c r="AT2587" t="s">
        <v>11794</v>
      </c>
      <c r="AU2587">
        <v>19.27</v>
      </c>
      <c r="AV2587">
        <v>22.22</v>
      </c>
      <c r="AW2587">
        <v>0.73</v>
      </c>
      <c r="BA2587">
        <v>0.08</v>
      </c>
      <c r="BB2587">
        <v>2.38</v>
      </c>
      <c r="BC2587">
        <v>0</v>
      </c>
      <c r="BD2587">
        <v>1.56</v>
      </c>
      <c r="BE2587">
        <v>1.23</v>
      </c>
      <c r="BF2587">
        <v>-1.05</v>
      </c>
      <c r="BG2587">
        <v>1.31</v>
      </c>
      <c r="BH2587">
        <v>-0.25</v>
      </c>
      <c r="BI2587">
        <v>20191029</v>
      </c>
      <c r="BJ2587">
        <v>20020425</v>
      </c>
      <c r="BK2587">
        <v>3.1</v>
      </c>
      <c r="BL2587" t="s">
        <v>116</v>
      </c>
      <c r="BM2587" t="s">
        <v>116</v>
      </c>
      <c r="BN2587">
        <v>95.67</v>
      </c>
      <c r="BO2587">
        <v>50.19</v>
      </c>
      <c r="BP2587">
        <v>0.03</v>
      </c>
      <c r="BQ2587">
        <v>47.51</v>
      </c>
      <c r="BR2587">
        <v>63.16</v>
      </c>
      <c r="BS2587">
        <v>21.58</v>
      </c>
      <c r="BT2587">
        <v>4.42</v>
      </c>
      <c r="BU2587">
        <v>44.75</v>
      </c>
      <c r="BV2587">
        <v>14.65</v>
      </c>
      <c r="BW2587">
        <v>18.14</v>
      </c>
      <c r="BX2587">
        <v>7.73</v>
      </c>
      <c r="BY2587">
        <v>70.62</v>
      </c>
      <c r="BZ2587">
        <v>50.33</v>
      </c>
      <c r="CA2587">
        <v>12.95</v>
      </c>
      <c r="CB2587">
        <v>0.28000000000000003</v>
      </c>
      <c r="CC2587">
        <v>12.94</v>
      </c>
      <c r="CD2587">
        <v>10.72</v>
      </c>
      <c r="CE2587">
        <v>10.7</v>
      </c>
      <c r="CF2587">
        <v>7.94</v>
      </c>
      <c r="CG2587">
        <v>36.18</v>
      </c>
      <c r="CH2587">
        <v>9.86</v>
      </c>
      <c r="CI2587">
        <v>2.98</v>
      </c>
      <c r="CJ2587">
        <v>17027</v>
      </c>
      <c r="CK2587">
        <v>10556</v>
      </c>
      <c r="CL2587" t="s">
        <v>11795</v>
      </c>
      <c r="CM2587">
        <v>14.69</v>
      </c>
      <c r="CN2587">
        <v>1.0900000000000001</v>
      </c>
      <c r="CO2587">
        <v>3.96</v>
      </c>
      <c r="CP2587">
        <v>20.170000000000002</v>
      </c>
      <c r="CQ2587">
        <v>2.82</v>
      </c>
      <c r="CR2587">
        <v>1.36</v>
      </c>
      <c r="CS2587" t="s">
        <v>11796</v>
      </c>
      <c r="CT2587">
        <v>16.2</v>
      </c>
      <c r="CU2587">
        <v>0</v>
      </c>
      <c r="CV2587">
        <v>2.4900000000000002</v>
      </c>
      <c r="CW2587">
        <v>11.67</v>
      </c>
      <c r="CX2587">
        <v>3.18</v>
      </c>
      <c r="CY2587">
        <v>52.46</v>
      </c>
      <c r="CZ2587" t="s">
        <v>11797</v>
      </c>
      <c r="DA2587">
        <v>28.73</v>
      </c>
      <c r="DB2587">
        <v>18.329999999999998</v>
      </c>
      <c r="DC2587">
        <v>15.15</v>
      </c>
      <c r="DD2587">
        <v>2.04</v>
      </c>
      <c r="DE2587">
        <v>1665</v>
      </c>
      <c r="DF2587">
        <v>600486</v>
      </c>
      <c r="DG2587" t="s">
        <v>116</v>
      </c>
      <c r="DH2587" t="s">
        <v>116</v>
      </c>
      <c r="DI2587" t="s">
        <v>116</v>
      </c>
    </row>
    <row r="2588" spans="1:113" x14ac:dyDescent="0.4">
      <c r="A2588" t="str">
        <f>"600487"</f>
        <v>600487</v>
      </c>
      <c r="B2588" t="s">
        <v>11798</v>
      </c>
      <c r="C2588">
        <v>-2.15</v>
      </c>
      <c r="D2588">
        <v>15.93</v>
      </c>
      <c r="E2588">
        <v>-0.35</v>
      </c>
      <c r="F2588">
        <v>15.93</v>
      </c>
      <c r="G2588">
        <v>15.94</v>
      </c>
      <c r="H2588">
        <v>310305</v>
      </c>
      <c r="I2588">
        <v>4420</v>
      </c>
      <c r="J2588">
        <v>-0.05</v>
      </c>
      <c r="K2588">
        <v>1.67</v>
      </c>
      <c r="L2588">
        <v>16.32</v>
      </c>
      <c r="M2588">
        <v>16.38</v>
      </c>
      <c r="N2588">
        <v>15.92</v>
      </c>
      <c r="O2588">
        <v>16.28</v>
      </c>
      <c r="P2588">
        <v>19.16</v>
      </c>
      <c r="Q2588">
        <v>500823104</v>
      </c>
      <c r="R2588">
        <v>1.1599999999999999</v>
      </c>
      <c r="S2588" t="s">
        <v>465</v>
      </c>
      <c r="T2588" t="s">
        <v>323</v>
      </c>
      <c r="U2588">
        <v>2.83</v>
      </c>
      <c r="V2588">
        <v>16.14</v>
      </c>
      <c r="W2588">
        <v>188566</v>
      </c>
      <c r="X2588">
        <v>121739</v>
      </c>
      <c r="Y2588">
        <v>1.55</v>
      </c>
      <c r="Z2588">
        <v>1317</v>
      </c>
      <c r="AA2588">
        <v>368</v>
      </c>
      <c r="AB2588" t="s">
        <v>116</v>
      </c>
      <c r="AC2588">
        <v>1005300</v>
      </c>
      <c r="AD2588">
        <v>0</v>
      </c>
      <c r="AE2588" t="s">
        <v>116</v>
      </c>
      <c r="AF2588" t="s">
        <v>116</v>
      </c>
      <c r="AG2588">
        <v>18.600000000000001</v>
      </c>
      <c r="AH2588" t="s">
        <v>11799</v>
      </c>
      <c r="AI2588" t="s">
        <v>11800</v>
      </c>
      <c r="AJ2588">
        <v>-2.0699999999999998</v>
      </c>
      <c r="AK2588">
        <v>4037</v>
      </c>
      <c r="AL2588">
        <v>77</v>
      </c>
      <c r="AM2588">
        <v>4.0000000000000002E-4</v>
      </c>
      <c r="AN2588">
        <v>-1</v>
      </c>
      <c r="AO2588">
        <v>-0.5</v>
      </c>
      <c r="AP2588">
        <v>2.91</v>
      </c>
      <c r="AQ2588">
        <v>1.53</v>
      </c>
      <c r="AR2588">
        <v>-5.74</v>
      </c>
      <c r="AS2588">
        <v>2.35</v>
      </c>
      <c r="AT2588" t="s">
        <v>11801</v>
      </c>
      <c r="AU2588">
        <v>18.809999999999999</v>
      </c>
      <c r="AV2588">
        <v>11.98</v>
      </c>
      <c r="AW2588">
        <v>1.69</v>
      </c>
      <c r="BA2588">
        <v>0.25</v>
      </c>
      <c r="BB2588">
        <v>0.61</v>
      </c>
      <c r="BC2588">
        <v>-2.21</v>
      </c>
      <c r="BD2588">
        <v>-0.86</v>
      </c>
      <c r="BE2588">
        <v>-2.39</v>
      </c>
      <c r="BF2588">
        <v>-2.75</v>
      </c>
      <c r="BG2588">
        <v>0.06</v>
      </c>
      <c r="BH2588">
        <v>-1.29</v>
      </c>
      <c r="BI2588">
        <v>20191204</v>
      </c>
      <c r="BJ2588">
        <v>20030822</v>
      </c>
      <c r="BK2588">
        <v>19.04</v>
      </c>
      <c r="BL2588" t="s">
        <v>116</v>
      </c>
      <c r="BM2588" t="s">
        <v>116</v>
      </c>
      <c r="BN2588">
        <v>409.21</v>
      </c>
      <c r="BO2588">
        <v>134.37</v>
      </c>
      <c r="BP2588">
        <v>9.7100000000000009</v>
      </c>
      <c r="BQ2588">
        <v>64.790000000000006</v>
      </c>
      <c r="BR2588">
        <v>268.47000000000003</v>
      </c>
      <c r="BS2588">
        <v>73.5</v>
      </c>
      <c r="BT2588">
        <v>13.87</v>
      </c>
      <c r="BU2588">
        <v>221.23</v>
      </c>
      <c r="BV2588">
        <v>55.7</v>
      </c>
      <c r="BW2588">
        <v>101.4</v>
      </c>
      <c r="BX2588">
        <v>32.71</v>
      </c>
      <c r="BY2588">
        <v>246</v>
      </c>
      <c r="BZ2588">
        <v>206.13</v>
      </c>
      <c r="CA2588">
        <v>12.9</v>
      </c>
      <c r="CB2588">
        <v>0.39</v>
      </c>
      <c r="CC2588">
        <v>13.23</v>
      </c>
      <c r="CD2588">
        <v>11.39</v>
      </c>
      <c r="CE2588">
        <v>11.87</v>
      </c>
      <c r="CF2588">
        <v>9.49</v>
      </c>
      <c r="CG2588">
        <v>79.459999999999994</v>
      </c>
      <c r="CH2588">
        <v>-10.88</v>
      </c>
      <c r="CI2588">
        <v>7.73</v>
      </c>
      <c r="CJ2588">
        <v>176605</v>
      </c>
      <c r="CK2588">
        <v>7481</v>
      </c>
      <c r="CL2588" t="s">
        <v>11802</v>
      </c>
      <c r="CM2588">
        <v>-43.65</v>
      </c>
      <c r="CN2588">
        <v>2.0499999999999998</v>
      </c>
      <c r="CO2588">
        <v>2.31</v>
      </c>
      <c r="CP2588">
        <v>-27.88</v>
      </c>
      <c r="CQ2588">
        <v>1.23</v>
      </c>
      <c r="CR2588">
        <v>0.94</v>
      </c>
      <c r="CS2588" t="s">
        <v>9624</v>
      </c>
      <c r="CT2588">
        <v>6.88</v>
      </c>
      <c r="CU2588">
        <v>6.88</v>
      </c>
      <c r="CV2588">
        <v>1.72</v>
      </c>
      <c r="CW2588">
        <v>4.17</v>
      </c>
      <c r="CX2588">
        <v>-0.56999999999999995</v>
      </c>
      <c r="CY2588">
        <v>32.840000000000003</v>
      </c>
      <c r="CZ2588" t="s">
        <v>7772</v>
      </c>
      <c r="DA2588">
        <v>16.21</v>
      </c>
      <c r="DB2588">
        <v>5.24</v>
      </c>
      <c r="DC2588">
        <v>4.83</v>
      </c>
      <c r="DD2588">
        <v>8.14</v>
      </c>
      <c r="DE2588">
        <v>17311</v>
      </c>
      <c r="DF2588">
        <v>600487</v>
      </c>
      <c r="DG2588" t="s">
        <v>116</v>
      </c>
      <c r="DH2588" t="s">
        <v>116</v>
      </c>
      <c r="DI2588" t="s">
        <v>116</v>
      </c>
    </row>
    <row r="2589" spans="1:113" x14ac:dyDescent="0.4">
      <c r="A2589" t="str">
        <f>"600488"</f>
        <v>600488</v>
      </c>
      <c r="B2589" t="s">
        <v>11803</v>
      </c>
      <c r="C2589">
        <v>-0.49</v>
      </c>
      <c r="D2589">
        <v>4.0599999999999996</v>
      </c>
      <c r="E2589">
        <v>-0.02</v>
      </c>
      <c r="F2589">
        <v>4.05</v>
      </c>
      <c r="G2589">
        <v>4.0599999999999996</v>
      </c>
      <c r="H2589">
        <v>17609</v>
      </c>
      <c r="I2589">
        <v>9</v>
      </c>
      <c r="J2589">
        <v>0</v>
      </c>
      <c r="K2589">
        <v>0.18</v>
      </c>
      <c r="L2589">
        <v>4.07</v>
      </c>
      <c r="M2589">
        <v>4.09</v>
      </c>
      <c r="N2589">
        <v>4.05</v>
      </c>
      <c r="O2589">
        <v>4.08</v>
      </c>
      <c r="P2589">
        <v>29.18</v>
      </c>
      <c r="Q2589">
        <v>7167991</v>
      </c>
      <c r="R2589">
        <v>0.94</v>
      </c>
      <c r="S2589" t="s">
        <v>574</v>
      </c>
      <c r="T2589" t="s">
        <v>1035</v>
      </c>
      <c r="U2589">
        <v>0.98</v>
      </c>
      <c r="V2589">
        <v>4.07</v>
      </c>
      <c r="W2589">
        <v>11346</v>
      </c>
      <c r="X2589">
        <v>6263</v>
      </c>
      <c r="Y2589">
        <v>1.81</v>
      </c>
      <c r="Z2589">
        <v>1256</v>
      </c>
      <c r="AA2589">
        <v>697</v>
      </c>
      <c r="AB2589" t="s">
        <v>116</v>
      </c>
      <c r="AC2589">
        <v>0</v>
      </c>
      <c r="AD2589">
        <v>0</v>
      </c>
      <c r="AE2589" t="s">
        <v>116</v>
      </c>
      <c r="AF2589" t="s">
        <v>116</v>
      </c>
      <c r="AG2589">
        <v>9.77</v>
      </c>
      <c r="AH2589" t="s">
        <v>11804</v>
      </c>
      <c r="AI2589" t="s">
        <v>11805</v>
      </c>
      <c r="AJ2589">
        <v>-0.41</v>
      </c>
      <c r="AK2589">
        <v>419</v>
      </c>
      <c r="AL2589">
        <v>42</v>
      </c>
      <c r="AM2589">
        <v>4.0000000000000002E-4</v>
      </c>
      <c r="AN2589">
        <v>-1</v>
      </c>
      <c r="AO2589">
        <v>-0.98</v>
      </c>
      <c r="AP2589">
        <v>0.25</v>
      </c>
      <c r="AQ2589">
        <v>-4.25</v>
      </c>
      <c r="AR2589">
        <v>10.51</v>
      </c>
      <c r="AS2589">
        <v>0.34</v>
      </c>
      <c r="AT2589" t="s">
        <v>1874</v>
      </c>
      <c r="AU2589">
        <v>27.8</v>
      </c>
      <c r="AV2589">
        <v>28.89</v>
      </c>
      <c r="AW2589">
        <v>1.18</v>
      </c>
      <c r="BA2589">
        <v>-0.25</v>
      </c>
      <c r="BB2589">
        <v>0.25</v>
      </c>
      <c r="BC2589">
        <v>-0.74</v>
      </c>
      <c r="BD2589">
        <v>-0.23</v>
      </c>
      <c r="BE2589">
        <v>-0.25</v>
      </c>
      <c r="BF2589">
        <v>-0.73</v>
      </c>
      <c r="BG2589">
        <v>0.25</v>
      </c>
      <c r="BH2589">
        <v>-0.26</v>
      </c>
      <c r="BI2589">
        <v>20191030</v>
      </c>
      <c r="BJ2589">
        <v>20010618</v>
      </c>
      <c r="BK2589">
        <v>10.92</v>
      </c>
      <c r="BL2589" t="s">
        <v>116</v>
      </c>
      <c r="BM2589" t="s">
        <v>116</v>
      </c>
      <c r="BN2589">
        <v>53.29</v>
      </c>
      <c r="BO2589">
        <v>27.82</v>
      </c>
      <c r="BP2589">
        <v>6.55</v>
      </c>
      <c r="BQ2589">
        <v>35.520000000000003</v>
      </c>
      <c r="BR2589">
        <v>21.41</v>
      </c>
      <c r="BS2589">
        <v>22.21</v>
      </c>
      <c r="BT2589">
        <v>0.68</v>
      </c>
      <c r="BU2589">
        <v>18.260000000000002</v>
      </c>
      <c r="BV2589">
        <v>14.21</v>
      </c>
      <c r="BW2589">
        <v>3.3</v>
      </c>
      <c r="BX2589">
        <v>4.1399999999999997</v>
      </c>
      <c r="BY2589">
        <v>23.67</v>
      </c>
      <c r="BZ2589">
        <v>13.36</v>
      </c>
      <c r="CA2589">
        <v>2.0699999999999998</v>
      </c>
      <c r="CB2589">
        <v>-0.03</v>
      </c>
      <c r="CC2589">
        <v>2.08</v>
      </c>
      <c r="CD2589">
        <v>1.41</v>
      </c>
      <c r="CE2589">
        <v>1.1399999999999999</v>
      </c>
      <c r="CF2589">
        <v>1.1100000000000001</v>
      </c>
      <c r="CG2589">
        <v>10.61</v>
      </c>
      <c r="CH2589">
        <v>0.23</v>
      </c>
      <c r="CI2589">
        <v>-1.53</v>
      </c>
      <c r="CJ2589">
        <v>58867</v>
      </c>
      <c r="CK2589">
        <v>8885</v>
      </c>
      <c r="CL2589" t="s">
        <v>2538</v>
      </c>
      <c r="CM2589">
        <v>5.56</v>
      </c>
      <c r="CN2589">
        <v>26.9</v>
      </c>
      <c r="CO2589">
        <v>1.59</v>
      </c>
      <c r="CP2589">
        <v>190.59</v>
      </c>
      <c r="CQ2589">
        <v>1.87</v>
      </c>
      <c r="CR2589">
        <v>1.38</v>
      </c>
      <c r="CS2589" t="s">
        <v>3672</v>
      </c>
      <c r="CT2589">
        <v>2.5499999999999998</v>
      </c>
      <c r="CU2589">
        <v>0</v>
      </c>
      <c r="CV2589">
        <v>0.38</v>
      </c>
      <c r="CW2589">
        <v>0.97</v>
      </c>
      <c r="CX2589">
        <v>0.02</v>
      </c>
      <c r="CY2589">
        <v>52.19</v>
      </c>
      <c r="CZ2589" t="s">
        <v>4488</v>
      </c>
      <c r="DA2589">
        <v>43.57</v>
      </c>
      <c r="DB2589">
        <v>8.73</v>
      </c>
      <c r="DC2589">
        <v>4.8099999999999996</v>
      </c>
      <c r="DD2589">
        <v>0.86</v>
      </c>
      <c r="DE2589">
        <v>2311</v>
      </c>
      <c r="DF2589">
        <v>600488</v>
      </c>
      <c r="DG2589" t="s">
        <v>116</v>
      </c>
      <c r="DH2589" t="s">
        <v>116</v>
      </c>
      <c r="DI2589" t="s">
        <v>116</v>
      </c>
    </row>
    <row r="2590" spans="1:113" x14ac:dyDescent="0.4">
      <c r="A2590" t="str">
        <f>"600489"</f>
        <v>600489</v>
      </c>
      <c r="B2590" t="s">
        <v>11806</v>
      </c>
      <c r="C2590">
        <v>1.1000000000000001</v>
      </c>
      <c r="D2590">
        <v>8.2799999999999994</v>
      </c>
      <c r="E2590">
        <v>0.09</v>
      </c>
      <c r="F2590">
        <v>8.27</v>
      </c>
      <c r="G2590">
        <v>8.2799999999999994</v>
      </c>
      <c r="H2590">
        <v>531739</v>
      </c>
      <c r="I2590">
        <v>2587</v>
      </c>
      <c r="J2590">
        <v>0.12</v>
      </c>
      <c r="K2590">
        <v>1.54</v>
      </c>
      <c r="L2590">
        <v>8.24</v>
      </c>
      <c r="M2590">
        <v>8.41</v>
      </c>
      <c r="N2590">
        <v>8.2200000000000006</v>
      </c>
      <c r="O2590">
        <v>8.19</v>
      </c>
      <c r="P2590">
        <v>164.29</v>
      </c>
      <c r="Q2590">
        <v>442372480</v>
      </c>
      <c r="R2590">
        <v>2.08</v>
      </c>
      <c r="S2590" t="s">
        <v>871</v>
      </c>
      <c r="T2590" t="s">
        <v>165</v>
      </c>
      <c r="U2590">
        <v>2.3199999999999998</v>
      </c>
      <c r="V2590">
        <v>8.32</v>
      </c>
      <c r="W2590">
        <v>243629</v>
      </c>
      <c r="X2590">
        <v>288110</v>
      </c>
      <c r="Y2590">
        <v>0.85</v>
      </c>
      <c r="Z2590">
        <v>3861</v>
      </c>
      <c r="AA2590">
        <v>1037</v>
      </c>
      <c r="AB2590" t="s">
        <v>116</v>
      </c>
      <c r="AC2590">
        <v>2755100</v>
      </c>
      <c r="AD2590">
        <v>0.02</v>
      </c>
      <c r="AE2590" t="s">
        <v>116</v>
      </c>
      <c r="AF2590" t="s">
        <v>116</v>
      </c>
      <c r="AG2590">
        <v>34.51</v>
      </c>
      <c r="AH2590" t="s">
        <v>11807</v>
      </c>
      <c r="AI2590" t="s">
        <v>11807</v>
      </c>
      <c r="AJ2590">
        <v>1.18</v>
      </c>
      <c r="AK2590">
        <v>4236</v>
      </c>
      <c r="AL2590">
        <v>126</v>
      </c>
      <c r="AM2590">
        <v>4.0000000000000002E-4</v>
      </c>
      <c r="AN2590">
        <v>1</v>
      </c>
      <c r="AO2590">
        <v>1.47</v>
      </c>
      <c r="AP2590">
        <v>5.61</v>
      </c>
      <c r="AQ2590">
        <v>-4.83</v>
      </c>
      <c r="AR2590">
        <v>-3.27</v>
      </c>
      <c r="AS2590">
        <v>3.1</v>
      </c>
      <c r="AT2590" t="s">
        <v>11808</v>
      </c>
      <c r="AU2590">
        <v>212.26</v>
      </c>
      <c r="AV2590">
        <v>145.83000000000001</v>
      </c>
      <c r="AW2590">
        <v>0.72</v>
      </c>
      <c r="BA2590">
        <v>0.61</v>
      </c>
      <c r="BB2590">
        <v>2.69</v>
      </c>
      <c r="BC2590">
        <v>0.37</v>
      </c>
      <c r="BD2590">
        <v>1.58</v>
      </c>
      <c r="BE2590">
        <v>0.49</v>
      </c>
      <c r="BF2590">
        <v>-1.55</v>
      </c>
      <c r="BG2590">
        <v>0.73</v>
      </c>
      <c r="BH2590">
        <v>-0.48</v>
      </c>
      <c r="BI2590">
        <v>20191031</v>
      </c>
      <c r="BJ2590">
        <v>20030814</v>
      </c>
      <c r="BK2590">
        <v>34.51</v>
      </c>
      <c r="BL2590" t="s">
        <v>116</v>
      </c>
      <c r="BM2590" t="s">
        <v>116</v>
      </c>
      <c r="BN2590">
        <v>410.19</v>
      </c>
      <c r="BO2590">
        <v>136.91</v>
      </c>
      <c r="BP2590">
        <v>61.21</v>
      </c>
      <c r="BQ2590">
        <v>51.7</v>
      </c>
      <c r="BR2590">
        <v>181.72</v>
      </c>
      <c r="BS2590">
        <v>123.41</v>
      </c>
      <c r="BT2590">
        <v>38.020000000000003</v>
      </c>
      <c r="BU2590">
        <v>173.72</v>
      </c>
      <c r="BV2590">
        <v>124.27</v>
      </c>
      <c r="BW2590">
        <v>1.88</v>
      </c>
      <c r="BX2590">
        <v>41.99</v>
      </c>
      <c r="BY2590">
        <v>266.87</v>
      </c>
      <c r="BZ2590">
        <v>237.53</v>
      </c>
      <c r="CA2590">
        <v>7.93</v>
      </c>
      <c r="CB2590">
        <v>1.01</v>
      </c>
      <c r="CC2590">
        <v>6.78</v>
      </c>
      <c r="CD2590">
        <v>4.82</v>
      </c>
      <c r="CE2590">
        <v>1.3</v>
      </c>
      <c r="CF2590">
        <v>1.77</v>
      </c>
      <c r="CG2590">
        <v>52.57</v>
      </c>
      <c r="CH2590">
        <v>12.57</v>
      </c>
      <c r="CI2590">
        <v>1.1000000000000001</v>
      </c>
      <c r="CJ2590">
        <v>225972</v>
      </c>
      <c r="CK2590">
        <v>7585</v>
      </c>
      <c r="CL2590" t="s">
        <v>11809</v>
      </c>
      <c r="CM2590">
        <v>-31.98</v>
      </c>
      <c r="CN2590">
        <v>6.67</v>
      </c>
      <c r="CO2590">
        <v>2.09</v>
      </c>
      <c r="CP2590">
        <v>22.73</v>
      </c>
      <c r="CQ2590">
        <v>1.07</v>
      </c>
      <c r="CR2590">
        <v>0.24</v>
      </c>
      <c r="CS2590" t="s">
        <v>2865</v>
      </c>
      <c r="CT2590">
        <v>3.97</v>
      </c>
      <c r="CU2590">
        <v>0</v>
      </c>
      <c r="CV2590">
        <v>1.22</v>
      </c>
      <c r="CW2590">
        <v>1.52</v>
      </c>
      <c r="CX2590">
        <v>0.36</v>
      </c>
      <c r="CY2590">
        <v>33.380000000000003</v>
      </c>
      <c r="CZ2590" t="s">
        <v>8971</v>
      </c>
      <c r="DA2590">
        <v>11</v>
      </c>
      <c r="DB2590">
        <v>2.97</v>
      </c>
      <c r="DC2590">
        <v>0.49</v>
      </c>
      <c r="DD2590">
        <v>1.73</v>
      </c>
      <c r="DE2590">
        <v>23991</v>
      </c>
      <c r="DF2590">
        <v>600489</v>
      </c>
      <c r="DG2590" t="s">
        <v>116</v>
      </c>
      <c r="DH2590" t="s">
        <v>116</v>
      </c>
      <c r="DI2590" t="s">
        <v>116</v>
      </c>
    </row>
    <row r="2591" spans="1:113" x14ac:dyDescent="0.4">
      <c r="A2591" t="str">
        <f>"600490"</f>
        <v>600490</v>
      </c>
      <c r="B2591" t="s">
        <v>11810</v>
      </c>
      <c r="C2591">
        <v>2.2200000000000002</v>
      </c>
      <c r="D2591">
        <v>4.5999999999999996</v>
      </c>
      <c r="E2591">
        <v>0.1</v>
      </c>
      <c r="F2591">
        <v>4.59</v>
      </c>
      <c r="G2591">
        <v>4.5999999999999996</v>
      </c>
      <c r="H2591">
        <v>631383</v>
      </c>
      <c r="I2591">
        <v>6599</v>
      </c>
      <c r="J2591">
        <v>0</v>
      </c>
      <c r="K2591">
        <v>4.2300000000000004</v>
      </c>
      <c r="L2591">
        <v>4.5199999999999996</v>
      </c>
      <c r="M2591">
        <v>4.8499999999999996</v>
      </c>
      <c r="N2591">
        <v>4.47</v>
      </c>
      <c r="O2591">
        <v>4.5</v>
      </c>
      <c r="P2591">
        <v>21.54</v>
      </c>
      <c r="Q2591">
        <v>293902592</v>
      </c>
      <c r="R2591">
        <v>2.83</v>
      </c>
      <c r="S2591" t="s">
        <v>1517</v>
      </c>
      <c r="T2591" t="s">
        <v>1653</v>
      </c>
      <c r="U2591">
        <v>8.44</v>
      </c>
      <c r="V2591">
        <v>4.6500000000000004</v>
      </c>
      <c r="W2591">
        <v>299403</v>
      </c>
      <c r="X2591">
        <v>331980</v>
      </c>
      <c r="Y2591">
        <v>0.9</v>
      </c>
      <c r="Z2591">
        <v>2873</v>
      </c>
      <c r="AA2591">
        <v>446</v>
      </c>
      <c r="AB2591" t="s">
        <v>116</v>
      </c>
      <c r="AC2591">
        <v>334500</v>
      </c>
      <c r="AD2591">
        <v>0.01</v>
      </c>
      <c r="AE2591" t="s">
        <v>116</v>
      </c>
      <c r="AF2591" t="s">
        <v>116</v>
      </c>
      <c r="AG2591">
        <v>14.91</v>
      </c>
      <c r="AH2591" t="s">
        <v>11811</v>
      </c>
      <c r="AI2591" t="s">
        <v>11812</v>
      </c>
      <c r="AJ2591">
        <v>2.2999999999999998</v>
      </c>
      <c r="AK2591">
        <v>3375</v>
      </c>
      <c r="AL2591">
        <v>187</v>
      </c>
      <c r="AM2591">
        <v>1.2999999999999999E-3</v>
      </c>
      <c r="AN2591">
        <v>2</v>
      </c>
      <c r="AO2591">
        <v>2.2200000000000002</v>
      </c>
      <c r="AP2591">
        <v>10.050000000000001</v>
      </c>
      <c r="AQ2591">
        <v>-0.43</v>
      </c>
      <c r="AR2591">
        <v>1.1000000000000001</v>
      </c>
      <c r="AS2591">
        <v>5.16</v>
      </c>
      <c r="AT2591" t="s">
        <v>11813</v>
      </c>
      <c r="AU2591">
        <v>39.92</v>
      </c>
      <c r="AV2591">
        <v>51.37</v>
      </c>
      <c r="AW2591">
        <v>1.47</v>
      </c>
      <c r="BA2591">
        <v>0.44</v>
      </c>
      <c r="BB2591">
        <v>7.78</v>
      </c>
      <c r="BC2591">
        <v>-0.67</v>
      </c>
      <c r="BD2591">
        <v>3.44</v>
      </c>
      <c r="BE2591">
        <v>1.77</v>
      </c>
      <c r="BF2591">
        <v>-5.15</v>
      </c>
      <c r="BG2591">
        <v>2.91</v>
      </c>
      <c r="BH2591">
        <v>-1.22</v>
      </c>
      <c r="BI2591">
        <v>20191029</v>
      </c>
      <c r="BJ2591">
        <v>20030626</v>
      </c>
      <c r="BK2591">
        <v>22.16</v>
      </c>
      <c r="BL2591" t="s">
        <v>116</v>
      </c>
      <c r="BM2591" t="s">
        <v>116</v>
      </c>
      <c r="BN2591">
        <v>104.08</v>
      </c>
      <c r="BO2591">
        <v>65.239999999999995</v>
      </c>
      <c r="BP2591">
        <v>0.42</v>
      </c>
      <c r="BQ2591">
        <v>36.909999999999997</v>
      </c>
      <c r="BR2591">
        <v>57.8</v>
      </c>
      <c r="BS2591">
        <v>20.29</v>
      </c>
      <c r="BT2591">
        <v>0.04</v>
      </c>
      <c r="BU2591">
        <v>35.409999999999997</v>
      </c>
      <c r="BV2591">
        <v>9.59</v>
      </c>
      <c r="BW2591">
        <v>2.54</v>
      </c>
      <c r="BX2591">
        <v>32.78</v>
      </c>
      <c r="BY2591">
        <v>142.44999999999999</v>
      </c>
      <c r="BZ2591">
        <v>139.02000000000001</v>
      </c>
      <c r="CA2591">
        <v>4.6399999999999997</v>
      </c>
      <c r="CB2591">
        <v>4.93</v>
      </c>
      <c r="CC2591">
        <v>4.66</v>
      </c>
      <c r="CD2591">
        <v>3.34</v>
      </c>
      <c r="CE2591">
        <v>3.55</v>
      </c>
      <c r="CF2591">
        <v>0.26</v>
      </c>
      <c r="CG2591">
        <v>8.1199999999999992</v>
      </c>
      <c r="CH2591">
        <v>3.63</v>
      </c>
      <c r="CI2591">
        <v>-2.0099999999999998</v>
      </c>
      <c r="CJ2591">
        <v>87467</v>
      </c>
      <c r="CK2591">
        <v>13985</v>
      </c>
      <c r="CL2591" t="s">
        <v>10130</v>
      </c>
      <c r="CM2591">
        <v>19.100000000000001</v>
      </c>
      <c r="CN2591">
        <v>33.06</v>
      </c>
      <c r="CO2591">
        <v>1.56</v>
      </c>
      <c r="CP2591">
        <v>28.06</v>
      </c>
      <c r="CQ2591">
        <v>0.72</v>
      </c>
      <c r="CR2591">
        <v>0</v>
      </c>
      <c r="CS2591" t="s">
        <v>7859</v>
      </c>
      <c r="CT2591">
        <v>2.94</v>
      </c>
      <c r="CU2591">
        <v>0</v>
      </c>
      <c r="CV2591">
        <v>1.48</v>
      </c>
      <c r="CW2591">
        <v>0.37</v>
      </c>
      <c r="CX2591">
        <v>0.16</v>
      </c>
      <c r="CY2591">
        <v>62.69</v>
      </c>
      <c r="CZ2591" t="s">
        <v>11638</v>
      </c>
      <c r="DA2591">
        <v>2.41</v>
      </c>
      <c r="DB2591">
        <v>3.26</v>
      </c>
      <c r="DC2591">
        <v>2.4900000000000002</v>
      </c>
      <c r="DD2591">
        <v>0</v>
      </c>
      <c r="DE2591">
        <v>1811</v>
      </c>
      <c r="DF2591">
        <v>600490</v>
      </c>
      <c r="DG2591" t="s">
        <v>116</v>
      </c>
      <c r="DH2591" t="s">
        <v>116</v>
      </c>
      <c r="DI2591" t="s">
        <v>116</v>
      </c>
    </row>
    <row r="2592" spans="1:113" x14ac:dyDescent="0.4">
      <c r="A2592" t="str">
        <f>"600491"</f>
        <v>600491</v>
      </c>
      <c r="B2592" t="s">
        <v>11814</v>
      </c>
      <c r="C2592">
        <v>0.28000000000000003</v>
      </c>
      <c r="D2592">
        <v>7.28</v>
      </c>
      <c r="E2592">
        <v>0.02</v>
      </c>
      <c r="F2592">
        <v>7.27</v>
      </c>
      <c r="G2592">
        <v>7.28</v>
      </c>
      <c r="H2592">
        <v>87508</v>
      </c>
      <c r="I2592">
        <v>3331</v>
      </c>
      <c r="J2592">
        <v>0.14000000000000001</v>
      </c>
      <c r="K2592">
        <v>0.56999999999999995</v>
      </c>
      <c r="L2592">
        <v>7.27</v>
      </c>
      <c r="M2592">
        <v>7.33</v>
      </c>
      <c r="N2592">
        <v>7.23</v>
      </c>
      <c r="O2592">
        <v>7.26</v>
      </c>
      <c r="P2592">
        <v>13.32</v>
      </c>
      <c r="Q2592">
        <v>63713208</v>
      </c>
      <c r="R2592">
        <v>1.4</v>
      </c>
      <c r="S2592" t="s">
        <v>181</v>
      </c>
      <c r="T2592" t="s">
        <v>590</v>
      </c>
      <c r="U2592">
        <v>1.38</v>
      </c>
      <c r="V2592">
        <v>7.28</v>
      </c>
      <c r="W2592">
        <v>54715</v>
      </c>
      <c r="X2592">
        <v>32793</v>
      </c>
      <c r="Y2592">
        <v>1.67</v>
      </c>
      <c r="Z2592">
        <v>1523</v>
      </c>
      <c r="AA2592">
        <v>302</v>
      </c>
      <c r="AB2592" t="s">
        <v>116</v>
      </c>
      <c r="AC2592">
        <v>33400</v>
      </c>
      <c r="AD2592">
        <v>0</v>
      </c>
      <c r="AE2592" t="s">
        <v>116</v>
      </c>
      <c r="AF2592" t="s">
        <v>116</v>
      </c>
      <c r="AG2592">
        <v>15.3</v>
      </c>
      <c r="AH2592" t="s">
        <v>11815</v>
      </c>
      <c r="AI2592" t="s">
        <v>11815</v>
      </c>
      <c r="AJ2592">
        <v>0.35</v>
      </c>
      <c r="AK2592">
        <v>1101</v>
      </c>
      <c r="AL2592">
        <v>79</v>
      </c>
      <c r="AM2592">
        <v>5.0000000000000001E-4</v>
      </c>
      <c r="AN2592">
        <v>2</v>
      </c>
      <c r="AO2592">
        <v>-0.14000000000000001</v>
      </c>
      <c r="AP2592">
        <v>-2.02</v>
      </c>
      <c r="AQ2592">
        <v>-6.55</v>
      </c>
      <c r="AR2592">
        <v>8.49</v>
      </c>
      <c r="AS2592">
        <v>0.98</v>
      </c>
      <c r="AT2592" t="s">
        <v>11816</v>
      </c>
      <c r="AU2592">
        <v>11.23</v>
      </c>
      <c r="AV2592">
        <v>12.08</v>
      </c>
      <c r="AW2592">
        <v>0.12</v>
      </c>
      <c r="BA2592">
        <v>0.14000000000000001</v>
      </c>
      <c r="BB2592">
        <v>0.96</v>
      </c>
      <c r="BC2592">
        <v>-0.41</v>
      </c>
      <c r="BD2592">
        <v>0.28999999999999998</v>
      </c>
      <c r="BE2592">
        <v>0.14000000000000001</v>
      </c>
      <c r="BF2592">
        <v>-0.68</v>
      </c>
      <c r="BG2592">
        <v>0.69</v>
      </c>
      <c r="BH2592">
        <v>-0.01</v>
      </c>
      <c r="BI2592">
        <v>20191030</v>
      </c>
      <c r="BJ2592">
        <v>20040524</v>
      </c>
      <c r="BK2592">
        <v>15.3</v>
      </c>
      <c r="BL2592" t="s">
        <v>116</v>
      </c>
      <c r="BM2592" t="s">
        <v>116</v>
      </c>
      <c r="BN2592">
        <v>572.46</v>
      </c>
      <c r="BO2592">
        <v>102.5</v>
      </c>
      <c r="BP2592">
        <v>10.5</v>
      </c>
      <c r="BQ2592">
        <v>80.260000000000005</v>
      </c>
      <c r="BR2592">
        <v>307.36</v>
      </c>
      <c r="BS2592">
        <v>5.28</v>
      </c>
      <c r="BT2592">
        <v>0.84</v>
      </c>
      <c r="BU2592">
        <v>325.89999999999998</v>
      </c>
      <c r="BV2592">
        <v>143.85</v>
      </c>
      <c r="BW2592">
        <v>84.28</v>
      </c>
      <c r="BX2592">
        <v>40.5</v>
      </c>
      <c r="BY2592">
        <v>161.28</v>
      </c>
      <c r="BZ2592">
        <v>146.57</v>
      </c>
      <c r="CA2592">
        <v>8.89</v>
      </c>
      <c r="CB2592">
        <v>0.22</v>
      </c>
      <c r="CC2592">
        <v>8.8800000000000008</v>
      </c>
      <c r="CD2592">
        <v>6.08</v>
      </c>
      <c r="CE2592">
        <v>6.27</v>
      </c>
      <c r="CF2592">
        <v>5.59</v>
      </c>
      <c r="CG2592">
        <v>37.65</v>
      </c>
      <c r="CH2592">
        <v>-12.66</v>
      </c>
      <c r="CI2592">
        <v>0.57999999999999996</v>
      </c>
      <c r="CJ2592">
        <v>44028</v>
      </c>
      <c r="CK2592">
        <v>20257</v>
      </c>
      <c r="CL2592" t="s">
        <v>483</v>
      </c>
      <c r="CM2592">
        <v>12.45</v>
      </c>
      <c r="CN2592">
        <v>6.59</v>
      </c>
      <c r="CO2592">
        <v>1.0900000000000001</v>
      </c>
      <c r="CP2592">
        <v>-8.8000000000000007</v>
      </c>
      <c r="CQ2592">
        <v>0.69</v>
      </c>
      <c r="CR2592">
        <v>0.82</v>
      </c>
      <c r="CS2592" t="s">
        <v>335</v>
      </c>
      <c r="CT2592">
        <v>6.7</v>
      </c>
      <c r="CU2592">
        <v>0</v>
      </c>
      <c r="CV2592">
        <v>2.65</v>
      </c>
      <c r="CW2592">
        <v>2.46</v>
      </c>
      <c r="CX2592">
        <v>-0.83</v>
      </c>
      <c r="CY2592">
        <v>17.899999999999999</v>
      </c>
      <c r="CZ2592" t="s">
        <v>8814</v>
      </c>
      <c r="DA2592">
        <v>9.1199999999999992</v>
      </c>
      <c r="DB2592">
        <v>5.51</v>
      </c>
      <c r="DC2592">
        <v>3.89</v>
      </c>
      <c r="DD2592">
        <v>0.42</v>
      </c>
      <c r="DE2592">
        <v>5099</v>
      </c>
      <c r="DF2592">
        <v>600491</v>
      </c>
      <c r="DG2592" t="s">
        <v>116</v>
      </c>
      <c r="DH2592" t="s">
        <v>116</v>
      </c>
      <c r="DI2592" t="s">
        <v>116</v>
      </c>
    </row>
    <row r="2593" spans="1:113" x14ac:dyDescent="0.4">
      <c r="A2593" t="str">
        <f>"600493"</f>
        <v>600493</v>
      </c>
      <c r="B2593" t="s">
        <v>11817</v>
      </c>
      <c r="C2593">
        <v>-0.9</v>
      </c>
      <c r="D2593">
        <v>5.48</v>
      </c>
      <c r="E2593">
        <v>-0.05</v>
      </c>
      <c r="F2593">
        <v>5.48</v>
      </c>
      <c r="G2593">
        <v>5.49</v>
      </c>
      <c r="H2593">
        <v>18155</v>
      </c>
      <c r="I2593">
        <v>239</v>
      </c>
      <c r="J2593">
        <v>-0.17</v>
      </c>
      <c r="K2593">
        <v>0.67</v>
      </c>
      <c r="L2593">
        <v>5.55</v>
      </c>
      <c r="M2593">
        <v>5.57</v>
      </c>
      <c r="N2593">
        <v>5.46</v>
      </c>
      <c r="O2593">
        <v>5.53</v>
      </c>
      <c r="P2593">
        <v>35.46</v>
      </c>
      <c r="Q2593">
        <v>10026457</v>
      </c>
      <c r="R2593">
        <v>1.1499999999999999</v>
      </c>
      <c r="S2593" t="s">
        <v>1420</v>
      </c>
      <c r="T2593" t="s">
        <v>975</v>
      </c>
      <c r="U2593">
        <v>1.99</v>
      </c>
      <c r="V2593">
        <v>5.52</v>
      </c>
      <c r="W2593">
        <v>10717</v>
      </c>
      <c r="X2593">
        <v>7438</v>
      </c>
      <c r="Y2593">
        <v>1.44</v>
      </c>
      <c r="Z2593">
        <v>88</v>
      </c>
      <c r="AA2593">
        <v>70</v>
      </c>
      <c r="AB2593" t="s">
        <v>116</v>
      </c>
      <c r="AC2593">
        <v>53300</v>
      </c>
      <c r="AD2593">
        <v>0.01</v>
      </c>
      <c r="AE2593" t="s">
        <v>116</v>
      </c>
      <c r="AF2593" t="s">
        <v>116</v>
      </c>
      <c r="AG2593">
        <v>2.72</v>
      </c>
      <c r="AH2593" t="s">
        <v>7111</v>
      </c>
      <c r="AI2593" t="s">
        <v>7111</v>
      </c>
      <c r="AJ2593">
        <v>-0.83</v>
      </c>
      <c r="AK2593">
        <v>662</v>
      </c>
      <c r="AL2593">
        <v>27</v>
      </c>
      <c r="AM2593">
        <v>1E-3</v>
      </c>
      <c r="AN2593">
        <v>-1</v>
      </c>
      <c r="AO2593">
        <v>-0.18</v>
      </c>
      <c r="AP2593">
        <v>4.9800000000000004</v>
      </c>
      <c r="AQ2593">
        <v>-5.19</v>
      </c>
      <c r="AR2593">
        <v>-11.9</v>
      </c>
      <c r="AS2593">
        <v>1.08</v>
      </c>
      <c r="AT2593" t="s">
        <v>11818</v>
      </c>
      <c r="AU2593">
        <v>100.96</v>
      </c>
      <c r="AV2593">
        <v>48.71</v>
      </c>
      <c r="AW2593">
        <v>1.5</v>
      </c>
      <c r="BA2593">
        <v>0.36</v>
      </c>
      <c r="BB2593">
        <v>0.72</v>
      </c>
      <c r="BC2593">
        <v>-1.27</v>
      </c>
      <c r="BD2593">
        <v>-0.13</v>
      </c>
      <c r="BE2593">
        <v>-1.26</v>
      </c>
      <c r="BF2593">
        <v>-1.62</v>
      </c>
      <c r="BG2593">
        <v>0.37</v>
      </c>
      <c r="BH2593">
        <v>-0.77</v>
      </c>
      <c r="BI2593">
        <v>20191031</v>
      </c>
      <c r="BJ2593">
        <v>20040421</v>
      </c>
      <c r="BK2593">
        <v>2.72</v>
      </c>
      <c r="BL2593" t="s">
        <v>116</v>
      </c>
      <c r="BM2593" t="s">
        <v>116</v>
      </c>
      <c r="BN2593">
        <v>14.49</v>
      </c>
      <c r="BO2593">
        <v>7.4</v>
      </c>
      <c r="BP2593">
        <v>0</v>
      </c>
      <c r="BQ2593">
        <v>48.95</v>
      </c>
      <c r="BR2593">
        <v>6.98</v>
      </c>
      <c r="BS2593">
        <v>2.48</v>
      </c>
      <c r="BT2593">
        <v>1.96</v>
      </c>
      <c r="BU2593">
        <v>5.45</v>
      </c>
      <c r="BV2593">
        <v>2.19</v>
      </c>
      <c r="BW2593">
        <v>1.03</v>
      </c>
      <c r="BX2593">
        <v>1.91</v>
      </c>
      <c r="BY2593">
        <v>7.82</v>
      </c>
      <c r="BZ2593">
        <v>6.71</v>
      </c>
      <c r="CA2593">
        <v>0.41</v>
      </c>
      <c r="CB2593">
        <v>0</v>
      </c>
      <c r="CC2593">
        <v>0.4</v>
      </c>
      <c r="CD2593">
        <v>0.32</v>
      </c>
      <c r="CE2593">
        <v>0.32</v>
      </c>
      <c r="CF2593">
        <v>0.28999999999999998</v>
      </c>
      <c r="CG2593">
        <v>1.89</v>
      </c>
      <c r="CH2593">
        <v>0.61</v>
      </c>
      <c r="CI2593">
        <v>-0.19</v>
      </c>
      <c r="CJ2593">
        <v>23200</v>
      </c>
      <c r="CK2593">
        <v>7267</v>
      </c>
      <c r="CL2593" t="s">
        <v>1713</v>
      </c>
      <c r="CM2593">
        <v>-33.44</v>
      </c>
      <c r="CN2593">
        <v>7.62</v>
      </c>
      <c r="CO2593">
        <v>2.0099999999999998</v>
      </c>
      <c r="CP2593">
        <v>24.47</v>
      </c>
      <c r="CQ2593">
        <v>1.91</v>
      </c>
      <c r="CR2593">
        <v>0.73</v>
      </c>
      <c r="CS2593" t="s">
        <v>1182</v>
      </c>
      <c r="CT2593">
        <v>2.72</v>
      </c>
      <c r="CU2593">
        <v>0</v>
      </c>
      <c r="CV2593">
        <v>0.7</v>
      </c>
      <c r="CW2593">
        <v>0.7</v>
      </c>
      <c r="CX2593">
        <v>0.22</v>
      </c>
      <c r="CY2593">
        <v>51.05</v>
      </c>
      <c r="CZ2593" t="s">
        <v>11819</v>
      </c>
      <c r="DA2593">
        <v>14.22</v>
      </c>
      <c r="DB2593">
        <v>5.27</v>
      </c>
      <c r="DC2593">
        <v>4.03</v>
      </c>
      <c r="DD2593">
        <v>0.13</v>
      </c>
      <c r="DE2593">
        <v>1498</v>
      </c>
      <c r="DF2593">
        <v>600493</v>
      </c>
      <c r="DG2593" t="s">
        <v>116</v>
      </c>
      <c r="DH2593" t="s">
        <v>116</v>
      </c>
      <c r="DI2593" t="s">
        <v>116</v>
      </c>
    </row>
    <row r="2594" spans="1:113" x14ac:dyDescent="0.4">
      <c r="A2594" t="str">
        <f>"600495"</f>
        <v>600495</v>
      </c>
      <c r="B2594" t="s">
        <v>11820</v>
      </c>
      <c r="C2594">
        <v>-0.48</v>
      </c>
      <c r="D2594">
        <v>4.12</v>
      </c>
      <c r="E2594">
        <v>-0.02</v>
      </c>
      <c r="F2594">
        <v>4.12</v>
      </c>
      <c r="G2594">
        <v>4.13</v>
      </c>
      <c r="H2594">
        <v>115058</v>
      </c>
      <c r="I2594">
        <v>2289</v>
      </c>
      <c r="J2594">
        <v>-0.23</v>
      </c>
      <c r="K2594">
        <v>0.95</v>
      </c>
      <c r="L2594">
        <v>4.1500000000000004</v>
      </c>
      <c r="M2594">
        <v>4.18</v>
      </c>
      <c r="N2594">
        <v>4.12</v>
      </c>
      <c r="O2594">
        <v>4.1399999999999997</v>
      </c>
      <c r="P2594">
        <v>79.66</v>
      </c>
      <c r="Q2594">
        <v>47701940</v>
      </c>
      <c r="R2594">
        <v>1.39</v>
      </c>
      <c r="S2594" t="s">
        <v>164</v>
      </c>
      <c r="T2594" t="s">
        <v>675</v>
      </c>
      <c r="U2594">
        <v>1.45</v>
      </c>
      <c r="V2594">
        <v>4.1500000000000004</v>
      </c>
      <c r="W2594">
        <v>55009</v>
      </c>
      <c r="X2594">
        <v>60049</v>
      </c>
      <c r="Y2594">
        <v>0.92</v>
      </c>
      <c r="Z2594">
        <v>496</v>
      </c>
      <c r="AA2594">
        <v>1109</v>
      </c>
      <c r="AB2594" t="s">
        <v>116</v>
      </c>
      <c r="AC2594">
        <v>50600</v>
      </c>
      <c r="AD2594">
        <v>0</v>
      </c>
      <c r="AE2594" t="s">
        <v>116</v>
      </c>
      <c r="AF2594" t="s">
        <v>116</v>
      </c>
      <c r="AG2594">
        <v>12.08</v>
      </c>
      <c r="AH2594" t="s">
        <v>11821</v>
      </c>
      <c r="AI2594" t="s">
        <v>11821</v>
      </c>
      <c r="AJ2594">
        <v>-0.41</v>
      </c>
      <c r="AK2594">
        <v>1937</v>
      </c>
      <c r="AL2594">
        <v>59</v>
      </c>
      <c r="AM2594">
        <v>5.0000000000000001E-4</v>
      </c>
      <c r="AN2594">
        <v>-1</v>
      </c>
      <c r="AO2594">
        <v>0</v>
      </c>
      <c r="AP2594">
        <v>0.73</v>
      </c>
      <c r="AQ2594">
        <v>-8.65</v>
      </c>
      <c r="AR2594">
        <v>0.54</v>
      </c>
      <c r="AS2594">
        <v>1.38</v>
      </c>
      <c r="AT2594" t="s">
        <v>6860</v>
      </c>
      <c r="AU2594">
        <v>116.41</v>
      </c>
      <c r="AV2594">
        <v>139.34</v>
      </c>
      <c r="AW2594">
        <v>1.27</v>
      </c>
      <c r="BA2594">
        <v>0.24</v>
      </c>
      <c r="BB2594">
        <v>0.97</v>
      </c>
      <c r="BC2594">
        <v>-0.48</v>
      </c>
      <c r="BD2594">
        <v>0.14000000000000001</v>
      </c>
      <c r="BE2594">
        <v>-0.72</v>
      </c>
      <c r="BF2594">
        <v>-1.44</v>
      </c>
      <c r="BG2594">
        <v>0</v>
      </c>
      <c r="BH2594">
        <v>-0.63</v>
      </c>
      <c r="BI2594">
        <v>20191223</v>
      </c>
      <c r="BJ2594">
        <v>20040526</v>
      </c>
      <c r="BK2594">
        <v>12.08</v>
      </c>
      <c r="BL2594" t="s">
        <v>116</v>
      </c>
      <c r="BM2594" t="s">
        <v>116</v>
      </c>
      <c r="BN2594">
        <v>39.58</v>
      </c>
      <c r="BO2594">
        <v>31.78</v>
      </c>
      <c r="BP2594">
        <v>0</v>
      </c>
      <c r="BQ2594">
        <v>19.7</v>
      </c>
      <c r="BR2594">
        <v>22.96</v>
      </c>
      <c r="BS2594">
        <v>11.69</v>
      </c>
      <c r="BT2594">
        <v>1.02</v>
      </c>
      <c r="BU2594">
        <v>7.01</v>
      </c>
      <c r="BV2594">
        <v>6.03</v>
      </c>
      <c r="BW2594">
        <v>3.72</v>
      </c>
      <c r="BX2594">
        <v>11.6</v>
      </c>
      <c r="BY2594">
        <v>9.0299999999999994</v>
      </c>
      <c r="BZ2594">
        <v>7.48</v>
      </c>
      <c r="CA2594">
        <v>0.59</v>
      </c>
      <c r="CB2594">
        <v>0.4</v>
      </c>
      <c r="CC2594">
        <v>0.62</v>
      </c>
      <c r="CD2594">
        <v>0.47</v>
      </c>
      <c r="CE2594">
        <v>0.47</v>
      </c>
      <c r="CF2594">
        <v>0.16</v>
      </c>
      <c r="CG2594">
        <v>6.08</v>
      </c>
      <c r="CH2594">
        <v>-0.32</v>
      </c>
      <c r="CI2594">
        <v>2.37</v>
      </c>
      <c r="CJ2594">
        <v>120773</v>
      </c>
      <c r="CK2594">
        <v>6902</v>
      </c>
      <c r="CL2594" t="s">
        <v>3462</v>
      </c>
      <c r="CM2594">
        <v>17.670000000000002</v>
      </c>
      <c r="CN2594">
        <v>-1</v>
      </c>
      <c r="CO2594">
        <v>1.57</v>
      </c>
      <c r="CP2594">
        <v>-157.57</v>
      </c>
      <c r="CQ2594">
        <v>5.52</v>
      </c>
      <c r="CR2594">
        <v>0.28999999999999998</v>
      </c>
      <c r="CS2594" t="s">
        <v>1887</v>
      </c>
      <c r="CT2594">
        <v>2.63</v>
      </c>
      <c r="CU2594">
        <v>0</v>
      </c>
      <c r="CV2594">
        <v>0.96</v>
      </c>
      <c r="CW2594">
        <v>0.5</v>
      </c>
      <c r="CX2594">
        <v>-0.03</v>
      </c>
      <c r="CY2594">
        <v>80.3</v>
      </c>
      <c r="CZ2594" t="s">
        <v>6053</v>
      </c>
      <c r="DA2594">
        <v>17.12</v>
      </c>
      <c r="DB2594">
        <v>6.49</v>
      </c>
      <c r="DC2594">
        <v>5.19</v>
      </c>
      <c r="DD2594">
        <v>0.5</v>
      </c>
      <c r="DE2594">
        <v>1358</v>
      </c>
      <c r="DF2594">
        <v>600495</v>
      </c>
      <c r="DG2594" t="s">
        <v>116</v>
      </c>
      <c r="DH2594" t="s">
        <v>116</v>
      </c>
      <c r="DI2594" t="s">
        <v>116</v>
      </c>
    </row>
    <row r="2595" spans="1:113" x14ac:dyDescent="0.4">
      <c r="A2595" t="str">
        <f>"600496"</f>
        <v>600496</v>
      </c>
      <c r="B2595" t="s">
        <v>11822</v>
      </c>
      <c r="C2595">
        <v>0.35</v>
      </c>
      <c r="D2595">
        <v>2.83</v>
      </c>
      <c r="E2595">
        <v>0.01</v>
      </c>
      <c r="F2595">
        <v>2.83</v>
      </c>
      <c r="G2595">
        <v>2.84</v>
      </c>
      <c r="H2595">
        <v>125982</v>
      </c>
      <c r="I2595">
        <v>3440</v>
      </c>
      <c r="J2595">
        <v>0</v>
      </c>
      <c r="K2595">
        <v>0.83</v>
      </c>
      <c r="L2595">
        <v>2.82</v>
      </c>
      <c r="M2595">
        <v>2.85</v>
      </c>
      <c r="N2595">
        <v>2.81</v>
      </c>
      <c r="O2595">
        <v>2.82</v>
      </c>
      <c r="P2595">
        <v>12.45</v>
      </c>
      <c r="Q2595">
        <v>35681368</v>
      </c>
      <c r="R2595">
        <v>1.43</v>
      </c>
      <c r="S2595" t="s">
        <v>2118</v>
      </c>
      <c r="T2595" t="s">
        <v>575</v>
      </c>
      <c r="U2595">
        <v>1.42</v>
      </c>
      <c r="V2595">
        <v>2.83</v>
      </c>
      <c r="W2595">
        <v>51662</v>
      </c>
      <c r="X2595">
        <v>74320</v>
      </c>
      <c r="Y2595">
        <v>0.7</v>
      </c>
      <c r="Z2595">
        <v>648</v>
      </c>
      <c r="AA2595">
        <v>5911</v>
      </c>
      <c r="AB2595" t="s">
        <v>116</v>
      </c>
      <c r="AC2595">
        <v>113400</v>
      </c>
      <c r="AD2595">
        <v>0</v>
      </c>
      <c r="AE2595" t="s">
        <v>116</v>
      </c>
      <c r="AF2595" t="s">
        <v>116</v>
      </c>
      <c r="AG2595">
        <v>15.1</v>
      </c>
      <c r="AH2595" t="s">
        <v>11823</v>
      </c>
      <c r="AI2595" t="s">
        <v>11824</v>
      </c>
      <c r="AJ2595">
        <v>0.43</v>
      </c>
      <c r="AK2595">
        <v>1199</v>
      </c>
      <c r="AL2595">
        <v>105</v>
      </c>
      <c r="AM2595">
        <v>6.9999999999999999E-4</v>
      </c>
      <c r="AN2595">
        <v>2</v>
      </c>
      <c r="AO2595">
        <v>0.71</v>
      </c>
      <c r="AP2595">
        <v>4.8099999999999996</v>
      </c>
      <c r="AQ2595">
        <v>5.99</v>
      </c>
      <c r="AR2595">
        <v>8.9700000000000006</v>
      </c>
      <c r="AS2595">
        <v>1.07</v>
      </c>
      <c r="AT2595" t="s">
        <v>11825</v>
      </c>
      <c r="AU2595">
        <v>14.91</v>
      </c>
      <c r="AV2595">
        <v>28.2</v>
      </c>
      <c r="AW2595">
        <v>0.64</v>
      </c>
      <c r="BA2595">
        <v>0</v>
      </c>
      <c r="BB2595">
        <v>1.06</v>
      </c>
      <c r="BC2595">
        <v>-0.35</v>
      </c>
      <c r="BD2595">
        <v>0.43</v>
      </c>
      <c r="BE2595">
        <v>0.35</v>
      </c>
      <c r="BF2595">
        <v>-0.7</v>
      </c>
      <c r="BG2595">
        <v>0.71</v>
      </c>
      <c r="BH2595">
        <v>-0.08</v>
      </c>
      <c r="BI2595">
        <v>20191119</v>
      </c>
      <c r="BJ2595">
        <v>20020605</v>
      </c>
      <c r="BK2595">
        <v>18.100000000000001</v>
      </c>
      <c r="BL2595" t="s">
        <v>116</v>
      </c>
      <c r="BM2595" t="s">
        <v>116</v>
      </c>
      <c r="BN2595">
        <v>140.49</v>
      </c>
      <c r="BO2595">
        <v>51.59</v>
      </c>
      <c r="BP2595">
        <v>0.26</v>
      </c>
      <c r="BQ2595">
        <v>63.1</v>
      </c>
      <c r="BR2595">
        <v>108.95</v>
      </c>
      <c r="BS2595">
        <v>7.99</v>
      </c>
      <c r="BT2595">
        <v>3.28</v>
      </c>
      <c r="BU2595">
        <v>82.71</v>
      </c>
      <c r="BV2595">
        <v>55.24</v>
      </c>
      <c r="BW2595">
        <v>16.920000000000002</v>
      </c>
      <c r="BX2595">
        <v>9.76</v>
      </c>
      <c r="BY2595">
        <v>73.069999999999993</v>
      </c>
      <c r="BZ2595">
        <v>61.77</v>
      </c>
      <c r="CA2595">
        <v>3.17</v>
      </c>
      <c r="CB2595">
        <v>0.28000000000000003</v>
      </c>
      <c r="CC2595">
        <v>3.27</v>
      </c>
      <c r="CD2595">
        <v>3.06</v>
      </c>
      <c r="CE2595">
        <v>3.09</v>
      </c>
      <c r="CF2595">
        <v>2.74</v>
      </c>
      <c r="CG2595">
        <v>21.53</v>
      </c>
      <c r="CH2595">
        <v>2.76</v>
      </c>
      <c r="CI2595">
        <v>-2.12</v>
      </c>
      <c r="CJ2595">
        <v>117687</v>
      </c>
      <c r="CK2595">
        <v>9989</v>
      </c>
      <c r="CL2595" t="s">
        <v>6510</v>
      </c>
      <c r="CM2595">
        <v>110.21</v>
      </c>
      <c r="CN2595">
        <v>30.9</v>
      </c>
      <c r="CO2595">
        <v>0.99</v>
      </c>
      <c r="CP2595">
        <v>18.559999999999999</v>
      </c>
      <c r="CQ2595">
        <v>0.7</v>
      </c>
      <c r="CR2595">
        <v>0.46</v>
      </c>
      <c r="CS2595" t="s">
        <v>4074</v>
      </c>
      <c r="CT2595">
        <v>2.85</v>
      </c>
      <c r="CU2595">
        <v>0</v>
      </c>
      <c r="CV2595">
        <v>0.54</v>
      </c>
      <c r="CW2595">
        <v>1.19</v>
      </c>
      <c r="CX2595">
        <v>0.15</v>
      </c>
      <c r="CY2595">
        <v>36.72</v>
      </c>
      <c r="CZ2595" t="s">
        <v>8344</v>
      </c>
      <c r="DA2595">
        <v>15.46</v>
      </c>
      <c r="DB2595">
        <v>4.34</v>
      </c>
      <c r="DC2595">
        <v>4.2300000000000004</v>
      </c>
      <c r="DD2595">
        <v>2.92</v>
      </c>
      <c r="DE2595">
        <v>6063</v>
      </c>
      <c r="DF2595">
        <v>600496</v>
      </c>
      <c r="DG2595" t="s">
        <v>116</v>
      </c>
      <c r="DH2595" t="s">
        <v>116</v>
      </c>
      <c r="DI2595" t="s">
        <v>116</v>
      </c>
    </row>
    <row r="2596" spans="1:113" x14ac:dyDescent="0.4">
      <c r="A2596" t="str">
        <f>"600497"</f>
        <v>600497</v>
      </c>
      <c r="B2596" t="s">
        <v>11826</v>
      </c>
      <c r="C2596">
        <v>3.31</v>
      </c>
      <c r="D2596">
        <v>4.37</v>
      </c>
      <c r="E2596">
        <v>0.14000000000000001</v>
      </c>
      <c r="F2596">
        <v>4.37</v>
      </c>
      <c r="G2596">
        <v>4.38</v>
      </c>
      <c r="H2596">
        <v>856195</v>
      </c>
      <c r="I2596">
        <v>4068</v>
      </c>
      <c r="J2596">
        <v>0</v>
      </c>
      <c r="K2596">
        <v>1.99</v>
      </c>
      <c r="L2596">
        <v>4.2300000000000004</v>
      </c>
      <c r="M2596">
        <v>4.51</v>
      </c>
      <c r="N2596">
        <v>4.22</v>
      </c>
      <c r="O2596">
        <v>4.2300000000000004</v>
      </c>
      <c r="P2596">
        <v>20.25</v>
      </c>
      <c r="Q2596">
        <v>375245152</v>
      </c>
      <c r="R2596">
        <v>4.24</v>
      </c>
      <c r="S2596" t="s">
        <v>441</v>
      </c>
      <c r="T2596" t="s">
        <v>1043</v>
      </c>
      <c r="U2596">
        <v>6.86</v>
      </c>
      <c r="V2596">
        <v>4.38</v>
      </c>
      <c r="W2596">
        <v>311845</v>
      </c>
      <c r="X2596">
        <v>544350</v>
      </c>
      <c r="Y2596">
        <v>0.56999999999999995</v>
      </c>
      <c r="Z2596">
        <v>6392</v>
      </c>
      <c r="AA2596">
        <v>4894</v>
      </c>
      <c r="AB2596" t="s">
        <v>116</v>
      </c>
      <c r="AC2596">
        <v>596900</v>
      </c>
      <c r="AD2596">
        <v>0.01</v>
      </c>
      <c r="AE2596" t="s">
        <v>116</v>
      </c>
      <c r="AF2596" t="s">
        <v>116</v>
      </c>
      <c r="AG2596">
        <v>43.1</v>
      </c>
      <c r="AH2596" t="s">
        <v>3350</v>
      </c>
      <c r="AI2596" t="s">
        <v>11827</v>
      </c>
      <c r="AJ2596">
        <v>3.39</v>
      </c>
      <c r="AK2596">
        <v>3952</v>
      </c>
      <c r="AL2596">
        <v>217</v>
      </c>
      <c r="AM2596">
        <v>5.0000000000000001E-4</v>
      </c>
      <c r="AN2596">
        <v>2</v>
      </c>
      <c r="AO2596">
        <v>3.07</v>
      </c>
      <c r="AP2596">
        <v>6.59</v>
      </c>
      <c r="AQ2596">
        <v>-2.02</v>
      </c>
      <c r="AR2596">
        <v>8.44</v>
      </c>
      <c r="AS2596">
        <v>3.8</v>
      </c>
      <c r="AT2596" t="s">
        <v>11828</v>
      </c>
      <c r="AU2596">
        <v>36.46</v>
      </c>
      <c r="AV2596">
        <v>35.72</v>
      </c>
      <c r="AW2596">
        <v>1.18</v>
      </c>
      <c r="BA2596">
        <v>0</v>
      </c>
      <c r="BB2596">
        <v>6.62</v>
      </c>
      <c r="BC2596">
        <v>-0.24</v>
      </c>
      <c r="BD2596">
        <v>3.61</v>
      </c>
      <c r="BE2596">
        <v>3.31</v>
      </c>
      <c r="BF2596">
        <v>-3.1</v>
      </c>
      <c r="BG2596">
        <v>3.55</v>
      </c>
      <c r="BH2596">
        <v>-0.3</v>
      </c>
      <c r="BI2596">
        <v>20191028</v>
      </c>
      <c r="BJ2596">
        <v>20040420</v>
      </c>
      <c r="BK2596">
        <v>50.91</v>
      </c>
      <c r="BL2596" t="s">
        <v>116</v>
      </c>
      <c r="BM2596" t="s">
        <v>116</v>
      </c>
      <c r="BN2596">
        <v>310.45</v>
      </c>
      <c r="BO2596">
        <v>149.25</v>
      </c>
      <c r="BP2596">
        <v>24.2</v>
      </c>
      <c r="BQ2596">
        <v>44.13</v>
      </c>
      <c r="BR2596">
        <v>29.47</v>
      </c>
      <c r="BS2596">
        <v>105.35</v>
      </c>
      <c r="BT2596">
        <v>104.98</v>
      </c>
      <c r="BU2596">
        <v>95.27</v>
      </c>
      <c r="BV2596">
        <v>16.649999999999999</v>
      </c>
      <c r="BW2596">
        <v>0.28000000000000003</v>
      </c>
      <c r="BX2596">
        <v>81.760000000000005</v>
      </c>
      <c r="BY2596">
        <v>134.49</v>
      </c>
      <c r="BZ2596">
        <v>112.6</v>
      </c>
      <c r="CA2596">
        <v>10.02</v>
      </c>
      <c r="CB2596">
        <v>0.06</v>
      </c>
      <c r="CC2596">
        <v>10.1</v>
      </c>
      <c r="CD2596">
        <v>8.16</v>
      </c>
      <c r="CE2596">
        <v>8.24</v>
      </c>
      <c r="CF2596">
        <v>7.6</v>
      </c>
      <c r="CG2596">
        <v>9.91</v>
      </c>
      <c r="CH2596">
        <v>22.77</v>
      </c>
      <c r="CI2596">
        <v>-6.19</v>
      </c>
      <c r="CJ2596">
        <v>167557</v>
      </c>
      <c r="CK2596">
        <v>13460</v>
      </c>
      <c r="CL2596" t="s">
        <v>11829</v>
      </c>
      <c r="CM2596">
        <v>-1.5</v>
      </c>
      <c r="CN2596">
        <v>-13.81</v>
      </c>
      <c r="CO2596">
        <v>1.49</v>
      </c>
      <c r="CP2596">
        <v>9.77</v>
      </c>
      <c r="CQ2596">
        <v>1.65</v>
      </c>
      <c r="CR2596">
        <v>1.6</v>
      </c>
      <c r="CS2596" t="s">
        <v>7041</v>
      </c>
      <c r="CT2596">
        <v>2.93</v>
      </c>
      <c r="CU2596">
        <v>0</v>
      </c>
      <c r="CV2596">
        <v>1.61</v>
      </c>
      <c r="CW2596">
        <v>0.19</v>
      </c>
      <c r="CX2596">
        <v>0.45</v>
      </c>
      <c r="CY2596">
        <v>48.08</v>
      </c>
      <c r="CZ2596" t="s">
        <v>3814</v>
      </c>
      <c r="DA2596">
        <v>16.27</v>
      </c>
      <c r="DB2596">
        <v>7.45</v>
      </c>
      <c r="DC2596">
        <v>6.13</v>
      </c>
      <c r="DD2596">
        <v>7.0000000000000007E-2</v>
      </c>
      <c r="DE2596">
        <v>10705</v>
      </c>
      <c r="DF2596">
        <v>600497</v>
      </c>
      <c r="DG2596" t="s">
        <v>116</v>
      </c>
      <c r="DH2596" t="s">
        <v>116</v>
      </c>
      <c r="DI2596" t="s">
        <v>116</v>
      </c>
    </row>
    <row r="2597" spans="1:113" x14ac:dyDescent="0.4">
      <c r="A2597" t="str">
        <f>"600498"</f>
        <v>600498</v>
      </c>
      <c r="B2597" t="s">
        <v>11830</v>
      </c>
      <c r="C2597">
        <v>-7.0000000000000007E-2</v>
      </c>
      <c r="D2597">
        <v>27.1</v>
      </c>
      <c r="E2597">
        <v>-0.02</v>
      </c>
      <c r="F2597">
        <v>27.1</v>
      </c>
      <c r="G2597">
        <v>27.11</v>
      </c>
      <c r="H2597">
        <v>180082</v>
      </c>
      <c r="I2597">
        <v>1828</v>
      </c>
      <c r="J2597">
        <v>-0.03</v>
      </c>
      <c r="K2597">
        <v>1.63</v>
      </c>
      <c r="L2597">
        <v>27.28</v>
      </c>
      <c r="M2597">
        <v>27.6</v>
      </c>
      <c r="N2597">
        <v>27.02</v>
      </c>
      <c r="O2597">
        <v>27.12</v>
      </c>
      <c r="P2597">
        <v>38.42</v>
      </c>
      <c r="Q2597">
        <v>493438880</v>
      </c>
      <c r="R2597">
        <v>1.38</v>
      </c>
      <c r="S2597" t="s">
        <v>465</v>
      </c>
      <c r="T2597" t="s">
        <v>774</v>
      </c>
      <c r="U2597">
        <v>2.14</v>
      </c>
      <c r="V2597">
        <v>27.4</v>
      </c>
      <c r="W2597">
        <v>76493</v>
      </c>
      <c r="X2597">
        <v>103589</v>
      </c>
      <c r="Y2597">
        <v>0.74</v>
      </c>
      <c r="Z2597">
        <v>157</v>
      </c>
      <c r="AA2597">
        <v>330</v>
      </c>
      <c r="AB2597" t="s">
        <v>116</v>
      </c>
      <c r="AC2597">
        <v>3077200</v>
      </c>
      <c r="AD2597">
        <v>0.02</v>
      </c>
      <c r="AE2597" t="s">
        <v>116</v>
      </c>
      <c r="AF2597" t="s">
        <v>116</v>
      </c>
      <c r="AG2597">
        <v>11.07</v>
      </c>
      <c r="AH2597" t="s">
        <v>11831</v>
      </c>
      <c r="AI2597" t="s">
        <v>11832</v>
      </c>
      <c r="AJ2597">
        <v>0</v>
      </c>
      <c r="AK2597">
        <v>4154</v>
      </c>
      <c r="AL2597">
        <v>43</v>
      </c>
      <c r="AM2597">
        <v>4.0000000000000002E-4</v>
      </c>
      <c r="AN2597">
        <v>-1</v>
      </c>
      <c r="AO2597">
        <v>2.46</v>
      </c>
      <c r="AP2597">
        <v>8.92</v>
      </c>
      <c r="AQ2597">
        <v>-1.38</v>
      </c>
      <c r="AR2597">
        <v>-3.66</v>
      </c>
      <c r="AS2597">
        <v>2.91</v>
      </c>
      <c r="AT2597" t="s">
        <v>11833</v>
      </c>
      <c r="AU2597">
        <v>38.130000000000003</v>
      </c>
      <c r="AV2597">
        <v>37.61</v>
      </c>
      <c r="AW2597">
        <v>0.76</v>
      </c>
      <c r="BA2597">
        <v>0.59</v>
      </c>
      <c r="BB2597">
        <v>1.77</v>
      </c>
      <c r="BC2597">
        <v>-0.37</v>
      </c>
      <c r="BD2597">
        <v>1.04</v>
      </c>
      <c r="BE2597">
        <v>-0.66</v>
      </c>
      <c r="BF2597">
        <v>-1.81</v>
      </c>
      <c r="BG2597">
        <v>0.3</v>
      </c>
      <c r="BH2597">
        <v>-1.1100000000000001</v>
      </c>
      <c r="BI2597">
        <v>20191101</v>
      </c>
      <c r="BJ2597">
        <v>20010823</v>
      </c>
      <c r="BK2597">
        <v>11.71</v>
      </c>
      <c r="BL2597" t="s">
        <v>116</v>
      </c>
      <c r="BM2597" t="s">
        <v>116</v>
      </c>
      <c r="BN2597">
        <v>314.83999999999997</v>
      </c>
      <c r="BO2597">
        <v>102.55</v>
      </c>
      <c r="BP2597">
        <v>5.36</v>
      </c>
      <c r="BQ2597">
        <v>65.73</v>
      </c>
      <c r="BR2597">
        <v>242.78</v>
      </c>
      <c r="BS2597">
        <v>23.08</v>
      </c>
      <c r="BT2597">
        <v>6.78</v>
      </c>
      <c r="BU2597">
        <v>196.27</v>
      </c>
      <c r="BV2597">
        <v>106.09</v>
      </c>
      <c r="BW2597">
        <v>97.25</v>
      </c>
      <c r="BX2597">
        <v>55</v>
      </c>
      <c r="BY2597">
        <v>177.75</v>
      </c>
      <c r="BZ2597">
        <v>138.77000000000001</v>
      </c>
      <c r="CA2597">
        <v>6.61</v>
      </c>
      <c r="CB2597">
        <v>1.59</v>
      </c>
      <c r="CC2597">
        <v>6.61</v>
      </c>
      <c r="CD2597">
        <v>6.46</v>
      </c>
      <c r="CE2597">
        <v>6.19</v>
      </c>
      <c r="CF2597">
        <v>5.98</v>
      </c>
      <c r="CG2597">
        <v>38.909999999999997</v>
      </c>
      <c r="CH2597">
        <v>-34.65</v>
      </c>
      <c r="CI2597">
        <v>-17.57</v>
      </c>
      <c r="CJ2597">
        <v>87958</v>
      </c>
      <c r="CK2597">
        <v>7045</v>
      </c>
      <c r="CL2597" t="s">
        <v>11834</v>
      </c>
      <c r="CM2597">
        <v>-1.86</v>
      </c>
      <c r="CN2597">
        <v>2.3199999999999998</v>
      </c>
      <c r="CO2597">
        <v>3.09</v>
      </c>
      <c r="CP2597">
        <v>-9.16</v>
      </c>
      <c r="CQ2597">
        <v>1.79</v>
      </c>
      <c r="CR2597">
        <v>1.25</v>
      </c>
      <c r="CS2597" t="s">
        <v>1643</v>
      </c>
      <c r="CT2597">
        <v>8.76</v>
      </c>
      <c r="CU2597">
        <v>0</v>
      </c>
      <c r="CV2597">
        <v>4.7</v>
      </c>
      <c r="CW2597">
        <v>3.32</v>
      </c>
      <c r="CX2597">
        <v>-2.96</v>
      </c>
      <c r="CY2597">
        <v>32.57</v>
      </c>
      <c r="CZ2597" t="s">
        <v>3318</v>
      </c>
      <c r="DA2597">
        <v>21.93</v>
      </c>
      <c r="DB2597">
        <v>3.72</v>
      </c>
      <c r="DC2597">
        <v>3.48</v>
      </c>
      <c r="DD2597">
        <v>19.440000000000001</v>
      </c>
      <c r="DE2597">
        <v>15044</v>
      </c>
      <c r="DF2597">
        <v>600498</v>
      </c>
      <c r="DG2597" t="s">
        <v>116</v>
      </c>
      <c r="DH2597" t="s">
        <v>116</v>
      </c>
      <c r="DI2597" t="s">
        <v>116</v>
      </c>
    </row>
    <row r="2598" spans="1:113" x14ac:dyDescent="0.4">
      <c r="A2598" t="str">
        <f>"600499"</f>
        <v>600499</v>
      </c>
      <c r="B2598" t="s">
        <v>11835</v>
      </c>
      <c r="C2598">
        <v>0.73</v>
      </c>
      <c r="D2598">
        <v>4.13</v>
      </c>
      <c r="E2598">
        <v>0.03</v>
      </c>
      <c r="F2598">
        <v>4.13</v>
      </c>
      <c r="G2598">
        <v>4.1399999999999997</v>
      </c>
      <c r="H2598">
        <v>145141</v>
      </c>
      <c r="I2598">
        <v>1192</v>
      </c>
      <c r="J2598">
        <v>0</v>
      </c>
      <c r="K2598">
        <v>1.03</v>
      </c>
      <c r="L2598">
        <v>4.1399999999999997</v>
      </c>
      <c r="M2598">
        <v>4.2699999999999996</v>
      </c>
      <c r="N2598">
        <v>4.0999999999999996</v>
      </c>
      <c r="O2598">
        <v>4.0999999999999996</v>
      </c>
      <c r="P2598">
        <v>19.690000000000001</v>
      </c>
      <c r="Q2598">
        <v>60547168</v>
      </c>
      <c r="R2598">
        <v>2.06</v>
      </c>
      <c r="S2598" t="s">
        <v>682</v>
      </c>
      <c r="T2598" t="s">
        <v>551</v>
      </c>
      <c r="U2598">
        <v>4.1500000000000004</v>
      </c>
      <c r="V2598">
        <v>4.17</v>
      </c>
      <c r="W2598">
        <v>66660</v>
      </c>
      <c r="X2598">
        <v>78481</v>
      </c>
      <c r="Y2598">
        <v>0.85</v>
      </c>
      <c r="Z2598">
        <v>1395</v>
      </c>
      <c r="AA2598">
        <v>2599</v>
      </c>
      <c r="AB2598" t="s">
        <v>116</v>
      </c>
      <c r="AC2598">
        <v>78700</v>
      </c>
      <c r="AD2598">
        <v>0</v>
      </c>
      <c r="AE2598" t="s">
        <v>116</v>
      </c>
      <c r="AF2598" t="s">
        <v>116</v>
      </c>
      <c r="AG2598">
        <v>14.11</v>
      </c>
      <c r="AH2598" t="s">
        <v>11836</v>
      </c>
      <c r="AI2598" t="s">
        <v>11837</v>
      </c>
      <c r="AJ2598">
        <v>0.81</v>
      </c>
      <c r="AK2598">
        <v>1673</v>
      </c>
      <c r="AL2598">
        <v>87</v>
      </c>
      <c r="AM2598">
        <v>5.9999999999999995E-4</v>
      </c>
      <c r="AN2598">
        <v>1</v>
      </c>
      <c r="AO2598">
        <v>-0.73</v>
      </c>
      <c r="AP2598">
        <v>2.74</v>
      </c>
      <c r="AQ2598">
        <v>1.98</v>
      </c>
      <c r="AR2598">
        <v>2.23</v>
      </c>
      <c r="AS2598">
        <v>1.45</v>
      </c>
      <c r="AT2598" t="s">
        <v>11838</v>
      </c>
      <c r="AU2598" t="s">
        <v>116</v>
      </c>
      <c r="AV2598" t="s">
        <v>116</v>
      </c>
      <c r="AW2598">
        <v>0.85</v>
      </c>
      <c r="BA2598">
        <v>0.98</v>
      </c>
      <c r="BB2598">
        <v>4.1500000000000004</v>
      </c>
      <c r="BC2598">
        <v>0</v>
      </c>
      <c r="BD2598">
        <v>1.75</v>
      </c>
      <c r="BE2598">
        <v>-0.24</v>
      </c>
      <c r="BF2598">
        <v>-3.28</v>
      </c>
      <c r="BG2598">
        <v>0.73</v>
      </c>
      <c r="BH2598">
        <v>-1.01</v>
      </c>
      <c r="BI2598">
        <v>20191031</v>
      </c>
      <c r="BJ2598">
        <v>20021010</v>
      </c>
      <c r="BK2598">
        <v>15.77</v>
      </c>
      <c r="BL2598" t="s">
        <v>116</v>
      </c>
      <c r="BM2598" t="s">
        <v>116</v>
      </c>
      <c r="BN2598">
        <v>130.31</v>
      </c>
      <c r="BO2598">
        <v>47.88</v>
      </c>
      <c r="BP2598">
        <v>5.92</v>
      </c>
      <c r="BQ2598">
        <v>58.72</v>
      </c>
      <c r="BR2598">
        <v>70.44</v>
      </c>
      <c r="BS2598">
        <v>25.43</v>
      </c>
      <c r="BT2598">
        <v>4.5199999999999996</v>
      </c>
      <c r="BU2598">
        <v>62.04</v>
      </c>
      <c r="BV2598">
        <v>23.51</v>
      </c>
      <c r="BW2598">
        <v>18.579999999999998</v>
      </c>
      <c r="BX2598">
        <v>11.42</v>
      </c>
      <c r="BY2598">
        <v>46.96</v>
      </c>
      <c r="BZ2598">
        <v>36.049999999999997</v>
      </c>
      <c r="CA2598">
        <v>3.57</v>
      </c>
      <c r="CB2598">
        <v>0.52</v>
      </c>
      <c r="CC2598">
        <v>3.58</v>
      </c>
      <c r="CD2598">
        <v>3.34</v>
      </c>
      <c r="CE2598">
        <v>2.48</v>
      </c>
      <c r="CF2598">
        <v>2.1</v>
      </c>
      <c r="CG2598">
        <v>19.489999999999998</v>
      </c>
      <c r="CH2598">
        <v>1.1299999999999999</v>
      </c>
      <c r="CI2598">
        <v>-1</v>
      </c>
      <c r="CJ2598">
        <v>43222</v>
      </c>
      <c r="CK2598">
        <v>23161</v>
      </c>
      <c r="CL2598" t="s">
        <v>7289</v>
      </c>
      <c r="CM2598">
        <v>-21.48</v>
      </c>
      <c r="CN2598">
        <v>4.99</v>
      </c>
      <c r="CO2598">
        <v>1.36</v>
      </c>
      <c r="CP2598">
        <v>57.41</v>
      </c>
      <c r="CQ2598">
        <v>1.39</v>
      </c>
      <c r="CR2598">
        <v>0</v>
      </c>
      <c r="CS2598" t="s">
        <v>3137</v>
      </c>
      <c r="CT2598">
        <v>3.04</v>
      </c>
      <c r="CU2598">
        <v>0</v>
      </c>
      <c r="CV2598">
        <v>0.72</v>
      </c>
      <c r="CW2598">
        <v>1.24</v>
      </c>
      <c r="CX2598">
        <v>7.0000000000000007E-2</v>
      </c>
      <c r="CY2598">
        <v>36.74</v>
      </c>
      <c r="CZ2598" t="s">
        <v>9778</v>
      </c>
      <c r="DA2598">
        <v>23.24</v>
      </c>
      <c r="DB2598">
        <v>7.6</v>
      </c>
      <c r="DC2598">
        <v>5.28</v>
      </c>
      <c r="DD2598">
        <v>1.0900000000000001</v>
      </c>
      <c r="DE2598">
        <v>4978</v>
      </c>
      <c r="DF2598">
        <v>600499</v>
      </c>
      <c r="DG2598" t="s">
        <v>116</v>
      </c>
      <c r="DH2598" t="s">
        <v>116</v>
      </c>
      <c r="DI2598" t="s">
        <v>116</v>
      </c>
    </row>
    <row r="2599" spans="1:113" x14ac:dyDescent="0.4">
      <c r="A2599" t="str">
        <f>"600500"</f>
        <v>600500</v>
      </c>
      <c r="B2599" t="s">
        <v>11839</v>
      </c>
      <c r="C2599">
        <v>-0.19</v>
      </c>
      <c r="D2599">
        <v>5.24</v>
      </c>
      <c r="E2599">
        <v>-0.01</v>
      </c>
      <c r="F2599">
        <v>5.23</v>
      </c>
      <c r="G2599">
        <v>5.24</v>
      </c>
      <c r="H2599">
        <v>103130</v>
      </c>
      <c r="I2599">
        <v>462</v>
      </c>
      <c r="J2599">
        <v>0.19</v>
      </c>
      <c r="K2599">
        <v>0.38</v>
      </c>
      <c r="L2599">
        <v>5.25</v>
      </c>
      <c r="M2599">
        <v>5.3</v>
      </c>
      <c r="N2599">
        <v>5.23</v>
      </c>
      <c r="O2599">
        <v>5.25</v>
      </c>
      <c r="P2599">
        <v>19.21</v>
      </c>
      <c r="Q2599">
        <v>54290840</v>
      </c>
      <c r="R2599">
        <v>1.19</v>
      </c>
      <c r="S2599" t="s">
        <v>566</v>
      </c>
      <c r="T2599" t="s">
        <v>1653</v>
      </c>
      <c r="U2599">
        <v>1.33</v>
      </c>
      <c r="V2599">
        <v>5.26</v>
      </c>
      <c r="W2599">
        <v>52527</v>
      </c>
      <c r="X2599">
        <v>50603</v>
      </c>
      <c r="Y2599">
        <v>1.04</v>
      </c>
      <c r="Z2599">
        <v>782</v>
      </c>
      <c r="AA2599">
        <v>361</v>
      </c>
      <c r="AB2599" t="s">
        <v>116</v>
      </c>
      <c r="AC2599">
        <v>136500</v>
      </c>
      <c r="AD2599">
        <v>0</v>
      </c>
      <c r="AE2599" t="s">
        <v>116</v>
      </c>
      <c r="AF2599" t="s">
        <v>116</v>
      </c>
      <c r="AG2599">
        <v>27.08</v>
      </c>
      <c r="AH2599" t="s">
        <v>11840</v>
      </c>
      <c r="AI2599" t="s">
        <v>11840</v>
      </c>
      <c r="AJ2599">
        <v>-0.11</v>
      </c>
      <c r="AK2599">
        <v>2623</v>
      </c>
      <c r="AL2599">
        <v>39</v>
      </c>
      <c r="AM2599">
        <v>1E-4</v>
      </c>
      <c r="AN2599">
        <v>-1</v>
      </c>
      <c r="AO2599">
        <v>1.76</v>
      </c>
      <c r="AP2599">
        <v>4.17</v>
      </c>
      <c r="AQ2599">
        <v>3.35</v>
      </c>
      <c r="AR2599">
        <v>1.82</v>
      </c>
      <c r="AS2599">
        <v>0.85</v>
      </c>
      <c r="AT2599" t="s">
        <v>11841</v>
      </c>
      <c r="AU2599">
        <v>20.5</v>
      </c>
      <c r="AV2599">
        <v>15.57</v>
      </c>
      <c r="AW2599">
        <v>0.88</v>
      </c>
      <c r="BA2599">
        <v>0</v>
      </c>
      <c r="BB2599">
        <v>0.95</v>
      </c>
      <c r="BC2599">
        <v>-0.38</v>
      </c>
      <c r="BD2599">
        <v>0.27</v>
      </c>
      <c r="BE2599">
        <v>-0.19</v>
      </c>
      <c r="BF2599">
        <v>-1.1299999999999999</v>
      </c>
      <c r="BG2599">
        <v>0.19</v>
      </c>
      <c r="BH2599">
        <v>-0.46</v>
      </c>
      <c r="BI2599">
        <v>20191031</v>
      </c>
      <c r="BJ2599">
        <v>20000301</v>
      </c>
      <c r="BK2599">
        <v>27.08</v>
      </c>
      <c r="BL2599" t="s">
        <v>116</v>
      </c>
      <c r="BM2599" t="s">
        <v>116</v>
      </c>
      <c r="BN2599">
        <v>546.98</v>
      </c>
      <c r="BO2599">
        <v>115.56</v>
      </c>
      <c r="BP2599">
        <v>122.5</v>
      </c>
      <c r="BQ2599">
        <v>56.48</v>
      </c>
      <c r="BR2599">
        <v>300.37</v>
      </c>
      <c r="BS2599">
        <v>78.13</v>
      </c>
      <c r="BT2599">
        <v>42.42</v>
      </c>
      <c r="BU2599">
        <v>204.18</v>
      </c>
      <c r="BV2599">
        <v>66.989999999999995</v>
      </c>
      <c r="BW2599">
        <v>53.75</v>
      </c>
      <c r="BX2599">
        <v>34.200000000000003</v>
      </c>
      <c r="BY2599">
        <v>396.22</v>
      </c>
      <c r="BZ2599">
        <v>343.58</v>
      </c>
      <c r="CA2599">
        <v>20.77</v>
      </c>
      <c r="CB2599">
        <v>2.23</v>
      </c>
      <c r="CC2599">
        <v>20.9</v>
      </c>
      <c r="CD2599">
        <v>16.39</v>
      </c>
      <c r="CE2599">
        <v>5.54</v>
      </c>
      <c r="CF2599">
        <v>4.54</v>
      </c>
      <c r="CG2599">
        <v>51.33</v>
      </c>
      <c r="CH2599">
        <v>2.67</v>
      </c>
      <c r="CI2599">
        <v>-7.37</v>
      </c>
      <c r="CJ2599">
        <v>67295</v>
      </c>
      <c r="CK2599">
        <v>17966</v>
      </c>
      <c r="CL2599" t="s">
        <v>9468</v>
      </c>
      <c r="CM2599">
        <v>-28.32</v>
      </c>
      <c r="CN2599">
        <v>-11.72</v>
      </c>
      <c r="CO2599">
        <v>1.23</v>
      </c>
      <c r="CP2599">
        <v>53.23</v>
      </c>
      <c r="CQ2599">
        <v>0.36</v>
      </c>
      <c r="CR2599">
        <v>2.2000000000000002</v>
      </c>
      <c r="CS2599" t="s">
        <v>3553</v>
      </c>
      <c r="CT2599">
        <v>4.2699999999999996</v>
      </c>
      <c r="CU2599">
        <v>0</v>
      </c>
      <c r="CV2599">
        <v>1.26</v>
      </c>
      <c r="CW2599">
        <v>1.9</v>
      </c>
      <c r="CX2599">
        <v>0.1</v>
      </c>
      <c r="CY2599">
        <v>21.13</v>
      </c>
      <c r="CZ2599" t="s">
        <v>6257</v>
      </c>
      <c r="DA2599">
        <v>13.29</v>
      </c>
      <c r="DB2599">
        <v>5.24</v>
      </c>
      <c r="DC2599">
        <v>1.4</v>
      </c>
      <c r="DD2599">
        <v>4.8499999999999996</v>
      </c>
      <c r="DE2599">
        <v>26160</v>
      </c>
      <c r="DF2599">
        <v>600500</v>
      </c>
      <c r="DG2599" t="s">
        <v>116</v>
      </c>
      <c r="DH2599" t="s">
        <v>116</v>
      </c>
      <c r="DI2599" t="s">
        <v>116</v>
      </c>
    </row>
    <row r="2600" spans="1:113" x14ac:dyDescent="0.4">
      <c r="A2600" t="str">
        <f>"600501"</f>
        <v>600501</v>
      </c>
      <c r="B2600" t="s">
        <v>11842</v>
      </c>
      <c r="C2600">
        <v>-1.39</v>
      </c>
      <c r="D2600">
        <v>7.81</v>
      </c>
      <c r="E2600">
        <v>-0.11</v>
      </c>
      <c r="F2600">
        <v>7.8</v>
      </c>
      <c r="G2600">
        <v>7.81</v>
      </c>
      <c r="H2600">
        <v>33692</v>
      </c>
      <c r="I2600">
        <v>1644</v>
      </c>
      <c r="J2600">
        <v>-0.37</v>
      </c>
      <c r="K2600">
        <v>0.8</v>
      </c>
      <c r="L2600">
        <v>7.88</v>
      </c>
      <c r="M2600">
        <v>7.95</v>
      </c>
      <c r="N2600">
        <v>7.81</v>
      </c>
      <c r="O2600">
        <v>7.92</v>
      </c>
      <c r="P2600" t="s">
        <v>116</v>
      </c>
      <c r="Q2600">
        <v>26619574</v>
      </c>
      <c r="R2600">
        <v>0.91</v>
      </c>
      <c r="S2600" t="s">
        <v>293</v>
      </c>
      <c r="T2600" t="s">
        <v>323</v>
      </c>
      <c r="U2600">
        <v>1.77</v>
      </c>
      <c r="V2600">
        <v>7.9</v>
      </c>
      <c r="W2600">
        <v>17642</v>
      </c>
      <c r="X2600">
        <v>16050</v>
      </c>
      <c r="Y2600">
        <v>1.1000000000000001</v>
      </c>
      <c r="Z2600">
        <v>394</v>
      </c>
      <c r="AA2600">
        <v>510</v>
      </c>
      <c r="AB2600" t="s">
        <v>116</v>
      </c>
      <c r="AC2600">
        <v>197000</v>
      </c>
      <c r="AD2600">
        <v>0.01</v>
      </c>
      <c r="AE2600" t="s">
        <v>116</v>
      </c>
      <c r="AF2600" t="s">
        <v>116</v>
      </c>
      <c r="AG2600">
        <v>4.21</v>
      </c>
      <c r="AH2600" t="s">
        <v>4423</v>
      </c>
      <c r="AI2600" t="s">
        <v>4423</v>
      </c>
      <c r="AJ2600">
        <v>-1.31</v>
      </c>
      <c r="AK2600">
        <v>1337</v>
      </c>
      <c r="AL2600">
        <v>25</v>
      </c>
      <c r="AM2600">
        <v>5.9999999999999995E-4</v>
      </c>
      <c r="AN2600">
        <v>-1</v>
      </c>
      <c r="AO2600">
        <v>-0.89</v>
      </c>
      <c r="AP2600">
        <v>8.93</v>
      </c>
      <c r="AQ2600">
        <v>-6.8</v>
      </c>
      <c r="AR2600">
        <v>28.67</v>
      </c>
      <c r="AS2600">
        <v>1.5</v>
      </c>
      <c r="AT2600" t="s">
        <v>5842</v>
      </c>
      <c r="AU2600" t="s">
        <v>116</v>
      </c>
      <c r="AV2600" t="s">
        <v>116</v>
      </c>
      <c r="AW2600">
        <v>1.2</v>
      </c>
      <c r="BA2600">
        <v>-0.51</v>
      </c>
      <c r="BB2600">
        <v>0.38</v>
      </c>
      <c r="BC2600">
        <v>-1.39</v>
      </c>
      <c r="BD2600">
        <v>-0.24</v>
      </c>
      <c r="BE2600">
        <v>-0.89</v>
      </c>
      <c r="BF2600">
        <v>-1.76</v>
      </c>
      <c r="BG2600">
        <v>0</v>
      </c>
      <c r="BH2600">
        <v>-1.1499999999999999</v>
      </c>
      <c r="BI2600">
        <v>20191030</v>
      </c>
      <c r="BJ2600">
        <v>20010615</v>
      </c>
      <c r="BK2600">
        <v>4.21</v>
      </c>
      <c r="BL2600" t="s">
        <v>116</v>
      </c>
      <c r="BM2600" t="s">
        <v>116</v>
      </c>
      <c r="BN2600">
        <v>47.21</v>
      </c>
      <c r="BO2600">
        <v>19.55</v>
      </c>
      <c r="BP2600">
        <v>2.2200000000000002</v>
      </c>
      <c r="BQ2600">
        <v>53.88</v>
      </c>
      <c r="BR2600">
        <v>31.25</v>
      </c>
      <c r="BS2600">
        <v>7.65</v>
      </c>
      <c r="BT2600">
        <v>0.93</v>
      </c>
      <c r="BU2600">
        <v>24.07</v>
      </c>
      <c r="BV2600">
        <v>7.81</v>
      </c>
      <c r="BW2600">
        <v>16.78</v>
      </c>
      <c r="BX2600">
        <v>14.76</v>
      </c>
      <c r="BY2600">
        <v>17</v>
      </c>
      <c r="BZ2600">
        <v>12.72</v>
      </c>
      <c r="CA2600">
        <v>-0.8</v>
      </c>
      <c r="CB2600">
        <v>-0.21</v>
      </c>
      <c r="CC2600">
        <v>-0.75</v>
      </c>
      <c r="CD2600">
        <v>-0.77</v>
      </c>
      <c r="CE2600">
        <v>-0.9</v>
      </c>
      <c r="CF2600">
        <v>-0.94</v>
      </c>
      <c r="CG2600">
        <v>-0.22</v>
      </c>
      <c r="CH2600">
        <v>-6.56</v>
      </c>
      <c r="CI2600">
        <v>-4.88</v>
      </c>
      <c r="CJ2600">
        <v>46731</v>
      </c>
      <c r="CK2600">
        <v>4791</v>
      </c>
      <c r="CL2600" t="s">
        <v>5859</v>
      </c>
      <c r="CM2600">
        <v>-36.6</v>
      </c>
      <c r="CN2600">
        <v>-3.5</v>
      </c>
      <c r="CO2600">
        <v>1.68</v>
      </c>
      <c r="CP2600">
        <v>-5.01</v>
      </c>
      <c r="CQ2600">
        <v>1.94</v>
      </c>
      <c r="CR2600">
        <v>0</v>
      </c>
      <c r="CS2600" t="s">
        <v>11843</v>
      </c>
      <c r="CT2600">
        <v>4.6399999999999997</v>
      </c>
      <c r="CU2600">
        <v>0</v>
      </c>
      <c r="CV2600">
        <v>3.5</v>
      </c>
      <c r="CW2600">
        <v>-0.05</v>
      </c>
      <c r="CX2600">
        <v>-1.56</v>
      </c>
      <c r="CY2600">
        <v>41.41</v>
      </c>
      <c r="CZ2600" t="s">
        <v>11844</v>
      </c>
      <c r="DA2600">
        <v>25.15</v>
      </c>
      <c r="DB2600">
        <v>-4.7</v>
      </c>
      <c r="DC2600">
        <v>-5.27</v>
      </c>
      <c r="DD2600">
        <v>1.19</v>
      </c>
      <c r="DE2600">
        <v>2530</v>
      </c>
      <c r="DF2600">
        <v>600501</v>
      </c>
      <c r="DG2600" t="s">
        <v>116</v>
      </c>
      <c r="DH2600" t="s">
        <v>116</v>
      </c>
      <c r="DI2600" t="s">
        <v>116</v>
      </c>
    </row>
    <row r="2601" spans="1:113" x14ac:dyDescent="0.4">
      <c r="A2601" t="str">
        <f>"600502"</f>
        <v>600502</v>
      </c>
      <c r="B2601" t="s">
        <v>11845</v>
      </c>
      <c r="C2601">
        <v>0.76</v>
      </c>
      <c r="D2601">
        <v>3.99</v>
      </c>
      <c r="E2601">
        <v>0.03</v>
      </c>
      <c r="F2601">
        <v>3.98</v>
      </c>
      <c r="G2601">
        <v>3.99</v>
      </c>
      <c r="H2601">
        <v>96468</v>
      </c>
      <c r="I2601">
        <v>611</v>
      </c>
      <c r="J2601">
        <v>0.5</v>
      </c>
      <c r="K2601">
        <v>1.06</v>
      </c>
      <c r="L2601">
        <v>3.96</v>
      </c>
      <c r="M2601">
        <v>4.0199999999999996</v>
      </c>
      <c r="N2601">
        <v>3.94</v>
      </c>
      <c r="O2601">
        <v>3.96</v>
      </c>
      <c r="P2601">
        <v>9.76</v>
      </c>
      <c r="Q2601">
        <v>38557696</v>
      </c>
      <c r="R2601">
        <v>1.77</v>
      </c>
      <c r="S2601" t="s">
        <v>181</v>
      </c>
      <c r="T2601" t="s">
        <v>575</v>
      </c>
      <c r="U2601">
        <v>2.02</v>
      </c>
      <c r="V2601">
        <v>4</v>
      </c>
      <c r="W2601">
        <v>42876</v>
      </c>
      <c r="X2601">
        <v>53592</v>
      </c>
      <c r="Y2601">
        <v>0.8</v>
      </c>
      <c r="Z2601">
        <v>1424</v>
      </c>
      <c r="AA2601">
        <v>2038</v>
      </c>
      <c r="AB2601" t="s">
        <v>116</v>
      </c>
      <c r="AC2601">
        <v>118000</v>
      </c>
      <c r="AD2601">
        <v>0</v>
      </c>
      <c r="AE2601" t="s">
        <v>116</v>
      </c>
      <c r="AF2601" t="s">
        <v>116</v>
      </c>
      <c r="AG2601">
        <v>9.11</v>
      </c>
      <c r="AH2601" t="s">
        <v>11846</v>
      </c>
      <c r="AI2601" t="s">
        <v>2588</v>
      </c>
      <c r="AJ2601">
        <v>0.83</v>
      </c>
      <c r="AK2601">
        <v>1396</v>
      </c>
      <c r="AL2601">
        <v>69</v>
      </c>
      <c r="AM2601">
        <v>8.0000000000000004E-4</v>
      </c>
      <c r="AN2601">
        <v>2</v>
      </c>
      <c r="AO2601">
        <v>1.01</v>
      </c>
      <c r="AP2601">
        <v>3.1</v>
      </c>
      <c r="AQ2601">
        <v>-5.23</v>
      </c>
      <c r="AR2601">
        <v>17.010000000000002</v>
      </c>
      <c r="AS2601">
        <v>1.06</v>
      </c>
      <c r="AT2601" t="s">
        <v>11846</v>
      </c>
      <c r="AU2601">
        <v>7.68</v>
      </c>
      <c r="AV2601">
        <v>8.59</v>
      </c>
      <c r="AW2601">
        <v>1.21</v>
      </c>
      <c r="BA2601">
        <v>0</v>
      </c>
      <c r="BB2601">
        <v>1.52</v>
      </c>
      <c r="BC2601">
        <v>-0.51</v>
      </c>
      <c r="BD2601">
        <v>0.93</v>
      </c>
      <c r="BE2601">
        <v>0.76</v>
      </c>
      <c r="BF2601">
        <v>-0.75</v>
      </c>
      <c r="BG2601">
        <v>1.27</v>
      </c>
      <c r="BH2601">
        <v>-0.17</v>
      </c>
      <c r="BI2601">
        <v>20191030</v>
      </c>
      <c r="BJ2601">
        <v>20030415</v>
      </c>
      <c r="BK2601">
        <v>17.21</v>
      </c>
      <c r="BL2601" t="s">
        <v>116</v>
      </c>
      <c r="BM2601" t="s">
        <v>116</v>
      </c>
      <c r="BN2601">
        <v>847.26</v>
      </c>
      <c r="BO2601">
        <v>90.64</v>
      </c>
      <c r="BP2601">
        <v>42.72</v>
      </c>
      <c r="BQ2601">
        <v>84.26</v>
      </c>
      <c r="BR2601">
        <v>642.76</v>
      </c>
      <c r="BS2601">
        <v>31.85</v>
      </c>
      <c r="BT2601">
        <v>1.88</v>
      </c>
      <c r="BU2601">
        <v>532.24</v>
      </c>
      <c r="BV2601">
        <v>283.18</v>
      </c>
      <c r="BW2601">
        <v>165.67</v>
      </c>
      <c r="BX2601">
        <v>16.46</v>
      </c>
      <c r="BY2601">
        <v>293.58999999999997</v>
      </c>
      <c r="BZ2601">
        <v>263.85000000000002</v>
      </c>
      <c r="CA2601">
        <v>9.25</v>
      </c>
      <c r="CB2601">
        <v>0.26</v>
      </c>
      <c r="CC2601">
        <v>9.23</v>
      </c>
      <c r="CD2601">
        <v>6.13</v>
      </c>
      <c r="CE2601">
        <v>5.28</v>
      </c>
      <c r="CF2601">
        <v>5.16</v>
      </c>
      <c r="CG2601">
        <v>30.58</v>
      </c>
      <c r="CH2601">
        <v>-43.68</v>
      </c>
      <c r="CI2601">
        <v>17.48</v>
      </c>
      <c r="CJ2601">
        <v>63663</v>
      </c>
      <c r="CK2601">
        <v>14305</v>
      </c>
      <c r="CL2601" t="s">
        <v>11847</v>
      </c>
      <c r="CM2601">
        <v>21.78</v>
      </c>
      <c r="CN2601">
        <v>14.27</v>
      </c>
      <c r="CO2601">
        <v>0.97</v>
      </c>
      <c r="CP2601">
        <v>-1.57</v>
      </c>
      <c r="CQ2601">
        <v>0.23</v>
      </c>
      <c r="CR2601">
        <v>3.76</v>
      </c>
      <c r="CS2601" t="s">
        <v>9921</v>
      </c>
      <c r="CT2601">
        <v>4.13</v>
      </c>
      <c r="CU2601">
        <v>4.13</v>
      </c>
      <c r="CV2601">
        <v>0.96</v>
      </c>
      <c r="CW2601">
        <v>1.78</v>
      </c>
      <c r="CX2601">
        <v>-2.54</v>
      </c>
      <c r="CY2601">
        <v>10.7</v>
      </c>
      <c r="CZ2601" t="s">
        <v>9745</v>
      </c>
      <c r="DA2601">
        <v>10.130000000000001</v>
      </c>
      <c r="DB2601">
        <v>3.15</v>
      </c>
      <c r="DC2601">
        <v>1.8</v>
      </c>
      <c r="DD2601">
        <v>1.97</v>
      </c>
      <c r="DE2601">
        <v>15662</v>
      </c>
      <c r="DF2601">
        <v>600502</v>
      </c>
      <c r="DG2601" t="s">
        <v>116</v>
      </c>
      <c r="DH2601" t="s">
        <v>116</v>
      </c>
      <c r="DI2601" t="s">
        <v>116</v>
      </c>
    </row>
    <row r="2602" spans="1:113" x14ac:dyDescent="0.4">
      <c r="A2602" t="str">
        <f>"600503"</f>
        <v>600503</v>
      </c>
      <c r="B2602" t="s">
        <v>11848</v>
      </c>
      <c r="C2602">
        <v>-0.31</v>
      </c>
      <c r="D2602">
        <v>3.21</v>
      </c>
      <c r="E2602">
        <v>-0.01</v>
      </c>
      <c r="F2602">
        <v>3.21</v>
      </c>
      <c r="G2602">
        <v>3.22</v>
      </c>
      <c r="H2602">
        <v>287623</v>
      </c>
      <c r="I2602">
        <v>1210</v>
      </c>
      <c r="J2602">
        <v>-0.3</v>
      </c>
      <c r="K2602">
        <v>1.8</v>
      </c>
      <c r="L2602">
        <v>3.24</v>
      </c>
      <c r="M2602">
        <v>3.29</v>
      </c>
      <c r="N2602">
        <v>3.2</v>
      </c>
      <c r="O2602">
        <v>3.22</v>
      </c>
      <c r="P2602" t="s">
        <v>116</v>
      </c>
      <c r="Q2602">
        <v>93184896</v>
      </c>
      <c r="R2602">
        <v>0.98</v>
      </c>
      <c r="S2602" t="s">
        <v>148</v>
      </c>
      <c r="T2602" t="s">
        <v>1653</v>
      </c>
      <c r="U2602">
        <v>2.8</v>
      </c>
      <c r="V2602">
        <v>3.24</v>
      </c>
      <c r="W2602">
        <v>154754</v>
      </c>
      <c r="X2602">
        <v>132869</v>
      </c>
      <c r="Y2602">
        <v>1.1599999999999999</v>
      </c>
      <c r="Z2602">
        <v>5167</v>
      </c>
      <c r="AA2602">
        <v>1021</v>
      </c>
      <c r="AB2602" t="s">
        <v>116</v>
      </c>
      <c r="AC2602">
        <v>332100</v>
      </c>
      <c r="AD2602">
        <v>0.01</v>
      </c>
      <c r="AE2602" t="s">
        <v>116</v>
      </c>
      <c r="AF2602" t="s">
        <v>116</v>
      </c>
      <c r="AG2602">
        <v>16.02</v>
      </c>
      <c r="AH2602" t="s">
        <v>9568</v>
      </c>
      <c r="AI2602" t="s">
        <v>9568</v>
      </c>
      <c r="AJ2602">
        <v>-0.23</v>
      </c>
      <c r="AK2602">
        <v>1926</v>
      </c>
      <c r="AL2602">
        <v>149</v>
      </c>
      <c r="AM2602">
        <v>8.9999999999999998E-4</v>
      </c>
      <c r="AN2602">
        <v>-1</v>
      </c>
      <c r="AO2602">
        <v>-0.62</v>
      </c>
      <c r="AP2602">
        <v>7</v>
      </c>
      <c r="AQ2602">
        <v>-0.31</v>
      </c>
      <c r="AR2602">
        <v>5.42</v>
      </c>
      <c r="AS2602">
        <v>2.06</v>
      </c>
      <c r="AT2602" t="s">
        <v>11849</v>
      </c>
      <c r="AU2602" t="s">
        <v>116</v>
      </c>
      <c r="AV2602">
        <v>259.43</v>
      </c>
      <c r="AW2602">
        <v>1.24</v>
      </c>
      <c r="BA2602">
        <v>0.62</v>
      </c>
      <c r="BB2602">
        <v>2.17</v>
      </c>
      <c r="BC2602">
        <v>-0.62</v>
      </c>
      <c r="BD2602">
        <v>0.62</v>
      </c>
      <c r="BE2602">
        <v>-0.93</v>
      </c>
      <c r="BF2602">
        <v>-2.4300000000000002</v>
      </c>
      <c r="BG2602">
        <v>0.31</v>
      </c>
      <c r="BH2602">
        <v>-0.93</v>
      </c>
      <c r="BI2602">
        <v>20191029</v>
      </c>
      <c r="BJ2602">
        <v>20020709</v>
      </c>
      <c r="BK2602">
        <v>16.02</v>
      </c>
      <c r="BL2602" t="s">
        <v>116</v>
      </c>
      <c r="BM2602" t="s">
        <v>116</v>
      </c>
      <c r="BN2602">
        <v>80.83</v>
      </c>
      <c r="BO2602">
        <v>37.409999999999997</v>
      </c>
      <c r="BP2602">
        <v>0.69</v>
      </c>
      <c r="BQ2602">
        <v>52.87</v>
      </c>
      <c r="BR2602">
        <v>44.68</v>
      </c>
      <c r="BS2602">
        <v>1.06</v>
      </c>
      <c r="BT2602">
        <v>1.95</v>
      </c>
      <c r="BU2602">
        <v>34.020000000000003</v>
      </c>
      <c r="BV2602">
        <v>34.799999999999997</v>
      </c>
      <c r="BW2602">
        <v>0.13</v>
      </c>
      <c r="BX2602">
        <v>11.3</v>
      </c>
      <c r="BY2602">
        <v>2</v>
      </c>
      <c r="BZ2602">
        <v>1.1599999999999999</v>
      </c>
      <c r="CA2602">
        <v>-0.38</v>
      </c>
      <c r="CB2602">
        <v>0.52</v>
      </c>
      <c r="CC2602">
        <v>-0.38</v>
      </c>
      <c r="CD2602">
        <v>-0.5</v>
      </c>
      <c r="CE2602">
        <v>-0.36</v>
      </c>
      <c r="CF2602">
        <v>-0.54</v>
      </c>
      <c r="CG2602">
        <v>7.62</v>
      </c>
      <c r="CH2602">
        <v>-1.1100000000000001</v>
      </c>
      <c r="CI2602">
        <v>1.08</v>
      </c>
      <c r="CJ2602">
        <v>180869</v>
      </c>
      <c r="CK2602">
        <v>7731</v>
      </c>
      <c r="CL2602" t="s">
        <v>11850</v>
      </c>
      <c r="CM2602">
        <v>-199.51</v>
      </c>
      <c r="CN2602">
        <v>-25.59</v>
      </c>
      <c r="CO2602">
        <v>1.37</v>
      </c>
      <c r="CP2602">
        <v>-46.49</v>
      </c>
      <c r="CQ2602">
        <v>25.66</v>
      </c>
      <c r="CR2602">
        <v>0.16</v>
      </c>
      <c r="CS2602" t="s">
        <v>1538</v>
      </c>
      <c r="CT2602">
        <v>2.33</v>
      </c>
      <c r="CU2602">
        <v>0</v>
      </c>
      <c r="CV2602">
        <v>0.71</v>
      </c>
      <c r="CW2602">
        <v>0.48</v>
      </c>
      <c r="CX2602">
        <v>-7.0000000000000007E-2</v>
      </c>
      <c r="CY2602">
        <v>46.29</v>
      </c>
      <c r="CZ2602" t="s">
        <v>8568</v>
      </c>
      <c r="DA2602">
        <v>42.14</v>
      </c>
      <c r="DB2602">
        <v>-19.13</v>
      </c>
      <c r="DC2602">
        <v>-17.89</v>
      </c>
      <c r="DD2602">
        <v>7.0000000000000007E-2</v>
      </c>
      <c r="DE2602">
        <v>436</v>
      </c>
      <c r="DF2602">
        <v>600503</v>
      </c>
      <c r="DG2602" t="s">
        <v>116</v>
      </c>
      <c r="DH2602" t="s">
        <v>116</v>
      </c>
      <c r="DI2602" t="s">
        <v>116</v>
      </c>
    </row>
    <row r="2603" spans="1:113" x14ac:dyDescent="0.4">
      <c r="A2603" t="str">
        <f>"600505"</f>
        <v>600505</v>
      </c>
      <c r="B2603" t="s">
        <v>11851</v>
      </c>
      <c r="C2603">
        <v>-1.95</v>
      </c>
      <c r="D2603">
        <v>10.07</v>
      </c>
      <c r="E2603">
        <v>-0.2</v>
      </c>
      <c r="F2603">
        <v>10.06</v>
      </c>
      <c r="G2603">
        <v>10.07</v>
      </c>
      <c r="H2603">
        <v>36001</v>
      </c>
      <c r="I2603">
        <v>574</v>
      </c>
      <c r="J2603">
        <v>0.3</v>
      </c>
      <c r="K2603">
        <v>0.99</v>
      </c>
      <c r="L2603">
        <v>10.31</v>
      </c>
      <c r="M2603">
        <v>10.35</v>
      </c>
      <c r="N2603">
        <v>10.039999999999999</v>
      </c>
      <c r="O2603">
        <v>10.27</v>
      </c>
      <c r="P2603">
        <v>65.290000000000006</v>
      </c>
      <c r="Q2603">
        <v>36588792</v>
      </c>
      <c r="R2603">
        <v>0.94</v>
      </c>
      <c r="S2603" t="s">
        <v>1363</v>
      </c>
      <c r="T2603" t="s">
        <v>582</v>
      </c>
      <c r="U2603">
        <v>3.02</v>
      </c>
      <c r="V2603">
        <v>10.16</v>
      </c>
      <c r="W2603">
        <v>22322</v>
      </c>
      <c r="X2603">
        <v>13679</v>
      </c>
      <c r="Y2603">
        <v>1.63</v>
      </c>
      <c r="Z2603">
        <v>213</v>
      </c>
      <c r="AA2603">
        <v>163</v>
      </c>
      <c r="AB2603" t="s">
        <v>116</v>
      </c>
      <c r="AC2603">
        <v>7200</v>
      </c>
      <c r="AD2603">
        <v>0</v>
      </c>
      <c r="AE2603" t="s">
        <v>116</v>
      </c>
      <c r="AF2603" t="s">
        <v>116</v>
      </c>
      <c r="AG2603">
        <v>3.65</v>
      </c>
      <c r="AH2603" t="s">
        <v>11852</v>
      </c>
      <c r="AI2603" t="s">
        <v>11852</v>
      </c>
      <c r="AJ2603">
        <v>-1.87</v>
      </c>
      <c r="AK2603">
        <v>1256</v>
      </c>
      <c r="AL2603">
        <v>29</v>
      </c>
      <c r="AM2603">
        <v>8.0000000000000004E-4</v>
      </c>
      <c r="AN2603">
        <v>-1</v>
      </c>
      <c r="AO2603">
        <v>-0.49</v>
      </c>
      <c r="AP2603">
        <v>13.27</v>
      </c>
      <c r="AQ2603">
        <v>32.5</v>
      </c>
      <c r="AR2603">
        <v>121.9</v>
      </c>
      <c r="AS2603">
        <v>2.2400000000000002</v>
      </c>
      <c r="AT2603" t="s">
        <v>4125</v>
      </c>
      <c r="AU2603">
        <v>64.08</v>
      </c>
      <c r="AV2603">
        <v>58.25</v>
      </c>
      <c r="AW2603">
        <v>0.72</v>
      </c>
      <c r="BA2603">
        <v>0.39</v>
      </c>
      <c r="BB2603">
        <v>0.78</v>
      </c>
      <c r="BC2603">
        <v>-2.2400000000000002</v>
      </c>
      <c r="BD2603">
        <v>-1.04</v>
      </c>
      <c r="BE2603">
        <v>-2.33</v>
      </c>
      <c r="BF2603">
        <v>-2.71</v>
      </c>
      <c r="BG2603">
        <v>0.3</v>
      </c>
      <c r="BH2603">
        <v>-0.91</v>
      </c>
      <c r="BI2603">
        <v>20191030</v>
      </c>
      <c r="BJ2603">
        <v>20020530</v>
      </c>
      <c r="BK2603">
        <v>3.65</v>
      </c>
      <c r="BL2603" t="s">
        <v>116</v>
      </c>
      <c r="BM2603" t="s">
        <v>116</v>
      </c>
      <c r="BN2603">
        <v>32.85</v>
      </c>
      <c r="BO2603">
        <v>11.79</v>
      </c>
      <c r="BP2603">
        <v>2.09</v>
      </c>
      <c r="BQ2603">
        <v>57.75</v>
      </c>
      <c r="BR2603">
        <v>6.3</v>
      </c>
      <c r="BS2603">
        <v>15.39</v>
      </c>
      <c r="BT2603">
        <v>0.59</v>
      </c>
      <c r="BU2603">
        <v>6.22</v>
      </c>
      <c r="BV2603">
        <v>0.39</v>
      </c>
      <c r="BW2603">
        <v>0.94</v>
      </c>
      <c r="BX2603">
        <v>0.76</v>
      </c>
      <c r="BY2603">
        <v>6.92</v>
      </c>
      <c r="BZ2603">
        <v>5.36</v>
      </c>
      <c r="CA2603">
        <v>0.59</v>
      </c>
      <c r="CB2603">
        <v>0</v>
      </c>
      <c r="CC2603">
        <v>0.59</v>
      </c>
      <c r="CD2603">
        <v>0.49</v>
      </c>
      <c r="CE2603">
        <v>0.42</v>
      </c>
      <c r="CF2603">
        <v>0.47</v>
      </c>
      <c r="CG2603">
        <v>5.66</v>
      </c>
      <c r="CH2603">
        <v>1.31</v>
      </c>
      <c r="CI2603">
        <v>-0.84</v>
      </c>
      <c r="CJ2603">
        <v>25587</v>
      </c>
      <c r="CK2603">
        <v>6291</v>
      </c>
      <c r="CL2603" t="s">
        <v>2372</v>
      </c>
      <c r="CM2603">
        <v>-11.98</v>
      </c>
      <c r="CN2603">
        <v>-0.89</v>
      </c>
      <c r="CO2603">
        <v>3.11</v>
      </c>
      <c r="CP2603">
        <v>27.95</v>
      </c>
      <c r="CQ2603">
        <v>5.31</v>
      </c>
      <c r="CR2603">
        <v>0.52</v>
      </c>
      <c r="CS2603" t="s">
        <v>1182</v>
      </c>
      <c r="CT2603">
        <v>3.23</v>
      </c>
      <c r="CU2603">
        <v>0</v>
      </c>
      <c r="CV2603">
        <v>0.21</v>
      </c>
      <c r="CW2603">
        <v>1.55</v>
      </c>
      <c r="CX2603">
        <v>0.36</v>
      </c>
      <c r="CY2603">
        <v>35.880000000000003</v>
      </c>
      <c r="CZ2603" t="s">
        <v>3111</v>
      </c>
      <c r="DA2603">
        <v>22.47</v>
      </c>
      <c r="DB2603">
        <v>8.4600000000000009</v>
      </c>
      <c r="DC2603">
        <v>6.1</v>
      </c>
      <c r="DD2603">
        <v>0</v>
      </c>
      <c r="DE2603">
        <v>932</v>
      </c>
      <c r="DF2603">
        <v>600505</v>
      </c>
      <c r="DG2603" t="s">
        <v>116</v>
      </c>
      <c r="DH2603" t="s">
        <v>116</v>
      </c>
      <c r="DI2603" t="s">
        <v>116</v>
      </c>
    </row>
    <row r="2604" spans="1:113" x14ac:dyDescent="0.4">
      <c r="A2604" t="str">
        <f>"600506"</f>
        <v>600506</v>
      </c>
      <c r="B2604" t="s">
        <v>11853</v>
      </c>
      <c r="C2604">
        <v>-0.48</v>
      </c>
      <c r="D2604">
        <v>10.3</v>
      </c>
      <c r="E2604">
        <v>-0.05</v>
      </c>
      <c r="F2604">
        <v>10.3</v>
      </c>
      <c r="G2604">
        <v>10.31</v>
      </c>
      <c r="H2604">
        <v>13414</v>
      </c>
      <c r="I2604">
        <v>71</v>
      </c>
      <c r="J2604">
        <v>0</v>
      </c>
      <c r="K2604">
        <v>0.91</v>
      </c>
      <c r="L2604">
        <v>10.33</v>
      </c>
      <c r="M2604">
        <v>10.41</v>
      </c>
      <c r="N2604">
        <v>10.29</v>
      </c>
      <c r="O2604">
        <v>10.35</v>
      </c>
      <c r="P2604" t="s">
        <v>116</v>
      </c>
      <c r="Q2604">
        <v>13860883</v>
      </c>
      <c r="R2604">
        <v>0.69</v>
      </c>
      <c r="S2604" t="s">
        <v>1871</v>
      </c>
      <c r="T2604" t="s">
        <v>616</v>
      </c>
      <c r="U2604">
        <v>1.1599999999999999</v>
      </c>
      <c r="V2604">
        <v>10.33</v>
      </c>
      <c r="W2604">
        <v>7500</v>
      </c>
      <c r="X2604">
        <v>5914</v>
      </c>
      <c r="Y2604">
        <v>1.27</v>
      </c>
      <c r="Z2604">
        <v>185</v>
      </c>
      <c r="AA2604">
        <v>26</v>
      </c>
      <c r="AB2604" t="s">
        <v>116</v>
      </c>
      <c r="AC2604">
        <v>48600</v>
      </c>
      <c r="AD2604">
        <v>0</v>
      </c>
      <c r="AE2604" t="s">
        <v>116</v>
      </c>
      <c r="AF2604" t="s">
        <v>116</v>
      </c>
      <c r="AG2604">
        <v>1.48</v>
      </c>
      <c r="AH2604" t="s">
        <v>7974</v>
      </c>
      <c r="AI2604" t="s">
        <v>7974</v>
      </c>
      <c r="AJ2604">
        <v>-0.41</v>
      </c>
      <c r="AK2604">
        <v>597</v>
      </c>
      <c r="AL2604">
        <v>22</v>
      </c>
      <c r="AM2604">
        <v>1.5E-3</v>
      </c>
      <c r="AN2604">
        <v>-3</v>
      </c>
      <c r="AO2604">
        <v>-1.53</v>
      </c>
      <c r="AP2604">
        <v>4.1500000000000004</v>
      </c>
      <c r="AQ2604">
        <v>-4.72</v>
      </c>
      <c r="AR2604">
        <v>3.41</v>
      </c>
      <c r="AS2604">
        <v>1.19</v>
      </c>
      <c r="AT2604" t="s">
        <v>2133</v>
      </c>
      <c r="AU2604">
        <v>300.74</v>
      </c>
      <c r="AV2604">
        <v>336.01</v>
      </c>
      <c r="AW2604">
        <v>0.7</v>
      </c>
      <c r="BA2604">
        <v>-0.19</v>
      </c>
      <c r="BB2604">
        <v>0.57999999999999996</v>
      </c>
      <c r="BC2604">
        <v>-0.57999999999999996</v>
      </c>
      <c r="BD2604">
        <v>-0.16</v>
      </c>
      <c r="BE2604">
        <v>-0.28999999999999998</v>
      </c>
      <c r="BF2604">
        <v>-1.06</v>
      </c>
      <c r="BG2604">
        <v>0.1</v>
      </c>
      <c r="BH2604">
        <v>-0.32</v>
      </c>
      <c r="BI2604">
        <v>20191225</v>
      </c>
      <c r="BJ2604">
        <v>20011226</v>
      </c>
      <c r="BK2604">
        <v>1.48</v>
      </c>
      <c r="BL2604" t="s">
        <v>116</v>
      </c>
      <c r="BM2604" t="s">
        <v>116</v>
      </c>
      <c r="BN2604">
        <v>2.94</v>
      </c>
      <c r="BO2604">
        <v>2.78</v>
      </c>
      <c r="BP2604">
        <v>0</v>
      </c>
      <c r="BQ2604">
        <v>5.52</v>
      </c>
      <c r="BR2604">
        <v>1.49</v>
      </c>
      <c r="BS2604">
        <v>0.27</v>
      </c>
      <c r="BT2604">
        <v>0.31</v>
      </c>
      <c r="BU2604">
        <v>0.05</v>
      </c>
      <c r="BV2604">
        <v>0.19</v>
      </c>
      <c r="BW2604">
        <v>0.01</v>
      </c>
      <c r="BX2604">
        <v>2.2400000000000002</v>
      </c>
      <c r="BY2604">
        <v>7.0000000000000007E-2</v>
      </c>
      <c r="BZ2604">
        <v>7.0000000000000007E-2</v>
      </c>
      <c r="CA2604">
        <v>-0.04</v>
      </c>
      <c r="CB2604">
        <v>0</v>
      </c>
      <c r="CC2604">
        <v>-0.04</v>
      </c>
      <c r="CD2604">
        <v>-0.04</v>
      </c>
      <c r="CE2604">
        <v>-0.04</v>
      </c>
      <c r="CF2604">
        <v>-0.04</v>
      </c>
      <c r="CG2604">
        <v>-1.28</v>
      </c>
      <c r="CH2604">
        <v>-0.15</v>
      </c>
      <c r="CI2604">
        <v>-0.13</v>
      </c>
      <c r="CJ2604">
        <v>13730</v>
      </c>
      <c r="CK2604">
        <v>8189</v>
      </c>
      <c r="CL2604" t="s">
        <v>11854</v>
      </c>
      <c r="CM2604">
        <v>12.42</v>
      </c>
      <c r="CN2604">
        <v>-70.77</v>
      </c>
      <c r="CO2604">
        <v>5.47</v>
      </c>
      <c r="CP2604">
        <v>-100.69</v>
      </c>
      <c r="CQ2604">
        <v>228.54</v>
      </c>
      <c r="CR2604">
        <v>0</v>
      </c>
      <c r="CS2604" t="s">
        <v>11855</v>
      </c>
      <c r="CT2604">
        <v>1.88</v>
      </c>
      <c r="CU2604">
        <v>0</v>
      </c>
      <c r="CV2604">
        <v>1.52</v>
      </c>
      <c r="CW2604">
        <v>-0.87</v>
      </c>
      <c r="CX2604">
        <v>-0.1</v>
      </c>
      <c r="CY2604">
        <v>94.48</v>
      </c>
      <c r="CZ2604" t="s">
        <v>11856</v>
      </c>
      <c r="DA2604">
        <v>-3.53</v>
      </c>
      <c r="DB2604">
        <v>-54.52</v>
      </c>
      <c r="DC2604">
        <v>-56.26</v>
      </c>
      <c r="DD2604">
        <v>0</v>
      </c>
      <c r="DE2604">
        <v>48</v>
      </c>
      <c r="DF2604">
        <v>600506</v>
      </c>
      <c r="DG2604" t="s">
        <v>116</v>
      </c>
      <c r="DH2604" t="s">
        <v>116</v>
      </c>
      <c r="DI2604" t="s">
        <v>116</v>
      </c>
    </row>
    <row r="2605" spans="1:113" x14ac:dyDescent="0.4">
      <c r="A2605" t="str">
        <f>"600507"</f>
        <v>600507</v>
      </c>
      <c r="B2605" t="s">
        <v>11857</v>
      </c>
      <c r="C2605">
        <v>-1.55</v>
      </c>
      <c r="D2605">
        <v>10.19</v>
      </c>
      <c r="E2605">
        <v>-0.16</v>
      </c>
      <c r="F2605">
        <v>10.18</v>
      </c>
      <c r="G2605">
        <v>10.19</v>
      </c>
      <c r="H2605">
        <v>200592</v>
      </c>
      <c r="I2605">
        <v>1828</v>
      </c>
      <c r="J2605">
        <v>0</v>
      </c>
      <c r="K2605">
        <v>1.45</v>
      </c>
      <c r="L2605">
        <v>10.4</v>
      </c>
      <c r="M2605">
        <v>10.41</v>
      </c>
      <c r="N2605">
        <v>10.16</v>
      </c>
      <c r="O2605">
        <v>10.35</v>
      </c>
      <c r="P2605">
        <v>8.66</v>
      </c>
      <c r="Q2605">
        <v>205572064</v>
      </c>
      <c r="R2605">
        <v>1.1100000000000001</v>
      </c>
      <c r="S2605" t="s">
        <v>1839</v>
      </c>
      <c r="T2605" t="s">
        <v>683</v>
      </c>
      <c r="U2605">
        <v>2.42</v>
      </c>
      <c r="V2605">
        <v>10.25</v>
      </c>
      <c r="W2605">
        <v>119267</v>
      </c>
      <c r="X2605">
        <v>81326</v>
      </c>
      <c r="Y2605">
        <v>1.47</v>
      </c>
      <c r="Z2605">
        <v>2236</v>
      </c>
      <c r="AA2605">
        <v>398</v>
      </c>
      <c r="AB2605" t="s">
        <v>116</v>
      </c>
      <c r="AC2605">
        <v>998400</v>
      </c>
      <c r="AD2605">
        <v>0.01</v>
      </c>
      <c r="AE2605" t="s">
        <v>116</v>
      </c>
      <c r="AF2605" t="s">
        <v>116</v>
      </c>
      <c r="AG2605">
        <v>13.87</v>
      </c>
      <c r="AH2605" t="s">
        <v>7532</v>
      </c>
      <c r="AI2605" t="s">
        <v>11858</v>
      </c>
      <c r="AJ2605">
        <v>-1.47</v>
      </c>
      <c r="AK2605">
        <v>3174</v>
      </c>
      <c r="AL2605">
        <v>63</v>
      </c>
      <c r="AM2605">
        <v>5.0000000000000001E-4</v>
      </c>
      <c r="AN2605">
        <v>-1</v>
      </c>
      <c r="AO2605">
        <v>0.89</v>
      </c>
      <c r="AP2605">
        <v>13.85</v>
      </c>
      <c r="AQ2605">
        <v>20.88</v>
      </c>
      <c r="AR2605">
        <v>22.92</v>
      </c>
      <c r="AS2605">
        <v>3.08</v>
      </c>
      <c r="AT2605" t="s">
        <v>11859</v>
      </c>
      <c r="AU2605">
        <v>7.81</v>
      </c>
      <c r="AV2605">
        <v>5.04</v>
      </c>
      <c r="AW2605">
        <v>0.87</v>
      </c>
      <c r="BA2605">
        <v>0.48</v>
      </c>
      <c r="BB2605">
        <v>0.57999999999999996</v>
      </c>
      <c r="BC2605">
        <v>-1.84</v>
      </c>
      <c r="BD2605">
        <v>-0.98</v>
      </c>
      <c r="BE2605">
        <v>-2.02</v>
      </c>
      <c r="BF2605">
        <v>-2.11</v>
      </c>
      <c r="BG2605">
        <v>0.3</v>
      </c>
      <c r="BH2605">
        <v>-0.56000000000000005</v>
      </c>
      <c r="BI2605">
        <v>20191030</v>
      </c>
      <c r="BJ2605">
        <v>20030930</v>
      </c>
      <c r="BK2605">
        <v>14.48</v>
      </c>
      <c r="BL2605" t="s">
        <v>116</v>
      </c>
      <c r="BM2605" t="s">
        <v>116</v>
      </c>
      <c r="BN2605">
        <v>138.88999999999999</v>
      </c>
      <c r="BO2605">
        <v>61.45</v>
      </c>
      <c r="BP2605">
        <v>3.19</v>
      </c>
      <c r="BQ2605">
        <v>53.46</v>
      </c>
      <c r="BR2605">
        <v>90.39</v>
      </c>
      <c r="BS2605">
        <v>28.85</v>
      </c>
      <c r="BT2605">
        <v>10.5</v>
      </c>
      <c r="BU2605">
        <v>73.03</v>
      </c>
      <c r="BV2605">
        <v>14.05</v>
      </c>
      <c r="BW2605">
        <v>4.87</v>
      </c>
      <c r="BX2605">
        <v>17.739999999999998</v>
      </c>
      <c r="BY2605">
        <v>110.94</v>
      </c>
      <c r="BZ2605">
        <v>83.76</v>
      </c>
      <c r="CA2605">
        <v>16.86</v>
      </c>
      <c r="CB2605">
        <v>0.01</v>
      </c>
      <c r="CC2605">
        <v>16.739999999999998</v>
      </c>
      <c r="CD2605">
        <v>13</v>
      </c>
      <c r="CE2605">
        <v>12.77</v>
      </c>
      <c r="CF2605">
        <v>12.23</v>
      </c>
      <c r="CG2605">
        <v>23.73</v>
      </c>
      <c r="CH2605">
        <v>10.199999999999999</v>
      </c>
      <c r="CI2605">
        <v>4.8</v>
      </c>
      <c r="CJ2605">
        <v>80920</v>
      </c>
      <c r="CK2605">
        <v>8046</v>
      </c>
      <c r="CL2605" t="s">
        <v>1457</v>
      </c>
      <c r="CM2605">
        <v>-44.82</v>
      </c>
      <c r="CN2605">
        <v>-13.21</v>
      </c>
      <c r="CO2605">
        <v>2.4</v>
      </c>
      <c r="CP2605">
        <v>14.47</v>
      </c>
      <c r="CQ2605">
        <v>1.33</v>
      </c>
      <c r="CR2605">
        <v>16.68</v>
      </c>
      <c r="CS2605" t="s">
        <v>11860</v>
      </c>
      <c r="CT2605">
        <v>4.24</v>
      </c>
      <c r="CU2605">
        <v>0</v>
      </c>
      <c r="CV2605">
        <v>1.23</v>
      </c>
      <c r="CW2605">
        <v>1.64</v>
      </c>
      <c r="CX2605">
        <v>0.7</v>
      </c>
      <c r="CY2605">
        <v>44.25</v>
      </c>
      <c r="CZ2605" t="s">
        <v>11861</v>
      </c>
      <c r="DA2605">
        <v>24.5</v>
      </c>
      <c r="DB2605">
        <v>15.2</v>
      </c>
      <c r="DC2605">
        <v>11.51</v>
      </c>
      <c r="DD2605">
        <v>0.2</v>
      </c>
      <c r="DE2605">
        <v>7362</v>
      </c>
      <c r="DF2605">
        <v>600507</v>
      </c>
      <c r="DG2605" t="s">
        <v>116</v>
      </c>
      <c r="DH2605" t="s">
        <v>116</v>
      </c>
      <c r="DI2605" t="s">
        <v>116</v>
      </c>
    </row>
    <row r="2606" spans="1:113" x14ac:dyDescent="0.4">
      <c r="A2606" t="str">
        <f>"600508"</f>
        <v>600508</v>
      </c>
      <c r="B2606" t="s">
        <v>11862</v>
      </c>
      <c r="C2606">
        <v>0.43</v>
      </c>
      <c r="D2606">
        <v>9.27</v>
      </c>
      <c r="E2606">
        <v>0.04</v>
      </c>
      <c r="F2606">
        <v>9.27</v>
      </c>
      <c r="G2606">
        <v>9.2799999999999994</v>
      </c>
      <c r="H2606">
        <v>40670</v>
      </c>
      <c r="I2606">
        <v>205</v>
      </c>
      <c r="J2606">
        <v>-0.1</v>
      </c>
      <c r="K2606">
        <v>0.56000000000000005</v>
      </c>
      <c r="L2606">
        <v>9.23</v>
      </c>
      <c r="M2606">
        <v>9.36</v>
      </c>
      <c r="N2606">
        <v>9.2100000000000009</v>
      </c>
      <c r="O2606">
        <v>9.23</v>
      </c>
      <c r="P2606">
        <v>7.52</v>
      </c>
      <c r="Q2606">
        <v>37810644</v>
      </c>
      <c r="R2606">
        <v>2.12</v>
      </c>
      <c r="S2606" t="s">
        <v>1121</v>
      </c>
      <c r="T2606" t="s">
        <v>1653</v>
      </c>
      <c r="U2606">
        <v>1.63</v>
      </c>
      <c r="V2606">
        <v>9.3000000000000007</v>
      </c>
      <c r="W2606">
        <v>17613</v>
      </c>
      <c r="X2606">
        <v>23057</v>
      </c>
      <c r="Y2606">
        <v>0.76</v>
      </c>
      <c r="Z2606">
        <v>218</v>
      </c>
      <c r="AA2606">
        <v>291</v>
      </c>
      <c r="AB2606" t="s">
        <v>116</v>
      </c>
      <c r="AC2606">
        <v>64600</v>
      </c>
      <c r="AD2606">
        <v>0</v>
      </c>
      <c r="AE2606" t="s">
        <v>116</v>
      </c>
      <c r="AF2606" t="s">
        <v>116</v>
      </c>
      <c r="AG2606">
        <v>7.23</v>
      </c>
      <c r="AH2606" t="s">
        <v>11104</v>
      </c>
      <c r="AI2606" t="s">
        <v>11104</v>
      </c>
      <c r="AJ2606">
        <v>0.51</v>
      </c>
      <c r="AK2606">
        <v>967</v>
      </c>
      <c r="AL2606">
        <v>42</v>
      </c>
      <c r="AM2606">
        <v>5.9999999999999995E-4</v>
      </c>
      <c r="AN2606">
        <v>2</v>
      </c>
      <c r="AO2606">
        <v>0.65</v>
      </c>
      <c r="AP2606">
        <v>2.09</v>
      </c>
      <c r="AQ2606">
        <v>2.89</v>
      </c>
      <c r="AR2606">
        <v>-1.07</v>
      </c>
      <c r="AS2606">
        <v>1.5</v>
      </c>
      <c r="AT2606" t="s">
        <v>11863</v>
      </c>
      <c r="AU2606">
        <v>11.69</v>
      </c>
      <c r="AV2606">
        <v>10.130000000000001</v>
      </c>
      <c r="AW2606">
        <v>0.83</v>
      </c>
      <c r="BA2606">
        <v>0</v>
      </c>
      <c r="BB2606">
        <v>1.41</v>
      </c>
      <c r="BC2606">
        <v>-0.22</v>
      </c>
      <c r="BD2606">
        <v>0.73</v>
      </c>
      <c r="BE2606">
        <v>0.43</v>
      </c>
      <c r="BF2606">
        <v>-0.96</v>
      </c>
      <c r="BG2606">
        <v>0.65</v>
      </c>
      <c r="BH2606">
        <v>-0.28999999999999998</v>
      </c>
      <c r="BI2606">
        <v>20191029</v>
      </c>
      <c r="BJ2606">
        <v>20010829</v>
      </c>
      <c r="BK2606">
        <v>7.23</v>
      </c>
      <c r="BL2606" t="s">
        <v>116</v>
      </c>
      <c r="BM2606" t="s">
        <v>116</v>
      </c>
      <c r="BN2606">
        <v>171.01</v>
      </c>
      <c r="BO2606">
        <v>99.65</v>
      </c>
      <c r="BP2606">
        <v>1.1100000000000001</v>
      </c>
      <c r="BQ2606">
        <v>41.08</v>
      </c>
      <c r="BR2606">
        <v>34.04</v>
      </c>
      <c r="BS2606">
        <v>80.319999999999993</v>
      </c>
      <c r="BT2606">
        <v>6.96</v>
      </c>
      <c r="BU2606">
        <v>52.46</v>
      </c>
      <c r="BV2606">
        <v>3.92</v>
      </c>
      <c r="BW2606">
        <v>4.8499999999999996</v>
      </c>
      <c r="BX2606">
        <v>9.17</v>
      </c>
      <c r="BY2606">
        <v>55.67</v>
      </c>
      <c r="BZ2606">
        <v>38.47</v>
      </c>
      <c r="CA2606">
        <v>8.2100000000000009</v>
      </c>
      <c r="CB2606">
        <v>0</v>
      </c>
      <c r="CC2606">
        <v>8.32</v>
      </c>
      <c r="CD2606">
        <v>6.22</v>
      </c>
      <c r="CE2606">
        <v>6.68</v>
      </c>
      <c r="CF2606">
        <v>6.58</v>
      </c>
      <c r="CG2606">
        <v>76.38</v>
      </c>
      <c r="CH2606">
        <v>18.53</v>
      </c>
      <c r="CI2606">
        <v>12.51</v>
      </c>
      <c r="CJ2606">
        <v>47462</v>
      </c>
      <c r="CK2606">
        <v>5721</v>
      </c>
      <c r="CL2606" t="s">
        <v>8000</v>
      </c>
      <c r="CM2606">
        <v>-11.68</v>
      </c>
      <c r="CN2606">
        <v>7.32</v>
      </c>
      <c r="CO2606">
        <v>0.67</v>
      </c>
      <c r="CP2606">
        <v>3.62</v>
      </c>
      <c r="CQ2606">
        <v>1.2</v>
      </c>
      <c r="CR2606">
        <v>3.02</v>
      </c>
      <c r="CS2606" t="s">
        <v>11864</v>
      </c>
      <c r="CT2606">
        <v>13.79</v>
      </c>
      <c r="CU2606">
        <v>0</v>
      </c>
      <c r="CV2606">
        <v>1.27</v>
      </c>
      <c r="CW2606">
        <v>10.57</v>
      </c>
      <c r="CX2606">
        <v>2.56</v>
      </c>
      <c r="CY2606">
        <v>58.27</v>
      </c>
      <c r="CZ2606" t="s">
        <v>10354</v>
      </c>
      <c r="DA2606">
        <v>30.9</v>
      </c>
      <c r="DB2606">
        <v>14.75</v>
      </c>
      <c r="DC2606">
        <v>12</v>
      </c>
      <c r="DD2606">
        <v>0.04</v>
      </c>
      <c r="DE2606">
        <v>15007</v>
      </c>
      <c r="DF2606">
        <v>600508</v>
      </c>
      <c r="DG2606" t="s">
        <v>116</v>
      </c>
      <c r="DH2606" t="s">
        <v>116</v>
      </c>
      <c r="DI2606" t="s">
        <v>116</v>
      </c>
    </row>
    <row r="2607" spans="1:113" x14ac:dyDescent="0.4">
      <c r="A2607" t="str">
        <f>"600509"</f>
        <v>600509</v>
      </c>
      <c r="B2607" t="s">
        <v>11865</v>
      </c>
      <c r="C2607">
        <v>0.54</v>
      </c>
      <c r="D2607">
        <v>3.69</v>
      </c>
      <c r="E2607">
        <v>0.02</v>
      </c>
      <c r="F2607">
        <v>3.68</v>
      </c>
      <c r="G2607">
        <v>3.69</v>
      </c>
      <c r="H2607">
        <v>61673</v>
      </c>
      <c r="I2607">
        <v>497</v>
      </c>
      <c r="J2607">
        <v>0</v>
      </c>
      <c r="K2607">
        <v>0.68</v>
      </c>
      <c r="L2607">
        <v>3.67</v>
      </c>
      <c r="M2607">
        <v>3.72</v>
      </c>
      <c r="N2607">
        <v>3.66</v>
      </c>
      <c r="O2607">
        <v>3.67</v>
      </c>
      <c r="P2607" t="s">
        <v>116</v>
      </c>
      <c r="Q2607">
        <v>22797512</v>
      </c>
      <c r="R2607">
        <v>1.53</v>
      </c>
      <c r="S2607" t="s">
        <v>271</v>
      </c>
      <c r="T2607" t="s">
        <v>616</v>
      </c>
      <c r="U2607">
        <v>1.63</v>
      </c>
      <c r="V2607">
        <v>3.7</v>
      </c>
      <c r="W2607">
        <v>28658</v>
      </c>
      <c r="X2607">
        <v>33015</v>
      </c>
      <c r="Y2607">
        <v>0.87</v>
      </c>
      <c r="Z2607">
        <v>2022</v>
      </c>
      <c r="AA2607">
        <v>633</v>
      </c>
      <c r="AB2607" t="s">
        <v>116</v>
      </c>
      <c r="AC2607">
        <v>105700</v>
      </c>
      <c r="AD2607">
        <v>0.01</v>
      </c>
      <c r="AE2607" t="s">
        <v>116</v>
      </c>
      <c r="AF2607" t="s">
        <v>116</v>
      </c>
      <c r="AG2607">
        <v>9.06</v>
      </c>
      <c r="AH2607" t="s">
        <v>8996</v>
      </c>
      <c r="AI2607" t="s">
        <v>11866</v>
      </c>
      <c r="AJ2607">
        <v>0.62</v>
      </c>
      <c r="AK2607">
        <v>748</v>
      </c>
      <c r="AL2607">
        <v>82</v>
      </c>
      <c r="AM2607">
        <v>8.9999999999999998E-4</v>
      </c>
      <c r="AN2607">
        <v>1</v>
      </c>
      <c r="AO2607">
        <v>0.54</v>
      </c>
      <c r="AP2607">
        <v>-0.54</v>
      </c>
      <c r="AQ2607">
        <v>-7.29</v>
      </c>
      <c r="AR2607">
        <v>3.83</v>
      </c>
      <c r="AS2607">
        <v>1.1000000000000001</v>
      </c>
      <c r="AT2607" t="s">
        <v>2550</v>
      </c>
      <c r="AU2607" t="s">
        <v>116</v>
      </c>
      <c r="AV2607">
        <v>85.76</v>
      </c>
      <c r="AW2607">
        <v>1.34</v>
      </c>
      <c r="BA2607">
        <v>0</v>
      </c>
      <c r="BB2607">
        <v>1.36</v>
      </c>
      <c r="BC2607">
        <v>-0.27</v>
      </c>
      <c r="BD2607">
        <v>0.72</v>
      </c>
      <c r="BE2607">
        <v>0.54</v>
      </c>
      <c r="BF2607">
        <v>-0.81</v>
      </c>
      <c r="BG2607">
        <v>0.82</v>
      </c>
      <c r="BH2607">
        <v>-0.18</v>
      </c>
      <c r="BI2607">
        <v>20191026</v>
      </c>
      <c r="BJ2607">
        <v>20020228</v>
      </c>
      <c r="BK2607">
        <v>11.51</v>
      </c>
      <c r="BL2607" t="s">
        <v>116</v>
      </c>
      <c r="BM2607" t="s">
        <v>116</v>
      </c>
      <c r="BN2607">
        <v>206.22</v>
      </c>
      <c r="BO2607">
        <v>62.94</v>
      </c>
      <c r="BP2607">
        <v>6.83</v>
      </c>
      <c r="BQ2607">
        <v>66.17</v>
      </c>
      <c r="BR2607">
        <v>40.67</v>
      </c>
      <c r="BS2607">
        <v>138.05000000000001</v>
      </c>
      <c r="BT2607">
        <v>1.3</v>
      </c>
      <c r="BU2607">
        <v>45.94</v>
      </c>
      <c r="BV2607">
        <v>11.2</v>
      </c>
      <c r="BW2607">
        <v>6.89</v>
      </c>
      <c r="BX2607">
        <v>39.92</v>
      </c>
      <c r="BY2607">
        <v>33.96</v>
      </c>
      <c r="BZ2607">
        <v>28.9</v>
      </c>
      <c r="CA2607">
        <v>-1.57</v>
      </c>
      <c r="CB2607">
        <v>0.35</v>
      </c>
      <c r="CC2607">
        <v>-1.76</v>
      </c>
      <c r="CD2607">
        <v>-1.97</v>
      </c>
      <c r="CE2607">
        <v>-2.19</v>
      </c>
      <c r="CF2607">
        <v>-2.71</v>
      </c>
      <c r="CG2607">
        <v>8.07</v>
      </c>
      <c r="CH2607">
        <v>3.65</v>
      </c>
      <c r="CI2607">
        <v>-3.61</v>
      </c>
      <c r="CJ2607">
        <v>59276</v>
      </c>
      <c r="CK2607">
        <v>9474</v>
      </c>
      <c r="CL2607" t="s">
        <v>7087</v>
      </c>
      <c r="CM2607">
        <v>-438.61</v>
      </c>
      <c r="CN2607">
        <v>-2.91</v>
      </c>
      <c r="CO2607">
        <v>0.68</v>
      </c>
      <c r="CP2607">
        <v>11.63</v>
      </c>
      <c r="CQ2607">
        <v>1.25</v>
      </c>
      <c r="CR2607">
        <v>0.43</v>
      </c>
      <c r="CS2607" t="s">
        <v>11776</v>
      </c>
      <c r="CT2607">
        <v>5.47</v>
      </c>
      <c r="CU2607">
        <v>0</v>
      </c>
      <c r="CV2607">
        <v>3.47</v>
      </c>
      <c r="CW2607">
        <v>0.7</v>
      </c>
      <c r="CX2607">
        <v>0.32</v>
      </c>
      <c r="CY2607">
        <v>30.52</v>
      </c>
      <c r="CZ2607" t="s">
        <v>11867</v>
      </c>
      <c r="DA2607">
        <v>14.9</v>
      </c>
      <c r="DB2607">
        <v>-4.62</v>
      </c>
      <c r="DC2607">
        <v>-6.45</v>
      </c>
      <c r="DD2607">
        <v>0.03</v>
      </c>
      <c r="DE2607">
        <v>3777</v>
      </c>
      <c r="DF2607">
        <v>600509</v>
      </c>
      <c r="DG2607" t="s">
        <v>116</v>
      </c>
      <c r="DH2607" t="s">
        <v>116</v>
      </c>
      <c r="DI2607" t="s">
        <v>116</v>
      </c>
    </row>
    <row r="2608" spans="1:113" x14ac:dyDescent="0.4">
      <c r="A2608" t="str">
        <f>"600510"</f>
        <v>600510</v>
      </c>
      <c r="B2608" t="s">
        <v>11868</v>
      </c>
      <c r="C2608">
        <v>0.46</v>
      </c>
      <c r="D2608">
        <v>6.62</v>
      </c>
      <c r="E2608">
        <v>0.03</v>
      </c>
      <c r="F2608">
        <v>6.62</v>
      </c>
      <c r="G2608">
        <v>6.63</v>
      </c>
      <c r="H2608">
        <v>43595</v>
      </c>
      <c r="I2608">
        <v>524</v>
      </c>
      <c r="J2608">
        <v>-0.14000000000000001</v>
      </c>
      <c r="K2608">
        <v>0.42</v>
      </c>
      <c r="L2608">
        <v>6.59</v>
      </c>
      <c r="M2608">
        <v>6.65</v>
      </c>
      <c r="N2608">
        <v>6.56</v>
      </c>
      <c r="O2608">
        <v>6.59</v>
      </c>
      <c r="P2608">
        <v>8.1199999999999992</v>
      </c>
      <c r="Q2608">
        <v>28830498</v>
      </c>
      <c r="R2608">
        <v>1.06</v>
      </c>
      <c r="S2608" t="s">
        <v>124</v>
      </c>
      <c r="T2608" t="s">
        <v>323</v>
      </c>
      <c r="U2608">
        <v>1.37</v>
      </c>
      <c r="V2608">
        <v>6.61</v>
      </c>
      <c r="W2608">
        <v>23005</v>
      </c>
      <c r="X2608">
        <v>20590</v>
      </c>
      <c r="Y2608">
        <v>1.1200000000000001</v>
      </c>
      <c r="Z2608">
        <v>2056</v>
      </c>
      <c r="AA2608">
        <v>874</v>
      </c>
      <c r="AB2608" t="s">
        <v>116</v>
      </c>
      <c r="AC2608">
        <v>154900</v>
      </c>
      <c r="AD2608">
        <v>0.01</v>
      </c>
      <c r="AE2608" t="s">
        <v>116</v>
      </c>
      <c r="AF2608" t="s">
        <v>116</v>
      </c>
      <c r="AG2608">
        <v>10.47</v>
      </c>
      <c r="AH2608" t="s">
        <v>11869</v>
      </c>
      <c r="AI2608" t="s">
        <v>11869</v>
      </c>
      <c r="AJ2608">
        <v>0.53</v>
      </c>
      <c r="AK2608">
        <v>1486</v>
      </c>
      <c r="AL2608">
        <v>29</v>
      </c>
      <c r="AM2608">
        <v>2.9999999999999997E-4</v>
      </c>
      <c r="AN2608">
        <v>1</v>
      </c>
      <c r="AO2608">
        <v>2.48</v>
      </c>
      <c r="AP2608">
        <v>7.47</v>
      </c>
      <c r="AQ2608">
        <v>4.75</v>
      </c>
      <c r="AR2608">
        <v>12.87</v>
      </c>
      <c r="AS2608">
        <v>1.33</v>
      </c>
      <c r="AT2608" t="s">
        <v>11870</v>
      </c>
      <c r="AU2608">
        <v>5.83</v>
      </c>
      <c r="AV2608">
        <v>10.47</v>
      </c>
      <c r="AW2608">
        <v>1.07</v>
      </c>
      <c r="BA2608">
        <v>0</v>
      </c>
      <c r="BB2608">
        <v>0.91</v>
      </c>
      <c r="BC2608">
        <v>-0.46</v>
      </c>
      <c r="BD2608">
        <v>0.35</v>
      </c>
      <c r="BE2608">
        <v>0.46</v>
      </c>
      <c r="BF2608">
        <v>-0.45</v>
      </c>
      <c r="BG2608">
        <v>0.91</v>
      </c>
      <c r="BH2608">
        <v>0.1</v>
      </c>
      <c r="BI2608">
        <v>20191026</v>
      </c>
      <c r="BJ2608">
        <v>20020618</v>
      </c>
      <c r="BK2608">
        <v>10.47</v>
      </c>
      <c r="BL2608" t="s">
        <v>116</v>
      </c>
      <c r="BM2608" t="s">
        <v>116</v>
      </c>
      <c r="BN2608">
        <v>295.88</v>
      </c>
      <c r="BO2608">
        <v>82.56</v>
      </c>
      <c r="BP2608">
        <v>14.03</v>
      </c>
      <c r="BQ2608">
        <v>67.36</v>
      </c>
      <c r="BR2608">
        <v>252.19</v>
      </c>
      <c r="BS2608">
        <v>7.62</v>
      </c>
      <c r="BT2608">
        <v>0.35</v>
      </c>
      <c r="BU2608">
        <v>154.62</v>
      </c>
      <c r="BV2608">
        <v>108.2</v>
      </c>
      <c r="BW2608">
        <v>43.32</v>
      </c>
      <c r="BX2608">
        <v>29.87</v>
      </c>
      <c r="BY2608">
        <v>61.06</v>
      </c>
      <c r="BZ2608">
        <v>35.5</v>
      </c>
      <c r="CA2608">
        <v>15.55</v>
      </c>
      <c r="CB2608">
        <v>0.39</v>
      </c>
      <c r="CC2608">
        <v>15.56</v>
      </c>
      <c r="CD2608">
        <v>11.49</v>
      </c>
      <c r="CE2608">
        <v>6.41</v>
      </c>
      <c r="CF2608">
        <v>6.38</v>
      </c>
      <c r="CG2608">
        <v>35.549999999999997</v>
      </c>
      <c r="CH2608">
        <v>31.13</v>
      </c>
      <c r="CI2608">
        <v>20.87</v>
      </c>
      <c r="CJ2608">
        <v>24639</v>
      </c>
      <c r="CK2608">
        <v>13284</v>
      </c>
      <c r="CL2608" t="s">
        <v>11708</v>
      </c>
      <c r="CM2608">
        <v>462.6</v>
      </c>
      <c r="CN2608">
        <v>110.07</v>
      </c>
      <c r="CO2608">
        <v>0.84</v>
      </c>
      <c r="CP2608">
        <v>2.23</v>
      </c>
      <c r="CQ2608">
        <v>1.1399999999999999</v>
      </c>
      <c r="CR2608">
        <v>2.88</v>
      </c>
      <c r="CS2608" t="s">
        <v>11871</v>
      </c>
      <c r="CT2608">
        <v>7.88</v>
      </c>
      <c r="CU2608">
        <v>0</v>
      </c>
      <c r="CV2608">
        <v>2.85</v>
      </c>
      <c r="CW2608">
        <v>3.39</v>
      </c>
      <c r="CX2608">
        <v>2.97</v>
      </c>
      <c r="CY2608">
        <v>27.9</v>
      </c>
      <c r="CZ2608" t="s">
        <v>7026</v>
      </c>
      <c r="DA2608">
        <v>41.86</v>
      </c>
      <c r="DB2608">
        <v>25.47</v>
      </c>
      <c r="DC2608">
        <v>10.49</v>
      </c>
      <c r="DD2608">
        <v>0.28999999999999998</v>
      </c>
      <c r="DE2608">
        <v>2942</v>
      </c>
      <c r="DF2608">
        <v>600510</v>
      </c>
      <c r="DG2608" t="s">
        <v>116</v>
      </c>
      <c r="DH2608" t="s">
        <v>116</v>
      </c>
      <c r="DI2608" t="s">
        <v>116</v>
      </c>
    </row>
    <row r="2609" spans="1:113" x14ac:dyDescent="0.4">
      <c r="A2609" t="str">
        <f>"600511"</f>
        <v>600511</v>
      </c>
      <c r="B2609" t="s">
        <v>11872</v>
      </c>
      <c r="C2609">
        <v>-0.56999999999999995</v>
      </c>
      <c r="D2609">
        <v>26.38</v>
      </c>
      <c r="E2609">
        <v>-0.15</v>
      </c>
      <c r="F2609">
        <v>26.36</v>
      </c>
      <c r="G2609">
        <v>26.38</v>
      </c>
      <c r="H2609">
        <v>40777</v>
      </c>
      <c r="I2609">
        <v>260</v>
      </c>
      <c r="J2609">
        <v>-0.1</v>
      </c>
      <c r="K2609">
        <v>1.47</v>
      </c>
      <c r="L2609">
        <v>26.54</v>
      </c>
      <c r="M2609">
        <v>26.59</v>
      </c>
      <c r="N2609">
        <v>26.26</v>
      </c>
      <c r="O2609">
        <v>26.53</v>
      </c>
      <c r="P2609">
        <v>13.93</v>
      </c>
      <c r="Q2609">
        <v>107714032</v>
      </c>
      <c r="R2609">
        <v>0.96</v>
      </c>
      <c r="S2609" t="s">
        <v>278</v>
      </c>
      <c r="T2609" t="s">
        <v>165</v>
      </c>
      <c r="U2609">
        <v>1.24</v>
      </c>
      <c r="V2609">
        <v>26.42</v>
      </c>
      <c r="W2609">
        <v>22992</v>
      </c>
      <c r="X2609">
        <v>17785</v>
      </c>
      <c r="Y2609">
        <v>1.29</v>
      </c>
      <c r="Z2609">
        <v>6</v>
      </c>
      <c r="AA2609">
        <v>103</v>
      </c>
      <c r="AB2609" t="s">
        <v>116</v>
      </c>
      <c r="AC2609">
        <v>50400</v>
      </c>
      <c r="AD2609">
        <v>0</v>
      </c>
      <c r="AE2609" t="s">
        <v>116</v>
      </c>
      <c r="AF2609" t="s">
        <v>116</v>
      </c>
      <c r="AG2609">
        <v>2.78</v>
      </c>
      <c r="AH2609" t="s">
        <v>368</v>
      </c>
      <c r="AI2609" t="s">
        <v>11873</v>
      </c>
      <c r="AJ2609">
        <v>-0.49</v>
      </c>
      <c r="AK2609">
        <v>3109</v>
      </c>
      <c r="AL2609">
        <v>13</v>
      </c>
      <c r="AM2609">
        <v>5.0000000000000001E-4</v>
      </c>
      <c r="AN2609">
        <v>-2</v>
      </c>
      <c r="AO2609">
        <v>7.0000000000000007E-2</v>
      </c>
      <c r="AP2609">
        <v>7.98</v>
      </c>
      <c r="AQ2609">
        <v>-2.69</v>
      </c>
      <c r="AR2609">
        <v>15.45</v>
      </c>
      <c r="AS2609">
        <v>1.52</v>
      </c>
      <c r="AT2609" t="s">
        <v>11874</v>
      </c>
      <c r="AU2609">
        <v>13.05</v>
      </c>
      <c r="AV2609">
        <v>14.18</v>
      </c>
      <c r="AW2609">
        <v>1.1499999999999999</v>
      </c>
      <c r="BA2609">
        <v>0.04</v>
      </c>
      <c r="BB2609">
        <v>0.23</v>
      </c>
      <c r="BC2609">
        <v>-1.02</v>
      </c>
      <c r="BD2609">
        <v>-0.43</v>
      </c>
      <c r="BE2609">
        <v>-0.6</v>
      </c>
      <c r="BF2609">
        <v>-0.79</v>
      </c>
      <c r="BG2609">
        <v>0.46</v>
      </c>
      <c r="BH2609">
        <v>-0.13</v>
      </c>
      <c r="BI2609">
        <v>20191024</v>
      </c>
      <c r="BJ2609">
        <v>20021127</v>
      </c>
      <c r="BK2609">
        <v>7.55</v>
      </c>
      <c r="BL2609" t="s">
        <v>116</v>
      </c>
      <c r="BM2609" t="s">
        <v>116</v>
      </c>
      <c r="BN2609">
        <v>242.65</v>
      </c>
      <c r="BO2609">
        <v>100.01</v>
      </c>
      <c r="BP2609">
        <v>14.93</v>
      </c>
      <c r="BQ2609">
        <v>52.63</v>
      </c>
      <c r="BR2609">
        <v>218.32</v>
      </c>
      <c r="BS2609">
        <v>6.2</v>
      </c>
      <c r="BT2609">
        <v>2.65</v>
      </c>
      <c r="BU2609">
        <v>123.06</v>
      </c>
      <c r="BV2609">
        <v>43.29</v>
      </c>
      <c r="BW2609">
        <v>114.79</v>
      </c>
      <c r="BX2609">
        <v>23.49</v>
      </c>
      <c r="BY2609">
        <v>327.10000000000002</v>
      </c>
      <c r="BZ2609">
        <v>300.04000000000002</v>
      </c>
      <c r="CA2609">
        <v>16.23</v>
      </c>
      <c r="CB2609">
        <v>1.3</v>
      </c>
      <c r="CC2609">
        <v>16.170000000000002</v>
      </c>
      <c r="CD2609">
        <v>12.46</v>
      </c>
      <c r="CE2609">
        <v>10.71</v>
      </c>
      <c r="CF2609">
        <v>10.38</v>
      </c>
      <c r="CG2609">
        <v>63.62</v>
      </c>
      <c r="CH2609">
        <v>10.82</v>
      </c>
      <c r="CI2609">
        <v>-3.26</v>
      </c>
      <c r="CJ2609">
        <v>24737</v>
      </c>
      <c r="CK2609">
        <v>10838</v>
      </c>
      <c r="CL2609" t="s">
        <v>11875</v>
      </c>
      <c r="CM2609">
        <v>12.71</v>
      </c>
      <c r="CN2609">
        <v>13.67</v>
      </c>
      <c r="CO2609">
        <v>2.02</v>
      </c>
      <c r="CP2609">
        <v>18.39</v>
      </c>
      <c r="CQ2609">
        <v>0.61</v>
      </c>
      <c r="CR2609">
        <v>1.54</v>
      </c>
      <c r="CS2609" t="s">
        <v>11876</v>
      </c>
      <c r="CT2609">
        <v>13.08</v>
      </c>
      <c r="CU2609">
        <v>13.08</v>
      </c>
      <c r="CV2609">
        <v>3.11</v>
      </c>
      <c r="CW2609">
        <v>8.43</v>
      </c>
      <c r="CX2609">
        <v>1.43</v>
      </c>
      <c r="CY2609">
        <v>41.22</v>
      </c>
      <c r="CZ2609" t="s">
        <v>2662</v>
      </c>
      <c r="DA2609">
        <v>8.27</v>
      </c>
      <c r="DB2609">
        <v>4.96</v>
      </c>
      <c r="DC2609">
        <v>3.28</v>
      </c>
      <c r="DD2609">
        <v>0.18</v>
      </c>
      <c r="DE2609">
        <v>2857</v>
      </c>
      <c r="DF2609">
        <v>600511</v>
      </c>
      <c r="DG2609" t="s">
        <v>116</v>
      </c>
      <c r="DH2609" t="s">
        <v>116</v>
      </c>
      <c r="DI2609" t="s">
        <v>116</v>
      </c>
    </row>
    <row r="2610" spans="1:113" x14ac:dyDescent="0.4">
      <c r="A2610" t="str">
        <f>"600512"</f>
        <v>600512</v>
      </c>
      <c r="B2610" t="s">
        <v>11877</v>
      </c>
      <c r="C2610">
        <v>-0.72</v>
      </c>
      <c r="D2610">
        <v>2.74</v>
      </c>
      <c r="E2610">
        <v>-0.02</v>
      </c>
      <c r="F2610">
        <v>2.74</v>
      </c>
      <c r="G2610">
        <v>2.75</v>
      </c>
      <c r="H2610">
        <v>265169</v>
      </c>
      <c r="I2610">
        <v>1724</v>
      </c>
      <c r="J2610">
        <v>-0.35</v>
      </c>
      <c r="K2610">
        <v>1.66</v>
      </c>
      <c r="L2610">
        <v>2.76</v>
      </c>
      <c r="M2610">
        <v>2.78</v>
      </c>
      <c r="N2610">
        <v>2.74</v>
      </c>
      <c r="O2610">
        <v>2.76</v>
      </c>
      <c r="P2610">
        <v>6.24</v>
      </c>
      <c r="Q2610">
        <v>73328432</v>
      </c>
      <c r="R2610">
        <v>1.1299999999999999</v>
      </c>
      <c r="S2610" t="s">
        <v>181</v>
      </c>
      <c r="T2610" t="s">
        <v>590</v>
      </c>
      <c r="U2610">
        <v>1.45</v>
      </c>
      <c r="V2610">
        <v>2.77</v>
      </c>
      <c r="W2610">
        <v>141686</v>
      </c>
      <c r="X2610">
        <v>123483</v>
      </c>
      <c r="Y2610">
        <v>1.1499999999999999</v>
      </c>
      <c r="Z2610">
        <v>5298</v>
      </c>
      <c r="AA2610">
        <v>6353</v>
      </c>
      <c r="AB2610" t="s">
        <v>116</v>
      </c>
      <c r="AC2610">
        <v>508100</v>
      </c>
      <c r="AD2610">
        <v>0.01</v>
      </c>
      <c r="AE2610" t="s">
        <v>116</v>
      </c>
      <c r="AF2610" t="s">
        <v>116</v>
      </c>
      <c r="AG2610">
        <v>15.99</v>
      </c>
      <c r="AH2610" t="s">
        <v>11878</v>
      </c>
      <c r="AI2610" t="s">
        <v>11878</v>
      </c>
      <c r="AJ2610">
        <v>-0.65</v>
      </c>
      <c r="AK2610">
        <v>1617</v>
      </c>
      <c r="AL2610">
        <v>164</v>
      </c>
      <c r="AM2610">
        <v>1E-3</v>
      </c>
      <c r="AN2610">
        <v>-1</v>
      </c>
      <c r="AO2610">
        <v>0.37</v>
      </c>
      <c r="AP2610">
        <v>0</v>
      </c>
      <c r="AQ2610">
        <v>3.4</v>
      </c>
      <c r="AR2610">
        <v>28.64</v>
      </c>
      <c r="AS2610">
        <v>2.04</v>
      </c>
      <c r="AT2610" t="s">
        <v>8757</v>
      </c>
      <c r="AU2610">
        <v>8.11</v>
      </c>
      <c r="AV2610">
        <v>171.07</v>
      </c>
      <c r="AW2610">
        <v>1.1399999999999999</v>
      </c>
      <c r="BA2610">
        <v>0</v>
      </c>
      <c r="BB2610">
        <v>0.72</v>
      </c>
      <c r="BC2610">
        <v>-0.72</v>
      </c>
      <c r="BD2610">
        <v>0.19</v>
      </c>
      <c r="BE2610">
        <v>-0.72</v>
      </c>
      <c r="BF2610">
        <v>-1.44</v>
      </c>
      <c r="BG2610">
        <v>0</v>
      </c>
      <c r="BH2610">
        <v>-0.92</v>
      </c>
      <c r="BI2610">
        <v>20191030</v>
      </c>
      <c r="BJ2610">
        <v>20021226</v>
      </c>
      <c r="BK2610">
        <v>15.99</v>
      </c>
      <c r="BL2610" t="s">
        <v>116</v>
      </c>
      <c r="BM2610" t="s">
        <v>116</v>
      </c>
      <c r="BN2610">
        <v>98.11</v>
      </c>
      <c r="BO2610">
        <v>47.33</v>
      </c>
      <c r="BP2610">
        <v>1.83</v>
      </c>
      <c r="BQ2610">
        <v>49.89</v>
      </c>
      <c r="BR2610">
        <v>64.430000000000007</v>
      </c>
      <c r="BS2610">
        <v>2.91</v>
      </c>
      <c r="BT2610">
        <v>2.36</v>
      </c>
      <c r="BU2610">
        <v>40.17</v>
      </c>
      <c r="BV2610">
        <v>33.5</v>
      </c>
      <c r="BW2610">
        <v>5.73</v>
      </c>
      <c r="BX2610">
        <v>23.07</v>
      </c>
      <c r="BY2610">
        <v>24.47</v>
      </c>
      <c r="BZ2610">
        <v>22.04</v>
      </c>
      <c r="CA2610">
        <v>7.98</v>
      </c>
      <c r="CB2610">
        <v>6.39</v>
      </c>
      <c r="CC2610">
        <v>7.94</v>
      </c>
      <c r="CD2610">
        <v>7.21</v>
      </c>
      <c r="CE2610">
        <v>5.27</v>
      </c>
      <c r="CF2610">
        <v>2.2200000000000002</v>
      </c>
      <c r="CG2610">
        <v>6.68</v>
      </c>
      <c r="CH2610">
        <v>7.12</v>
      </c>
      <c r="CI2610">
        <v>-9.2100000000000009</v>
      </c>
      <c r="CJ2610">
        <v>84256</v>
      </c>
      <c r="CK2610">
        <v>15393</v>
      </c>
      <c r="CL2610" t="s">
        <v>3877</v>
      </c>
      <c r="CM2610">
        <v>4165.18</v>
      </c>
      <c r="CN2610">
        <v>2.17</v>
      </c>
      <c r="CO2610">
        <v>0.93</v>
      </c>
      <c r="CP2610">
        <v>6.15</v>
      </c>
      <c r="CQ2610">
        <v>1.79</v>
      </c>
      <c r="CR2610">
        <v>0.73</v>
      </c>
      <c r="CS2610" t="s">
        <v>4936</v>
      </c>
      <c r="CT2610">
        <v>2.96</v>
      </c>
      <c r="CU2610">
        <v>0</v>
      </c>
      <c r="CV2610">
        <v>1.44</v>
      </c>
      <c r="CW2610">
        <v>0.42</v>
      </c>
      <c r="CX2610">
        <v>0.45</v>
      </c>
      <c r="CY2610">
        <v>48.24</v>
      </c>
      <c r="CZ2610" t="s">
        <v>11879</v>
      </c>
      <c r="DA2610">
        <v>9.93</v>
      </c>
      <c r="DB2610">
        <v>32.61</v>
      </c>
      <c r="DC2610">
        <v>21.52</v>
      </c>
      <c r="DD2610">
        <v>0.82</v>
      </c>
      <c r="DE2610">
        <v>3340</v>
      </c>
      <c r="DF2610">
        <v>600512</v>
      </c>
      <c r="DG2610" t="s">
        <v>116</v>
      </c>
      <c r="DH2610" t="s">
        <v>116</v>
      </c>
      <c r="DI2610" t="s">
        <v>116</v>
      </c>
    </row>
    <row r="2611" spans="1:113" x14ac:dyDescent="0.4">
      <c r="A2611" t="str">
        <f>"600513"</f>
        <v>600513</v>
      </c>
      <c r="B2611" t="s">
        <v>11880</v>
      </c>
      <c r="C2611">
        <v>0.14000000000000001</v>
      </c>
      <c r="D2611">
        <v>7.04</v>
      </c>
      <c r="E2611">
        <v>0.01</v>
      </c>
      <c r="F2611">
        <v>7.03</v>
      </c>
      <c r="G2611">
        <v>7.04</v>
      </c>
      <c r="H2611">
        <v>28704</v>
      </c>
      <c r="I2611">
        <v>83</v>
      </c>
      <c r="J2611">
        <v>0.14000000000000001</v>
      </c>
      <c r="K2611">
        <v>1.01</v>
      </c>
      <c r="L2611">
        <v>7.07</v>
      </c>
      <c r="M2611">
        <v>7.11</v>
      </c>
      <c r="N2611">
        <v>7.01</v>
      </c>
      <c r="O2611">
        <v>7.03</v>
      </c>
      <c r="P2611">
        <v>24.61</v>
      </c>
      <c r="Q2611">
        <v>20253452</v>
      </c>
      <c r="R2611">
        <v>1.71</v>
      </c>
      <c r="S2611" t="s">
        <v>574</v>
      </c>
      <c r="T2611" t="s">
        <v>323</v>
      </c>
      <c r="U2611">
        <v>1.42</v>
      </c>
      <c r="V2611">
        <v>7.06</v>
      </c>
      <c r="W2611">
        <v>13245</v>
      </c>
      <c r="X2611">
        <v>15459</v>
      </c>
      <c r="Y2611">
        <v>0.86</v>
      </c>
      <c r="Z2611">
        <v>146</v>
      </c>
      <c r="AA2611">
        <v>497</v>
      </c>
      <c r="AB2611" t="s">
        <v>116</v>
      </c>
      <c r="AC2611">
        <v>128000</v>
      </c>
      <c r="AD2611">
        <v>0.01</v>
      </c>
      <c r="AE2611" t="s">
        <v>116</v>
      </c>
      <c r="AF2611" t="s">
        <v>116</v>
      </c>
      <c r="AG2611">
        <v>2.85</v>
      </c>
      <c r="AH2611" t="s">
        <v>1400</v>
      </c>
      <c r="AI2611" t="s">
        <v>894</v>
      </c>
      <c r="AJ2611">
        <v>0.22</v>
      </c>
      <c r="AK2611">
        <v>794</v>
      </c>
      <c r="AL2611">
        <v>36</v>
      </c>
      <c r="AM2611">
        <v>1.2999999999999999E-3</v>
      </c>
      <c r="AN2611">
        <v>2</v>
      </c>
      <c r="AO2611">
        <v>0.43</v>
      </c>
      <c r="AP2611">
        <v>3.68</v>
      </c>
      <c r="AQ2611">
        <v>2.0299999999999998</v>
      </c>
      <c r="AR2611">
        <v>19.89</v>
      </c>
      <c r="AS2611">
        <v>1.6</v>
      </c>
      <c r="AT2611" t="s">
        <v>5989</v>
      </c>
      <c r="AU2611">
        <v>25.75</v>
      </c>
      <c r="AV2611">
        <v>27.57</v>
      </c>
      <c r="AW2611">
        <v>1.26</v>
      </c>
      <c r="BA2611">
        <v>0.56999999999999995</v>
      </c>
      <c r="BB2611">
        <v>1.1399999999999999</v>
      </c>
      <c r="BC2611">
        <v>-0.28000000000000003</v>
      </c>
      <c r="BD2611">
        <v>0.37</v>
      </c>
      <c r="BE2611">
        <v>-0.42</v>
      </c>
      <c r="BF2611">
        <v>-0.98</v>
      </c>
      <c r="BG2611">
        <v>0.43</v>
      </c>
      <c r="BH2611">
        <v>-0.23</v>
      </c>
      <c r="BI2611">
        <v>20191112</v>
      </c>
      <c r="BJ2611">
        <v>20030319</v>
      </c>
      <c r="BK2611">
        <v>2.88</v>
      </c>
      <c r="BL2611" t="s">
        <v>116</v>
      </c>
      <c r="BM2611" t="s">
        <v>116</v>
      </c>
      <c r="BN2611">
        <v>15.59</v>
      </c>
      <c r="BO2611">
        <v>9.82</v>
      </c>
      <c r="BP2611">
        <v>0.18</v>
      </c>
      <c r="BQ2611">
        <v>35.89</v>
      </c>
      <c r="BR2611">
        <v>8.6</v>
      </c>
      <c r="BS2611">
        <v>1.39</v>
      </c>
      <c r="BT2611">
        <v>0.37</v>
      </c>
      <c r="BU2611">
        <v>5.59</v>
      </c>
      <c r="BV2611">
        <v>1.97</v>
      </c>
      <c r="BW2611">
        <v>2.4</v>
      </c>
      <c r="BX2611">
        <v>2.66</v>
      </c>
      <c r="BY2611">
        <v>8.89</v>
      </c>
      <c r="BZ2611">
        <v>3.35</v>
      </c>
      <c r="CA2611">
        <v>0.76</v>
      </c>
      <c r="CB2611">
        <v>0</v>
      </c>
      <c r="CC2611">
        <v>0.76</v>
      </c>
      <c r="CD2611">
        <v>0.63</v>
      </c>
      <c r="CE2611">
        <v>0.62</v>
      </c>
      <c r="CF2611">
        <v>0.61</v>
      </c>
      <c r="CG2611">
        <v>3.8</v>
      </c>
      <c r="CH2611">
        <v>0.14000000000000001</v>
      </c>
      <c r="CI2611">
        <v>-0.9</v>
      </c>
      <c r="CJ2611">
        <v>22153</v>
      </c>
      <c r="CK2611">
        <v>8107</v>
      </c>
      <c r="CL2611" t="s">
        <v>11847</v>
      </c>
      <c r="CM2611">
        <v>9.19</v>
      </c>
      <c r="CN2611">
        <v>22.55</v>
      </c>
      <c r="CO2611">
        <v>2.0699999999999998</v>
      </c>
      <c r="CP2611">
        <v>141.72</v>
      </c>
      <c r="CQ2611">
        <v>2.2799999999999998</v>
      </c>
      <c r="CR2611">
        <v>1.1000000000000001</v>
      </c>
      <c r="CS2611" t="s">
        <v>1244</v>
      </c>
      <c r="CT2611">
        <v>3.41</v>
      </c>
      <c r="CU2611">
        <v>0</v>
      </c>
      <c r="CV2611">
        <v>0.92</v>
      </c>
      <c r="CW2611">
        <v>1.32</v>
      </c>
      <c r="CX2611">
        <v>0.05</v>
      </c>
      <c r="CY2611">
        <v>62.98</v>
      </c>
      <c r="CZ2611" t="s">
        <v>11881</v>
      </c>
      <c r="DA2611">
        <v>62.28</v>
      </c>
      <c r="DB2611">
        <v>8.58</v>
      </c>
      <c r="DC2611">
        <v>6.96</v>
      </c>
      <c r="DD2611">
        <v>0.26</v>
      </c>
      <c r="DE2611">
        <v>1321</v>
      </c>
      <c r="DF2611">
        <v>600513</v>
      </c>
      <c r="DG2611" t="s">
        <v>116</v>
      </c>
      <c r="DH2611" t="s">
        <v>116</v>
      </c>
      <c r="DI2611" t="s">
        <v>116</v>
      </c>
    </row>
    <row r="2612" spans="1:113" x14ac:dyDescent="0.4">
      <c r="A2612" t="str">
        <f>"600515"</f>
        <v>600515</v>
      </c>
      <c r="B2612" t="s">
        <v>11882</v>
      </c>
      <c r="C2612">
        <v>-2.67</v>
      </c>
      <c r="D2612">
        <v>4.38</v>
      </c>
      <c r="E2612">
        <v>-0.12</v>
      </c>
      <c r="F2612">
        <v>4.38</v>
      </c>
      <c r="G2612">
        <v>4.3899999999999997</v>
      </c>
      <c r="H2612">
        <v>246123</v>
      </c>
      <c r="I2612">
        <v>4224</v>
      </c>
      <c r="J2612">
        <v>-0.22</v>
      </c>
      <c r="K2612">
        <v>1.48</v>
      </c>
      <c r="L2612">
        <v>4.45</v>
      </c>
      <c r="M2612">
        <v>4.49</v>
      </c>
      <c r="N2612">
        <v>4.38</v>
      </c>
      <c r="O2612">
        <v>4.5</v>
      </c>
      <c r="P2612">
        <v>23.15</v>
      </c>
      <c r="Q2612">
        <v>109164136</v>
      </c>
      <c r="R2612">
        <v>0.43</v>
      </c>
      <c r="S2612" t="s">
        <v>124</v>
      </c>
      <c r="T2612" t="s">
        <v>851</v>
      </c>
      <c r="U2612">
        <v>2.44</v>
      </c>
      <c r="V2612">
        <v>4.4400000000000004</v>
      </c>
      <c r="W2612">
        <v>147326</v>
      </c>
      <c r="X2612">
        <v>98797</v>
      </c>
      <c r="Y2612">
        <v>1.49</v>
      </c>
      <c r="Z2612">
        <v>6898</v>
      </c>
      <c r="AA2612">
        <v>580</v>
      </c>
      <c r="AB2612" t="s">
        <v>116</v>
      </c>
      <c r="AC2612">
        <v>3042500</v>
      </c>
      <c r="AD2612">
        <v>0.04</v>
      </c>
      <c r="AE2612" t="s">
        <v>116</v>
      </c>
      <c r="AF2612" t="s">
        <v>116</v>
      </c>
      <c r="AG2612">
        <v>16.579999999999998</v>
      </c>
      <c r="AH2612" t="s">
        <v>11883</v>
      </c>
      <c r="AI2612" t="s">
        <v>11884</v>
      </c>
      <c r="AJ2612">
        <v>-2.59</v>
      </c>
      <c r="AK2612">
        <v>2255</v>
      </c>
      <c r="AL2612">
        <v>109</v>
      </c>
      <c r="AM2612">
        <v>6.9999999999999999E-4</v>
      </c>
      <c r="AN2612">
        <v>-3</v>
      </c>
      <c r="AO2612">
        <v>-4.99</v>
      </c>
      <c r="AP2612">
        <v>14.06</v>
      </c>
      <c r="AQ2612">
        <v>5.54</v>
      </c>
      <c r="AR2612">
        <v>-7.01</v>
      </c>
      <c r="AS2612">
        <v>1.61</v>
      </c>
      <c r="AT2612" t="s">
        <v>5942</v>
      </c>
      <c r="AU2612">
        <v>14.2</v>
      </c>
      <c r="AV2612">
        <v>9.08</v>
      </c>
      <c r="AW2612">
        <v>1.0900000000000001</v>
      </c>
      <c r="BA2612">
        <v>-1.1100000000000001</v>
      </c>
      <c r="BB2612">
        <v>-0.22</v>
      </c>
      <c r="BC2612">
        <v>-2.67</v>
      </c>
      <c r="BD2612">
        <v>-1.44</v>
      </c>
      <c r="BE2612">
        <v>-1.57</v>
      </c>
      <c r="BF2612">
        <v>-2.4500000000000002</v>
      </c>
      <c r="BG2612">
        <v>0</v>
      </c>
      <c r="BH2612">
        <v>-1.23</v>
      </c>
      <c r="BI2612">
        <v>20191030</v>
      </c>
      <c r="BJ2612">
        <v>20020806</v>
      </c>
      <c r="BK2612">
        <v>39.08</v>
      </c>
      <c r="BL2612" t="s">
        <v>116</v>
      </c>
      <c r="BM2612" t="s">
        <v>116</v>
      </c>
      <c r="BN2612">
        <v>915.59</v>
      </c>
      <c r="BO2612">
        <v>310.07</v>
      </c>
      <c r="BP2612">
        <v>59.03</v>
      </c>
      <c r="BQ2612">
        <v>59.69</v>
      </c>
      <c r="BR2612">
        <v>534</v>
      </c>
      <c r="BS2612">
        <v>69.510000000000005</v>
      </c>
      <c r="BT2612">
        <v>17.010000000000002</v>
      </c>
      <c r="BU2612">
        <v>371.95</v>
      </c>
      <c r="BV2612">
        <v>310.06</v>
      </c>
      <c r="BW2612">
        <v>43.86</v>
      </c>
      <c r="BX2612">
        <v>217.92</v>
      </c>
      <c r="BY2612">
        <v>64.44</v>
      </c>
      <c r="BZ2612">
        <v>40.450000000000003</v>
      </c>
      <c r="CA2612">
        <v>8.51</v>
      </c>
      <c r="CB2612">
        <v>-1.27</v>
      </c>
      <c r="CC2612">
        <v>8.93</v>
      </c>
      <c r="CD2612">
        <v>4.26</v>
      </c>
      <c r="CE2612">
        <v>5.54</v>
      </c>
      <c r="CF2612">
        <v>5.13</v>
      </c>
      <c r="CG2612">
        <v>52.17</v>
      </c>
      <c r="CH2612">
        <v>8.73</v>
      </c>
      <c r="CI2612">
        <v>1.73</v>
      </c>
      <c r="CJ2612">
        <v>32503</v>
      </c>
      <c r="CK2612">
        <v>46995</v>
      </c>
      <c r="CL2612" t="s">
        <v>11885</v>
      </c>
      <c r="CM2612">
        <v>-55.08</v>
      </c>
      <c r="CN2612">
        <v>-3.02</v>
      </c>
      <c r="CO2612">
        <v>0.55000000000000004</v>
      </c>
      <c r="CP2612">
        <v>19.600000000000001</v>
      </c>
      <c r="CQ2612">
        <v>2.66</v>
      </c>
      <c r="CR2612">
        <v>0</v>
      </c>
      <c r="CS2612" t="s">
        <v>1388</v>
      </c>
      <c r="CT2612">
        <v>7.94</v>
      </c>
      <c r="CU2612">
        <v>0</v>
      </c>
      <c r="CV2612">
        <v>5.58</v>
      </c>
      <c r="CW2612">
        <v>1.34</v>
      </c>
      <c r="CX2612">
        <v>0.22</v>
      </c>
      <c r="CY2612">
        <v>33.869999999999997</v>
      </c>
      <c r="CZ2612" t="s">
        <v>11618</v>
      </c>
      <c r="DA2612">
        <v>37.24</v>
      </c>
      <c r="DB2612">
        <v>13.21</v>
      </c>
      <c r="DC2612">
        <v>8.6</v>
      </c>
      <c r="DD2612">
        <v>0</v>
      </c>
      <c r="DE2612">
        <v>9851</v>
      </c>
      <c r="DF2612">
        <v>600515</v>
      </c>
      <c r="DG2612" t="s">
        <v>116</v>
      </c>
      <c r="DH2612" t="s">
        <v>116</v>
      </c>
      <c r="DI2612" t="s">
        <v>116</v>
      </c>
    </row>
    <row r="2613" spans="1:113" x14ac:dyDescent="0.4">
      <c r="A2613" t="str">
        <f>"600516"</f>
        <v>600516</v>
      </c>
      <c r="B2613" t="s">
        <v>11886</v>
      </c>
      <c r="C2613">
        <v>0.82</v>
      </c>
      <c r="D2613">
        <v>12.3</v>
      </c>
      <c r="E2613">
        <v>0.1</v>
      </c>
      <c r="F2613">
        <v>12.3</v>
      </c>
      <c r="G2613">
        <v>12.31</v>
      </c>
      <c r="H2613">
        <v>1279581</v>
      </c>
      <c r="I2613">
        <v>12789</v>
      </c>
      <c r="J2613">
        <v>0</v>
      </c>
      <c r="K2613">
        <v>4.71</v>
      </c>
      <c r="L2613">
        <v>12.16</v>
      </c>
      <c r="M2613">
        <v>12.74</v>
      </c>
      <c r="N2613">
        <v>12.06</v>
      </c>
      <c r="O2613">
        <v>12.2</v>
      </c>
      <c r="P2613">
        <v>12.97</v>
      </c>
      <c r="Q2613">
        <v>1584045056</v>
      </c>
      <c r="R2613">
        <v>1.68</v>
      </c>
      <c r="S2613" t="s">
        <v>933</v>
      </c>
      <c r="T2613" t="s">
        <v>1122</v>
      </c>
      <c r="U2613">
        <v>5.57</v>
      </c>
      <c r="V2613">
        <v>12.38</v>
      </c>
      <c r="W2613">
        <v>585230</v>
      </c>
      <c r="X2613">
        <v>694351</v>
      </c>
      <c r="Y2613">
        <v>0.84</v>
      </c>
      <c r="Z2613">
        <v>6217</v>
      </c>
      <c r="AA2613">
        <v>2548</v>
      </c>
      <c r="AB2613" t="s">
        <v>116</v>
      </c>
      <c r="AC2613">
        <v>2233800</v>
      </c>
      <c r="AD2613">
        <v>0.01</v>
      </c>
      <c r="AE2613" t="s">
        <v>116</v>
      </c>
      <c r="AF2613" t="s">
        <v>116</v>
      </c>
      <c r="AG2613">
        <v>27.19</v>
      </c>
      <c r="AH2613" t="s">
        <v>11887</v>
      </c>
      <c r="AI2613" t="s">
        <v>11887</v>
      </c>
      <c r="AJ2613">
        <v>0.9</v>
      </c>
      <c r="AK2613">
        <v>4650</v>
      </c>
      <c r="AL2613">
        <v>275</v>
      </c>
      <c r="AM2613">
        <v>1E-3</v>
      </c>
      <c r="AN2613">
        <v>4</v>
      </c>
      <c r="AO2613">
        <v>2.42</v>
      </c>
      <c r="AP2613">
        <v>14.1</v>
      </c>
      <c r="AQ2613">
        <v>5.13</v>
      </c>
      <c r="AR2613">
        <v>9.68</v>
      </c>
      <c r="AS2613">
        <v>7.87</v>
      </c>
      <c r="AT2613" t="s">
        <v>11888</v>
      </c>
      <c r="AU2613">
        <v>11.14</v>
      </c>
      <c r="AV2613">
        <v>5.98</v>
      </c>
      <c r="AW2613">
        <v>1.77</v>
      </c>
      <c r="BA2613">
        <v>-0.33</v>
      </c>
      <c r="BB2613">
        <v>4.43</v>
      </c>
      <c r="BC2613">
        <v>-1.1499999999999999</v>
      </c>
      <c r="BD2613">
        <v>1.47</v>
      </c>
      <c r="BE2613">
        <v>1.1499999999999999</v>
      </c>
      <c r="BF2613">
        <v>-3.45</v>
      </c>
      <c r="BG2613">
        <v>1.99</v>
      </c>
      <c r="BH2613">
        <v>-0.65</v>
      </c>
      <c r="BI2613">
        <v>20191224</v>
      </c>
      <c r="BJ2613">
        <v>20020830</v>
      </c>
      <c r="BK2613">
        <v>27.19</v>
      </c>
      <c r="BL2613" t="s">
        <v>116</v>
      </c>
      <c r="BM2613" t="s">
        <v>116</v>
      </c>
      <c r="BN2613">
        <v>183.09</v>
      </c>
      <c r="BO2613">
        <v>149.02000000000001</v>
      </c>
      <c r="BP2613">
        <v>9.1</v>
      </c>
      <c r="BQ2613">
        <v>13.64</v>
      </c>
      <c r="BR2613">
        <v>148.77000000000001</v>
      </c>
      <c r="BS2613">
        <v>17.440000000000001</v>
      </c>
      <c r="BT2613">
        <v>4.04</v>
      </c>
      <c r="BU2613">
        <v>20.55</v>
      </c>
      <c r="BV2613">
        <v>19.34</v>
      </c>
      <c r="BW2613">
        <v>3.41</v>
      </c>
      <c r="BX2613">
        <v>19.91</v>
      </c>
      <c r="BY2613">
        <v>56.35</v>
      </c>
      <c r="BZ2613">
        <v>29.1</v>
      </c>
      <c r="CA2613">
        <v>21.07</v>
      </c>
      <c r="CB2613">
        <v>1.2</v>
      </c>
      <c r="CC2613">
        <v>22.49</v>
      </c>
      <c r="CD2613">
        <v>19.559999999999999</v>
      </c>
      <c r="CE2613">
        <v>19.329999999999998</v>
      </c>
      <c r="CF2613">
        <v>17.46</v>
      </c>
      <c r="CG2613">
        <v>91.84</v>
      </c>
      <c r="CH2613">
        <v>37.119999999999997</v>
      </c>
      <c r="CI2613">
        <v>34.79</v>
      </c>
      <c r="CJ2613">
        <v>245191</v>
      </c>
      <c r="CK2613">
        <v>6632</v>
      </c>
      <c r="CL2613" t="s">
        <v>2354</v>
      </c>
      <c r="CM2613">
        <v>-57.27</v>
      </c>
      <c r="CN2613">
        <v>-38.58</v>
      </c>
      <c r="CO2613">
        <v>2.2400000000000002</v>
      </c>
      <c r="CP2613">
        <v>9.01</v>
      </c>
      <c r="CQ2613">
        <v>5.93</v>
      </c>
      <c r="CR2613">
        <v>0</v>
      </c>
      <c r="CS2613" t="s">
        <v>3684</v>
      </c>
      <c r="CT2613">
        <v>5.48</v>
      </c>
      <c r="CU2613">
        <v>0</v>
      </c>
      <c r="CV2613">
        <v>0.73</v>
      </c>
      <c r="CW2613">
        <v>3.38</v>
      </c>
      <c r="CX2613">
        <v>1.37</v>
      </c>
      <c r="CY2613">
        <v>81.39</v>
      </c>
      <c r="CZ2613" t="s">
        <v>2704</v>
      </c>
      <c r="DA2613">
        <v>48.36</v>
      </c>
      <c r="DB2613">
        <v>37.380000000000003</v>
      </c>
      <c r="DC2613">
        <v>34.31</v>
      </c>
      <c r="DD2613">
        <v>0.33</v>
      </c>
      <c r="DE2613">
        <v>4735</v>
      </c>
      <c r="DF2613">
        <v>600516</v>
      </c>
      <c r="DG2613" t="s">
        <v>116</v>
      </c>
      <c r="DH2613" t="s">
        <v>116</v>
      </c>
      <c r="DI2613" t="s">
        <v>116</v>
      </c>
    </row>
    <row r="2614" spans="1:113" x14ac:dyDescent="0.4">
      <c r="A2614" t="str">
        <f>"600517"</f>
        <v>600517</v>
      </c>
      <c r="B2614" t="s">
        <v>11889</v>
      </c>
      <c r="C2614">
        <v>3.06</v>
      </c>
      <c r="D2614">
        <v>8.09</v>
      </c>
      <c r="E2614">
        <v>0.24</v>
      </c>
      <c r="F2614">
        <v>8.08</v>
      </c>
      <c r="G2614">
        <v>8.09</v>
      </c>
      <c r="H2614">
        <v>610771</v>
      </c>
      <c r="I2614">
        <v>4338</v>
      </c>
      <c r="J2614">
        <v>0.37</v>
      </c>
      <c r="K2614">
        <v>4.5</v>
      </c>
      <c r="L2614">
        <v>7.71</v>
      </c>
      <c r="M2614">
        <v>8.64</v>
      </c>
      <c r="N2614">
        <v>7.66</v>
      </c>
      <c r="O2614">
        <v>7.85</v>
      </c>
      <c r="P2614">
        <v>377.35</v>
      </c>
      <c r="Q2614">
        <v>501657600</v>
      </c>
      <c r="R2614">
        <v>1.51</v>
      </c>
      <c r="S2614" t="s">
        <v>397</v>
      </c>
      <c r="T2614" t="s">
        <v>1653</v>
      </c>
      <c r="U2614">
        <v>12.48</v>
      </c>
      <c r="V2614">
        <v>8.2100000000000009</v>
      </c>
      <c r="W2614">
        <v>293684</v>
      </c>
      <c r="X2614">
        <v>317088</v>
      </c>
      <c r="Y2614">
        <v>0.93</v>
      </c>
      <c r="Z2614">
        <v>1139</v>
      </c>
      <c r="AA2614">
        <v>1416</v>
      </c>
      <c r="AB2614" t="s">
        <v>116</v>
      </c>
      <c r="AC2614">
        <v>3763300</v>
      </c>
      <c r="AD2614">
        <v>0.08</v>
      </c>
      <c r="AE2614" t="s">
        <v>116</v>
      </c>
      <c r="AF2614" t="s">
        <v>116</v>
      </c>
      <c r="AG2614">
        <v>13.56</v>
      </c>
      <c r="AH2614" t="s">
        <v>11890</v>
      </c>
      <c r="AI2614" t="s">
        <v>11890</v>
      </c>
      <c r="AJ2614">
        <v>3.13</v>
      </c>
      <c r="AK2614">
        <v>3867</v>
      </c>
      <c r="AL2614">
        <v>158</v>
      </c>
      <c r="AM2614">
        <v>1.1999999999999999E-3</v>
      </c>
      <c r="AN2614">
        <v>1</v>
      </c>
      <c r="AO2614">
        <v>1.89</v>
      </c>
      <c r="AP2614">
        <v>14.75</v>
      </c>
      <c r="AQ2614">
        <v>1.63</v>
      </c>
      <c r="AR2614">
        <v>154.4</v>
      </c>
      <c r="AS2614">
        <v>9.8000000000000007</v>
      </c>
      <c r="AT2614" t="s">
        <v>6760</v>
      </c>
      <c r="AU2614">
        <v>57.35</v>
      </c>
      <c r="AV2614">
        <v>566.27</v>
      </c>
      <c r="AW2614">
        <v>1.87</v>
      </c>
      <c r="BA2614">
        <v>-1.78</v>
      </c>
      <c r="BB2614">
        <v>10.06</v>
      </c>
      <c r="BC2614">
        <v>-2.42</v>
      </c>
      <c r="BD2614">
        <v>4.63</v>
      </c>
      <c r="BE2614">
        <v>4.93</v>
      </c>
      <c r="BF2614">
        <v>-6.37</v>
      </c>
      <c r="BG2614">
        <v>5.61</v>
      </c>
      <c r="BH2614">
        <v>-1.57</v>
      </c>
      <c r="BI2614">
        <v>20191030</v>
      </c>
      <c r="BJ2614">
        <v>20031010</v>
      </c>
      <c r="BK2614">
        <v>13.56</v>
      </c>
      <c r="BL2614" t="s">
        <v>116</v>
      </c>
      <c r="BM2614" t="s">
        <v>116</v>
      </c>
      <c r="BN2614">
        <v>89.64</v>
      </c>
      <c r="BO2614">
        <v>34.479999999999997</v>
      </c>
      <c r="BP2614">
        <v>1.61</v>
      </c>
      <c r="BQ2614">
        <v>59.74</v>
      </c>
      <c r="BR2614">
        <v>71.02</v>
      </c>
      <c r="BS2614">
        <v>7.22</v>
      </c>
      <c r="BT2614">
        <v>3.66</v>
      </c>
      <c r="BU2614">
        <v>51.1</v>
      </c>
      <c r="BV2614">
        <v>10.24</v>
      </c>
      <c r="BW2614">
        <v>44.63</v>
      </c>
      <c r="BX2614">
        <v>3.76</v>
      </c>
      <c r="BY2614">
        <v>30.39</v>
      </c>
      <c r="BZ2614">
        <v>26.53</v>
      </c>
      <c r="CA2614">
        <v>0.34</v>
      </c>
      <c r="CB2614">
        <v>0.01</v>
      </c>
      <c r="CC2614">
        <v>0.36</v>
      </c>
      <c r="CD2614">
        <v>0.27</v>
      </c>
      <c r="CE2614">
        <v>0.22</v>
      </c>
      <c r="CF2614">
        <v>-0.94</v>
      </c>
      <c r="CG2614">
        <v>14.96</v>
      </c>
      <c r="CH2614">
        <v>-3.73</v>
      </c>
      <c r="CI2614">
        <v>-3.74</v>
      </c>
      <c r="CJ2614">
        <v>67094</v>
      </c>
      <c r="CK2614">
        <v>9287</v>
      </c>
      <c r="CL2614" t="s">
        <v>2527</v>
      </c>
      <c r="CM2614">
        <v>114.53</v>
      </c>
      <c r="CN2614">
        <v>6.7</v>
      </c>
      <c r="CO2614">
        <v>3.18</v>
      </c>
      <c r="CP2614">
        <v>-29.42</v>
      </c>
      <c r="CQ2614">
        <v>3.61</v>
      </c>
      <c r="CR2614">
        <v>0</v>
      </c>
      <c r="CS2614" t="s">
        <v>1315</v>
      </c>
      <c r="CT2614">
        <v>2.54</v>
      </c>
      <c r="CU2614">
        <v>0</v>
      </c>
      <c r="CV2614">
        <v>0.28000000000000003</v>
      </c>
      <c r="CW2614">
        <v>1.1000000000000001</v>
      </c>
      <c r="CX2614">
        <v>-0.27</v>
      </c>
      <c r="CY2614">
        <v>38.46</v>
      </c>
      <c r="CZ2614" t="s">
        <v>6161</v>
      </c>
      <c r="DA2614">
        <v>12.7</v>
      </c>
      <c r="DB2614">
        <v>1.1299999999999999</v>
      </c>
      <c r="DC2614">
        <v>0.72</v>
      </c>
      <c r="DD2614">
        <v>0.76</v>
      </c>
      <c r="DE2614">
        <v>1795</v>
      </c>
      <c r="DF2614">
        <v>600517</v>
      </c>
      <c r="DG2614" t="s">
        <v>116</v>
      </c>
      <c r="DH2614" t="s">
        <v>116</v>
      </c>
      <c r="DI2614" t="s">
        <v>116</v>
      </c>
    </row>
    <row r="2615" spans="1:113" x14ac:dyDescent="0.4">
      <c r="A2615" t="str">
        <f>"600518"</f>
        <v>600518</v>
      </c>
      <c r="B2615" t="s">
        <v>11891</v>
      </c>
      <c r="C2615">
        <v>-1.57</v>
      </c>
      <c r="D2615">
        <v>3.77</v>
      </c>
      <c r="E2615">
        <v>-0.06</v>
      </c>
      <c r="F2615">
        <v>3.76</v>
      </c>
      <c r="G2615">
        <v>3.77</v>
      </c>
      <c r="H2615">
        <v>335232</v>
      </c>
      <c r="I2615">
        <v>8632</v>
      </c>
      <c r="J2615">
        <v>0</v>
      </c>
      <c r="K2615">
        <v>0.76</v>
      </c>
      <c r="L2615">
        <v>3.83</v>
      </c>
      <c r="M2615">
        <v>3.83</v>
      </c>
      <c r="N2615">
        <v>3.76</v>
      </c>
      <c r="O2615">
        <v>3.83</v>
      </c>
      <c r="P2615">
        <v>423.94</v>
      </c>
      <c r="Q2615">
        <v>127352424</v>
      </c>
      <c r="R2615">
        <v>0.66</v>
      </c>
      <c r="S2615" t="s">
        <v>781</v>
      </c>
      <c r="T2615" t="s">
        <v>551</v>
      </c>
      <c r="U2615">
        <v>1.83</v>
      </c>
      <c r="V2615">
        <v>3.8</v>
      </c>
      <c r="W2615">
        <v>212619</v>
      </c>
      <c r="X2615">
        <v>122613</v>
      </c>
      <c r="Y2615">
        <v>1.73</v>
      </c>
      <c r="Z2615">
        <v>6957</v>
      </c>
      <c r="AA2615">
        <v>261</v>
      </c>
      <c r="AB2615" t="s">
        <v>116</v>
      </c>
      <c r="AC2615">
        <v>1707400</v>
      </c>
      <c r="AD2615">
        <v>0.02</v>
      </c>
      <c r="AE2615" t="s">
        <v>116</v>
      </c>
      <c r="AF2615" t="s">
        <v>116</v>
      </c>
      <c r="AG2615">
        <v>44.09</v>
      </c>
      <c r="AH2615" t="s">
        <v>11892</v>
      </c>
      <c r="AI2615" t="s">
        <v>11893</v>
      </c>
      <c r="AJ2615">
        <v>-1.49</v>
      </c>
      <c r="AK2615">
        <v>2472</v>
      </c>
      <c r="AL2615">
        <v>136</v>
      </c>
      <c r="AM2615">
        <v>2.9999999999999997E-4</v>
      </c>
      <c r="AN2615">
        <v>-2</v>
      </c>
      <c r="AO2615">
        <v>1.89</v>
      </c>
      <c r="AP2615">
        <v>4.1399999999999997</v>
      </c>
      <c r="AQ2615">
        <v>-2.08</v>
      </c>
      <c r="AR2615">
        <v>-58.96</v>
      </c>
      <c r="AS2615">
        <v>1.24</v>
      </c>
      <c r="AT2615" t="s">
        <v>11894</v>
      </c>
      <c r="AU2615">
        <v>39.130000000000003</v>
      </c>
      <c r="AV2615">
        <v>16.52</v>
      </c>
      <c r="AW2615">
        <v>0.73</v>
      </c>
      <c r="BA2615">
        <v>0</v>
      </c>
      <c r="BB2615">
        <v>0</v>
      </c>
      <c r="BC2615">
        <v>-1.83</v>
      </c>
      <c r="BD2615">
        <v>-0.81</v>
      </c>
      <c r="BE2615">
        <v>-1.57</v>
      </c>
      <c r="BF2615">
        <v>-1.57</v>
      </c>
      <c r="BG2615">
        <v>0.27</v>
      </c>
      <c r="BH2615">
        <v>-0.76</v>
      </c>
      <c r="BI2615">
        <v>20191030</v>
      </c>
      <c r="BJ2615">
        <v>20010319</v>
      </c>
      <c r="BK2615">
        <v>49.74</v>
      </c>
      <c r="BL2615" t="s">
        <v>116</v>
      </c>
      <c r="BM2615" t="s">
        <v>116</v>
      </c>
      <c r="BN2615">
        <v>717.83</v>
      </c>
      <c r="BO2615">
        <v>279.24</v>
      </c>
      <c r="BP2615">
        <v>1.03</v>
      </c>
      <c r="BQ2615">
        <v>60.96</v>
      </c>
      <c r="BR2615">
        <v>515.38</v>
      </c>
      <c r="BS2615">
        <v>86.45</v>
      </c>
      <c r="BT2615">
        <v>20.66</v>
      </c>
      <c r="BU2615">
        <v>234.5</v>
      </c>
      <c r="BV2615">
        <v>339.98</v>
      </c>
      <c r="BW2615">
        <v>52.84</v>
      </c>
      <c r="BX2615">
        <v>116.5</v>
      </c>
      <c r="BY2615">
        <v>103.47</v>
      </c>
      <c r="BZ2615">
        <v>64.91</v>
      </c>
      <c r="CA2615">
        <v>1.0900000000000001</v>
      </c>
      <c r="CB2615">
        <v>0.87</v>
      </c>
      <c r="CC2615">
        <v>1.07</v>
      </c>
      <c r="CD2615">
        <v>0.3</v>
      </c>
      <c r="CE2615">
        <v>0.33</v>
      </c>
      <c r="CF2615">
        <v>-0.51</v>
      </c>
      <c r="CG2615">
        <v>70.67</v>
      </c>
      <c r="CH2615">
        <v>32.93</v>
      </c>
      <c r="CI2615">
        <v>-13.3</v>
      </c>
      <c r="CJ2615">
        <v>213227</v>
      </c>
      <c r="CK2615">
        <v>12688</v>
      </c>
      <c r="CL2615" t="s">
        <v>4879</v>
      </c>
      <c r="CM2615">
        <v>-95.19</v>
      </c>
      <c r="CN2615">
        <v>-28.61</v>
      </c>
      <c r="CO2615">
        <v>0.75</v>
      </c>
      <c r="CP2615">
        <v>5.69</v>
      </c>
      <c r="CQ2615">
        <v>1.81</v>
      </c>
      <c r="CR2615">
        <v>0.64</v>
      </c>
      <c r="CS2615" t="s">
        <v>5809</v>
      </c>
      <c r="CT2615">
        <v>5.0199999999999996</v>
      </c>
      <c r="CU2615">
        <v>5.0199999999999996</v>
      </c>
      <c r="CV2615">
        <v>2.34</v>
      </c>
      <c r="CW2615">
        <v>1.42</v>
      </c>
      <c r="CX2615">
        <v>0.66</v>
      </c>
      <c r="CY2615">
        <v>38.9</v>
      </c>
      <c r="CZ2615" t="s">
        <v>11895</v>
      </c>
      <c r="DA2615">
        <v>37.270000000000003</v>
      </c>
      <c r="DB2615">
        <v>1.06</v>
      </c>
      <c r="DC2615">
        <v>0.32</v>
      </c>
      <c r="DD2615">
        <v>0.69</v>
      </c>
      <c r="DE2615">
        <v>12596</v>
      </c>
      <c r="DF2615">
        <v>600518</v>
      </c>
      <c r="DG2615" t="s">
        <v>116</v>
      </c>
      <c r="DH2615" t="s">
        <v>116</v>
      </c>
      <c r="DI2615" t="s">
        <v>116</v>
      </c>
    </row>
    <row r="2616" spans="1:113" x14ac:dyDescent="0.4">
      <c r="A2616" t="str">
        <f>"600519"</f>
        <v>600519</v>
      </c>
      <c r="B2616" t="s">
        <v>11896</v>
      </c>
      <c r="C2616">
        <v>2.46</v>
      </c>
      <c r="D2616">
        <v>1163</v>
      </c>
      <c r="E2616">
        <v>27.9</v>
      </c>
      <c r="F2616">
        <v>1162.99</v>
      </c>
      <c r="G2616">
        <v>1163</v>
      </c>
      <c r="H2616">
        <v>47066</v>
      </c>
      <c r="I2616">
        <v>333</v>
      </c>
      <c r="J2616">
        <v>-0.02</v>
      </c>
      <c r="K2616">
        <v>0.37</v>
      </c>
      <c r="L2616">
        <v>1150</v>
      </c>
      <c r="M2616">
        <v>1172</v>
      </c>
      <c r="N2616">
        <v>1150</v>
      </c>
      <c r="O2616">
        <v>1135.0999999999999</v>
      </c>
      <c r="P2616">
        <v>35.979999999999997</v>
      </c>
      <c r="Q2616">
        <v>5486452736</v>
      </c>
      <c r="R2616">
        <v>2.1800000000000002</v>
      </c>
      <c r="S2616" t="s">
        <v>1212</v>
      </c>
      <c r="T2616" t="s">
        <v>1056</v>
      </c>
      <c r="U2616">
        <v>1.94</v>
      </c>
      <c r="V2616">
        <v>1165.69</v>
      </c>
      <c r="W2616">
        <v>20959</v>
      </c>
      <c r="X2616">
        <v>26111</v>
      </c>
      <c r="Y2616">
        <v>0.8</v>
      </c>
      <c r="Z2616">
        <v>1</v>
      </c>
      <c r="AA2616">
        <v>4</v>
      </c>
      <c r="AB2616" t="s">
        <v>116</v>
      </c>
      <c r="AC2616">
        <v>143520000</v>
      </c>
      <c r="AD2616">
        <v>0.03</v>
      </c>
      <c r="AE2616" t="s">
        <v>116</v>
      </c>
      <c r="AF2616" t="s">
        <v>116</v>
      </c>
      <c r="AG2616">
        <v>12.56</v>
      </c>
      <c r="AH2616" t="s">
        <v>11897</v>
      </c>
      <c r="AI2616" t="s">
        <v>11897</v>
      </c>
      <c r="AJ2616">
        <v>2.5299999999999998</v>
      </c>
      <c r="AK2616">
        <v>4127</v>
      </c>
      <c r="AL2616">
        <v>11</v>
      </c>
      <c r="AM2616">
        <v>1E-4</v>
      </c>
      <c r="AN2616">
        <v>2</v>
      </c>
      <c r="AO2616">
        <v>1.3</v>
      </c>
      <c r="AP2616">
        <v>3.01</v>
      </c>
      <c r="AQ2616">
        <v>-1</v>
      </c>
      <c r="AR2616">
        <v>102.1</v>
      </c>
      <c r="AS2616">
        <v>1.05</v>
      </c>
      <c r="AT2616" t="s">
        <v>11898</v>
      </c>
      <c r="AU2616">
        <v>35.700000000000003</v>
      </c>
      <c r="AV2616">
        <v>41.5</v>
      </c>
      <c r="AW2616">
        <v>0.75</v>
      </c>
      <c r="BA2616">
        <v>1.31</v>
      </c>
      <c r="BB2616">
        <v>3.25</v>
      </c>
      <c r="BC2616">
        <v>1.31</v>
      </c>
      <c r="BD2616">
        <v>2.69</v>
      </c>
      <c r="BE2616">
        <v>1.1299999999999999</v>
      </c>
      <c r="BF2616">
        <v>-0.77</v>
      </c>
      <c r="BG2616">
        <v>1.1299999999999999</v>
      </c>
      <c r="BH2616">
        <v>-0.24</v>
      </c>
      <c r="BI2616">
        <v>20191018</v>
      </c>
      <c r="BJ2616">
        <v>20010827</v>
      </c>
      <c r="BK2616">
        <v>12.56</v>
      </c>
      <c r="BL2616" t="s">
        <v>116</v>
      </c>
      <c r="BM2616" t="s">
        <v>116</v>
      </c>
      <c r="BN2616">
        <v>1625.5</v>
      </c>
      <c r="BO2616">
        <v>1252.58</v>
      </c>
      <c r="BP2616">
        <v>55.64</v>
      </c>
      <c r="BQ2616">
        <v>19.52</v>
      </c>
      <c r="BR2616">
        <v>1399.49</v>
      </c>
      <c r="BS2616">
        <v>148.15</v>
      </c>
      <c r="BT2616">
        <v>34.46</v>
      </c>
      <c r="BU2616">
        <v>316.79000000000002</v>
      </c>
      <c r="BV2616">
        <v>237.55</v>
      </c>
      <c r="BW2616">
        <v>0</v>
      </c>
      <c r="BX2616">
        <v>13.75</v>
      </c>
      <c r="BY2616">
        <v>609.35</v>
      </c>
      <c r="BZ2616">
        <v>51.86</v>
      </c>
      <c r="CA2616">
        <v>433.12</v>
      </c>
      <c r="CB2616">
        <v>0</v>
      </c>
      <c r="CC2616">
        <v>432.06</v>
      </c>
      <c r="CD2616">
        <v>324.12</v>
      </c>
      <c r="CE2616">
        <v>304.55</v>
      </c>
      <c r="CF2616">
        <v>305.33999999999997</v>
      </c>
      <c r="CG2616">
        <v>1054.3800000000001</v>
      </c>
      <c r="CH2616">
        <v>273.14999999999998</v>
      </c>
      <c r="CI2616">
        <v>59.87</v>
      </c>
      <c r="CJ2616">
        <v>89062</v>
      </c>
      <c r="CK2616">
        <v>5048</v>
      </c>
      <c r="CL2616" t="s">
        <v>11899</v>
      </c>
      <c r="CM2616">
        <v>23.13</v>
      </c>
      <c r="CN2616">
        <v>16.64</v>
      </c>
      <c r="CO2616">
        <v>11.66</v>
      </c>
      <c r="CP2616">
        <v>53.48</v>
      </c>
      <c r="CQ2616">
        <v>23.98</v>
      </c>
      <c r="CR2616">
        <v>1.25</v>
      </c>
      <c r="CS2616" t="s">
        <v>11900</v>
      </c>
      <c r="CT2616">
        <v>99.71</v>
      </c>
      <c r="CU2616">
        <v>0</v>
      </c>
      <c r="CV2616">
        <v>1.0900000000000001</v>
      </c>
      <c r="CW2616">
        <v>83.93</v>
      </c>
      <c r="CX2616">
        <v>21.74</v>
      </c>
      <c r="CY2616">
        <v>77.06</v>
      </c>
      <c r="CZ2616" t="s">
        <v>11901</v>
      </c>
      <c r="DA2616">
        <v>91.49</v>
      </c>
      <c r="DB2616">
        <v>71.08</v>
      </c>
      <c r="DC2616">
        <v>49.98</v>
      </c>
      <c r="DD2616">
        <v>0.65</v>
      </c>
      <c r="DE2616">
        <v>26568</v>
      </c>
      <c r="DF2616">
        <v>600519</v>
      </c>
      <c r="DG2616" t="s">
        <v>116</v>
      </c>
      <c r="DH2616" t="s">
        <v>116</v>
      </c>
      <c r="DI2616" t="s">
        <v>116</v>
      </c>
    </row>
    <row r="2617" spans="1:113" x14ac:dyDescent="0.4">
      <c r="A2617" t="str">
        <f>"600520"</f>
        <v>600520</v>
      </c>
      <c r="B2617" t="s">
        <v>11902</v>
      </c>
      <c r="C2617">
        <v>-0.64</v>
      </c>
      <c r="D2617">
        <v>10.9</v>
      </c>
      <c r="E2617">
        <v>-7.0000000000000007E-2</v>
      </c>
      <c r="F2617">
        <v>10.88</v>
      </c>
      <c r="G2617">
        <v>10.9</v>
      </c>
      <c r="H2617">
        <v>18085</v>
      </c>
      <c r="I2617">
        <v>194</v>
      </c>
      <c r="J2617">
        <v>-0.08</v>
      </c>
      <c r="K2617">
        <v>1.1399999999999999</v>
      </c>
      <c r="L2617">
        <v>11.03</v>
      </c>
      <c r="M2617">
        <v>11.1</v>
      </c>
      <c r="N2617">
        <v>10.9</v>
      </c>
      <c r="O2617">
        <v>10.97</v>
      </c>
      <c r="P2617" t="s">
        <v>116</v>
      </c>
      <c r="Q2617">
        <v>19897408</v>
      </c>
      <c r="R2617">
        <v>0.71</v>
      </c>
      <c r="S2617" t="s">
        <v>996</v>
      </c>
      <c r="T2617" t="s">
        <v>575</v>
      </c>
      <c r="U2617">
        <v>1.82</v>
      </c>
      <c r="V2617">
        <v>11</v>
      </c>
      <c r="W2617">
        <v>10313</v>
      </c>
      <c r="X2617">
        <v>7772</v>
      </c>
      <c r="Y2617">
        <v>1.33</v>
      </c>
      <c r="Z2617">
        <v>45</v>
      </c>
      <c r="AA2617">
        <v>625</v>
      </c>
      <c r="AB2617" t="s">
        <v>116</v>
      </c>
      <c r="AC2617">
        <v>44100</v>
      </c>
      <c r="AD2617">
        <v>0</v>
      </c>
      <c r="AE2617" t="s">
        <v>116</v>
      </c>
      <c r="AF2617" t="s">
        <v>116</v>
      </c>
      <c r="AG2617">
        <v>1.58</v>
      </c>
      <c r="AH2617" t="s">
        <v>7956</v>
      </c>
      <c r="AI2617" t="s">
        <v>7956</v>
      </c>
      <c r="AJ2617">
        <v>-0.56000000000000005</v>
      </c>
      <c r="AK2617">
        <v>866</v>
      </c>
      <c r="AL2617">
        <v>21</v>
      </c>
      <c r="AM2617">
        <v>1.2999999999999999E-3</v>
      </c>
      <c r="AN2617">
        <v>-1</v>
      </c>
      <c r="AO2617">
        <v>2.2400000000000002</v>
      </c>
      <c r="AP2617">
        <v>5.42</v>
      </c>
      <c r="AQ2617">
        <v>-6.36</v>
      </c>
      <c r="AR2617">
        <v>-17.3</v>
      </c>
      <c r="AS2617">
        <v>2.16</v>
      </c>
      <c r="AT2617" t="s">
        <v>10084</v>
      </c>
      <c r="AU2617" t="s">
        <v>116</v>
      </c>
      <c r="AV2617">
        <v>342.38</v>
      </c>
      <c r="AW2617">
        <v>1.36</v>
      </c>
      <c r="BA2617">
        <v>0.55000000000000004</v>
      </c>
      <c r="BB2617">
        <v>1.19</v>
      </c>
      <c r="BC2617">
        <v>-0.64</v>
      </c>
      <c r="BD2617">
        <v>0.28999999999999998</v>
      </c>
      <c r="BE2617">
        <v>-1.18</v>
      </c>
      <c r="BF2617">
        <v>-1.8</v>
      </c>
      <c r="BG2617">
        <v>0</v>
      </c>
      <c r="BH2617">
        <v>-0.93</v>
      </c>
      <c r="BI2617">
        <v>20191030</v>
      </c>
      <c r="BJ2617">
        <v>20020108</v>
      </c>
      <c r="BK2617">
        <v>1.58</v>
      </c>
      <c r="BL2617" t="s">
        <v>116</v>
      </c>
      <c r="BM2617" t="s">
        <v>116</v>
      </c>
      <c r="BN2617">
        <v>9.68</v>
      </c>
      <c r="BO2617">
        <v>4.09</v>
      </c>
      <c r="BP2617">
        <v>0.55000000000000004</v>
      </c>
      <c r="BQ2617">
        <v>52.09</v>
      </c>
      <c r="BR2617">
        <v>4.71</v>
      </c>
      <c r="BS2617">
        <v>3.82</v>
      </c>
      <c r="BT2617">
        <v>0.42</v>
      </c>
      <c r="BU2617">
        <v>4.96</v>
      </c>
      <c r="BV2617">
        <v>1.05</v>
      </c>
      <c r="BW2617">
        <v>0.91</v>
      </c>
      <c r="BX2617">
        <v>3.8</v>
      </c>
      <c r="BY2617">
        <v>1.94</v>
      </c>
      <c r="BZ2617">
        <v>1.56</v>
      </c>
      <c r="CA2617">
        <v>-0.34</v>
      </c>
      <c r="CB2617">
        <v>0</v>
      </c>
      <c r="CC2617">
        <v>-0.34</v>
      </c>
      <c r="CD2617">
        <v>-0.34</v>
      </c>
      <c r="CE2617">
        <v>-0.34</v>
      </c>
      <c r="CF2617">
        <v>-0.43</v>
      </c>
      <c r="CG2617">
        <v>-1.41</v>
      </c>
      <c r="CH2617">
        <v>-0.13</v>
      </c>
      <c r="CI2617">
        <v>-0.11</v>
      </c>
      <c r="CJ2617">
        <v>13792</v>
      </c>
      <c r="CK2617">
        <v>6062</v>
      </c>
      <c r="CL2617" t="s">
        <v>10232</v>
      </c>
      <c r="CM2617">
        <v>-248.99</v>
      </c>
      <c r="CN2617">
        <v>-12.44</v>
      </c>
      <c r="CO2617">
        <v>4.2300000000000004</v>
      </c>
      <c r="CP2617">
        <v>-134.41</v>
      </c>
      <c r="CQ2617">
        <v>8.89</v>
      </c>
      <c r="CR2617">
        <v>0</v>
      </c>
      <c r="CS2617" t="s">
        <v>11903</v>
      </c>
      <c r="CT2617">
        <v>2.58</v>
      </c>
      <c r="CU2617">
        <v>0</v>
      </c>
      <c r="CV2617">
        <v>2.4</v>
      </c>
      <c r="CW2617">
        <v>-0.89</v>
      </c>
      <c r="CX2617">
        <v>-0.08</v>
      </c>
      <c r="CY2617">
        <v>42.23</v>
      </c>
      <c r="CZ2617" t="s">
        <v>11904</v>
      </c>
      <c r="DA2617">
        <v>19.57</v>
      </c>
      <c r="DB2617">
        <v>-17.46</v>
      </c>
      <c r="DC2617">
        <v>-17.3</v>
      </c>
      <c r="DD2617">
        <v>7.0000000000000007E-2</v>
      </c>
      <c r="DE2617">
        <v>785</v>
      </c>
      <c r="DF2617">
        <v>600520</v>
      </c>
      <c r="DG2617" t="s">
        <v>116</v>
      </c>
      <c r="DH2617" t="s">
        <v>116</v>
      </c>
      <c r="DI2617" t="s">
        <v>116</v>
      </c>
    </row>
    <row r="2618" spans="1:113" x14ac:dyDescent="0.4">
      <c r="A2618" t="str">
        <f>"600521"</f>
        <v>600521</v>
      </c>
      <c r="B2618" t="s">
        <v>11905</v>
      </c>
      <c r="C2618">
        <v>0</v>
      </c>
      <c r="D2618">
        <v>17.260000000000002</v>
      </c>
      <c r="E2618">
        <v>0</v>
      </c>
      <c r="F2618">
        <v>17.25</v>
      </c>
      <c r="G2618">
        <v>17.260000000000002</v>
      </c>
      <c r="H2618">
        <v>121768</v>
      </c>
      <c r="I2618">
        <v>588</v>
      </c>
      <c r="J2618">
        <v>-0.05</v>
      </c>
      <c r="K2618">
        <v>0.97</v>
      </c>
      <c r="L2618">
        <v>17.22</v>
      </c>
      <c r="M2618">
        <v>17.47</v>
      </c>
      <c r="N2618">
        <v>17.100000000000001</v>
      </c>
      <c r="O2618">
        <v>17.260000000000002</v>
      </c>
      <c r="P2618">
        <v>33.450000000000003</v>
      </c>
      <c r="Q2618">
        <v>210838704</v>
      </c>
      <c r="R2618">
        <v>0.57999999999999996</v>
      </c>
      <c r="S2618" t="s">
        <v>574</v>
      </c>
      <c r="T2618" t="s">
        <v>590</v>
      </c>
      <c r="U2618">
        <v>2.14</v>
      </c>
      <c r="V2618">
        <v>17.309999999999999</v>
      </c>
      <c r="W2618">
        <v>66181</v>
      </c>
      <c r="X2618">
        <v>55587</v>
      </c>
      <c r="Y2618">
        <v>1.19</v>
      </c>
      <c r="Z2618">
        <v>77</v>
      </c>
      <c r="AA2618">
        <v>299</v>
      </c>
      <c r="AB2618" t="s">
        <v>116</v>
      </c>
      <c r="AC2618">
        <v>366800</v>
      </c>
      <c r="AD2618">
        <v>0</v>
      </c>
      <c r="AE2618" t="s">
        <v>116</v>
      </c>
      <c r="AF2618" t="s">
        <v>116</v>
      </c>
      <c r="AG2618">
        <v>12.51</v>
      </c>
      <c r="AH2618" t="s">
        <v>11906</v>
      </c>
      <c r="AI2618" t="s">
        <v>11907</v>
      </c>
      <c r="AJ2618">
        <v>0.08</v>
      </c>
      <c r="AK2618">
        <v>3676</v>
      </c>
      <c r="AL2618">
        <v>33</v>
      </c>
      <c r="AM2618">
        <v>2.9999999999999997E-4</v>
      </c>
      <c r="AN2618">
        <v>0</v>
      </c>
      <c r="AO2618">
        <v>-0.75</v>
      </c>
      <c r="AP2618">
        <v>-8.09</v>
      </c>
      <c r="AQ2618">
        <v>16.149999999999999</v>
      </c>
      <c r="AR2618">
        <v>56.06</v>
      </c>
      <c r="AS2618">
        <v>1.84</v>
      </c>
      <c r="AT2618" t="s">
        <v>11908</v>
      </c>
      <c r="AU2618">
        <v>62.72</v>
      </c>
      <c r="AV2618">
        <v>212.29</v>
      </c>
      <c r="AW2618">
        <v>7.0000000000000007E-2</v>
      </c>
      <c r="BA2618">
        <v>-0.23</v>
      </c>
      <c r="BB2618">
        <v>1.22</v>
      </c>
      <c r="BC2618">
        <v>-0.93</v>
      </c>
      <c r="BD2618">
        <v>0.32</v>
      </c>
      <c r="BE2618">
        <v>0.23</v>
      </c>
      <c r="BF2618">
        <v>-1.2</v>
      </c>
      <c r="BG2618">
        <v>0.94</v>
      </c>
      <c r="BH2618">
        <v>-0.32</v>
      </c>
      <c r="BI2618">
        <v>20191031</v>
      </c>
      <c r="BJ2618">
        <v>20030304</v>
      </c>
      <c r="BK2618">
        <v>13.22</v>
      </c>
      <c r="BL2618" t="s">
        <v>116</v>
      </c>
      <c r="BM2618" t="s">
        <v>116</v>
      </c>
      <c r="BN2618">
        <v>117.97</v>
      </c>
      <c r="BO2618">
        <v>55.56</v>
      </c>
      <c r="BP2618">
        <v>1.63</v>
      </c>
      <c r="BQ2618">
        <v>51.52</v>
      </c>
      <c r="BR2618">
        <v>64.33</v>
      </c>
      <c r="BS2618">
        <v>26.81</v>
      </c>
      <c r="BT2618">
        <v>5.94</v>
      </c>
      <c r="BU2618">
        <v>50.73</v>
      </c>
      <c r="BV2618">
        <v>22.12</v>
      </c>
      <c r="BW2618">
        <v>14.96</v>
      </c>
      <c r="BX2618">
        <v>11.6</v>
      </c>
      <c r="BY2618">
        <v>40.119999999999997</v>
      </c>
      <c r="BZ2618">
        <v>16.309999999999999</v>
      </c>
      <c r="CA2618">
        <v>6.78</v>
      </c>
      <c r="CB2618">
        <v>-0.16</v>
      </c>
      <c r="CC2618">
        <v>6.68</v>
      </c>
      <c r="CD2618">
        <v>5.43</v>
      </c>
      <c r="CE2618">
        <v>5.12</v>
      </c>
      <c r="CF2618">
        <v>3.73</v>
      </c>
      <c r="CG2618">
        <v>26.03</v>
      </c>
      <c r="CH2618">
        <v>12.52</v>
      </c>
      <c r="CI2618">
        <v>15.05</v>
      </c>
      <c r="CJ2618">
        <v>47121</v>
      </c>
      <c r="CK2618">
        <v>14018</v>
      </c>
      <c r="CL2618" t="s">
        <v>8558</v>
      </c>
      <c r="CM2618">
        <v>100.4</v>
      </c>
      <c r="CN2618">
        <v>4.3899999999999997</v>
      </c>
      <c r="CO2618">
        <v>4.1100000000000003</v>
      </c>
      <c r="CP2618">
        <v>18.23</v>
      </c>
      <c r="CQ2618">
        <v>5.69</v>
      </c>
      <c r="CR2618">
        <v>0</v>
      </c>
      <c r="CS2618" t="s">
        <v>335</v>
      </c>
      <c r="CT2618">
        <v>4.2</v>
      </c>
      <c r="CU2618">
        <v>0</v>
      </c>
      <c r="CV2618">
        <v>0.88</v>
      </c>
      <c r="CW2618">
        <v>1.97</v>
      </c>
      <c r="CX2618">
        <v>0.95</v>
      </c>
      <c r="CY2618">
        <v>47.1</v>
      </c>
      <c r="CZ2618" t="s">
        <v>3822</v>
      </c>
      <c r="DA2618">
        <v>59.34</v>
      </c>
      <c r="DB2618">
        <v>16.899999999999999</v>
      </c>
      <c r="DC2618">
        <v>12.76</v>
      </c>
      <c r="DD2618">
        <v>3.14</v>
      </c>
      <c r="DE2618">
        <v>6214</v>
      </c>
      <c r="DF2618">
        <v>600521</v>
      </c>
      <c r="DG2618" t="s">
        <v>116</v>
      </c>
      <c r="DH2618" t="s">
        <v>116</v>
      </c>
      <c r="DI2618" t="s">
        <v>116</v>
      </c>
    </row>
    <row r="2619" spans="1:113" x14ac:dyDescent="0.4">
      <c r="A2619" t="str">
        <f>"600522"</f>
        <v>600522</v>
      </c>
      <c r="B2619" t="s">
        <v>11909</v>
      </c>
      <c r="C2619">
        <v>-1.0900000000000001</v>
      </c>
      <c r="D2619">
        <v>8.1999999999999993</v>
      </c>
      <c r="E2619">
        <v>-0.09</v>
      </c>
      <c r="F2619">
        <v>8.19</v>
      </c>
      <c r="G2619">
        <v>8.1999999999999993</v>
      </c>
      <c r="H2619">
        <v>339292</v>
      </c>
      <c r="I2619">
        <v>2806</v>
      </c>
      <c r="J2619">
        <v>0.12</v>
      </c>
      <c r="K2619">
        <v>1.1100000000000001</v>
      </c>
      <c r="L2619">
        <v>8.31</v>
      </c>
      <c r="M2619">
        <v>8.32</v>
      </c>
      <c r="N2619">
        <v>8.18</v>
      </c>
      <c r="O2619">
        <v>8.2899999999999991</v>
      </c>
      <c r="P2619">
        <v>13.2</v>
      </c>
      <c r="Q2619">
        <v>280406336</v>
      </c>
      <c r="R2619">
        <v>1.25</v>
      </c>
      <c r="S2619" t="s">
        <v>465</v>
      </c>
      <c r="T2619" t="s">
        <v>323</v>
      </c>
      <c r="U2619">
        <v>1.69</v>
      </c>
      <c r="V2619">
        <v>8.26</v>
      </c>
      <c r="W2619">
        <v>191023</v>
      </c>
      <c r="X2619">
        <v>148269</v>
      </c>
      <c r="Y2619">
        <v>1.29</v>
      </c>
      <c r="Z2619">
        <v>1943</v>
      </c>
      <c r="AA2619">
        <v>1825</v>
      </c>
      <c r="AB2619" t="s">
        <v>116</v>
      </c>
      <c r="AC2619">
        <v>895000</v>
      </c>
      <c r="AD2619">
        <v>0</v>
      </c>
      <c r="AE2619" t="s">
        <v>116</v>
      </c>
      <c r="AF2619" t="s">
        <v>116</v>
      </c>
      <c r="AG2619">
        <v>30.66</v>
      </c>
      <c r="AH2619" t="s">
        <v>11910</v>
      </c>
      <c r="AI2619" t="s">
        <v>11910</v>
      </c>
      <c r="AJ2619">
        <v>-1.01</v>
      </c>
      <c r="AK2619">
        <v>3364</v>
      </c>
      <c r="AL2619">
        <v>101</v>
      </c>
      <c r="AM2619">
        <v>2.9999999999999997E-4</v>
      </c>
      <c r="AN2619">
        <v>-1</v>
      </c>
      <c r="AO2619">
        <v>-0.25</v>
      </c>
      <c r="AP2619">
        <v>1.23</v>
      </c>
      <c r="AQ2619">
        <v>-5.86</v>
      </c>
      <c r="AR2619">
        <v>1.86</v>
      </c>
      <c r="AS2619">
        <v>1.48</v>
      </c>
      <c r="AT2619" t="s">
        <v>11911</v>
      </c>
      <c r="AU2619">
        <v>13.12</v>
      </c>
      <c r="AV2619">
        <v>11.85</v>
      </c>
      <c r="AW2619">
        <v>1.1499999999999999</v>
      </c>
      <c r="BA2619">
        <v>0.24</v>
      </c>
      <c r="BB2619">
        <v>0.36</v>
      </c>
      <c r="BC2619">
        <v>-1.33</v>
      </c>
      <c r="BD2619">
        <v>-0.31</v>
      </c>
      <c r="BE2619">
        <v>-1.32</v>
      </c>
      <c r="BF2619">
        <v>-1.44</v>
      </c>
      <c r="BG2619">
        <v>0.24</v>
      </c>
      <c r="BH2619">
        <v>-0.78</v>
      </c>
      <c r="BI2619">
        <v>20191217</v>
      </c>
      <c r="BJ2619">
        <v>20021024</v>
      </c>
      <c r="BK2619">
        <v>30.66</v>
      </c>
      <c r="BL2619" t="s">
        <v>116</v>
      </c>
      <c r="BM2619" t="s">
        <v>116</v>
      </c>
      <c r="BN2619">
        <v>380.4</v>
      </c>
      <c r="BO2619">
        <v>205.16</v>
      </c>
      <c r="BP2619">
        <v>2.13</v>
      </c>
      <c r="BQ2619">
        <v>45.51</v>
      </c>
      <c r="BR2619">
        <v>255.53</v>
      </c>
      <c r="BS2619">
        <v>85.71</v>
      </c>
      <c r="BT2619">
        <v>10.29</v>
      </c>
      <c r="BU2619">
        <v>113.89</v>
      </c>
      <c r="BV2619">
        <v>60.07</v>
      </c>
      <c r="BW2619">
        <v>77.319999999999993</v>
      </c>
      <c r="BX2619">
        <v>76.16</v>
      </c>
      <c r="BY2619">
        <v>291.85000000000002</v>
      </c>
      <c r="BZ2619">
        <v>254.42</v>
      </c>
      <c r="CA2619">
        <v>17.46</v>
      </c>
      <c r="CB2619">
        <v>0.28000000000000003</v>
      </c>
      <c r="CC2619">
        <v>17.170000000000002</v>
      </c>
      <c r="CD2619">
        <v>14.37</v>
      </c>
      <c r="CE2619">
        <v>14.28</v>
      </c>
      <c r="CF2619">
        <v>12.05</v>
      </c>
      <c r="CG2619">
        <v>91.08</v>
      </c>
      <c r="CH2619">
        <v>-6.27</v>
      </c>
      <c r="CI2619">
        <v>-4.41</v>
      </c>
      <c r="CJ2619">
        <v>181850</v>
      </c>
      <c r="CK2619">
        <v>12637</v>
      </c>
      <c r="CL2619" t="s">
        <v>7476</v>
      </c>
      <c r="CM2619">
        <v>-12.57</v>
      </c>
      <c r="CN2619">
        <v>23.35</v>
      </c>
      <c r="CO2619">
        <v>1.25</v>
      </c>
      <c r="CP2619">
        <v>-40.11</v>
      </c>
      <c r="CQ2619">
        <v>0.86</v>
      </c>
      <c r="CR2619">
        <v>1.2</v>
      </c>
      <c r="CS2619" t="s">
        <v>7005</v>
      </c>
      <c r="CT2619">
        <v>6.54</v>
      </c>
      <c r="CU2619">
        <v>6.54</v>
      </c>
      <c r="CV2619">
        <v>2.48</v>
      </c>
      <c r="CW2619">
        <v>2.97</v>
      </c>
      <c r="CX2619">
        <v>-0.2</v>
      </c>
      <c r="CY2619">
        <v>53.93</v>
      </c>
      <c r="CZ2619" t="s">
        <v>11912</v>
      </c>
      <c r="DA2619">
        <v>12.83</v>
      </c>
      <c r="DB2619">
        <v>5.98</v>
      </c>
      <c r="DC2619">
        <v>4.8899999999999997</v>
      </c>
      <c r="DD2619">
        <v>7.09</v>
      </c>
      <c r="DE2619">
        <v>11992</v>
      </c>
      <c r="DF2619">
        <v>600522</v>
      </c>
      <c r="DG2619" t="s">
        <v>116</v>
      </c>
      <c r="DH2619" t="s">
        <v>116</v>
      </c>
      <c r="DI2619" t="s">
        <v>116</v>
      </c>
    </row>
    <row r="2620" spans="1:113" x14ac:dyDescent="0.4">
      <c r="A2620" t="str">
        <f>"600523"</f>
        <v>600523</v>
      </c>
      <c r="B2620" t="s">
        <v>11913</v>
      </c>
      <c r="C2620">
        <v>2.0499999999999998</v>
      </c>
      <c r="D2620">
        <v>13.44</v>
      </c>
      <c r="E2620">
        <v>0.27</v>
      </c>
      <c r="F2620">
        <v>13.43</v>
      </c>
      <c r="G2620">
        <v>13.44</v>
      </c>
      <c r="H2620">
        <v>90368</v>
      </c>
      <c r="I2620">
        <v>986</v>
      </c>
      <c r="J2620">
        <v>0</v>
      </c>
      <c r="K2620">
        <v>2.2400000000000002</v>
      </c>
      <c r="L2620">
        <v>13.32</v>
      </c>
      <c r="M2620">
        <v>14.19</v>
      </c>
      <c r="N2620">
        <v>13.32</v>
      </c>
      <c r="O2620">
        <v>13.17</v>
      </c>
      <c r="P2620">
        <v>60.05</v>
      </c>
      <c r="Q2620">
        <v>125183528</v>
      </c>
      <c r="R2620">
        <v>3.52</v>
      </c>
      <c r="S2620" t="s">
        <v>293</v>
      </c>
      <c r="T2620" t="s">
        <v>1056</v>
      </c>
      <c r="U2620">
        <v>6.61</v>
      </c>
      <c r="V2620">
        <v>13.85</v>
      </c>
      <c r="W2620">
        <v>44695</v>
      </c>
      <c r="X2620">
        <v>45673</v>
      </c>
      <c r="Y2620">
        <v>0.98</v>
      </c>
      <c r="Z2620">
        <v>591</v>
      </c>
      <c r="AA2620">
        <v>19</v>
      </c>
      <c r="AB2620" t="s">
        <v>116</v>
      </c>
      <c r="AC2620">
        <v>171800</v>
      </c>
      <c r="AD2620">
        <v>0.01</v>
      </c>
      <c r="AE2620" t="s">
        <v>116</v>
      </c>
      <c r="AF2620" t="s">
        <v>116</v>
      </c>
      <c r="AG2620">
        <v>4.04</v>
      </c>
      <c r="AH2620" t="s">
        <v>11914</v>
      </c>
      <c r="AI2620" t="s">
        <v>3233</v>
      </c>
      <c r="AJ2620">
        <v>2.13</v>
      </c>
      <c r="AK2620">
        <v>1957</v>
      </c>
      <c r="AL2620">
        <v>46</v>
      </c>
      <c r="AM2620">
        <v>1.1000000000000001E-3</v>
      </c>
      <c r="AN2620">
        <v>2</v>
      </c>
      <c r="AO2620">
        <v>2.44</v>
      </c>
      <c r="AP2620">
        <v>3.78</v>
      </c>
      <c r="AQ2620">
        <v>-5.08</v>
      </c>
      <c r="AR2620">
        <v>43.44</v>
      </c>
      <c r="AS2620">
        <v>4.75</v>
      </c>
      <c r="AT2620" t="s">
        <v>1608</v>
      </c>
      <c r="AU2620">
        <v>61.76</v>
      </c>
      <c r="AV2620">
        <v>46.23</v>
      </c>
      <c r="AW2620">
        <v>1.06</v>
      </c>
      <c r="BA2620">
        <v>1.1399999999999999</v>
      </c>
      <c r="BB2620">
        <v>7.74</v>
      </c>
      <c r="BC2620">
        <v>1.1399999999999999</v>
      </c>
      <c r="BD2620">
        <v>5.18</v>
      </c>
      <c r="BE2620">
        <v>0.9</v>
      </c>
      <c r="BF2620">
        <v>-5.29</v>
      </c>
      <c r="BG2620">
        <v>0.9</v>
      </c>
      <c r="BH2620">
        <v>-3.13</v>
      </c>
      <c r="BI2620">
        <v>20191029</v>
      </c>
      <c r="BJ2620">
        <v>20011227</v>
      </c>
      <c r="BK2620">
        <v>4.04</v>
      </c>
      <c r="BL2620" t="s">
        <v>116</v>
      </c>
      <c r="BM2620" t="s">
        <v>116</v>
      </c>
      <c r="BN2620">
        <v>29.42</v>
      </c>
      <c r="BO2620">
        <v>23.06</v>
      </c>
      <c r="BP2620">
        <v>1.7</v>
      </c>
      <c r="BQ2620">
        <v>15.83</v>
      </c>
      <c r="BR2620">
        <v>17.829999999999998</v>
      </c>
      <c r="BS2620">
        <v>6.26</v>
      </c>
      <c r="BT2620">
        <v>1.1100000000000001</v>
      </c>
      <c r="BU2620">
        <v>4.47</v>
      </c>
      <c r="BV2620">
        <v>4.38</v>
      </c>
      <c r="BW2620">
        <v>6.7</v>
      </c>
      <c r="BX2620">
        <v>8.1999999999999993</v>
      </c>
      <c r="BY2620">
        <v>15.79</v>
      </c>
      <c r="BZ2620">
        <v>12.19</v>
      </c>
      <c r="CA2620">
        <v>0.82</v>
      </c>
      <c r="CB2620">
        <v>0.18</v>
      </c>
      <c r="CC2620">
        <v>0.86</v>
      </c>
      <c r="CD2620">
        <v>0.75</v>
      </c>
      <c r="CE2620">
        <v>0.68</v>
      </c>
      <c r="CF2620">
        <v>0.56999999999999995</v>
      </c>
      <c r="CG2620">
        <v>8.49</v>
      </c>
      <c r="CH2620">
        <v>0.04</v>
      </c>
      <c r="CI2620">
        <v>-0.53</v>
      </c>
      <c r="CJ2620">
        <v>19170</v>
      </c>
      <c r="CK2620">
        <v>9930</v>
      </c>
      <c r="CL2620" t="s">
        <v>9959</v>
      </c>
      <c r="CM2620">
        <v>-30.34</v>
      </c>
      <c r="CN2620">
        <v>-25.09</v>
      </c>
      <c r="CO2620">
        <v>2.36</v>
      </c>
      <c r="CP2620">
        <v>1232.8599999999999</v>
      </c>
      <c r="CQ2620">
        <v>3.44</v>
      </c>
      <c r="CR2620">
        <v>1.1200000000000001</v>
      </c>
      <c r="CS2620" t="s">
        <v>1127</v>
      </c>
      <c r="CT2620">
        <v>5.7</v>
      </c>
      <c r="CU2620">
        <v>0</v>
      </c>
      <c r="CV2620">
        <v>2.0299999999999998</v>
      </c>
      <c r="CW2620">
        <v>2.1</v>
      </c>
      <c r="CX2620">
        <v>0.01</v>
      </c>
      <c r="CY2620">
        <v>78.38</v>
      </c>
      <c r="CZ2620" t="s">
        <v>4565</v>
      </c>
      <c r="DA2620">
        <v>22.79</v>
      </c>
      <c r="DB2620">
        <v>5.2</v>
      </c>
      <c r="DC2620">
        <v>4.3</v>
      </c>
      <c r="DD2620">
        <v>0.69</v>
      </c>
      <c r="DE2620">
        <v>6061</v>
      </c>
      <c r="DF2620">
        <v>600523</v>
      </c>
      <c r="DG2620" t="s">
        <v>116</v>
      </c>
      <c r="DH2620" t="s">
        <v>116</v>
      </c>
      <c r="DI2620" t="s">
        <v>116</v>
      </c>
    </row>
    <row r="2621" spans="1:113" x14ac:dyDescent="0.4">
      <c r="A2621" t="str">
        <f>"600525"</f>
        <v>600525</v>
      </c>
      <c r="B2621" t="s">
        <v>11915</v>
      </c>
      <c r="C2621">
        <v>-0.51</v>
      </c>
      <c r="D2621">
        <v>5.82</v>
      </c>
      <c r="E2621">
        <v>-0.03</v>
      </c>
      <c r="F2621">
        <v>5.82</v>
      </c>
      <c r="G2621">
        <v>5.83</v>
      </c>
      <c r="H2621">
        <v>119471</v>
      </c>
      <c r="I2621">
        <v>1285</v>
      </c>
      <c r="J2621">
        <v>-0.16</v>
      </c>
      <c r="K2621">
        <v>0.91</v>
      </c>
      <c r="L2621">
        <v>5.85</v>
      </c>
      <c r="M2621">
        <v>5.92</v>
      </c>
      <c r="N2621">
        <v>5.82</v>
      </c>
      <c r="O2621">
        <v>5.85</v>
      </c>
      <c r="P2621" t="s">
        <v>116</v>
      </c>
      <c r="Q2621">
        <v>70137120</v>
      </c>
      <c r="R2621">
        <v>0.84</v>
      </c>
      <c r="S2621" t="s">
        <v>397</v>
      </c>
      <c r="T2621" t="s">
        <v>115</v>
      </c>
      <c r="U2621">
        <v>1.71</v>
      </c>
      <c r="V2621">
        <v>5.87</v>
      </c>
      <c r="W2621">
        <v>68486</v>
      </c>
      <c r="X2621">
        <v>50985</v>
      </c>
      <c r="Y2621">
        <v>1.34</v>
      </c>
      <c r="Z2621">
        <v>2489</v>
      </c>
      <c r="AA2621">
        <v>335</v>
      </c>
      <c r="AB2621" t="s">
        <v>116</v>
      </c>
      <c r="AC2621">
        <v>245600</v>
      </c>
      <c r="AD2621">
        <v>0</v>
      </c>
      <c r="AE2621" t="s">
        <v>116</v>
      </c>
      <c r="AF2621" t="s">
        <v>116</v>
      </c>
      <c r="AG2621">
        <v>13.06</v>
      </c>
      <c r="AH2621" t="s">
        <v>4575</v>
      </c>
      <c r="AI2621" t="s">
        <v>4575</v>
      </c>
      <c r="AJ2621">
        <v>-0.44</v>
      </c>
      <c r="AK2621">
        <v>1665</v>
      </c>
      <c r="AL2621">
        <v>72</v>
      </c>
      <c r="AM2621">
        <v>5.0000000000000001E-4</v>
      </c>
      <c r="AN2621">
        <v>-1</v>
      </c>
      <c r="AO2621">
        <v>-2.02</v>
      </c>
      <c r="AP2621">
        <v>-1.02</v>
      </c>
      <c r="AQ2621">
        <v>-11.42</v>
      </c>
      <c r="AR2621">
        <v>32.880000000000003</v>
      </c>
      <c r="AS2621">
        <v>1.26</v>
      </c>
      <c r="AT2621" t="s">
        <v>11916</v>
      </c>
      <c r="AU2621" t="s">
        <v>116</v>
      </c>
      <c r="AV2621">
        <v>68.06</v>
      </c>
      <c r="AW2621">
        <v>0.9</v>
      </c>
      <c r="BA2621">
        <v>0</v>
      </c>
      <c r="BB2621">
        <v>1.2</v>
      </c>
      <c r="BC2621">
        <v>-0.51</v>
      </c>
      <c r="BD2621">
        <v>0.35</v>
      </c>
      <c r="BE2621">
        <v>-0.51</v>
      </c>
      <c r="BF2621">
        <v>-1.69</v>
      </c>
      <c r="BG2621">
        <v>0</v>
      </c>
      <c r="BH2621">
        <v>-0.87</v>
      </c>
      <c r="BI2621">
        <v>20191209</v>
      </c>
      <c r="BJ2621">
        <v>20021202</v>
      </c>
      <c r="BK2621">
        <v>13.06</v>
      </c>
      <c r="BL2621" t="s">
        <v>116</v>
      </c>
      <c r="BM2621" t="s">
        <v>116</v>
      </c>
      <c r="BN2621">
        <v>121.97</v>
      </c>
      <c r="BO2621">
        <v>46.29</v>
      </c>
      <c r="BP2621">
        <v>0.22</v>
      </c>
      <c r="BQ2621">
        <v>61.87</v>
      </c>
      <c r="BR2621">
        <v>66.040000000000006</v>
      </c>
      <c r="BS2621">
        <v>3.88</v>
      </c>
      <c r="BT2621">
        <v>2.79</v>
      </c>
      <c r="BU2621">
        <v>64.569999999999993</v>
      </c>
      <c r="BV2621">
        <v>11.76</v>
      </c>
      <c r="BW2621">
        <v>29.88</v>
      </c>
      <c r="BX2621">
        <v>18.53</v>
      </c>
      <c r="BY2621">
        <v>42.15</v>
      </c>
      <c r="BZ2621">
        <v>24.7</v>
      </c>
      <c r="CA2621">
        <v>-4.78</v>
      </c>
      <c r="CB2621">
        <v>-4.9800000000000004</v>
      </c>
      <c r="CC2621">
        <v>-4.8</v>
      </c>
      <c r="CD2621">
        <v>-5.22</v>
      </c>
      <c r="CE2621">
        <v>-5.13</v>
      </c>
      <c r="CF2621">
        <v>0.19</v>
      </c>
      <c r="CG2621">
        <v>13.56</v>
      </c>
      <c r="CH2621">
        <v>0.54</v>
      </c>
      <c r="CI2621">
        <v>-9.26</v>
      </c>
      <c r="CJ2621">
        <v>79323</v>
      </c>
      <c r="CK2621">
        <v>11988</v>
      </c>
      <c r="CL2621" t="s">
        <v>476</v>
      </c>
      <c r="CM2621">
        <v>-140.11000000000001</v>
      </c>
      <c r="CN2621">
        <v>-21.98</v>
      </c>
      <c r="CO2621">
        <v>1.64</v>
      </c>
      <c r="CP2621">
        <v>141.81</v>
      </c>
      <c r="CQ2621">
        <v>1.8</v>
      </c>
      <c r="CR2621">
        <v>0</v>
      </c>
      <c r="CS2621" t="s">
        <v>11917</v>
      </c>
      <c r="CT2621">
        <v>3.55</v>
      </c>
      <c r="CU2621">
        <v>0</v>
      </c>
      <c r="CV2621">
        <v>1.42</v>
      </c>
      <c r="CW2621">
        <v>1.04</v>
      </c>
      <c r="CX2621">
        <v>0.04</v>
      </c>
      <c r="CY2621">
        <v>37.96</v>
      </c>
      <c r="CZ2621" t="s">
        <v>11918</v>
      </c>
      <c r="DA2621">
        <v>41.4</v>
      </c>
      <c r="DB2621">
        <v>-11.33</v>
      </c>
      <c r="DC2621">
        <v>-12.16</v>
      </c>
      <c r="DD2621">
        <v>4.26</v>
      </c>
      <c r="DE2621">
        <v>8982</v>
      </c>
      <c r="DF2621">
        <v>600525</v>
      </c>
      <c r="DG2621" t="s">
        <v>116</v>
      </c>
      <c r="DH2621" t="s">
        <v>116</v>
      </c>
      <c r="DI2621" t="s">
        <v>116</v>
      </c>
    </row>
    <row r="2622" spans="1:113" x14ac:dyDescent="0.4">
      <c r="A2622" t="str">
        <f>"600526"</f>
        <v>600526</v>
      </c>
      <c r="B2622" t="s">
        <v>11919</v>
      </c>
      <c r="C2622">
        <v>0</v>
      </c>
      <c r="D2622">
        <v>5.0999999999999996</v>
      </c>
      <c r="E2622">
        <v>0</v>
      </c>
      <c r="F2622">
        <v>5.0999999999999996</v>
      </c>
      <c r="G2622">
        <v>5.1100000000000003</v>
      </c>
      <c r="H2622">
        <v>14207</v>
      </c>
      <c r="I2622">
        <v>100</v>
      </c>
      <c r="J2622">
        <v>-0.19</v>
      </c>
      <c r="K2622">
        <v>0.26</v>
      </c>
      <c r="L2622">
        <v>5.12</v>
      </c>
      <c r="M2622">
        <v>5.12</v>
      </c>
      <c r="N2622">
        <v>5.07</v>
      </c>
      <c r="O2622">
        <v>5.0999999999999996</v>
      </c>
      <c r="P2622">
        <v>55.8</v>
      </c>
      <c r="Q2622">
        <v>7249540</v>
      </c>
      <c r="R2622">
        <v>0.63</v>
      </c>
      <c r="S2622" t="s">
        <v>140</v>
      </c>
      <c r="T2622" t="s">
        <v>590</v>
      </c>
      <c r="U2622">
        <v>0.98</v>
      </c>
      <c r="V2622">
        <v>5.0999999999999996</v>
      </c>
      <c r="W2622">
        <v>9160</v>
      </c>
      <c r="X2622">
        <v>5047</v>
      </c>
      <c r="Y2622">
        <v>1.81</v>
      </c>
      <c r="Z2622">
        <v>114</v>
      </c>
      <c r="AA2622">
        <v>487</v>
      </c>
      <c r="AB2622" t="s">
        <v>116</v>
      </c>
      <c r="AC2622">
        <v>13300</v>
      </c>
      <c r="AD2622">
        <v>0</v>
      </c>
      <c r="AE2622" t="s">
        <v>116</v>
      </c>
      <c r="AF2622" t="s">
        <v>116</v>
      </c>
      <c r="AG2622">
        <v>5.47</v>
      </c>
      <c r="AH2622" t="s">
        <v>11920</v>
      </c>
      <c r="AI2622" t="s">
        <v>11920</v>
      </c>
      <c r="AJ2622">
        <v>0.08</v>
      </c>
      <c r="AK2622">
        <v>251</v>
      </c>
      <c r="AL2622">
        <v>57</v>
      </c>
      <c r="AM2622">
        <v>1E-3</v>
      </c>
      <c r="AN2622">
        <v>0</v>
      </c>
      <c r="AO2622">
        <v>0.59</v>
      </c>
      <c r="AP2622">
        <v>2.82</v>
      </c>
      <c r="AQ2622">
        <v>7.14</v>
      </c>
      <c r="AR2622">
        <v>15.38</v>
      </c>
      <c r="AS2622">
        <v>0.46</v>
      </c>
      <c r="AT2622" t="s">
        <v>1776</v>
      </c>
      <c r="AU2622" t="s">
        <v>116</v>
      </c>
      <c r="AV2622" t="s">
        <v>116</v>
      </c>
      <c r="AW2622">
        <v>0.28999999999999998</v>
      </c>
      <c r="BA2622">
        <v>0.39</v>
      </c>
      <c r="BB2622">
        <v>0.39</v>
      </c>
      <c r="BC2622">
        <v>-0.59</v>
      </c>
      <c r="BD2622">
        <v>0.05</v>
      </c>
      <c r="BE2622">
        <v>-0.39</v>
      </c>
      <c r="BF2622">
        <v>-0.39</v>
      </c>
      <c r="BG2622">
        <v>0.59</v>
      </c>
      <c r="BH2622">
        <v>-0.05</v>
      </c>
      <c r="BI2622">
        <v>20191105</v>
      </c>
      <c r="BJ2622">
        <v>20020722</v>
      </c>
      <c r="BK2622">
        <v>5.47</v>
      </c>
      <c r="BL2622" t="s">
        <v>116</v>
      </c>
      <c r="BM2622" t="s">
        <v>116</v>
      </c>
      <c r="BN2622">
        <v>72.59</v>
      </c>
      <c r="BO2622">
        <v>19.559999999999999</v>
      </c>
      <c r="BP2622">
        <v>0.61</v>
      </c>
      <c r="BQ2622">
        <v>72.2</v>
      </c>
      <c r="BR2622">
        <v>54.03</v>
      </c>
      <c r="BS2622">
        <v>9.1999999999999993</v>
      </c>
      <c r="BT2622">
        <v>3.17</v>
      </c>
      <c r="BU2622">
        <v>47.95</v>
      </c>
      <c r="BV2622">
        <v>26.71</v>
      </c>
      <c r="BW2622">
        <v>9.06</v>
      </c>
      <c r="BX2622">
        <v>17.010000000000002</v>
      </c>
      <c r="BY2622">
        <v>20.88</v>
      </c>
      <c r="BZ2622">
        <v>17.87</v>
      </c>
      <c r="CA2622">
        <v>0.44</v>
      </c>
      <c r="CB2622">
        <v>0.55000000000000004</v>
      </c>
      <c r="CC2622">
        <v>0.51</v>
      </c>
      <c r="CD2622">
        <v>0.38</v>
      </c>
      <c r="CE2622">
        <v>0.38</v>
      </c>
      <c r="CF2622">
        <v>-0.34</v>
      </c>
      <c r="CG2622">
        <v>-3.27</v>
      </c>
      <c r="CH2622">
        <v>-0.42</v>
      </c>
      <c r="CI2622">
        <v>-5.16</v>
      </c>
      <c r="CJ2622">
        <v>44635</v>
      </c>
      <c r="CK2622">
        <v>6951</v>
      </c>
      <c r="CL2622" t="s">
        <v>10910</v>
      </c>
      <c r="CM2622">
        <v>154.19</v>
      </c>
      <c r="CN2622">
        <v>-32.18</v>
      </c>
      <c r="CO2622">
        <v>1.43</v>
      </c>
      <c r="CP2622">
        <v>-66.569999999999993</v>
      </c>
      <c r="CQ2622">
        <v>1.34</v>
      </c>
      <c r="CR2622">
        <v>0</v>
      </c>
      <c r="CS2622" t="s">
        <v>1395</v>
      </c>
      <c r="CT2622">
        <v>3.57</v>
      </c>
      <c r="CU2622">
        <v>0</v>
      </c>
      <c r="CV2622">
        <v>3.11</v>
      </c>
      <c r="CW2622">
        <v>-0.6</v>
      </c>
      <c r="CX2622">
        <v>-0.08</v>
      </c>
      <c r="CY2622">
        <v>26.95</v>
      </c>
      <c r="CZ2622" t="s">
        <v>10944</v>
      </c>
      <c r="DA2622">
        <v>14.39</v>
      </c>
      <c r="DB2622">
        <v>2.13</v>
      </c>
      <c r="DC2622">
        <v>1.8</v>
      </c>
      <c r="DD2622">
        <v>0.22</v>
      </c>
      <c r="DE2622">
        <v>3899</v>
      </c>
      <c r="DF2622">
        <v>600526</v>
      </c>
      <c r="DG2622" t="s">
        <v>116</v>
      </c>
      <c r="DH2622" t="s">
        <v>116</v>
      </c>
      <c r="DI2622" t="s">
        <v>116</v>
      </c>
    </row>
    <row r="2623" spans="1:113" x14ac:dyDescent="0.4">
      <c r="A2623" t="str">
        <f>"600527"</f>
        <v>600527</v>
      </c>
      <c r="B2623" t="s">
        <v>11921</v>
      </c>
      <c r="C2623">
        <v>-0.48</v>
      </c>
      <c r="D2623">
        <v>2.06</v>
      </c>
      <c r="E2623">
        <v>-0.01</v>
      </c>
      <c r="F2623">
        <v>2.06</v>
      </c>
      <c r="G2623">
        <v>2.0699999999999998</v>
      </c>
      <c r="H2623">
        <v>85270</v>
      </c>
      <c r="I2623">
        <v>520</v>
      </c>
      <c r="J2623">
        <v>0</v>
      </c>
      <c r="K2623">
        <v>0.71</v>
      </c>
      <c r="L2623">
        <v>2.0699999999999998</v>
      </c>
      <c r="M2623">
        <v>2.09</v>
      </c>
      <c r="N2623">
        <v>2.06</v>
      </c>
      <c r="O2623">
        <v>2.0699999999999998</v>
      </c>
      <c r="P2623">
        <v>45.02</v>
      </c>
      <c r="Q2623">
        <v>17659996</v>
      </c>
      <c r="R2623">
        <v>1.19</v>
      </c>
      <c r="S2623" t="s">
        <v>630</v>
      </c>
      <c r="T2623" t="s">
        <v>323</v>
      </c>
      <c r="U2623">
        <v>1.45</v>
      </c>
      <c r="V2623">
        <v>2.0699999999999998</v>
      </c>
      <c r="W2623">
        <v>52904</v>
      </c>
      <c r="X2623">
        <v>32366</v>
      </c>
      <c r="Y2623">
        <v>1.63</v>
      </c>
      <c r="Z2623">
        <v>662</v>
      </c>
      <c r="AA2623">
        <v>7489</v>
      </c>
      <c r="AB2623" t="s">
        <v>116</v>
      </c>
      <c r="AC2623">
        <v>86100</v>
      </c>
      <c r="AD2623">
        <v>0.01</v>
      </c>
      <c r="AE2623" t="s">
        <v>116</v>
      </c>
      <c r="AF2623" t="s">
        <v>116</v>
      </c>
      <c r="AG2623">
        <v>12.03</v>
      </c>
      <c r="AH2623" t="s">
        <v>11922</v>
      </c>
      <c r="AI2623" t="s">
        <v>5518</v>
      </c>
      <c r="AJ2623">
        <v>-0.41</v>
      </c>
      <c r="AK2623">
        <v>500</v>
      </c>
      <c r="AL2623">
        <v>171</v>
      </c>
      <c r="AM2623">
        <v>1.4E-3</v>
      </c>
      <c r="AN2623">
        <v>-1</v>
      </c>
      <c r="AO2623">
        <v>-0.96</v>
      </c>
      <c r="AP2623">
        <v>1.48</v>
      </c>
      <c r="AQ2623">
        <v>1.48</v>
      </c>
      <c r="AR2623">
        <v>8.42</v>
      </c>
      <c r="AS2623">
        <v>1.1000000000000001</v>
      </c>
      <c r="AT2623" t="s">
        <v>4306</v>
      </c>
      <c r="AU2623">
        <v>35.049999999999997</v>
      </c>
      <c r="AV2623">
        <v>33.619999999999997</v>
      </c>
      <c r="AW2623">
        <v>0.83</v>
      </c>
      <c r="BA2623">
        <v>0</v>
      </c>
      <c r="BB2623">
        <v>0.97</v>
      </c>
      <c r="BC2623">
        <v>-0.48</v>
      </c>
      <c r="BD2623">
        <v>0.05</v>
      </c>
      <c r="BE2623">
        <v>-0.48</v>
      </c>
      <c r="BF2623">
        <v>-1.44</v>
      </c>
      <c r="BG2623">
        <v>0</v>
      </c>
      <c r="BH2623">
        <v>-0.54</v>
      </c>
      <c r="BI2623">
        <v>20191107</v>
      </c>
      <c r="BJ2623">
        <v>20031127</v>
      </c>
      <c r="BK2623">
        <v>14.43</v>
      </c>
      <c r="BL2623" t="s">
        <v>116</v>
      </c>
      <c r="BM2623" t="s">
        <v>116</v>
      </c>
      <c r="BN2623">
        <v>24.54</v>
      </c>
      <c r="BO2623">
        <v>23.34</v>
      </c>
      <c r="BP2623">
        <v>0</v>
      </c>
      <c r="BQ2623">
        <v>4.91</v>
      </c>
      <c r="BR2623">
        <v>13.8</v>
      </c>
      <c r="BS2623">
        <v>4.4000000000000004</v>
      </c>
      <c r="BT2623">
        <v>0.45</v>
      </c>
      <c r="BU2623">
        <v>0.72</v>
      </c>
      <c r="BV2623">
        <v>3.47</v>
      </c>
      <c r="BW2623">
        <v>0.17</v>
      </c>
      <c r="BX2623">
        <v>3.09</v>
      </c>
      <c r="BY2623">
        <v>8.17</v>
      </c>
      <c r="BZ2623">
        <v>7.2</v>
      </c>
      <c r="CA2623">
        <v>0.57999999999999996</v>
      </c>
      <c r="CB2623">
        <v>0.02</v>
      </c>
      <c r="CC2623">
        <v>0.57999999999999996</v>
      </c>
      <c r="CD2623">
        <v>0.5</v>
      </c>
      <c r="CE2623">
        <v>0.5</v>
      </c>
      <c r="CF2623">
        <v>0.48</v>
      </c>
      <c r="CG2623">
        <v>4.45</v>
      </c>
      <c r="CH2623">
        <v>1.35</v>
      </c>
      <c r="CI2623">
        <v>-2.14</v>
      </c>
      <c r="CJ2623">
        <v>58353</v>
      </c>
      <c r="CK2623">
        <v>13228</v>
      </c>
      <c r="CL2623" t="s">
        <v>1474</v>
      </c>
      <c r="CM2623">
        <v>-6.79</v>
      </c>
      <c r="CN2623">
        <v>-16.8</v>
      </c>
      <c r="CO2623">
        <v>1.27</v>
      </c>
      <c r="CP2623">
        <v>22.02</v>
      </c>
      <c r="CQ2623">
        <v>3.64</v>
      </c>
      <c r="CR2623">
        <v>4.8499999999999996</v>
      </c>
      <c r="CS2623" t="s">
        <v>2388</v>
      </c>
      <c r="CT2623">
        <v>1.62</v>
      </c>
      <c r="CU2623">
        <v>0</v>
      </c>
      <c r="CV2623">
        <v>0.21</v>
      </c>
      <c r="CW2623">
        <v>0.31</v>
      </c>
      <c r="CX2623">
        <v>0.09</v>
      </c>
      <c r="CY2623">
        <v>95.09</v>
      </c>
      <c r="CZ2623" t="s">
        <v>10661</v>
      </c>
      <c r="DA2623">
        <v>11.86</v>
      </c>
      <c r="DB2623">
        <v>7.1</v>
      </c>
      <c r="DC2623">
        <v>6.06</v>
      </c>
      <c r="DD2623">
        <v>0.28999999999999998</v>
      </c>
      <c r="DE2623">
        <v>636</v>
      </c>
      <c r="DF2623">
        <v>600527</v>
      </c>
      <c r="DG2623" t="s">
        <v>116</v>
      </c>
      <c r="DH2623" t="s">
        <v>116</v>
      </c>
      <c r="DI2623" t="s">
        <v>116</v>
      </c>
    </row>
    <row r="2624" spans="1:113" x14ac:dyDescent="0.4">
      <c r="A2624" t="str">
        <f>"600528"</f>
        <v>600528</v>
      </c>
      <c r="B2624" t="s">
        <v>11923</v>
      </c>
      <c r="C2624">
        <v>-0.92</v>
      </c>
      <c r="D2624">
        <v>10.73</v>
      </c>
      <c r="E2624">
        <v>-0.1</v>
      </c>
      <c r="F2624">
        <v>10.72</v>
      </c>
      <c r="G2624">
        <v>10.73</v>
      </c>
      <c r="H2624">
        <v>62799</v>
      </c>
      <c r="I2624">
        <v>324</v>
      </c>
      <c r="J2624">
        <v>0.09</v>
      </c>
      <c r="K2624">
        <v>0.34</v>
      </c>
      <c r="L2624">
        <v>10.84</v>
      </c>
      <c r="M2624">
        <v>10.91</v>
      </c>
      <c r="N2624">
        <v>10.7</v>
      </c>
      <c r="O2624">
        <v>10.83</v>
      </c>
      <c r="P2624">
        <v>14.11</v>
      </c>
      <c r="Q2624">
        <v>67866344</v>
      </c>
      <c r="R2624">
        <v>0.86</v>
      </c>
      <c r="S2624" t="s">
        <v>164</v>
      </c>
      <c r="T2624" t="s">
        <v>165</v>
      </c>
      <c r="U2624">
        <v>1.94</v>
      </c>
      <c r="V2624">
        <v>10.81</v>
      </c>
      <c r="W2624">
        <v>36114</v>
      </c>
      <c r="X2624">
        <v>26685</v>
      </c>
      <c r="Y2624">
        <v>1.35</v>
      </c>
      <c r="Z2624">
        <v>136</v>
      </c>
      <c r="AA2624">
        <v>399</v>
      </c>
      <c r="AB2624" t="s">
        <v>116</v>
      </c>
      <c r="AC2624">
        <v>135500</v>
      </c>
      <c r="AD2624">
        <v>0</v>
      </c>
      <c r="AE2624" t="s">
        <v>116</v>
      </c>
      <c r="AF2624" t="s">
        <v>116</v>
      </c>
      <c r="AG2624">
        <v>18.38</v>
      </c>
      <c r="AH2624" t="s">
        <v>11924</v>
      </c>
      <c r="AI2624" t="s">
        <v>11925</v>
      </c>
      <c r="AJ2624">
        <v>-0.85</v>
      </c>
      <c r="AK2624">
        <v>2247</v>
      </c>
      <c r="AL2624">
        <v>28</v>
      </c>
      <c r="AM2624">
        <v>2.0000000000000001E-4</v>
      </c>
      <c r="AN2624">
        <v>-1</v>
      </c>
      <c r="AO2624">
        <v>-1.2</v>
      </c>
      <c r="AP2624">
        <v>6.55</v>
      </c>
      <c r="AQ2624">
        <v>4.07</v>
      </c>
      <c r="AR2624">
        <v>3.32</v>
      </c>
      <c r="AS2624">
        <v>0.66</v>
      </c>
      <c r="AT2624" t="s">
        <v>11926</v>
      </c>
      <c r="AU2624">
        <v>14.29</v>
      </c>
      <c r="AV2624">
        <v>16.100000000000001</v>
      </c>
      <c r="AW2624">
        <v>0.98</v>
      </c>
      <c r="BA2624">
        <v>0.09</v>
      </c>
      <c r="BB2624">
        <v>0.74</v>
      </c>
      <c r="BC2624">
        <v>-1.2</v>
      </c>
      <c r="BD2624">
        <v>-0.21</v>
      </c>
      <c r="BE2624">
        <v>-1.01</v>
      </c>
      <c r="BF2624">
        <v>-1.65</v>
      </c>
      <c r="BG2624">
        <v>0.28000000000000003</v>
      </c>
      <c r="BH2624">
        <v>-0.71</v>
      </c>
      <c r="BI2624">
        <v>20191025</v>
      </c>
      <c r="BJ2624">
        <v>20010528</v>
      </c>
      <c r="BK2624">
        <v>22.22</v>
      </c>
      <c r="BL2624" t="s">
        <v>116</v>
      </c>
      <c r="BM2624" t="s">
        <v>116</v>
      </c>
      <c r="BN2624">
        <v>386.99</v>
      </c>
      <c r="BO2624">
        <v>167.67</v>
      </c>
      <c r="BP2624">
        <v>3.39</v>
      </c>
      <c r="BQ2624">
        <v>55.8</v>
      </c>
      <c r="BR2624">
        <v>282</v>
      </c>
      <c r="BS2624">
        <v>46.32</v>
      </c>
      <c r="BT2624">
        <v>14.36</v>
      </c>
      <c r="BU2624">
        <v>206.06</v>
      </c>
      <c r="BV2624">
        <v>127.57</v>
      </c>
      <c r="BW2624">
        <v>75.510000000000005</v>
      </c>
      <c r="BX2624">
        <v>53.7</v>
      </c>
      <c r="BY2624">
        <v>151.68</v>
      </c>
      <c r="BZ2624">
        <v>120.67</v>
      </c>
      <c r="CA2624">
        <v>14.66</v>
      </c>
      <c r="CB2624">
        <v>0.99</v>
      </c>
      <c r="CC2624">
        <v>14.65</v>
      </c>
      <c r="CD2624">
        <v>12.79</v>
      </c>
      <c r="CE2624">
        <v>12.67</v>
      </c>
      <c r="CF2624">
        <v>12.45</v>
      </c>
      <c r="CG2624">
        <v>82.81</v>
      </c>
      <c r="CH2624">
        <v>0.76</v>
      </c>
      <c r="CI2624">
        <v>-11.31</v>
      </c>
      <c r="CJ2624">
        <v>113457</v>
      </c>
      <c r="CK2624">
        <v>8425</v>
      </c>
      <c r="CL2624" t="s">
        <v>11927</v>
      </c>
      <c r="CM2624">
        <v>17.3</v>
      </c>
      <c r="CN2624">
        <v>27.32</v>
      </c>
      <c r="CO2624">
        <v>1.42</v>
      </c>
      <c r="CP2624">
        <v>313.19</v>
      </c>
      <c r="CQ2624">
        <v>1.57</v>
      </c>
      <c r="CR2624">
        <v>1.07</v>
      </c>
      <c r="CS2624" t="s">
        <v>723</v>
      </c>
      <c r="CT2624">
        <v>7.55</v>
      </c>
      <c r="CU2624">
        <v>0</v>
      </c>
      <c r="CV2624">
        <v>2.42</v>
      </c>
      <c r="CW2624">
        <v>3.73</v>
      </c>
      <c r="CX2624">
        <v>0.03</v>
      </c>
      <c r="CY2624">
        <v>43.33</v>
      </c>
      <c r="CZ2624" t="s">
        <v>4796</v>
      </c>
      <c r="DA2624">
        <v>20.45</v>
      </c>
      <c r="DB2624">
        <v>9.67</v>
      </c>
      <c r="DC2624">
        <v>8.35</v>
      </c>
      <c r="DD2624">
        <v>7.32</v>
      </c>
      <c r="DE2624">
        <v>11836</v>
      </c>
      <c r="DF2624">
        <v>600528</v>
      </c>
      <c r="DG2624" t="s">
        <v>116</v>
      </c>
      <c r="DH2624" t="s">
        <v>116</v>
      </c>
      <c r="DI2624" t="s">
        <v>116</v>
      </c>
    </row>
    <row r="2625" spans="1:113" x14ac:dyDescent="0.4">
      <c r="A2625" t="str">
        <f>"600529"</f>
        <v>600529</v>
      </c>
      <c r="B2625" t="s">
        <v>11928</v>
      </c>
      <c r="C2625">
        <v>-0.86</v>
      </c>
      <c r="D2625">
        <v>27.61</v>
      </c>
      <c r="E2625">
        <v>-0.24</v>
      </c>
      <c r="F2625">
        <v>27.61</v>
      </c>
      <c r="G2625">
        <v>27.62</v>
      </c>
      <c r="H2625">
        <v>37693</v>
      </c>
      <c r="I2625">
        <v>118</v>
      </c>
      <c r="J2625">
        <v>0</v>
      </c>
      <c r="K2625">
        <v>0.63</v>
      </c>
      <c r="L2625">
        <v>28.16</v>
      </c>
      <c r="M2625">
        <v>28.16</v>
      </c>
      <c r="N2625">
        <v>27.41</v>
      </c>
      <c r="O2625">
        <v>27.85</v>
      </c>
      <c r="P2625">
        <v>36.11</v>
      </c>
      <c r="Q2625">
        <v>104488712</v>
      </c>
      <c r="R2625">
        <v>0.62</v>
      </c>
      <c r="S2625" t="s">
        <v>559</v>
      </c>
      <c r="T2625" t="s">
        <v>645</v>
      </c>
      <c r="U2625">
        <v>2.69</v>
      </c>
      <c r="V2625">
        <v>27.72</v>
      </c>
      <c r="W2625">
        <v>22383</v>
      </c>
      <c r="X2625">
        <v>15310</v>
      </c>
      <c r="Y2625">
        <v>1.46</v>
      </c>
      <c r="Z2625">
        <v>290</v>
      </c>
      <c r="AA2625">
        <v>50</v>
      </c>
      <c r="AB2625" t="s">
        <v>116</v>
      </c>
      <c r="AC2625">
        <v>354800</v>
      </c>
      <c r="AD2625">
        <v>0</v>
      </c>
      <c r="AE2625" t="s">
        <v>116</v>
      </c>
      <c r="AF2625" t="s">
        <v>116</v>
      </c>
      <c r="AG2625">
        <v>5.95</v>
      </c>
      <c r="AH2625" t="s">
        <v>11929</v>
      </c>
      <c r="AI2625" t="s">
        <v>11929</v>
      </c>
      <c r="AJ2625">
        <v>-0.78</v>
      </c>
      <c r="AK2625">
        <v>2002</v>
      </c>
      <c r="AL2625">
        <v>19</v>
      </c>
      <c r="AM2625">
        <v>2.9999999999999997E-4</v>
      </c>
      <c r="AN2625">
        <v>-1</v>
      </c>
      <c r="AO2625">
        <v>6.11</v>
      </c>
      <c r="AP2625">
        <v>23.92</v>
      </c>
      <c r="AQ2625">
        <v>18.649999999999999</v>
      </c>
      <c r="AR2625">
        <v>106.71</v>
      </c>
      <c r="AS2625">
        <v>0.88</v>
      </c>
      <c r="AT2625" t="s">
        <v>11930</v>
      </c>
      <c r="AU2625">
        <v>37.590000000000003</v>
      </c>
      <c r="AV2625">
        <v>45.86</v>
      </c>
      <c r="AW2625">
        <v>1.1000000000000001</v>
      </c>
      <c r="BA2625">
        <v>1.1100000000000001</v>
      </c>
      <c r="BB2625">
        <v>1.1100000000000001</v>
      </c>
      <c r="BC2625">
        <v>-1.58</v>
      </c>
      <c r="BD2625">
        <v>-0.46</v>
      </c>
      <c r="BE2625">
        <v>-1.95</v>
      </c>
      <c r="BF2625">
        <v>-1.95</v>
      </c>
      <c r="BG2625">
        <v>0.73</v>
      </c>
      <c r="BH2625">
        <v>-0.4</v>
      </c>
      <c r="BI2625">
        <v>20191219</v>
      </c>
      <c r="BJ2625">
        <v>20020603</v>
      </c>
      <c r="BK2625">
        <v>5.95</v>
      </c>
      <c r="BL2625" t="s">
        <v>116</v>
      </c>
      <c r="BM2625" t="s">
        <v>116</v>
      </c>
      <c r="BN2625">
        <v>50.95</v>
      </c>
      <c r="BO2625">
        <v>37.47</v>
      </c>
      <c r="BP2625">
        <v>0</v>
      </c>
      <c r="BQ2625">
        <v>26.45</v>
      </c>
      <c r="BR2625">
        <v>30.07</v>
      </c>
      <c r="BS2625">
        <v>16.5</v>
      </c>
      <c r="BT2625">
        <v>1.73</v>
      </c>
      <c r="BU2625">
        <v>13.14</v>
      </c>
      <c r="BV2625">
        <v>6.67</v>
      </c>
      <c r="BW2625">
        <v>4.0999999999999996</v>
      </c>
      <c r="BX2625">
        <v>9.1300000000000008</v>
      </c>
      <c r="BY2625">
        <v>21.57</v>
      </c>
      <c r="BZ2625">
        <v>13.57</v>
      </c>
      <c r="CA2625">
        <v>4.28</v>
      </c>
      <c r="CB2625">
        <v>0.23</v>
      </c>
      <c r="CC2625">
        <v>4.05</v>
      </c>
      <c r="CD2625">
        <v>3.41</v>
      </c>
      <c r="CE2625">
        <v>3.41</v>
      </c>
      <c r="CF2625">
        <v>3.33</v>
      </c>
      <c r="CG2625">
        <v>19.010000000000002</v>
      </c>
      <c r="CH2625">
        <v>3.93</v>
      </c>
      <c r="CI2625">
        <v>2.09</v>
      </c>
      <c r="CJ2625">
        <v>12156</v>
      </c>
      <c r="CK2625">
        <v>35323</v>
      </c>
      <c r="CL2625" t="s">
        <v>11931</v>
      </c>
      <c r="CM2625">
        <v>30.01</v>
      </c>
      <c r="CN2625">
        <v>12.29</v>
      </c>
      <c r="CO2625">
        <v>4.38</v>
      </c>
      <c r="CP2625">
        <v>41.76</v>
      </c>
      <c r="CQ2625">
        <v>7.62</v>
      </c>
      <c r="CR2625">
        <v>0.78</v>
      </c>
      <c r="CS2625" t="s">
        <v>2962</v>
      </c>
      <c r="CT2625">
        <v>6.3</v>
      </c>
      <c r="CU2625">
        <v>0</v>
      </c>
      <c r="CV2625">
        <v>1.54</v>
      </c>
      <c r="CW2625">
        <v>3.19</v>
      </c>
      <c r="CX2625">
        <v>0.66</v>
      </c>
      <c r="CY2625">
        <v>73.55</v>
      </c>
      <c r="CZ2625" t="s">
        <v>8410</v>
      </c>
      <c r="DA2625">
        <v>37.090000000000003</v>
      </c>
      <c r="DB2625">
        <v>19.86</v>
      </c>
      <c r="DC2625">
        <v>15.82</v>
      </c>
      <c r="DD2625">
        <v>1.05</v>
      </c>
      <c r="DE2625">
        <v>5049</v>
      </c>
      <c r="DF2625">
        <v>600529</v>
      </c>
      <c r="DG2625" t="s">
        <v>116</v>
      </c>
      <c r="DH2625" t="s">
        <v>116</v>
      </c>
      <c r="DI2625" t="s">
        <v>116</v>
      </c>
    </row>
    <row r="2626" spans="1:113" x14ac:dyDescent="0.4">
      <c r="A2626" t="str">
        <f>"600530"</f>
        <v>600530</v>
      </c>
      <c r="B2626" t="s">
        <v>11932</v>
      </c>
      <c r="C2626">
        <v>-1.43</v>
      </c>
      <c r="D2626">
        <v>4.82</v>
      </c>
      <c r="E2626">
        <v>-7.0000000000000007E-2</v>
      </c>
      <c r="F2626">
        <v>4.8099999999999996</v>
      </c>
      <c r="G2626">
        <v>4.82</v>
      </c>
      <c r="H2626">
        <v>45525</v>
      </c>
      <c r="I2626">
        <v>605</v>
      </c>
      <c r="J2626">
        <v>0</v>
      </c>
      <c r="K2626">
        <v>0.57999999999999996</v>
      </c>
      <c r="L2626">
        <v>4.8899999999999997</v>
      </c>
      <c r="M2626">
        <v>4.92</v>
      </c>
      <c r="N2626">
        <v>4.8099999999999996</v>
      </c>
      <c r="O2626">
        <v>4.8899999999999997</v>
      </c>
      <c r="P2626">
        <v>30.32</v>
      </c>
      <c r="Q2626">
        <v>22196556</v>
      </c>
      <c r="R2626">
        <v>0.85</v>
      </c>
      <c r="S2626" t="s">
        <v>559</v>
      </c>
      <c r="T2626" t="s">
        <v>1653</v>
      </c>
      <c r="U2626">
        <v>2.25</v>
      </c>
      <c r="V2626">
        <v>4.88</v>
      </c>
      <c r="W2626">
        <v>30083</v>
      </c>
      <c r="X2626">
        <v>15442</v>
      </c>
      <c r="Y2626">
        <v>1.95</v>
      </c>
      <c r="Z2626">
        <v>1856</v>
      </c>
      <c r="AA2626">
        <v>1572</v>
      </c>
      <c r="AB2626" t="s">
        <v>116</v>
      </c>
      <c r="AC2626">
        <v>115400</v>
      </c>
      <c r="AD2626">
        <v>0.01</v>
      </c>
      <c r="AE2626" t="s">
        <v>116</v>
      </c>
      <c r="AF2626" t="s">
        <v>116</v>
      </c>
      <c r="AG2626">
        <v>7.8</v>
      </c>
      <c r="AH2626" t="s">
        <v>11933</v>
      </c>
      <c r="AI2626" t="s">
        <v>11933</v>
      </c>
      <c r="AJ2626">
        <v>-1.35</v>
      </c>
      <c r="AK2626">
        <v>959</v>
      </c>
      <c r="AL2626">
        <v>47</v>
      </c>
      <c r="AM2626">
        <v>5.9999999999999995E-4</v>
      </c>
      <c r="AN2626">
        <v>-1</v>
      </c>
      <c r="AO2626">
        <v>-2.4300000000000002</v>
      </c>
      <c r="AP2626">
        <v>3.88</v>
      </c>
      <c r="AQ2626">
        <v>-0.82</v>
      </c>
      <c r="AR2626">
        <v>9.0500000000000007</v>
      </c>
      <c r="AS2626">
        <v>1.24</v>
      </c>
      <c r="AT2626" t="s">
        <v>5040</v>
      </c>
      <c r="AU2626" t="s">
        <v>116</v>
      </c>
      <c r="AV2626" t="s">
        <v>116</v>
      </c>
      <c r="AW2626">
        <v>1.17</v>
      </c>
      <c r="BA2626">
        <v>0</v>
      </c>
      <c r="BB2626">
        <v>0.61</v>
      </c>
      <c r="BC2626">
        <v>-1.64</v>
      </c>
      <c r="BD2626">
        <v>-0.28999999999999998</v>
      </c>
      <c r="BE2626">
        <v>-1.43</v>
      </c>
      <c r="BF2626">
        <v>-2.0299999999999998</v>
      </c>
      <c r="BG2626">
        <v>0.21</v>
      </c>
      <c r="BH2626">
        <v>-1.1399999999999999</v>
      </c>
      <c r="BI2626">
        <v>20191029</v>
      </c>
      <c r="BJ2626">
        <v>20010702</v>
      </c>
      <c r="BK2626">
        <v>7.8</v>
      </c>
      <c r="BL2626" t="s">
        <v>116</v>
      </c>
      <c r="BM2626" t="s">
        <v>116</v>
      </c>
      <c r="BN2626">
        <v>17.350000000000001</v>
      </c>
      <c r="BO2626">
        <v>10.029999999999999</v>
      </c>
      <c r="BP2626">
        <v>0.41</v>
      </c>
      <c r="BQ2626">
        <v>39.82</v>
      </c>
      <c r="BR2626">
        <v>3.24</v>
      </c>
      <c r="BS2626">
        <v>1.48</v>
      </c>
      <c r="BT2626">
        <v>0.16</v>
      </c>
      <c r="BU2626">
        <v>4.21</v>
      </c>
      <c r="BV2626">
        <v>0.53</v>
      </c>
      <c r="BW2626">
        <v>0.8</v>
      </c>
      <c r="BX2626">
        <v>1.1399999999999999</v>
      </c>
      <c r="BY2626">
        <v>2.4700000000000002</v>
      </c>
      <c r="BZ2626">
        <v>1.1100000000000001</v>
      </c>
      <c r="CA2626">
        <v>1.23</v>
      </c>
      <c r="CB2626">
        <v>0.93</v>
      </c>
      <c r="CC2626">
        <v>1.28</v>
      </c>
      <c r="CD2626">
        <v>1.01</v>
      </c>
      <c r="CE2626">
        <v>0.93</v>
      </c>
      <c r="CF2626">
        <v>0.2</v>
      </c>
      <c r="CG2626">
        <v>-0.49</v>
      </c>
      <c r="CH2626">
        <v>0.56000000000000005</v>
      </c>
      <c r="CI2626">
        <v>-0.84</v>
      </c>
      <c r="CJ2626">
        <v>42015</v>
      </c>
      <c r="CK2626">
        <v>8723</v>
      </c>
      <c r="CL2626" t="s">
        <v>4433</v>
      </c>
      <c r="CM2626">
        <v>12.16</v>
      </c>
      <c r="CN2626">
        <v>27.25</v>
      </c>
      <c r="CO2626">
        <v>3.75</v>
      </c>
      <c r="CP2626">
        <v>66.98</v>
      </c>
      <c r="CQ2626">
        <v>15.24</v>
      </c>
      <c r="CR2626">
        <v>0</v>
      </c>
      <c r="CS2626" t="s">
        <v>5567</v>
      </c>
      <c r="CT2626">
        <v>1.29</v>
      </c>
      <c r="CU2626">
        <v>0</v>
      </c>
      <c r="CV2626">
        <v>0.15</v>
      </c>
      <c r="CW2626">
        <v>-0.06</v>
      </c>
      <c r="CX2626">
        <v>7.0000000000000007E-2</v>
      </c>
      <c r="CY2626">
        <v>57.82</v>
      </c>
      <c r="CZ2626" t="s">
        <v>3578</v>
      </c>
      <c r="DA2626">
        <v>54.98</v>
      </c>
      <c r="DB2626">
        <v>49.74</v>
      </c>
      <c r="DC2626">
        <v>37.700000000000003</v>
      </c>
      <c r="DD2626">
        <v>0.14000000000000001</v>
      </c>
      <c r="DE2626">
        <v>519</v>
      </c>
      <c r="DF2626">
        <v>600530</v>
      </c>
      <c r="DG2626" t="s">
        <v>116</v>
      </c>
      <c r="DH2626" t="s">
        <v>116</v>
      </c>
      <c r="DI2626" t="s">
        <v>116</v>
      </c>
    </row>
    <row r="2627" spans="1:113" x14ac:dyDescent="0.4">
      <c r="A2627" t="str">
        <f>"600531"</f>
        <v>600531</v>
      </c>
      <c r="B2627" t="s">
        <v>11934</v>
      </c>
      <c r="C2627">
        <v>1.0900000000000001</v>
      </c>
      <c r="D2627">
        <v>4.62</v>
      </c>
      <c r="E2627">
        <v>0.05</v>
      </c>
      <c r="F2627">
        <v>4.62</v>
      </c>
      <c r="G2627">
        <v>4.63</v>
      </c>
      <c r="H2627">
        <v>362956</v>
      </c>
      <c r="I2627">
        <v>2803</v>
      </c>
      <c r="J2627">
        <v>-0.21</v>
      </c>
      <c r="K2627">
        <v>3.33</v>
      </c>
      <c r="L2627">
        <v>4.57</v>
      </c>
      <c r="M2627">
        <v>4.76</v>
      </c>
      <c r="N2627">
        <v>4.5599999999999996</v>
      </c>
      <c r="O2627">
        <v>4.57</v>
      </c>
      <c r="P2627">
        <v>47.56</v>
      </c>
      <c r="Q2627">
        <v>169465472</v>
      </c>
      <c r="R2627">
        <v>2.33</v>
      </c>
      <c r="S2627" t="s">
        <v>441</v>
      </c>
      <c r="T2627" t="s">
        <v>652</v>
      </c>
      <c r="U2627">
        <v>4.38</v>
      </c>
      <c r="V2627">
        <v>4.67</v>
      </c>
      <c r="W2627">
        <v>141965</v>
      </c>
      <c r="X2627">
        <v>220993</v>
      </c>
      <c r="Y2627">
        <v>0.64</v>
      </c>
      <c r="Z2627">
        <v>2066</v>
      </c>
      <c r="AA2627">
        <v>998</v>
      </c>
      <c r="AB2627" t="s">
        <v>116</v>
      </c>
      <c r="AC2627">
        <v>627500</v>
      </c>
      <c r="AD2627">
        <v>0.02</v>
      </c>
      <c r="AE2627" t="s">
        <v>116</v>
      </c>
      <c r="AF2627" t="s">
        <v>116</v>
      </c>
      <c r="AG2627">
        <v>10.9</v>
      </c>
      <c r="AH2627" t="s">
        <v>11935</v>
      </c>
      <c r="AI2627" t="s">
        <v>11935</v>
      </c>
      <c r="AJ2627">
        <v>1.17</v>
      </c>
      <c r="AK2627">
        <v>3531</v>
      </c>
      <c r="AL2627">
        <v>103</v>
      </c>
      <c r="AM2627">
        <v>8.9999999999999998E-4</v>
      </c>
      <c r="AN2627">
        <v>4</v>
      </c>
      <c r="AO2627">
        <v>2.4300000000000002</v>
      </c>
      <c r="AP2627">
        <v>8.7100000000000009</v>
      </c>
      <c r="AQ2627">
        <v>-1.28</v>
      </c>
      <c r="AR2627">
        <v>33.840000000000003</v>
      </c>
      <c r="AS2627">
        <v>5.24</v>
      </c>
      <c r="AT2627" t="s">
        <v>6705</v>
      </c>
      <c r="AU2627">
        <v>28.03</v>
      </c>
      <c r="AV2627">
        <v>38.29</v>
      </c>
      <c r="AW2627">
        <v>1.05</v>
      </c>
      <c r="BA2627">
        <v>0</v>
      </c>
      <c r="BB2627">
        <v>4.16</v>
      </c>
      <c r="BC2627">
        <v>-0.22</v>
      </c>
      <c r="BD2627">
        <v>2.17</v>
      </c>
      <c r="BE2627">
        <v>1.0900000000000001</v>
      </c>
      <c r="BF2627">
        <v>-2.94</v>
      </c>
      <c r="BG2627">
        <v>1.32</v>
      </c>
      <c r="BH2627">
        <v>-1.07</v>
      </c>
      <c r="BI2627">
        <v>20191031</v>
      </c>
      <c r="BJ2627">
        <v>20020730</v>
      </c>
      <c r="BK2627">
        <v>10.9</v>
      </c>
      <c r="BL2627" t="s">
        <v>116</v>
      </c>
      <c r="BM2627" t="s">
        <v>116</v>
      </c>
      <c r="BN2627">
        <v>109.23</v>
      </c>
      <c r="BO2627">
        <v>33.18</v>
      </c>
      <c r="BP2627">
        <v>0.03</v>
      </c>
      <c r="BQ2627">
        <v>69.59</v>
      </c>
      <c r="BR2627">
        <v>79.02</v>
      </c>
      <c r="BS2627">
        <v>19.899999999999999</v>
      </c>
      <c r="BT2627">
        <v>2.96</v>
      </c>
      <c r="BU2627">
        <v>68.58</v>
      </c>
      <c r="BV2627">
        <v>51.77</v>
      </c>
      <c r="BW2627">
        <v>2.5</v>
      </c>
      <c r="BX2627">
        <v>14.43</v>
      </c>
      <c r="BY2627">
        <v>132.65</v>
      </c>
      <c r="BZ2627">
        <v>126.64</v>
      </c>
      <c r="CA2627">
        <v>1</v>
      </c>
      <c r="CB2627">
        <v>-0.52</v>
      </c>
      <c r="CC2627">
        <v>1.02</v>
      </c>
      <c r="CD2627">
        <v>0.79</v>
      </c>
      <c r="CE2627">
        <v>0.79</v>
      </c>
      <c r="CF2627">
        <v>0.49</v>
      </c>
      <c r="CG2627">
        <v>6.55</v>
      </c>
      <c r="CH2627">
        <v>9.64</v>
      </c>
      <c r="CI2627">
        <v>-0.47</v>
      </c>
      <c r="CJ2627">
        <v>95753</v>
      </c>
      <c r="CK2627">
        <v>7230</v>
      </c>
      <c r="CL2627" t="s">
        <v>1649</v>
      </c>
      <c r="CM2627">
        <v>153.82</v>
      </c>
      <c r="CN2627">
        <v>-2.9</v>
      </c>
      <c r="CO2627">
        <v>1.52</v>
      </c>
      <c r="CP2627">
        <v>5.22</v>
      </c>
      <c r="CQ2627">
        <v>0.38</v>
      </c>
      <c r="CR2627">
        <v>0.82</v>
      </c>
      <c r="CS2627" t="s">
        <v>1012</v>
      </c>
      <c r="CT2627">
        <v>3.04</v>
      </c>
      <c r="CU2627">
        <v>0</v>
      </c>
      <c r="CV2627">
        <v>1.32</v>
      </c>
      <c r="CW2627">
        <v>0.6</v>
      </c>
      <c r="CX2627">
        <v>0.88</v>
      </c>
      <c r="CY2627">
        <v>30.38</v>
      </c>
      <c r="CZ2627" t="s">
        <v>1543</v>
      </c>
      <c r="DA2627">
        <v>4.53</v>
      </c>
      <c r="DB2627">
        <v>0.75</v>
      </c>
      <c r="DC2627">
        <v>0.6</v>
      </c>
      <c r="DD2627">
        <v>0.17</v>
      </c>
      <c r="DE2627">
        <v>3677</v>
      </c>
      <c r="DF2627">
        <v>600531</v>
      </c>
      <c r="DG2627" t="s">
        <v>116</v>
      </c>
      <c r="DH2627" t="s">
        <v>116</v>
      </c>
      <c r="DI2627" t="s">
        <v>116</v>
      </c>
    </row>
    <row r="2628" spans="1:113" x14ac:dyDescent="0.4">
      <c r="A2628" t="str">
        <f>"600532"</f>
        <v>600532</v>
      </c>
      <c r="B2628" t="s">
        <v>11936</v>
      </c>
      <c r="C2628">
        <v>1.37</v>
      </c>
      <c r="D2628">
        <v>3.69</v>
      </c>
      <c r="E2628">
        <v>0.05</v>
      </c>
      <c r="F2628">
        <v>3.69</v>
      </c>
      <c r="G2628">
        <v>3.7</v>
      </c>
      <c r="H2628">
        <v>145977</v>
      </c>
      <c r="I2628">
        <v>1264</v>
      </c>
      <c r="J2628">
        <v>-0.26</v>
      </c>
      <c r="K2628">
        <v>2.83</v>
      </c>
      <c r="L2628">
        <v>3.64</v>
      </c>
      <c r="M2628">
        <v>3.77</v>
      </c>
      <c r="N2628">
        <v>3.63</v>
      </c>
      <c r="O2628">
        <v>3.64</v>
      </c>
      <c r="P2628" t="s">
        <v>116</v>
      </c>
      <c r="Q2628">
        <v>54331584</v>
      </c>
      <c r="R2628">
        <v>1.49</v>
      </c>
      <c r="S2628" t="s">
        <v>1587</v>
      </c>
      <c r="T2628" t="s">
        <v>1653</v>
      </c>
      <c r="U2628">
        <v>3.85</v>
      </c>
      <c r="V2628">
        <v>3.72</v>
      </c>
      <c r="W2628">
        <v>64141</v>
      </c>
      <c r="X2628">
        <v>81836</v>
      </c>
      <c r="Y2628">
        <v>0.78</v>
      </c>
      <c r="Z2628">
        <v>1636</v>
      </c>
      <c r="AA2628">
        <v>1180</v>
      </c>
      <c r="AB2628" t="s">
        <v>116</v>
      </c>
      <c r="AC2628">
        <v>136100</v>
      </c>
      <c r="AD2628">
        <v>0.01</v>
      </c>
      <c r="AE2628" t="s">
        <v>116</v>
      </c>
      <c r="AF2628" t="s">
        <v>116</v>
      </c>
      <c r="AG2628">
        <v>5.16</v>
      </c>
      <c r="AH2628" t="s">
        <v>10725</v>
      </c>
      <c r="AI2628" t="s">
        <v>10725</v>
      </c>
      <c r="AJ2628">
        <v>1.45</v>
      </c>
      <c r="AK2628">
        <v>2261</v>
      </c>
      <c r="AL2628">
        <v>65</v>
      </c>
      <c r="AM2628">
        <v>1.2999999999999999E-3</v>
      </c>
      <c r="AN2628">
        <v>2</v>
      </c>
      <c r="AO2628">
        <v>0.27</v>
      </c>
      <c r="AP2628">
        <v>-7.75</v>
      </c>
      <c r="AQ2628">
        <v>-6.35</v>
      </c>
      <c r="AR2628">
        <v>-6.35</v>
      </c>
      <c r="AS2628">
        <v>4.18</v>
      </c>
      <c r="AT2628" t="s">
        <v>6911</v>
      </c>
      <c r="AU2628" t="s">
        <v>116</v>
      </c>
      <c r="AV2628">
        <v>170.38</v>
      </c>
      <c r="AW2628">
        <v>1.84</v>
      </c>
      <c r="BA2628">
        <v>0</v>
      </c>
      <c r="BB2628">
        <v>3.57</v>
      </c>
      <c r="BC2628">
        <v>-0.27</v>
      </c>
      <c r="BD2628">
        <v>2.25</v>
      </c>
      <c r="BE2628">
        <v>1.37</v>
      </c>
      <c r="BF2628">
        <v>-2.12</v>
      </c>
      <c r="BG2628">
        <v>1.65</v>
      </c>
      <c r="BH2628">
        <v>-0.88</v>
      </c>
      <c r="BI2628">
        <v>20191031</v>
      </c>
      <c r="BJ2628">
        <v>20021031</v>
      </c>
      <c r="BK2628">
        <v>5.16</v>
      </c>
      <c r="BL2628" t="s">
        <v>116</v>
      </c>
      <c r="BM2628" t="s">
        <v>116</v>
      </c>
      <c r="BN2628">
        <v>33.22</v>
      </c>
      <c r="BO2628">
        <v>16.8</v>
      </c>
      <c r="BP2628">
        <v>0</v>
      </c>
      <c r="BQ2628">
        <v>49.44</v>
      </c>
      <c r="BR2628">
        <v>27.16</v>
      </c>
      <c r="BS2628">
        <v>0.03</v>
      </c>
      <c r="BT2628">
        <v>0</v>
      </c>
      <c r="BU2628">
        <v>13.66</v>
      </c>
      <c r="BV2628">
        <v>2.65</v>
      </c>
      <c r="BW2628">
        <v>2.15</v>
      </c>
      <c r="BX2628">
        <v>10.48</v>
      </c>
      <c r="BY2628">
        <v>40.6</v>
      </c>
      <c r="BZ2628">
        <v>39.24</v>
      </c>
      <c r="CA2628">
        <v>1.28</v>
      </c>
      <c r="CB2628">
        <v>0.87</v>
      </c>
      <c r="CC2628">
        <v>-1.48</v>
      </c>
      <c r="CD2628">
        <v>-1.55</v>
      </c>
      <c r="CE2628">
        <v>-1.55</v>
      </c>
      <c r="CF2628">
        <v>1.2</v>
      </c>
      <c r="CG2628">
        <v>0.98</v>
      </c>
      <c r="CH2628">
        <v>0.93</v>
      </c>
      <c r="CI2628">
        <v>6.08</v>
      </c>
      <c r="CJ2628">
        <v>30835</v>
      </c>
      <c r="CK2628">
        <v>11333</v>
      </c>
      <c r="CL2628" t="s">
        <v>563</v>
      </c>
      <c r="CM2628">
        <v>-232.79</v>
      </c>
      <c r="CN2628">
        <v>205.86</v>
      </c>
      <c r="CO2628">
        <v>1.1299999999999999</v>
      </c>
      <c r="CP2628">
        <v>20.38</v>
      </c>
      <c r="CQ2628">
        <v>0.47</v>
      </c>
      <c r="CR2628">
        <v>0</v>
      </c>
      <c r="CS2628" t="s">
        <v>11937</v>
      </c>
      <c r="CT2628">
        <v>3.25</v>
      </c>
      <c r="CU2628">
        <v>0</v>
      </c>
      <c r="CV2628">
        <v>2.0299999999999998</v>
      </c>
      <c r="CW2628">
        <v>0.19</v>
      </c>
      <c r="CX2628">
        <v>0.18</v>
      </c>
      <c r="CY2628">
        <v>50.56</v>
      </c>
      <c r="CZ2628" t="s">
        <v>10027</v>
      </c>
      <c r="DA2628">
        <v>3.34</v>
      </c>
      <c r="DB2628">
        <v>3.16</v>
      </c>
      <c r="DC2628">
        <v>-3.83</v>
      </c>
      <c r="DD2628">
        <v>0</v>
      </c>
      <c r="DE2628">
        <v>769</v>
      </c>
      <c r="DF2628">
        <v>600532</v>
      </c>
      <c r="DG2628" t="s">
        <v>116</v>
      </c>
      <c r="DH2628" t="s">
        <v>116</v>
      </c>
      <c r="DI2628" t="s">
        <v>116</v>
      </c>
    </row>
    <row r="2629" spans="1:113" x14ac:dyDescent="0.4">
      <c r="A2629" t="str">
        <f>"600533"</f>
        <v>600533</v>
      </c>
      <c r="B2629" t="s">
        <v>11938</v>
      </c>
      <c r="C2629">
        <v>-0.9</v>
      </c>
      <c r="D2629">
        <v>3.29</v>
      </c>
      <c r="E2629">
        <v>-0.03</v>
      </c>
      <c r="F2629">
        <v>3.28</v>
      </c>
      <c r="G2629">
        <v>3.29</v>
      </c>
      <c r="H2629">
        <v>123221</v>
      </c>
      <c r="I2629">
        <v>819</v>
      </c>
      <c r="J2629">
        <v>0.3</v>
      </c>
      <c r="K2629">
        <v>1.17</v>
      </c>
      <c r="L2629">
        <v>3.32</v>
      </c>
      <c r="M2629">
        <v>3.33</v>
      </c>
      <c r="N2629">
        <v>3.28</v>
      </c>
      <c r="O2629">
        <v>3.32</v>
      </c>
      <c r="P2629">
        <v>5.25</v>
      </c>
      <c r="Q2629">
        <v>40684816</v>
      </c>
      <c r="R2629">
        <v>0.97</v>
      </c>
      <c r="S2629" t="s">
        <v>148</v>
      </c>
      <c r="T2629" t="s">
        <v>323</v>
      </c>
      <c r="U2629">
        <v>1.51</v>
      </c>
      <c r="V2629">
        <v>3.3</v>
      </c>
      <c r="W2629">
        <v>70592</v>
      </c>
      <c r="X2629">
        <v>52629</v>
      </c>
      <c r="Y2629">
        <v>1.34</v>
      </c>
      <c r="Z2629">
        <v>3496</v>
      </c>
      <c r="AA2629">
        <v>1325</v>
      </c>
      <c r="AB2629" t="s">
        <v>116</v>
      </c>
      <c r="AC2629">
        <v>420600</v>
      </c>
      <c r="AD2629">
        <v>0.02</v>
      </c>
      <c r="AE2629" t="s">
        <v>116</v>
      </c>
      <c r="AF2629" t="s">
        <v>116</v>
      </c>
      <c r="AG2629">
        <v>10.5</v>
      </c>
      <c r="AH2629" t="s">
        <v>5294</v>
      </c>
      <c r="AI2629" t="s">
        <v>5294</v>
      </c>
      <c r="AJ2629">
        <v>-0.83</v>
      </c>
      <c r="AK2629">
        <v>1424</v>
      </c>
      <c r="AL2629">
        <v>87</v>
      </c>
      <c r="AM2629">
        <v>8.0000000000000004E-4</v>
      </c>
      <c r="AN2629">
        <v>-1</v>
      </c>
      <c r="AO2629">
        <v>1.55</v>
      </c>
      <c r="AP2629">
        <v>5.1100000000000003</v>
      </c>
      <c r="AQ2629">
        <v>-0.9</v>
      </c>
      <c r="AR2629">
        <v>15.85</v>
      </c>
      <c r="AS2629">
        <v>2.21</v>
      </c>
      <c r="AT2629" t="s">
        <v>562</v>
      </c>
      <c r="AU2629">
        <v>5.76</v>
      </c>
      <c r="AV2629">
        <v>15.87</v>
      </c>
      <c r="AW2629">
        <v>1.56</v>
      </c>
      <c r="BA2629">
        <v>0</v>
      </c>
      <c r="BB2629">
        <v>0.3</v>
      </c>
      <c r="BC2629">
        <v>-1.2</v>
      </c>
      <c r="BD2629">
        <v>-0.55000000000000004</v>
      </c>
      <c r="BE2629">
        <v>-0.9</v>
      </c>
      <c r="BF2629">
        <v>-1.2</v>
      </c>
      <c r="BG2629">
        <v>0.3</v>
      </c>
      <c r="BH2629">
        <v>-0.35</v>
      </c>
      <c r="BI2629">
        <v>20191030</v>
      </c>
      <c r="BJ2629">
        <v>20020328</v>
      </c>
      <c r="BK2629">
        <v>10.5</v>
      </c>
      <c r="BL2629" t="s">
        <v>116</v>
      </c>
      <c r="BM2629" t="s">
        <v>116</v>
      </c>
      <c r="BN2629">
        <v>213.71</v>
      </c>
      <c r="BO2629">
        <v>40.380000000000003</v>
      </c>
      <c r="BP2629">
        <v>0.91</v>
      </c>
      <c r="BQ2629">
        <v>80.680000000000007</v>
      </c>
      <c r="BR2629">
        <v>184</v>
      </c>
      <c r="BS2629">
        <v>0.28000000000000003</v>
      </c>
      <c r="BT2629">
        <v>0.02</v>
      </c>
      <c r="BU2629">
        <v>103.52</v>
      </c>
      <c r="BV2629">
        <v>137.81</v>
      </c>
      <c r="BW2629">
        <v>0.16</v>
      </c>
      <c r="BX2629">
        <v>10.49</v>
      </c>
      <c r="BY2629">
        <v>16.82</v>
      </c>
      <c r="BZ2629">
        <v>8.85</v>
      </c>
      <c r="CA2629">
        <v>5.43</v>
      </c>
      <c r="CB2629">
        <v>1.25</v>
      </c>
      <c r="CC2629">
        <v>6.15</v>
      </c>
      <c r="CD2629">
        <v>4.96</v>
      </c>
      <c r="CE2629">
        <v>4.9400000000000004</v>
      </c>
      <c r="CF2629">
        <v>2.77</v>
      </c>
      <c r="CG2629">
        <v>14.76</v>
      </c>
      <c r="CH2629">
        <v>-11.51</v>
      </c>
      <c r="CI2629">
        <v>12.34</v>
      </c>
      <c r="CJ2629">
        <v>55573</v>
      </c>
      <c r="CK2629">
        <v>10023</v>
      </c>
      <c r="CL2629" t="s">
        <v>5399</v>
      </c>
      <c r="CM2629">
        <v>340.4</v>
      </c>
      <c r="CN2629">
        <v>30.43</v>
      </c>
      <c r="CO2629">
        <v>0.86</v>
      </c>
      <c r="CP2629">
        <v>-3</v>
      </c>
      <c r="CQ2629">
        <v>2.0499999999999998</v>
      </c>
      <c r="CR2629">
        <v>3.04</v>
      </c>
      <c r="CS2629" t="s">
        <v>7005</v>
      </c>
      <c r="CT2629">
        <v>3.85</v>
      </c>
      <c r="CU2629">
        <v>0</v>
      </c>
      <c r="CV2629">
        <v>1</v>
      </c>
      <c r="CW2629">
        <v>1.41</v>
      </c>
      <c r="CX2629">
        <v>-1.1000000000000001</v>
      </c>
      <c r="CY2629">
        <v>18.89</v>
      </c>
      <c r="CZ2629" t="s">
        <v>11939</v>
      </c>
      <c r="DA2629">
        <v>47.37</v>
      </c>
      <c r="DB2629">
        <v>32.26</v>
      </c>
      <c r="DC2629">
        <v>29.35</v>
      </c>
      <c r="DD2629">
        <v>0</v>
      </c>
      <c r="DE2629">
        <v>1587</v>
      </c>
      <c r="DF2629">
        <v>600533</v>
      </c>
      <c r="DG2629" t="s">
        <v>116</v>
      </c>
      <c r="DH2629" t="s">
        <v>116</v>
      </c>
      <c r="DI2629" t="s">
        <v>116</v>
      </c>
    </row>
    <row r="2630" spans="1:113" x14ac:dyDescent="0.4">
      <c r="A2630" t="str">
        <f>"600535"</f>
        <v>600535</v>
      </c>
      <c r="B2630" t="s">
        <v>11940</v>
      </c>
      <c r="C2630">
        <v>-0.26</v>
      </c>
      <c r="D2630">
        <v>15.12</v>
      </c>
      <c r="E2630">
        <v>-0.04</v>
      </c>
      <c r="F2630">
        <v>15.11</v>
      </c>
      <c r="G2630">
        <v>15.12</v>
      </c>
      <c r="H2630">
        <v>125127</v>
      </c>
      <c r="I2630">
        <v>831</v>
      </c>
      <c r="J2630">
        <v>7.0000000000000007E-2</v>
      </c>
      <c r="K2630">
        <v>0.83</v>
      </c>
      <c r="L2630">
        <v>15.3</v>
      </c>
      <c r="M2630">
        <v>15.3</v>
      </c>
      <c r="N2630">
        <v>15.1</v>
      </c>
      <c r="O2630">
        <v>15.16</v>
      </c>
      <c r="P2630">
        <v>15.15</v>
      </c>
      <c r="Q2630">
        <v>189982624</v>
      </c>
      <c r="R2630">
        <v>1.04</v>
      </c>
      <c r="S2630" t="s">
        <v>781</v>
      </c>
      <c r="T2630" t="s">
        <v>1035</v>
      </c>
      <c r="U2630">
        <v>1.32</v>
      </c>
      <c r="V2630">
        <v>15.18</v>
      </c>
      <c r="W2630">
        <v>69689</v>
      </c>
      <c r="X2630">
        <v>55438</v>
      </c>
      <c r="Y2630">
        <v>1.26</v>
      </c>
      <c r="Z2630">
        <v>261</v>
      </c>
      <c r="AA2630">
        <v>526</v>
      </c>
      <c r="AB2630" t="s">
        <v>116</v>
      </c>
      <c r="AC2630">
        <v>2114500</v>
      </c>
      <c r="AD2630">
        <v>0.02</v>
      </c>
      <c r="AE2630" t="s">
        <v>116</v>
      </c>
      <c r="AF2630" t="s">
        <v>116</v>
      </c>
      <c r="AG2630">
        <v>15.13</v>
      </c>
      <c r="AH2630" t="s">
        <v>11941</v>
      </c>
      <c r="AI2630" t="s">
        <v>11941</v>
      </c>
      <c r="AJ2630">
        <v>-0.19</v>
      </c>
      <c r="AK2630">
        <v>2697</v>
      </c>
      <c r="AL2630">
        <v>46</v>
      </c>
      <c r="AM2630">
        <v>2.9999999999999997E-4</v>
      </c>
      <c r="AN2630">
        <v>-1</v>
      </c>
      <c r="AO2630">
        <v>-0.26</v>
      </c>
      <c r="AP2630">
        <v>-0.92</v>
      </c>
      <c r="AQ2630">
        <v>-2.83</v>
      </c>
      <c r="AR2630">
        <v>-20</v>
      </c>
      <c r="AS2630">
        <v>1.51</v>
      </c>
      <c r="AT2630" t="s">
        <v>11942</v>
      </c>
      <c r="AU2630">
        <v>17.48</v>
      </c>
      <c r="AV2630">
        <v>14.8</v>
      </c>
      <c r="AW2630">
        <v>0.97</v>
      </c>
      <c r="BA2630">
        <v>0.92</v>
      </c>
      <c r="BB2630">
        <v>0.92</v>
      </c>
      <c r="BC2630">
        <v>-0.4</v>
      </c>
      <c r="BD2630">
        <v>0.15</v>
      </c>
      <c r="BE2630">
        <v>-1.18</v>
      </c>
      <c r="BF2630">
        <v>-1.18</v>
      </c>
      <c r="BG2630">
        <v>0.13</v>
      </c>
      <c r="BH2630">
        <v>-0.42</v>
      </c>
      <c r="BI2630">
        <v>20191029</v>
      </c>
      <c r="BJ2630">
        <v>20020823</v>
      </c>
      <c r="BK2630">
        <v>15.13</v>
      </c>
      <c r="BL2630" t="s">
        <v>116</v>
      </c>
      <c r="BM2630" t="s">
        <v>116</v>
      </c>
      <c r="BN2630">
        <v>244.1</v>
      </c>
      <c r="BO2630">
        <v>111.21</v>
      </c>
      <c r="BP2630">
        <v>7.44</v>
      </c>
      <c r="BQ2630">
        <v>51.39</v>
      </c>
      <c r="BR2630">
        <v>170.28</v>
      </c>
      <c r="BS2630">
        <v>33.33</v>
      </c>
      <c r="BT2630">
        <v>3.96</v>
      </c>
      <c r="BU2630">
        <v>78.87</v>
      </c>
      <c r="BV2630">
        <v>25.23</v>
      </c>
      <c r="BW2630">
        <v>91.61</v>
      </c>
      <c r="BX2630">
        <v>19.3</v>
      </c>
      <c r="BY2630">
        <v>140.91999999999999</v>
      </c>
      <c r="BZ2630">
        <v>96.7</v>
      </c>
      <c r="CA2630">
        <v>14.07</v>
      </c>
      <c r="CB2630">
        <v>0.3</v>
      </c>
      <c r="CC2630">
        <v>14.03</v>
      </c>
      <c r="CD2630">
        <v>11.47</v>
      </c>
      <c r="CE2630">
        <v>11.32</v>
      </c>
      <c r="CF2630">
        <v>10.7</v>
      </c>
      <c r="CG2630">
        <v>68.349999999999994</v>
      </c>
      <c r="CH2630">
        <v>12.62</v>
      </c>
      <c r="CI2630">
        <v>-11.48</v>
      </c>
      <c r="CJ2630">
        <v>78654</v>
      </c>
      <c r="CK2630">
        <v>10542</v>
      </c>
      <c r="CL2630" t="s">
        <v>11744</v>
      </c>
      <c r="CM2630">
        <v>-17.309999999999999</v>
      </c>
      <c r="CN2630">
        <v>8.1999999999999993</v>
      </c>
      <c r="CO2630">
        <v>2.06</v>
      </c>
      <c r="CP2630">
        <v>18.12</v>
      </c>
      <c r="CQ2630">
        <v>1.62</v>
      </c>
      <c r="CR2630">
        <v>1.98</v>
      </c>
      <c r="CS2630" t="s">
        <v>3257</v>
      </c>
      <c r="CT2630">
        <v>7.35</v>
      </c>
      <c r="CU2630">
        <v>0</v>
      </c>
      <c r="CV2630">
        <v>1.28</v>
      </c>
      <c r="CW2630">
        <v>4.5199999999999996</v>
      </c>
      <c r="CX2630">
        <v>0.83</v>
      </c>
      <c r="CY2630">
        <v>45.56</v>
      </c>
      <c r="CZ2630" t="s">
        <v>11943</v>
      </c>
      <c r="DA2630">
        <v>31.38</v>
      </c>
      <c r="DB2630">
        <v>9.98</v>
      </c>
      <c r="DC2630">
        <v>8.0299999999999994</v>
      </c>
      <c r="DD2630">
        <v>3.82</v>
      </c>
      <c r="DE2630">
        <v>9274</v>
      </c>
      <c r="DF2630">
        <v>600535</v>
      </c>
      <c r="DG2630" t="s">
        <v>116</v>
      </c>
      <c r="DH2630" t="s">
        <v>116</v>
      </c>
      <c r="DI2630" t="s">
        <v>116</v>
      </c>
    </row>
    <row r="2631" spans="1:113" x14ac:dyDescent="0.4">
      <c r="A2631" t="str">
        <f>"600536"</f>
        <v>600536</v>
      </c>
      <c r="B2631" t="s">
        <v>11944</v>
      </c>
      <c r="C2631">
        <v>-2.63</v>
      </c>
      <c r="D2631">
        <v>71.099999999999994</v>
      </c>
      <c r="E2631">
        <v>-1.92</v>
      </c>
      <c r="F2631">
        <v>71.099999999999994</v>
      </c>
      <c r="G2631">
        <v>71.11</v>
      </c>
      <c r="H2631">
        <v>124277</v>
      </c>
      <c r="I2631">
        <v>2200</v>
      </c>
      <c r="J2631">
        <v>-0.16</v>
      </c>
      <c r="K2631">
        <v>2.5099999999999998</v>
      </c>
      <c r="L2631">
        <v>73.010000000000005</v>
      </c>
      <c r="M2631">
        <v>73.290000000000006</v>
      </c>
      <c r="N2631">
        <v>70.92</v>
      </c>
      <c r="O2631">
        <v>73.02</v>
      </c>
      <c r="P2631" t="s">
        <v>116</v>
      </c>
      <c r="Q2631">
        <v>896445952</v>
      </c>
      <c r="R2631">
        <v>0.75</v>
      </c>
      <c r="S2631" t="s">
        <v>607</v>
      </c>
      <c r="T2631" t="s">
        <v>165</v>
      </c>
      <c r="U2631">
        <v>3.25</v>
      </c>
      <c r="V2631">
        <v>72.13</v>
      </c>
      <c r="W2631">
        <v>70279</v>
      </c>
      <c r="X2631">
        <v>53998</v>
      </c>
      <c r="Y2631">
        <v>1.3</v>
      </c>
      <c r="Z2631">
        <v>239</v>
      </c>
      <c r="AA2631">
        <v>45</v>
      </c>
      <c r="AB2631" t="s">
        <v>116</v>
      </c>
      <c r="AC2631">
        <v>2380100</v>
      </c>
      <c r="AD2631">
        <v>0.01</v>
      </c>
      <c r="AE2631" t="s">
        <v>116</v>
      </c>
      <c r="AF2631" t="s">
        <v>116</v>
      </c>
      <c r="AG2631">
        <v>4.95</v>
      </c>
      <c r="AH2631" t="s">
        <v>11945</v>
      </c>
      <c r="AI2631" t="s">
        <v>11945</v>
      </c>
      <c r="AJ2631">
        <v>-2.5499999999999998</v>
      </c>
      <c r="AK2631">
        <v>4304</v>
      </c>
      <c r="AL2631">
        <v>29</v>
      </c>
      <c r="AM2631">
        <v>5.9999999999999995E-4</v>
      </c>
      <c r="AN2631">
        <v>-2</v>
      </c>
      <c r="AO2631">
        <v>-2.34</v>
      </c>
      <c r="AP2631">
        <v>4.9000000000000004</v>
      </c>
      <c r="AQ2631">
        <v>-2.23</v>
      </c>
      <c r="AR2631">
        <v>240.84</v>
      </c>
      <c r="AS2631">
        <v>4.34</v>
      </c>
      <c r="AT2631" t="s">
        <v>11946</v>
      </c>
      <c r="AU2631">
        <v>342.08</v>
      </c>
      <c r="AV2631">
        <v>317.33</v>
      </c>
      <c r="AW2631">
        <v>1.32</v>
      </c>
      <c r="BA2631">
        <v>-0.01</v>
      </c>
      <c r="BB2631">
        <v>0.37</v>
      </c>
      <c r="BC2631">
        <v>-2.88</v>
      </c>
      <c r="BD2631">
        <v>-1.21</v>
      </c>
      <c r="BE2631">
        <v>-2.62</v>
      </c>
      <c r="BF2631">
        <v>-2.99</v>
      </c>
      <c r="BG2631">
        <v>0.25</v>
      </c>
      <c r="BH2631">
        <v>-1.41</v>
      </c>
      <c r="BI2631">
        <v>20191030</v>
      </c>
      <c r="BJ2631">
        <v>20020517</v>
      </c>
      <c r="BK2631">
        <v>4.95</v>
      </c>
      <c r="BL2631" t="s">
        <v>116</v>
      </c>
      <c r="BM2631" t="s">
        <v>116</v>
      </c>
      <c r="BN2631">
        <v>55</v>
      </c>
      <c r="BO2631">
        <v>19.260000000000002</v>
      </c>
      <c r="BP2631">
        <v>3.55</v>
      </c>
      <c r="BQ2631">
        <v>58.53</v>
      </c>
      <c r="BR2631">
        <v>43.09</v>
      </c>
      <c r="BS2631">
        <v>4.8099999999999996</v>
      </c>
      <c r="BT2631">
        <v>1.94</v>
      </c>
      <c r="BU2631">
        <v>26.97</v>
      </c>
      <c r="BV2631">
        <v>12.87</v>
      </c>
      <c r="BW2631">
        <v>14.46</v>
      </c>
      <c r="BX2631">
        <v>9.76</v>
      </c>
      <c r="BY2631">
        <v>31.46</v>
      </c>
      <c r="BZ2631">
        <v>20.99</v>
      </c>
      <c r="CA2631">
        <v>-2.98</v>
      </c>
      <c r="CB2631">
        <v>-0.24</v>
      </c>
      <c r="CC2631">
        <v>-2.8</v>
      </c>
      <c r="CD2631">
        <v>-2.79</v>
      </c>
      <c r="CE2631">
        <v>-2.4500000000000002</v>
      </c>
      <c r="CF2631">
        <v>-2.5299999999999998</v>
      </c>
      <c r="CG2631">
        <v>4.2300000000000004</v>
      </c>
      <c r="CH2631">
        <v>-5.8</v>
      </c>
      <c r="CI2631">
        <v>-5.59</v>
      </c>
      <c r="CJ2631">
        <v>79728</v>
      </c>
      <c r="CK2631">
        <v>3590</v>
      </c>
      <c r="CL2631" t="s">
        <v>6221</v>
      </c>
      <c r="CM2631">
        <v>-3.38</v>
      </c>
      <c r="CN2631">
        <v>23.81</v>
      </c>
      <c r="CO2631">
        <v>18.260000000000002</v>
      </c>
      <c r="CP2631">
        <v>-60.65</v>
      </c>
      <c r="CQ2631">
        <v>11.18</v>
      </c>
      <c r="CR2631">
        <v>0.1</v>
      </c>
      <c r="CS2631" t="s">
        <v>11947</v>
      </c>
      <c r="CT2631">
        <v>3.89</v>
      </c>
      <c r="CU2631">
        <v>0</v>
      </c>
      <c r="CV2631">
        <v>1.97</v>
      </c>
      <c r="CW2631">
        <v>0.86</v>
      </c>
      <c r="CX2631">
        <v>-1.17</v>
      </c>
      <c r="CY2631">
        <v>35.01</v>
      </c>
      <c r="CZ2631" t="s">
        <v>11948</v>
      </c>
      <c r="DA2631">
        <v>33.28</v>
      </c>
      <c r="DB2631">
        <v>-9.49</v>
      </c>
      <c r="DC2631">
        <v>-7.8</v>
      </c>
      <c r="DD2631">
        <v>8.59</v>
      </c>
      <c r="DE2631">
        <v>6669</v>
      </c>
      <c r="DF2631">
        <v>600536</v>
      </c>
      <c r="DG2631" t="s">
        <v>116</v>
      </c>
      <c r="DH2631" t="s">
        <v>116</v>
      </c>
      <c r="DI2631" t="s">
        <v>116</v>
      </c>
    </row>
    <row r="2632" spans="1:113" x14ac:dyDescent="0.4">
      <c r="A2632" t="str">
        <f>"600537"</f>
        <v>600537</v>
      </c>
      <c r="B2632" t="s">
        <v>11949</v>
      </c>
      <c r="C2632">
        <v>-0.63</v>
      </c>
      <c r="D2632">
        <v>3.13</v>
      </c>
      <c r="E2632">
        <v>-0.02</v>
      </c>
      <c r="F2632">
        <v>3.12</v>
      </c>
      <c r="G2632">
        <v>3.13</v>
      </c>
      <c r="H2632">
        <v>37889</v>
      </c>
      <c r="I2632">
        <v>153</v>
      </c>
      <c r="J2632">
        <v>0.32</v>
      </c>
      <c r="K2632">
        <v>0.32</v>
      </c>
      <c r="L2632">
        <v>3.15</v>
      </c>
      <c r="M2632">
        <v>3.17</v>
      </c>
      <c r="N2632">
        <v>3.11</v>
      </c>
      <c r="O2632">
        <v>3.15</v>
      </c>
      <c r="P2632" t="s">
        <v>116</v>
      </c>
      <c r="Q2632">
        <v>11931844</v>
      </c>
      <c r="R2632">
        <v>0.77</v>
      </c>
      <c r="S2632" t="s">
        <v>3507</v>
      </c>
      <c r="T2632" t="s">
        <v>590</v>
      </c>
      <c r="U2632">
        <v>1.9</v>
      </c>
      <c r="V2632">
        <v>3.15</v>
      </c>
      <c r="W2632">
        <v>26051</v>
      </c>
      <c r="X2632">
        <v>11838</v>
      </c>
      <c r="Y2632">
        <v>2.2000000000000002</v>
      </c>
      <c r="Z2632">
        <v>202</v>
      </c>
      <c r="AA2632">
        <v>1332</v>
      </c>
      <c r="AB2632" t="s">
        <v>116</v>
      </c>
      <c r="AC2632">
        <v>19200</v>
      </c>
      <c r="AD2632">
        <v>0</v>
      </c>
      <c r="AE2632" t="s">
        <v>116</v>
      </c>
      <c r="AF2632" t="s">
        <v>116</v>
      </c>
      <c r="AG2632">
        <v>11.76</v>
      </c>
      <c r="AH2632" t="s">
        <v>11950</v>
      </c>
      <c r="AI2632" t="s">
        <v>11950</v>
      </c>
      <c r="AJ2632">
        <v>-0.56000000000000005</v>
      </c>
      <c r="AK2632">
        <v>610</v>
      </c>
      <c r="AL2632">
        <v>62</v>
      </c>
      <c r="AM2632">
        <v>5.0000000000000001E-4</v>
      </c>
      <c r="AN2632">
        <v>-1</v>
      </c>
      <c r="AO2632">
        <v>0.65</v>
      </c>
      <c r="AP2632">
        <v>7.93</v>
      </c>
      <c r="AQ2632">
        <v>-1.26</v>
      </c>
      <c r="AR2632">
        <v>11.39</v>
      </c>
      <c r="AS2632">
        <v>0.48</v>
      </c>
      <c r="AT2632" t="s">
        <v>11951</v>
      </c>
      <c r="AU2632" t="s">
        <v>116</v>
      </c>
      <c r="AV2632">
        <v>53.67</v>
      </c>
      <c r="AW2632">
        <v>1.05</v>
      </c>
      <c r="BA2632">
        <v>0</v>
      </c>
      <c r="BB2632">
        <v>0.63</v>
      </c>
      <c r="BC2632">
        <v>-1.27</v>
      </c>
      <c r="BD2632">
        <v>-0.03</v>
      </c>
      <c r="BE2632">
        <v>-0.63</v>
      </c>
      <c r="BF2632">
        <v>-1.26</v>
      </c>
      <c r="BG2632">
        <v>0.64</v>
      </c>
      <c r="BH2632">
        <v>-0.61</v>
      </c>
      <c r="BI2632">
        <v>20191029</v>
      </c>
      <c r="BJ2632">
        <v>20030123</v>
      </c>
      <c r="BK2632">
        <v>11.76</v>
      </c>
      <c r="BL2632" t="s">
        <v>116</v>
      </c>
      <c r="BM2632" t="s">
        <v>116</v>
      </c>
      <c r="BN2632">
        <v>62.55</v>
      </c>
      <c r="BO2632">
        <v>35.869999999999997</v>
      </c>
      <c r="BP2632">
        <v>0</v>
      </c>
      <c r="BQ2632">
        <v>42.65</v>
      </c>
      <c r="BR2632">
        <v>29.55</v>
      </c>
      <c r="BS2632">
        <v>28.84</v>
      </c>
      <c r="BT2632">
        <v>1.34</v>
      </c>
      <c r="BU2632">
        <v>16.059999999999999</v>
      </c>
      <c r="BV2632">
        <v>5.29</v>
      </c>
      <c r="BW2632">
        <v>7.57</v>
      </c>
      <c r="BX2632">
        <v>12.83</v>
      </c>
      <c r="BY2632">
        <v>19.100000000000001</v>
      </c>
      <c r="BZ2632">
        <v>16.73</v>
      </c>
      <c r="CA2632">
        <v>-0.23</v>
      </c>
      <c r="CB2632">
        <v>0.09</v>
      </c>
      <c r="CC2632">
        <v>-0.5</v>
      </c>
      <c r="CD2632">
        <v>-0.4</v>
      </c>
      <c r="CE2632">
        <v>-0.4</v>
      </c>
      <c r="CF2632">
        <v>-0.31</v>
      </c>
      <c r="CG2632">
        <v>10.8</v>
      </c>
      <c r="CH2632">
        <v>-3.43</v>
      </c>
      <c r="CI2632">
        <v>-5.55</v>
      </c>
      <c r="CJ2632">
        <v>56536</v>
      </c>
      <c r="CK2632">
        <v>14045</v>
      </c>
      <c r="CL2632" t="s">
        <v>2061</v>
      </c>
      <c r="CM2632">
        <v>-161.1</v>
      </c>
      <c r="CN2632">
        <v>-21.57</v>
      </c>
      <c r="CO2632">
        <v>1.03</v>
      </c>
      <c r="CP2632">
        <v>-10.75</v>
      </c>
      <c r="CQ2632">
        <v>1.93</v>
      </c>
      <c r="CR2632">
        <v>0.64</v>
      </c>
      <c r="CS2632" t="s">
        <v>1558</v>
      </c>
      <c r="CT2632">
        <v>3.05</v>
      </c>
      <c r="CU2632">
        <v>0</v>
      </c>
      <c r="CV2632">
        <v>1.0900000000000001</v>
      </c>
      <c r="CW2632">
        <v>0.92</v>
      </c>
      <c r="CX2632">
        <v>-0.28999999999999998</v>
      </c>
      <c r="CY2632">
        <v>57.35</v>
      </c>
      <c r="CZ2632" t="s">
        <v>11952</v>
      </c>
      <c r="DA2632">
        <v>12.44</v>
      </c>
      <c r="DB2632">
        <v>-1.21</v>
      </c>
      <c r="DC2632">
        <v>-2.09</v>
      </c>
      <c r="DD2632">
        <v>0.69</v>
      </c>
      <c r="DE2632">
        <v>2196</v>
      </c>
      <c r="DF2632">
        <v>600537</v>
      </c>
      <c r="DG2632" t="s">
        <v>116</v>
      </c>
      <c r="DH2632" t="s">
        <v>116</v>
      </c>
      <c r="DI2632" t="s">
        <v>116</v>
      </c>
    </row>
    <row r="2633" spans="1:113" x14ac:dyDescent="0.4">
      <c r="A2633" t="str">
        <f>"600538"</f>
        <v>600538</v>
      </c>
      <c r="B2633" t="s">
        <v>11953</v>
      </c>
      <c r="C2633">
        <v>0</v>
      </c>
      <c r="D2633">
        <v>5.0599999999999996</v>
      </c>
      <c r="E2633">
        <v>0</v>
      </c>
      <c r="G2633" t="s">
        <v>116</v>
      </c>
      <c r="H2633">
        <v>0</v>
      </c>
      <c r="I2633">
        <v>0</v>
      </c>
      <c r="J2633">
        <v>0</v>
      </c>
      <c r="K2633">
        <v>0</v>
      </c>
      <c r="L2633" t="s">
        <v>116</v>
      </c>
      <c r="M2633" t="s">
        <v>116</v>
      </c>
      <c r="N2633" t="s">
        <v>116</v>
      </c>
      <c r="O2633">
        <v>5.0599999999999996</v>
      </c>
      <c r="P2633" t="s">
        <v>116</v>
      </c>
      <c r="Q2633">
        <v>0</v>
      </c>
      <c r="R2633">
        <v>0</v>
      </c>
      <c r="S2633" t="s">
        <v>278</v>
      </c>
      <c r="T2633" t="s">
        <v>982</v>
      </c>
      <c r="U2633">
        <v>0</v>
      </c>
      <c r="V2633">
        <v>5.0599999999999996</v>
      </c>
      <c r="W2633">
        <v>0</v>
      </c>
      <c r="X2633">
        <v>0</v>
      </c>
      <c r="Y2633" t="s">
        <v>116</v>
      </c>
      <c r="Z2633">
        <v>0</v>
      </c>
      <c r="AA2633">
        <v>0</v>
      </c>
      <c r="AB2633" t="s">
        <v>116</v>
      </c>
      <c r="AC2633">
        <v>0</v>
      </c>
      <c r="AD2633" t="s">
        <v>116</v>
      </c>
      <c r="AE2633" t="s">
        <v>116</v>
      </c>
      <c r="AF2633" t="s">
        <v>116</v>
      </c>
      <c r="AG2633">
        <v>4.6399999999999997</v>
      </c>
      <c r="AH2633" t="s">
        <v>11954</v>
      </c>
      <c r="AI2633" t="s">
        <v>11954</v>
      </c>
      <c r="AJ2633">
        <v>0.08</v>
      </c>
      <c r="AK2633">
        <v>1</v>
      </c>
      <c r="AL2633">
        <v>0</v>
      </c>
      <c r="AM2633">
        <v>0</v>
      </c>
      <c r="AN2633">
        <v>0</v>
      </c>
      <c r="AO2633">
        <v>3.69</v>
      </c>
      <c r="AP2633">
        <v>13.45</v>
      </c>
      <c r="AQ2633">
        <v>2.64</v>
      </c>
      <c r="AR2633">
        <v>17.670000000000002</v>
      </c>
      <c r="AS2633" t="s">
        <v>116</v>
      </c>
      <c r="AT2633" t="s">
        <v>8245</v>
      </c>
      <c r="AU2633" t="s">
        <v>116</v>
      </c>
      <c r="AV2633" t="s">
        <v>116</v>
      </c>
      <c r="AW2633">
        <v>0.69</v>
      </c>
      <c r="BA2633" t="s">
        <v>116</v>
      </c>
      <c r="BB2633" t="s">
        <v>116</v>
      </c>
      <c r="BC2633" t="s">
        <v>116</v>
      </c>
      <c r="BD2633">
        <v>0</v>
      </c>
      <c r="BE2633" t="s">
        <v>116</v>
      </c>
      <c r="BF2633" t="s">
        <v>116</v>
      </c>
      <c r="BG2633" t="s">
        <v>116</v>
      </c>
      <c r="BH2633">
        <v>0</v>
      </c>
      <c r="BI2633">
        <v>20191226</v>
      </c>
      <c r="BJ2633">
        <v>20030114</v>
      </c>
      <c r="BK2633">
        <v>4.6399999999999997</v>
      </c>
      <c r="BL2633" t="s">
        <v>116</v>
      </c>
      <c r="BM2633" t="s">
        <v>116</v>
      </c>
      <c r="BN2633">
        <v>7.33</v>
      </c>
      <c r="BO2633">
        <v>6.31</v>
      </c>
      <c r="BP2633">
        <v>0</v>
      </c>
      <c r="BQ2633">
        <v>13.89</v>
      </c>
      <c r="BR2633">
        <v>5.03</v>
      </c>
      <c r="BS2633">
        <v>1</v>
      </c>
      <c r="BT2633">
        <v>0.32</v>
      </c>
      <c r="BU2633">
        <v>1.02</v>
      </c>
      <c r="BV2633">
        <v>0.35</v>
      </c>
      <c r="BW2633">
        <v>1.66</v>
      </c>
      <c r="BX2633">
        <v>5.87</v>
      </c>
      <c r="BY2633">
        <v>1.83</v>
      </c>
      <c r="BZ2633">
        <v>1.53</v>
      </c>
      <c r="CA2633">
        <v>-0.06</v>
      </c>
      <c r="CB2633">
        <v>0.03</v>
      </c>
      <c r="CC2633">
        <v>-0.05</v>
      </c>
      <c r="CD2633">
        <v>-0.06</v>
      </c>
      <c r="CE2633">
        <v>-0.06</v>
      </c>
      <c r="CF2633">
        <v>-0.12</v>
      </c>
      <c r="CG2633">
        <v>-4.54</v>
      </c>
      <c r="CH2633">
        <v>-0.08</v>
      </c>
      <c r="CI2633">
        <v>1.59</v>
      </c>
      <c r="CJ2633">
        <v>17281</v>
      </c>
      <c r="CK2633">
        <v>14062</v>
      </c>
      <c r="CL2633" t="s">
        <v>252</v>
      </c>
      <c r="CM2633">
        <v>-5.85</v>
      </c>
      <c r="CN2633">
        <v>12.57</v>
      </c>
      <c r="CO2633">
        <v>3.72</v>
      </c>
      <c r="CP2633">
        <v>-288.26</v>
      </c>
      <c r="CQ2633">
        <v>12.84</v>
      </c>
      <c r="CR2633">
        <v>0</v>
      </c>
      <c r="CS2633" t="s">
        <v>11955</v>
      </c>
      <c r="CT2633">
        <v>1.36</v>
      </c>
      <c r="CU2633">
        <v>0</v>
      </c>
      <c r="CV2633">
        <v>1.26</v>
      </c>
      <c r="CW2633">
        <v>-0.98</v>
      </c>
      <c r="CX2633">
        <v>-0.02</v>
      </c>
      <c r="CY2633">
        <v>86.11</v>
      </c>
      <c r="CZ2633" t="s">
        <v>11956</v>
      </c>
      <c r="DA2633">
        <v>16.57</v>
      </c>
      <c r="DB2633">
        <v>-3.45</v>
      </c>
      <c r="DC2633">
        <v>-3.35</v>
      </c>
      <c r="DD2633">
        <v>0</v>
      </c>
      <c r="DE2633">
        <v>380</v>
      </c>
      <c r="DF2633">
        <v>600538</v>
      </c>
      <c r="DG2633" t="s">
        <v>116</v>
      </c>
      <c r="DH2633" t="s">
        <v>116</v>
      </c>
      <c r="DI2633" t="s">
        <v>116</v>
      </c>
    </row>
    <row r="2634" spans="1:113" x14ac:dyDescent="0.4">
      <c r="A2634" t="str">
        <f>"600539"</f>
        <v>600539</v>
      </c>
      <c r="B2634" t="s">
        <v>11957</v>
      </c>
      <c r="C2634">
        <v>-0.14000000000000001</v>
      </c>
      <c r="D2634">
        <v>7.15</v>
      </c>
      <c r="E2634">
        <v>-0.01</v>
      </c>
      <c r="F2634">
        <v>7.15</v>
      </c>
      <c r="G2634">
        <v>7.16</v>
      </c>
      <c r="H2634">
        <v>15667</v>
      </c>
      <c r="I2634">
        <v>220</v>
      </c>
      <c r="J2634">
        <v>-0.55000000000000004</v>
      </c>
      <c r="K2634">
        <v>0.68</v>
      </c>
      <c r="L2634">
        <v>7.14</v>
      </c>
      <c r="M2634">
        <v>7.32</v>
      </c>
      <c r="N2634">
        <v>7.12</v>
      </c>
      <c r="O2634">
        <v>7.16</v>
      </c>
      <c r="P2634">
        <v>176.71</v>
      </c>
      <c r="Q2634">
        <v>11348839</v>
      </c>
      <c r="R2634">
        <v>1.33</v>
      </c>
      <c r="S2634" t="s">
        <v>660</v>
      </c>
      <c r="T2634" t="s">
        <v>675</v>
      </c>
      <c r="U2634">
        <v>2.79</v>
      </c>
      <c r="V2634">
        <v>7.24</v>
      </c>
      <c r="W2634">
        <v>5690</v>
      </c>
      <c r="X2634">
        <v>9977</v>
      </c>
      <c r="Y2634">
        <v>0.56999999999999995</v>
      </c>
      <c r="Z2634">
        <v>116</v>
      </c>
      <c r="AA2634">
        <v>20</v>
      </c>
      <c r="AB2634" t="s">
        <v>116</v>
      </c>
      <c r="AC2634">
        <v>0</v>
      </c>
      <c r="AD2634">
        <v>0</v>
      </c>
      <c r="AE2634" t="s">
        <v>116</v>
      </c>
      <c r="AF2634" t="s">
        <v>116</v>
      </c>
      <c r="AG2634">
        <v>2.2999999999999998</v>
      </c>
      <c r="AH2634" t="s">
        <v>3961</v>
      </c>
      <c r="AI2634" t="s">
        <v>5858</v>
      </c>
      <c r="AJ2634">
        <v>-0.06</v>
      </c>
      <c r="AK2634">
        <v>337</v>
      </c>
      <c r="AL2634">
        <v>46</v>
      </c>
      <c r="AM2634">
        <v>2E-3</v>
      </c>
      <c r="AN2634">
        <v>-1</v>
      </c>
      <c r="AO2634">
        <v>6.56</v>
      </c>
      <c r="AP2634">
        <v>15.14</v>
      </c>
      <c r="AQ2634">
        <v>13.49</v>
      </c>
      <c r="AR2634">
        <v>12.07</v>
      </c>
      <c r="AS2634">
        <v>1.37</v>
      </c>
      <c r="AT2634" t="s">
        <v>1379</v>
      </c>
      <c r="AU2634">
        <v>200.25</v>
      </c>
      <c r="AV2634">
        <v>163.66</v>
      </c>
      <c r="AW2634">
        <v>0.34</v>
      </c>
      <c r="BA2634">
        <v>-0.28000000000000003</v>
      </c>
      <c r="BB2634">
        <v>2.23</v>
      </c>
      <c r="BC2634">
        <v>-0.56000000000000005</v>
      </c>
      <c r="BD2634">
        <v>1.17</v>
      </c>
      <c r="BE2634">
        <v>0.14000000000000001</v>
      </c>
      <c r="BF2634">
        <v>-2.3199999999999998</v>
      </c>
      <c r="BG2634">
        <v>0.42</v>
      </c>
      <c r="BH2634">
        <v>-1.31</v>
      </c>
      <c r="BI2634">
        <v>20191030</v>
      </c>
      <c r="BJ2634">
        <v>20010824</v>
      </c>
      <c r="BK2634">
        <v>2.2999999999999998</v>
      </c>
      <c r="BL2634" t="s">
        <v>116</v>
      </c>
      <c r="BM2634" t="s">
        <v>116</v>
      </c>
      <c r="BN2634">
        <v>4.7</v>
      </c>
      <c r="BO2634">
        <v>4.37</v>
      </c>
      <c r="BP2634">
        <v>0.12</v>
      </c>
      <c r="BQ2634">
        <v>4.4400000000000004</v>
      </c>
      <c r="BR2634">
        <v>4.25</v>
      </c>
      <c r="BS2634">
        <v>0.13</v>
      </c>
      <c r="BT2634">
        <v>0</v>
      </c>
      <c r="BU2634">
        <v>0.16</v>
      </c>
      <c r="BV2634">
        <v>0.16</v>
      </c>
      <c r="BW2634">
        <v>0.17</v>
      </c>
      <c r="BX2634">
        <v>5.46</v>
      </c>
      <c r="BY2634">
        <v>0.39</v>
      </c>
      <c r="BZ2634">
        <v>0.33</v>
      </c>
      <c r="CA2634">
        <v>7.0000000000000007E-2</v>
      </c>
      <c r="CB2634">
        <v>0</v>
      </c>
      <c r="CC2634">
        <v>7.0000000000000007E-2</v>
      </c>
      <c r="CD2634">
        <v>7.0000000000000007E-2</v>
      </c>
      <c r="CE2634">
        <v>7.0000000000000007E-2</v>
      </c>
      <c r="CF2634">
        <v>7.0000000000000007E-2</v>
      </c>
      <c r="CG2634">
        <v>-3.77</v>
      </c>
      <c r="CH2634">
        <v>0.04</v>
      </c>
      <c r="CI2634">
        <v>-0.85</v>
      </c>
      <c r="CJ2634">
        <v>7468</v>
      </c>
      <c r="CK2634">
        <v>15323</v>
      </c>
      <c r="CL2634" t="s">
        <v>9248</v>
      </c>
      <c r="CM2634">
        <v>-20.83</v>
      </c>
      <c r="CN2634">
        <v>-33.92</v>
      </c>
      <c r="CO2634">
        <v>3.76</v>
      </c>
      <c r="CP2634">
        <v>384.26</v>
      </c>
      <c r="CQ2634">
        <v>41.89</v>
      </c>
      <c r="CR2634">
        <v>0</v>
      </c>
      <c r="CS2634" t="s">
        <v>2913</v>
      </c>
      <c r="CT2634">
        <v>1.9</v>
      </c>
      <c r="CU2634">
        <v>0</v>
      </c>
      <c r="CV2634">
        <v>2.38</v>
      </c>
      <c r="CW2634">
        <v>-1.64</v>
      </c>
      <c r="CX2634">
        <v>0.02</v>
      </c>
      <c r="CY2634">
        <v>92.92</v>
      </c>
      <c r="CZ2634" t="s">
        <v>9621</v>
      </c>
      <c r="DA2634">
        <v>15.5</v>
      </c>
      <c r="DB2634">
        <v>18.329999999999998</v>
      </c>
      <c r="DC2634">
        <v>17.78</v>
      </c>
      <c r="DD2634">
        <v>0</v>
      </c>
      <c r="DE2634">
        <v>217</v>
      </c>
      <c r="DF2634">
        <v>600539</v>
      </c>
      <c r="DG2634" t="s">
        <v>116</v>
      </c>
      <c r="DH2634" t="s">
        <v>116</v>
      </c>
      <c r="DI2634" t="s">
        <v>116</v>
      </c>
    </row>
    <row r="2635" spans="1:113" x14ac:dyDescent="0.4">
      <c r="A2635" t="str">
        <f>"600540"</f>
        <v>600540</v>
      </c>
      <c r="B2635" t="s">
        <v>11958</v>
      </c>
      <c r="C2635">
        <v>1.56</v>
      </c>
      <c r="D2635">
        <v>3.9</v>
      </c>
      <c r="E2635">
        <v>0.06</v>
      </c>
      <c r="F2635">
        <v>3.89</v>
      </c>
      <c r="G2635">
        <v>3.9</v>
      </c>
      <c r="H2635">
        <v>61111</v>
      </c>
      <c r="I2635">
        <v>1495</v>
      </c>
      <c r="J2635">
        <v>0.26</v>
      </c>
      <c r="K2635">
        <v>1.3</v>
      </c>
      <c r="L2635">
        <v>3.85</v>
      </c>
      <c r="M2635">
        <v>3.9</v>
      </c>
      <c r="N2635">
        <v>3.83</v>
      </c>
      <c r="O2635">
        <v>3.84</v>
      </c>
      <c r="P2635" t="s">
        <v>116</v>
      </c>
      <c r="Q2635">
        <v>23614420</v>
      </c>
      <c r="R2635">
        <v>1.97</v>
      </c>
      <c r="S2635" t="s">
        <v>1871</v>
      </c>
      <c r="T2635" t="s">
        <v>616</v>
      </c>
      <c r="U2635">
        <v>1.82</v>
      </c>
      <c r="V2635">
        <v>3.86</v>
      </c>
      <c r="W2635">
        <v>23236</v>
      </c>
      <c r="X2635">
        <v>37875</v>
      </c>
      <c r="Y2635">
        <v>0.61</v>
      </c>
      <c r="Z2635">
        <v>62</v>
      </c>
      <c r="AA2635">
        <v>1348</v>
      </c>
      <c r="AB2635" t="s">
        <v>116</v>
      </c>
      <c r="AC2635">
        <v>104700</v>
      </c>
      <c r="AD2635">
        <v>0.01</v>
      </c>
      <c r="AE2635" t="s">
        <v>116</v>
      </c>
      <c r="AF2635" t="s">
        <v>116</v>
      </c>
      <c r="AG2635">
        <v>4.71</v>
      </c>
      <c r="AH2635" t="s">
        <v>11959</v>
      </c>
      <c r="AI2635" t="s">
        <v>11959</v>
      </c>
      <c r="AJ2635">
        <v>1.64</v>
      </c>
      <c r="AK2635">
        <v>1061</v>
      </c>
      <c r="AL2635">
        <v>58</v>
      </c>
      <c r="AM2635">
        <v>1.1999999999999999E-3</v>
      </c>
      <c r="AN2635">
        <v>2</v>
      </c>
      <c r="AO2635">
        <v>1.03</v>
      </c>
      <c r="AP2635">
        <v>4</v>
      </c>
      <c r="AQ2635">
        <v>-1.27</v>
      </c>
      <c r="AR2635">
        <v>9.86</v>
      </c>
      <c r="AS2635">
        <v>2.2400000000000002</v>
      </c>
      <c r="AT2635" t="s">
        <v>1537</v>
      </c>
      <c r="AU2635" t="s">
        <v>116</v>
      </c>
      <c r="AV2635">
        <v>90.19</v>
      </c>
      <c r="AW2635">
        <v>1.1299999999999999</v>
      </c>
      <c r="BA2635">
        <v>0.26</v>
      </c>
      <c r="BB2635">
        <v>1.56</v>
      </c>
      <c r="BC2635">
        <v>-0.26</v>
      </c>
      <c r="BD2635">
        <v>0.63</v>
      </c>
      <c r="BE2635">
        <v>1.3</v>
      </c>
      <c r="BF2635">
        <v>0</v>
      </c>
      <c r="BG2635">
        <v>1.83</v>
      </c>
      <c r="BH2635">
        <v>0.93</v>
      </c>
      <c r="BI2635">
        <v>20191030</v>
      </c>
      <c r="BJ2635">
        <v>20040107</v>
      </c>
      <c r="BK2635">
        <v>4.71</v>
      </c>
      <c r="BL2635" t="s">
        <v>116</v>
      </c>
      <c r="BM2635" t="s">
        <v>116</v>
      </c>
      <c r="BN2635">
        <v>16.66</v>
      </c>
      <c r="BO2635">
        <v>6.27</v>
      </c>
      <c r="BP2635">
        <v>-0.25</v>
      </c>
      <c r="BQ2635">
        <v>63.88</v>
      </c>
      <c r="BR2635">
        <v>10.1</v>
      </c>
      <c r="BS2635">
        <v>3.53</v>
      </c>
      <c r="BT2635">
        <v>1.36</v>
      </c>
      <c r="BU2635">
        <v>9.16</v>
      </c>
      <c r="BV2635">
        <v>3.25</v>
      </c>
      <c r="BW2635">
        <v>0.46</v>
      </c>
      <c r="BX2635">
        <v>8.0500000000000007</v>
      </c>
      <c r="BY2635">
        <v>5.54</v>
      </c>
      <c r="BZ2635">
        <v>5.2</v>
      </c>
      <c r="CA2635">
        <v>-0.19</v>
      </c>
      <c r="CB2635">
        <v>2.1</v>
      </c>
      <c r="CC2635">
        <v>-0.18</v>
      </c>
      <c r="CD2635">
        <v>-0.18</v>
      </c>
      <c r="CE2635">
        <v>-0.19</v>
      </c>
      <c r="CF2635">
        <v>-0.33</v>
      </c>
      <c r="CG2635">
        <v>-6.9</v>
      </c>
      <c r="CH2635">
        <v>1.25</v>
      </c>
      <c r="CI2635">
        <v>1.54</v>
      </c>
      <c r="CJ2635">
        <v>28316</v>
      </c>
      <c r="CK2635">
        <v>9617</v>
      </c>
      <c r="CL2635" t="s">
        <v>489</v>
      </c>
      <c r="CM2635">
        <v>-1033.73</v>
      </c>
      <c r="CN2635">
        <v>-29.02</v>
      </c>
      <c r="CO2635">
        <v>2.93</v>
      </c>
      <c r="CP2635">
        <v>14.65</v>
      </c>
      <c r="CQ2635">
        <v>3.31</v>
      </c>
      <c r="CR2635">
        <v>0</v>
      </c>
      <c r="CS2635" t="s">
        <v>5995</v>
      </c>
      <c r="CT2635">
        <v>1.33</v>
      </c>
      <c r="CU2635">
        <v>0</v>
      </c>
      <c r="CV2635">
        <v>1.71</v>
      </c>
      <c r="CW2635">
        <v>-1.46</v>
      </c>
      <c r="CX2635">
        <v>0.27</v>
      </c>
      <c r="CY2635">
        <v>37.619999999999997</v>
      </c>
      <c r="CZ2635" t="s">
        <v>11960</v>
      </c>
      <c r="DA2635">
        <v>6.18</v>
      </c>
      <c r="DB2635">
        <v>-3.39</v>
      </c>
      <c r="DC2635">
        <v>-3.36</v>
      </c>
      <c r="DD2635">
        <v>0.01</v>
      </c>
      <c r="DE2635">
        <v>732</v>
      </c>
      <c r="DF2635">
        <v>600540</v>
      </c>
      <c r="DG2635" t="s">
        <v>116</v>
      </c>
      <c r="DH2635" t="s">
        <v>116</v>
      </c>
      <c r="DI2635" t="s">
        <v>116</v>
      </c>
    </row>
    <row r="2636" spans="1:113" x14ac:dyDescent="0.4">
      <c r="A2636" t="str">
        <f>"600543"</f>
        <v>600543</v>
      </c>
      <c r="B2636" t="s">
        <v>11961</v>
      </c>
      <c r="C2636">
        <v>-0.52</v>
      </c>
      <c r="D2636">
        <v>5.75</v>
      </c>
      <c r="E2636">
        <v>-0.03</v>
      </c>
      <c r="F2636">
        <v>5.75</v>
      </c>
      <c r="G2636">
        <v>5.76</v>
      </c>
      <c r="H2636">
        <v>38722</v>
      </c>
      <c r="I2636">
        <v>82</v>
      </c>
      <c r="J2636">
        <v>0</v>
      </c>
      <c r="K2636">
        <v>1.21</v>
      </c>
      <c r="L2636">
        <v>5.8</v>
      </c>
      <c r="M2636">
        <v>5.85</v>
      </c>
      <c r="N2636">
        <v>5.74</v>
      </c>
      <c r="O2636">
        <v>5.78</v>
      </c>
      <c r="P2636">
        <v>94.18</v>
      </c>
      <c r="Q2636">
        <v>22417452</v>
      </c>
      <c r="R2636">
        <v>1.45</v>
      </c>
      <c r="S2636" t="s">
        <v>2477</v>
      </c>
      <c r="T2636" t="s">
        <v>1122</v>
      </c>
      <c r="U2636">
        <v>1.9</v>
      </c>
      <c r="V2636">
        <v>5.79</v>
      </c>
      <c r="W2636">
        <v>24818</v>
      </c>
      <c r="X2636">
        <v>13904</v>
      </c>
      <c r="Y2636">
        <v>1.78</v>
      </c>
      <c r="Z2636">
        <v>11</v>
      </c>
      <c r="AA2636">
        <v>3018</v>
      </c>
      <c r="AB2636" t="s">
        <v>116</v>
      </c>
      <c r="AC2636">
        <v>45200</v>
      </c>
      <c r="AD2636">
        <v>0</v>
      </c>
      <c r="AE2636" t="s">
        <v>116</v>
      </c>
      <c r="AF2636" t="s">
        <v>116</v>
      </c>
      <c r="AG2636">
        <v>3.21</v>
      </c>
      <c r="AH2636" t="s">
        <v>3455</v>
      </c>
      <c r="AI2636" t="s">
        <v>3455</v>
      </c>
      <c r="AJ2636">
        <v>-0.44</v>
      </c>
      <c r="AK2636">
        <v>884</v>
      </c>
      <c r="AL2636">
        <v>44</v>
      </c>
      <c r="AM2636">
        <v>1.4E-3</v>
      </c>
      <c r="AN2636">
        <v>-1</v>
      </c>
      <c r="AO2636">
        <v>-0.17</v>
      </c>
      <c r="AP2636">
        <v>3.98</v>
      </c>
      <c r="AQ2636">
        <v>-12.48</v>
      </c>
      <c r="AR2636">
        <v>-11.94</v>
      </c>
      <c r="AS2636">
        <v>1.85</v>
      </c>
      <c r="AT2636" t="s">
        <v>8219</v>
      </c>
      <c r="AU2636">
        <v>85.92</v>
      </c>
      <c r="AV2636">
        <v>67.77</v>
      </c>
      <c r="AW2636">
        <v>1.51</v>
      </c>
      <c r="BA2636">
        <v>0.35</v>
      </c>
      <c r="BB2636">
        <v>1.21</v>
      </c>
      <c r="BC2636">
        <v>-0.69</v>
      </c>
      <c r="BD2636">
        <v>0.16</v>
      </c>
      <c r="BE2636">
        <v>-0.86</v>
      </c>
      <c r="BF2636">
        <v>-1.71</v>
      </c>
      <c r="BG2636">
        <v>0.17</v>
      </c>
      <c r="BH2636">
        <v>-0.68</v>
      </c>
      <c r="BI2636">
        <v>20191031</v>
      </c>
      <c r="BJ2636">
        <v>20040324</v>
      </c>
      <c r="BK2636">
        <v>3.21</v>
      </c>
      <c r="BL2636" t="s">
        <v>116</v>
      </c>
      <c r="BM2636" t="s">
        <v>116</v>
      </c>
      <c r="BN2636">
        <v>12.93</v>
      </c>
      <c r="BO2636">
        <v>11.66</v>
      </c>
      <c r="BP2636">
        <v>-0.11</v>
      </c>
      <c r="BQ2636">
        <v>10.64</v>
      </c>
      <c r="BR2636">
        <v>5.19</v>
      </c>
      <c r="BS2636">
        <v>6.75</v>
      </c>
      <c r="BT2636">
        <v>0.27</v>
      </c>
      <c r="BU2636">
        <v>0.9</v>
      </c>
      <c r="BV2636">
        <v>0.79</v>
      </c>
      <c r="BW2636">
        <v>0.78</v>
      </c>
      <c r="BX2636">
        <v>4.66</v>
      </c>
      <c r="BY2636">
        <v>1.2</v>
      </c>
      <c r="BZ2636">
        <v>0.46</v>
      </c>
      <c r="CA2636">
        <v>0.16</v>
      </c>
      <c r="CB2636">
        <v>0.01</v>
      </c>
      <c r="CC2636">
        <v>0.16</v>
      </c>
      <c r="CD2636">
        <v>0.11</v>
      </c>
      <c r="CE2636">
        <v>0.15</v>
      </c>
      <c r="CF2636">
        <v>0.14000000000000001</v>
      </c>
      <c r="CG2636">
        <v>2.56</v>
      </c>
      <c r="CH2636">
        <v>0.05</v>
      </c>
      <c r="CI2636">
        <v>-1.78</v>
      </c>
      <c r="CJ2636">
        <v>22076</v>
      </c>
      <c r="CK2636">
        <v>9493</v>
      </c>
      <c r="CL2636" t="s">
        <v>3916</v>
      </c>
      <c r="CM2636">
        <v>-28.13</v>
      </c>
      <c r="CN2636">
        <v>-13.32</v>
      </c>
      <c r="CO2636">
        <v>1.58</v>
      </c>
      <c r="CP2636">
        <v>375.25</v>
      </c>
      <c r="CQ2636">
        <v>15.34</v>
      </c>
      <c r="CR2636">
        <v>0</v>
      </c>
      <c r="CS2636" t="s">
        <v>3798</v>
      </c>
      <c r="CT2636">
        <v>3.63</v>
      </c>
      <c r="CU2636">
        <v>0</v>
      </c>
      <c r="CV2636">
        <v>1.45</v>
      </c>
      <c r="CW2636">
        <v>0.8</v>
      </c>
      <c r="CX2636">
        <v>0.02</v>
      </c>
      <c r="CY2636">
        <v>90.18</v>
      </c>
      <c r="CZ2636" t="s">
        <v>11962</v>
      </c>
      <c r="DA2636">
        <v>61.4</v>
      </c>
      <c r="DB2636">
        <v>13.32</v>
      </c>
      <c r="DC2636">
        <v>12.22</v>
      </c>
      <c r="DD2636">
        <v>0</v>
      </c>
      <c r="DE2636">
        <v>873</v>
      </c>
      <c r="DF2636">
        <v>600543</v>
      </c>
      <c r="DG2636" t="s">
        <v>116</v>
      </c>
      <c r="DH2636" t="s">
        <v>116</v>
      </c>
      <c r="DI2636" t="s">
        <v>116</v>
      </c>
    </row>
    <row r="2637" spans="1:113" x14ac:dyDescent="0.4">
      <c r="A2637" t="str">
        <f>"600545"</f>
        <v>600545</v>
      </c>
      <c r="B2637" t="s">
        <v>11963</v>
      </c>
      <c r="C2637">
        <v>-0.16</v>
      </c>
      <c r="D2637">
        <v>6.06</v>
      </c>
      <c r="E2637">
        <v>-0.01</v>
      </c>
      <c r="F2637">
        <v>6.06</v>
      </c>
      <c r="G2637">
        <v>6.07</v>
      </c>
      <c r="H2637">
        <v>70329</v>
      </c>
      <c r="I2637">
        <v>1823</v>
      </c>
      <c r="J2637">
        <v>0</v>
      </c>
      <c r="K2637">
        <v>0.63</v>
      </c>
      <c r="L2637">
        <v>6.08</v>
      </c>
      <c r="M2637">
        <v>6.1</v>
      </c>
      <c r="N2637">
        <v>6.06</v>
      </c>
      <c r="O2637">
        <v>6.07</v>
      </c>
      <c r="P2637">
        <v>23.47</v>
      </c>
      <c r="Q2637">
        <v>42761240</v>
      </c>
      <c r="R2637">
        <v>0.95</v>
      </c>
      <c r="S2637" t="s">
        <v>3176</v>
      </c>
      <c r="T2637" t="s">
        <v>616</v>
      </c>
      <c r="U2637">
        <v>0.66</v>
      </c>
      <c r="V2637">
        <v>6.08</v>
      </c>
      <c r="W2637">
        <v>34439</v>
      </c>
      <c r="X2637">
        <v>35890</v>
      </c>
      <c r="Y2637">
        <v>0.96</v>
      </c>
      <c r="Z2637">
        <v>3747</v>
      </c>
      <c r="AA2637">
        <v>1236</v>
      </c>
      <c r="AB2637" t="s">
        <v>116</v>
      </c>
      <c r="AC2637">
        <v>10900</v>
      </c>
      <c r="AD2637">
        <v>0</v>
      </c>
      <c r="AE2637" t="s">
        <v>116</v>
      </c>
      <c r="AF2637" t="s">
        <v>116</v>
      </c>
      <c r="AG2637">
        <v>11.24</v>
      </c>
      <c r="AH2637" t="s">
        <v>11964</v>
      </c>
      <c r="AI2637" t="s">
        <v>11965</v>
      </c>
      <c r="AJ2637">
        <v>-0.09</v>
      </c>
      <c r="AK2637">
        <v>1146</v>
      </c>
      <c r="AL2637">
        <v>61</v>
      </c>
      <c r="AM2637">
        <v>5.0000000000000001E-4</v>
      </c>
      <c r="AN2637">
        <v>-1</v>
      </c>
      <c r="AO2637">
        <v>-0.81</v>
      </c>
      <c r="AP2637">
        <v>1.85</v>
      </c>
      <c r="AQ2637">
        <v>-18.11</v>
      </c>
      <c r="AR2637">
        <v>-16.649999999999999</v>
      </c>
      <c r="AS2637">
        <v>0.81</v>
      </c>
      <c r="AT2637" t="s">
        <v>10752</v>
      </c>
      <c r="AU2637">
        <v>17.920000000000002</v>
      </c>
      <c r="AV2637">
        <v>14.18</v>
      </c>
      <c r="AW2637">
        <v>0.59</v>
      </c>
      <c r="BA2637">
        <v>0.16</v>
      </c>
      <c r="BB2637">
        <v>0.49</v>
      </c>
      <c r="BC2637">
        <v>-0.16</v>
      </c>
      <c r="BD2637">
        <v>0.17</v>
      </c>
      <c r="BE2637">
        <v>-0.33</v>
      </c>
      <c r="BF2637">
        <v>-0.66</v>
      </c>
      <c r="BG2637">
        <v>0</v>
      </c>
      <c r="BH2637">
        <v>-0.33</v>
      </c>
      <c r="BI2637">
        <v>20191029</v>
      </c>
      <c r="BJ2637">
        <v>20031203</v>
      </c>
      <c r="BK2637">
        <v>18.95</v>
      </c>
      <c r="BL2637" t="s">
        <v>116</v>
      </c>
      <c r="BM2637" t="s">
        <v>116</v>
      </c>
      <c r="BN2637">
        <v>125.97</v>
      </c>
      <c r="BO2637">
        <v>48</v>
      </c>
      <c r="BP2637">
        <v>13.31</v>
      </c>
      <c r="BQ2637">
        <v>51.33</v>
      </c>
      <c r="BR2637">
        <v>84.74</v>
      </c>
      <c r="BS2637">
        <v>8.91</v>
      </c>
      <c r="BT2637">
        <v>12.65</v>
      </c>
      <c r="BU2637">
        <v>49.86</v>
      </c>
      <c r="BV2637">
        <v>21.58</v>
      </c>
      <c r="BW2637">
        <v>54.4</v>
      </c>
      <c r="BX2637">
        <v>15.8</v>
      </c>
      <c r="BY2637">
        <v>58.24</v>
      </c>
      <c r="BZ2637">
        <v>41.27</v>
      </c>
      <c r="CA2637">
        <v>5.97</v>
      </c>
      <c r="CB2637">
        <v>0</v>
      </c>
      <c r="CC2637">
        <v>5.43</v>
      </c>
      <c r="CD2637">
        <v>4.79</v>
      </c>
      <c r="CE2637">
        <v>3.67</v>
      </c>
      <c r="CF2637">
        <v>3.9</v>
      </c>
      <c r="CG2637">
        <v>13</v>
      </c>
      <c r="CH2637">
        <v>-19.149999999999999</v>
      </c>
      <c r="CI2637">
        <v>-26.54</v>
      </c>
      <c r="CJ2637">
        <v>67522</v>
      </c>
      <c r="CK2637">
        <v>12925</v>
      </c>
      <c r="CL2637" t="s">
        <v>7133</v>
      </c>
      <c r="CM2637">
        <v>-31.55</v>
      </c>
      <c r="CN2637">
        <v>-13.12</v>
      </c>
      <c r="CO2637">
        <v>2.39</v>
      </c>
      <c r="CP2637">
        <v>-6</v>
      </c>
      <c r="CQ2637">
        <v>1.97</v>
      </c>
      <c r="CR2637">
        <v>2.13</v>
      </c>
      <c r="CS2637" t="s">
        <v>7352</v>
      </c>
      <c r="CT2637">
        <v>2.5299999999999998</v>
      </c>
      <c r="CU2637">
        <v>0</v>
      </c>
      <c r="CV2637">
        <v>0.83</v>
      </c>
      <c r="CW2637">
        <v>0.69</v>
      </c>
      <c r="CX2637">
        <v>-1.01</v>
      </c>
      <c r="CY2637">
        <v>38.1</v>
      </c>
      <c r="CZ2637" t="s">
        <v>5716</v>
      </c>
      <c r="DA2637">
        <v>29.13</v>
      </c>
      <c r="DB2637">
        <v>10.26</v>
      </c>
      <c r="DC2637">
        <v>6.3</v>
      </c>
      <c r="DD2637">
        <v>3.46</v>
      </c>
      <c r="DE2637">
        <v>4743</v>
      </c>
      <c r="DF2637">
        <v>600545</v>
      </c>
      <c r="DG2637" t="s">
        <v>116</v>
      </c>
      <c r="DH2637" t="s">
        <v>116</v>
      </c>
      <c r="DI2637" t="s">
        <v>116</v>
      </c>
    </row>
    <row r="2638" spans="1:113" x14ac:dyDescent="0.4">
      <c r="A2638" t="str">
        <f>"600546"</f>
        <v>600546</v>
      </c>
      <c r="B2638" t="s">
        <v>11966</v>
      </c>
      <c r="C2638">
        <v>2.1</v>
      </c>
      <c r="D2638">
        <v>6.33</v>
      </c>
      <c r="E2638">
        <v>0.13</v>
      </c>
      <c r="F2638">
        <v>6.33</v>
      </c>
      <c r="G2638">
        <v>6.34</v>
      </c>
      <c r="H2638">
        <v>381413</v>
      </c>
      <c r="I2638">
        <v>2521</v>
      </c>
      <c r="J2638">
        <v>0.16</v>
      </c>
      <c r="K2638">
        <v>1.92</v>
      </c>
      <c r="L2638">
        <v>6.25</v>
      </c>
      <c r="M2638">
        <v>6.68</v>
      </c>
      <c r="N2638">
        <v>6.16</v>
      </c>
      <c r="O2638">
        <v>6.2</v>
      </c>
      <c r="P2638">
        <v>11.8</v>
      </c>
      <c r="Q2638">
        <v>244263552</v>
      </c>
      <c r="R2638">
        <v>3.06</v>
      </c>
      <c r="S2638" t="s">
        <v>1121</v>
      </c>
      <c r="T2638" t="s">
        <v>675</v>
      </c>
      <c r="U2638">
        <v>8.39</v>
      </c>
      <c r="V2638">
        <v>6.4</v>
      </c>
      <c r="W2638">
        <v>184778</v>
      </c>
      <c r="X2638">
        <v>196635</v>
      </c>
      <c r="Y2638">
        <v>0.94</v>
      </c>
      <c r="Z2638">
        <v>440</v>
      </c>
      <c r="AA2638">
        <v>305</v>
      </c>
      <c r="AB2638" t="s">
        <v>116</v>
      </c>
      <c r="AC2638">
        <v>934400</v>
      </c>
      <c r="AD2638">
        <v>0.02</v>
      </c>
      <c r="AE2638" t="s">
        <v>116</v>
      </c>
      <c r="AF2638" t="s">
        <v>116</v>
      </c>
      <c r="AG2638">
        <v>19.82</v>
      </c>
      <c r="AH2638" t="s">
        <v>11967</v>
      </c>
      <c r="AI2638" t="s">
        <v>11967</v>
      </c>
      <c r="AJ2638">
        <v>2.17</v>
      </c>
      <c r="AK2638">
        <v>2842</v>
      </c>
      <c r="AL2638">
        <v>134</v>
      </c>
      <c r="AM2638">
        <v>6.9999999999999999E-4</v>
      </c>
      <c r="AN2638">
        <v>2</v>
      </c>
      <c r="AO2638">
        <v>6.57</v>
      </c>
      <c r="AP2638">
        <v>2.59</v>
      </c>
      <c r="AQ2638">
        <v>3.6</v>
      </c>
      <c r="AR2638">
        <v>90.66</v>
      </c>
      <c r="AS2638">
        <v>4.8600000000000003</v>
      </c>
      <c r="AT2638" t="s">
        <v>11968</v>
      </c>
      <c r="AU2638">
        <v>20.43</v>
      </c>
      <c r="AV2638">
        <v>57.01</v>
      </c>
      <c r="AW2638">
        <v>1.29</v>
      </c>
      <c r="BA2638">
        <v>0.81</v>
      </c>
      <c r="BB2638">
        <v>7.74</v>
      </c>
      <c r="BC2638">
        <v>-0.65</v>
      </c>
      <c r="BD2638">
        <v>3.29</v>
      </c>
      <c r="BE2638">
        <v>1.28</v>
      </c>
      <c r="BF2638">
        <v>-5.24</v>
      </c>
      <c r="BG2638">
        <v>2.76</v>
      </c>
      <c r="BH2638">
        <v>-1.2</v>
      </c>
      <c r="BI2638">
        <v>20191029</v>
      </c>
      <c r="BJ2638">
        <v>20030731</v>
      </c>
      <c r="BK2638">
        <v>19.82</v>
      </c>
      <c r="BL2638" t="s">
        <v>116</v>
      </c>
      <c r="BM2638" t="s">
        <v>116</v>
      </c>
      <c r="BN2638">
        <v>439.46</v>
      </c>
      <c r="BO2638">
        <v>84.08</v>
      </c>
      <c r="BP2638">
        <v>30.67</v>
      </c>
      <c r="BQ2638">
        <v>73.89</v>
      </c>
      <c r="BR2638">
        <v>163.21</v>
      </c>
      <c r="BS2638">
        <v>140.72</v>
      </c>
      <c r="BT2638">
        <v>65.91</v>
      </c>
      <c r="BU2638">
        <v>234.1</v>
      </c>
      <c r="BV2638">
        <v>19.100000000000001</v>
      </c>
      <c r="BW2638">
        <v>27.92</v>
      </c>
      <c r="BX2638">
        <v>32.81</v>
      </c>
      <c r="BY2638">
        <v>316.16000000000003</v>
      </c>
      <c r="BZ2638">
        <v>255.34</v>
      </c>
      <c r="CA2638">
        <v>23.16</v>
      </c>
      <c r="CB2638">
        <v>0.85</v>
      </c>
      <c r="CC2638">
        <v>22.24</v>
      </c>
      <c r="CD2638">
        <v>14.58</v>
      </c>
      <c r="CE2638">
        <v>7.98</v>
      </c>
      <c r="CF2638">
        <v>8.52</v>
      </c>
      <c r="CG2638">
        <v>6.64</v>
      </c>
      <c r="CH2638">
        <v>16.18</v>
      </c>
      <c r="CI2638">
        <v>-17.34</v>
      </c>
      <c r="CJ2638">
        <v>46505</v>
      </c>
      <c r="CK2638">
        <v>16868</v>
      </c>
      <c r="CL2638" t="s">
        <v>8384</v>
      </c>
      <c r="CM2638">
        <v>97.71</v>
      </c>
      <c r="CN2638">
        <v>-12.03</v>
      </c>
      <c r="CO2638">
        <v>1.96</v>
      </c>
      <c r="CP2638">
        <v>7.76</v>
      </c>
      <c r="CQ2638">
        <v>0.4</v>
      </c>
      <c r="CR2638">
        <v>0</v>
      </c>
      <c r="CS2638" t="s">
        <v>2937</v>
      </c>
      <c r="CT2638">
        <v>3.23</v>
      </c>
      <c r="CU2638">
        <v>3.23</v>
      </c>
      <c r="CV2638">
        <v>1.65</v>
      </c>
      <c r="CW2638">
        <v>0.33</v>
      </c>
      <c r="CX2638">
        <v>0.82</v>
      </c>
      <c r="CY2638">
        <v>19.13</v>
      </c>
      <c r="CZ2638" t="s">
        <v>3685</v>
      </c>
      <c r="DA2638">
        <v>19.239999999999998</v>
      </c>
      <c r="DB2638">
        <v>7.32</v>
      </c>
      <c r="DC2638">
        <v>2.52</v>
      </c>
      <c r="DD2638">
        <v>0.91</v>
      </c>
      <c r="DE2638">
        <v>13841</v>
      </c>
      <c r="DF2638">
        <v>600546</v>
      </c>
      <c r="DG2638" t="s">
        <v>116</v>
      </c>
      <c r="DH2638" t="s">
        <v>116</v>
      </c>
      <c r="DI2638" t="s">
        <v>116</v>
      </c>
    </row>
    <row r="2639" spans="1:113" x14ac:dyDescent="0.4">
      <c r="A2639" t="str">
        <f>"600547"</f>
        <v>600547</v>
      </c>
      <c r="B2639" t="s">
        <v>11969</v>
      </c>
      <c r="C2639">
        <v>1.1599999999999999</v>
      </c>
      <c r="D2639">
        <v>32.31</v>
      </c>
      <c r="E2639">
        <v>0.37</v>
      </c>
      <c r="F2639">
        <v>32.31</v>
      </c>
      <c r="G2639">
        <v>32.32</v>
      </c>
      <c r="H2639">
        <v>648476</v>
      </c>
      <c r="I2639">
        <v>7660</v>
      </c>
      <c r="J2639">
        <v>-0.18</v>
      </c>
      <c r="K2639">
        <v>2.95</v>
      </c>
      <c r="L2639">
        <v>32.18</v>
      </c>
      <c r="M2639">
        <v>33.25</v>
      </c>
      <c r="N2639">
        <v>32.159999999999997</v>
      </c>
      <c r="O2639">
        <v>31.94</v>
      </c>
      <c r="P2639">
        <v>79.31</v>
      </c>
      <c r="Q2639">
        <v>2113914112</v>
      </c>
      <c r="R2639">
        <v>1.77</v>
      </c>
      <c r="S2639" t="s">
        <v>871</v>
      </c>
      <c r="T2639" t="s">
        <v>645</v>
      </c>
      <c r="U2639">
        <v>3.41</v>
      </c>
      <c r="V2639">
        <v>32.6</v>
      </c>
      <c r="W2639">
        <v>310151</v>
      </c>
      <c r="X2639">
        <v>338325</v>
      </c>
      <c r="Y2639">
        <v>0.92</v>
      </c>
      <c r="Z2639">
        <v>149</v>
      </c>
      <c r="AA2639">
        <v>166</v>
      </c>
      <c r="AB2639" t="s">
        <v>116</v>
      </c>
      <c r="AC2639">
        <v>11420699</v>
      </c>
      <c r="AD2639">
        <v>0.03</v>
      </c>
      <c r="AE2639" t="s">
        <v>116</v>
      </c>
      <c r="AF2639" t="s">
        <v>116</v>
      </c>
      <c r="AG2639">
        <v>21.96</v>
      </c>
      <c r="AH2639" t="s">
        <v>11970</v>
      </c>
      <c r="AI2639" t="s">
        <v>11971</v>
      </c>
      <c r="AJ2639">
        <v>1.24</v>
      </c>
      <c r="AK2639">
        <v>4690</v>
      </c>
      <c r="AL2639">
        <v>138</v>
      </c>
      <c r="AM2639">
        <v>5.9999999999999995E-4</v>
      </c>
      <c r="AN2639">
        <v>1</v>
      </c>
      <c r="AO2639">
        <v>1.9</v>
      </c>
      <c r="AP2639">
        <v>7.38</v>
      </c>
      <c r="AQ2639">
        <v>-5.1100000000000003</v>
      </c>
      <c r="AR2639">
        <v>50.03</v>
      </c>
      <c r="AS2639">
        <v>5.53</v>
      </c>
      <c r="AT2639" t="s">
        <v>11972</v>
      </c>
      <c r="AU2639">
        <v>100.11</v>
      </c>
      <c r="AV2639">
        <v>114.36</v>
      </c>
      <c r="AW2639">
        <v>0.24</v>
      </c>
      <c r="BA2639">
        <v>0.75</v>
      </c>
      <c r="BB2639">
        <v>4.0999999999999996</v>
      </c>
      <c r="BC2639">
        <v>0.69</v>
      </c>
      <c r="BD2639">
        <v>2.06</v>
      </c>
      <c r="BE2639">
        <v>0.4</v>
      </c>
      <c r="BF2639">
        <v>-2.83</v>
      </c>
      <c r="BG2639">
        <v>0.47</v>
      </c>
      <c r="BH2639">
        <v>-0.9</v>
      </c>
      <c r="BI2639">
        <v>20191030</v>
      </c>
      <c r="BJ2639">
        <v>20030828</v>
      </c>
      <c r="BK2639">
        <v>31</v>
      </c>
      <c r="BL2639" t="s">
        <v>116</v>
      </c>
      <c r="BM2639">
        <v>5</v>
      </c>
      <c r="BN2639">
        <v>582.65</v>
      </c>
      <c r="BO2639">
        <v>222.23</v>
      </c>
      <c r="BP2639">
        <v>18.329999999999998</v>
      </c>
      <c r="BQ2639">
        <v>58.71</v>
      </c>
      <c r="BR2639">
        <v>168.01</v>
      </c>
      <c r="BS2639">
        <v>197.19</v>
      </c>
      <c r="BT2639">
        <v>100.27</v>
      </c>
      <c r="BU2639">
        <v>265.22000000000003</v>
      </c>
      <c r="BV2639">
        <v>35.08</v>
      </c>
      <c r="BW2639">
        <v>3.22</v>
      </c>
      <c r="BX2639">
        <v>69.09</v>
      </c>
      <c r="BY2639">
        <v>648.29</v>
      </c>
      <c r="BZ2639">
        <v>606.58000000000004</v>
      </c>
      <c r="CA2639">
        <v>15.36</v>
      </c>
      <c r="CB2639">
        <v>-0.22</v>
      </c>
      <c r="CC2639">
        <v>15.27</v>
      </c>
      <c r="CD2639">
        <v>10.51</v>
      </c>
      <c r="CE2639">
        <v>9.4700000000000006</v>
      </c>
      <c r="CF2639">
        <v>9.34</v>
      </c>
      <c r="CG2639">
        <v>115.45</v>
      </c>
      <c r="CH2639">
        <v>36.880000000000003</v>
      </c>
      <c r="CI2639">
        <v>10.07</v>
      </c>
      <c r="CJ2639">
        <v>183081</v>
      </c>
      <c r="CK2639">
        <v>6406</v>
      </c>
      <c r="CL2639" t="s">
        <v>11973</v>
      </c>
      <c r="CM2639">
        <v>15.15</v>
      </c>
      <c r="CN2639">
        <v>37.700000000000003</v>
      </c>
      <c r="CO2639">
        <v>4.51</v>
      </c>
      <c r="CP2639">
        <v>27.16</v>
      </c>
      <c r="CQ2639">
        <v>1.54</v>
      </c>
      <c r="CR2639">
        <v>0.22</v>
      </c>
      <c r="CS2639" t="s">
        <v>9921</v>
      </c>
      <c r="CT2639">
        <v>7.17</v>
      </c>
      <c r="CU2639">
        <v>0</v>
      </c>
      <c r="CV2639">
        <v>2.23</v>
      </c>
      <c r="CW2639">
        <v>3.72</v>
      </c>
      <c r="CX2639">
        <v>1.19</v>
      </c>
      <c r="CY2639">
        <v>38.14</v>
      </c>
      <c r="CZ2639" t="s">
        <v>11819</v>
      </c>
      <c r="DA2639">
        <v>6.43</v>
      </c>
      <c r="DB2639">
        <v>2.37</v>
      </c>
      <c r="DC2639">
        <v>1.46</v>
      </c>
      <c r="DD2639">
        <v>2.5</v>
      </c>
      <c r="DE2639">
        <v>16032</v>
      </c>
      <c r="DF2639">
        <v>600547</v>
      </c>
      <c r="DG2639" t="s">
        <v>116</v>
      </c>
      <c r="DH2639" t="s">
        <v>116</v>
      </c>
      <c r="DI2639" t="s">
        <v>116</v>
      </c>
    </row>
    <row r="2640" spans="1:113" x14ac:dyDescent="0.4">
      <c r="A2640" t="str">
        <f>"600548"</f>
        <v>600548</v>
      </c>
      <c r="B2640" t="s">
        <v>11974</v>
      </c>
      <c r="C2640">
        <v>-1.1399999999999999</v>
      </c>
      <c r="D2640">
        <v>11.32</v>
      </c>
      <c r="E2640">
        <v>-0.13</v>
      </c>
      <c r="F2640">
        <v>11.31</v>
      </c>
      <c r="G2640">
        <v>11.32</v>
      </c>
      <c r="H2640">
        <v>43068</v>
      </c>
      <c r="I2640">
        <v>250</v>
      </c>
      <c r="J2640">
        <v>0.18</v>
      </c>
      <c r="K2640">
        <v>0.3</v>
      </c>
      <c r="L2640">
        <v>11.44</v>
      </c>
      <c r="M2640">
        <v>11.45</v>
      </c>
      <c r="N2640">
        <v>11.3</v>
      </c>
      <c r="O2640">
        <v>11.45</v>
      </c>
      <c r="P2640">
        <v>8.61</v>
      </c>
      <c r="Q2640">
        <v>48974828</v>
      </c>
      <c r="R2640">
        <v>1.5</v>
      </c>
      <c r="S2640" t="s">
        <v>809</v>
      </c>
      <c r="T2640" t="s">
        <v>115</v>
      </c>
      <c r="U2640">
        <v>1.31</v>
      </c>
      <c r="V2640">
        <v>11.37</v>
      </c>
      <c r="W2640">
        <v>34094</v>
      </c>
      <c r="X2640">
        <v>8974</v>
      </c>
      <c r="Y2640">
        <v>3.8</v>
      </c>
      <c r="Z2640">
        <v>199</v>
      </c>
      <c r="AA2640">
        <v>91</v>
      </c>
      <c r="AB2640" t="s">
        <v>116</v>
      </c>
      <c r="AC2640">
        <v>18600</v>
      </c>
      <c r="AD2640">
        <v>0</v>
      </c>
      <c r="AE2640" t="s">
        <v>116</v>
      </c>
      <c r="AF2640" t="s">
        <v>116</v>
      </c>
      <c r="AG2640">
        <v>14.33</v>
      </c>
      <c r="AH2640" t="s">
        <v>11975</v>
      </c>
      <c r="AI2640" t="s">
        <v>11975</v>
      </c>
      <c r="AJ2640">
        <v>-1.06</v>
      </c>
      <c r="AK2640">
        <v>1736</v>
      </c>
      <c r="AL2640">
        <v>25</v>
      </c>
      <c r="AM2640">
        <v>2.0000000000000001E-4</v>
      </c>
      <c r="AN2640">
        <v>-1</v>
      </c>
      <c r="AO2640">
        <v>-1.65</v>
      </c>
      <c r="AP2640">
        <v>4.8099999999999996</v>
      </c>
      <c r="AQ2640">
        <v>8.85</v>
      </c>
      <c r="AR2640">
        <v>36.880000000000003</v>
      </c>
      <c r="AS2640">
        <v>1.17</v>
      </c>
      <c r="AT2640" t="s">
        <v>11976</v>
      </c>
      <c r="AU2640">
        <v>6.07</v>
      </c>
      <c r="AV2640">
        <v>7.18</v>
      </c>
      <c r="AW2640">
        <v>0.56999999999999995</v>
      </c>
      <c r="BA2640">
        <v>-0.09</v>
      </c>
      <c r="BB2640">
        <v>0</v>
      </c>
      <c r="BC2640">
        <v>-1.31</v>
      </c>
      <c r="BD2640">
        <v>-0.69</v>
      </c>
      <c r="BE2640">
        <v>-1.05</v>
      </c>
      <c r="BF2640">
        <v>-1.1399999999999999</v>
      </c>
      <c r="BG2640">
        <v>0.18</v>
      </c>
      <c r="BH2640">
        <v>-0.45</v>
      </c>
      <c r="BI2640">
        <v>20191031</v>
      </c>
      <c r="BJ2640">
        <v>20011225</v>
      </c>
      <c r="BK2640">
        <v>21.81</v>
      </c>
      <c r="BL2640" t="s">
        <v>116</v>
      </c>
      <c r="BM2640">
        <v>7.48</v>
      </c>
      <c r="BN2640">
        <v>435.57</v>
      </c>
      <c r="BO2640">
        <v>179.96</v>
      </c>
      <c r="BP2640">
        <v>25.5</v>
      </c>
      <c r="BQ2640">
        <v>52.83</v>
      </c>
      <c r="BR2640">
        <v>68.760000000000005</v>
      </c>
      <c r="BS2640">
        <v>13.27</v>
      </c>
      <c r="BT2640">
        <v>237.65</v>
      </c>
      <c r="BU2640">
        <v>63.26</v>
      </c>
      <c r="BV2640">
        <v>5.0999999999999996</v>
      </c>
      <c r="BW2640">
        <v>2.94</v>
      </c>
      <c r="BX2640">
        <v>62.19</v>
      </c>
      <c r="BY2640">
        <v>41.85</v>
      </c>
      <c r="BZ2640">
        <v>21.17</v>
      </c>
      <c r="CA2640">
        <v>22.82</v>
      </c>
      <c r="CB2640">
        <v>8.06</v>
      </c>
      <c r="CC2640">
        <v>22.87</v>
      </c>
      <c r="CD2640">
        <v>23.3</v>
      </c>
      <c r="CE2640">
        <v>21.51</v>
      </c>
      <c r="CF2640">
        <v>19.27</v>
      </c>
      <c r="CG2640">
        <v>62.27</v>
      </c>
      <c r="CH2640">
        <v>12.86</v>
      </c>
      <c r="CI2640">
        <v>4.58</v>
      </c>
      <c r="CJ2640">
        <v>17525</v>
      </c>
      <c r="CK2640">
        <v>20943</v>
      </c>
      <c r="CL2640" t="s">
        <v>11977</v>
      </c>
      <c r="CM2640">
        <v>41.44</v>
      </c>
      <c r="CN2640">
        <v>1.0900000000000001</v>
      </c>
      <c r="CO2640">
        <v>1.37</v>
      </c>
      <c r="CP2640">
        <v>19.2</v>
      </c>
      <c r="CQ2640">
        <v>5.9</v>
      </c>
      <c r="CR2640">
        <v>6.27</v>
      </c>
      <c r="CS2640" t="s">
        <v>11978</v>
      </c>
      <c r="CT2640">
        <v>8.25</v>
      </c>
      <c r="CU2640">
        <v>0</v>
      </c>
      <c r="CV2640">
        <v>2.85</v>
      </c>
      <c r="CW2640">
        <v>2.86</v>
      </c>
      <c r="CX2640">
        <v>0.59</v>
      </c>
      <c r="CY2640">
        <v>41.32</v>
      </c>
      <c r="CZ2640" t="s">
        <v>2356</v>
      </c>
      <c r="DA2640">
        <v>49.41</v>
      </c>
      <c r="DB2640">
        <v>54.53</v>
      </c>
      <c r="DC2640">
        <v>51.39</v>
      </c>
      <c r="DD2640">
        <v>7.0000000000000007E-2</v>
      </c>
      <c r="DE2640">
        <v>4967</v>
      </c>
      <c r="DF2640">
        <v>600548</v>
      </c>
      <c r="DG2640" t="s">
        <v>116</v>
      </c>
      <c r="DH2640" t="s">
        <v>116</v>
      </c>
      <c r="DI2640" t="s">
        <v>116</v>
      </c>
    </row>
    <row r="2641" spans="1:113" x14ac:dyDescent="0.4">
      <c r="A2641" t="str">
        <f>"600549"</f>
        <v>600549</v>
      </c>
      <c r="B2641" t="s">
        <v>11979</v>
      </c>
      <c r="C2641">
        <v>0.93</v>
      </c>
      <c r="D2641">
        <v>13.04</v>
      </c>
      <c r="E2641">
        <v>0.12</v>
      </c>
      <c r="F2641">
        <v>13.03</v>
      </c>
      <c r="G2641">
        <v>13.04</v>
      </c>
      <c r="H2641">
        <v>271586</v>
      </c>
      <c r="I2641">
        <v>2123</v>
      </c>
      <c r="J2641">
        <v>0</v>
      </c>
      <c r="K2641">
        <v>1.93</v>
      </c>
      <c r="L2641">
        <v>12.98</v>
      </c>
      <c r="M2641">
        <v>13.5</v>
      </c>
      <c r="N2641">
        <v>12.94</v>
      </c>
      <c r="O2641">
        <v>12.92</v>
      </c>
      <c r="P2641">
        <v>126.36</v>
      </c>
      <c r="Q2641">
        <v>358384192</v>
      </c>
      <c r="R2641">
        <v>2.2799999999999998</v>
      </c>
      <c r="S2641" t="s">
        <v>1509</v>
      </c>
      <c r="T2641" t="s">
        <v>975</v>
      </c>
      <c r="U2641">
        <v>4.33</v>
      </c>
      <c r="V2641">
        <v>13.2</v>
      </c>
      <c r="W2641">
        <v>127755</v>
      </c>
      <c r="X2641">
        <v>143832</v>
      </c>
      <c r="Y2641">
        <v>0.89</v>
      </c>
      <c r="Z2641">
        <v>726</v>
      </c>
      <c r="AA2641">
        <v>1508</v>
      </c>
      <c r="AB2641" t="s">
        <v>116</v>
      </c>
      <c r="AC2641">
        <v>445200</v>
      </c>
      <c r="AD2641">
        <v>0</v>
      </c>
      <c r="AE2641" t="s">
        <v>116</v>
      </c>
      <c r="AF2641" t="s">
        <v>116</v>
      </c>
      <c r="AG2641">
        <v>14.06</v>
      </c>
      <c r="AH2641" t="s">
        <v>11980</v>
      </c>
      <c r="AI2641" t="s">
        <v>11980</v>
      </c>
      <c r="AJ2641">
        <v>1.01</v>
      </c>
      <c r="AK2641">
        <v>3823</v>
      </c>
      <c r="AL2641">
        <v>71</v>
      </c>
      <c r="AM2641">
        <v>5.0000000000000001E-4</v>
      </c>
      <c r="AN2641">
        <v>2</v>
      </c>
      <c r="AO2641">
        <v>1.25</v>
      </c>
      <c r="AP2641">
        <v>7.68</v>
      </c>
      <c r="AQ2641">
        <v>-6.52</v>
      </c>
      <c r="AR2641">
        <v>9.3000000000000007</v>
      </c>
      <c r="AS2641">
        <v>3.74</v>
      </c>
      <c r="AT2641" t="s">
        <v>11981</v>
      </c>
      <c r="AU2641">
        <v>116.11</v>
      </c>
      <c r="AV2641">
        <v>36.74</v>
      </c>
      <c r="AW2641">
        <v>1.02</v>
      </c>
      <c r="BA2641">
        <v>0.46</v>
      </c>
      <c r="BB2641">
        <v>4.49</v>
      </c>
      <c r="BC2641">
        <v>0.15</v>
      </c>
      <c r="BD2641">
        <v>2.14</v>
      </c>
      <c r="BE2641">
        <v>0.46</v>
      </c>
      <c r="BF2641">
        <v>-3.41</v>
      </c>
      <c r="BG2641">
        <v>0.77</v>
      </c>
      <c r="BH2641">
        <v>-1.21</v>
      </c>
      <c r="BI2641">
        <v>20191019</v>
      </c>
      <c r="BJ2641">
        <v>20021107</v>
      </c>
      <c r="BK2641">
        <v>14.06</v>
      </c>
      <c r="BL2641" t="s">
        <v>116</v>
      </c>
      <c r="BM2641" t="s">
        <v>116</v>
      </c>
      <c r="BN2641">
        <v>231.3</v>
      </c>
      <c r="BO2641">
        <v>72.44</v>
      </c>
      <c r="BP2641">
        <v>22.23</v>
      </c>
      <c r="BQ2641">
        <v>59.07</v>
      </c>
      <c r="BR2641">
        <v>112.38</v>
      </c>
      <c r="BS2641">
        <v>63.63</v>
      </c>
      <c r="BT2641">
        <v>10.210000000000001</v>
      </c>
      <c r="BU2641">
        <v>108.79</v>
      </c>
      <c r="BV2641">
        <v>51.7</v>
      </c>
      <c r="BW2641">
        <v>25.74</v>
      </c>
      <c r="BX2641">
        <v>31.55</v>
      </c>
      <c r="BY2641">
        <v>127.24</v>
      </c>
      <c r="BZ2641">
        <v>107.19</v>
      </c>
      <c r="CA2641">
        <v>3.38</v>
      </c>
      <c r="CB2641">
        <v>1.1100000000000001</v>
      </c>
      <c r="CC2641">
        <v>3.3</v>
      </c>
      <c r="CD2641">
        <v>2.52</v>
      </c>
      <c r="CE2641">
        <v>1.0900000000000001</v>
      </c>
      <c r="CF2641">
        <v>0.14000000000000001</v>
      </c>
      <c r="CG2641">
        <v>22.01</v>
      </c>
      <c r="CH2641">
        <v>10.24</v>
      </c>
      <c r="CI2641">
        <v>0.35</v>
      </c>
      <c r="CJ2641">
        <v>92231</v>
      </c>
      <c r="CK2641">
        <v>7867</v>
      </c>
      <c r="CL2641" t="s">
        <v>9719</v>
      </c>
      <c r="CM2641">
        <v>-75.81</v>
      </c>
      <c r="CN2641">
        <v>-10.01</v>
      </c>
      <c r="CO2641">
        <v>2.54</v>
      </c>
      <c r="CP2641">
        <v>17.91</v>
      </c>
      <c r="CQ2641">
        <v>1.44</v>
      </c>
      <c r="CR2641">
        <v>1.1599999999999999</v>
      </c>
      <c r="CS2641" t="s">
        <v>896</v>
      </c>
      <c r="CT2641">
        <v>5.13</v>
      </c>
      <c r="CU2641">
        <v>5.13</v>
      </c>
      <c r="CV2641">
        <v>2.2400000000000002</v>
      </c>
      <c r="CW2641">
        <v>1.57</v>
      </c>
      <c r="CX2641">
        <v>0.73</v>
      </c>
      <c r="CY2641">
        <v>31.32</v>
      </c>
      <c r="CZ2641" t="s">
        <v>1114</v>
      </c>
      <c r="DA2641">
        <v>15.76</v>
      </c>
      <c r="DB2641">
        <v>2.66</v>
      </c>
      <c r="DC2641">
        <v>0.86</v>
      </c>
      <c r="DD2641">
        <v>6.45</v>
      </c>
      <c r="DE2641">
        <v>13539</v>
      </c>
      <c r="DF2641">
        <v>600549</v>
      </c>
      <c r="DG2641" t="s">
        <v>116</v>
      </c>
      <c r="DH2641" t="s">
        <v>116</v>
      </c>
      <c r="DI2641" t="s">
        <v>116</v>
      </c>
    </row>
    <row r="2642" spans="1:113" x14ac:dyDescent="0.4">
      <c r="A2642" t="str">
        <f>"600550"</f>
        <v>600550</v>
      </c>
      <c r="B2642" t="s">
        <v>11982</v>
      </c>
      <c r="C2642">
        <v>-1.29</v>
      </c>
      <c r="D2642">
        <v>3.07</v>
      </c>
      <c r="E2642">
        <v>-0.04</v>
      </c>
      <c r="F2642">
        <v>3.07</v>
      </c>
      <c r="G2642">
        <v>3.08</v>
      </c>
      <c r="H2642">
        <v>31096</v>
      </c>
      <c r="I2642">
        <v>837</v>
      </c>
      <c r="J2642">
        <v>0</v>
      </c>
      <c r="K2642">
        <v>0.2</v>
      </c>
      <c r="L2642">
        <v>3.11</v>
      </c>
      <c r="M2642">
        <v>3.12</v>
      </c>
      <c r="N2642">
        <v>3.06</v>
      </c>
      <c r="O2642">
        <v>3.11</v>
      </c>
      <c r="P2642" t="s">
        <v>116</v>
      </c>
      <c r="Q2642">
        <v>9626158</v>
      </c>
      <c r="R2642">
        <v>1</v>
      </c>
      <c r="S2642" t="s">
        <v>397</v>
      </c>
      <c r="T2642" t="s">
        <v>608</v>
      </c>
      <c r="U2642">
        <v>1.93</v>
      </c>
      <c r="V2642">
        <v>3.1</v>
      </c>
      <c r="W2642">
        <v>19156</v>
      </c>
      <c r="X2642">
        <v>11940</v>
      </c>
      <c r="Y2642">
        <v>1.6</v>
      </c>
      <c r="Z2642">
        <v>123</v>
      </c>
      <c r="AA2642">
        <v>953</v>
      </c>
      <c r="AB2642" t="s">
        <v>116</v>
      </c>
      <c r="AC2642">
        <v>25500</v>
      </c>
      <c r="AD2642">
        <v>0</v>
      </c>
      <c r="AE2642" t="s">
        <v>116</v>
      </c>
      <c r="AF2642" t="s">
        <v>116</v>
      </c>
      <c r="AG2642">
        <v>15.35</v>
      </c>
      <c r="AH2642" t="s">
        <v>7004</v>
      </c>
      <c r="AI2642" t="s">
        <v>11983</v>
      </c>
      <c r="AJ2642">
        <v>-1.21</v>
      </c>
      <c r="AK2642">
        <v>694</v>
      </c>
      <c r="AL2642">
        <v>45</v>
      </c>
      <c r="AM2642">
        <v>2.9999999999999997E-4</v>
      </c>
      <c r="AN2642">
        <v>-1</v>
      </c>
      <c r="AO2642">
        <v>-0.33</v>
      </c>
      <c r="AP2642">
        <v>3.72</v>
      </c>
      <c r="AQ2642">
        <v>-7.53</v>
      </c>
      <c r="AR2642">
        <v>-16.579999999999998</v>
      </c>
      <c r="AS2642">
        <v>0.49</v>
      </c>
      <c r="AT2642" t="s">
        <v>11984</v>
      </c>
      <c r="AU2642" t="s">
        <v>116</v>
      </c>
      <c r="AV2642" t="s">
        <v>116</v>
      </c>
      <c r="AW2642">
        <v>1.1100000000000001</v>
      </c>
      <c r="BA2642">
        <v>0</v>
      </c>
      <c r="BB2642">
        <v>0.32</v>
      </c>
      <c r="BC2642">
        <v>-1.61</v>
      </c>
      <c r="BD2642">
        <v>-0.46</v>
      </c>
      <c r="BE2642">
        <v>-1.29</v>
      </c>
      <c r="BF2642">
        <v>-1.6</v>
      </c>
      <c r="BG2642">
        <v>0.33</v>
      </c>
      <c r="BH2642">
        <v>-0.82</v>
      </c>
      <c r="BI2642">
        <v>20191022</v>
      </c>
      <c r="BJ2642">
        <v>20010228</v>
      </c>
      <c r="BK2642">
        <v>18.420000000000002</v>
      </c>
      <c r="BL2642" t="s">
        <v>116</v>
      </c>
      <c r="BM2642" t="s">
        <v>116</v>
      </c>
      <c r="BN2642">
        <v>65.75</v>
      </c>
      <c r="BO2642">
        <v>7.08</v>
      </c>
      <c r="BP2642">
        <v>1.79</v>
      </c>
      <c r="BQ2642">
        <v>86.52</v>
      </c>
      <c r="BR2642">
        <v>43.96</v>
      </c>
      <c r="BS2642">
        <v>13.56</v>
      </c>
      <c r="BT2642">
        <v>4.42</v>
      </c>
      <c r="BU2642">
        <v>55.95</v>
      </c>
      <c r="BV2642">
        <v>11.03</v>
      </c>
      <c r="BW2642">
        <v>18.8</v>
      </c>
      <c r="BX2642">
        <v>39.44</v>
      </c>
      <c r="BY2642">
        <v>21.82</v>
      </c>
      <c r="BZ2642">
        <v>18.32</v>
      </c>
      <c r="CA2642">
        <v>-1.08</v>
      </c>
      <c r="CB2642">
        <v>7.0000000000000007E-2</v>
      </c>
      <c r="CC2642">
        <v>-0.61</v>
      </c>
      <c r="CD2642">
        <v>-0.76</v>
      </c>
      <c r="CE2642">
        <v>-0.71</v>
      </c>
      <c r="CF2642">
        <v>-1.4</v>
      </c>
      <c r="CG2642">
        <v>-54.23</v>
      </c>
      <c r="CH2642">
        <v>1.28</v>
      </c>
      <c r="CI2642">
        <v>-6.69</v>
      </c>
      <c r="CJ2642">
        <v>106448</v>
      </c>
      <c r="CK2642">
        <v>5941</v>
      </c>
      <c r="CL2642" t="s">
        <v>4301</v>
      </c>
      <c r="CM2642">
        <v>63.89</v>
      </c>
      <c r="CN2642">
        <v>-3.95</v>
      </c>
      <c r="CO2642">
        <v>7.99</v>
      </c>
      <c r="CP2642">
        <v>44.07</v>
      </c>
      <c r="CQ2642">
        <v>2.59</v>
      </c>
      <c r="CR2642">
        <v>0</v>
      </c>
      <c r="CS2642" t="s">
        <v>3364</v>
      </c>
      <c r="CT2642">
        <v>0.38</v>
      </c>
      <c r="CU2642">
        <v>0</v>
      </c>
      <c r="CV2642">
        <v>2.14</v>
      </c>
      <c r="CW2642">
        <v>-2.94</v>
      </c>
      <c r="CX2642">
        <v>7.0000000000000007E-2</v>
      </c>
      <c r="CY2642">
        <v>10.76</v>
      </c>
      <c r="CZ2642" t="s">
        <v>11985</v>
      </c>
      <c r="DA2642">
        <v>16.02</v>
      </c>
      <c r="DB2642">
        <v>-4.93</v>
      </c>
      <c r="DC2642">
        <v>-3.27</v>
      </c>
      <c r="DD2642">
        <v>1.06</v>
      </c>
      <c r="DE2642">
        <v>4311</v>
      </c>
      <c r="DF2642">
        <v>600550</v>
      </c>
      <c r="DG2642" t="s">
        <v>116</v>
      </c>
      <c r="DH2642" t="s">
        <v>116</v>
      </c>
      <c r="DI2642" t="s">
        <v>116</v>
      </c>
    </row>
    <row r="2643" spans="1:113" x14ac:dyDescent="0.4">
      <c r="A2643" t="str">
        <f>"600551"</f>
        <v>600551</v>
      </c>
      <c r="B2643" t="s">
        <v>11986</v>
      </c>
      <c r="C2643">
        <v>-0.49</v>
      </c>
      <c r="D2643">
        <v>8.1300000000000008</v>
      </c>
      <c r="E2643">
        <v>-0.04</v>
      </c>
      <c r="F2643">
        <v>8.1300000000000008</v>
      </c>
      <c r="G2643">
        <v>8.14</v>
      </c>
      <c r="H2643">
        <v>15646</v>
      </c>
      <c r="I2643">
        <v>178</v>
      </c>
      <c r="J2643">
        <v>-0.11</v>
      </c>
      <c r="K2643">
        <v>0.31</v>
      </c>
      <c r="L2643">
        <v>8.18</v>
      </c>
      <c r="M2643">
        <v>8.2100000000000009</v>
      </c>
      <c r="N2643">
        <v>8.11</v>
      </c>
      <c r="O2643">
        <v>8.17</v>
      </c>
      <c r="P2643">
        <v>13.82</v>
      </c>
      <c r="Q2643">
        <v>12789808</v>
      </c>
      <c r="R2643">
        <v>1.21</v>
      </c>
      <c r="S2643" t="s">
        <v>1902</v>
      </c>
      <c r="T2643" t="s">
        <v>575</v>
      </c>
      <c r="U2643">
        <v>1.22</v>
      </c>
      <c r="V2643">
        <v>8.17</v>
      </c>
      <c r="W2643">
        <v>8845</v>
      </c>
      <c r="X2643">
        <v>6801</v>
      </c>
      <c r="Y2643">
        <v>1.3</v>
      </c>
      <c r="Z2643">
        <v>44</v>
      </c>
      <c r="AA2643">
        <v>126</v>
      </c>
      <c r="AB2643" t="s">
        <v>116</v>
      </c>
      <c r="AC2643">
        <v>25300</v>
      </c>
      <c r="AD2643">
        <v>0</v>
      </c>
      <c r="AE2643" t="s">
        <v>116</v>
      </c>
      <c r="AF2643" t="s">
        <v>116</v>
      </c>
      <c r="AG2643">
        <v>5.0599999999999996</v>
      </c>
      <c r="AH2643" t="s">
        <v>5953</v>
      </c>
      <c r="AI2643" t="s">
        <v>5953</v>
      </c>
      <c r="AJ2643">
        <v>-0.41</v>
      </c>
      <c r="AK2643">
        <v>899</v>
      </c>
      <c r="AL2643">
        <v>17</v>
      </c>
      <c r="AM2643">
        <v>2.9999999999999997E-4</v>
      </c>
      <c r="AN2643">
        <v>-1</v>
      </c>
      <c r="AO2643">
        <v>0.37</v>
      </c>
      <c r="AP2643">
        <v>5.04</v>
      </c>
      <c r="AQ2643">
        <v>0.62</v>
      </c>
      <c r="AR2643">
        <v>-3.56</v>
      </c>
      <c r="AS2643">
        <v>0.88</v>
      </c>
      <c r="AT2643" t="s">
        <v>11987</v>
      </c>
      <c r="AU2643">
        <v>13.08</v>
      </c>
      <c r="AV2643">
        <v>12.48</v>
      </c>
      <c r="AW2643">
        <v>1.02</v>
      </c>
      <c r="BA2643">
        <v>0.12</v>
      </c>
      <c r="BB2643">
        <v>0.49</v>
      </c>
      <c r="BC2643">
        <v>-0.73</v>
      </c>
      <c r="BD2643">
        <v>0.06</v>
      </c>
      <c r="BE2643">
        <v>-0.61</v>
      </c>
      <c r="BF2643">
        <v>-0.97</v>
      </c>
      <c r="BG2643">
        <v>0.25</v>
      </c>
      <c r="BH2643">
        <v>-0.55000000000000004</v>
      </c>
      <c r="BI2643">
        <v>20191030</v>
      </c>
      <c r="BJ2643">
        <v>20020905</v>
      </c>
      <c r="BK2643">
        <v>5.0599999999999996</v>
      </c>
      <c r="BL2643" t="s">
        <v>116</v>
      </c>
      <c r="BM2643" t="s">
        <v>116</v>
      </c>
      <c r="BN2643">
        <v>65.62</v>
      </c>
      <c r="BO2643">
        <v>45.62</v>
      </c>
      <c r="BP2643">
        <v>1.25</v>
      </c>
      <c r="BQ2643">
        <v>28.57</v>
      </c>
      <c r="BR2643">
        <v>50.82</v>
      </c>
      <c r="BS2643">
        <v>6.7</v>
      </c>
      <c r="BT2643">
        <v>1.23</v>
      </c>
      <c r="BU2643">
        <v>17.510000000000002</v>
      </c>
      <c r="BV2643">
        <v>12.95</v>
      </c>
      <c r="BW2643">
        <v>10.62</v>
      </c>
      <c r="BX2643">
        <v>13.44</v>
      </c>
      <c r="BY2643">
        <v>44.55</v>
      </c>
      <c r="BZ2643">
        <v>38.799999999999997</v>
      </c>
      <c r="CA2643">
        <v>2.33</v>
      </c>
      <c r="CB2643">
        <v>0.18</v>
      </c>
      <c r="CC2643">
        <v>2.31</v>
      </c>
      <c r="CD2643">
        <v>2.2599999999999998</v>
      </c>
      <c r="CE2643">
        <v>2.23</v>
      </c>
      <c r="CF2643">
        <v>1.93</v>
      </c>
      <c r="CG2643">
        <v>27.05</v>
      </c>
      <c r="CH2643">
        <v>-1.03</v>
      </c>
      <c r="CI2643">
        <v>-6.4</v>
      </c>
      <c r="CJ2643">
        <v>16656</v>
      </c>
      <c r="CK2643">
        <v>10699</v>
      </c>
      <c r="CL2643" t="s">
        <v>585</v>
      </c>
      <c r="CM2643">
        <v>-6.4</v>
      </c>
      <c r="CN2643">
        <v>-0.16</v>
      </c>
      <c r="CO2643">
        <v>0.9</v>
      </c>
      <c r="CP2643">
        <v>-39.94</v>
      </c>
      <c r="CQ2643">
        <v>0.92</v>
      </c>
      <c r="CR2643">
        <v>2.2400000000000002</v>
      </c>
      <c r="CS2643" t="s">
        <v>1265</v>
      </c>
      <c r="CT2643">
        <v>9.02</v>
      </c>
      <c r="CU2643">
        <v>0</v>
      </c>
      <c r="CV2643">
        <v>2.66</v>
      </c>
      <c r="CW2643">
        <v>5.35</v>
      </c>
      <c r="CX2643">
        <v>-0.2</v>
      </c>
      <c r="CY2643">
        <v>69.53</v>
      </c>
      <c r="CZ2643" t="s">
        <v>2327</v>
      </c>
      <c r="DA2643">
        <v>12.9</v>
      </c>
      <c r="DB2643">
        <v>5.23</v>
      </c>
      <c r="DC2643">
        <v>5.01</v>
      </c>
      <c r="DD2643">
        <v>0.15</v>
      </c>
      <c r="DE2643">
        <v>2907</v>
      </c>
      <c r="DF2643">
        <v>600551</v>
      </c>
      <c r="DG2643" t="s">
        <v>116</v>
      </c>
      <c r="DH2643" t="s">
        <v>116</v>
      </c>
      <c r="DI2643" t="s">
        <v>116</v>
      </c>
    </row>
    <row r="2644" spans="1:113" x14ac:dyDescent="0.4">
      <c r="A2644" t="str">
        <f>"600552"</f>
        <v>600552</v>
      </c>
      <c r="B2644" t="s">
        <v>11988</v>
      </c>
      <c r="C2644">
        <v>-2.82</v>
      </c>
      <c r="D2644">
        <v>5.86</v>
      </c>
      <c r="E2644">
        <v>-0.17</v>
      </c>
      <c r="F2644">
        <v>5.85</v>
      </c>
      <c r="G2644">
        <v>5.86</v>
      </c>
      <c r="H2644">
        <v>274644</v>
      </c>
      <c r="I2644">
        <v>5150</v>
      </c>
      <c r="J2644">
        <v>-0.16</v>
      </c>
      <c r="K2644">
        <v>3.6</v>
      </c>
      <c r="L2644">
        <v>6.14</v>
      </c>
      <c r="M2644">
        <v>6.14</v>
      </c>
      <c r="N2644">
        <v>5.84</v>
      </c>
      <c r="O2644">
        <v>6.03</v>
      </c>
      <c r="P2644">
        <v>43.86</v>
      </c>
      <c r="Q2644">
        <v>164189840</v>
      </c>
      <c r="R2644">
        <v>1.1299999999999999</v>
      </c>
      <c r="S2644" t="s">
        <v>195</v>
      </c>
      <c r="T2644" t="s">
        <v>575</v>
      </c>
      <c r="U2644">
        <v>4.9800000000000004</v>
      </c>
      <c r="V2644">
        <v>5.98</v>
      </c>
      <c r="W2644">
        <v>181370</v>
      </c>
      <c r="X2644">
        <v>93274</v>
      </c>
      <c r="Y2644">
        <v>1.94</v>
      </c>
      <c r="Z2644">
        <v>1026</v>
      </c>
      <c r="AA2644">
        <v>1</v>
      </c>
      <c r="AB2644" t="s">
        <v>116</v>
      </c>
      <c r="AC2644">
        <v>2398300</v>
      </c>
      <c r="AD2644">
        <v>7.0000000000000007E-2</v>
      </c>
      <c r="AE2644" t="s">
        <v>116</v>
      </c>
      <c r="AF2644" t="s">
        <v>116</v>
      </c>
      <c r="AG2644">
        <v>7.64</v>
      </c>
      <c r="AH2644" t="s">
        <v>3122</v>
      </c>
      <c r="AI2644" t="s">
        <v>3122</v>
      </c>
      <c r="AJ2644">
        <v>-2.74</v>
      </c>
      <c r="AK2644">
        <v>2949</v>
      </c>
      <c r="AL2644">
        <v>93</v>
      </c>
      <c r="AM2644">
        <v>1.1999999999999999E-3</v>
      </c>
      <c r="AN2644">
        <v>-1</v>
      </c>
      <c r="AO2644">
        <v>-0.17</v>
      </c>
      <c r="AP2644">
        <v>8.7200000000000006</v>
      </c>
      <c r="AQ2644">
        <v>3.9</v>
      </c>
      <c r="AR2644">
        <v>59.67</v>
      </c>
      <c r="AS2644">
        <v>4.9400000000000004</v>
      </c>
      <c r="AT2644" t="s">
        <v>11989</v>
      </c>
      <c r="AU2644">
        <v>95.52</v>
      </c>
      <c r="AV2644">
        <v>103.91</v>
      </c>
      <c r="AW2644">
        <v>1.49</v>
      </c>
      <c r="BA2644">
        <v>1.82</v>
      </c>
      <c r="BB2644">
        <v>1.82</v>
      </c>
      <c r="BC2644">
        <v>-3.15</v>
      </c>
      <c r="BD2644">
        <v>-0.86</v>
      </c>
      <c r="BE2644">
        <v>-4.5599999999999996</v>
      </c>
      <c r="BF2644">
        <v>-4.5599999999999996</v>
      </c>
      <c r="BG2644">
        <v>0.34</v>
      </c>
      <c r="BH2644">
        <v>-1.96</v>
      </c>
      <c r="BI2644">
        <v>20191216</v>
      </c>
      <c r="BJ2644">
        <v>20021108</v>
      </c>
      <c r="BK2644">
        <v>7.64</v>
      </c>
      <c r="BL2644" t="s">
        <v>116</v>
      </c>
      <c r="BM2644" t="s">
        <v>116</v>
      </c>
      <c r="BN2644">
        <v>72.319999999999993</v>
      </c>
      <c r="BO2644">
        <v>24.79</v>
      </c>
      <c r="BP2644">
        <v>2.0699999999999998</v>
      </c>
      <c r="BQ2644">
        <v>62.86</v>
      </c>
      <c r="BR2644">
        <v>48.28</v>
      </c>
      <c r="BS2644">
        <v>11.76</v>
      </c>
      <c r="BT2644">
        <v>3.29</v>
      </c>
      <c r="BU2644">
        <v>38.58</v>
      </c>
      <c r="BV2644">
        <v>18.440000000000001</v>
      </c>
      <c r="BW2644">
        <v>13.8</v>
      </c>
      <c r="BX2644">
        <v>9.6</v>
      </c>
      <c r="BY2644">
        <v>30.76</v>
      </c>
      <c r="BZ2644">
        <v>26.77</v>
      </c>
      <c r="CA2644">
        <v>1.1200000000000001</v>
      </c>
      <c r="CB2644">
        <v>0</v>
      </c>
      <c r="CC2644">
        <v>1.1200000000000001</v>
      </c>
      <c r="CD2644">
        <v>0.97</v>
      </c>
      <c r="CE2644">
        <v>0.77</v>
      </c>
      <c r="CF2644">
        <v>0.34</v>
      </c>
      <c r="CG2644">
        <v>7.25</v>
      </c>
      <c r="CH2644">
        <v>0.46</v>
      </c>
      <c r="CI2644">
        <v>1.53</v>
      </c>
      <c r="CJ2644">
        <v>40088</v>
      </c>
      <c r="CK2644">
        <v>13869</v>
      </c>
      <c r="CL2644" t="s">
        <v>6009</v>
      </c>
      <c r="CM2644">
        <v>5.2</v>
      </c>
      <c r="CN2644">
        <v>43.54</v>
      </c>
      <c r="CO2644">
        <v>1.81</v>
      </c>
      <c r="CP2644">
        <v>96.89</v>
      </c>
      <c r="CQ2644">
        <v>1.46</v>
      </c>
      <c r="CR2644">
        <v>0</v>
      </c>
      <c r="CS2644" t="s">
        <v>2448</v>
      </c>
      <c r="CT2644">
        <v>3.25</v>
      </c>
      <c r="CU2644">
        <v>0</v>
      </c>
      <c r="CV2644">
        <v>1.26</v>
      </c>
      <c r="CW2644">
        <v>0.95</v>
      </c>
      <c r="CX2644">
        <v>0.06</v>
      </c>
      <c r="CY2644">
        <v>34.28</v>
      </c>
      <c r="CZ2644" t="s">
        <v>417</v>
      </c>
      <c r="DA2644">
        <v>12.95</v>
      </c>
      <c r="DB2644">
        <v>3.63</v>
      </c>
      <c r="DC2644">
        <v>2.4900000000000002</v>
      </c>
      <c r="DD2644">
        <v>1.06</v>
      </c>
      <c r="DE2644">
        <v>4436</v>
      </c>
      <c r="DF2644">
        <v>600552</v>
      </c>
      <c r="DG2644" t="s">
        <v>116</v>
      </c>
      <c r="DH2644" t="s">
        <v>116</v>
      </c>
      <c r="DI2644" t="s">
        <v>116</v>
      </c>
    </row>
    <row r="2645" spans="1:113" x14ac:dyDescent="0.4">
      <c r="A2645" t="str">
        <f>"600555"</f>
        <v>600555</v>
      </c>
      <c r="B2645" t="s">
        <v>11990</v>
      </c>
      <c r="C2645">
        <v>-1.68</v>
      </c>
      <c r="D2645">
        <v>2.34</v>
      </c>
      <c r="E2645">
        <v>-0.04</v>
      </c>
      <c r="F2645">
        <v>2.33</v>
      </c>
      <c r="G2645">
        <v>2.34</v>
      </c>
      <c r="H2645">
        <v>107251</v>
      </c>
      <c r="I2645">
        <v>715</v>
      </c>
      <c r="J2645">
        <v>0</v>
      </c>
      <c r="K2645">
        <v>1.1000000000000001</v>
      </c>
      <c r="L2645">
        <v>2.37</v>
      </c>
      <c r="M2645">
        <v>2.37</v>
      </c>
      <c r="N2645">
        <v>2.33</v>
      </c>
      <c r="O2645">
        <v>2.38</v>
      </c>
      <c r="P2645" t="s">
        <v>116</v>
      </c>
      <c r="Q2645">
        <v>25185254</v>
      </c>
      <c r="R2645">
        <v>0.44</v>
      </c>
      <c r="S2645" t="s">
        <v>1412</v>
      </c>
      <c r="T2645" t="s">
        <v>851</v>
      </c>
      <c r="U2645">
        <v>1.68</v>
      </c>
      <c r="V2645">
        <v>2.35</v>
      </c>
      <c r="W2645">
        <v>74034</v>
      </c>
      <c r="X2645">
        <v>33217</v>
      </c>
      <c r="Y2645">
        <v>2.23</v>
      </c>
      <c r="Z2645">
        <v>3007</v>
      </c>
      <c r="AA2645">
        <v>1465</v>
      </c>
      <c r="AB2645" t="s">
        <v>116</v>
      </c>
      <c r="AC2645">
        <v>43600</v>
      </c>
      <c r="AD2645">
        <v>0</v>
      </c>
      <c r="AE2645" t="s">
        <v>116</v>
      </c>
      <c r="AF2645" t="s">
        <v>116</v>
      </c>
      <c r="AG2645">
        <v>9.74</v>
      </c>
      <c r="AH2645" t="s">
        <v>7324</v>
      </c>
      <c r="AI2645" t="s">
        <v>6051</v>
      </c>
      <c r="AJ2645">
        <v>-1.6</v>
      </c>
      <c r="AK2645">
        <v>945</v>
      </c>
      <c r="AL2645">
        <v>113</v>
      </c>
      <c r="AM2645">
        <v>1.1999999999999999E-3</v>
      </c>
      <c r="AN2645">
        <v>-1</v>
      </c>
      <c r="AO2645">
        <v>-3.71</v>
      </c>
      <c r="AP2645">
        <v>6.85</v>
      </c>
      <c r="AQ2645">
        <v>-3.7</v>
      </c>
      <c r="AR2645">
        <v>-18.75</v>
      </c>
      <c r="AS2645">
        <v>1.59</v>
      </c>
      <c r="AT2645" t="s">
        <v>1777</v>
      </c>
      <c r="AU2645" t="s">
        <v>116</v>
      </c>
      <c r="AV2645" t="s">
        <v>116</v>
      </c>
      <c r="AW2645">
        <v>0.98</v>
      </c>
      <c r="BA2645">
        <v>-0.42</v>
      </c>
      <c r="BB2645">
        <v>-0.42</v>
      </c>
      <c r="BC2645">
        <v>-2.1</v>
      </c>
      <c r="BD2645">
        <v>-1.33</v>
      </c>
      <c r="BE2645">
        <v>-1.27</v>
      </c>
      <c r="BF2645">
        <v>-1.27</v>
      </c>
      <c r="BG2645">
        <v>0.43</v>
      </c>
      <c r="BH2645">
        <v>-0.35</v>
      </c>
      <c r="BI2645">
        <v>20191031</v>
      </c>
      <c r="BJ2645">
        <v>20010328</v>
      </c>
      <c r="BK2645">
        <v>13.04</v>
      </c>
      <c r="BL2645">
        <v>3.3</v>
      </c>
      <c r="BM2645" t="s">
        <v>116</v>
      </c>
      <c r="BN2645">
        <v>23.78</v>
      </c>
      <c r="BO2645">
        <v>13.32</v>
      </c>
      <c r="BP2645">
        <v>-0.01</v>
      </c>
      <c r="BQ2645">
        <v>43.99</v>
      </c>
      <c r="BR2645">
        <v>13.75</v>
      </c>
      <c r="BS2645">
        <v>0.4</v>
      </c>
      <c r="BT2645">
        <v>3.56</v>
      </c>
      <c r="BU2645">
        <v>9.08</v>
      </c>
      <c r="BV2645">
        <v>3.8</v>
      </c>
      <c r="BW2645">
        <v>0.03</v>
      </c>
      <c r="BX2645">
        <v>4.04</v>
      </c>
      <c r="BY2645">
        <v>0.06</v>
      </c>
      <c r="BZ2645">
        <v>0.08</v>
      </c>
      <c r="CA2645">
        <v>-0.5</v>
      </c>
      <c r="CB2645">
        <v>0.1</v>
      </c>
      <c r="CC2645">
        <v>-0.5</v>
      </c>
      <c r="CD2645">
        <v>-0.5</v>
      </c>
      <c r="CE2645">
        <v>-0.5</v>
      </c>
      <c r="CF2645">
        <v>-0.6</v>
      </c>
      <c r="CG2645">
        <v>-5.21</v>
      </c>
      <c r="CH2645">
        <v>-0.27</v>
      </c>
      <c r="CI2645">
        <v>-0.14000000000000001</v>
      </c>
      <c r="CJ2645">
        <v>90415</v>
      </c>
      <c r="CK2645">
        <v>11132</v>
      </c>
      <c r="CL2645" t="s">
        <v>1951</v>
      </c>
      <c r="CM2645">
        <v>-1213.3800000000001</v>
      </c>
      <c r="CN2645">
        <v>25.02</v>
      </c>
      <c r="CO2645">
        <v>2.29</v>
      </c>
      <c r="CP2645">
        <v>-113.42</v>
      </c>
      <c r="CQ2645">
        <v>506.05</v>
      </c>
      <c r="CR2645">
        <v>0</v>
      </c>
      <c r="CS2645" t="s">
        <v>4777</v>
      </c>
      <c r="CT2645">
        <v>1.02</v>
      </c>
      <c r="CU2645">
        <v>0</v>
      </c>
      <c r="CV2645">
        <v>0.31</v>
      </c>
      <c r="CW2645">
        <v>-0.4</v>
      </c>
      <c r="CX2645">
        <v>-0.02</v>
      </c>
      <c r="CY2645">
        <v>56.04</v>
      </c>
      <c r="CZ2645" t="s">
        <v>11991</v>
      </c>
      <c r="DA2645">
        <v>-35.380000000000003</v>
      </c>
      <c r="DB2645">
        <v>-834.94</v>
      </c>
      <c r="DC2645">
        <v>-821.4</v>
      </c>
      <c r="DD2645">
        <v>0</v>
      </c>
      <c r="DE2645">
        <v>121</v>
      </c>
      <c r="DF2645">
        <v>600555</v>
      </c>
      <c r="DG2645" t="s">
        <v>116</v>
      </c>
      <c r="DH2645" t="s">
        <v>116</v>
      </c>
      <c r="DI2645" t="s">
        <v>116</v>
      </c>
    </row>
    <row r="2646" spans="1:113" x14ac:dyDescent="0.4">
      <c r="A2646" t="str">
        <f>"600556"</f>
        <v>600556</v>
      </c>
      <c r="B2646" t="s">
        <v>11992</v>
      </c>
      <c r="C2646">
        <v>3.08</v>
      </c>
      <c r="D2646">
        <v>11.71</v>
      </c>
      <c r="E2646">
        <v>0.35</v>
      </c>
      <c r="F2646">
        <v>11.71</v>
      </c>
      <c r="G2646">
        <v>11.72</v>
      </c>
      <c r="H2646">
        <v>159829</v>
      </c>
      <c r="I2646">
        <v>2421</v>
      </c>
      <c r="J2646">
        <v>0.09</v>
      </c>
      <c r="K2646">
        <v>4.05</v>
      </c>
      <c r="L2646">
        <v>11.45</v>
      </c>
      <c r="M2646">
        <v>11.93</v>
      </c>
      <c r="N2646">
        <v>11.45</v>
      </c>
      <c r="O2646">
        <v>11.36</v>
      </c>
      <c r="P2646" t="s">
        <v>116</v>
      </c>
      <c r="Q2646">
        <v>189125392</v>
      </c>
      <c r="R2646">
        <v>2.66</v>
      </c>
      <c r="S2646" t="s">
        <v>607</v>
      </c>
      <c r="T2646" t="s">
        <v>982</v>
      </c>
      <c r="U2646">
        <v>4.2300000000000004</v>
      </c>
      <c r="V2646">
        <v>11.83</v>
      </c>
      <c r="W2646">
        <v>86086</v>
      </c>
      <c r="X2646">
        <v>73743</v>
      </c>
      <c r="Y2646">
        <v>1.17</v>
      </c>
      <c r="Z2646">
        <v>657</v>
      </c>
      <c r="AA2646">
        <v>672</v>
      </c>
      <c r="AB2646" t="s">
        <v>116</v>
      </c>
      <c r="AC2646">
        <v>542700</v>
      </c>
      <c r="AD2646">
        <v>0.01</v>
      </c>
      <c r="AE2646" t="s">
        <v>116</v>
      </c>
      <c r="AF2646" t="s">
        <v>116</v>
      </c>
      <c r="AG2646">
        <v>3.95</v>
      </c>
      <c r="AH2646" t="s">
        <v>11993</v>
      </c>
      <c r="AI2646" t="s">
        <v>11993</v>
      </c>
      <c r="AJ2646">
        <v>3.16</v>
      </c>
      <c r="AK2646">
        <v>1623</v>
      </c>
      <c r="AL2646">
        <v>98</v>
      </c>
      <c r="AM2646">
        <v>2.5000000000000001E-3</v>
      </c>
      <c r="AN2646">
        <v>5</v>
      </c>
      <c r="AO2646">
        <v>4.74</v>
      </c>
      <c r="AP2646">
        <v>23.65</v>
      </c>
      <c r="AQ2646">
        <v>53.88</v>
      </c>
      <c r="AR2646">
        <v>88.26</v>
      </c>
      <c r="AS2646">
        <v>4.58</v>
      </c>
      <c r="AT2646" t="s">
        <v>11994</v>
      </c>
      <c r="AU2646" t="s">
        <v>116</v>
      </c>
      <c r="AV2646" t="s">
        <v>116</v>
      </c>
      <c r="AW2646">
        <v>0.81</v>
      </c>
      <c r="BA2646">
        <v>0.79</v>
      </c>
      <c r="BB2646">
        <v>5.0199999999999996</v>
      </c>
      <c r="BC2646">
        <v>0.79</v>
      </c>
      <c r="BD2646">
        <v>4.16</v>
      </c>
      <c r="BE2646">
        <v>2.27</v>
      </c>
      <c r="BF2646">
        <v>-1.84</v>
      </c>
      <c r="BG2646">
        <v>2.27</v>
      </c>
      <c r="BH2646">
        <v>-1.08</v>
      </c>
      <c r="BI2646">
        <v>20191030</v>
      </c>
      <c r="BJ2646">
        <v>20010807</v>
      </c>
      <c r="BK2646">
        <v>3.95</v>
      </c>
      <c r="BL2646" t="s">
        <v>116</v>
      </c>
      <c r="BM2646" t="s">
        <v>116</v>
      </c>
      <c r="BN2646">
        <v>0.76</v>
      </c>
      <c r="BO2646">
        <v>-0.45</v>
      </c>
      <c r="BP2646">
        <v>-0.02</v>
      </c>
      <c r="BQ2646">
        <v>161.69</v>
      </c>
      <c r="BR2646">
        <v>0.6</v>
      </c>
      <c r="BS2646">
        <v>0.01</v>
      </c>
      <c r="BT2646">
        <v>0</v>
      </c>
      <c r="BU2646">
        <v>0.87</v>
      </c>
      <c r="BV2646">
        <v>0</v>
      </c>
      <c r="BW2646">
        <v>0.13</v>
      </c>
      <c r="BX2646">
        <v>4.5599999999999996</v>
      </c>
      <c r="BY2646">
        <v>0.2</v>
      </c>
      <c r="BZ2646">
        <v>0.15</v>
      </c>
      <c r="CA2646">
        <v>-0.61</v>
      </c>
      <c r="CB2646">
        <v>0</v>
      </c>
      <c r="CC2646">
        <v>-0.86</v>
      </c>
      <c r="CD2646">
        <v>-0.86</v>
      </c>
      <c r="CE2646">
        <v>-0.85</v>
      </c>
      <c r="CF2646">
        <v>-0.6</v>
      </c>
      <c r="CG2646">
        <v>-9.34</v>
      </c>
      <c r="CH2646">
        <v>-0.12</v>
      </c>
      <c r="CI2646">
        <v>-0.15</v>
      </c>
      <c r="CJ2646">
        <v>29292</v>
      </c>
      <c r="CK2646">
        <v>11906</v>
      </c>
      <c r="CL2646" t="s">
        <v>11472</v>
      </c>
      <c r="CM2646">
        <v>-525.95000000000005</v>
      </c>
      <c r="CN2646">
        <v>-58.12</v>
      </c>
      <c r="CO2646">
        <v>-103.3</v>
      </c>
      <c r="CP2646">
        <v>-382.48</v>
      </c>
      <c r="CQ2646">
        <v>232.33</v>
      </c>
      <c r="CR2646">
        <v>0</v>
      </c>
      <c r="CS2646" t="s">
        <v>11995</v>
      </c>
      <c r="CT2646">
        <v>-0.11</v>
      </c>
      <c r="CU2646">
        <v>0</v>
      </c>
      <c r="CV2646">
        <v>1.1499999999999999</v>
      </c>
      <c r="CW2646">
        <v>-2.36</v>
      </c>
      <c r="CX2646">
        <v>-0.03</v>
      </c>
      <c r="CY2646">
        <v>-59.02</v>
      </c>
      <c r="CZ2646" t="s">
        <v>116</v>
      </c>
      <c r="DA2646">
        <v>23.89</v>
      </c>
      <c r="DB2646">
        <v>-307.70999999999998</v>
      </c>
      <c r="DC2646">
        <v>-426.91</v>
      </c>
      <c r="DD2646">
        <v>0</v>
      </c>
      <c r="DE2646">
        <v>181</v>
      </c>
      <c r="DF2646">
        <v>600556</v>
      </c>
      <c r="DG2646" t="s">
        <v>116</v>
      </c>
      <c r="DH2646" t="s">
        <v>116</v>
      </c>
      <c r="DI2646" t="s">
        <v>116</v>
      </c>
    </row>
    <row r="2647" spans="1:113" x14ac:dyDescent="0.4">
      <c r="A2647" t="str">
        <f>"600557"</f>
        <v>600557</v>
      </c>
      <c r="B2647" t="s">
        <v>11996</v>
      </c>
      <c r="C2647">
        <v>-1.04</v>
      </c>
      <c r="D2647">
        <v>14.26</v>
      </c>
      <c r="E2647">
        <v>-0.15</v>
      </c>
      <c r="F2647">
        <v>14.25</v>
      </c>
      <c r="G2647">
        <v>14.26</v>
      </c>
      <c r="H2647">
        <v>31207</v>
      </c>
      <c r="I2647">
        <v>227</v>
      </c>
      <c r="J2647">
        <v>0.28000000000000003</v>
      </c>
      <c r="K2647">
        <v>0.54</v>
      </c>
      <c r="L2647">
        <v>14.44</v>
      </c>
      <c r="M2647">
        <v>14.52</v>
      </c>
      <c r="N2647">
        <v>14.21</v>
      </c>
      <c r="O2647">
        <v>14.41</v>
      </c>
      <c r="P2647">
        <v>16.98</v>
      </c>
      <c r="Q2647">
        <v>44868560</v>
      </c>
      <c r="R2647">
        <v>0.65</v>
      </c>
      <c r="S2647" t="s">
        <v>781</v>
      </c>
      <c r="T2647" t="s">
        <v>323</v>
      </c>
      <c r="U2647">
        <v>2.15</v>
      </c>
      <c r="V2647">
        <v>14.38</v>
      </c>
      <c r="W2647">
        <v>17542</v>
      </c>
      <c r="X2647">
        <v>13665</v>
      </c>
      <c r="Y2647">
        <v>1.28</v>
      </c>
      <c r="Z2647">
        <v>69</v>
      </c>
      <c r="AA2647">
        <v>235</v>
      </c>
      <c r="AB2647" t="s">
        <v>116</v>
      </c>
      <c r="AC2647">
        <v>83800</v>
      </c>
      <c r="AD2647">
        <v>0</v>
      </c>
      <c r="AE2647" t="s">
        <v>116</v>
      </c>
      <c r="AF2647" t="s">
        <v>116</v>
      </c>
      <c r="AG2647">
        <v>5.75</v>
      </c>
      <c r="AH2647" t="s">
        <v>11997</v>
      </c>
      <c r="AI2647" t="s">
        <v>11998</v>
      </c>
      <c r="AJ2647">
        <v>-0.96</v>
      </c>
      <c r="AK2647">
        <v>2363</v>
      </c>
      <c r="AL2647">
        <v>13</v>
      </c>
      <c r="AM2647">
        <v>2.0000000000000001E-4</v>
      </c>
      <c r="AN2647">
        <v>-1</v>
      </c>
      <c r="AO2647">
        <v>-0.56000000000000005</v>
      </c>
      <c r="AP2647">
        <v>0.28000000000000003</v>
      </c>
      <c r="AQ2647">
        <v>-13.84</v>
      </c>
      <c r="AR2647">
        <v>39.799999999999997</v>
      </c>
      <c r="AS2647">
        <v>0.88</v>
      </c>
      <c r="AT2647" t="s">
        <v>11999</v>
      </c>
      <c r="AU2647">
        <v>17.02</v>
      </c>
      <c r="AV2647">
        <v>19.600000000000001</v>
      </c>
      <c r="AW2647">
        <v>0.92</v>
      </c>
      <c r="BA2647">
        <v>0.21</v>
      </c>
      <c r="BB2647">
        <v>0.76</v>
      </c>
      <c r="BC2647">
        <v>-1.39</v>
      </c>
      <c r="BD2647">
        <v>-0.22</v>
      </c>
      <c r="BE2647">
        <v>-1.25</v>
      </c>
      <c r="BF2647">
        <v>-1.79</v>
      </c>
      <c r="BG2647">
        <v>0.35</v>
      </c>
      <c r="BH2647">
        <v>-0.82</v>
      </c>
      <c r="BI2647">
        <v>20191119</v>
      </c>
      <c r="BJ2647">
        <v>20020918</v>
      </c>
      <c r="BK2647">
        <v>5.93</v>
      </c>
      <c r="BL2647" t="s">
        <v>116</v>
      </c>
      <c r="BM2647" t="s">
        <v>116</v>
      </c>
      <c r="BN2647">
        <v>58.79</v>
      </c>
      <c r="BO2647">
        <v>38.11</v>
      </c>
      <c r="BP2647">
        <v>1.38</v>
      </c>
      <c r="BQ2647">
        <v>32.82</v>
      </c>
      <c r="BR2647">
        <v>27.64</v>
      </c>
      <c r="BS2647">
        <v>20.02</v>
      </c>
      <c r="BT2647">
        <v>3.18</v>
      </c>
      <c r="BU2647">
        <v>18.309999999999999</v>
      </c>
      <c r="BV2647">
        <v>2.85</v>
      </c>
      <c r="BW2647">
        <v>11.46</v>
      </c>
      <c r="BX2647">
        <v>1.83</v>
      </c>
      <c r="BY2647">
        <v>33.659999999999997</v>
      </c>
      <c r="BZ2647">
        <v>7.03</v>
      </c>
      <c r="CA2647">
        <v>4.5199999999999996</v>
      </c>
      <c r="CB2647">
        <v>0.02</v>
      </c>
      <c r="CC2647">
        <v>4.51</v>
      </c>
      <c r="CD2647">
        <v>3.8</v>
      </c>
      <c r="CE2647">
        <v>3.73</v>
      </c>
      <c r="CF2647">
        <v>3.59</v>
      </c>
      <c r="CG2647">
        <v>27.24</v>
      </c>
      <c r="CH2647">
        <v>7.64</v>
      </c>
      <c r="CI2647">
        <v>0.06</v>
      </c>
      <c r="CJ2647">
        <v>20423</v>
      </c>
      <c r="CK2647">
        <v>17426</v>
      </c>
      <c r="CL2647" t="s">
        <v>12000</v>
      </c>
      <c r="CM2647">
        <v>21.25</v>
      </c>
      <c r="CN2647">
        <v>22.16</v>
      </c>
      <c r="CO2647">
        <v>2.2200000000000002</v>
      </c>
      <c r="CP2647">
        <v>11.07</v>
      </c>
      <c r="CQ2647">
        <v>2.5099999999999998</v>
      </c>
      <c r="CR2647">
        <v>0.56000000000000005</v>
      </c>
      <c r="CS2647" t="s">
        <v>9624</v>
      </c>
      <c r="CT2647">
        <v>6.43</v>
      </c>
      <c r="CU2647">
        <v>0</v>
      </c>
      <c r="CV2647">
        <v>0.31</v>
      </c>
      <c r="CW2647">
        <v>4.5999999999999996</v>
      </c>
      <c r="CX2647">
        <v>1.29</v>
      </c>
      <c r="CY2647">
        <v>64.83</v>
      </c>
      <c r="CZ2647" t="s">
        <v>2611</v>
      </c>
      <c r="DA2647">
        <v>79.099999999999994</v>
      </c>
      <c r="DB2647">
        <v>13.43</v>
      </c>
      <c r="DC2647">
        <v>11.1</v>
      </c>
      <c r="DD2647">
        <v>3.54</v>
      </c>
      <c r="DE2647">
        <v>6299</v>
      </c>
      <c r="DF2647">
        <v>600557</v>
      </c>
      <c r="DG2647" t="s">
        <v>116</v>
      </c>
      <c r="DH2647" t="s">
        <v>116</v>
      </c>
      <c r="DI2647" t="s">
        <v>116</v>
      </c>
    </row>
    <row r="2648" spans="1:113" x14ac:dyDescent="0.4">
      <c r="A2648" t="str">
        <f>"600558"</f>
        <v>600558</v>
      </c>
      <c r="B2648" t="s">
        <v>12001</v>
      </c>
      <c r="C2648">
        <v>1.25</v>
      </c>
      <c r="D2648">
        <v>3.25</v>
      </c>
      <c r="E2648">
        <v>0.04</v>
      </c>
      <c r="F2648">
        <v>3.24</v>
      </c>
      <c r="G2648">
        <v>3.25</v>
      </c>
      <c r="H2648">
        <v>55018</v>
      </c>
      <c r="I2648">
        <v>568</v>
      </c>
      <c r="J2648">
        <v>0.31</v>
      </c>
      <c r="K2648">
        <v>0.61</v>
      </c>
      <c r="L2648">
        <v>3.22</v>
      </c>
      <c r="M2648">
        <v>3.28</v>
      </c>
      <c r="N2648">
        <v>3.21</v>
      </c>
      <c r="O2648">
        <v>3.21</v>
      </c>
      <c r="P2648">
        <v>60.63</v>
      </c>
      <c r="Q2648">
        <v>17925132</v>
      </c>
      <c r="R2648">
        <v>1.1299999999999999</v>
      </c>
      <c r="S2648" t="s">
        <v>2118</v>
      </c>
      <c r="T2648" t="s">
        <v>582</v>
      </c>
      <c r="U2648">
        <v>2.1800000000000002</v>
      </c>
      <c r="V2648">
        <v>3.26</v>
      </c>
      <c r="W2648">
        <v>25465</v>
      </c>
      <c r="X2648">
        <v>29553</v>
      </c>
      <c r="Y2648">
        <v>0.86</v>
      </c>
      <c r="Z2648">
        <v>663</v>
      </c>
      <c r="AA2648">
        <v>418</v>
      </c>
      <c r="AB2648" t="s">
        <v>116</v>
      </c>
      <c r="AC2648">
        <v>16100</v>
      </c>
      <c r="AD2648">
        <v>0</v>
      </c>
      <c r="AE2648" t="s">
        <v>116</v>
      </c>
      <c r="AF2648" t="s">
        <v>116</v>
      </c>
      <c r="AG2648">
        <v>8.98</v>
      </c>
      <c r="AH2648" t="s">
        <v>9241</v>
      </c>
      <c r="AI2648" t="s">
        <v>9241</v>
      </c>
      <c r="AJ2648">
        <v>1.32</v>
      </c>
      <c r="AK2648">
        <v>787</v>
      </c>
      <c r="AL2648">
        <v>70</v>
      </c>
      <c r="AM2648">
        <v>8.0000000000000004E-4</v>
      </c>
      <c r="AN2648">
        <v>1</v>
      </c>
      <c r="AO2648">
        <v>0.62</v>
      </c>
      <c r="AP2648">
        <v>5.86</v>
      </c>
      <c r="AQ2648">
        <v>1.56</v>
      </c>
      <c r="AR2648">
        <v>3.67</v>
      </c>
      <c r="AS2648">
        <v>0.92</v>
      </c>
      <c r="AT2648" t="s">
        <v>6460</v>
      </c>
      <c r="AU2648">
        <v>87.71</v>
      </c>
      <c r="AV2648">
        <v>46.97</v>
      </c>
      <c r="AW2648">
        <v>0.71</v>
      </c>
      <c r="BA2648">
        <v>0.31</v>
      </c>
      <c r="BB2648">
        <v>2.1800000000000002</v>
      </c>
      <c r="BC2648">
        <v>0</v>
      </c>
      <c r="BD2648">
        <v>1.5</v>
      </c>
      <c r="BE2648">
        <v>0.93</v>
      </c>
      <c r="BF2648">
        <v>-0.91</v>
      </c>
      <c r="BG2648">
        <v>1.25</v>
      </c>
      <c r="BH2648">
        <v>-0.25</v>
      </c>
      <c r="BI2648">
        <v>20191029</v>
      </c>
      <c r="BJ2648">
        <v>20010227</v>
      </c>
      <c r="BK2648">
        <v>8.98</v>
      </c>
      <c r="BL2648" t="s">
        <v>116</v>
      </c>
      <c r="BM2648" t="s">
        <v>116</v>
      </c>
      <c r="BN2648">
        <v>28.78</v>
      </c>
      <c r="BO2648">
        <v>19.37</v>
      </c>
      <c r="BP2648">
        <v>1.77</v>
      </c>
      <c r="BQ2648">
        <v>26.52</v>
      </c>
      <c r="BR2648">
        <v>13.78</v>
      </c>
      <c r="BS2648">
        <v>11.05</v>
      </c>
      <c r="BT2648">
        <v>2.57</v>
      </c>
      <c r="BU2648">
        <v>7.23</v>
      </c>
      <c r="BV2648">
        <v>4.91</v>
      </c>
      <c r="BW2648">
        <v>3.2</v>
      </c>
      <c r="BX2648">
        <v>4.4800000000000004</v>
      </c>
      <c r="BY2648">
        <v>21.83</v>
      </c>
      <c r="BZ2648">
        <v>18.850000000000001</v>
      </c>
      <c r="CA2648">
        <v>0.52</v>
      </c>
      <c r="CB2648">
        <v>0.04</v>
      </c>
      <c r="CC2648">
        <v>0.51</v>
      </c>
      <c r="CD2648">
        <v>0.39</v>
      </c>
      <c r="CE2648">
        <v>0.36</v>
      </c>
      <c r="CF2648">
        <v>0.34</v>
      </c>
      <c r="CG2648">
        <v>4.92</v>
      </c>
      <c r="CH2648">
        <v>0.23</v>
      </c>
      <c r="CI2648">
        <v>-0.69</v>
      </c>
      <c r="CJ2648">
        <v>41441</v>
      </c>
      <c r="CK2648">
        <v>14482</v>
      </c>
      <c r="CL2648" t="s">
        <v>7271</v>
      </c>
      <c r="CM2648">
        <v>-44.43</v>
      </c>
      <c r="CN2648">
        <v>12.63</v>
      </c>
      <c r="CO2648">
        <v>1.51</v>
      </c>
      <c r="CP2648">
        <v>126.9</v>
      </c>
      <c r="CQ2648">
        <v>1.34</v>
      </c>
      <c r="CR2648">
        <v>0.77</v>
      </c>
      <c r="CS2648" t="s">
        <v>778</v>
      </c>
      <c r="CT2648">
        <v>2.16</v>
      </c>
      <c r="CU2648">
        <v>0</v>
      </c>
      <c r="CV2648">
        <v>0.5</v>
      </c>
      <c r="CW2648">
        <v>0.55000000000000004</v>
      </c>
      <c r="CX2648">
        <v>0.03</v>
      </c>
      <c r="CY2648">
        <v>67.31</v>
      </c>
      <c r="CZ2648" t="s">
        <v>10667</v>
      </c>
      <c r="DA2648">
        <v>13.64</v>
      </c>
      <c r="DB2648">
        <v>2.39</v>
      </c>
      <c r="DC2648">
        <v>1.65</v>
      </c>
      <c r="DD2648">
        <v>0.26</v>
      </c>
      <c r="DE2648">
        <v>1963</v>
      </c>
      <c r="DF2648">
        <v>600558</v>
      </c>
      <c r="DG2648" t="s">
        <v>116</v>
      </c>
      <c r="DH2648" t="s">
        <v>116</v>
      </c>
      <c r="DI2648" t="s">
        <v>116</v>
      </c>
    </row>
    <row r="2649" spans="1:113" x14ac:dyDescent="0.4">
      <c r="A2649" t="str">
        <f>"600559"</f>
        <v>600559</v>
      </c>
      <c r="B2649" t="s">
        <v>12002</v>
      </c>
      <c r="C2649">
        <v>1</v>
      </c>
      <c r="D2649">
        <v>11.12</v>
      </c>
      <c r="E2649">
        <v>0.11</v>
      </c>
      <c r="F2649">
        <v>11.11</v>
      </c>
      <c r="G2649">
        <v>11.12</v>
      </c>
      <c r="H2649">
        <v>129612</v>
      </c>
      <c r="I2649">
        <v>1495</v>
      </c>
      <c r="J2649">
        <v>0.27</v>
      </c>
      <c r="K2649">
        <v>1.57</v>
      </c>
      <c r="L2649">
        <v>11.01</v>
      </c>
      <c r="M2649">
        <v>11.18</v>
      </c>
      <c r="N2649">
        <v>11.01</v>
      </c>
      <c r="O2649">
        <v>11.01</v>
      </c>
      <c r="P2649">
        <v>27.58</v>
      </c>
      <c r="Q2649">
        <v>144161824</v>
      </c>
      <c r="R2649">
        <v>1.48</v>
      </c>
      <c r="S2649" t="s">
        <v>1212</v>
      </c>
      <c r="T2649" t="s">
        <v>608</v>
      </c>
      <c r="U2649">
        <v>1.54</v>
      </c>
      <c r="V2649">
        <v>11.12</v>
      </c>
      <c r="W2649">
        <v>63211</v>
      </c>
      <c r="X2649">
        <v>66401</v>
      </c>
      <c r="Y2649">
        <v>0.95</v>
      </c>
      <c r="Z2649">
        <v>530</v>
      </c>
      <c r="AA2649">
        <v>160</v>
      </c>
      <c r="AB2649" t="s">
        <v>116</v>
      </c>
      <c r="AC2649">
        <v>183900</v>
      </c>
      <c r="AD2649">
        <v>0</v>
      </c>
      <c r="AE2649" t="s">
        <v>116</v>
      </c>
      <c r="AF2649" t="s">
        <v>116</v>
      </c>
      <c r="AG2649">
        <v>8.25</v>
      </c>
      <c r="AH2649" t="s">
        <v>12003</v>
      </c>
      <c r="AI2649" t="s">
        <v>12004</v>
      </c>
      <c r="AJ2649">
        <v>1.08</v>
      </c>
      <c r="AK2649">
        <v>2727</v>
      </c>
      <c r="AL2649">
        <v>48</v>
      </c>
      <c r="AM2649">
        <v>5.9999999999999995E-4</v>
      </c>
      <c r="AN2649">
        <v>2</v>
      </c>
      <c r="AO2649">
        <v>0.36</v>
      </c>
      <c r="AP2649">
        <v>1.55</v>
      </c>
      <c r="AQ2649">
        <v>-13.87</v>
      </c>
      <c r="AR2649">
        <v>18.88</v>
      </c>
      <c r="AS2649">
        <v>2.2599999999999998</v>
      </c>
      <c r="AT2649" t="s">
        <v>12005</v>
      </c>
      <c r="AU2649">
        <v>26.42</v>
      </c>
      <c r="AV2649">
        <v>28.48</v>
      </c>
      <c r="AW2649">
        <v>0.91</v>
      </c>
      <c r="BA2649">
        <v>0</v>
      </c>
      <c r="BB2649">
        <v>1.54</v>
      </c>
      <c r="BC2649">
        <v>0</v>
      </c>
      <c r="BD2649">
        <v>1.02</v>
      </c>
      <c r="BE2649">
        <v>1</v>
      </c>
      <c r="BF2649">
        <v>-0.54</v>
      </c>
      <c r="BG2649">
        <v>1</v>
      </c>
      <c r="BH2649">
        <v>-0.02</v>
      </c>
      <c r="BI2649">
        <v>20191026</v>
      </c>
      <c r="BJ2649">
        <v>20021029</v>
      </c>
      <c r="BK2649">
        <v>8.9700000000000006</v>
      </c>
      <c r="BL2649" t="s">
        <v>116</v>
      </c>
      <c r="BM2649" t="s">
        <v>116</v>
      </c>
      <c r="BN2649">
        <v>55.78</v>
      </c>
      <c r="BO2649">
        <v>31.56</v>
      </c>
      <c r="BP2649">
        <v>0.05</v>
      </c>
      <c r="BQ2649">
        <v>43.33</v>
      </c>
      <c r="BR2649">
        <v>29.12</v>
      </c>
      <c r="BS2649">
        <v>8.94</v>
      </c>
      <c r="BT2649">
        <v>7.09</v>
      </c>
      <c r="BU2649">
        <v>22.56</v>
      </c>
      <c r="BV2649">
        <v>15.82</v>
      </c>
      <c r="BW2649">
        <v>0.34</v>
      </c>
      <c r="BX2649">
        <v>12.82</v>
      </c>
      <c r="BY2649">
        <v>28.22</v>
      </c>
      <c r="BZ2649">
        <v>10.64</v>
      </c>
      <c r="CA2649">
        <v>3.18</v>
      </c>
      <c r="CB2649">
        <v>0.14000000000000001</v>
      </c>
      <c r="CC2649">
        <v>3.27</v>
      </c>
      <c r="CD2649">
        <v>2.71</v>
      </c>
      <c r="CE2649">
        <v>2.71</v>
      </c>
      <c r="CF2649">
        <v>2.44</v>
      </c>
      <c r="CG2649">
        <v>8.64</v>
      </c>
      <c r="CH2649">
        <v>-0.28000000000000003</v>
      </c>
      <c r="CI2649">
        <v>-1.25</v>
      </c>
      <c r="CJ2649">
        <v>79478</v>
      </c>
      <c r="CK2649">
        <v>7207</v>
      </c>
      <c r="CL2649" t="s">
        <v>1532</v>
      </c>
      <c r="CM2649">
        <v>11.16</v>
      </c>
      <c r="CN2649">
        <v>16.09</v>
      </c>
      <c r="CO2649">
        <v>3.16</v>
      </c>
      <c r="CP2649">
        <v>-361.21</v>
      </c>
      <c r="CQ2649">
        <v>3.54</v>
      </c>
      <c r="CR2649">
        <v>1.38</v>
      </c>
      <c r="CS2649" t="s">
        <v>1924</v>
      </c>
      <c r="CT2649">
        <v>3.52</v>
      </c>
      <c r="CU2649">
        <v>0</v>
      </c>
      <c r="CV2649">
        <v>1.43</v>
      </c>
      <c r="CW2649">
        <v>0.96</v>
      </c>
      <c r="CX2649">
        <v>-0.03</v>
      </c>
      <c r="CY2649">
        <v>56.58</v>
      </c>
      <c r="CZ2649" t="s">
        <v>4668</v>
      </c>
      <c r="DA2649">
        <v>62.3</v>
      </c>
      <c r="DB2649">
        <v>11.28</v>
      </c>
      <c r="DC2649">
        <v>9.6199999999999992</v>
      </c>
      <c r="DD2649">
        <v>0.08</v>
      </c>
      <c r="DE2649">
        <v>5724</v>
      </c>
      <c r="DF2649">
        <v>600559</v>
      </c>
      <c r="DG2649" t="s">
        <v>116</v>
      </c>
      <c r="DH2649" t="s">
        <v>116</v>
      </c>
      <c r="DI2649" t="s">
        <v>116</v>
      </c>
    </row>
    <row r="2650" spans="1:113" x14ac:dyDescent="0.4">
      <c r="A2650" t="str">
        <f>"600560"</f>
        <v>600560</v>
      </c>
      <c r="B2650" t="s">
        <v>12006</v>
      </c>
      <c r="C2650">
        <v>-2.04</v>
      </c>
      <c r="D2650">
        <v>8.65</v>
      </c>
      <c r="E2650">
        <v>-0.18</v>
      </c>
      <c r="F2650">
        <v>8.65</v>
      </c>
      <c r="G2650">
        <v>8.66</v>
      </c>
      <c r="H2650">
        <v>21850</v>
      </c>
      <c r="I2650">
        <v>117</v>
      </c>
      <c r="J2650">
        <v>0</v>
      </c>
      <c r="K2650">
        <v>0.98</v>
      </c>
      <c r="L2650">
        <v>8.82</v>
      </c>
      <c r="M2650">
        <v>8.84</v>
      </c>
      <c r="N2650">
        <v>8.64</v>
      </c>
      <c r="O2650">
        <v>8.83</v>
      </c>
      <c r="P2650">
        <v>57.5</v>
      </c>
      <c r="Q2650">
        <v>19123484</v>
      </c>
      <c r="R2650">
        <v>1.34</v>
      </c>
      <c r="S2650" t="s">
        <v>397</v>
      </c>
      <c r="T2650" t="s">
        <v>165</v>
      </c>
      <c r="U2650">
        <v>2.27</v>
      </c>
      <c r="V2650">
        <v>8.75</v>
      </c>
      <c r="W2650">
        <v>13054</v>
      </c>
      <c r="X2650">
        <v>8796</v>
      </c>
      <c r="Y2650">
        <v>1.48</v>
      </c>
      <c r="Z2650">
        <v>41</v>
      </c>
      <c r="AA2650">
        <v>32</v>
      </c>
      <c r="AB2650" t="s">
        <v>116</v>
      </c>
      <c r="AC2650">
        <v>4400</v>
      </c>
      <c r="AD2650">
        <v>0</v>
      </c>
      <c r="AE2650" t="s">
        <v>116</v>
      </c>
      <c r="AF2650" t="s">
        <v>116</v>
      </c>
      <c r="AG2650">
        <v>2.2400000000000002</v>
      </c>
      <c r="AH2650" t="s">
        <v>3460</v>
      </c>
      <c r="AI2650" t="s">
        <v>3460</v>
      </c>
      <c r="AJ2650">
        <v>-1.96</v>
      </c>
      <c r="AK2650">
        <v>837</v>
      </c>
      <c r="AL2650">
        <v>26</v>
      </c>
      <c r="AM2650">
        <v>1.1999999999999999E-3</v>
      </c>
      <c r="AN2650">
        <v>-1</v>
      </c>
      <c r="AO2650">
        <v>-0.57999999999999996</v>
      </c>
      <c r="AP2650">
        <v>6.27</v>
      </c>
      <c r="AQ2650">
        <v>-9.52</v>
      </c>
      <c r="AR2650">
        <v>7.44</v>
      </c>
      <c r="AS2650">
        <v>1.73</v>
      </c>
      <c r="AT2650" t="s">
        <v>11084</v>
      </c>
      <c r="AU2650">
        <v>66.72</v>
      </c>
      <c r="AV2650">
        <v>92.09</v>
      </c>
      <c r="AW2650">
        <v>1.65</v>
      </c>
      <c r="BA2650">
        <v>-0.11</v>
      </c>
      <c r="BB2650">
        <v>0.11</v>
      </c>
      <c r="BC2650">
        <v>-2.15</v>
      </c>
      <c r="BD2650">
        <v>-0.88</v>
      </c>
      <c r="BE2650">
        <v>-1.93</v>
      </c>
      <c r="BF2650">
        <v>-2.15</v>
      </c>
      <c r="BG2650">
        <v>0.12</v>
      </c>
      <c r="BH2650">
        <v>-1.1599999999999999</v>
      </c>
      <c r="BI2650">
        <v>20191026</v>
      </c>
      <c r="BJ2650">
        <v>20020919</v>
      </c>
      <c r="BK2650">
        <v>2.2400000000000002</v>
      </c>
      <c r="BL2650" t="s">
        <v>116</v>
      </c>
      <c r="BM2650" t="s">
        <v>116</v>
      </c>
      <c r="BN2650">
        <v>16.239999999999998</v>
      </c>
      <c r="BO2650">
        <v>7.76</v>
      </c>
      <c r="BP2650">
        <v>0.32</v>
      </c>
      <c r="BQ2650">
        <v>50.25</v>
      </c>
      <c r="BR2650">
        <v>13.6</v>
      </c>
      <c r="BS2650">
        <v>0.96</v>
      </c>
      <c r="BT2650">
        <v>0.26</v>
      </c>
      <c r="BU2650">
        <v>7.97</v>
      </c>
      <c r="BV2650">
        <v>5.41</v>
      </c>
      <c r="BW2650">
        <v>2.85</v>
      </c>
      <c r="BX2650">
        <v>2.0699999999999998</v>
      </c>
      <c r="BY2650">
        <v>4.6900000000000004</v>
      </c>
      <c r="BZ2650">
        <v>3.63</v>
      </c>
      <c r="CA2650">
        <v>0.26</v>
      </c>
      <c r="CB2650">
        <v>0.02</v>
      </c>
      <c r="CC2650">
        <v>0.3</v>
      </c>
      <c r="CD2650">
        <v>0.26</v>
      </c>
      <c r="CE2650">
        <v>0.25</v>
      </c>
      <c r="CF2650">
        <v>0.15</v>
      </c>
      <c r="CG2650">
        <v>2.86</v>
      </c>
      <c r="CH2650">
        <v>0.03</v>
      </c>
      <c r="CI2650">
        <v>0.02</v>
      </c>
      <c r="CJ2650">
        <v>20656</v>
      </c>
      <c r="CK2650">
        <v>6109</v>
      </c>
      <c r="CL2650" t="s">
        <v>3861</v>
      </c>
      <c r="CM2650">
        <v>46.33</v>
      </c>
      <c r="CN2650">
        <v>6.81</v>
      </c>
      <c r="CO2650">
        <v>2.4900000000000002</v>
      </c>
      <c r="CP2650">
        <v>616.74</v>
      </c>
      <c r="CQ2650">
        <v>4.12</v>
      </c>
      <c r="CR2650">
        <v>0.34</v>
      </c>
      <c r="CS2650" t="s">
        <v>7492</v>
      </c>
      <c r="CT2650">
        <v>3.47</v>
      </c>
      <c r="CU2650">
        <v>0</v>
      </c>
      <c r="CV2650">
        <v>0.92</v>
      </c>
      <c r="CW2650">
        <v>1.28</v>
      </c>
      <c r="CX2650">
        <v>0.01</v>
      </c>
      <c r="CY2650">
        <v>47.78</v>
      </c>
      <c r="CZ2650" t="s">
        <v>455</v>
      </c>
      <c r="DA2650">
        <v>22.62</v>
      </c>
      <c r="DB2650">
        <v>5.58</v>
      </c>
      <c r="DC2650">
        <v>5.38</v>
      </c>
      <c r="DD2650">
        <v>0.32</v>
      </c>
      <c r="DE2650">
        <v>424</v>
      </c>
      <c r="DF2650">
        <v>600560</v>
      </c>
      <c r="DG2650" t="s">
        <v>116</v>
      </c>
      <c r="DH2650" t="s">
        <v>116</v>
      </c>
      <c r="DI2650" t="s">
        <v>116</v>
      </c>
    </row>
    <row r="2651" spans="1:113" x14ac:dyDescent="0.4">
      <c r="A2651" t="str">
        <f>"600561"</f>
        <v>600561</v>
      </c>
      <c r="B2651" t="s">
        <v>12007</v>
      </c>
      <c r="C2651">
        <v>-0.52</v>
      </c>
      <c r="D2651">
        <v>5.78</v>
      </c>
      <c r="E2651">
        <v>-0.03</v>
      </c>
      <c r="F2651">
        <v>5.78</v>
      </c>
      <c r="G2651">
        <v>5.79</v>
      </c>
      <c r="H2651">
        <v>17057</v>
      </c>
      <c r="I2651">
        <v>122</v>
      </c>
      <c r="J2651">
        <v>0</v>
      </c>
      <c r="K2651">
        <v>0.72</v>
      </c>
      <c r="L2651">
        <v>5.84</v>
      </c>
      <c r="M2651">
        <v>5.84</v>
      </c>
      <c r="N2651">
        <v>5.77</v>
      </c>
      <c r="O2651">
        <v>5.81</v>
      </c>
      <c r="P2651">
        <v>194.9</v>
      </c>
      <c r="Q2651">
        <v>9915594</v>
      </c>
      <c r="R2651">
        <v>0.81</v>
      </c>
      <c r="S2651" t="s">
        <v>6225</v>
      </c>
      <c r="T2651" t="s">
        <v>683</v>
      </c>
      <c r="U2651">
        <v>1.2</v>
      </c>
      <c r="V2651">
        <v>5.81</v>
      </c>
      <c r="W2651">
        <v>9673</v>
      </c>
      <c r="X2651">
        <v>7384</v>
      </c>
      <c r="Y2651">
        <v>1.31</v>
      </c>
      <c r="Z2651">
        <v>6</v>
      </c>
      <c r="AA2651">
        <v>356</v>
      </c>
      <c r="AB2651" t="s">
        <v>116</v>
      </c>
      <c r="AC2651">
        <v>99900</v>
      </c>
      <c r="AD2651">
        <v>0.01</v>
      </c>
      <c r="AE2651" t="s">
        <v>116</v>
      </c>
      <c r="AF2651" t="s">
        <v>116</v>
      </c>
      <c r="AG2651">
        <v>2.37</v>
      </c>
      <c r="AH2651" t="s">
        <v>9345</v>
      </c>
      <c r="AI2651" t="s">
        <v>9345</v>
      </c>
      <c r="AJ2651">
        <v>-0.44</v>
      </c>
      <c r="AK2651">
        <v>516</v>
      </c>
      <c r="AL2651">
        <v>33</v>
      </c>
      <c r="AM2651">
        <v>1.4E-3</v>
      </c>
      <c r="AN2651">
        <v>-1</v>
      </c>
      <c r="AO2651">
        <v>0.17</v>
      </c>
      <c r="AP2651">
        <v>-3.34</v>
      </c>
      <c r="AQ2651">
        <v>-4.78</v>
      </c>
      <c r="AR2651">
        <v>6.88</v>
      </c>
      <c r="AS2651">
        <v>1</v>
      </c>
      <c r="AT2651" t="s">
        <v>8801</v>
      </c>
      <c r="AU2651">
        <v>105.92</v>
      </c>
      <c r="AV2651">
        <v>54.47</v>
      </c>
      <c r="AW2651">
        <v>1.06</v>
      </c>
      <c r="BA2651">
        <v>0.52</v>
      </c>
      <c r="BB2651">
        <v>0.52</v>
      </c>
      <c r="BC2651">
        <v>-0.69</v>
      </c>
      <c r="BD2651">
        <v>0.05</v>
      </c>
      <c r="BE2651">
        <v>-1.03</v>
      </c>
      <c r="BF2651">
        <v>-1.03</v>
      </c>
      <c r="BG2651">
        <v>0.17</v>
      </c>
      <c r="BH2651">
        <v>-0.56999999999999995</v>
      </c>
      <c r="BI2651">
        <v>20191030</v>
      </c>
      <c r="BJ2651">
        <v>20020716</v>
      </c>
      <c r="BK2651">
        <v>2.37</v>
      </c>
      <c r="BL2651" t="s">
        <v>116</v>
      </c>
      <c r="BM2651" t="s">
        <v>116</v>
      </c>
      <c r="BN2651">
        <v>61.3</v>
      </c>
      <c r="BO2651">
        <v>14.21</v>
      </c>
      <c r="BP2651">
        <v>3.55</v>
      </c>
      <c r="BQ2651">
        <v>71.02</v>
      </c>
      <c r="BR2651">
        <v>14.24</v>
      </c>
      <c r="BS2651">
        <v>24.37</v>
      </c>
      <c r="BT2651">
        <v>12.14</v>
      </c>
      <c r="BU2651">
        <v>36.590000000000003</v>
      </c>
      <c r="BV2651">
        <v>1.17</v>
      </c>
      <c r="BW2651">
        <v>3.32</v>
      </c>
      <c r="BX2651">
        <v>4.79</v>
      </c>
      <c r="BY2651">
        <v>17.850000000000001</v>
      </c>
      <c r="BZ2651">
        <v>16.95</v>
      </c>
      <c r="CA2651">
        <v>0.46</v>
      </c>
      <c r="CB2651">
        <v>0.01</v>
      </c>
      <c r="CC2651">
        <v>0.53</v>
      </c>
      <c r="CD2651">
        <v>0.22</v>
      </c>
      <c r="CE2651">
        <v>0.05</v>
      </c>
      <c r="CF2651">
        <v>-0.56999999999999995</v>
      </c>
      <c r="CG2651">
        <v>5.33</v>
      </c>
      <c r="CH2651">
        <v>1.97</v>
      </c>
      <c r="CI2651">
        <v>0.32</v>
      </c>
      <c r="CJ2651">
        <v>13859</v>
      </c>
      <c r="CK2651">
        <v>12366</v>
      </c>
      <c r="CL2651" t="s">
        <v>2366</v>
      </c>
      <c r="CM2651">
        <v>-69.849999999999994</v>
      </c>
      <c r="CN2651">
        <v>-10.62</v>
      </c>
      <c r="CO2651">
        <v>0.96</v>
      </c>
      <c r="CP2651">
        <v>6.95</v>
      </c>
      <c r="CQ2651">
        <v>0.77</v>
      </c>
      <c r="CR2651">
        <v>0.55000000000000004</v>
      </c>
      <c r="CS2651" t="s">
        <v>3988</v>
      </c>
      <c r="CT2651">
        <v>5.99</v>
      </c>
      <c r="CU2651">
        <v>0</v>
      </c>
      <c r="CV2651">
        <v>2.02</v>
      </c>
      <c r="CW2651">
        <v>2.25</v>
      </c>
      <c r="CX2651">
        <v>0.83</v>
      </c>
      <c r="CY2651">
        <v>23.18</v>
      </c>
      <c r="CZ2651" t="s">
        <v>911</v>
      </c>
      <c r="DA2651">
        <v>5.05</v>
      </c>
      <c r="DB2651">
        <v>2.6</v>
      </c>
      <c r="DC2651">
        <v>0.3</v>
      </c>
      <c r="DD2651">
        <v>0</v>
      </c>
      <c r="DE2651">
        <v>16301</v>
      </c>
      <c r="DF2651">
        <v>600561</v>
      </c>
      <c r="DG2651" t="s">
        <v>116</v>
      </c>
      <c r="DH2651" t="s">
        <v>116</v>
      </c>
      <c r="DI2651" t="s">
        <v>116</v>
      </c>
    </row>
    <row r="2652" spans="1:113" x14ac:dyDescent="0.4">
      <c r="A2652" t="str">
        <f>"600562"</f>
        <v>600562</v>
      </c>
      <c r="B2652" t="s">
        <v>12008</v>
      </c>
      <c r="C2652">
        <v>-1.78</v>
      </c>
      <c r="D2652">
        <v>14.35</v>
      </c>
      <c r="E2652">
        <v>-0.26</v>
      </c>
      <c r="F2652">
        <v>14.34</v>
      </c>
      <c r="G2652">
        <v>14.35</v>
      </c>
      <c r="H2652">
        <v>62737</v>
      </c>
      <c r="I2652">
        <v>530</v>
      </c>
      <c r="J2652">
        <v>0</v>
      </c>
      <c r="K2652">
        <v>1.01</v>
      </c>
      <c r="L2652">
        <v>14.61</v>
      </c>
      <c r="M2652">
        <v>14.72</v>
      </c>
      <c r="N2652">
        <v>13.98</v>
      </c>
      <c r="O2652">
        <v>14.61</v>
      </c>
      <c r="P2652">
        <v>261.38</v>
      </c>
      <c r="Q2652">
        <v>90940688</v>
      </c>
      <c r="R2652">
        <v>1.27</v>
      </c>
      <c r="S2652" t="s">
        <v>465</v>
      </c>
      <c r="T2652" t="s">
        <v>323</v>
      </c>
      <c r="U2652">
        <v>5.07</v>
      </c>
      <c r="V2652">
        <v>14.5</v>
      </c>
      <c r="W2652">
        <v>35886</v>
      </c>
      <c r="X2652">
        <v>26852</v>
      </c>
      <c r="Y2652">
        <v>1.34</v>
      </c>
      <c r="Z2652">
        <v>240</v>
      </c>
      <c r="AA2652">
        <v>175</v>
      </c>
      <c r="AB2652" t="s">
        <v>116</v>
      </c>
      <c r="AC2652">
        <v>730600</v>
      </c>
      <c r="AD2652">
        <v>0.01</v>
      </c>
      <c r="AE2652" t="s">
        <v>116</v>
      </c>
      <c r="AF2652" t="s">
        <v>116</v>
      </c>
      <c r="AG2652">
        <v>6.22</v>
      </c>
      <c r="AH2652" t="s">
        <v>12009</v>
      </c>
      <c r="AI2652" t="s">
        <v>12009</v>
      </c>
      <c r="AJ2652">
        <v>-1.7</v>
      </c>
      <c r="AK2652">
        <v>2003</v>
      </c>
      <c r="AL2652">
        <v>31</v>
      </c>
      <c r="AM2652">
        <v>5.0000000000000001E-4</v>
      </c>
      <c r="AN2652">
        <v>-2</v>
      </c>
      <c r="AO2652">
        <v>-1.1000000000000001</v>
      </c>
      <c r="AP2652">
        <v>5.36</v>
      </c>
      <c r="AQ2652">
        <v>-6.39</v>
      </c>
      <c r="AR2652">
        <v>11.66</v>
      </c>
      <c r="AS2652">
        <v>1.79</v>
      </c>
      <c r="AT2652" t="s">
        <v>5791</v>
      </c>
      <c r="AU2652">
        <v>268.52</v>
      </c>
      <c r="AV2652">
        <v>236.24</v>
      </c>
      <c r="AW2652">
        <v>0.85</v>
      </c>
      <c r="BA2652">
        <v>0</v>
      </c>
      <c r="BB2652">
        <v>0.75</v>
      </c>
      <c r="BC2652">
        <v>-4.3099999999999996</v>
      </c>
      <c r="BD2652">
        <v>-0.78</v>
      </c>
      <c r="BE2652">
        <v>-1.78</v>
      </c>
      <c r="BF2652">
        <v>-2.5099999999999998</v>
      </c>
      <c r="BG2652">
        <v>2.65</v>
      </c>
      <c r="BH2652">
        <v>-1</v>
      </c>
      <c r="BI2652">
        <v>20191030</v>
      </c>
      <c r="BJ2652">
        <v>20030128</v>
      </c>
      <c r="BK2652">
        <v>6.22</v>
      </c>
      <c r="BL2652" t="s">
        <v>116</v>
      </c>
      <c r="BM2652" t="s">
        <v>116</v>
      </c>
      <c r="BN2652">
        <v>28.69</v>
      </c>
      <c r="BO2652">
        <v>17.89</v>
      </c>
      <c r="BP2652">
        <v>0</v>
      </c>
      <c r="BQ2652">
        <v>37.65</v>
      </c>
      <c r="BR2652">
        <v>26.58</v>
      </c>
      <c r="BS2652">
        <v>1.29</v>
      </c>
      <c r="BT2652">
        <v>0.24</v>
      </c>
      <c r="BU2652">
        <v>10.51</v>
      </c>
      <c r="BV2652">
        <v>13.53</v>
      </c>
      <c r="BW2652">
        <v>5.27</v>
      </c>
      <c r="BX2652">
        <v>3.52</v>
      </c>
      <c r="BY2652">
        <v>7.64</v>
      </c>
      <c r="BZ2652">
        <v>6.24</v>
      </c>
      <c r="CA2652">
        <v>0.28999999999999998</v>
      </c>
      <c r="CB2652">
        <v>0</v>
      </c>
      <c r="CC2652">
        <v>0.28999999999999998</v>
      </c>
      <c r="CD2652">
        <v>0.26</v>
      </c>
      <c r="CE2652">
        <v>0.26</v>
      </c>
      <c r="CF2652">
        <v>0.22</v>
      </c>
      <c r="CG2652">
        <v>7.13</v>
      </c>
      <c r="CH2652">
        <v>-2.48</v>
      </c>
      <c r="CI2652">
        <v>-2.73</v>
      </c>
      <c r="CJ2652">
        <v>31828</v>
      </c>
      <c r="CK2652">
        <v>11020</v>
      </c>
      <c r="CL2652" t="s">
        <v>12010</v>
      </c>
      <c r="CM2652">
        <v>-15.07</v>
      </c>
      <c r="CN2652">
        <v>11.79</v>
      </c>
      <c r="CO2652">
        <v>4.99</v>
      </c>
      <c r="CP2652">
        <v>-36.07</v>
      </c>
      <c r="CQ2652">
        <v>11.69</v>
      </c>
      <c r="CR2652">
        <v>0.13</v>
      </c>
      <c r="CS2652" t="s">
        <v>765</v>
      </c>
      <c r="CT2652">
        <v>2.87</v>
      </c>
      <c r="CU2652">
        <v>0</v>
      </c>
      <c r="CV2652">
        <v>0.56999999999999995</v>
      </c>
      <c r="CW2652">
        <v>1.1499999999999999</v>
      </c>
      <c r="CX2652">
        <v>-0.4</v>
      </c>
      <c r="CY2652">
        <v>62.35</v>
      </c>
      <c r="CZ2652" t="s">
        <v>12011</v>
      </c>
      <c r="DA2652">
        <v>18.309999999999999</v>
      </c>
      <c r="DB2652">
        <v>3.77</v>
      </c>
      <c r="DC2652">
        <v>3.35</v>
      </c>
      <c r="DD2652">
        <v>0.46</v>
      </c>
      <c r="DE2652">
        <v>675</v>
      </c>
      <c r="DF2652">
        <v>600562</v>
      </c>
      <c r="DG2652" t="s">
        <v>116</v>
      </c>
      <c r="DH2652" t="s">
        <v>116</v>
      </c>
      <c r="DI2652" t="s">
        <v>116</v>
      </c>
    </row>
    <row r="2653" spans="1:113" x14ac:dyDescent="0.4">
      <c r="A2653" t="str">
        <f>"600563"</f>
        <v>600563</v>
      </c>
      <c r="B2653" t="s">
        <v>12012</v>
      </c>
      <c r="C2653">
        <v>-1.6</v>
      </c>
      <c r="D2653">
        <v>50.48</v>
      </c>
      <c r="E2653">
        <v>-0.82</v>
      </c>
      <c r="F2653">
        <v>50.48</v>
      </c>
      <c r="G2653">
        <v>50.5</v>
      </c>
      <c r="H2653">
        <v>25975</v>
      </c>
      <c r="I2653">
        <v>145</v>
      </c>
      <c r="J2653">
        <v>-0.76</v>
      </c>
      <c r="K2653">
        <v>1.1499999999999999</v>
      </c>
      <c r="L2653">
        <v>50.75</v>
      </c>
      <c r="M2653">
        <v>51</v>
      </c>
      <c r="N2653">
        <v>49.45</v>
      </c>
      <c r="O2653">
        <v>51.3</v>
      </c>
      <c r="P2653">
        <v>27.99</v>
      </c>
      <c r="Q2653">
        <v>130209008</v>
      </c>
      <c r="R2653">
        <v>0.8</v>
      </c>
      <c r="S2653" t="s">
        <v>233</v>
      </c>
      <c r="T2653" t="s">
        <v>975</v>
      </c>
      <c r="U2653">
        <v>3.02</v>
      </c>
      <c r="V2653">
        <v>50.13</v>
      </c>
      <c r="W2653">
        <v>14199</v>
      </c>
      <c r="X2653">
        <v>11776</v>
      </c>
      <c r="Y2653">
        <v>1.21</v>
      </c>
      <c r="Z2653">
        <v>19</v>
      </c>
      <c r="AA2653">
        <v>35</v>
      </c>
      <c r="AB2653" t="s">
        <v>116</v>
      </c>
      <c r="AC2653">
        <v>923700</v>
      </c>
      <c r="AD2653">
        <v>0.02</v>
      </c>
      <c r="AE2653" t="s">
        <v>116</v>
      </c>
      <c r="AF2653" t="s">
        <v>116</v>
      </c>
      <c r="AG2653">
        <v>2.25</v>
      </c>
      <c r="AH2653" t="s">
        <v>12013</v>
      </c>
      <c r="AI2653" t="s">
        <v>12013</v>
      </c>
      <c r="AJ2653">
        <v>-1.52</v>
      </c>
      <c r="AK2653">
        <v>2439</v>
      </c>
      <c r="AL2653">
        <v>11</v>
      </c>
      <c r="AM2653">
        <v>5.0000000000000001E-4</v>
      </c>
      <c r="AN2653">
        <v>-1</v>
      </c>
      <c r="AO2653">
        <v>1.38</v>
      </c>
      <c r="AP2653">
        <v>20.48</v>
      </c>
      <c r="AQ2653">
        <v>15.2</v>
      </c>
      <c r="AR2653">
        <v>23.6</v>
      </c>
      <c r="AS2653">
        <v>2.23</v>
      </c>
      <c r="AT2653" t="s">
        <v>12014</v>
      </c>
      <c r="AU2653">
        <v>26.33</v>
      </c>
      <c r="AV2653">
        <v>25.14</v>
      </c>
      <c r="AW2653">
        <v>1.1599999999999999</v>
      </c>
      <c r="BA2653">
        <v>-1.07</v>
      </c>
      <c r="BB2653">
        <v>-0.57999999999999996</v>
      </c>
      <c r="BC2653">
        <v>-3.61</v>
      </c>
      <c r="BD2653">
        <v>-2.2799999999999998</v>
      </c>
      <c r="BE2653">
        <v>-0.53</v>
      </c>
      <c r="BF2653">
        <v>-1.02</v>
      </c>
      <c r="BG2653">
        <v>2.08</v>
      </c>
      <c r="BH2653">
        <v>0.68</v>
      </c>
      <c r="BI2653">
        <v>20191031</v>
      </c>
      <c r="BJ2653">
        <v>20021210</v>
      </c>
      <c r="BK2653">
        <v>2.25</v>
      </c>
      <c r="BL2653" t="s">
        <v>116</v>
      </c>
      <c r="BM2653" t="s">
        <v>116</v>
      </c>
      <c r="BN2653">
        <v>29.86</v>
      </c>
      <c r="BO2653">
        <v>24.68</v>
      </c>
      <c r="BP2653">
        <v>0.44</v>
      </c>
      <c r="BQ2653">
        <v>15.9</v>
      </c>
      <c r="BR2653">
        <v>22.25</v>
      </c>
      <c r="BS2653">
        <v>6.19</v>
      </c>
      <c r="BT2653">
        <v>0.55000000000000004</v>
      </c>
      <c r="BU2653">
        <v>4.4400000000000004</v>
      </c>
      <c r="BV2653">
        <v>2.8</v>
      </c>
      <c r="BW2653">
        <v>4.93</v>
      </c>
      <c r="BX2653">
        <v>2.62</v>
      </c>
      <c r="BY2653">
        <v>11.92</v>
      </c>
      <c r="BZ2653">
        <v>6.83</v>
      </c>
      <c r="CA2653">
        <v>3.68</v>
      </c>
      <c r="CB2653">
        <v>0.16</v>
      </c>
      <c r="CC2653">
        <v>3.7</v>
      </c>
      <c r="CD2653">
        <v>3.14</v>
      </c>
      <c r="CE2653">
        <v>3.04</v>
      </c>
      <c r="CF2653">
        <v>2.87</v>
      </c>
      <c r="CG2653">
        <v>18.239999999999998</v>
      </c>
      <c r="CH2653">
        <v>5.04</v>
      </c>
      <c r="CI2653">
        <v>3.28</v>
      </c>
      <c r="CJ2653">
        <v>10871</v>
      </c>
      <c r="CK2653">
        <v>10711</v>
      </c>
      <c r="CL2653" t="s">
        <v>12015</v>
      </c>
      <c r="CM2653">
        <v>-6.32</v>
      </c>
      <c r="CN2653">
        <v>-7.56</v>
      </c>
      <c r="CO2653">
        <v>4.5999999999999996</v>
      </c>
      <c r="CP2653">
        <v>22.55</v>
      </c>
      <c r="CQ2653">
        <v>9.5299999999999994</v>
      </c>
      <c r="CR2653">
        <v>2.58</v>
      </c>
      <c r="CS2653" t="s">
        <v>10266</v>
      </c>
      <c r="CT2653">
        <v>10.97</v>
      </c>
      <c r="CU2653">
        <v>0</v>
      </c>
      <c r="CV2653">
        <v>1.1599999999999999</v>
      </c>
      <c r="CW2653">
        <v>8.1</v>
      </c>
      <c r="CX2653">
        <v>2.2400000000000002</v>
      </c>
      <c r="CY2653">
        <v>82.63</v>
      </c>
      <c r="CZ2653" t="s">
        <v>12016</v>
      </c>
      <c r="DA2653">
        <v>42.73</v>
      </c>
      <c r="DB2653">
        <v>30.88</v>
      </c>
      <c r="DC2653">
        <v>25.54</v>
      </c>
      <c r="DD2653">
        <v>0.53</v>
      </c>
      <c r="DE2653">
        <v>2371</v>
      </c>
      <c r="DF2653">
        <v>600563</v>
      </c>
      <c r="DG2653" t="s">
        <v>116</v>
      </c>
      <c r="DH2653" t="s">
        <v>116</v>
      </c>
      <c r="DI2653" t="s">
        <v>116</v>
      </c>
    </row>
    <row r="2654" spans="1:113" x14ac:dyDescent="0.4">
      <c r="A2654" t="str">
        <f>"600565"</f>
        <v>600565</v>
      </c>
      <c r="B2654" t="s">
        <v>12017</v>
      </c>
      <c r="C2654">
        <v>0.28999999999999998</v>
      </c>
      <c r="D2654">
        <v>3.4</v>
      </c>
      <c r="E2654">
        <v>0.01</v>
      </c>
      <c r="F2654">
        <v>3.4</v>
      </c>
      <c r="G2654">
        <v>3.41</v>
      </c>
      <c r="H2654">
        <v>104160</v>
      </c>
      <c r="I2654">
        <v>1189</v>
      </c>
      <c r="J2654">
        <v>0</v>
      </c>
      <c r="K2654">
        <v>0.44</v>
      </c>
      <c r="L2654">
        <v>3.41</v>
      </c>
      <c r="M2654">
        <v>3.45</v>
      </c>
      <c r="N2654">
        <v>3.39</v>
      </c>
      <c r="O2654">
        <v>3.39</v>
      </c>
      <c r="P2654">
        <v>10.92</v>
      </c>
      <c r="Q2654">
        <v>35611352</v>
      </c>
      <c r="R2654">
        <v>0.98</v>
      </c>
      <c r="S2654" t="s">
        <v>124</v>
      </c>
      <c r="T2654" t="s">
        <v>906</v>
      </c>
      <c r="U2654">
        <v>1.77</v>
      </c>
      <c r="V2654">
        <v>3.42</v>
      </c>
      <c r="W2654">
        <v>41423</v>
      </c>
      <c r="X2654">
        <v>62737</v>
      </c>
      <c r="Y2654">
        <v>0.66</v>
      </c>
      <c r="Z2654">
        <v>742</v>
      </c>
      <c r="AA2654">
        <v>1562</v>
      </c>
      <c r="AB2654" t="s">
        <v>116</v>
      </c>
      <c r="AC2654">
        <v>549400</v>
      </c>
      <c r="AD2654">
        <v>0.01</v>
      </c>
      <c r="AE2654" t="s">
        <v>116</v>
      </c>
      <c r="AF2654" t="s">
        <v>116</v>
      </c>
      <c r="AG2654">
        <v>23.69</v>
      </c>
      <c r="AH2654" t="s">
        <v>12018</v>
      </c>
      <c r="AI2654" t="s">
        <v>12019</v>
      </c>
      <c r="AJ2654">
        <v>0.37</v>
      </c>
      <c r="AK2654">
        <v>2247</v>
      </c>
      <c r="AL2654">
        <v>46</v>
      </c>
      <c r="AM2654">
        <v>2.0000000000000001E-4</v>
      </c>
      <c r="AN2654">
        <v>2</v>
      </c>
      <c r="AO2654">
        <v>0.57999999999999996</v>
      </c>
      <c r="AP2654">
        <v>7.59</v>
      </c>
      <c r="AQ2654">
        <v>4.62</v>
      </c>
      <c r="AR2654">
        <v>46.55</v>
      </c>
      <c r="AS2654">
        <v>0.8</v>
      </c>
      <c r="AT2654" t="s">
        <v>12020</v>
      </c>
      <c r="AU2654">
        <v>6.85</v>
      </c>
      <c r="AV2654">
        <v>8.15</v>
      </c>
      <c r="AW2654">
        <v>1.23</v>
      </c>
      <c r="BA2654">
        <v>0.59</v>
      </c>
      <c r="BB2654">
        <v>1.77</v>
      </c>
      <c r="BC2654">
        <v>0</v>
      </c>
      <c r="BD2654">
        <v>0.85</v>
      </c>
      <c r="BE2654">
        <v>-0.28999999999999998</v>
      </c>
      <c r="BF2654">
        <v>-1.45</v>
      </c>
      <c r="BG2654">
        <v>0.28999999999999998</v>
      </c>
      <c r="BH2654">
        <v>-0.56000000000000005</v>
      </c>
      <c r="BI2654">
        <v>20191115</v>
      </c>
      <c r="BJ2654">
        <v>20020723</v>
      </c>
      <c r="BK2654">
        <v>24.36</v>
      </c>
      <c r="BL2654" t="s">
        <v>116</v>
      </c>
      <c r="BM2654" t="s">
        <v>116</v>
      </c>
      <c r="BN2654">
        <v>766.97</v>
      </c>
      <c r="BO2654">
        <v>81.73</v>
      </c>
      <c r="BP2654">
        <v>54.8</v>
      </c>
      <c r="BQ2654">
        <v>82.2</v>
      </c>
      <c r="BR2654">
        <v>696.84</v>
      </c>
      <c r="BS2654">
        <v>1.5</v>
      </c>
      <c r="BT2654">
        <v>0.54</v>
      </c>
      <c r="BU2654">
        <v>548.28</v>
      </c>
      <c r="BV2654">
        <v>493.06</v>
      </c>
      <c r="BW2654">
        <v>5.63</v>
      </c>
      <c r="BX2654">
        <v>23.53</v>
      </c>
      <c r="BY2654">
        <v>63.79</v>
      </c>
      <c r="BZ2654">
        <v>44.29</v>
      </c>
      <c r="CA2654">
        <v>7.1</v>
      </c>
      <c r="CB2654">
        <v>3.17</v>
      </c>
      <c r="CC2654">
        <v>7.07</v>
      </c>
      <c r="CD2654">
        <v>6</v>
      </c>
      <c r="CE2654">
        <v>5.69</v>
      </c>
      <c r="CF2654">
        <v>5.23</v>
      </c>
      <c r="CG2654">
        <v>28.13</v>
      </c>
      <c r="CH2654">
        <v>-19.02</v>
      </c>
      <c r="CI2654">
        <v>-24.62</v>
      </c>
      <c r="CJ2654">
        <v>84966</v>
      </c>
      <c r="CK2654">
        <v>15233</v>
      </c>
      <c r="CL2654" t="s">
        <v>6831</v>
      </c>
      <c r="CM2654">
        <v>51.4</v>
      </c>
      <c r="CN2654">
        <v>37.26</v>
      </c>
      <c r="CO2654">
        <v>1.01</v>
      </c>
      <c r="CP2654">
        <v>-4.3600000000000003</v>
      </c>
      <c r="CQ2654">
        <v>1.3</v>
      </c>
      <c r="CR2654">
        <v>8.24</v>
      </c>
      <c r="CS2654" t="s">
        <v>526</v>
      </c>
      <c r="CT2654">
        <v>3.36</v>
      </c>
      <c r="CU2654">
        <v>0</v>
      </c>
      <c r="CV2654">
        <v>0.97</v>
      </c>
      <c r="CW2654">
        <v>1.1499999999999999</v>
      </c>
      <c r="CX2654">
        <v>-0.78</v>
      </c>
      <c r="CY2654">
        <v>10.66</v>
      </c>
      <c r="CZ2654" t="s">
        <v>11912</v>
      </c>
      <c r="DA2654">
        <v>30.56</v>
      </c>
      <c r="DB2654">
        <v>11.14</v>
      </c>
      <c r="DC2654">
        <v>8.92</v>
      </c>
      <c r="DD2654">
        <v>0.34</v>
      </c>
      <c r="DE2654">
        <v>5048</v>
      </c>
      <c r="DF2654">
        <v>600565</v>
      </c>
      <c r="DG2654" t="s">
        <v>116</v>
      </c>
      <c r="DH2654" t="s">
        <v>116</v>
      </c>
      <c r="DI2654" t="s">
        <v>116</v>
      </c>
    </row>
    <row r="2655" spans="1:113" x14ac:dyDescent="0.4">
      <c r="A2655" t="str">
        <f>"600566"</f>
        <v>600566</v>
      </c>
      <c r="B2655" t="s">
        <v>12021</v>
      </c>
      <c r="C2655">
        <v>0.13</v>
      </c>
      <c r="D2655">
        <v>23.29</v>
      </c>
      <c r="E2655">
        <v>0.03</v>
      </c>
      <c r="F2655">
        <v>23.28</v>
      </c>
      <c r="G2655">
        <v>23.29</v>
      </c>
      <c r="H2655">
        <v>47728</v>
      </c>
      <c r="I2655">
        <v>593</v>
      </c>
      <c r="J2655">
        <v>0.04</v>
      </c>
      <c r="K2655">
        <v>0.59</v>
      </c>
      <c r="L2655">
        <v>23.21</v>
      </c>
      <c r="M2655">
        <v>23.65</v>
      </c>
      <c r="N2655">
        <v>23.21</v>
      </c>
      <c r="O2655">
        <v>23.26</v>
      </c>
      <c r="P2655">
        <v>10.9</v>
      </c>
      <c r="Q2655">
        <v>111723960</v>
      </c>
      <c r="R2655">
        <v>1.18</v>
      </c>
      <c r="S2655" t="s">
        <v>781</v>
      </c>
      <c r="T2655" t="s">
        <v>774</v>
      </c>
      <c r="U2655">
        <v>1.89</v>
      </c>
      <c r="V2655">
        <v>23.41</v>
      </c>
      <c r="W2655">
        <v>24924</v>
      </c>
      <c r="X2655">
        <v>22804</v>
      </c>
      <c r="Y2655">
        <v>1.0900000000000001</v>
      </c>
      <c r="Z2655">
        <v>260</v>
      </c>
      <c r="AA2655">
        <v>58</v>
      </c>
      <c r="AB2655" t="s">
        <v>116</v>
      </c>
      <c r="AC2655">
        <v>424700</v>
      </c>
      <c r="AD2655">
        <v>0.01</v>
      </c>
      <c r="AE2655" t="s">
        <v>116</v>
      </c>
      <c r="AF2655" t="s">
        <v>116</v>
      </c>
      <c r="AG2655">
        <v>8.15</v>
      </c>
      <c r="AH2655" t="s">
        <v>12022</v>
      </c>
      <c r="AI2655" t="s">
        <v>12022</v>
      </c>
      <c r="AJ2655">
        <v>0.21</v>
      </c>
      <c r="AK2655">
        <v>2493</v>
      </c>
      <c r="AL2655">
        <v>19</v>
      </c>
      <c r="AM2655">
        <v>2.0000000000000001E-4</v>
      </c>
      <c r="AN2655">
        <v>4</v>
      </c>
      <c r="AO2655">
        <v>0.78</v>
      </c>
      <c r="AP2655">
        <v>3.42</v>
      </c>
      <c r="AQ2655">
        <v>-17.09</v>
      </c>
      <c r="AR2655">
        <v>-27.89</v>
      </c>
      <c r="AS2655">
        <v>1.9</v>
      </c>
      <c r="AT2655" t="s">
        <v>12023</v>
      </c>
      <c r="AU2655">
        <v>11.27</v>
      </c>
      <c r="AV2655">
        <v>11.24</v>
      </c>
      <c r="AW2655">
        <v>0.73</v>
      </c>
      <c r="BA2655">
        <v>-0.21</v>
      </c>
      <c r="BB2655">
        <v>1.68</v>
      </c>
      <c r="BC2655">
        <v>-0.21</v>
      </c>
      <c r="BD2655">
        <v>0.64</v>
      </c>
      <c r="BE2655">
        <v>0.34</v>
      </c>
      <c r="BF2655">
        <v>-1.52</v>
      </c>
      <c r="BG2655">
        <v>0.34</v>
      </c>
      <c r="BH2655">
        <v>-0.51</v>
      </c>
      <c r="BI2655">
        <v>20191026</v>
      </c>
      <c r="BJ2655">
        <v>20010822</v>
      </c>
      <c r="BK2655">
        <v>8.15</v>
      </c>
      <c r="BL2655" t="s">
        <v>116</v>
      </c>
      <c r="BM2655" t="s">
        <v>116</v>
      </c>
      <c r="BN2655">
        <v>84.59</v>
      </c>
      <c r="BO2655">
        <v>58.02</v>
      </c>
      <c r="BP2655">
        <v>0</v>
      </c>
      <c r="BQ2655">
        <v>31.41</v>
      </c>
      <c r="BR2655">
        <v>47.65</v>
      </c>
      <c r="BS2655">
        <v>23.03</v>
      </c>
      <c r="BT2655">
        <v>3.16</v>
      </c>
      <c r="BU2655">
        <v>19.350000000000001</v>
      </c>
      <c r="BV2655">
        <v>2.99</v>
      </c>
      <c r="BW2655">
        <v>19.690000000000001</v>
      </c>
      <c r="BX2655">
        <v>17.66</v>
      </c>
      <c r="BY2655">
        <v>53.86</v>
      </c>
      <c r="BZ2655">
        <v>8.3699999999999992</v>
      </c>
      <c r="CA2655">
        <v>14.86</v>
      </c>
      <c r="CB2655">
        <v>0.09</v>
      </c>
      <c r="CC2655">
        <v>15.26</v>
      </c>
      <c r="CD2655">
        <v>13.06</v>
      </c>
      <c r="CE2655">
        <v>13.06</v>
      </c>
      <c r="CF2655">
        <v>12.39</v>
      </c>
      <c r="CG2655">
        <v>33.72</v>
      </c>
      <c r="CH2655">
        <v>17.82</v>
      </c>
      <c r="CI2655">
        <v>4.5199999999999996</v>
      </c>
      <c r="CJ2655">
        <v>32455</v>
      </c>
      <c r="CK2655">
        <v>7744</v>
      </c>
      <c r="CL2655" t="s">
        <v>12024</v>
      </c>
      <c r="CM2655">
        <v>-0.24</v>
      </c>
      <c r="CN2655">
        <v>-2.85</v>
      </c>
      <c r="CO2655">
        <v>3.33</v>
      </c>
      <c r="CP2655">
        <v>10.65</v>
      </c>
      <c r="CQ2655">
        <v>3.52</v>
      </c>
      <c r="CR2655">
        <v>5.28</v>
      </c>
      <c r="CS2655" t="s">
        <v>12025</v>
      </c>
      <c r="CT2655">
        <v>6.99</v>
      </c>
      <c r="CU2655">
        <v>6.99</v>
      </c>
      <c r="CV2655">
        <v>2.17</v>
      </c>
      <c r="CW2655">
        <v>4.1399999999999997</v>
      </c>
      <c r="CX2655">
        <v>2.19</v>
      </c>
      <c r="CY2655">
        <v>68.59</v>
      </c>
      <c r="CZ2655" t="s">
        <v>12026</v>
      </c>
      <c r="DA2655">
        <v>84.45</v>
      </c>
      <c r="DB2655">
        <v>27.58</v>
      </c>
      <c r="DC2655">
        <v>24.24</v>
      </c>
      <c r="DD2655">
        <v>1.55</v>
      </c>
      <c r="DE2655">
        <v>7145</v>
      </c>
      <c r="DF2655">
        <v>600566</v>
      </c>
      <c r="DG2655" t="s">
        <v>116</v>
      </c>
      <c r="DH2655" t="s">
        <v>116</v>
      </c>
      <c r="DI2655" t="s">
        <v>116</v>
      </c>
    </row>
    <row r="2656" spans="1:113" x14ac:dyDescent="0.4">
      <c r="A2656" t="str">
        <f>"600567"</f>
        <v>600567</v>
      </c>
      <c r="B2656" t="s">
        <v>12027</v>
      </c>
      <c r="C2656">
        <v>-2.19</v>
      </c>
      <c r="D2656">
        <v>3.57</v>
      </c>
      <c r="E2656">
        <v>-0.08</v>
      </c>
      <c r="F2656">
        <v>3.57</v>
      </c>
      <c r="G2656">
        <v>3.58</v>
      </c>
      <c r="H2656">
        <v>694213</v>
      </c>
      <c r="I2656">
        <v>3652</v>
      </c>
      <c r="J2656">
        <v>0.28000000000000003</v>
      </c>
      <c r="K2656">
        <v>1.51</v>
      </c>
      <c r="L2656">
        <v>3.63</v>
      </c>
      <c r="M2656">
        <v>3.67</v>
      </c>
      <c r="N2656">
        <v>3.55</v>
      </c>
      <c r="O2656">
        <v>3.65</v>
      </c>
      <c r="P2656">
        <v>9.27</v>
      </c>
      <c r="Q2656">
        <v>250072704</v>
      </c>
      <c r="R2656">
        <v>1.28</v>
      </c>
      <c r="S2656" t="s">
        <v>824</v>
      </c>
      <c r="T2656" t="s">
        <v>575</v>
      </c>
      <c r="U2656">
        <v>3.29</v>
      </c>
      <c r="V2656">
        <v>3.6</v>
      </c>
      <c r="W2656">
        <v>379365</v>
      </c>
      <c r="X2656">
        <v>314848</v>
      </c>
      <c r="Y2656">
        <v>1.2</v>
      </c>
      <c r="Z2656">
        <v>913</v>
      </c>
      <c r="AA2656">
        <v>3679</v>
      </c>
      <c r="AB2656" t="s">
        <v>116</v>
      </c>
      <c r="AC2656">
        <v>542300</v>
      </c>
      <c r="AD2656">
        <v>0</v>
      </c>
      <c r="AE2656" t="s">
        <v>116</v>
      </c>
      <c r="AF2656" t="s">
        <v>116</v>
      </c>
      <c r="AG2656">
        <v>45.85</v>
      </c>
      <c r="AH2656" t="s">
        <v>12028</v>
      </c>
      <c r="AI2656" t="s">
        <v>12028</v>
      </c>
      <c r="AJ2656">
        <v>-2.11</v>
      </c>
      <c r="AK2656">
        <v>3033</v>
      </c>
      <c r="AL2656">
        <v>229</v>
      </c>
      <c r="AM2656">
        <v>5.0000000000000001E-4</v>
      </c>
      <c r="AN2656">
        <v>-2</v>
      </c>
      <c r="AO2656">
        <v>-2.1800000000000002</v>
      </c>
      <c r="AP2656">
        <v>9.85</v>
      </c>
      <c r="AQ2656">
        <v>15.53</v>
      </c>
      <c r="AR2656">
        <v>14.42</v>
      </c>
      <c r="AS2656">
        <v>2.27</v>
      </c>
      <c r="AT2656" t="s">
        <v>12029</v>
      </c>
      <c r="AU2656">
        <v>7.4</v>
      </c>
      <c r="AV2656">
        <v>5.1100000000000003</v>
      </c>
      <c r="AW2656">
        <v>0.94</v>
      </c>
      <c r="BA2656">
        <v>-0.55000000000000004</v>
      </c>
      <c r="BB2656">
        <v>0.55000000000000004</v>
      </c>
      <c r="BC2656">
        <v>-2.74</v>
      </c>
      <c r="BD2656">
        <v>-1.31</v>
      </c>
      <c r="BE2656">
        <v>-1.65</v>
      </c>
      <c r="BF2656">
        <v>-2.72</v>
      </c>
      <c r="BG2656">
        <v>0.56000000000000005</v>
      </c>
      <c r="BH2656">
        <v>-0.88</v>
      </c>
      <c r="BI2656">
        <v>20191031</v>
      </c>
      <c r="BJ2656">
        <v>20011218</v>
      </c>
      <c r="BK2656">
        <v>45.85</v>
      </c>
      <c r="BL2656" t="s">
        <v>116</v>
      </c>
      <c r="BM2656" t="s">
        <v>116</v>
      </c>
      <c r="BN2656">
        <v>400.19</v>
      </c>
      <c r="BO2656">
        <v>141.82</v>
      </c>
      <c r="BP2656">
        <v>4.5599999999999996</v>
      </c>
      <c r="BQ2656">
        <v>63.42</v>
      </c>
      <c r="BR2656">
        <v>130.97999999999999</v>
      </c>
      <c r="BS2656">
        <v>132.9</v>
      </c>
      <c r="BT2656">
        <v>15.34</v>
      </c>
      <c r="BU2656">
        <v>184.05</v>
      </c>
      <c r="BV2656">
        <v>24.47</v>
      </c>
      <c r="BW2656">
        <v>29.26</v>
      </c>
      <c r="BX2656">
        <v>43.72</v>
      </c>
      <c r="BY2656">
        <v>171.34</v>
      </c>
      <c r="BZ2656">
        <v>138.22</v>
      </c>
      <c r="CA2656">
        <v>15.05</v>
      </c>
      <c r="CB2656">
        <v>1.7</v>
      </c>
      <c r="CC2656">
        <v>14.96</v>
      </c>
      <c r="CD2656">
        <v>12.99</v>
      </c>
      <c r="CE2656">
        <v>13.25</v>
      </c>
      <c r="CF2656">
        <v>10.79</v>
      </c>
      <c r="CG2656">
        <v>63.64</v>
      </c>
      <c r="CH2656">
        <v>23.71</v>
      </c>
      <c r="CI2656">
        <v>-3.03</v>
      </c>
      <c r="CJ2656">
        <v>233914</v>
      </c>
      <c r="CK2656">
        <v>13066</v>
      </c>
      <c r="CL2656" t="s">
        <v>547</v>
      </c>
      <c r="CM2656">
        <v>-42.83</v>
      </c>
      <c r="CN2656">
        <v>-4.4800000000000004</v>
      </c>
      <c r="CO2656">
        <v>1.18</v>
      </c>
      <c r="CP2656">
        <v>6.9</v>
      </c>
      <c r="CQ2656">
        <v>0.96</v>
      </c>
      <c r="CR2656">
        <v>0</v>
      </c>
      <c r="CS2656" t="s">
        <v>2594</v>
      </c>
      <c r="CT2656">
        <v>3.03</v>
      </c>
      <c r="CU2656">
        <v>3.03</v>
      </c>
      <c r="CV2656">
        <v>0.95</v>
      </c>
      <c r="CW2656">
        <v>1.39</v>
      </c>
      <c r="CX2656">
        <v>0.52</v>
      </c>
      <c r="CY2656">
        <v>35.44</v>
      </c>
      <c r="CZ2656" t="s">
        <v>7529</v>
      </c>
      <c r="DA2656">
        <v>19.329999999999998</v>
      </c>
      <c r="DB2656">
        <v>8.7799999999999994</v>
      </c>
      <c r="DC2656">
        <v>7.73</v>
      </c>
      <c r="DD2656">
        <v>4.33</v>
      </c>
      <c r="DE2656">
        <v>11091</v>
      </c>
      <c r="DF2656">
        <v>600567</v>
      </c>
      <c r="DG2656" t="s">
        <v>116</v>
      </c>
      <c r="DH2656" t="s">
        <v>116</v>
      </c>
      <c r="DI2656" t="s">
        <v>116</v>
      </c>
    </row>
    <row r="2657" spans="1:113" x14ac:dyDescent="0.4">
      <c r="A2657" t="str">
        <f>"600568"</f>
        <v>600568</v>
      </c>
      <c r="B2657" t="s">
        <v>12030</v>
      </c>
      <c r="C2657">
        <v>-0.56999999999999995</v>
      </c>
      <c r="D2657">
        <v>1.73</v>
      </c>
      <c r="E2657">
        <v>-0.01</v>
      </c>
      <c r="F2657">
        <v>1.73</v>
      </c>
      <c r="G2657">
        <v>1.74</v>
      </c>
      <c r="H2657">
        <v>260370</v>
      </c>
      <c r="I2657">
        <v>1239</v>
      </c>
      <c r="J2657">
        <v>0</v>
      </c>
      <c r="K2657">
        <v>1.66</v>
      </c>
      <c r="L2657">
        <v>1.74</v>
      </c>
      <c r="M2657">
        <v>1.76</v>
      </c>
      <c r="N2657">
        <v>1.72</v>
      </c>
      <c r="O2657">
        <v>1.74</v>
      </c>
      <c r="P2657" t="s">
        <v>116</v>
      </c>
      <c r="Q2657">
        <v>45382336</v>
      </c>
      <c r="R2657">
        <v>1.08</v>
      </c>
      <c r="S2657" t="s">
        <v>148</v>
      </c>
      <c r="T2657" t="s">
        <v>774</v>
      </c>
      <c r="U2657">
        <v>2.2999999999999998</v>
      </c>
      <c r="V2657">
        <v>1.74</v>
      </c>
      <c r="W2657">
        <v>116666</v>
      </c>
      <c r="X2657">
        <v>143704</v>
      </c>
      <c r="Y2657">
        <v>0.81</v>
      </c>
      <c r="Z2657">
        <v>8988</v>
      </c>
      <c r="AA2657">
        <v>15290</v>
      </c>
      <c r="AB2657" t="s">
        <v>116</v>
      </c>
      <c r="AC2657">
        <v>85600</v>
      </c>
      <c r="AD2657">
        <v>0</v>
      </c>
      <c r="AE2657" t="s">
        <v>116</v>
      </c>
      <c r="AF2657" t="s">
        <v>116</v>
      </c>
      <c r="AG2657">
        <v>15.65</v>
      </c>
      <c r="AH2657" t="s">
        <v>685</v>
      </c>
      <c r="AI2657" t="s">
        <v>12031</v>
      </c>
      <c r="AJ2657">
        <v>-0.5</v>
      </c>
      <c r="AK2657">
        <v>1244</v>
      </c>
      <c r="AL2657">
        <v>209</v>
      </c>
      <c r="AM2657">
        <v>1.2999999999999999E-3</v>
      </c>
      <c r="AN2657">
        <v>-1</v>
      </c>
      <c r="AO2657">
        <v>-0.56000000000000005</v>
      </c>
      <c r="AP2657">
        <v>2.37</v>
      </c>
      <c r="AQ2657">
        <v>1.76</v>
      </c>
      <c r="AR2657">
        <v>-24.12</v>
      </c>
      <c r="AS2657">
        <v>2.41</v>
      </c>
      <c r="AT2657" t="s">
        <v>5439</v>
      </c>
      <c r="AU2657" t="s">
        <v>116</v>
      </c>
      <c r="AV2657" t="s">
        <v>116</v>
      </c>
      <c r="AW2657">
        <v>0.95</v>
      </c>
      <c r="BA2657">
        <v>0</v>
      </c>
      <c r="BB2657">
        <v>1.1499999999999999</v>
      </c>
      <c r="BC2657">
        <v>-1.1499999999999999</v>
      </c>
      <c r="BD2657">
        <v>0.17</v>
      </c>
      <c r="BE2657">
        <v>-0.56999999999999995</v>
      </c>
      <c r="BF2657">
        <v>-1.7</v>
      </c>
      <c r="BG2657">
        <v>0.57999999999999996</v>
      </c>
      <c r="BH2657">
        <v>-0.75</v>
      </c>
      <c r="BI2657">
        <v>20191031</v>
      </c>
      <c r="BJ2657">
        <v>20010518</v>
      </c>
      <c r="BK2657">
        <v>19.93</v>
      </c>
      <c r="BL2657" t="s">
        <v>116</v>
      </c>
      <c r="BM2657" t="s">
        <v>116</v>
      </c>
      <c r="BN2657">
        <v>55.42</v>
      </c>
      <c r="BO2657">
        <v>40.270000000000003</v>
      </c>
      <c r="BP2657">
        <v>2.1800000000000002</v>
      </c>
      <c r="BQ2657">
        <v>23.4</v>
      </c>
      <c r="BR2657">
        <v>28.79</v>
      </c>
      <c r="BS2657">
        <v>8.61</v>
      </c>
      <c r="BT2657">
        <v>1.39</v>
      </c>
      <c r="BU2657">
        <v>8.02</v>
      </c>
      <c r="BV2657">
        <v>10.28</v>
      </c>
      <c r="BW2657">
        <v>2.0499999999999998</v>
      </c>
      <c r="BX2657">
        <v>29.89</v>
      </c>
      <c r="BY2657">
        <v>3.79</v>
      </c>
      <c r="BZ2657">
        <v>2.5099999999999998</v>
      </c>
      <c r="CA2657">
        <v>-0.34</v>
      </c>
      <c r="CB2657">
        <v>0.04</v>
      </c>
      <c r="CC2657">
        <v>-0.1</v>
      </c>
      <c r="CD2657">
        <v>-0.19</v>
      </c>
      <c r="CE2657">
        <v>-0.28000000000000003</v>
      </c>
      <c r="CF2657">
        <v>-0.8</v>
      </c>
      <c r="CG2657">
        <v>-10.58</v>
      </c>
      <c r="CH2657">
        <v>5.4</v>
      </c>
      <c r="CI2657">
        <v>-2.8</v>
      </c>
      <c r="CJ2657">
        <v>61988</v>
      </c>
      <c r="CK2657">
        <v>17431</v>
      </c>
      <c r="CL2657" t="s">
        <v>12032</v>
      </c>
      <c r="CM2657">
        <v>-209.95</v>
      </c>
      <c r="CN2657">
        <v>-26.62</v>
      </c>
      <c r="CO2657">
        <v>0.86</v>
      </c>
      <c r="CP2657">
        <v>6.38</v>
      </c>
      <c r="CQ2657">
        <v>9.11</v>
      </c>
      <c r="CR2657">
        <v>0</v>
      </c>
      <c r="CS2657" t="s">
        <v>9117</v>
      </c>
      <c r="CT2657">
        <v>2.02</v>
      </c>
      <c r="CU2657">
        <v>0</v>
      </c>
      <c r="CV2657">
        <v>1.5</v>
      </c>
      <c r="CW2657">
        <v>-0.53</v>
      </c>
      <c r="CX2657">
        <v>0.27</v>
      </c>
      <c r="CY2657">
        <v>72.66</v>
      </c>
      <c r="CZ2657" t="s">
        <v>12033</v>
      </c>
      <c r="DA2657">
        <v>33.82</v>
      </c>
      <c r="DB2657">
        <v>-8.98</v>
      </c>
      <c r="DC2657">
        <v>-7.51</v>
      </c>
      <c r="DD2657">
        <v>0.26</v>
      </c>
      <c r="DE2657">
        <v>1341</v>
      </c>
      <c r="DF2657">
        <v>600568</v>
      </c>
      <c r="DG2657" t="s">
        <v>116</v>
      </c>
      <c r="DH2657" t="s">
        <v>116</v>
      </c>
      <c r="DI2657" t="s">
        <v>116</v>
      </c>
    </row>
    <row r="2658" spans="1:113" x14ac:dyDescent="0.4">
      <c r="A2658" t="str">
        <f>"600569"</f>
        <v>600569</v>
      </c>
      <c r="B2658" t="s">
        <v>12034</v>
      </c>
      <c r="C2658">
        <v>0.41</v>
      </c>
      <c r="D2658">
        <v>2.46</v>
      </c>
      <c r="E2658">
        <v>0.01</v>
      </c>
      <c r="F2658">
        <v>2.4500000000000002</v>
      </c>
      <c r="G2658">
        <v>2.46</v>
      </c>
      <c r="H2658">
        <v>199623</v>
      </c>
      <c r="I2658">
        <v>2951</v>
      </c>
      <c r="J2658">
        <v>0.41</v>
      </c>
      <c r="K2658">
        <v>0.83</v>
      </c>
      <c r="L2658">
        <v>2.44</v>
      </c>
      <c r="M2658">
        <v>2.52</v>
      </c>
      <c r="N2658">
        <v>2.44</v>
      </c>
      <c r="O2658">
        <v>2.4500000000000002</v>
      </c>
      <c r="P2658">
        <v>14.02</v>
      </c>
      <c r="Q2658">
        <v>49333808</v>
      </c>
      <c r="R2658">
        <v>1.18</v>
      </c>
      <c r="S2658" t="s">
        <v>1587</v>
      </c>
      <c r="T2658" t="s">
        <v>652</v>
      </c>
      <c r="U2658">
        <v>3.27</v>
      </c>
      <c r="V2658">
        <v>2.4700000000000002</v>
      </c>
      <c r="W2658">
        <v>80364</v>
      </c>
      <c r="X2658">
        <v>119259</v>
      </c>
      <c r="Y2658">
        <v>0.67</v>
      </c>
      <c r="Z2658">
        <v>8268</v>
      </c>
      <c r="AA2658">
        <v>2895</v>
      </c>
      <c r="AB2658" t="s">
        <v>116</v>
      </c>
      <c r="AC2658">
        <v>255500</v>
      </c>
      <c r="AD2658">
        <v>0.01</v>
      </c>
      <c r="AE2658" t="s">
        <v>116</v>
      </c>
      <c r="AF2658" t="s">
        <v>116</v>
      </c>
      <c r="AG2658">
        <v>23.94</v>
      </c>
      <c r="AH2658" t="s">
        <v>12035</v>
      </c>
      <c r="AI2658" t="s">
        <v>12036</v>
      </c>
      <c r="AJ2658">
        <v>0.48</v>
      </c>
      <c r="AK2658">
        <v>1278</v>
      </c>
      <c r="AL2658">
        <v>156</v>
      </c>
      <c r="AM2658">
        <v>6.9999999999999999E-4</v>
      </c>
      <c r="AN2658">
        <v>2</v>
      </c>
      <c r="AO2658">
        <v>1.24</v>
      </c>
      <c r="AP2658">
        <v>1.23</v>
      </c>
      <c r="AQ2658">
        <v>3.36</v>
      </c>
      <c r="AR2658">
        <v>-16.04</v>
      </c>
      <c r="AS2658">
        <v>2.09</v>
      </c>
      <c r="AT2658" t="s">
        <v>12037</v>
      </c>
      <c r="AU2658">
        <v>10.67</v>
      </c>
      <c r="AV2658">
        <v>3.81</v>
      </c>
      <c r="AW2658">
        <v>1.1200000000000001</v>
      </c>
      <c r="BA2658">
        <v>-0.41</v>
      </c>
      <c r="BB2658">
        <v>2.86</v>
      </c>
      <c r="BC2658">
        <v>-0.41</v>
      </c>
      <c r="BD2658">
        <v>0.87</v>
      </c>
      <c r="BE2658">
        <v>0.82</v>
      </c>
      <c r="BF2658">
        <v>-2.38</v>
      </c>
      <c r="BG2658">
        <v>0.82</v>
      </c>
      <c r="BH2658">
        <v>-0.46</v>
      </c>
      <c r="BI2658">
        <v>20191030</v>
      </c>
      <c r="BJ2658">
        <v>20010820</v>
      </c>
      <c r="BK2658">
        <v>28.72</v>
      </c>
      <c r="BL2658" t="s">
        <v>116</v>
      </c>
      <c r="BM2658" t="s">
        <v>116</v>
      </c>
      <c r="BN2658">
        <v>390.04</v>
      </c>
      <c r="BO2658">
        <v>100.06</v>
      </c>
      <c r="BP2658">
        <v>6.53</v>
      </c>
      <c r="BQ2658">
        <v>72.67</v>
      </c>
      <c r="BR2658">
        <v>209.45</v>
      </c>
      <c r="BS2658">
        <v>140.21</v>
      </c>
      <c r="BT2658">
        <v>16.489999999999998</v>
      </c>
      <c r="BU2658">
        <v>257.52999999999997</v>
      </c>
      <c r="BV2658">
        <v>79.78</v>
      </c>
      <c r="BW2658">
        <v>6.22</v>
      </c>
      <c r="BX2658">
        <v>45.3</v>
      </c>
      <c r="BY2658">
        <v>234.4</v>
      </c>
      <c r="BZ2658">
        <v>209.56</v>
      </c>
      <c r="CA2658">
        <v>5.26</v>
      </c>
      <c r="CB2658">
        <v>0</v>
      </c>
      <c r="CC2658">
        <v>5.21</v>
      </c>
      <c r="CD2658">
        <v>3.69</v>
      </c>
      <c r="CE2658">
        <v>3.78</v>
      </c>
      <c r="CF2658">
        <v>3.64</v>
      </c>
      <c r="CG2658">
        <v>7.93</v>
      </c>
      <c r="CH2658">
        <v>3.9</v>
      </c>
      <c r="CI2658">
        <v>4.3099999999999996</v>
      </c>
      <c r="CJ2658">
        <v>115836</v>
      </c>
      <c r="CK2658">
        <v>8237</v>
      </c>
      <c r="CL2658" t="s">
        <v>144</v>
      </c>
      <c r="CM2658">
        <v>-75.959999999999994</v>
      </c>
      <c r="CN2658">
        <v>-8.7799999999999994</v>
      </c>
      <c r="CO2658">
        <v>0.71</v>
      </c>
      <c r="CP2658">
        <v>18.14</v>
      </c>
      <c r="CQ2658">
        <v>0.3</v>
      </c>
      <c r="CR2658">
        <v>3.39</v>
      </c>
      <c r="CS2658" t="s">
        <v>358</v>
      </c>
      <c r="CT2658">
        <v>3.48</v>
      </c>
      <c r="CU2658">
        <v>0</v>
      </c>
      <c r="CV2658">
        <v>1.58</v>
      </c>
      <c r="CW2658">
        <v>0.28000000000000003</v>
      </c>
      <c r="CX2658">
        <v>0.14000000000000001</v>
      </c>
      <c r="CY2658">
        <v>25.65</v>
      </c>
      <c r="CZ2658" t="s">
        <v>1144</v>
      </c>
      <c r="DA2658">
        <v>10.6</v>
      </c>
      <c r="DB2658">
        <v>2.2400000000000002</v>
      </c>
      <c r="DC2658">
        <v>1.61</v>
      </c>
      <c r="DD2658">
        <v>4.1900000000000004</v>
      </c>
      <c r="DE2658">
        <v>17088</v>
      </c>
      <c r="DF2658">
        <v>600569</v>
      </c>
      <c r="DG2658" t="s">
        <v>116</v>
      </c>
      <c r="DH2658" t="s">
        <v>116</v>
      </c>
      <c r="DI2658" t="s">
        <v>116</v>
      </c>
    </row>
    <row r="2659" spans="1:113" x14ac:dyDescent="0.4">
      <c r="A2659" t="str">
        <f>"600570"</f>
        <v>600570</v>
      </c>
      <c r="B2659" t="s">
        <v>12038</v>
      </c>
      <c r="C2659">
        <v>-2.57</v>
      </c>
      <c r="D2659">
        <v>75.59</v>
      </c>
      <c r="E2659">
        <v>-1.99</v>
      </c>
      <c r="F2659">
        <v>75.59</v>
      </c>
      <c r="G2659">
        <v>75.599999999999994</v>
      </c>
      <c r="H2659">
        <v>143440</v>
      </c>
      <c r="I2659">
        <v>1919</v>
      </c>
      <c r="J2659">
        <v>0.03</v>
      </c>
      <c r="K2659">
        <v>1.79</v>
      </c>
      <c r="L2659">
        <v>77.8</v>
      </c>
      <c r="M2659">
        <v>77.98</v>
      </c>
      <c r="N2659">
        <v>75.56</v>
      </c>
      <c r="O2659">
        <v>77.58</v>
      </c>
      <c r="P2659">
        <v>56.65</v>
      </c>
      <c r="Q2659">
        <v>1100003328</v>
      </c>
      <c r="R2659">
        <v>1.26</v>
      </c>
      <c r="S2659" t="s">
        <v>607</v>
      </c>
      <c r="T2659" t="s">
        <v>590</v>
      </c>
      <c r="U2659">
        <v>3.12</v>
      </c>
      <c r="V2659">
        <v>76.69</v>
      </c>
      <c r="W2659">
        <v>86361</v>
      </c>
      <c r="X2659">
        <v>57080</v>
      </c>
      <c r="Y2659">
        <v>1.51</v>
      </c>
      <c r="Z2659">
        <v>112</v>
      </c>
      <c r="AA2659">
        <v>550</v>
      </c>
      <c r="AB2659" t="s">
        <v>116</v>
      </c>
      <c r="AC2659">
        <v>5578300</v>
      </c>
      <c r="AD2659">
        <v>0.01</v>
      </c>
      <c r="AE2659" t="s">
        <v>116</v>
      </c>
      <c r="AF2659" t="s">
        <v>116</v>
      </c>
      <c r="AG2659">
        <v>8.0299999999999994</v>
      </c>
      <c r="AH2659" t="s">
        <v>12039</v>
      </c>
      <c r="AI2659" t="s">
        <v>12039</v>
      </c>
      <c r="AJ2659">
        <v>-2.4900000000000002</v>
      </c>
      <c r="AK2659">
        <v>4467</v>
      </c>
      <c r="AL2659">
        <v>32</v>
      </c>
      <c r="AM2659">
        <v>4.0000000000000002E-4</v>
      </c>
      <c r="AN2659">
        <v>-1</v>
      </c>
      <c r="AO2659">
        <v>-1.63</v>
      </c>
      <c r="AP2659">
        <v>3.82</v>
      </c>
      <c r="AQ2659">
        <v>0.73</v>
      </c>
      <c r="AR2659">
        <v>90.22</v>
      </c>
      <c r="AS2659">
        <v>2.25</v>
      </c>
      <c r="AT2659" t="s">
        <v>12040</v>
      </c>
      <c r="AU2659">
        <v>55.78</v>
      </c>
      <c r="AV2659">
        <v>94.07</v>
      </c>
      <c r="AW2659">
        <v>1.84</v>
      </c>
      <c r="BA2659">
        <v>0.28000000000000003</v>
      </c>
      <c r="BB2659">
        <v>0.52</v>
      </c>
      <c r="BC2659">
        <v>-2.6</v>
      </c>
      <c r="BD2659">
        <v>-1.1499999999999999</v>
      </c>
      <c r="BE2659">
        <v>-2.84</v>
      </c>
      <c r="BF2659">
        <v>-3.06</v>
      </c>
      <c r="BG2659">
        <v>0.04</v>
      </c>
      <c r="BH2659">
        <v>-1.41</v>
      </c>
      <c r="BI2659">
        <v>20191026</v>
      </c>
      <c r="BJ2659">
        <v>20031216</v>
      </c>
      <c r="BK2659">
        <v>8.0299999999999994</v>
      </c>
      <c r="BL2659" t="s">
        <v>116</v>
      </c>
      <c r="BM2659" t="s">
        <v>116</v>
      </c>
      <c r="BN2659">
        <v>67.209999999999994</v>
      </c>
      <c r="BO2659">
        <v>38.1</v>
      </c>
      <c r="BP2659">
        <v>2.57</v>
      </c>
      <c r="BQ2659">
        <v>39.479999999999997</v>
      </c>
      <c r="BR2659">
        <v>45.93</v>
      </c>
      <c r="BS2659">
        <v>3.49</v>
      </c>
      <c r="BT2659">
        <v>1.0900000000000001</v>
      </c>
      <c r="BU2659">
        <v>24.45</v>
      </c>
      <c r="BV2659">
        <v>0.22</v>
      </c>
      <c r="BW2659">
        <v>2.11</v>
      </c>
      <c r="BX2659">
        <v>4.26</v>
      </c>
      <c r="BY2659">
        <v>22.97</v>
      </c>
      <c r="BZ2659">
        <v>0.54</v>
      </c>
      <c r="CA2659">
        <v>8.82</v>
      </c>
      <c r="CB2659">
        <v>3.91</v>
      </c>
      <c r="CC2659">
        <v>8.83</v>
      </c>
      <c r="CD2659">
        <v>7.99</v>
      </c>
      <c r="CE2659">
        <v>8.0399999999999991</v>
      </c>
      <c r="CF2659">
        <v>3.17</v>
      </c>
      <c r="CG2659">
        <v>25.26</v>
      </c>
      <c r="CH2659">
        <v>-0.67</v>
      </c>
      <c r="CI2659">
        <v>-0.56999999999999995</v>
      </c>
      <c r="CJ2659">
        <v>96850</v>
      </c>
      <c r="CK2659">
        <v>6574</v>
      </c>
      <c r="CL2659" t="s">
        <v>12041</v>
      </c>
      <c r="CM2659">
        <v>122.86</v>
      </c>
      <c r="CN2659">
        <v>17.02</v>
      </c>
      <c r="CO2659">
        <v>15.93</v>
      </c>
      <c r="CP2659">
        <v>-906.34</v>
      </c>
      <c r="CQ2659">
        <v>26.43</v>
      </c>
      <c r="CR2659">
        <v>0.33</v>
      </c>
      <c r="CS2659" t="s">
        <v>11714</v>
      </c>
      <c r="CT2659">
        <v>4.74</v>
      </c>
      <c r="CU2659">
        <v>0</v>
      </c>
      <c r="CV2659">
        <v>0.53</v>
      </c>
      <c r="CW2659">
        <v>3.14</v>
      </c>
      <c r="CX2659">
        <v>-0.08</v>
      </c>
      <c r="CY2659">
        <v>56.69</v>
      </c>
      <c r="CZ2659" t="s">
        <v>12042</v>
      </c>
      <c r="DA2659">
        <v>97.66</v>
      </c>
      <c r="DB2659">
        <v>38.39</v>
      </c>
      <c r="DC2659">
        <v>34.99</v>
      </c>
      <c r="DD2659">
        <v>10.43</v>
      </c>
      <c r="DE2659">
        <v>7122</v>
      </c>
      <c r="DF2659">
        <v>600570</v>
      </c>
      <c r="DG2659" t="s">
        <v>116</v>
      </c>
      <c r="DH2659" t="s">
        <v>116</v>
      </c>
      <c r="DI2659" t="s">
        <v>116</v>
      </c>
    </row>
    <row r="2660" spans="1:113" x14ac:dyDescent="0.4">
      <c r="A2660" t="str">
        <f>"600571"</f>
        <v>600571</v>
      </c>
      <c r="B2660" t="s">
        <v>12043</v>
      </c>
      <c r="C2660">
        <v>-2.4900000000000002</v>
      </c>
      <c r="D2660">
        <v>9.39</v>
      </c>
      <c r="E2660">
        <v>-0.24</v>
      </c>
      <c r="F2660">
        <v>9.39</v>
      </c>
      <c r="G2660">
        <v>9.4</v>
      </c>
      <c r="H2660">
        <v>65802</v>
      </c>
      <c r="I2660">
        <v>745</v>
      </c>
      <c r="J2660">
        <v>-0.2</v>
      </c>
      <c r="K2660">
        <v>1.53</v>
      </c>
      <c r="L2660">
        <v>9.6</v>
      </c>
      <c r="M2660">
        <v>9.67</v>
      </c>
      <c r="N2660">
        <v>9.39</v>
      </c>
      <c r="O2660">
        <v>9.6300000000000008</v>
      </c>
      <c r="P2660">
        <v>306.57</v>
      </c>
      <c r="Q2660">
        <v>62808992</v>
      </c>
      <c r="R2660">
        <v>0.95</v>
      </c>
      <c r="S2660" t="s">
        <v>607</v>
      </c>
      <c r="T2660" t="s">
        <v>590</v>
      </c>
      <c r="U2660">
        <v>2.91</v>
      </c>
      <c r="V2660">
        <v>9.5500000000000007</v>
      </c>
      <c r="W2660">
        <v>37602</v>
      </c>
      <c r="X2660">
        <v>28200</v>
      </c>
      <c r="Y2660">
        <v>1.33</v>
      </c>
      <c r="Z2660">
        <v>752</v>
      </c>
      <c r="AA2660">
        <v>333</v>
      </c>
      <c r="AB2660" t="s">
        <v>116</v>
      </c>
      <c r="AC2660">
        <v>193900</v>
      </c>
      <c r="AD2660">
        <v>0.01</v>
      </c>
      <c r="AE2660" t="s">
        <v>116</v>
      </c>
      <c r="AF2660" t="s">
        <v>116</v>
      </c>
      <c r="AG2660">
        <v>4.3099999999999996</v>
      </c>
      <c r="AH2660" t="s">
        <v>12044</v>
      </c>
      <c r="AI2660" t="s">
        <v>8977</v>
      </c>
      <c r="AJ2660">
        <v>-2.42</v>
      </c>
      <c r="AK2660">
        <v>2210</v>
      </c>
      <c r="AL2660">
        <v>30</v>
      </c>
      <c r="AM2660">
        <v>6.9999999999999999E-4</v>
      </c>
      <c r="AN2660">
        <v>-1</v>
      </c>
      <c r="AO2660">
        <v>0.01</v>
      </c>
      <c r="AP2660">
        <v>4.0999999999999996</v>
      </c>
      <c r="AQ2660">
        <v>-8.57</v>
      </c>
      <c r="AR2660">
        <v>58.35</v>
      </c>
      <c r="AS2660">
        <v>2.0299999999999998</v>
      </c>
      <c r="AT2660" t="s">
        <v>942</v>
      </c>
      <c r="AU2660">
        <v>145.88</v>
      </c>
      <c r="AV2660">
        <v>150.19999999999999</v>
      </c>
      <c r="AW2660">
        <v>1.94</v>
      </c>
      <c r="BA2660">
        <v>-0.31</v>
      </c>
      <c r="BB2660">
        <v>0.42</v>
      </c>
      <c r="BC2660">
        <v>-2.4900000000000002</v>
      </c>
      <c r="BD2660">
        <v>-0.88</v>
      </c>
      <c r="BE2660">
        <v>-2.19</v>
      </c>
      <c r="BF2660">
        <v>-2.9</v>
      </c>
      <c r="BG2660">
        <v>0</v>
      </c>
      <c r="BH2660">
        <v>-1.61</v>
      </c>
      <c r="BI2660">
        <v>20191031</v>
      </c>
      <c r="BJ2660">
        <v>20021101</v>
      </c>
      <c r="BK2660">
        <v>4.4000000000000004</v>
      </c>
      <c r="BL2660" t="s">
        <v>116</v>
      </c>
      <c r="BM2660" t="s">
        <v>116</v>
      </c>
      <c r="BN2660">
        <v>13.81</v>
      </c>
      <c r="BO2660">
        <v>9.49</v>
      </c>
      <c r="BP2660">
        <v>0.69</v>
      </c>
      <c r="BQ2660">
        <v>26.28</v>
      </c>
      <c r="BR2660">
        <v>8.67</v>
      </c>
      <c r="BS2660">
        <v>0.56999999999999995</v>
      </c>
      <c r="BT2660">
        <v>0.36</v>
      </c>
      <c r="BU2660">
        <v>3.36</v>
      </c>
      <c r="BV2660">
        <v>1.66</v>
      </c>
      <c r="BW2660">
        <v>3</v>
      </c>
      <c r="BX2660">
        <v>1.93</v>
      </c>
      <c r="BY2660">
        <v>8.98</v>
      </c>
      <c r="BZ2660">
        <v>4.0199999999999996</v>
      </c>
      <c r="CA2660">
        <v>-0.04</v>
      </c>
      <c r="CB2660">
        <v>0.19</v>
      </c>
      <c r="CC2660">
        <v>-0.03</v>
      </c>
      <c r="CD2660">
        <v>-0.06</v>
      </c>
      <c r="CE2660">
        <v>0.1</v>
      </c>
      <c r="CF2660">
        <v>-0.17</v>
      </c>
      <c r="CG2660">
        <v>1.05</v>
      </c>
      <c r="CH2660">
        <v>-3.21</v>
      </c>
      <c r="CI2660">
        <v>-1.49</v>
      </c>
      <c r="CJ2660">
        <v>63232</v>
      </c>
      <c r="CK2660">
        <v>5133</v>
      </c>
      <c r="CL2660" t="s">
        <v>205</v>
      </c>
      <c r="CM2660">
        <v>8.7799999999999994</v>
      </c>
      <c r="CN2660">
        <v>8.9700000000000006</v>
      </c>
      <c r="CO2660">
        <v>4.3499999999999996</v>
      </c>
      <c r="CP2660">
        <v>-12.84</v>
      </c>
      <c r="CQ2660">
        <v>4.5999999999999996</v>
      </c>
      <c r="CR2660">
        <v>3.94</v>
      </c>
      <c r="CS2660" t="s">
        <v>1432</v>
      </c>
      <c r="CT2660">
        <v>2.16</v>
      </c>
      <c r="CU2660">
        <v>0</v>
      </c>
      <c r="CV2660">
        <v>0.44</v>
      </c>
      <c r="CW2660">
        <v>0.24</v>
      </c>
      <c r="CX2660">
        <v>-0.73</v>
      </c>
      <c r="CY2660">
        <v>68.72</v>
      </c>
      <c r="CZ2660" t="s">
        <v>1888</v>
      </c>
      <c r="DA2660">
        <v>55.21</v>
      </c>
      <c r="DB2660">
        <v>-0.44</v>
      </c>
      <c r="DC2660">
        <v>1.1200000000000001</v>
      </c>
      <c r="DD2660">
        <v>3.26</v>
      </c>
      <c r="DE2660">
        <v>6891</v>
      </c>
      <c r="DF2660">
        <v>600571</v>
      </c>
      <c r="DG2660" t="s">
        <v>116</v>
      </c>
      <c r="DH2660" t="s">
        <v>116</v>
      </c>
      <c r="DI2660" t="s">
        <v>116</v>
      </c>
    </row>
    <row r="2661" spans="1:113" x14ac:dyDescent="0.4">
      <c r="A2661" t="str">
        <f>"600572"</f>
        <v>600572</v>
      </c>
      <c r="B2661" t="s">
        <v>12045</v>
      </c>
      <c r="C2661">
        <v>0.16</v>
      </c>
      <c r="D2661">
        <v>6.08</v>
      </c>
      <c r="E2661">
        <v>0.01</v>
      </c>
      <c r="F2661">
        <v>6.07</v>
      </c>
      <c r="G2661">
        <v>6.08</v>
      </c>
      <c r="H2661">
        <v>297685</v>
      </c>
      <c r="I2661">
        <v>7760</v>
      </c>
      <c r="J2661">
        <v>0.33</v>
      </c>
      <c r="K2661">
        <v>1.1200000000000001</v>
      </c>
      <c r="L2661">
        <v>6.07</v>
      </c>
      <c r="M2661">
        <v>6.1</v>
      </c>
      <c r="N2661">
        <v>6.04</v>
      </c>
      <c r="O2661">
        <v>6.07</v>
      </c>
      <c r="P2661">
        <v>25.64</v>
      </c>
      <c r="Q2661">
        <v>180752096</v>
      </c>
      <c r="R2661">
        <v>0.74</v>
      </c>
      <c r="S2661" t="s">
        <v>781</v>
      </c>
      <c r="T2661" t="s">
        <v>590</v>
      </c>
      <c r="U2661">
        <v>0.99</v>
      </c>
      <c r="V2661">
        <v>6.07</v>
      </c>
      <c r="W2661">
        <v>151091</v>
      </c>
      <c r="X2661">
        <v>146594</v>
      </c>
      <c r="Y2661">
        <v>1.03</v>
      </c>
      <c r="Z2661">
        <v>1461</v>
      </c>
      <c r="AA2661">
        <v>2020</v>
      </c>
      <c r="AB2661" t="s">
        <v>116</v>
      </c>
      <c r="AC2661">
        <v>300500</v>
      </c>
      <c r="AD2661">
        <v>0</v>
      </c>
      <c r="AE2661" t="s">
        <v>116</v>
      </c>
      <c r="AF2661" t="s">
        <v>116</v>
      </c>
      <c r="AG2661">
        <v>26.61</v>
      </c>
      <c r="AH2661" t="s">
        <v>12046</v>
      </c>
      <c r="AI2661" t="s">
        <v>12047</v>
      </c>
      <c r="AJ2661">
        <v>0.24</v>
      </c>
      <c r="AK2661">
        <v>2813</v>
      </c>
      <c r="AL2661">
        <v>106</v>
      </c>
      <c r="AM2661">
        <v>4.0000000000000002E-4</v>
      </c>
      <c r="AN2661">
        <v>1</v>
      </c>
      <c r="AO2661">
        <v>-0.66</v>
      </c>
      <c r="AP2661">
        <v>-2.41</v>
      </c>
      <c r="AQ2661">
        <v>-5.74</v>
      </c>
      <c r="AR2661">
        <v>5.19</v>
      </c>
      <c r="AS2661">
        <v>1.73</v>
      </c>
      <c r="AT2661" t="s">
        <v>12048</v>
      </c>
      <c r="AU2661">
        <v>32.21</v>
      </c>
      <c r="AV2661">
        <v>20.18</v>
      </c>
      <c r="AW2661">
        <v>0.6</v>
      </c>
      <c r="BA2661">
        <v>0</v>
      </c>
      <c r="BB2661">
        <v>0.49</v>
      </c>
      <c r="BC2661">
        <v>-0.49</v>
      </c>
      <c r="BD2661">
        <v>0.03</v>
      </c>
      <c r="BE2661">
        <v>0.16</v>
      </c>
      <c r="BF2661">
        <v>-0.33</v>
      </c>
      <c r="BG2661">
        <v>0.66</v>
      </c>
      <c r="BH2661">
        <v>0.13</v>
      </c>
      <c r="BI2661">
        <v>20191031</v>
      </c>
      <c r="BJ2661">
        <v>20040412</v>
      </c>
      <c r="BK2661">
        <v>26.67</v>
      </c>
      <c r="BL2661" t="s">
        <v>116</v>
      </c>
      <c r="BM2661" t="s">
        <v>116</v>
      </c>
      <c r="BN2661">
        <v>107.75</v>
      </c>
      <c r="BO2661">
        <v>54.28</v>
      </c>
      <c r="BP2661">
        <v>2.61</v>
      </c>
      <c r="BQ2661">
        <v>47.19</v>
      </c>
      <c r="BR2661">
        <v>49.82</v>
      </c>
      <c r="BS2661">
        <v>24.56</v>
      </c>
      <c r="BT2661">
        <v>4.5599999999999996</v>
      </c>
      <c r="BU2661">
        <v>45.55</v>
      </c>
      <c r="BV2661">
        <v>12.35</v>
      </c>
      <c r="BW2661">
        <v>17</v>
      </c>
      <c r="BX2661">
        <v>7.12</v>
      </c>
      <c r="BY2661">
        <v>53.93</v>
      </c>
      <c r="BZ2661">
        <v>12.91</v>
      </c>
      <c r="CA2661">
        <v>7.03</v>
      </c>
      <c r="CB2661">
        <v>-0.55000000000000004</v>
      </c>
      <c r="CC2661">
        <v>6.96</v>
      </c>
      <c r="CD2661">
        <v>5.25</v>
      </c>
      <c r="CE2661">
        <v>4.74</v>
      </c>
      <c r="CF2661">
        <v>4.07</v>
      </c>
      <c r="CG2661">
        <v>22.07</v>
      </c>
      <c r="CH2661">
        <v>7.42</v>
      </c>
      <c r="CI2661">
        <v>0.15</v>
      </c>
      <c r="CJ2661">
        <v>113521</v>
      </c>
      <c r="CK2661">
        <v>15139</v>
      </c>
      <c r="CL2661" t="s">
        <v>10576</v>
      </c>
      <c r="CM2661">
        <v>-38.770000000000003</v>
      </c>
      <c r="CN2661">
        <v>-2.94</v>
      </c>
      <c r="CO2661">
        <v>2.99</v>
      </c>
      <c r="CP2661">
        <v>21.85</v>
      </c>
      <c r="CQ2661">
        <v>3.01</v>
      </c>
      <c r="CR2661">
        <v>2.38</v>
      </c>
      <c r="CS2661" t="s">
        <v>1971</v>
      </c>
      <c r="CT2661">
        <v>2.04</v>
      </c>
      <c r="CU2661">
        <v>0</v>
      </c>
      <c r="CV2661">
        <v>0.27</v>
      </c>
      <c r="CW2661">
        <v>0.83</v>
      </c>
      <c r="CX2661">
        <v>0.28000000000000003</v>
      </c>
      <c r="CY2661">
        <v>50.38</v>
      </c>
      <c r="CZ2661" t="s">
        <v>5411</v>
      </c>
      <c r="DA2661">
        <v>76.069999999999993</v>
      </c>
      <c r="DB2661">
        <v>13.03</v>
      </c>
      <c r="DC2661">
        <v>8.8000000000000007</v>
      </c>
      <c r="DD2661">
        <v>1.29</v>
      </c>
      <c r="DE2661">
        <v>9334</v>
      </c>
      <c r="DF2661">
        <v>600572</v>
      </c>
      <c r="DG2661" t="s">
        <v>116</v>
      </c>
      <c r="DH2661" t="s">
        <v>116</v>
      </c>
      <c r="DI2661" t="s">
        <v>116</v>
      </c>
    </row>
    <row r="2662" spans="1:113" x14ac:dyDescent="0.4">
      <c r="A2662" t="str">
        <f>"600573"</f>
        <v>600573</v>
      </c>
      <c r="B2662" t="s">
        <v>12049</v>
      </c>
      <c r="C2662">
        <v>0</v>
      </c>
      <c r="D2662">
        <v>6.49</v>
      </c>
      <c r="E2662">
        <v>0</v>
      </c>
      <c r="F2662">
        <v>6.49</v>
      </c>
      <c r="G2662">
        <v>6.5</v>
      </c>
      <c r="H2662">
        <v>21761</v>
      </c>
      <c r="I2662">
        <v>248</v>
      </c>
      <c r="J2662">
        <v>-0.14000000000000001</v>
      </c>
      <c r="K2662">
        <v>0.87</v>
      </c>
      <c r="L2662">
        <v>6.51</v>
      </c>
      <c r="M2662">
        <v>6.6</v>
      </c>
      <c r="N2662">
        <v>6.49</v>
      </c>
      <c r="O2662">
        <v>6.49</v>
      </c>
      <c r="P2662">
        <v>44.07</v>
      </c>
      <c r="Q2662">
        <v>14221590</v>
      </c>
      <c r="R2662">
        <v>1.42</v>
      </c>
      <c r="S2662" t="s">
        <v>1962</v>
      </c>
      <c r="T2662" t="s">
        <v>975</v>
      </c>
      <c r="U2662">
        <v>1.69</v>
      </c>
      <c r="V2662">
        <v>6.54</v>
      </c>
      <c r="W2662">
        <v>13329</v>
      </c>
      <c r="X2662">
        <v>8432</v>
      </c>
      <c r="Y2662">
        <v>1.58</v>
      </c>
      <c r="Z2662">
        <v>130</v>
      </c>
      <c r="AA2662">
        <v>41</v>
      </c>
      <c r="AB2662" t="s">
        <v>116</v>
      </c>
      <c r="AC2662">
        <v>210900</v>
      </c>
      <c r="AD2662">
        <v>0.03</v>
      </c>
      <c r="AE2662" t="s">
        <v>116</v>
      </c>
      <c r="AF2662" t="s">
        <v>116</v>
      </c>
      <c r="AG2662">
        <v>2.5</v>
      </c>
      <c r="AH2662" t="s">
        <v>6092</v>
      </c>
      <c r="AI2662" t="s">
        <v>6092</v>
      </c>
      <c r="AJ2662">
        <v>0.08</v>
      </c>
      <c r="AK2662">
        <v>772</v>
      </c>
      <c r="AL2662">
        <v>28</v>
      </c>
      <c r="AM2662">
        <v>1.1000000000000001E-3</v>
      </c>
      <c r="AN2662">
        <v>0</v>
      </c>
      <c r="AO2662">
        <v>0.31</v>
      </c>
      <c r="AP2662">
        <v>5.19</v>
      </c>
      <c r="AQ2662">
        <v>-8.59</v>
      </c>
      <c r="AR2662">
        <v>3.67</v>
      </c>
      <c r="AS2662">
        <v>1.74</v>
      </c>
      <c r="AT2662" t="s">
        <v>12050</v>
      </c>
      <c r="AU2662">
        <v>75.41</v>
      </c>
      <c r="AV2662">
        <v>87.72</v>
      </c>
      <c r="AW2662">
        <v>1.24</v>
      </c>
      <c r="BA2662">
        <v>0.31</v>
      </c>
      <c r="BB2662">
        <v>1.69</v>
      </c>
      <c r="BC2662">
        <v>0</v>
      </c>
      <c r="BD2662">
        <v>0.7</v>
      </c>
      <c r="BE2662">
        <v>-0.31</v>
      </c>
      <c r="BF2662">
        <v>-1.67</v>
      </c>
      <c r="BG2662">
        <v>0</v>
      </c>
      <c r="BH2662">
        <v>-0.7</v>
      </c>
      <c r="BI2662">
        <v>20191025</v>
      </c>
      <c r="BJ2662">
        <v>20030226</v>
      </c>
      <c r="BK2662">
        <v>2.5</v>
      </c>
      <c r="BL2662" t="s">
        <v>116</v>
      </c>
      <c r="BM2662" t="s">
        <v>116</v>
      </c>
      <c r="BN2662">
        <v>12.65</v>
      </c>
      <c r="BO2662">
        <v>11.46</v>
      </c>
      <c r="BP2662">
        <v>0.09</v>
      </c>
      <c r="BQ2662">
        <v>8.73</v>
      </c>
      <c r="BR2662">
        <v>8.27</v>
      </c>
      <c r="BS2662">
        <v>3.62</v>
      </c>
      <c r="BT2662">
        <v>0.63</v>
      </c>
      <c r="BU2662">
        <v>1.0900000000000001</v>
      </c>
      <c r="BV2662">
        <v>1.29</v>
      </c>
      <c r="BW2662">
        <v>0</v>
      </c>
      <c r="BX2662">
        <v>5.0599999999999996</v>
      </c>
      <c r="BY2662">
        <v>5</v>
      </c>
      <c r="BZ2662">
        <v>3.5</v>
      </c>
      <c r="CA2662">
        <v>0.36</v>
      </c>
      <c r="CB2662">
        <v>7.0000000000000007E-2</v>
      </c>
      <c r="CC2662">
        <v>0.36</v>
      </c>
      <c r="CD2662">
        <v>0.28000000000000003</v>
      </c>
      <c r="CE2662">
        <v>0.28000000000000003</v>
      </c>
      <c r="CF2662">
        <v>0.2</v>
      </c>
      <c r="CG2662">
        <v>2.58</v>
      </c>
      <c r="CH2662">
        <v>1.0900000000000001</v>
      </c>
      <c r="CI2662">
        <v>-3.77</v>
      </c>
      <c r="CJ2662">
        <v>14102</v>
      </c>
      <c r="CK2662">
        <v>8850</v>
      </c>
      <c r="CL2662" t="s">
        <v>2654</v>
      </c>
      <c r="CM2662">
        <v>12.27</v>
      </c>
      <c r="CN2662">
        <v>0.75</v>
      </c>
      <c r="CO2662">
        <v>1.42</v>
      </c>
      <c r="CP2662">
        <v>14.88</v>
      </c>
      <c r="CQ2662">
        <v>3.25</v>
      </c>
      <c r="CR2662">
        <v>0.46</v>
      </c>
      <c r="CS2662" t="s">
        <v>424</v>
      </c>
      <c r="CT2662">
        <v>4.58</v>
      </c>
      <c r="CU2662">
        <v>0</v>
      </c>
      <c r="CV2662">
        <v>2.02</v>
      </c>
      <c r="CW2662">
        <v>1.03</v>
      </c>
      <c r="CX2662">
        <v>0.44</v>
      </c>
      <c r="CY2662">
        <v>90.57</v>
      </c>
      <c r="CZ2662" t="s">
        <v>9128</v>
      </c>
      <c r="DA2662">
        <v>29.87</v>
      </c>
      <c r="DB2662">
        <v>7.16</v>
      </c>
      <c r="DC2662">
        <v>5.53</v>
      </c>
      <c r="DD2662">
        <v>0.11</v>
      </c>
      <c r="DE2662">
        <v>1675</v>
      </c>
      <c r="DF2662">
        <v>600573</v>
      </c>
      <c r="DG2662" t="s">
        <v>116</v>
      </c>
      <c r="DH2662" t="s">
        <v>116</v>
      </c>
      <c r="DI2662" t="s">
        <v>116</v>
      </c>
    </row>
    <row r="2663" spans="1:113" x14ac:dyDescent="0.4">
      <c r="A2663" t="str">
        <f>"600575"</f>
        <v>600575</v>
      </c>
      <c r="B2663" t="s">
        <v>12051</v>
      </c>
      <c r="C2663">
        <v>0</v>
      </c>
      <c r="D2663">
        <v>2.57</v>
      </c>
      <c r="E2663">
        <v>0</v>
      </c>
      <c r="F2663">
        <v>2.57</v>
      </c>
      <c r="G2663">
        <v>2.58</v>
      </c>
      <c r="H2663">
        <v>123052</v>
      </c>
      <c r="I2663">
        <v>730</v>
      </c>
      <c r="J2663">
        <v>-0.38</v>
      </c>
      <c r="K2663">
        <v>0.32</v>
      </c>
      <c r="L2663">
        <v>2.58</v>
      </c>
      <c r="M2663">
        <v>2.61</v>
      </c>
      <c r="N2663">
        <v>2.57</v>
      </c>
      <c r="O2663">
        <v>2.57</v>
      </c>
      <c r="P2663">
        <v>13.65</v>
      </c>
      <c r="Q2663">
        <v>31820502</v>
      </c>
      <c r="R2663">
        <v>0.73</v>
      </c>
      <c r="S2663" t="s">
        <v>940</v>
      </c>
      <c r="T2663" t="s">
        <v>575</v>
      </c>
      <c r="U2663">
        <v>1.56</v>
      </c>
      <c r="V2663">
        <v>2.59</v>
      </c>
      <c r="W2663">
        <v>58951</v>
      </c>
      <c r="X2663">
        <v>64101</v>
      </c>
      <c r="Y2663">
        <v>0.92</v>
      </c>
      <c r="Z2663">
        <v>11539</v>
      </c>
      <c r="AA2663">
        <v>1964</v>
      </c>
      <c r="AB2663" t="s">
        <v>116</v>
      </c>
      <c r="AC2663">
        <v>424700</v>
      </c>
      <c r="AD2663">
        <v>0.01</v>
      </c>
      <c r="AE2663" t="s">
        <v>116</v>
      </c>
      <c r="AF2663" t="s">
        <v>116</v>
      </c>
      <c r="AG2663">
        <v>38.86</v>
      </c>
      <c r="AH2663" t="s">
        <v>12052</v>
      </c>
      <c r="AI2663" t="s">
        <v>12052</v>
      </c>
      <c r="AJ2663">
        <v>0.08</v>
      </c>
      <c r="AK2663">
        <v>1096</v>
      </c>
      <c r="AL2663">
        <v>112</v>
      </c>
      <c r="AM2663">
        <v>2.9999999999999997E-4</v>
      </c>
      <c r="AN2663">
        <v>0</v>
      </c>
      <c r="AO2663">
        <v>0</v>
      </c>
      <c r="AP2663">
        <v>-1.1499999999999999</v>
      </c>
      <c r="AQ2663">
        <v>-10.14</v>
      </c>
      <c r="AR2663">
        <v>20.66</v>
      </c>
      <c r="AS2663">
        <v>0.82</v>
      </c>
      <c r="AT2663" t="s">
        <v>2096</v>
      </c>
      <c r="AU2663">
        <v>15.82</v>
      </c>
      <c r="AV2663">
        <v>24</v>
      </c>
      <c r="AW2663">
        <v>1.56</v>
      </c>
      <c r="BA2663">
        <v>0.39</v>
      </c>
      <c r="BB2663">
        <v>1.56</v>
      </c>
      <c r="BC2663">
        <v>0</v>
      </c>
      <c r="BD2663">
        <v>0.62</v>
      </c>
      <c r="BE2663">
        <v>-0.39</v>
      </c>
      <c r="BF2663">
        <v>-1.53</v>
      </c>
      <c r="BG2663">
        <v>0</v>
      </c>
      <c r="BH2663">
        <v>-0.62</v>
      </c>
      <c r="BI2663">
        <v>20191030</v>
      </c>
      <c r="BJ2663">
        <v>20030328</v>
      </c>
      <c r="BK2663">
        <v>38.86</v>
      </c>
      <c r="BL2663" t="s">
        <v>116</v>
      </c>
      <c r="BM2663" t="s">
        <v>116</v>
      </c>
      <c r="BN2663">
        <v>168.91</v>
      </c>
      <c r="BO2663">
        <v>92.65</v>
      </c>
      <c r="BP2663">
        <v>13.97</v>
      </c>
      <c r="BQ2663">
        <v>36.880000000000003</v>
      </c>
      <c r="BR2663">
        <v>61.55</v>
      </c>
      <c r="BS2663">
        <v>77.23</v>
      </c>
      <c r="BT2663">
        <v>18.53</v>
      </c>
      <c r="BU2663">
        <v>45.87</v>
      </c>
      <c r="BV2663">
        <v>6</v>
      </c>
      <c r="BW2663">
        <v>7.58</v>
      </c>
      <c r="BX2663">
        <v>50.04</v>
      </c>
      <c r="BY2663">
        <v>89.73</v>
      </c>
      <c r="BZ2663">
        <v>82.28</v>
      </c>
      <c r="CA2663">
        <v>4.62</v>
      </c>
      <c r="CB2663">
        <v>1.42</v>
      </c>
      <c r="CC2663">
        <v>6.2</v>
      </c>
      <c r="CD2663">
        <v>5.66</v>
      </c>
      <c r="CE2663">
        <v>5.49</v>
      </c>
      <c r="CF2663">
        <v>1.98</v>
      </c>
      <c r="CG2663">
        <v>1.96</v>
      </c>
      <c r="CH2663">
        <v>14.17</v>
      </c>
      <c r="CI2663">
        <v>2.3199999999999998</v>
      </c>
      <c r="CJ2663">
        <v>39927</v>
      </c>
      <c r="CK2663">
        <v>37560</v>
      </c>
      <c r="CL2663" t="s">
        <v>12053</v>
      </c>
      <c r="CM2663">
        <v>64.56</v>
      </c>
      <c r="CN2663">
        <v>13.16</v>
      </c>
      <c r="CO2663">
        <v>1.08</v>
      </c>
      <c r="CP2663">
        <v>7.05</v>
      </c>
      <c r="CQ2663">
        <v>1.1100000000000001</v>
      </c>
      <c r="CR2663">
        <v>0</v>
      </c>
      <c r="CS2663" t="s">
        <v>5207</v>
      </c>
      <c r="CT2663">
        <v>2.38</v>
      </c>
      <c r="CU2663">
        <v>0</v>
      </c>
      <c r="CV2663">
        <v>1.29</v>
      </c>
      <c r="CW2663">
        <v>0.05</v>
      </c>
      <c r="CX2663">
        <v>0.36</v>
      </c>
      <c r="CY2663">
        <v>54.85</v>
      </c>
      <c r="CZ2663" t="s">
        <v>8650</v>
      </c>
      <c r="DA2663">
        <v>8.3000000000000007</v>
      </c>
      <c r="DB2663">
        <v>5.15</v>
      </c>
      <c r="DC2663">
        <v>6.12</v>
      </c>
      <c r="DD2663">
        <v>0</v>
      </c>
      <c r="DE2663">
        <v>8048</v>
      </c>
      <c r="DF2663">
        <v>600575</v>
      </c>
      <c r="DG2663" t="s">
        <v>116</v>
      </c>
      <c r="DH2663" t="s">
        <v>116</v>
      </c>
      <c r="DI2663" t="s">
        <v>116</v>
      </c>
    </row>
    <row r="2664" spans="1:113" x14ac:dyDescent="0.4">
      <c r="A2664" t="str">
        <f>"600576"</f>
        <v>600576</v>
      </c>
      <c r="B2664" t="s">
        <v>12054</v>
      </c>
      <c r="C2664">
        <v>-3</v>
      </c>
      <c r="D2664">
        <v>4.8499999999999996</v>
      </c>
      <c r="E2664">
        <v>-0.15</v>
      </c>
      <c r="F2664">
        <v>4.84</v>
      </c>
      <c r="G2664">
        <v>4.8499999999999996</v>
      </c>
      <c r="H2664">
        <v>136761</v>
      </c>
      <c r="I2664">
        <v>1478</v>
      </c>
      <c r="J2664">
        <v>0</v>
      </c>
      <c r="K2664">
        <v>2.6</v>
      </c>
      <c r="L2664">
        <v>5.01</v>
      </c>
      <c r="M2664">
        <v>5.03</v>
      </c>
      <c r="N2664">
        <v>4.84</v>
      </c>
      <c r="O2664">
        <v>5</v>
      </c>
      <c r="P2664">
        <v>39.89</v>
      </c>
      <c r="Q2664">
        <v>67528456</v>
      </c>
      <c r="R2664">
        <v>0.82</v>
      </c>
      <c r="S2664" t="s">
        <v>589</v>
      </c>
      <c r="T2664" t="s">
        <v>590</v>
      </c>
      <c r="U2664">
        <v>3.8</v>
      </c>
      <c r="V2664">
        <v>4.9400000000000004</v>
      </c>
      <c r="W2664">
        <v>89031</v>
      </c>
      <c r="X2664">
        <v>47730</v>
      </c>
      <c r="Y2664">
        <v>1.87</v>
      </c>
      <c r="Z2664">
        <v>1246</v>
      </c>
      <c r="AA2664">
        <v>256</v>
      </c>
      <c r="AB2664" t="s">
        <v>116</v>
      </c>
      <c r="AC2664">
        <v>368200</v>
      </c>
      <c r="AD2664">
        <v>0.02</v>
      </c>
      <c r="AE2664" t="s">
        <v>116</v>
      </c>
      <c r="AF2664" t="s">
        <v>116</v>
      </c>
      <c r="AG2664">
        <v>5.26</v>
      </c>
      <c r="AH2664" t="s">
        <v>8022</v>
      </c>
      <c r="AI2664" t="s">
        <v>12055</v>
      </c>
      <c r="AJ2664">
        <v>-2.92</v>
      </c>
      <c r="AK2664">
        <v>1888</v>
      </c>
      <c r="AL2664">
        <v>72</v>
      </c>
      <c r="AM2664">
        <v>1.4E-3</v>
      </c>
      <c r="AN2664">
        <v>-1</v>
      </c>
      <c r="AO2664">
        <v>-1.62</v>
      </c>
      <c r="AP2664">
        <v>13.85</v>
      </c>
      <c r="AQ2664">
        <v>13.58</v>
      </c>
      <c r="AR2664">
        <v>15.48</v>
      </c>
      <c r="AS2664">
        <v>4.29</v>
      </c>
      <c r="AT2664" t="s">
        <v>12056</v>
      </c>
      <c r="AU2664" t="s">
        <v>116</v>
      </c>
      <c r="AV2664">
        <v>210.55</v>
      </c>
      <c r="AW2664">
        <v>1.39</v>
      </c>
      <c r="BA2664">
        <v>0.2</v>
      </c>
      <c r="BB2664">
        <v>0.6</v>
      </c>
      <c r="BC2664">
        <v>-3.2</v>
      </c>
      <c r="BD2664">
        <v>-1.25</v>
      </c>
      <c r="BE2664">
        <v>-3.19</v>
      </c>
      <c r="BF2664">
        <v>-3.58</v>
      </c>
      <c r="BG2664">
        <v>0.21</v>
      </c>
      <c r="BH2664">
        <v>-1.75</v>
      </c>
      <c r="BI2664">
        <v>20191125</v>
      </c>
      <c r="BJ2664">
        <v>20030220</v>
      </c>
      <c r="BK2664">
        <v>6.19</v>
      </c>
      <c r="BL2664" t="s">
        <v>116</v>
      </c>
      <c r="BM2664" t="s">
        <v>116</v>
      </c>
      <c r="BN2664">
        <v>22.29</v>
      </c>
      <c r="BO2664">
        <v>19.25</v>
      </c>
      <c r="BP2664">
        <v>-0.19</v>
      </c>
      <c r="BQ2664">
        <v>14.48</v>
      </c>
      <c r="BR2664">
        <v>10.63</v>
      </c>
      <c r="BS2664">
        <v>0.43</v>
      </c>
      <c r="BT2664">
        <v>0.54</v>
      </c>
      <c r="BU2664">
        <v>2.79</v>
      </c>
      <c r="BV2664">
        <v>0.36</v>
      </c>
      <c r="BW2664">
        <v>3.16</v>
      </c>
      <c r="BX2664">
        <v>10.42</v>
      </c>
      <c r="BY2664">
        <v>4.37</v>
      </c>
      <c r="BZ2664">
        <v>2.95</v>
      </c>
      <c r="CA2664">
        <v>0.6</v>
      </c>
      <c r="CB2664">
        <v>-0.02</v>
      </c>
      <c r="CC2664">
        <v>0.61</v>
      </c>
      <c r="CD2664">
        <v>0.5</v>
      </c>
      <c r="CE2664">
        <v>0.56000000000000005</v>
      </c>
      <c r="CF2664">
        <v>0.52</v>
      </c>
      <c r="CG2664">
        <v>2.1800000000000002</v>
      </c>
      <c r="CH2664">
        <v>-3.2</v>
      </c>
      <c r="CI2664">
        <v>-2.85</v>
      </c>
      <c r="CJ2664">
        <v>47463</v>
      </c>
      <c r="CK2664">
        <v>6723</v>
      </c>
      <c r="CL2664" t="s">
        <v>3844</v>
      </c>
      <c r="CM2664">
        <v>-21.34</v>
      </c>
      <c r="CN2664">
        <v>-10.58</v>
      </c>
      <c r="CO2664">
        <v>1.56</v>
      </c>
      <c r="CP2664">
        <v>-9.4</v>
      </c>
      <c r="CQ2664">
        <v>6.87</v>
      </c>
      <c r="CR2664">
        <v>0</v>
      </c>
      <c r="CS2664" t="s">
        <v>1381</v>
      </c>
      <c r="CT2664">
        <v>3.11</v>
      </c>
      <c r="CU2664">
        <v>0</v>
      </c>
      <c r="CV2664">
        <v>1.68</v>
      </c>
      <c r="CW2664">
        <v>0.35</v>
      </c>
      <c r="CX2664">
        <v>-0.52</v>
      </c>
      <c r="CY2664">
        <v>86.38</v>
      </c>
      <c r="CZ2664" t="s">
        <v>12057</v>
      </c>
      <c r="DA2664">
        <v>32.520000000000003</v>
      </c>
      <c r="DB2664">
        <v>13.73</v>
      </c>
      <c r="DC2664">
        <v>12.93</v>
      </c>
      <c r="DD2664">
        <v>0.15</v>
      </c>
      <c r="DE2664">
        <v>200</v>
      </c>
      <c r="DF2664">
        <v>600576</v>
      </c>
      <c r="DG2664" t="s">
        <v>116</v>
      </c>
      <c r="DH2664" t="s">
        <v>116</v>
      </c>
      <c r="DI2664" t="s">
        <v>116</v>
      </c>
    </row>
    <row r="2665" spans="1:113" x14ac:dyDescent="0.4">
      <c r="A2665" t="str">
        <f>"600577"</f>
        <v>600577</v>
      </c>
      <c r="B2665" t="s">
        <v>12058</v>
      </c>
      <c r="C2665">
        <v>-0.37</v>
      </c>
      <c r="D2665">
        <v>2.68</v>
      </c>
      <c r="E2665">
        <v>-0.01</v>
      </c>
      <c r="F2665">
        <v>2.68</v>
      </c>
      <c r="G2665">
        <v>2.69</v>
      </c>
      <c r="H2665">
        <v>143138</v>
      </c>
      <c r="I2665">
        <v>799</v>
      </c>
      <c r="J2665">
        <v>0</v>
      </c>
      <c r="K2665">
        <v>0.74</v>
      </c>
      <c r="L2665">
        <v>2.69</v>
      </c>
      <c r="M2665">
        <v>2.74</v>
      </c>
      <c r="N2665">
        <v>2.68</v>
      </c>
      <c r="O2665">
        <v>2.69</v>
      </c>
      <c r="P2665">
        <v>12.54</v>
      </c>
      <c r="Q2665">
        <v>38708520</v>
      </c>
      <c r="R2665">
        <v>1.21</v>
      </c>
      <c r="S2665" t="s">
        <v>397</v>
      </c>
      <c r="T2665" t="s">
        <v>575</v>
      </c>
      <c r="U2665">
        <v>2.23</v>
      </c>
      <c r="V2665">
        <v>2.7</v>
      </c>
      <c r="W2665">
        <v>81634</v>
      </c>
      <c r="X2665">
        <v>61504</v>
      </c>
      <c r="Y2665">
        <v>1.33</v>
      </c>
      <c r="Z2665">
        <v>1515</v>
      </c>
      <c r="AA2665">
        <v>3916</v>
      </c>
      <c r="AB2665" t="s">
        <v>116</v>
      </c>
      <c r="AC2665">
        <v>40100</v>
      </c>
      <c r="AD2665">
        <v>0</v>
      </c>
      <c r="AE2665" t="s">
        <v>116</v>
      </c>
      <c r="AF2665" t="s">
        <v>116</v>
      </c>
      <c r="AG2665">
        <v>19.21</v>
      </c>
      <c r="AH2665" t="s">
        <v>12059</v>
      </c>
      <c r="AI2665" t="s">
        <v>12059</v>
      </c>
      <c r="AJ2665">
        <v>-0.28999999999999998</v>
      </c>
      <c r="AK2665">
        <v>1889</v>
      </c>
      <c r="AL2665">
        <v>76</v>
      </c>
      <c r="AM2665">
        <v>4.0000000000000002E-4</v>
      </c>
      <c r="AN2665">
        <v>-1</v>
      </c>
      <c r="AO2665">
        <v>0.76</v>
      </c>
      <c r="AP2665">
        <v>0.37</v>
      </c>
      <c r="AQ2665">
        <v>1.1299999999999999</v>
      </c>
      <c r="AR2665">
        <v>-8.5299999999999994</v>
      </c>
      <c r="AS2665">
        <v>1.1200000000000001</v>
      </c>
      <c r="AT2665" t="s">
        <v>12060</v>
      </c>
      <c r="AU2665">
        <v>13.93</v>
      </c>
      <c r="AV2665">
        <v>11.77</v>
      </c>
      <c r="AW2665">
        <v>0.98</v>
      </c>
      <c r="BA2665">
        <v>0</v>
      </c>
      <c r="BB2665">
        <v>1.86</v>
      </c>
      <c r="BC2665">
        <v>-0.37</v>
      </c>
      <c r="BD2665">
        <v>0.53</v>
      </c>
      <c r="BE2665">
        <v>-0.37</v>
      </c>
      <c r="BF2665">
        <v>-2.19</v>
      </c>
      <c r="BG2665">
        <v>0</v>
      </c>
      <c r="BH2665">
        <v>-0.9</v>
      </c>
      <c r="BI2665">
        <v>20191025</v>
      </c>
      <c r="BJ2665">
        <v>20020911</v>
      </c>
      <c r="BK2665">
        <v>19.21</v>
      </c>
      <c r="BL2665" t="s">
        <v>116</v>
      </c>
      <c r="BM2665" t="s">
        <v>116</v>
      </c>
      <c r="BN2665">
        <v>60.4</v>
      </c>
      <c r="BO2665">
        <v>34.229999999999997</v>
      </c>
      <c r="BP2665">
        <v>5.49</v>
      </c>
      <c r="BQ2665">
        <v>34.24</v>
      </c>
      <c r="BR2665">
        <v>43.76</v>
      </c>
      <c r="BS2665">
        <v>9.31</v>
      </c>
      <c r="BT2665">
        <v>1.4</v>
      </c>
      <c r="BU2665">
        <v>20.079999999999998</v>
      </c>
      <c r="BV2665">
        <v>9.08</v>
      </c>
      <c r="BW2665">
        <v>18.5</v>
      </c>
      <c r="BX2665">
        <v>0.03</v>
      </c>
      <c r="BY2665">
        <v>89.36</v>
      </c>
      <c r="BZ2665">
        <v>80.069999999999993</v>
      </c>
      <c r="CA2665">
        <v>4.7</v>
      </c>
      <c r="CB2665">
        <v>0.16</v>
      </c>
      <c r="CC2665">
        <v>4.72</v>
      </c>
      <c r="CD2665">
        <v>3.8</v>
      </c>
      <c r="CE2665">
        <v>3.08</v>
      </c>
      <c r="CF2665">
        <v>2.84</v>
      </c>
      <c r="CG2665">
        <v>12.92</v>
      </c>
      <c r="CH2665">
        <v>3.25</v>
      </c>
      <c r="CI2665">
        <v>3.02</v>
      </c>
      <c r="CJ2665">
        <v>121737</v>
      </c>
      <c r="CK2665">
        <v>10469</v>
      </c>
      <c r="CL2665" t="s">
        <v>2649</v>
      </c>
      <c r="CM2665">
        <v>-18.02</v>
      </c>
      <c r="CN2665">
        <v>-3.15</v>
      </c>
      <c r="CO2665">
        <v>1.5</v>
      </c>
      <c r="CP2665">
        <v>15.86</v>
      </c>
      <c r="CQ2665">
        <v>0.57999999999999996</v>
      </c>
      <c r="CR2665">
        <v>1.49</v>
      </c>
      <c r="CS2665" t="s">
        <v>7859</v>
      </c>
      <c r="CT2665">
        <v>1.78</v>
      </c>
      <c r="CU2665">
        <v>0</v>
      </c>
      <c r="CV2665">
        <v>0</v>
      </c>
      <c r="CW2665">
        <v>0.67</v>
      </c>
      <c r="CX2665">
        <v>0.17</v>
      </c>
      <c r="CY2665">
        <v>56.67</v>
      </c>
      <c r="CZ2665" t="s">
        <v>966</v>
      </c>
      <c r="DA2665">
        <v>10.39</v>
      </c>
      <c r="DB2665">
        <v>5.26</v>
      </c>
      <c r="DC2665">
        <v>3.45</v>
      </c>
      <c r="DD2665">
        <v>1.61</v>
      </c>
      <c r="DE2665">
        <v>3114</v>
      </c>
      <c r="DF2665">
        <v>600577</v>
      </c>
      <c r="DG2665" t="s">
        <v>116</v>
      </c>
      <c r="DH2665" t="s">
        <v>116</v>
      </c>
      <c r="DI2665" t="s">
        <v>116</v>
      </c>
    </row>
    <row r="2666" spans="1:113" x14ac:dyDescent="0.4">
      <c r="A2666" t="str">
        <f>"600578"</f>
        <v>600578</v>
      </c>
      <c r="B2666" t="s">
        <v>12061</v>
      </c>
      <c r="C2666">
        <v>0.97</v>
      </c>
      <c r="D2666">
        <v>3.11</v>
      </c>
      <c r="E2666">
        <v>0.03</v>
      </c>
      <c r="F2666">
        <v>3.1</v>
      </c>
      <c r="G2666">
        <v>3.11</v>
      </c>
      <c r="H2666">
        <v>53788</v>
      </c>
      <c r="I2666">
        <v>468</v>
      </c>
      <c r="J2666">
        <v>0.32</v>
      </c>
      <c r="K2666">
        <v>0.1</v>
      </c>
      <c r="L2666">
        <v>3.08</v>
      </c>
      <c r="M2666">
        <v>3.12</v>
      </c>
      <c r="N2666">
        <v>3.07</v>
      </c>
      <c r="O2666">
        <v>3.08</v>
      </c>
      <c r="P2666">
        <v>14.22</v>
      </c>
      <c r="Q2666">
        <v>16642796</v>
      </c>
      <c r="R2666">
        <v>1.1299999999999999</v>
      </c>
      <c r="S2666" t="s">
        <v>271</v>
      </c>
      <c r="T2666" t="s">
        <v>165</v>
      </c>
      <c r="U2666">
        <v>1.62</v>
      </c>
      <c r="V2666">
        <v>3.09</v>
      </c>
      <c r="W2666">
        <v>16622</v>
      </c>
      <c r="X2666">
        <v>37166</v>
      </c>
      <c r="Y2666">
        <v>0.45</v>
      </c>
      <c r="Z2666">
        <v>1924</v>
      </c>
      <c r="AA2666">
        <v>70</v>
      </c>
      <c r="AB2666" t="s">
        <v>116</v>
      </c>
      <c r="AC2666">
        <v>20900</v>
      </c>
      <c r="AD2666">
        <v>0</v>
      </c>
      <c r="AE2666" t="s">
        <v>116</v>
      </c>
      <c r="AF2666" t="s">
        <v>116</v>
      </c>
      <c r="AG2666">
        <v>53.35</v>
      </c>
      <c r="AH2666" t="s">
        <v>12062</v>
      </c>
      <c r="AI2666" t="s">
        <v>12063</v>
      </c>
      <c r="AJ2666">
        <v>1.05</v>
      </c>
      <c r="AK2666">
        <v>1029</v>
      </c>
      <c r="AL2666">
        <v>52</v>
      </c>
      <c r="AM2666">
        <v>1E-4</v>
      </c>
      <c r="AN2666">
        <v>1</v>
      </c>
      <c r="AO2666">
        <v>0.97</v>
      </c>
      <c r="AP2666">
        <v>2.2999999999999998</v>
      </c>
      <c r="AQ2666">
        <v>2.64</v>
      </c>
      <c r="AR2666">
        <v>9.1199999999999992</v>
      </c>
      <c r="AS2666">
        <v>0.38</v>
      </c>
      <c r="AT2666" t="s">
        <v>12064</v>
      </c>
      <c r="AU2666">
        <v>14.77</v>
      </c>
      <c r="AV2666">
        <v>23.53</v>
      </c>
      <c r="AW2666">
        <v>0.54</v>
      </c>
      <c r="BA2666">
        <v>0</v>
      </c>
      <c r="BB2666">
        <v>1.3</v>
      </c>
      <c r="BC2666">
        <v>-0.32</v>
      </c>
      <c r="BD2666">
        <v>0.46</v>
      </c>
      <c r="BE2666">
        <v>0.97</v>
      </c>
      <c r="BF2666">
        <v>-0.32</v>
      </c>
      <c r="BG2666">
        <v>1.3</v>
      </c>
      <c r="BH2666">
        <v>0.52</v>
      </c>
      <c r="BI2666">
        <v>20191029</v>
      </c>
      <c r="BJ2666">
        <v>20020510</v>
      </c>
      <c r="BK2666">
        <v>67.47</v>
      </c>
      <c r="BL2666" t="s">
        <v>116</v>
      </c>
      <c r="BM2666" t="s">
        <v>116</v>
      </c>
      <c r="BN2666">
        <v>801.93</v>
      </c>
      <c r="BO2666">
        <v>233.43</v>
      </c>
      <c r="BP2666">
        <v>53.23</v>
      </c>
      <c r="BQ2666">
        <v>64.25</v>
      </c>
      <c r="BR2666">
        <v>114.68</v>
      </c>
      <c r="BS2666">
        <v>395.14</v>
      </c>
      <c r="BT2666">
        <v>16.34</v>
      </c>
      <c r="BU2666">
        <v>184.66</v>
      </c>
      <c r="BV2666">
        <v>8.25</v>
      </c>
      <c r="BW2666">
        <v>27.71</v>
      </c>
      <c r="BX2666">
        <v>83.23</v>
      </c>
      <c r="BY2666">
        <v>133.38999999999999</v>
      </c>
      <c r="BZ2666">
        <v>111.96</v>
      </c>
      <c r="CA2666">
        <v>13.35</v>
      </c>
      <c r="CB2666">
        <v>10.3</v>
      </c>
      <c r="CC2666">
        <v>13.36</v>
      </c>
      <c r="CD2666">
        <v>12.97</v>
      </c>
      <c r="CE2666">
        <v>11.07</v>
      </c>
      <c r="CF2666">
        <v>10.86</v>
      </c>
      <c r="CG2666">
        <v>39.97</v>
      </c>
      <c r="CH2666">
        <v>33.01</v>
      </c>
      <c r="CI2666">
        <v>1.53</v>
      </c>
      <c r="CJ2666">
        <v>67455</v>
      </c>
      <c r="CK2666">
        <v>21097</v>
      </c>
      <c r="CL2666" t="s">
        <v>415</v>
      </c>
      <c r="CM2666">
        <v>91.69</v>
      </c>
      <c r="CN2666">
        <v>31.89</v>
      </c>
      <c r="CO2666">
        <v>0.9</v>
      </c>
      <c r="CP2666">
        <v>6.36</v>
      </c>
      <c r="CQ2666">
        <v>1.57</v>
      </c>
      <c r="CR2666">
        <v>2.57</v>
      </c>
      <c r="CS2666" t="s">
        <v>1514</v>
      </c>
      <c r="CT2666">
        <v>3.46</v>
      </c>
      <c r="CU2666">
        <v>0</v>
      </c>
      <c r="CV2666">
        <v>1.23</v>
      </c>
      <c r="CW2666">
        <v>0.59</v>
      </c>
      <c r="CX2666">
        <v>0.49</v>
      </c>
      <c r="CY2666">
        <v>29.11</v>
      </c>
      <c r="CZ2666" t="s">
        <v>2987</v>
      </c>
      <c r="DA2666">
        <v>16.07</v>
      </c>
      <c r="DB2666">
        <v>10.01</v>
      </c>
      <c r="DC2666">
        <v>8.3000000000000007</v>
      </c>
      <c r="DD2666">
        <v>0.03</v>
      </c>
      <c r="DE2666">
        <v>4499</v>
      </c>
      <c r="DF2666">
        <v>600578</v>
      </c>
      <c r="DG2666" t="s">
        <v>116</v>
      </c>
      <c r="DH2666" t="s">
        <v>116</v>
      </c>
      <c r="DI2666" t="s">
        <v>116</v>
      </c>
    </row>
    <row r="2667" spans="1:113" x14ac:dyDescent="0.4">
      <c r="A2667" t="str">
        <f>"600579"</f>
        <v>600579</v>
      </c>
      <c r="B2667" t="s">
        <v>12065</v>
      </c>
      <c r="C2667">
        <v>-1.33</v>
      </c>
      <c r="D2667">
        <v>6.68</v>
      </c>
      <c r="E2667">
        <v>-0.09</v>
      </c>
      <c r="F2667">
        <v>6.67</v>
      </c>
      <c r="G2667">
        <v>6.68</v>
      </c>
      <c r="H2667">
        <v>27606</v>
      </c>
      <c r="I2667">
        <v>419</v>
      </c>
      <c r="J2667">
        <v>0</v>
      </c>
      <c r="K2667">
        <v>0.67</v>
      </c>
      <c r="L2667">
        <v>6.82</v>
      </c>
      <c r="M2667">
        <v>6.86</v>
      </c>
      <c r="N2667">
        <v>6.68</v>
      </c>
      <c r="O2667">
        <v>6.77</v>
      </c>
      <c r="P2667" t="s">
        <v>116</v>
      </c>
      <c r="Q2667">
        <v>18596528</v>
      </c>
      <c r="R2667">
        <v>0.73</v>
      </c>
      <c r="S2667" t="s">
        <v>2426</v>
      </c>
      <c r="T2667" t="s">
        <v>645</v>
      </c>
      <c r="U2667">
        <v>2.66</v>
      </c>
      <c r="V2667">
        <v>6.74</v>
      </c>
      <c r="W2667">
        <v>17581</v>
      </c>
      <c r="X2667">
        <v>10025</v>
      </c>
      <c r="Y2667">
        <v>1.75</v>
      </c>
      <c r="Z2667">
        <v>309</v>
      </c>
      <c r="AA2667">
        <v>6</v>
      </c>
      <c r="AB2667" t="s">
        <v>116</v>
      </c>
      <c r="AC2667">
        <v>23900</v>
      </c>
      <c r="AD2667">
        <v>0</v>
      </c>
      <c r="AE2667" t="s">
        <v>116</v>
      </c>
      <c r="AF2667" t="s">
        <v>116</v>
      </c>
      <c r="AG2667">
        <v>4.0999999999999996</v>
      </c>
      <c r="AH2667" t="s">
        <v>7982</v>
      </c>
      <c r="AI2667" t="s">
        <v>9638</v>
      </c>
      <c r="AJ2667">
        <v>-1.25</v>
      </c>
      <c r="AK2667">
        <v>1417</v>
      </c>
      <c r="AL2667">
        <v>19</v>
      </c>
      <c r="AM2667">
        <v>5.0000000000000001E-4</v>
      </c>
      <c r="AN2667">
        <v>-1</v>
      </c>
      <c r="AO2667">
        <v>-2.77</v>
      </c>
      <c r="AP2667">
        <v>-0.89</v>
      </c>
      <c r="AQ2667">
        <v>-28.63</v>
      </c>
      <c r="AR2667">
        <v>-18.93</v>
      </c>
      <c r="AS2667">
        <v>1.46</v>
      </c>
      <c r="AT2667" t="s">
        <v>8591</v>
      </c>
      <c r="AU2667" t="s">
        <v>116</v>
      </c>
      <c r="AV2667">
        <v>30.94</v>
      </c>
      <c r="AW2667">
        <v>1.72</v>
      </c>
      <c r="BA2667">
        <v>0.74</v>
      </c>
      <c r="BB2667">
        <v>1.33</v>
      </c>
      <c r="BC2667">
        <v>-1.33</v>
      </c>
      <c r="BD2667">
        <v>-0.5</v>
      </c>
      <c r="BE2667">
        <v>-2.0499999999999998</v>
      </c>
      <c r="BF2667">
        <v>-2.62</v>
      </c>
      <c r="BG2667">
        <v>0</v>
      </c>
      <c r="BH2667">
        <v>-0.83</v>
      </c>
      <c r="BI2667">
        <v>20191220</v>
      </c>
      <c r="BJ2667">
        <v>20020809</v>
      </c>
      <c r="BK2667">
        <v>8.83</v>
      </c>
      <c r="BL2667" t="s">
        <v>116</v>
      </c>
      <c r="BM2667" t="s">
        <v>116</v>
      </c>
      <c r="BN2667">
        <v>163.66</v>
      </c>
      <c r="BO2667">
        <v>55.1</v>
      </c>
      <c r="BP2667">
        <v>0</v>
      </c>
      <c r="BQ2667">
        <v>66.33</v>
      </c>
      <c r="BR2667">
        <v>73.7</v>
      </c>
      <c r="BS2667">
        <v>17.079999999999998</v>
      </c>
      <c r="BT2667">
        <v>33.450000000000003</v>
      </c>
      <c r="BU2667">
        <v>55.36</v>
      </c>
      <c r="BV2667">
        <v>33.56</v>
      </c>
      <c r="BW2667">
        <v>20.65</v>
      </c>
      <c r="BX2667">
        <v>50.08</v>
      </c>
      <c r="BY2667">
        <v>74.150000000000006</v>
      </c>
      <c r="BZ2667">
        <v>56.52</v>
      </c>
      <c r="CA2667">
        <v>-1.63</v>
      </c>
      <c r="CB2667">
        <v>0</v>
      </c>
      <c r="CC2667">
        <v>-1.28</v>
      </c>
      <c r="CD2667">
        <v>-0.91</v>
      </c>
      <c r="CE2667">
        <v>-0.91</v>
      </c>
      <c r="CF2667">
        <v>-0.75</v>
      </c>
      <c r="CG2667">
        <v>-4.97</v>
      </c>
      <c r="CH2667">
        <v>1.5</v>
      </c>
      <c r="CI2667">
        <v>3.92</v>
      </c>
      <c r="CJ2667">
        <v>12560</v>
      </c>
      <c r="CK2667">
        <v>15015</v>
      </c>
      <c r="CL2667" t="s">
        <v>12066</v>
      </c>
      <c r="CM2667">
        <v>-149.01</v>
      </c>
      <c r="CN2667">
        <v>-7.47</v>
      </c>
      <c r="CO2667">
        <v>1.07</v>
      </c>
      <c r="CP2667">
        <v>39.22</v>
      </c>
      <c r="CQ2667">
        <v>0.8</v>
      </c>
      <c r="CR2667">
        <v>0</v>
      </c>
      <c r="CS2667" t="s">
        <v>12067</v>
      </c>
      <c r="CT2667">
        <v>6.24</v>
      </c>
      <c r="CU2667">
        <v>0</v>
      </c>
      <c r="CV2667">
        <v>5.67</v>
      </c>
      <c r="CW2667">
        <v>-0.56000000000000005</v>
      </c>
      <c r="CX2667">
        <v>0.17</v>
      </c>
      <c r="CY2667">
        <v>33.67</v>
      </c>
      <c r="CZ2667" t="s">
        <v>12068</v>
      </c>
      <c r="DA2667">
        <v>23.78</v>
      </c>
      <c r="DB2667">
        <v>-2.2000000000000002</v>
      </c>
      <c r="DC2667">
        <v>-1.22</v>
      </c>
      <c r="DD2667">
        <v>1.49</v>
      </c>
      <c r="DE2667">
        <v>6054</v>
      </c>
      <c r="DF2667">
        <v>600579</v>
      </c>
      <c r="DG2667" t="s">
        <v>116</v>
      </c>
      <c r="DH2667" t="s">
        <v>116</v>
      </c>
      <c r="DI2667" t="s">
        <v>116</v>
      </c>
    </row>
    <row r="2668" spans="1:113" x14ac:dyDescent="0.4">
      <c r="A2668" t="str">
        <f>"600580"</f>
        <v>600580</v>
      </c>
      <c r="B2668" t="s">
        <v>12069</v>
      </c>
      <c r="C2668">
        <v>-2.11</v>
      </c>
      <c r="D2668">
        <v>12.09</v>
      </c>
      <c r="E2668">
        <v>-0.26</v>
      </c>
      <c r="F2668">
        <v>12.09</v>
      </c>
      <c r="G2668">
        <v>12.1</v>
      </c>
      <c r="H2668">
        <v>310485</v>
      </c>
      <c r="I2668">
        <v>4028</v>
      </c>
      <c r="J2668">
        <v>0.57999999999999996</v>
      </c>
      <c r="K2668">
        <v>2.41</v>
      </c>
      <c r="L2668">
        <v>12.33</v>
      </c>
      <c r="M2668">
        <v>12.43</v>
      </c>
      <c r="N2668">
        <v>11.98</v>
      </c>
      <c r="O2668">
        <v>12.35</v>
      </c>
      <c r="P2668">
        <v>14.46</v>
      </c>
      <c r="Q2668">
        <v>376919424</v>
      </c>
      <c r="R2668">
        <v>1.08</v>
      </c>
      <c r="S2668" t="s">
        <v>397</v>
      </c>
      <c r="T2668" t="s">
        <v>590</v>
      </c>
      <c r="U2668">
        <v>3.64</v>
      </c>
      <c r="V2668">
        <v>12.14</v>
      </c>
      <c r="W2668">
        <v>196293</v>
      </c>
      <c r="X2668">
        <v>114192</v>
      </c>
      <c r="Y2668">
        <v>1.72</v>
      </c>
      <c r="Z2668">
        <v>5</v>
      </c>
      <c r="AA2668">
        <v>1369</v>
      </c>
      <c r="AB2668" t="s">
        <v>116</v>
      </c>
      <c r="AC2668">
        <v>1053000</v>
      </c>
      <c r="AD2668">
        <v>0.01</v>
      </c>
      <c r="AE2668" t="s">
        <v>116</v>
      </c>
      <c r="AF2668" t="s">
        <v>116</v>
      </c>
      <c r="AG2668">
        <v>12.91</v>
      </c>
      <c r="AH2668" t="s">
        <v>12070</v>
      </c>
      <c r="AI2668" t="s">
        <v>12071</v>
      </c>
      <c r="AJ2668">
        <v>-2.0299999999999998</v>
      </c>
      <c r="AK2668">
        <v>3251</v>
      </c>
      <c r="AL2668">
        <v>96</v>
      </c>
      <c r="AM2668">
        <v>6.9999999999999999E-4</v>
      </c>
      <c r="AN2668">
        <v>-2</v>
      </c>
      <c r="AO2668">
        <v>-1.31</v>
      </c>
      <c r="AP2668">
        <v>17.61</v>
      </c>
      <c r="AQ2668">
        <v>44.44</v>
      </c>
      <c r="AR2668">
        <v>96.59</v>
      </c>
      <c r="AS2668">
        <v>5.05</v>
      </c>
      <c r="AT2668" t="s">
        <v>12072</v>
      </c>
      <c r="AU2668">
        <v>15.6</v>
      </c>
      <c r="AV2668">
        <v>24.55</v>
      </c>
      <c r="AW2668">
        <v>1.31</v>
      </c>
      <c r="BA2668">
        <v>-0.16</v>
      </c>
      <c r="BB2668">
        <v>0.65</v>
      </c>
      <c r="BC2668">
        <v>-3</v>
      </c>
      <c r="BD2668">
        <v>-1.7</v>
      </c>
      <c r="BE2668">
        <v>-1.95</v>
      </c>
      <c r="BF2668">
        <v>-2.74</v>
      </c>
      <c r="BG2668">
        <v>0.92</v>
      </c>
      <c r="BH2668">
        <v>-0.4</v>
      </c>
      <c r="BI2668">
        <v>20191030</v>
      </c>
      <c r="BJ2668">
        <v>20020606</v>
      </c>
      <c r="BK2668">
        <v>12.93</v>
      </c>
      <c r="BL2668" t="s">
        <v>116</v>
      </c>
      <c r="BM2668" t="s">
        <v>116</v>
      </c>
      <c r="BN2668">
        <v>190</v>
      </c>
      <c r="BO2668">
        <v>66.77</v>
      </c>
      <c r="BP2668">
        <v>4.21</v>
      </c>
      <c r="BQ2668">
        <v>62.64</v>
      </c>
      <c r="BR2668">
        <v>98.02</v>
      </c>
      <c r="BS2668">
        <v>36.159999999999997</v>
      </c>
      <c r="BT2668">
        <v>11.89</v>
      </c>
      <c r="BU2668">
        <v>91.1</v>
      </c>
      <c r="BV2668">
        <v>26.33</v>
      </c>
      <c r="BW2668">
        <v>33.21</v>
      </c>
      <c r="BX2668">
        <v>18.52</v>
      </c>
      <c r="BY2668">
        <v>92.51</v>
      </c>
      <c r="BZ2668">
        <v>67.849999999999994</v>
      </c>
      <c r="CA2668">
        <v>9.64</v>
      </c>
      <c r="CB2668">
        <v>0.59</v>
      </c>
      <c r="CC2668">
        <v>9.6</v>
      </c>
      <c r="CD2668">
        <v>8.4600000000000009</v>
      </c>
      <c r="CE2668">
        <v>8.11</v>
      </c>
      <c r="CF2668">
        <v>5.47</v>
      </c>
      <c r="CG2668">
        <v>37.119999999999997</v>
      </c>
      <c r="CH2668">
        <v>7.89</v>
      </c>
      <c r="CI2668">
        <v>0.11</v>
      </c>
      <c r="CJ2668">
        <v>41922</v>
      </c>
      <c r="CK2668">
        <v>14655</v>
      </c>
      <c r="CL2668" t="s">
        <v>12073</v>
      </c>
      <c r="CM2668">
        <v>81.94</v>
      </c>
      <c r="CN2668">
        <v>12.48</v>
      </c>
      <c r="CO2668">
        <v>2.34</v>
      </c>
      <c r="CP2668">
        <v>19.809999999999999</v>
      </c>
      <c r="CQ2668">
        <v>1.69</v>
      </c>
      <c r="CR2668">
        <v>1.24</v>
      </c>
      <c r="CS2668" t="s">
        <v>12074</v>
      </c>
      <c r="CT2668">
        <v>5.16</v>
      </c>
      <c r="CU2668">
        <v>0</v>
      </c>
      <c r="CV2668">
        <v>1.43</v>
      </c>
      <c r="CW2668">
        <v>2.87</v>
      </c>
      <c r="CX2668">
        <v>0.61</v>
      </c>
      <c r="CY2668">
        <v>35.14</v>
      </c>
      <c r="CZ2668" t="s">
        <v>11718</v>
      </c>
      <c r="DA2668">
        <v>26.65</v>
      </c>
      <c r="DB2668">
        <v>10.42</v>
      </c>
      <c r="DC2668">
        <v>8.76</v>
      </c>
      <c r="DD2668">
        <v>2.3199999999999998</v>
      </c>
      <c r="DE2668">
        <v>14887</v>
      </c>
      <c r="DF2668">
        <v>600580</v>
      </c>
      <c r="DG2668" t="s">
        <v>116</v>
      </c>
      <c r="DH2668" t="s">
        <v>116</v>
      </c>
      <c r="DI2668" t="s">
        <v>116</v>
      </c>
    </row>
    <row r="2669" spans="1:113" x14ac:dyDescent="0.4">
      <c r="A2669" t="str">
        <f>"600581"</f>
        <v>600581</v>
      </c>
      <c r="B2669" t="s">
        <v>12075</v>
      </c>
      <c r="C2669">
        <v>0.6</v>
      </c>
      <c r="D2669">
        <v>3.38</v>
      </c>
      <c r="E2669">
        <v>0.02</v>
      </c>
      <c r="F2669">
        <v>3.37</v>
      </c>
      <c r="G2669">
        <v>3.38</v>
      </c>
      <c r="H2669">
        <v>332293</v>
      </c>
      <c r="I2669">
        <v>2595</v>
      </c>
      <c r="J2669">
        <v>0</v>
      </c>
      <c r="K2669">
        <v>2.17</v>
      </c>
      <c r="L2669">
        <v>3.35</v>
      </c>
      <c r="M2669">
        <v>3.44</v>
      </c>
      <c r="N2669">
        <v>3.33</v>
      </c>
      <c r="O2669">
        <v>3.36</v>
      </c>
      <c r="P2669">
        <v>16.170000000000002</v>
      </c>
      <c r="Q2669">
        <v>112637888</v>
      </c>
      <c r="R2669">
        <v>1.5</v>
      </c>
      <c r="S2669" t="s">
        <v>1587</v>
      </c>
      <c r="T2669" t="s">
        <v>616</v>
      </c>
      <c r="U2669">
        <v>3.27</v>
      </c>
      <c r="V2669">
        <v>3.39</v>
      </c>
      <c r="W2669">
        <v>162647</v>
      </c>
      <c r="X2669">
        <v>169646</v>
      </c>
      <c r="Y2669">
        <v>0.96</v>
      </c>
      <c r="Z2669">
        <v>3082</v>
      </c>
      <c r="AA2669">
        <v>4522</v>
      </c>
      <c r="AB2669" t="s">
        <v>116</v>
      </c>
      <c r="AC2669">
        <v>179200</v>
      </c>
      <c r="AD2669">
        <v>0.01</v>
      </c>
      <c r="AE2669" t="s">
        <v>116</v>
      </c>
      <c r="AF2669" t="s">
        <v>116</v>
      </c>
      <c r="AG2669">
        <v>15.33</v>
      </c>
      <c r="AH2669" t="s">
        <v>12076</v>
      </c>
      <c r="AI2669" t="s">
        <v>12076</v>
      </c>
      <c r="AJ2669">
        <v>0.67</v>
      </c>
      <c r="AK2669">
        <v>2002</v>
      </c>
      <c r="AL2669">
        <v>166</v>
      </c>
      <c r="AM2669">
        <v>1.1000000000000001E-3</v>
      </c>
      <c r="AN2669">
        <v>2</v>
      </c>
      <c r="AO2669">
        <v>1.2</v>
      </c>
      <c r="AP2669">
        <v>1.2</v>
      </c>
      <c r="AQ2669">
        <v>4.6399999999999997</v>
      </c>
      <c r="AR2669">
        <v>-5.0599999999999996</v>
      </c>
      <c r="AS2669">
        <v>4.3600000000000003</v>
      </c>
      <c r="AT2669" t="s">
        <v>2732</v>
      </c>
      <c r="AU2669">
        <v>14.26</v>
      </c>
      <c r="AV2669">
        <v>7.4</v>
      </c>
      <c r="AW2669">
        <v>1.53</v>
      </c>
      <c r="BA2669">
        <v>-0.3</v>
      </c>
      <c r="BB2669">
        <v>2.38</v>
      </c>
      <c r="BC2669">
        <v>-0.89</v>
      </c>
      <c r="BD2669">
        <v>0.88</v>
      </c>
      <c r="BE2669">
        <v>0.9</v>
      </c>
      <c r="BF2669">
        <v>-1.74</v>
      </c>
      <c r="BG2669">
        <v>1.5</v>
      </c>
      <c r="BH2669">
        <v>-0.28999999999999998</v>
      </c>
      <c r="BI2669">
        <v>20191119</v>
      </c>
      <c r="BJ2669">
        <v>20020816</v>
      </c>
      <c r="BK2669">
        <v>15.33</v>
      </c>
      <c r="BL2669" t="s">
        <v>116</v>
      </c>
      <c r="BM2669" t="s">
        <v>116</v>
      </c>
      <c r="BN2669">
        <v>191.42</v>
      </c>
      <c r="BO2669">
        <v>42.84</v>
      </c>
      <c r="BP2669">
        <v>0</v>
      </c>
      <c r="BQ2669">
        <v>77.62</v>
      </c>
      <c r="BR2669">
        <v>49.35</v>
      </c>
      <c r="BS2669">
        <v>133.99</v>
      </c>
      <c r="BT2669">
        <v>0.14000000000000001</v>
      </c>
      <c r="BU2669">
        <v>144.15</v>
      </c>
      <c r="BV2669">
        <v>29.02</v>
      </c>
      <c r="BW2669">
        <v>1.71</v>
      </c>
      <c r="BX2669">
        <v>33.200000000000003</v>
      </c>
      <c r="BY2669">
        <v>154.91</v>
      </c>
      <c r="BZ2669">
        <v>139.97999999999999</v>
      </c>
      <c r="CA2669">
        <v>2.59</v>
      </c>
      <c r="CB2669">
        <v>0</v>
      </c>
      <c r="CC2669">
        <v>2.62</v>
      </c>
      <c r="CD2669">
        <v>2.4</v>
      </c>
      <c r="CE2669">
        <v>2.4</v>
      </c>
      <c r="CF2669">
        <v>2.34</v>
      </c>
      <c r="CG2669">
        <v>-13.73</v>
      </c>
      <c r="CH2669">
        <v>-1.48</v>
      </c>
      <c r="CI2669">
        <v>-3.61</v>
      </c>
      <c r="CJ2669">
        <v>90978</v>
      </c>
      <c r="CK2669">
        <v>8374</v>
      </c>
      <c r="CL2669" t="s">
        <v>6510</v>
      </c>
      <c r="CM2669">
        <v>-58.4</v>
      </c>
      <c r="CN2669">
        <v>0.74</v>
      </c>
      <c r="CO2669">
        <v>1.21</v>
      </c>
      <c r="CP2669">
        <v>-34.950000000000003</v>
      </c>
      <c r="CQ2669">
        <v>0.33</v>
      </c>
      <c r="CR2669">
        <v>0</v>
      </c>
      <c r="CS2669" t="s">
        <v>3137</v>
      </c>
      <c r="CT2669">
        <v>2.79</v>
      </c>
      <c r="CU2669">
        <v>0</v>
      </c>
      <c r="CV2669">
        <v>2.17</v>
      </c>
      <c r="CW2669">
        <v>-0.9</v>
      </c>
      <c r="CX2669">
        <v>-0.1</v>
      </c>
      <c r="CY2669">
        <v>22.38</v>
      </c>
      <c r="CZ2669" t="s">
        <v>4229</v>
      </c>
      <c r="DA2669">
        <v>9.6300000000000008</v>
      </c>
      <c r="DB2669">
        <v>1.67</v>
      </c>
      <c r="DC2669">
        <v>1.55</v>
      </c>
      <c r="DD2669">
        <v>0.68</v>
      </c>
      <c r="DE2669">
        <v>5941</v>
      </c>
      <c r="DF2669">
        <v>600581</v>
      </c>
      <c r="DG2669" t="s">
        <v>116</v>
      </c>
      <c r="DH2669" t="s">
        <v>116</v>
      </c>
      <c r="DI2669" t="s">
        <v>116</v>
      </c>
    </row>
    <row r="2670" spans="1:113" x14ac:dyDescent="0.4">
      <c r="A2670" t="str">
        <f>"600582"</f>
        <v>600582</v>
      </c>
      <c r="B2670" t="s">
        <v>12077</v>
      </c>
      <c r="C2670">
        <v>-0.94</v>
      </c>
      <c r="D2670">
        <v>3.16</v>
      </c>
      <c r="E2670">
        <v>-0.03</v>
      </c>
      <c r="F2670">
        <v>3.16</v>
      </c>
      <c r="G2670">
        <v>3.17</v>
      </c>
      <c r="H2670">
        <v>238895</v>
      </c>
      <c r="I2670">
        <v>1584</v>
      </c>
      <c r="J2670">
        <v>-0.31</v>
      </c>
      <c r="K2670">
        <v>0.57999999999999996</v>
      </c>
      <c r="L2670">
        <v>3.19</v>
      </c>
      <c r="M2670">
        <v>3.2</v>
      </c>
      <c r="N2670">
        <v>3.15</v>
      </c>
      <c r="O2670">
        <v>3.19</v>
      </c>
      <c r="P2670">
        <v>12.16</v>
      </c>
      <c r="Q2670">
        <v>75827872</v>
      </c>
      <c r="R2670">
        <v>1.1100000000000001</v>
      </c>
      <c r="S2670" t="s">
        <v>598</v>
      </c>
      <c r="T2670" t="s">
        <v>165</v>
      </c>
      <c r="U2670">
        <v>1.57</v>
      </c>
      <c r="V2670">
        <v>3.17</v>
      </c>
      <c r="W2670">
        <v>139195</v>
      </c>
      <c r="X2670">
        <v>99700</v>
      </c>
      <c r="Y2670">
        <v>1.4</v>
      </c>
      <c r="Z2670">
        <v>6688</v>
      </c>
      <c r="AA2670">
        <v>6041</v>
      </c>
      <c r="AB2670" t="s">
        <v>116</v>
      </c>
      <c r="AC2670">
        <v>525100</v>
      </c>
      <c r="AD2670">
        <v>0.01</v>
      </c>
      <c r="AE2670" t="s">
        <v>116</v>
      </c>
      <c r="AF2670" t="s">
        <v>116</v>
      </c>
      <c r="AG2670">
        <v>41.39</v>
      </c>
      <c r="AH2670" t="s">
        <v>12078</v>
      </c>
      <c r="AI2670" t="s">
        <v>12078</v>
      </c>
      <c r="AJ2670">
        <v>-0.86</v>
      </c>
      <c r="AK2670">
        <v>2683</v>
      </c>
      <c r="AL2670">
        <v>89</v>
      </c>
      <c r="AM2670">
        <v>2.0000000000000001E-4</v>
      </c>
      <c r="AN2670">
        <v>-1</v>
      </c>
      <c r="AO2670">
        <v>1.6</v>
      </c>
      <c r="AP2670">
        <v>4.9800000000000004</v>
      </c>
      <c r="AQ2670">
        <v>-3.66</v>
      </c>
      <c r="AR2670">
        <v>-6.23</v>
      </c>
      <c r="AS2670">
        <v>1.62</v>
      </c>
      <c r="AT2670" t="s">
        <v>12079</v>
      </c>
      <c r="AU2670">
        <v>12</v>
      </c>
      <c r="AV2670">
        <v>13.6</v>
      </c>
      <c r="AW2670">
        <v>1.01</v>
      </c>
      <c r="BA2670">
        <v>0</v>
      </c>
      <c r="BB2670">
        <v>0.31</v>
      </c>
      <c r="BC2670">
        <v>-1.25</v>
      </c>
      <c r="BD2670">
        <v>-0.5</v>
      </c>
      <c r="BE2670">
        <v>-0.94</v>
      </c>
      <c r="BF2670">
        <v>-1.25</v>
      </c>
      <c r="BG2670">
        <v>0.32</v>
      </c>
      <c r="BH2670">
        <v>-0.44</v>
      </c>
      <c r="BI2670">
        <v>20191030</v>
      </c>
      <c r="BJ2670">
        <v>20020515</v>
      </c>
      <c r="BK2670">
        <v>41.39</v>
      </c>
      <c r="BL2670" t="s">
        <v>116</v>
      </c>
      <c r="BM2670" t="s">
        <v>116</v>
      </c>
      <c r="BN2670">
        <v>372.12</v>
      </c>
      <c r="BO2670">
        <v>163.69999999999999</v>
      </c>
      <c r="BP2670">
        <v>50.95</v>
      </c>
      <c r="BQ2670">
        <v>42.32</v>
      </c>
      <c r="BR2670">
        <v>271.73</v>
      </c>
      <c r="BS2670">
        <v>40.909999999999997</v>
      </c>
      <c r="BT2670">
        <v>20.75</v>
      </c>
      <c r="BU2670">
        <v>129.86000000000001</v>
      </c>
      <c r="BV2670">
        <v>66.42</v>
      </c>
      <c r="BW2670">
        <v>108.9</v>
      </c>
      <c r="BX2670">
        <v>12.68</v>
      </c>
      <c r="BY2670">
        <v>136.63999999999999</v>
      </c>
      <c r="BZ2670">
        <v>94.19</v>
      </c>
      <c r="CA2670">
        <v>12.17</v>
      </c>
      <c r="CB2670">
        <v>0.33</v>
      </c>
      <c r="CC2670">
        <v>12.55</v>
      </c>
      <c r="CD2670">
        <v>10.75</v>
      </c>
      <c r="CE2670">
        <v>8.07</v>
      </c>
      <c r="CF2670">
        <v>7.83</v>
      </c>
      <c r="CG2670">
        <v>104.24</v>
      </c>
      <c r="CH2670">
        <v>14.07</v>
      </c>
      <c r="CI2670">
        <v>-8.41</v>
      </c>
      <c r="CJ2670">
        <v>60500</v>
      </c>
      <c r="CK2670">
        <v>24432</v>
      </c>
      <c r="CL2670" t="s">
        <v>4087</v>
      </c>
      <c r="CM2670">
        <v>18.87</v>
      </c>
      <c r="CN2670">
        <v>9.35</v>
      </c>
      <c r="CO2670">
        <v>0.8</v>
      </c>
      <c r="CP2670">
        <v>9.3000000000000007</v>
      </c>
      <c r="CQ2670">
        <v>0.96</v>
      </c>
      <c r="CR2670">
        <v>1.58</v>
      </c>
      <c r="CS2670" t="s">
        <v>3110</v>
      </c>
      <c r="CT2670">
        <v>3.96</v>
      </c>
      <c r="CU2670">
        <v>0</v>
      </c>
      <c r="CV2670">
        <v>0.31</v>
      </c>
      <c r="CW2670">
        <v>2.52</v>
      </c>
      <c r="CX2670">
        <v>0.34</v>
      </c>
      <c r="CY2670">
        <v>43.99</v>
      </c>
      <c r="CZ2670" t="s">
        <v>2932</v>
      </c>
      <c r="DA2670">
        <v>31.07</v>
      </c>
      <c r="DB2670">
        <v>8.91</v>
      </c>
      <c r="DC2670">
        <v>5.9</v>
      </c>
      <c r="DD2670">
        <v>5.44</v>
      </c>
      <c r="DE2670">
        <v>23982</v>
      </c>
      <c r="DF2670">
        <v>600582</v>
      </c>
      <c r="DG2670" t="s">
        <v>116</v>
      </c>
      <c r="DH2670" t="s">
        <v>116</v>
      </c>
      <c r="DI2670" t="s">
        <v>116</v>
      </c>
    </row>
    <row r="2671" spans="1:113" x14ac:dyDescent="0.4">
      <c r="A2671" t="str">
        <f>"600583"</f>
        <v>600583</v>
      </c>
      <c r="B2671" t="s">
        <v>12080</v>
      </c>
      <c r="C2671">
        <v>-1.3</v>
      </c>
      <c r="D2671">
        <v>6.81</v>
      </c>
      <c r="E2671">
        <v>-0.09</v>
      </c>
      <c r="F2671">
        <v>6.81</v>
      </c>
      <c r="G2671">
        <v>6.82</v>
      </c>
      <c r="H2671">
        <v>165989</v>
      </c>
      <c r="I2671">
        <v>2572</v>
      </c>
      <c r="J2671">
        <v>-0.14000000000000001</v>
      </c>
      <c r="K2671">
        <v>0.38</v>
      </c>
      <c r="L2671">
        <v>6.95</v>
      </c>
      <c r="M2671">
        <v>6.95</v>
      </c>
      <c r="N2671">
        <v>6.8</v>
      </c>
      <c r="O2671">
        <v>6.9</v>
      </c>
      <c r="P2671" t="s">
        <v>116</v>
      </c>
      <c r="Q2671">
        <v>114074064</v>
      </c>
      <c r="R2671">
        <v>0.93</v>
      </c>
      <c r="S2671" t="s">
        <v>4171</v>
      </c>
      <c r="T2671" t="s">
        <v>1035</v>
      </c>
      <c r="U2671">
        <v>2.17</v>
      </c>
      <c r="V2671">
        <v>6.87</v>
      </c>
      <c r="W2671">
        <v>94610</v>
      </c>
      <c r="X2671">
        <v>71379</v>
      </c>
      <c r="Y2671">
        <v>1.33</v>
      </c>
      <c r="Z2671">
        <v>1019</v>
      </c>
      <c r="AA2671">
        <v>1144</v>
      </c>
      <c r="AB2671" t="s">
        <v>116</v>
      </c>
      <c r="AC2671">
        <v>136900</v>
      </c>
      <c r="AD2671">
        <v>0</v>
      </c>
      <c r="AE2671" t="s">
        <v>116</v>
      </c>
      <c r="AF2671" t="s">
        <v>116</v>
      </c>
      <c r="AG2671">
        <v>44.21</v>
      </c>
      <c r="AH2671" t="s">
        <v>12081</v>
      </c>
      <c r="AI2671" t="s">
        <v>12081</v>
      </c>
      <c r="AJ2671">
        <v>-1.23</v>
      </c>
      <c r="AK2671">
        <v>3061</v>
      </c>
      <c r="AL2671">
        <v>54</v>
      </c>
      <c r="AM2671">
        <v>1E-4</v>
      </c>
      <c r="AN2671">
        <v>-2</v>
      </c>
      <c r="AO2671">
        <v>1.65</v>
      </c>
      <c r="AP2671">
        <v>-2.44</v>
      </c>
      <c r="AQ2671">
        <v>25.88</v>
      </c>
      <c r="AR2671">
        <v>40.409999999999997</v>
      </c>
      <c r="AS2671">
        <v>0.83</v>
      </c>
      <c r="AT2671" t="s">
        <v>12082</v>
      </c>
      <c r="AU2671" t="s">
        <v>116</v>
      </c>
      <c r="AV2671">
        <v>377.42</v>
      </c>
      <c r="AW2671">
        <v>0.47</v>
      </c>
      <c r="BA2671">
        <v>0.72</v>
      </c>
      <c r="BB2671">
        <v>0.72</v>
      </c>
      <c r="BC2671">
        <v>-1.45</v>
      </c>
      <c r="BD2671">
        <v>-0.4</v>
      </c>
      <c r="BE2671">
        <v>-2.0099999999999998</v>
      </c>
      <c r="BF2671">
        <v>-2.0099999999999998</v>
      </c>
      <c r="BG2671">
        <v>0.15</v>
      </c>
      <c r="BH2671">
        <v>-0.9</v>
      </c>
      <c r="BI2671">
        <v>20191029</v>
      </c>
      <c r="BJ2671">
        <v>20020205</v>
      </c>
      <c r="BK2671">
        <v>44.21</v>
      </c>
      <c r="BL2671" t="s">
        <v>116</v>
      </c>
      <c r="BM2671" t="s">
        <v>116</v>
      </c>
      <c r="BN2671">
        <v>301.70999999999998</v>
      </c>
      <c r="BO2671">
        <v>220.38</v>
      </c>
      <c r="BP2671">
        <v>0.1</v>
      </c>
      <c r="BQ2671">
        <v>26.92</v>
      </c>
      <c r="BR2671">
        <v>144.5</v>
      </c>
      <c r="BS2671">
        <v>109.43</v>
      </c>
      <c r="BT2671">
        <v>11.36</v>
      </c>
      <c r="BU2671">
        <v>74.55</v>
      </c>
      <c r="BV2671">
        <v>40.6</v>
      </c>
      <c r="BW2671">
        <v>35.83</v>
      </c>
      <c r="BX2671">
        <v>42.48</v>
      </c>
      <c r="BY2671">
        <v>80.650000000000006</v>
      </c>
      <c r="BZ2671">
        <v>79.150000000000006</v>
      </c>
      <c r="CA2671">
        <v>-6.7</v>
      </c>
      <c r="CB2671">
        <v>-0.09</v>
      </c>
      <c r="CC2671">
        <v>-6.4</v>
      </c>
      <c r="CD2671">
        <v>-6.37</v>
      </c>
      <c r="CE2671">
        <v>-6.35</v>
      </c>
      <c r="CF2671">
        <v>-8.06</v>
      </c>
      <c r="CG2671">
        <v>112.3</v>
      </c>
      <c r="CH2671">
        <v>-0.16</v>
      </c>
      <c r="CI2671">
        <v>0.15</v>
      </c>
      <c r="CJ2671">
        <v>103924</v>
      </c>
      <c r="CK2671">
        <v>19137</v>
      </c>
      <c r="CL2671" t="s">
        <v>10189</v>
      </c>
      <c r="CM2671">
        <v>-354.87</v>
      </c>
      <c r="CN2671">
        <v>21.23</v>
      </c>
      <c r="CO2671">
        <v>1.37</v>
      </c>
      <c r="CP2671">
        <v>-1916.2</v>
      </c>
      <c r="CQ2671">
        <v>3.73</v>
      </c>
      <c r="CR2671">
        <v>0.73</v>
      </c>
      <c r="CS2671" t="s">
        <v>10818</v>
      </c>
      <c r="CT2671">
        <v>4.9800000000000004</v>
      </c>
      <c r="CU2671">
        <v>0</v>
      </c>
      <c r="CV2671">
        <v>0.96</v>
      </c>
      <c r="CW2671">
        <v>2.54</v>
      </c>
      <c r="CX2671">
        <v>0</v>
      </c>
      <c r="CY2671">
        <v>73.040000000000006</v>
      </c>
      <c r="CZ2671" t="s">
        <v>12083</v>
      </c>
      <c r="DA2671">
        <v>1.86</v>
      </c>
      <c r="DB2671">
        <v>-8.3000000000000007</v>
      </c>
      <c r="DC2671">
        <v>-7.88</v>
      </c>
      <c r="DD2671">
        <v>2.78</v>
      </c>
      <c r="DE2671">
        <v>7847</v>
      </c>
      <c r="DF2671">
        <v>600583</v>
      </c>
      <c r="DG2671" t="s">
        <v>116</v>
      </c>
      <c r="DH2671" t="s">
        <v>116</v>
      </c>
      <c r="DI2671" t="s">
        <v>116</v>
      </c>
    </row>
    <row r="2672" spans="1:113" x14ac:dyDescent="0.4">
      <c r="A2672" t="str">
        <f>"600584"</f>
        <v>600584</v>
      </c>
      <c r="B2672" t="s">
        <v>12084</v>
      </c>
      <c r="C2672">
        <v>-2.36</v>
      </c>
      <c r="D2672">
        <v>21.97</v>
      </c>
      <c r="E2672">
        <v>-0.53</v>
      </c>
      <c r="F2672">
        <v>21.96</v>
      </c>
      <c r="G2672">
        <v>21.97</v>
      </c>
      <c r="H2672">
        <v>394697</v>
      </c>
      <c r="I2672">
        <v>6087</v>
      </c>
      <c r="J2672">
        <v>-0.04</v>
      </c>
      <c r="K2672">
        <v>4.01</v>
      </c>
      <c r="L2672">
        <v>22.5</v>
      </c>
      <c r="M2672">
        <v>22.9</v>
      </c>
      <c r="N2672">
        <v>21.95</v>
      </c>
      <c r="O2672">
        <v>22.5</v>
      </c>
      <c r="P2672" t="s">
        <v>116</v>
      </c>
      <c r="Q2672">
        <v>884002880</v>
      </c>
      <c r="R2672">
        <v>0.75</v>
      </c>
      <c r="S2672" t="s">
        <v>3507</v>
      </c>
      <c r="T2672" t="s">
        <v>323</v>
      </c>
      <c r="U2672">
        <v>4.22</v>
      </c>
      <c r="V2672">
        <v>22.4</v>
      </c>
      <c r="W2672">
        <v>220027</v>
      </c>
      <c r="X2672">
        <v>174670</v>
      </c>
      <c r="Y2672">
        <v>1.26</v>
      </c>
      <c r="Z2672">
        <v>484</v>
      </c>
      <c r="AA2672">
        <v>8163</v>
      </c>
      <c r="AB2672" t="s">
        <v>116</v>
      </c>
      <c r="AC2672">
        <v>1955300</v>
      </c>
      <c r="AD2672">
        <v>0.01</v>
      </c>
      <c r="AE2672" t="s">
        <v>116</v>
      </c>
      <c r="AF2672" t="s">
        <v>116</v>
      </c>
      <c r="AG2672">
        <v>9.85</v>
      </c>
      <c r="AH2672" t="s">
        <v>12085</v>
      </c>
      <c r="AI2672" t="s">
        <v>12086</v>
      </c>
      <c r="AJ2672">
        <v>-2.2799999999999998</v>
      </c>
      <c r="AK2672">
        <v>4402</v>
      </c>
      <c r="AL2672">
        <v>90</v>
      </c>
      <c r="AM2672">
        <v>8.9999999999999998E-4</v>
      </c>
      <c r="AN2672">
        <v>-2</v>
      </c>
      <c r="AO2672">
        <v>-0.91</v>
      </c>
      <c r="AP2672">
        <v>6.03</v>
      </c>
      <c r="AQ2672">
        <v>22.33</v>
      </c>
      <c r="AR2672">
        <v>166.63</v>
      </c>
      <c r="AS2672">
        <v>4.3600000000000003</v>
      </c>
      <c r="AT2672" t="s">
        <v>12087</v>
      </c>
      <c r="AU2672" t="s">
        <v>116</v>
      </c>
      <c r="AV2672" t="s">
        <v>116</v>
      </c>
      <c r="AW2672">
        <v>1.53</v>
      </c>
      <c r="BA2672">
        <v>0</v>
      </c>
      <c r="BB2672">
        <v>1.78</v>
      </c>
      <c r="BC2672">
        <v>-2.44</v>
      </c>
      <c r="BD2672">
        <v>-0.46</v>
      </c>
      <c r="BE2672">
        <v>-2.36</v>
      </c>
      <c r="BF2672">
        <v>-4.0599999999999996</v>
      </c>
      <c r="BG2672">
        <v>0.09</v>
      </c>
      <c r="BH2672">
        <v>-1.9</v>
      </c>
      <c r="BI2672">
        <v>20191030</v>
      </c>
      <c r="BJ2672">
        <v>20030603</v>
      </c>
      <c r="BK2672">
        <v>16.03</v>
      </c>
      <c r="BL2672" t="s">
        <v>116</v>
      </c>
      <c r="BM2672" t="s">
        <v>116</v>
      </c>
      <c r="BN2672">
        <v>340.29</v>
      </c>
      <c r="BO2672">
        <v>123.09</v>
      </c>
      <c r="BP2672">
        <v>0.04</v>
      </c>
      <c r="BQ2672">
        <v>63.81</v>
      </c>
      <c r="BR2672">
        <v>99.71</v>
      </c>
      <c r="BS2672">
        <v>164.22</v>
      </c>
      <c r="BT2672">
        <v>6.9</v>
      </c>
      <c r="BU2672">
        <v>174.89</v>
      </c>
      <c r="BV2672">
        <v>25.39</v>
      </c>
      <c r="BW2672">
        <v>35.159999999999997</v>
      </c>
      <c r="BX2672">
        <v>102.42</v>
      </c>
      <c r="BY2672">
        <v>161.96</v>
      </c>
      <c r="BZ2672">
        <v>145.07</v>
      </c>
      <c r="CA2672">
        <v>-3.71</v>
      </c>
      <c r="CB2672">
        <v>0.01</v>
      </c>
      <c r="CC2672">
        <v>-3.75</v>
      </c>
      <c r="CD2672">
        <v>-1.81</v>
      </c>
      <c r="CE2672">
        <v>-1.82</v>
      </c>
      <c r="CF2672">
        <v>-3.8</v>
      </c>
      <c r="CG2672">
        <v>-0.39</v>
      </c>
      <c r="CH2672">
        <v>13.62</v>
      </c>
      <c r="CI2672">
        <v>-19.5</v>
      </c>
      <c r="CJ2672">
        <v>104698</v>
      </c>
      <c r="CK2672">
        <v>8638</v>
      </c>
      <c r="CL2672" t="s">
        <v>12088</v>
      </c>
      <c r="CM2672">
        <v>-1140.9100000000001</v>
      </c>
      <c r="CN2672">
        <v>-10.45</v>
      </c>
      <c r="CO2672">
        <v>2.86</v>
      </c>
      <c r="CP2672">
        <v>25.85</v>
      </c>
      <c r="CQ2672">
        <v>2.17</v>
      </c>
      <c r="CR2672">
        <v>0</v>
      </c>
      <c r="CS2672" t="s">
        <v>10699</v>
      </c>
      <c r="CT2672">
        <v>7.68</v>
      </c>
      <c r="CU2672">
        <v>0</v>
      </c>
      <c r="CV2672">
        <v>6.39</v>
      </c>
      <c r="CW2672">
        <v>-0.02</v>
      </c>
      <c r="CX2672">
        <v>0.85</v>
      </c>
      <c r="CY2672">
        <v>36.17</v>
      </c>
      <c r="CZ2672" t="s">
        <v>12089</v>
      </c>
      <c r="DA2672">
        <v>10.43</v>
      </c>
      <c r="DB2672">
        <v>-2.29</v>
      </c>
      <c r="DC2672">
        <v>-1.1200000000000001</v>
      </c>
      <c r="DD2672">
        <v>5.76</v>
      </c>
      <c r="DE2672">
        <v>23600</v>
      </c>
      <c r="DF2672">
        <v>600584</v>
      </c>
      <c r="DG2672" t="s">
        <v>116</v>
      </c>
      <c r="DH2672" t="s">
        <v>116</v>
      </c>
      <c r="DI2672" t="s">
        <v>116</v>
      </c>
    </row>
    <row r="2673" spans="1:113" x14ac:dyDescent="0.4">
      <c r="A2673" t="str">
        <f>"600585"</f>
        <v>600585</v>
      </c>
      <c r="B2673" t="s">
        <v>12090</v>
      </c>
      <c r="C2673">
        <v>-0.74</v>
      </c>
      <c r="D2673">
        <v>52.01</v>
      </c>
      <c r="E2673">
        <v>-0.39</v>
      </c>
      <c r="F2673">
        <v>52</v>
      </c>
      <c r="G2673">
        <v>52.01</v>
      </c>
      <c r="H2673">
        <v>223113</v>
      </c>
      <c r="I2673">
        <v>908</v>
      </c>
      <c r="J2673">
        <v>-0.01</v>
      </c>
      <c r="K2673">
        <v>0.56000000000000005</v>
      </c>
      <c r="L2673">
        <v>52.1</v>
      </c>
      <c r="M2673">
        <v>52.75</v>
      </c>
      <c r="N2673">
        <v>51.83</v>
      </c>
      <c r="O2673">
        <v>52.4</v>
      </c>
      <c r="P2673">
        <v>8.68</v>
      </c>
      <c r="Q2673">
        <v>1162758528</v>
      </c>
      <c r="R2673">
        <v>1.1299999999999999</v>
      </c>
      <c r="S2673" t="s">
        <v>660</v>
      </c>
      <c r="T2673" t="s">
        <v>575</v>
      </c>
      <c r="U2673">
        <v>1.76</v>
      </c>
      <c r="V2673">
        <v>52.12</v>
      </c>
      <c r="W2673">
        <v>120583</v>
      </c>
      <c r="X2673">
        <v>102531</v>
      </c>
      <c r="Y2673">
        <v>1.18</v>
      </c>
      <c r="Z2673">
        <v>112</v>
      </c>
      <c r="AA2673">
        <v>860</v>
      </c>
      <c r="AB2673" t="s">
        <v>116</v>
      </c>
      <c r="AC2673">
        <v>6731300</v>
      </c>
      <c r="AD2673">
        <v>0.01</v>
      </c>
      <c r="AE2673" t="s">
        <v>116</v>
      </c>
      <c r="AF2673" t="s">
        <v>116</v>
      </c>
      <c r="AG2673">
        <v>40</v>
      </c>
      <c r="AH2673" t="s">
        <v>12091</v>
      </c>
      <c r="AI2673" t="s">
        <v>12091</v>
      </c>
      <c r="AJ2673">
        <v>-0.67</v>
      </c>
      <c r="AK2673">
        <v>4420</v>
      </c>
      <c r="AL2673">
        <v>50</v>
      </c>
      <c r="AM2673">
        <v>1E-4</v>
      </c>
      <c r="AN2673">
        <v>-1</v>
      </c>
      <c r="AO2673">
        <v>3.66</v>
      </c>
      <c r="AP2673">
        <v>13.56</v>
      </c>
      <c r="AQ2673">
        <v>25.51</v>
      </c>
      <c r="AR2673">
        <v>88.51</v>
      </c>
      <c r="AS2673">
        <v>1.08</v>
      </c>
      <c r="AT2673" t="s">
        <v>12092</v>
      </c>
      <c r="AU2673">
        <v>8.3699999999999992</v>
      </c>
      <c r="AV2673">
        <v>9.24</v>
      </c>
      <c r="AW2673">
        <v>0.88</v>
      </c>
      <c r="BA2673">
        <v>-0.56999999999999995</v>
      </c>
      <c r="BB2673">
        <v>0.67</v>
      </c>
      <c r="BC2673">
        <v>-1.0900000000000001</v>
      </c>
      <c r="BD2673">
        <v>-0.54</v>
      </c>
      <c r="BE2673">
        <v>-0.17</v>
      </c>
      <c r="BF2673">
        <v>-1.4</v>
      </c>
      <c r="BG2673">
        <v>0.35</v>
      </c>
      <c r="BH2673">
        <v>-0.2</v>
      </c>
      <c r="BI2673">
        <v>20191023</v>
      </c>
      <c r="BJ2673">
        <v>20020207</v>
      </c>
      <c r="BK2673">
        <v>52.99</v>
      </c>
      <c r="BL2673" t="s">
        <v>116</v>
      </c>
      <c r="BM2673">
        <v>13</v>
      </c>
      <c r="BN2673">
        <v>1662.68</v>
      </c>
      <c r="BO2673">
        <v>1276.0899999999999</v>
      </c>
      <c r="BP2673">
        <v>45.31</v>
      </c>
      <c r="BQ2673">
        <v>20.53</v>
      </c>
      <c r="BR2673">
        <v>854.02</v>
      </c>
      <c r="BS2673">
        <v>591.94000000000005</v>
      </c>
      <c r="BT2673">
        <v>100.47</v>
      </c>
      <c r="BU2673">
        <v>256.74</v>
      </c>
      <c r="BV2673">
        <v>63.91</v>
      </c>
      <c r="BW2673">
        <v>9.9600000000000009</v>
      </c>
      <c r="BX2673">
        <v>105.97</v>
      </c>
      <c r="BY2673">
        <v>1107.56</v>
      </c>
      <c r="BZ2673">
        <v>748.5</v>
      </c>
      <c r="CA2673">
        <v>311.13</v>
      </c>
      <c r="CB2673">
        <v>10.68</v>
      </c>
      <c r="CC2673">
        <v>314.91000000000003</v>
      </c>
      <c r="CD2673">
        <v>243.93</v>
      </c>
      <c r="CE2673">
        <v>238.16</v>
      </c>
      <c r="CF2673">
        <v>231.93</v>
      </c>
      <c r="CG2673">
        <v>1089.05</v>
      </c>
      <c r="CH2673">
        <v>260.14999999999998</v>
      </c>
      <c r="CI2673">
        <v>78.3</v>
      </c>
      <c r="CJ2673">
        <v>85445</v>
      </c>
      <c r="CK2673">
        <v>24236</v>
      </c>
      <c r="CL2673" t="s">
        <v>12093</v>
      </c>
      <c r="CM2673">
        <v>14.96</v>
      </c>
      <c r="CN2673">
        <v>42.37</v>
      </c>
      <c r="CO2673">
        <v>2.16</v>
      </c>
      <c r="CP2673">
        <v>10.59</v>
      </c>
      <c r="CQ2673">
        <v>2.4900000000000002</v>
      </c>
      <c r="CR2673">
        <v>3.25</v>
      </c>
      <c r="CS2673" t="s">
        <v>12094</v>
      </c>
      <c r="CT2673">
        <v>24.08</v>
      </c>
      <c r="CU2673">
        <v>0</v>
      </c>
      <c r="CV2673">
        <v>2</v>
      </c>
      <c r="CW2673">
        <v>20.55</v>
      </c>
      <c r="CX2673">
        <v>4.91</v>
      </c>
      <c r="CY2673">
        <v>76.75</v>
      </c>
      <c r="CZ2673" t="s">
        <v>12095</v>
      </c>
      <c r="DA2673">
        <v>32.42</v>
      </c>
      <c r="DB2673">
        <v>28.09</v>
      </c>
      <c r="DC2673">
        <v>21.5</v>
      </c>
      <c r="DD2673">
        <v>0.4</v>
      </c>
      <c r="DE2673">
        <v>43884</v>
      </c>
      <c r="DF2673">
        <v>600585</v>
      </c>
      <c r="DG2673" t="s">
        <v>116</v>
      </c>
      <c r="DH2673" t="s">
        <v>116</v>
      </c>
      <c r="DI2673" t="s">
        <v>116</v>
      </c>
    </row>
    <row r="2674" spans="1:113" x14ac:dyDescent="0.4">
      <c r="A2674" t="str">
        <f>"600586"</f>
        <v>600586</v>
      </c>
      <c r="B2674" t="s">
        <v>12096</v>
      </c>
      <c r="C2674">
        <v>-1.06</v>
      </c>
      <c r="D2674">
        <v>2.81</v>
      </c>
      <c r="E2674">
        <v>-0.03</v>
      </c>
      <c r="F2674">
        <v>2.81</v>
      </c>
      <c r="G2674">
        <v>2.82</v>
      </c>
      <c r="H2674">
        <v>110721</v>
      </c>
      <c r="I2674">
        <v>2958</v>
      </c>
      <c r="J2674">
        <v>0</v>
      </c>
      <c r="K2674">
        <v>0.77</v>
      </c>
      <c r="L2674">
        <v>2.85</v>
      </c>
      <c r="M2674">
        <v>2.86</v>
      </c>
      <c r="N2674">
        <v>2.81</v>
      </c>
      <c r="O2674">
        <v>2.84</v>
      </c>
      <c r="P2674">
        <v>21.57</v>
      </c>
      <c r="Q2674">
        <v>31420940</v>
      </c>
      <c r="R2674">
        <v>1.72</v>
      </c>
      <c r="S2674" t="s">
        <v>195</v>
      </c>
      <c r="T2674" t="s">
        <v>645</v>
      </c>
      <c r="U2674">
        <v>1.76</v>
      </c>
      <c r="V2674">
        <v>2.84</v>
      </c>
      <c r="W2674">
        <v>59133</v>
      </c>
      <c r="X2674">
        <v>51589</v>
      </c>
      <c r="Y2674">
        <v>1.1499999999999999</v>
      </c>
      <c r="Z2674">
        <v>126</v>
      </c>
      <c r="AA2674">
        <v>464</v>
      </c>
      <c r="AB2674" t="s">
        <v>116</v>
      </c>
      <c r="AC2674">
        <v>393200</v>
      </c>
      <c r="AD2674">
        <v>0.01</v>
      </c>
      <c r="AE2674" t="s">
        <v>116</v>
      </c>
      <c r="AF2674" t="s">
        <v>116</v>
      </c>
      <c r="AG2674">
        <v>14.29</v>
      </c>
      <c r="AH2674" t="s">
        <v>10862</v>
      </c>
      <c r="AI2674" t="s">
        <v>10862</v>
      </c>
      <c r="AJ2674">
        <v>-0.98</v>
      </c>
      <c r="AK2674">
        <v>980</v>
      </c>
      <c r="AL2674">
        <v>113</v>
      </c>
      <c r="AM2674">
        <v>8.0000000000000004E-4</v>
      </c>
      <c r="AN2674">
        <v>-1</v>
      </c>
      <c r="AO2674">
        <v>0.35</v>
      </c>
      <c r="AP2674">
        <v>2.5499999999999998</v>
      </c>
      <c r="AQ2674">
        <v>-0.71</v>
      </c>
      <c r="AR2674">
        <v>1.44</v>
      </c>
      <c r="AS2674">
        <v>1.08</v>
      </c>
      <c r="AT2674" t="s">
        <v>12097</v>
      </c>
      <c r="AU2674" t="s">
        <v>116</v>
      </c>
      <c r="AV2674">
        <v>51.21</v>
      </c>
      <c r="AW2674">
        <v>0.92</v>
      </c>
      <c r="BA2674">
        <v>0.35</v>
      </c>
      <c r="BB2674">
        <v>0.7</v>
      </c>
      <c r="BC2674">
        <v>-1.06</v>
      </c>
      <c r="BD2674">
        <v>-0.08</v>
      </c>
      <c r="BE2674">
        <v>-1.4</v>
      </c>
      <c r="BF2674">
        <v>-1.75</v>
      </c>
      <c r="BG2674">
        <v>0</v>
      </c>
      <c r="BH2674">
        <v>-0.98</v>
      </c>
      <c r="BI2674">
        <v>20191031</v>
      </c>
      <c r="BJ2674">
        <v>20020815</v>
      </c>
      <c r="BK2674">
        <v>14.29</v>
      </c>
      <c r="BL2674" t="s">
        <v>116</v>
      </c>
      <c r="BM2674" t="s">
        <v>116</v>
      </c>
      <c r="BN2674">
        <v>92.88</v>
      </c>
      <c r="BO2674">
        <v>41.87</v>
      </c>
      <c r="BP2674">
        <v>0.51</v>
      </c>
      <c r="BQ2674">
        <v>54.37</v>
      </c>
      <c r="BR2674">
        <v>35.83</v>
      </c>
      <c r="BS2674">
        <v>40.32</v>
      </c>
      <c r="BT2674">
        <v>5.23</v>
      </c>
      <c r="BU2674">
        <v>44.87</v>
      </c>
      <c r="BV2674">
        <v>6.93</v>
      </c>
      <c r="BW2674">
        <v>3.91</v>
      </c>
      <c r="BX2674">
        <v>18.62</v>
      </c>
      <c r="BY2674">
        <v>37.33</v>
      </c>
      <c r="BZ2674">
        <v>30.06</v>
      </c>
      <c r="CA2674">
        <v>1.7</v>
      </c>
      <c r="CB2674">
        <v>-0.15</v>
      </c>
      <c r="CC2674">
        <v>1.67</v>
      </c>
      <c r="CD2674">
        <v>1.39</v>
      </c>
      <c r="CE2674">
        <v>1.4</v>
      </c>
      <c r="CF2674">
        <v>1.41</v>
      </c>
      <c r="CG2674">
        <v>7.6</v>
      </c>
      <c r="CH2674">
        <v>3.82</v>
      </c>
      <c r="CI2674">
        <v>-7.31</v>
      </c>
      <c r="CJ2674">
        <v>86617</v>
      </c>
      <c r="CK2674">
        <v>11835</v>
      </c>
      <c r="CL2674" t="s">
        <v>2908</v>
      </c>
      <c r="CM2674">
        <v>-43.87</v>
      </c>
      <c r="CN2674">
        <v>1.84</v>
      </c>
      <c r="CO2674">
        <v>0.96</v>
      </c>
      <c r="CP2674">
        <v>10.5</v>
      </c>
      <c r="CQ2674">
        <v>1.08</v>
      </c>
      <c r="CR2674">
        <v>2.14</v>
      </c>
      <c r="CS2674" t="s">
        <v>821</v>
      </c>
      <c r="CT2674">
        <v>2.93</v>
      </c>
      <c r="CU2674">
        <v>0</v>
      </c>
      <c r="CV2674">
        <v>1.3</v>
      </c>
      <c r="CW2674">
        <v>0.53</v>
      </c>
      <c r="CX2674">
        <v>0.27</v>
      </c>
      <c r="CY2674">
        <v>45.08</v>
      </c>
      <c r="CZ2674" t="s">
        <v>4296</v>
      </c>
      <c r="DA2674">
        <v>19.48</v>
      </c>
      <c r="DB2674">
        <v>4.57</v>
      </c>
      <c r="DC2674">
        <v>3.74</v>
      </c>
      <c r="DD2674">
        <v>0.61</v>
      </c>
      <c r="DE2674">
        <v>3157</v>
      </c>
      <c r="DF2674">
        <v>600586</v>
      </c>
      <c r="DG2674" t="s">
        <v>116</v>
      </c>
      <c r="DH2674" t="s">
        <v>116</v>
      </c>
      <c r="DI2674" t="s">
        <v>116</v>
      </c>
    </row>
    <row r="2675" spans="1:113" x14ac:dyDescent="0.4">
      <c r="A2675" t="str">
        <f>"600587"</f>
        <v>600587</v>
      </c>
      <c r="B2675" t="s">
        <v>12098</v>
      </c>
      <c r="C2675">
        <v>0.44</v>
      </c>
      <c r="D2675">
        <v>13.82</v>
      </c>
      <c r="E2675">
        <v>0.06</v>
      </c>
      <c r="F2675">
        <v>13.82</v>
      </c>
      <c r="G2675">
        <v>13.83</v>
      </c>
      <c r="H2675">
        <v>26316</v>
      </c>
      <c r="I2675">
        <v>313</v>
      </c>
      <c r="J2675">
        <v>0.28999999999999998</v>
      </c>
      <c r="K2675">
        <v>0.65</v>
      </c>
      <c r="L2675">
        <v>13.79</v>
      </c>
      <c r="M2675">
        <v>13.91</v>
      </c>
      <c r="N2675">
        <v>13.69</v>
      </c>
      <c r="O2675">
        <v>13.76</v>
      </c>
      <c r="P2675">
        <v>5.25</v>
      </c>
      <c r="Q2675">
        <v>36361020</v>
      </c>
      <c r="R2675">
        <v>0.76</v>
      </c>
      <c r="S2675" t="s">
        <v>559</v>
      </c>
      <c r="T2675" t="s">
        <v>645</v>
      </c>
      <c r="U2675">
        <v>1.6</v>
      </c>
      <c r="V2675">
        <v>13.82</v>
      </c>
      <c r="W2675">
        <v>13340</v>
      </c>
      <c r="X2675">
        <v>12977</v>
      </c>
      <c r="Y2675">
        <v>1.03</v>
      </c>
      <c r="Z2675">
        <v>118</v>
      </c>
      <c r="AA2675">
        <v>371</v>
      </c>
      <c r="AB2675" t="s">
        <v>116</v>
      </c>
      <c r="AC2675">
        <v>103400</v>
      </c>
      <c r="AD2675">
        <v>0</v>
      </c>
      <c r="AE2675" t="s">
        <v>116</v>
      </c>
      <c r="AF2675" t="s">
        <v>116</v>
      </c>
      <c r="AG2675">
        <v>4.03</v>
      </c>
      <c r="AH2675" t="s">
        <v>12099</v>
      </c>
      <c r="AI2675" t="s">
        <v>3811</v>
      </c>
      <c r="AJ2675">
        <v>0.51</v>
      </c>
      <c r="AK2675">
        <v>1497</v>
      </c>
      <c r="AL2675">
        <v>18</v>
      </c>
      <c r="AM2675">
        <v>4.0000000000000002E-4</v>
      </c>
      <c r="AN2675">
        <v>2</v>
      </c>
      <c r="AO2675">
        <v>-0.21</v>
      </c>
      <c r="AP2675">
        <v>6.55</v>
      </c>
      <c r="AQ2675">
        <v>-10.84</v>
      </c>
      <c r="AR2675">
        <v>6.19</v>
      </c>
      <c r="AS2675">
        <v>0.92</v>
      </c>
      <c r="AT2675" t="s">
        <v>761</v>
      </c>
      <c r="AU2675">
        <v>8.36</v>
      </c>
      <c r="AV2675">
        <v>246.52</v>
      </c>
      <c r="AW2675">
        <v>1.1499999999999999</v>
      </c>
      <c r="BA2675">
        <v>0.22</v>
      </c>
      <c r="BB2675">
        <v>1.0900000000000001</v>
      </c>
      <c r="BC2675">
        <v>-0.51</v>
      </c>
      <c r="BD2675">
        <v>0.41</v>
      </c>
      <c r="BE2675">
        <v>0.22</v>
      </c>
      <c r="BF2675">
        <v>-0.65</v>
      </c>
      <c r="BG2675">
        <v>0.95</v>
      </c>
      <c r="BH2675">
        <v>0.02</v>
      </c>
      <c r="BI2675">
        <v>20191031</v>
      </c>
      <c r="BJ2675">
        <v>20020927</v>
      </c>
      <c r="BK2675">
        <v>4.0599999999999996</v>
      </c>
      <c r="BL2675" t="s">
        <v>116</v>
      </c>
      <c r="BM2675" t="s">
        <v>116</v>
      </c>
      <c r="BN2675">
        <v>128.78</v>
      </c>
      <c r="BO2675">
        <v>41.5</v>
      </c>
      <c r="BP2675">
        <v>5.28</v>
      </c>
      <c r="BQ2675">
        <v>63.68</v>
      </c>
      <c r="BR2675">
        <v>59.06</v>
      </c>
      <c r="BS2675">
        <v>23.36</v>
      </c>
      <c r="BT2675">
        <v>6.02</v>
      </c>
      <c r="BU2675">
        <v>72.97</v>
      </c>
      <c r="BV2675">
        <v>24.56</v>
      </c>
      <c r="BW2675">
        <v>18.46</v>
      </c>
      <c r="BX2675">
        <v>16.63</v>
      </c>
      <c r="BY2675">
        <v>63.15</v>
      </c>
      <c r="BZ2675">
        <v>49.41</v>
      </c>
      <c r="CA2675">
        <v>10.119999999999999</v>
      </c>
      <c r="CB2675">
        <v>9.34</v>
      </c>
      <c r="CC2675">
        <v>10.119999999999999</v>
      </c>
      <c r="CD2675">
        <v>8.11</v>
      </c>
      <c r="CE2675">
        <v>8.02</v>
      </c>
      <c r="CF2675">
        <v>0.23</v>
      </c>
      <c r="CG2675">
        <v>19.690000000000001</v>
      </c>
      <c r="CH2675">
        <v>4.42</v>
      </c>
      <c r="CI2675">
        <v>-2.2200000000000002</v>
      </c>
      <c r="CJ2675">
        <v>37116</v>
      </c>
      <c r="CK2675">
        <v>7720</v>
      </c>
      <c r="CL2675" t="s">
        <v>12100</v>
      </c>
      <c r="CM2675">
        <v>422.08</v>
      </c>
      <c r="CN2675">
        <v>-12.92</v>
      </c>
      <c r="CO2675">
        <v>1.35</v>
      </c>
      <c r="CP2675">
        <v>12.71</v>
      </c>
      <c r="CQ2675">
        <v>0.89</v>
      </c>
      <c r="CR2675">
        <v>0.33</v>
      </c>
      <c r="CS2675" t="s">
        <v>12101</v>
      </c>
      <c r="CT2675">
        <v>10.210000000000001</v>
      </c>
      <c r="CU2675">
        <v>0</v>
      </c>
      <c r="CV2675">
        <v>4.09</v>
      </c>
      <c r="CW2675">
        <v>4.84</v>
      </c>
      <c r="CX2675">
        <v>1.0900000000000001</v>
      </c>
      <c r="CY2675">
        <v>32.22</v>
      </c>
      <c r="CZ2675" t="s">
        <v>1618</v>
      </c>
      <c r="DA2675">
        <v>21.76</v>
      </c>
      <c r="DB2675">
        <v>16.02</v>
      </c>
      <c r="DC2675">
        <v>12.71</v>
      </c>
      <c r="DD2675">
        <v>1.17</v>
      </c>
      <c r="DE2675">
        <v>6280</v>
      </c>
      <c r="DF2675">
        <v>600587</v>
      </c>
      <c r="DG2675" t="s">
        <v>116</v>
      </c>
      <c r="DH2675" t="s">
        <v>116</v>
      </c>
      <c r="DI2675" t="s">
        <v>116</v>
      </c>
    </row>
    <row r="2676" spans="1:113" x14ac:dyDescent="0.4">
      <c r="A2676" t="str">
        <f>"600588"</f>
        <v>600588</v>
      </c>
      <c r="B2676" t="s">
        <v>12102</v>
      </c>
      <c r="C2676">
        <v>-2.5299999999999998</v>
      </c>
      <c r="D2676">
        <v>28.15</v>
      </c>
      <c r="E2676">
        <v>-0.73</v>
      </c>
      <c r="F2676">
        <v>28.14</v>
      </c>
      <c r="G2676">
        <v>28.15</v>
      </c>
      <c r="H2676">
        <v>166104</v>
      </c>
      <c r="I2676">
        <v>3848</v>
      </c>
      <c r="J2676">
        <v>-0.13</v>
      </c>
      <c r="K2676">
        <v>0.67</v>
      </c>
      <c r="L2676">
        <v>28.95</v>
      </c>
      <c r="M2676">
        <v>29.14</v>
      </c>
      <c r="N2676">
        <v>28.12</v>
      </c>
      <c r="O2676">
        <v>28.88</v>
      </c>
      <c r="P2676">
        <v>118.26</v>
      </c>
      <c r="Q2676">
        <v>474655936</v>
      </c>
      <c r="R2676">
        <v>1.31</v>
      </c>
      <c r="S2676" t="s">
        <v>607</v>
      </c>
      <c r="T2676" t="s">
        <v>165</v>
      </c>
      <c r="U2676">
        <v>3.53</v>
      </c>
      <c r="V2676">
        <v>28.58</v>
      </c>
      <c r="W2676">
        <v>101668</v>
      </c>
      <c r="X2676">
        <v>64436</v>
      </c>
      <c r="Y2676">
        <v>1.58</v>
      </c>
      <c r="Z2676">
        <v>143</v>
      </c>
      <c r="AA2676">
        <v>361</v>
      </c>
      <c r="AB2676" t="s">
        <v>116</v>
      </c>
      <c r="AC2676">
        <v>1124500</v>
      </c>
      <c r="AD2676">
        <v>0</v>
      </c>
      <c r="AE2676" t="s">
        <v>116</v>
      </c>
      <c r="AF2676" t="s">
        <v>116</v>
      </c>
      <c r="AG2676">
        <v>24.92</v>
      </c>
      <c r="AH2676" t="s">
        <v>12103</v>
      </c>
      <c r="AI2676" t="s">
        <v>12104</v>
      </c>
      <c r="AJ2676">
        <v>-2.4500000000000002</v>
      </c>
      <c r="AK2676">
        <v>3898</v>
      </c>
      <c r="AL2676">
        <v>43</v>
      </c>
      <c r="AM2676">
        <v>2.0000000000000001E-4</v>
      </c>
      <c r="AN2676">
        <v>-1</v>
      </c>
      <c r="AO2676">
        <v>-1.75</v>
      </c>
      <c r="AP2676">
        <v>1.4</v>
      </c>
      <c r="AQ2676">
        <v>-10.06</v>
      </c>
      <c r="AR2676">
        <v>73.849999999999994</v>
      </c>
      <c r="AS2676">
        <v>1.36</v>
      </c>
      <c r="AT2676" t="s">
        <v>12105</v>
      </c>
      <c r="AU2676">
        <v>77.59</v>
      </c>
      <c r="AV2676">
        <v>115.13</v>
      </c>
      <c r="AW2676">
        <v>1.56</v>
      </c>
      <c r="BA2676">
        <v>0.24</v>
      </c>
      <c r="BB2676">
        <v>0.9</v>
      </c>
      <c r="BC2676">
        <v>-2.63</v>
      </c>
      <c r="BD2676">
        <v>-1.05</v>
      </c>
      <c r="BE2676">
        <v>-2.76</v>
      </c>
      <c r="BF2676">
        <v>-3.4</v>
      </c>
      <c r="BG2676">
        <v>0.11</v>
      </c>
      <c r="BH2676">
        <v>-1.47</v>
      </c>
      <c r="BI2676">
        <v>20191226</v>
      </c>
      <c r="BJ2676">
        <v>20010518</v>
      </c>
      <c r="BK2676">
        <v>25.03</v>
      </c>
      <c r="BL2676" t="s">
        <v>116</v>
      </c>
      <c r="BM2676" t="s">
        <v>116</v>
      </c>
      <c r="BN2676">
        <v>152.24</v>
      </c>
      <c r="BO2676">
        <v>62.33</v>
      </c>
      <c r="BP2676">
        <v>10.65</v>
      </c>
      <c r="BQ2676">
        <v>52.06</v>
      </c>
      <c r="BR2676">
        <v>79.88</v>
      </c>
      <c r="BS2676">
        <v>26.58</v>
      </c>
      <c r="BT2676">
        <v>8.0399999999999991</v>
      </c>
      <c r="BU2676">
        <v>77.92</v>
      </c>
      <c r="BV2676">
        <v>0.23</v>
      </c>
      <c r="BW2676">
        <v>13.15</v>
      </c>
      <c r="BX2676">
        <v>15.98</v>
      </c>
      <c r="BY2676">
        <v>50.09</v>
      </c>
      <c r="BZ2676">
        <v>19.09</v>
      </c>
      <c r="CA2676">
        <v>5.76</v>
      </c>
      <c r="CB2676">
        <v>2.52</v>
      </c>
      <c r="CC2676">
        <v>5.76</v>
      </c>
      <c r="CD2676">
        <v>5.37</v>
      </c>
      <c r="CE2676">
        <v>4.47</v>
      </c>
      <c r="CF2676">
        <v>1.74</v>
      </c>
      <c r="CG2676">
        <v>18.239999999999998</v>
      </c>
      <c r="CH2676">
        <v>-1.24</v>
      </c>
      <c r="CI2676">
        <v>-18.27</v>
      </c>
      <c r="CJ2676">
        <v>78980</v>
      </c>
      <c r="CK2676">
        <v>15414</v>
      </c>
      <c r="CL2676" t="s">
        <v>12106</v>
      </c>
      <c r="CM2676">
        <v>196.39</v>
      </c>
      <c r="CN2676">
        <v>10.14</v>
      </c>
      <c r="CO2676">
        <v>11.23</v>
      </c>
      <c r="CP2676">
        <v>-567.62</v>
      </c>
      <c r="CQ2676">
        <v>14.07</v>
      </c>
      <c r="CR2676">
        <v>0.67</v>
      </c>
      <c r="CS2676" t="s">
        <v>1971</v>
      </c>
      <c r="CT2676">
        <v>2.5099999999999998</v>
      </c>
      <c r="CU2676">
        <v>2.5099999999999998</v>
      </c>
      <c r="CV2676">
        <v>0.64</v>
      </c>
      <c r="CW2676">
        <v>0.73</v>
      </c>
      <c r="CX2676">
        <v>-0.05</v>
      </c>
      <c r="CY2676">
        <v>40.94</v>
      </c>
      <c r="CZ2676" t="s">
        <v>5836</v>
      </c>
      <c r="DA2676">
        <v>61.9</v>
      </c>
      <c r="DB2676">
        <v>11.51</v>
      </c>
      <c r="DC2676">
        <v>8.92</v>
      </c>
      <c r="DD2676">
        <v>11.34</v>
      </c>
      <c r="DE2676">
        <v>16079</v>
      </c>
      <c r="DF2676">
        <v>600588</v>
      </c>
      <c r="DG2676" t="s">
        <v>116</v>
      </c>
      <c r="DH2676" t="s">
        <v>116</v>
      </c>
      <c r="DI2676" t="s">
        <v>116</v>
      </c>
    </row>
    <row r="2677" spans="1:113" x14ac:dyDescent="0.4">
      <c r="A2677" t="str">
        <f>"600589"</f>
        <v>600589</v>
      </c>
      <c r="B2677" t="s">
        <v>12107</v>
      </c>
      <c r="C2677">
        <v>-2.0699999999999998</v>
      </c>
      <c r="D2677">
        <v>5.21</v>
      </c>
      <c r="E2677">
        <v>-0.11</v>
      </c>
      <c r="F2677">
        <v>5.2</v>
      </c>
      <c r="G2677">
        <v>5.21</v>
      </c>
      <c r="H2677">
        <v>112483</v>
      </c>
      <c r="I2677">
        <v>2030</v>
      </c>
      <c r="J2677">
        <v>-0.18</v>
      </c>
      <c r="K2677">
        <v>1.6</v>
      </c>
      <c r="L2677">
        <v>5.32</v>
      </c>
      <c r="M2677">
        <v>5.36</v>
      </c>
      <c r="N2677">
        <v>5.2</v>
      </c>
      <c r="O2677">
        <v>5.32</v>
      </c>
      <c r="P2677">
        <v>8.75</v>
      </c>
      <c r="Q2677">
        <v>59379376</v>
      </c>
      <c r="R2677">
        <v>1.04</v>
      </c>
      <c r="S2677" t="s">
        <v>2444</v>
      </c>
      <c r="T2677" t="s">
        <v>551</v>
      </c>
      <c r="U2677">
        <v>3.01</v>
      </c>
      <c r="V2677">
        <v>5.28</v>
      </c>
      <c r="W2677">
        <v>72335</v>
      </c>
      <c r="X2677">
        <v>40148</v>
      </c>
      <c r="Y2677">
        <v>1.8</v>
      </c>
      <c r="Z2677">
        <v>1753</v>
      </c>
      <c r="AA2677">
        <v>462</v>
      </c>
      <c r="AB2677" t="s">
        <v>116</v>
      </c>
      <c r="AC2677">
        <v>156400</v>
      </c>
      <c r="AD2677">
        <v>0.01</v>
      </c>
      <c r="AE2677" t="s">
        <v>116</v>
      </c>
      <c r="AF2677" t="s">
        <v>116</v>
      </c>
      <c r="AG2677">
        <v>7.04</v>
      </c>
      <c r="AH2677" t="s">
        <v>12108</v>
      </c>
      <c r="AI2677" t="s">
        <v>12108</v>
      </c>
      <c r="AJ2677">
        <v>-1.99</v>
      </c>
      <c r="AK2677">
        <v>1664</v>
      </c>
      <c r="AL2677">
        <v>68</v>
      </c>
      <c r="AM2677">
        <v>1E-3</v>
      </c>
      <c r="AN2677">
        <v>-1</v>
      </c>
      <c r="AO2677">
        <v>0.97</v>
      </c>
      <c r="AP2677">
        <v>13.02</v>
      </c>
      <c r="AQ2677">
        <v>-0.76</v>
      </c>
      <c r="AR2677">
        <v>28.33</v>
      </c>
      <c r="AS2677">
        <v>3.36</v>
      </c>
      <c r="AT2677" t="s">
        <v>8677</v>
      </c>
      <c r="AU2677">
        <v>10.68</v>
      </c>
      <c r="AV2677">
        <v>23.87</v>
      </c>
      <c r="AW2677">
        <v>1.64</v>
      </c>
      <c r="BA2677">
        <v>0</v>
      </c>
      <c r="BB2677">
        <v>0.75</v>
      </c>
      <c r="BC2677">
        <v>-2.2599999999999998</v>
      </c>
      <c r="BD2677">
        <v>-0.77</v>
      </c>
      <c r="BE2677">
        <v>-2.0699999999999998</v>
      </c>
      <c r="BF2677">
        <v>-2.8</v>
      </c>
      <c r="BG2677">
        <v>0.19</v>
      </c>
      <c r="BH2677">
        <v>-1.3</v>
      </c>
      <c r="BI2677">
        <v>20191029</v>
      </c>
      <c r="BJ2677">
        <v>20010612</v>
      </c>
      <c r="BK2677">
        <v>7.04</v>
      </c>
      <c r="BL2677" t="s">
        <v>116</v>
      </c>
      <c r="BM2677" t="s">
        <v>116</v>
      </c>
      <c r="BN2677">
        <v>52.7</v>
      </c>
      <c r="BO2677">
        <v>34.85</v>
      </c>
      <c r="BP2677">
        <v>0.03</v>
      </c>
      <c r="BQ2677">
        <v>33.81</v>
      </c>
      <c r="BR2677">
        <v>31.03</v>
      </c>
      <c r="BS2677">
        <v>6.24</v>
      </c>
      <c r="BT2677">
        <v>1.25</v>
      </c>
      <c r="BU2677">
        <v>15.06</v>
      </c>
      <c r="BV2677">
        <v>5.99</v>
      </c>
      <c r="BW2677">
        <v>7.53</v>
      </c>
      <c r="BX2677">
        <v>13</v>
      </c>
      <c r="BY2677">
        <v>10.36</v>
      </c>
      <c r="BZ2677">
        <v>7.64</v>
      </c>
      <c r="CA2677">
        <v>3.42</v>
      </c>
      <c r="CB2677">
        <v>2.5099999999999998</v>
      </c>
      <c r="CC2677">
        <v>3.42</v>
      </c>
      <c r="CD2677">
        <v>3.14</v>
      </c>
      <c r="CE2677">
        <v>3.14</v>
      </c>
      <c r="CF2677">
        <v>1.01</v>
      </c>
      <c r="CG2677">
        <v>13.36</v>
      </c>
      <c r="CH2677">
        <v>-1.1599999999999999</v>
      </c>
      <c r="CI2677">
        <v>-8.0500000000000007</v>
      </c>
      <c r="CJ2677">
        <v>42941</v>
      </c>
      <c r="CK2677">
        <v>7800</v>
      </c>
      <c r="CL2677" t="s">
        <v>7222</v>
      </c>
      <c r="CM2677">
        <v>152.22999999999999</v>
      </c>
      <c r="CN2677">
        <v>-11.87</v>
      </c>
      <c r="CO2677">
        <v>1.05</v>
      </c>
      <c r="CP2677">
        <v>-31.63</v>
      </c>
      <c r="CQ2677">
        <v>3.54</v>
      </c>
      <c r="CR2677">
        <v>0.38</v>
      </c>
      <c r="CS2677" t="s">
        <v>1658</v>
      </c>
      <c r="CT2677">
        <v>4.9400000000000004</v>
      </c>
      <c r="CU2677">
        <v>4.9400000000000004</v>
      </c>
      <c r="CV2677">
        <v>1.85</v>
      </c>
      <c r="CW2677">
        <v>1.9</v>
      </c>
      <c r="CX2677">
        <v>-0.16</v>
      </c>
      <c r="CY2677">
        <v>66.14</v>
      </c>
      <c r="CZ2677" t="s">
        <v>11763</v>
      </c>
      <c r="DA2677">
        <v>26.28</v>
      </c>
      <c r="DB2677">
        <v>33</v>
      </c>
      <c r="DC2677">
        <v>30.33</v>
      </c>
      <c r="DD2677">
        <v>0.36</v>
      </c>
      <c r="DE2677">
        <v>733</v>
      </c>
      <c r="DF2677">
        <v>600589</v>
      </c>
      <c r="DG2677" t="s">
        <v>116</v>
      </c>
      <c r="DH2677" t="s">
        <v>116</v>
      </c>
      <c r="DI2677" t="s">
        <v>116</v>
      </c>
    </row>
    <row r="2678" spans="1:113" x14ac:dyDescent="0.4">
      <c r="A2678" t="str">
        <f>"600590"</f>
        <v>600590</v>
      </c>
      <c r="B2678" t="s">
        <v>12109</v>
      </c>
      <c r="C2678">
        <v>-1.03</v>
      </c>
      <c r="D2678">
        <v>5.79</v>
      </c>
      <c r="E2678">
        <v>-0.06</v>
      </c>
      <c r="F2678">
        <v>5.79</v>
      </c>
      <c r="G2678">
        <v>5.8</v>
      </c>
      <c r="H2678">
        <v>63142</v>
      </c>
      <c r="I2678">
        <v>1032</v>
      </c>
      <c r="J2678">
        <v>0</v>
      </c>
      <c r="K2678">
        <v>0.75</v>
      </c>
      <c r="L2678">
        <v>5.88</v>
      </c>
      <c r="M2678">
        <v>5.89</v>
      </c>
      <c r="N2678">
        <v>5.78</v>
      </c>
      <c r="O2678">
        <v>5.85</v>
      </c>
      <c r="P2678">
        <v>26.25</v>
      </c>
      <c r="Q2678">
        <v>36825320</v>
      </c>
      <c r="R2678">
        <v>0.88</v>
      </c>
      <c r="S2678" t="s">
        <v>397</v>
      </c>
      <c r="T2678" t="s">
        <v>683</v>
      </c>
      <c r="U2678">
        <v>1.88</v>
      </c>
      <c r="V2678">
        <v>5.83</v>
      </c>
      <c r="W2678">
        <v>41290</v>
      </c>
      <c r="X2678">
        <v>21852</v>
      </c>
      <c r="Y2678">
        <v>1.89</v>
      </c>
      <c r="Z2678">
        <v>1</v>
      </c>
      <c r="AA2678">
        <v>2082</v>
      </c>
      <c r="AB2678" t="s">
        <v>116</v>
      </c>
      <c r="AC2678">
        <v>198900</v>
      </c>
      <c r="AD2678">
        <v>0.01</v>
      </c>
      <c r="AE2678" t="s">
        <v>116</v>
      </c>
      <c r="AF2678" t="s">
        <v>116</v>
      </c>
      <c r="AG2678">
        <v>8.44</v>
      </c>
      <c r="AH2678" t="s">
        <v>2803</v>
      </c>
      <c r="AI2678" t="s">
        <v>12110</v>
      </c>
      <c r="AJ2678">
        <v>-0.95</v>
      </c>
      <c r="AK2678">
        <v>1406</v>
      </c>
      <c r="AL2678">
        <v>45</v>
      </c>
      <c r="AM2678">
        <v>5.0000000000000001E-4</v>
      </c>
      <c r="AN2678">
        <v>-1</v>
      </c>
      <c r="AO2678">
        <v>1.22</v>
      </c>
      <c r="AP2678">
        <v>5.46</v>
      </c>
      <c r="AQ2678">
        <v>-5.85</v>
      </c>
      <c r="AR2678">
        <v>7.42</v>
      </c>
      <c r="AS2678">
        <v>1.27</v>
      </c>
      <c r="AT2678" t="s">
        <v>10155</v>
      </c>
      <c r="AU2678">
        <v>20.52</v>
      </c>
      <c r="AV2678">
        <v>19.13</v>
      </c>
      <c r="AW2678">
        <v>2.04</v>
      </c>
      <c r="BA2678">
        <v>0.51</v>
      </c>
      <c r="BB2678">
        <v>0.68</v>
      </c>
      <c r="BC2678">
        <v>-1.2</v>
      </c>
      <c r="BD2678">
        <v>-0.3</v>
      </c>
      <c r="BE2678">
        <v>-1.53</v>
      </c>
      <c r="BF2678">
        <v>-1.7</v>
      </c>
      <c r="BG2678">
        <v>0.17</v>
      </c>
      <c r="BH2678">
        <v>-0.72</v>
      </c>
      <c r="BI2678">
        <v>20191213</v>
      </c>
      <c r="BJ2678">
        <v>20020703</v>
      </c>
      <c r="BK2678">
        <v>8.66</v>
      </c>
      <c r="BL2678" t="s">
        <v>116</v>
      </c>
      <c r="BM2678" t="s">
        <v>116</v>
      </c>
      <c r="BN2678">
        <v>127.04</v>
      </c>
      <c r="BO2678">
        <v>41.57</v>
      </c>
      <c r="BP2678">
        <v>4.2699999999999996</v>
      </c>
      <c r="BQ2678">
        <v>63.92</v>
      </c>
      <c r="BR2678">
        <v>86.49</v>
      </c>
      <c r="BS2678">
        <v>6.18</v>
      </c>
      <c r="BT2678">
        <v>3.79</v>
      </c>
      <c r="BU2678">
        <v>75.2</v>
      </c>
      <c r="BV2678">
        <v>11.09</v>
      </c>
      <c r="BW2678">
        <v>40.46</v>
      </c>
      <c r="BX2678">
        <v>24.81</v>
      </c>
      <c r="BY2678">
        <v>33.57</v>
      </c>
      <c r="BZ2678">
        <v>26.7</v>
      </c>
      <c r="CA2678">
        <v>2.69</v>
      </c>
      <c r="CB2678">
        <v>0.65</v>
      </c>
      <c r="CC2678">
        <v>1.94</v>
      </c>
      <c r="CD2678">
        <v>1.63</v>
      </c>
      <c r="CE2678">
        <v>1.43</v>
      </c>
      <c r="CF2678">
        <v>1.57</v>
      </c>
      <c r="CG2678">
        <v>8.73</v>
      </c>
      <c r="CH2678">
        <v>11.16</v>
      </c>
      <c r="CI2678">
        <v>2.23</v>
      </c>
      <c r="CJ2678">
        <v>45316</v>
      </c>
      <c r="CK2678">
        <v>10952</v>
      </c>
      <c r="CL2678" t="s">
        <v>2372</v>
      </c>
      <c r="CM2678">
        <v>-11.02</v>
      </c>
      <c r="CN2678">
        <v>1.42</v>
      </c>
      <c r="CO2678">
        <v>1.21</v>
      </c>
      <c r="CP2678">
        <v>4.49</v>
      </c>
      <c r="CQ2678">
        <v>1.49</v>
      </c>
      <c r="CR2678">
        <v>0</v>
      </c>
      <c r="CS2678" t="s">
        <v>1025</v>
      </c>
      <c r="CT2678">
        <v>4.8</v>
      </c>
      <c r="CU2678">
        <v>0</v>
      </c>
      <c r="CV2678">
        <v>2.86</v>
      </c>
      <c r="CW2678">
        <v>1.01</v>
      </c>
      <c r="CX2678">
        <v>1.29</v>
      </c>
      <c r="CY2678">
        <v>32.72</v>
      </c>
      <c r="CZ2678" t="s">
        <v>2942</v>
      </c>
      <c r="DA2678">
        <v>20.46</v>
      </c>
      <c r="DB2678">
        <v>8</v>
      </c>
      <c r="DC2678">
        <v>4.2699999999999996</v>
      </c>
      <c r="DD2678">
        <v>1.04</v>
      </c>
      <c r="DE2678">
        <v>3267</v>
      </c>
      <c r="DF2678">
        <v>600590</v>
      </c>
      <c r="DG2678" t="s">
        <v>116</v>
      </c>
      <c r="DH2678" t="s">
        <v>116</v>
      </c>
      <c r="DI2678" t="s">
        <v>116</v>
      </c>
    </row>
    <row r="2679" spans="1:113" x14ac:dyDescent="0.4">
      <c r="A2679" t="str">
        <f>"600592"</f>
        <v>600592</v>
      </c>
      <c r="B2679" t="s">
        <v>12111</v>
      </c>
      <c r="C2679">
        <v>-4.41</v>
      </c>
      <c r="D2679">
        <v>14.52</v>
      </c>
      <c r="E2679">
        <v>-0.67</v>
      </c>
      <c r="F2679">
        <v>14.52</v>
      </c>
      <c r="G2679">
        <v>14.55</v>
      </c>
      <c r="H2679">
        <v>118315</v>
      </c>
      <c r="I2679">
        <v>803</v>
      </c>
      <c r="J2679">
        <v>-0.06</v>
      </c>
      <c r="K2679">
        <v>2.96</v>
      </c>
      <c r="L2679">
        <v>15.23</v>
      </c>
      <c r="M2679">
        <v>15.66</v>
      </c>
      <c r="N2679">
        <v>14.47</v>
      </c>
      <c r="O2679">
        <v>15.19</v>
      </c>
      <c r="P2679">
        <v>40.33</v>
      </c>
      <c r="Q2679">
        <v>176011568</v>
      </c>
      <c r="R2679">
        <v>2.1800000000000002</v>
      </c>
      <c r="S2679" t="s">
        <v>996</v>
      </c>
      <c r="T2679" t="s">
        <v>975</v>
      </c>
      <c r="U2679">
        <v>7.83</v>
      </c>
      <c r="V2679">
        <v>14.88</v>
      </c>
      <c r="W2679">
        <v>66025</v>
      </c>
      <c r="X2679">
        <v>52290</v>
      </c>
      <c r="Y2679">
        <v>1.26</v>
      </c>
      <c r="Z2679">
        <v>719</v>
      </c>
      <c r="AA2679">
        <v>30</v>
      </c>
      <c r="AB2679" t="s">
        <v>116</v>
      </c>
      <c r="AC2679">
        <v>1649400</v>
      </c>
      <c r="AD2679">
        <v>0.04</v>
      </c>
      <c r="AE2679" t="s">
        <v>116</v>
      </c>
      <c r="AF2679" t="s">
        <v>116</v>
      </c>
      <c r="AG2679">
        <v>4</v>
      </c>
      <c r="AH2679" t="s">
        <v>6170</v>
      </c>
      <c r="AI2679" t="s">
        <v>6170</v>
      </c>
      <c r="AJ2679">
        <v>-4.33</v>
      </c>
      <c r="AK2679">
        <v>2448</v>
      </c>
      <c r="AL2679">
        <v>48</v>
      </c>
      <c r="AM2679">
        <v>1.1999999999999999E-3</v>
      </c>
      <c r="AN2679">
        <v>-1</v>
      </c>
      <c r="AO2679">
        <v>6.85</v>
      </c>
      <c r="AP2679">
        <v>3.42</v>
      </c>
      <c r="AQ2679">
        <v>-14.49</v>
      </c>
      <c r="AR2679">
        <v>176.05</v>
      </c>
      <c r="AS2679">
        <v>4.76</v>
      </c>
      <c r="AT2679" t="s">
        <v>7284</v>
      </c>
      <c r="AU2679">
        <v>51.99</v>
      </c>
      <c r="AV2679">
        <v>66.11</v>
      </c>
      <c r="AW2679">
        <v>0.26</v>
      </c>
      <c r="BA2679">
        <v>0.26</v>
      </c>
      <c r="BB2679">
        <v>3.09</v>
      </c>
      <c r="BC2679">
        <v>-4.74</v>
      </c>
      <c r="BD2679">
        <v>-2.06</v>
      </c>
      <c r="BE2679">
        <v>-4.66</v>
      </c>
      <c r="BF2679">
        <v>-7.28</v>
      </c>
      <c r="BG2679">
        <v>0.35</v>
      </c>
      <c r="BH2679">
        <v>-2.35</v>
      </c>
      <c r="BI2679">
        <v>20191025</v>
      </c>
      <c r="BJ2679">
        <v>20020805</v>
      </c>
      <c r="BK2679">
        <v>4</v>
      </c>
      <c r="BL2679" t="s">
        <v>116</v>
      </c>
      <c r="BM2679" t="s">
        <v>116</v>
      </c>
      <c r="BN2679">
        <v>27.05</v>
      </c>
      <c r="BO2679">
        <v>19.04</v>
      </c>
      <c r="BP2679">
        <v>0.22</v>
      </c>
      <c r="BQ2679">
        <v>28.81</v>
      </c>
      <c r="BR2679">
        <v>17.54</v>
      </c>
      <c r="BS2679">
        <v>7.03</v>
      </c>
      <c r="BT2679">
        <v>1</v>
      </c>
      <c r="BU2679">
        <v>4.9800000000000004</v>
      </c>
      <c r="BV2679">
        <v>4.42</v>
      </c>
      <c r="BW2679">
        <v>2.5299999999999998</v>
      </c>
      <c r="BX2679">
        <v>6.96</v>
      </c>
      <c r="BY2679">
        <v>6.97</v>
      </c>
      <c r="BZ2679">
        <v>5.09</v>
      </c>
      <c r="CA2679">
        <v>1.1499999999999999</v>
      </c>
      <c r="CB2679">
        <v>0.12</v>
      </c>
      <c r="CC2679">
        <v>1.1499999999999999</v>
      </c>
      <c r="CD2679">
        <v>1</v>
      </c>
      <c r="CE2679">
        <v>1.08</v>
      </c>
      <c r="CF2679">
        <v>0.13</v>
      </c>
      <c r="CG2679">
        <v>6.17</v>
      </c>
      <c r="CH2679">
        <v>7.0000000000000007E-2</v>
      </c>
      <c r="CI2679">
        <v>-0.35</v>
      </c>
      <c r="CJ2679">
        <v>15352</v>
      </c>
      <c r="CK2679">
        <v>16175</v>
      </c>
      <c r="CL2679" t="s">
        <v>12112</v>
      </c>
      <c r="CM2679">
        <v>28.37</v>
      </c>
      <c r="CN2679">
        <v>-14.63</v>
      </c>
      <c r="CO2679">
        <v>3.05</v>
      </c>
      <c r="CP2679">
        <v>882.72</v>
      </c>
      <c r="CQ2679">
        <v>8.32</v>
      </c>
      <c r="CR2679">
        <v>0.69</v>
      </c>
      <c r="CS2679" t="s">
        <v>2326</v>
      </c>
      <c r="CT2679">
        <v>4.76</v>
      </c>
      <c r="CU2679">
        <v>0</v>
      </c>
      <c r="CV2679">
        <v>1.74</v>
      </c>
      <c r="CW2679">
        <v>1.54</v>
      </c>
      <c r="CX2679">
        <v>0.02</v>
      </c>
      <c r="CY2679">
        <v>70.39</v>
      </c>
      <c r="CZ2679" t="s">
        <v>4881</v>
      </c>
      <c r="DA2679">
        <v>27.06</v>
      </c>
      <c r="DB2679">
        <v>16.53</v>
      </c>
      <c r="DC2679">
        <v>15.47</v>
      </c>
      <c r="DD2679">
        <v>0.65</v>
      </c>
      <c r="DE2679">
        <v>2563</v>
      </c>
      <c r="DF2679">
        <v>600592</v>
      </c>
      <c r="DG2679" t="s">
        <v>116</v>
      </c>
      <c r="DH2679" t="s">
        <v>116</v>
      </c>
      <c r="DI2679" t="s">
        <v>116</v>
      </c>
    </row>
    <row r="2680" spans="1:113" x14ac:dyDescent="0.4">
      <c r="A2680" t="str">
        <f>"600593"</f>
        <v>600593</v>
      </c>
      <c r="B2680" t="s">
        <v>12113</v>
      </c>
      <c r="C2680">
        <v>1.17</v>
      </c>
      <c r="D2680">
        <v>43.1</v>
      </c>
      <c r="E2680">
        <v>0.5</v>
      </c>
      <c r="F2680">
        <v>43.08</v>
      </c>
      <c r="G2680">
        <v>43.1</v>
      </c>
      <c r="H2680">
        <v>9247</v>
      </c>
      <c r="I2680">
        <v>102</v>
      </c>
      <c r="J2680">
        <v>0.21</v>
      </c>
      <c r="K2680">
        <v>0.72</v>
      </c>
      <c r="L2680">
        <v>42.6</v>
      </c>
      <c r="M2680">
        <v>43.1</v>
      </c>
      <c r="N2680">
        <v>42.41</v>
      </c>
      <c r="O2680">
        <v>42.6</v>
      </c>
      <c r="P2680">
        <v>57</v>
      </c>
      <c r="Q2680">
        <v>39505892</v>
      </c>
      <c r="R2680">
        <v>1.04</v>
      </c>
      <c r="S2680" t="s">
        <v>1412</v>
      </c>
      <c r="T2680" t="s">
        <v>434</v>
      </c>
      <c r="U2680">
        <v>1.62</v>
      </c>
      <c r="V2680">
        <v>42.72</v>
      </c>
      <c r="W2680">
        <v>2751</v>
      </c>
      <c r="X2680">
        <v>6496</v>
      </c>
      <c r="Y2680">
        <v>0.42</v>
      </c>
      <c r="Z2680">
        <v>9</v>
      </c>
      <c r="AA2680">
        <v>89</v>
      </c>
      <c r="AB2680" t="s">
        <v>116</v>
      </c>
      <c r="AC2680">
        <v>123500</v>
      </c>
      <c r="AD2680">
        <v>0</v>
      </c>
      <c r="AE2680" t="s">
        <v>116</v>
      </c>
      <c r="AF2680" t="s">
        <v>116</v>
      </c>
      <c r="AG2680">
        <v>1.29</v>
      </c>
      <c r="AH2680" t="s">
        <v>12114</v>
      </c>
      <c r="AI2680" t="s">
        <v>12114</v>
      </c>
      <c r="AJ2680">
        <v>1.25</v>
      </c>
      <c r="AK2680">
        <v>1363</v>
      </c>
      <c r="AL2680">
        <v>7</v>
      </c>
      <c r="AM2680">
        <v>5.0000000000000001E-4</v>
      </c>
      <c r="AN2680">
        <v>1</v>
      </c>
      <c r="AO2680">
        <v>1.49</v>
      </c>
      <c r="AP2680">
        <v>2.67</v>
      </c>
      <c r="AQ2680">
        <v>4.2300000000000004</v>
      </c>
      <c r="AR2680">
        <v>62.7</v>
      </c>
      <c r="AS2680">
        <v>1.18</v>
      </c>
      <c r="AT2680" t="s">
        <v>6662</v>
      </c>
      <c r="AU2680">
        <v>140.97999999999999</v>
      </c>
      <c r="AV2680">
        <v>96.28</v>
      </c>
      <c r="AW2680">
        <v>0</v>
      </c>
      <c r="BA2680">
        <v>0</v>
      </c>
      <c r="BB2680">
        <v>1.17</v>
      </c>
      <c r="BC2680">
        <v>-0.45</v>
      </c>
      <c r="BD2680">
        <v>0.28999999999999998</v>
      </c>
      <c r="BE2680">
        <v>1.17</v>
      </c>
      <c r="BF2680">
        <v>0</v>
      </c>
      <c r="BG2680">
        <v>1.63</v>
      </c>
      <c r="BH2680">
        <v>0.89</v>
      </c>
      <c r="BI2680">
        <v>20191030</v>
      </c>
      <c r="BJ2680">
        <v>20020711</v>
      </c>
      <c r="BK2680">
        <v>1.29</v>
      </c>
      <c r="BL2680" t="s">
        <v>116</v>
      </c>
      <c r="BM2680" t="s">
        <v>116</v>
      </c>
      <c r="BN2680">
        <v>21.13</v>
      </c>
      <c r="BO2680">
        <v>5.81</v>
      </c>
      <c r="BP2680">
        <v>5.25</v>
      </c>
      <c r="BQ2680">
        <v>47.62</v>
      </c>
      <c r="BR2680">
        <v>3.92</v>
      </c>
      <c r="BS2680">
        <v>1.79</v>
      </c>
      <c r="BT2680">
        <v>5.77</v>
      </c>
      <c r="BU2680">
        <v>6.69</v>
      </c>
      <c r="BV2680">
        <v>0.02</v>
      </c>
      <c r="BW2680">
        <v>0.03</v>
      </c>
      <c r="BX2680">
        <v>1.73</v>
      </c>
      <c r="BY2680">
        <v>2.76</v>
      </c>
      <c r="BZ2680">
        <v>0.9</v>
      </c>
      <c r="CA2680">
        <v>0.99</v>
      </c>
      <c r="CB2680">
        <v>0.06</v>
      </c>
      <c r="CC2680">
        <v>0.98</v>
      </c>
      <c r="CD2680">
        <v>0.7</v>
      </c>
      <c r="CE2680">
        <v>0.73</v>
      </c>
      <c r="CF2680">
        <v>0.67</v>
      </c>
      <c r="CG2680">
        <v>2.4300000000000002</v>
      </c>
      <c r="CH2680">
        <v>1.1000000000000001</v>
      </c>
      <c r="CI2680">
        <v>0.46</v>
      </c>
      <c r="CJ2680">
        <v>4049</v>
      </c>
      <c r="CK2680">
        <v>19410</v>
      </c>
      <c r="CL2680" t="s">
        <v>12115</v>
      </c>
      <c r="CM2680">
        <v>-20.02</v>
      </c>
      <c r="CN2680">
        <v>-8.01</v>
      </c>
      <c r="CO2680">
        <v>9.5500000000000007</v>
      </c>
      <c r="CP2680">
        <v>50.51</v>
      </c>
      <c r="CQ2680">
        <v>20.14</v>
      </c>
      <c r="CR2680">
        <v>0</v>
      </c>
      <c r="CS2680" t="s">
        <v>8559</v>
      </c>
      <c r="CT2680">
        <v>4.51</v>
      </c>
      <c r="CU2680">
        <v>0</v>
      </c>
      <c r="CV2680">
        <v>1.34</v>
      </c>
      <c r="CW2680">
        <v>1.89</v>
      </c>
      <c r="CX2680">
        <v>0.85</v>
      </c>
      <c r="CY2680">
        <v>27.52</v>
      </c>
      <c r="CZ2680" t="s">
        <v>6564</v>
      </c>
      <c r="DA2680">
        <v>67.27</v>
      </c>
      <c r="DB2680">
        <v>35.89</v>
      </c>
      <c r="DC2680">
        <v>26.5</v>
      </c>
      <c r="DD2680">
        <v>0</v>
      </c>
      <c r="DE2680">
        <v>630</v>
      </c>
      <c r="DF2680">
        <v>600593</v>
      </c>
      <c r="DG2680" t="s">
        <v>116</v>
      </c>
      <c r="DH2680" t="s">
        <v>116</v>
      </c>
      <c r="DI2680" t="s">
        <v>116</v>
      </c>
    </row>
    <row r="2681" spans="1:113" x14ac:dyDescent="0.4">
      <c r="A2681" t="str">
        <f>"600594"</f>
        <v>600594</v>
      </c>
      <c r="B2681" t="s">
        <v>12116</v>
      </c>
      <c r="C2681">
        <v>-0.62</v>
      </c>
      <c r="D2681">
        <v>4.8099999999999996</v>
      </c>
      <c r="E2681">
        <v>-0.03</v>
      </c>
      <c r="F2681">
        <v>4.8</v>
      </c>
      <c r="G2681">
        <v>4.8099999999999996</v>
      </c>
      <c r="H2681">
        <v>53235</v>
      </c>
      <c r="I2681">
        <v>85</v>
      </c>
      <c r="J2681">
        <v>0.21</v>
      </c>
      <c r="K2681">
        <v>0.67</v>
      </c>
      <c r="L2681">
        <v>4.8499999999999996</v>
      </c>
      <c r="M2681">
        <v>4.88</v>
      </c>
      <c r="N2681">
        <v>4.79</v>
      </c>
      <c r="O2681">
        <v>4.84</v>
      </c>
      <c r="P2681">
        <v>18.239999999999998</v>
      </c>
      <c r="Q2681">
        <v>25772544</v>
      </c>
      <c r="R2681">
        <v>1.0900000000000001</v>
      </c>
      <c r="S2681" t="s">
        <v>781</v>
      </c>
      <c r="T2681" t="s">
        <v>1056</v>
      </c>
      <c r="U2681">
        <v>1.86</v>
      </c>
      <c r="V2681">
        <v>4.84</v>
      </c>
      <c r="W2681">
        <v>35303</v>
      </c>
      <c r="X2681">
        <v>17932</v>
      </c>
      <c r="Y2681">
        <v>1.97</v>
      </c>
      <c r="Z2681">
        <v>287</v>
      </c>
      <c r="AA2681">
        <v>589</v>
      </c>
      <c r="AB2681" t="s">
        <v>116</v>
      </c>
      <c r="AC2681">
        <v>27200</v>
      </c>
      <c r="AD2681">
        <v>0</v>
      </c>
      <c r="AE2681" t="s">
        <v>116</v>
      </c>
      <c r="AF2681" t="s">
        <v>116</v>
      </c>
      <c r="AG2681">
        <v>7.92</v>
      </c>
      <c r="AH2681" t="s">
        <v>12117</v>
      </c>
      <c r="AI2681" t="s">
        <v>12117</v>
      </c>
      <c r="AJ2681">
        <v>-0.54</v>
      </c>
      <c r="AK2681">
        <v>937</v>
      </c>
      <c r="AL2681">
        <v>57</v>
      </c>
      <c r="AM2681">
        <v>6.9999999999999999E-4</v>
      </c>
      <c r="AN2681">
        <v>-1</v>
      </c>
      <c r="AO2681">
        <v>-0.01</v>
      </c>
      <c r="AP2681">
        <v>2.34</v>
      </c>
      <c r="AQ2681">
        <v>-0.21</v>
      </c>
      <c r="AR2681">
        <v>-12.86</v>
      </c>
      <c r="AS2681">
        <v>0.88</v>
      </c>
      <c r="AT2681" t="s">
        <v>9241</v>
      </c>
      <c r="AU2681" t="s">
        <v>116</v>
      </c>
      <c r="AV2681" t="s">
        <v>116</v>
      </c>
      <c r="AW2681">
        <v>1.37</v>
      </c>
      <c r="BA2681">
        <v>0.21</v>
      </c>
      <c r="BB2681">
        <v>0.83</v>
      </c>
      <c r="BC2681">
        <v>-1.03</v>
      </c>
      <c r="BD2681">
        <v>0.03</v>
      </c>
      <c r="BE2681">
        <v>-0.82</v>
      </c>
      <c r="BF2681">
        <v>-1.43</v>
      </c>
      <c r="BG2681">
        <v>0.42</v>
      </c>
      <c r="BH2681">
        <v>-0.65</v>
      </c>
      <c r="BI2681">
        <v>20191031</v>
      </c>
      <c r="BJ2681">
        <v>20040323</v>
      </c>
      <c r="BK2681">
        <v>7.92</v>
      </c>
      <c r="BL2681" t="s">
        <v>116</v>
      </c>
      <c r="BM2681" t="s">
        <v>116</v>
      </c>
      <c r="BN2681">
        <v>53.93</v>
      </c>
      <c r="BO2681">
        <v>36.630000000000003</v>
      </c>
      <c r="BP2681">
        <v>1.21</v>
      </c>
      <c r="BQ2681">
        <v>29.83</v>
      </c>
      <c r="BR2681">
        <v>23.57</v>
      </c>
      <c r="BS2681">
        <v>12.71</v>
      </c>
      <c r="BT2681">
        <v>3.11</v>
      </c>
      <c r="BU2681">
        <v>8.3800000000000008</v>
      </c>
      <c r="BV2681">
        <v>3.89</v>
      </c>
      <c r="BW2681">
        <v>3.48</v>
      </c>
      <c r="BX2681">
        <v>7.57</v>
      </c>
      <c r="BY2681">
        <v>25.09</v>
      </c>
      <c r="BZ2681">
        <v>5.8</v>
      </c>
      <c r="CA2681">
        <v>2.12</v>
      </c>
      <c r="CB2681">
        <v>0.73</v>
      </c>
      <c r="CC2681">
        <v>2.06</v>
      </c>
      <c r="CD2681">
        <v>1.46</v>
      </c>
      <c r="CE2681">
        <v>1.57</v>
      </c>
      <c r="CF2681">
        <v>1.19</v>
      </c>
      <c r="CG2681">
        <v>18.3</v>
      </c>
      <c r="CH2681">
        <v>2.65</v>
      </c>
      <c r="CI2681">
        <v>1.46</v>
      </c>
      <c r="CJ2681">
        <v>58592</v>
      </c>
      <c r="CK2681">
        <v>10351</v>
      </c>
      <c r="CL2681" t="s">
        <v>2763</v>
      </c>
      <c r="CM2681">
        <v>-20.23</v>
      </c>
      <c r="CN2681">
        <v>-13.84</v>
      </c>
      <c r="CO2681">
        <v>1.04</v>
      </c>
      <c r="CP2681">
        <v>14.4</v>
      </c>
      <c r="CQ2681">
        <v>1.52</v>
      </c>
      <c r="CR2681">
        <v>0</v>
      </c>
      <c r="CS2681" t="s">
        <v>729</v>
      </c>
      <c r="CT2681">
        <v>4.63</v>
      </c>
      <c r="CU2681">
        <v>0</v>
      </c>
      <c r="CV2681">
        <v>0.96</v>
      </c>
      <c r="CW2681">
        <v>2.31</v>
      </c>
      <c r="CX2681">
        <v>0.33</v>
      </c>
      <c r="CY2681">
        <v>67.92</v>
      </c>
      <c r="CZ2681" t="s">
        <v>7184</v>
      </c>
      <c r="DA2681">
        <v>76.86</v>
      </c>
      <c r="DB2681">
        <v>8.4700000000000006</v>
      </c>
      <c r="DC2681">
        <v>6.24</v>
      </c>
      <c r="DD2681">
        <v>1.1299999999999999</v>
      </c>
      <c r="DE2681">
        <v>8977</v>
      </c>
      <c r="DF2681">
        <v>600594</v>
      </c>
      <c r="DG2681" t="s">
        <v>116</v>
      </c>
      <c r="DH2681" t="s">
        <v>116</v>
      </c>
      <c r="DI2681" t="s">
        <v>116</v>
      </c>
    </row>
    <row r="2682" spans="1:113" x14ac:dyDescent="0.4">
      <c r="A2682" t="str">
        <f>"600595"</f>
        <v>600595</v>
      </c>
      <c r="B2682" t="s">
        <v>12118</v>
      </c>
      <c r="C2682">
        <v>1.9</v>
      </c>
      <c r="D2682">
        <v>2.14</v>
      </c>
      <c r="E2682">
        <v>0.04</v>
      </c>
      <c r="F2682">
        <v>2.13</v>
      </c>
      <c r="G2682">
        <v>2.14</v>
      </c>
      <c r="H2682">
        <v>75207</v>
      </c>
      <c r="I2682">
        <v>2011</v>
      </c>
      <c r="J2682">
        <v>0</v>
      </c>
      <c r="K2682">
        <v>0.43</v>
      </c>
      <c r="L2682">
        <v>2.1</v>
      </c>
      <c r="M2682">
        <v>2.15</v>
      </c>
      <c r="N2682">
        <v>2.0699999999999998</v>
      </c>
      <c r="O2682">
        <v>2.1</v>
      </c>
      <c r="P2682" t="s">
        <v>116</v>
      </c>
      <c r="Q2682">
        <v>15937560</v>
      </c>
      <c r="R2682">
        <v>1.29</v>
      </c>
      <c r="S2682" t="s">
        <v>1428</v>
      </c>
      <c r="T2682" t="s">
        <v>652</v>
      </c>
      <c r="U2682">
        <v>3.81</v>
      </c>
      <c r="V2682">
        <v>2.12</v>
      </c>
      <c r="W2682">
        <v>26516</v>
      </c>
      <c r="X2682">
        <v>48691</v>
      </c>
      <c r="Y2682">
        <v>0.54</v>
      </c>
      <c r="Z2682">
        <v>3696</v>
      </c>
      <c r="AA2682">
        <v>2727</v>
      </c>
      <c r="AB2682" t="s">
        <v>116</v>
      </c>
      <c r="AC2682">
        <v>10500</v>
      </c>
      <c r="AD2682">
        <v>0</v>
      </c>
      <c r="AE2682" t="s">
        <v>116</v>
      </c>
      <c r="AF2682" t="s">
        <v>116</v>
      </c>
      <c r="AG2682">
        <v>17.420000000000002</v>
      </c>
      <c r="AH2682" t="s">
        <v>12119</v>
      </c>
      <c r="AI2682" t="s">
        <v>12120</v>
      </c>
      <c r="AJ2682">
        <v>1.98</v>
      </c>
      <c r="AK2682">
        <v>557</v>
      </c>
      <c r="AL2682">
        <v>135</v>
      </c>
      <c r="AM2682">
        <v>8.0000000000000004E-4</v>
      </c>
      <c r="AN2682">
        <v>2</v>
      </c>
      <c r="AO2682">
        <v>1.41</v>
      </c>
      <c r="AP2682">
        <v>8.6300000000000008</v>
      </c>
      <c r="AQ2682">
        <v>50.7</v>
      </c>
      <c r="AR2682">
        <v>10.31</v>
      </c>
      <c r="AS2682">
        <v>0.92</v>
      </c>
      <c r="AT2682" t="s">
        <v>12121</v>
      </c>
      <c r="AU2682" t="s">
        <v>116</v>
      </c>
      <c r="AV2682" t="s">
        <v>116</v>
      </c>
      <c r="AW2682">
        <v>0.69</v>
      </c>
      <c r="BA2682">
        <v>0</v>
      </c>
      <c r="BB2682">
        <v>2.38</v>
      </c>
      <c r="BC2682">
        <v>-1.43</v>
      </c>
      <c r="BD2682">
        <v>0.91</v>
      </c>
      <c r="BE2682">
        <v>1.9</v>
      </c>
      <c r="BF2682">
        <v>-0.47</v>
      </c>
      <c r="BG2682">
        <v>3.38</v>
      </c>
      <c r="BH2682">
        <v>0.99</v>
      </c>
      <c r="BI2682">
        <v>20191031</v>
      </c>
      <c r="BJ2682">
        <v>20020626</v>
      </c>
      <c r="BK2682">
        <v>19.61</v>
      </c>
      <c r="BL2682" t="s">
        <v>116</v>
      </c>
      <c r="BM2682" t="s">
        <v>116</v>
      </c>
      <c r="BN2682">
        <v>217.56</v>
      </c>
      <c r="BO2682">
        <v>30.98</v>
      </c>
      <c r="BP2682">
        <v>-10.99</v>
      </c>
      <c r="BQ2682">
        <v>90.81</v>
      </c>
      <c r="BR2682">
        <v>39.130000000000003</v>
      </c>
      <c r="BS2682">
        <v>130.72999999999999</v>
      </c>
      <c r="BT2682">
        <v>23.34</v>
      </c>
      <c r="BU2682">
        <v>162.62</v>
      </c>
      <c r="BV2682">
        <v>9.4499999999999993</v>
      </c>
      <c r="BW2682">
        <v>4.03</v>
      </c>
      <c r="BX2682">
        <v>38.090000000000003</v>
      </c>
      <c r="BY2682">
        <v>51.25</v>
      </c>
      <c r="BZ2682">
        <v>44.52</v>
      </c>
      <c r="CA2682">
        <v>-3.69</v>
      </c>
      <c r="CB2682">
        <v>-0.12</v>
      </c>
      <c r="CC2682">
        <v>-3.64</v>
      </c>
      <c r="CD2682">
        <v>-4.3600000000000003</v>
      </c>
      <c r="CE2682">
        <v>-2.0299999999999998</v>
      </c>
      <c r="CF2682">
        <v>-2.58</v>
      </c>
      <c r="CG2682">
        <v>-29.26</v>
      </c>
      <c r="CH2682">
        <v>7.03</v>
      </c>
      <c r="CI2682">
        <v>0.32</v>
      </c>
      <c r="CJ2682">
        <v>102010</v>
      </c>
      <c r="CK2682">
        <v>7976</v>
      </c>
      <c r="CL2682" t="s">
        <v>12122</v>
      </c>
      <c r="CM2682">
        <v>51.35</v>
      </c>
      <c r="CN2682">
        <v>-54.57</v>
      </c>
      <c r="CO2682">
        <v>1.35</v>
      </c>
      <c r="CP2682">
        <v>5.97</v>
      </c>
      <c r="CQ2682">
        <v>0.82</v>
      </c>
      <c r="CR2682">
        <v>0</v>
      </c>
      <c r="CS2682" t="s">
        <v>1794</v>
      </c>
      <c r="CT2682">
        <v>1.58</v>
      </c>
      <c r="CU2682">
        <v>0</v>
      </c>
      <c r="CV2682">
        <v>1.94</v>
      </c>
      <c r="CW2682">
        <v>-1.49</v>
      </c>
      <c r="CX2682">
        <v>0.36</v>
      </c>
      <c r="CY2682">
        <v>14.24</v>
      </c>
      <c r="CZ2682" t="s">
        <v>12123</v>
      </c>
      <c r="DA2682">
        <v>13.13</v>
      </c>
      <c r="DB2682">
        <v>-7.21</v>
      </c>
      <c r="DC2682">
        <v>-3.96</v>
      </c>
      <c r="DD2682">
        <v>1.83</v>
      </c>
      <c r="DE2682">
        <v>8491</v>
      </c>
      <c r="DF2682">
        <v>600595</v>
      </c>
      <c r="DG2682" t="s">
        <v>116</v>
      </c>
      <c r="DH2682" t="s">
        <v>116</v>
      </c>
      <c r="DI2682" t="s">
        <v>116</v>
      </c>
    </row>
    <row r="2683" spans="1:113" x14ac:dyDescent="0.4">
      <c r="A2683" t="str">
        <f>"600596"</f>
        <v>600596</v>
      </c>
      <c r="B2683" t="s">
        <v>12124</v>
      </c>
      <c r="C2683">
        <v>-1.05</v>
      </c>
      <c r="D2683">
        <v>9.42</v>
      </c>
      <c r="E2683">
        <v>-0.1</v>
      </c>
      <c r="F2683">
        <v>9.41</v>
      </c>
      <c r="G2683">
        <v>9.42</v>
      </c>
      <c r="H2683">
        <v>105967</v>
      </c>
      <c r="I2683">
        <v>1047</v>
      </c>
      <c r="J2683">
        <v>-0.1</v>
      </c>
      <c r="K2683">
        <v>1.53</v>
      </c>
      <c r="L2683">
        <v>9.52</v>
      </c>
      <c r="M2683">
        <v>9.5500000000000007</v>
      </c>
      <c r="N2683">
        <v>9.4</v>
      </c>
      <c r="O2683">
        <v>9.52</v>
      </c>
      <c r="P2683">
        <v>12.22</v>
      </c>
      <c r="Q2683">
        <v>100404392</v>
      </c>
      <c r="R2683">
        <v>1.35</v>
      </c>
      <c r="S2683" t="s">
        <v>891</v>
      </c>
      <c r="T2683" t="s">
        <v>590</v>
      </c>
      <c r="U2683">
        <v>1.58</v>
      </c>
      <c r="V2683">
        <v>9.48</v>
      </c>
      <c r="W2683">
        <v>58384</v>
      </c>
      <c r="X2683">
        <v>47583</v>
      </c>
      <c r="Y2683">
        <v>1.23</v>
      </c>
      <c r="Z2683">
        <v>754</v>
      </c>
      <c r="AA2683">
        <v>712</v>
      </c>
      <c r="AB2683" t="s">
        <v>116</v>
      </c>
      <c r="AC2683">
        <v>357000</v>
      </c>
      <c r="AD2683">
        <v>0.01</v>
      </c>
      <c r="AE2683" t="s">
        <v>116</v>
      </c>
      <c r="AF2683" t="s">
        <v>116</v>
      </c>
      <c r="AG2683">
        <v>6.95</v>
      </c>
      <c r="AH2683" t="s">
        <v>12125</v>
      </c>
      <c r="AI2683" t="s">
        <v>12126</v>
      </c>
      <c r="AJ2683">
        <v>-0.97</v>
      </c>
      <c r="AK2683">
        <v>1926</v>
      </c>
      <c r="AL2683">
        <v>55</v>
      </c>
      <c r="AM2683">
        <v>8.0000000000000004E-4</v>
      </c>
      <c r="AN2683">
        <v>-1</v>
      </c>
      <c r="AO2683">
        <v>1.84</v>
      </c>
      <c r="AP2683">
        <v>4.78</v>
      </c>
      <c r="AQ2683">
        <v>-4.37</v>
      </c>
      <c r="AR2683">
        <v>-7.28</v>
      </c>
      <c r="AS2683">
        <v>1.95</v>
      </c>
      <c r="AT2683" t="s">
        <v>12127</v>
      </c>
      <c r="AU2683">
        <v>13.98</v>
      </c>
      <c r="AV2683">
        <v>5.39</v>
      </c>
      <c r="AW2683">
        <v>0.99</v>
      </c>
      <c r="BA2683">
        <v>0</v>
      </c>
      <c r="BB2683">
        <v>0.32</v>
      </c>
      <c r="BC2683">
        <v>-1.26</v>
      </c>
      <c r="BD2683">
        <v>-0.47</v>
      </c>
      <c r="BE2683">
        <v>-1.05</v>
      </c>
      <c r="BF2683">
        <v>-1.36</v>
      </c>
      <c r="BG2683">
        <v>0.21</v>
      </c>
      <c r="BH2683">
        <v>-0.57999999999999996</v>
      </c>
      <c r="BI2683">
        <v>20191029</v>
      </c>
      <c r="BJ2683">
        <v>20010906</v>
      </c>
      <c r="BK2683">
        <v>7.05</v>
      </c>
      <c r="BL2683" t="s">
        <v>116</v>
      </c>
      <c r="BM2683" t="s">
        <v>116</v>
      </c>
      <c r="BN2683">
        <v>110.14</v>
      </c>
      <c r="BO2683">
        <v>57.27</v>
      </c>
      <c r="BP2683">
        <v>6.98</v>
      </c>
      <c r="BQ2683">
        <v>41.66</v>
      </c>
      <c r="BR2683">
        <v>51.42</v>
      </c>
      <c r="BS2683">
        <v>36.69</v>
      </c>
      <c r="BT2683">
        <v>5.63</v>
      </c>
      <c r="BU2683">
        <v>39.700000000000003</v>
      </c>
      <c r="BV2683">
        <v>12.56</v>
      </c>
      <c r="BW2683">
        <v>11.08</v>
      </c>
      <c r="BX2683">
        <v>8.76</v>
      </c>
      <c r="BY2683">
        <v>86.43</v>
      </c>
      <c r="BZ2683">
        <v>72.03</v>
      </c>
      <c r="CA2683">
        <v>5.76</v>
      </c>
      <c r="CB2683">
        <v>0.15</v>
      </c>
      <c r="CC2683">
        <v>5.72</v>
      </c>
      <c r="CD2683">
        <v>4.72</v>
      </c>
      <c r="CE2683">
        <v>4.08</v>
      </c>
      <c r="CF2683">
        <v>3.75</v>
      </c>
      <c r="CG2683">
        <v>36.14</v>
      </c>
      <c r="CH2683">
        <v>4.4400000000000004</v>
      </c>
      <c r="CI2683">
        <v>0.93</v>
      </c>
      <c r="CJ2683">
        <v>69234</v>
      </c>
      <c r="CK2683">
        <v>7862</v>
      </c>
      <c r="CL2683" t="s">
        <v>828</v>
      </c>
      <c r="CM2683">
        <v>-65.03</v>
      </c>
      <c r="CN2683">
        <v>-0.96</v>
      </c>
      <c r="CO2683">
        <v>1.1599999999999999</v>
      </c>
      <c r="CP2683">
        <v>14.96</v>
      </c>
      <c r="CQ2683">
        <v>0.77</v>
      </c>
      <c r="CR2683">
        <v>5.63</v>
      </c>
      <c r="CS2683" t="s">
        <v>3264</v>
      </c>
      <c r="CT2683">
        <v>8.1199999999999992</v>
      </c>
      <c r="CU2683">
        <v>0</v>
      </c>
      <c r="CV2683">
        <v>1.24</v>
      </c>
      <c r="CW2683">
        <v>5.12</v>
      </c>
      <c r="CX2683">
        <v>0.63</v>
      </c>
      <c r="CY2683">
        <v>52</v>
      </c>
      <c r="CZ2683" t="s">
        <v>12128</v>
      </c>
      <c r="DA2683">
        <v>16.66</v>
      </c>
      <c r="DB2683">
        <v>6.66</v>
      </c>
      <c r="DC2683">
        <v>4.72</v>
      </c>
      <c r="DD2683">
        <v>2.09</v>
      </c>
      <c r="DE2683">
        <v>5772</v>
      </c>
      <c r="DF2683">
        <v>600596</v>
      </c>
      <c r="DG2683" t="s">
        <v>116</v>
      </c>
      <c r="DH2683" t="s">
        <v>116</v>
      </c>
      <c r="DI2683" t="s">
        <v>116</v>
      </c>
    </row>
    <row r="2684" spans="1:113" x14ac:dyDescent="0.4">
      <c r="A2684" t="str">
        <f>"600597"</f>
        <v>600597</v>
      </c>
      <c r="B2684" t="s">
        <v>12129</v>
      </c>
      <c r="C2684">
        <v>-1.41</v>
      </c>
      <c r="D2684">
        <v>11.91</v>
      </c>
      <c r="E2684">
        <v>-0.17</v>
      </c>
      <c r="F2684">
        <v>11.91</v>
      </c>
      <c r="G2684">
        <v>11.92</v>
      </c>
      <c r="H2684">
        <v>80322</v>
      </c>
      <c r="I2684">
        <v>1461</v>
      </c>
      <c r="J2684">
        <v>-7.0000000000000007E-2</v>
      </c>
      <c r="K2684">
        <v>0.66</v>
      </c>
      <c r="L2684">
        <v>12.1</v>
      </c>
      <c r="M2684">
        <v>12.21</v>
      </c>
      <c r="N2684">
        <v>11.86</v>
      </c>
      <c r="O2684">
        <v>12.08</v>
      </c>
      <c r="P2684">
        <v>24.64</v>
      </c>
      <c r="Q2684">
        <v>96677232</v>
      </c>
      <c r="R2684">
        <v>0.8</v>
      </c>
      <c r="S2684" t="s">
        <v>4803</v>
      </c>
      <c r="T2684" t="s">
        <v>1653</v>
      </c>
      <c r="U2684">
        <v>2.9</v>
      </c>
      <c r="V2684">
        <v>12.04</v>
      </c>
      <c r="W2684">
        <v>51470</v>
      </c>
      <c r="X2684">
        <v>28852</v>
      </c>
      <c r="Y2684">
        <v>1.78</v>
      </c>
      <c r="Z2684">
        <v>943</v>
      </c>
      <c r="AA2684">
        <v>333</v>
      </c>
      <c r="AB2684" t="s">
        <v>116</v>
      </c>
      <c r="AC2684">
        <v>100400</v>
      </c>
      <c r="AD2684">
        <v>0</v>
      </c>
      <c r="AE2684" t="s">
        <v>116</v>
      </c>
      <c r="AF2684" t="s">
        <v>116</v>
      </c>
      <c r="AG2684">
        <v>12.24</v>
      </c>
      <c r="AH2684" t="s">
        <v>12130</v>
      </c>
      <c r="AI2684" t="s">
        <v>12131</v>
      </c>
      <c r="AJ2684">
        <v>-1.33</v>
      </c>
      <c r="AK2684">
        <v>2365</v>
      </c>
      <c r="AL2684">
        <v>34</v>
      </c>
      <c r="AM2684">
        <v>2.9999999999999997E-4</v>
      </c>
      <c r="AN2684">
        <v>-2</v>
      </c>
      <c r="AO2684">
        <v>-0.08</v>
      </c>
      <c r="AP2684">
        <v>6.82</v>
      </c>
      <c r="AQ2684">
        <v>12.04</v>
      </c>
      <c r="AR2684">
        <v>44.19</v>
      </c>
      <c r="AS2684">
        <v>1.36</v>
      </c>
      <c r="AT2684" t="s">
        <v>12132</v>
      </c>
      <c r="AU2684">
        <v>37.71</v>
      </c>
      <c r="AV2684">
        <v>42.67</v>
      </c>
      <c r="AW2684">
        <v>0.37</v>
      </c>
      <c r="BA2684">
        <v>0.17</v>
      </c>
      <c r="BB2684">
        <v>1.08</v>
      </c>
      <c r="BC2684">
        <v>-1.82</v>
      </c>
      <c r="BD2684">
        <v>-0.36</v>
      </c>
      <c r="BE2684">
        <v>-1.57</v>
      </c>
      <c r="BF2684">
        <v>-2.46</v>
      </c>
      <c r="BG2684">
        <v>0.42</v>
      </c>
      <c r="BH2684">
        <v>-1.04</v>
      </c>
      <c r="BI2684">
        <v>20191029</v>
      </c>
      <c r="BJ2684">
        <v>20020828</v>
      </c>
      <c r="BK2684">
        <v>12.24</v>
      </c>
      <c r="BL2684" t="s">
        <v>116</v>
      </c>
      <c r="BM2684" t="s">
        <v>116</v>
      </c>
      <c r="BN2684">
        <v>184.69</v>
      </c>
      <c r="BO2684">
        <v>54.86</v>
      </c>
      <c r="BP2684">
        <v>14.69</v>
      </c>
      <c r="BQ2684">
        <v>62.34</v>
      </c>
      <c r="BR2684">
        <v>81.849999999999994</v>
      </c>
      <c r="BS2684">
        <v>63.64</v>
      </c>
      <c r="BT2684">
        <v>3.79</v>
      </c>
      <c r="BU2684">
        <v>97.11</v>
      </c>
      <c r="BV2684">
        <v>16.760000000000002</v>
      </c>
      <c r="BW2684">
        <v>15.27</v>
      </c>
      <c r="BX2684">
        <v>16.899999999999999</v>
      </c>
      <c r="BY2684">
        <v>171.37</v>
      </c>
      <c r="BZ2684">
        <v>116.19</v>
      </c>
      <c r="CA2684">
        <v>9.17</v>
      </c>
      <c r="CB2684">
        <v>0.01</v>
      </c>
      <c r="CC2684">
        <v>8.27</v>
      </c>
      <c r="CD2684">
        <v>6.14</v>
      </c>
      <c r="CE2684">
        <v>4.4400000000000004</v>
      </c>
      <c r="CF2684">
        <v>4.74</v>
      </c>
      <c r="CG2684">
        <v>23.24</v>
      </c>
      <c r="CH2684">
        <v>18.54</v>
      </c>
      <c r="CI2684">
        <v>2.29</v>
      </c>
      <c r="CJ2684">
        <v>46196</v>
      </c>
      <c r="CK2684">
        <v>12819</v>
      </c>
      <c r="CL2684" t="s">
        <v>9062</v>
      </c>
      <c r="CM2684">
        <v>11.27</v>
      </c>
      <c r="CN2684">
        <v>8.25</v>
      </c>
      <c r="CO2684">
        <v>2.66</v>
      </c>
      <c r="CP2684">
        <v>7.86</v>
      </c>
      <c r="CQ2684">
        <v>0.85</v>
      </c>
      <c r="CR2684">
        <v>0.84</v>
      </c>
      <c r="CS2684" t="s">
        <v>2505</v>
      </c>
      <c r="CT2684">
        <v>4.4800000000000004</v>
      </c>
      <c r="CU2684">
        <v>0</v>
      </c>
      <c r="CV2684">
        <v>1.38</v>
      </c>
      <c r="CW2684">
        <v>1.9</v>
      </c>
      <c r="CX2684">
        <v>1.51</v>
      </c>
      <c r="CY2684">
        <v>29.7</v>
      </c>
      <c r="CZ2684" t="s">
        <v>12133</v>
      </c>
      <c r="DA2684">
        <v>32.200000000000003</v>
      </c>
      <c r="DB2684">
        <v>5.35</v>
      </c>
      <c r="DC2684">
        <v>2.59</v>
      </c>
      <c r="DD2684">
        <v>0.47</v>
      </c>
      <c r="DE2684">
        <v>12765</v>
      </c>
      <c r="DF2684">
        <v>600597</v>
      </c>
      <c r="DG2684" t="s">
        <v>116</v>
      </c>
      <c r="DH2684" t="s">
        <v>116</v>
      </c>
      <c r="DI2684" t="s">
        <v>116</v>
      </c>
    </row>
    <row r="2685" spans="1:113" x14ac:dyDescent="0.4">
      <c r="A2685" t="str">
        <f>"600598"</f>
        <v>600598</v>
      </c>
      <c r="B2685" t="s">
        <v>12134</v>
      </c>
      <c r="C2685">
        <v>-0.1</v>
      </c>
      <c r="D2685">
        <v>9.57</v>
      </c>
      <c r="E2685">
        <v>-0.01</v>
      </c>
      <c r="F2685">
        <v>9.57</v>
      </c>
      <c r="G2685">
        <v>9.58</v>
      </c>
      <c r="H2685">
        <v>101634</v>
      </c>
      <c r="I2685">
        <v>714</v>
      </c>
      <c r="J2685">
        <v>-0.09</v>
      </c>
      <c r="K2685">
        <v>0.56999999999999995</v>
      </c>
      <c r="L2685">
        <v>9.5500000000000007</v>
      </c>
      <c r="M2685">
        <v>9.64</v>
      </c>
      <c r="N2685">
        <v>9.5500000000000007</v>
      </c>
      <c r="O2685">
        <v>9.58</v>
      </c>
      <c r="P2685">
        <v>13.12</v>
      </c>
      <c r="Q2685">
        <v>97557680</v>
      </c>
      <c r="R2685">
        <v>0.91</v>
      </c>
      <c r="S2685" t="s">
        <v>1871</v>
      </c>
      <c r="T2685" t="s">
        <v>1287</v>
      </c>
      <c r="U2685">
        <v>0.94</v>
      </c>
      <c r="V2685">
        <v>9.6</v>
      </c>
      <c r="W2685">
        <v>62179</v>
      </c>
      <c r="X2685">
        <v>39455</v>
      </c>
      <c r="Y2685">
        <v>1.58</v>
      </c>
      <c r="Z2685">
        <v>985</v>
      </c>
      <c r="AA2685">
        <v>547</v>
      </c>
      <c r="AB2685" t="s">
        <v>116</v>
      </c>
      <c r="AC2685">
        <v>321800</v>
      </c>
      <c r="AD2685">
        <v>0.01</v>
      </c>
      <c r="AE2685" t="s">
        <v>116</v>
      </c>
      <c r="AF2685" t="s">
        <v>116</v>
      </c>
      <c r="AG2685">
        <v>17.78</v>
      </c>
      <c r="AH2685" t="s">
        <v>12135</v>
      </c>
      <c r="AI2685" t="s">
        <v>12135</v>
      </c>
      <c r="AJ2685">
        <v>-0.03</v>
      </c>
      <c r="AK2685">
        <v>2183</v>
      </c>
      <c r="AL2685">
        <v>47</v>
      </c>
      <c r="AM2685">
        <v>2.9999999999999997E-4</v>
      </c>
      <c r="AN2685">
        <v>-1</v>
      </c>
      <c r="AO2685">
        <v>-0.62</v>
      </c>
      <c r="AP2685">
        <v>3.13</v>
      </c>
      <c r="AQ2685">
        <v>-1.75</v>
      </c>
      <c r="AR2685">
        <v>17.28</v>
      </c>
      <c r="AS2685">
        <v>1.59</v>
      </c>
      <c r="AT2685" t="s">
        <v>5504</v>
      </c>
      <c r="AU2685">
        <v>17.440000000000001</v>
      </c>
      <c r="AV2685">
        <v>17.420000000000002</v>
      </c>
      <c r="AW2685">
        <v>0.83</v>
      </c>
      <c r="BA2685">
        <v>-0.31</v>
      </c>
      <c r="BB2685">
        <v>0.63</v>
      </c>
      <c r="BC2685">
        <v>-0.31</v>
      </c>
      <c r="BD2685">
        <v>0.2</v>
      </c>
      <c r="BE2685">
        <v>0.21</v>
      </c>
      <c r="BF2685">
        <v>-0.73</v>
      </c>
      <c r="BG2685">
        <v>0.21</v>
      </c>
      <c r="BH2685">
        <v>-0.3</v>
      </c>
      <c r="BI2685">
        <v>20191029</v>
      </c>
      <c r="BJ2685">
        <v>20020329</v>
      </c>
      <c r="BK2685">
        <v>17.78</v>
      </c>
      <c r="BL2685" t="s">
        <v>116</v>
      </c>
      <c r="BM2685" t="s">
        <v>116</v>
      </c>
      <c r="BN2685">
        <v>85.29</v>
      </c>
      <c r="BO2685">
        <v>67.72</v>
      </c>
      <c r="BP2685">
        <v>-2.12</v>
      </c>
      <c r="BQ2685">
        <v>23.08</v>
      </c>
      <c r="BR2685">
        <v>36.979999999999997</v>
      </c>
      <c r="BS2685">
        <v>30.58</v>
      </c>
      <c r="BT2685">
        <v>4.17</v>
      </c>
      <c r="BU2685">
        <v>18.57</v>
      </c>
      <c r="BV2685">
        <v>1.89</v>
      </c>
      <c r="BW2685">
        <v>0.68</v>
      </c>
      <c r="BX2685">
        <v>24.2</v>
      </c>
      <c r="BY2685">
        <v>24.3</v>
      </c>
      <c r="BZ2685">
        <v>4.24</v>
      </c>
      <c r="CA2685">
        <v>10.02</v>
      </c>
      <c r="CB2685">
        <v>0.45</v>
      </c>
      <c r="CC2685">
        <v>9.58</v>
      </c>
      <c r="CD2685">
        <v>9.64</v>
      </c>
      <c r="CE2685">
        <v>9.73</v>
      </c>
      <c r="CF2685">
        <v>10.15</v>
      </c>
      <c r="CG2685">
        <v>10.56</v>
      </c>
      <c r="CH2685">
        <v>13.47</v>
      </c>
      <c r="CI2685">
        <v>-1.08</v>
      </c>
      <c r="CJ2685">
        <v>96774</v>
      </c>
      <c r="CK2685">
        <v>6587</v>
      </c>
      <c r="CL2685" t="s">
        <v>7056</v>
      </c>
      <c r="CM2685">
        <v>-0.13</v>
      </c>
      <c r="CN2685">
        <v>-5.28</v>
      </c>
      <c r="CO2685">
        <v>2.5099999999999998</v>
      </c>
      <c r="CP2685">
        <v>12.63</v>
      </c>
      <c r="CQ2685">
        <v>7</v>
      </c>
      <c r="CR2685">
        <v>4.18</v>
      </c>
      <c r="CS2685" t="s">
        <v>9166</v>
      </c>
      <c r="CT2685">
        <v>3.81</v>
      </c>
      <c r="CU2685">
        <v>0</v>
      </c>
      <c r="CV2685">
        <v>1.36</v>
      </c>
      <c r="CW2685">
        <v>0.59</v>
      </c>
      <c r="CX2685">
        <v>0.76</v>
      </c>
      <c r="CY2685">
        <v>79.400000000000006</v>
      </c>
      <c r="CZ2685" t="s">
        <v>12136</v>
      </c>
      <c r="DA2685">
        <v>82.54</v>
      </c>
      <c r="DB2685">
        <v>41.23</v>
      </c>
      <c r="DC2685">
        <v>40.03</v>
      </c>
      <c r="DD2685">
        <v>0.08</v>
      </c>
      <c r="DE2685">
        <v>35428</v>
      </c>
      <c r="DF2685">
        <v>600598</v>
      </c>
      <c r="DG2685" t="s">
        <v>116</v>
      </c>
      <c r="DH2685" t="s">
        <v>116</v>
      </c>
      <c r="DI2685" t="s">
        <v>116</v>
      </c>
    </row>
    <row r="2686" spans="1:113" x14ac:dyDescent="0.4">
      <c r="A2686" t="str">
        <f>"600599"</f>
        <v>600599</v>
      </c>
      <c r="B2686" t="s">
        <v>12137</v>
      </c>
      <c r="C2686">
        <v>-1.83</v>
      </c>
      <c r="D2686">
        <v>10.7</v>
      </c>
      <c r="E2686">
        <v>-0.2</v>
      </c>
      <c r="F2686">
        <v>10.7</v>
      </c>
      <c r="G2686">
        <v>10.71</v>
      </c>
      <c r="H2686">
        <v>95138</v>
      </c>
      <c r="I2686">
        <v>486</v>
      </c>
      <c r="J2686">
        <v>0</v>
      </c>
      <c r="K2686">
        <v>5.73</v>
      </c>
      <c r="L2686">
        <v>10.79</v>
      </c>
      <c r="M2686">
        <v>11.3</v>
      </c>
      <c r="N2686">
        <v>10.66</v>
      </c>
      <c r="O2686">
        <v>10.9</v>
      </c>
      <c r="P2686" t="s">
        <v>116</v>
      </c>
      <c r="Q2686">
        <v>104595672</v>
      </c>
      <c r="R2686">
        <v>1.05</v>
      </c>
      <c r="S2686" t="s">
        <v>732</v>
      </c>
      <c r="T2686" t="s">
        <v>599</v>
      </c>
      <c r="U2686">
        <v>5.87</v>
      </c>
      <c r="V2686">
        <v>10.99</v>
      </c>
      <c r="W2686">
        <v>50551</v>
      </c>
      <c r="X2686">
        <v>44587</v>
      </c>
      <c r="Y2686">
        <v>1.1299999999999999</v>
      </c>
      <c r="Z2686">
        <v>276</v>
      </c>
      <c r="AA2686">
        <v>125</v>
      </c>
      <c r="AB2686" t="s">
        <v>116</v>
      </c>
      <c r="AC2686">
        <v>183400</v>
      </c>
      <c r="AD2686">
        <v>0.02</v>
      </c>
      <c r="AE2686" t="s">
        <v>116</v>
      </c>
      <c r="AF2686" t="s">
        <v>116</v>
      </c>
      <c r="AG2686">
        <v>1.66</v>
      </c>
      <c r="AH2686" t="s">
        <v>9588</v>
      </c>
      <c r="AI2686" t="s">
        <v>9588</v>
      </c>
      <c r="AJ2686">
        <v>-1.76</v>
      </c>
      <c r="AK2686">
        <v>2593</v>
      </c>
      <c r="AL2686">
        <v>37</v>
      </c>
      <c r="AM2686">
        <v>2.2000000000000001E-3</v>
      </c>
      <c r="AN2686">
        <v>-4</v>
      </c>
      <c r="AO2686">
        <v>-4.03</v>
      </c>
      <c r="AP2686">
        <v>10.31</v>
      </c>
      <c r="AQ2686">
        <v>-16.34</v>
      </c>
      <c r="AR2686">
        <v>5.84</v>
      </c>
      <c r="AS2686">
        <v>10.34</v>
      </c>
      <c r="AT2686" t="s">
        <v>10134</v>
      </c>
      <c r="AU2686" t="s">
        <v>116</v>
      </c>
      <c r="AV2686" t="s">
        <v>116</v>
      </c>
      <c r="AW2686">
        <v>2.2000000000000002</v>
      </c>
      <c r="BA2686">
        <v>-1.01</v>
      </c>
      <c r="BB2686">
        <v>3.67</v>
      </c>
      <c r="BC2686">
        <v>-2.2000000000000002</v>
      </c>
      <c r="BD2686">
        <v>0.86</v>
      </c>
      <c r="BE2686">
        <v>-0.83</v>
      </c>
      <c r="BF2686">
        <v>-5.31</v>
      </c>
      <c r="BG2686">
        <v>0.38</v>
      </c>
      <c r="BH2686">
        <v>-2.7</v>
      </c>
      <c r="BI2686">
        <v>20191031</v>
      </c>
      <c r="BJ2686">
        <v>20010828</v>
      </c>
      <c r="BK2686">
        <v>1.66</v>
      </c>
      <c r="BL2686" t="s">
        <v>116</v>
      </c>
      <c r="BM2686" t="s">
        <v>116</v>
      </c>
      <c r="BN2686">
        <v>8.11</v>
      </c>
      <c r="BO2686">
        <v>6.53</v>
      </c>
      <c r="BP2686">
        <v>0</v>
      </c>
      <c r="BQ2686">
        <v>19.399999999999999</v>
      </c>
      <c r="BR2686">
        <v>7.76</v>
      </c>
      <c r="BS2686">
        <v>0.01</v>
      </c>
      <c r="BT2686">
        <v>0.09</v>
      </c>
      <c r="BU2686">
        <v>1.57</v>
      </c>
      <c r="BV2686">
        <v>0.08</v>
      </c>
      <c r="BW2686">
        <v>0.25</v>
      </c>
      <c r="BX2686">
        <v>5.16</v>
      </c>
      <c r="BY2686">
        <v>1.04</v>
      </c>
      <c r="BZ2686">
        <v>0.66</v>
      </c>
      <c r="CA2686">
        <v>-0.06</v>
      </c>
      <c r="CB2686">
        <v>0.19</v>
      </c>
      <c r="CC2686">
        <v>-7.0000000000000007E-2</v>
      </c>
      <c r="CD2686">
        <v>-0.19</v>
      </c>
      <c r="CE2686">
        <v>-0.19</v>
      </c>
      <c r="CF2686">
        <v>-0.41</v>
      </c>
      <c r="CG2686">
        <v>-0.46</v>
      </c>
      <c r="CH2686">
        <v>-1.43</v>
      </c>
      <c r="CI2686">
        <v>1.1200000000000001</v>
      </c>
      <c r="CJ2686">
        <v>28186</v>
      </c>
      <c r="CK2686">
        <v>3263</v>
      </c>
      <c r="CL2686" t="s">
        <v>3739</v>
      </c>
      <c r="CM2686">
        <v>29.42</v>
      </c>
      <c r="CN2686">
        <v>-52.67</v>
      </c>
      <c r="CO2686">
        <v>2.72</v>
      </c>
      <c r="CP2686">
        <v>-12.43</v>
      </c>
      <c r="CQ2686">
        <v>17.11</v>
      </c>
      <c r="CR2686">
        <v>0</v>
      </c>
      <c r="CS2686" t="s">
        <v>12138</v>
      </c>
      <c r="CT2686">
        <v>3.94</v>
      </c>
      <c r="CU2686">
        <v>0</v>
      </c>
      <c r="CV2686">
        <v>3.11</v>
      </c>
      <c r="CW2686">
        <v>-0.28000000000000003</v>
      </c>
      <c r="CX2686">
        <v>-0.86</v>
      </c>
      <c r="CY2686">
        <v>80.599999999999994</v>
      </c>
      <c r="CZ2686" t="s">
        <v>12139</v>
      </c>
      <c r="DA2686">
        <v>35.99</v>
      </c>
      <c r="DB2686">
        <v>-5.34</v>
      </c>
      <c r="DC2686">
        <v>-17.91</v>
      </c>
      <c r="DD2686">
        <v>0.01</v>
      </c>
      <c r="DE2686">
        <v>133</v>
      </c>
      <c r="DF2686">
        <v>600599</v>
      </c>
      <c r="DG2686" t="s">
        <v>116</v>
      </c>
      <c r="DH2686" t="s">
        <v>116</v>
      </c>
      <c r="DI2686" t="s">
        <v>116</v>
      </c>
    </row>
    <row r="2687" spans="1:113" x14ac:dyDescent="0.4">
      <c r="A2687" t="str">
        <f>"600600"</f>
        <v>600600</v>
      </c>
      <c r="B2687" t="s">
        <v>12140</v>
      </c>
      <c r="C2687">
        <v>0.16</v>
      </c>
      <c r="D2687">
        <v>50.45</v>
      </c>
      <c r="E2687">
        <v>0.08</v>
      </c>
      <c r="F2687">
        <v>50.44</v>
      </c>
      <c r="G2687">
        <v>50.45</v>
      </c>
      <c r="H2687">
        <v>46257</v>
      </c>
      <c r="I2687">
        <v>489</v>
      </c>
      <c r="J2687">
        <v>-7.0000000000000007E-2</v>
      </c>
      <c r="K2687">
        <v>0.66</v>
      </c>
      <c r="L2687">
        <v>50.26</v>
      </c>
      <c r="M2687">
        <v>51.19</v>
      </c>
      <c r="N2687">
        <v>50.26</v>
      </c>
      <c r="O2687">
        <v>50.37</v>
      </c>
      <c r="P2687">
        <v>19.77</v>
      </c>
      <c r="Q2687">
        <v>235205728</v>
      </c>
      <c r="R2687">
        <v>1.3</v>
      </c>
      <c r="S2687" t="s">
        <v>1962</v>
      </c>
      <c r="T2687" t="s">
        <v>645</v>
      </c>
      <c r="U2687">
        <v>1.85</v>
      </c>
      <c r="V2687">
        <v>50.85</v>
      </c>
      <c r="W2687">
        <v>20068</v>
      </c>
      <c r="X2687">
        <v>26189</v>
      </c>
      <c r="Y2687">
        <v>0.77</v>
      </c>
      <c r="Z2687">
        <v>29</v>
      </c>
      <c r="AA2687">
        <v>300</v>
      </c>
      <c r="AB2687" t="s">
        <v>116</v>
      </c>
      <c r="AC2687">
        <v>1316800</v>
      </c>
      <c r="AD2687">
        <v>0.01</v>
      </c>
      <c r="AE2687" t="s">
        <v>116</v>
      </c>
      <c r="AF2687" t="s">
        <v>116</v>
      </c>
      <c r="AG2687">
        <v>6.96</v>
      </c>
      <c r="AH2687" t="s">
        <v>12141</v>
      </c>
      <c r="AI2687" t="s">
        <v>12141</v>
      </c>
      <c r="AJ2687">
        <v>0.24</v>
      </c>
      <c r="AK2687">
        <v>2698</v>
      </c>
      <c r="AL2687">
        <v>17</v>
      </c>
      <c r="AM2687">
        <v>2.0000000000000001E-4</v>
      </c>
      <c r="AN2687">
        <v>2</v>
      </c>
      <c r="AO2687">
        <v>0.3</v>
      </c>
      <c r="AP2687">
        <v>-0.47</v>
      </c>
      <c r="AQ2687">
        <v>3.49</v>
      </c>
      <c r="AR2687">
        <v>46.74</v>
      </c>
      <c r="AS2687">
        <v>1.59</v>
      </c>
      <c r="AT2687" t="s">
        <v>12142</v>
      </c>
      <c r="AU2687">
        <v>35.72</v>
      </c>
      <c r="AV2687">
        <v>47.92</v>
      </c>
      <c r="AW2687">
        <v>0.34</v>
      </c>
      <c r="BA2687">
        <v>-0.22</v>
      </c>
      <c r="BB2687">
        <v>1.63</v>
      </c>
      <c r="BC2687">
        <v>-0.22</v>
      </c>
      <c r="BD2687">
        <v>0.95</v>
      </c>
      <c r="BE2687">
        <v>0.38</v>
      </c>
      <c r="BF2687">
        <v>-1.45</v>
      </c>
      <c r="BG2687">
        <v>0.38</v>
      </c>
      <c r="BH2687">
        <v>-0.79</v>
      </c>
      <c r="BI2687">
        <v>20191029</v>
      </c>
      <c r="BJ2687">
        <v>19930827</v>
      </c>
      <c r="BK2687">
        <v>13.51</v>
      </c>
      <c r="BL2687" t="s">
        <v>116</v>
      </c>
      <c r="BM2687">
        <v>6.55</v>
      </c>
      <c r="BN2687">
        <v>365.78</v>
      </c>
      <c r="BO2687">
        <v>199.04</v>
      </c>
      <c r="BP2687">
        <v>8.19</v>
      </c>
      <c r="BQ2687">
        <v>43.35</v>
      </c>
      <c r="BR2687">
        <v>202.21</v>
      </c>
      <c r="BS2687">
        <v>104.39</v>
      </c>
      <c r="BT2687">
        <v>24.62</v>
      </c>
      <c r="BU2687">
        <v>125.55</v>
      </c>
      <c r="BV2687">
        <v>17.28</v>
      </c>
      <c r="BW2687">
        <v>2.09</v>
      </c>
      <c r="BX2687">
        <v>34.44</v>
      </c>
      <c r="BY2687">
        <v>248.97</v>
      </c>
      <c r="BZ2687">
        <v>148.91</v>
      </c>
      <c r="CA2687">
        <v>36.35</v>
      </c>
      <c r="CB2687">
        <v>0.28000000000000003</v>
      </c>
      <c r="CC2687">
        <v>36.56</v>
      </c>
      <c r="CD2687">
        <v>27.27</v>
      </c>
      <c r="CE2687">
        <v>25.86</v>
      </c>
      <c r="CF2687">
        <v>22.98</v>
      </c>
      <c r="CG2687">
        <v>135.57</v>
      </c>
      <c r="CH2687">
        <v>44.4</v>
      </c>
      <c r="CI2687">
        <v>41.52</v>
      </c>
      <c r="CJ2687">
        <v>33414</v>
      </c>
      <c r="CK2687">
        <v>8702</v>
      </c>
      <c r="CL2687" t="s">
        <v>12143</v>
      </c>
      <c r="CM2687">
        <v>23.15</v>
      </c>
      <c r="CN2687">
        <v>5.31</v>
      </c>
      <c r="CO2687">
        <v>3.42</v>
      </c>
      <c r="CP2687">
        <v>15.35</v>
      </c>
      <c r="CQ2687">
        <v>2.74</v>
      </c>
      <c r="CR2687">
        <v>0.95</v>
      </c>
      <c r="CS2687" t="s">
        <v>12144</v>
      </c>
      <c r="CT2687">
        <v>14.73</v>
      </c>
      <c r="CU2687">
        <v>0</v>
      </c>
      <c r="CV2687">
        <v>2.5499999999999998</v>
      </c>
      <c r="CW2687">
        <v>10.029999999999999</v>
      </c>
      <c r="CX2687">
        <v>3.29</v>
      </c>
      <c r="CY2687">
        <v>54.41</v>
      </c>
      <c r="CZ2687" t="s">
        <v>12145</v>
      </c>
      <c r="DA2687">
        <v>40.19</v>
      </c>
      <c r="DB2687">
        <v>14.6</v>
      </c>
      <c r="DC2687">
        <v>10.39</v>
      </c>
      <c r="DD2687">
        <v>0.12</v>
      </c>
      <c r="DE2687">
        <v>39320</v>
      </c>
      <c r="DF2687">
        <v>600600</v>
      </c>
      <c r="DG2687" t="s">
        <v>116</v>
      </c>
      <c r="DH2687" t="s">
        <v>116</v>
      </c>
      <c r="DI2687" t="s">
        <v>116</v>
      </c>
    </row>
    <row r="2688" spans="1:113" x14ac:dyDescent="0.4">
      <c r="A2688" t="str">
        <f>"600601"</f>
        <v>600601</v>
      </c>
      <c r="B2688" t="s">
        <v>12146</v>
      </c>
      <c r="C2688">
        <v>-0.54</v>
      </c>
      <c r="D2688">
        <v>3.68</v>
      </c>
      <c r="E2688">
        <v>-0.02</v>
      </c>
      <c r="F2688">
        <v>3.67</v>
      </c>
      <c r="G2688">
        <v>3.68</v>
      </c>
      <c r="H2688">
        <v>194906</v>
      </c>
      <c r="I2688">
        <v>1673</v>
      </c>
      <c r="J2688">
        <v>0.27</v>
      </c>
      <c r="K2688">
        <v>0.89</v>
      </c>
      <c r="L2688">
        <v>3.73</v>
      </c>
      <c r="M2688">
        <v>3.76</v>
      </c>
      <c r="N2688">
        <v>3.66</v>
      </c>
      <c r="O2688">
        <v>3.7</v>
      </c>
      <c r="P2688" t="s">
        <v>116</v>
      </c>
      <c r="Q2688">
        <v>72448520</v>
      </c>
      <c r="R2688">
        <v>0.9</v>
      </c>
      <c r="S2688" t="s">
        <v>241</v>
      </c>
      <c r="T2688" t="s">
        <v>1653</v>
      </c>
      <c r="U2688">
        <v>2.7</v>
      </c>
      <c r="V2688">
        <v>3.72</v>
      </c>
      <c r="W2688">
        <v>112122</v>
      </c>
      <c r="X2688">
        <v>82784</v>
      </c>
      <c r="Y2688">
        <v>1.35</v>
      </c>
      <c r="Z2688">
        <v>113</v>
      </c>
      <c r="AA2688">
        <v>1256</v>
      </c>
      <c r="AB2688" t="s">
        <v>116</v>
      </c>
      <c r="AC2688">
        <v>725900</v>
      </c>
      <c r="AD2688">
        <v>0.01</v>
      </c>
      <c r="AE2688" t="s">
        <v>116</v>
      </c>
      <c r="AF2688" t="s">
        <v>116</v>
      </c>
      <c r="AG2688">
        <v>21.95</v>
      </c>
      <c r="AH2688" t="s">
        <v>12147</v>
      </c>
      <c r="AI2688" t="s">
        <v>12147</v>
      </c>
      <c r="AJ2688">
        <v>-0.46</v>
      </c>
      <c r="AK2688">
        <v>1695</v>
      </c>
      <c r="AL2688">
        <v>115</v>
      </c>
      <c r="AM2688">
        <v>5.0000000000000001E-4</v>
      </c>
      <c r="AN2688">
        <v>-1</v>
      </c>
      <c r="AO2688">
        <v>0.83</v>
      </c>
      <c r="AP2688">
        <v>12.2</v>
      </c>
      <c r="AQ2688">
        <v>6.36</v>
      </c>
      <c r="AR2688">
        <v>46.61</v>
      </c>
      <c r="AS2688">
        <v>1.08</v>
      </c>
      <c r="AT2688" t="s">
        <v>12148</v>
      </c>
      <c r="AU2688" t="s">
        <v>116</v>
      </c>
      <c r="AV2688">
        <v>146.63999999999999</v>
      </c>
      <c r="AW2688">
        <v>1.17</v>
      </c>
      <c r="BA2688">
        <v>0.81</v>
      </c>
      <c r="BB2688">
        <v>1.62</v>
      </c>
      <c r="BC2688">
        <v>-1.08</v>
      </c>
      <c r="BD2688">
        <v>0.46</v>
      </c>
      <c r="BE2688">
        <v>-1.34</v>
      </c>
      <c r="BF2688">
        <v>-2.13</v>
      </c>
      <c r="BG2688">
        <v>0.55000000000000004</v>
      </c>
      <c r="BH2688">
        <v>-1</v>
      </c>
      <c r="BI2688">
        <v>20191028</v>
      </c>
      <c r="BJ2688">
        <v>19901219</v>
      </c>
      <c r="BK2688">
        <v>21.95</v>
      </c>
      <c r="BL2688" t="s">
        <v>116</v>
      </c>
      <c r="BM2688" t="s">
        <v>116</v>
      </c>
      <c r="BN2688">
        <v>113.39</v>
      </c>
      <c r="BO2688">
        <v>28.34</v>
      </c>
      <c r="BP2688">
        <v>0.12</v>
      </c>
      <c r="BQ2688">
        <v>74.900000000000006</v>
      </c>
      <c r="BR2688">
        <v>59.29</v>
      </c>
      <c r="BS2688">
        <v>37.979999999999997</v>
      </c>
      <c r="BT2688">
        <v>1.1200000000000001</v>
      </c>
      <c r="BU2688">
        <v>74.760000000000005</v>
      </c>
      <c r="BV2688">
        <v>26.75</v>
      </c>
      <c r="BW2688">
        <v>13.6</v>
      </c>
      <c r="BX2688">
        <v>4.58</v>
      </c>
      <c r="BY2688">
        <v>33.380000000000003</v>
      </c>
      <c r="BZ2688">
        <v>28.37</v>
      </c>
      <c r="CA2688">
        <v>-3.44</v>
      </c>
      <c r="CB2688">
        <v>-0.01</v>
      </c>
      <c r="CC2688">
        <v>-3.43</v>
      </c>
      <c r="CD2688">
        <v>-3.77</v>
      </c>
      <c r="CE2688">
        <v>-3.75</v>
      </c>
      <c r="CF2688">
        <v>-3.87</v>
      </c>
      <c r="CG2688">
        <v>1.74</v>
      </c>
      <c r="CH2688">
        <v>1.1599999999999999</v>
      </c>
      <c r="CI2688">
        <v>-5.19</v>
      </c>
      <c r="CJ2688">
        <v>213273</v>
      </c>
      <c r="CK2688">
        <v>8441</v>
      </c>
      <c r="CL2688" t="s">
        <v>12149</v>
      </c>
      <c r="CM2688">
        <v>-62.44</v>
      </c>
      <c r="CN2688">
        <v>0.42</v>
      </c>
      <c r="CO2688">
        <v>2.85</v>
      </c>
      <c r="CP2688">
        <v>69.510000000000005</v>
      </c>
      <c r="CQ2688">
        <v>2.42</v>
      </c>
      <c r="CR2688">
        <v>0.27</v>
      </c>
      <c r="CS2688" t="s">
        <v>2826</v>
      </c>
      <c r="CT2688">
        <v>1.29</v>
      </c>
      <c r="CU2688">
        <v>0</v>
      </c>
      <c r="CV2688">
        <v>0.21</v>
      </c>
      <c r="CW2688">
        <v>0.08</v>
      </c>
      <c r="CX2688">
        <v>0.05</v>
      </c>
      <c r="CY2688">
        <v>24.99</v>
      </c>
      <c r="CZ2688" t="s">
        <v>12150</v>
      </c>
      <c r="DA2688">
        <v>15.02</v>
      </c>
      <c r="DB2688">
        <v>-10.3</v>
      </c>
      <c r="DC2688">
        <v>-11.23</v>
      </c>
      <c r="DD2688">
        <v>2.12</v>
      </c>
      <c r="DE2688">
        <v>7330</v>
      </c>
      <c r="DF2688">
        <v>600601</v>
      </c>
      <c r="DG2688" t="s">
        <v>116</v>
      </c>
      <c r="DH2688" t="s">
        <v>116</v>
      </c>
      <c r="DI2688" t="s">
        <v>116</v>
      </c>
    </row>
    <row r="2689" spans="1:113" x14ac:dyDescent="0.4">
      <c r="A2689" t="str">
        <f>"600602"</f>
        <v>600602</v>
      </c>
      <c r="B2689" t="s">
        <v>12151</v>
      </c>
      <c r="C2689">
        <v>0.12</v>
      </c>
      <c r="D2689">
        <v>8.39</v>
      </c>
      <c r="E2689">
        <v>0.01</v>
      </c>
      <c r="F2689">
        <v>8.3699999999999992</v>
      </c>
      <c r="G2689">
        <v>8.39</v>
      </c>
      <c r="H2689">
        <v>159270</v>
      </c>
      <c r="I2689">
        <v>3670</v>
      </c>
      <c r="J2689">
        <v>0.48</v>
      </c>
      <c r="K2689">
        <v>1.54</v>
      </c>
      <c r="L2689">
        <v>8.41</v>
      </c>
      <c r="M2689">
        <v>8.48</v>
      </c>
      <c r="N2689">
        <v>8.26</v>
      </c>
      <c r="O2689">
        <v>8.3800000000000008</v>
      </c>
      <c r="P2689">
        <v>46.52</v>
      </c>
      <c r="Q2689">
        <v>133613040</v>
      </c>
      <c r="R2689">
        <v>1.64</v>
      </c>
      <c r="S2689" t="s">
        <v>607</v>
      </c>
      <c r="T2689" t="s">
        <v>1653</v>
      </c>
      <c r="U2689">
        <v>2.63</v>
      </c>
      <c r="V2689">
        <v>8.39</v>
      </c>
      <c r="W2689">
        <v>80100</v>
      </c>
      <c r="X2689">
        <v>79170</v>
      </c>
      <c r="Y2689">
        <v>1.01</v>
      </c>
      <c r="Z2689">
        <v>5</v>
      </c>
      <c r="AA2689">
        <v>1648</v>
      </c>
      <c r="AB2689" t="s">
        <v>116</v>
      </c>
      <c r="AC2689">
        <v>882200</v>
      </c>
      <c r="AD2689">
        <v>0.02</v>
      </c>
      <c r="AE2689" t="s">
        <v>116</v>
      </c>
      <c r="AF2689" t="s">
        <v>116</v>
      </c>
      <c r="AG2689">
        <v>10.33</v>
      </c>
      <c r="AH2689" t="s">
        <v>12152</v>
      </c>
      <c r="AI2689" t="s">
        <v>12153</v>
      </c>
      <c r="AJ2689">
        <v>0.2</v>
      </c>
      <c r="AK2689">
        <v>1840</v>
      </c>
      <c r="AL2689">
        <v>87</v>
      </c>
      <c r="AM2689">
        <v>8.0000000000000004E-4</v>
      </c>
      <c r="AN2689">
        <v>2</v>
      </c>
      <c r="AO2689">
        <v>2.08</v>
      </c>
      <c r="AP2689">
        <v>5.27</v>
      </c>
      <c r="AQ2689">
        <v>0.48</v>
      </c>
      <c r="AR2689">
        <v>70.53</v>
      </c>
      <c r="AS2689">
        <v>2.84</v>
      </c>
      <c r="AT2689" t="s">
        <v>11310</v>
      </c>
      <c r="AU2689">
        <v>41.61</v>
      </c>
      <c r="AV2689">
        <v>42.15</v>
      </c>
      <c r="AW2689">
        <v>1.49</v>
      </c>
      <c r="BA2689">
        <v>0.36</v>
      </c>
      <c r="BB2689">
        <v>1.19</v>
      </c>
      <c r="BC2689">
        <v>-1.43</v>
      </c>
      <c r="BD2689">
        <v>0.11</v>
      </c>
      <c r="BE2689">
        <v>-0.24</v>
      </c>
      <c r="BF2689">
        <v>-1.06</v>
      </c>
      <c r="BG2689">
        <v>1.57</v>
      </c>
      <c r="BH2689">
        <v>0.01</v>
      </c>
      <c r="BI2689">
        <v>20191026</v>
      </c>
      <c r="BJ2689">
        <v>19901219</v>
      </c>
      <c r="BK2689">
        <v>13.68</v>
      </c>
      <c r="BL2689">
        <v>2.93</v>
      </c>
      <c r="BM2689" t="s">
        <v>116</v>
      </c>
      <c r="BN2689">
        <v>56.41</v>
      </c>
      <c r="BO2689">
        <v>41.02</v>
      </c>
      <c r="BP2689">
        <v>1.69</v>
      </c>
      <c r="BQ2689">
        <v>24.3</v>
      </c>
      <c r="BR2689">
        <v>48.39</v>
      </c>
      <c r="BS2689">
        <v>2.4</v>
      </c>
      <c r="BT2689">
        <v>0.26</v>
      </c>
      <c r="BU2689">
        <v>13.31</v>
      </c>
      <c r="BV2689">
        <v>6.99</v>
      </c>
      <c r="BW2689">
        <v>13.45</v>
      </c>
      <c r="BX2689">
        <v>15.09</v>
      </c>
      <c r="BY2689">
        <v>34.42</v>
      </c>
      <c r="BZ2689">
        <v>28.29</v>
      </c>
      <c r="CA2689">
        <v>2.1800000000000002</v>
      </c>
      <c r="CB2689">
        <v>0.74</v>
      </c>
      <c r="CC2689">
        <v>2.2999999999999998</v>
      </c>
      <c r="CD2689">
        <v>2.04</v>
      </c>
      <c r="CE2689">
        <v>1.85</v>
      </c>
      <c r="CF2689">
        <v>1.26</v>
      </c>
      <c r="CG2689">
        <v>8.61</v>
      </c>
      <c r="CH2689">
        <v>-4.53</v>
      </c>
      <c r="CI2689">
        <v>-5.38</v>
      </c>
      <c r="CJ2689">
        <v>97736</v>
      </c>
      <c r="CK2689">
        <v>8743</v>
      </c>
      <c r="CL2689" t="s">
        <v>8193</v>
      </c>
      <c r="CM2689">
        <v>1.93</v>
      </c>
      <c r="CN2689">
        <v>10.47</v>
      </c>
      <c r="CO2689">
        <v>2.8</v>
      </c>
      <c r="CP2689">
        <v>-25.31</v>
      </c>
      <c r="CQ2689">
        <v>3.33</v>
      </c>
      <c r="CR2689">
        <v>0.72</v>
      </c>
      <c r="CS2689" t="s">
        <v>2750</v>
      </c>
      <c r="CT2689">
        <v>3</v>
      </c>
      <c r="CU2689">
        <v>0</v>
      </c>
      <c r="CV2689">
        <v>1.1000000000000001</v>
      </c>
      <c r="CW2689">
        <v>0.63</v>
      </c>
      <c r="CX2689">
        <v>-0.33</v>
      </c>
      <c r="CY2689">
        <v>72.709999999999994</v>
      </c>
      <c r="CZ2689" t="s">
        <v>703</v>
      </c>
      <c r="DA2689">
        <v>17.829999999999998</v>
      </c>
      <c r="DB2689">
        <v>6.33</v>
      </c>
      <c r="DC2689">
        <v>5.37</v>
      </c>
      <c r="DD2689">
        <v>2.27</v>
      </c>
      <c r="DE2689">
        <v>2316</v>
      </c>
      <c r="DF2689">
        <v>600602</v>
      </c>
      <c r="DG2689" t="s">
        <v>116</v>
      </c>
      <c r="DH2689" t="s">
        <v>116</v>
      </c>
      <c r="DI2689" t="s">
        <v>116</v>
      </c>
    </row>
    <row r="2690" spans="1:113" x14ac:dyDescent="0.4">
      <c r="A2690" t="str">
        <f>"600603"</f>
        <v>600603</v>
      </c>
      <c r="B2690" t="s">
        <v>12154</v>
      </c>
      <c r="C2690">
        <v>0</v>
      </c>
      <c r="D2690">
        <v>4.8899999999999997</v>
      </c>
      <c r="E2690">
        <v>0</v>
      </c>
      <c r="F2690">
        <v>4.88</v>
      </c>
      <c r="G2690">
        <v>4.8899999999999997</v>
      </c>
      <c r="H2690">
        <v>32742</v>
      </c>
      <c r="I2690">
        <v>910</v>
      </c>
      <c r="J2690">
        <v>0</v>
      </c>
      <c r="K2690">
        <v>0.64</v>
      </c>
      <c r="L2690">
        <v>4.8899999999999997</v>
      </c>
      <c r="M2690">
        <v>4.91</v>
      </c>
      <c r="N2690">
        <v>4.8600000000000003</v>
      </c>
      <c r="O2690">
        <v>4.8899999999999997</v>
      </c>
      <c r="P2690">
        <v>16.239999999999998</v>
      </c>
      <c r="Q2690">
        <v>15997515</v>
      </c>
      <c r="R2690">
        <v>1.07</v>
      </c>
      <c r="S2690" t="s">
        <v>3113</v>
      </c>
      <c r="T2690" t="s">
        <v>582</v>
      </c>
      <c r="U2690">
        <v>1.02</v>
      </c>
      <c r="V2690">
        <v>4.8899999999999997</v>
      </c>
      <c r="W2690">
        <v>17861</v>
      </c>
      <c r="X2690">
        <v>14881</v>
      </c>
      <c r="Y2690">
        <v>1.2</v>
      </c>
      <c r="Z2690">
        <v>314</v>
      </c>
      <c r="AA2690">
        <v>520</v>
      </c>
      <c r="AB2690" t="s">
        <v>116</v>
      </c>
      <c r="AC2690">
        <v>126200</v>
      </c>
      <c r="AD2690">
        <v>0.01</v>
      </c>
      <c r="AE2690" t="s">
        <v>116</v>
      </c>
      <c r="AF2690" t="s">
        <v>116</v>
      </c>
      <c r="AG2690">
        <v>5.0999999999999996</v>
      </c>
      <c r="AH2690" t="s">
        <v>956</v>
      </c>
      <c r="AI2690" t="s">
        <v>12155</v>
      </c>
      <c r="AJ2690">
        <v>0.08</v>
      </c>
      <c r="AK2690">
        <v>590</v>
      </c>
      <c r="AL2690">
        <v>55</v>
      </c>
      <c r="AM2690">
        <v>1.1000000000000001E-3</v>
      </c>
      <c r="AN2690">
        <v>0</v>
      </c>
      <c r="AO2690">
        <v>0.2</v>
      </c>
      <c r="AP2690">
        <v>1.03</v>
      </c>
      <c r="AQ2690">
        <v>-10.6</v>
      </c>
      <c r="AR2690">
        <v>29.37</v>
      </c>
      <c r="AS2690">
        <v>0.84</v>
      </c>
      <c r="AT2690" t="s">
        <v>2939</v>
      </c>
      <c r="AU2690">
        <v>10.73</v>
      </c>
      <c r="AV2690">
        <v>11.14</v>
      </c>
      <c r="AW2690">
        <v>0.41</v>
      </c>
      <c r="BA2690">
        <v>0</v>
      </c>
      <c r="BB2690">
        <v>0.41</v>
      </c>
      <c r="BC2690">
        <v>-0.61</v>
      </c>
      <c r="BD2690">
        <v>-0.08</v>
      </c>
      <c r="BE2690">
        <v>0</v>
      </c>
      <c r="BF2690">
        <v>-0.41</v>
      </c>
      <c r="BG2690">
        <v>0.62</v>
      </c>
      <c r="BH2690">
        <v>0.08</v>
      </c>
      <c r="BI2690">
        <v>20191211</v>
      </c>
      <c r="BJ2690">
        <v>19920113</v>
      </c>
      <c r="BK2690">
        <v>12.55</v>
      </c>
      <c r="BL2690" t="s">
        <v>116</v>
      </c>
      <c r="BM2690" t="s">
        <v>116</v>
      </c>
      <c r="BN2690">
        <v>163.52000000000001</v>
      </c>
      <c r="BO2690">
        <v>60.42</v>
      </c>
      <c r="BP2690">
        <v>2.96</v>
      </c>
      <c r="BQ2690">
        <v>61.24</v>
      </c>
      <c r="BR2690">
        <v>103.04</v>
      </c>
      <c r="BS2690">
        <v>0.43</v>
      </c>
      <c r="BT2690">
        <v>0.47</v>
      </c>
      <c r="BU2690">
        <v>73.319999999999993</v>
      </c>
      <c r="BV2690">
        <v>57.59</v>
      </c>
      <c r="BW2690">
        <v>7.31</v>
      </c>
      <c r="BX2690">
        <v>7.85</v>
      </c>
      <c r="BY2690">
        <v>11.8</v>
      </c>
      <c r="BZ2690">
        <v>5.18</v>
      </c>
      <c r="CA2690">
        <v>3.55</v>
      </c>
      <c r="CB2690">
        <v>0.22</v>
      </c>
      <c r="CC2690">
        <v>3.55</v>
      </c>
      <c r="CD2690">
        <v>2.82</v>
      </c>
      <c r="CE2690">
        <v>2.83</v>
      </c>
      <c r="CF2690">
        <v>2.78</v>
      </c>
      <c r="CG2690">
        <v>35.090000000000003</v>
      </c>
      <c r="CH2690">
        <v>9.2799999999999994</v>
      </c>
      <c r="CI2690">
        <v>1.19</v>
      </c>
      <c r="CJ2690">
        <v>23809</v>
      </c>
      <c r="CK2690">
        <v>16291</v>
      </c>
      <c r="CL2690" t="s">
        <v>6624</v>
      </c>
      <c r="CM2690">
        <v>8.0399999999999991</v>
      </c>
      <c r="CN2690">
        <v>16.86</v>
      </c>
      <c r="CO2690">
        <v>1.02</v>
      </c>
      <c r="CP2690">
        <v>6.61</v>
      </c>
      <c r="CQ2690">
        <v>5.2</v>
      </c>
      <c r="CR2690">
        <v>6.14</v>
      </c>
      <c r="CS2690" t="s">
        <v>3375</v>
      </c>
      <c r="CT2690">
        <v>4.82</v>
      </c>
      <c r="CU2690">
        <v>0</v>
      </c>
      <c r="CV2690">
        <v>0.63</v>
      </c>
      <c r="CW2690">
        <v>2.8</v>
      </c>
      <c r="CX2690">
        <v>0.74</v>
      </c>
      <c r="CY2690">
        <v>36.950000000000003</v>
      </c>
      <c r="CZ2690" t="s">
        <v>6576</v>
      </c>
      <c r="DA2690">
        <v>56.08</v>
      </c>
      <c r="DB2690">
        <v>30.06</v>
      </c>
      <c r="DC2690">
        <v>24.02</v>
      </c>
      <c r="DD2690">
        <v>0</v>
      </c>
      <c r="DE2690">
        <v>716</v>
      </c>
      <c r="DF2690">
        <v>600603</v>
      </c>
      <c r="DG2690" t="s">
        <v>116</v>
      </c>
      <c r="DH2690" t="s">
        <v>116</v>
      </c>
      <c r="DI2690" t="s">
        <v>116</v>
      </c>
    </row>
    <row r="2691" spans="1:113" x14ac:dyDescent="0.4">
      <c r="A2691" t="str">
        <f>"600604"</f>
        <v>600604</v>
      </c>
      <c r="B2691" t="s">
        <v>12156</v>
      </c>
      <c r="C2691">
        <v>-1.74</v>
      </c>
      <c r="D2691">
        <v>8.4700000000000006</v>
      </c>
      <c r="E2691">
        <v>-0.15</v>
      </c>
      <c r="F2691">
        <v>8.4700000000000006</v>
      </c>
      <c r="G2691">
        <v>8.48</v>
      </c>
      <c r="H2691">
        <v>280309</v>
      </c>
      <c r="I2691">
        <v>3053</v>
      </c>
      <c r="J2691">
        <v>-0.11</v>
      </c>
      <c r="K2691">
        <v>1.99</v>
      </c>
      <c r="L2691">
        <v>8.75</v>
      </c>
      <c r="M2691">
        <v>8.9</v>
      </c>
      <c r="N2691">
        <v>8.4600000000000009</v>
      </c>
      <c r="O2691">
        <v>8.6199999999999992</v>
      </c>
      <c r="P2691">
        <v>559.88</v>
      </c>
      <c r="Q2691">
        <v>243584384</v>
      </c>
      <c r="R2691">
        <v>1.26</v>
      </c>
      <c r="S2691" t="s">
        <v>1503</v>
      </c>
      <c r="T2691" t="s">
        <v>1653</v>
      </c>
      <c r="U2691">
        <v>5.0999999999999996</v>
      </c>
      <c r="V2691">
        <v>8.69</v>
      </c>
      <c r="W2691">
        <v>154230</v>
      </c>
      <c r="X2691">
        <v>126079</v>
      </c>
      <c r="Y2691">
        <v>1.22</v>
      </c>
      <c r="Z2691">
        <v>1599</v>
      </c>
      <c r="AA2691">
        <v>1120</v>
      </c>
      <c r="AB2691" t="s">
        <v>116</v>
      </c>
      <c r="AC2691">
        <v>2217300</v>
      </c>
      <c r="AD2691">
        <v>0.05</v>
      </c>
      <c r="AE2691" t="s">
        <v>116</v>
      </c>
      <c r="AF2691" t="s">
        <v>116</v>
      </c>
      <c r="AG2691">
        <v>14.07</v>
      </c>
      <c r="AH2691" t="s">
        <v>12157</v>
      </c>
      <c r="AI2691" t="s">
        <v>11588</v>
      </c>
      <c r="AJ2691">
        <v>-1.66</v>
      </c>
      <c r="AK2691">
        <v>3118</v>
      </c>
      <c r="AL2691">
        <v>90</v>
      </c>
      <c r="AM2691">
        <v>5.9999999999999995E-4</v>
      </c>
      <c r="AN2691">
        <v>-1</v>
      </c>
      <c r="AO2691">
        <v>0.6</v>
      </c>
      <c r="AP2691">
        <v>8.59</v>
      </c>
      <c r="AQ2691">
        <v>-5.36</v>
      </c>
      <c r="AR2691">
        <v>10.210000000000001</v>
      </c>
      <c r="AS2691">
        <v>4.9800000000000004</v>
      </c>
      <c r="AT2691" t="s">
        <v>12158</v>
      </c>
      <c r="AU2691">
        <v>78.7</v>
      </c>
      <c r="AV2691">
        <v>66.77</v>
      </c>
      <c r="AW2691">
        <v>2.15</v>
      </c>
      <c r="BA2691">
        <v>1.51</v>
      </c>
      <c r="BB2691">
        <v>3.25</v>
      </c>
      <c r="BC2691">
        <v>-1.86</v>
      </c>
      <c r="BD2691">
        <v>0.81</v>
      </c>
      <c r="BE2691">
        <v>-3.2</v>
      </c>
      <c r="BF2691">
        <v>-4.83</v>
      </c>
      <c r="BG2691">
        <v>0.12</v>
      </c>
      <c r="BH2691">
        <v>-2.5499999999999998</v>
      </c>
      <c r="BI2691">
        <v>20191030</v>
      </c>
      <c r="BJ2691">
        <v>19920327</v>
      </c>
      <c r="BK2691">
        <v>18.73</v>
      </c>
      <c r="BL2691">
        <v>4.66</v>
      </c>
      <c r="BM2691" t="s">
        <v>116</v>
      </c>
      <c r="BN2691">
        <v>169.97</v>
      </c>
      <c r="BO2691">
        <v>60.89</v>
      </c>
      <c r="BP2691">
        <v>12.65</v>
      </c>
      <c r="BQ2691">
        <v>56.73</v>
      </c>
      <c r="BR2691">
        <v>90.17</v>
      </c>
      <c r="BS2691">
        <v>0.21</v>
      </c>
      <c r="BT2691">
        <v>0</v>
      </c>
      <c r="BU2691">
        <v>27.74</v>
      </c>
      <c r="BV2691">
        <v>69.13</v>
      </c>
      <c r="BW2691">
        <v>0.73</v>
      </c>
      <c r="BX2691">
        <v>30.83</v>
      </c>
      <c r="BY2691">
        <v>3.26</v>
      </c>
      <c r="BZ2691">
        <v>1.62</v>
      </c>
      <c r="CA2691">
        <v>1.1299999999999999</v>
      </c>
      <c r="CB2691">
        <v>1.24</v>
      </c>
      <c r="CC2691">
        <v>1.1299999999999999</v>
      </c>
      <c r="CD2691">
        <v>0.7</v>
      </c>
      <c r="CE2691">
        <v>0.21</v>
      </c>
      <c r="CF2691">
        <v>0.1</v>
      </c>
      <c r="CG2691">
        <v>10.83</v>
      </c>
      <c r="CH2691">
        <v>-6.28</v>
      </c>
      <c r="CI2691">
        <v>-1.97</v>
      </c>
      <c r="CJ2691">
        <v>162638</v>
      </c>
      <c r="CK2691">
        <v>6326</v>
      </c>
      <c r="CL2691" t="s">
        <v>10445</v>
      </c>
      <c r="CM2691">
        <v>-62.89</v>
      </c>
      <c r="CN2691">
        <v>-19.46</v>
      </c>
      <c r="CO2691">
        <v>2.61</v>
      </c>
      <c r="CP2691">
        <v>-25.26</v>
      </c>
      <c r="CQ2691">
        <v>48.65</v>
      </c>
      <c r="CR2691">
        <v>0.3</v>
      </c>
      <c r="CS2691" t="s">
        <v>3700</v>
      </c>
      <c r="CT2691">
        <v>3.25</v>
      </c>
      <c r="CU2691">
        <v>0</v>
      </c>
      <c r="CV2691">
        <v>1.65</v>
      </c>
      <c r="CW2691">
        <v>0.57999999999999996</v>
      </c>
      <c r="CX2691">
        <v>-0.34</v>
      </c>
      <c r="CY2691">
        <v>35.83</v>
      </c>
      <c r="CZ2691" t="s">
        <v>7870</v>
      </c>
      <c r="DA2691">
        <v>50.38</v>
      </c>
      <c r="DB2691">
        <v>34.65</v>
      </c>
      <c r="DC2691">
        <v>6.52</v>
      </c>
      <c r="DD2691">
        <v>0</v>
      </c>
      <c r="DE2691">
        <v>185</v>
      </c>
      <c r="DF2691">
        <v>600604</v>
      </c>
      <c r="DG2691" t="s">
        <v>116</v>
      </c>
      <c r="DH2691" t="s">
        <v>116</v>
      </c>
      <c r="DI2691" t="s">
        <v>116</v>
      </c>
    </row>
    <row r="2692" spans="1:113" x14ac:dyDescent="0.4">
      <c r="A2692" t="str">
        <f>"600605"</f>
        <v>600605</v>
      </c>
      <c r="B2692" t="s">
        <v>12159</v>
      </c>
      <c r="C2692">
        <v>-0.54</v>
      </c>
      <c r="D2692">
        <v>11.08</v>
      </c>
      <c r="E2692">
        <v>-0.06</v>
      </c>
      <c r="F2692">
        <v>11.08</v>
      </c>
      <c r="G2692">
        <v>11.09</v>
      </c>
      <c r="H2692">
        <v>6512</v>
      </c>
      <c r="I2692">
        <v>1</v>
      </c>
      <c r="J2692">
        <v>-0.08</v>
      </c>
      <c r="K2692">
        <v>0.44</v>
      </c>
      <c r="L2692">
        <v>11.15</v>
      </c>
      <c r="M2692">
        <v>11.16</v>
      </c>
      <c r="N2692">
        <v>11.07</v>
      </c>
      <c r="O2692">
        <v>11.14</v>
      </c>
      <c r="P2692">
        <v>223.63</v>
      </c>
      <c r="Q2692">
        <v>7240199</v>
      </c>
      <c r="R2692">
        <v>0.85</v>
      </c>
      <c r="S2692" t="s">
        <v>566</v>
      </c>
      <c r="T2692" t="s">
        <v>1653</v>
      </c>
      <c r="U2692">
        <v>0.81</v>
      </c>
      <c r="V2692">
        <v>11.12</v>
      </c>
      <c r="W2692">
        <v>3368</v>
      </c>
      <c r="X2692">
        <v>3144</v>
      </c>
      <c r="Y2692">
        <v>1.07</v>
      </c>
      <c r="Z2692">
        <v>57</v>
      </c>
      <c r="AA2692">
        <v>159</v>
      </c>
      <c r="AB2692" t="s">
        <v>116</v>
      </c>
      <c r="AC2692">
        <v>0</v>
      </c>
      <c r="AD2692">
        <v>0</v>
      </c>
      <c r="AE2692" t="s">
        <v>116</v>
      </c>
      <c r="AF2692" t="s">
        <v>116</v>
      </c>
      <c r="AG2692">
        <v>1.47</v>
      </c>
      <c r="AH2692" t="s">
        <v>228</v>
      </c>
      <c r="AI2692" t="s">
        <v>228</v>
      </c>
      <c r="AJ2692">
        <v>-0.46</v>
      </c>
      <c r="AK2692">
        <v>394</v>
      </c>
      <c r="AL2692">
        <v>17</v>
      </c>
      <c r="AM2692">
        <v>1.1000000000000001E-3</v>
      </c>
      <c r="AN2692">
        <v>-1</v>
      </c>
      <c r="AO2692">
        <v>0</v>
      </c>
      <c r="AP2692">
        <v>1.65</v>
      </c>
      <c r="AQ2692">
        <v>5.22</v>
      </c>
      <c r="AR2692">
        <v>14.34</v>
      </c>
      <c r="AS2692">
        <v>0.9</v>
      </c>
      <c r="AT2692" t="s">
        <v>12160</v>
      </c>
      <c r="AU2692">
        <v>846.19</v>
      </c>
      <c r="AV2692">
        <v>91.79</v>
      </c>
      <c r="AW2692">
        <v>0.66</v>
      </c>
      <c r="BA2692">
        <v>0.09</v>
      </c>
      <c r="BB2692">
        <v>0.18</v>
      </c>
      <c r="BC2692">
        <v>-0.63</v>
      </c>
      <c r="BD2692">
        <v>-0.2</v>
      </c>
      <c r="BE2692">
        <v>-0.63</v>
      </c>
      <c r="BF2692">
        <v>-0.72</v>
      </c>
      <c r="BG2692">
        <v>0.09</v>
      </c>
      <c r="BH2692">
        <v>-0.34</v>
      </c>
      <c r="BI2692">
        <v>20191029</v>
      </c>
      <c r="BJ2692">
        <v>19920327</v>
      </c>
      <c r="BK2692">
        <v>1.47</v>
      </c>
      <c r="BL2692" t="s">
        <v>116</v>
      </c>
      <c r="BM2692" t="s">
        <v>116</v>
      </c>
      <c r="BN2692">
        <v>7.61</v>
      </c>
      <c r="BO2692">
        <v>6.93</v>
      </c>
      <c r="BP2692">
        <v>0</v>
      </c>
      <c r="BQ2692">
        <v>8.92</v>
      </c>
      <c r="BR2692">
        <v>6.31</v>
      </c>
      <c r="BS2692">
        <v>0.24</v>
      </c>
      <c r="BT2692">
        <v>0</v>
      </c>
      <c r="BU2692">
        <v>0.67</v>
      </c>
      <c r="BV2692">
        <v>0</v>
      </c>
      <c r="BW2692">
        <v>0.03</v>
      </c>
      <c r="BX2692">
        <v>2.64</v>
      </c>
      <c r="BY2692">
        <v>0.95</v>
      </c>
      <c r="BZ2692">
        <v>0.45</v>
      </c>
      <c r="CA2692">
        <v>0.13</v>
      </c>
      <c r="CB2692">
        <v>0.03</v>
      </c>
      <c r="CC2692">
        <v>0.13</v>
      </c>
      <c r="CD2692">
        <v>0.05</v>
      </c>
      <c r="CE2692">
        <v>0.05</v>
      </c>
      <c r="CF2692">
        <v>0.04</v>
      </c>
      <c r="CG2692">
        <v>2.0099999999999998</v>
      </c>
      <c r="CH2692">
        <v>4.32</v>
      </c>
      <c r="CI2692">
        <v>-2.4500000000000002</v>
      </c>
      <c r="CJ2692">
        <v>9594</v>
      </c>
      <c r="CK2692">
        <v>7525</v>
      </c>
      <c r="CL2692" t="s">
        <v>3525</v>
      </c>
      <c r="CM2692">
        <v>-74.33</v>
      </c>
      <c r="CN2692">
        <v>-94.54</v>
      </c>
      <c r="CO2692">
        <v>2.35</v>
      </c>
      <c r="CP2692">
        <v>3.78</v>
      </c>
      <c r="CQ2692">
        <v>17.14</v>
      </c>
      <c r="CR2692">
        <v>0.36</v>
      </c>
      <c r="CS2692" t="s">
        <v>6004</v>
      </c>
      <c r="CT2692">
        <v>4.71</v>
      </c>
      <c r="CU2692">
        <v>0</v>
      </c>
      <c r="CV2692">
        <v>1.79</v>
      </c>
      <c r="CW2692">
        <v>1.36</v>
      </c>
      <c r="CX2692">
        <v>2.93</v>
      </c>
      <c r="CY2692">
        <v>91.08</v>
      </c>
      <c r="CZ2692" t="s">
        <v>2424</v>
      </c>
      <c r="DA2692">
        <v>52.3</v>
      </c>
      <c r="DB2692">
        <v>13.42</v>
      </c>
      <c r="DC2692">
        <v>5.75</v>
      </c>
      <c r="DD2692">
        <v>0</v>
      </c>
      <c r="DE2692">
        <v>84</v>
      </c>
      <c r="DF2692">
        <v>600605</v>
      </c>
      <c r="DG2692" t="s">
        <v>116</v>
      </c>
      <c r="DH2692" t="s">
        <v>116</v>
      </c>
      <c r="DI2692" t="s">
        <v>116</v>
      </c>
    </row>
    <row r="2693" spans="1:113" x14ac:dyDescent="0.4">
      <c r="A2693" t="str">
        <f>"600606"</f>
        <v>600606</v>
      </c>
      <c r="B2693" t="s">
        <v>12161</v>
      </c>
      <c r="C2693">
        <v>0.15</v>
      </c>
      <c r="D2693">
        <v>6.81</v>
      </c>
      <c r="E2693">
        <v>0.01</v>
      </c>
      <c r="F2693">
        <v>6.8</v>
      </c>
      <c r="G2693">
        <v>6.81</v>
      </c>
      <c r="H2693">
        <v>304117</v>
      </c>
      <c r="I2693">
        <v>3711</v>
      </c>
      <c r="J2693">
        <v>0.15</v>
      </c>
      <c r="K2693">
        <v>0.25</v>
      </c>
      <c r="L2693">
        <v>6.8</v>
      </c>
      <c r="M2693">
        <v>6.84</v>
      </c>
      <c r="N2693">
        <v>6.76</v>
      </c>
      <c r="O2693">
        <v>6.8</v>
      </c>
      <c r="P2693">
        <v>5.26</v>
      </c>
      <c r="Q2693">
        <v>206904640</v>
      </c>
      <c r="R2693">
        <v>1.27</v>
      </c>
      <c r="S2693" t="s">
        <v>124</v>
      </c>
      <c r="T2693" t="s">
        <v>1653</v>
      </c>
      <c r="U2693">
        <v>1.18</v>
      </c>
      <c r="V2693">
        <v>6.8</v>
      </c>
      <c r="W2693">
        <v>130386</v>
      </c>
      <c r="X2693">
        <v>173731</v>
      </c>
      <c r="Y2693">
        <v>0.75</v>
      </c>
      <c r="Z2693">
        <v>1108</v>
      </c>
      <c r="AA2693">
        <v>2385</v>
      </c>
      <c r="AB2693" t="s">
        <v>116</v>
      </c>
      <c r="AC2693">
        <v>1443600</v>
      </c>
      <c r="AD2693">
        <v>0.01</v>
      </c>
      <c r="AE2693" t="s">
        <v>116</v>
      </c>
      <c r="AF2693" t="s">
        <v>116</v>
      </c>
      <c r="AG2693">
        <v>121.68</v>
      </c>
      <c r="AH2693" t="s">
        <v>12162</v>
      </c>
      <c r="AI2693" t="s">
        <v>12162</v>
      </c>
      <c r="AJ2693">
        <v>0.22</v>
      </c>
      <c r="AK2693">
        <v>2990</v>
      </c>
      <c r="AL2693">
        <v>102</v>
      </c>
      <c r="AM2693">
        <v>1E-4</v>
      </c>
      <c r="AN2693">
        <v>2</v>
      </c>
      <c r="AO2693">
        <v>1.04</v>
      </c>
      <c r="AP2693">
        <v>3.97</v>
      </c>
      <c r="AQ2693">
        <v>-3.54</v>
      </c>
      <c r="AR2693">
        <v>17.21</v>
      </c>
      <c r="AS2693">
        <v>1.02</v>
      </c>
      <c r="AT2693" t="s">
        <v>12163</v>
      </c>
      <c r="AU2693">
        <v>5.8</v>
      </c>
      <c r="AV2693">
        <v>7.28</v>
      </c>
      <c r="AW2693">
        <v>0.84</v>
      </c>
      <c r="BA2693">
        <v>0</v>
      </c>
      <c r="BB2693">
        <v>0.59</v>
      </c>
      <c r="BC2693">
        <v>-0.59</v>
      </c>
      <c r="BD2693">
        <v>0.05</v>
      </c>
      <c r="BE2693">
        <v>0.15</v>
      </c>
      <c r="BF2693">
        <v>-0.44</v>
      </c>
      <c r="BG2693">
        <v>0.74</v>
      </c>
      <c r="BH2693">
        <v>0.1</v>
      </c>
      <c r="BI2693">
        <v>20191025</v>
      </c>
      <c r="BJ2693">
        <v>19920327</v>
      </c>
      <c r="BK2693">
        <v>121.68</v>
      </c>
      <c r="BL2693" t="s">
        <v>116</v>
      </c>
      <c r="BM2693" t="s">
        <v>116</v>
      </c>
      <c r="BN2693">
        <v>10398.64</v>
      </c>
      <c r="BO2693">
        <v>772.53</v>
      </c>
      <c r="BP2693">
        <v>445.11</v>
      </c>
      <c r="BQ2693">
        <v>88.29</v>
      </c>
      <c r="BR2693">
        <v>9167.18</v>
      </c>
      <c r="BS2693">
        <v>305.87</v>
      </c>
      <c r="BT2693">
        <v>19.46</v>
      </c>
      <c r="BU2693">
        <v>7079</v>
      </c>
      <c r="BV2693">
        <v>6107.74</v>
      </c>
      <c r="BW2693">
        <v>844.74</v>
      </c>
      <c r="BX2693">
        <v>101.44</v>
      </c>
      <c r="BY2693">
        <v>2940.21</v>
      </c>
      <c r="BZ2693">
        <v>2517.5300000000002</v>
      </c>
      <c r="CA2693">
        <v>228.65</v>
      </c>
      <c r="CB2693">
        <v>37.119999999999997</v>
      </c>
      <c r="CC2693">
        <v>222.78</v>
      </c>
      <c r="CD2693">
        <v>156.94</v>
      </c>
      <c r="CE2693">
        <v>118.13</v>
      </c>
      <c r="CF2693">
        <v>103.38</v>
      </c>
      <c r="CG2693">
        <v>523.53</v>
      </c>
      <c r="CH2693">
        <v>91.27</v>
      </c>
      <c r="CI2693">
        <v>-21.04</v>
      </c>
      <c r="CJ2693">
        <v>110466</v>
      </c>
      <c r="CK2693">
        <v>26982</v>
      </c>
      <c r="CL2693" t="s">
        <v>12164</v>
      </c>
      <c r="CM2693">
        <v>32.83</v>
      </c>
      <c r="CN2693">
        <v>26.17</v>
      </c>
      <c r="CO2693">
        <v>1.1000000000000001</v>
      </c>
      <c r="CP2693">
        <v>9.08</v>
      </c>
      <c r="CQ2693">
        <v>0.28000000000000003</v>
      </c>
      <c r="CR2693">
        <v>4.41</v>
      </c>
      <c r="CS2693" t="s">
        <v>12165</v>
      </c>
      <c r="CT2693">
        <v>6.18</v>
      </c>
      <c r="CU2693">
        <v>6.18</v>
      </c>
      <c r="CV2693">
        <v>0.83</v>
      </c>
      <c r="CW2693">
        <v>4.3</v>
      </c>
      <c r="CX2693">
        <v>0.75</v>
      </c>
      <c r="CY2693">
        <v>7.43</v>
      </c>
      <c r="CZ2693" t="s">
        <v>12166</v>
      </c>
      <c r="DA2693">
        <v>14.38</v>
      </c>
      <c r="DB2693">
        <v>7.78</v>
      </c>
      <c r="DC2693">
        <v>4.0199999999999996</v>
      </c>
      <c r="DD2693">
        <v>5.23</v>
      </c>
      <c r="DE2693">
        <v>39091</v>
      </c>
      <c r="DF2693">
        <v>600606</v>
      </c>
      <c r="DG2693" t="s">
        <v>116</v>
      </c>
      <c r="DH2693" t="s">
        <v>116</v>
      </c>
      <c r="DI2693" t="s">
        <v>116</v>
      </c>
    </row>
    <row r="2694" spans="1:113" x14ac:dyDescent="0.4">
      <c r="A2694" t="str">
        <f>"600608"</f>
        <v>600608</v>
      </c>
      <c r="B2694" t="s">
        <v>12167</v>
      </c>
      <c r="C2694">
        <v>-0.43</v>
      </c>
      <c r="D2694">
        <v>4.68</v>
      </c>
      <c r="E2694">
        <v>-0.02</v>
      </c>
      <c r="F2694">
        <v>4.68</v>
      </c>
      <c r="G2694">
        <v>4.6900000000000004</v>
      </c>
      <c r="H2694">
        <v>12263</v>
      </c>
      <c r="I2694">
        <v>77</v>
      </c>
      <c r="J2694">
        <v>0</v>
      </c>
      <c r="K2694">
        <v>0.39</v>
      </c>
      <c r="L2694">
        <v>4.72</v>
      </c>
      <c r="M2694">
        <v>4.75</v>
      </c>
      <c r="N2694">
        <v>4.67</v>
      </c>
      <c r="O2694">
        <v>4.7</v>
      </c>
      <c r="P2694">
        <v>1005.93</v>
      </c>
      <c r="Q2694">
        <v>5772275</v>
      </c>
      <c r="R2694">
        <v>0.5</v>
      </c>
      <c r="S2694" t="s">
        <v>2118</v>
      </c>
      <c r="T2694" t="s">
        <v>1653</v>
      </c>
      <c r="U2694">
        <v>1.7</v>
      </c>
      <c r="V2694">
        <v>4.71</v>
      </c>
      <c r="W2694">
        <v>7481</v>
      </c>
      <c r="X2694">
        <v>4782</v>
      </c>
      <c r="Y2694">
        <v>1.56</v>
      </c>
      <c r="Z2694">
        <v>6</v>
      </c>
      <c r="AA2694">
        <v>274</v>
      </c>
      <c r="AB2694" t="s">
        <v>116</v>
      </c>
      <c r="AC2694">
        <v>0</v>
      </c>
      <c r="AD2694">
        <v>0</v>
      </c>
      <c r="AE2694" t="s">
        <v>116</v>
      </c>
      <c r="AF2694" t="s">
        <v>116</v>
      </c>
      <c r="AG2694">
        <v>3.18</v>
      </c>
      <c r="AH2694" t="s">
        <v>2067</v>
      </c>
      <c r="AI2694" t="s">
        <v>1435</v>
      </c>
      <c r="AJ2694">
        <v>-0.35</v>
      </c>
      <c r="AK2694">
        <v>289</v>
      </c>
      <c r="AL2694">
        <v>42</v>
      </c>
      <c r="AM2694">
        <v>1.2999999999999999E-3</v>
      </c>
      <c r="AN2694">
        <v>-1</v>
      </c>
      <c r="AO2694">
        <v>-2.7</v>
      </c>
      <c r="AP2694">
        <v>4.46</v>
      </c>
      <c r="AQ2694">
        <v>-5.07</v>
      </c>
      <c r="AR2694">
        <v>12.77</v>
      </c>
      <c r="AS2694">
        <v>0.48</v>
      </c>
      <c r="AT2694" t="s">
        <v>1656</v>
      </c>
      <c r="AU2694">
        <v>2489.9899999999998</v>
      </c>
      <c r="AV2694" t="s">
        <v>116</v>
      </c>
      <c r="AW2694">
        <v>0.52</v>
      </c>
      <c r="BA2694">
        <v>0.43</v>
      </c>
      <c r="BB2694">
        <v>1.06</v>
      </c>
      <c r="BC2694">
        <v>-0.64</v>
      </c>
      <c r="BD2694">
        <v>0.15</v>
      </c>
      <c r="BE2694">
        <v>-0.85</v>
      </c>
      <c r="BF2694">
        <v>-1.47</v>
      </c>
      <c r="BG2694">
        <v>0.21</v>
      </c>
      <c r="BH2694">
        <v>-0.56999999999999995</v>
      </c>
      <c r="BI2694">
        <v>20191029</v>
      </c>
      <c r="BJ2694">
        <v>19920327</v>
      </c>
      <c r="BK2694">
        <v>3.29</v>
      </c>
      <c r="BL2694" t="s">
        <v>116</v>
      </c>
      <c r="BM2694" t="s">
        <v>116</v>
      </c>
      <c r="BN2694">
        <v>1.74</v>
      </c>
      <c r="BO2694">
        <v>0.56999999999999995</v>
      </c>
      <c r="BP2694">
        <v>0.05</v>
      </c>
      <c r="BQ2694">
        <v>64.180000000000007</v>
      </c>
      <c r="BR2694">
        <v>1.73</v>
      </c>
      <c r="BS2694">
        <v>0</v>
      </c>
      <c r="BT2694">
        <v>0</v>
      </c>
      <c r="BU2694">
        <v>1.07</v>
      </c>
      <c r="BV2694">
        <v>0.63</v>
      </c>
      <c r="BW2694">
        <v>0.72</v>
      </c>
      <c r="BX2694">
        <v>4.49</v>
      </c>
      <c r="BY2694">
        <v>8.2799999999999994</v>
      </c>
      <c r="BZ2694">
        <v>8.18</v>
      </c>
      <c r="CA2694">
        <v>0.01</v>
      </c>
      <c r="CB2694">
        <v>0</v>
      </c>
      <c r="CC2694">
        <v>0.01</v>
      </c>
      <c r="CD2694">
        <v>0.01</v>
      </c>
      <c r="CE2694">
        <v>0.01</v>
      </c>
      <c r="CF2694">
        <v>0.01</v>
      </c>
      <c r="CG2694">
        <v>-7.67</v>
      </c>
      <c r="CH2694">
        <v>-0.13</v>
      </c>
      <c r="CI2694">
        <v>-0.13</v>
      </c>
      <c r="CJ2694">
        <v>19223</v>
      </c>
      <c r="CK2694">
        <v>13427</v>
      </c>
      <c r="CL2694" t="s">
        <v>11809</v>
      </c>
      <c r="CM2694">
        <v>157.46</v>
      </c>
      <c r="CN2694">
        <v>15.43</v>
      </c>
      <c r="CO2694">
        <v>26.8</v>
      </c>
      <c r="CP2694">
        <v>-115.81</v>
      </c>
      <c r="CQ2694">
        <v>1.86</v>
      </c>
      <c r="CR2694">
        <v>0</v>
      </c>
      <c r="CS2694" t="s">
        <v>350</v>
      </c>
      <c r="CT2694">
        <v>0.17</v>
      </c>
      <c r="CU2694">
        <v>0</v>
      </c>
      <c r="CV2694">
        <v>1.36</v>
      </c>
      <c r="CW2694">
        <v>-2.33</v>
      </c>
      <c r="CX2694">
        <v>-0.04</v>
      </c>
      <c r="CY2694">
        <v>33.090000000000003</v>
      </c>
      <c r="CZ2694" t="s">
        <v>8307</v>
      </c>
      <c r="DA2694">
        <v>1.1599999999999999</v>
      </c>
      <c r="DB2694">
        <v>0.13</v>
      </c>
      <c r="DC2694">
        <v>0.14000000000000001</v>
      </c>
      <c r="DD2694">
        <v>0</v>
      </c>
      <c r="DE2694">
        <v>29</v>
      </c>
      <c r="DF2694">
        <v>600608</v>
      </c>
      <c r="DG2694" t="s">
        <v>116</v>
      </c>
      <c r="DH2694" t="s">
        <v>116</v>
      </c>
      <c r="DI2694" t="s">
        <v>116</v>
      </c>
    </row>
    <row r="2695" spans="1:113" x14ac:dyDescent="0.4">
      <c r="A2695" t="str">
        <f>"600609"</f>
        <v>600609</v>
      </c>
      <c r="B2695" t="s">
        <v>12168</v>
      </c>
      <c r="C2695">
        <v>2.34</v>
      </c>
      <c r="D2695">
        <v>3.94</v>
      </c>
      <c r="E2695">
        <v>0.09</v>
      </c>
      <c r="F2695">
        <v>3.93</v>
      </c>
      <c r="G2695">
        <v>3.94</v>
      </c>
      <c r="H2695">
        <v>82954</v>
      </c>
      <c r="I2695">
        <v>1369</v>
      </c>
      <c r="J2695">
        <v>0.25</v>
      </c>
      <c r="K2695">
        <v>0.76</v>
      </c>
      <c r="L2695">
        <v>3.86</v>
      </c>
      <c r="M2695">
        <v>4.05</v>
      </c>
      <c r="N2695">
        <v>3.84</v>
      </c>
      <c r="O2695">
        <v>3.85</v>
      </c>
      <c r="P2695">
        <v>59.65</v>
      </c>
      <c r="Q2695">
        <v>32849012</v>
      </c>
      <c r="R2695">
        <v>1.91</v>
      </c>
      <c r="S2695" t="s">
        <v>293</v>
      </c>
      <c r="T2695" t="s">
        <v>434</v>
      </c>
      <c r="U2695">
        <v>5.45</v>
      </c>
      <c r="V2695">
        <v>3.96</v>
      </c>
      <c r="W2695">
        <v>39640</v>
      </c>
      <c r="X2695">
        <v>43314</v>
      </c>
      <c r="Y2695">
        <v>0.92</v>
      </c>
      <c r="Z2695">
        <v>886</v>
      </c>
      <c r="AA2695">
        <v>862</v>
      </c>
      <c r="AB2695" t="s">
        <v>116</v>
      </c>
      <c r="AC2695">
        <v>113900</v>
      </c>
      <c r="AD2695">
        <v>0</v>
      </c>
      <c r="AE2695" t="s">
        <v>116</v>
      </c>
      <c r="AF2695" t="s">
        <v>116</v>
      </c>
      <c r="AG2695">
        <v>10.93</v>
      </c>
      <c r="AH2695" t="s">
        <v>12169</v>
      </c>
      <c r="AI2695" t="s">
        <v>12169</v>
      </c>
      <c r="AJ2695">
        <v>2.41</v>
      </c>
      <c r="AK2695">
        <v>1029</v>
      </c>
      <c r="AL2695">
        <v>81</v>
      </c>
      <c r="AM2695">
        <v>6.9999999999999999E-4</v>
      </c>
      <c r="AN2695">
        <v>4</v>
      </c>
      <c r="AO2695">
        <v>4.24</v>
      </c>
      <c r="AP2695">
        <v>5.07</v>
      </c>
      <c r="AQ2695">
        <v>0.25</v>
      </c>
      <c r="AR2695">
        <v>27.1</v>
      </c>
      <c r="AS2695">
        <v>1.29</v>
      </c>
      <c r="AT2695" t="s">
        <v>2353</v>
      </c>
      <c r="AU2695">
        <v>69.75</v>
      </c>
      <c r="AV2695">
        <v>53.31</v>
      </c>
      <c r="AW2695">
        <v>0.78</v>
      </c>
      <c r="BA2695">
        <v>0.26</v>
      </c>
      <c r="BB2695">
        <v>5.19</v>
      </c>
      <c r="BC2695">
        <v>-0.26</v>
      </c>
      <c r="BD2695">
        <v>2.85</v>
      </c>
      <c r="BE2695">
        <v>2.0699999999999998</v>
      </c>
      <c r="BF2695">
        <v>-2.72</v>
      </c>
      <c r="BG2695">
        <v>2.6</v>
      </c>
      <c r="BH2695">
        <v>-0.52</v>
      </c>
      <c r="BI2695">
        <v>20191031</v>
      </c>
      <c r="BJ2695">
        <v>19920724</v>
      </c>
      <c r="BK2695">
        <v>10.93</v>
      </c>
      <c r="BL2695" t="s">
        <v>116</v>
      </c>
      <c r="BM2695" t="s">
        <v>116</v>
      </c>
      <c r="BN2695">
        <v>60.39</v>
      </c>
      <c r="BO2695">
        <v>4.18</v>
      </c>
      <c r="BP2695">
        <v>5.81</v>
      </c>
      <c r="BQ2695">
        <v>83.45</v>
      </c>
      <c r="BR2695">
        <v>46.58</v>
      </c>
      <c r="BS2695">
        <v>6.09</v>
      </c>
      <c r="BT2695">
        <v>0.79</v>
      </c>
      <c r="BU2695">
        <v>47.12</v>
      </c>
      <c r="BV2695">
        <v>4.25</v>
      </c>
      <c r="BW2695">
        <v>12.85</v>
      </c>
      <c r="BX2695">
        <v>11.76</v>
      </c>
      <c r="BY2695">
        <v>44.59</v>
      </c>
      <c r="BZ2695">
        <v>39.04</v>
      </c>
      <c r="CA2695">
        <v>2.69</v>
      </c>
      <c r="CB2695">
        <v>0.35</v>
      </c>
      <c r="CC2695">
        <v>2.76</v>
      </c>
      <c r="CD2695">
        <v>2.15</v>
      </c>
      <c r="CE2695">
        <v>0.54</v>
      </c>
      <c r="CF2695">
        <v>0.23</v>
      </c>
      <c r="CG2695">
        <v>-22.99</v>
      </c>
      <c r="CH2695">
        <v>3.14</v>
      </c>
      <c r="CI2695">
        <v>5.49</v>
      </c>
      <c r="CJ2695">
        <v>50631</v>
      </c>
      <c r="CK2695">
        <v>12724</v>
      </c>
      <c r="CL2695" t="s">
        <v>3552</v>
      </c>
      <c r="CM2695">
        <v>-26.02</v>
      </c>
      <c r="CN2695">
        <v>0.39</v>
      </c>
      <c r="CO2695">
        <v>10.3</v>
      </c>
      <c r="CP2695">
        <v>13.7</v>
      </c>
      <c r="CQ2695">
        <v>0.97</v>
      </c>
      <c r="CR2695">
        <v>0</v>
      </c>
      <c r="CS2695" t="s">
        <v>365</v>
      </c>
      <c r="CT2695">
        <v>0.38</v>
      </c>
      <c r="CU2695">
        <v>0</v>
      </c>
      <c r="CV2695">
        <v>1.08</v>
      </c>
      <c r="CW2695">
        <v>-2.1</v>
      </c>
      <c r="CX2695">
        <v>0.28999999999999998</v>
      </c>
      <c r="CY2695">
        <v>6.92</v>
      </c>
      <c r="CZ2695" t="s">
        <v>10618</v>
      </c>
      <c r="DA2695">
        <v>12.45</v>
      </c>
      <c r="DB2695">
        <v>6.04</v>
      </c>
      <c r="DC2695">
        <v>1.21</v>
      </c>
      <c r="DD2695">
        <v>0.16</v>
      </c>
      <c r="DE2695">
        <v>3588</v>
      </c>
      <c r="DF2695">
        <v>600609</v>
      </c>
      <c r="DG2695" t="s">
        <v>116</v>
      </c>
      <c r="DH2695" t="s">
        <v>116</v>
      </c>
      <c r="DI2695" t="s">
        <v>116</v>
      </c>
    </row>
    <row r="2696" spans="1:113" x14ac:dyDescent="0.4">
      <c r="A2696" t="str">
        <f>"600611"</f>
        <v>600611</v>
      </c>
      <c r="B2696" t="s">
        <v>12170</v>
      </c>
      <c r="C2696">
        <v>-0.25</v>
      </c>
      <c r="D2696">
        <v>4.01</v>
      </c>
      <c r="E2696">
        <v>-0.01</v>
      </c>
      <c r="F2696">
        <v>4.01</v>
      </c>
      <c r="G2696">
        <v>4.0199999999999996</v>
      </c>
      <c r="H2696">
        <v>68215</v>
      </c>
      <c r="I2696">
        <v>738</v>
      </c>
      <c r="J2696">
        <v>-0.24</v>
      </c>
      <c r="K2696">
        <v>0.44</v>
      </c>
      <c r="L2696">
        <v>4.01</v>
      </c>
      <c r="M2696">
        <v>4.04</v>
      </c>
      <c r="N2696">
        <v>4</v>
      </c>
      <c r="O2696">
        <v>4.0199999999999996</v>
      </c>
      <c r="P2696">
        <v>10.27</v>
      </c>
      <c r="Q2696">
        <v>27454924</v>
      </c>
      <c r="R2696">
        <v>1.17</v>
      </c>
      <c r="S2696" t="s">
        <v>6225</v>
      </c>
      <c r="T2696" t="s">
        <v>1653</v>
      </c>
      <c r="U2696">
        <v>1</v>
      </c>
      <c r="V2696">
        <v>4.0199999999999996</v>
      </c>
      <c r="W2696">
        <v>38296</v>
      </c>
      <c r="X2696">
        <v>29919</v>
      </c>
      <c r="Y2696">
        <v>1.28</v>
      </c>
      <c r="Z2696">
        <v>890</v>
      </c>
      <c r="AA2696">
        <v>3272</v>
      </c>
      <c r="AB2696" t="s">
        <v>116</v>
      </c>
      <c r="AC2696">
        <v>189300</v>
      </c>
      <c r="AD2696">
        <v>0</v>
      </c>
      <c r="AE2696" t="s">
        <v>116</v>
      </c>
      <c r="AF2696" t="s">
        <v>116</v>
      </c>
      <c r="AG2696">
        <v>15.63</v>
      </c>
      <c r="AH2696" t="s">
        <v>12171</v>
      </c>
      <c r="AI2696" t="s">
        <v>12172</v>
      </c>
      <c r="AJ2696">
        <v>-0.17</v>
      </c>
      <c r="AK2696">
        <v>748</v>
      </c>
      <c r="AL2696">
        <v>91</v>
      </c>
      <c r="AM2696">
        <v>5.9999999999999995E-4</v>
      </c>
      <c r="AN2696">
        <v>-1</v>
      </c>
      <c r="AO2696">
        <v>0</v>
      </c>
      <c r="AP2696">
        <v>1.26</v>
      </c>
      <c r="AQ2696">
        <v>-1.47</v>
      </c>
      <c r="AR2696">
        <v>3.62</v>
      </c>
      <c r="AS2696">
        <v>0.63</v>
      </c>
      <c r="AT2696" t="s">
        <v>12173</v>
      </c>
      <c r="AU2696">
        <v>9.51</v>
      </c>
      <c r="AV2696">
        <v>10.75</v>
      </c>
      <c r="AW2696">
        <v>0.83</v>
      </c>
      <c r="BA2696">
        <v>-0.25</v>
      </c>
      <c r="BB2696">
        <v>0.5</v>
      </c>
      <c r="BC2696">
        <v>-0.5</v>
      </c>
      <c r="BD2696">
        <v>0.12</v>
      </c>
      <c r="BE2696">
        <v>0</v>
      </c>
      <c r="BF2696">
        <v>-0.74</v>
      </c>
      <c r="BG2696">
        <v>0.25</v>
      </c>
      <c r="BH2696">
        <v>-0.37</v>
      </c>
      <c r="BI2696">
        <v>20191031</v>
      </c>
      <c r="BJ2696">
        <v>19920807</v>
      </c>
      <c r="BK2696">
        <v>23.64</v>
      </c>
      <c r="BL2696">
        <v>8.01</v>
      </c>
      <c r="BM2696" t="s">
        <v>116</v>
      </c>
      <c r="BN2696">
        <v>167.25</v>
      </c>
      <c r="BO2696">
        <v>91.29</v>
      </c>
      <c r="BP2696">
        <v>5.23</v>
      </c>
      <c r="BQ2696">
        <v>42.29</v>
      </c>
      <c r="BR2696">
        <v>96.69</v>
      </c>
      <c r="BS2696">
        <v>22.57</v>
      </c>
      <c r="BT2696">
        <v>12.76</v>
      </c>
      <c r="BU2696">
        <v>52.87</v>
      </c>
      <c r="BV2696">
        <v>37.69</v>
      </c>
      <c r="BW2696">
        <v>1.5</v>
      </c>
      <c r="BX2696">
        <v>7.0000000000000007E-2</v>
      </c>
      <c r="BY2696">
        <v>22.34</v>
      </c>
      <c r="BZ2696">
        <v>15.13</v>
      </c>
      <c r="CA2696">
        <v>9.69</v>
      </c>
      <c r="CB2696">
        <v>1.96</v>
      </c>
      <c r="CC2696">
        <v>9.67</v>
      </c>
      <c r="CD2696">
        <v>7.47</v>
      </c>
      <c r="CE2696">
        <v>6.92</v>
      </c>
      <c r="CF2696">
        <v>2.5299999999999998</v>
      </c>
      <c r="CG2696">
        <v>54.09</v>
      </c>
      <c r="CH2696">
        <v>-6.34</v>
      </c>
      <c r="CI2696">
        <v>-5.71</v>
      </c>
      <c r="CJ2696">
        <v>148456</v>
      </c>
      <c r="CK2696">
        <v>12737</v>
      </c>
      <c r="CL2696" t="s">
        <v>3637</v>
      </c>
      <c r="CM2696">
        <v>19.89</v>
      </c>
      <c r="CN2696">
        <v>-4.6399999999999997</v>
      </c>
      <c r="CO2696">
        <v>1.04</v>
      </c>
      <c r="CP2696">
        <v>-14.94</v>
      </c>
      <c r="CQ2696">
        <v>4.24</v>
      </c>
      <c r="CR2696">
        <v>2.99</v>
      </c>
      <c r="CS2696" t="s">
        <v>2418</v>
      </c>
      <c r="CT2696">
        <v>3.86</v>
      </c>
      <c r="CU2696">
        <v>0</v>
      </c>
      <c r="CV2696">
        <v>0</v>
      </c>
      <c r="CW2696">
        <v>2.29</v>
      </c>
      <c r="CX2696">
        <v>-0.27</v>
      </c>
      <c r="CY2696">
        <v>54.58</v>
      </c>
      <c r="CZ2696" t="s">
        <v>10314</v>
      </c>
      <c r="DA2696">
        <v>32.28</v>
      </c>
      <c r="DB2696">
        <v>43.36</v>
      </c>
      <c r="DC2696">
        <v>31</v>
      </c>
      <c r="DD2696">
        <v>0.04</v>
      </c>
      <c r="DE2696">
        <v>10460</v>
      </c>
      <c r="DF2696">
        <v>600611</v>
      </c>
      <c r="DG2696" t="s">
        <v>116</v>
      </c>
      <c r="DH2696" t="s">
        <v>116</v>
      </c>
      <c r="DI2696" t="s">
        <v>116</v>
      </c>
    </row>
    <row r="2697" spans="1:113" x14ac:dyDescent="0.4">
      <c r="A2697" t="str">
        <f>"600612"</f>
        <v>600612</v>
      </c>
      <c r="B2697" t="s">
        <v>12174</v>
      </c>
      <c r="C2697">
        <v>0.59</v>
      </c>
      <c r="D2697">
        <v>47.37</v>
      </c>
      <c r="E2697">
        <v>0.28000000000000003</v>
      </c>
      <c r="F2697">
        <v>47.36</v>
      </c>
      <c r="G2697">
        <v>47.37</v>
      </c>
      <c r="H2697">
        <v>25824</v>
      </c>
      <c r="I2697">
        <v>197</v>
      </c>
      <c r="J2697">
        <v>-0.01</v>
      </c>
      <c r="K2697">
        <v>0.81</v>
      </c>
      <c r="L2697">
        <v>47.22</v>
      </c>
      <c r="M2697">
        <v>47.78</v>
      </c>
      <c r="N2697">
        <v>47.22</v>
      </c>
      <c r="O2697">
        <v>47.09</v>
      </c>
      <c r="P2697">
        <v>15.94</v>
      </c>
      <c r="Q2697">
        <v>122849016</v>
      </c>
      <c r="R2697">
        <v>1.1100000000000001</v>
      </c>
      <c r="S2697" t="s">
        <v>3070</v>
      </c>
      <c r="T2697" t="s">
        <v>1653</v>
      </c>
      <c r="U2697">
        <v>1.19</v>
      </c>
      <c r="V2697">
        <v>47.57</v>
      </c>
      <c r="W2697">
        <v>9975</v>
      </c>
      <c r="X2697">
        <v>15852</v>
      </c>
      <c r="Y2697">
        <v>0.63</v>
      </c>
      <c r="Z2697">
        <v>156</v>
      </c>
      <c r="AA2697">
        <v>78</v>
      </c>
      <c r="AB2697" t="s">
        <v>116</v>
      </c>
      <c r="AC2697">
        <v>491100</v>
      </c>
      <c r="AD2697">
        <v>0.01</v>
      </c>
      <c r="AE2697" t="s">
        <v>116</v>
      </c>
      <c r="AF2697" t="s">
        <v>116</v>
      </c>
      <c r="AG2697">
        <v>3.17</v>
      </c>
      <c r="AH2697" t="s">
        <v>12175</v>
      </c>
      <c r="AI2697" t="s">
        <v>12176</v>
      </c>
      <c r="AJ2697">
        <v>0.67</v>
      </c>
      <c r="AK2697">
        <v>2903</v>
      </c>
      <c r="AL2697">
        <v>9</v>
      </c>
      <c r="AM2697">
        <v>2.9999999999999997E-4</v>
      </c>
      <c r="AN2697">
        <v>2</v>
      </c>
      <c r="AO2697">
        <v>0.45</v>
      </c>
      <c r="AP2697">
        <v>-1.1100000000000001</v>
      </c>
      <c r="AQ2697">
        <v>-4.46</v>
      </c>
      <c r="AR2697">
        <v>7.9</v>
      </c>
      <c r="AS2697">
        <v>2.66</v>
      </c>
      <c r="AT2697" t="s">
        <v>12177</v>
      </c>
      <c r="AU2697">
        <v>17.920000000000002</v>
      </c>
      <c r="AV2697">
        <v>20.57</v>
      </c>
      <c r="AW2697">
        <v>0.05</v>
      </c>
      <c r="BA2697">
        <v>0.28000000000000003</v>
      </c>
      <c r="BB2697">
        <v>1.47</v>
      </c>
      <c r="BC2697">
        <v>0.28000000000000003</v>
      </c>
      <c r="BD2697">
        <v>1.02</v>
      </c>
      <c r="BE2697">
        <v>0.32</v>
      </c>
      <c r="BF2697">
        <v>-0.86</v>
      </c>
      <c r="BG2697">
        <v>0.32</v>
      </c>
      <c r="BH2697">
        <v>-0.43</v>
      </c>
      <c r="BI2697">
        <v>20191028</v>
      </c>
      <c r="BJ2697">
        <v>19920814</v>
      </c>
      <c r="BK2697">
        <v>5.23</v>
      </c>
      <c r="BL2697">
        <v>2.06</v>
      </c>
      <c r="BM2697" t="s">
        <v>116</v>
      </c>
      <c r="BN2697">
        <v>186.05</v>
      </c>
      <c r="BO2697">
        <v>67.790000000000006</v>
      </c>
      <c r="BP2697">
        <v>12.73</v>
      </c>
      <c r="BQ2697">
        <v>56.72</v>
      </c>
      <c r="BR2697">
        <v>177.66</v>
      </c>
      <c r="BS2697">
        <v>3.36</v>
      </c>
      <c r="BT2697">
        <v>0.94</v>
      </c>
      <c r="BU2697">
        <v>94.06</v>
      </c>
      <c r="BV2697">
        <v>81.58</v>
      </c>
      <c r="BW2697">
        <v>40.83</v>
      </c>
      <c r="BX2697">
        <v>5.12</v>
      </c>
      <c r="BY2697">
        <v>421.29</v>
      </c>
      <c r="BZ2697">
        <v>385.57</v>
      </c>
      <c r="CA2697">
        <v>20.38</v>
      </c>
      <c r="CB2697">
        <v>-1.76</v>
      </c>
      <c r="CC2697">
        <v>20.58</v>
      </c>
      <c r="CD2697">
        <v>15.29</v>
      </c>
      <c r="CE2697">
        <v>11.66</v>
      </c>
      <c r="CF2697">
        <v>11.25</v>
      </c>
      <c r="CG2697">
        <v>54.11</v>
      </c>
      <c r="CH2697">
        <v>-11.27</v>
      </c>
      <c r="CI2697">
        <v>4.62</v>
      </c>
      <c r="CJ2697">
        <v>40439</v>
      </c>
      <c r="CK2697">
        <v>7491</v>
      </c>
      <c r="CL2697" t="s">
        <v>12178</v>
      </c>
      <c r="CM2697">
        <v>18.010000000000002</v>
      </c>
      <c r="CN2697">
        <v>15.41</v>
      </c>
      <c r="CO2697">
        <v>3.66</v>
      </c>
      <c r="CP2697">
        <v>-21.99</v>
      </c>
      <c r="CQ2697">
        <v>0.59</v>
      </c>
      <c r="CR2697">
        <v>2.3199999999999998</v>
      </c>
      <c r="CS2697" t="s">
        <v>12179</v>
      </c>
      <c r="CT2697">
        <v>12.96</v>
      </c>
      <c r="CU2697">
        <v>0</v>
      </c>
      <c r="CV2697">
        <v>0.98</v>
      </c>
      <c r="CW2697">
        <v>10.34</v>
      </c>
      <c r="CX2697">
        <v>-2.15</v>
      </c>
      <c r="CY2697">
        <v>36.44</v>
      </c>
      <c r="CZ2697" t="s">
        <v>12180</v>
      </c>
      <c r="DA2697">
        <v>8.48</v>
      </c>
      <c r="DB2697">
        <v>4.84</v>
      </c>
      <c r="DC2697">
        <v>2.77</v>
      </c>
      <c r="DD2697">
        <v>0.16</v>
      </c>
      <c r="DE2697">
        <v>2504</v>
      </c>
      <c r="DF2697">
        <v>600612</v>
      </c>
      <c r="DG2697" t="s">
        <v>116</v>
      </c>
      <c r="DH2697" t="s">
        <v>116</v>
      </c>
      <c r="DI2697" t="s">
        <v>116</v>
      </c>
    </row>
    <row r="2698" spans="1:113" x14ac:dyDescent="0.4">
      <c r="A2698" t="str">
        <f>"600613"</f>
        <v>600613</v>
      </c>
      <c r="B2698" t="s">
        <v>12181</v>
      </c>
      <c r="C2698">
        <v>-0.59</v>
      </c>
      <c r="D2698">
        <v>6.77</v>
      </c>
      <c r="E2698">
        <v>-0.04</v>
      </c>
      <c r="F2698">
        <v>6.77</v>
      </c>
      <c r="G2698">
        <v>6.78</v>
      </c>
      <c r="H2698">
        <v>26515</v>
      </c>
      <c r="I2698">
        <v>266</v>
      </c>
      <c r="J2698">
        <v>-0.14000000000000001</v>
      </c>
      <c r="K2698">
        <v>0.55000000000000004</v>
      </c>
      <c r="L2698">
        <v>6.81</v>
      </c>
      <c r="M2698">
        <v>6.88</v>
      </c>
      <c r="N2698">
        <v>6.77</v>
      </c>
      <c r="O2698">
        <v>6.81</v>
      </c>
      <c r="P2698">
        <v>32.880000000000003</v>
      </c>
      <c r="Q2698">
        <v>18119998</v>
      </c>
      <c r="R2698">
        <v>1</v>
      </c>
      <c r="S2698" t="s">
        <v>781</v>
      </c>
      <c r="T2698" t="s">
        <v>1653</v>
      </c>
      <c r="U2698">
        <v>1.62</v>
      </c>
      <c r="V2698">
        <v>6.83</v>
      </c>
      <c r="W2698">
        <v>16257</v>
      </c>
      <c r="X2698">
        <v>10258</v>
      </c>
      <c r="Y2698">
        <v>1.58</v>
      </c>
      <c r="Z2698">
        <v>207</v>
      </c>
      <c r="AA2698">
        <v>407</v>
      </c>
      <c r="AB2698" t="s">
        <v>116</v>
      </c>
      <c r="AC2698">
        <v>0</v>
      </c>
      <c r="AD2698">
        <v>0</v>
      </c>
      <c r="AE2698" t="s">
        <v>116</v>
      </c>
      <c r="AF2698" t="s">
        <v>116</v>
      </c>
      <c r="AG2698">
        <v>4.79</v>
      </c>
      <c r="AH2698" t="s">
        <v>12182</v>
      </c>
      <c r="AI2698" t="s">
        <v>6379</v>
      </c>
      <c r="AJ2698">
        <v>-0.51</v>
      </c>
      <c r="AK2698">
        <v>799</v>
      </c>
      <c r="AL2698">
        <v>33</v>
      </c>
      <c r="AM2698">
        <v>6.9999999999999999E-4</v>
      </c>
      <c r="AN2698">
        <v>-1</v>
      </c>
      <c r="AO2698">
        <v>-0.15</v>
      </c>
      <c r="AP2698">
        <v>4.4800000000000004</v>
      </c>
      <c r="AQ2698">
        <v>-1.31</v>
      </c>
      <c r="AR2698">
        <v>37.880000000000003</v>
      </c>
      <c r="AS2698">
        <v>1.52</v>
      </c>
      <c r="AT2698" t="s">
        <v>6896</v>
      </c>
      <c r="AU2698">
        <v>29.19</v>
      </c>
      <c r="AV2698">
        <v>34.08</v>
      </c>
      <c r="AW2698">
        <v>1.1399999999999999</v>
      </c>
      <c r="BA2698">
        <v>0</v>
      </c>
      <c r="BB2698">
        <v>1.03</v>
      </c>
      <c r="BC2698">
        <v>-0.59</v>
      </c>
      <c r="BD2698">
        <v>0.35</v>
      </c>
      <c r="BE2698">
        <v>-0.59</v>
      </c>
      <c r="BF2698">
        <v>-1.6</v>
      </c>
      <c r="BG2698">
        <v>0</v>
      </c>
      <c r="BH2698">
        <v>-0.94</v>
      </c>
      <c r="BI2698">
        <v>20191031</v>
      </c>
      <c r="BJ2698">
        <v>19920820</v>
      </c>
      <c r="BK2698">
        <v>5.34</v>
      </c>
      <c r="BL2698">
        <v>0.55000000000000004</v>
      </c>
      <c r="BM2698" t="s">
        <v>116</v>
      </c>
      <c r="BN2698">
        <v>35.86</v>
      </c>
      <c r="BO2698">
        <v>26.19</v>
      </c>
      <c r="BP2698">
        <v>0.54</v>
      </c>
      <c r="BQ2698">
        <v>25.44</v>
      </c>
      <c r="BR2698">
        <v>20.75</v>
      </c>
      <c r="BS2698">
        <v>4.37</v>
      </c>
      <c r="BT2698">
        <v>1.24</v>
      </c>
      <c r="BU2698">
        <v>7.67</v>
      </c>
      <c r="BV2698">
        <v>2.08</v>
      </c>
      <c r="BW2698">
        <v>7.82</v>
      </c>
      <c r="BX2698">
        <v>9.69</v>
      </c>
      <c r="BY2698">
        <v>14.21</v>
      </c>
      <c r="BZ2698">
        <v>5.69</v>
      </c>
      <c r="CA2698">
        <v>0.98</v>
      </c>
      <c r="CB2698">
        <v>0</v>
      </c>
      <c r="CC2698">
        <v>0.99</v>
      </c>
      <c r="CD2698">
        <v>0.78</v>
      </c>
      <c r="CE2698">
        <v>0.82</v>
      </c>
      <c r="CF2698">
        <v>0.81</v>
      </c>
      <c r="CG2698">
        <v>10.07</v>
      </c>
      <c r="CH2698">
        <v>1.06</v>
      </c>
      <c r="CI2698">
        <v>2.31</v>
      </c>
      <c r="CJ2698">
        <v>49104</v>
      </c>
      <c r="CK2698">
        <v>4672</v>
      </c>
      <c r="CL2698" t="s">
        <v>12183</v>
      </c>
      <c r="CM2698">
        <v>27.44</v>
      </c>
      <c r="CN2698">
        <v>9.7899999999999991</v>
      </c>
      <c r="CO2698">
        <v>1.38</v>
      </c>
      <c r="CP2698">
        <v>34.26</v>
      </c>
      <c r="CQ2698">
        <v>2.54</v>
      </c>
      <c r="CR2698">
        <v>0</v>
      </c>
      <c r="CS2698" t="s">
        <v>4635</v>
      </c>
      <c r="CT2698">
        <v>4.9000000000000004</v>
      </c>
      <c r="CU2698">
        <v>0</v>
      </c>
      <c r="CV2698">
        <v>1.81</v>
      </c>
      <c r="CW2698">
        <v>1.88</v>
      </c>
      <c r="CX2698">
        <v>0.2</v>
      </c>
      <c r="CY2698">
        <v>73.05</v>
      </c>
      <c r="CZ2698" t="s">
        <v>4801</v>
      </c>
      <c r="DA2698">
        <v>59.96</v>
      </c>
      <c r="DB2698">
        <v>6.9</v>
      </c>
      <c r="DC2698">
        <v>5.81</v>
      </c>
      <c r="DD2698">
        <v>0.2</v>
      </c>
      <c r="DE2698">
        <v>1432</v>
      </c>
      <c r="DF2698">
        <v>600613</v>
      </c>
      <c r="DG2698" t="s">
        <v>116</v>
      </c>
      <c r="DH2698" t="s">
        <v>116</v>
      </c>
      <c r="DI2698" t="s">
        <v>116</v>
      </c>
    </row>
    <row r="2699" spans="1:113" x14ac:dyDescent="0.4">
      <c r="A2699" t="str">
        <f>"600614"</f>
        <v>600614</v>
      </c>
      <c r="B2699" t="s">
        <v>12184</v>
      </c>
      <c r="C2699">
        <v>-5.24</v>
      </c>
      <c r="D2699">
        <v>1.81</v>
      </c>
      <c r="E2699">
        <v>-0.1</v>
      </c>
      <c r="F2699" t="s">
        <v>116</v>
      </c>
      <c r="G2699">
        <v>1.81</v>
      </c>
      <c r="H2699">
        <v>645635</v>
      </c>
      <c r="I2699">
        <v>2513</v>
      </c>
      <c r="J2699">
        <v>0</v>
      </c>
      <c r="K2699">
        <v>4.2699999999999996</v>
      </c>
      <c r="L2699">
        <v>1.84</v>
      </c>
      <c r="M2699">
        <v>1.88</v>
      </c>
      <c r="N2699">
        <v>1.81</v>
      </c>
      <c r="O2699">
        <v>1.91</v>
      </c>
      <c r="P2699" t="s">
        <v>116</v>
      </c>
      <c r="Q2699">
        <v>117587368</v>
      </c>
      <c r="R2699">
        <v>2.0299999999999998</v>
      </c>
      <c r="S2699" t="s">
        <v>173</v>
      </c>
      <c r="T2699" t="s">
        <v>1653</v>
      </c>
      <c r="U2699">
        <v>3.66</v>
      </c>
      <c r="V2699">
        <v>1.82</v>
      </c>
      <c r="W2699">
        <v>313430</v>
      </c>
      <c r="X2699">
        <v>332204</v>
      </c>
      <c r="Y2699">
        <v>0.94</v>
      </c>
      <c r="Z2699">
        <v>0</v>
      </c>
      <c r="AA2699">
        <v>26258</v>
      </c>
      <c r="AB2699" t="s">
        <v>116</v>
      </c>
      <c r="AC2699">
        <v>4208100</v>
      </c>
      <c r="AD2699">
        <v>0.27</v>
      </c>
      <c r="AE2699">
        <v>0.04</v>
      </c>
      <c r="AF2699">
        <v>4752698</v>
      </c>
      <c r="AG2699">
        <v>15.11</v>
      </c>
      <c r="AH2699" t="s">
        <v>8071</v>
      </c>
      <c r="AI2699" t="s">
        <v>12185</v>
      </c>
      <c r="AJ2699">
        <v>-5.16</v>
      </c>
      <c r="AK2699">
        <v>2464</v>
      </c>
      <c r="AL2699">
        <v>262</v>
      </c>
      <c r="AM2699">
        <v>1.6999999999999999E-3</v>
      </c>
      <c r="AN2699">
        <v>-2</v>
      </c>
      <c r="AO2699">
        <v>-2.17</v>
      </c>
      <c r="AP2699">
        <v>96.74</v>
      </c>
      <c r="AQ2699">
        <v>54.7</v>
      </c>
      <c r="AR2699">
        <v>-49.58</v>
      </c>
      <c r="AS2699">
        <v>7.62</v>
      </c>
      <c r="AT2699" t="s">
        <v>12186</v>
      </c>
      <c r="AU2699" t="s">
        <v>116</v>
      </c>
      <c r="AV2699" t="s">
        <v>116</v>
      </c>
      <c r="AW2699">
        <v>0.7</v>
      </c>
      <c r="BA2699">
        <v>-3.66</v>
      </c>
      <c r="BB2699">
        <v>-1.57</v>
      </c>
      <c r="BC2699">
        <v>-5.24</v>
      </c>
      <c r="BD2699">
        <v>-4.6500000000000004</v>
      </c>
      <c r="BE2699">
        <v>-1.63</v>
      </c>
      <c r="BF2699">
        <v>-3.72</v>
      </c>
      <c r="BG2699">
        <v>0</v>
      </c>
      <c r="BH2699">
        <v>-0.59</v>
      </c>
      <c r="BI2699">
        <v>20191031</v>
      </c>
      <c r="BJ2699">
        <v>19920828</v>
      </c>
      <c r="BK2699">
        <v>17.53</v>
      </c>
      <c r="BL2699">
        <v>2.41</v>
      </c>
      <c r="BM2699" t="s">
        <v>116</v>
      </c>
      <c r="BN2699">
        <v>47.23</v>
      </c>
      <c r="BO2699">
        <v>10.029999999999999</v>
      </c>
      <c r="BP2699">
        <v>1.36</v>
      </c>
      <c r="BQ2699">
        <v>75.88</v>
      </c>
      <c r="BR2699">
        <v>23.17</v>
      </c>
      <c r="BS2699">
        <v>11.43</v>
      </c>
      <c r="BT2699">
        <v>2.11</v>
      </c>
      <c r="BU2699">
        <v>29.94</v>
      </c>
      <c r="BV2699">
        <v>13.89</v>
      </c>
      <c r="BW2699">
        <v>5.04</v>
      </c>
      <c r="BX2699">
        <v>25.56</v>
      </c>
      <c r="BY2699">
        <v>12.4</v>
      </c>
      <c r="BZ2699">
        <v>11.25</v>
      </c>
      <c r="CA2699">
        <v>-0.99</v>
      </c>
      <c r="CB2699">
        <v>-0.04</v>
      </c>
      <c r="CC2699">
        <v>-1.1299999999999999</v>
      </c>
      <c r="CD2699">
        <v>-1.1100000000000001</v>
      </c>
      <c r="CE2699">
        <v>-1.07</v>
      </c>
      <c r="CF2699">
        <v>-1.04</v>
      </c>
      <c r="CG2699">
        <v>-33.130000000000003</v>
      </c>
      <c r="CH2699">
        <v>-0.09</v>
      </c>
      <c r="CI2699">
        <v>-0.13</v>
      </c>
      <c r="CJ2699">
        <v>61481</v>
      </c>
      <c r="CK2699">
        <v>17710</v>
      </c>
      <c r="CL2699" t="s">
        <v>12187</v>
      </c>
      <c r="CM2699">
        <v>-167.25</v>
      </c>
      <c r="CN2699">
        <v>-24.19</v>
      </c>
      <c r="CO2699">
        <v>3.16</v>
      </c>
      <c r="CP2699">
        <v>-349.25</v>
      </c>
      <c r="CQ2699">
        <v>2.56</v>
      </c>
      <c r="CR2699">
        <v>0</v>
      </c>
      <c r="CS2699" t="s">
        <v>2794</v>
      </c>
      <c r="CT2699">
        <v>0.56999999999999995</v>
      </c>
      <c r="CU2699">
        <v>0</v>
      </c>
      <c r="CV2699">
        <v>1.46</v>
      </c>
      <c r="CW2699">
        <v>-1.89</v>
      </c>
      <c r="CX2699">
        <v>-0.01</v>
      </c>
      <c r="CY2699">
        <v>21.23</v>
      </c>
      <c r="CZ2699" t="s">
        <v>12188</v>
      </c>
      <c r="DA2699">
        <v>9.24</v>
      </c>
      <c r="DB2699">
        <v>-8.02</v>
      </c>
      <c r="DC2699">
        <v>-8.67</v>
      </c>
      <c r="DD2699">
        <v>0.33</v>
      </c>
      <c r="DE2699">
        <v>1228</v>
      </c>
      <c r="DF2699">
        <v>600614</v>
      </c>
      <c r="DG2699" t="s">
        <v>116</v>
      </c>
      <c r="DH2699" t="s">
        <v>116</v>
      </c>
      <c r="DI2699" t="s">
        <v>116</v>
      </c>
    </row>
    <row r="2700" spans="1:113" x14ac:dyDescent="0.4">
      <c r="A2700" t="str">
        <f>"600615"</f>
        <v>600615</v>
      </c>
      <c r="B2700" t="s">
        <v>12189</v>
      </c>
      <c r="C2700">
        <v>0.79</v>
      </c>
      <c r="D2700">
        <v>11.42</v>
      </c>
      <c r="E2700">
        <v>0.09</v>
      </c>
      <c r="F2700">
        <v>11.39</v>
      </c>
      <c r="G2700">
        <v>11.42</v>
      </c>
      <c r="H2700">
        <v>57091</v>
      </c>
      <c r="I2700">
        <v>618</v>
      </c>
      <c r="J2700">
        <v>0.71</v>
      </c>
      <c r="K2700">
        <v>3.04</v>
      </c>
      <c r="L2700">
        <v>11.43</v>
      </c>
      <c r="M2700">
        <v>11.74</v>
      </c>
      <c r="N2700">
        <v>11.33</v>
      </c>
      <c r="O2700">
        <v>11.33</v>
      </c>
      <c r="P2700">
        <v>51.05</v>
      </c>
      <c r="Q2700">
        <v>65871988</v>
      </c>
      <c r="R2700">
        <v>0.83</v>
      </c>
      <c r="S2700" t="s">
        <v>1509</v>
      </c>
      <c r="T2700" t="s">
        <v>1653</v>
      </c>
      <c r="U2700">
        <v>3.62</v>
      </c>
      <c r="V2700">
        <v>11.54</v>
      </c>
      <c r="W2700">
        <v>29917</v>
      </c>
      <c r="X2700">
        <v>27174</v>
      </c>
      <c r="Y2700">
        <v>1.1000000000000001</v>
      </c>
      <c r="Z2700">
        <v>11</v>
      </c>
      <c r="AA2700">
        <v>144</v>
      </c>
      <c r="AB2700" t="s">
        <v>116</v>
      </c>
      <c r="AC2700">
        <v>122300</v>
      </c>
      <c r="AD2700">
        <v>0.01</v>
      </c>
      <c r="AE2700" t="s">
        <v>116</v>
      </c>
      <c r="AF2700" t="s">
        <v>116</v>
      </c>
      <c r="AG2700">
        <v>1.88</v>
      </c>
      <c r="AH2700" t="s">
        <v>8362</v>
      </c>
      <c r="AI2700" t="s">
        <v>9194</v>
      </c>
      <c r="AJ2700">
        <v>0.87</v>
      </c>
      <c r="AK2700">
        <v>1905</v>
      </c>
      <c r="AL2700">
        <v>30</v>
      </c>
      <c r="AM2700">
        <v>1.6000000000000001E-3</v>
      </c>
      <c r="AN2700">
        <v>1</v>
      </c>
      <c r="AO2700">
        <v>-1.1299999999999999</v>
      </c>
      <c r="AP2700">
        <v>13.63</v>
      </c>
      <c r="AQ2700">
        <v>21.23</v>
      </c>
      <c r="AR2700">
        <v>8.9700000000000006</v>
      </c>
      <c r="AS2700">
        <v>4.58</v>
      </c>
      <c r="AT2700" t="s">
        <v>1922</v>
      </c>
      <c r="AU2700">
        <v>88.15</v>
      </c>
      <c r="AV2700">
        <v>230.1</v>
      </c>
      <c r="AW2700">
        <v>1.28</v>
      </c>
      <c r="BA2700">
        <v>0.88</v>
      </c>
      <c r="BB2700">
        <v>3.62</v>
      </c>
      <c r="BC2700">
        <v>0</v>
      </c>
      <c r="BD2700">
        <v>1.84</v>
      </c>
      <c r="BE2700">
        <v>-0.09</v>
      </c>
      <c r="BF2700">
        <v>-2.73</v>
      </c>
      <c r="BG2700">
        <v>0.79</v>
      </c>
      <c r="BH2700">
        <v>-1.04</v>
      </c>
      <c r="BI2700">
        <v>20191030</v>
      </c>
      <c r="BJ2700">
        <v>19920910</v>
      </c>
      <c r="BK2700">
        <v>1.88</v>
      </c>
      <c r="BL2700" t="s">
        <v>116</v>
      </c>
      <c r="BM2700" t="s">
        <v>116</v>
      </c>
      <c r="BN2700">
        <v>6.74</v>
      </c>
      <c r="BO2700">
        <v>6.3</v>
      </c>
      <c r="BP2700">
        <v>0.01</v>
      </c>
      <c r="BQ2700">
        <v>6.33</v>
      </c>
      <c r="BR2700">
        <v>6.18</v>
      </c>
      <c r="BS2700">
        <v>0.31</v>
      </c>
      <c r="BT2700">
        <v>0.03</v>
      </c>
      <c r="BU2700">
        <v>0.27</v>
      </c>
      <c r="BV2700">
        <v>0.09</v>
      </c>
      <c r="BW2700">
        <v>0.24</v>
      </c>
      <c r="BX2700">
        <v>4.3600000000000003</v>
      </c>
      <c r="BY2700">
        <v>0.42</v>
      </c>
      <c r="BZ2700">
        <v>0.4</v>
      </c>
      <c r="CA2700">
        <v>0.4</v>
      </c>
      <c r="CB2700">
        <v>0.48</v>
      </c>
      <c r="CC2700">
        <v>0.4</v>
      </c>
      <c r="CD2700">
        <v>0.31</v>
      </c>
      <c r="CE2700">
        <v>0.32</v>
      </c>
      <c r="CF2700">
        <v>-0.06</v>
      </c>
      <c r="CG2700">
        <v>-0.53</v>
      </c>
      <c r="CH2700">
        <v>-0.05</v>
      </c>
      <c r="CI2700">
        <v>5.09</v>
      </c>
      <c r="CJ2700">
        <v>11156</v>
      </c>
      <c r="CK2700">
        <v>11180</v>
      </c>
      <c r="CL2700" t="s">
        <v>10651</v>
      </c>
      <c r="CM2700">
        <v>90.99</v>
      </c>
      <c r="CN2700">
        <v>-31.38</v>
      </c>
      <c r="CO2700">
        <v>3.41</v>
      </c>
      <c r="CP2700">
        <v>-450.52</v>
      </c>
      <c r="CQ2700">
        <v>50.64</v>
      </c>
      <c r="CR2700">
        <v>0</v>
      </c>
      <c r="CS2700" t="s">
        <v>1127</v>
      </c>
      <c r="CT2700">
        <v>3.35</v>
      </c>
      <c r="CU2700">
        <v>0</v>
      </c>
      <c r="CV2700">
        <v>2.3199999999999998</v>
      </c>
      <c r="CW2700">
        <v>-0.28000000000000003</v>
      </c>
      <c r="CX2700">
        <v>-0.03</v>
      </c>
      <c r="CY2700">
        <v>93.49</v>
      </c>
      <c r="CZ2700" t="s">
        <v>1501</v>
      </c>
      <c r="DA2700">
        <v>5.2</v>
      </c>
      <c r="DB2700">
        <v>95.39</v>
      </c>
      <c r="DC2700">
        <v>74.38</v>
      </c>
      <c r="DD2700">
        <v>0</v>
      </c>
      <c r="DE2700">
        <v>163</v>
      </c>
      <c r="DF2700">
        <v>600615</v>
      </c>
      <c r="DG2700" t="s">
        <v>116</v>
      </c>
      <c r="DH2700" t="s">
        <v>116</v>
      </c>
      <c r="DI2700" t="s">
        <v>116</v>
      </c>
    </row>
    <row r="2701" spans="1:113" x14ac:dyDescent="0.4">
      <c r="A2701" t="str">
        <f>"600616"</f>
        <v>600616</v>
      </c>
      <c r="B2701" t="s">
        <v>12190</v>
      </c>
      <c r="C2701">
        <v>-0.2</v>
      </c>
      <c r="D2701">
        <v>4.96</v>
      </c>
      <c r="E2701">
        <v>-0.01</v>
      </c>
      <c r="F2701">
        <v>4.96</v>
      </c>
      <c r="G2701">
        <v>4.97</v>
      </c>
      <c r="H2701">
        <v>26465</v>
      </c>
      <c r="I2701">
        <v>156</v>
      </c>
      <c r="J2701">
        <v>0</v>
      </c>
      <c r="K2701">
        <v>0.51</v>
      </c>
      <c r="L2701">
        <v>4.97</v>
      </c>
      <c r="M2701">
        <v>5.01</v>
      </c>
      <c r="N2701">
        <v>4.95</v>
      </c>
      <c r="O2701">
        <v>4.97</v>
      </c>
      <c r="P2701">
        <v>102.32</v>
      </c>
      <c r="Q2701">
        <v>13207248</v>
      </c>
      <c r="R2701">
        <v>0.71</v>
      </c>
      <c r="S2701" t="s">
        <v>2477</v>
      </c>
      <c r="T2701" t="s">
        <v>1653</v>
      </c>
      <c r="U2701">
        <v>1.21</v>
      </c>
      <c r="V2701">
        <v>4.99</v>
      </c>
      <c r="W2701">
        <v>12656</v>
      </c>
      <c r="X2701">
        <v>13809</v>
      </c>
      <c r="Y2701">
        <v>0.92</v>
      </c>
      <c r="Z2701">
        <v>95</v>
      </c>
      <c r="AA2701">
        <v>847</v>
      </c>
      <c r="AB2701" t="s">
        <v>116</v>
      </c>
      <c r="AC2701">
        <v>0</v>
      </c>
      <c r="AD2701">
        <v>0</v>
      </c>
      <c r="AE2701" t="s">
        <v>116</v>
      </c>
      <c r="AF2701" t="s">
        <v>116</v>
      </c>
      <c r="AG2701">
        <v>5.15</v>
      </c>
      <c r="AH2701" t="s">
        <v>12191</v>
      </c>
      <c r="AI2701" t="s">
        <v>12191</v>
      </c>
      <c r="AJ2701">
        <v>-0.12</v>
      </c>
      <c r="AK2701">
        <v>532</v>
      </c>
      <c r="AL2701">
        <v>50</v>
      </c>
      <c r="AM2701">
        <v>1E-3</v>
      </c>
      <c r="AN2701">
        <v>-1</v>
      </c>
      <c r="AO2701">
        <v>-0.4</v>
      </c>
      <c r="AP2701">
        <v>6.21</v>
      </c>
      <c r="AQ2701">
        <v>-10.14</v>
      </c>
      <c r="AR2701">
        <v>4.2</v>
      </c>
      <c r="AS2701">
        <v>0.8</v>
      </c>
      <c r="AT2701" t="s">
        <v>12192</v>
      </c>
      <c r="AU2701" t="s">
        <v>116</v>
      </c>
      <c r="AV2701" t="s">
        <v>116</v>
      </c>
      <c r="AW2701">
        <v>1.32</v>
      </c>
      <c r="BA2701">
        <v>0</v>
      </c>
      <c r="BB2701">
        <v>0.8</v>
      </c>
      <c r="BC2701">
        <v>-0.4</v>
      </c>
      <c r="BD2701">
        <v>0.41</v>
      </c>
      <c r="BE2701">
        <v>-0.2</v>
      </c>
      <c r="BF2701">
        <v>-1</v>
      </c>
      <c r="BG2701">
        <v>0.2</v>
      </c>
      <c r="BH2701">
        <v>-0.61</v>
      </c>
      <c r="BI2701">
        <v>20191026</v>
      </c>
      <c r="BJ2701">
        <v>19920929</v>
      </c>
      <c r="BK2701">
        <v>5.15</v>
      </c>
      <c r="BL2701" t="s">
        <v>116</v>
      </c>
      <c r="BM2701" t="s">
        <v>116</v>
      </c>
      <c r="BN2701">
        <v>22.06</v>
      </c>
      <c r="BO2701">
        <v>19.5</v>
      </c>
      <c r="BP2701">
        <v>-0.11</v>
      </c>
      <c r="BQ2701">
        <v>12.12</v>
      </c>
      <c r="BR2701">
        <v>14.47</v>
      </c>
      <c r="BS2701">
        <v>5.44</v>
      </c>
      <c r="BT2701">
        <v>1.04</v>
      </c>
      <c r="BU2701">
        <v>2.04</v>
      </c>
      <c r="BV2701">
        <v>7.6</v>
      </c>
      <c r="BW2701">
        <v>0.89</v>
      </c>
      <c r="BX2701">
        <v>5.3</v>
      </c>
      <c r="BY2701">
        <v>5.7</v>
      </c>
      <c r="BZ2701">
        <v>3.08</v>
      </c>
      <c r="CA2701">
        <v>0.24</v>
      </c>
      <c r="CB2701">
        <v>0.08</v>
      </c>
      <c r="CC2701">
        <v>0.24</v>
      </c>
      <c r="CD2701">
        <v>0.18</v>
      </c>
      <c r="CE2701">
        <v>0.19</v>
      </c>
      <c r="CF2701">
        <v>0.15</v>
      </c>
      <c r="CG2701">
        <v>8.36</v>
      </c>
      <c r="CH2701">
        <v>0.05</v>
      </c>
      <c r="CI2701">
        <v>0.33</v>
      </c>
      <c r="CJ2701">
        <v>34281</v>
      </c>
      <c r="CK2701">
        <v>9609</v>
      </c>
      <c r="CL2701" t="s">
        <v>8017</v>
      </c>
      <c r="CM2701">
        <v>-30.57</v>
      </c>
      <c r="CN2701">
        <v>-1.83</v>
      </c>
      <c r="CO2701">
        <v>1.31</v>
      </c>
      <c r="CP2701">
        <v>535.71</v>
      </c>
      <c r="CQ2701">
        <v>4.47</v>
      </c>
      <c r="CR2701">
        <v>0</v>
      </c>
      <c r="CS2701" t="s">
        <v>1223</v>
      </c>
      <c r="CT2701">
        <v>3.79</v>
      </c>
      <c r="CU2701">
        <v>0</v>
      </c>
      <c r="CV2701">
        <v>1.03</v>
      </c>
      <c r="CW2701">
        <v>1.62</v>
      </c>
      <c r="CX2701">
        <v>0.01</v>
      </c>
      <c r="CY2701">
        <v>88.37</v>
      </c>
      <c r="CZ2701" t="s">
        <v>1224</v>
      </c>
      <c r="DA2701">
        <v>45.98</v>
      </c>
      <c r="DB2701">
        <v>4.25</v>
      </c>
      <c r="DC2701">
        <v>3.28</v>
      </c>
      <c r="DD2701">
        <v>0.03</v>
      </c>
      <c r="DE2701">
        <v>1098</v>
      </c>
      <c r="DF2701">
        <v>600616</v>
      </c>
      <c r="DG2701" t="s">
        <v>116</v>
      </c>
      <c r="DH2701" t="s">
        <v>116</v>
      </c>
      <c r="DI2701" t="s">
        <v>116</v>
      </c>
    </row>
    <row r="2702" spans="1:113" x14ac:dyDescent="0.4">
      <c r="A2702" t="str">
        <f>"600617"</f>
        <v>600617</v>
      </c>
      <c r="B2702" t="s">
        <v>12193</v>
      </c>
      <c r="C2702">
        <v>-0.21</v>
      </c>
      <c r="D2702">
        <v>4.76</v>
      </c>
      <c r="E2702">
        <v>-0.01</v>
      </c>
      <c r="F2702">
        <v>4.76</v>
      </c>
      <c r="G2702">
        <v>4.7699999999999996</v>
      </c>
      <c r="H2702">
        <v>41963</v>
      </c>
      <c r="I2702">
        <v>296</v>
      </c>
      <c r="J2702">
        <v>0.21</v>
      </c>
      <c r="K2702">
        <v>0.43</v>
      </c>
      <c r="L2702">
        <v>4.78</v>
      </c>
      <c r="M2702">
        <v>4.83</v>
      </c>
      <c r="N2702">
        <v>4.75</v>
      </c>
      <c r="O2702">
        <v>4.7699999999999996</v>
      </c>
      <c r="P2702">
        <v>295.91000000000003</v>
      </c>
      <c r="Q2702">
        <v>20078392</v>
      </c>
      <c r="R2702">
        <v>0.82</v>
      </c>
      <c r="S2702" t="s">
        <v>690</v>
      </c>
      <c r="T2702" t="s">
        <v>675</v>
      </c>
      <c r="U2702">
        <v>1.68</v>
      </c>
      <c r="V2702">
        <v>4.78</v>
      </c>
      <c r="W2702">
        <v>26434</v>
      </c>
      <c r="X2702">
        <v>15529</v>
      </c>
      <c r="Y2702">
        <v>1.7</v>
      </c>
      <c r="Z2702">
        <v>27</v>
      </c>
      <c r="AA2702">
        <v>156</v>
      </c>
      <c r="AB2702" t="s">
        <v>116</v>
      </c>
      <c r="AC2702">
        <v>10500</v>
      </c>
      <c r="AD2702">
        <v>0</v>
      </c>
      <c r="AE2702" t="s">
        <v>116</v>
      </c>
      <c r="AF2702" t="s">
        <v>116</v>
      </c>
      <c r="AG2702">
        <v>9.75</v>
      </c>
      <c r="AH2702" t="s">
        <v>7596</v>
      </c>
      <c r="AI2702" t="s">
        <v>12194</v>
      </c>
      <c r="AJ2702">
        <v>-0.13</v>
      </c>
      <c r="AK2702">
        <v>671</v>
      </c>
      <c r="AL2702">
        <v>63</v>
      </c>
      <c r="AM2702">
        <v>5.9999999999999995E-4</v>
      </c>
      <c r="AN2702">
        <v>-1</v>
      </c>
      <c r="AO2702">
        <v>0.63</v>
      </c>
      <c r="AP2702">
        <v>-2.2599999999999998</v>
      </c>
      <c r="AQ2702">
        <v>-4.99</v>
      </c>
      <c r="AR2702">
        <v>-1.45</v>
      </c>
      <c r="AS2702">
        <v>1.3</v>
      </c>
      <c r="AT2702" t="s">
        <v>1815</v>
      </c>
      <c r="AU2702">
        <v>111.49</v>
      </c>
      <c r="AV2702">
        <v>112.88</v>
      </c>
      <c r="AW2702">
        <v>1.04</v>
      </c>
      <c r="BA2702">
        <v>0.21</v>
      </c>
      <c r="BB2702">
        <v>1.26</v>
      </c>
      <c r="BC2702">
        <v>-0.42</v>
      </c>
      <c r="BD2702">
        <v>0.31</v>
      </c>
      <c r="BE2702">
        <v>-0.42</v>
      </c>
      <c r="BF2702">
        <v>-1.45</v>
      </c>
      <c r="BG2702">
        <v>0.21</v>
      </c>
      <c r="BH2702">
        <v>-0.52</v>
      </c>
      <c r="BI2702">
        <v>20191029</v>
      </c>
      <c r="BJ2702">
        <v>19921013</v>
      </c>
      <c r="BK2702">
        <v>10.85</v>
      </c>
      <c r="BL2702">
        <v>1.1000000000000001</v>
      </c>
      <c r="BM2702" t="s">
        <v>116</v>
      </c>
      <c r="BN2702">
        <v>295.95</v>
      </c>
      <c r="BO2702">
        <v>37.81</v>
      </c>
      <c r="BP2702">
        <v>5.52</v>
      </c>
      <c r="BQ2702">
        <v>85.36</v>
      </c>
      <c r="BR2702">
        <v>61.58</v>
      </c>
      <c r="BS2702">
        <v>124.43</v>
      </c>
      <c r="BT2702">
        <v>7.08</v>
      </c>
      <c r="BU2702">
        <v>113.74</v>
      </c>
      <c r="BV2702">
        <v>2.48</v>
      </c>
      <c r="BW2702">
        <v>13.9</v>
      </c>
      <c r="BX2702">
        <v>9.39</v>
      </c>
      <c r="BY2702">
        <v>77.849999999999994</v>
      </c>
      <c r="BZ2702">
        <v>64.52</v>
      </c>
      <c r="CA2702">
        <v>-0.26</v>
      </c>
      <c r="CB2702">
        <v>-0.28000000000000003</v>
      </c>
      <c r="CC2702">
        <v>-0.28000000000000003</v>
      </c>
      <c r="CD2702">
        <v>-1.01</v>
      </c>
      <c r="CE2702">
        <v>0.13</v>
      </c>
      <c r="CF2702">
        <v>-1.85</v>
      </c>
      <c r="CG2702">
        <v>15.35</v>
      </c>
      <c r="CH2702">
        <v>2.99</v>
      </c>
      <c r="CI2702">
        <v>-5.73</v>
      </c>
      <c r="CJ2702">
        <v>39036</v>
      </c>
      <c r="CK2702">
        <v>11060</v>
      </c>
      <c r="CL2702" t="s">
        <v>1067</v>
      </c>
      <c r="CM2702">
        <v>4.54</v>
      </c>
      <c r="CN2702">
        <v>11.1</v>
      </c>
      <c r="CO2702">
        <v>1.37</v>
      </c>
      <c r="CP2702">
        <v>17.260000000000002</v>
      </c>
      <c r="CQ2702">
        <v>0.66</v>
      </c>
      <c r="CR2702">
        <v>0.42</v>
      </c>
      <c r="CS2702" t="s">
        <v>238</v>
      </c>
      <c r="CT2702">
        <v>3.49</v>
      </c>
      <c r="CU2702">
        <v>0</v>
      </c>
      <c r="CV2702">
        <v>0.87</v>
      </c>
      <c r="CW2702">
        <v>1.42</v>
      </c>
      <c r="CX2702">
        <v>0.28000000000000003</v>
      </c>
      <c r="CY2702">
        <v>12.78</v>
      </c>
      <c r="CZ2702" t="s">
        <v>7870</v>
      </c>
      <c r="DA2702">
        <v>17.12</v>
      </c>
      <c r="DB2702">
        <v>-0.34</v>
      </c>
      <c r="DC2702">
        <v>0.17</v>
      </c>
      <c r="DD2702">
        <v>0.06</v>
      </c>
      <c r="DE2702">
        <v>5363</v>
      </c>
      <c r="DF2702">
        <v>600617</v>
      </c>
      <c r="DG2702" t="s">
        <v>116</v>
      </c>
      <c r="DH2702" t="s">
        <v>116</v>
      </c>
      <c r="DI2702" t="s">
        <v>116</v>
      </c>
    </row>
    <row r="2703" spans="1:113" x14ac:dyDescent="0.4">
      <c r="A2703" t="str">
        <f>"600618"</f>
        <v>600618</v>
      </c>
      <c r="B2703" t="s">
        <v>12195</v>
      </c>
      <c r="C2703">
        <v>-2.19</v>
      </c>
      <c r="D2703">
        <v>7.15</v>
      </c>
      <c r="E2703">
        <v>-0.16</v>
      </c>
      <c r="F2703">
        <v>7.15</v>
      </c>
      <c r="G2703">
        <v>7.16</v>
      </c>
      <c r="H2703">
        <v>56573</v>
      </c>
      <c r="I2703">
        <v>376</v>
      </c>
      <c r="J2703">
        <v>0</v>
      </c>
      <c r="K2703">
        <v>0.75</v>
      </c>
      <c r="L2703">
        <v>7.29</v>
      </c>
      <c r="M2703">
        <v>7.38</v>
      </c>
      <c r="N2703">
        <v>7.14</v>
      </c>
      <c r="O2703">
        <v>7.31</v>
      </c>
      <c r="P2703">
        <v>9.86</v>
      </c>
      <c r="Q2703">
        <v>40955520</v>
      </c>
      <c r="R2703">
        <v>1.71</v>
      </c>
      <c r="S2703" t="s">
        <v>891</v>
      </c>
      <c r="T2703" t="s">
        <v>1653</v>
      </c>
      <c r="U2703">
        <v>3.28</v>
      </c>
      <c r="V2703">
        <v>7.24</v>
      </c>
      <c r="W2703">
        <v>34887</v>
      </c>
      <c r="X2703">
        <v>21686</v>
      </c>
      <c r="Y2703">
        <v>1.61</v>
      </c>
      <c r="Z2703">
        <v>478</v>
      </c>
      <c r="AA2703">
        <v>619</v>
      </c>
      <c r="AB2703" t="s">
        <v>116</v>
      </c>
      <c r="AC2703">
        <v>217200</v>
      </c>
      <c r="AD2703">
        <v>0.01</v>
      </c>
      <c r="AE2703" t="s">
        <v>116</v>
      </c>
      <c r="AF2703" t="s">
        <v>116</v>
      </c>
      <c r="AG2703">
        <v>7.5</v>
      </c>
      <c r="AH2703" t="s">
        <v>12196</v>
      </c>
      <c r="AI2703" t="s">
        <v>12197</v>
      </c>
      <c r="AJ2703">
        <v>-2.11</v>
      </c>
      <c r="AK2703">
        <v>1346</v>
      </c>
      <c r="AL2703">
        <v>42</v>
      </c>
      <c r="AM2703">
        <v>5.9999999999999995E-4</v>
      </c>
      <c r="AN2703">
        <v>-1</v>
      </c>
      <c r="AO2703">
        <v>1.71</v>
      </c>
      <c r="AP2703">
        <v>3.77</v>
      </c>
      <c r="AQ2703">
        <v>-7.26</v>
      </c>
      <c r="AR2703">
        <v>12.24</v>
      </c>
      <c r="AS2703">
        <v>2.68</v>
      </c>
      <c r="AT2703" t="s">
        <v>12198</v>
      </c>
      <c r="AU2703">
        <v>8.18</v>
      </c>
      <c r="AV2703">
        <v>7.85</v>
      </c>
      <c r="AW2703">
        <v>1.31</v>
      </c>
      <c r="BA2703">
        <v>-0.27</v>
      </c>
      <c r="BB2703">
        <v>0.96</v>
      </c>
      <c r="BC2703">
        <v>-2.33</v>
      </c>
      <c r="BD2703">
        <v>-0.97</v>
      </c>
      <c r="BE2703">
        <v>-1.92</v>
      </c>
      <c r="BF2703">
        <v>-3.12</v>
      </c>
      <c r="BG2703">
        <v>0.14000000000000001</v>
      </c>
      <c r="BH2703">
        <v>-1.22</v>
      </c>
      <c r="BI2703">
        <v>20191030</v>
      </c>
      <c r="BJ2703">
        <v>19921113</v>
      </c>
      <c r="BK2703">
        <v>11.56</v>
      </c>
      <c r="BL2703">
        <v>4.07</v>
      </c>
      <c r="BM2703" t="s">
        <v>116</v>
      </c>
      <c r="BN2703">
        <v>57.14</v>
      </c>
      <c r="BO2703">
        <v>44.79</v>
      </c>
      <c r="BP2703">
        <v>-0.08</v>
      </c>
      <c r="BQ2703">
        <v>21.75</v>
      </c>
      <c r="BR2703">
        <v>26.89</v>
      </c>
      <c r="BS2703">
        <v>15.2</v>
      </c>
      <c r="BT2703">
        <v>2.37</v>
      </c>
      <c r="BU2703">
        <v>11.05</v>
      </c>
      <c r="BV2703">
        <v>2.37</v>
      </c>
      <c r="BW2703">
        <v>2.42</v>
      </c>
      <c r="BX2703">
        <v>16.73</v>
      </c>
      <c r="BY2703">
        <v>51.23</v>
      </c>
      <c r="BZ2703">
        <v>42.81</v>
      </c>
      <c r="CA2703">
        <v>6.67</v>
      </c>
      <c r="CB2703">
        <v>1.36</v>
      </c>
      <c r="CC2703">
        <v>6.67</v>
      </c>
      <c r="CD2703">
        <v>6.29</v>
      </c>
      <c r="CE2703">
        <v>6.29</v>
      </c>
      <c r="CF2703">
        <v>6.35</v>
      </c>
      <c r="CG2703">
        <v>14.69</v>
      </c>
      <c r="CH2703">
        <v>4.9800000000000004</v>
      </c>
      <c r="CI2703">
        <v>3.82</v>
      </c>
      <c r="CJ2703">
        <v>84778</v>
      </c>
      <c r="CK2703">
        <v>7285</v>
      </c>
      <c r="CL2703" t="s">
        <v>2325</v>
      </c>
      <c r="CM2703">
        <v>-6.33</v>
      </c>
      <c r="CN2703">
        <v>-1.74</v>
      </c>
      <c r="CO2703">
        <v>1.85</v>
      </c>
      <c r="CP2703">
        <v>16.600000000000001</v>
      </c>
      <c r="CQ2703">
        <v>1.61</v>
      </c>
      <c r="CR2703">
        <v>1.68</v>
      </c>
      <c r="CS2703" t="s">
        <v>12199</v>
      </c>
      <c r="CT2703">
        <v>3.87</v>
      </c>
      <c r="CU2703">
        <v>0</v>
      </c>
      <c r="CV2703">
        <v>1.45</v>
      </c>
      <c r="CW2703">
        <v>1.27</v>
      </c>
      <c r="CX2703">
        <v>0.43</v>
      </c>
      <c r="CY2703">
        <v>78.39</v>
      </c>
      <c r="CZ2703" t="s">
        <v>12200</v>
      </c>
      <c r="DA2703">
        <v>16.43</v>
      </c>
      <c r="DB2703">
        <v>13.02</v>
      </c>
      <c r="DC2703">
        <v>12.28</v>
      </c>
      <c r="DD2703">
        <v>1.08</v>
      </c>
      <c r="DE2703">
        <v>724</v>
      </c>
      <c r="DF2703">
        <v>600618</v>
      </c>
      <c r="DG2703" t="s">
        <v>116</v>
      </c>
      <c r="DH2703" t="s">
        <v>116</v>
      </c>
      <c r="DI2703" t="s">
        <v>116</v>
      </c>
    </row>
    <row r="2704" spans="1:113" x14ac:dyDescent="0.4">
      <c r="A2704" t="str">
        <f>"600619"</f>
        <v>600619</v>
      </c>
      <c r="B2704" t="s">
        <v>12201</v>
      </c>
      <c r="C2704">
        <v>0.12</v>
      </c>
      <c r="D2704">
        <v>8.07</v>
      </c>
      <c r="E2704">
        <v>0.01</v>
      </c>
      <c r="F2704">
        <v>8.06</v>
      </c>
      <c r="G2704">
        <v>8.07</v>
      </c>
      <c r="H2704">
        <v>13809</v>
      </c>
      <c r="I2704">
        <v>115</v>
      </c>
      <c r="J2704">
        <v>-0.11</v>
      </c>
      <c r="K2704">
        <v>0.24</v>
      </c>
      <c r="L2704">
        <v>8.0399999999999991</v>
      </c>
      <c r="M2704">
        <v>8.11</v>
      </c>
      <c r="N2704">
        <v>8.0399999999999991</v>
      </c>
      <c r="O2704">
        <v>8.06</v>
      </c>
      <c r="P2704">
        <v>27.92</v>
      </c>
      <c r="Q2704">
        <v>11151504</v>
      </c>
      <c r="R2704">
        <v>1.1499999999999999</v>
      </c>
      <c r="S2704" t="s">
        <v>996</v>
      </c>
      <c r="T2704" t="s">
        <v>1653</v>
      </c>
      <c r="U2704">
        <v>0.87</v>
      </c>
      <c r="V2704">
        <v>8.08</v>
      </c>
      <c r="W2704">
        <v>6924</v>
      </c>
      <c r="X2704">
        <v>6885</v>
      </c>
      <c r="Y2704">
        <v>1.01</v>
      </c>
      <c r="Z2704">
        <v>275</v>
      </c>
      <c r="AA2704">
        <v>239</v>
      </c>
      <c r="AB2704" t="s">
        <v>116</v>
      </c>
      <c r="AC2704">
        <v>23300</v>
      </c>
      <c r="AD2704">
        <v>0</v>
      </c>
      <c r="AE2704" t="s">
        <v>116</v>
      </c>
      <c r="AF2704" t="s">
        <v>116</v>
      </c>
      <c r="AG2704">
        <v>5.82</v>
      </c>
      <c r="AH2704" t="s">
        <v>1742</v>
      </c>
      <c r="AI2704" t="s">
        <v>4442</v>
      </c>
      <c r="AJ2704">
        <v>0.2</v>
      </c>
      <c r="AK2704">
        <v>556</v>
      </c>
      <c r="AL2704">
        <v>25</v>
      </c>
      <c r="AM2704">
        <v>4.0000000000000002E-4</v>
      </c>
      <c r="AN2704">
        <v>2</v>
      </c>
      <c r="AO2704">
        <v>0.37</v>
      </c>
      <c r="AP2704">
        <v>2.15</v>
      </c>
      <c r="AQ2704">
        <v>-7.77</v>
      </c>
      <c r="AR2704">
        <v>-3</v>
      </c>
      <c r="AS2704">
        <v>0.76</v>
      </c>
      <c r="AT2704" t="s">
        <v>4895</v>
      </c>
      <c r="AU2704">
        <v>23.63</v>
      </c>
      <c r="AV2704">
        <v>22.93</v>
      </c>
      <c r="AW2704">
        <v>1</v>
      </c>
      <c r="BA2704">
        <v>-0.25</v>
      </c>
      <c r="BB2704">
        <v>0.62</v>
      </c>
      <c r="BC2704">
        <v>-0.25</v>
      </c>
      <c r="BD2704">
        <v>0.19</v>
      </c>
      <c r="BE2704">
        <v>0.37</v>
      </c>
      <c r="BF2704">
        <v>-0.49</v>
      </c>
      <c r="BG2704">
        <v>0.37</v>
      </c>
      <c r="BH2704">
        <v>-7.0000000000000007E-2</v>
      </c>
      <c r="BI2704">
        <v>20191209</v>
      </c>
      <c r="BJ2704">
        <v>19921116</v>
      </c>
      <c r="BK2704">
        <v>8.83</v>
      </c>
      <c r="BL2704">
        <v>2.84</v>
      </c>
      <c r="BM2704" t="s">
        <v>116</v>
      </c>
      <c r="BN2704">
        <v>146.71</v>
      </c>
      <c r="BO2704">
        <v>44.09</v>
      </c>
      <c r="BP2704">
        <v>9.57</v>
      </c>
      <c r="BQ2704">
        <v>63.43</v>
      </c>
      <c r="BR2704">
        <v>93.87</v>
      </c>
      <c r="BS2704">
        <v>37.58</v>
      </c>
      <c r="BT2704">
        <v>4.18</v>
      </c>
      <c r="BU2704">
        <v>83.29</v>
      </c>
      <c r="BV2704">
        <v>22.3</v>
      </c>
      <c r="BW2704">
        <v>24.32</v>
      </c>
      <c r="BX2704">
        <v>21.05</v>
      </c>
      <c r="BY2704">
        <v>93.66</v>
      </c>
      <c r="BZ2704">
        <v>81.39</v>
      </c>
      <c r="CA2704">
        <v>2.75</v>
      </c>
      <c r="CB2704">
        <v>0.03</v>
      </c>
      <c r="CC2704">
        <v>2.76</v>
      </c>
      <c r="CD2704">
        <v>2.5</v>
      </c>
      <c r="CE2704">
        <v>1.91</v>
      </c>
      <c r="CF2704">
        <v>1.73</v>
      </c>
      <c r="CG2704">
        <v>11.61</v>
      </c>
      <c r="CH2704">
        <v>2.2599999999999998</v>
      </c>
      <c r="CI2704">
        <v>-5.88</v>
      </c>
      <c r="CJ2704">
        <v>51350</v>
      </c>
      <c r="CK2704">
        <v>9088</v>
      </c>
      <c r="CL2704" t="s">
        <v>6256</v>
      </c>
      <c r="CM2704">
        <v>-4.59</v>
      </c>
      <c r="CN2704">
        <v>-2.93</v>
      </c>
      <c r="CO2704">
        <v>1.59</v>
      </c>
      <c r="CP2704">
        <v>31.54</v>
      </c>
      <c r="CQ2704">
        <v>0.76</v>
      </c>
      <c r="CR2704">
        <v>1.82</v>
      </c>
      <c r="CS2704" t="s">
        <v>1244</v>
      </c>
      <c r="CT2704">
        <v>5.09</v>
      </c>
      <c r="CU2704">
        <v>5.09</v>
      </c>
      <c r="CV2704">
        <v>2.38</v>
      </c>
      <c r="CW2704">
        <v>1.31</v>
      </c>
      <c r="CX2704">
        <v>0.26</v>
      </c>
      <c r="CY2704">
        <v>30.05</v>
      </c>
      <c r="CZ2704" t="s">
        <v>4978</v>
      </c>
      <c r="DA2704">
        <v>13.09</v>
      </c>
      <c r="DB2704">
        <v>2.93</v>
      </c>
      <c r="DC2704">
        <v>2.04</v>
      </c>
      <c r="DD2704">
        <v>3.29</v>
      </c>
      <c r="DE2704">
        <v>5337</v>
      </c>
      <c r="DF2704">
        <v>600619</v>
      </c>
      <c r="DG2704" t="s">
        <v>116</v>
      </c>
      <c r="DH2704" t="s">
        <v>116</v>
      </c>
      <c r="DI2704" t="s">
        <v>116</v>
      </c>
    </row>
    <row r="2705" spans="1:113" x14ac:dyDescent="0.4">
      <c r="A2705" t="str">
        <f>"600620"</f>
        <v>600620</v>
      </c>
      <c r="B2705" t="s">
        <v>12202</v>
      </c>
      <c r="C2705">
        <v>-1.7</v>
      </c>
      <c r="D2705">
        <v>6.35</v>
      </c>
      <c r="E2705">
        <v>-0.11</v>
      </c>
      <c r="F2705">
        <v>6.35</v>
      </c>
      <c r="G2705">
        <v>6.37</v>
      </c>
      <c r="H2705">
        <v>43712</v>
      </c>
      <c r="I2705">
        <v>644</v>
      </c>
      <c r="J2705">
        <v>-0.93</v>
      </c>
      <c r="K2705">
        <v>0.64</v>
      </c>
      <c r="L2705">
        <v>6.42</v>
      </c>
      <c r="M2705">
        <v>6.47</v>
      </c>
      <c r="N2705">
        <v>6.29</v>
      </c>
      <c r="O2705">
        <v>6.46</v>
      </c>
      <c r="P2705">
        <v>39.58</v>
      </c>
      <c r="Q2705">
        <v>27989842</v>
      </c>
      <c r="R2705">
        <v>1.1399999999999999</v>
      </c>
      <c r="S2705" t="s">
        <v>173</v>
      </c>
      <c r="T2705" t="s">
        <v>1653</v>
      </c>
      <c r="U2705">
        <v>2.79</v>
      </c>
      <c r="V2705">
        <v>6.4</v>
      </c>
      <c r="W2705">
        <v>24890</v>
      </c>
      <c r="X2705">
        <v>18822</v>
      </c>
      <c r="Y2705">
        <v>1.32</v>
      </c>
      <c r="Z2705">
        <v>776</v>
      </c>
      <c r="AA2705">
        <v>449</v>
      </c>
      <c r="AB2705" t="s">
        <v>116</v>
      </c>
      <c r="AC2705">
        <v>217600</v>
      </c>
      <c r="AD2705">
        <v>0.01</v>
      </c>
      <c r="AE2705" t="s">
        <v>116</v>
      </c>
      <c r="AF2705" t="s">
        <v>116</v>
      </c>
      <c r="AG2705">
        <v>6.87</v>
      </c>
      <c r="AH2705" t="s">
        <v>1694</v>
      </c>
      <c r="AI2705" t="s">
        <v>1694</v>
      </c>
      <c r="AJ2705">
        <v>-1.63</v>
      </c>
      <c r="AK2705">
        <v>897</v>
      </c>
      <c r="AL2705">
        <v>49</v>
      </c>
      <c r="AM2705">
        <v>6.9999999999999999E-4</v>
      </c>
      <c r="AN2705">
        <v>-3</v>
      </c>
      <c r="AO2705">
        <v>-2.46</v>
      </c>
      <c r="AP2705">
        <v>5.83</v>
      </c>
      <c r="AQ2705">
        <v>-4.8</v>
      </c>
      <c r="AR2705">
        <v>18.25</v>
      </c>
      <c r="AS2705">
        <v>1.38</v>
      </c>
      <c r="AT2705" t="s">
        <v>1400</v>
      </c>
      <c r="AU2705">
        <v>48.63</v>
      </c>
      <c r="AV2705">
        <v>64.44</v>
      </c>
      <c r="AW2705">
        <v>1.25</v>
      </c>
      <c r="BA2705">
        <v>-0.62</v>
      </c>
      <c r="BB2705">
        <v>0.15</v>
      </c>
      <c r="BC2705">
        <v>-2.63</v>
      </c>
      <c r="BD2705">
        <v>-0.88</v>
      </c>
      <c r="BE2705">
        <v>-1.0900000000000001</v>
      </c>
      <c r="BF2705">
        <v>-1.85</v>
      </c>
      <c r="BG2705">
        <v>0.95</v>
      </c>
      <c r="BH2705">
        <v>-0.82</v>
      </c>
      <c r="BI2705">
        <v>20191030</v>
      </c>
      <c r="BJ2705">
        <v>19921117</v>
      </c>
      <c r="BK2705">
        <v>6.87</v>
      </c>
      <c r="BL2705" t="s">
        <v>116</v>
      </c>
      <c r="BM2705" t="s">
        <v>116</v>
      </c>
      <c r="BN2705">
        <v>31.84</v>
      </c>
      <c r="BO2705">
        <v>25.46</v>
      </c>
      <c r="BP2705">
        <v>0.27</v>
      </c>
      <c r="BQ2705">
        <v>19.190000000000001</v>
      </c>
      <c r="BR2705">
        <v>9.4600000000000009</v>
      </c>
      <c r="BS2705">
        <v>0.6</v>
      </c>
      <c r="BT2705">
        <v>0.94</v>
      </c>
      <c r="BU2705">
        <v>0.61</v>
      </c>
      <c r="BV2705">
        <v>0.37</v>
      </c>
      <c r="BW2705">
        <v>0</v>
      </c>
      <c r="BX2705">
        <v>0.53</v>
      </c>
      <c r="BY2705">
        <v>0.36</v>
      </c>
      <c r="BZ2705">
        <v>0.17</v>
      </c>
      <c r="CA2705">
        <v>0.82</v>
      </c>
      <c r="CB2705">
        <v>0.94</v>
      </c>
      <c r="CC2705">
        <v>0.85</v>
      </c>
      <c r="CD2705">
        <v>0.78</v>
      </c>
      <c r="CE2705">
        <v>0.83</v>
      </c>
      <c r="CF2705">
        <v>0.75</v>
      </c>
      <c r="CG2705">
        <v>2.23</v>
      </c>
      <c r="CH2705">
        <v>-0.09</v>
      </c>
      <c r="CI2705">
        <v>1.1499999999999999</v>
      </c>
      <c r="CJ2705">
        <v>25054</v>
      </c>
      <c r="CK2705">
        <v>12636</v>
      </c>
      <c r="CL2705" t="s">
        <v>6920</v>
      </c>
      <c r="CM2705">
        <v>36.29</v>
      </c>
      <c r="CN2705">
        <v>-4.17</v>
      </c>
      <c r="CO2705">
        <v>1.71</v>
      </c>
      <c r="CP2705">
        <v>-506.96</v>
      </c>
      <c r="CQ2705">
        <v>121.61</v>
      </c>
      <c r="CR2705">
        <v>0.47</v>
      </c>
      <c r="CS2705" t="s">
        <v>505</v>
      </c>
      <c r="CT2705">
        <v>3.71</v>
      </c>
      <c r="CU2705">
        <v>0</v>
      </c>
      <c r="CV2705">
        <v>0.08</v>
      </c>
      <c r="CW2705">
        <v>0.32</v>
      </c>
      <c r="CX2705">
        <v>-0.01</v>
      </c>
      <c r="CY2705">
        <v>79.959999999999994</v>
      </c>
      <c r="CZ2705" t="s">
        <v>455</v>
      </c>
      <c r="DA2705">
        <v>51.34</v>
      </c>
      <c r="DB2705">
        <v>228.9</v>
      </c>
      <c r="DC2705">
        <v>230.45</v>
      </c>
      <c r="DD2705">
        <v>0</v>
      </c>
      <c r="DE2705">
        <v>418</v>
      </c>
      <c r="DF2705">
        <v>600620</v>
      </c>
      <c r="DG2705" t="s">
        <v>116</v>
      </c>
      <c r="DH2705" t="s">
        <v>116</v>
      </c>
      <c r="DI2705" t="s">
        <v>116</v>
      </c>
    </row>
    <row r="2706" spans="1:113" x14ac:dyDescent="0.4">
      <c r="A2706" t="str">
        <f>"600621"</f>
        <v>600621</v>
      </c>
      <c r="B2706" t="s">
        <v>12203</v>
      </c>
      <c r="C2706">
        <v>-3.6</v>
      </c>
      <c r="D2706">
        <v>14.45</v>
      </c>
      <c r="E2706">
        <v>-0.54</v>
      </c>
      <c r="F2706">
        <v>14.45</v>
      </c>
      <c r="G2706">
        <v>14.46</v>
      </c>
      <c r="H2706">
        <v>476624</v>
      </c>
      <c r="I2706">
        <v>3959</v>
      </c>
      <c r="J2706">
        <v>-0.06</v>
      </c>
      <c r="K2706">
        <v>8.9</v>
      </c>
      <c r="L2706">
        <v>14.98</v>
      </c>
      <c r="M2706">
        <v>15.19</v>
      </c>
      <c r="N2706">
        <v>14.4</v>
      </c>
      <c r="O2706">
        <v>14.99</v>
      </c>
      <c r="P2706">
        <v>134.26</v>
      </c>
      <c r="Q2706">
        <v>709080832</v>
      </c>
      <c r="R2706">
        <v>1.06</v>
      </c>
      <c r="S2706" t="s">
        <v>623</v>
      </c>
      <c r="T2706" t="s">
        <v>1653</v>
      </c>
      <c r="U2706">
        <v>5.27</v>
      </c>
      <c r="V2706">
        <v>14.88</v>
      </c>
      <c r="W2706">
        <v>258814</v>
      </c>
      <c r="X2706">
        <v>217809</v>
      </c>
      <c r="Y2706">
        <v>1.19</v>
      </c>
      <c r="Z2706">
        <v>1485</v>
      </c>
      <c r="AA2706">
        <v>1723</v>
      </c>
      <c r="AB2706" t="s">
        <v>116</v>
      </c>
      <c r="AC2706">
        <v>5027300</v>
      </c>
      <c r="AD2706">
        <v>0.08</v>
      </c>
      <c r="AE2706" t="s">
        <v>116</v>
      </c>
      <c r="AF2706" t="s">
        <v>116</v>
      </c>
      <c r="AG2706">
        <v>5.35</v>
      </c>
      <c r="AH2706" t="s">
        <v>3719</v>
      </c>
      <c r="AI2706" t="s">
        <v>12204</v>
      </c>
      <c r="AJ2706">
        <v>-3.53</v>
      </c>
      <c r="AK2706">
        <v>4148</v>
      </c>
      <c r="AL2706">
        <v>115</v>
      </c>
      <c r="AM2706">
        <v>2.0999999999999999E-3</v>
      </c>
      <c r="AN2706">
        <v>-1</v>
      </c>
      <c r="AO2706">
        <v>-2.04</v>
      </c>
      <c r="AP2706">
        <v>8.9700000000000006</v>
      </c>
      <c r="AQ2706">
        <v>8.81</v>
      </c>
      <c r="AR2706">
        <v>64.709999999999994</v>
      </c>
      <c r="AS2706">
        <v>12.04</v>
      </c>
      <c r="AT2706" t="s">
        <v>12205</v>
      </c>
      <c r="AU2706">
        <v>223.91</v>
      </c>
      <c r="AV2706">
        <v>701.72</v>
      </c>
      <c r="AW2706">
        <v>2.0299999999999998</v>
      </c>
      <c r="BA2706">
        <v>-7.0000000000000007E-2</v>
      </c>
      <c r="BB2706">
        <v>1.33</v>
      </c>
      <c r="BC2706">
        <v>-3.94</v>
      </c>
      <c r="BD2706">
        <v>-0.75</v>
      </c>
      <c r="BE2706">
        <v>-3.54</v>
      </c>
      <c r="BF2706">
        <v>-4.87</v>
      </c>
      <c r="BG2706">
        <v>0.35</v>
      </c>
      <c r="BH2706">
        <v>-2.85</v>
      </c>
      <c r="BI2706">
        <v>20191030</v>
      </c>
      <c r="BJ2706">
        <v>19921202</v>
      </c>
      <c r="BK2706">
        <v>10.61</v>
      </c>
      <c r="BL2706" t="s">
        <v>116</v>
      </c>
      <c r="BM2706" t="s">
        <v>116</v>
      </c>
      <c r="BN2706">
        <v>217.67</v>
      </c>
      <c r="BO2706">
        <v>62.32</v>
      </c>
      <c r="BP2706">
        <v>3.85</v>
      </c>
      <c r="BQ2706">
        <v>69.599999999999994</v>
      </c>
      <c r="BR2706">
        <v>205.71</v>
      </c>
      <c r="BS2706">
        <v>0.69</v>
      </c>
      <c r="BT2706">
        <v>0.44</v>
      </c>
      <c r="BU2706">
        <v>131.56</v>
      </c>
      <c r="BV2706">
        <v>0</v>
      </c>
      <c r="BW2706">
        <v>0.72</v>
      </c>
      <c r="BX2706">
        <v>18.41</v>
      </c>
      <c r="BY2706">
        <v>1.1000000000000001</v>
      </c>
      <c r="BZ2706">
        <v>0.61</v>
      </c>
      <c r="CA2706">
        <v>0.64</v>
      </c>
      <c r="CB2706">
        <v>1.91</v>
      </c>
      <c r="CC2706">
        <v>0.69</v>
      </c>
      <c r="CD2706">
        <v>0.41</v>
      </c>
      <c r="CE2706">
        <v>0.86</v>
      </c>
      <c r="CF2706">
        <v>0.79</v>
      </c>
      <c r="CG2706">
        <v>30.79</v>
      </c>
      <c r="CH2706">
        <v>25.27</v>
      </c>
      <c r="CI2706">
        <v>23.26</v>
      </c>
      <c r="CJ2706">
        <v>61136</v>
      </c>
      <c r="CK2706">
        <v>6473</v>
      </c>
      <c r="CL2706" t="s">
        <v>3183</v>
      </c>
      <c r="CM2706">
        <v>119.49</v>
      </c>
      <c r="CN2706">
        <v>28.43</v>
      </c>
      <c r="CO2706">
        <v>2.46</v>
      </c>
      <c r="CP2706">
        <v>6.07</v>
      </c>
      <c r="CQ2706">
        <v>139.75</v>
      </c>
      <c r="CR2706">
        <v>0.05</v>
      </c>
      <c r="CS2706" t="s">
        <v>1105</v>
      </c>
      <c r="CT2706">
        <v>5.87</v>
      </c>
      <c r="CU2706">
        <v>0</v>
      </c>
      <c r="CV2706">
        <v>1.74</v>
      </c>
      <c r="CW2706">
        <v>2.9</v>
      </c>
      <c r="CX2706">
        <v>2.38</v>
      </c>
      <c r="CY2706">
        <v>28.63</v>
      </c>
      <c r="CZ2706" t="s">
        <v>5021</v>
      </c>
      <c r="DA2706">
        <v>44.25</v>
      </c>
      <c r="DB2706">
        <v>58.69</v>
      </c>
      <c r="DC2706">
        <v>78.069999999999993</v>
      </c>
      <c r="DD2706">
        <v>0</v>
      </c>
      <c r="DE2706">
        <v>1630</v>
      </c>
      <c r="DF2706">
        <v>600621</v>
      </c>
      <c r="DG2706" t="s">
        <v>116</v>
      </c>
      <c r="DH2706" t="s">
        <v>116</v>
      </c>
      <c r="DI2706" t="s">
        <v>116</v>
      </c>
    </row>
    <row r="2707" spans="1:113" x14ac:dyDescent="0.4">
      <c r="A2707" t="str">
        <f>"600622"</f>
        <v>600622</v>
      </c>
      <c r="B2707" t="s">
        <v>12206</v>
      </c>
      <c r="C2707">
        <v>-1.29</v>
      </c>
      <c r="D2707">
        <v>3.84</v>
      </c>
      <c r="E2707">
        <v>-0.05</v>
      </c>
      <c r="F2707">
        <v>3.84</v>
      </c>
      <c r="G2707">
        <v>3.85</v>
      </c>
      <c r="H2707">
        <v>196022</v>
      </c>
      <c r="I2707">
        <v>605</v>
      </c>
      <c r="J2707">
        <v>-0.25</v>
      </c>
      <c r="K2707">
        <v>1.31</v>
      </c>
      <c r="L2707">
        <v>3.87</v>
      </c>
      <c r="M2707">
        <v>3.91</v>
      </c>
      <c r="N2707">
        <v>3.83</v>
      </c>
      <c r="O2707">
        <v>3.89</v>
      </c>
      <c r="P2707">
        <v>14.26</v>
      </c>
      <c r="Q2707">
        <v>75695808</v>
      </c>
      <c r="R2707">
        <v>1.8</v>
      </c>
      <c r="S2707" t="s">
        <v>148</v>
      </c>
      <c r="T2707" t="s">
        <v>1653</v>
      </c>
      <c r="U2707">
        <v>2.06</v>
      </c>
      <c r="V2707">
        <v>3.86</v>
      </c>
      <c r="W2707">
        <v>131877</v>
      </c>
      <c r="X2707">
        <v>64145</v>
      </c>
      <c r="Y2707">
        <v>2.06</v>
      </c>
      <c r="Z2707">
        <v>1989</v>
      </c>
      <c r="AA2707">
        <v>135</v>
      </c>
      <c r="AB2707" t="s">
        <v>116</v>
      </c>
      <c r="AC2707">
        <v>286000</v>
      </c>
      <c r="AD2707">
        <v>0.01</v>
      </c>
      <c r="AE2707" t="s">
        <v>116</v>
      </c>
      <c r="AF2707" t="s">
        <v>116</v>
      </c>
      <c r="AG2707">
        <v>15</v>
      </c>
      <c r="AH2707" t="s">
        <v>12207</v>
      </c>
      <c r="AI2707" t="s">
        <v>12207</v>
      </c>
      <c r="AJ2707">
        <v>-1.21</v>
      </c>
      <c r="AK2707">
        <v>2695</v>
      </c>
      <c r="AL2707">
        <v>73</v>
      </c>
      <c r="AM2707">
        <v>5.0000000000000001E-4</v>
      </c>
      <c r="AN2707">
        <v>-1</v>
      </c>
      <c r="AO2707">
        <v>0</v>
      </c>
      <c r="AP2707">
        <v>6.37</v>
      </c>
      <c r="AQ2707">
        <v>-12.33</v>
      </c>
      <c r="AR2707">
        <v>-9.4</v>
      </c>
      <c r="AS2707">
        <v>2.4300000000000002</v>
      </c>
      <c r="AT2707" t="s">
        <v>5913</v>
      </c>
      <c r="AU2707">
        <v>7.68</v>
      </c>
      <c r="AV2707">
        <v>6.53</v>
      </c>
      <c r="AW2707">
        <v>1.85</v>
      </c>
      <c r="BA2707">
        <v>-0.51</v>
      </c>
      <c r="BB2707">
        <v>0.51</v>
      </c>
      <c r="BC2707">
        <v>-1.54</v>
      </c>
      <c r="BD2707">
        <v>-0.73</v>
      </c>
      <c r="BE2707">
        <v>-0.78</v>
      </c>
      <c r="BF2707">
        <v>-1.79</v>
      </c>
      <c r="BG2707">
        <v>0.26</v>
      </c>
      <c r="BH2707">
        <v>-0.56000000000000005</v>
      </c>
      <c r="BI2707">
        <v>20191031</v>
      </c>
      <c r="BJ2707">
        <v>19921203</v>
      </c>
      <c r="BK2707">
        <v>15</v>
      </c>
      <c r="BL2707" t="s">
        <v>116</v>
      </c>
      <c r="BM2707" t="s">
        <v>116</v>
      </c>
      <c r="BN2707">
        <v>281.82</v>
      </c>
      <c r="BO2707">
        <v>62.39</v>
      </c>
      <c r="BP2707">
        <v>29.5</v>
      </c>
      <c r="BQ2707">
        <v>67.39</v>
      </c>
      <c r="BR2707">
        <v>145.91</v>
      </c>
      <c r="BS2707">
        <v>1.42</v>
      </c>
      <c r="BT2707">
        <v>0.11</v>
      </c>
      <c r="BU2707">
        <v>92.06</v>
      </c>
      <c r="BV2707">
        <v>71.209999999999994</v>
      </c>
      <c r="BW2707">
        <v>2.72</v>
      </c>
      <c r="BX2707">
        <v>14.22</v>
      </c>
      <c r="BY2707">
        <v>33.65</v>
      </c>
      <c r="BZ2707">
        <v>21.08</v>
      </c>
      <c r="CA2707">
        <v>4.4800000000000004</v>
      </c>
      <c r="CB2707">
        <v>1.1299999999999999</v>
      </c>
      <c r="CC2707">
        <v>4.49</v>
      </c>
      <c r="CD2707">
        <v>3.11</v>
      </c>
      <c r="CE2707">
        <v>3.03</v>
      </c>
      <c r="CF2707">
        <v>2.44</v>
      </c>
      <c r="CG2707">
        <v>30.04</v>
      </c>
      <c r="CH2707">
        <v>6.53</v>
      </c>
      <c r="CI2707">
        <v>2.13</v>
      </c>
      <c r="CJ2707">
        <v>37538</v>
      </c>
      <c r="CK2707">
        <v>21473</v>
      </c>
      <c r="CL2707" t="s">
        <v>6706</v>
      </c>
      <c r="CM2707">
        <v>-30.22</v>
      </c>
      <c r="CN2707">
        <v>11.56</v>
      </c>
      <c r="CO2707">
        <v>0.92</v>
      </c>
      <c r="CP2707">
        <v>8.82</v>
      </c>
      <c r="CQ2707">
        <v>1.71</v>
      </c>
      <c r="CR2707">
        <v>3.21</v>
      </c>
      <c r="CS2707" t="s">
        <v>6855</v>
      </c>
      <c r="CT2707">
        <v>4.16</v>
      </c>
      <c r="CU2707">
        <v>0</v>
      </c>
      <c r="CV2707">
        <v>0.95</v>
      </c>
      <c r="CW2707">
        <v>2</v>
      </c>
      <c r="CX2707">
        <v>0.44</v>
      </c>
      <c r="CY2707">
        <v>22.14</v>
      </c>
      <c r="CZ2707" t="s">
        <v>5919</v>
      </c>
      <c r="DA2707">
        <v>37.340000000000003</v>
      </c>
      <c r="DB2707">
        <v>13.33</v>
      </c>
      <c r="DC2707">
        <v>9</v>
      </c>
      <c r="DD2707">
        <v>0</v>
      </c>
      <c r="DE2707">
        <v>344</v>
      </c>
      <c r="DF2707">
        <v>600622</v>
      </c>
      <c r="DG2707" t="s">
        <v>116</v>
      </c>
      <c r="DH2707" t="s">
        <v>116</v>
      </c>
      <c r="DI2707" t="s">
        <v>116</v>
      </c>
    </row>
    <row r="2708" spans="1:113" x14ac:dyDescent="0.4">
      <c r="A2708" t="str">
        <f>"600623"</f>
        <v>600623</v>
      </c>
      <c r="B2708" t="s">
        <v>12208</v>
      </c>
      <c r="C2708">
        <v>-0.6</v>
      </c>
      <c r="D2708">
        <v>6.68</v>
      </c>
      <c r="E2708">
        <v>-0.04</v>
      </c>
      <c r="F2708">
        <v>6.68</v>
      </c>
      <c r="G2708">
        <v>6.69</v>
      </c>
      <c r="H2708">
        <v>59516</v>
      </c>
      <c r="I2708">
        <v>673</v>
      </c>
      <c r="J2708">
        <v>-0.14000000000000001</v>
      </c>
      <c r="K2708">
        <v>0.32</v>
      </c>
      <c r="L2708">
        <v>6.73</v>
      </c>
      <c r="M2708">
        <v>6.76</v>
      </c>
      <c r="N2708">
        <v>6.68</v>
      </c>
      <c r="O2708">
        <v>6.72</v>
      </c>
      <c r="P2708">
        <v>19.54</v>
      </c>
      <c r="Q2708">
        <v>40058300</v>
      </c>
      <c r="R2708">
        <v>1.49</v>
      </c>
      <c r="S2708" t="s">
        <v>293</v>
      </c>
      <c r="T2708" t="s">
        <v>1653</v>
      </c>
      <c r="U2708">
        <v>1.19</v>
      </c>
      <c r="V2708">
        <v>6.73</v>
      </c>
      <c r="W2708">
        <v>38428</v>
      </c>
      <c r="X2708">
        <v>21088</v>
      </c>
      <c r="Y2708">
        <v>1.82</v>
      </c>
      <c r="Z2708">
        <v>2435</v>
      </c>
      <c r="AA2708">
        <v>250</v>
      </c>
      <c r="AB2708" t="s">
        <v>116</v>
      </c>
      <c r="AC2708">
        <v>170300</v>
      </c>
      <c r="AD2708">
        <v>0.01</v>
      </c>
      <c r="AE2708" t="s">
        <v>116</v>
      </c>
      <c r="AF2708" t="s">
        <v>116</v>
      </c>
      <c r="AG2708">
        <v>18.62</v>
      </c>
      <c r="AH2708" t="s">
        <v>12209</v>
      </c>
      <c r="AI2708" t="s">
        <v>12210</v>
      </c>
      <c r="AJ2708">
        <v>-0.52</v>
      </c>
      <c r="AK2708">
        <v>1689</v>
      </c>
      <c r="AL2708">
        <v>35</v>
      </c>
      <c r="AM2708">
        <v>2.0000000000000001E-4</v>
      </c>
      <c r="AN2708">
        <v>-1</v>
      </c>
      <c r="AO2708">
        <v>-0.6</v>
      </c>
      <c r="AP2708">
        <v>0.15</v>
      </c>
      <c r="AQ2708">
        <v>-8.24</v>
      </c>
      <c r="AR2708">
        <v>-14.58</v>
      </c>
      <c r="AS2708">
        <v>1.28</v>
      </c>
      <c r="AT2708" t="s">
        <v>12211</v>
      </c>
      <c r="AU2708">
        <v>17.739999999999998</v>
      </c>
      <c r="AV2708">
        <v>7.78</v>
      </c>
      <c r="AW2708">
        <v>0.85</v>
      </c>
      <c r="BA2708">
        <v>0.15</v>
      </c>
      <c r="BB2708">
        <v>0.6</v>
      </c>
      <c r="BC2708">
        <v>-0.6</v>
      </c>
      <c r="BD2708">
        <v>0.16</v>
      </c>
      <c r="BE2708">
        <v>-0.74</v>
      </c>
      <c r="BF2708">
        <v>-1.18</v>
      </c>
      <c r="BG2708">
        <v>0</v>
      </c>
      <c r="BH2708">
        <v>-0.75</v>
      </c>
      <c r="BI2708">
        <v>20191031</v>
      </c>
      <c r="BJ2708">
        <v>19921204</v>
      </c>
      <c r="BK2708">
        <v>21.05</v>
      </c>
      <c r="BL2708">
        <v>2.4300000000000002</v>
      </c>
      <c r="BM2708" t="s">
        <v>116</v>
      </c>
      <c r="BN2708">
        <v>454.65</v>
      </c>
      <c r="BO2708">
        <v>182.29</v>
      </c>
      <c r="BP2708">
        <v>23.83</v>
      </c>
      <c r="BQ2708">
        <v>54.66</v>
      </c>
      <c r="BR2708">
        <v>217.08</v>
      </c>
      <c r="BS2708">
        <v>120.16</v>
      </c>
      <c r="BT2708">
        <v>18.27</v>
      </c>
      <c r="BU2708">
        <v>202.12</v>
      </c>
      <c r="BV2708">
        <v>40.96</v>
      </c>
      <c r="BW2708">
        <v>27.08</v>
      </c>
      <c r="BX2708">
        <v>90.27</v>
      </c>
      <c r="BY2708">
        <v>313.62</v>
      </c>
      <c r="BZ2708">
        <v>288.12</v>
      </c>
      <c r="CA2708">
        <v>7.89</v>
      </c>
      <c r="CB2708">
        <v>1.71</v>
      </c>
      <c r="CC2708">
        <v>7.96</v>
      </c>
      <c r="CD2708">
        <v>5.48</v>
      </c>
      <c r="CE2708">
        <v>5.4</v>
      </c>
      <c r="CF2708">
        <v>3.49</v>
      </c>
      <c r="CG2708">
        <v>69.94</v>
      </c>
      <c r="CH2708">
        <v>-11.18</v>
      </c>
      <c r="CI2708">
        <v>-34.44</v>
      </c>
      <c r="CJ2708">
        <v>72152</v>
      </c>
      <c r="CK2708">
        <v>9809</v>
      </c>
      <c r="CL2708" t="s">
        <v>8617</v>
      </c>
      <c r="CM2708">
        <v>-65.27</v>
      </c>
      <c r="CN2708">
        <v>-7.19</v>
      </c>
      <c r="CO2708">
        <v>0.77</v>
      </c>
      <c r="CP2708">
        <v>-12.58</v>
      </c>
      <c r="CQ2708">
        <v>0.45</v>
      </c>
      <c r="CR2708">
        <v>3.89</v>
      </c>
      <c r="CS2708" t="s">
        <v>3081</v>
      </c>
      <c r="CT2708">
        <v>8.66</v>
      </c>
      <c r="CU2708">
        <v>0</v>
      </c>
      <c r="CV2708">
        <v>4.29</v>
      </c>
      <c r="CW2708">
        <v>3.32</v>
      </c>
      <c r="CX2708">
        <v>-0.53</v>
      </c>
      <c r="CY2708">
        <v>40.090000000000003</v>
      </c>
      <c r="CZ2708" t="s">
        <v>5095</v>
      </c>
      <c r="DA2708">
        <v>8.1300000000000008</v>
      </c>
      <c r="DB2708">
        <v>2.52</v>
      </c>
      <c r="DC2708">
        <v>1.72</v>
      </c>
      <c r="DD2708">
        <v>3.07</v>
      </c>
      <c r="DE2708">
        <v>12776</v>
      </c>
      <c r="DF2708">
        <v>600623</v>
      </c>
      <c r="DG2708" t="s">
        <v>116</v>
      </c>
      <c r="DH2708" t="s">
        <v>116</v>
      </c>
      <c r="DI2708" t="s">
        <v>116</v>
      </c>
    </row>
    <row r="2709" spans="1:113" x14ac:dyDescent="0.4">
      <c r="A2709" t="str">
        <f>"600624"</f>
        <v>600624</v>
      </c>
      <c r="B2709" t="s">
        <v>12212</v>
      </c>
      <c r="C2709">
        <v>-3.37</v>
      </c>
      <c r="D2709">
        <v>9.18</v>
      </c>
      <c r="E2709">
        <v>-0.32</v>
      </c>
      <c r="F2709">
        <v>9.18</v>
      </c>
      <c r="G2709">
        <v>9.19</v>
      </c>
      <c r="H2709">
        <v>491014</v>
      </c>
      <c r="I2709">
        <v>10466</v>
      </c>
      <c r="J2709">
        <v>-0.32</v>
      </c>
      <c r="K2709">
        <v>7.17</v>
      </c>
      <c r="L2709">
        <v>9.4</v>
      </c>
      <c r="M2709">
        <v>9.7200000000000006</v>
      </c>
      <c r="N2709">
        <v>9.17</v>
      </c>
      <c r="O2709">
        <v>9.5</v>
      </c>
      <c r="P2709">
        <v>111.1</v>
      </c>
      <c r="Q2709">
        <v>465578592</v>
      </c>
      <c r="R2709">
        <v>1.1000000000000001</v>
      </c>
      <c r="S2709" t="s">
        <v>574</v>
      </c>
      <c r="T2709" t="s">
        <v>1653</v>
      </c>
      <c r="U2709">
        <v>5.79</v>
      </c>
      <c r="V2709">
        <v>9.48</v>
      </c>
      <c r="W2709">
        <v>283974</v>
      </c>
      <c r="X2709">
        <v>207040</v>
      </c>
      <c r="Y2709">
        <v>1.37</v>
      </c>
      <c r="Z2709">
        <v>567</v>
      </c>
      <c r="AA2709">
        <v>3499</v>
      </c>
      <c r="AB2709" t="s">
        <v>116</v>
      </c>
      <c r="AC2709">
        <v>6655200</v>
      </c>
      <c r="AD2709">
        <v>0.15</v>
      </c>
      <c r="AE2709" t="s">
        <v>116</v>
      </c>
      <c r="AF2709" t="s">
        <v>116</v>
      </c>
      <c r="AG2709">
        <v>6.85</v>
      </c>
      <c r="AH2709" t="s">
        <v>12213</v>
      </c>
      <c r="AI2709" t="s">
        <v>12213</v>
      </c>
      <c r="AJ2709">
        <v>-3.29</v>
      </c>
      <c r="AK2709">
        <v>4132</v>
      </c>
      <c r="AL2709">
        <v>119</v>
      </c>
      <c r="AM2709">
        <v>1.6999999999999999E-3</v>
      </c>
      <c r="AN2709">
        <v>-1</v>
      </c>
      <c r="AO2709">
        <v>2.33</v>
      </c>
      <c r="AP2709">
        <v>15.76</v>
      </c>
      <c r="AQ2709">
        <v>6.5</v>
      </c>
      <c r="AR2709">
        <v>52.37</v>
      </c>
      <c r="AS2709">
        <v>10.46</v>
      </c>
      <c r="AT2709" t="s">
        <v>12214</v>
      </c>
      <c r="AU2709">
        <v>120.44</v>
      </c>
      <c r="AV2709">
        <v>146.91</v>
      </c>
      <c r="AW2709">
        <v>2.29</v>
      </c>
      <c r="BA2709">
        <v>-1.05</v>
      </c>
      <c r="BB2709">
        <v>2.3199999999999998</v>
      </c>
      <c r="BC2709">
        <v>-3.47</v>
      </c>
      <c r="BD2709">
        <v>-0.19</v>
      </c>
      <c r="BE2709">
        <v>-2.34</v>
      </c>
      <c r="BF2709">
        <v>-5.56</v>
      </c>
      <c r="BG2709">
        <v>0.11</v>
      </c>
      <c r="BH2709">
        <v>-3.18</v>
      </c>
      <c r="BI2709">
        <v>20191026</v>
      </c>
      <c r="BJ2709">
        <v>19930105</v>
      </c>
      <c r="BK2709">
        <v>6.85</v>
      </c>
      <c r="BL2709" t="s">
        <v>116</v>
      </c>
      <c r="BM2709" t="s">
        <v>116</v>
      </c>
      <c r="BN2709">
        <v>21.3</v>
      </c>
      <c r="BO2709">
        <v>11.74</v>
      </c>
      <c r="BP2709">
        <v>0.82</v>
      </c>
      <c r="BQ2709">
        <v>41.04</v>
      </c>
      <c r="BR2709">
        <v>11.91</v>
      </c>
      <c r="BS2709">
        <v>3.37</v>
      </c>
      <c r="BT2709">
        <v>0.72</v>
      </c>
      <c r="BU2709">
        <v>7.09</v>
      </c>
      <c r="BV2709">
        <v>7.62</v>
      </c>
      <c r="BW2709">
        <v>1.06</v>
      </c>
      <c r="BX2709">
        <v>1.72</v>
      </c>
      <c r="BY2709">
        <v>11.4</v>
      </c>
      <c r="BZ2709">
        <v>6.81</v>
      </c>
      <c r="CA2709">
        <v>0.69</v>
      </c>
      <c r="CB2709">
        <v>0</v>
      </c>
      <c r="CC2709">
        <v>0.69</v>
      </c>
      <c r="CD2709">
        <v>0.46</v>
      </c>
      <c r="CE2709">
        <v>0.42</v>
      </c>
      <c r="CF2709">
        <v>0.28000000000000003</v>
      </c>
      <c r="CG2709">
        <v>3.02</v>
      </c>
      <c r="CH2709">
        <v>-0.27</v>
      </c>
      <c r="CI2709">
        <v>-1.1200000000000001</v>
      </c>
      <c r="CJ2709">
        <v>116098</v>
      </c>
      <c r="CK2709">
        <v>4044</v>
      </c>
      <c r="CL2709" t="s">
        <v>1923</v>
      </c>
      <c r="CM2709">
        <v>28.47</v>
      </c>
      <c r="CN2709">
        <v>54.86</v>
      </c>
      <c r="CO2709">
        <v>5.35</v>
      </c>
      <c r="CP2709">
        <v>-236.08</v>
      </c>
      <c r="CQ2709">
        <v>5.51</v>
      </c>
      <c r="CR2709">
        <v>0.27</v>
      </c>
      <c r="CS2709" t="s">
        <v>11182</v>
      </c>
      <c r="CT2709">
        <v>1.72</v>
      </c>
      <c r="CU2709">
        <v>0</v>
      </c>
      <c r="CV2709">
        <v>0.25</v>
      </c>
      <c r="CW2709">
        <v>0.44</v>
      </c>
      <c r="CX2709">
        <v>-0.04</v>
      </c>
      <c r="CY2709">
        <v>55.12</v>
      </c>
      <c r="CZ2709" t="s">
        <v>7166</v>
      </c>
      <c r="DA2709">
        <v>40.28</v>
      </c>
      <c r="DB2709">
        <v>6.09</v>
      </c>
      <c r="DC2709">
        <v>3.72</v>
      </c>
      <c r="DD2709">
        <v>0.32</v>
      </c>
      <c r="DE2709">
        <v>1433</v>
      </c>
      <c r="DF2709">
        <v>600624</v>
      </c>
      <c r="DG2709" t="s">
        <v>116</v>
      </c>
      <c r="DH2709" t="s">
        <v>116</v>
      </c>
      <c r="DI2709" t="s">
        <v>116</v>
      </c>
    </row>
    <row r="2710" spans="1:113" x14ac:dyDescent="0.4">
      <c r="A2710" t="str">
        <f>"600626"</f>
        <v>600626</v>
      </c>
      <c r="B2710" t="s">
        <v>12215</v>
      </c>
      <c r="C2710">
        <v>-0.69</v>
      </c>
      <c r="D2710">
        <v>5.78</v>
      </c>
      <c r="E2710">
        <v>-0.04</v>
      </c>
      <c r="F2710">
        <v>5.78</v>
      </c>
      <c r="G2710">
        <v>5.79</v>
      </c>
      <c r="H2710">
        <v>54110</v>
      </c>
      <c r="I2710">
        <v>644</v>
      </c>
      <c r="J2710">
        <v>-0.16</v>
      </c>
      <c r="K2710">
        <v>0.67</v>
      </c>
      <c r="L2710">
        <v>5.8</v>
      </c>
      <c r="M2710">
        <v>5.91</v>
      </c>
      <c r="N2710">
        <v>5.77</v>
      </c>
      <c r="O2710">
        <v>5.82</v>
      </c>
      <c r="P2710">
        <v>10.01</v>
      </c>
      <c r="Q2710">
        <v>31632640</v>
      </c>
      <c r="R2710">
        <v>1.42</v>
      </c>
      <c r="S2710" t="s">
        <v>1420</v>
      </c>
      <c r="T2710" t="s">
        <v>1653</v>
      </c>
      <c r="U2710">
        <v>2.41</v>
      </c>
      <c r="V2710">
        <v>5.85</v>
      </c>
      <c r="W2710">
        <v>29724</v>
      </c>
      <c r="X2710">
        <v>24386</v>
      </c>
      <c r="Y2710">
        <v>1.22</v>
      </c>
      <c r="Z2710">
        <v>1404</v>
      </c>
      <c r="AA2710">
        <v>744</v>
      </c>
      <c r="AB2710" t="s">
        <v>116</v>
      </c>
      <c r="AC2710">
        <v>128200</v>
      </c>
      <c r="AD2710">
        <v>0</v>
      </c>
      <c r="AE2710" t="s">
        <v>116</v>
      </c>
      <c r="AF2710" t="s">
        <v>116</v>
      </c>
      <c r="AG2710">
        <v>8.08</v>
      </c>
      <c r="AH2710" t="s">
        <v>12079</v>
      </c>
      <c r="AI2710" t="s">
        <v>7745</v>
      </c>
      <c r="AJ2710">
        <v>-0.61</v>
      </c>
      <c r="AK2710">
        <v>971</v>
      </c>
      <c r="AL2710">
        <v>56</v>
      </c>
      <c r="AM2710">
        <v>6.9999999999999999E-4</v>
      </c>
      <c r="AN2710">
        <v>-1</v>
      </c>
      <c r="AO2710">
        <v>-0.52</v>
      </c>
      <c r="AP2710">
        <v>2.66</v>
      </c>
      <c r="AQ2710">
        <v>-13.86</v>
      </c>
      <c r="AR2710">
        <v>18.2</v>
      </c>
      <c r="AS2710">
        <v>0.92</v>
      </c>
      <c r="AT2710" t="s">
        <v>12216</v>
      </c>
      <c r="AU2710">
        <v>12.39</v>
      </c>
      <c r="AV2710">
        <v>39.340000000000003</v>
      </c>
      <c r="AW2710">
        <v>1.6</v>
      </c>
      <c r="BA2710">
        <v>-0.34</v>
      </c>
      <c r="BB2710">
        <v>1.55</v>
      </c>
      <c r="BC2710">
        <v>-0.86</v>
      </c>
      <c r="BD2710">
        <v>0.45</v>
      </c>
      <c r="BE2710">
        <v>-0.34</v>
      </c>
      <c r="BF2710">
        <v>-2.2000000000000002</v>
      </c>
      <c r="BG2710">
        <v>0.17</v>
      </c>
      <c r="BH2710">
        <v>-1.1299999999999999</v>
      </c>
      <c r="BI2710">
        <v>20191227</v>
      </c>
      <c r="BJ2710">
        <v>19930107</v>
      </c>
      <c r="BK2710">
        <v>8.52</v>
      </c>
      <c r="BL2710" t="s">
        <v>116</v>
      </c>
      <c r="BM2710" t="s">
        <v>116</v>
      </c>
      <c r="BN2710">
        <v>112.86</v>
      </c>
      <c r="BO2710">
        <v>36.67</v>
      </c>
      <c r="BP2710">
        <v>7.25</v>
      </c>
      <c r="BQ2710">
        <v>61.08</v>
      </c>
      <c r="BR2710">
        <v>51.44</v>
      </c>
      <c r="BS2710">
        <v>29.24</v>
      </c>
      <c r="BT2710">
        <v>3.92</v>
      </c>
      <c r="BU2710">
        <v>39.770000000000003</v>
      </c>
      <c r="BV2710">
        <v>10.78</v>
      </c>
      <c r="BW2710">
        <v>20.350000000000001</v>
      </c>
      <c r="BX2710">
        <v>7.23</v>
      </c>
      <c r="BY2710">
        <v>110.16</v>
      </c>
      <c r="BZ2710">
        <v>99.3</v>
      </c>
      <c r="CA2710">
        <v>5.0999999999999996</v>
      </c>
      <c r="CB2710">
        <v>7.64</v>
      </c>
      <c r="CC2710">
        <v>5.09</v>
      </c>
      <c r="CD2710">
        <v>3.2</v>
      </c>
      <c r="CE2710">
        <v>3.69</v>
      </c>
      <c r="CF2710">
        <v>-1.41</v>
      </c>
      <c r="CG2710">
        <v>13.87</v>
      </c>
      <c r="CH2710">
        <v>-0.18</v>
      </c>
      <c r="CI2710">
        <v>-2.29</v>
      </c>
      <c r="CJ2710">
        <v>58155</v>
      </c>
      <c r="CK2710">
        <v>10102</v>
      </c>
      <c r="CL2710" t="s">
        <v>3001</v>
      </c>
      <c r="CM2710">
        <v>282.01</v>
      </c>
      <c r="CN2710">
        <v>-9.01</v>
      </c>
      <c r="CO2710">
        <v>1.34</v>
      </c>
      <c r="CP2710">
        <v>-271.14999999999998</v>
      </c>
      <c r="CQ2710">
        <v>0.45</v>
      </c>
      <c r="CR2710">
        <v>0.87</v>
      </c>
      <c r="CS2710" t="s">
        <v>3597</v>
      </c>
      <c r="CT2710">
        <v>4.3</v>
      </c>
      <c r="CU2710">
        <v>0</v>
      </c>
      <c r="CV2710">
        <v>0.85</v>
      </c>
      <c r="CW2710">
        <v>1.63</v>
      </c>
      <c r="CX2710">
        <v>-0.02</v>
      </c>
      <c r="CY2710">
        <v>32.49</v>
      </c>
      <c r="CZ2710" t="s">
        <v>2998</v>
      </c>
      <c r="DA2710">
        <v>9.85</v>
      </c>
      <c r="DB2710">
        <v>4.63</v>
      </c>
      <c r="DC2710">
        <v>3.35</v>
      </c>
      <c r="DD2710">
        <v>1.37</v>
      </c>
      <c r="DE2710">
        <v>11246</v>
      </c>
      <c r="DF2710">
        <v>600626</v>
      </c>
      <c r="DG2710" t="s">
        <v>116</v>
      </c>
      <c r="DH2710" t="s">
        <v>116</v>
      </c>
      <c r="DI2710" t="s">
        <v>116</v>
      </c>
    </row>
    <row r="2711" spans="1:113" x14ac:dyDescent="0.4">
      <c r="A2711" t="str">
        <f>"600628"</f>
        <v>600628</v>
      </c>
      <c r="B2711" t="s">
        <v>12217</v>
      </c>
      <c r="C2711">
        <v>0.53</v>
      </c>
      <c r="D2711">
        <v>9.44</v>
      </c>
      <c r="E2711">
        <v>0.05</v>
      </c>
      <c r="F2711">
        <v>9.44</v>
      </c>
      <c r="G2711">
        <v>9.4499999999999993</v>
      </c>
      <c r="H2711">
        <v>15084</v>
      </c>
      <c r="I2711">
        <v>157</v>
      </c>
      <c r="J2711">
        <v>-0.1</v>
      </c>
      <c r="K2711">
        <v>0.23</v>
      </c>
      <c r="L2711">
        <v>9.39</v>
      </c>
      <c r="M2711">
        <v>9.49</v>
      </c>
      <c r="N2711">
        <v>9.39</v>
      </c>
      <c r="O2711">
        <v>9.39</v>
      </c>
      <c r="P2711">
        <v>89.35</v>
      </c>
      <c r="Q2711">
        <v>14249045</v>
      </c>
      <c r="R2711">
        <v>0.86</v>
      </c>
      <c r="S2711" t="s">
        <v>746</v>
      </c>
      <c r="T2711" t="s">
        <v>1653</v>
      </c>
      <c r="U2711">
        <v>1.06</v>
      </c>
      <c r="V2711">
        <v>9.4499999999999993</v>
      </c>
      <c r="W2711">
        <v>5681</v>
      </c>
      <c r="X2711">
        <v>9403</v>
      </c>
      <c r="Y2711">
        <v>0.6</v>
      </c>
      <c r="Z2711">
        <v>627</v>
      </c>
      <c r="AA2711">
        <v>226</v>
      </c>
      <c r="AB2711" t="s">
        <v>116</v>
      </c>
      <c r="AC2711">
        <v>29700</v>
      </c>
      <c r="AD2711">
        <v>0</v>
      </c>
      <c r="AE2711" t="s">
        <v>116</v>
      </c>
      <c r="AF2711" t="s">
        <v>116</v>
      </c>
      <c r="AG2711">
        <v>6.47</v>
      </c>
      <c r="AH2711" t="s">
        <v>10943</v>
      </c>
      <c r="AI2711" t="s">
        <v>10943</v>
      </c>
      <c r="AJ2711">
        <v>0.61</v>
      </c>
      <c r="AK2711">
        <v>677</v>
      </c>
      <c r="AL2711">
        <v>22</v>
      </c>
      <c r="AM2711">
        <v>2.9999999999999997E-4</v>
      </c>
      <c r="AN2711">
        <v>2</v>
      </c>
      <c r="AO2711">
        <v>0.74</v>
      </c>
      <c r="AP2711">
        <v>-2.1800000000000002</v>
      </c>
      <c r="AQ2711">
        <v>9.26</v>
      </c>
      <c r="AR2711">
        <v>52.01</v>
      </c>
      <c r="AS2711">
        <v>0.44</v>
      </c>
      <c r="AT2711" t="s">
        <v>12218</v>
      </c>
      <c r="AU2711">
        <v>74.209999999999994</v>
      </c>
      <c r="AV2711">
        <v>22.38</v>
      </c>
      <c r="AW2711">
        <v>0.62</v>
      </c>
      <c r="BA2711">
        <v>0</v>
      </c>
      <c r="BB2711">
        <v>1.06</v>
      </c>
      <c r="BC2711">
        <v>0</v>
      </c>
      <c r="BD2711">
        <v>0.6</v>
      </c>
      <c r="BE2711">
        <v>0.53</v>
      </c>
      <c r="BF2711">
        <v>-0.53</v>
      </c>
      <c r="BG2711">
        <v>0.53</v>
      </c>
      <c r="BH2711">
        <v>-7.0000000000000007E-2</v>
      </c>
      <c r="BI2711">
        <v>20191031</v>
      </c>
      <c r="BJ2711">
        <v>19930119</v>
      </c>
      <c r="BK2711">
        <v>6.47</v>
      </c>
      <c r="BL2711" t="s">
        <v>116</v>
      </c>
      <c r="BM2711" t="s">
        <v>116</v>
      </c>
      <c r="BN2711">
        <v>60.79</v>
      </c>
      <c r="BO2711">
        <v>44.05</v>
      </c>
      <c r="BP2711">
        <v>0.03</v>
      </c>
      <c r="BQ2711">
        <v>27.48</v>
      </c>
      <c r="BR2711">
        <v>22.9</v>
      </c>
      <c r="BS2711">
        <v>24.17</v>
      </c>
      <c r="BT2711">
        <v>4.97</v>
      </c>
      <c r="BU2711">
        <v>15.48</v>
      </c>
      <c r="BV2711">
        <v>1.67</v>
      </c>
      <c r="BW2711">
        <v>0.97</v>
      </c>
      <c r="BX2711">
        <v>15.65</v>
      </c>
      <c r="BY2711">
        <v>12.44</v>
      </c>
      <c r="BZ2711">
        <v>8.7100000000000009</v>
      </c>
      <c r="CA2711">
        <v>0.23</v>
      </c>
      <c r="CB2711">
        <v>0.21</v>
      </c>
      <c r="CC2711">
        <v>0.57999999999999996</v>
      </c>
      <c r="CD2711">
        <v>0.52</v>
      </c>
      <c r="CE2711">
        <v>0.51</v>
      </c>
      <c r="CF2711">
        <v>0.02</v>
      </c>
      <c r="CG2711">
        <v>18.41</v>
      </c>
      <c r="CH2711">
        <v>-0.79</v>
      </c>
      <c r="CI2711">
        <v>1.21</v>
      </c>
      <c r="CJ2711">
        <v>42640</v>
      </c>
      <c r="CK2711">
        <v>8009</v>
      </c>
      <c r="CL2711" t="s">
        <v>9923</v>
      </c>
      <c r="CM2711">
        <v>-78.8</v>
      </c>
      <c r="CN2711">
        <v>-37.090000000000003</v>
      </c>
      <c r="CO2711">
        <v>1.39</v>
      </c>
      <c r="CP2711">
        <v>-76.87</v>
      </c>
      <c r="CQ2711">
        <v>4.91</v>
      </c>
      <c r="CR2711">
        <v>1.38</v>
      </c>
      <c r="CS2711" t="s">
        <v>4027</v>
      </c>
      <c r="CT2711">
        <v>6.81</v>
      </c>
      <c r="CU2711">
        <v>0</v>
      </c>
      <c r="CV2711">
        <v>2.42</v>
      </c>
      <c r="CW2711">
        <v>2.85</v>
      </c>
      <c r="CX2711">
        <v>-0.12</v>
      </c>
      <c r="CY2711">
        <v>72.47</v>
      </c>
      <c r="CZ2711" t="s">
        <v>6308</v>
      </c>
      <c r="DA2711">
        <v>29.99</v>
      </c>
      <c r="DB2711">
        <v>1.86</v>
      </c>
      <c r="DC2711">
        <v>4.12</v>
      </c>
      <c r="DD2711">
        <v>0</v>
      </c>
      <c r="DE2711">
        <v>1022</v>
      </c>
      <c r="DF2711">
        <v>600628</v>
      </c>
      <c r="DG2711" t="s">
        <v>116</v>
      </c>
      <c r="DH2711" t="s">
        <v>116</v>
      </c>
      <c r="DI2711" t="s">
        <v>116</v>
      </c>
    </row>
    <row r="2712" spans="1:113" x14ac:dyDescent="0.4">
      <c r="A2712" t="str">
        <f>"600629"</f>
        <v>600629</v>
      </c>
      <c r="B2712" t="s">
        <v>12219</v>
      </c>
      <c r="C2712">
        <v>-2.5</v>
      </c>
      <c r="D2712">
        <v>8.98</v>
      </c>
      <c r="E2712">
        <v>-0.23</v>
      </c>
      <c r="F2712">
        <v>8.98</v>
      </c>
      <c r="G2712">
        <v>8.99</v>
      </c>
      <c r="H2712">
        <v>89494</v>
      </c>
      <c r="I2712">
        <v>344</v>
      </c>
      <c r="J2712">
        <v>0.56000000000000005</v>
      </c>
      <c r="K2712">
        <v>2</v>
      </c>
      <c r="L2712">
        <v>9.56</v>
      </c>
      <c r="M2712">
        <v>9.59</v>
      </c>
      <c r="N2712">
        <v>8.93</v>
      </c>
      <c r="O2712">
        <v>9.2100000000000009</v>
      </c>
      <c r="P2712">
        <v>16</v>
      </c>
      <c r="Q2712">
        <v>84514312</v>
      </c>
      <c r="R2712">
        <v>4.5999999999999996</v>
      </c>
      <c r="S2712" t="s">
        <v>181</v>
      </c>
      <c r="T2712" t="s">
        <v>1653</v>
      </c>
      <c r="U2712">
        <v>7.17</v>
      </c>
      <c r="V2712">
        <v>9.44</v>
      </c>
      <c r="W2712">
        <v>52289</v>
      </c>
      <c r="X2712">
        <v>37206</v>
      </c>
      <c r="Y2712">
        <v>1.41</v>
      </c>
      <c r="Z2712">
        <v>144</v>
      </c>
      <c r="AA2712">
        <v>148</v>
      </c>
      <c r="AB2712" t="s">
        <v>116</v>
      </c>
      <c r="AC2712">
        <v>41506100</v>
      </c>
      <c r="AD2712">
        <v>2.93</v>
      </c>
      <c r="AE2712" t="s">
        <v>116</v>
      </c>
      <c r="AF2712" t="s">
        <v>116</v>
      </c>
      <c r="AG2712">
        <v>4.47</v>
      </c>
      <c r="AH2712" t="s">
        <v>12220</v>
      </c>
      <c r="AI2712" t="s">
        <v>12221</v>
      </c>
      <c r="AJ2712">
        <v>-2.42</v>
      </c>
      <c r="AK2712">
        <v>1295</v>
      </c>
      <c r="AL2712">
        <v>69</v>
      </c>
      <c r="AM2712">
        <v>1.5E-3</v>
      </c>
      <c r="AN2712">
        <v>-1</v>
      </c>
      <c r="AO2712">
        <v>2.86</v>
      </c>
      <c r="AP2712">
        <v>8.7200000000000006</v>
      </c>
      <c r="AQ2712">
        <v>0</v>
      </c>
      <c r="AR2712">
        <v>-2.83</v>
      </c>
      <c r="AS2712">
        <v>6.03</v>
      </c>
      <c r="AT2712" t="s">
        <v>5807</v>
      </c>
      <c r="AU2712">
        <v>17.100000000000001</v>
      </c>
      <c r="AV2712">
        <v>18.2</v>
      </c>
      <c r="AW2712">
        <v>0.92</v>
      </c>
      <c r="BA2712">
        <v>3.8</v>
      </c>
      <c r="BB2712">
        <v>4.13</v>
      </c>
      <c r="BC2712">
        <v>-3.04</v>
      </c>
      <c r="BD2712">
        <v>2.54</v>
      </c>
      <c r="BE2712">
        <v>-6.07</v>
      </c>
      <c r="BF2712">
        <v>-6.36</v>
      </c>
      <c r="BG2712">
        <v>0.56000000000000005</v>
      </c>
      <c r="BH2712">
        <v>-5.03</v>
      </c>
      <c r="BI2712">
        <v>20191030</v>
      </c>
      <c r="BJ2712">
        <v>19930209</v>
      </c>
      <c r="BK2712">
        <v>5.34</v>
      </c>
      <c r="BL2712" t="s">
        <v>116</v>
      </c>
      <c r="BM2712" t="s">
        <v>116</v>
      </c>
      <c r="BN2712">
        <v>91.84</v>
      </c>
      <c r="BO2712">
        <v>28.69</v>
      </c>
      <c r="BP2712">
        <v>2.3199999999999998</v>
      </c>
      <c r="BQ2712">
        <v>66.239999999999995</v>
      </c>
      <c r="BR2712">
        <v>64.23</v>
      </c>
      <c r="BS2712">
        <v>11.97</v>
      </c>
      <c r="BT2712">
        <v>1.01</v>
      </c>
      <c r="BU2712">
        <v>58.09</v>
      </c>
      <c r="BV2712">
        <v>27.88</v>
      </c>
      <c r="BW2712">
        <v>20.9</v>
      </c>
      <c r="BX2712">
        <v>14.49</v>
      </c>
      <c r="BY2712">
        <v>49.23</v>
      </c>
      <c r="BZ2712">
        <v>38.130000000000003</v>
      </c>
      <c r="CA2712">
        <v>2.5</v>
      </c>
      <c r="CB2712">
        <v>0.55000000000000004</v>
      </c>
      <c r="CC2712">
        <v>2.98</v>
      </c>
      <c r="CD2712">
        <v>2.5099999999999998</v>
      </c>
      <c r="CE2712">
        <v>2.25</v>
      </c>
      <c r="CF2712">
        <v>1.88</v>
      </c>
      <c r="CG2712">
        <v>12.28</v>
      </c>
      <c r="CH2712">
        <v>-2.6</v>
      </c>
      <c r="CI2712">
        <v>-5.51</v>
      </c>
      <c r="CJ2712">
        <v>16054</v>
      </c>
      <c r="CK2712">
        <v>9244</v>
      </c>
      <c r="CL2712" t="s">
        <v>6868</v>
      </c>
      <c r="CM2712">
        <v>8.1300000000000008</v>
      </c>
      <c r="CN2712">
        <v>15.46</v>
      </c>
      <c r="CO2712">
        <v>1.67</v>
      </c>
      <c r="CP2712">
        <v>-18.440000000000001</v>
      </c>
      <c r="CQ2712">
        <v>0.97</v>
      </c>
      <c r="CR2712">
        <v>1.67</v>
      </c>
      <c r="CS2712" t="s">
        <v>8649</v>
      </c>
      <c r="CT2712">
        <v>5.37</v>
      </c>
      <c r="CU2712">
        <v>0</v>
      </c>
      <c r="CV2712">
        <v>2.71</v>
      </c>
      <c r="CW2712">
        <v>2.2999999999999998</v>
      </c>
      <c r="CX2712">
        <v>-0.49</v>
      </c>
      <c r="CY2712">
        <v>31.24</v>
      </c>
      <c r="CZ2712" t="s">
        <v>1026</v>
      </c>
      <c r="DA2712">
        <v>22.56</v>
      </c>
      <c r="DB2712">
        <v>5.08</v>
      </c>
      <c r="DC2712">
        <v>4.57</v>
      </c>
      <c r="DD2712">
        <v>1.61</v>
      </c>
      <c r="DE2712">
        <v>7171</v>
      </c>
      <c r="DF2712">
        <v>600629</v>
      </c>
      <c r="DG2712" t="s">
        <v>116</v>
      </c>
      <c r="DH2712" t="s">
        <v>116</v>
      </c>
      <c r="DI2712" t="s">
        <v>116</v>
      </c>
    </row>
    <row r="2713" spans="1:113" x14ac:dyDescent="0.4">
      <c r="A2713" t="str">
        <f>"600630"</f>
        <v>600630</v>
      </c>
      <c r="B2713" t="s">
        <v>12222</v>
      </c>
      <c r="C2713">
        <v>0</v>
      </c>
      <c r="D2713">
        <v>7.04</v>
      </c>
      <c r="E2713">
        <v>0</v>
      </c>
      <c r="F2713">
        <v>7.03</v>
      </c>
      <c r="G2713">
        <v>7.04</v>
      </c>
      <c r="H2713">
        <v>37614</v>
      </c>
      <c r="I2713">
        <v>952</v>
      </c>
      <c r="J2713">
        <v>0.28000000000000003</v>
      </c>
      <c r="K2713">
        <v>0.89</v>
      </c>
      <c r="L2713">
        <v>7.03</v>
      </c>
      <c r="M2713">
        <v>7.1</v>
      </c>
      <c r="N2713">
        <v>7.01</v>
      </c>
      <c r="O2713">
        <v>7.04</v>
      </c>
      <c r="P2713">
        <v>88.79</v>
      </c>
      <c r="Q2713">
        <v>26548436</v>
      </c>
      <c r="R2713">
        <v>1.31</v>
      </c>
      <c r="S2713" t="s">
        <v>1420</v>
      </c>
      <c r="T2713" t="s">
        <v>1653</v>
      </c>
      <c r="U2713">
        <v>1.28</v>
      </c>
      <c r="V2713">
        <v>7.06</v>
      </c>
      <c r="W2713">
        <v>20609</v>
      </c>
      <c r="X2713">
        <v>17005</v>
      </c>
      <c r="Y2713">
        <v>1.21</v>
      </c>
      <c r="Z2713">
        <v>36</v>
      </c>
      <c r="AA2713">
        <v>227</v>
      </c>
      <c r="AB2713" t="s">
        <v>116</v>
      </c>
      <c r="AC2713">
        <v>20400</v>
      </c>
      <c r="AD2713">
        <v>0</v>
      </c>
      <c r="AE2713" t="s">
        <v>116</v>
      </c>
      <c r="AF2713" t="s">
        <v>116</v>
      </c>
      <c r="AG2713">
        <v>4.25</v>
      </c>
      <c r="AH2713" t="s">
        <v>5727</v>
      </c>
      <c r="AI2713" t="s">
        <v>5727</v>
      </c>
      <c r="AJ2713">
        <v>0.08</v>
      </c>
      <c r="AK2713">
        <v>1021</v>
      </c>
      <c r="AL2713">
        <v>37</v>
      </c>
      <c r="AM2713">
        <v>8.9999999999999998E-4</v>
      </c>
      <c r="AN2713">
        <v>0</v>
      </c>
      <c r="AO2713">
        <v>1.1499999999999999</v>
      </c>
      <c r="AP2713">
        <v>3.53</v>
      </c>
      <c r="AQ2713">
        <v>-6.38</v>
      </c>
      <c r="AR2713">
        <v>1.88</v>
      </c>
      <c r="AS2713">
        <v>1.27</v>
      </c>
      <c r="AT2713" t="s">
        <v>4548</v>
      </c>
      <c r="AU2713">
        <v>307.44</v>
      </c>
      <c r="AV2713">
        <v>79.39</v>
      </c>
      <c r="AW2713">
        <v>1.26</v>
      </c>
      <c r="BA2713">
        <v>-0.14000000000000001</v>
      </c>
      <c r="BB2713">
        <v>0.85</v>
      </c>
      <c r="BC2713">
        <v>-0.43</v>
      </c>
      <c r="BD2713">
        <v>0.26</v>
      </c>
      <c r="BE2713">
        <v>0.14000000000000001</v>
      </c>
      <c r="BF2713">
        <v>-0.85</v>
      </c>
      <c r="BG2713">
        <v>0.43</v>
      </c>
      <c r="BH2713">
        <v>-0.26</v>
      </c>
      <c r="BI2713">
        <v>20191030</v>
      </c>
      <c r="BJ2713">
        <v>19930209</v>
      </c>
      <c r="BK2713">
        <v>4.25</v>
      </c>
      <c r="BL2713" t="s">
        <v>116</v>
      </c>
      <c r="BM2713" t="s">
        <v>116</v>
      </c>
      <c r="BN2713">
        <v>34.15</v>
      </c>
      <c r="BO2713">
        <v>18.3</v>
      </c>
      <c r="BP2713">
        <v>0.18</v>
      </c>
      <c r="BQ2713">
        <v>45.87</v>
      </c>
      <c r="BR2713">
        <v>29.41</v>
      </c>
      <c r="BS2713">
        <v>3.56</v>
      </c>
      <c r="BT2713">
        <v>0.33</v>
      </c>
      <c r="BU2713">
        <v>15.61</v>
      </c>
      <c r="BV2713">
        <v>12.2</v>
      </c>
      <c r="BW2713">
        <v>3.36</v>
      </c>
      <c r="BX2713">
        <v>9.33</v>
      </c>
      <c r="BY2713">
        <v>29.26</v>
      </c>
      <c r="BZ2713">
        <v>21.66</v>
      </c>
      <c r="CA2713">
        <v>0.42</v>
      </c>
      <c r="CB2713">
        <v>0</v>
      </c>
      <c r="CC2713">
        <v>0.41</v>
      </c>
      <c r="CD2713">
        <v>0.26</v>
      </c>
      <c r="CE2713">
        <v>0.25</v>
      </c>
      <c r="CF2713">
        <v>0.16</v>
      </c>
      <c r="CG2713">
        <v>4.5199999999999996</v>
      </c>
      <c r="CH2713">
        <v>-2.33</v>
      </c>
      <c r="CI2713">
        <v>-0.47</v>
      </c>
      <c r="CJ2713">
        <v>72166</v>
      </c>
      <c r="CK2713">
        <v>4116</v>
      </c>
      <c r="CL2713" t="s">
        <v>6333</v>
      </c>
      <c r="CM2713">
        <v>-52.52</v>
      </c>
      <c r="CN2713">
        <v>1.1599999999999999</v>
      </c>
      <c r="CO2713">
        <v>1.63</v>
      </c>
      <c r="CP2713">
        <v>-12.84</v>
      </c>
      <c r="CQ2713">
        <v>1.02</v>
      </c>
      <c r="CR2713">
        <v>0</v>
      </c>
      <c r="CS2713" t="s">
        <v>4234</v>
      </c>
      <c r="CT2713">
        <v>4.3099999999999996</v>
      </c>
      <c r="CU2713">
        <v>0</v>
      </c>
      <c r="CV2713">
        <v>2.2000000000000002</v>
      </c>
      <c r="CW2713">
        <v>1.06</v>
      </c>
      <c r="CX2713">
        <v>-0.55000000000000004</v>
      </c>
      <c r="CY2713">
        <v>53.6</v>
      </c>
      <c r="CZ2713" t="s">
        <v>12223</v>
      </c>
      <c r="DA2713">
        <v>25.95</v>
      </c>
      <c r="DB2713">
        <v>1.43</v>
      </c>
      <c r="DC2713">
        <v>0.86</v>
      </c>
      <c r="DD2713">
        <v>0.35</v>
      </c>
      <c r="DE2713">
        <v>1777</v>
      </c>
      <c r="DF2713">
        <v>600630</v>
      </c>
      <c r="DG2713" t="s">
        <v>116</v>
      </c>
      <c r="DH2713" t="s">
        <v>116</v>
      </c>
      <c r="DI2713" t="s">
        <v>116</v>
      </c>
    </row>
    <row r="2714" spans="1:113" x14ac:dyDescent="0.4">
      <c r="A2714" t="str">
        <f>"600633"</f>
        <v>600633</v>
      </c>
      <c r="B2714" t="s">
        <v>12224</v>
      </c>
      <c r="C2714">
        <v>3.75</v>
      </c>
      <c r="D2714">
        <v>9.69</v>
      </c>
      <c r="E2714">
        <v>0.35</v>
      </c>
      <c r="F2714">
        <v>9.69</v>
      </c>
      <c r="G2714">
        <v>9.6999999999999993</v>
      </c>
      <c r="H2714">
        <v>543691</v>
      </c>
      <c r="I2714">
        <v>2943</v>
      </c>
      <c r="J2714">
        <v>-0.4</v>
      </c>
      <c r="K2714">
        <v>4.18</v>
      </c>
      <c r="L2714">
        <v>9.77</v>
      </c>
      <c r="M2714">
        <v>10.27</v>
      </c>
      <c r="N2714">
        <v>9.68</v>
      </c>
      <c r="O2714">
        <v>9.34</v>
      </c>
      <c r="P2714">
        <v>22.85</v>
      </c>
      <c r="Q2714">
        <v>546502272</v>
      </c>
      <c r="R2714">
        <v>3.05</v>
      </c>
      <c r="S2714" t="s">
        <v>1384</v>
      </c>
      <c r="T2714" t="s">
        <v>590</v>
      </c>
      <c r="U2714">
        <v>6.32</v>
      </c>
      <c r="V2714">
        <v>10.050000000000001</v>
      </c>
      <c r="W2714">
        <v>302254</v>
      </c>
      <c r="X2714">
        <v>241437</v>
      </c>
      <c r="Y2714">
        <v>1.25</v>
      </c>
      <c r="Z2714">
        <v>261</v>
      </c>
      <c r="AA2714">
        <v>3578</v>
      </c>
      <c r="AB2714" t="s">
        <v>116</v>
      </c>
      <c r="AC2714">
        <v>6371000</v>
      </c>
      <c r="AD2714">
        <v>0.11</v>
      </c>
      <c r="AE2714" t="s">
        <v>116</v>
      </c>
      <c r="AF2714" t="s">
        <v>116</v>
      </c>
      <c r="AG2714">
        <v>13.02</v>
      </c>
      <c r="AH2714" t="s">
        <v>12225</v>
      </c>
      <c r="AI2714" t="s">
        <v>12225</v>
      </c>
      <c r="AJ2714">
        <v>3.82</v>
      </c>
      <c r="AK2714">
        <v>3797</v>
      </c>
      <c r="AL2714">
        <v>143</v>
      </c>
      <c r="AM2714">
        <v>1.1000000000000001E-3</v>
      </c>
      <c r="AN2714">
        <v>4</v>
      </c>
      <c r="AO2714">
        <v>8.15</v>
      </c>
      <c r="AP2714">
        <v>17.03</v>
      </c>
      <c r="AQ2714">
        <v>9.49</v>
      </c>
      <c r="AR2714">
        <v>20.07</v>
      </c>
      <c r="AS2714">
        <v>8.94</v>
      </c>
      <c r="AT2714" t="s">
        <v>12226</v>
      </c>
      <c r="AU2714">
        <v>25.63</v>
      </c>
      <c r="AV2714">
        <v>26.37</v>
      </c>
      <c r="AW2714">
        <v>1.78</v>
      </c>
      <c r="BA2714">
        <v>4.5999999999999996</v>
      </c>
      <c r="BB2714">
        <v>9.9600000000000009</v>
      </c>
      <c r="BC2714">
        <v>3.64</v>
      </c>
      <c r="BD2714">
        <v>7.62</v>
      </c>
      <c r="BE2714">
        <v>-0.82</v>
      </c>
      <c r="BF2714">
        <v>-5.65</v>
      </c>
      <c r="BG2714">
        <v>0.1</v>
      </c>
      <c r="BH2714">
        <v>-3.87</v>
      </c>
      <c r="BI2714">
        <v>20191213</v>
      </c>
      <c r="BJ2714">
        <v>19930304</v>
      </c>
      <c r="BK2714">
        <v>13.02</v>
      </c>
      <c r="BL2714" t="s">
        <v>116</v>
      </c>
      <c r="BM2714" t="s">
        <v>116</v>
      </c>
      <c r="BN2714">
        <v>99.55</v>
      </c>
      <c r="BO2714">
        <v>79.260000000000005</v>
      </c>
      <c r="BP2714">
        <v>9.25</v>
      </c>
      <c r="BQ2714">
        <v>11.09</v>
      </c>
      <c r="BR2714">
        <v>24.41</v>
      </c>
      <c r="BS2714">
        <v>4.12</v>
      </c>
      <c r="BT2714">
        <v>9.7799999999999994</v>
      </c>
      <c r="BU2714">
        <v>7.19</v>
      </c>
      <c r="BV2714">
        <v>0.08</v>
      </c>
      <c r="BW2714">
        <v>2.27</v>
      </c>
      <c r="BX2714">
        <v>32.19</v>
      </c>
      <c r="BY2714">
        <v>20.149999999999999</v>
      </c>
      <c r="BZ2714">
        <v>5.53</v>
      </c>
      <c r="CA2714">
        <v>6.1</v>
      </c>
      <c r="CB2714">
        <v>0.92</v>
      </c>
      <c r="CC2714">
        <v>6.1</v>
      </c>
      <c r="CD2714">
        <v>5.35</v>
      </c>
      <c r="CE2714">
        <v>4.1399999999999997</v>
      </c>
      <c r="CF2714">
        <v>3.14</v>
      </c>
      <c r="CG2714">
        <v>35.61</v>
      </c>
      <c r="CH2714">
        <v>3.86</v>
      </c>
      <c r="CI2714">
        <v>-2.5499999999999998</v>
      </c>
      <c r="CJ2714">
        <v>49285</v>
      </c>
      <c r="CK2714">
        <v>12335</v>
      </c>
      <c r="CL2714" t="s">
        <v>12227</v>
      </c>
      <c r="CM2714">
        <v>3.48</v>
      </c>
      <c r="CN2714">
        <v>51.29</v>
      </c>
      <c r="CO2714">
        <v>1.59</v>
      </c>
      <c r="CP2714">
        <v>32.68</v>
      </c>
      <c r="CQ2714">
        <v>6.26</v>
      </c>
      <c r="CR2714">
        <v>0.8</v>
      </c>
      <c r="CS2714" t="s">
        <v>4952</v>
      </c>
      <c r="CT2714">
        <v>6.09</v>
      </c>
      <c r="CU2714">
        <v>0</v>
      </c>
      <c r="CV2714">
        <v>2.4700000000000002</v>
      </c>
      <c r="CW2714">
        <v>2.74</v>
      </c>
      <c r="CX2714">
        <v>0.3</v>
      </c>
      <c r="CY2714">
        <v>79.62</v>
      </c>
      <c r="CZ2714" t="s">
        <v>12228</v>
      </c>
      <c r="DA2714">
        <v>72.55</v>
      </c>
      <c r="DB2714">
        <v>30.29</v>
      </c>
      <c r="DC2714">
        <v>20.55</v>
      </c>
      <c r="DD2714">
        <v>2.8</v>
      </c>
      <c r="DE2714">
        <v>2781</v>
      </c>
      <c r="DF2714">
        <v>600633</v>
      </c>
      <c r="DG2714" t="s">
        <v>116</v>
      </c>
      <c r="DH2714" t="s">
        <v>116</v>
      </c>
      <c r="DI2714" t="s">
        <v>116</v>
      </c>
    </row>
    <row r="2715" spans="1:113" x14ac:dyDescent="0.4">
      <c r="A2715" t="str">
        <f>"600634"</f>
        <v>600634</v>
      </c>
      <c r="B2715" t="s">
        <v>12229</v>
      </c>
      <c r="C2715">
        <v>-5.1100000000000003</v>
      </c>
      <c r="D2715">
        <v>1.67</v>
      </c>
      <c r="E2715">
        <v>-0.09</v>
      </c>
      <c r="F2715" t="s">
        <v>116</v>
      </c>
      <c r="G2715">
        <v>1.67</v>
      </c>
      <c r="H2715">
        <v>135525</v>
      </c>
      <c r="I2715">
        <v>1264</v>
      </c>
      <c r="J2715">
        <v>0</v>
      </c>
      <c r="K2715">
        <v>2.35</v>
      </c>
      <c r="L2715">
        <v>1.73</v>
      </c>
      <c r="M2715">
        <v>1.77</v>
      </c>
      <c r="N2715">
        <v>1.67</v>
      </c>
      <c r="O2715">
        <v>1.76</v>
      </c>
      <c r="P2715" t="s">
        <v>116</v>
      </c>
      <c r="Q2715">
        <v>23113472</v>
      </c>
      <c r="R2715">
        <v>0.78</v>
      </c>
      <c r="S2715" t="s">
        <v>1384</v>
      </c>
      <c r="T2715" t="s">
        <v>1653</v>
      </c>
      <c r="U2715">
        <v>5.68</v>
      </c>
      <c r="V2715">
        <v>1.71</v>
      </c>
      <c r="W2715">
        <v>91898</v>
      </c>
      <c r="X2715">
        <v>43627</v>
      </c>
      <c r="Y2715">
        <v>2.11</v>
      </c>
      <c r="Z2715">
        <v>0</v>
      </c>
      <c r="AA2715">
        <v>3210</v>
      </c>
      <c r="AB2715" t="s">
        <v>116</v>
      </c>
      <c r="AC2715">
        <v>389400</v>
      </c>
      <c r="AD2715">
        <v>0.06</v>
      </c>
      <c r="AE2715">
        <v>0.02</v>
      </c>
      <c r="AF2715">
        <v>536070</v>
      </c>
      <c r="AG2715">
        <v>5.76</v>
      </c>
      <c r="AH2715" t="s">
        <v>12230</v>
      </c>
      <c r="AI2715" t="s">
        <v>12230</v>
      </c>
      <c r="AJ2715">
        <v>-5.04</v>
      </c>
      <c r="AK2715">
        <v>862</v>
      </c>
      <c r="AL2715">
        <v>157</v>
      </c>
      <c r="AM2715">
        <v>2.7000000000000001E-3</v>
      </c>
      <c r="AN2715">
        <v>-3</v>
      </c>
      <c r="AO2715">
        <v>-11.63</v>
      </c>
      <c r="AP2715">
        <v>15.97</v>
      </c>
      <c r="AQ2715">
        <v>12.08</v>
      </c>
      <c r="AR2715">
        <v>-34.51</v>
      </c>
      <c r="AS2715">
        <v>3.51</v>
      </c>
      <c r="AT2715" t="s">
        <v>12231</v>
      </c>
      <c r="AU2715" t="s">
        <v>116</v>
      </c>
      <c r="AV2715" t="s">
        <v>116</v>
      </c>
      <c r="AW2715">
        <v>0.16</v>
      </c>
      <c r="BA2715">
        <v>-1.7</v>
      </c>
      <c r="BB2715">
        <v>0.56999999999999995</v>
      </c>
      <c r="BC2715">
        <v>-5.1100000000000003</v>
      </c>
      <c r="BD2715">
        <v>-3.1</v>
      </c>
      <c r="BE2715">
        <v>-3.47</v>
      </c>
      <c r="BF2715">
        <v>-5.65</v>
      </c>
      <c r="BG2715">
        <v>0</v>
      </c>
      <c r="BH2715">
        <v>-2.02</v>
      </c>
      <c r="BI2715">
        <v>20191031</v>
      </c>
      <c r="BJ2715">
        <v>19930304</v>
      </c>
      <c r="BK2715">
        <v>5.76</v>
      </c>
      <c r="BL2715" t="s">
        <v>116</v>
      </c>
      <c r="BM2715" t="s">
        <v>116</v>
      </c>
      <c r="BN2715">
        <v>43.04</v>
      </c>
      <c r="BO2715">
        <v>-42</v>
      </c>
      <c r="BP2715">
        <v>0.12</v>
      </c>
      <c r="BQ2715">
        <v>197.32</v>
      </c>
      <c r="BR2715">
        <v>10.220000000000001</v>
      </c>
      <c r="BS2715">
        <v>0.41</v>
      </c>
      <c r="BT2715">
        <v>1.03</v>
      </c>
      <c r="BU2715">
        <v>46.03</v>
      </c>
      <c r="BV2715">
        <v>0</v>
      </c>
      <c r="BW2715">
        <v>0.67</v>
      </c>
      <c r="BX2715">
        <v>9.8699999999999992</v>
      </c>
      <c r="BY2715">
        <v>7.36</v>
      </c>
      <c r="BZ2715">
        <v>2.0099999999999998</v>
      </c>
      <c r="CA2715">
        <v>-4.45</v>
      </c>
      <c r="CB2715">
        <v>0</v>
      </c>
      <c r="CC2715">
        <v>-6.44</v>
      </c>
      <c r="CD2715">
        <v>-6.62</v>
      </c>
      <c r="CE2715">
        <v>-6.62</v>
      </c>
      <c r="CF2715">
        <v>-4.63</v>
      </c>
      <c r="CG2715">
        <v>-58.15</v>
      </c>
      <c r="CH2715">
        <v>0.8</v>
      </c>
      <c r="CI2715">
        <v>-0.72</v>
      </c>
      <c r="CJ2715">
        <v>39665</v>
      </c>
      <c r="CK2715">
        <v>9732</v>
      </c>
      <c r="CL2715" t="s">
        <v>12232</v>
      </c>
      <c r="CM2715">
        <v>-47.35</v>
      </c>
      <c r="CN2715">
        <v>23.31</v>
      </c>
      <c r="CO2715">
        <v>-0.23</v>
      </c>
      <c r="CP2715">
        <v>11.95</v>
      </c>
      <c r="CQ2715">
        <v>1.31</v>
      </c>
      <c r="CR2715">
        <v>0</v>
      </c>
      <c r="CS2715" t="s">
        <v>12233</v>
      </c>
      <c r="CT2715">
        <v>-7.3</v>
      </c>
      <c r="CU2715">
        <v>0</v>
      </c>
      <c r="CV2715">
        <v>1.72</v>
      </c>
      <c r="CW2715">
        <v>-10.1</v>
      </c>
      <c r="CX2715">
        <v>0.14000000000000001</v>
      </c>
      <c r="CY2715">
        <v>-97.6</v>
      </c>
      <c r="CZ2715" t="s">
        <v>116</v>
      </c>
      <c r="DA2715">
        <v>72.64</v>
      </c>
      <c r="DB2715">
        <v>-60.45</v>
      </c>
      <c r="DC2715">
        <v>-90.01</v>
      </c>
      <c r="DD2715">
        <v>0.35</v>
      </c>
      <c r="DE2715">
        <v>504</v>
      </c>
      <c r="DF2715">
        <v>600634</v>
      </c>
      <c r="DG2715" t="s">
        <v>116</v>
      </c>
      <c r="DH2715" t="s">
        <v>116</v>
      </c>
      <c r="DI2715" t="s">
        <v>116</v>
      </c>
    </row>
    <row r="2716" spans="1:113" x14ac:dyDescent="0.4">
      <c r="A2716" t="str">
        <f>"600635"</f>
        <v>600635</v>
      </c>
      <c r="B2716" t="s">
        <v>12234</v>
      </c>
      <c r="C2716">
        <v>-0.64</v>
      </c>
      <c r="D2716">
        <v>4.63</v>
      </c>
      <c r="E2716">
        <v>-0.03</v>
      </c>
      <c r="F2716">
        <v>4.63</v>
      </c>
      <c r="G2716">
        <v>4.6399999999999997</v>
      </c>
      <c r="H2716">
        <v>200812</v>
      </c>
      <c r="I2716">
        <v>3099</v>
      </c>
      <c r="J2716">
        <v>0</v>
      </c>
      <c r="K2716">
        <v>0.83</v>
      </c>
      <c r="L2716">
        <v>4.67</v>
      </c>
      <c r="M2716">
        <v>4.72</v>
      </c>
      <c r="N2716">
        <v>4.62</v>
      </c>
      <c r="O2716">
        <v>4.66</v>
      </c>
      <c r="P2716">
        <v>31.39</v>
      </c>
      <c r="Q2716">
        <v>93931408</v>
      </c>
      <c r="R2716">
        <v>1.21</v>
      </c>
      <c r="S2716" t="s">
        <v>690</v>
      </c>
      <c r="T2716" t="s">
        <v>1653</v>
      </c>
      <c r="U2716">
        <v>2.15</v>
      </c>
      <c r="V2716">
        <v>4.68</v>
      </c>
      <c r="W2716">
        <v>116448</v>
      </c>
      <c r="X2716">
        <v>84364</v>
      </c>
      <c r="Y2716">
        <v>1.38</v>
      </c>
      <c r="Z2716">
        <v>2754</v>
      </c>
      <c r="AA2716">
        <v>3500</v>
      </c>
      <c r="AB2716" t="s">
        <v>116</v>
      </c>
      <c r="AC2716">
        <v>65400</v>
      </c>
      <c r="AD2716">
        <v>0</v>
      </c>
      <c r="AE2716" t="s">
        <v>116</v>
      </c>
      <c r="AF2716" t="s">
        <v>116</v>
      </c>
      <c r="AG2716">
        <v>24.19</v>
      </c>
      <c r="AH2716" t="s">
        <v>12235</v>
      </c>
      <c r="AI2716" t="s">
        <v>12235</v>
      </c>
      <c r="AJ2716">
        <v>-0.56999999999999995</v>
      </c>
      <c r="AK2716">
        <v>1912</v>
      </c>
      <c r="AL2716">
        <v>105</v>
      </c>
      <c r="AM2716">
        <v>4.0000000000000002E-4</v>
      </c>
      <c r="AN2716">
        <v>-1</v>
      </c>
      <c r="AO2716">
        <v>-0.22</v>
      </c>
      <c r="AP2716">
        <v>2.21</v>
      </c>
      <c r="AQ2716">
        <v>-5.89</v>
      </c>
      <c r="AR2716">
        <v>0</v>
      </c>
      <c r="AS2716">
        <v>1.1299999999999999</v>
      </c>
      <c r="AT2716" t="s">
        <v>12236</v>
      </c>
      <c r="AU2716">
        <v>29.06</v>
      </c>
      <c r="AV2716">
        <v>28.57</v>
      </c>
      <c r="AW2716">
        <v>1.45</v>
      </c>
      <c r="BA2716">
        <v>0.21</v>
      </c>
      <c r="BB2716">
        <v>1.29</v>
      </c>
      <c r="BC2716">
        <v>-0.86</v>
      </c>
      <c r="BD2716">
        <v>0.38</v>
      </c>
      <c r="BE2716">
        <v>-0.86</v>
      </c>
      <c r="BF2716">
        <v>-1.91</v>
      </c>
      <c r="BG2716">
        <v>0.22</v>
      </c>
      <c r="BH2716">
        <v>-1.02</v>
      </c>
      <c r="BI2716">
        <v>20191031</v>
      </c>
      <c r="BJ2716">
        <v>19930304</v>
      </c>
      <c r="BK2716">
        <v>29.52</v>
      </c>
      <c r="BL2716" t="s">
        <v>116</v>
      </c>
      <c r="BM2716">
        <v>5.34</v>
      </c>
      <c r="BN2716">
        <v>228.05</v>
      </c>
      <c r="BO2716">
        <v>79.010000000000005</v>
      </c>
      <c r="BP2716">
        <v>11.97</v>
      </c>
      <c r="BQ2716">
        <v>60.11</v>
      </c>
      <c r="BR2716">
        <v>64.25</v>
      </c>
      <c r="BS2716">
        <v>45.04</v>
      </c>
      <c r="BT2716">
        <v>10.18</v>
      </c>
      <c r="BU2716">
        <v>80.31</v>
      </c>
      <c r="BV2716">
        <v>2.75</v>
      </c>
      <c r="BW2716">
        <v>3.47</v>
      </c>
      <c r="BX2716">
        <v>12.95</v>
      </c>
      <c r="BY2716">
        <v>42.66</v>
      </c>
      <c r="BZ2716">
        <v>36.049999999999997</v>
      </c>
      <c r="CA2716">
        <v>4.92</v>
      </c>
      <c r="CB2716">
        <v>4</v>
      </c>
      <c r="CC2716">
        <v>4.96</v>
      </c>
      <c r="CD2716">
        <v>4.45</v>
      </c>
      <c r="CE2716">
        <v>3.27</v>
      </c>
      <c r="CF2716">
        <v>3.08</v>
      </c>
      <c r="CG2716">
        <v>26.12</v>
      </c>
      <c r="CH2716">
        <v>11.22</v>
      </c>
      <c r="CI2716">
        <v>2.0099999999999998</v>
      </c>
      <c r="CJ2716">
        <v>218290</v>
      </c>
      <c r="CK2716">
        <v>8108</v>
      </c>
      <c r="CL2716" t="s">
        <v>489</v>
      </c>
      <c r="CM2716">
        <v>-2.42</v>
      </c>
      <c r="CN2716">
        <v>12.88</v>
      </c>
      <c r="CO2716">
        <v>1.73</v>
      </c>
      <c r="CP2716">
        <v>12.18</v>
      </c>
      <c r="CQ2716">
        <v>3.2</v>
      </c>
      <c r="CR2716">
        <v>1.3</v>
      </c>
      <c r="CS2716" t="s">
        <v>4424</v>
      </c>
      <c r="CT2716">
        <v>2.68</v>
      </c>
      <c r="CU2716">
        <v>0</v>
      </c>
      <c r="CV2716">
        <v>0.44</v>
      </c>
      <c r="CW2716">
        <v>0.88</v>
      </c>
      <c r="CX2716">
        <v>0.38</v>
      </c>
      <c r="CY2716">
        <v>34.65</v>
      </c>
      <c r="CZ2716" t="s">
        <v>1100</v>
      </c>
      <c r="DA2716">
        <v>15.49</v>
      </c>
      <c r="DB2716">
        <v>11.53</v>
      </c>
      <c r="DC2716">
        <v>7.66</v>
      </c>
      <c r="DD2716">
        <v>0</v>
      </c>
      <c r="DE2716">
        <v>3208</v>
      </c>
      <c r="DF2716">
        <v>600635</v>
      </c>
      <c r="DG2716" t="s">
        <v>116</v>
      </c>
      <c r="DH2716" t="s">
        <v>116</v>
      </c>
      <c r="DI2716" t="s">
        <v>116</v>
      </c>
    </row>
    <row r="2717" spans="1:113" x14ac:dyDescent="0.4">
      <c r="A2717" t="str">
        <f>"600636"</f>
        <v>600636</v>
      </c>
      <c r="B2717" t="s">
        <v>12237</v>
      </c>
      <c r="C2717">
        <v>-2.12</v>
      </c>
      <c r="D2717">
        <v>10.15</v>
      </c>
      <c r="E2717">
        <v>-0.22</v>
      </c>
      <c r="F2717">
        <v>10.15</v>
      </c>
      <c r="G2717">
        <v>10.16</v>
      </c>
      <c r="H2717">
        <v>150603</v>
      </c>
      <c r="I2717">
        <v>824</v>
      </c>
      <c r="J2717">
        <v>0</v>
      </c>
      <c r="K2717">
        <v>3.37</v>
      </c>
      <c r="L2717">
        <v>10.39</v>
      </c>
      <c r="M2717">
        <v>10.48</v>
      </c>
      <c r="N2717">
        <v>10</v>
      </c>
      <c r="O2717">
        <v>10.37</v>
      </c>
      <c r="P2717">
        <v>276</v>
      </c>
      <c r="Q2717">
        <v>153990800</v>
      </c>
      <c r="R2717">
        <v>3.12</v>
      </c>
      <c r="S2717" t="s">
        <v>891</v>
      </c>
      <c r="T2717" t="s">
        <v>1653</v>
      </c>
      <c r="U2717">
        <v>4.63</v>
      </c>
      <c r="V2717">
        <v>10.220000000000001</v>
      </c>
      <c r="W2717">
        <v>83533</v>
      </c>
      <c r="X2717">
        <v>67070</v>
      </c>
      <c r="Y2717">
        <v>1.25</v>
      </c>
      <c r="Z2717">
        <v>217</v>
      </c>
      <c r="AA2717">
        <v>322</v>
      </c>
      <c r="AB2717" t="s">
        <v>116</v>
      </c>
      <c r="AC2717">
        <v>2243200</v>
      </c>
      <c r="AD2717">
        <v>0.08</v>
      </c>
      <c r="AE2717" t="s">
        <v>116</v>
      </c>
      <c r="AF2717" t="s">
        <v>116</v>
      </c>
      <c r="AG2717">
        <v>4.47</v>
      </c>
      <c r="AH2717" t="s">
        <v>3377</v>
      </c>
      <c r="AI2717" t="s">
        <v>3377</v>
      </c>
      <c r="AJ2717">
        <v>-2.04</v>
      </c>
      <c r="AK2717">
        <v>2428</v>
      </c>
      <c r="AL2717">
        <v>62</v>
      </c>
      <c r="AM2717">
        <v>1.4E-3</v>
      </c>
      <c r="AN2717">
        <v>-1</v>
      </c>
      <c r="AO2717">
        <v>8.7899999999999991</v>
      </c>
      <c r="AP2717">
        <v>7.98</v>
      </c>
      <c r="AQ2717">
        <v>0.5</v>
      </c>
      <c r="AR2717">
        <v>-2.59</v>
      </c>
      <c r="AS2717">
        <v>5.79</v>
      </c>
      <c r="AT2717" t="s">
        <v>7080</v>
      </c>
      <c r="AU2717">
        <v>385.86</v>
      </c>
      <c r="AV2717">
        <v>8.35</v>
      </c>
      <c r="AW2717">
        <v>1.21</v>
      </c>
      <c r="BA2717">
        <v>0.19</v>
      </c>
      <c r="BB2717">
        <v>1.06</v>
      </c>
      <c r="BC2717">
        <v>-3.57</v>
      </c>
      <c r="BD2717">
        <v>-1.4</v>
      </c>
      <c r="BE2717">
        <v>-2.31</v>
      </c>
      <c r="BF2717">
        <v>-3.15</v>
      </c>
      <c r="BG2717">
        <v>1.5</v>
      </c>
      <c r="BH2717">
        <v>-0.72</v>
      </c>
      <c r="BI2717">
        <v>20191030</v>
      </c>
      <c r="BJ2717">
        <v>19930316</v>
      </c>
      <c r="BK2717">
        <v>4.47</v>
      </c>
      <c r="BL2717" t="s">
        <v>116</v>
      </c>
      <c r="BM2717" t="s">
        <v>116</v>
      </c>
      <c r="BN2717">
        <v>33.65</v>
      </c>
      <c r="BO2717">
        <v>29.23</v>
      </c>
      <c r="BP2717">
        <v>0.9</v>
      </c>
      <c r="BQ2717">
        <v>10.45</v>
      </c>
      <c r="BR2717">
        <v>13.72</v>
      </c>
      <c r="BS2717">
        <v>3.57</v>
      </c>
      <c r="BT2717">
        <v>0.79</v>
      </c>
      <c r="BU2717">
        <v>2.88</v>
      </c>
      <c r="BV2717">
        <v>1.52</v>
      </c>
      <c r="BW2717">
        <v>1.9</v>
      </c>
      <c r="BX2717">
        <v>15.04</v>
      </c>
      <c r="BY2717">
        <v>8.75</v>
      </c>
      <c r="BZ2717">
        <v>6.67</v>
      </c>
      <c r="CA2717">
        <v>0.66</v>
      </c>
      <c r="CB2717">
        <v>0.02</v>
      </c>
      <c r="CC2717">
        <v>0.77</v>
      </c>
      <c r="CD2717">
        <v>0.21</v>
      </c>
      <c r="CE2717">
        <v>0.12</v>
      </c>
      <c r="CF2717">
        <v>0.4</v>
      </c>
      <c r="CG2717">
        <v>7.95</v>
      </c>
      <c r="CH2717">
        <v>-0.32</v>
      </c>
      <c r="CI2717">
        <v>-0.61</v>
      </c>
      <c r="CJ2717">
        <v>37052</v>
      </c>
      <c r="CK2717">
        <v>7014</v>
      </c>
      <c r="CL2717" t="s">
        <v>252</v>
      </c>
      <c r="CM2717">
        <v>-97.73</v>
      </c>
      <c r="CN2717">
        <v>-35.130000000000003</v>
      </c>
      <c r="CO2717">
        <v>1.55</v>
      </c>
      <c r="CP2717">
        <v>-141.04</v>
      </c>
      <c r="CQ2717">
        <v>5.18</v>
      </c>
      <c r="CR2717">
        <v>3.65</v>
      </c>
      <c r="CS2717" t="s">
        <v>2295</v>
      </c>
      <c r="CT2717">
        <v>6.54</v>
      </c>
      <c r="CU2717">
        <v>0</v>
      </c>
      <c r="CV2717">
        <v>3.36</v>
      </c>
      <c r="CW2717">
        <v>1.78</v>
      </c>
      <c r="CX2717">
        <v>-7.0000000000000007E-2</v>
      </c>
      <c r="CY2717">
        <v>86.87</v>
      </c>
      <c r="CZ2717" t="s">
        <v>7894</v>
      </c>
      <c r="DA2717">
        <v>23.74</v>
      </c>
      <c r="DB2717">
        <v>7.49</v>
      </c>
      <c r="DC2717">
        <v>1.41</v>
      </c>
      <c r="DD2717">
        <v>0.46</v>
      </c>
      <c r="DE2717">
        <v>923</v>
      </c>
      <c r="DF2717">
        <v>600636</v>
      </c>
      <c r="DG2717" t="s">
        <v>116</v>
      </c>
      <c r="DH2717" t="s">
        <v>116</v>
      </c>
      <c r="DI2717" t="s">
        <v>116</v>
      </c>
    </row>
    <row r="2718" spans="1:113" x14ac:dyDescent="0.4">
      <c r="A2718" t="str">
        <f>"600637"</f>
        <v>600637</v>
      </c>
      <c r="B2718" t="s">
        <v>12238</v>
      </c>
      <c r="C2718">
        <v>-0.65</v>
      </c>
      <c r="D2718">
        <v>9.14</v>
      </c>
      <c r="E2718">
        <v>-0.06</v>
      </c>
      <c r="F2718">
        <v>9.14</v>
      </c>
      <c r="G2718">
        <v>9.15</v>
      </c>
      <c r="H2718">
        <v>126095</v>
      </c>
      <c r="I2718">
        <v>551</v>
      </c>
      <c r="J2718">
        <v>-0.1</v>
      </c>
      <c r="K2718">
        <v>0.37</v>
      </c>
      <c r="L2718">
        <v>9.19</v>
      </c>
      <c r="M2718">
        <v>9.32</v>
      </c>
      <c r="N2718">
        <v>9.1300000000000008</v>
      </c>
      <c r="O2718">
        <v>9.1999999999999993</v>
      </c>
      <c r="P2718">
        <v>17.86</v>
      </c>
      <c r="Q2718">
        <v>116680736</v>
      </c>
      <c r="R2718">
        <v>1.24</v>
      </c>
      <c r="S2718" t="s">
        <v>589</v>
      </c>
      <c r="T2718" t="s">
        <v>1653</v>
      </c>
      <c r="U2718">
        <v>2.0699999999999998</v>
      </c>
      <c r="V2718">
        <v>9.25</v>
      </c>
      <c r="W2718">
        <v>64113</v>
      </c>
      <c r="X2718">
        <v>61982</v>
      </c>
      <c r="Y2718">
        <v>1.03</v>
      </c>
      <c r="Z2718">
        <v>481</v>
      </c>
      <c r="AA2718">
        <v>151</v>
      </c>
      <c r="AB2718" t="s">
        <v>116</v>
      </c>
      <c r="AC2718">
        <v>140400</v>
      </c>
      <c r="AD2718">
        <v>0</v>
      </c>
      <c r="AE2718" t="s">
        <v>116</v>
      </c>
      <c r="AF2718" t="s">
        <v>116</v>
      </c>
      <c r="AG2718">
        <v>34.15</v>
      </c>
      <c r="AH2718" t="s">
        <v>12239</v>
      </c>
      <c r="AI2718" t="s">
        <v>12239</v>
      </c>
      <c r="AJ2718">
        <v>-0.57999999999999996</v>
      </c>
      <c r="AK2718">
        <v>2311</v>
      </c>
      <c r="AL2718">
        <v>55</v>
      </c>
      <c r="AM2718">
        <v>2.0000000000000001E-4</v>
      </c>
      <c r="AN2718">
        <v>-1</v>
      </c>
      <c r="AO2718">
        <v>-0.11</v>
      </c>
      <c r="AP2718">
        <v>3.63</v>
      </c>
      <c r="AQ2718">
        <v>-0.87</v>
      </c>
      <c r="AR2718">
        <v>-8.32</v>
      </c>
      <c r="AS2718">
        <v>0.68</v>
      </c>
      <c r="AT2718" t="s">
        <v>4259</v>
      </c>
      <c r="AU2718">
        <v>17.28</v>
      </c>
      <c r="AV2718">
        <v>15.56</v>
      </c>
      <c r="AW2718">
        <v>1.21</v>
      </c>
      <c r="BA2718">
        <v>-0.11</v>
      </c>
      <c r="BB2718">
        <v>1.3</v>
      </c>
      <c r="BC2718">
        <v>-0.76</v>
      </c>
      <c r="BD2718">
        <v>0.57999999999999996</v>
      </c>
      <c r="BE2718">
        <v>-0.54</v>
      </c>
      <c r="BF2718">
        <v>-1.93</v>
      </c>
      <c r="BG2718">
        <v>0.11</v>
      </c>
      <c r="BH2718">
        <v>-1.23</v>
      </c>
      <c r="BI2718">
        <v>20191227</v>
      </c>
      <c r="BJ2718">
        <v>19930316</v>
      </c>
      <c r="BK2718">
        <v>34.15</v>
      </c>
      <c r="BL2718" t="s">
        <v>116</v>
      </c>
      <c r="BM2718" t="s">
        <v>116</v>
      </c>
      <c r="BN2718">
        <v>363.77</v>
      </c>
      <c r="BO2718">
        <v>285.52999999999997</v>
      </c>
      <c r="BP2718">
        <v>23.66</v>
      </c>
      <c r="BQ2718">
        <v>15</v>
      </c>
      <c r="BR2718">
        <v>217.83</v>
      </c>
      <c r="BS2718">
        <v>24.28</v>
      </c>
      <c r="BT2718">
        <v>12.09</v>
      </c>
      <c r="BU2718">
        <v>52.83</v>
      </c>
      <c r="BV2718">
        <v>25.32</v>
      </c>
      <c r="BW2718">
        <v>21.18</v>
      </c>
      <c r="BX2718">
        <v>113.46</v>
      </c>
      <c r="BY2718">
        <v>85.37</v>
      </c>
      <c r="BZ2718">
        <v>63.44</v>
      </c>
      <c r="CA2718">
        <v>17.14</v>
      </c>
      <c r="CB2718">
        <v>5.54</v>
      </c>
      <c r="CC2718">
        <v>17.190000000000001</v>
      </c>
      <c r="CD2718">
        <v>14.32</v>
      </c>
      <c r="CE2718">
        <v>13.11</v>
      </c>
      <c r="CF2718">
        <v>9.69</v>
      </c>
      <c r="CG2718">
        <v>126.04</v>
      </c>
      <c r="CH2718">
        <v>10.88</v>
      </c>
      <c r="CI2718">
        <v>-9.75</v>
      </c>
      <c r="CJ2718">
        <v>156410</v>
      </c>
      <c r="CK2718">
        <v>11921</v>
      </c>
      <c r="CL2718" t="s">
        <v>9597</v>
      </c>
      <c r="CM2718">
        <v>-13.26</v>
      </c>
      <c r="CN2718">
        <v>-8.01</v>
      </c>
      <c r="CO2718">
        <v>1.0900000000000001</v>
      </c>
      <c r="CP2718">
        <v>28.68</v>
      </c>
      <c r="CQ2718">
        <v>3.66</v>
      </c>
      <c r="CR2718">
        <v>2.96</v>
      </c>
      <c r="CS2718" t="s">
        <v>2050</v>
      </c>
      <c r="CT2718">
        <v>8.36</v>
      </c>
      <c r="CU2718">
        <v>0</v>
      </c>
      <c r="CV2718">
        <v>3.32</v>
      </c>
      <c r="CW2718">
        <v>3.69</v>
      </c>
      <c r="CX2718">
        <v>0.32</v>
      </c>
      <c r="CY2718">
        <v>78.489999999999995</v>
      </c>
      <c r="CZ2718" t="s">
        <v>12240</v>
      </c>
      <c r="DA2718">
        <v>25.69</v>
      </c>
      <c r="DB2718">
        <v>20.07</v>
      </c>
      <c r="DC2718">
        <v>15.35</v>
      </c>
      <c r="DD2718">
        <v>1.48</v>
      </c>
      <c r="DE2718">
        <v>5323</v>
      </c>
      <c r="DF2718">
        <v>600637</v>
      </c>
      <c r="DG2718" t="s">
        <v>116</v>
      </c>
      <c r="DH2718" t="s">
        <v>116</v>
      </c>
      <c r="DI2718" t="s">
        <v>116</v>
      </c>
    </row>
    <row r="2719" spans="1:113" x14ac:dyDescent="0.4">
      <c r="A2719" t="str">
        <f>"600638"</f>
        <v>600638</v>
      </c>
      <c r="B2719" t="s">
        <v>12241</v>
      </c>
      <c r="C2719">
        <v>-0.71</v>
      </c>
      <c r="D2719">
        <v>6.96</v>
      </c>
      <c r="E2719">
        <v>-0.05</v>
      </c>
      <c r="F2719">
        <v>6.96</v>
      </c>
      <c r="G2719">
        <v>6.97</v>
      </c>
      <c r="H2719">
        <v>36835</v>
      </c>
      <c r="I2719">
        <v>298</v>
      </c>
      <c r="J2719">
        <v>-0.13</v>
      </c>
      <c r="K2719">
        <v>0.55000000000000004</v>
      </c>
      <c r="L2719">
        <v>7.01</v>
      </c>
      <c r="M2719">
        <v>7.12</v>
      </c>
      <c r="N2719">
        <v>6.96</v>
      </c>
      <c r="O2719">
        <v>7.01</v>
      </c>
      <c r="P2719">
        <v>94.7</v>
      </c>
      <c r="Q2719">
        <v>25948820</v>
      </c>
      <c r="R2719">
        <v>2.33</v>
      </c>
      <c r="S2719" t="s">
        <v>148</v>
      </c>
      <c r="T2719" t="s">
        <v>1653</v>
      </c>
      <c r="U2719">
        <v>2.2799999999999998</v>
      </c>
      <c r="V2719">
        <v>7.04</v>
      </c>
      <c r="W2719">
        <v>16679</v>
      </c>
      <c r="X2719">
        <v>20156</v>
      </c>
      <c r="Y2719">
        <v>0.83</v>
      </c>
      <c r="Z2719">
        <v>138</v>
      </c>
      <c r="AA2719">
        <v>20</v>
      </c>
      <c r="AB2719" t="s">
        <v>116</v>
      </c>
      <c r="AC2719">
        <v>40700</v>
      </c>
      <c r="AD2719">
        <v>0</v>
      </c>
      <c r="AE2719" t="s">
        <v>116</v>
      </c>
      <c r="AF2719" t="s">
        <v>116</v>
      </c>
      <c r="AG2719">
        <v>6.73</v>
      </c>
      <c r="AH2719" t="s">
        <v>6914</v>
      </c>
      <c r="AI2719" t="s">
        <v>6914</v>
      </c>
      <c r="AJ2719">
        <v>-0.64</v>
      </c>
      <c r="AK2719">
        <v>704</v>
      </c>
      <c r="AL2719">
        <v>52</v>
      </c>
      <c r="AM2719">
        <v>8.0000000000000004E-4</v>
      </c>
      <c r="AN2719">
        <v>-1</v>
      </c>
      <c r="AO2719">
        <v>-0.14000000000000001</v>
      </c>
      <c r="AP2719">
        <v>1.46</v>
      </c>
      <c r="AQ2719">
        <v>-3.73</v>
      </c>
      <c r="AR2719">
        <v>-15.79</v>
      </c>
      <c r="AS2719">
        <v>1.4</v>
      </c>
      <c r="AT2719" t="s">
        <v>12242</v>
      </c>
      <c r="AU2719">
        <v>9.64</v>
      </c>
      <c r="AV2719">
        <v>8.19</v>
      </c>
      <c r="AW2719">
        <v>1.54</v>
      </c>
      <c r="BA2719">
        <v>0</v>
      </c>
      <c r="BB2719">
        <v>1.57</v>
      </c>
      <c r="BC2719">
        <v>-0.71</v>
      </c>
      <c r="BD2719">
        <v>0.49</v>
      </c>
      <c r="BE2719">
        <v>-0.71</v>
      </c>
      <c r="BF2719">
        <v>-2.25</v>
      </c>
      <c r="BG2719">
        <v>0</v>
      </c>
      <c r="BH2719">
        <v>-1.21</v>
      </c>
      <c r="BI2719">
        <v>20191031</v>
      </c>
      <c r="BJ2719">
        <v>19930326</v>
      </c>
      <c r="BK2719">
        <v>6.73</v>
      </c>
      <c r="BL2719" t="s">
        <v>116</v>
      </c>
      <c r="BM2719" t="s">
        <v>116</v>
      </c>
      <c r="BN2719">
        <v>138.47</v>
      </c>
      <c r="BO2719">
        <v>44.56</v>
      </c>
      <c r="BP2719">
        <v>2.08</v>
      </c>
      <c r="BQ2719">
        <v>66.319999999999993</v>
      </c>
      <c r="BR2719">
        <v>107.77</v>
      </c>
      <c r="BS2719">
        <v>5.18</v>
      </c>
      <c r="BT2719">
        <v>0</v>
      </c>
      <c r="BU2719">
        <v>55.54</v>
      </c>
      <c r="BV2719">
        <v>67.16</v>
      </c>
      <c r="BW2719">
        <v>0.25</v>
      </c>
      <c r="BX2719">
        <v>9.0299999999999994</v>
      </c>
      <c r="BY2719">
        <v>6.64</v>
      </c>
      <c r="BZ2719">
        <v>4.26</v>
      </c>
      <c r="CA2719">
        <v>0.72</v>
      </c>
      <c r="CB2719">
        <v>1.21</v>
      </c>
      <c r="CC2719">
        <v>0.78</v>
      </c>
      <c r="CD2719">
        <v>0.55000000000000004</v>
      </c>
      <c r="CE2719">
        <v>0.37</v>
      </c>
      <c r="CF2719">
        <v>0.18</v>
      </c>
      <c r="CG2719">
        <v>24.62</v>
      </c>
      <c r="CH2719">
        <v>-7.81</v>
      </c>
      <c r="CI2719">
        <v>2.5299999999999998</v>
      </c>
      <c r="CJ2719">
        <v>36440</v>
      </c>
      <c r="CK2719">
        <v>7196</v>
      </c>
      <c r="CL2719" t="s">
        <v>3552</v>
      </c>
      <c r="CM2719">
        <v>-69.81</v>
      </c>
      <c r="CN2719">
        <v>-24.1</v>
      </c>
      <c r="CO2719">
        <v>1.05</v>
      </c>
      <c r="CP2719">
        <v>-6</v>
      </c>
      <c r="CQ2719">
        <v>7.05</v>
      </c>
      <c r="CR2719">
        <v>3.66</v>
      </c>
      <c r="CS2719" t="s">
        <v>2069</v>
      </c>
      <c r="CT2719">
        <v>6.62</v>
      </c>
      <c r="CU2719">
        <v>0</v>
      </c>
      <c r="CV2719">
        <v>1.34</v>
      </c>
      <c r="CW2719">
        <v>3.66</v>
      </c>
      <c r="CX2719">
        <v>-1.1599999999999999</v>
      </c>
      <c r="CY2719">
        <v>32.18</v>
      </c>
      <c r="CZ2719" t="s">
        <v>12243</v>
      </c>
      <c r="DA2719">
        <v>35.86</v>
      </c>
      <c r="DB2719">
        <v>10.8</v>
      </c>
      <c r="DC2719">
        <v>5.59</v>
      </c>
      <c r="DD2719">
        <v>0</v>
      </c>
      <c r="DE2719">
        <v>516</v>
      </c>
      <c r="DF2719">
        <v>600638</v>
      </c>
      <c r="DG2719" t="s">
        <v>116</v>
      </c>
      <c r="DH2719" t="s">
        <v>116</v>
      </c>
      <c r="DI2719" t="s">
        <v>116</v>
      </c>
    </row>
    <row r="2720" spans="1:113" x14ac:dyDescent="0.4">
      <c r="A2720" t="str">
        <f>"600639"</f>
        <v>600639</v>
      </c>
      <c r="B2720" t="s">
        <v>12244</v>
      </c>
      <c r="C2720">
        <v>-0.68</v>
      </c>
      <c r="D2720">
        <v>13.24</v>
      </c>
      <c r="E2720">
        <v>-0.09</v>
      </c>
      <c r="F2720">
        <v>13.24</v>
      </c>
      <c r="G2720">
        <v>13.28</v>
      </c>
      <c r="H2720">
        <v>18542</v>
      </c>
      <c r="I2720">
        <v>111</v>
      </c>
      <c r="J2720">
        <v>-0.28999999999999998</v>
      </c>
      <c r="K2720">
        <v>0.22</v>
      </c>
      <c r="L2720">
        <v>13.35</v>
      </c>
      <c r="M2720">
        <v>13.48</v>
      </c>
      <c r="N2720">
        <v>13.24</v>
      </c>
      <c r="O2720">
        <v>13.33</v>
      </c>
      <c r="P2720">
        <v>18.809999999999999</v>
      </c>
      <c r="Q2720">
        <v>24778510</v>
      </c>
      <c r="R2720">
        <v>1.72</v>
      </c>
      <c r="S2720" t="s">
        <v>1503</v>
      </c>
      <c r="T2720" t="s">
        <v>1653</v>
      </c>
      <c r="U2720">
        <v>1.8</v>
      </c>
      <c r="V2720">
        <v>13.36</v>
      </c>
      <c r="W2720">
        <v>11032</v>
      </c>
      <c r="X2720">
        <v>7510</v>
      </c>
      <c r="Y2720">
        <v>1.47</v>
      </c>
      <c r="Z2720">
        <v>16</v>
      </c>
      <c r="AA2720">
        <v>160</v>
      </c>
      <c r="AB2720" t="s">
        <v>116</v>
      </c>
      <c r="AC2720">
        <v>64100</v>
      </c>
      <c r="AD2720">
        <v>0</v>
      </c>
      <c r="AE2720" t="s">
        <v>116</v>
      </c>
      <c r="AF2720" t="s">
        <v>116</v>
      </c>
      <c r="AG2720">
        <v>8.5</v>
      </c>
      <c r="AH2720" t="s">
        <v>12245</v>
      </c>
      <c r="AI2720" t="s">
        <v>12246</v>
      </c>
      <c r="AJ2720">
        <v>-0.6</v>
      </c>
      <c r="AK2720">
        <v>1129</v>
      </c>
      <c r="AL2720">
        <v>16</v>
      </c>
      <c r="AM2720">
        <v>2.0000000000000001E-4</v>
      </c>
      <c r="AN2720">
        <v>-1</v>
      </c>
      <c r="AO2720">
        <v>0</v>
      </c>
      <c r="AP2720">
        <v>1.61</v>
      </c>
      <c r="AQ2720">
        <v>-4.2</v>
      </c>
      <c r="AR2720">
        <v>20.8</v>
      </c>
      <c r="AS2720">
        <v>0.63</v>
      </c>
      <c r="AT2720" t="s">
        <v>12247</v>
      </c>
      <c r="AU2720">
        <v>14.84</v>
      </c>
      <c r="AV2720">
        <v>15.21</v>
      </c>
      <c r="AW2720">
        <v>1.01</v>
      </c>
      <c r="BA2720">
        <v>0.15</v>
      </c>
      <c r="BB2720">
        <v>1.1299999999999999</v>
      </c>
      <c r="BC2720">
        <v>-0.68</v>
      </c>
      <c r="BD2720">
        <v>0.25</v>
      </c>
      <c r="BE2720">
        <v>-0.82</v>
      </c>
      <c r="BF2720">
        <v>-1.78</v>
      </c>
      <c r="BG2720">
        <v>0</v>
      </c>
      <c r="BH2720">
        <v>-0.93</v>
      </c>
      <c r="BI2720">
        <v>20191031</v>
      </c>
      <c r="BJ2720">
        <v>19930326</v>
      </c>
      <c r="BK2720">
        <v>11.22</v>
      </c>
      <c r="BL2720">
        <v>2.72</v>
      </c>
      <c r="BM2720" t="s">
        <v>116</v>
      </c>
      <c r="BN2720">
        <v>228.24</v>
      </c>
      <c r="BO2720">
        <v>93.68</v>
      </c>
      <c r="BP2720">
        <v>2.2999999999999998</v>
      </c>
      <c r="BQ2720">
        <v>57.95</v>
      </c>
      <c r="BR2720">
        <v>73</v>
      </c>
      <c r="BS2720">
        <v>8.9</v>
      </c>
      <c r="BT2720">
        <v>2.59</v>
      </c>
      <c r="BU2720">
        <v>63.81</v>
      </c>
      <c r="BV2720">
        <v>42.25</v>
      </c>
      <c r="BW2720">
        <v>2.06</v>
      </c>
      <c r="BX2720">
        <v>17.09</v>
      </c>
      <c r="BY2720">
        <v>19.850000000000001</v>
      </c>
      <c r="BZ2720">
        <v>9.89</v>
      </c>
      <c r="CA2720">
        <v>7.95</v>
      </c>
      <c r="CB2720">
        <v>0.33</v>
      </c>
      <c r="CC2720">
        <v>7.95</v>
      </c>
      <c r="CD2720">
        <v>5.9</v>
      </c>
      <c r="CE2720">
        <v>5.93</v>
      </c>
      <c r="CF2720">
        <v>5.82</v>
      </c>
      <c r="CG2720">
        <v>45.93</v>
      </c>
      <c r="CH2720">
        <v>-22.81</v>
      </c>
      <c r="CI2720">
        <v>5.35</v>
      </c>
      <c r="CJ2720">
        <v>72110</v>
      </c>
      <c r="CK2720">
        <v>7881</v>
      </c>
      <c r="CL2720" t="s">
        <v>12248</v>
      </c>
      <c r="CM2720">
        <v>4.33</v>
      </c>
      <c r="CN2720">
        <v>56.77</v>
      </c>
      <c r="CO2720">
        <v>1.59</v>
      </c>
      <c r="CP2720">
        <v>-6.52</v>
      </c>
      <c r="CQ2720">
        <v>7.49</v>
      </c>
      <c r="CR2720">
        <v>2.27</v>
      </c>
      <c r="CS2720" t="s">
        <v>12249</v>
      </c>
      <c r="CT2720">
        <v>8.35</v>
      </c>
      <c r="CU2720">
        <v>0</v>
      </c>
      <c r="CV2720">
        <v>1.52</v>
      </c>
      <c r="CW2720">
        <v>4.09</v>
      </c>
      <c r="CX2720">
        <v>-2.0299999999999998</v>
      </c>
      <c r="CY2720">
        <v>41.04</v>
      </c>
      <c r="CZ2720" t="s">
        <v>587</v>
      </c>
      <c r="DA2720">
        <v>50.17</v>
      </c>
      <c r="DB2720">
        <v>40.04</v>
      </c>
      <c r="DC2720">
        <v>29.85</v>
      </c>
      <c r="DD2720">
        <v>0</v>
      </c>
      <c r="DE2720">
        <v>376</v>
      </c>
      <c r="DF2720">
        <v>600639</v>
      </c>
      <c r="DG2720" t="s">
        <v>116</v>
      </c>
      <c r="DH2720" t="s">
        <v>116</v>
      </c>
      <c r="DI2720" t="s">
        <v>116</v>
      </c>
    </row>
    <row r="2721" spans="1:113" x14ac:dyDescent="0.4">
      <c r="A2721" t="str">
        <f>"600640"</f>
        <v>600640</v>
      </c>
      <c r="B2721" t="s">
        <v>12250</v>
      </c>
      <c r="C2721">
        <v>-5.08</v>
      </c>
      <c r="D2721">
        <v>26.51</v>
      </c>
      <c r="E2721">
        <v>-1.42</v>
      </c>
      <c r="F2721">
        <v>26.51</v>
      </c>
      <c r="G2721">
        <v>26.53</v>
      </c>
      <c r="H2721">
        <v>230684</v>
      </c>
      <c r="I2721">
        <v>4484</v>
      </c>
      <c r="J2721">
        <v>0.19</v>
      </c>
      <c r="K2721">
        <v>3.91</v>
      </c>
      <c r="L2721">
        <v>27.6</v>
      </c>
      <c r="M2721">
        <v>28.83</v>
      </c>
      <c r="N2721">
        <v>26.4</v>
      </c>
      <c r="O2721">
        <v>27.93</v>
      </c>
      <c r="P2721">
        <v>179.25</v>
      </c>
      <c r="Q2721">
        <v>631039424</v>
      </c>
      <c r="R2721">
        <v>1.1499999999999999</v>
      </c>
      <c r="S2721" t="s">
        <v>589</v>
      </c>
      <c r="T2721" t="s">
        <v>1653</v>
      </c>
      <c r="U2721">
        <v>8.6999999999999993</v>
      </c>
      <c r="V2721">
        <v>27.36</v>
      </c>
      <c r="W2721">
        <v>131217</v>
      </c>
      <c r="X2721">
        <v>99467</v>
      </c>
      <c r="Y2721">
        <v>1.32</v>
      </c>
      <c r="Z2721">
        <v>754</v>
      </c>
      <c r="AA2721">
        <v>9</v>
      </c>
      <c r="AB2721" t="s">
        <v>116</v>
      </c>
      <c r="AC2721">
        <v>6378401</v>
      </c>
      <c r="AD2721">
        <v>0.09</v>
      </c>
      <c r="AE2721" t="s">
        <v>116</v>
      </c>
      <c r="AF2721" t="s">
        <v>116</v>
      </c>
      <c r="AG2721">
        <v>5.89</v>
      </c>
      <c r="AH2721" t="s">
        <v>12251</v>
      </c>
      <c r="AI2721" t="s">
        <v>12252</v>
      </c>
      <c r="AJ2721">
        <v>-5.01</v>
      </c>
      <c r="AK2721">
        <v>3786</v>
      </c>
      <c r="AL2721">
        <v>61</v>
      </c>
      <c r="AM2721">
        <v>1E-3</v>
      </c>
      <c r="AN2721">
        <v>-2</v>
      </c>
      <c r="AO2721">
        <v>-1.52</v>
      </c>
      <c r="AP2721">
        <v>43.61</v>
      </c>
      <c r="AQ2721">
        <v>73.95</v>
      </c>
      <c r="AR2721">
        <v>173.02</v>
      </c>
      <c r="AS2721">
        <v>9.4700000000000006</v>
      </c>
      <c r="AT2721" t="s">
        <v>12253</v>
      </c>
      <c r="AU2721">
        <v>127.22</v>
      </c>
      <c r="AV2721">
        <v>80.42</v>
      </c>
      <c r="AW2721">
        <v>0.69</v>
      </c>
      <c r="BA2721">
        <v>-1.18</v>
      </c>
      <c r="BB2721">
        <v>3.22</v>
      </c>
      <c r="BC2721">
        <v>-5.48</v>
      </c>
      <c r="BD2721">
        <v>-2.06</v>
      </c>
      <c r="BE2721">
        <v>-3.95</v>
      </c>
      <c r="BF2721">
        <v>-8.0500000000000007</v>
      </c>
      <c r="BG2721">
        <v>0.42</v>
      </c>
      <c r="BH2721">
        <v>-3.03</v>
      </c>
      <c r="BI2721">
        <v>20191031</v>
      </c>
      <c r="BJ2721">
        <v>19930407</v>
      </c>
      <c r="BK2721">
        <v>7.96</v>
      </c>
      <c r="BL2721" t="s">
        <v>116</v>
      </c>
      <c r="BM2721" t="s">
        <v>116</v>
      </c>
      <c r="BN2721">
        <v>65.2</v>
      </c>
      <c r="BO2721">
        <v>44.85</v>
      </c>
      <c r="BP2721">
        <v>5.03</v>
      </c>
      <c r="BQ2721">
        <v>23.5</v>
      </c>
      <c r="BR2721">
        <v>48.94</v>
      </c>
      <c r="BS2721">
        <v>7.17</v>
      </c>
      <c r="BT2721">
        <v>1.92</v>
      </c>
      <c r="BU2721">
        <v>13.19</v>
      </c>
      <c r="BV2721">
        <v>0.18</v>
      </c>
      <c r="BW2721">
        <v>6.79</v>
      </c>
      <c r="BX2721">
        <v>23.84</v>
      </c>
      <c r="BY2721">
        <v>28.19</v>
      </c>
      <c r="BZ2721">
        <v>23.57</v>
      </c>
      <c r="CA2721">
        <v>1.25</v>
      </c>
      <c r="CB2721">
        <v>0.19</v>
      </c>
      <c r="CC2721">
        <v>1.32</v>
      </c>
      <c r="CD2721">
        <v>1.01</v>
      </c>
      <c r="CE2721">
        <v>0.88</v>
      </c>
      <c r="CF2721">
        <v>0.57999999999999996</v>
      </c>
      <c r="CG2721">
        <v>10.58</v>
      </c>
      <c r="CH2721">
        <v>-2.74</v>
      </c>
      <c r="CI2721">
        <v>-12.3</v>
      </c>
      <c r="CJ2721">
        <v>25524</v>
      </c>
      <c r="CK2721">
        <v>9545</v>
      </c>
      <c r="CL2721" t="s">
        <v>12254</v>
      </c>
      <c r="CM2721">
        <v>-52.23</v>
      </c>
      <c r="CN2721">
        <v>10.66</v>
      </c>
      <c r="CO2721">
        <v>4.7</v>
      </c>
      <c r="CP2721">
        <v>-76.94</v>
      </c>
      <c r="CQ2721">
        <v>7.48</v>
      </c>
      <c r="CR2721">
        <v>0.38</v>
      </c>
      <c r="CS2721" t="s">
        <v>4424</v>
      </c>
      <c r="CT2721">
        <v>5.64</v>
      </c>
      <c r="CU2721">
        <v>0</v>
      </c>
      <c r="CV2721">
        <v>3</v>
      </c>
      <c r="CW2721">
        <v>1.33</v>
      </c>
      <c r="CX2721">
        <v>-0.34</v>
      </c>
      <c r="CY2721">
        <v>68.790000000000006</v>
      </c>
      <c r="CZ2721" t="s">
        <v>787</v>
      </c>
      <c r="DA2721">
        <v>16.37</v>
      </c>
      <c r="DB2721">
        <v>4.45</v>
      </c>
      <c r="DC2721">
        <v>3.13</v>
      </c>
      <c r="DD2721">
        <v>0.63</v>
      </c>
      <c r="DE2721">
        <v>3129</v>
      </c>
      <c r="DF2721">
        <v>600640</v>
      </c>
      <c r="DG2721" t="s">
        <v>116</v>
      </c>
      <c r="DH2721" t="s">
        <v>116</v>
      </c>
      <c r="DI2721" t="s">
        <v>116</v>
      </c>
    </row>
    <row r="2722" spans="1:113" x14ac:dyDescent="0.4">
      <c r="A2722" t="str">
        <f>"600641"</f>
        <v>600641</v>
      </c>
      <c r="B2722" t="s">
        <v>12255</v>
      </c>
      <c r="C2722">
        <v>0</v>
      </c>
      <c r="D2722">
        <v>19.36</v>
      </c>
      <c r="E2722">
        <v>0</v>
      </c>
      <c r="F2722">
        <v>19.36</v>
      </c>
      <c r="G2722">
        <v>19.37</v>
      </c>
      <c r="H2722">
        <v>449082</v>
      </c>
      <c r="I2722">
        <v>3677</v>
      </c>
      <c r="J2722">
        <v>0.21</v>
      </c>
      <c r="K2722">
        <v>5.57</v>
      </c>
      <c r="L2722">
        <v>20</v>
      </c>
      <c r="M2722">
        <v>20.2</v>
      </c>
      <c r="N2722">
        <v>18.7</v>
      </c>
      <c r="O2722">
        <v>19.36</v>
      </c>
      <c r="P2722">
        <v>20.23</v>
      </c>
      <c r="Q2722">
        <v>874339840</v>
      </c>
      <c r="R2722">
        <v>3.11</v>
      </c>
      <c r="S2722" t="s">
        <v>148</v>
      </c>
      <c r="T2722" t="s">
        <v>1653</v>
      </c>
      <c r="U2722">
        <v>7.75</v>
      </c>
      <c r="V2722">
        <v>19.47</v>
      </c>
      <c r="W2722">
        <v>215167</v>
      </c>
      <c r="X2722">
        <v>233916</v>
      </c>
      <c r="Y2722">
        <v>0.92</v>
      </c>
      <c r="Z2722">
        <v>182</v>
      </c>
      <c r="AA2722">
        <v>193</v>
      </c>
      <c r="AB2722" t="s">
        <v>116</v>
      </c>
      <c r="AC2722">
        <v>24144000</v>
      </c>
      <c r="AD2722">
        <v>0.33</v>
      </c>
      <c r="AE2722" t="s">
        <v>116</v>
      </c>
      <c r="AF2722" t="s">
        <v>116</v>
      </c>
      <c r="AG2722">
        <v>8.06</v>
      </c>
      <c r="AH2722" t="s">
        <v>12256</v>
      </c>
      <c r="AI2722" t="s">
        <v>12256</v>
      </c>
      <c r="AJ2722">
        <v>0.08</v>
      </c>
      <c r="AK2722">
        <v>4184</v>
      </c>
      <c r="AL2722">
        <v>107</v>
      </c>
      <c r="AM2722">
        <v>1.2999999999999999E-3</v>
      </c>
      <c r="AN2722">
        <v>0</v>
      </c>
      <c r="AO2722">
        <v>21</v>
      </c>
      <c r="AP2722">
        <v>38.29</v>
      </c>
      <c r="AQ2722">
        <v>42.25</v>
      </c>
      <c r="AR2722">
        <v>117.92</v>
      </c>
      <c r="AS2722">
        <v>12.26</v>
      </c>
      <c r="AT2722" t="s">
        <v>9865</v>
      </c>
      <c r="AU2722">
        <v>24.75</v>
      </c>
      <c r="AV2722">
        <v>16.059999999999999</v>
      </c>
      <c r="AW2722">
        <v>1.82</v>
      </c>
      <c r="BA2722">
        <v>3.31</v>
      </c>
      <c r="BB2722">
        <v>4.34</v>
      </c>
      <c r="BC2722">
        <v>-3.41</v>
      </c>
      <c r="BD2722">
        <v>0.56999999999999995</v>
      </c>
      <c r="BE2722">
        <v>-3.2</v>
      </c>
      <c r="BF2722">
        <v>-4.16</v>
      </c>
      <c r="BG2722">
        <v>3.53</v>
      </c>
      <c r="BH2722">
        <v>-0.56999999999999995</v>
      </c>
      <c r="BI2722">
        <v>20191030</v>
      </c>
      <c r="BJ2722">
        <v>19930407</v>
      </c>
      <c r="BK2722">
        <v>8.06</v>
      </c>
      <c r="BL2722" t="s">
        <v>116</v>
      </c>
      <c r="BM2722" t="s">
        <v>116</v>
      </c>
      <c r="BN2722">
        <v>70.819999999999993</v>
      </c>
      <c r="BO2722">
        <v>62.65</v>
      </c>
      <c r="BP2722">
        <v>0.03</v>
      </c>
      <c r="BQ2722">
        <v>11.5</v>
      </c>
      <c r="BR2722">
        <v>52.59</v>
      </c>
      <c r="BS2722">
        <v>0.64</v>
      </c>
      <c r="BT2722">
        <v>0.5</v>
      </c>
      <c r="BU2722">
        <v>6.93</v>
      </c>
      <c r="BV2722">
        <v>8.2899999999999991</v>
      </c>
      <c r="BW2722">
        <v>0.56000000000000005</v>
      </c>
      <c r="BX2722">
        <v>1.91</v>
      </c>
      <c r="BY2722">
        <v>17.579999999999998</v>
      </c>
      <c r="BZ2722">
        <v>9.1999999999999993</v>
      </c>
      <c r="CA2722">
        <v>7.38</v>
      </c>
      <c r="CB2722">
        <v>0.04</v>
      </c>
      <c r="CC2722">
        <v>7.82</v>
      </c>
      <c r="CD2722">
        <v>5.8</v>
      </c>
      <c r="CE2722">
        <v>5.79</v>
      </c>
      <c r="CF2722">
        <v>4.92</v>
      </c>
      <c r="CG2722">
        <v>46.91</v>
      </c>
      <c r="CH2722">
        <v>1.36</v>
      </c>
      <c r="CI2722">
        <v>-28.27</v>
      </c>
      <c r="CJ2722">
        <v>35754</v>
      </c>
      <c r="CK2722">
        <v>10247</v>
      </c>
      <c r="CL2722" t="s">
        <v>12257</v>
      </c>
      <c r="CM2722">
        <v>-37.11</v>
      </c>
      <c r="CN2722">
        <v>-30.15</v>
      </c>
      <c r="CO2722">
        <v>2.4900000000000002</v>
      </c>
      <c r="CP2722">
        <v>114.62</v>
      </c>
      <c r="CQ2722">
        <v>8.8800000000000008</v>
      </c>
      <c r="CR2722">
        <v>0.96</v>
      </c>
      <c r="CS2722" t="s">
        <v>1598</v>
      </c>
      <c r="CT2722">
        <v>7.77</v>
      </c>
      <c r="CU2722">
        <v>0</v>
      </c>
      <c r="CV2722">
        <v>0.24</v>
      </c>
      <c r="CW2722">
        <v>5.82</v>
      </c>
      <c r="CX2722">
        <v>0.17</v>
      </c>
      <c r="CY2722">
        <v>88.46</v>
      </c>
      <c r="CZ2722" t="s">
        <v>11200</v>
      </c>
      <c r="DA2722">
        <v>47.68</v>
      </c>
      <c r="DB2722">
        <v>41.96</v>
      </c>
      <c r="DC2722">
        <v>32.909999999999997</v>
      </c>
      <c r="DD2722">
        <v>0.02</v>
      </c>
      <c r="DE2722">
        <v>457</v>
      </c>
      <c r="DF2722">
        <v>600641</v>
      </c>
      <c r="DG2722" t="s">
        <v>116</v>
      </c>
      <c r="DH2722" t="s">
        <v>116</v>
      </c>
      <c r="DI2722" t="s">
        <v>116</v>
      </c>
    </row>
    <row r="2723" spans="1:113" x14ac:dyDescent="0.4">
      <c r="A2723" t="str">
        <f>"600642"</f>
        <v>600642</v>
      </c>
      <c r="B2723" t="s">
        <v>12258</v>
      </c>
      <c r="C2723">
        <v>-0.17</v>
      </c>
      <c r="D2723">
        <v>5.76</v>
      </c>
      <c r="E2723">
        <v>-0.01</v>
      </c>
      <c r="F2723">
        <v>5.76</v>
      </c>
      <c r="G2723">
        <v>5.77</v>
      </c>
      <c r="H2723">
        <v>67594</v>
      </c>
      <c r="I2723">
        <v>1168</v>
      </c>
      <c r="J2723">
        <v>-0.34</v>
      </c>
      <c r="K2723">
        <v>0.15</v>
      </c>
      <c r="L2723">
        <v>5.77</v>
      </c>
      <c r="M2723">
        <v>5.83</v>
      </c>
      <c r="N2723">
        <v>5.76</v>
      </c>
      <c r="O2723">
        <v>5.77</v>
      </c>
      <c r="P2723">
        <v>12.66</v>
      </c>
      <c r="Q2723">
        <v>39091164</v>
      </c>
      <c r="R2723">
        <v>1.0900000000000001</v>
      </c>
      <c r="S2723" t="s">
        <v>271</v>
      </c>
      <c r="T2723" t="s">
        <v>1653</v>
      </c>
      <c r="U2723">
        <v>1.21</v>
      </c>
      <c r="V2723">
        <v>5.78</v>
      </c>
      <c r="W2723">
        <v>34522</v>
      </c>
      <c r="X2723">
        <v>33073</v>
      </c>
      <c r="Y2723">
        <v>1.04</v>
      </c>
      <c r="Z2723">
        <v>1236</v>
      </c>
      <c r="AA2723">
        <v>109</v>
      </c>
      <c r="AB2723" t="s">
        <v>116</v>
      </c>
      <c r="AC2723">
        <v>59400</v>
      </c>
      <c r="AD2723">
        <v>0</v>
      </c>
      <c r="AE2723" t="s">
        <v>116</v>
      </c>
      <c r="AF2723" t="s">
        <v>116</v>
      </c>
      <c r="AG2723">
        <v>45.52</v>
      </c>
      <c r="AH2723" t="s">
        <v>12259</v>
      </c>
      <c r="AI2723" t="s">
        <v>12260</v>
      </c>
      <c r="AJ2723">
        <v>-0.1</v>
      </c>
      <c r="AK2723">
        <v>1846</v>
      </c>
      <c r="AL2723">
        <v>37</v>
      </c>
      <c r="AM2723">
        <v>1E-4</v>
      </c>
      <c r="AN2723">
        <v>-1</v>
      </c>
      <c r="AO2723">
        <v>-0.34</v>
      </c>
      <c r="AP2723">
        <v>-2.87</v>
      </c>
      <c r="AQ2723">
        <v>2.31</v>
      </c>
      <c r="AR2723">
        <v>23.08</v>
      </c>
      <c r="AS2723">
        <v>0.3</v>
      </c>
      <c r="AT2723" t="s">
        <v>12261</v>
      </c>
      <c r="AU2723">
        <v>12.57</v>
      </c>
      <c r="AV2723">
        <v>15.5</v>
      </c>
      <c r="AW2723">
        <v>0.48</v>
      </c>
      <c r="BA2723">
        <v>0</v>
      </c>
      <c r="BB2723">
        <v>1.04</v>
      </c>
      <c r="BC2723">
        <v>-0.17</v>
      </c>
      <c r="BD2723">
        <v>0.23</v>
      </c>
      <c r="BE2723">
        <v>-0.17</v>
      </c>
      <c r="BF2723">
        <v>-1.2</v>
      </c>
      <c r="BG2723">
        <v>0</v>
      </c>
      <c r="BH2723">
        <v>-0.4</v>
      </c>
      <c r="BI2723">
        <v>20191031</v>
      </c>
      <c r="BJ2723">
        <v>19930416</v>
      </c>
      <c r="BK2723">
        <v>49.12</v>
      </c>
      <c r="BL2723" t="s">
        <v>116</v>
      </c>
      <c r="BM2723" t="s">
        <v>116</v>
      </c>
      <c r="BN2723">
        <v>637.95000000000005</v>
      </c>
      <c r="BO2723">
        <v>290.06</v>
      </c>
      <c r="BP2723">
        <v>84.1</v>
      </c>
      <c r="BQ2723">
        <v>41.35</v>
      </c>
      <c r="BR2723">
        <v>157.96</v>
      </c>
      <c r="BS2723">
        <v>273.64999999999998</v>
      </c>
      <c r="BT2723">
        <v>2.6</v>
      </c>
      <c r="BU2723">
        <v>132.07</v>
      </c>
      <c r="BV2723">
        <v>8.17</v>
      </c>
      <c r="BW2723">
        <v>26.36</v>
      </c>
      <c r="BX2723">
        <v>48.44</v>
      </c>
      <c r="BY2723">
        <v>284.23</v>
      </c>
      <c r="BZ2723">
        <v>262.27</v>
      </c>
      <c r="CA2723">
        <v>22.8</v>
      </c>
      <c r="CB2723">
        <v>9.9600000000000009</v>
      </c>
      <c r="CC2723">
        <v>22.84</v>
      </c>
      <c r="CD2723">
        <v>20.18</v>
      </c>
      <c r="CE2723">
        <v>16.760000000000002</v>
      </c>
      <c r="CF2723">
        <v>16.12</v>
      </c>
      <c r="CG2723">
        <v>52.99</v>
      </c>
      <c r="CH2723">
        <v>45.28</v>
      </c>
      <c r="CI2723">
        <v>27.63</v>
      </c>
      <c r="CJ2723">
        <v>139488</v>
      </c>
      <c r="CK2723">
        <v>16385</v>
      </c>
      <c r="CL2723" t="s">
        <v>12262</v>
      </c>
      <c r="CM2723">
        <v>33.94</v>
      </c>
      <c r="CN2723">
        <v>5.17</v>
      </c>
      <c r="CO2723">
        <v>0.98</v>
      </c>
      <c r="CP2723">
        <v>6.25</v>
      </c>
      <c r="CQ2723">
        <v>1</v>
      </c>
      <c r="CR2723">
        <v>3.22</v>
      </c>
      <c r="CS2723" t="s">
        <v>793</v>
      </c>
      <c r="CT2723">
        <v>5.91</v>
      </c>
      <c r="CU2723">
        <v>0</v>
      </c>
      <c r="CV2723">
        <v>0.99</v>
      </c>
      <c r="CW2723">
        <v>1.08</v>
      </c>
      <c r="CX2723">
        <v>0.92</v>
      </c>
      <c r="CY2723">
        <v>45.47</v>
      </c>
      <c r="CZ2723" t="s">
        <v>7424</v>
      </c>
      <c r="DA2723">
        <v>7.73</v>
      </c>
      <c r="DB2723">
        <v>8.02</v>
      </c>
      <c r="DC2723">
        <v>5.9</v>
      </c>
      <c r="DD2723">
        <v>0.02</v>
      </c>
      <c r="DE2723">
        <v>2555</v>
      </c>
      <c r="DF2723">
        <v>600642</v>
      </c>
      <c r="DG2723" t="s">
        <v>116</v>
      </c>
      <c r="DH2723" t="s">
        <v>116</v>
      </c>
      <c r="DI2723" t="s">
        <v>116</v>
      </c>
    </row>
    <row r="2724" spans="1:113" x14ac:dyDescent="0.4">
      <c r="A2724" t="str">
        <f>"600643"</f>
        <v>600643</v>
      </c>
      <c r="B2724" t="s">
        <v>12263</v>
      </c>
      <c r="C2724">
        <v>0.11</v>
      </c>
      <c r="D2724">
        <v>9.33</v>
      </c>
      <c r="E2724">
        <v>0.01</v>
      </c>
      <c r="F2724">
        <v>9.33</v>
      </c>
      <c r="G2724">
        <v>9.34</v>
      </c>
      <c r="H2724">
        <v>290900</v>
      </c>
      <c r="I2724">
        <v>1441</v>
      </c>
      <c r="J2724">
        <v>0.11</v>
      </c>
      <c r="K2724">
        <v>2.0299999999999998</v>
      </c>
      <c r="L2724">
        <v>9.2899999999999991</v>
      </c>
      <c r="M2724">
        <v>9.64</v>
      </c>
      <c r="N2724">
        <v>9.27</v>
      </c>
      <c r="O2724">
        <v>9.32</v>
      </c>
      <c r="P2724">
        <v>11.11</v>
      </c>
      <c r="Q2724">
        <v>275615584</v>
      </c>
      <c r="R2724">
        <v>2.15</v>
      </c>
      <c r="S2724" t="s">
        <v>732</v>
      </c>
      <c r="T2724" t="s">
        <v>1653</v>
      </c>
      <c r="U2724">
        <v>3.97</v>
      </c>
      <c r="V2724">
        <v>9.4700000000000006</v>
      </c>
      <c r="W2724">
        <v>133748</v>
      </c>
      <c r="X2724">
        <v>157152</v>
      </c>
      <c r="Y2724">
        <v>0.85</v>
      </c>
      <c r="Z2724">
        <v>1349</v>
      </c>
      <c r="AA2724">
        <v>374</v>
      </c>
      <c r="AB2724" t="s">
        <v>116</v>
      </c>
      <c r="AC2724">
        <v>795200</v>
      </c>
      <c r="AD2724">
        <v>0.01</v>
      </c>
      <c r="AE2724" t="s">
        <v>116</v>
      </c>
      <c r="AF2724" t="s">
        <v>116</v>
      </c>
      <c r="AG2724">
        <v>14.34</v>
      </c>
      <c r="AH2724" t="s">
        <v>12264</v>
      </c>
      <c r="AI2724" t="s">
        <v>12265</v>
      </c>
      <c r="AJ2724">
        <v>0.18</v>
      </c>
      <c r="AK2724">
        <v>3366</v>
      </c>
      <c r="AL2724">
        <v>86</v>
      </c>
      <c r="AM2724">
        <v>5.9999999999999995E-4</v>
      </c>
      <c r="AN2724">
        <v>2</v>
      </c>
      <c r="AO2724">
        <v>1.0900000000000001</v>
      </c>
      <c r="AP2724">
        <v>7.99</v>
      </c>
      <c r="AQ2724">
        <v>4.71</v>
      </c>
      <c r="AR2724">
        <v>11.47</v>
      </c>
      <c r="AS2724">
        <v>3.59</v>
      </c>
      <c r="AT2724" t="s">
        <v>12266</v>
      </c>
      <c r="AU2724">
        <v>11.11</v>
      </c>
      <c r="AV2724">
        <v>13.07</v>
      </c>
      <c r="AW2724">
        <v>1.79</v>
      </c>
      <c r="BA2724">
        <v>-0.32</v>
      </c>
      <c r="BB2724">
        <v>3.43</v>
      </c>
      <c r="BC2724">
        <v>-0.54</v>
      </c>
      <c r="BD2724">
        <v>1.66</v>
      </c>
      <c r="BE2724">
        <v>0.43</v>
      </c>
      <c r="BF2724">
        <v>-3.22</v>
      </c>
      <c r="BG2724">
        <v>0.65</v>
      </c>
      <c r="BH2724">
        <v>-1.55</v>
      </c>
      <c r="BI2724">
        <v>20191030</v>
      </c>
      <c r="BJ2724">
        <v>19930426</v>
      </c>
      <c r="BK2724">
        <v>16.22</v>
      </c>
      <c r="BL2724" t="s">
        <v>116</v>
      </c>
      <c r="BM2724" t="s">
        <v>116</v>
      </c>
      <c r="BN2724">
        <v>287.01</v>
      </c>
      <c r="BO2724">
        <v>104.94</v>
      </c>
      <c r="BP2724">
        <v>1.0900000000000001</v>
      </c>
      <c r="BQ2724">
        <v>63.06</v>
      </c>
      <c r="BR2724">
        <v>84.25</v>
      </c>
      <c r="BS2724">
        <v>52.14</v>
      </c>
      <c r="BT2724">
        <v>0.35</v>
      </c>
      <c r="BU2724">
        <v>84.12</v>
      </c>
      <c r="BV2724">
        <v>7.0000000000000007E-2</v>
      </c>
      <c r="BW2724">
        <v>17.190000000000001</v>
      </c>
      <c r="BX2724">
        <v>40.450000000000003</v>
      </c>
      <c r="BY2724">
        <v>12.02</v>
      </c>
      <c r="BZ2724">
        <v>7.49</v>
      </c>
      <c r="CA2724">
        <v>15.45</v>
      </c>
      <c r="CB2724">
        <v>3.17</v>
      </c>
      <c r="CC2724">
        <v>14.01</v>
      </c>
      <c r="CD2724">
        <v>10.210000000000001</v>
      </c>
      <c r="CE2724">
        <v>10.210000000000001</v>
      </c>
      <c r="CF2724">
        <v>10.71</v>
      </c>
      <c r="CG2724">
        <v>41.72</v>
      </c>
      <c r="CH2724">
        <v>11.99</v>
      </c>
      <c r="CI2724">
        <v>-0.52</v>
      </c>
      <c r="CJ2724">
        <v>66324</v>
      </c>
      <c r="CK2724">
        <v>12229</v>
      </c>
      <c r="CL2724" t="s">
        <v>12267</v>
      </c>
      <c r="CM2724">
        <v>25.04</v>
      </c>
      <c r="CN2724">
        <v>179.12</v>
      </c>
      <c r="CO2724">
        <v>1.44</v>
      </c>
      <c r="CP2724">
        <v>12.62</v>
      </c>
      <c r="CQ2724">
        <v>12.59</v>
      </c>
      <c r="CR2724">
        <v>1.29</v>
      </c>
      <c r="CS2724" t="s">
        <v>9624</v>
      </c>
      <c r="CT2724">
        <v>6.47</v>
      </c>
      <c r="CU2724">
        <v>0</v>
      </c>
      <c r="CV2724">
        <v>2.4900000000000002</v>
      </c>
      <c r="CW2724">
        <v>2.57</v>
      </c>
      <c r="CX2724">
        <v>0.74</v>
      </c>
      <c r="CY2724">
        <v>36.56</v>
      </c>
      <c r="CZ2724" t="s">
        <v>3387</v>
      </c>
      <c r="DA2724">
        <v>37.68</v>
      </c>
      <c r="DB2724">
        <v>128.49</v>
      </c>
      <c r="DC2724">
        <v>84.95</v>
      </c>
      <c r="DD2724">
        <v>0</v>
      </c>
      <c r="DE2724">
        <v>620</v>
      </c>
      <c r="DF2724">
        <v>600643</v>
      </c>
      <c r="DG2724" t="s">
        <v>116</v>
      </c>
      <c r="DH2724" t="s">
        <v>116</v>
      </c>
      <c r="DI2724" t="s">
        <v>116</v>
      </c>
    </row>
    <row r="2725" spans="1:113" x14ac:dyDescent="0.4">
      <c r="A2725" t="str">
        <f>"600644"</f>
        <v>600644</v>
      </c>
      <c r="B2725" t="s">
        <v>12268</v>
      </c>
      <c r="C2725">
        <v>-0.36</v>
      </c>
      <c r="D2725">
        <v>5.54</v>
      </c>
      <c r="E2725">
        <v>-0.02</v>
      </c>
      <c r="F2725">
        <v>5.53</v>
      </c>
      <c r="G2725">
        <v>5.54</v>
      </c>
      <c r="H2725">
        <v>17544</v>
      </c>
      <c r="I2725">
        <v>75</v>
      </c>
      <c r="J2725">
        <v>0.18</v>
      </c>
      <c r="K2725">
        <v>0.33</v>
      </c>
      <c r="L2725">
        <v>5.55</v>
      </c>
      <c r="M2725">
        <v>5.58</v>
      </c>
      <c r="N2725">
        <v>5.52</v>
      </c>
      <c r="O2725">
        <v>5.56</v>
      </c>
      <c r="P2725">
        <v>13.6</v>
      </c>
      <c r="Q2725">
        <v>9737771</v>
      </c>
      <c r="R2725">
        <v>0.99</v>
      </c>
      <c r="S2725" t="s">
        <v>1363</v>
      </c>
      <c r="T2725" t="s">
        <v>582</v>
      </c>
      <c r="U2725">
        <v>1.08</v>
      </c>
      <c r="V2725">
        <v>5.55</v>
      </c>
      <c r="W2725">
        <v>10796</v>
      </c>
      <c r="X2725">
        <v>6748</v>
      </c>
      <c r="Y2725">
        <v>1.6</v>
      </c>
      <c r="Z2725">
        <v>370</v>
      </c>
      <c r="AA2725">
        <v>1043</v>
      </c>
      <c r="AB2725" t="s">
        <v>116</v>
      </c>
      <c r="AC2725">
        <v>33900</v>
      </c>
      <c r="AD2725">
        <v>0</v>
      </c>
      <c r="AE2725" t="s">
        <v>116</v>
      </c>
      <c r="AF2725" t="s">
        <v>116</v>
      </c>
      <c r="AG2725">
        <v>5.38</v>
      </c>
      <c r="AH2725" t="s">
        <v>12269</v>
      </c>
      <c r="AI2725" t="s">
        <v>12269</v>
      </c>
      <c r="AJ2725">
        <v>-0.28000000000000003</v>
      </c>
      <c r="AK2725">
        <v>554</v>
      </c>
      <c r="AL2725">
        <v>32</v>
      </c>
      <c r="AM2725">
        <v>5.9999999999999995E-4</v>
      </c>
      <c r="AN2725">
        <v>-1</v>
      </c>
      <c r="AO2725">
        <v>0.54</v>
      </c>
      <c r="AP2725">
        <v>0.73</v>
      </c>
      <c r="AQ2725">
        <v>-5.62</v>
      </c>
      <c r="AR2725">
        <v>23.39</v>
      </c>
      <c r="AS2725">
        <v>0.89</v>
      </c>
      <c r="AT2725" t="s">
        <v>9693</v>
      </c>
      <c r="AU2725">
        <v>27.37</v>
      </c>
      <c r="AV2725">
        <v>36.869999999999997</v>
      </c>
      <c r="AW2725">
        <v>0.89</v>
      </c>
      <c r="BA2725">
        <v>-0.18</v>
      </c>
      <c r="BB2725">
        <v>0.36</v>
      </c>
      <c r="BC2725">
        <v>-0.72</v>
      </c>
      <c r="BD2725">
        <v>-0.17</v>
      </c>
      <c r="BE2725">
        <v>-0.18</v>
      </c>
      <c r="BF2725">
        <v>-0.72</v>
      </c>
      <c r="BG2725">
        <v>0.36</v>
      </c>
      <c r="BH2725">
        <v>-0.19</v>
      </c>
      <c r="BI2725">
        <v>20191031</v>
      </c>
      <c r="BJ2725">
        <v>19930426</v>
      </c>
      <c r="BK2725">
        <v>5.38</v>
      </c>
      <c r="BL2725" t="s">
        <v>116</v>
      </c>
      <c r="BM2725" t="s">
        <v>116</v>
      </c>
      <c r="BN2725">
        <v>36.619999999999997</v>
      </c>
      <c r="BO2725">
        <v>15.23</v>
      </c>
      <c r="BP2725">
        <v>2.14</v>
      </c>
      <c r="BQ2725">
        <v>52.57</v>
      </c>
      <c r="BR2725">
        <v>6.28</v>
      </c>
      <c r="BS2725">
        <v>18.32</v>
      </c>
      <c r="BT2725">
        <v>1.98</v>
      </c>
      <c r="BU2725">
        <v>11.81</v>
      </c>
      <c r="BV2725">
        <v>1.1599999999999999</v>
      </c>
      <c r="BW2725">
        <v>0.6</v>
      </c>
      <c r="BX2725">
        <v>13.85</v>
      </c>
      <c r="BY2725">
        <v>15.97</v>
      </c>
      <c r="BZ2725">
        <v>11.72</v>
      </c>
      <c r="CA2725">
        <v>1.88</v>
      </c>
      <c r="CB2725">
        <v>0.3</v>
      </c>
      <c r="CC2725">
        <v>1.84</v>
      </c>
      <c r="CD2725">
        <v>1.7</v>
      </c>
      <c r="CE2725">
        <v>1.65</v>
      </c>
      <c r="CF2725">
        <v>1.18</v>
      </c>
      <c r="CG2725">
        <v>-5.0199999999999996</v>
      </c>
      <c r="CH2725">
        <v>2.5299999999999998</v>
      </c>
      <c r="CI2725">
        <v>-0.87</v>
      </c>
      <c r="CJ2725">
        <v>28317</v>
      </c>
      <c r="CK2725">
        <v>6982</v>
      </c>
      <c r="CL2725" t="s">
        <v>1176</v>
      </c>
      <c r="CM2725">
        <v>20.6</v>
      </c>
      <c r="CN2725">
        <v>-0.54</v>
      </c>
      <c r="CO2725">
        <v>1.96</v>
      </c>
      <c r="CP2725">
        <v>11.79</v>
      </c>
      <c r="CQ2725">
        <v>1.87</v>
      </c>
      <c r="CR2725">
        <v>0</v>
      </c>
      <c r="CS2725" t="s">
        <v>9921</v>
      </c>
      <c r="CT2725">
        <v>2.83</v>
      </c>
      <c r="CU2725">
        <v>0</v>
      </c>
      <c r="CV2725">
        <v>2.57</v>
      </c>
      <c r="CW2725">
        <v>-0.93</v>
      </c>
      <c r="CX2725">
        <v>0.47</v>
      </c>
      <c r="CY2725">
        <v>41.6</v>
      </c>
      <c r="CZ2725" t="s">
        <v>12270</v>
      </c>
      <c r="DA2725">
        <v>26.62</v>
      </c>
      <c r="DB2725">
        <v>11.77</v>
      </c>
      <c r="DC2725">
        <v>10.3</v>
      </c>
      <c r="DD2725">
        <v>0</v>
      </c>
      <c r="DE2725">
        <v>3301</v>
      </c>
      <c r="DF2725">
        <v>600644</v>
      </c>
      <c r="DG2725" t="s">
        <v>116</v>
      </c>
      <c r="DH2725" t="s">
        <v>116</v>
      </c>
      <c r="DI2725" t="s">
        <v>116</v>
      </c>
    </row>
    <row r="2726" spans="1:113" x14ac:dyDescent="0.4">
      <c r="A2726" t="str">
        <f>"600645"</f>
        <v>600645</v>
      </c>
      <c r="B2726" t="s">
        <v>12271</v>
      </c>
      <c r="C2726">
        <v>-0.18</v>
      </c>
      <c r="D2726">
        <v>16.649999999999999</v>
      </c>
      <c r="E2726">
        <v>-0.03</v>
      </c>
      <c r="F2726">
        <v>16.649999999999999</v>
      </c>
      <c r="G2726">
        <v>16.66</v>
      </c>
      <c r="H2726">
        <v>41814</v>
      </c>
      <c r="I2726">
        <v>205</v>
      </c>
      <c r="J2726">
        <v>-0.17</v>
      </c>
      <c r="K2726">
        <v>1.0900000000000001</v>
      </c>
      <c r="L2726">
        <v>16.66</v>
      </c>
      <c r="M2726">
        <v>17.05</v>
      </c>
      <c r="N2726">
        <v>16.62</v>
      </c>
      <c r="O2726">
        <v>16.68</v>
      </c>
      <c r="P2726">
        <v>62.5</v>
      </c>
      <c r="Q2726">
        <v>70548384</v>
      </c>
      <c r="R2726">
        <v>1.24</v>
      </c>
      <c r="S2726" t="s">
        <v>132</v>
      </c>
      <c r="T2726" t="s">
        <v>1035</v>
      </c>
      <c r="U2726">
        <v>2.58</v>
      </c>
      <c r="V2726">
        <v>16.87</v>
      </c>
      <c r="W2726">
        <v>22865</v>
      </c>
      <c r="X2726">
        <v>18949</v>
      </c>
      <c r="Y2726">
        <v>1.21</v>
      </c>
      <c r="Z2726">
        <v>31</v>
      </c>
      <c r="AA2726">
        <v>30</v>
      </c>
      <c r="AB2726" t="s">
        <v>116</v>
      </c>
      <c r="AC2726">
        <v>351500</v>
      </c>
      <c r="AD2726">
        <v>0.01</v>
      </c>
      <c r="AE2726" t="s">
        <v>116</v>
      </c>
      <c r="AF2726" t="s">
        <v>116</v>
      </c>
      <c r="AG2726">
        <v>3.84</v>
      </c>
      <c r="AH2726" t="s">
        <v>12272</v>
      </c>
      <c r="AI2726" t="s">
        <v>12273</v>
      </c>
      <c r="AJ2726">
        <v>-0.1</v>
      </c>
      <c r="AK2726">
        <v>1853</v>
      </c>
      <c r="AL2726">
        <v>23</v>
      </c>
      <c r="AM2726">
        <v>5.9999999999999995E-4</v>
      </c>
      <c r="AN2726">
        <v>-1</v>
      </c>
      <c r="AO2726">
        <v>-0.36</v>
      </c>
      <c r="AP2726">
        <v>1.65</v>
      </c>
      <c r="AQ2726">
        <v>-5.88</v>
      </c>
      <c r="AR2726">
        <v>2.52</v>
      </c>
      <c r="AS2726">
        <v>1.42</v>
      </c>
      <c r="AT2726" t="s">
        <v>5760</v>
      </c>
      <c r="AU2726" t="s">
        <v>116</v>
      </c>
      <c r="AV2726">
        <v>131.5</v>
      </c>
      <c r="AW2726">
        <v>1.3</v>
      </c>
      <c r="BA2726">
        <v>-0.12</v>
      </c>
      <c r="BB2726">
        <v>2.2200000000000002</v>
      </c>
      <c r="BC2726">
        <v>-0.36</v>
      </c>
      <c r="BD2726">
        <v>1.1499999999999999</v>
      </c>
      <c r="BE2726">
        <v>-0.06</v>
      </c>
      <c r="BF2726">
        <v>-2.35</v>
      </c>
      <c r="BG2726">
        <v>0.18</v>
      </c>
      <c r="BH2726">
        <v>-1.33</v>
      </c>
      <c r="BI2726">
        <v>20191106</v>
      </c>
      <c r="BJ2726">
        <v>19930504</v>
      </c>
      <c r="BK2726">
        <v>4.68</v>
      </c>
      <c r="BL2726" t="s">
        <v>116</v>
      </c>
      <c r="BM2726" t="s">
        <v>116</v>
      </c>
      <c r="BN2726">
        <v>49.46</v>
      </c>
      <c r="BO2726">
        <v>33.51</v>
      </c>
      <c r="BP2726">
        <v>1.27</v>
      </c>
      <c r="BQ2726">
        <v>29.68</v>
      </c>
      <c r="BR2726">
        <v>19.190000000000001</v>
      </c>
      <c r="BS2726">
        <v>5.84</v>
      </c>
      <c r="BT2726">
        <v>1.53</v>
      </c>
      <c r="BU2726">
        <v>13.11</v>
      </c>
      <c r="BV2726">
        <v>2.17</v>
      </c>
      <c r="BW2726">
        <v>4.62</v>
      </c>
      <c r="BX2726">
        <v>33.799999999999997</v>
      </c>
      <c r="BY2726">
        <v>10.050000000000001</v>
      </c>
      <c r="BZ2726">
        <v>3.01</v>
      </c>
      <c r="CA2726">
        <v>1.48</v>
      </c>
      <c r="CB2726">
        <v>-0.12</v>
      </c>
      <c r="CC2726">
        <v>1.52</v>
      </c>
      <c r="CD2726">
        <v>1.05</v>
      </c>
      <c r="CE2726">
        <v>0.94</v>
      </c>
      <c r="CF2726">
        <v>0.72</v>
      </c>
      <c r="CG2726">
        <v>-5.38</v>
      </c>
      <c r="CH2726">
        <v>1.57</v>
      </c>
      <c r="CI2726">
        <v>4.05</v>
      </c>
      <c r="CJ2726">
        <v>37349</v>
      </c>
      <c r="CK2726">
        <v>7887</v>
      </c>
      <c r="CL2726" t="s">
        <v>11026</v>
      </c>
      <c r="CM2726">
        <v>-72.05</v>
      </c>
      <c r="CN2726">
        <v>3.5</v>
      </c>
      <c r="CO2726">
        <v>2.33</v>
      </c>
      <c r="CP2726">
        <v>49.72</v>
      </c>
      <c r="CQ2726">
        <v>7.75</v>
      </c>
      <c r="CR2726">
        <v>0</v>
      </c>
      <c r="CS2726" t="s">
        <v>1119</v>
      </c>
      <c r="CT2726">
        <v>7.16</v>
      </c>
      <c r="CU2726">
        <v>0</v>
      </c>
      <c r="CV2726">
        <v>7.22</v>
      </c>
      <c r="CW2726">
        <v>-1.1499999999999999</v>
      </c>
      <c r="CX2726">
        <v>0.33</v>
      </c>
      <c r="CY2726">
        <v>67.760000000000005</v>
      </c>
      <c r="CZ2726" t="s">
        <v>12274</v>
      </c>
      <c r="DA2726">
        <v>70.09</v>
      </c>
      <c r="DB2726">
        <v>14.71</v>
      </c>
      <c r="DC2726">
        <v>9.3000000000000007</v>
      </c>
      <c r="DD2726">
        <v>0.76</v>
      </c>
      <c r="DE2726">
        <v>2201</v>
      </c>
      <c r="DF2726">
        <v>600645</v>
      </c>
      <c r="DG2726" t="s">
        <v>116</v>
      </c>
      <c r="DH2726" t="s">
        <v>116</v>
      </c>
      <c r="DI2726" t="s">
        <v>116</v>
      </c>
    </row>
    <row r="2727" spans="1:113" x14ac:dyDescent="0.4">
      <c r="A2727" t="str">
        <f>"600647"</f>
        <v>600647</v>
      </c>
      <c r="B2727" t="s">
        <v>12275</v>
      </c>
      <c r="C2727">
        <v>-0.64</v>
      </c>
      <c r="D2727">
        <v>13.95</v>
      </c>
      <c r="E2727">
        <v>-0.09</v>
      </c>
      <c r="F2727">
        <v>13.95</v>
      </c>
      <c r="G2727">
        <v>13.98</v>
      </c>
      <c r="H2727">
        <v>19745</v>
      </c>
      <c r="I2727">
        <v>425</v>
      </c>
      <c r="J2727">
        <v>-0.06</v>
      </c>
      <c r="K2727">
        <v>1.42</v>
      </c>
      <c r="L2727">
        <v>14</v>
      </c>
      <c r="M2727">
        <v>14.16</v>
      </c>
      <c r="N2727">
        <v>13.92</v>
      </c>
      <c r="O2727">
        <v>14.04</v>
      </c>
      <c r="P2727">
        <v>71.84</v>
      </c>
      <c r="Q2727">
        <v>27686090</v>
      </c>
      <c r="R2727">
        <v>0.57999999999999996</v>
      </c>
      <c r="S2727" t="s">
        <v>173</v>
      </c>
      <c r="T2727" t="s">
        <v>1653</v>
      </c>
      <c r="U2727">
        <v>1.71</v>
      </c>
      <c r="V2727">
        <v>14.02</v>
      </c>
      <c r="W2727">
        <v>9794</v>
      </c>
      <c r="X2727">
        <v>9951</v>
      </c>
      <c r="Y2727">
        <v>0.98</v>
      </c>
      <c r="Z2727">
        <v>98</v>
      </c>
      <c r="AA2727">
        <v>102</v>
      </c>
      <c r="AB2727" t="s">
        <v>116</v>
      </c>
      <c r="AC2727">
        <v>159600</v>
      </c>
      <c r="AD2727">
        <v>0.01</v>
      </c>
      <c r="AE2727" t="s">
        <v>116</v>
      </c>
      <c r="AF2727" t="s">
        <v>116</v>
      </c>
      <c r="AG2727">
        <v>1.39</v>
      </c>
      <c r="AH2727" t="s">
        <v>11984</v>
      </c>
      <c r="AI2727" t="s">
        <v>11984</v>
      </c>
      <c r="AJ2727">
        <v>-0.56000000000000005</v>
      </c>
      <c r="AK2727">
        <v>1039</v>
      </c>
      <c r="AL2727">
        <v>19</v>
      </c>
      <c r="AM2727">
        <v>1.4E-3</v>
      </c>
      <c r="AN2727">
        <v>-1</v>
      </c>
      <c r="AO2727">
        <v>-0.5</v>
      </c>
      <c r="AP2727">
        <v>4.49</v>
      </c>
      <c r="AQ2727">
        <v>-23.65</v>
      </c>
      <c r="AR2727">
        <v>17.420000000000002</v>
      </c>
      <c r="AS2727">
        <v>2.39</v>
      </c>
      <c r="AT2727" t="s">
        <v>12276</v>
      </c>
      <c r="AU2727" t="s">
        <v>116</v>
      </c>
      <c r="AV2727" t="s">
        <v>116</v>
      </c>
      <c r="AW2727">
        <v>0.77</v>
      </c>
      <c r="BA2727">
        <v>-0.28000000000000003</v>
      </c>
      <c r="BB2727">
        <v>0.85</v>
      </c>
      <c r="BC2727">
        <v>-0.85</v>
      </c>
      <c r="BD2727">
        <v>-0.13</v>
      </c>
      <c r="BE2727">
        <v>-0.36</v>
      </c>
      <c r="BF2727">
        <v>-1.48</v>
      </c>
      <c r="BG2727">
        <v>0.22</v>
      </c>
      <c r="BH2727">
        <v>-0.51</v>
      </c>
      <c r="BI2727">
        <v>20191223</v>
      </c>
      <c r="BJ2727">
        <v>19930504</v>
      </c>
      <c r="BK2727">
        <v>1.39</v>
      </c>
      <c r="BL2727" t="s">
        <v>116</v>
      </c>
      <c r="BM2727" t="s">
        <v>116</v>
      </c>
      <c r="BN2727">
        <v>4.88</v>
      </c>
      <c r="BO2727">
        <v>2.89</v>
      </c>
      <c r="BP2727">
        <v>0.27</v>
      </c>
      <c r="BQ2727">
        <v>35.119999999999997</v>
      </c>
      <c r="BR2727">
        <v>4.4800000000000004</v>
      </c>
      <c r="BS2727">
        <v>0.17</v>
      </c>
      <c r="BT2727">
        <v>0</v>
      </c>
      <c r="BU2727">
        <v>1.71</v>
      </c>
      <c r="BV2727">
        <v>0.65</v>
      </c>
      <c r="BW2727">
        <v>0</v>
      </c>
      <c r="BX2727">
        <v>0.01</v>
      </c>
      <c r="BY2727">
        <v>0.15</v>
      </c>
      <c r="BZ2727">
        <v>0.14000000000000001</v>
      </c>
      <c r="CA2727">
        <v>0.2</v>
      </c>
      <c r="CB2727">
        <v>0.14000000000000001</v>
      </c>
      <c r="CC2727">
        <v>0.2</v>
      </c>
      <c r="CD2727">
        <v>0.2</v>
      </c>
      <c r="CE2727">
        <v>0.2</v>
      </c>
      <c r="CF2727">
        <v>0.09</v>
      </c>
      <c r="CG2727">
        <v>1.19</v>
      </c>
      <c r="CH2727">
        <v>-0.11</v>
      </c>
      <c r="CI2727">
        <v>0.31</v>
      </c>
      <c r="CJ2727">
        <v>12748</v>
      </c>
      <c r="CK2727">
        <v>6475</v>
      </c>
      <c r="CL2727" t="s">
        <v>12277</v>
      </c>
      <c r="CM2727">
        <v>161.33000000000001</v>
      </c>
      <c r="CN2727">
        <v>-11.63</v>
      </c>
      <c r="CO2727">
        <v>6.71</v>
      </c>
      <c r="CP2727">
        <v>-175.07</v>
      </c>
      <c r="CQ2727">
        <v>125.87</v>
      </c>
      <c r="CR2727">
        <v>0</v>
      </c>
      <c r="CS2727" t="s">
        <v>4222</v>
      </c>
      <c r="CT2727">
        <v>2.08</v>
      </c>
      <c r="CU2727">
        <v>0</v>
      </c>
      <c r="CV2727">
        <v>0.01</v>
      </c>
      <c r="CW2727">
        <v>0.85</v>
      </c>
      <c r="CX2727">
        <v>-0.08</v>
      </c>
      <c r="CY2727">
        <v>59.27</v>
      </c>
      <c r="CZ2727" t="s">
        <v>7195</v>
      </c>
      <c r="DA2727">
        <v>8.8800000000000008</v>
      </c>
      <c r="DB2727">
        <v>129.75</v>
      </c>
      <c r="DC2727">
        <v>131.41</v>
      </c>
      <c r="DD2727">
        <v>0</v>
      </c>
      <c r="DE2727">
        <v>36</v>
      </c>
      <c r="DF2727">
        <v>600647</v>
      </c>
      <c r="DG2727" t="s">
        <v>116</v>
      </c>
      <c r="DH2727" t="s">
        <v>116</v>
      </c>
      <c r="DI2727" t="s">
        <v>116</v>
      </c>
    </row>
    <row r="2728" spans="1:113" x14ac:dyDescent="0.4">
      <c r="A2728" t="str">
        <f>"600648"</f>
        <v>600648</v>
      </c>
      <c r="B2728" t="s">
        <v>12278</v>
      </c>
      <c r="C2728">
        <v>-0.52</v>
      </c>
      <c r="D2728">
        <v>17.27</v>
      </c>
      <c r="E2728">
        <v>-0.09</v>
      </c>
      <c r="F2728">
        <v>17.260000000000002</v>
      </c>
      <c r="G2728">
        <v>17.27</v>
      </c>
      <c r="H2728">
        <v>29609</v>
      </c>
      <c r="I2728">
        <v>661</v>
      </c>
      <c r="J2728">
        <v>0.06</v>
      </c>
      <c r="K2728">
        <v>0.32</v>
      </c>
      <c r="L2728">
        <v>17.3</v>
      </c>
      <c r="M2728">
        <v>17.37</v>
      </c>
      <c r="N2728">
        <v>17.25</v>
      </c>
      <c r="O2728">
        <v>17.36</v>
      </c>
      <c r="P2728">
        <v>19.850000000000001</v>
      </c>
      <c r="Q2728">
        <v>51212488</v>
      </c>
      <c r="R2728">
        <v>0.89</v>
      </c>
      <c r="S2728" t="s">
        <v>1503</v>
      </c>
      <c r="T2728" t="s">
        <v>1653</v>
      </c>
      <c r="U2728">
        <v>0.69</v>
      </c>
      <c r="V2728">
        <v>17.3</v>
      </c>
      <c r="W2728">
        <v>15932</v>
      </c>
      <c r="X2728">
        <v>13677</v>
      </c>
      <c r="Y2728">
        <v>1.1599999999999999</v>
      </c>
      <c r="Z2728">
        <v>499</v>
      </c>
      <c r="AA2728">
        <v>459</v>
      </c>
      <c r="AB2728" t="s">
        <v>116</v>
      </c>
      <c r="AC2728">
        <v>320100</v>
      </c>
      <c r="AD2728">
        <v>0.01</v>
      </c>
      <c r="AE2728" t="s">
        <v>116</v>
      </c>
      <c r="AF2728" t="s">
        <v>116</v>
      </c>
      <c r="AG2728">
        <v>9.35</v>
      </c>
      <c r="AH2728" t="s">
        <v>12279</v>
      </c>
      <c r="AI2728" t="s">
        <v>12280</v>
      </c>
      <c r="AJ2728">
        <v>-0.44</v>
      </c>
      <c r="AK2728">
        <v>1201</v>
      </c>
      <c r="AL2728">
        <v>25</v>
      </c>
      <c r="AM2728">
        <v>2.9999999999999997E-4</v>
      </c>
      <c r="AN2728">
        <v>-1</v>
      </c>
      <c r="AO2728">
        <v>-0.63</v>
      </c>
      <c r="AP2728">
        <v>4.3499999999999996</v>
      </c>
      <c r="AQ2728">
        <v>-3.36</v>
      </c>
      <c r="AR2728">
        <v>27.74</v>
      </c>
      <c r="AS2728">
        <v>0.89</v>
      </c>
      <c r="AT2728" t="s">
        <v>11414</v>
      </c>
      <c r="AU2728">
        <v>21.61</v>
      </c>
      <c r="AV2728">
        <v>23.61</v>
      </c>
      <c r="AW2728">
        <v>0.66</v>
      </c>
      <c r="BA2728">
        <v>-0.35</v>
      </c>
      <c r="BB2728">
        <v>0.06</v>
      </c>
      <c r="BC2728">
        <v>-0.63</v>
      </c>
      <c r="BD2728">
        <v>-0.37</v>
      </c>
      <c r="BE2728">
        <v>-0.17</v>
      </c>
      <c r="BF2728">
        <v>-0.57999999999999996</v>
      </c>
      <c r="BG2728">
        <v>0.12</v>
      </c>
      <c r="BH2728">
        <v>-0.15</v>
      </c>
      <c r="BI2728">
        <v>20191030</v>
      </c>
      <c r="BJ2728">
        <v>19930504</v>
      </c>
      <c r="BK2728">
        <v>11.35</v>
      </c>
      <c r="BL2728">
        <v>2.0099999999999998</v>
      </c>
      <c r="BM2728" t="s">
        <v>116</v>
      </c>
      <c r="BN2728">
        <v>300.08999999999997</v>
      </c>
      <c r="BO2728">
        <v>106.8</v>
      </c>
      <c r="BP2728">
        <v>4.92</v>
      </c>
      <c r="BQ2728">
        <v>62.77</v>
      </c>
      <c r="BR2728">
        <v>137.63</v>
      </c>
      <c r="BS2728">
        <v>7.62</v>
      </c>
      <c r="BT2728">
        <v>0.57999999999999996</v>
      </c>
      <c r="BU2728">
        <v>129</v>
      </c>
      <c r="BV2728">
        <v>98.29</v>
      </c>
      <c r="BW2728">
        <v>5.69</v>
      </c>
      <c r="BX2728">
        <v>38.270000000000003</v>
      </c>
      <c r="BY2728">
        <v>68.040000000000006</v>
      </c>
      <c r="BZ2728">
        <v>47.97</v>
      </c>
      <c r="CA2728">
        <v>10.53</v>
      </c>
      <c r="CB2728">
        <v>0.35</v>
      </c>
      <c r="CC2728">
        <v>10.69</v>
      </c>
      <c r="CD2728">
        <v>7.88</v>
      </c>
      <c r="CE2728">
        <v>7.41</v>
      </c>
      <c r="CF2728">
        <v>7.02</v>
      </c>
      <c r="CG2728">
        <v>50.31</v>
      </c>
      <c r="CH2728">
        <v>7.54</v>
      </c>
      <c r="CI2728">
        <v>3.86</v>
      </c>
      <c r="CJ2728">
        <v>71067</v>
      </c>
      <c r="CK2728">
        <v>7503</v>
      </c>
      <c r="CL2728" t="s">
        <v>12281</v>
      </c>
      <c r="CM2728">
        <v>11.61</v>
      </c>
      <c r="CN2728">
        <v>18.55</v>
      </c>
      <c r="CO2728">
        <v>1.84</v>
      </c>
      <c r="CP2728">
        <v>26</v>
      </c>
      <c r="CQ2728">
        <v>2.88</v>
      </c>
      <c r="CR2728">
        <v>1.27</v>
      </c>
      <c r="CS2728" t="s">
        <v>12282</v>
      </c>
      <c r="CT2728">
        <v>9.41</v>
      </c>
      <c r="CU2728">
        <v>0</v>
      </c>
      <c r="CV2728">
        <v>3.37</v>
      </c>
      <c r="CW2728">
        <v>4.43</v>
      </c>
      <c r="CX2728">
        <v>0.66</v>
      </c>
      <c r="CY2728">
        <v>35.590000000000003</v>
      </c>
      <c r="CZ2728" t="s">
        <v>3792</v>
      </c>
      <c r="DA2728">
        <v>29.5</v>
      </c>
      <c r="DB2728">
        <v>15.48</v>
      </c>
      <c r="DC2728">
        <v>10.89</v>
      </c>
      <c r="DD2728">
        <v>0.05</v>
      </c>
      <c r="DE2728">
        <v>3306</v>
      </c>
      <c r="DF2728">
        <v>600648</v>
      </c>
      <c r="DG2728" t="s">
        <v>116</v>
      </c>
      <c r="DH2728" t="s">
        <v>116</v>
      </c>
      <c r="DI2728" t="s">
        <v>116</v>
      </c>
    </row>
    <row r="2729" spans="1:113" x14ac:dyDescent="0.4">
      <c r="A2729" t="str">
        <f>"600649"</f>
        <v>600649</v>
      </c>
      <c r="B2729" t="s">
        <v>12283</v>
      </c>
      <c r="C2729">
        <v>0.53</v>
      </c>
      <c r="D2729">
        <v>5.7</v>
      </c>
      <c r="E2729">
        <v>0.03</v>
      </c>
      <c r="F2729">
        <v>5.69</v>
      </c>
      <c r="G2729">
        <v>5.7</v>
      </c>
      <c r="H2729">
        <v>75498</v>
      </c>
      <c r="I2729">
        <v>930</v>
      </c>
      <c r="J2729">
        <v>0</v>
      </c>
      <c r="K2729">
        <v>0.31</v>
      </c>
      <c r="L2729">
        <v>5.68</v>
      </c>
      <c r="M2729">
        <v>5.75</v>
      </c>
      <c r="N2729">
        <v>5.67</v>
      </c>
      <c r="O2729">
        <v>5.67</v>
      </c>
      <c r="P2729">
        <v>21.98</v>
      </c>
      <c r="Q2729">
        <v>43075468</v>
      </c>
      <c r="R2729">
        <v>0.98</v>
      </c>
      <c r="S2729" t="s">
        <v>148</v>
      </c>
      <c r="T2729" t="s">
        <v>1653</v>
      </c>
      <c r="U2729">
        <v>1.41</v>
      </c>
      <c r="V2729">
        <v>5.71</v>
      </c>
      <c r="W2729">
        <v>39171</v>
      </c>
      <c r="X2729">
        <v>36327</v>
      </c>
      <c r="Y2729">
        <v>1.08</v>
      </c>
      <c r="Z2729">
        <v>4046</v>
      </c>
      <c r="AA2729">
        <v>1209</v>
      </c>
      <c r="AB2729" t="s">
        <v>116</v>
      </c>
      <c r="AC2729">
        <v>51100</v>
      </c>
      <c r="AD2729">
        <v>0</v>
      </c>
      <c r="AE2729" t="s">
        <v>116</v>
      </c>
      <c r="AF2729" t="s">
        <v>116</v>
      </c>
      <c r="AG2729">
        <v>24.21</v>
      </c>
      <c r="AH2729" t="s">
        <v>12284</v>
      </c>
      <c r="AI2729" t="s">
        <v>1186</v>
      </c>
      <c r="AJ2729">
        <v>0.61</v>
      </c>
      <c r="AK2729">
        <v>1271</v>
      </c>
      <c r="AL2729">
        <v>59</v>
      </c>
      <c r="AM2729">
        <v>2.0000000000000001E-4</v>
      </c>
      <c r="AN2729">
        <v>1</v>
      </c>
      <c r="AO2729">
        <v>0.53</v>
      </c>
      <c r="AP2729">
        <v>3.45</v>
      </c>
      <c r="AQ2729">
        <v>3.26</v>
      </c>
      <c r="AR2729">
        <v>5.17</v>
      </c>
      <c r="AS2729">
        <v>0.64</v>
      </c>
      <c r="AT2729" t="s">
        <v>12285</v>
      </c>
      <c r="AU2729">
        <v>22.38</v>
      </c>
      <c r="AV2729">
        <v>14.02</v>
      </c>
      <c r="AW2729">
        <v>0.69</v>
      </c>
      <c r="BA2729">
        <v>0.18</v>
      </c>
      <c r="BB2729">
        <v>1.41</v>
      </c>
      <c r="BC2729">
        <v>0</v>
      </c>
      <c r="BD2729">
        <v>0.63</v>
      </c>
      <c r="BE2729">
        <v>0.35</v>
      </c>
      <c r="BF2729">
        <v>-0.87</v>
      </c>
      <c r="BG2729">
        <v>0.53</v>
      </c>
      <c r="BH2729">
        <v>-0.1</v>
      </c>
      <c r="BI2729">
        <v>20191031</v>
      </c>
      <c r="BJ2729">
        <v>19930518</v>
      </c>
      <c r="BK2729">
        <v>25.3</v>
      </c>
      <c r="BL2729" t="s">
        <v>116</v>
      </c>
      <c r="BM2729" t="s">
        <v>116</v>
      </c>
      <c r="BN2729">
        <v>392.46</v>
      </c>
      <c r="BO2729">
        <v>191.88</v>
      </c>
      <c r="BP2729">
        <v>12.03</v>
      </c>
      <c r="BQ2729">
        <v>48.04</v>
      </c>
      <c r="BR2729">
        <v>310.16000000000003</v>
      </c>
      <c r="BS2729">
        <v>0.18</v>
      </c>
      <c r="BT2729">
        <v>0</v>
      </c>
      <c r="BU2729">
        <v>90.22</v>
      </c>
      <c r="BV2729">
        <v>239.9</v>
      </c>
      <c r="BW2729">
        <v>0.97</v>
      </c>
      <c r="BX2729">
        <v>18.07</v>
      </c>
      <c r="BY2729">
        <v>20.99</v>
      </c>
      <c r="BZ2729">
        <v>16.29</v>
      </c>
      <c r="CA2729">
        <v>6.38</v>
      </c>
      <c r="CB2729">
        <v>2.61</v>
      </c>
      <c r="CC2729">
        <v>6.65</v>
      </c>
      <c r="CD2729">
        <v>5.25</v>
      </c>
      <c r="CE2729">
        <v>4.92</v>
      </c>
      <c r="CF2729">
        <v>4.41</v>
      </c>
      <c r="CG2729">
        <v>125.82</v>
      </c>
      <c r="CH2729">
        <v>-47.33</v>
      </c>
      <c r="CI2729">
        <v>-10.5</v>
      </c>
      <c r="CJ2729">
        <v>95254</v>
      </c>
      <c r="CK2729">
        <v>12353</v>
      </c>
      <c r="CL2729" t="s">
        <v>1604</v>
      </c>
      <c r="CM2729">
        <v>-43.84</v>
      </c>
      <c r="CN2729">
        <v>-60.57</v>
      </c>
      <c r="CO2729">
        <v>0.75</v>
      </c>
      <c r="CP2729">
        <v>-3.05</v>
      </c>
      <c r="CQ2729">
        <v>6.87</v>
      </c>
      <c r="CR2729">
        <v>0.88</v>
      </c>
      <c r="CS2729" t="s">
        <v>3110</v>
      </c>
      <c r="CT2729">
        <v>7.59</v>
      </c>
      <c r="CU2729">
        <v>0</v>
      </c>
      <c r="CV2729">
        <v>0.71</v>
      </c>
      <c r="CW2729">
        <v>4.97</v>
      </c>
      <c r="CX2729">
        <v>-1.87</v>
      </c>
      <c r="CY2729">
        <v>48.89</v>
      </c>
      <c r="CZ2729" t="s">
        <v>12286</v>
      </c>
      <c r="DA2729">
        <v>22.39</v>
      </c>
      <c r="DB2729">
        <v>30.41</v>
      </c>
      <c r="DC2729">
        <v>23.44</v>
      </c>
      <c r="DD2729">
        <v>0</v>
      </c>
      <c r="DE2729">
        <v>253</v>
      </c>
      <c r="DF2729">
        <v>600649</v>
      </c>
      <c r="DG2729" t="s">
        <v>116</v>
      </c>
      <c r="DH2729" t="s">
        <v>116</v>
      </c>
      <c r="DI2729" t="s">
        <v>116</v>
      </c>
    </row>
    <row r="2730" spans="1:113" x14ac:dyDescent="0.4">
      <c r="A2730" t="str">
        <f>"600650"</f>
        <v>600650</v>
      </c>
      <c r="B2730" t="s">
        <v>12287</v>
      </c>
      <c r="C2730">
        <v>-0.69</v>
      </c>
      <c r="D2730">
        <v>10.039999999999999</v>
      </c>
      <c r="E2730">
        <v>-7.0000000000000007E-2</v>
      </c>
      <c r="F2730">
        <v>10.029999999999999</v>
      </c>
      <c r="G2730">
        <v>10.039999999999999</v>
      </c>
      <c r="H2730">
        <v>11402</v>
      </c>
      <c r="I2730">
        <v>198</v>
      </c>
      <c r="J2730">
        <v>0</v>
      </c>
      <c r="K2730">
        <v>0.28999999999999998</v>
      </c>
      <c r="L2730">
        <v>10.130000000000001</v>
      </c>
      <c r="M2730">
        <v>10.14</v>
      </c>
      <c r="N2730">
        <v>10.02</v>
      </c>
      <c r="O2730">
        <v>10.11</v>
      </c>
      <c r="P2730">
        <v>19.61</v>
      </c>
      <c r="Q2730">
        <v>11500453</v>
      </c>
      <c r="R2730">
        <v>1.19</v>
      </c>
      <c r="S2730" t="s">
        <v>6225</v>
      </c>
      <c r="T2730" t="s">
        <v>1653</v>
      </c>
      <c r="U2730">
        <v>1.19</v>
      </c>
      <c r="V2730">
        <v>10.09</v>
      </c>
      <c r="W2730">
        <v>6644</v>
      </c>
      <c r="X2730">
        <v>4758</v>
      </c>
      <c r="Y2730">
        <v>1.4</v>
      </c>
      <c r="Z2730">
        <v>258</v>
      </c>
      <c r="AA2730">
        <v>40</v>
      </c>
      <c r="AB2730" t="s">
        <v>116</v>
      </c>
      <c r="AC2730">
        <v>37500</v>
      </c>
      <c r="AD2730">
        <v>0</v>
      </c>
      <c r="AE2730" t="s">
        <v>116</v>
      </c>
      <c r="AF2730" t="s">
        <v>116</v>
      </c>
      <c r="AG2730">
        <v>3.91</v>
      </c>
      <c r="AH2730" t="s">
        <v>12247</v>
      </c>
      <c r="AI2730" t="s">
        <v>12288</v>
      </c>
      <c r="AJ2730">
        <v>-0.62</v>
      </c>
      <c r="AK2730">
        <v>583</v>
      </c>
      <c r="AL2730">
        <v>20</v>
      </c>
      <c r="AM2730">
        <v>5.0000000000000001E-4</v>
      </c>
      <c r="AN2730">
        <v>-1</v>
      </c>
      <c r="AO2730">
        <v>1.42</v>
      </c>
      <c r="AP2730">
        <v>3.72</v>
      </c>
      <c r="AQ2730">
        <v>-4.38</v>
      </c>
      <c r="AR2730">
        <v>9.1300000000000008</v>
      </c>
      <c r="AS2730">
        <v>0.66</v>
      </c>
      <c r="AT2730" t="s">
        <v>12289</v>
      </c>
      <c r="AU2730">
        <v>20.67</v>
      </c>
      <c r="AV2730">
        <v>20.73</v>
      </c>
      <c r="AW2730">
        <v>1.1599999999999999</v>
      </c>
      <c r="BA2730">
        <v>0.2</v>
      </c>
      <c r="BB2730">
        <v>0.3</v>
      </c>
      <c r="BC2730">
        <v>-0.89</v>
      </c>
      <c r="BD2730">
        <v>-0.23</v>
      </c>
      <c r="BE2730">
        <v>-0.89</v>
      </c>
      <c r="BF2730">
        <v>-0.99</v>
      </c>
      <c r="BG2730">
        <v>0.2</v>
      </c>
      <c r="BH2730">
        <v>-0.46</v>
      </c>
      <c r="BI2730">
        <v>20191031</v>
      </c>
      <c r="BJ2730">
        <v>19930607</v>
      </c>
      <c r="BK2730">
        <v>5.52</v>
      </c>
      <c r="BL2730">
        <v>1.61</v>
      </c>
      <c r="BM2730" t="s">
        <v>116</v>
      </c>
      <c r="BN2730">
        <v>46.33</v>
      </c>
      <c r="BO2730">
        <v>34.07</v>
      </c>
      <c r="BP2730">
        <v>2.89</v>
      </c>
      <c r="BQ2730">
        <v>20.23</v>
      </c>
      <c r="BR2730">
        <v>15.05</v>
      </c>
      <c r="BS2730">
        <v>8.68</v>
      </c>
      <c r="BT2730">
        <v>3.11</v>
      </c>
      <c r="BU2730">
        <v>6.18</v>
      </c>
      <c r="BV2730">
        <v>1.39</v>
      </c>
      <c r="BW2730">
        <v>1.39</v>
      </c>
      <c r="BX2730">
        <v>3.44</v>
      </c>
      <c r="BY2730">
        <v>17.95</v>
      </c>
      <c r="BZ2730">
        <v>15.01</v>
      </c>
      <c r="CA2730">
        <v>2.77</v>
      </c>
      <c r="CB2730">
        <v>1.66</v>
      </c>
      <c r="CC2730">
        <v>2.86</v>
      </c>
      <c r="CD2730">
        <v>2.5</v>
      </c>
      <c r="CE2730">
        <v>2.12</v>
      </c>
      <c r="CF2730">
        <v>1.88</v>
      </c>
      <c r="CG2730">
        <v>15.08</v>
      </c>
      <c r="CH2730">
        <v>1.91</v>
      </c>
      <c r="CI2730">
        <v>1.33</v>
      </c>
      <c r="CJ2730">
        <v>71145</v>
      </c>
      <c r="CK2730">
        <v>4690</v>
      </c>
      <c r="CL2730" t="s">
        <v>7271</v>
      </c>
      <c r="CM2730">
        <v>0.42</v>
      </c>
      <c r="CN2730">
        <v>1.24</v>
      </c>
      <c r="CO2730">
        <v>1.63</v>
      </c>
      <c r="CP2730">
        <v>29.04</v>
      </c>
      <c r="CQ2730">
        <v>3.09</v>
      </c>
      <c r="CR2730">
        <v>2.4900000000000002</v>
      </c>
      <c r="CS2730" t="s">
        <v>2050</v>
      </c>
      <c r="CT2730">
        <v>6.18</v>
      </c>
      <c r="CU2730">
        <v>0</v>
      </c>
      <c r="CV2730">
        <v>0.62</v>
      </c>
      <c r="CW2730">
        <v>2.73</v>
      </c>
      <c r="CX2730">
        <v>0.35</v>
      </c>
      <c r="CY2730">
        <v>73.53</v>
      </c>
      <c r="CZ2730" t="s">
        <v>6687</v>
      </c>
      <c r="DA2730">
        <v>16.36</v>
      </c>
      <c r="DB2730">
        <v>15.41</v>
      </c>
      <c r="DC2730">
        <v>11.8</v>
      </c>
      <c r="DD2730">
        <v>0</v>
      </c>
      <c r="DE2730">
        <v>8806</v>
      </c>
      <c r="DF2730">
        <v>600650</v>
      </c>
      <c r="DG2730" t="s">
        <v>116</v>
      </c>
      <c r="DH2730" t="s">
        <v>116</v>
      </c>
      <c r="DI2730" t="s">
        <v>116</v>
      </c>
    </row>
    <row r="2731" spans="1:113" x14ac:dyDescent="0.4">
      <c r="A2731" t="str">
        <f>"600651"</f>
        <v>600651</v>
      </c>
      <c r="B2731" t="s">
        <v>12290</v>
      </c>
      <c r="C2731">
        <v>-2.83</v>
      </c>
      <c r="D2731">
        <v>4.47</v>
      </c>
      <c r="E2731">
        <v>-0.13</v>
      </c>
      <c r="F2731">
        <v>4.46</v>
      </c>
      <c r="G2731">
        <v>4.47</v>
      </c>
      <c r="H2731">
        <v>197926</v>
      </c>
      <c r="I2731">
        <v>2799</v>
      </c>
      <c r="J2731">
        <v>0.22</v>
      </c>
      <c r="K2731">
        <v>2.0099999999999998</v>
      </c>
      <c r="L2731">
        <v>4.62</v>
      </c>
      <c r="M2731">
        <v>4.62</v>
      </c>
      <c r="N2731">
        <v>4.4400000000000004</v>
      </c>
      <c r="O2731">
        <v>4.5999999999999996</v>
      </c>
      <c r="P2731" t="s">
        <v>116</v>
      </c>
      <c r="Q2731">
        <v>89786944</v>
      </c>
      <c r="R2731">
        <v>0.57999999999999996</v>
      </c>
      <c r="S2731" t="s">
        <v>2977</v>
      </c>
      <c r="T2731" t="s">
        <v>1653</v>
      </c>
      <c r="U2731">
        <v>3.91</v>
      </c>
      <c r="V2731">
        <v>4.54</v>
      </c>
      <c r="W2731">
        <v>121404</v>
      </c>
      <c r="X2731">
        <v>76522</v>
      </c>
      <c r="Y2731">
        <v>1.59</v>
      </c>
      <c r="Z2731">
        <v>2053</v>
      </c>
      <c r="AA2731">
        <v>1804</v>
      </c>
      <c r="AB2731" t="s">
        <v>116</v>
      </c>
      <c r="AC2731">
        <v>483700</v>
      </c>
      <c r="AD2731">
        <v>0.02</v>
      </c>
      <c r="AE2731" t="s">
        <v>116</v>
      </c>
      <c r="AF2731" t="s">
        <v>116</v>
      </c>
      <c r="AG2731">
        <v>9.85</v>
      </c>
      <c r="AH2731" t="s">
        <v>12291</v>
      </c>
      <c r="AI2731" t="s">
        <v>12291</v>
      </c>
      <c r="AJ2731">
        <v>-2.75</v>
      </c>
      <c r="AK2731">
        <v>2284</v>
      </c>
      <c r="AL2731">
        <v>87</v>
      </c>
      <c r="AM2731">
        <v>8.9999999999999998E-4</v>
      </c>
      <c r="AN2731">
        <v>-2</v>
      </c>
      <c r="AO2731">
        <v>0.21</v>
      </c>
      <c r="AP2731">
        <v>4.4400000000000004</v>
      </c>
      <c r="AQ2731">
        <v>0.68</v>
      </c>
      <c r="AR2731">
        <v>38.39</v>
      </c>
      <c r="AS2731">
        <v>2.95</v>
      </c>
      <c r="AT2731" t="s">
        <v>12292</v>
      </c>
      <c r="AU2731" t="s">
        <v>116</v>
      </c>
      <c r="AV2731" t="s">
        <v>116</v>
      </c>
      <c r="AW2731">
        <v>2.02</v>
      </c>
      <c r="BA2731">
        <v>0.43</v>
      </c>
      <c r="BB2731">
        <v>0.43</v>
      </c>
      <c r="BC2731">
        <v>-3.48</v>
      </c>
      <c r="BD2731">
        <v>-1.38</v>
      </c>
      <c r="BE2731">
        <v>-3.25</v>
      </c>
      <c r="BF2731">
        <v>-3.25</v>
      </c>
      <c r="BG2731">
        <v>0.68</v>
      </c>
      <c r="BH2731">
        <v>-1.44</v>
      </c>
      <c r="BI2731">
        <v>20191216</v>
      </c>
      <c r="BJ2731">
        <v>19901219</v>
      </c>
      <c r="BK2731">
        <v>9.85</v>
      </c>
      <c r="BL2731" t="s">
        <v>116</v>
      </c>
      <c r="BM2731" t="s">
        <v>116</v>
      </c>
      <c r="BN2731">
        <v>108.23</v>
      </c>
      <c r="BO2731">
        <v>-6.41</v>
      </c>
      <c r="BP2731">
        <v>1.48</v>
      </c>
      <c r="BQ2731">
        <v>104.56</v>
      </c>
      <c r="BR2731">
        <v>63.22</v>
      </c>
      <c r="BS2731">
        <v>10.84</v>
      </c>
      <c r="BT2731">
        <v>7.11</v>
      </c>
      <c r="BU2731">
        <v>65.319999999999993</v>
      </c>
      <c r="BV2731">
        <v>40.72</v>
      </c>
      <c r="BW2731">
        <v>13.87</v>
      </c>
      <c r="BX2731">
        <v>15.06</v>
      </c>
      <c r="BY2731">
        <v>21.89</v>
      </c>
      <c r="BZ2731">
        <v>15.09</v>
      </c>
      <c r="CA2731">
        <v>-7.51</v>
      </c>
      <c r="CB2731">
        <v>0.11</v>
      </c>
      <c r="CC2731">
        <v>-7.51</v>
      </c>
      <c r="CD2731">
        <v>-7.43</v>
      </c>
      <c r="CE2731">
        <v>-6.57</v>
      </c>
      <c r="CF2731">
        <v>-6.65</v>
      </c>
      <c r="CG2731">
        <v>-32.869999999999997</v>
      </c>
      <c r="CH2731">
        <v>-1.07</v>
      </c>
      <c r="CI2731">
        <v>-5.66</v>
      </c>
      <c r="CJ2731">
        <v>70309</v>
      </c>
      <c r="CK2731">
        <v>9531</v>
      </c>
      <c r="CL2731" t="s">
        <v>4553</v>
      </c>
      <c r="CM2731">
        <v>20.57</v>
      </c>
      <c r="CN2731">
        <v>-7.53</v>
      </c>
      <c r="CO2731">
        <v>-6.87</v>
      </c>
      <c r="CP2731">
        <v>-41.22</v>
      </c>
      <c r="CQ2731">
        <v>2.0099999999999998</v>
      </c>
      <c r="CR2731">
        <v>0</v>
      </c>
      <c r="CS2731" t="s">
        <v>12293</v>
      </c>
      <c r="CT2731">
        <v>-0.65</v>
      </c>
      <c r="CU2731">
        <v>0</v>
      </c>
      <c r="CV2731">
        <v>1.53</v>
      </c>
      <c r="CW2731">
        <v>-3.34</v>
      </c>
      <c r="CX2731">
        <v>-0.11</v>
      </c>
      <c r="CY2731">
        <v>-5.93</v>
      </c>
      <c r="CZ2731" t="s">
        <v>116</v>
      </c>
      <c r="DA2731">
        <v>31.05</v>
      </c>
      <c r="DB2731">
        <v>-34.299999999999997</v>
      </c>
      <c r="DC2731">
        <v>-30.04</v>
      </c>
      <c r="DD2731">
        <v>0.77</v>
      </c>
      <c r="DE2731">
        <v>3840</v>
      </c>
      <c r="DF2731">
        <v>600651</v>
      </c>
      <c r="DG2731" t="s">
        <v>116</v>
      </c>
      <c r="DH2731" t="s">
        <v>116</v>
      </c>
      <c r="DI2731" t="s">
        <v>116</v>
      </c>
    </row>
    <row r="2732" spans="1:113" x14ac:dyDescent="0.4">
      <c r="A2732" t="str">
        <f>"600652"</f>
        <v>600652</v>
      </c>
      <c r="B2732" t="s">
        <v>12294</v>
      </c>
      <c r="C2732">
        <v>5.09</v>
      </c>
      <c r="D2732">
        <v>2.27</v>
      </c>
      <c r="E2732">
        <v>0.11</v>
      </c>
      <c r="F2732">
        <v>2.27</v>
      </c>
      <c r="G2732" t="s">
        <v>116</v>
      </c>
      <c r="H2732">
        <v>78259</v>
      </c>
      <c r="I2732">
        <v>1352</v>
      </c>
      <c r="J2732">
        <v>0</v>
      </c>
      <c r="K2732">
        <v>0.94</v>
      </c>
      <c r="L2732">
        <v>2.27</v>
      </c>
      <c r="M2732">
        <v>2.27</v>
      </c>
      <c r="N2732">
        <v>2.2400000000000002</v>
      </c>
      <c r="O2732">
        <v>2.16</v>
      </c>
      <c r="P2732" t="s">
        <v>116</v>
      </c>
      <c r="Q2732">
        <v>17747024</v>
      </c>
      <c r="R2732">
        <v>0.52</v>
      </c>
      <c r="S2732" t="s">
        <v>1384</v>
      </c>
      <c r="T2732" t="s">
        <v>1653</v>
      </c>
      <c r="U2732">
        <v>1.39</v>
      </c>
      <c r="V2732">
        <v>2.27</v>
      </c>
      <c r="W2732">
        <v>41517</v>
      </c>
      <c r="X2732">
        <v>36742</v>
      </c>
      <c r="Y2732">
        <v>1.1299999999999999</v>
      </c>
      <c r="Z2732">
        <v>31775</v>
      </c>
      <c r="AA2732">
        <v>0</v>
      </c>
      <c r="AB2732" t="s">
        <v>116</v>
      </c>
      <c r="AC2732">
        <v>3672200</v>
      </c>
      <c r="AD2732">
        <v>0.32</v>
      </c>
      <c r="AE2732">
        <v>0.41</v>
      </c>
      <c r="AF2732">
        <v>7212925</v>
      </c>
      <c r="AG2732">
        <v>8.33</v>
      </c>
      <c r="AH2732" t="s">
        <v>833</v>
      </c>
      <c r="AI2732" t="s">
        <v>833</v>
      </c>
      <c r="AJ2732">
        <v>5.17</v>
      </c>
      <c r="AK2732">
        <v>428</v>
      </c>
      <c r="AL2732">
        <v>183</v>
      </c>
      <c r="AM2732">
        <v>2.2000000000000001E-3</v>
      </c>
      <c r="AN2732">
        <v>1</v>
      </c>
      <c r="AO2732">
        <v>-0.44</v>
      </c>
      <c r="AP2732">
        <v>21.39</v>
      </c>
      <c r="AQ2732">
        <v>17.010000000000002</v>
      </c>
      <c r="AR2732">
        <v>-49.22</v>
      </c>
      <c r="AS2732">
        <v>1.55</v>
      </c>
      <c r="AT2732" t="s">
        <v>12295</v>
      </c>
      <c r="AU2732" t="s">
        <v>116</v>
      </c>
      <c r="AV2732" t="s">
        <v>116</v>
      </c>
      <c r="AW2732">
        <v>1.08</v>
      </c>
      <c r="BA2732">
        <v>5.09</v>
      </c>
      <c r="BB2732">
        <v>5.09</v>
      </c>
      <c r="BC2732">
        <v>3.7</v>
      </c>
      <c r="BD2732">
        <v>4.99</v>
      </c>
      <c r="BE2732">
        <v>0</v>
      </c>
      <c r="BF2732">
        <v>0</v>
      </c>
      <c r="BG2732">
        <v>1.34</v>
      </c>
      <c r="BH2732">
        <v>0.11</v>
      </c>
      <c r="BI2732">
        <v>20191031</v>
      </c>
      <c r="BJ2732">
        <v>19901219</v>
      </c>
      <c r="BK2732">
        <v>8.33</v>
      </c>
      <c r="BL2732" t="s">
        <v>116</v>
      </c>
      <c r="BM2732" t="s">
        <v>116</v>
      </c>
      <c r="BN2732">
        <v>19</v>
      </c>
      <c r="BO2732">
        <v>16.89</v>
      </c>
      <c r="BP2732">
        <v>0</v>
      </c>
      <c r="BQ2732">
        <v>11.09</v>
      </c>
      <c r="BR2732">
        <v>4.9800000000000004</v>
      </c>
      <c r="BS2732">
        <v>0.23</v>
      </c>
      <c r="BT2732">
        <v>0.08</v>
      </c>
      <c r="BU2732">
        <v>2.0299999999999998</v>
      </c>
      <c r="BV2732">
        <v>0</v>
      </c>
      <c r="BW2732">
        <v>0.4</v>
      </c>
      <c r="BX2732">
        <v>8.91</v>
      </c>
      <c r="BY2732">
        <v>0.15</v>
      </c>
      <c r="BZ2732">
        <v>0.06</v>
      </c>
      <c r="CA2732">
        <v>-0.11</v>
      </c>
      <c r="CB2732">
        <v>0.25</v>
      </c>
      <c r="CC2732">
        <v>-0.11</v>
      </c>
      <c r="CD2732">
        <v>-0.11</v>
      </c>
      <c r="CE2732">
        <v>-0.11</v>
      </c>
      <c r="CF2732">
        <v>-0.27</v>
      </c>
      <c r="CG2732">
        <v>-8.9700000000000006</v>
      </c>
      <c r="CH2732">
        <v>-0.28999999999999998</v>
      </c>
      <c r="CI2732">
        <v>-0.38</v>
      </c>
      <c r="CJ2732">
        <v>77913</v>
      </c>
      <c r="CK2732">
        <v>6478</v>
      </c>
      <c r="CL2732" t="s">
        <v>12296</v>
      </c>
      <c r="CM2732">
        <v>-337.1</v>
      </c>
      <c r="CN2732">
        <v>-82.91</v>
      </c>
      <c r="CO2732">
        <v>1.1200000000000001</v>
      </c>
      <c r="CP2732">
        <v>-64.92</v>
      </c>
      <c r="CQ2732">
        <v>129.94999999999999</v>
      </c>
      <c r="CR2732">
        <v>0</v>
      </c>
      <c r="CS2732" t="s">
        <v>9117</v>
      </c>
      <c r="CT2732">
        <v>2.0299999999999998</v>
      </c>
      <c r="CU2732">
        <v>0</v>
      </c>
      <c r="CV2732">
        <v>1.07</v>
      </c>
      <c r="CW2732">
        <v>-1.08</v>
      </c>
      <c r="CX2732">
        <v>-0.03</v>
      </c>
      <c r="CY2732">
        <v>88.91</v>
      </c>
      <c r="CZ2732" t="s">
        <v>12297</v>
      </c>
      <c r="DA2732">
        <v>61.8</v>
      </c>
      <c r="DB2732">
        <v>-77.42</v>
      </c>
      <c r="DC2732">
        <v>-77.53</v>
      </c>
      <c r="DD2732">
        <v>0.12</v>
      </c>
      <c r="DE2732">
        <v>210</v>
      </c>
      <c r="DF2732">
        <v>600652</v>
      </c>
      <c r="DG2732" t="s">
        <v>116</v>
      </c>
      <c r="DH2732" t="s">
        <v>116</v>
      </c>
      <c r="DI2732" t="s">
        <v>116</v>
      </c>
    </row>
    <row r="2733" spans="1:113" x14ac:dyDescent="0.4">
      <c r="A2733" t="str">
        <f>"600653"</f>
        <v>600653</v>
      </c>
      <c r="B2733" t="s">
        <v>12298</v>
      </c>
      <c r="C2733">
        <v>0</v>
      </c>
      <c r="D2733">
        <v>2.04</v>
      </c>
      <c r="E2733">
        <v>0</v>
      </c>
      <c r="F2733">
        <v>2.0299999999999998</v>
      </c>
      <c r="G2733">
        <v>2.04</v>
      </c>
      <c r="H2733">
        <v>87845</v>
      </c>
      <c r="I2733">
        <v>938</v>
      </c>
      <c r="J2733">
        <v>0.49</v>
      </c>
      <c r="K2733">
        <v>0.45</v>
      </c>
      <c r="L2733">
        <v>2.04</v>
      </c>
      <c r="M2733">
        <v>2.06</v>
      </c>
      <c r="N2733">
        <v>2.0299999999999998</v>
      </c>
      <c r="O2733">
        <v>2.04</v>
      </c>
      <c r="P2733" t="s">
        <v>116</v>
      </c>
      <c r="Q2733">
        <v>17963376</v>
      </c>
      <c r="R2733">
        <v>1.1100000000000001</v>
      </c>
      <c r="S2733" t="s">
        <v>256</v>
      </c>
      <c r="T2733" t="s">
        <v>1653</v>
      </c>
      <c r="U2733">
        <v>1.47</v>
      </c>
      <c r="V2733">
        <v>2.04</v>
      </c>
      <c r="W2733">
        <v>58431</v>
      </c>
      <c r="X2733">
        <v>29414</v>
      </c>
      <c r="Y2733">
        <v>1.99</v>
      </c>
      <c r="Z2733">
        <v>4259</v>
      </c>
      <c r="AA2733">
        <v>5238</v>
      </c>
      <c r="AB2733" t="s">
        <v>116</v>
      </c>
      <c r="AC2733">
        <v>5300</v>
      </c>
      <c r="AD2733">
        <v>0</v>
      </c>
      <c r="AE2733" t="s">
        <v>116</v>
      </c>
      <c r="AF2733" t="s">
        <v>116</v>
      </c>
      <c r="AG2733">
        <v>19.46</v>
      </c>
      <c r="AH2733" t="s">
        <v>12299</v>
      </c>
      <c r="AI2733" t="s">
        <v>12299</v>
      </c>
      <c r="AJ2733">
        <v>0.08</v>
      </c>
      <c r="AK2733">
        <v>670</v>
      </c>
      <c r="AL2733">
        <v>131</v>
      </c>
      <c r="AM2733">
        <v>6.9999999999999999E-4</v>
      </c>
      <c r="AN2733">
        <v>0</v>
      </c>
      <c r="AO2733">
        <v>0.99</v>
      </c>
      <c r="AP2733">
        <v>-0.97</v>
      </c>
      <c r="AQ2733">
        <v>-4.67</v>
      </c>
      <c r="AR2733">
        <v>7.94</v>
      </c>
      <c r="AS2733">
        <v>0.59</v>
      </c>
      <c r="AT2733" t="s">
        <v>12300</v>
      </c>
      <c r="AU2733">
        <v>9.36</v>
      </c>
      <c r="AV2733">
        <v>11.64</v>
      </c>
      <c r="AW2733">
        <v>0.94</v>
      </c>
      <c r="BA2733">
        <v>0</v>
      </c>
      <c r="BB2733">
        <v>0.98</v>
      </c>
      <c r="BC2733">
        <v>-0.49</v>
      </c>
      <c r="BD2733">
        <v>0.24</v>
      </c>
      <c r="BE2733">
        <v>0</v>
      </c>
      <c r="BF2733">
        <v>-0.97</v>
      </c>
      <c r="BG2733">
        <v>0.49</v>
      </c>
      <c r="BH2733">
        <v>-0.24</v>
      </c>
      <c r="BI2733">
        <v>20191031</v>
      </c>
      <c r="BJ2733">
        <v>19901219</v>
      </c>
      <c r="BK2733">
        <v>19.46</v>
      </c>
      <c r="BL2733" t="s">
        <v>116</v>
      </c>
      <c r="BM2733" t="s">
        <v>116</v>
      </c>
      <c r="BN2733">
        <v>81.55</v>
      </c>
      <c r="BO2733">
        <v>21.25</v>
      </c>
      <c r="BP2733">
        <v>5.27</v>
      </c>
      <c r="BQ2733">
        <v>67.48</v>
      </c>
      <c r="BR2733">
        <v>50.54</v>
      </c>
      <c r="BS2733">
        <v>14.46</v>
      </c>
      <c r="BT2733">
        <v>4</v>
      </c>
      <c r="BU2733">
        <v>43.59</v>
      </c>
      <c r="BV2733">
        <v>15.89</v>
      </c>
      <c r="BW2733">
        <v>6.09</v>
      </c>
      <c r="BX2733">
        <v>3.48</v>
      </c>
      <c r="BY2733">
        <v>53.5</v>
      </c>
      <c r="BZ2733">
        <v>49.48</v>
      </c>
      <c r="CA2733">
        <v>-0.06</v>
      </c>
      <c r="CB2733">
        <v>0.21</v>
      </c>
      <c r="CC2733">
        <v>0.44</v>
      </c>
      <c r="CD2733">
        <v>0.18</v>
      </c>
      <c r="CE2733">
        <v>-0.24</v>
      </c>
      <c r="CF2733">
        <v>-1</v>
      </c>
      <c r="CG2733">
        <v>-1.69</v>
      </c>
      <c r="CH2733">
        <v>-5.91</v>
      </c>
      <c r="CI2733">
        <v>5.77</v>
      </c>
      <c r="CJ2733">
        <v>174639</v>
      </c>
      <c r="CK2733">
        <v>8589</v>
      </c>
      <c r="CL2733" t="s">
        <v>7566</v>
      </c>
      <c r="CM2733">
        <v>77.53</v>
      </c>
      <c r="CN2733">
        <v>4.74</v>
      </c>
      <c r="CO2733">
        <v>1.87</v>
      </c>
      <c r="CP2733">
        <v>-6.72</v>
      </c>
      <c r="CQ2733">
        <v>0.74</v>
      </c>
      <c r="CR2733">
        <v>0</v>
      </c>
      <c r="CS2733" t="s">
        <v>12301</v>
      </c>
      <c r="CT2733">
        <v>1.0900000000000001</v>
      </c>
      <c r="CU2733">
        <v>0</v>
      </c>
      <c r="CV2733">
        <v>0.18</v>
      </c>
      <c r="CW2733">
        <v>-0.09</v>
      </c>
      <c r="CX2733">
        <v>-0.3</v>
      </c>
      <c r="CY2733">
        <v>26.06</v>
      </c>
      <c r="CZ2733" t="s">
        <v>4205</v>
      </c>
      <c r="DA2733">
        <v>7.51</v>
      </c>
      <c r="DB2733">
        <v>-0.11</v>
      </c>
      <c r="DC2733">
        <v>-0.45</v>
      </c>
      <c r="DD2733">
        <v>0</v>
      </c>
      <c r="DE2733">
        <v>2567</v>
      </c>
      <c r="DF2733">
        <v>600653</v>
      </c>
      <c r="DG2733" t="s">
        <v>116</v>
      </c>
      <c r="DH2733" t="s">
        <v>116</v>
      </c>
      <c r="DI2733" t="s">
        <v>116</v>
      </c>
    </row>
    <row r="2734" spans="1:113" x14ac:dyDescent="0.4">
      <c r="A2734" t="str">
        <f>"600654"</f>
        <v>600654</v>
      </c>
      <c r="B2734" t="s">
        <v>12302</v>
      </c>
      <c r="C2734">
        <v>5.23</v>
      </c>
      <c r="D2734">
        <v>1.81</v>
      </c>
      <c r="E2734">
        <v>0.09</v>
      </c>
      <c r="F2734">
        <v>1.81</v>
      </c>
      <c r="G2734" t="s">
        <v>116</v>
      </c>
      <c r="H2734">
        <v>66218</v>
      </c>
      <c r="I2734">
        <v>50</v>
      </c>
      <c r="J2734">
        <v>0</v>
      </c>
      <c r="K2734">
        <v>0.88</v>
      </c>
      <c r="L2734">
        <v>1.73</v>
      </c>
      <c r="M2734">
        <v>1.81</v>
      </c>
      <c r="N2734">
        <v>1.72</v>
      </c>
      <c r="O2734">
        <v>1.72</v>
      </c>
      <c r="P2734" t="s">
        <v>116</v>
      </c>
      <c r="Q2734">
        <v>11910925</v>
      </c>
      <c r="R2734">
        <v>0.34</v>
      </c>
      <c r="S2734" t="s">
        <v>607</v>
      </c>
      <c r="T2734" t="s">
        <v>1653</v>
      </c>
      <c r="U2734">
        <v>5.23</v>
      </c>
      <c r="V2734">
        <v>1.8</v>
      </c>
      <c r="W2734">
        <v>36665</v>
      </c>
      <c r="X2734">
        <v>29553</v>
      </c>
      <c r="Y2734">
        <v>1.24</v>
      </c>
      <c r="Z2734">
        <v>30643</v>
      </c>
      <c r="AA2734">
        <v>0</v>
      </c>
      <c r="AB2734" t="s">
        <v>116</v>
      </c>
      <c r="AC2734">
        <v>0</v>
      </c>
      <c r="AD2734">
        <v>0</v>
      </c>
      <c r="AE2734">
        <v>0.46</v>
      </c>
      <c r="AF2734">
        <v>5546383</v>
      </c>
      <c r="AG2734">
        <v>7.55</v>
      </c>
      <c r="AH2734" t="s">
        <v>8011</v>
      </c>
      <c r="AI2734" t="s">
        <v>6127</v>
      </c>
      <c r="AJ2734">
        <v>5.31</v>
      </c>
      <c r="AK2734">
        <v>408</v>
      </c>
      <c r="AL2734">
        <v>162</v>
      </c>
      <c r="AM2734">
        <v>2.0999999999999999E-3</v>
      </c>
      <c r="AN2734">
        <v>2</v>
      </c>
      <c r="AO2734">
        <v>4.6100000000000003</v>
      </c>
      <c r="AP2734">
        <v>20.67</v>
      </c>
      <c r="AQ2734">
        <v>34.07</v>
      </c>
      <c r="AR2734">
        <v>-9.5</v>
      </c>
      <c r="AS2734">
        <v>0.88</v>
      </c>
      <c r="AT2734" t="s">
        <v>3642</v>
      </c>
      <c r="AU2734" t="s">
        <v>116</v>
      </c>
      <c r="AV2734" t="s">
        <v>116</v>
      </c>
      <c r="AW2734">
        <v>0.61</v>
      </c>
      <c r="BA2734">
        <v>0.57999999999999996</v>
      </c>
      <c r="BB2734">
        <v>5.23</v>
      </c>
      <c r="BC2734">
        <v>0</v>
      </c>
      <c r="BD2734">
        <v>4.58</v>
      </c>
      <c r="BE2734">
        <v>4.62</v>
      </c>
      <c r="BF2734">
        <v>0</v>
      </c>
      <c r="BG2734">
        <v>5.23</v>
      </c>
      <c r="BH2734">
        <v>0.65</v>
      </c>
      <c r="BI2734">
        <v>20191031</v>
      </c>
      <c r="BJ2734">
        <v>19901219</v>
      </c>
      <c r="BK2734">
        <v>12.83</v>
      </c>
      <c r="BL2734" t="s">
        <v>116</v>
      </c>
      <c r="BM2734" t="s">
        <v>116</v>
      </c>
      <c r="BN2734">
        <v>55.4</v>
      </c>
      <c r="BO2734">
        <v>-0.97</v>
      </c>
      <c r="BP2734">
        <v>0.87</v>
      </c>
      <c r="BQ2734">
        <v>100.17</v>
      </c>
      <c r="BR2734">
        <v>26.54</v>
      </c>
      <c r="BS2734">
        <v>4.1399999999999997</v>
      </c>
      <c r="BT2734">
        <v>1.55</v>
      </c>
      <c r="BU2734">
        <v>49.49</v>
      </c>
      <c r="BV2734">
        <v>11.82</v>
      </c>
      <c r="BW2734">
        <v>5.3</v>
      </c>
      <c r="BX2734">
        <v>9.89</v>
      </c>
      <c r="BY2734">
        <v>19.29</v>
      </c>
      <c r="BZ2734">
        <v>15.73</v>
      </c>
      <c r="CA2734">
        <v>-1.1299999999999999</v>
      </c>
      <c r="CB2734">
        <v>0.01</v>
      </c>
      <c r="CC2734">
        <v>-2.73</v>
      </c>
      <c r="CD2734">
        <v>-2.91</v>
      </c>
      <c r="CE2734">
        <v>-2.88</v>
      </c>
      <c r="CF2734">
        <v>-1.36</v>
      </c>
      <c r="CG2734">
        <v>-25.69</v>
      </c>
      <c r="CH2734">
        <v>0.23</v>
      </c>
      <c r="CI2734">
        <v>0.17</v>
      </c>
      <c r="CJ2734">
        <v>77732</v>
      </c>
      <c r="CK2734">
        <v>9638</v>
      </c>
      <c r="CL2734" t="s">
        <v>1277</v>
      </c>
      <c r="CM2734">
        <v>-167.09</v>
      </c>
      <c r="CN2734">
        <v>-33.78</v>
      </c>
      <c r="CO2734">
        <v>-23.95</v>
      </c>
      <c r="CP2734">
        <v>101.71</v>
      </c>
      <c r="CQ2734">
        <v>1.2</v>
      </c>
      <c r="CR2734">
        <v>0</v>
      </c>
      <c r="CS2734" t="s">
        <v>12303</v>
      </c>
      <c r="CT2734">
        <v>-0.08</v>
      </c>
      <c r="CU2734">
        <v>0</v>
      </c>
      <c r="CV2734">
        <v>0.77</v>
      </c>
      <c r="CW2734">
        <v>-2</v>
      </c>
      <c r="CX2734">
        <v>0.02</v>
      </c>
      <c r="CY2734">
        <v>-1.75</v>
      </c>
      <c r="CZ2734" t="s">
        <v>116</v>
      </c>
      <c r="DA2734">
        <v>18.47</v>
      </c>
      <c r="DB2734">
        <v>-5.85</v>
      </c>
      <c r="DC2734">
        <v>-14.94</v>
      </c>
      <c r="DD2734">
        <v>0.45</v>
      </c>
      <c r="DE2734">
        <v>12256</v>
      </c>
      <c r="DF2734">
        <v>600654</v>
      </c>
      <c r="DG2734" t="s">
        <v>116</v>
      </c>
      <c r="DH2734" t="s">
        <v>116</v>
      </c>
      <c r="DI2734" t="s">
        <v>116</v>
      </c>
    </row>
    <row r="2735" spans="1:113" x14ac:dyDescent="0.4">
      <c r="A2735" t="str">
        <f>"600655"</f>
        <v>600655</v>
      </c>
      <c r="B2735" t="s">
        <v>12304</v>
      </c>
      <c r="C2735">
        <v>-0.39</v>
      </c>
      <c r="D2735">
        <v>7.75</v>
      </c>
      <c r="E2735">
        <v>-0.03</v>
      </c>
      <c r="F2735">
        <v>7.75</v>
      </c>
      <c r="G2735">
        <v>7.76</v>
      </c>
      <c r="H2735">
        <v>70968</v>
      </c>
      <c r="I2735">
        <v>733</v>
      </c>
      <c r="J2735">
        <v>-0.12</v>
      </c>
      <c r="K2735">
        <v>0.44</v>
      </c>
      <c r="L2735">
        <v>7.81</v>
      </c>
      <c r="M2735">
        <v>7.83</v>
      </c>
      <c r="N2735">
        <v>7.75</v>
      </c>
      <c r="O2735">
        <v>7.78</v>
      </c>
      <c r="P2735">
        <v>18.22</v>
      </c>
      <c r="Q2735">
        <v>55289936</v>
      </c>
      <c r="R2735">
        <v>1.1399999999999999</v>
      </c>
      <c r="S2735" t="s">
        <v>746</v>
      </c>
      <c r="T2735" t="s">
        <v>1653</v>
      </c>
      <c r="U2735">
        <v>1.03</v>
      </c>
      <c r="V2735">
        <v>7.79</v>
      </c>
      <c r="W2735">
        <v>34166</v>
      </c>
      <c r="X2735">
        <v>36802</v>
      </c>
      <c r="Y2735">
        <v>0.93</v>
      </c>
      <c r="Z2735">
        <v>2771</v>
      </c>
      <c r="AA2735">
        <v>287</v>
      </c>
      <c r="AB2735" t="s">
        <v>116</v>
      </c>
      <c r="AC2735">
        <v>332700</v>
      </c>
      <c r="AD2735">
        <v>0</v>
      </c>
      <c r="AE2735" t="s">
        <v>116</v>
      </c>
      <c r="AF2735" t="s">
        <v>116</v>
      </c>
      <c r="AG2735">
        <v>16.03</v>
      </c>
      <c r="AH2735" t="s">
        <v>12305</v>
      </c>
      <c r="AI2735" t="s">
        <v>12306</v>
      </c>
      <c r="AJ2735">
        <v>-0.31</v>
      </c>
      <c r="AK2735">
        <v>1912</v>
      </c>
      <c r="AL2735">
        <v>37</v>
      </c>
      <c r="AM2735">
        <v>2.0000000000000001E-4</v>
      </c>
      <c r="AN2735">
        <v>-1</v>
      </c>
      <c r="AO2735">
        <v>-0.13</v>
      </c>
      <c r="AP2735">
        <v>4.03</v>
      </c>
      <c r="AQ2735">
        <v>-5.49</v>
      </c>
      <c r="AR2735">
        <v>8.6999999999999993</v>
      </c>
      <c r="AS2735">
        <v>0.57999999999999996</v>
      </c>
      <c r="AT2735" t="s">
        <v>12307</v>
      </c>
      <c r="AU2735">
        <v>9.64</v>
      </c>
      <c r="AV2735">
        <v>9.9600000000000009</v>
      </c>
      <c r="AW2735">
        <v>0.7</v>
      </c>
      <c r="BA2735">
        <v>0.39</v>
      </c>
      <c r="BB2735">
        <v>0.64</v>
      </c>
      <c r="BC2735">
        <v>-0.39</v>
      </c>
      <c r="BD2735">
        <v>0.14000000000000001</v>
      </c>
      <c r="BE2735">
        <v>-0.77</v>
      </c>
      <c r="BF2735">
        <v>-1.02</v>
      </c>
      <c r="BG2735">
        <v>0</v>
      </c>
      <c r="BH2735">
        <v>-0.52</v>
      </c>
      <c r="BI2735">
        <v>20191217</v>
      </c>
      <c r="BJ2735">
        <v>19920902</v>
      </c>
      <c r="BK2735">
        <v>38.840000000000003</v>
      </c>
      <c r="BL2735" t="s">
        <v>116</v>
      </c>
      <c r="BM2735" t="s">
        <v>116</v>
      </c>
      <c r="BN2735">
        <v>961.78</v>
      </c>
      <c r="BO2735">
        <v>295.39</v>
      </c>
      <c r="BP2735">
        <v>37.19</v>
      </c>
      <c r="BQ2735">
        <v>65.42</v>
      </c>
      <c r="BR2735">
        <v>652.25</v>
      </c>
      <c r="BS2735">
        <v>31.58</v>
      </c>
      <c r="BT2735">
        <v>14.52</v>
      </c>
      <c r="BU2735">
        <v>424.35</v>
      </c>
      <c r="BV2735">
        <v>380.96</v>
      </c>
      <c r="BW2735">
        <v>20.76</v>
      </c>
      <c r="BX2735">
        <v>112.34</v>
      </c>
      <c r="BY2735">
        <v>270.82</v>
      </c>
      <c r="BZ2735">
        <v>206.46</v>
      </c>
      <c r="CA2735">
        <v>22.55</v>
      </c>
      <c r="CB2735">
        <v>0.78</v>
      </c>
      <c r="CC2735">
        <v>23.48</v>
      </c>
      <c r="CD2735">
        <v>16.29</v>
      </c>
      <c r="CE2735">
        <v>12.39</v>
      </c>
      <c r="CF2735">
        <v>10.91</v>
      </c>
      <c r="CG2735">
        <v>113.38</v>
      </c>
      <c r="CH2735">
        <v>-6.93</v>
      </c>
      <c r="CI2735">
        <v>-27.78</v>
      </c>
      <c r="CJ2735">
        <v>91874</v>
      </c>
      <c r="CK2735">
        <v>13238</v>
      </c>
      <c r="CL2735" t="s">
        <v>9719</v>
      </c>
      <c r="CM2735">
        <v>9.02</v>
      </c>
      <c r="CN2735">
        <v>35.76</v>
      </c>
      <c r="CO2735">
        <v>1.02</v>
      </c>
      <c r="CP2735">
        <v>-43.44</v>
      </c>
      <c r="CQ2735">
        <v>1.1100000000000001</v>
      </c>
      <c r="CR2735">
        <v>3.48</v>
      </c>
      <c r="CS2735" t="s">
        <v>3311</v>
      </c>
      <c r="CT2735">
        <v>7.61</v>
      </c>
      <c r="CU2735">
        <v>7.61</v>
      </c>
      <c r="CV2735">
        <v>2.89</v>
      </c>
      <c r="CW2735">
        <v>2.92</v>
      </c>
      <c r="CX2735">
        <v>-0.18</v>
      </c>
      <c r="CY2735">
        <v>30.71</v>
      </c>
      <c r="CZ2735" t="s">
        <v>4629</v>
      </c>
      <c r="DA2735">
        <v>23.76</v>
      </c>
      <c r="DB2735">
        <v>8.33</v>
      </c>
      <c r="DC2735">
        <v>4.58</v>
      </c>
      <c r="DD2735">
        <v>0</v>
      </c>
      <c r="DE2735">
        <v>5641</v>
      </c>
      <c r="DF2735">
        <v>600655</v>
      </c>
      <c r="DG2735" t="s">
        <v>116</v>
      </c>
      <c r="DH2735" t="s">
        <v>116</v>
      </c>
      <c r="DI2735" t="s">
        <v>116</v>
      </c>
    </row>
    <row r="2736" spans="1:113" x14ac:dyDescent="0.4">
      <c r="A2736" t="str">
        <f>"600657"</f>
        <v>600657</v>
      </c>
      <c r="B2736" t="s">
        <v>12308</v>
      </c>
      <c r="C2736">
        <v>0.26</v>
      </c>
      <c r="D2736">
        <v>3.93</v>
      </c>
      <c r="E2736">
        <v>0.01</v>
      </c>
      <c r="F2736">
        <v>3.93</v>
      </c>
      <c r="G2736">
        <v>3.94</v>
      </c>
      <c r="H2736">
        <v>89451</v>
      </c>
      <c r="I2736">
        <v>235</v>
      </c>
      <c r="J2736">
        <v>-0.24</v>
      </c>
      <c r="K2736">
        <v>0.59</v>
      </c>
      <c r="L2736">
        <v>3.92</v>
      </c>
      <c r="M2736">
        <v>3.98</v>
      </c>
      <c r="N2736">
        <v>3.9</v>
      </c>
      <c r="O2736">
        <v>3.92</v>
      </c>
      <c r="P2736">
        <v>13.7</v>
      </c>
      <c r="Q2736">
        <v>35345772</v>
      </c>
      <c r="R2736">
        <v>1.27</v>
      </c>
      <c r="S2736" t="s">
        <v>124</v>
      </c>
      <c r="T2736" t="s">
        <v>165</v>
      </c>
      <c r="U2736">
        <v>2.04</v>
      </c>
      <c r="V2736">
        <v>3.95</v>
      </c>
      <c r="W2736">
        <v>36731</v>
      </c>
      <c r="X2736">
        <v>52720</v>
      </c>
      <c r="Y2736">
        <v>0.7</v>
      </c>
      <c r="Z2736">
        <v>662</v>
      </c>
      <c r="AA2736">
        <v>377</v>
      </c>
      <c r="AB2736" t="s">
        <v>116</v>
      </c>
      <c r="AC2736">
        <v>67800</v>
      </c>
      <c r="AD2736">
        <v>0</v>
      </c>
      <c r="AE2736" t="s">
        <v>116</v>
      </c>
      <c r="AF2736" t="s">
        <v>116</v>
      </c>
      <c r="AG2736">
        <v>15.24</v>
      </c>
      <c r="AH2736" t="s">
        <v>9507</v>
      </c>
      <c r="AI2736" t="s">
        <v>12309</v>
      </c>
      <c r="AJ2736">
        <v>0.33</v>
      </c>
      <c r="AK2736">
        <v>1532</v>
      </c>
      <c r="AL2736">
        <v>58</v>
      </c>
      <c r="AM2736">
        <v>4.0000000000000002E-4</v>
      </c>
      <c r="AN2736">
        <v>2</v>
      </c>
      <c r="AO2736">
        <v>1.04</v>
      </c>
      <c r="AP2736">
        <v>6.22</v>
      </c>
      <c r="AQ2736">
        <v>0.51</v>
      </c>
      <c r="AR2736">
        <v>3.15</v>
      </c>
      <c r="AS2736">
        <v>1.21</v>
      </c>
      <c r="AT2736" t="s">
        <v>11584</v>
      </c>
      <c r="AU2736">
        <v>5.97</v>
      </c>
      <c r="AV2736">
        <v>5.21</v>
      </c>
      <c r="AW2736">
        <v>1.46</v>
      </c>
      <c r="BA2736">
        <v>0</v>
      </c>
      <c r="BB2736">
        <v>1.53</v>
      </c>
      <c r="BC2736">
        <v>-0.51</v>
      </c>
      <c r="BD2736">
        <v>0.8</v>
      </c>
      <c r="BE2736">
        <v>0.26</v>
      </c>
      <c r="BF2736">
        <v>-1.26</v>
      </c>
      <c r="BG2736">
        <v>0.77</v>
      </c>
      <c r="BH2736">
        <v>-0.55000000000000004</v>
      </c>
      <c r="BI2736">
        <v>20191030</v>
      </c>
      <c r="BJ2736">
        <v>19930524</v>
      </c>
      <c r="BK2736">
        <v>28.52</v>
      </c>
      <c r="BL2736" t="s">
        <v>116</v>
      </c>
      <c r="BM2736" t="s">
        <v>116</v>
      </c>
      <c r="BN2736">
        <v>1011.45</v>
      </c>
      <c r="BO2736">
        <v>201.68</v>
      </c>
      <c r="BP2736">
        <v>8.7100000000000009</v>
      </c>
      <c r="BQ2736">
        <v>79.2</v>
      </c>
      <c r="BR2736">
        <v>874.25</v>
      </c>
      <c r="BS2736">
        <v>3.3</v>
      </c>
      <c r="BT2736">
        <v>0.03</v>
      </c>
      <c r="BU2736">
        <v>585.25</v>
      </c>
      <c r="BV2736">
        <v>634.52</v>
      </c>
      <c r="BW2736">
        <v>3.07</v>
      </c>
      <c r="BX2736">
        <v>83.09</v>
      </c>
      <c r="BY2736">
        <v>87.06</v>
      </c>
      <c r="BZ2736">
        <v>62.13</v>
      </c>
      <c r="CA2736">
        <v>10.92</v>
      </c>
      <c r="CB2736">
        <v>5.75</v>
      </c>
      <c r="CC2736">
        <v>11</v>
      </c>
      <c r="CD2736">
        <v>6.86</v>
      </c>
      <c r="CE2736">
        <v>6.14</v>
      </c>
      <c r="CF2736">
        <v>4.03</v>
      </c>
      <c r="CG2736">
        <v>90.08</v>
      </c>
      <c r="CH2736">
        <v>26.22</v>
      </c>
      <c r="CI2736">
        <v>-66.94</v>
      </c>
      <c r="CJ2736">
        <v>39758</v>
      </c>
      <c r="CK2736">
        <v>18597</v>
      </c>
      <c r="CL2736" t="s">
        <v>11662</v>
      </c>
      <c r="CM2736">
        <v>-30.82</v>
      </c>
      <c r="CN2736">
        <v>9.48</v>
      </c>
      <c r="CO2736">
        <v>0.56000000000000005</v>
      </c>
      <c r="CP2736">
        <v>4.2699999999999996</v>
      </c>
      <c r="CQ2736">
        <v>1.29</v>
      </c>
      <c r="CR2736">
        <v>3.05</v>
      </c>
      <c r="CS2736" t="s">
        <v>4228</v>
      </c>
      <c r="CT2736">
        <v>7.07</v>
      </c>
      <c r="CU2736">
        <v>0</v>
      </c>
      <c r="CV2736">
        <v>2.91</v>
      </c>
      <c r="CW2736">
        <v>3.16</v>
      </c>
      <c r="CX2736">
        <v>0.92</v>
      </c>
      <c r="CY2736">
        <v>19.940000000000001</v>
      </c>
      <c r="CZ2736" t="s">
        <v>4824</v>
      </c>
      <c r="DA2736">
        <v>28.63</v>
      </c>
      <c r="DB2736">
        <v>12.55</v>
      </c>
      <c r="DC2736">
        <v>7.05</v>
      </c>
      <c r="DD2736">
        <v>0.02</v>
      </c>
      <c r="DE2736">
        <v>3169</v>
      </c>
      <c r="DF2736">
        <v>600657</v>
      </c>
      <c r="DG2736" t="s">
        <v>116</v>
      </c>
      <c r="DH2736" t="s">
        <v>116</v>
      </c>
      <c r="DI2736" t="s">
        <v>116</v>
      </c>
    </row>
    <row r="2737" spans="1:113" x14ac:dyDescent="0.4">
      <c r="A2737" t="str">
        <f>"600658"</f>
        <v>600658</v>
      </c>
      <c r="B2737" t="s">
        <v>12310</v>
      </c>
      <c r="C2737">
        <v>4.26</v>
      </c>
      <c r="D2737">
        <v>4.8899999999999997</v>
      </c>
      <c r="E2737">
        <v>0.2</v>
      </c>
      <c r="F2737">
        <v>4.8899999999999997</v>
      </c>
      <c r="G2737">
        <v>4.9000000000000004</v>
      </c>
      <c r="H2737">
        <v>112801</v>
      </c>
      <c r="I2737">
        <v>1597</v>
      </c>
      <c r="J2737">
        <v>0.2</v>
      </c>
      <c r="K2737">
        <v>1.01</v>
      </c>
      <c r="L2737">
        <v>4.67</v>
      </c>
      <c r="M2737">
        <v>5.05</v>
      </c>
      <c r="N2737">
        <v>4.63</v>
      </c>
      <c r="O2737">
        <v>4.6900000000000004</v>
      </c>
      <c r="P2737">
        <v>29.58</v>
      </c>
      <c r="Q2737">
        <v>54431680</v>
      </c>
      <c r="R2737">
        <v>1.64</v>
      </c>
      <c r="S2737" t="s">
        <v>1503</v>
      </c>
      <c r="T2737" t="s">
        <v>165</v>
      </c>
      <c r="U2737">
        <v>8.9600000000000009</v>
      </c>
      <c r="V2737">
        <v>4.83</v>
      </c>
      <c r="W2737">
        <v>48871</v>
      </c>
      <c r="X2737">
        <v>63930</v>
      </c>
      <c r="Y2737">
        <v>0.76</v>
      </c>
      <c r="Z2737">
        <v>122</v>
      </c>
      <c r="AA2737">
        <v>2076</v>
      </c>
      <c r="AB2737" t="s">
        <v>116</v>
      </c>
      <c r="AC2737">
        <v>87300</v>
      </c>
      <c r="AD2737">
        <v>0</v>
      </c>
      <c r="AE2737" t="s">
        <v>116</v>
      </c>
      <c r="AF2737" t="s">
        <v>116</v>
      </c>
      <c r="AG2737">
        <v>11.19</v>
      </c>
      <c r="AH2737" t="s">
        <v>5968</v>
      </c>
      <c r="AI2737" t="s">
        <v>5968</v>
      </c>
      <c r="AJ2737">
        <v>4.34</v>
      </c>
      <c r="AK2737">
        <v>1023</v>
      </c>
      <c r="AL2737">
        <v>110</v>
      </c>
      <c r="AM2737">
        <v>1E-3</v>
      </c>
      <c r="AN2737">
        <v>1</v>
      </c>
      <c r="AO2737">
        <v>2.94</v>
      </c>
      <c r="AP2737">
        <v>15.06</v>
      </c>
      <c r="AQ2737">
        <v>12.41</v>
      </c>
      <c r="AR2737">
        <v>-18.13</v>
      </c>
      <c r="AS2737">
        <v>2.61</v>
      </c>
      <c r="AT2737" t="s">
        <v>4730</v>
      </c>
      <c r="AU2737">
        <v>22.34</v>
      </c>
      <c r="AV2737">
        <v>13.35</v>
      </c>
      <c r="AW2737">
        <v>0.91</v>
      </c>
      <c r="BA2737">
        <v>-0.43</v>
      </c>
      <c r="BB2737">
        <v>7.68</v>
      </c>
      <c r="BC2737">
        <v>-1.28</v>
      </c>
      <c r="BD2737">
        <v>2.89</v>
      </c>
      <c r="BE2737">
        <v>4.71</v>
      </c>
      <c r="BF2737">
        <v>-3.17</v>
      </c>
      <c r="BG2737">
        <v>5.62</v>
      </c>
      <c r="BH2737">
        <v>1.38</v>
      </c>
      <c r="BI2737">
        <v>20191226</v>
      </c>
      <c r="BJ2737">
        <v>19930524</v>
      </c>
      <c r="BK2737">
        <v>11.19</v>
      </c>
      <c r="BL2737" t="s">
        <v>116</v>
      </c>
      <c r="BM2737" t="s">
        <v>116</v>
      </c>
      <c r="BN2737">
        <v>129.71</v>
      </c>
      <c r="BO2737">
        <v>62.32</v>
      </c>
      <c r="BP2737">
        <v>2.15</v>
      </c>
      <c r="BQ2737">
        <v>50.3</v>
      </c>
      <c r="BR2737">
        <v>103.86</v>
      </c>
      <c r="BS2737">
        <v>1.77</v>
      </c>
      <c r="BT2737">
        <v>2.0099999999999998</v>
      </c>
      <c r="BU2737">
        <v>31.17</v>
      </c>
      <c r="BV2737">
        <v>77.75</v>
      </c>
      <c r="BW2737">
        <v>2.85</v>
      </c>
      <c r="BX2737">
        <v>24.7</v>
      </c>
      <c r="BY2737">
        <v>9.56</v>
      </c>
      <c r="BZ2737">
        <v>7.01</v>
      </c>
      <c r="CA2737">
        <v>-0.48</v>
      </c>
      <c r="CB2737">
        <v>-0.01</v>
      </c>
      <c r="CC2737">
        <v>2.14</v>
      </c>
      <c r="CD2737">
        <v>1.32</v>
      </c>
      <c r="CE2737">
        <v>1.39</v>
      </c>
      <c r="CF2737">
        <v>-1.02</v>
      </c>
      <c r="CG2737">
        <v>24.36</v>
      </c>
      <c r="CH2737">
        <v>-28.94</v>
      </c>
      <c r="CI2737">
        <v>-25.37</v>
      </c>
      <c r="CJ2737">
        <v>19184</v>
      </c>
      <c r="CK2737">
        <v>22494</v>
      </c>
      <c r="CL2737" t="s">
        <v>12311</v>
      </c>
      <c r="CM2737">
        <v>-54.33</v>
      </c>
      <c r="CN2737">
        <v>-29.93</v>
      </c>
      <c r="CO2737">
        <v>0.88</v>
      </c>
      <c r="CP2737">
        <v>-1.89</v>
      </c>
      <c r="CQ2737">
        <v>5.72</v>
      </c>
      <c r="CR2737">
        <v>2.8</v>
      </c>
      <c r="CS2737" t="s">
        <v>868</v>
      </c>
      <c r="CT2737">
        <v>5.57</v>
      </c>
      <c r="CU2737">
        <v>0</v>
      </c>
      <c r="CV2737">
        <v>2.21</v>
      </c>
      <c r="CW2737">
        <v>2.1800000000000002</v>
      </c>
      <c r="CX2737">
        <v>-2.59</v>
      </c>
      <c r="CY2737">
        <v>48.05</v>
      </c>
      <c r="CZ2737" t="s">
        <v>12312</v>
      </c>
      <c r="DA2737">
        <v>26.66</v>
      </c>
      <c r="DB2737">
        <v>-5.04</v>
      </c>
      <c r="DC2737">
        <v>14.5</v>
      </c>
      <c r="DD2737">
        <v>0.03</v>
      </c>
      <c r="DE2737">
        <v>499</v>
      </c>
      <c r="DF2737">
        <v>600658</v>
      </c>
      <c r="DG2737" t="s">
        <v>116</v>
      </c>
      <c r="DH2737" t="s">
        <v>116</v>
      </c>
      <c r="DI2737" t="s">
        <v>116</v>
      </c>
    </row>
    <row r="2738" spans="1:113" x14ac:dyDescent="0.4">
      <c r="A2738" t="str">
        <f>"600660"</f>
        <v>600660</v>
      </c>
      <c r="B2738" t="s">
        <v>12313</v>
      </c>
      <c r="C2738">
        <v>-0.39</v>
      </c>
      <c r="D2738">
        <v>22.74</v>
      </c>
      <c r="E2738">
        <v>-0.09</v>
      </c>
      <c r="F2738">
        <v>22.73</v>
      </c>
      <c r="G2738">
        <v>22.74</v>
      </c>
      <c r="H2738">
        <v>101252</v>
      </c>
      <c r="I2738">
        <v>458</v>
      </c>
      <c r="J2738">
        <v>-0.21</v>
      </c>
      <c r="K2738">
        <v>0.51</v>
      </c>
      <c r="L2738">
        <v>22.82</v>
      </c>
      <c r="M2738">
        <v>23.05</v>
      </c>
      <c r="N2738">
        <v>22.69</v>
      </c>
      <c r="O2738">
        <v>22.83</v>
      </c>
      <c r="P2738">
        <v>18.23</v>
      </c>
      <c r="Q2738">
        <v>231496048</v>
      </c>
      <c r="R2738">
        <v>1.1000000000000001</v>
      </c>
      <c r="S2738" t="s">
        <v>293</v>
      </c>
      <c r="T2738" t="s">
        <v>975</v>
      </c>
      <c r="U2738">
        <v>1.58</v>
      </c>
      <c r="V2738">
        <v>22.86</v>
      </c>
      <c r="W2738">
        <v>56950</v>
      </c>
      <c r="X2738">
        <v>44302</v>
      </c>
      <c r="Y2738">
        <v>1.29</v>
      </c>
      <c r="Z2738">
        <v>42</v>
      </c>
      <c r="AA2738">
        <v>2</v>
      </c>
      <c r="AB2738" t="s">
        <v>116</v>
      </c>
      <c r="AC2738">
        <v>2361900</v>
      </c>
      <c r="AD2738">
        <v>0.01</v>
      </c>
      <c r="AE2738" t="s">
        <v>116</v>
      </c>
      <c r="AF2738" t="s">
        <v>116</v>
      </c>
      <c r="AG2738">
        <v>20.03</v>
      </c>
      <c r="AH2738" t="s">
        <v>12314</v>
      </c>
      <c r="AI2738" t="s">
        <v>12314</v>
      </c>
      <c r="AJ2738">
        <v>-0.32</v>
      </c>
      <c r="AK2738">
        <v>3278</v>
      </c>
      <c r="AL2738">
        <v>31</v>
      </c>
      <c r="AM2738">
        <v>2.0000000000000001E-4</v>
      </c>
      <c r="AN2738">
        <v>-1</v>
      </c>
      <c r="AO2738">
        <v>-1.34</v>
      </c>
      <c r="AP2738">
        <v>2.29</v>
      </c>
      <c r="AQ2738">
        <v>4.8899999999999997</v>
      </c>
      <c r="AR2738">
        <v>3.22</v>
      </c>
      <c r="AS2738">
        <v>0.79</v>
      </c>
      <c r="AT2738" t="s">
        <v>12315</v>
      </c>
      <c r="AU2738">
        <v>17.8</v>
      </c>
      <c r="AV2738">
        <v>13.84</v>
      </c>
      <c r="AW2738">
        <v>0.71</v>
      </c>
      <c r="BA2738">
        <v>-0.04</v>
      </c>
      <c r="BB2738">
        <v>0.96</v>
      </c>
      <c r="BC2738">
        <v>-0.61</v>
      </c>
      <c r="BD2738">
        <v>0.15</v>
      </c>
      <c r="BE2738">
        <v>-0.35</v>
      </c>
      <c r="BF2738">
        <v>-1.34</v>
      </c>
      <c r="BG2738">
        <v>0.22</v>
      </c>
      <c r="BH2738">
        <v>-0.54</v>
      </c>
      <c r="BI2738">
        <v>20191031</v>
      </c>
      <c r="BJ2738">
        <v>19930610</v>
      </c>
      <c r="BK2738">
        <v>25.09</v>
      </c>
      <c r="BL2738" t="s">
        <v>116</v>
      </c>
      <c r="BM2738">
        <v>5.0599999999999996</v>
      </c>
      <c r="BN2738">
        <v>401.09</v>
      </c>
      <c r="BO2738">
        <v>208.91</v>
      </c>
      <c r="BP2738">
        <v>-0.01</v>
      </c>
      <c r="BQ2738">
        <v>47.92</v>
      </c>
      <c r="BR2738">
        <v>194.86</v>
      </c>
      <c r="BS2738">
        <v>140.94999999999999</v>
      </c>
      <c r="BT2738">
        <v>13.39</v>
      </c>
      <c r="BU2738">
        <v>160.15</v>
      </c>
      <c r="BV2738">
        <v>34.9</v>
      </c>
      <c r="BW2738">
        <v>33.82</v>
      </c>
      <c r="BX2738">
        <v>62.23</v>
      </c>
      <c r="BY2738">
        <v>156.34</v>
      </c>
      <c r="BZ2738">
        <v>97.82</v>
      </c>
      <c r="CA2738">
        <v>27.52</v>
      </c>
      <c r="CB2738">
        <v>0.44</v>
      </c>
      <c r="CC2738">
        <v>28.32</v>
      </c>
      <c r="CD2738">
        <v>23.46</v>
      </c>
      <c r="CE2738">
        <v>23.47</v>
      </c>
      <c r="CF2738">
        <v>21.26</v>
      </c>
      <c r="CG2738">
        <v>96.15</v>
      </c>
      <c r="CH2738">
        <v>35.369999999999997</v>
      </c>
      <c r="CI2738">
        <v>28.9</v>
      </c>
      <c r="CJ2738">
        <v>107658</v>
      </c>
      <c r="CK2738">
        <v>11965</v>
      </c>
      <c r="CL2738" t="s">
        <v>12316</v>
      </c>
      <c r="CM2738">
        <v>-28.07</v>
      </c>
      <c r="CN2738">
        <v>3.38</v>
      </c>
      <c r="CO2738">
        <v>2.73</v>
      </c>
      <c r="CP2738">
        <v>16.13</v>
      </c>
      <c r="CQ2738">
        <v>3.65</v>
      </c>
      <c r="CR2738">
        <v>2.63</v>
      </c>
      <c r="CS2738" t="s">
        <v>12317</v>
      </c>
      <c r="CT2738">
        <v>8.33</v>
      </c>
      <c r="CU2738">
        <v>0</v>
      </c>
      <c r="CV2738">
        <v>2.48</v>
      </c>
      <c r="CW2738">
        <v>3.83</v>
      </c>
      <c r="CX2738">
        <v>1.41</v>
      </c>
      <c r="CY2738">
        <v>52.09</v>
      </c>
      <c r="CZ2738" t="s">
        <v>12318</v>
      </c>
      <c r="DA2738">
        <v>37.43</v>
      </c>
      <c r="DB2738">
        <v>17.61</v>
      </c>
      <c r="DC2738">
        <v>15.01</v>
      </c>
      <c r="DD2738">
        <v>5.91</v>
      </c>
      <c r="DE2738">
        <v>27067</v>
      </c>
      <c r="DF2738">
        <v>600660</v>
      </c>
      <c r="DG2738" t="s">
        <v>116</v>
      </c>
      <c r="DH2738" t="s">
        <v>116</v>
      </c>
      <c r="DI2738" t="s">
        <v>116</v>
      </c>
    </row>
    <row r="2739" spans="1:113" x14ac:dyDescent="0.4">
      <c r="A2739" t="str">
        <f>"600661"</f>
        <v>600661</v>
      </c>
      <c r="B2739" t="s">
        <v>12319</v>
      </c>
      <c r="C2739">
        <v>0</v>
      </c>
      <c r="D2739">
        <v>17.350000000000001</v>
      </c>
      <c r="E2739">
        <v>0</v>
      </c>
      <c r="F2739">
        <v>17.350000000000001</v>
      </c>
      <c r="G2739">
        <v>17.36</v>
      </c>
      <c r="H2739">
        <v>7500</v>
      </c>
      <c r="I2739">
        <v>241</v>
      </c>
      <c r="J2739">
        <v>0.46</v>
      </c>
      <c r="K2739">
        <v>0.28999999999999998</v>
      </c>
      <c r="L2739">
        <v>17.36</v>
      </c>
      <c r="M2739">
        <v>17.399999999999999</v>
      </c>
      <c r="N2739">
        <v>17.25</v>
      </c>
      <c r="O2739">
        <v>17.350000000000001</v>
      </c>
      <c r="P2739">
        <v>36.19</v>
      </c>
      <c r="Q2739">
        <v>12987214</v>
      </c>
      <c r="R2739">
        <v>1.1599999999999999</v>
      </c>
      <c r="S2739" t="s">
        <v>217</v>
      </c>
      <c r="T2739" t="s">
        <v>1653</v>
      </c>
      <c r="U2739">
        <v>0.86</v>
      </c>
      <c r="V2739">
        <v>17.32</v>
      </c>
      <c r="W2739">
        <v>3405</v>
      </c>
      <c r="X2739">
        <v>4095</v>
      </c>
      <c r="Y2739">
        <v>0.83</v>
      </c>
      <c r="Z2739">
        <v>59</v>
      </c>
      <c r="AA2739">
        <v>20</v>
      </c>
      <c r="AB2739" t="s">
        <v>116</v>
      </c>
      <c r="AC2739">
        <v>100700</v>
      </c>
      <c r="AD2739">
        <v>0.01</v>
      </c>
      <c r="AE2739" t="s">
        <v>116</v>
      </c>
      <c r="AF2739" t="s">
        <v>116</v>
      </c>
      <c r="AG2739">
        <v>2.59</v>
      </c>
      <c r="AH2739" t="s">
        <v>12320</v>
      </c>
      <c r="AI2739" t="s">
        <v>1897</v>
      </c>
      <c r="AJ2739">
        <v>0.08</v>
      </c>
      <c r="AK2739">
        <v>493</v>
      </c>
      <c r="AL2739">
        <v>15</v>
      </c>
      <c r="AM2739">
        <v>5.9999999999999995E-4</v>
      </c>
      <c r="AN2739">
        <v>0</v>
      </c>
      <c r="AO2739">
        <v>-0.06</v>
      </c>
      <c r="AP2739">
        <v>-0.74</v>
      </c>
      <c r="AQ2739">
        <v>-8.3000000000000007</v>
      </c>
      <c r="AR2739">
        <v>-11.3</v>
      </c>
      <c r="AS2739">
        <v>0.82</v>
      </c>
      <c r="AT2739" t="s">
        <v>1776</v>
      </c>
      <c r="AU2739" t="s">
        <v>116</v>
      </c>
      <c r="AV2739" t="s">
        <v>116</v>
      </c>
      <c r="AW2739">
        <v>0.78</v>
      </c>
      <c r="BA2739">
        <v>0.06</v>
      </c>
      <c r="BB2739">
        <v>0.28999999999999998</v>
      </c>
      <c r="BC2739">
        <v>-0.57999999999999996</v>
      </c>
      <c r="BD2739">
        <v>-0.19</v>
      </c>
      <c r="BE2739">
        <v>-0.06</v>
      </c>
      <c r="BF2739">
        <v>-0.28999999999999998</v>
      </c>
      <c r="BG2739">
        <v>0.57999999999999996</v>
      </c>
      <c r="BH2739">
        <v>0.19</v>
      </c>
      <c r="BI2739">
        <v>20191031</v>
      </c>
      <c r="BJ2739">
        <v>19930614</v>
      </c>
      <c r="BK2739">
        <v>2.87</v>
      </c>
      <c r="BL2739" t="s">
        <v>116</v>
      </c>
      <c r="BM2739" t="s">
        <v>116</v>
      </c>
      <c r="BN2739">
        <v>27.53</v>
      </c>
      <c r="BO2739">
        <v>10.74</v>
      </c>
      <c r="BP2739">
        <v>0.08</v>
      </c>
      <c r="BQ2739">
        <v>60.69</v>
      </c>
      <c r="BR2739">
        <v>15.11</v>
      </c>
      <c r="BS2739">
        <v>3.76</v>
      </c>
      <c r="BT2739">
        <v>0.53</v>
      </c>
      <c r="BU2739">
        <v>15.36</v>
      </c>
      <c r="BV2739">
        <v>0.83</v>
      </c>
      <c r="BW2739">
        <v>1.01</v>
      </c>
      <c r="BX2739">
        <v>8.19</v>
      </c>
      <c r="BY2739">
        <v>17.8</v>
      </c>
      <c r="BZ2739">
        <v>10.220000000000001</v>
      </c>
      <c r="CA2739">
        <v>1.1299999999999999</v>
      </c>
      <c r="CB2739">
        <v>0.38</v>
      </c>
      <c r="CC2739">
        <v>1.17</v>
      </c>
      <c r="CD2739">
        <v>0.79</v>
      </c>
      <c r="CE2739">
        <v>1.03</v>
      </c>
      <c r="CF2739">
        <v>0.87</v>
      </c>
      <c r="CG2739">
        <v>2.94</v>
      </c>
      <c r="CH2739">
        <v>-0.9</v>
      </c>
      <c r="CI2739">
        <v>-4.72</v>
      </c>
      <c r="CJ2739">
        <v>12136</v>
      </c>
      <c r="CK2739">
        <v>7513</v>
      </c>
      <c r="CL2739" t="s">
        <v>12321</v>
      </c>
      <c r="CM2739">
        <v>6.72</v>
      </c>
      <c r="CN2739">
        <v>12.77</v>
      </c>
      <c r="CO2739">
        <v>4.63</v>
      </c>
      <c r="CP2739">
        <v>-55.09</v>
      </c>
      <c r="CQ2739">
        <v>2.79</v>
      </c>
      <c r="CR2739">
        <v>0</v>
      </c>
      <c r="CS2739" t="s">
        <v>793</v>
      </c>
      <c r="CT2739">
        <v>3.75</v>
      </c>
      <c r="CU2739">
        <v>0</v>
      </c>
      <c r="CV2739">
        <v>2.86</v>
      </c>
      <c r="CW2739">
        <v>1.03</v>
      </c>
      <c r="CX2739">
        <v>-0.31</v>
      </c>
      <c r="CY2739">
        <v>39.01</v>
      </c>
      <c r="CZ2739" t="s">
        <v>8286</v>
      </c>
      <c r="DA2739">
        <v>42.57</v>
      </c>
      <c r="DB2739">
        <v>6.38</v>
      </c>
      <c r="DC2739">
        <v>5.79</v>
      </c>
      <c r="DD2739">
        <v>0.12</v>
      </c>
      <c r="DE2739">
        <v>5926</v>
      </c>
      <c r="DF2739">
        <v>600661</v>
      </c>
      <c r="DG2739" t="s">
        <v>116</v>
      </c>
      <c r="DH2739" t="s">
        <v>116</v>
      </c>
      <c r="DI2739" t="s">
        <v>116</v>
      </c>
    </row>
    <row r="2740" spans="1:113" x14ac:dyDescent="0.4">
      <c r="A2740" t="str">
        <f>"600662"</f>
        <v>600662</v>
      </c>
      <c r="B2740" t="s">
        <v>12322</v>
      </c>
      <c r="C2740">
        <v>-0.22</v>
      </c>
      <c r="D2740">
        <v>4.58</v>
      </c>
      <c r="E2740">
        <v>-0.01</v>
      </c>
      <c r="F2740">
        <v>4.57</v>
      </c>
      <c r="G2740">
        <v>4.58</v>
      </c>
      <c r="H2740">
        <v>48573</v>
      </c>
      <c r="I2740">
        <v>2376</v>
      </c>
      <c r="J2740">
        <v>-0.21</v>
      </c>
      <c r="K2740">
        <v>0.46</v>
      </c>
      <c r="L2740">
        <v>4.59</v>
      </c>
      <c r="M2740">
        <v>4.63</v>
      </c>
      <c r="N2740">
        <v>4.58</v>
      </c>
      <c r="O2740">
        <v>4.59</v>
      </c>
      <c r="P2740">
        <v>23.66</v>
      </c>
      <c r="Q2740">
        <v>22369128</v>
      </c>
      <c r="R2740">
        <v>1.26</v>
      </c>
      <c r="S2740" t="s">
        <v>6225</v>
      </c>
      <c r="T2740" t="s">
        <v>1653</v>
      </c>
      <c r="U2740">
        <v>1.0900000000000001</v>
      </c>
      <c r="V2740">
        <v>4.6100000000000003</v>
      </c>
      <c r="W2740">
        <v>25687</v>
      </c>
      <c r="X2740">
        <v>22886</v>
      </c>
      <c r="Y2740">
        <v>1.1200000000000001</v>
      </c>
      <c r="Z2740">
        <v>1104</v>
      </c>
      <c r="AA2740">
        <v>1215</v>
      </c>
      <c r="AB2740" t="s">
        <v>116</v>
      </c>
      <c r="AC2740">
        <v>74400</v>
      </c>
      <c r="AD2740">
        <v>0</v>
      </c>
      <c r="AE2740" t="s">
        <v>116</v>
      </c>
      <c r="AF2740" t="s">
        <v>116</v>
      </c>
      <c r="AG2740">
        <v>10.53</v>
      </c>
      <c r="AH2740" t="s">
        <v>5397</v>
      </c>
      <c r="AI2740" t="s">
        <v>5397</v>
      </c>
      <c r="AJ2740">
        <v>-0.14000000000000001</v>
      </c>
      <c r="AK2740">
        <v>767</v>
      </c>
      <c r="AL2740">
        <v>63</v>
      </c>
      <c r="AM2740">
        <v>5.9999999999999995E-4</v>
      </c>
      <c r="AN2740">
        <v>-1</v>
      </c>
      <c r="AO2740">
        <v>0.22</v>
      </c>
      <c r="AP2740">
        <v>2.69</v>
      </c>
      <c r="AQ2740">
        <v>-4.38</v>
      </c>
      <c r="AR2740">
        <v>11.71</v>
      </c>
      <c r="AS2740">
        <v>0.84</v>
      </c>
      <c r="AT2740" t="s">
        <v>2985</v>
      </c>
      <c r="AU2740">
        <v>27.23</v>
      </c>
      <c r="AV2740">
        <v>74.52</v>
      </c>
      <c r="AW2740">
        <v>1.41</v>
      </c>
      <c r="BA2740">
        <v>0</v>
      </c>
      <c r="BB2740">
        <v>0.87</v>
      </c>
      <c r="BC2740">
        <v>-0.22</v>
      </c>
      <c r="BD2740">
        <v>0.33</v>
      </c>
      <c r="BE2740">
        <v>-0.22</v>
      </c>
      <c r="BF2740">
        <v>-1.08</v>
      </c>
      <c r="BG2740">
        <v>0</v>
      </c>
      <c r="BH2740">
        <v>-0.55000000000000004</v>
      </c>
      <c r="BI2740">
        <v>20191031</v>
      </c>
      <c r="BJ2740">
        <v>19930614</v>
      </c>
      <c r="BK2740">
        <v>10.53</v>
      </c>
      <c r="BL2740" t="s">
        <v>116</v>
      </c>
      <c r="BM2740" t="s">
        <v>116</v>
      </c>
      <c r="BN2740">
        <v>74.489999999999995</v>
      </c>
      <c r="BO2740">
        <v>33.659999999999997</v>
      </c>
      <c r="BP2740">
        <v>3.37</v>
      </c>
      <c r="BQ2740">
        <v>50.29</v>
      </c>
      <c r="BR2740">
        <v>32.47</v>
      </c>
      <c r="BS2740">
        <v>17.809999999999999</v>
      </c>
      <c r="BT2740">
        <v>13.08</v>
      </c>
      <c r="BU2740">
        <v>35.299999999999997</v>
      </c>
      <c r="BV2740">
        <v>4.17</v>
      </c>
      <c r="BW2740">
        <v>1.99</v>
      </c>
      <c r="BX2740">
        <v>7.68</v>
      </c>
      <c r="BY2740">
        <v>28.32</v>
      </c>
      <c r="BZ2740">
        <v>25.01</v>
      </c>
      <c r="CA2740">
        <v>2.36</v>
      </c>
      <c r="CB2740">
        <v>2.39</v>
      </c>
      <c r="CC2740">
        <v>2.38</v>
      </c>
      <c r="CD2740">
        <v>1.62</v>
      </c>
      <c r="CE2740">
        <v>1.53</v>
      </c>
      <c r="CF2740">
        <v>-0.06</v>
      </c>
      <c r="CG2740">
        <v>10.9</v>
      </c>
      <c r="CH2740">
        <v>2.08</v>
      </c>
      <c r="CI2740">
        <v>3.86</v>
      </c>
      <c r="CJ2740">
        <v>85754</v>
      </c>
      <c r="CK2740">
        <v>6756</v>
      </c>
      <c r="CL2740" t="s">
        <v>4348</v>
      </c>
      <c r="CM2740">
        <v>277.97000000000003</v>
      </c>
      <c r="CN2740">
        <v>-5.22</v>
      </c>
      <c r="CO2740">
        <v>1.43</v>
      </c>
      <c r="CP2740">
        <v>23.14</v>
      </c>
      <c r="CQ2740">
        <v>1.7</v>
      </c>
      <c r="CR2740">
        <v>0.87</v>
      </c>
      <c r="CS2740" t="s">
        <v>4857</v>
      </c>
      <c r="CT2740">
        <v>3.2</v>
      </c>
      <c r="CU2740">
        <v>0</v>
      </c>
      <c r="CV2740">
        <v>0.73</v>
      </c>
      <c r="CW2740">
        <v>1.03</v>
      </c>
      <c r="CX2740">
        <v>0.2</v>
      </c>
      <c r="CY2740">
        <v>45.19</v>
      </c>
      <c r="CZ2740" t="s">
        <v>10519</v>
      </c>
      <c r="DA2740">
        <v>11.7</v>
      </c>
      <c r="DB2740">
        <v>8.32</v>
      </c>
      <c r="DC2740">
        <v>5.4</v>
      </c>
      <c r="DD2740">
        <v>0.03</v>
      </c>
      <c r="DE2740">
        <v>22524</v>
      </c>
      <c r="DF2740">
        <v>600662</v>
      </c>
      <c r="DG2740" t="s">
        <v>116</v>
      </c>
      <c r="DH2740" t="s">
        <v>116</v>
      </c>
      <c r="DI2740" t="s">
        <v>116</v>
      </c>
    </row>
    <row r="2741" spans="1:113" x14ac:dyDescent="0.4">
      <c r="A2741" t="str">
        <f>"600663"</f>
        <v>600663</v>
      </c>
      <c r="B2741" t="s">
        <v>12323</v>
      </c>
      <c r="C2741">
        <v>0.91</v>
      </c>
      <c r="D2741">
        <v>13.33</v>
      </c>
      <c r="E2741">
        <v>0.12</v>
      </c>
      <c r="F2741">
        <v>13.32</v>
      </c>
      <c r="G2741">
        <v>13.33</v>
      </c>
      <c r="H2741">
        <v>30078</v>
      </c>
      <c r="I2741">
        <v>375</v>
      </c>
      <c r="J2741">
        <v>0.15</v>
      </c>
      <c r="K2741">
        <v>0.1</v>
      </c>
      <c r="L2741">
        <v>13.26</v>
      </c>
      <c r="M2741">
        <v>13.47</v>
      </c>
      <c r="N2741">
        <v>13.25</v>
      </c>
      <c r="O2741">
        <v>13.21</v>
      </c>
      <c r="P2741">
        <v>16.170000000000002</v>
      </c>
      <c r="Q2741">
        <v>40215688</v>
      </c>
      <c r="R2741">
        <v>1.74</v>
      </c>
      <c r="S2741" t="s">
        <v>1503</v>
      </c>
      <c r="T2741" t="s">
        <v>1653</v>
      </c>
      <c r="U2741">
        <v>1.67</v>
      </c>
      <c r="V2741">
        <v>13.37</v>
      </c>
      <c r="W2741">
        <v>11460</v>
      </c>
      <c r="X2741">
        <v>18618</v>
      </c>
      <c r="Y2741">
        <v>0.62</v>
      </c>
      <c r="Z2741">
        <v>28</v>
      </c>
      <c r="AA2741">
        <v>19</v>
      </c>
      <c r="AB2741" t="s">
        <v>116</v>
      </c>
      <c r="AC2741">
        <v>230700</v>
      </c>
      <c r="AD2741">
        <v>0</v>
      </c>
      <c r="AE2741" t="s">
        <v>116</v>
      </c>
      <c r="AF2741" t="s">
        <v>116</v>
      </c>
      <c r="AG2741">
        <v>29.33</v>
      </c>
      <c r="AH2741" t="s">
        <v>12324</v>
      </c>
      <c r="AI2741" t="s">
        <v>12325</v>
      </c>
      <c r="AJ2741">
        <v>0.99</v>
      </c>
      <c r="AK2741">
        <v>1348</v>
      </c>
      <c r="AL2741">
        <v>22</v>
      </c>
      <c r="AM2741">
        <v>1E-4</v>
      </c>
      <c r="AN2741">
        <v>1</v>
      </c>
      <c r="AO2741">
        <v>0.38</v>
      </c>
      <c r="AP2741">
        <v>0.6</v>
      </c>
      <c r="AQ2741">
        <v>-4.58</v>
      </c>
      <c r="AR2741">
        <v>28.06</v>
      </c>
      <c r="AS2741">
        <v>0.46</v>
      </c>
      <c r="AT2741" t="s">
        <v>12326</v>
      </c>
      <c r="AU2741">
        <v>14.55</v>
      </c>
      <c r="AV2741">
        <v>16.05</v>
      </c>
      <c r="AW2741">
        <v>0.92</v>
      </c>
      <c r="BA2741">
        <v>0.38</v>
      </c>
      <c r="BB2741">
        <v>1.97</v>
      </c>
      <c r="BC2741">
        <v>0.3</v>
      </c>
      <c r="BD2741">
        <v>1.22</v>
      </c>
      <c r="BE2741">
        <v>0.53</v>
      </c>
      <c r="BF2741">
        <v>-1.04</v>
      </c>
      <c r="BG2741">
        <v>0.6</v>
      </c>
      <c r="BH2741">
        <v>-0.31</v>
      </c>
      <c r="BI2741">
        <v>20191031</v>
      </c>
      <c r="BJ2741">
        <v>19930628</v>
      </c>
      <c r="BK2741">
        <v>40.340000000000003</v>
      </c>
      <c r="BL2741">
        <v>11.01</v>
      </c>
      <c r="BM2741" t="s">
        <v>116</v>
      </c>
      <c r="BN2741">
        <v>876.57</v>
      </c>
      <c r="BO2741">
        <v>169.37</v>
      </c>
      <c r="BP2741">
        <v>104.65</v>
      </c>
      <c r="BQ2741">
        <v>68.739999999999995</v>
      </c>
      <c r="BR2741">
        <v>466.3</v>
      </c>
      <c r="BS2741">
        <v>15.48</v>
      </c>
      <c r="BT2741">
        <v>0.33</v>
      </c>
      <c r="BU2741">
        <v>361.7</v>
      </c>
      <c r="BV2741">
        <v>321.83</v>
      </c>
      <c r="BW2741">
        <v>5.55</v>
      </c>
      <c r="BX2741">
        <v>0.39</v>
      </c>
      <c r="BY2741">
        <v>104.81</v>
      </c>
      <c r="BZ2741">
        <v>42.78</v>
      </c>
      <c r="CA2741">
        <v>42.42</v>
      </c>
      <c r="CB2741">
        <v>4.09</v>
      </c>
      <c r="CC2741">
        <v>42.83</v>
      </c>
      <c r="CD2741">
        <v>33.11</v>
      </c>
      <c r="CE2741">
        <v>24.95</v>
      </c>
      <c r="CF2741">
        <v>23.83</v>
      </c>
      <c r="CG2741">
        <v>108.18</v>
      </c>
      <c r="CH2741">
        <v>-106.01</v>
      </c>
      <c r="CI2741">
        <v>1.04</v>
      </c>
      <c r="CJ2741">
        <v>109542</v>
      </c>
      <c r="CK2741">
        <v>16050</v>
      </c>
      <c r="CL2741" t="s">
        <v>12327</v>
      </c>
      <c r="CM2741">
        <v>16.079999999999998</v>
      </c>
      <c r="CN2741">
        <v>22.24</v>
      </c>
      <c r="CO2741">
        <v>3.18</v>
      </c>
      <c r="CP2741">
        <v>-5.07</v>
      </c>
      <c r="CQ2741">
        <v>5.13</v>
      </c>
      <c r="CR2741">
        <v>3.12</v>
      </c>
      <c r="CS2741" t="s">
        <v>10040</v>
      </c>
      <c r="CT2741">
        <v>4.2</v>
      </c>
      <c r="CU2741">
        <v>0</v>
      </c>
      <c r="CV2741">
        <v>0.01</v>
      </c>
      <c r="CW2741">
        <v>2.68</v>
      </c>
      <c r="CX2741">
        <v>-2.63</v>
      </c>
      <c r="CY2741">
        <v>19.32</v>
      </c>
      <c r="CZ2741" t="s">
        <v>12328</v>
      </c>
      <c r="DA2741">
        <v>59.18</v>
      </c>
      <c r="DB2741">
        <v>40.479999999999997</v>
      </c>
      <c r="DC2741">
        <v>23.8</v>
      </c>
      <c r="DD2741">
        <v>0</v>
      </c>
      <c r="DE2741">
        <v>5431</v>
      </c>
      <c r="DF2741">
        <v>600663</v>
      </c>
      <c r="DG2741" t="s">
        <v>116</v>
      </c>
      <c r="DH2741" t="s">
        <v>116</v>
      </c>
      <c r="DI2741" t="s">
        <v>116</v>
      </c>
    </row>
    <row r="2742" spans="1:113" x14ac:dyDescent="0.4">
      <c r="A2742" t="str">
        <f>"600664"</f>
        <v>600664</v>
      </c>
      <c r="B2742" t="s">
        <v>12329</v>
      </c>
      <c r="C2742">
        <v>-0.81</v>
      </c>
      <c r="D2742">
        <v>3.67</v>
      </c>
      <c r="E2742">
        <v>-0.03</v>
      </c>
      <c r="F2742">
        <v>3.67</v>
      </c>
      <c r="G2742">
        <v>3.68</v>
      </c>
      <c r="H2742">
        <v>100192</v>
      </c>
      <c r="I2742">
        <v>799</v>
      </c>
      <c r="J2742">
        <v>-0.26</v>
      </c>
      <c r="K2742">
        <v>0.4</v>
      </c>
      <c r="L2742">
        <v>3.71</v>
      </c>
      <c r="M2742">
        <v>3.73</v>
      </c>
      <c r="N2742">
        <v>3.66</v>
      </c>
      <c r="O2742">
        <v>3.7</v>
      </c>
      <c r="P2742">
        <v>1620.99</v>
      </c>
      <c r="Q2742">
        <v>36970384</v>
      </c>
      <c r="R2742">
        <v>0.78</v>
      </c>
      <c r="S2742" t="s">
        <v>574</v>
      </c>
      <c r="T2742" t="s">
        <v>1287</v>
      </c>
      <c r="U2742">
        <v>1.89</v>
      </c>
      <c r="V2742">
        <v>3.69</v>
      </c>
      <c r="W2742">
        <v>61644</v>
      </c>
      <c r="X2742">
        <v>38548</v>
      </c>
      <c r="Y2742">
        <v>1.6</v>
      </c>
      <c r="Z2742">
        <v>1888</v>
      </c>
      <c r="AA2742">
        <v>382</v>
      </c>
      <c r="AB2742" t="s">
        <v>116</v>
      </c>
      <c r="AC2742">
        <v>200300</v>
      </c>
      <c r="AD2742">
        <v>0</v>
      </c>
      <c r="AE2742" t="s">
        <v>116</v>
      </c>
      <c r="AF2742" t="s">
        <v>116</v>
      </c>
      <c r="AG2742">
        <v>25.07</v>
      </c>
      <c r="AH2742" t="s">
        <v>12330</v>
      </c>
      <c r="AI2742" t="s">
        <v>12330</v>
      </c>
      <c r="AJ2742">
        <v>-0.73</v>
      </c>
      <c r="AK2742">
        <v>1896</v>
      </c>
      <c r="AL2742">
        <v>53</v>
      </c>
      <c r="AM2742">
        <v>2.0000000000000001E-4</v>
      </c>
      <c r="AN2742">
        <v>-2</v>
      </c>
      <c r="AO2742">
        <v>0.54</v>
      </c>
      <c r="AP2742">
        <v>-1.87</v>
      </c>
      <c r="AQ2742">
        <v>-4.43</v>
      </c>
      <c r="AR2742">
        <v>-7.09</v>
      </c>
      <c r="AS2742">
        <v>0.75</v>
      </c>
      <c r="AT2742" t="s">
        <v>12331</v>
      </c>
      <c r="AU2742">
        <v>85.6</v>
      </c>
      <c r="AV2742">
        <v>26.58</v>
      </c>
      <c r="AW2742">
        <v>0.91</v>
      </c>
      <c r="BA2742">
        <v>0.27</v>
      </c>
      <c r="BB2742">
        <v>0.81</v>
      </c>
      <c r="BC2742">
        <v>-1.08</v>
      </c>
      <c r="BD2742">
        <v>-0.27</v>
      </c>
      <c r="BE2742">
        <v>-1.08</v>
      </c>
      <c r="BF2742">
        <v>-1.61</v>
      </c>
      <c r="BG2742">
        <v>0.27</v>
      </c>
      <c r="BH2742">
        <v>-0.54</v>
      </c>
      <c r="BI2742">
        <v>20191026</v>
      </c>
      <c r="BJ2742">
        <v>19930629</v>
      </c>
      <c r="BK2742">
        <v>25.07</v>
      </c>
      <c r="BL2742" t="s">
        <v>116</v>
      </c>
      <c r="BM2742" t="s">
        <v>116</v>
      </c>
      <c r="BN2742">
        <v>119.16</v>
      </c>
      <c r="BO2742">
        <v>52.13</v>
      </c>
      <c r="BP2742">
        <v>4.74</v>
      </c>
      <c r="BQ2742">
        <v>52.27</v>
      </c>
      <c r="BR2742">
        <v>67.92</v>
      </c>
      <c r="BS2742">
        <v>30.66</v>
      </c>
      <c r="BT2742">
        <v>4.7699999999999996</v>
      </c>
      <c r="BU2742">
        <v>57.26</v>
      </c>
      <c r="BV2742">
        <v>18.52</v>
      </c>
      <c r="BW2742">
        <v>34.090000000000003</v>
      </c>
      <c r="BX2742">
        <v>6.63</v>
      </c>
      <c r="BY2742">
        <v>84.64</v>
      </c>
      <c r="BZ2742">
        <v>65.06</v>
      </c>
      <c r="CA2742">
        <v>1.61</v>
      </c>
      <c r="CB2742">
        <v>0.95</v>
      </c>
      <c r="CC2742">
        <v>1.73</v>
      </c>
      <c r="CD2742">
        <v>0.57999999999999996</v>
      </c>
      <c r="CE2742">
        <v>0.04</v>
      </c>
      <c r="CF2742">
        <v>-0.33</v>
      </c>
      <c r="CG2742">
        <v>17.98</v>
      </c>
      <c r="CH2742">
        <v>-1.49</v>
      </c>
      <c r="CI2742">
        <v>-14.23</v>
      </c>
      <c r="CJ2742">
        <v>103848</v>
      </c>
      <c r="CK2742">
        <v>12843</v>
      </c>
      <c r="CL2742" t="s">
        <v>7271</v>
      </c>
      <c r="CM2742">
        <v>-98.25</v>
      </c>
      <c r="CN2742">
        <v>4.45</v>
      </c>
      <c r="CO2742">
        <v>1.76</v>
      </c>
      <c r="CP2742">
        <v>-61.77</v>
      </c>
      <c r="CQ2742">
        <v>1.0900000000000001</v>
      </c>
      <c r="CR2742">
        <v>0</v>
      </c>
      <c r="CS2742" t="s">
        <v>1018</v>
      </c>
      <c r="CT2742">
        <v>2.08</v>
      </c>
      <c r="CU2742">
        <v>0</v>
      </c>
      <c r="CV2742">
        <v>0.26</v>
      </c>
      <c r="CW2742">
        <v>0.72</v>
      </c>
      <c r="CX2742">
        <v>-0.06</v>
      </c>
      <c r="CY2742">
        <v>43.75</v>
      </c>
      <c r="CZ2742" t="s">
        <v>6203</v>
      </c>
      <c r="DA2742">
        <v>23.14</v>
      </c>
      <c r="DB2742">
        <v>1.91</v>
      </c>
      <c r="DC2742">
        <v>0.05</v>
      </c>
      <c r="DD2742">
        <v>0.87</v>
      </c>
      <c r="DE2742">
        <v>15396</v>
      </c>
      <c r="DF2742">
        <v>600664</v>
      </c>
      <c r="DG2742" t="s">
        <v>116</v>
      </c>
      <c r="DH2742" t="s">
        <v>116</v>
      </c>
      <c r="DI2742" t="s">
        <v>116</v>
      </c>
    </row>
    <row r="2743" spans="1:113" x14ac:dyDescent="0.4">
      <c r="A2743" t="str">
        <f>"600665"</f>
        <v>600665</v>
      </c>
      <c r="B2743" t="s">
        <v>12332</v>
      </c>
      <c r="C2743">
        <v>-0.85</v>
      </c>
      <c r="D2743">
        <v>3.51</v>
      </c>
      <c r="E2743">
        <v>-0.03</v>
      </c>
      <c r="F2743">
        <v>3.51</v>
      </c>
      <c r="G2743">
        <v>3.52</v>
      </c>
      <c r="H2743">
        <v>20782</v>
      </c>
      <c r="I2743">
        <v>60</v>
      </c>
      <c r="J2743">
        <v>0</v>
      </c>
      <c r="K2743">
        <v>0.24</v>
      </c>
      <c r="L2743">
        <v>3.54</v>
      </c>
      <c r="M2743">
        <v>3.55</v>
      </c>
      <c r="N2743">
        <v>3.51</v>
      </c>
      <c r="O2743">
        <v>3.54</v>
      </c>
      <c r="P2743">
        <v>9.26</v>
      </c>
      <c r="Q2743">
        <v>7331396</v>
      </c>
      <c r="R2743">
        <v>1.6</v>
      </c>
      <c r="S2743" t="s">
        <v>124</v>
      </c>
      <c r="T2743" t="s">
        <v>913</v>
      </c>
      <c r="U2743">
        <v>1.1299999999999999</v>
      </c>
      <c r="V2743">
        <v>3.53</v>
      </c>
      <c r="W2743">
        <v>13032</v>
      </c>
      <c r="X2743">
        <v>7750</v>
      </c>
      <c r="Y2743">
        <v>1.68</v>
      </c>
      <c r="Z2743">
        <v>1398</v>
      </c>
      <c r="AA2743">
        <v>2817</v>
      </c>
      <c r="AB2743" t="s">
        <v>116</v>
      </c>
      <c r="AC2743">
        <v>3500</v>
      </c>
      <c r="AD2743">
        <v>0</v>
      </c>
      <c r="AE2743" t="s">
        <v>116</v>
      </c>
      <c r="AF2743" t="s">
        <v>116</v>
      </c>
      <c r="AG2743">
        <v>8.64</v>
      </c>
      <c r="AH2743" t="s">
        <v>235</v>
      </c>
      <c r="AI2743" t="s">
        <v>235</v>
      </c>
      <c r="AJ2743">
        <v>-0.77</v>
      </c>
      <c r="AK2743">
        <v>270</v>
      </c>
      <c r="AL2743">
        <v>77</v>
      </c>
      <c r="AM2743">
        <v>8.9999999999999998E-4</v>
      </c>
      <c r="AN2743">
        <v>-1</v>
      </c>
      <c r="AO2743">
        <v>-0.28999999999999998</v>
      </c>
      <c r="AP2743">
        <v>4.78</v>
      </c>
      <c r="AQ2743">
        <v>2.63</v>
      </c>
      <c r="AR2743">
        <v>6.56</v>
      </c>
      <c r="AS2743">
        <v>0.56999999999999995</v>
      </c>
      <c r="AT2743" t="s">
        <v>6911</v>
      </c>
      <c r="AU2743">
        <v>9.68</v>
      </c>
      <c r="AV2743">
        <v>7.21</v>
      </c>
      <c r="AW2743">
        <v>1.05</v>
      </c>
      <c r="BA2743">
        <v>0</v>
      </c>
      <c r="BB2743">
        <v>0.28000000000000003</v>
      </c>
      <c r="BC2743">
        <v>-0.85</v>
      </c>
      <c r="BD2743">
        <v>-0.34</v>
      </c>
      <c r="BE2743">
        <v>-0.85</v>
      </c>
      <c r="BF2743">
        <v>-1.1299999999999999</v>
      </c>
      <c r="BG2743">
        <v>0</v>
      </c>
      <c r="BH2743">
        <v>-0.5</v>
      </c>
      <c r="BI2743">
        <v>20191031</v>
      </c>
      <c r="BJ2743">
        <v>19930709</v>
      </c>
      <c r="BK2743">
        <v>8.64</v>
      </c>
      <c r="BL2743" t="s">
        <v>116</v>
      </c>
      <c r="BM2743" t="s">
        <v>116</v>
      </c>
      <c r="BN2743">
        <v>265.27</v>
      </c>
      <c r="BO2743">
        <v>35.090000000000003</v>
      </c>
      <c r="BP2743">
        <v>3.75</v>
      </c>
      <c r="BQ2743">
        <v>85.36</v>
      </c>
      <c r="BR2743">
        <v>255.52</v>
      </c>
      <c r="BS2743">
        <v>1.33</v>
      </c>
      <c r="BT2743">
        <v>0.06</v>
      </c>
      <c r="BU2743">
        <v>114</v>
      </c>
      <c r="BV2743">
        <v>200.33</v>
      </c>
      <c r="BW2743">
        <v>0.17</v>
      </c>
      <c r="BX2743">
        <v>2.0099999999999998</v>
      </c>
      <c r="BY2743">
        <v>24.71</v>
      </c>
      <c r="BZ2743">
        <v>18.59</v>
      </c>
      <c r="CA2743">
        <v>3.23</v>
      </c>
      <c r="CB2743">
        <v>0</v>
      </c>
      <c r="CC2743">
        <v>3.27</v>
      </c>
      <c r="CD2743">
        <v>2.42</v>
      </c>
      <c r="CE2743">
        <v>2.46</v>
      </c>
      <c r="CF2743">
        <v>2.4300000000000002</v>
      </c>
      <c r="CG2743">
        <v>21.24</v>
      </c>
      <c r="CH2743">
        <v>-9.77</v>
      </c>
      <c r="CI2743">
        <v>9.19</v>
      </c>
      <c r="CJ2743">
        <v>41942</v>
      </c>
      <c r="CK2743">
        <v>8753</v>
      </c>
      <c r="CL2743" t="s">
        <v>3910</v>
      </c>
      <c r="CM2743">
        <v>-30.36</v>
      </c>
      <c r="CN2743">
        <v>-38.409999999999997</v>
      </c>
      <c r="CO2743">
        <v>0.86</v>
      </c>
      <c r="CP2743">
        <v>-3.1</v>
      </c>
      <c r="CQ2743">
        <v>1.23</v>
      </c>
      <c r="CR2743">
        <v>4.16</v>
      </c>
      <c r="CS2743" t="s">
        <v>1881</v>
      </c>
      <c r="CT2743">
        <v>4.0599999999999996</v>
      </c>
      <c r="CU2743">
        <v>0</v>
      </c>
      <c r="CV2743">
        <v>0.23</v>
      </c>
      <c r="CW2743">
        <v>2.46</v>
      </c>
      <c r="CX2743">
        <v>-1.1299999999999999</v>
      </c>
      <c r="CY2743">
        <v>13.23</v>
      </c>
      <c r="CZ2743" t="s">
        <v>7855</v>
      </c>
      <c r="DA2743">
        <v>24.76</v>
      </c>
      <c r="DB2743">
        <v>13.08</v>
      </c>
      <c r="DC2743">
        <v>9.94</v>
      </c>
      <c r="DD2743">
        <v>0</v>
      </c>
      <c r="DE2743">
        <v>1970</v>
      </c>
      <c r="DF2743">
        <v>600665</v>
      </c>
      <c r="DG2743" t="s">
        <v>116</v>
      </c>
      <c r="DH2743" t="s">
        <v>116</v>
      </c>
      <c r="DI2743" t="s">
        <v>116</v>
      </c>
    </row>
    <row r="2744" spans="1:113" x14ac:dyDescent="0.4">
      <c r="A2744" t="str">
        <f>"600666"</f>
        <v>600666</v>
      </c>
      <c r="B2744" t="s">
        <v>12333</v>
      </c>
      <c r="C2744">
        <v>1</v>
      </c>
      <c r="D2744">
        <v>2.0299999999999998</v>
      </c>
      <c r="E2744">
        <v>0.02</v>
      </c>
      <c r="F2744">
        <v>2.0299999999999998</v>
      </c>
      <c r="G2744">
        <v>2.04</v>
      </c>
      <c r="H2744">
        <v>143156</v>
      </c>
      <c r="I2744">
        <v>1841</v>
      </c>
      <c r="J2744">
        <v>0</v>
      </c>
      <c r="K2744">
        <v>1.78</v>
      </c>
      <c r="L2744">
        <v>1.99</v>
      </c>
      <c r="M2744">
        <v>2.0699999999999998</v>
      </c>
      <c r="N2744">
        <v>1.99</v>
      </c>
      <c r="O2744">
        <v>2.0099999999999998</v>
      </c>
      <c r="P2744" t="s">
        <v>116</v>
      </c>
      <c r="Q2744">
        <v>29044356</v>
      </c>
      <c r="R2744">
        <v>0.53</v>
      </c>
      <c r="S2744" t="s">
        <v>233</v>
      </c>
      <c r="T2744" t="s">
        <v>1287</v>
      </c>
      <c r="U2744">
        <v>3.98</v>
      </c>
      <c r="V2744">
        <v>2.0299999999999998</v>
      </c>
      <c r="W2744">
        <v>68683</v>
      </c>
      <c r="X2744">
        <v>74473</v>
      </c>
      <c r="Y2744">
        <v>0.92</v>
      </c>
      <c r="Z2744">
        <v>16</v>
      </c>
      <c r="AA2744">
        <v>4706</v>
      </c>
      <c r="AB2744" t="s">
        <v>116</v>
      </c>
      <c r="AC2744">
        <v>77400</v>
      </c>
      <c r="AD2744">
        <v>0.01</v>
      </c>
      <c r="AE2744" t="s">
        <v>116</v>
      </c>
      <c r="AF2744" t="s">
        <v>116</v>
      </c>
      <c r="AG2744">
        <v>8.0399999999999991</v>
      </c>
      <c r="AH2744" t="s">
        <v>12334</v>
      </c>
      <c r="AI2744" t="s">
        <v>4353</v>
      </c>
      <c r="AJ2744">
        <v>1.07</v>
      </c>
      <c r="AK2744">
        <v>1065</v>
      </c>
      <c r="AL2744">
        <v>134</v>
      </c>
      <c r="AM2744">
        <v>1.6999999999999999E-3</v>
      </c>
      <c r="AN2744">
        <v>1</v>
      </c>
      <c r="AO2744">
        <v>-4.25</v>
      </c>
      <c r="AP2744">
        <v>11.54</v>
      </c>
      <c r="AQ2744">
        <v>11.54</v>
      </c>
      <c r="AR2744">
        <v>-33</v>
      </c>
      <c r="AS2744">
        <v>2.16</v>
      </c>
      <c r="AT2744" t="s">
        <v>10924</v>
      </c>
      <c r="AU2744" t="s">
        <v>116</v>
      </c>
      <c r="AV2744" t="s">
        <v>116</v>
      </c>
      <c r="AW2744">
        <v>0.15</v>
      </c>
      <c r="BA2744">
        <v>-1</v>
      </c>
      <c r="BB2744">
        <v>2.99</v>
      </c>
      <c r="BC2744">
        <v>-1</v>
      </c>
      <c r="BD2744">
        <v>0.94</v>
      </c>
      <c r="BE2744">
        <v>2.0099999999999998</v>
      </c>
      <c r="BF2744">
        <v>-1.93</v>
      </c>
      <c r="BG2744">
        <v>2.0099999999999998</v>
      </c>
      <c r="BH2744">
        <v>0.06</v>
      </c>
      <c r="BI2744">
        <v>20191216</v>
      </c>
      <c r="BJ2744">
        <v>19930712</v>
      </c>
      <c r="BK2744">
        <v>12.27</v>
      </c>
      <c r="BL2744" t="s">
        <v>116</v>
      </c>
      <c r="BM2744" t="s">
        <v>116</v>
      </c>
      <c r="BN2744">
        <v>42.79</v>
      </c>
      <c r="BO2744">
        <v>6.49</v>
      </c>
      <c r="BP2744">
        <v>0.21</v>
      </c>
      <c r="BQ2744">
        <v>84.36</v>
      </c>
      <c r="BR2744">
        <v>17.739999999999998</v>
      </c>
      <c r="BS2744">
        <v>9.73</v>
      </c>
      <c r="BT2744">
        <v>3.11</v>
      </c>
      <c r="BU2744">
        <v>28.06</v>
      </c>
      <c r="BV2744">
        <v>6.41</v>
      </c>
      <c r="BW2744">
        <v>7.02</v>
      </c>
      <c r="BX2744">
        <v>7.9</v>
      </c>
      <c r="BY2744">
        <v>6.1</v>
      </c>
      <c r="BZ2744">
        <v>4.8099999999999996</v>
      </c>
      <c r="CA2744">
        <v>-0.61</v>
      </c>
      <c r="CB2744">
        <v>-0.01</v>
      </c>
      <c r="CC2744">
        <v>-0.67</v>
      </c>
      <c r="CD2744">
        <v>-0.26</v>
      </c>
      <c r="CE2744">
        <v>-0.26</v>
      </c>
      <c r="CF2744">
        <v>0.4</v>
      </c>
      <c r="CG2744">
        <v>-9.7799999999999994</v>
      </c>
      <c r="CH2744">
        <v>0.89</v>
      </c>
      <c r="CI2744">
        <v>0.06</v>
      </c>
      <c r="CJ2744">
        <v>72099</v>
      </c>
      <c r="CK2744">
        <v>9208</v>
      </c>
      <c r="CL2744" t="s">
        <v>4841</v>
      </c>
      <c r="CM2744">
        <v>-474.49</v>
      </c>
      <c r="CN2744">
        <v>-26.69</v>
      </c>
      <c r="CO2744">
        <v>3.84</v>
      </c>
      <c r="CP2744">
        <v>28.03</v>
      </c>
      <c r="CQ2744">
        <v>4.09</v>
      </c>
      <c r="CR2744">
        <v>0</v>
      </c>
      <c r="CS2744" t="s">
        <v>2584</v>
      </c>
      <c r="CT2744">
        <v>0.53</v>
      </c>
      <c r="CU2744">
        <v>0</v>
      </c>
      <c r="CV2744">
        <v>0.64</v>
      </c>
      <c r="CW2744">
        <v>-0.8</v>
      </c>
      <c r="CX2744">
        <v>7.0000000000000007E-2</v>
      </c>
      <c r="CY2744">
        <v>15.16</v>
      </c>
      <c r="CZ2744" t="s">
        <v>12335</v>
      </c>
      <c r="DA2744">
        <v>21.14</v>
      </c>
      <c r="DB2744">
        <v>-9.93</v>
      </c>
      <c r="DC2744">
        <v>-4.28</v>
      </c>
      <c r="DD2744">
        <v>0.38</v>
      </c>
      <c r="DE2744">
        <v>1424</v>
      </c>
      <c r="DF2744">
        <v>600666</v>
      </c>
      <c r="DG2744" t="s">
        <v>116</v>
      </c>
      <c r="DH2744" t="s">
        <v>116</v>
      </c>
      <c r="DI2744" t="s">
        <v>116</v>
      </c>
    </row>
    <row r="2745" spans="1:113" x14ac:dyDescent="0.4">
      <c r="A2745" t="str">
        <f>"600667"</f>
        <v>600667</v>
      </c>
      <c r="B2745" t="s">
        <v>12336</v>
      </c>
      <c r="C2745">
        <v>-3.36</v>
      </c>
      <c r="D2745">
        <v>8.34</v>
      </c>
      <c r="E2745">
        <v>-0.28999999999999998</v>
      </c>
      <c r="F2745">
        <v>8.34</v>
      </c>
      <c r="G2745">
        <v>8.35</v>
      </c>
      <c r="H2745">
        <v>1276328</v>
      </c>
      <c r="I2745">
        <v>11685</v>
      </c>
      <c r="J2745">
        <v>-0.47</v>
      </c>
      <c r="K2745">
        <v>7.55</v>
      </c>
      <c r="L2745">
        <v>8.65</v>
      </c>
      <c r="M2745">
        <v>8.86</v>
      </c>
      <c r="N2745">
        <v>8.34</v>
      </c>
      <c r="O2745">
        <v>8.6300000000000008</v>
      </c>
      <c r="P2745">
        <v>29.11</v>
      </c>
      <c r="Q2745">
        <v>1098235520</v>
      </c>
      <c r="R2745">
        <v>1.85</v>
      </c>
      <c r="S2745" t="s">
        <v>3507</v>
      </c>
      <c r="T2745" t="s">
        <v>323</v>
      </c>
      <c r="U2745">
        <v>6.03</v>
      </c>
      <c r="V2745">
        <v>8.6</v>
      </c>
      <c r="W2745">
        <v>682309</v>
      </c>
      <c r="X2745">
        <v>594019</v>
      </c>
      <c r="Y2745">
        <v>1.1499999999999999</v>
      </c>
      <c r="Z2745">
        <v>2675</v>
      </c>
      <c r="AA2745">
        <v>1111</v>
      </c>
      <c r="AB2745" t="s">
        <v>116</v>
      </c>
      <c r="AC2745">
        <v>19474600</v>
      </c>
      <c r="AD2745">
        <v>0.24</v>
      </c>
      <c r="AE2745" t="s">
        <v>116</v>
      </c>
      <c r="AF2745" t="s">
        <v>116</v>
      </c>
      <c r="AG2745">
        <v>16.91</v>
      </c>
      <c r="AH2745" t="s">
        <v>12337</v>
      </c>
      <c r="AI2745" t="s">
        <v>12338</v>
      </c>
      <c r="AJ2745">
        <v>-3.28</v>
      </c>
      <c r="AK2745">
        <v>4624</v>
      </c>
      <c r="AL2745">
        <v>276</v>
      </c>
      <c r="AM2745">
        <v>1.6000000000000001E-3</v>
      </c>
      <c r="AN2745">
        <v>-1</v>
      </c>
      <c r="AO2745">
        <v>10.32</v>
      </c>
      <c r="AP2745">
        <v>19.14</v>
      </c>
      <c r="AQ2745">
        <v>7.75</v>
      </c>
      <c r="AR2745">
        <v>67.709999999999994</v>
      </c>
      <c r="AS2745">
        <v>13.71</v>
      </c>
      <c r="AT2745" t="s">
        <v>2230</v>
      </c>
      <c r="AU2745">
        <v>26.71</v>
      </c>
      <c r="AV2745">
        <v>30.66</v>
      </c>
      <c r="AW2745">
        <v>1.37</v>
      </c>
      <c r="BA2745">
        <v>0.23</v>
      </c>
      <c r="BB2745">
        <v>2.67</v>
      </c>
      <c r="BC2745">
        <v>-3.36</v>
      </c>
      <c r="BD2745">
        <v>-0.28999999999999998</v>
      </c>
      <c r="BE2745">
        <v>-3.58</v>
      </c>
      <c r="BF2745">
        <v>-5.87</v>
      </c>
      <c r="BG2745">
        <v>0</v>
      </c>
      <c r="BH2745">
        <v>-3.07</v>
      </c>
      <c r="BI2745">
        <v>20191115</v>
      </c>
      <c r="BJ2745">
        <v>19930728</v>
      </c>
      <c r="BK2745">
        <v>21.06</v>
      </c>
      <c r="BL2745" t="s">
        <v>116</v>
      </c>
      <c r="BM2745" t="s">
        <v>116</v>
      </c>
      <c r="BN2745">
        <v>198.85</v>
      </c>
      <c r="BO2745">
        <v>66.69</v>
      </c>
      <c r="BP2745">
        <v>7.26</v>
      </c>
      <c r="BQ2745">
        <v>62.81</v>
      </c>
      <c r="BR2745">
        <v>114.07</v>
      </c>
      <c r="BS2745">
        <v>58.9</v>
      </c>
      <c r="BT2745">
        <v>4.62</v>
      </c>
      <c r="BU2745">
        <v>99.28</v>
      </c>
      <c r="BV2745">
        <v>23.52</v>
      </c>
      <c r="BW2745">
        <v>38.229999999999997</v>
      </c>
      <c r="BX2745">
        <v>31.17</v>
      </c>
      <c r="BY2745">
        <v>124.68</v>
      </c>
      <c r="BZ2745">
        <v>110.03</v>
      </c>
      <c r="CA2745">
        <v>6.09</v>
      </c>
      <c r="CB2745">
        <v>0.86</v>
      </c>
      <c r="CC2745">
        <v>6.02</v>
      </c>
      <c r="CD2745">
        <v>5.26</v>
      </c>
      <c r="CE2745">
        <v>4.53</v>
      </c>
      <c r="CF2745">
        <v>4.49</v>
      </c>
      <c r="CG2745">
        <v>12.27</v>
      </c>
      <c r="CH2745">
        <v>3.46</v>
      </c>
      <c r="CI2745">
        <v>-12.97</v>
      </c>
      <c r="CJ2745">
        <v>72970</v>
      </c>
      <c r="CK2745">
        <v>12762</v>
      </c>
      <c r="CL2745" t="s">
        <v>12339</v>
      </c>
      <c r="CM2745">
        <v>23.01</v>
      </c>
      <c r="CN2745">
        <v>11.06</v>
      </c>
      <c r="CO2745">
        <v>2.63</v>
      </c>
      <c r="CP2745">
        <v>50.76</v>
      </c>
      <c r="CQ2745">
        <v>1.41</v>
      </c>
      <c r="CR2745">
        <v>1.64</v>
      </c>
      <c r="CS2745" t="s">
        <v>4228</v>
      </c>
      <c r="CT2745">
        <v>3.17</v>
      </c>
      <c r="CU2745">
        <v>0</v>
      </c>
      <c r="CV2745">
        <v>1.48</v>
      </c>
      <c r="CW2745">
        <v>0.57999999999999996</v>
      </c>
      <c r="CX2745">
        <v>0.16</v>
      </c>
      <c r="CY2745">
        <v>33.54</v>
      </c>
      <c r="CZ2745" t="s">
        <v>1659</v>
      </c>
      <c r="DA2745">
        <v>11.75</v>
      </c>
      <c r="DB2745">
        <v>4.88</v>
      </c>
      <c r="DC2745">
        <v>3.63</v>
      </c>
      <c r="DD2745">
        <v>3.12</v>
      </c>
      <c r="DE2745">
        <v>7150</v>
      </c>
      <c r="DF2745">
        <v>600667</v>
      </c>
      <c r="DG2745" t="s">
        <v>116</v>
      </c>
      <c r="DH2745" t="s">
        <v>116</v>
      </c>
      <c r="DI2745" t="s">
        <v>116</v>
      </c>
    </row>
    <row r="2746" spans="1:113" x14ac:dyDescent="0.4">
      <c r="A2746" t="str">
        <f>"600668"</f>
        <v>600668</v>
      </c>
      <c r="B2746" t="s">
        <v>12340</v>
      </c>
      <c r="C2746">
        <v>-2.23</v>
      </c>
      <c r="D2746">
        <v>14.92</v>
      </c>
      <c r="E2746">
        <v>-0.34</v>
      </c>
      <c r="F2746">
        <v>14.92</v>
      </c>
      <c r="G2746">
        <v>14.93</v>
      </c>
      <c r="H2746">
        <v>111405</v>
      </c>
      <c r="I2746">
        <v>2175</v>
      </c>
      <c r="J2746">
        <v>-0.19</v>
      </c>
      <c r="K2746">
        <v>3.24</v>
      </c>
      <c r="L2746">
        <v>15.23</v>
      </c>
      <c r="M2746">
        <v>15.32</v>
      </c>
      <c r="N2746">
        <v>14.89</v>
      </c>
      <c r="O2746">
        <v>15.26</v>
      </c>
      <c r="P2746">
        <v>6.27</v>
      </c>
      <c r="Q2746">
        <v>168803392</v>
      </c>
      <c r="R2746">
        <v>1.01</v>
      </c>
      <c r="S2746" t="s">
        <v>660</v>
      </c>
      <c r="T2746" t="s">
        <v>590</v>
      </c>
      <c r="U2746">
        <v>2.82</v>
      </c>
      <c r="V2746">
        <v>15.15</v>
      </c>
      <c r="W2746">
        <v>69944</v>
      </c>
      <c r="X2746">
        <v>41461</v>
      </c>
      <c r="Y2746">
        <v>1.69</v>
      </c>
      <c r="Z2746">
        <v>140</v>
      </c>
      <c r="AA2746">
        <v>12</v>
      </c>
      <c r="AB2746" t="s">
        <v>116</v>
      </c>
      <c r="AC2746">
        <v>332000</v>
      </c>
      <c r="AD2746">
        <v>0.01</v>
      </c>
      <c r="AE2746" t="s">
        <v>116</v>
      </c>
      <c r="AF2746" t="s">
        <v>116</v>
      </c>
      <c r="AG2746">
        <v>3.44</v>
      </c>
      <c r="AH2746" t="s">
        <v>12341</v>
      </c>
      <c r="AI2746" t="s">
        <v>12341</v>
      </c>
      <c r="AJ2746">
        <v>-2.15</v>
      </c>
      <c r="AK2746">
        <v>2128</v>
      </c>
      <c r="AL2746">
        <v>52</v>
      </c>
      <c r="AM2746">
        <v>1.5E-3</v>
      </c>
      <c r="AN2746">
        <v>-1</v>
      </c>
      <c r="AO2746">
        <v>-1.9</v>
      </c>
      <c r="AP2746">
        <v>7.96</v>
      </c>
      <c r="AQ2746">
        <v>4.1900000000000004</v>
      </c>
      <c r="AR2746">
        <v>29.74</v>
      </c>
      <c r="AS2746">
        <v>3.86</v>
      </c>
      <c r="AT2746" t="s">
        <v>12169</v>
      </c>
      <c r="AU2746">
        <v>7.18</v>
      </c>
      <c r="AV2746">
        <v>8.7200000000000006</v>
      </c>
      <c r="AW2746">
        <v>1.87</v>
      </c>
      <c r="BA2746">
        <v>-0.2</v>
      </c>
      <c r="BB2746">
        <v>0.39</v>
      </c>
      <c r="BC2746">
        <v>-2.42</v>
      </c>
      <c r="BD2746">
        <v>-0.71</v>
      </c>
      <c r="BE2746">
        <v>-2.04</v>
      </c>
      <c r="BF2746">
        <v>-2.61</v>
      </c>
      <c r="BG2746">
        <v>0.2</v>
      </c>
      <c r="BH2746">
        <v>-1.52</v>
      </c>
      <c r="BI2746">
        <v>20191031</v>
      </c>
      <c r="BJ2746">
        <v>19930728</v>
      </c>
      <c r="BK2746">
        <v>3.44</v>
      </c>
      <c r="BL2746" t="s">
        <v>116</v>
      </c>
      <c r="BM2746" t="s">
        <v>116</v>
      </c>
      <c r="BN2746">
        <v>54.97</v>
      </c>
      <c r="BO2746">
        <v>36.409999999999997</v>
      </c>
      <c r="BP2746">
        <v>2.75</v>
      </c>
      <c r="BQ2746">
        <v>28.75</v>
      </c>
      <c r="BR2746">
        <v>17.34</v>
      </c>
      <c r="BS2746">
        <v>12.82</v>
      </c>
      <c r="BT2746">
        <v>2.6</v>
      </c>
      <c r="BU2746">
        <v>12.53</v>
      </c>
      <c r="BV2746">
        <v>3.25</v>
      </c>
      <c r="BW2746">
        <v>3.09</v>
      </c>
      <c r="BX2746">
        <v>4.51</v>
      </c>
      <c r="BY2746">
        <v>25.68</v>
      </c>
      <c r="BZ2746">
        <v>15.15</v>
      </c>
      <c r="CA2746">
        <v>7.99</v>
      </c>
      <c r="CB2746">
        <v>1.44</v>
      </c>
      <c r="CC2746">
        <v>8.02</v>
      </c>
      <c r="CD2746">
        <v>6.78</v>
      </c>
      <c r="CE2746">
        <v>6.15</v>
      </c>
      <c r="CF2746">
        <v>5.14</v>
      </c>
      <c r="CG2746">
        <v>25.39</v>
      </c>
      <c r="CH2746">
        <v>3.59</v>
      </c>
      <c r="CI2746">
        <v>1</v>
      </c>
      <c r="CJ2746">
        <v>30200</v>
      </c>
      <c r="CK2746">
        <v>9554</v>
      </c>
      <c r="CL2746" t="s">
        <v>12342</v>
      </c>
      <c r="CM2746">
        <v>25.89</v>
      </c>
      <c r="CN2746">
        <v>11.25</v>
      </c>
      <c r="CO2746">
        <v>1.41</v>
      </c>
      <c r="CP2746">
        <v>14.31</v>
      </c>
      <c r="CQ2746">
        <v>2</v>
      </c>
      <c r="CR2746">
        <v>2.0099999999999998</v>
      </c>
      <c r="CS2746" t="s">
        <v>12343</v>
      </c>
      <c r="CT2746">
        <v>10.58</v>
      </c>
      <c r="CU2746">
        <v>0</v>
      </c>
      <c r="CV2746">
        <v>1.31</v>
      </c>
      <c r="CW2746">
        <v>7.38</v>
      </c>
      <c r="CX2746">
        <v>1.04</v>
      </c>
      <c r="CY2746">
        <v>66.239999999999995</v>
      </c>
      <c r="CZ2746" t="s">
        <v>12344</v>
      </c>
      <c r="DA2746">
        <v>40.99</v>
      </c>
      <c r="DB2746">
        <v>31.1</v>
      </c>
      <c r="DC2746">
        <v>23.93</v>
      </c>
      <c r="DD2746">
        <v>0.39</v>
      </c>
      <c r="DE2746">
        <v>1885</v>
      </c>
      <c r="DF2746">
        <v>600668</v>
      </c>
      <c r="DG2746" t="s">
        <v>116</v>
      </c>
      <c r="DH2746" t="s">
        <v>116</v>
      </c>
      <c r="DI2746" t="s">
        <v>116</v>
      </c>
    </row>
    <row r="2747" spans="1:113" x14ac:dyDescent="0.4">
      <c r="A2747" t="str">
        <f>"600671"</f>
        <v>600671</v>
      </c>
      <c r="B2747" t="s">
        <v>12345</v>
      </c>
      <c r="C2747">
        <v>-1.44</v>
      </c>
      <c r="D2747">
        <v>12.3</v>
      </c>
      <c r="E2747">
        <v>-0.18</v>
      </c>
      <c r="F2747">
        <v>12.28</v>
      </c>
      <c r="G2747">
        <v>12.3</v>
      </c>
      <c r="H2747">
        <v>30214</v>
      </c>
      <c r="I2747">
        <v>145</v>
      </c>
      <c r="J2747">
        <v>0.33</v>
      </c>
      <c r="K2747">
        <v>2.48</v>
      </c>
      <c r="L2747">
        <v>12.4</v>
      </c>
      <c r="M2747">
        <v>12.55</v>
      </c>
      <c r="N2747">
        <v>12.24</v>
      </c>
      <c r="O2747">
        <v>12.48</v>
      </c>
      <c r="P2747">
        <v>670.05</v>
      </c>
      <c r="Q2747">
        <v>37389652</v>
      </c>
      <c r="R2747">
        <v>0.88</v>
      </c>
      <c r="S2747" t="s">
        <v>781</v>
      </c>
      <c r="T2747" t="s">
        <v>590</v>
      </c>
      <c r="U2747">
        <v>2.48</v>
      </c>
      <c r="V2747">
        <v>12.38</v>
      </c>
      <c r="W2747">
        <v>16514</v>
      </c>
      <c r="X2747">
        <v>13700</v>
      </c>
      <c r="Y2747">
        <v>1.21</v>
      </c>
      <c r="Z2747">
        <v>34</v>
      </c>
      <c r="AA2747">
        <v>7</v>
      </c>
      <c r="AB2747" t="s">
        <v>116</v>
      </c>
      <c r="AC2747">
        <v>250500</v>
      </c>
      <c r="AD2747">
        <v>0.03</v>
      </c>
      <c r="AE2747" t="s">
        <v>116</v>
      </c>
      <c r="AF2747" t="s">
        <v>116</v>
      </c>
      <c r="AG2747">
        <v>1.22</v>
      </c>
      <c r="AH2747" t="s">
        <v>11305</v>
      </c>
      <c r="AI2747" t="s">
        <v>12346</v>
      </c>
      <c r="AJ2747">
        <v>-1.37</v>
      </c>
      <c r="AK2747">
        <v>1181</v>
      </c>
      <c r="AL2747">
        <v>26</v>
      </c>
      <c r="AM2747">
        <v>2.0999999999999999E-3</v>
      </c>
      <c r="AN2747">
        <v>-2</v>
      </c>
      <c r="AO2747">
        <v>-0.16</v>
      </c>
      <c r="AP2747">
        <v>2.84</v>
      </c>
      <c r="AQ2747">
        <v>-9.76</v>
      </c>
      <c r="AR2747">
        <v>-23.12</v>
      </c>
      <c r="AS2747">
        <v>4.8899999999999997</v>
      </c>
      <c r="AT2747" t="s">
        <v>12347</v>
      </c>
      <c r="AU2747" t="s">
        <v>116</v>
      </c>
      <c r="AV2747" t="s">
        <v>116</v>
      </c>
      <c r="AW2747">
        <v>0.94</v>
      </c>
      <c r="BA2747">
        <v>-0.64</v>
      </c>
      <c r="BB2747">
        <v>0.56000000000000005</v>
      </c>
      <c r="BC2747">
        <v>-1.92</v>
      </c>
      <c r="BD2747">
        <v>-0.84</v>
      </c>
      <c r="BE2747">
        <v>-0.81</v>
      </c>
      <c r="BF2747">
        <v>-1.99</v>
      </c>
      <c r="BG2747">
        <v>0.49</v>
      </c>
      <c r="BH2747">
        <v>-0.6</v>
      </c>
      <c r="BI2747">
        <v>20191030</v>
      </c>
      <c r="BJ2747">
        <v>19930823</v>
      </c>
      <c r="BK2747">
        <v>1.22</v>
      </c>
      <c r="BL2747" t="s">
        <v>116</v>
      </c>
      <c r="BM2747" t="s">
        <v>116</v>
      </c>
      <c r="BN2747">
        <v>5.33</v>
      </c>
      <c r="BO2747">
        <v>0.6</v>
      </c>
      <c r="BP2747">
        <v>0.36</v>
      </c>
      <c r="BQ2747">
        <v>82.07</v>
      </c>
      <c r="BR2747">
        <v>1.84</v>
      </c>
      <c r="BS2747">
        <v>1.21</v>
      </c>
      <c r="BT2747">
        <v>0.5</v>
      </c>
      <c r="BU2747">
        <v>2.17</v>
      </c>
      <c r="BV2747">
        <v>0.72</v>
      </c>
      <c r="BW2747">
        <v>0.63</v>
      </c>
      <c r="BX2747">
        <v>0.51</v>
      </c>
      <c r="BY2747">
        <v>2.19</v>
      </c>
      <c r="BZ2747">
        <v>1.07</v>
      </c>
      <c r="CA2747">
        <v>-0.12</v>
      </c>
      <c r="CB2747">
        <v>0</v>
      </c>
      <c r="CC2747">
        <v>0.06</v>
      </c>
      <c r="CD2747">
        <v>0.04</v>
      </c>
      <c r="CE2747">
        <v>0.02</v>
      </c>
      <c r="CF2747">
        <v>-0.11</v>
      </c>
      <c r="CG2747">
        <v>-1.38</v>
      </c>
      <c r="CH2747">
        <v>1.2</v>
      </c>
      <c r="CI2747">
        <v>-0.73</v>
      </c>
      <c r="CJ2747">
        <v>19509</v>
      </c>
      <c r="CK2747">
        <v>3165</v>
      </c>
      <c r="CL2747" t="s">
        <v>5888</v>
      </c>
      <c r="CM2747">
        <v>-77.86</v>
      </c>
      <c r="CN2747">
        <v>-24.58</v>
      </c>
      <c r="CO2747">
        <v>25</v>
      </c>
      <c r="CP2747">
        <v>12.44</v>
      </c>
      <c r="CQ2747">
        <v>6.84</v>
      </c>
      <c r="CR2747">
        <v>0</v>
      </c>
      <c r="CS2747" t="s">
        <v>342</v>
      </c>
      <c r="CT2747">
        <v>0.49</v>
      </c>
      <c r="CU2747">
        <v>0</v>
      </c>
      <c r="CV2747">
        <v>0.42</v>
      </c>
      <c r="CW2747">
        <v>-1.1299999999999999</v>
      </c>
      <c r="CX2747">
        <v>0.99</v>
      </c>
      <c r="CY2747">
        <v>11.24</v>
      </c>
      <c r="CZ2747" t="s">
        <v>9154</v>
      </c>
      <c r="DA2747">
        <v>50.99</v>
      </c>
      <c r="DB2747">
        <v>-5.44</v>
      </c>
      <c r="DC2747">
        <v>0.77</v>
      </c>
      <c r="DD2747">
        <v>0.01</v>
      </c>
      <c r="DE2747">
        <v>478</v>
      </c>
      <c r="DF2747">
        <v>600671</v>
      </c>
      <c r="DG2747" t="s">
        <v>116</v>
      </c>
      <c r="DH2747" t="s">
        <v>116</v>
      </c>
      <c r="DI2747" t="s">
        <v>116</v>
      </c>
    </row>
    <row r="2748" spans="1:113" x14ac:dyDescent="0.4">
      <c r="A2748" t="str">
        <f>"600673"</f>
        <v>600673</v>
      </c>
      <c r="B2748" t="s">
        <v>12348</v>
      </c>
      <c r="C2748">
        <v>1.96</v>
      </c>
      <c r="D2748">
        <v>9.3800000000000008</v>
      </c>
      <c r="E2748">
        <v>0.18</v>
      </c>
      <c r="F2748">
        <v>9.3699999999999992</v>
      </c>
      <c r="G2748">
        <v>9.3800000000000008</v>
      </c>
      <c r="H2748">
        <v>187683</v>
      </c>
      <c r="I2748">
        <v>1835</v>
      </c>
      <c r="J2748">
        <v>0.21</v>
      </c>
      <c r="K2748">
        <v>0.76</v>
      </c>
      <c r="L2748">
        <v>9.24</v>
      </c>
      <c r="M2748">
        <v>9.48</v>
      </c>
      <c r="N2748">
        <v>9.2100000000000009</v>
      </c>
      <c r="O2748">
        <v>9.1999999999999993</v>
      </c>
      <c r="P2748">
        <v>26.61</v>
      </c>
      <c r="Q2748">
        <v>175704208</v>
      </c>
      <c r="R2748">
        <v>1.31</v>
      </c>
      <c r="S2748" t="s">
        <v>1428</v>
      </c>
      <c r="T2748" t="s">
        <v>551</v>
      </c>
      <c r="U2748">
        <v>2.93</v>
      </c>
      <c r="V2748">
        <v>9.36</v>
      </c>
      <c r="W2748">
        <v>80261</v>
      </c>
      <c r="X2748">
        <v>107422</v>
      </c>
      <c r="Y2748">
        <v>0.75</v>
      </c>
      <c r="Z2748">
        <v>513</v>
      </c>
      <c r="AA2748">
        <v>5726</v>
      </c>
      <c r="AB2748" t="s">
        <v>116</v>
      </c>
      <c r="AC2748">
        <v>337300</v>
      </c>
      <c r="AD2748">
        <v>0</v>
      </c>
      <c r="AE2748" t="s">
        <v>116</v>
      </c>
      <c r="AF2748" t="s">
        <v>116</v>
      </c>
      <c r="AG2748">
        <v>24.59</v>
      </c>
      <c r="AH2748" t="s">
        <v>12349</v>
      </c>
      <c r="AI2748" t="s">
        <v>12350</v>
      </c>
      <c r="AJ2748">
        <v>2.0299999999999998</v>
      </c>
      <c r="AK2748">
        <v>2816</v>
      </c>
      <c r="AL2748">
        <v>67</v>
      </c>
      <c r="AM2748">
        <v>2.9999999999999997E-4</v>
      </c>
      <c r="AN2748">
        <v>2</v>
      </c>
      <c r="AO2748">
        <v>1.96</v>
      </c>
      <c r="AP2748">
        <v>6.11</v>
      </c>
      <c r="AQ2748">
        <v>28.49</v>
      </c>
      <c r="AR2748">
        <v>30.1</v>
      </c>
      <c r="AS2748">
        <v>1.34</v>
      </c>
      <c r="AT2748" t="s">
        <v>12351</v>
      </c>
      <c r="AU2748">
        <v>26.94</v>
      </c>
      <c r="AV2748">
        <v>25.92</v>
      </c>
      <c r="AW2748">
        <v>0.75</v>
      </c>
      <c r="BA2748">
        <v>0.43</v>
      </c>
      <c r="BB2748">
        <v>3.04</v>
      </c>
      <c r="BC2748">
        <v>0.11</v>
      </c>
      <c r="BD2748">
        <v>1.76</v>
      </c>
      <c r="BE2748">
        <v>1.52</v>
      </c>
      <c r="BF2748">
        <v>-1.05</v>
      </c>
      <c r="BG2748">
        <v>1.85</v>
      </c>
      <c r="BH2748">
        <v>0.2</v>
      </c>
      <c r="BI2748">
        <v>20191030</v>
      </c>
      <c r="BJ2748">
        <v>19930917</v>
      </c>
      <c r="BK2748">
        <v>30.14</v>
      </c>
      <c r="BL2748" t="s">
        <v>116</v>
      </c>
      <c r="BM2748" t="s">
        <v>116</v>
      </c>
      <c r="BN2748">
        <v>257.86</v>
      </c>
      <c r="BO2748">
        <v>68.31</v>
      </c>
      <c r="BP2748">
        <v>28.85</v>
      </c>
      <c r="BQ2748">
        <v>62.32</v>
      </c>
      <c r="BR2748">
        <v>129.6</v>
      </c>
      <c r="BS2748">
        <v>58.23</v>
      </c>
      <c r="BT2748">
        <v>25.48</v>
      </c>
      <c r="BU2748">
        <v>107.08</v>
      </c>
      <c r="BV2748">
        <v>15.82</v>
      </c>
      <c r="BW2748">
        <v>27.56</v>
      </c>
      <c r="BX2748">
        <v>6.71</v>
      </c>
      <c r="BY2748">
        <v>106.08</v>
      </c>
      <c r="BZ2748">
        <v>56.98</v>
      </c>
      <c r="CA2748">
        <v>17.28</v>
      </c>
      <c r="CB2748">
        <v>0.2</v>
      </c>
      <c r="CC2748">
        <v>17.170000000000002</v>
      </c>
      <c r="CD2748">
        <v>14.07</v>
      </c>
      <c r="CE2748">
        <v>7.97</v>
      </c>
      <c r="CF2748">
        <v>7.12</v>
      </c>
      <c r="CG2748">
        <v>35.479999999999997</v>
      </c>
      <c r="CH2748">
        <v>15.6</v>
      </c>
      <c r="CI2748">
        <v>20.02</v>
      </c>
      <c r="CJ2748">
        <v>68808</v>
      </c>
      <c r="CK2748">
        <v>20302</v>
      </c>
      <c r="CL2748" t="s">
        <v>9180</v>
      </c>
      <c r="CM2748">
        <v>-4.92</v>
      </c>
      <c r="CN2748">
        <v>23.65</v>
      </c>
      <c r="CO2748">
        <v>4.1399999999999997</v>
      </c>
      <c r="CP2748">
        <v>18.12</v>
      </c>
      <c r="CQ2748">
        <v>2.66</v>
      </c>
      <c r="CR2748">
        <v>0.74</v>
      </c>
      <c r="CS2748" t="s">
        <v>657</v>
      </c>
      <c r="CT2748">
        <v>2.27</v>
      </c>
      <c r="CU2748">
        <v>0</v>
      </c>
      <c r="CV2748">
        <v>0.22</v>
      </c>
      <c r="CW2748">
        <v>1.18</v>
      </c>
      <c r="CX2748">
        <v>0.52</v>
      </c>
      <c r="CY2748">
        <v>26.49</v>
      </c>
      <c r="CZ2748" t="s">
        <v>12352</v>
      </c>
      <c r="DA2748">
        <v>46.29</v>
      </c>
      <c r="DB2748">
        <v>16.29</v>
      </c>
      <c r="DC2748">
        <v>7.51</v>
      </c>
      <c r="DD2748">
        <v>2.72</v>
      </c>
      <c r="DE2748">
        <v>11123</v>
      </c>
      <c r="DF2748">
        <v>600673</v>
      </c>
      <c r="DG2748" t="s">
        <v>116</v>
      </c>
      <c r="DH2748" t="s">
        <v>116</v>
      </c>
      <c r="DI2748" t="s">
        <v>116</v>
      </c>
    </row>
    <row r="2749" spans="1:113" x14ac:dyDescent="0.4">
      <c r="A2749" t="str">
        <f>"600674"</f>
        <v>600674</v>
      </c>
      <c r="B2749" t="s">
        <v>12353</v>
      </c>
      <c r="C2749">
        <v>-0.1</v>
      </c>
      <c r="D2749">
        <v>9.6999999999999993</v>
      </c>
      <c r="E2749">
        <v>-0.01</v>
      </c>
      <c r="F2749">
        <v>9.6999999999999993</v>
      </c>
      <c r="G2749">
        <v>9.7200000000000006</v>
      </c>
      <c r="H2749">
        <v>61108</v>
      </c>
      <c r="I2749">
        <v>1038</v>
      </c>
      <c r="J2749">
        <v>-0.09</v>
      </c>
      <c r="K2749">
        <v>0.14000000000000001</v>
      </c>
      <c r="L2749">
        <v>9.6999999999999993</v>
      </c>
      <c r="M2749">
        <v>9.76</v>
      </c>
      <c r="N2749">
        <v>9.66</v>
      </c>
      <c r="O2749">
        <v>9.7100000000000009</v>
      </c>
      <c r="P2749">
        <v>12.17</v>
      </c>
      <c r="Q2749">
        <v>59339920</v>
      </c>
      <c r="R2749">
        <v>0.91</v>
      </c>
      <c r="S2749" t="s">
        <v>1363</v>
      </c>
      <c r="T2749" t="s">
        <v>582</v>
      </c>
      <c r="U2749">
        <v>1.03</v>
      </c>
      <c r="V2749">
        <v>9.7100000000000009</v>
      </c>
      <c r="W2749">
        <v>27834</v>
      </c>
      <c r="X2749">
        <v>33275</v>
      </c>
      <c r="Y2749">
        <v>0.84</v>
      </c>
      <c r="Z2749">
        <v>32</v>
      </c>
      <c r="AA2749">
        <v>206</v>
      </c>
      <c r="AB2749" t="s">
        <v>116</v>
      </c>
      <c r="AC2749">
        <v>89200</v>
      </c>
      <c r="AD2749">
        <v>0</v>
      </c>
      <c r="AE2749" t="s">
        <v>116</v>
      </c>
      <c r="AF2749" t="s">
        <v>116</v>
      </c>
      <c r="AG2749">
        <v>44.02</v>
      </c>
      <c r="AH2749" t="s">
        <v>12354</v>
      </c>
      <c r="AI2749" t="s">
        <v>12354</v>
      </c>
      <c r="AJ2749">
        <v>-0.03</v>
      </c>
      <c r="AK2749">
        <v>2074</v>
      </c>
      <c r="AL2749">
        <v>29</v>
      </c>
      <c r="AM2749">
        <v>1E-4</v>
      </c>
      <c r="AN2749">
        <v>-1</v>
      </c>
      <c r="AO2749">
        <v>-0.21</v>
      </c>
      <c r="AP2749">
        <v>1.57</v>
      </c>
      <c r="AQ2749">
        <v>-1.02</v>
      </c>
      <c r="AR2749">
        <v>15.89</v>
      </c>
      <c r="AS2749">
        <v>0.44</v>
      </c>
      <c r="AT2749" t="s">
        <v>12355</v>
      </c>
      <c r="AU2749">
        <v>12.45</v>
      </c>
      <c r="AV2749">
        <v>11.96</v>
      </c>
      <c r="AW2749">
        <v>0.72</v>
      </c>
      <c r="BA2749">
        <v>-0.1</v>
      </c>
      <c r="BB2749">
        <v>0.51</v>
      </c>
      <c r="BC2749">
        <v>-0.51</v>
      </c>
      <c r="BD2749">
        <v>0.01</v>
      </c>
      <c r="BE2749">
        <v>0</v>
      </c>
      <c r="BF2749">
        <v>-0.61</v>
      </c>
      <c r="BG2749">
        <v>0.41</v>
      </c>
      <c r="BH2749">
        <v>-0.11</v>
      </c>
      <c r="BI2749">
        <v>20191128</v>
      </c>
      <c r="BJ2749">
        <v>19930924</v>
      </c>
      <c r="BK2749">
        <v>44.02</v>
      </c>
      <c r="BL2749" t="s">
        <v>116</v>
      </c>
      <c r="BM2749" t="s">
        <v>116</v>
      </c>
      <c r="BN2749">
        <v>340.44</v>
      </c>
      <c r="BO2749">
        <v>261.42</v>
      </c>
      <c r="BP2749">
        <v>5.23</v>
      </c>
      <c r="BQ2749">
        <v>21.67</v>
      </c>
      <c r="BR2749">
        <v>25.59</v>
      </c>
      <c r="BS2749">
        <v>29.52</v>
      </c>
      <c r="BT2749">
        <v>0.31</v>
      </c>
      <c r="BU2749">
        <v>60.68</v>
      </c>
      <c r="BV2749">
        <v>1.1000000000000001</v>
      </c>
      <c r="BW2749">
        <v>3.31</v>
      </c>
      <c r="BX2749">
        <v>40.520000000000003</v>
      </c>
      <c r="BY2749">
        <v>5.78</v>
      </c>
      <c r="BZ2749">
        <v>2.8</v>
      </c>
      <c r="CA2749">
        <v>26.86</v>
      </c>
      <c r="CB2749">
        <v>26.75</v>
      </c>
      <c r="CC2749">
        <v>26.9</v>
      </c>
      <c r="CD2749">
        <v>26.64</v>
      </c>
      <c r="CE2749">
        <v>26.31</v>
      </c>
      <c r="CF2749">
        <v>26.27</v>
      </c>
      <c r="CG2749">
        <v>124.36</v>
      </c>
      <c r="CH2749">
        <v>2.93</v>
      </c>
      <c r="CI2749">
        <v>12.32</v>
      </c>
      <c r="CJ2749">
        <v>51612</v>
      </c>
      <c r="CK2749">
        <v>26674</v>
      </c>
      <c r="CL2749" t="s">
        <v>12356</v>
      </c>
      <c r="CM2749">
        <v>-5.08</v>
      </c>
      <c r="CN2749">
        <v>-3.77</v>
      </c>
      <c r="CO2749">
        <v>1.63</v>
      </c>
      <c r="CP2749">
        <v>145.97999999999999</v>
      </c>
      <c r="CQ2749">
        <v>73.89</v>
      </c>
      <c r="CR2749">
        <v>3.09</v>
      </c>
      <c r="CS2749" t="s">
        <v>10691</v>
      </c>
      <c r="CT2749">
        <v>5.94</v>
      </c>
      <c r="CU2749">
        <v>0</v>
      </c>
      <c r="CV2749">
        <v>0.92</v>
      </c>
      <c r="CW2749">
        <v>2.82</v>
      </c>
      <c r="CX2749">
        <v>7.0000000000000007E-2</v>
      </c>
      <c r="CY2749">
        <v>76.790000000000006</v>
      </c>
      <c r="CZ2749" t="s">
        <v>2998</v>
      </c>
      <c r="DA2749">
        <v>51.61</v>
      </c>
      <c r="DB2749">
        <v>464.89</v>
      </c>
      <c r="DC2749">
        <v>455.22</v>
      </c>
      <c r="DD2749">
        <v>0.09</v>
      </c>
      <c r="DE2749">
        <v>589</v>
      </c>
      <c r="DF2749">
        <v>600674</v>
      </c>
      <c r="DG2749" t="s">
        <v>116</v>
      </c>
      <c r="DH2749" t="s">
        <v>116</v>
      </c>
      <c r="DI2749" t="s">
        <v>116</v>
      </c>
    </row>
    <row r="2750" spans="1:113" x14ac:dyDescent="0.4">
      <c r="A2750" t="str">
        <f>"600675"</f>
        <v>600675</v>
      </c>
      <c r="B2750" t="s">
        <v>12357</v>
      </c>
      <c r="C2750">
        <v>-0.65</v>
      </c>
      <c r="D2750">
        <v>4.5999999999999996</v>
      </c>
      <c r="E2750">
        <v>-0.03</v>
      </c>
      <c r="F2750">
        <v>4.59</v>
      </c>
      <c r="G2750">
        <v>4.5999999999999996</v>
      </c>
      <c r="H2750">
        <v>45200</v>
      </c>
      <c r="I2750">
        <v>776</v>
      </c>
      <c r="J2750">
        <v>0</v>
      </c>
      <c r="K2750">
        <v>0.2</v>
      </c>
      <c r="L2750">
        <v>4.6500000000000004</v>
      </c>
      <c r="M2750">
        <v>4.67</v>
      </c>
      <c r="N2750">
        <v>4.59</v>
      </c>
      <c r="O2750">
        <v>4.63</v>
      </c>
      <c r="P2750">
        <v>11.26</v>
      </c>
      <c r="Q2750">
        <v>20926412</v>
      </c>
      <c r="R2750">
        <v>0.88</v>
      </c>
      <c r="S2750" t="s">
        <v>148</v>
      </c>
      <c r="T2750" t="s">
        <v>1653</v>
      </c>
      <c r="U2750">
        <v>1.73</v>
      </c>
      <c r="V2750">
        <v>4.63</v>
      </c>
      <c r="W2750">
        <v>22269</v>
      </c>
      <c r="X2750">
        <v>22931</v>
      </c>
      <c r="Y2750">
        <v>0.97</v>
      </c>
      <c r="Z2750">
        <v>1267</v>
      </c>
      <c r="AA2750">
        <v>41</v>
      </c>
      <c r="AB2750" t="s">
        <v>116</v>
      </c>
      <c r="AC2750">
        <v>109300</v>
      </c>
      <c r="AD2750">
        <v>0</v>
      </c>
      <c r="AE2750" t="s">
        <v>116</v>
      </c>
      <c r="AF2750" t="s">
        <v>116</v>
      </c>
      <c r="AG2750">
        <v>22.4</v>
      </c>
      <c r="AH2750" t="s">
        <v>12358</v>
      </c>
      <c r="AI2750" t="s">
        <v>12359</v>
      </c>
      <c r="AJ2750">
        <v>-0.56999999999999995</v>
      </c>
      <c r="AK2750">
        <v>1047</v>
      </c>
      <c r="AL2750">
        <v>43</v>
      </c>
      <c r="AM2750">
        <v>2.0000000000000001E-4</v>
      </c>
      <c r="AN2750">
        <v>-1</v>
      </c>
      <c r="AO2750">
        <v>0.66</v>
      </c>
      <c r="AP2750">
        <v>5.99</v>
      </c>
      <c r="AQ2750">
        <v>0.88</v>
      </c>
      <c r="AR2750">
        <v>2.2200000000000002</v>
      </c>
      <c r="AS2750">
        <v>0.31</v>
      </c>
      <c r="AT2750" t="s">
        <v>735</v>
      </c>
      <c r="AU2750">
        <v>7.69</v>
      </c>
      <c r="AV2750">
        <v>10.82</v>
      </c>
      <c r="AW2750">
        <v>0.9</v>
      </c>
      <c r="BA2750">
        <v>0.43</v>
      </c>
      <c r="BB2750">
        <v>0.86</v>
      </c>
      <c r="BC2750">
        <v>-0.86</v>
      </c>
      <c r="BD2750">
        <v>-0.01</v>
      </c>
      <c r="BE2750">
        <v>-1.08</v>
      </c>
      <c r="BF2750">
        <v>-1.5</v>
      </c>
      <c r="BG2750">
        <v>0.22</v>
      </c>
      <c r="BH2750">
        <v>-0.64</v>
      </c>
      <c r="BI2750">
        <v>20191030</v>
      </c>
      <c r="BJ2750">
        <v>19930924</v>
      </c>
      <c r="BK2750">
        <v>60.96</v>
      </c>
      <c r="BL2750" t="s">
        <v>116</v>
      </c>
      <c r="BM2750" t="s">
        <v>116</v>
      </c>
      <c r="BN2750">
        <v>483.49</v>
      </c>
      <c r="BO2750">
        <v>147.05000000000001</v>
      </c>
      <c r="BP2750">
        <v>19.96</v>
      </c>
      <c r="BQ2750">
        <v>65.459999999999994</v>
      </c>
      <c r="BR2750">
        <v>367.06</v>
      </c>
      <c r="BS2750">
        <v>1.69</v>
      </c>
      <c r="BT2750">
        <v>0.72</v>
      </c>
      <c r="BU2750">
        <v>182.44</v>
      </c>
      <c r="BV2750">
        <v>196.21</v>
      </c>
      <c r="BW2750">
        <v>1.17</v>
      </c>
      <c r="BX2750">
        <v>22.45</v>
      </c>
      <c r="BY2750">
        <v>104.53</v>
      </c>
      <c r="BZ2750">
        <v>47.47</v>
      </c>
      <c r="CA2750">
        <v>32.659999999999997</v>
      </c>
      <c r="CB2750">
        <v>0.33</v>
      </c>
      <c r="CC2750">
        <v>33.07</v>
      </c>
      <c r="CD2750">
        <v>24.1</v>
      </c>
      <c r="CE2750">
        <v>18.670000000000002</v>
      </c>
      <c r="CF2750">
        <v>17.059999999999999</v>
      </c>
      <c r="CG2750">
        <v>56.97</v>
      </c>
      <c r="CH2750">
        <v>-15.48</v>
      </c>
      <c r="CI2750">
        <v>-45.01</v>
      </c>
      <c r="CJ2750">
        <v>76282</v>
      </c>
      <c r="CK2750">
        <v>19343</v>
      </c>
      <c r="CL2750" t="s">
        <v>12360</v>
      </c>
      <c r="CM2750">
        <v>129.43</v>
      </c>
      <c r="CN2750">
        <v>15.33</v>
      </c>
      <c r="CO2750">
        <v>1.91</v>
      </c>
      <c r="CP2750">
        <v>-18.12</v>
      </c>
      <c r="CQ2750">
        <v>2.68</v>
      </c>
      <c r="CR2750">
        <v>3.26</v>
      </c>
      <c r="CS2750" t="s">
        <v>9921</v>
      </c>
      <c r="CT2750">
        <v>2.41</v>
      </c>
      <c r="CU2750">
        <v>0</v>
      </c>
      <c r="CV2750">
        <v>0.37</v>
      </c>
      <c r="CW2750">
        <v>0.93</v>
      </c>
      <c r="CX2750">
        <v>-0.25</v>
      </c>
      <c r="CY2750">
        <v>30.41</v>
      </c>
      <c r="CZ2750" t="s">
        <v>5365</v>
      </c>
      <c r="DA2750">
        <v>54.59</v>
      </c>
      <c r="DB2750">
        <v>31.25</v>
      </c>
      <c r="DC2750">
        <v>17.86</v>
      </c>
      <c r="DD2750">
        <v>0</v>
      </c>
      <c r="DE2750">
        <v>1921</v>
      </c>
      <c r="DF2750">
        <v>600675</v>
      </c>
      <c r="DG2750" t="s">
        <v>116</v>
      </c>
      <c r="DH2750" t="s">
        <v>116</v>
      </c>
      <c r="DI2750" t="s">
        <v>116</v>
      </c>
    </row>
    <row r="2751" spans="1:113" x14ac:dyDescent="0.4">
      <c r="A2751" t="str">
        <f>"600676"</f>
        <v>600676</v>
      </c>
      <c r="B2751" t="s">
        <v>12361</v>
      </c>
      <c r="C2751">
        <v>-0.23</v>
      </c>
      <c r="D2751">
        <v>4.29</v>
      </c>
      <c r="E2751">
        <v>-0.01</v>
      </c>
      <c r="F2751">
        <v>4.28</v>
      </c>
      <c r="G2751">
        <v>4.29</v>
      </c>
      <c r="H2751">
        <v>54732</v>
      </c>
      <c r="I2751">
        <v>121</v>
      </c>
      <c r="J2751">
        <v>0.23</v>
      </c>
      <c r="K2751">
        <v>0.53</v>
      </c>
      <c r="L2751">
        <v>4.3</v>
      </c>
      <c r="M2751">
        <v>4.34</v>
      </c>
      <c r="N2751">
        <v>4.28</v>
      </c>
      <c r="O2751">
        <v>4.3</v>
      </c>
      <c r="P2751">
        <v>32.82</v>
      </c>
      <c r="Q2751">
        <v>23579320</v>
      </c>
      <c r="R2751">
        <v>1.39</v>
      </c>
      <c r="S2751" t="s">
        <v>6225</v>
      </c>
      <c r="T2751" t="s">
        <v>1653</v>
      </c>
      <c r="U2751">
        <v>1.4</v>
      </c>
      <c r="V2751">
        <v>4.3099999999999996</v>
      </c>
      <c r="W2751">
        <v>35205</v>
      </c>
      <c r="X2751">
        <v>19527</v>
      </c>
      <c r="Y2751">
        <v>1.8</v>
      </c>
      <c r="Z2751">
        <v>832</v>
      </c>
      <c r="AA2751">
        <v>911</v>
      </c>
      <c r="AB2751" t="s">
        <v>116</v>
      </c>
      <c r="AC2751">
        <v>10300</v>
      </c>
      <c r="AD2751">
        <v>0</v>
      </c>
      <c r="AE2751" t="s">
        <v>116</v>
      </c>
      <c r="AF2751" t="s">
        <v>116</v>
      </c>
      <c r="AG2751">
        <v>10.28</v>
      </c>
      <c r="AH2751" t="s">
        <v>545</v>
      </c>
      <c r="AI2751" t="s">
        <v>545</v>
      </c>
      <c r="AJ2751">
        <v>-0.16</v>
      </c>
      <c r="AK2751">
        <v>739</v>
      </c>
      <c r="AL2751">
        <v>74</v>
      </c>
      <c r="AM2751">
        <v>6.9999999999999999E-4</v>
      </c>
      <c r="AN2751">
        <v>-1</v>
      </c>
      <c r="AO2751">
        <v>0.7</v>
      </c>
      <c r="AP2751">
        <v>1.66</v>
      </c>
      <c r="AQ2751">
        <v>-1.83</v>
      </c>
      <c r="AR2751">
        <v>1.9</v>
      </c>
      <c r="AS2751">
        <v>1</v>
      </c>
      <c r="AT2751" t="s">
        <v>1137</v>
      </c>
      <c r="AU2751">
        <v>20.350000000000001</v>
      </c>
      <c r="AV2751">
        <v>13.53</v>
      </c>
      <c r="AW2751">
        <v>0.91</v>
      </c>
      <c r="BA2751">
        <v>0</v>
      </c>
      <c r="BB2751">
        <v>0.93</v>
      </c>
      <c r="BC2751">
        <v>-0.47</v>
      </c>
      <c r="BD2751">
        <v>0.19</v>
      </c>
      <c r="BE2751">
        <v>-0.23</v>
      </c>
      <c r="BF2751">
        <v>-1.1499999999999999</v>
      </c>
      <c r="BG2751">
        <v>0.23</v>
      </c>
      <c r="BH2751">
        <v>-0.42</v>
      </c>
      <c r="BI2751">
        <v>20191108</v>
      </c>
      <c r="BJ2751">
        <v>19930928</v>
      </c>
      <c r="BK2751">
        <v>10.28</v>
      </c>
      <c r="BL2751" t="s">
        <v>116</v>
      </c>
      <c r="BM2751" t="s">
        <v>116</v>
      </c>
      <c r="BN2751">
        <v>90.12</v>
      </c>
      <c r="BO2751">
        <v>58.09</v>
      </c>
      <c r="BP2751">
        <v>4.34</v>
      </c>
      <c r="BQ2751">
        <v>30.72</v>
      </c>
      <c r="BR2751">
        <v>53.34</v>
      </c>
      <c r="BS2751">
        <v>23.13</v>
      </c>
      <c r="BT2751">
        <v>3.54</v>
      </c>
      <c r="BU2751">
        <v>21.65</v>
      </c>
      <c r="BV2751">
        <v>10.89</v>
      </c>
      <c r="BW2751">
        <v>13.71</v>
      </c>
      <c r="BX2751">
        <v>23.89</v>
      </c>
      <c r="BY2751">
        <v>62.47</v>
      </c>
      <c r="BZ2751">
        <v>57.65</v>
      </c>
      <c r="CA2751">
        <v>1.0900000000000001</v>
      </c>
      <c r="CB2751">
        <v>0.23</v>
      </c>
      <c r="CC2751">
        <v>1.58</v>
      </c>
      <c r="CD2751">
        <v>1.1200000000000001</v>
      </c>
      <c r="CE2751">
        <v>1.01</v>
      </c>
      <c r="CF2751">
        <v>0.39</v>
      </c>
      <c r="CG2751">
        <v>19.79</v>
      </c>
      <c r="CH2751">
        <v>3.58</v>
      </c>
      <c r="CI2751">
        <v>4.04</v>
      </c>
      <c r="CJ2751">
        <v>51994</v>
      </c>
      <c r="CK2751">
        <v>10479</v>
      </c>
      <c r="CL2751" t="s">
        <v>12362</v>
      </c>
      <c r="CM2751">
        <v>-52.01</v>
      </c>
      <c r="CN2751">
        <v>-12.85</v>
      </c>
      <c r="CO2751">
        <v>0.76</v>
      </c>
      <c r="CP2751">
        <v>12.31</v>
      </c>
      <c r="CQ2751">
        <v>0.71</v>
      </c>
      <c r="CR2751">
        <v>2.33</v>
      </c>
      <c r="CS2751" t="s">
        <v>821</v>
      </c>
      <c r="CT2751">
        <v>5.65</v>
      </c>
      <c r="CU2751">
        <v>0</v>
      </c>
      <c r="CV2751">
        <v>2.3199999999999998</v>
      </c>
      <c r="CW2751">
        <v>1.92</v>
      </c>
      <c r="CX2751">
        <v>0.35</v>
      </c>
      <c r="CY2751">
        <v>64.459999999999994</v>
      </c>
      <c r="CZ2751" t="s">
        <v>7611</v>
      </c>
      <c r="DA2751">
        <v>7.72</v>
      </c>
      <c r="DB2751">
        <v>1.75</v>
      </c>
      <c r="DC2751">
        <v>1.61</v>
      </c>
      <c r="DD2751">
        <v>0.56000000000000005</v>
      </c>
      <c r="DE2751">
        <v>6107</v>
      </c>
      <c r="DF2751">
        <v>600676</v>
      </c>
      <c r="DG2751" t="s">
        <v>116</v>
      </c>
      <c r="DH2751" t="s">
        <v>116</v>
      </c>
      <c r="DI2751" t="s">
        <v>116</v>
      </c>
    </row>
    <row r="2752" spans="1:113" x14ac:dyDescent="0.4">
      <c r="A2752" t="str">
        <f>"600677"</f>
        <v>600677</v>
      </c>
      <c r="B2752" t="s">
        <v>12363</v>
      </c>
      <c r="C2752">
        <v>-2.41</v>
      </c>
      <c r="D2752">
        <v>8.92</v>
      </c>
      <c r="E2752">
        <v>-0.22</v>
      </c>
      <c r="F2752">
        <v>8.92</v>
      </c>
      <c r="G2752">
        <v>8.93</v>
      </c>
      <c r="H2752">
        <v>347227</v>
      </c>
      <c r="I2752">
        <v>4900</v>
      </c>
      <c r="J2752">
        <v>0</v>
      </c>
      <c r="K2752">
        <v>7.65</v>
      </c>
      <c r="L2752">
        <v>9.19</v>
      </c>
      <c r="M2752">
        <v>9.2799999999999994</v>
      </c>
      <c r="N2752">
        <v>8.9</v>
      </c>
      <c r="O2752">
        <v>9.14</v>
      </c>
      <c r="P2752" t="s">
        <v>116</v>
      </c>
      <c r="Q2752">
        <v>313984896</v>
      </c>
      <c r="R2752">
        <v>0.68</v>
      </c>
      <c r="S2752" t="s">
        <v>465</v>
      </c>
      <c r="T2752" t="s">
        <v>590</v>
      </c>
      <c r="U2752">
        <v>4.16</v>
      </c>
      <c r="V2752">
        <v>9.0399999999999991</v>
      </c>
      <c r="W2752">
        <v>201879</v>
      </c>
      <c r="X2752">
        <v>145349</v>
      </c>
      <c r="Y2752">
        <v>1.39</v>
      </c>
      <c r="Z2752">
        <v>1062</v>
      </c>
      <c r="AA2752">
        <v>448</v>
      </c>
      <c r="AB2752" t="s">
        <v>116</v>
      </c>
      <c r="AC2752">
        <v>1371100</v>
      </c>
      <c r="AD2752">
        <v>0.04</v>
      </c>
      <c r="AE2752" t="s">
        <v>116</v>
      </c>
      <c r="AF2752" t="s">
        <v>116</v>
      </c>
      <c r="AG2752">
        <v>4.54</v>
      </c>
      <c r="AH2752" t="s">
        <v>12044</v>
      </c>
      <c r="AI2752" t="s">
        <v>4211</v>
      </c>
      <c r="AJ2752">
        <v>-2.33</v>
      </c>
      <c r="AK2752">
        <v>4064</v>
      </c>
      <c r="AL2752">
        <v>85</v>
      </c>
      <c r="AM2752">
        <v>1.9E-3</v>
      </c>
      <c r="AN2752">
        <v>-1</v>
      </c>
      <c r="AO2752">
        <v>-2.63</v>
      </c>
      <c r="AP2752">
        <v>22.53</v>
      </c>
      <c r="AQ2752">
        <v>-31.75</v>
      </c>
      <c r="AR2752">
        <v>-4.5999999999999996</v>
      </c>
      <c r="AS2752">
        <v>9.82</v>
      </c>
      <c r="AT2752" t="s">
        <v>12364</v>
      </c>
      <c r="AU2752" t="s">
        <v>116</v>
      </c>
      <c r="AV2752">
        <v>22.18</v>
      </c>
      <c r="AW2752">
        <v>2.78</v>
      </c>
      <c r="BA2752">
        <v>0.55000000000000004</v>
      </c>
      <c r="BB2752">
        <v>1.53</v>
      </c>
      <c r="BC2752">
        <v>-2.63</v>
      </c>
      <c r="BD2752">
        <v>-1.07</v>
      </c>
      <c r="BE2752">
        <v>-2.94</v>
      </c>
      <c r="BF2752">
        <v>-3.88</v>
      </c>
      <c r="BG2752">
        <v>0.22</v>
      </c>
      <c r="BH2752">
        <v>-1.34</v>
      </c>
      <c r="BI2752">
        <v>20191031</v>
      </c>
      <c r="BJ2752">
        <v>19930928</v>
      </c>
      <c r="BK2752">
        <v>5.22</v>
      </c>
      <c r="BL2752" t="s">
        <v>116</v>
      </c>
      <c r="BM2752" t="s">
        <v>116</v>
      </c>
      <c r="BN2752">
        <v>137.6</v>
      </c>
      <c r="BO2752">
        <v>31.25</v>
      </c>
      <c r="BP2752">
        <v>11.63</v>
      </c>
      <c r="BQ2752">
        <v>68.84</v>
      </c>
      <c r="BR2752">
        <v>100.36</v>
      </c>
      <c r="BS2752">
        <v>16.36</v>
      </c>
      <c r="BT2752">
        <v>3.53</v>
      </c>
      <c r="BU2752">
        <v>84.27</v>
      </c>
      <c r="BV2752">
        <v>15.1</v>
      </c>
      <c r="BW2752">
        <v>67.150000000000006</v>
      </c>
      <c r="BX2752">
        <v>21.24</v>
      </c>
      <c r="BY2752">
        <v>32.340000000000003</v>
      </c>
      <c r="BZ2752">
        <v>27.37</v>
      </c>
      <c r="CA2752">
        <v>-5.0999999999999996</v>
      </c>
      <c r="CB2752">
        <v>0</v>
      </c>
      <c r="CC2752">
        <v>-4.82</v>
      </c>
      <c r="CD2752">
        <v>-4.91</v>
      </c>
      <c r="CE2752">
        <v>-2.52</v>
      </c>
      <c r="CF2752">
        <v>-4.53</v>
      </c>
      <c r="CG2752">
        <v>4.5599999999999996</v>
      </c>
      <c r="CH2752">
        <v>-2.44</v>
      </c>
      <c r="CI2752">
        <v>-2.99</v>
      </c>
      <c r="CJ2752">
        <v>96926</v>
      </c>
      <c r="CK2752">
        <v>3648</v>
      </c>
      <c r="CL2752" t="s">
        <v>943</v>
      </c>
      <c r="CM2752">
        <v>-303.55</v>
      </c>
      <c r="CN2752">
        <v>-63.88</v>
      </c>
      <c r="CO2752">
        <v>1.49</v>
      </c>
      <c r="CP2752">
        <v>-19.079999999999998</v>
      </c>
      <c r="CQ2752">
        <v>1.44</v>
      </c>
      <c r="CR2752">
        <v>1.35</v>
      </c>
      <c r="CS2752" t="s">
        <v>12365</v>
      </c>
      <c r="CT2752">
        <v>5.99</v>
      </c>
      <c r="CU2752">
        <v>0</v>
      </c>
      <c r="CV2752">
        <v>4.07</v>
      </c>
      <c r="CW2752">
        <v>0.87</v>
      </c>
      <c r="CX2752">
        <v>-0.47</v>
      </c>
      <c r="CY2752">
        <v>22.71</v>
      </c>
      <c r="CZ2752" t="s">
        <v>12366</v>
      </c>
      <c r="DA2752">
        <v>15.37</v>
      </c>
      <c r="DB2752">
        <v>-15.76</v>
      </c>
      <c r="DC2752">
        <v>-7.8</v>
      </c>
      <c r="DD2752">
        <v>3</v>
      </c>
      <c r="DE2752">
        <v>7191</v>
      </c>
      <c r="DF2752">
        <v>600677</v>
      </c>
      <c r="DG2752" t="s">
        <v>116</v>
      </c>
      <c r="DH2752" t="s">
        <v>116</v>
      </c>
      <c r="DI2752" t="s">
        <v>116</v>
      </c>
    </row>
    <row r="2753" spans="1:113" x14ac:dyDescent="0.4">
      <c r="A2753" t="str">
        <f>"600678"</f>
        <v>600678</v>
      </c>
      <c r="B2753" t="s">
        <v>12367</v>
      </c>
      <c r="C2753">
        <v>-2.86</v>
      </c>
      <c r="D2753">
        <v>6.45</v>
      </c>
      <c r="E2753">
        <v>-0.19</v>
      </c>
      <c r="F2753">
        <v>6.44</v>
      </c>
      <c r="G2753">
        <v>6.45</v>
      </c>
      <c r="H2753">
        <v>302441</v>
      </c>
      <c r="I2753">
        <v>3720</v>
      </c>
      <c r="J2753">
        <v>-0.14000000000000001</v>
      </c>
      <c r="K2753">
        <v>8.67</v>
      </c>
      <c r="L2753">
        <v>6.49</v>
      </c>
      <c r="M2753">
        <v>6.72</v>
      </c>
      <c r="N2753">
        <v>6.42</v>
      </c>
      <c r="O2753">
        <v>6.64</v>
      </c>
      <c r="P2753">
        <v>58.39</v>
      </c>
      <c r="Q2753">
        <v>197216048</v>
      </c>
      <c r="R2753">
        <v>0.88</v>
      </c>
      <c r="S2753" t="s">
        <v>660</v>
      </c>
      <c r="T2753" t="s">
        <v>582</v>
      </c>
      <c r="U2753">
        <v>4.5199999999999996</v>
      </c>
      <c r="V2753">
        <v>6.52</v>
      </c>
      <c r="W2753">
        <v>176230</v>
      </c>
      <c r="X2753">
        <v>126211</v>
      </c>
      <c r="Y2753">
        <v>1.4</v>
      </c>
      <c r="Z2753">
        <v>658</v>
      </c>
      <c r="AA2753">
        <v>273</v>
      </c>
      <c r="AB2753" t="s">
        <v>116</v>
      </c>
      <c r="AC2753">
        <v>2082000</v>
      </c>
      <c r="AD2753">
        <v>0.12</v>
      </c>
      <c r="AE2753" t="s">
        <v>116</v>
      </c>
      <c r="AF2753" t="s">
        <v>116</v>
      </c>
      <c r="AG2753">
        <v>3.49</v>
      </c>
      <c r="AH2753" t="s">
        <v>8893</v>
      </c>
      <c r="AI2753" t="s">
        <v>8893</v>
      </c>
      <c r="AJ2753">
        <v>-2.78</v>
      </c>
      <c r="AK2753">
        <v>3228</v>
      </c>
      <c r="AL2753">
        <v>94</v>
      </c>
      <c r="AM2753">
        <v>2.7000000000000001E-3</v>
      </c>
      <c r="AN2753">
        <v>-1</v>
      </c>
      <c r="AO2753">
        <v>-0.77</v>
      </c>
      <c r="AP2753">
        <v>19.670000000000002</v>
      </c>
      <c r="AQ2753">
        <v>32.99</v>
      </c>
      <c r="AR2753">
        <v>14.97</v>
      </c>
      <c r="AS2753">
        <v>10.9</v>
      </c>
      <c r="AT2753" t="s">
        <v>5425</v>
      </c>
      <c r="AU2753">
        <v>76.150000000000006</v>
      </c>
      <c r="AV2753">
        <v>71.05</v>
      </c>
      <c r="AW2753">
        <v>1.69</v>
      </c>
      <c r="BA2753">
        <v>-2.2599999999999998</v>
      </c>
      <c r="BB2753">
        <v>1.2</v>
      </c>
      <c r="BC2753">
        <v>-3.31</v>
      </c>
      <c r="BD2753">
        <v>-1.79</v>
      </c>
      <c r="BE2753">
        <v>-0.62</v>
      </c>
      <c r="BF2753">
        <v>-4.0199999999999996</v>
      </c>
      <c r="BG2753">
        <v>0.47</v>
      </c>
      <c r="BH2753">
        <v>-1.07</v>
      </c>
      <c r="BI2753">
        <v>20191031</v>
      </c>
      <c r="BJ2753">
        <v>19931008</v>
      </c>
      <c r="BK2753">
        <v>3.49</v>
      </c>
      <c r="BL2753" t="s">
        <v>116</v>
      </c>
      <c r="BM2753" t="s">
        <v>116</v>
      </c>
      <c r="BN2753">
        <v>5.25</v>
      </c>
      <c r="BO2753">
        <v>1.04</v>
      </c>
      <c r="BP2753">
        <v>0.01</v>
      </c>
      <c r="BQ2753">
        <v>80.010000000000005</v>
      </c>
      <c r="BR2753">
        <v>1.38</v>
      </c>
      <c r="BS2753">
        <v>1.62</v>
      </c>
      <c r="BT2753">
        <v>0.82</v>
      </c>
      <c r="BU2753">
        <v>1.45</v>
      </c>
      <c r="BV2753">
        <v>0.04</v>
      </c>
      <c r="BW2753">
        <v>0</v>
      </c>
      <c r="BX2753">
        <v>3.05</v>
      </c>
      <c r="BY2753">
        <v>2.3199999999999998</v>
      </c>
      <c r="BZ2753">
        <v>1.66</v>
      </c>
      <c r="CA2753">
        <v>0.28999999999999998</v>
      </c>
      <c r="CB2753">
        <v>0</v>
      </c>
      <c r="CC2753">
        <v>0.28999999999999998</v>
      </c>
      <c r="CD2753">
        <v>0.28999999999999998</v>
      </c>
      <c r="CE2753">
        <v>0.28999999999999998</v>
      </c>
      <c r="CF2753">
        <v>0.28000000000000003</v>
      </c>
      <c r="CG2753">
        <v>-5.96</v>
      </c>
      <c r="CH2753">
        <v>0.64</v>
      </c>
      <c r="CI2753">
        <v>0.52</v>
      </c>
      <c r="CJ2753">
        <v>45696</v>
      </c>
      <c r="CK2753">
        <v>6071</v>
      </c>
      <c r="CL2753" t="s">
        <v>2743</v>
      </c>
      <c r="CM2753">
        <v>-6.84</v>
      </c>
      <c r="CN2753">
        <v>-31.99</v>
      </c>
      <c r="CO2753">
        <v>21.7</v>
      </c>
      <c r="CP2753">
        <v>35.06</v>
      </c>
      <c r="CQ2753">
        <v>9.6999999999999993</v>
      </c>
      <c r="CR2753">
        <v>0</v>
      </c>
      <c r="CS2753" t="s">
        <v>6275</v>
      </c>
      <c r="CT2753">
        <v>0.3</v>
      </c>
      <c r="CU2753">
        <v>0</v>
      </c>
      <c r="CV2753">
        <v>0.87</v>
      </c>
      <c r="CW2753">
        <v>-1.71</v>
      </c>
      <c r="CX2753">
        <v>0.18</v>
      </c>
      <c r="CY2753">
        <v>19.760000000000002</v>
      </c>
      <c r="CZ2753" t="s">
        <v>12368</v>
      </c>
      <c r="DA2753">
        <v>28.54</v>
      </c>
      <c r="DB2753">
        <v>12.46</v>
      </c>
      <c r="DC2753">
        <v>12.46</v>
      </c>
      <c r="DD2753">
        <v>0</v>
      </c>
      <c r="DE2753">
        <v>188</v>
      </c>
      <c r="DF2753">
        <v>600678</v>
      </c>
      <c r="DG2753" t="s">
        <v>116</v>
      </c>
      <c r="DH2753" t="s">
        <v>116</v>
      </c>
      <c r="DI2753" t="s">
        <v>116</v>
      </c>
    </row>
    <row r="2754" spans="1:113" x14ac:dyDescent="0.4">
      <c r="A2754" t="str">
        <f>"600679"</f>
        <v>600679</v>
      </c>
      <c r="B2754" t="s">
        <v>12369</v>
      </c>
      <c r="C2754">
        <v>-0.89</v>
      </c>
      <c r="D2754">
        <v>12.2</v>
      </c>
      <c r="E2754">
        <v>-0.11</v>
      </c>
      <c r="F2754">
        <v>12.19</v>
      </c>
      <c r="G2754">
        <v>12.2</v>
      </c>
      <c r="H2754">
        <v>10025</v>
      </c>
      <c r="I2754">
        <v>164</v>
      </c>
      <c r="J2754">
        <v>-0.24</v>
      </c>
      <c r="K2754">
        <v>0.43</v>
      </c>
      <c r="L2754">
        <v>12.38</v>
      </c>
      <c r="M2754">
        <v>12.38</v>
      </c>
      <c r="N2754">
        <v>12</v>
      </c>
      <c r="O2754">
        <v>12.31</v>
      </c>
      <c r="P2754">
        <v>154.80000000000001</v>
      </c>
      <c r="Q2754">
        <v>12324248</v>
      </c>
      <c r="R2754">
        <v>0.99</v>
      </c>
      <c r="S2754" t="s">
        <v>217</v>
      </c>
      <c r="T2754" t="s">
        <v>1653</v>
      </c>
      <c r="U2754">
        <v>3.09</v>
      </c>
      <c r="V2754">
        <v>12.29</v>
      </c>
      <c r="W2754">
        <v>5216</v>
      </c>
      <c r="X2754">
        <v>4809</v>
      </c>
      <c r="Y2754">
        <v>1.08</v>
      </c>
      <c r="Z2754">
        <v>13</v>
      </c>
      <c r="AA2754">
        <v>33</v>
      </c>
      <c r="AB2754" t="s">
        <v>116</v>
      </c>
      <c r="AC2754">
        <v>0</v>
      </c>
      <c r="AD2754">
        <v>0</v>
      </c>
      <c r="AE2754" t="s">
        <v>116</v>
      </c>
      <c r="AF2754" t="s">
        <v>116</v>
      </c>
      <c r="AG2754">
        <v>2.31</v>
      </c>
      <c r="AH2754" t="s">
        <v>7624</v>
      </c>
      <c r="AI2754" t="s">
        <v>12370</v>
      </c>
      <c r="AJ2754">
        <v>-0.82</v>
      </c>
      <c r="AK2754">
        <v>717</v>
      </c>
      <c r="AL2754">
        <v>14</v>
      </c>
      <c r="AM2754">
        <v>5.9999999999999995E-4</v>
      </c>
      <c r="AN2754">
        <v>-1</v>
      </c>
      <c r="AO2754">
        <v>-0.17</v>
      </c>
      <c r="AP2754">
        <v>2.69</v>
      </c>
      <c r="AQ2754">
        <v>-2.4</v>
      </c>
      <c r="AR2754">
        <v>20.67</v>
      </c>
      <c r="AS2754">
        <v>1.45</v>
      </c>
      <c r="AT2754" t="s">
        <v>10784</v>
      </c>
      <c r="AU2754">
        <v>284.17</v>
      </c>
      <c r="AV2754">
        <v>243.15</v>
      </c>
      <c r="AW2754">
        <v>1.2</v>
      </c>
      <c r="BA2754">
        <v>0.56999999999999995</v>
      </c>
      <c r="BB2754">
        <v>0.56999999999999995</v>
      </c>
      <c r="BC2754">
        <v>-2.52</v>
      </c>
      <c r="BD2754">
        <v>-0.13</v>
      </c>
      <c r="BE2754">
        <v>-1.45</v>
      </c>
      <c r="BF2754">
        <v>-1.45</v>
      </c>
      <c r="BG2754">
        <v>1.67</v>
      </c>
      <c r="BH2754">
        <v>-0.76</v>
      </c>
      <c r="BI2754">
        <v>20191026</v>
      </c>
      <c r="BJ2754">
        <v>19931008</v>
      </c>
      <c r="BK2754">
        <v>4.0199999999999996</v>
      </c>
      <c r="BL2754">
        <v>1.72</v>
      </c>
      <c r="BM2754" t="s">
        <v>116</v>
      </c>
      <c r="BN2754">
        <v>18.350000000000001</v>
      </c>
      <c r="BO2754">
        <v>13.78</v>
      </c>
      <c r="BP2754">
        <v>0.82</v>
      </c>
      <c r="BQ2754">
        <v>20.440000000000001</v>
      </c>
      <c r="BR2754">
        <v>6.87</v>
      </c>
      <c r="BS2754">
        <v>1.25</v>
      </c>
      <c r="BT2754">
        <v>0.36</v>
      </c>
      <c r="BU2754">
        <v>3.23</v>
      </c>
      <c r="BV2754">
        <v>0.71</v>
      </c>
      <c r="BW2754">
        <v>2.0699999999999998</v>
      </c>
      <c r="BX2754">
        <v>7.63</v>
      </c>
      <c r="BY2754">
        <v>6.86</v>
      </c>
      <c r="BZ2754">
        <v>5.64</v>
      </c>
      <c r="CA2754">
        <v>0.38</v>
      </c>
      <c r="CB2754">
        <v>0.13</v>
      </c>
      <c r="CC2754">
        <v>0.39</v>
      </c>
      <c r="CD2754">
        <v>0.34</v>
      </c>
      <c r="CE2754">
        <v>0.24</v>
      </c>
      <c r="CF2754">
        <v>0.14000000000000001</v>
      </c>
      <c r="CG2754">
        <v>1.23</v>
      </c>
      <c r="CH2754">
        <v>0.03</v>
      </c>
      <c r="CI2754">
        <v>-0.04</v>
      </c>
      <c r="CJ2754">
        <v>44645</v>
      </c>
      <c r="CK2754">
        <v>5396</v>
      </c>
      <c r="CL2754" t="s">
        <v>8692</v>
      </c>
      <c r="CM2754">
        <v>-10.92</v>
      </c>
      <c r="CN2754">
        <v>11.69</v>
      </c>
      <c r="CO2754">
        <v>3.56</v>
      </c>
      <c r="CP2754">
        <v>1829.88</v>
      </c>
      <c r="CQ2754">
        <v>7.15</v>
      </c>
      <c r="CR2754">
        <v>0</v>
      </c>
      <c r="CS2754" t="s">
        <v>4234</v>
      </c>
      <c r="CT2754">
        <v>3.43</v>
      </c>
      <c r="CU2754">
        <v>0</v>
      </c>
      <c r="CV2754">
        <v>1.9</v>
      </c>
      <c r="CW2754">
        <v>0.31</v>
      </c>
      <c r="CX2754">
        <v>0.01</v>
      </c>
      <c r="CY2754">
        <v>75.09</v>
      </c>
      <c r="CZ2754" t="s">
        <v>12371</v>
      </c>
      <c r="DA2754">
        <v>17.89</v>
      </c>
      <c r="DB2754">
        <v>5.58</v>
      </c>
      <c r="DC2754">
        <v>3.46</v>
      </c>
      <c r="DD2754">
        <v>0.06</v>
      </c>
      <c r="DE2754">
        <v>661</v>
      </c>
      <c r="DF2754">
        <v>600679</v>
      </c>
      <c r="DG2754" t="s">
        <v>116</v>
      </c>
      <c r="DH2754" t="s">
        <v>116</v>
      </c>
      <c r="DI2754" t="s">
        <v>116</v>
      </c>
    </row>
    <row r="2755" spans="1:113" x14ac:dyDescent="0.4">
      <c r="A2755" t="str">
        <f>"600681"</f>
        <v>600681</v>
      </c>
      <c r="B2755" t="s">
        <v>12372</v>
      </c>
      <c r="C2755">
        <v>-0.15</v>
      </c>
      <c r="D2755">
        <v>6.76</v>
      </c>
      <c r="E2755">
        <v>-0.01</v>
      </c>
      <c r="F2755">
        <v>6.75</v>
      </c>
      <c r="G2755">
        <v>6.76</v>
      </c>
      <c r="H2755">
        <v>38615</v>
      </c>
      <c r="I2755">
        <v>193</v>
      </c>
      <c r="J2755">
        <v>0.15</v>
      </c>
      <c r="K2755">
        <v>0.28000000000000003</v>
      </c>
      <c r="L2755">
        <v>6.76</v>
      </c>
      <c r="M2755">
        <v>6.8</v>
      </c>
      <c r="N2755">
        <v>6.72</v>
      </c>
      <c r="O2755">
        <v>6.77</v>
      </c>
      <c r="P2755">
        <v>11.13</v>
      </c>
      <c r="Q2755">
        <v>26110568</v>
      </c>
      <c r="R2755">
        <v>1.41</v>
      </c>
      <c r="S2755" t="s">
        <v>690</v>
      </c>
      <c r="T2755" t="s">
        <v>774</v>
      </c>
      <c r="U2755">
        <v>1.18</v>
      </c>
      <c r="V2755">
        <v>6.76</v>
      </c>
      <c r="W2755">
        <v>21513</v>
      </c>
      <c r="X2755">
        <v>17102</v>
      </c>
      <c r="Y2755">
        <v>1.26</v>
      </c>
      <c r="Z2755">
        <v>343</v>
      </c>
      <c r="AA2755">
        <v>702</v>
      </c>
      <c r="AB2755" t="s">
        <v>116</v>
      </c>
      <c r="AC2755">
        <v>97300</v>
      </c>
      <c r="AD2755">
        <v>0</v>
      </c>
      <c r="AE2755" t="s">
        <v>116</v>
      </c>
      <c r="AF2755" t="s">
        <v>116</v>
      </c>
      <c r="AG2755">
        <v>14.02</v>
      </c>
      <c r="AH2755" t="s">
        <v>12172</v>
      </c>
      <c r="AI2755" t="s">
        <v>12373</v>
      </c>
      <c r="AJ2755">
        <v>-7.0000000000000007E-2</v>
      </c>
      <c r="AK2755">
        <v>718</v>
      </c>
      <c r="AL2755">
        <v>54</v>
      </c>
      <c r="AM2755">
        <v>4.0000000000000002E-4</v>
      </c>
      <c r="AN2755">
        <v>-1</v>
      </c>
      <c r="AO2755">
        <v>-0.44</v>
      </c>
      <c r="AP2755">
        <v>-0.73</v>
      </c>
      <c r="AQ2755">
        <v>-3.43</v>
      </c>
      <c r="AR2755">
        <v>-16.54</v>
      </c>
      <c r="AS2755">
        <v>0.92</v>
      </c>
      <c r="AT2755" t="s">
        <v>2236</v>
      </c>
      <c r="AU2755">
        <v>10.34</v>
      </c>
      <c r="AV2755">
        <v>9.69</v>
      </c>
      <c r="AW2755">
        <v>0.94</v>
      </c>
      <c r="BA2755">
        <v>-0.15</v>
      </c>
      <c r="BB2755">
        <v>0.44</v>
      </c>
      <c r="BC2755">
        <v>-0.74</v>
      </c>
      <c r="BD2755">
        <v>-0.12</v>
      </c>
      <c r="BE2755">
        <v>0</v>
      </c>
      <c r="BF2755">
        <v>-0.59</v>
      </c>
      <c r="BG2755">
        <v>0.6</v>
      </c>
      <c r="BH2755">
        <v>-0.03</v>
      </c>
      <c r="BI2755">
        <v>20191120</v>
      </c>
      <c r="BJ2755">
        <v>19931018</v>
      </c>
      <c r="BK2755">
        <v>14.43</v>
      </c>
      <c r="BL2755" t="s">
        <v>116</v>
      </c>
      <c r="BM2755" t="s">
        <v>116</v>
      </c>
      <c r="BN2755">
        <v>86.6</v>
      </c>
      <c r="BO2755">
        <v>44.81</v>
      </c>
      <c r="BP2755">
        <v>1.29</v>
      </c>
      <c r="BQ2755">
        <v>46.77</v>
      </c>
      <c r="BR2755">
        <v>28.86</v>
      </c>
      <c r="BS2755">
        <v>25.82</v>
      </c>
      <c r="BT2755">
        <v>6.6</v>
      </c>
      <c r="BU2755">
        <v>23.17</v>
      </c>
      <c r="BV2755">
        <v>2.99</v>
      </c>
      <c r="BW2755">
        <v>13.67</v>
      </c>
      <c r="BX2755">
        <v>9.31</v>
      </c>
      <c r="BY2755">
        <v>36.369999999999997</v>
      </c>
      <c r="BZ2755">
        <v>25.43</v>
      </c>
      <c r="CA2755">
        <v>8.66</v>
      </c>
      <c r="CB2755">
        <v>0.24</v>
      </c>
      <c r="CC2755">
        <v>8.56</v>
      </c>
      <c r="CD2755">
        <v>6.65</v>
      </c>
      <c r="CE2755">
        <v>6.57</v>
      </c>
      <c r="CF2755">
        <v>5.98</v>
      </c>
      <c r="CG2755">
        <v>23.77</v>
      </c>
      <c r="CH2755">
        <v>4.25</v>
      </c>
      <c r="CI2755">
        <v>-3.13</v>
      </c>
      <c r="CJ2755">
        <v>28128</v>
      </c>
      <c r="CK2755">
        <v>14969</v>
      </c>
      <c r="CL2755" t="s">
        <v>2231</v>
      </c>
      <c r="CM2755">
        <v>-8.7100000000000009</v>
      </c>
      <c r="CN2755">
        <v>17.670000000000002</v>
      </c>
      <c r="CO2755">
        <v>2.1800000000000002</v>
      </c>
      <c r="CP2755">
        <v>22.93</v>
      </c>
      <c r="CQ2755">
        <v>2.68</v>
      </c>
      <c r="CR2755">
        <v>5.27</v>
      </c>
      <c r="CS2755" t="s">
        <v>4078</v>
      </c>
      <c r="CT2755">
        <v>3.11</v>
      </c>
      <c r="CU2755">
        <v>0</v>
      </c>
      <c r="CV2755">
        <v>0.65</v>
      </c>
      <c r="CW2755">
        <v>1.65</v>
      </c>
      <c r="CX2755">
        <v>0.28999999999999998</v>
      </c>
      <c r="CY2755">
        <v>51.74</v>
      </c>
      <c r="CZ2755" t="s">
        <v>6995</v>
      </c>
      <c r="DA2755">
        <v>30.1</v>
      </c>
      <c r="DB2755">
        <v>23.81</v>
      </c>
      <c r="DC2755">
        <v>18.079999999999998</v>
      </c>
      <c r="DD2755">
        <v>0.01</v>
      </c>
      <c r="DE2755">
        <v>2491</v>
      </c>
      <c r="DF2755">
        <v>600681</v>
      </c>
      <c r="DG2755" t="s">
        <v>116</v>
      </c>
      <c r="DH2755" t="s">
        <v>116</v>
      </c>
      <c r="DI2755" t="s">
        <v>116</v>
      </c>
    </row>
    <row r="2756" spans="1:113" x14ac:dyDescent="0.4">
      <c r="A2756" t="str">
        <f>"600682"</f>
        <v>600682</v>
      </c>
      <c r="B2756" t="s">
        <v>12374</v>
      </c>
      <c r="C2756">
        <v>-1.4</v>
      </c>
      <c r="D2756">
        <v>9.85</v>
      </c>
      <c r="E2756">
        <v>-0.14000000000000001</v>
      </c>
      <c r="F2756">
        <v>9.84</v>
      </c>
      <c r="G2756">
        <v>9.85</v>
      </c>
      <c r="H2756">
        <v>94551</v>
      </c>
      <c r="I2756">
        <v>1910</v>
      </c>
      <c r="J2756">
        <v>-0.19</v>
      </c>
      <c r="K2756">
        <v>0.94</v>
      </c>
      <c r="L2756">
        <v>9.99</v>
      </c>
      <c r="M2756">
        <v>10</v>
      </c>
      <c r="N2756">
        <v>9.85</v>
      </c>
      <c r="O2756">
        <v>9.99</v>
      </c>
      <c r="P2756">
        <v>7.3</v>
      </c>
      <c r="Q2756">
        <v>93874320</v>
      </c>
      <c r="R2756">
        <v>0.95</v>
      </c>
      <c r="S2756" t="s">
        <v>746</v>
      </c>
      <c r="T2756" t="s">
        <v>323</v>
      </c>
      <c r="U2756">
        <v>1.5</v>
      </c>
      <c r="V2756">
        <v>9.93</v>
      </c>
      <c r="W2756">
        <v>61122</v>
      </c>
      <c r="X2756">
        <v>33429</v>
      </c>
      <c r="Y2756">
        <v>1.83</v>
      </c>
      <c r="Z2756">
        <v>178</v>
      </c>
      <c r="AA2756">
        <v>928</v>
      </c>
      <c r="AB2756" t="s">
        <v>116</v>
      </c>
      <c r="AC2756">
        <v>390600</v>
      </c>
      <c r="AD2756">
        <v>0.01</v>
      </c>
      <c r="AE2756" t="s">
        <v>116</v>
      </c>
      <c r="AF2756" t="s">
        <v>116</v>
      </c>
      <c r="AG2756">
        <v>10.02</v>
      </c>
      <c r="AH2756" t="s">
        <v>12375</v>
      </c>
      <c r="AI2756" t="s">
        <v>12376</v>
      </c>
      <c r="AJ2756">
        <v>-1.32</v>
      </c>
      <c r="AK2756">
        <v>2232</v>
      </c>
      <c r="AL2756">
        <v>42</v>
      </c>
      <c r="AM2756">
        <v>4.0000000000000002E-4</v>
      </c>
      <c r="AN2756">
        <v>-1</v>
      </c>
      <c r="AO2756">
        <v>-2.1800000000000002</v>
      </c>
      <c r="AP2756">
        <v>6.95</v>
      </c>
      <c r="AQ2756">
        <v>-9.7200000000000006</v>
      </c>
      <c r="AR2756">
        <v>12.19</v>
      </c>
      <c r="AS2756">
        <v>1.64</v>
      </c>
      <c r="AT2756" t="s">
        <v>4364</v>
      </c>
      <c r="AU2756">
        <v>10.54</v>
      </c>
      <c r="AV2756" t="s">
        <v>116</v>
      </c>
      <c r="AW2756">
        <v>1.1399999999999999</v>
      </c>
      <c r="BA2756">
        <v>0</v>
      </c>
      <c r="BB2756">
        <v>0.1</v>
      </c>
      <c r="BC2756">
        <v>-1.4</v>
      </c>
      <c r="BD2756">
        <v>-0.62</v>
      </c>
      <c r="BE2756">
        <v>-1.4</v>
      </c>
      <c r="BF2756">
        <v>-1.5</v>
      </c>
      <c r="BG2756">
        <v>0</v>
      </c>
      <c r="BH2756">
        <v>-0.79</v>
      </c>
      <c r="BI2756">
        <v>20191031</v>
      </c>
      <c r="BJ2756">
        <v>19931018</v>
      </c>
      <c r="BK2756">
        <v>13.46</v>
      </c>
      <c r="BL2756" t="s">
        <v>116</v>
      </c>
      <c r="BM2756" t="s">
        <v>116</v>
      </c>
      <c r="BN2756">
        <v>226.12</v>
      </c>
      <c r="BO2756">
        <v>153.77000000000001</v>
      </c>
      <c r="BP2756">
        <v>5.55</v>
      </c>
      <c r="BQ2756">
        <v>29.54</v>
      </c>
      <c r="BR2756">
        <v>86.5</v>
      </c>
      <c r="BS2756">
        <v>20.49</v>
      </c>
      <c r="BT2756">
        <v>27.25</v>
      </c>
      <c r="BU2756">
        <v>60.76</v>
      </c>
      <c r="BV2756">
        <v>6.37</v>
      </c>
      <c r="BW2756">
        <v>13.89</v>
      </c>
      <c r="BX2756">
        <v>102.35</v>
      </c>
      <c r="BY2756">
        <v>71.650000000000006</v>
      </c>
      <c r="BZ2756">
        <v>36.18</v>
      </c>
      <c r="CA2756">
        <v>18.55</v>
      </c>
      <c r="CB2756">
        <v>0.02</v>
      </c>
      <c r="CC2756">
        <v>18.55</v>
      </c>
      <c r="CD2756">
        <v>14.69</v>
      </c>
      <c r="CE2756">
        <v>13.63</v>
      </c>
      <c r="CF2756">
        <v>13.6</v>
      </c>
      <c r="CG2756">
        <v>29.45</v>
      </c>
      <c r="CH2756">
        <v>0.65</v>
      </c>
      <c r="CI2756">
        <v>5.6</v>
      </c>
      <c r="CJ2756">
        <v>40299</v>
      </c>
      <c r="CK2756">
        <v>14342</v>
      </c>
      <c r="CL2756" t="s">
        <v>12377</v>
      </c>
      <c r="CM2756">
        <v>274.52999999999997</v>
      </c>
      <c r="CN2756">
        <v>-41.73</v>
      </c>
      <c r="CO2756">
        <v>0.86</v>
      </c>
      <c r="CP2756">
        <v>203.43</v>
      </c>
      <c r="CQ2756">
        <v>1.85</v>
      </c>
      <c r="CR2756">
        <v>0</v>
      </c>
      <c r="CS2756" t="s">
        <v>9846</v>
      </c>
      <c r="CT2756">
        <v>11.42</v>
      </c>
      <c r="CU2756">
        <v>0</v>
      </c>
      <c r="CV2756">
        <v>7.6</v>
      </c>
      <c r="CW2756">
        <v>2.19</v>
      </c>
      <c r="CX2756">
        <v>0.05</v>
      </c>
      <c r="CY2756">
        <v>68</v>
      </c>
      <c r="CZ2756" t="s">
        <v>10072</v>
      </c>
      <c r="DA2756">
        <v>49.51</v>
      </c>
      <c r="DB2756">
        <v>25.89</v>
      </c>
      <c r="DC2756">
        <v>19.02</v>
      </c>
      <c r="DD2756">
        <v>2.59</v>
      </c>
      <c r="DE2756">
        <v>12326</v>
      </c>
      <c r="DF2756">
        <v>600682</v>
      </c>
      <c r="DG2756" t="s">
        <v>116</v>
      </c>
      <c r="DH2756" t="s">
        <v>116</v>
      </c>
      <c r="DI2756" t="s">
        <v>116</v>
      </c>
    </row>
    <row r="2757" spans="1:113" x14ac:dyDescent="0.4">
      <c r="A2757" t="str">
        <f>"600683"</f>
        <v>600683</v>
      </c>
      <c r="B2757" t="s">
        <v>12378</v>
      </c>
      <c r="C2757">
        <v>-0.73</v>
      </c>
      <c r="D2757">
        <v>4.08</v>
      </c>
      <c r="E2757">
        <v>-0.03</v>
      </c>
      <c r="F2757">
        <v>4.08</v>
      </c>
      <c r="G2757">
        <v>4.09</v>
      </c>
      <c r="H2757">
        <v>34125</v>
      </c>
      <c r="I2757">
        <v>24</v>
      </c>
      <c r="J2757">
        <v>-1.2</v>
      </c>
      <c r="K2757">
        <v>0.46</v>
      </c>
      <c r="L2757">
        <v>4.12</v>
      </c>
      <c r="M2757">
        <v>4.1900000000000004</v>
      </c>
      <c r="N2757">
        <v>4.05</v>
      </c>
      <c r="O2757">
        <v>4.1100000000000003</v>
      </c>
      <c r="P2757" t="s">
        <v>116</v>
      </c>
      <c r="Q2757">
        <v>14005499</v>
      </c>
      <c r="R2757">
        <v>2.54</v>
      </c>
      <c r="S2757" t="s">
        <v>148</v>
      </c>
      <c r="T2757" t="s">
        <v>590</v>
      </c>
      <c r="U2757">
        <v>3.41</v>
      </c>
      <c r="V2757">
        <v>4.0999999999999996</v>
      </c>
      <c r="W2757">
        <v>19825</v>
      </c>
      <c r="X2757">
        <v>14300</v>
      </c>
      <c r="Y2757">
        <v>1.39</v>
      </c>
      <c r="Z2757">
        <v>286</v>
      </c>
      <c r="AA2757">
        <v>296</v>
      </c>
      <c r="AB2757" t="s">
        <v>116</v>
      </c>
      <c r="AC2757">
        <v>7000</v>
      </c>
      <c r="AD2757">
        <v>0</v>
      </c>
      <c r="AE2757" t="s">
        <v>116</v>
      </c>
      <c r="AF2757" t="s">
        <v>116</v>
      </c>
      <c r="AG2757">
        <v>7.41</v>
      </c>
      <c r="AH2757" t="s">
        <v>7821</v>
      </c>
      <c r="AI2757" t="s">
        <v>7821</v>
      </c>
      <c r="AJ2757">
        <v>-0.65</v>
      </c>
      <c r="AK2757">
        <v>464</v>
      </c>
      <c r="AL2757">
        <v>74</v>
      </c>
      <c r="AM2757">
        <v>1E-3</v>
      </c>
      <c r="AN2757">
        <v>-3</v>
      </c>
      <c r="AO2757">
        <v>-2.62</v>
      </c>
      <c r="AP2757">
        <v>-1.92</v>
      </c>
      <c r="AQ2757">
        <v>2.5099999999999998</v>
      </c>
      <c r="AR2757">
        <v>2.77</v>
      </c>
      <c r="AS2757">
        <v>1.25</v>
      </c>
      <c r="AT2757" t="s">
        <v>6522</v>
      </c>
      <c r="AU2757">
        <v>11.98</v>
      </c>
      <c r="AV2757">
        <v>8.4499999999999993</v>
      </c>
      <c r="AW2757">
        <v>0.8</v>
      </c>
      <c r="BA2757">
        <v>0.24</v>
      </c>
      <c r="BB2757">
        <v>1.95</v>
      </c>
      <c r="BC2757">
        <v>-1.46</v>
      </c>
      <c r="BD2757">
        <v>-0.14000000000000001</v>
      </c>
      <c r="BE2757">
        <v>-0.97</v>
      </c>
      <c r="BF2757">
        <v>-2.63</v>
      </c>
      <c r="BG2757">
        <v>0.74</v>
      </c>
      <c r="BH2757">
        <v>-0.59</v>
      </c>
      <c r="BI2757">
        <v>20191029</v>
      </c>
      <c r="BJ2757">
        <v>19931025</v>
      </c>
      <c r="BK2757">
        <v>7.41</v>
      </c>
      <c r="BL2757" t="s">
        <v>116</v>
      </c>
      <c r="BM2757" t="s">
        <v>116</v>
      </c>
      <c r="BN2757">
        <v>443.39</v>
      </c>
      <c r="BO2757">
        <v>26.38</v>
      </c>
      <c r="BP2757">
        <v>12.53</v>
      </c>
      <c r="BQ2757">
        <v>91.22</v>
      </c>
      <c r="BR2757">
        <v>381.32</v>
      </c>
      <c r="BS2757">
        <v>0.44</v>
      </c>
      <c r="BT2757">
        <v>0.14000000000000001</v>
      </c>
      <c r="BU2757">
        <v>122.2</v>
      </c>
      <c r="BV2757">
        <v>339.4</v>
      </c>
      <c r="BW2757">
        <v>3.77</v>
      </c>
      <c r="BX2757">
        <v>3.28</v>
      </c>
      <c r="BY2757">
        <v>13.01</v>
      </c>
      <c r="BZ2757">
        <v>6.86</v>
      </c>
      <c r="CA2757">
        <v>2.06</v>
      </c>
      <c r="CB2757">
        <v>0.02</v>
      </c>
      <c r="CC2757">
        <v>2.08</v>
      </c>
      <c r="CD2757">
        <v>1.63</v>
      </c>
      <c r="CE2757">
        <v>-0.25</v>
      </c>
      <c r="CF2757">
        <v>-0.44</v>
      </c>
      <c r="CG2757">
        <v>11.84</v>
      </c>
      <c r="CH2757">
        <v>-84.13</v>
      </c>
      <c r="CI2757">
        <v>-4.75</v>
      </c>
      <c r="CJ2757">
        <v>23181</v>
      </c>
      <c r="CK2757">
        <v>11784</v>
      </c>
      <c r="CL2757" t="s">
        <v>2532</v>
      </c>
      <c r="CM2757">
        <v>-130.6</v>
      </c>
      <c r="CN2757">
        <v>-40.72</v>
      </c>
      <c r="CO2757">
        <v>1.1499999999999999</v>
      </c>
      <c r="CP2757">
        <v>-0.36</v>
      </c>
      <c r="CQ2757">
        <v>2.3199999999999998</v>
      </c>
      <c r="CR2757">
        <v>4.9000000000000004</v>
      </c>
      <c r="CS2757" t="s">
        <v>4281</v>
      </c>
      <c r="CT2757">
        <v>3.56</v>
      </c>
      <c r="CU2757">
        <v>0</v>
      </c>
      <c r="CV2757">
        <v>0.44</v>
      </c>
      <c r="CW2757">
        <v>1.6</v>
      </c>
      <c r="CX2757">
        <v>-11.36</v>
      </c>
      <c r="CY2757">
        <v>5.95</v>
      </c>
      <c r="CZ2757" t="s">
        <v>12379</v>
      </c>
      <c r="DA2757">
        <v>47.28</v>
      </c>
      <c r="DB2757">
        <v>15.8</v>
      </c>
      <c r="DC2757">
        <v>-1.9</v>
      </c>
      <c r="DD2757">
        <v>0</v>
      </c>
      <c r="DE2757">
        <v>680</v>
      </c>
      <c r="DF2757">
        <v>600683</v>
      </c>
      <c r="DG2757" t="s">
        <v>116</v>
      </c>
      <c r="DH2757" t="s">
        <v>116</v>
      </c>
      <c r="DI2757" t="s">
        <v>116</v>
      </c>
    </row>
    <row r="2758" spans="1:113" x14ac:dyDescent="0.4">
      <c r="A2758" t="str">
        <f>"600684"</f>
        <v>600684</v>
      </c>
      <c r="B2758" t="s">
        <v>12380</v>
      </c>
      <c r="C2758">
        <v>0</v>
      </c>
      <c r="D2758">
        <v>3.84</v>
      </c>
      <c r="E2758">
        <v>0</v>
      </c>
      <c r="F2758">
        <v>3.83</v>
      </c>
      <c r="G2758">
        <v>3.84</v>
      </c>
      <c r="H2758">
        <v>83242</v>
      </c>
      <c r="I2758">
        <v>729</v>
      </c>
      <c r="J2758">
        <v>0.26</v>
      </c>
      <c r="K2758">
        <v>0.98</v>
      </c>
      <c r="L2758">
        <v>3.84</v>
      </c>
      <c r="M2758">
        <v>4</v>
      </c>
      <c r="N2758">
        <v>3.8</v>
      </c>
      <c r="O2758">
        <v>3.84</v>
      </c>
      <c r="P2758">
        <v>53.08</v>
      </c>
      <c r="Q2758">
        <v>32293820</v>
      </c>
      <c r="R2758">
        <v>1.1100000000000001</v>
      </c>
      <c r="S2758" t="s">
        <v>124</v>
      </c>
      <c r="T2758" t="s">
        <v>551</v>
      </c>
      <c r="U2758">
        <v>5.21</v>
      </c>
      <c r="V2758">
        <v>3.88</v>
      </c>
      <c r="W2758">
        <v>40542</v>
      </c>
      <c r="X2758">
        <v>42700</v>
      </c>
      <c r="Y2758">
        <v>0.95</v>
      </c>
      <c r="Z2758">
        <v>1549</v>
      </c>
      <c r="AA2758">
        <v>550</v>
      </c>
      <c r="AB2758" t="s">
        <v>116</v>
      </c>
      <c r="AC2758">
        <v>83700</v>
      </c>
      <c r="AD2758">
        <v>0</v>
      </c>
      <c r="AE2758" t="s">
        <v>116</v>
      </c>
      <c r="AF2758" t="s">
        <v>116</v>
      </c>
      <c r="AG2758">
        <v>8.5299999999999994</v>
      </c>
      <c r="AH2758" t="s">
        <v>4762</v>
      </c>
      <c r="AI2758" t="s">
        <v>4762</v>
      </c>
      <c r="AJ2758">
        <v>0.08</v>
      </c>
      <c r="AK2758">
        <v>760</v>
      </c>
      <c r="AL2758">
        <v>110</v>
      </c>
      <c r="AM2758">
        <v>1.2999999999999999E-3</v>
      </c>
      <c r="AN2758">
        <v>0</v>
      </c>
      <c r="AO2758">
        <v>0.78</v>
      </c>
      <c r="AP2758">
        <v>8.4700000000000006</v>
      </c>
      <c r="AQ2758">
        <v>5.49</v>
      </c>
      <c r="AR2758">
        <v>-10.99</v>
      </c>
      <c r="AS2758">
        <v>1.51</v>
      </c>
      <c r="AT2758" t="s">
        <v>4730</v>
      </c>
      <c r="AU2758" t="s">
        <v>116</v>
      </c>
      <c r="AV2758">
        <v>13.35</v>
      </c>
      <c r="AW2758">
        <v>1.35</v>
      </c>
      <c r="BA2758">
        <v>0</v>
      </c>
      <c r="BB2758">
        <v>4.17</v>
      </c>
      <c r="BC2758">
        <v>-1.04</v>
      </c>
      <c r="BD2758">
        <v>1.03</v>
      </c>
      <c r="BE2758">
        <v>0</v>
      </c>
      <c r="BF2758">
        <v>-4</v>
      </c>
      <c r="BG2758">
        <v>1.05</v>
      </c>
      <c r="BH2758">
        <v>-1.03</v>
      </c>
      <c r="BI2758">
        <v>20191024</v>
      </c>
      <c r="BJ2758">
        <v>19931028</v>
      </c>
      <c r="BK2758">
        <v>8.5299999999999994</v>
      </c>
      <c r="BL2758" t="s">
        <v>116</v>
      </c>
      <c r="BM2758" t="s">
        <v>116</v>
      </c>
      <c r="BN2758">
        <v>159.65</v>
      </c>
      <c r="BO2758">
        <v>31.16</v>
      </c>
      <c r="BP2758">
        <v>10</v>
      </c>
      <c r="BQ2758">
        <v>74.22</v>
      </c>
      <c r="BR2758">
        <v>110.91</v>
      </c>
      <c r="BS2758">
        <v>8.14</v>
      </c>
      <c r="BT2758">
        <v>0.02</v>
      </c>
      <c r="BU2758">
        <v>42.95</v>
      </c>
      <c r="BV2758">
        <v>49.56</v>
      </c>
      <c r="BW2758">
        <v>0.19</v>
      </c>
      <c r="BX2758">
        <v>0.86</v>
      </c>
      <c r="BY2758">
        <v>20.83</v>
      </c>
      <c r="BZ2758">
        <v>14.31</v>
      </c>
      <c r="CA2758">
        <v>1.79</v>
      </c>
      <c r="CB2758">
        <v>0.05</v>
      </c>
      <c r="CC2758">
        <v>1.73</v>
      </c>
      <c r="CD2758">
        <v>1.1399999999999999</v>
      </c>
      <c r="CE2758">
        <v>0.46</v>
      </c>
      <c r="CF2758">
        <v>-1.65</v>
      </c>
      <c r="CG2758">
        <v>19.47</v>
      </c>
      <c r="CH2758">
        <v>8</v>
      </c>
      <c r="CI2758">
        <v>6.61</v>
      </c>
      <c r="CJ2758">
        <v>46005</v>
      </c>
      <c r="CK2758">
        <v>11944</v>
      </c>
      <c r="CL2758" t="s">
        <v>3873</v>
      </c>
      <c r="CM2758">
        <v>-84.48</v>
      </c>
      <c r="CN2758">
        <v>-21.98</v>
      </c>
      <c r="CO2758">
        <v>1.05</v>
      </c>
      <c r="CP2758">
        <v>4.0999999999999996</v>
      </c>
      <c r="CQ2758">
        <v>1.57</v>
      </c>
      <c r="CR2758">
        <v>0.94</v>
      </c>
      <c r="CS2758" t="s">
        <v>8882</v>
      </c>
      <c r="CT2758">
        <v>3.65</v>
      </c>
      <c r="CU2758">
        <v>0</v>
      </c>
      <c r="CV2758">
        <v>0.1</v>
      </c>
      <c r="CW2758">
        <v>2.2799999999999998</v>
      </c>
      <c r="CX2758">
        <v>0.94</v>
      </c>
      <c r="CY2758">
        <v>19.52</v>
      </c>
      <c r="CZ2758" t="s">
        <v>12381</v>
      </c>
      <c r="DA2758">
        <v>31.31</v>
      </c>
      <c r="DB2758">
        <v>8.6</v>
      </c>
      <c r="DC2758">
        <v>2.2200000000000002</v>
      </c>
      <c r="DD2758">
        <v>0</v>
      </c>
      <c r="DE2758">
        <v>1097</v>
      </c>
      <c r="DF2758">
        <v>600684</v>
      </c>
      <c r="DG2758" t="s">
        <v>116</v>
      </c>
      <c r="DH2758" t="s">
        <v>116</v>
      </c>
      <c r="DI2758" t="s">
        <v>116</v>
      </c>
    </row>
    <row r="2759" spans="1:113" x14ac:dyDescent="0.4">
      <c r="A2759" t="str">
        <f>"600685"</f>
        <v>600685</v>
      </c>
      <c r="B2759" t="s">
        <v>12382</v>
      </c>
      <c r="C2759">
        <v>-0.2</v>
      </c>
      <c r="D2759">
        <v>14.66</v>
      </c>
      <c r="E2759">
        <v>-0.03</v>
      </c>
      <c r="F2759">
        <v>14.66</v>
      </c>
      <c r="G2759">
        <v>14.67</v>
      </c>
      <c r="H2759">
        <v>38528</v>
      </c>
      <c r="I2759">
        <v>502</v>
      </c>
      <c r="J2759">
        <v>0</v>
      </c>
      <c r="K2759">
        <v>0.47</v>
      </c>
      <c r="L2759">
        <v>14.72</v>
      </c>
      <c r="M2759">
        <v>14.79</v>
      </c>
      <c r="N2759">
        <v>14.65</v>
      </c>
      <c r="O2759">
        <v>14.69</v>
      </c>
      <c r="P2759" t="s">
        <v>116</v>
      </c>
      <c r="Q2759">
        <v>56660000</v>
      </c>
      <c r="R2759">
        <v>0.98</v>
      </c>
      <c r="S2759" t="s">
        <v>7623</v>
      </c>
      <c r="T2759" t="s">
        <v>551</v>
      </c>
      <c r="U2759">
        <v>0.95</v>
      </c>
      <c r="V2759">
        <v>14.71</v>
      </c>
      <c r="W2759">
        <v>20645</v>
      </c>
      <c r="X2759">
        <v>17883</v>
      </c>
      <c r="Y2759">
        <v>1.1499999999999999</v>
      </c>
      <c r="Z2759">
        <v>1014</v>
      </c>
      <c r="AA2759">
        <v>150</v>
      </c>
      <c r="AB2759" t="s">
        <v>116</v>
      </c>
      <c r="AC2759">
        <v>58900</v>
      </c>
      <c r="AD2759">
        <v>0</v>
      </c>
      <c r="AE2759" t="s">
        <v>116</v>
      </c>
      <c r="AF2759" t="s">
        <v>116</v>
      </c>
      <c r="AG2759">
        <v>8.2100000000000009</v>
      </c>
      <c r="AH2759" t="s">
        <v>12383</v>
      </c>
      <c r="AI2759" t="s">
        <v>12383</v>
      </c>
      <c r="AJ2759">
        <v>-0.13</v>
      </c>
      <c r="AK2759">
        <v>1768</v>
      </c>
      <c r="AL2759">
        <v>22</v>
      </c>
      <c r="AM2759">
        <v>2.9999999999999997E-4</v>
      </c>
      <c r="AN2759">
        <v>-1</v>
      </c>
      <c r="AO2759">
        <v>7.0000000000000007E-2</v>
      </c>
      <c r="AP2759">
        <v>-0.41</v>
      </c>
      <c r="AQ2759">
        <v>-14.17</v>
      </c>
      <c r="AR2759">
        <v>53.35</v>
      </c>
      <c r="AS2759">
        <v>1.21</v>
      </c>
      <c r="AT2759" t="s">
        <v>6914</v>
      </c>
      <c r="AU2759" t="s">
        <v>116</v>
      </c>
      <c r="AV2759" t="s">
        <v>116</v>
      </c>
      <c r="AW2759">
        <v>1.03</v>
      </c>
      <c r="BA2759">
        <v>0.2</v>
      </c>
      <c r="BB2759">
        <v>0.68</v>
      </c>
      <c r="BC2759">
        <v>-0.27</v>
      </c>
      <c r="BD2759">
        <v>0.11</v>
      </c>
      <c r="BE2759">
        <v>-0.41</v>
      </c>
      <c r="BF2759">
        <v>-0.88</v>
      </c>
      <c r="BG2759">
        <v>7.0000000000000007E-2</v>
      </c>
      <c r="BH2759">
        <v>-0.31</v>
      </c>
      <c r="BI2759">
        <v>20191031</v>
      </c>
      <c r="BJ2759">
        <v>19931028</v>
      </c>
      <c r="BK2759">
        <v>14.14</v>
      </c>
      <c r="BL2759" t="s">
        <v>116</v>
      </c>
      <c r="BM2759">
        <v>5.92</v>
      </c>
      <c r="BN2759">
        <v>456.98</v>
      </c>
      <c r="BO2759">
        <v>96.58</v>
      </c>
      <c r="BP2759">
        <v>49.4</v>
      </c>
      <c r="BQ2759">
        <v>68.06</v>
      </c>
      <c r="BR2759">
        <v>272.13</v>
      </c>
      <c r="BS2759">
        <v>115.1</v>
      </c>
      <c r="BT2759">
        <v>20.41</v>
      </c>
      <c r="BU2759">
        <v>237.22</v>
      </c>
      <c r="BV2759">
        <v>57.35</v>
      </c>
      <c r="BW2759">
        <v>25.76</v>
      </c>
      <c r="BX2759">
        <v>95.5</v>
      </c>
      <c r="BY2759">
        <v>128.19</v>
      </c>
      <c r="BZ2759">
        <v>124.3</v>
      </c>
      <c r="CA2759">
        <v>-11.06</v>
      </c>
      <c r="CB2759">
        <v>-2.2400000000000002</v>
      </c>
      <c r="CC2759">
        <v>0.52</v>
      </c>
      <c r="CD2759">
        <v>-0.13</v>
      </c>
      <c r="CE2759">
        <v>-0.77</v>
      </c>
      <c r="CF2759">
        <v>-5.72</v>
      </c>
      <c r="CG2759">
        <v>-22.3</v>
      </c>
      <c r="CH2759">
        <v>-43.02</v>
      </c>
      <c r="CI2759">
        <v>-40.39</v>
      </c>
      <c r="CJ2759">
        <v>76306</v>
      </c>
      <c r="CK2759">
        <v>4190</v>
      </c>
      <c r="CL2759" t="s">
        <v>8085</v>
      </c>
      <c r="CM2759">
        <v>88.85</v>
      </c>
      <c r="CN2759">
        <v>6.32</v>
      </c>
      <c r="CO2759">
        <v>2.15</v>
      </c>
      <c r="CP2759">
        <v>-4.82</v>
      </c>
      <c r="CQ2759">
        <v>1.62</v>
      </c>
      <c r="CR2759">
        <v>0</v>
      </c>
      <c r="CS2759" t="s">
        <v>12384</v>
      </c>
      <c r="CT2759">
        <v>6.83</v>
      </c>
      <c r="CU2759">
        <v>0</v>
      </c>
      <c r="CV2759">
        <v>6.76</v>
      </c>
      <c r="CW2759">
        <v>-1.58</v>
      </c>
      <c r="CX2759">
        <v>-3.04</v>
      </c>
      <c r="CY2759">
        <v>21.13</v>
      </c>
      <c r="CZ2759" t="s">
        <v>12385</v>
      </c>
      <c r="DA2759">
        <v>3.04</v>
      </c>
      <c r="DB2759">
        <v>-8.6300000000000008</v>
      </c>
      <c r="DC2759">
        <v>-0.6</v>
      </c>
      <c r="DD2759">
        <v>3.81</v>
      </c>
      <c r="DE2759">
        <v>15832</v>
      </c>
      <c r="DF2759">
        <v>600685</v>
      </c>
      <c r="DG2759" t="s">
        <v>116</v>
      </c>
      <c r="DH2759" t="s">
        <v>116</v>
      </c>
      <c r="DI2759" t="s">
        <v>116</v>
      </c>
    </row>
    <row r="2760" spans="1:113" x14ac:dyDescent="0.4">
      <c r="A2760" t="str">
        <f>"600686"</f>
        <v>600686</v>
      </c>
      <c r="B2760" t="s">
        <v>12386</v>
      </c>
      <c r="C2760">
        <v>-0.98</v>
      </c>
      <c r="D2760">
        <v>7.06</v>
      </c>
      <c r="E2760">
        <v>-7.0000000000000007E-2</v>
      </c>
      <c r="F2760">
        <v>7.06</v>
      </c>
      <c r="G2760">
        <v>7.07</v>
      </c>
      <c r="H2760">
        <v>44476</v>
      </c>
      <c r="I2760">
        <v>1254</v>
      </c>
      <c r="J2760">
        <v>0.14000000000000001</v>
      </c>
      <c r="K2760">
        <v>0.73</v>
      </c>
      <c r="L2760">
        <v>7.2</v>
      </c>
      <c r="M2760">
        <v>7.2</v>
      </c>
      <c r="N2760">
        <v>7.04</v>
      </c>
      <c r="O2760">
        <v>7.13</v>
      </c>
      <c r="P2760">
        <v>41.11</v>
      </c>
      <c r="Q2760">
        <v>31613014</v>
      </c>
      <c r="R2760">
        <v>1.61</v>
      </c>
      <c r="S2760" t="s">
        <v>1108</v>
      </c>
      <c r="T2760" t="s">
        <v>975</v>
      </c>
      <c r="U2760">
        <v>2.2400000000000002</v>
      </c>
      <c r="V2760">
        <v>7.11</v>
      </c>
      <c r="W2760">
        <v>19913</v>
      </c>
      <c r="X2760">
        <v>24563</v>
      </c>
      <c r="Y2760">
        <v>0.81</v>
      </c>
      <c r="Z2760">
        <v>207</v>
      </c>
      <c r="AA2760">
        <v>653</v>
      </c>
      <c r="AB2760" t="s">
        <v>116</v>
      </c>
      <c r="AC2760">
        <v>141100</v>
      </c>
      <c r="AD2760">
        <v>0.01</v>
      </c>
      <c r="AE2760" t="s">
        <v>116</v>
      </c>
      <c r="AF2760" t="s">
        <v>116</v>
      </c>
      <c r="AG2760">
        <v>6.07</v>
      </c>
      <c r="AH2760" t="s">
        <v>12387</v>
      </c>
      <c r="AI2760" t="s">
        <v>12387</v>
      </c>
      <c r="AJ2760">
        <v>-0.9</v>
      </c>
      <c r="AK2760">
        <v>829</v>
      </c>
      <c r="AL2760">
        <v>54</v>
      </c>
      <c r="AM2760">
        <v>8.9999999999999998E-4</v>
      </c>
      <c r="AN2760">
        <v>-1</v>
      </c>
      <c r="AO2760">
        <v>-0.42</v>
      </c>
      <c r="AP2760">
        <v>5.85</v>
      </c>
      <c r="AQ2760">
        <v>-2.2200000000000002</v>
      </c>
      <c r="AR2760">
        <v>3.47</v>
      </c>
      <c r="AS2760">
        <v>1.61</v>
      </c>
      <c r="AT2760" t="s">
        <v>12388</v>
      </c>
      <c r="AU2760">
        <v>28.36</v>
      </c>
      <c r="AV2760">
        <v>26.96</v>
      </c>
      <c r="AW2760">
        <v>0.97</v>
      </c>
      <c r="BA2760">
        <v>0.98</v>
      </c>
      <c r="BB2760">
        <v>0.98</v>
      </c>
      <c r="BC2760">
        <v>-1.26</v>
      </c>
      <c r="BD2760">
        <v>-0.31</v>
      </c>
      <c r="BE2760">
        <v>-1.94</v>
      </c>
      <c r="BF2760">
        <v>-1.94</v>
      </c>
      <c r="BG2760">
        <v>0.28000000000000003</v>
      </c>
      <c r="BH2760">
        <v>-0.67</v>
      </c>
      <c r="BI2760">
        <v>20191031</v>
      </c>
      <c r="BJ2760">
        <v>19931108</v>
      </c>
      <c r="BK2760">
        <v>6.07</v>
      </c>
      <c r="BL2760" t="s">
        <v>116</v>
      </c>
      <c r="BM2760" t="s">
        <v>116</v>
      </c>
      <c r="BN2760">
        <v>245.88</v>
      </c>
      <c r="BO2760">
        <v>43.48</v>
      </c>
      <c r="BP2760">
        <v>11.8</v>
      </c>
      <c r="BQ2760">
        <v>77.52</v>
      </c>
      <c r="BR2760">
        <v>204.2</v>
      </c>
      <c r="BS2760">
        <v>17.04</v>
      </c>
      <c r="BT2760">
        <v>6.13</v>
      </c>
      <c r="BU2760">
        <v>150.71</v>
      </c>
      <c r="BV2760">
        <v>20.04</v>
      </c>
      <c r="BW2760">
        <v>110.36</v>
      </c>
      <c r="BX2760">
        <v>8.07</v>
      </c>
      <c r="BY2760">
        <v>116.31</v>
      </c>
      <c r="BZ2760">
        <v>102.32</v>
      </c>
      <c r="CA2760">
        <v>0.9</v>
      </c>
      <c r="CB2760">
        <v>0.53</v>
      </c>
      <c r="CC2760">
        <v>1.03</v>
      </c>
      <c r="CD2760">
        <v>0.92</v>
      </c>
      <c r="CE2760">
        <v>0.78</v>
      </c>
      <c r="CF2760">
        <v>-0.63</v>
      </c>
      <c r="CG2760">
        <v>17.420000000000002</v>
      </c>
      <c r="CH2760">
        <v>3.6</v>
      </c>
      <c r="CI2760">
        <v>-9.6300000000000008</v>
      </c>
      <c r="CJ2760">
        <v>23104</v>
      </c>
      <c r="CK2760">
        <v>11984</v>
      </c>
      <c r="CL2760" t="s">
        <v>5529</v>
      </c>
      <c r="CM2760">
        <v>-9.08</v>
      </c>
      <c r="CN2760">
        <v>-8.41</v>
      </c>
      <c r="CO2760">
        <v>1.24</v>
      </c>
      <c r="CP2760">
        <v>11.9</v>
      </c>
      <c r="CQ2760">
        <v>0.37</v>
      </c>
      <c r="CR2760">
        <v>0.38</v>
      </c>
      <c r="CS2760" t="s">
        <v>2739</v>
      </c>
      <c r="CT2760">
        <v>5.68</v>
      </c>
      <c r="CU2760">
        <v>5.68</v>
      </c>
      <c r="CV2760">
        <v>1.33</v>
      </c>
      <c r="CW2760">
        <v>2.87</v>
      </c>
      <c r="CX2760">
        <v>0.59</v>
      </c>
      <c r="CY2760">
        <v>17.690000000000001</v>
      </c>
      <c r="CZ2760" t="s">
        <v>12389</v>
      </c>
      <c r="DA2760">
        <v>12.02</v>
      </c>
      <c r="DB2760">
        <v>0.78</v>
      </c>
      <c r="DC2760">
        <v>0.67</v>
      </c>
      <c r="DD2760">
        <v>4.22</v>
      </c>
      <c r="DE2760">
        <v>14211</v>
      </c>
      <c r="DF2760">
        <v>600686</v>
      </c>
      <c r="DG2760" t="s">
        <v>116</v>
      </c>
      <c r="DH2760" t="s">
        <v>116</v>
      </c>
      <c r="DI2760" t="s">
        <v>116</v>
      </c>
    </row>
    <row r="2761" spans="1:113" x14ac:dyDescent="0.4">
      <c r="A2761" t="str">
        <f>"600687"</f>
        <v>600687</v>
      </c>
      <c r="B2761" t="s">
        <v>12390</v>
      </c>
      <c r="C2761">
        <v>-0.55000000000000004</v>
      </c>
      <c r="D2761">
        <v>1.8</v>
      </c>
      <c r="E2761">
        <v>-0.01</v>
      </c>
      <c r="F2761">
        <v>1.8</v>
      </c>
      <c r="G2761">
        <v>1.81</v>
      </c>
      <c r="H2761">
        <v>130237</v>
      </c>
      <c r="I2761">
        <v>1172</v>
      </c>
      <c r="J2761">
        <v>-0.54</v>
      </c>
      <c r="K2761">
        <v>0.87</v>
      </c>
      <c r="L2761">
        <v>1.82</v>
      </c>
      <c r="M2761">
        <v>1.85</v>
      </c>
      <c r="N2761">
        <v>1.8</v>
      </c>
      <c r="O2761">
        <v>1.81</v>
      </c>
      <c r="P2761" t="s">
        <v>116</v>
      </c>
      <c r="Q2761">
        <v>23744356</v>
      </c>
      <c r="R2761">
        <v>0.69</v>
      </c>
      <c r="S2761" t="s">
        <v>871</v>
      </c>
      <c r="T2761" t="s">
        <v>1122</v>
      </c>
      <c r="U2761">
        <v>2.76</v>
      </c>
      <c r="V2761">
        <v>1.82</v>
      </c>
      <c r="W2761">
        <v>65357</v>
      </c>
      <c r="X2761">
        <v>64880</v>
      </c>
      <c r="Y2761">
        <v>1.01</v>
      </c>
      <c r="Z2761">
        <v>5991</v>
      </c>
      <c r="AA2761">
        <v>2753</v>
      </c>
      <c r="AB2761" t="s">
        <v>116</v>
      </c>
      <c r="AC2761">
        <v>152500</v>
      </c>
      <c r="AD2761">
        <v>0.01</v>
      </c>
      <c r="AE2761" t="s">
        <v>116</v>
      </c>
      <c r="AF2761" t="s">
        <v>116</v>
      </c>
      <c r="AG2761">
        <v>14.89</v>
      </c>
      <c r="AH2761" t="s">
        <v>12391</v>
      </c>
      <c r="AI2761" t="s">
        <v>12391</v>
      </c>
      <c r="AJ2761">
        <v>-0.48</v>
      </c>
      <c r="AK2761">
        <v>730</v>
      </c>
      <c r="AL2761">
        <v>178</v>
      </c>
      <c r="AM2761">
        <v>1.1999999999999999E-3</v>
      </c>
      <c r="AN2761">
        <v>-1</v>
      </c>
      <c r="AO2761">
        <v>-4.75</v>
      </c>
      <c r="AP2761">
        <v>8.43</v>
      </c>
      <c r="AQ2761">
        <v>-12.2</v>
      </c>
      <c r="AR2761">
        <v>-56.63</v>
      </c>
      <c r="AS2761">
        <v>1.91</v>
      </c>
      <c r="AT2761" t="s">
        <v>12392</v>
      </c>
      <c r="AU2761" t="s">
        <v>116</v>
      </c>
      <c r="AV2761" t="s">
        <v>116</v>
      </c>
      <c r="AW2761">
        <v>0.83</v>
      </c>
      <c r="BA2761">
        <v>0.55000000000000004</v>
      </c>
      <c r="BB2761">
        <v>2.21</v>
      </c>
      <c r="BC2761">
        <v>-0.55000000000000004</v>
      </c>
      <c r="BD2761">
        <v>0.73</v>
      </c>
      <c r="BE2761">
        <v>-1.1000000000000001</v>
      </c>
      <c r="BF2761">
        <v>-2.7</v>
      </c>
      <c r="BG2761">
        <v>0</v>
      </c>
      <c r="BH2761">
        <v>-1.28</v>
      </c>
      <c r="BI2761">
        <v>20191031</v>
      </c>
      <c r="BJ2761">
        <v>19931108</v>
      </c>
      <c r="BK2761">
        <v>14.89</v>
      </c>
      <c r="BL2761" t="s">
        <v>116</v>
      </c>
      <c r="BM2761" t="s">
        <v>116</v>
      </c>
      <c r="BN2761">
        <v>111.86</v>
      </c>
      <c r="BO2761">
        <v>45.45</v>
      </c>
      <c r="BP2761">
        <v>0.67</v>
      </c>
      <c r="BQ2761">
        <v>58.77</v>
      </c>
      <c r="BR2761">
        <v>99.86</v>
      </c>
      <c r="BS2761">
        <v>4.87</v>
      </c>
      <c r="BT2761">
        <v>3.79</v>
      </c>
      <c r="BU2761">
        <v>53.88</v>
      </c>
      <c r="BV2761">
        <v>60.52</v>
      </c>
      <c r="BW2761">
        <v>29.36</v>
      </c>
      <c r="BX2761">
        <v>29.02</v>
      </c>
      <c r="BY2761">
        <v>9.27</v>
      </c>
      <c r="BZ2761">
        <v>7.9</v>
      </c>
      <c r="CA2761">
        <v>-3.32</v>
      </c>
      <c r="CB2761">
        <v>-0.15</v>
      </c>
      <c r="CC2761">
        <v>-3.33</v>
      </c>
      <c r="CD2761">
        <v>-3.36</v>
      </c>
      <c r="CE2761">
        <v>-3.34</v>
      </c>
      <c r="CF2761">
        <v>-3.36</v>
      </c>
      <c r="CG2761">
        <v>0.67</v>
      </c>
      <c r="CH2761">
        <v>1.91</v>
      </c>
      <c r="CI2761">
        <v>-0.11</v>
      </c>
      <c r="CJ2761">
        <v>35234</v>
      </c>
      <c r="CK2761">
        <v>19342</v>
      </c>
      <c r="CL2761" t="s">
        <v>805</v>
      </c>
      <c r="CM2761">
        <v>-812.78</v>
      </c>
      <c r="CN2761">
        <v>-87.6</v>
      </c>
      <c r="CO2761">
        <v>0.59</v>
      </c>
      <c r="CP2761">
        <v>14.02</v>
      </c>
      <c r="CQ2761">
        <v>2.89</v>
      </c>
      <c r="CR2761">
        <v>0</v>
      </c>
      <c r="CS2761" t="s">
        <v>12393</v>
      </c>
      <c r="CT2761">
        <v>3.05</v>
      </c>
      <c r="CU2761">
        <v>0</v>
      </c>
      <c r="CV2761">
        <v>1.95</v>
      </c>
      <c r="CW2761">
        <v>0.04</v>
      </c>
      <c r="CX2761">
        <v>0.13</v>
      </c>
      <c r="CY2761">
        <v>40.630000000000003</v>
      </c>
      <c r="CZ2761" t="s">
        <v>11768</v>
      </c>
      <c r="DA2761">
        <v>14.73</v>
      </c>
      <c r="DB2761">
        <v>-35.85</v>
      </c>
      <c r="DC2761">
        <v>-36.01</v>
      </c>
      <c r="DD2761">
        <v>0</v>
      </c>
      <c r="DE2761">
        <v>949</v>
      </c>
      <c r="DF2761">
        <v>600687</v>
      </c>
      <c r="DG2761" t="s">
        <v>116</v>
      </c>
      <c r="DH2761" t="s">
        <v>116</v>
      </c>
      <c r="DI2761" t="s">
        <v>116</v>
      </c>
    </row>
    <row r="2762" spans="1:113" x14ac:dyDescent="0.4">
      <c r="A2762" t="str">
        <f>"600688"</f>
        <v>600688</v>
      </c>
      <c r="B2762" t="s">
        <v>12394</v>
      </c>
      <c r="C2762">
        <v>0.26</v>
      </c>
      <c r="D2762">
        <v>3.8</v>
      </c>
      <c r="E2762">
        <v>0.01</v>
      </c>
      <c r="F2762">
        <v>3.8</v>
      </c>
      <c r="G2762">
        <v>3.81</v>
      </c>
      <c r="H2762">
        <v>104424</v>
      </c>
      <c r="I2762">
        <v>286</v>
      </c>
      <c r="J2762">
        <v>-0.25</v>
      </c>
      <c r="K2762">
        <v>0.14000000000000001</v>
      </c>
      <c r="L2762">
        <v>3.78</v>
      </c>
      <c r="M2762">
        <v>3.84</v>
      </c>
      <c r="N2762">
        <v>3.77</v>
      </c>
      <c r="O2762">
        <v>3.79</v>
      </c>
      <c r="P2762">
        <v>18.45</v>
      </c>
      <c r="Q2762">
        <v>39758852</v>
      </c>
      <c r="R2762">
        <v>1.31</v>
      </c>
      <c r="S2762" t="s">
        <v>433</v>
      </c>
      <c r="T2762" t="s">
        <v>1653</v>
      </c>
      <c r="U2762">
        <v>1.85</v>
      </c>
      <c r="V2762">
        <v>3.81</v>
      </c>
      <c r="W2762">
        <v>39115</v>
      </c>
      <c r="X2762">
        <v>65309</v>
      </c>
      <c r="Y2762">
        <v>0.6</v>
      </c>
      <c r="Z2762">
        <v>4454</v>
      </c>
      <c r="AA2762">
        <v>5146</v>
      </c>
      <c r="AB2762" t="s">
        <v>116</v>
      </c>
      <c r="AC2762">
        <v>317500</v>
      </c>
      <c r="AD2762">
        <v>0</v>
      </c>
      <c r="AE2762" t="s">
        <v>116</v>
      </c>
      <c r="AF2762" t="s">
        <v>116</v>
      </c>
      <c r="AG2762">
        <v>73.290000000000006</v>
      </c>
      <c r="AH2762" t="s">
        <v>10950</v>
      </c>
      <c r="AI2762" t="s">
        <v>10950</v>
      </c>
      <c r="AJ2762">
        <v>0.34</v>
      </c>
      <c r="AK2762">
        <v>1840</v>
      </c>
      <c r="AL2762">
        <v>57</v>
      </c>
      <c r="AM2762">
        <v>1E-4</v>
      </c>
      <c r="AN2762">
        <v>2</v>
      </c>
      <c r="AO2762">
        <v>0.79</v>
      </c>
      <c r="AP2762">
        <v>-2.81</v>
      </c>
      <c r="AQ2762">
        <v>-9.52</v>
      </c>
      <c r="AR2762">
        <v>-19.829999999999998</v>
      </c>
      <c r="AS2762">
        <v>0.56000000000000005</v>
      </c>
      <c r="AT2762" t="s">
        <v>12395</v>
      </c>
      <c r="AU2762">
        <v>17.97</v>
      </c>
      <c r="AV2762">
        <v>7.79</v>
      </c>
      <c r="AW2762">
        <v>0.57999999999999996</v>
      </c>
      <c r="BA2762">
        <v>-0.26</v>
      </c>
      <c r="BB2762">
        <v>1.32</v>
      </c>
      <c r="BC2762">
        <v>-0.53</v>
      </c>
      <c r="BD2762">
        <v>0.46</v>
      </c>
      <c r="BE2762">
        <v>0.53</v>
      </c>
      <c r="BF2762">
        <v>-1.04</v>
      </c>
      <c r="BG2762">
        <v>0.8</v>
      </c>
      <c r="BH2762">
        <v>-0.2</v>
      </c>
      <c r="BI2762">
        <v>20191024</v>
      </c>
      <c r="BJ2762">
        <v>19931108</v>
      </c>
      <c r="BK2762">
        <v>108.24</v>
      </c>
      <c r="BL2762" t="s">
        <v>116</v>
      </c>
      <c r="BM2762">
        <v>34.950000000000003</v>
      </c>
      <c r="BN2762">
        <v>394.79</v>
      </c>
      <c r="BO2762">
        <v>293.32</v>
      </c>
      <c r="BP2762">
        <v>1.28</v>
      </c>
      <c r="BQ2762">
        <v>25.38</v>
      </c>
      <c r="BR2762">
        <v>196.9</v>
      </c>
      <c r="BS2762">
        <v>111.44</v>
      </c>
      <c r="BT2762">
        <v>3.42</v>
      </c>
      <c r="BU2762">
        <v>98.54</v>
      </c>
      <c r="BV2762">
        <v>60.08</v>
      </c>
      <c r="BW2762">
        <v>28.16</v>
      </c>
      <c r="BX2762">
        <v>6.1</v>
      </c>
      <c r="BY2762">
        <v>753.7</v>
      </c>
      <c r="BZ2762">
        <v>628.21</v>
      </c>
      <c r="CA2762">
        <v>20.25</v>
      </c>
      <c r="CB2762">
        <v>7.09</v>
      </c>
      <c r="CC2762">
        <v>19.98</v>
      </c>
      <c r="CD2762">
        <v>17.13</v>
      </c>
      <c r="CE2762">
        <v>16.72</v>
      </c>
      <c r="CF2762">
        <v>15.22</v>
      </c>
      <c r="CG2762">
        <v>115.97</v>
      </c>
      <c r="CH2762">
        <v>-4.1500000000000004</v>
      </c>
      <c r="CI2762">
        <v>-55.07</v>
      </c>
      <c r="CJ2762">
        <v>87362</v>
      </c>
      <c r="CK2762">
        <v>21392</v>
      </c>
      <c r="CL2762" t="s">
        <v>6009</v>
      </c>
      <c r="CM2762">
        <v>-64.12</v>
      </c>
      <c r="CN2762">
        <v>-6.74</v>
      </c>
      <c r="CO2762">
        <v>1.4</v>
      </c>
      <c r="CP2762">
        <v>-99.2</v>
      </c>
      <c r="CQ2762">
        <v>0.55000000000000004</v>
      </c>
      <c r="CR2762">
        <v>6.58</v>
      </c>
      <c r="CS2762" t="s">
        <v>358</v>
      </c>
      <c r="CT2762">
        <v>2.71</v>
      </c>
      <c r="CU2762">
        <v>0</v>
      </c>
      <c r="CV2762">
        <v>0.06</v>
      </c>
      <c r="CW2762">
        <v>1.07</v>
      </c>
      <c r="CX2762">
        <v>-0.04</v>
      </c>
      <c r="CY2762">
        <v>74.3</v>
      </c>
      <c r="CZ2762" t="s">
        <v>201</v>
      </c>
      <c r="DA2762">
        <v>16.649999999999999</v>
      </c>
      <c r="DB2762">
        <v>2.69</v>
      </c>
      <c r="DC2762">
        <v>2.2200000000000002</v>
      </c>
      <c r="DD2762">
        <v>0.28999999999999998</v>
      </c>
      <c r="DE2762">
        <v>9597</v>
      </c>
      <c r="DF2762">
        <v>600688</v>
      </c>
      <c r="DG2762" t="s">
        <v>116</v>
      </c>
      <c r="DH2762" t="s">
        <v>116</v>
      </c>
      <c r="DI2762" t="s">
        <v>116</v>
      </c>
    </row>
    <row r="2763" spans="1:113" x14ac:dyDescent="0.4">
      <c r="A2763" t="str">
        <f>"600689"</f>
        <v>600689</v>
      </c>
      <c r="B2763" t="s">
        <v>12396</v>
      </c>
      <c r="C2763">
        <v>-0.42</v>
      </c>
      <c r="D2763">
        <v>9.57</v>
      </c>
      <c r="E2763">
        <v>-0.04</v>
      </c>
      <c r="F2763">
        <v>9.56</v>
      </c>
      <c r="G2763">
        <v>9.57</v>
      </c>
      <c r="H2763">
        <v>12861</v>
      </c>
      <c r="I2763">
        <v>416</v>
      </c>
      <c r="J2763">
        <v>0</v>
      </c>
      <c r="K2763">
        <v>0.84</v>
      </c>
      <c r="L2763">
        <v>9.68</v>
      </c>
      <c r="M2763">
        <v>9.68</v>
      </c>
      <c r="N2763">
        <v>9.56</v>
      </c>
      <c r="O2763">
        <v>9.61</v>
      </c>
      <c r="P2763">
        <v>115.99</v>
      </c>
      <c r="Q2763">
        <v>12367035</v>
      </c>
      <c r="R2763">
        <v>0.92</v>
      </c>
      <c r="S2763" t="s">
        <v>1420</v>
      </c>
      <c r="T2763" t="s">
        <v>1653</v>
      </c>
      <c r="U2763">
        <v>1.25</v>
      </c>
      <c r="V2763">
        <v>9.6199999999999992</v>
      </c>
      <c r="W2763">
        <v>7152</v>
      </c>
      <c r="X2763">
        <v>5709</v>
      </c>
      <c r="Y2763">
        <v>1.25</v>
      </c>
      <c r="Z2763">
        <v>83</v>
      </c>
      <c r="AA2763">
        <v>520</v>
      </c>
      <c r="AB2763" t="s">
        <v>116</v>
      </c>
      <c r="AC2763">
        <v>12600</v>
      </c>
      <c r="AD2763">
        <v>0</v>
      </c>
      <c r="AE2763" t="s">
        <v>116</v>
      </c>
      <c r="AF2763" t="s">
        <v>116</v>
      </c>
      <c r="AG2763">
        <v>1.52</v>
      </c>
      <c r="AH2763" t="s">
        <v>9771</v>
      </c>
      <c r="AI2763" t="s">
        <v>4512</v>
      </c>
      <c r="AJ2763">
        <v>-0.34</v>
      </c>
      <c r="AK2763">
        <v>659</v>
      </c>
      <c r="AL2763">
        <v>20</v>
      </c>
      <c r="AM2763">
        <v>1.2999999999999999E-3</v>
      </c>
      <c r="AN2763">
        <v>-1</v>
      </c>
      <c r="AO2763">
        <v>0.52</v>
      </c>
      <c r="AP2763">
        <v>3.91</v>
      </c>
      <c r="AQ2763">
        <v>-3.33</v>
      </c>
      <c r="AR2763">
        <v>-7.56</v>
      </c>
      <c r="AS2763">
        <v>1.29</v>
      </c>
      <c r="AT2763" t="s">
        <v>12397</v>
      </c>
      <c r="AU2763">
        <v>92.46</v>
      </c>
      <c r="AV2763">
        <v>178.98</v>
      </c>
      <c r="AW2763">
        <v>1.48</v>
      </c>
      <c r="BA2763">
        <v>0.73</v>
      </c>
      <c r="BB2763">
        <v>0.73</v>
      </c>
      <c r="BC2763">
        <v>-0.52</v>
      </c>
      <c r="BD2763">
        <v>0.06</v>
      </c>
      <c r="BE2763">
        <v>-1.1399999999999999</v>
      </c>
      <c r="BF2763">
        <v>-1.1399999999999999</v>
      </c>
      <c r="BG2763">
        <v>0.1</v>
      </c>
      <c r="BH2763">
        <v>-0.48</v>
      </c>
      <c r="BI2763">
        <v>20191031</v>
      </c>
      <c r="BJ2763">
        <v>19931108</v>
      </c>
      <c r="BK2763">
        <v>2.0099999999999998</v>
      </c>
      <c r="BL2763">
        <v>0.49</v>
      </c>
      <c r="BM2763" t="s">
        <v>116</v>
      </c>
      <c r="BN2763">
        <v>7.38</v>
      </c>
      <c r="BO2763">
        <v>4.6900000000000004</v>
      </c>
      <c r="BP2763">
        <v>0.09</v>
      </c>
      <c r="BQ2763">
        <v>35.200000000000003</v>
      </c>
      <c r="BR2763">
        <v>4.76</v>
      </c>
      <c r="BS2763">
        <v>0.25</v>
      </c>
      <c r="BT2763">
        <v>0.04</v>
      </c>
      <c r="BU2763">
        <v>2.14</v>
      </c>
      <c r="BV2763">
        <v>0.14000000000000001</v>
      </c>
      <c r="BW2763">
        <v>0.45</v>
      </c>
      <c r="BX2763">
        <v>2.12</v>
      </c>
      <c r="BY2763">
        <v>9.74</v>
      </c>
      <c r="BZ2763">
        <v>9.08</v>
      </c>
      <c r="CA2763">
        <v>0.14000000000000001</v>
      </c>
      <c r="CB2763">
        <v>0.18</v>
      </c>
      <c r="CC2763">
        <v>0.14000000000000001</v>
      </c>
      <c r="CD2763">
        <v>0.13</v>
      </c>
      <c r="CE2763">
        <v>0.12</v>
      </c>
      <c r="CF2763">
        <v>-0.05</v>
      </c>
      <c r="CG2763">
        <v>0.14000000000000001</v>
      </c>
      <c r="CH2763">
        <v>-0.14000000000000001</v>
      </c>
      <c r="CI2763">
        <v>-1.8</v>
      </c>
      <c r="CJ2763">
        <v>36076</v>
      </c>
      <c r="CK2763">
        <v>4126</v>
      </c>
      <c r="CL2763" t="s">
        <v>895</v>
      </c>
      <c r="CM2763">
        <v>422.36</v>
      </c>
      <c r="CN2763">
        <v>-3.34</v>
      </c>
      <c r="CO2763">
        <v>4.0999999999999996</v>
      </c>
      <c r="CP2763">
        <v>-134.34</v>
      </c>
      <c r="CQ2763">
        <v>1.97</v>
      </c>
      <c r="CR2763">
        <v>0.18</v>
      </c>
      <c r="CS2763" t="s">
        <v>11182</v>
      </c>
      <c r="CT2763">
        <v>2.33</v>
      </c>
      <c r="CU2763">
        <v>0</v>
      </c>
      <c r="CV2763">
        <v>1.05</v>
      </c>
      <c r="CW2763">
        <v>7.0000000000000007E-2</v>
      </c>
      <c r="CX2763">
        <v>-7.0000000000000007E-2</v>
      </c>
      <c r="CY2763">
        <v>63.55</v>
      </c>
      <c r="CZ2763" t="s">
        <v>5892</v>
      </c>
      <c r="DA2763">
        <v>6.83</v>
      </c>
      <c r="DB2763">
        <v>1.48</v>
      </c>
      <c r="DC2763">
        <v>1.28</v>
      </c>
      <c r="DD2763">
        <v>0</v>
      </c>
      <c r="DE2763">
        <v>1062</v>
      </c>
      <c r="DF2763">
        <v>600689</v>
      </c>
      <c r="DG2763" t="s">
        <v>116</v>
      </c>
      <c r="DH2763" t="s">
        <v>116</v>
      </c>
      <c r="DI2763" t="s">
        <v>116</v>
      </c>
    </row>
    <row r="2764" spans="1:113" x14ac:dyDescent="0.4">
      <c r="A2764" t="str">
        <f>"600690"</f>
        <v>600690</v>
      </c>
      <c r="B2764" t="s">
        <v>12398</v>
      </c>
      <c r="C2764">
        <v>-2.2599999999999998</v>
      </c>
      <c r="D2764">
        <v>19.45</v>
      </c>
      <c r="E2764">
        <v>-0.45</v>
      </c>
      <c r="F2764">
        <v>19.440000000000001</v>
      </c>
      <c r="G2764">
        <v>19.45</v>
      </c>
      <c r="H2764">
        <v>517747</v>
      </c>
      <c r="I2764">
        <v>4451</v>
      </c>
      <c r="J2764">
        <v>-0.04</v>
      </c>
      <c r="K2764">
        <v>0.82</v>
      </c>
      <c r="L2764">
        <v>19.829999999999998</v>
      </c>
      <c r="M2764">
        <v>19.96</v>
      </c>
      <c r="N2764">
        <v>19.440000000000001</v>
      </c>
      <c r="O2764">
        <v>19.899999999999999</v>
      </c>
      <c r="P2764">
        <v>12.35</v>
      </c>
      <c r="Q2764">
        <v>1017163904</v>
      </c>
      <c r="R2764">
        <v>1.03</v>
      </c>
      <c r="S2764" t="s">
        <v>209</v>
      </c>
      <c r="T2764" t="s">
        <v>645</v>
      </c>
      <c r="U2764">
        <v>2.61</v>
      </c>
      <c r="V2764">
        <v>19.649999999999999</v>
      </c>
      <c r="W2764">
        <v>282594</v>
      </c>
      <c r="X2764">
        <v>235153</v>
      </c>
      <c r="Y2764">
        <v>1.2</v>
      </c>
      <c r="Z2764">
        <v>366</v>
      </c>
      <c r="AA2764">
        <v>30</v>
      </c>
      <c r="AB2764" t="s">
        <v>116</v>
      </c>
      <c r="AC2764">
        <v>6307900</v>
      </c>
      <c r="AD2764">
        <v>0.01</v>
      </c>
      <c r="AE2764" t="s">
        <v>116</v>
      </c>
      <c r="AF2764" t="s">
        <v>116</v>
      </c>
      <c r="AG2764">
        <v>63.09</v>
      </c>
      <c r="AH2764" t="s">
        <v>12399</v>
      </c>
      <c r="AI2764" t="s">
        <v>12400</v>
      </c>
      <c r="AJ2764">
        <v>-2.1800000000000002</v>
      </c>
      <c r="AK2764">
        <v>4670</v>
      </c>
      <c r="AL2764">
        <v>111</v>
      </c>
      <c r="AM2764">
        <v>2.0000000000000001E-4</v>
      </c>
      <c r="AN2764">
        <v>-1</v>
      </c>
      <c r="AO2764">
        <v>0.21</v>
      </c>
      <c r="AP2764">
        <v>14.01</v>
      </c>
      <c r="AQ2764">
        <v>26.55</v>
      </c>
      <c r="AR2764">
        <v>44.08</v>
      </c>
      <c r="AS2764">
        <v>1.39</v>
      </c>
      <c r="AT2764" t="s">
        <v>12401</v>
      </c>
      <c r="AU2764">
        <v>14.14</v>
      </c>
      <c r="AV2764">
        <v>17.2</v>
      </c>
      <c r="AW2764">
        <v>1.76</v>
      </c>
      <c r="BA2764">
        <v>-0.35</v>
      </c>
      <c r="BB2764">
        <v>0.3</v>
      </c>
      <c r="BC2764">
        <v>-2.31</v>
      </c>
      <c r="BD2764">
        <v>-1.28</v>
      </c>
      <c r="BE2764">
        <v>-1.92</v>
      </c>
      <c r="BF2764">
        <v>-2.56</v>
      </c>
      <c r="BG2764">
        <v>0.05</v>
      </c>
      <c r="BH2764">
        <v>-0.98</v>
      </c>
      <c r="BI2764">
        <v>20191218</v>
      </c>
      <c r="BJ2764">
        <v>19931119</v>
      </c>
      <c r="BK2764">
        <v>65.8</v>
      </c>
      <c r="BL2764" t="s">
        <v>116</v>
      </c>
      <c r="BM2764" t="s">
        <v>116</v>
      </c>
      <c r="BN2764">
        <v>1842.74</v>
      </c>
      <c r="BO2764">
        <v>448.81</v>
      </c>
      <c r="BP2764">
        <v>160.52000000000001</v>
      </c>
      <c r="BQ2764">
        <v>66.930000000000007</v>
      </c>
      <c r="BR2764">
        <v>973.54</v>
      </c>
      <c r="BS2764">
        <v>190.37</v>
      </c>
      <c r="BT2764">
        <v>106.49</v>
      </c>
      <c r="BU2764">
        <v>927.54</v>
      </c>
      <c r="BV2764">
        <v>250.8</v>
      </c>
      <c r="BW2764">
        <v>132.04</v>
      </c>
      <c r="BX2764">
        <v>13.54</v>
      </c>
      <c r="BY2764">
        <v>1488.96</v>
      </c>
      <c r="BZ2764">
        <v>1055.8399999999999</v>
      </c>
      <c r="CA2764">
        <v>129.27000000000001</v>
      </c>
      <c r="CB2764">
        <v>49.88</v>
      </c>
      <c r="CC2764">
        <v>132.22</v>
      </c>
      <c r="CD2764">
        <v>112.68</v>
      </c>
      <c r="CE2764">
        <v>77.73</v>
      </c>
      <c r="CF2764">
        <v>58.34</v>
      </c>
      <c r="CG2764">
        <v>323.36</v>
      </c>
      <c r="CH2764">
        <v>90.07</v>
      </c>
      <c r="CI2764">
        <v>-17.96</v>
      </c>
      <c r="CJ2764">
        <v>168418</v>
      </c>
      <c r="CK2764">
        <v>22159</v>
      </c>
      <c r="CL2764" t="s">
        <v>12402</v>
      </c>
      <c r="CM2764">
        <v>26.16</v>
      </c>
      <c r="CN2764">
        <v>7.72</v>
      </c>
      <c r="CO2764">
        <v>2.82</v>
      </c>
      <c r="CP2764">
        <v>14.21</v>
      </c>
      <c r="CQ2764">
        <v>0.86</v>
      </c>
      <c r="CR2764">
        <v>1.67</v>
      </c>
      <c r="CS2764" t="s">
        <v>11473</v>
      </c>
      <c r="CT2764">
        <v>6.91</v>
      </c>
      <c r="CU2764">
        <v>6.91</v>
      </c>
      <c r="CV2764">
        <v>0.21</v>
      </c>
      <c r="CW2764">
        <v>4.91</v>
      </c>
      <c r="CX2764">
        <v>1.37</v>
      </c>
      <c r="CY2764">
        <v>24.36</v>
      </c>
      <c r="CZ2764" t="s">
        <v>12403</v>
      </c>
      <c r="DA2764">
        <v>29.09</v>
      </c>
      <c r="DB2764">
        <v>8.68</v>
      </c>
      <c r="DC2764">
        <v>5.22</v>
      </c>
      <c r="DD2764">
        <v>44.6</v>
      </c>
      <c r="DE2764">
        <v>87447</v>
      </c>
      <c r="DF2764">
        <v>600690</v>
      </c>
      <c r="DG2764" t="s">
        <v>116</v>
      </c>
      <c r="DH2764" t="s">
        <v>116</v>
      </c>
      <c r="DI2764" t="s">
        <v>116</v>
      </c>
    </row>
    <row r="2765" spans="1:113" x14ac:dyDescent="0.4">
      <c r="A2765" t="str">
        <f>"600691"</f>
        <v>600691</v>
      </c>
      <c r="B2765" t="s">
        <v>12404</v>
      </c>
      <c r="C2765">
        <v>0.48</v>
      </c>
      <c r="D2765">
        <v>2.1</v>
      </c>
      <c r="E2765">
        <v>0.01</v>
      </c>
      <c r="F2765">
        <v>2.09</v>
      </c>
      <c r="G2765">
        <v>2.1</v>
      </c>
      <c r="H2765">
        <v>108069</v>
      </c>
      <c r="I2765">
        <v>797</v>
      </c>
      <c r="J2765">
        <v>0.48</v>
      </c>
      <c r="K2765">
        <v>0.62</v>
      </c>
      <c r="L2765">
        <v>2.1</v>
      </c>
      <c r="M2765">
        <v>2.12</v>
      </c>
      <c r="N2765">
        <v>2.08</v>
      </c>
      <c r="O2765">
        <v>2.09</v>
      </c>
      <c r="P2765" t="s">
        <v>116</v>
      </c>
      <c r="Q2765">
        <v>22680928</v>
      </c>
      <c r="R2765">
        <v>1.51</v>
      </c>
      <c r="S2765" t="s">
        <v>697</v>
      </c>
      <c r="T2765" t="s">
        <v>675</v>
      </c>
      <c r="U2765">
        <v>1.91</v>
      </c>
      <c r="V2765">
        <v>2.1</v>
      </c>
      <c r="W2765">
        <v>50492</v>
      </c>
      <c r="X2765">
        <v>57577</v>
      </c>
      <c r="Y2765">
        <v>0.88</v>
      </c>
      <c r="Z2765">
        <v>3373</v>
      </c>
      <c r="AA2765">
        <v>9067</v>
      </c>
      <c r="AB2765" t="s">
        <v>116</v>
      </c>
      <c r="AC2765">
        <v>15500</v>
      </c>
      <c r="AD2765">
        <v>0</v>
      </c>
      <c r="AE2765" t="s">
        <v>116</v>
      </c>
      <c r="AF2765" t="s">
        <v>116</v>
      </c>
      <c r="AG2765">
        <v>17.559999999999999</v>
      </c>
      <c r="AH2765" t="s">
        <v>5582</v>
      </c>
      <c r="AI2765" t="s">
        <v>7930</v>
      </c>
      <c r="AJ2765">
        <v>0.56000000000000005</v>
      </c>
      <c r="AK2765">
        <v>906</v>
      </c>
      <c r="AL2765">
        <v>119</v>
      </c>
      <c r="AM2765">
        <v>6.9999999999999999E-4</v>
      </c>
      <c r="AN2765">
        <v>2</v>
      </c>
      <c r="AO2765">
        <v>1.45</v>
      </c>
      <c r="AP2765">
        <v>1.45</v>
      </c>
      <c r="AQ2765">
        <v>-10.26</v>
      </c>
      <c r="AR2765">
        <v>-13.93</v>
      </c>
      <c r="AS2765">
        <v>0.91</v>
      </c>
      <c r="AT2765" t="s">
        <v>8424</v>
      </c>
      <c r="AU2765" t="s">
        <v>116</v>
      </c>
      <c r="AV2765">
        <v>38.75</v>
      </c>
      <c r="AW2765">
        <v>1.17</v>
      </c>
      <c r="BA2765">
        <v>0.48</v>
      </c>
      <c r="BB2765">
        <v>1.44</v>
      </c>
      <c r="BC2765">
        <v>-0.48</v>
      </c>
      <c r="BD2765">
        <v>0.42</v>
      </c>
      <c r="BE2765">
        <v>0</v>
      </c>
      <c r="BF2765">
        <v>-0.94</v>
      </c>
      <c r="BG2765">
        <v>0.96</v>
      </c>
      <c r="BH2765">
        <v>0.06</v>
      </c>
      <c r="BI2765">
        <v>20191030</v>
      </c>
      <c r="BJ2765">
        <v>19931119</v>
      </c>
      <c r="BK2765">
        <v>23.76</v>
      </c>
      <c r="BL2765" t="s">
        <v>116</v>
      </c>
      <c r="BM2765" t="s">
        <v>116</v>
      </c>
      <c r="BN2765">
        <v>453</v>
      </c>
      <c r="BO2765">
        <v>57.67</v>
      </c>
      <c r="BP2765">
        <v>16.82</v>
      </c>
      <c r="BQ2765">
        <v>83.56</v>
      </c>
      <c r="BR2765">
        <v>176.99</v>
      </c>
      <c r="BS2765">
        <v>221.23</v>
      </c>
      <c r="BT2765">
        <v>17.940000000000001</v>
      </c>
      <c r="BU2765">
        <v>309.02</v>
      </c>
      <c r="BV2765">
        <v>25.35</v>
      </c>
      <c r="BW2765">
        <v>6.06</v>
      </c>
      <c r="BX2765">
        <v>43.67</v>
      </c>
      <c r="BY2765">
        <v>138.06</v>
      </c>
      <c r="BZ2765">
        <v>121.89</v>
      </c>
      <c r="CA2765">
        <v>-1.39</v>
      </c>
      <c r="CB2765">
        <v>-0.01</v>
      </c>
      <c r="CC2765">
        <v>-1.35</v>
      </c>
      <c r="CD2765">
        <v>-2.14</v>
      </c>
      <c r="CE2765">
        <v>-1.71</v>
      </c>
      <c r="CF2765">
        <v>-2.1</v>
      </c>
      <c r="CG2765">
        <v>-10.32</v>
      </c>
      <c r="CH2765">
        <v>6.94</v>
      </c>
      <c r="CI2765">
        <v>1.1599999999999999</v>
      </c>
      <c r="CJ2765">
        <v>51812</v>
      </c>
      <c r="CK2765">
        <v>22808</v>
      </c>
      <c r="CL2765" t="s">
        <v>2176</v>
      </c>
      <c r="CM2765">
        <v>-189.58</v>
      </c>
      <c r="CN2765">
        <v>-14.15</v>
      </c>
      <c r="CO2765">
        <v>0.87</v>
      </c>
      <c r="CP2765">
        <v>7.19</v>
      </c>
      <c r="CQ2765">
        <v>0.36</v>
      </c>
      <c r="CR2765">
        <v>0</v>
      </c>
      <c r="CS2765" t="s">
        <v>7879</v>
      </c>
      <c r="CT2765">
        <v>2.4300000000000002</v>
      </c>
      <c r="CU2765">
        <v>0</v>
      </c>
      <c r="CV2765">
        <v>1.84</v>
      </c>
      <c r="CW2765">
        <v>-0.43</v>
      </c>
      <c r="CX2765">
        <v>0.28999999999999998</v>
      </c>
      <c r="CY2765">
        <v>12.73</v>
      </c>
      <c r="CZ2765" t="s">
        <v>1802</v>
      </c>
      <c r="DA2765">
        <v>11.71</v>
      </c>
      <c r="DB2765">
        <v>-1</v>
      </c>
      <c r="DC2765">
        <v>-1.24</v>
      </c>
      <c r="DD2765">
        <v>0.77</v>
      </c>
      <c r="DE2765">
        <v>15406</v>
      </c>
      <c r="DF2765">
        <v>600691</v>
      </c>
      <c r="DG2765" t="s">
        <v>116</v>
      </c>
      <c r="DH2765" t="s">
        <v>116</v>
      </c>
      <c r="DI2765" t="s">
        <v>116</v>
      </c>
    </row>
    <row r="2766" spans="1:113" x14ac:dyDescent="0.4">
      <c r="A2766" t="str">
        <f>"600692"</f>
        <v>600692</v>
      </c>
      <c r="B2766" t="s">
        <v>12405</v>
      </c>
      <c r="C2766">
        <v>-0.32</v>
      </c>
      <c r="D2766">
        <v>6.29</v>
      </c>
      <c r="E2766">
        <v>-0.02</v>
      </c>
      <c r="F2766">
        <v>6.28</v>
      </c>
      <c r="G2766">
        <v>6.29</v>
      </c>
      <c r="H2766">
        <v>27551</v>
      </c>
      <c r="I2766">
        <v>425</v>
      </c>
      <c r="J2766">
        <v>0.32</v>
      </c>
      <c r="K2766">
        <v>1.08</v>
      </c>
      <c r="L2766">
        <v>6.32</v>
      </c>
      <c r="M2766">
        <v>6.37</v>
      </c>
      <c r="N2766">
        <v>6.26</v>
      </c>
      <c r="O2766">
        <v>6.31</v>
      </c>
      <c r="P2766">
        <v>91.65</v>
      </c>
      <c r="Q2766">
        <v>17418618</v>
      </c>
      <c r="R2766">
        <v>0.69</v>
      </c>
      <c r="S2766" t="s">
        <v>419</v>
      </c>
      <c r="T2766" t="s">
        <v>1653</v>
      </c>
      <c r="U2766">
        <v>1.74</v>
      </c>
      <c r="V2766">
        <v>6.32</v>
      </c>
      <c r="W2766">
        <v>14502</v>
      </c>
      <c r="X2766">
        <v>13049</v>
      </c>
      <c r="Y2766">
        <v>1.1100000000000001</v>
      </c>
      <c r="Z2766">
        <v>686</v>
      </c>
      <c r="AA2766">
        <v>161</v>
      </c>
      <c r="AB2766" t="s">
        <v>116</v>
      </c>
      <c r="AC2766">
        <v>39800</v>
      </c>
      <c r="AD2766">
        <v>0</v>
      </c>
      <c r="AE2766" t="s">
        <v>116</v>
      </c>
      <c r="AF2766" t="s">
        <v>116</v>
      </c>
      <c r="AG2766">
        <v>2.5499999999999998</v>
      </c>
      <c r="AH2766" t="s">
        <v>12406</v>
      </c>
      <c r="AI2766" t="s">
        <v>864</v>
      </c>
      <c r="AJ2766">
        <v>-0.24</v>
      </c>
      <c r="AK2766">
        <v>626</v>
      </c>
      <c r="AL2766">
        <v>44</v>
      </c>
      <c r="AM2766">
        <v>1.6999999999999999E-3</v>
      </c>
      <c r="AN2766">
        <v>-1</v>
      </c>
      <c r="AO2766">
        <v>-0.01</v>
      </c>
      <c r="AP2766">
        <v>4.66</v>
      </c>
      <c r="AQ2766">
        <v>-7.64</v>
      </c>
      <c r="AR2766">
        <v>-11.03</v>
      </c>
      <c r="AS2766">
        <v>1.1599999999999999</v>
      </c>
      <c r="AT2766" t="s">
        <v>3630</v>
      </c>
      <c r="AU2766">
        <v>84.63</v>
      </c>
      <c r="AV2766">
        <v>51.42</v>
      </c>
      <c r="AW2766">
        <v>1.35</v>
      </c>
      <c r="BA2766">
        <v>0.16</v>
      </c>
      <c r="BB2766">
        <v>0.95</v>
      </c>
      <c r="BC2766">
        <v>-0.79</v>
      </c>
      <c r="BD2766">
        <v>0.2</v>
      </c>
      <c r="BE2766">
        <v>-0.47</v>
      </c>
      <c r="BF2766">
        <v>-1.26</v>
      </c>
      <c r="BG2766">
        <v>0.48</v>
      </c>
      <c r="BH2766">
        <v>-0.51</v>
      </c>
      <c r="BI2766">
        <v>20191025</v>
      </c>
      <c r="BJ2766">
        <v>19931119</v>
      </c>
      <c r="BK2766">
        <v>3.52</v>
      </c>
      <c r="BL2766" t="s">
        <v>116</v>
      </c>
      <c r="BM2766" t="s">
        <v>116</v>
      </c>
      <c r="BN2766">
        <v>23.3</v>
      </c>
      <c r="BO2766">
        <v>7.99</v>
      </c>
      <c r="BP2766">
        <v>0.91</v>
      </c>
      <c r="BQ2766">
        <v>61.8</v>
      </c>
      <c r="BR2766">
        <v>18.09</v>
      </c>
      <c r="BS2766">
        <v>0.48</v>
      </c>
      <c r="BT2766">
        <v>0.1</v>
      </c>
      <c r="BU2766">
        <v>10.96</v>
      </c>
      <c r="BV2766">
        <v>10.72</v>
      </c>
      <c r="BW2766">
        <v>1.1100000000000001</v>
      </c>
      <c r="BX2766">
        <v>0.61</v>
      </c>
      <c r="BY2766">
        <v>5.83</v>
      </c>
      <c r="BZ2766">
        <v>4.7699999999999996</v>
      </c>
      <c r="CA2766">
        <v>0.51</v>
      </c>
      <c r="CB2766">
        <v>0.04</v>
      </c>
      <c r="CC2766">
        <v>0.41</v>
      </c>
      <c r="CD2766">
        <v>0.27</v>
      </c>
      <c r="CE2766">
        <v>0.18</v>
      </c>
      <c r="CF2766">
        <v>0.14000000000000001</v>
      </c>
      <c r="CG2766">
        <v>3.2</v>
      </c>
      <c r="CH2766">
        <v>-0.33</v>
      </c>
      <c r="CI2766">
        <v>2.16</v>
      </c>
      <c r="CJ2766">
        <v>32051</v>
      </c>
      <c r="CK2766">
        <v>7408</v>
      </c>
      <c r="CL2766" t="s">
        <v>547</v>
      </c>
      <c r="CM2766">
        <v>-48.26</v>
      </c>
      <c r="CN2766">
        <v>11.04</v>
      </c>
      <c r="CO2766">
        <v>2.77</v>
      </c>
      <c r="CP2766">
        <v>-67.599999999999994</v>
      </c>
      <c r="CQ2766">
        <v>3.8</v>
      </c>
      <c r="CR2766">
        <v>0</v>
      </c>
      <c r="CS2766" t="s">
        <v>9364</v>
      </c>
      <c r="CT2766">
        <v>2.27</v>
      </c>
      <c r="CU2766">
        <v>0</v>
      </c>
      <c r="CV2766">
        <v>0.17</v>
      </c>
      <c r="CW2766">
        <v>0.91</v>
      </c>
      <c r="CX2766">
        <v>-0.09</v>
      </c>
      <c r="CY2766">
        <v>34.29</v>
      </c>
      <c r="CZ2766" t="s">
        <v>8670</v>
      </c>
      <c r="DA2766">
        <v>18.18</v>
      </c>
      <c r="DB2766">
        <v>8.82</v>
      </c>
      <c r="DC2766">
        <v>3.11</v>
      </c>
      <c r="DD2766">
        <v>0</v>
      </c>
      <c r="DE2766">
        <v>846</v>
      </c>
      <c r="DF2766">
        <v>600692</v>
      </c>
      <c r="DG2766" t="s">
        <v>116</v>
      </c>
      <c r="DH2766" t="s">
        <v>116</v>
      </c>
      <c r="DI2766" t="s">
        <v>116</v>
      </c>
    </row>
    <row r="2767" spans="1:113" x14ac:dyDescent="0.4">
      <c r="A2767" t="str">
        <f>"600693"</f>
        <v>600693</v>
      </c>
      <c r="B2767" t="s">
        <v>12407</v>
      </c>
      <c r="C2767">
        <v>0</v>
      </c>
      <c r="D2767">
        <v>5.19</v>
      </c>
      <c r="E2767">
        <v>0</v>
      </c>
      <c r="F2767">
        <v>5.19</v>
      </c>
      <c r="G2767">
        <v>5.2</v>
      </c>
      <c r="H2767">
        <v>20534</v>
      </c>
      <c r="I2767">
        <v>340</v>
      </c>
      <c r="J2767">
        <v>-0.18</v>
      </c>
      <c r="K2767">
        <v>0.23</v>
      </c>
      <c r="L2767">
        <v>5.18</v>
      </c>
      <c r="M2767">
        <v>5.22</v>
      </c>
      <c r="N2767">
        <v>5.17</v>
      </c>
      <c r="O2767">
        <v>5.19</v>
      </c>
      <c r="P2767">
        <v>14.52</v>
      </c>
      <c r="Q2767">
        <v>10658172</v>
      </c>
      <c r="R2767">
        <v>0.66</v>
      </c>
      <c r="S2767" t="s">
        <v>746</v>
      </c>
      <c r="T2767" t="s">
        <v>975</v>
      </c>
      <c r="U2767">
        <v>0.96</v>
      </c>
      <c r="V2767">
        <v>5.19</v>
      </c>
      <c r="W2767">
        <v>11163</v>
      </c>
      <c r="X2767">
        <v>9371</v>
      </c>
      <c r="Y2767">
        <v>1.19</v>
      </c>
      <c r="Z2767">
        <v>698</v>
      </c>
      <c r="AA2767">
        <v>904</v>
      </c>
      <c r="AB2767" t="s">
        <v>116</v>
      </c>
      <c r="AC2767">
        <v>108300</v>
      </c>
      <c r="AD2767">
        <v>0.01</v>
      </c>
      <c r="AE2767" t="s">
        <v>116</v>
      </c>
      <c r="AF2767" t="s">
        <v>116</v>
      </c>
      <c r="AG2767">
        <v>8.9700000000000006</v>
      </c>
      <c r="AH2767" t="s">
        <v>12408</v>
      </c>
      <c r="AI2767" t="s">
        <v>12409</v>
      </c>
      <c r="AJ2767">
        <v>0.08</v>
      </c>
      <c r="AK2767">
        <v>1071</v>
      </c>
      <c r="AL2767">
        <v>19</v>
      </c>
      <c r="AM2767">
        <v>2.0000000000000001E-4</v>
      </c>
      <c r="AN2767">
        <v>0</v>
      </c>
      <c r="AO2767">
        <v>-0.56999999999999995</v>
      </c>
      <c r="AP2767">
        <v>1.17</v>
      </c>
      <c r="AQ2767">
        <v>1.96</v>
      </c>
      <c r="AR2767">
        <v>-1.1399999999999999</v>
      </c>
      <c r="AS2767">
        <v>0.54</v>
      </c>
      <c r="AT2767" t="s">
        <v>12410</v>
      </c>
      <c r="AU2767">
        <v>10.07</v>
      </c>
      <c r="AV2767">
        <v>17.79</v>
      </c>
      <c r="AW2767">
        <v>0.39</v>
      </c>
      <c r="BA2767">
        <v>-0.19</v>
      </c>
      <c r="BB2767">
        <v>0.57999999999999996</v>
      </c>
      <c r="BC2767">
        <v>-0.39</v>
      </c>
      <c r="BD2767">
        <v>0.01</v>
      </c>
      <c r="BE2767">
        <v>0.19</v>
      </c>
      <c r="BF2767">
        <v>-0.56999999999999995</v>
      </c>
      <c r="BG2767">
        <v>0.39</v>
      </c>
      <c r="BH2767">
        <v>-0.01</v>
      </c>
      <c r="BI2767">
        <v>20191029</v>
      </c>
      <c r="BJ2767">
        <v>19931122</v>
      </c>
      <c r="BK2767">
        <v>8.98</v>
      </c>
      <c r="BL2767" t="s">
        <v>116</v>
      </c>
      <c r="BM2767" t="s">
        <v>116</v>
      </c>
      <c r="BN2767">
        <v>87.93</v>
      </c>
      <c r="BO2767">
        <v>24.07</v>
      </c>
      <c r="BP2767">
        <v>3.21</v>
      </c>
      <c r="BQ2767">
        <v>68.98</v>
      </c>
      <c r="BR2767">
        <v>41</v>
      </c>
      <c r="BS2767">
        <v>8.52</v>
      </c>
      <c r="BT2767">
        <v>3.75</v>
      </c>
      <c r="BU2767">
        <v>25.42</v>
      </c>
      <c r="BV2767">
        <v>26.3</v>
      </c>
      <c r="BW2767">
        <v>0.92</v>
      </c>
      <c r="BX2767">
        <v>1.1100000000000001</v>
      </c>
      <c r="BY2767">
        <v>27.53</v>
      </c>
      <c r="BZ2767">
        <v>22.07</v>
      </c>
      <c r="CA2767">
        <v>3.2</v>
      </c>
      <c r="CB2767">
        <v>2.69</v>
      </c>
      <c r="CC2767">
        <v>3.11</v>
      </c>
      <c r="CD2767">
        <v>2.3199999999999998</v>
      </c>
      <c r="CE2767">
        <v>2.41</v>
      </c>
      <c r="CF2767">
        <v>2.48</v>
      </c>
      <c r="CG2767">
        <v>13.48</v>
      </c>
      <c r="CH2767">
        <v>0.11</v>
      </c>
      <c r="CI2767">
        <v>0.09</v>
      </c>
      <c r="CJ2767">
        <v>15919</v>
      </c>
      <c r="CK2767">
        <v>23829</v>
      </c>
      <c r="CL2767" t="s">
        <v>12411</v>
      </c>
      <c r="CM2767">
        <v>504.14</v>
      </c>
      <c r="CN2767">
        <v>49.45</v>
      </c>
      <c r="CO2767">
        <v>1.94</v>
      </c>
      <c r="CP2767">
        <v>442.3</v>
      </c>
      <c r="CQ2767">
        <v>1.69</v>
      </c>
      <c r="CR2767">
        <v>0</v>
      </c>
      <c r="CS2767" t="s">
        <v>3305</v>
      </c>
      <c r="CT2767">
        <v>2.68</v>
      </c>
      <c r="CU2767">
        <v>0</v>
      </c>
      <c r="CV2767">
        <v>0.12</v>
      </c>
      <c r="CW2767">
        <v>1.5</v>
      </c>
      <c r="CX2767">
        <v>0.01</v>
      </c>
      <c r="CY2767">
        <v>27.37</v>
      </c>
      <c r="CZ2767" t="s">
        <v>12412</v>
      </c>
      <c r="DA2767">
        <v>19.82</v>
      </c>
      <c r="DB2767">
        <v>11.62</v>
      </c>
      <c r="DC2767">
        <v>8.74</v>
      </c>
      <c r="DD2767">
        <v>0</v>
      </c>
      <c r="DE2767">
        <v>1400</v>
      </c>
      <c r="DF2767">
        <v>600693</v>
      </c>
      <c r="DG2767" t="s">
        <v>116</v>
      </c>
      <c r="DH2767" t="s">
        <v>116</v>
      </c>
      <c r="DI2767" t="s">
        <v>116</v>
      </c>
    </row>
    <row r="2768" spans="1:113" x14ac:dyDescent="0.4">
      <c r="A2768" t="str">
        <f>"600694"</f>
        <v>600694</v>
      </c>
      <c r="B2768" t="s">
        <v>12413</v>
      </c>
      <c r="C2768">
        <v>7.0000000000000007E-2</v>
      </c>
      <c r="D2768">
        <v>26.92</v>
      </c>
      <c r="E2768">
        <v>0.02</v>
      </c>
      <c r="F2768">
        <v>26.92</v>
      </c>
      <c r="G2768">
        <v>26.93</v>
      </c>
      <c r="H2768">
        <v>16324</v>
      </c>
      <c r="I2768">
        <v>238</v>
      </c>
      <c r="J2768">
        <v>0.11</v>
      </c>
      <c r="K2768">
        <v>0.56000000000000005</v>
      </c>
      <c r="L2768">
        <v>26.91</v>
      </c>
      <c r="M2768">
        <v>27.1</v>
      </c>
      <c r="N2768">
        <v>26.81</v>
      </c>
      <c r="O2768">
        <v>26.9</v>
      </c>
      <c r="P2768">
        <v>7.09</v>
      </c>
      <c r="Q2768">
        <v>44039060</v>
      </c>
      <c r="R2768">
        <v>1.05</v>
      </c>
      <c r="S2768" t="s">
        <v>746</v>
      </c>
      <c r="T2768" t="s">
        <v>434</v>
      </c>
      <c r="U2768">
        <v>1.08</v>
      </c>
      <c r="V2768">
        <v>26.98</v>
      </c>
      <c r="W2768">
        <v>9007</v>
      </c>
      <c r="X2768">
        <v>7317</v>
      </c>
      <c r="Y2768">
        <v>1.23</v>
      </c>
      <c r="Z2768">
        <v>227</v>
      </c>
      <c r="AA2768">
        <v>118</v>
      </c>
      <c r="AB2768" t="s">
        <v>116</v>
      </c>
      <c r="AC2768">
        <v>80700</v>
      </c>
      <c r="AD2768">
        <v>0</v>
      </c>
      <c r="AE2768" t="s">
        <v>116</v>
      </c>
      <c r="AF2768" t="s">
        <v>116</v>
      </c>
      <c r="AG2768">
        <v>2.94</v>
      </c>
      <c r="AH2768" t="s">
        <v>12414</v>
      </c>
      <c r="AI2768" t="s">
        <v>12414</v>
      </c>
      <c r="AJ2768">
        <v>0.15</v>
      </c>
      <c r="AK2768">
        <v>1500</v>
      </c>
      <c r="AL2768">
        <v>11</v>
      </c>
      <c r="AM2768">
        <v>4.0000000000000002E-4</v>
      </c>
      <c r="AN2768">
        <v>1</v>
      </c>
      <c r="AO2768">
        <v>1.35</v>
      </c>
      <c r="AP2768">
        <v>4.1399999999999997</v>
      </c>
      <c r="AQ2768">
        <v>3.94</v>
      </c>
      <c r="AR2768">
        <v>11.29</v>
      </c>
      <c r="AS2768">
        <v>1.18</v>
      </c>
      <c r="AT2768" t="s">
        <v>6323</v>
      </c>
      <c r="AU2768">
        <v>7.61</v>
      </c>
      <c r="AV2768">
        <v>8</v>
      </c>
      <c r="AW2768">
        <v>0.72</v>
      </c>
      <c r="BA2768">
        <v>0.04</v>
      </c>
      <c r="BB2768">
        <v>0.74</v>
      </c>
      <c r="BC2768">
        <v>-0.33</v>
      </c>
      <c r="BD2768">
        <v>0.28999999999999998</v>
      </c>
      <c r="BE2768">
        <v>0.04</v>
      </c>
      <c r="BF2768">
        <v>-0.66</v>
      </c>
      <c r="BG2768">
        <v>0.41</v>
      </c>
      <c r="BH2768">
        <v>-0.21</v>
      </c>
      <c r="BI2768">
        <v>20191025</v>
      </c>
      <c r="BJ2768">
        <v>19931122</v>
      </c>
      <c r="BK2768">
        <v>2.94</v>
      </c>
      <c r="BL2768" t="s">
        <v>116</v>
      </c>
      <c r="BM2768" t="s">
        <v>116</v>
      </c>
      <c r="BN2768">
        <v>187.44</v>
      </c>
      <c r="BO2768">
        <v>89.16</v>
      </c>
      <c r="BP2768">
        <v>2.85</v>
      </c>
      <c r="BQ2768">
        <v>50.91</v>
      </c>
      <c r="BR2768">
        <v>123.45</v>
      </c>
      <c r="BS2768">
        <v>46.52</v>
      </c>
      <c r="BT2768">
        <v>7.78</v>
      </c>
      <c r="BU2768">
        <v>84.02</v>
      </c>
      <c r="BV2768">
        <v>38.32</v>
      </c>
      <c r="BW2768">
        <v>2.5099999999999998</v>
      </c>
      <c r="BX2768">
        <v>11.72</v>
      </c>
      <c r="BY2768">
        <v>167.49</v>
      </c>
      <c r="BZ2768">
        <v>123.05</v>
      </c>
      <c r="CA2768">
        <v>12.76</v>
      </c>
      <c r="CB2768">
        <v>0.56999999999999995</v>
      </c>
      <c r="CC2768">
        <v>12.93</v>
      </c>
      <c r="CD2768">
        <v>9.0500000000000007</v>
      </c>
      <c r="CE2768">
        <v>8.3699999999999992</v>
      </c>
      <c r="CF2768">
        <v>7.52</v>
      </c>
      <c r="CG2768">
        <v>64.95</v>
      </c>
      <c r="CH2768">
        <v>6.58</v>
      </c>
      <c r="CI2768">
        <v>-3.92</v>
      </c>
      <c r="CJ2768">
        <v>23346</v>
      </c>
      <c r="CK2768">
        <v>5944</v>
      </c>
      <c r="CL2768" t="s">
        <v>12415</v>
      </c>
      <c r="CM2768">
        <v>6.55</v>
      </c>
      <c r="CN2768">
        <v>-8.85</v>
      </c>
      <c r="CO2768">
        <v>0.89</v>
      </c>
      <c r="CP2768">
        <v>12.02</v>
      </c>
      <c r="CQ2768">
        <v>0.47</v>
      </c>
      <c r="CR2768">
        <v>0</v>
      </c>
      <c r="CS2768" t="s">
        <v>12416</v>
      </c>
      <c r="CT2768">
        <v>30.35</v>
      </c>
      <c r="CU2768">
        <v>0</v>
      </c>
      <c r="CV2768">
        <v>3.99</v>
      </c>
      <c r="CW2768">
        <v>22.11</v>
      </c>
      <c r="CX2768">
        <v>2.2400000000000002</v>
      </c>
      <c r="CY2768">
        <v>47.57</v>
      </c>
      <c r="CZ2768" t="s">
        <v>9856</v>
      </c>
      <c r="DA2768">
        <v>26.53</v>
      </c>
      <c r="DB2768">
        <v>7.62</v>
      </c>
      <c r="DC2768">
        <v>4.99</v>
      </c>
      <c r="DD2768">
        <v>0</v>
      </c>
      <c r="DE2768">
        <v>15764</v>
      </c>
      <c r="DF2768">
        <v>600694</v>
      </c>
      <c r="DG2768" t="s">
        <v>116</v>
      </c>
      <c r="DH2768" t="s">
        <v>116</v>
      </c>
      <c r="DI2768" t="s">
        <v>116</v>
      </c>
    </row>
    <row r="2769" spans="1:113" x14ac:dyDescent="0.4">
      <c r="A2769" t="str">
        <f>"600695"</f>
        <v>600695</v>
      </c>
      <c r="B2769" t="s">
        <v>12417</v>
      </c>
      <c r="C2769">
        <v>-5.31</v>
      </c>
      <c r="D2769">
        <v>9.4499999999999993</v>
      </c>
      <c r="E2769">
        <v>-0.53</v>
      </c>
      <c r="F2769">
        <v>9.44</v>
      </c>
      <c r="G2769">
        <v>9.4499999999999993</v>
      </c>
      <c r="H2769">
        <v>1229956</v>
      </c>
      <c r="I2769">
        <v>19895</v>
      </c>
      <c r="J2769">
        <v>-1.04</v>
      </c>
      <c r="K2769">
        <v>33.56</v>
      </c>
      <c r="L2769">
        <v>10</v>
      </c>
      <c r="M2769">
        <v>10.9</v>
      </c>
      <c r="N2769">
        <v>9.42</v>
      </c>
      <c r="O2769">
        <v>9.98</v>
      </c>
      <c r="P2769">
        <v>113.13</v>
      </c>
      <c r="Q2769">
        <v>1263174656</v>
      </c>
      <c r="R2769">
        <v>1.17</v>
      </c>
      <c r="S2769" t="s">
        <v>732</v>
      </c>
      <c r="T2769" t="s">
        <v>1653</v>
      </c>
      <c r="U2769">
        <v>14.83</v>
      </c>
      <c r="V2769">
        <v>10.27</v>
      </c>
      <c r="W2769">
        <v>603302</v>
      </c>
      <c r="X2769">
        <v>626654</v>
      </c>
      <c r="Y2769">
        <v>0.96</v>
      </c>
      <c r="Z2769">
        <v>720</v>
      </c>
      <c r="AA2769">
        <v>1545</v>
      </c>
      <c r="AB2769" t="s">
        <v>116</v>
      </c>
      <c r="AC2769">
        <v>23513000</v>
      </c>
      <c r="AD2769">
        <v>1.08</v>
      </c>
      <c r="AE2769" t="s">
        <v>116</v>
      </c>
      <c r="AF2769" t="s">
        <v>116</v>
      </c>
      <c r="AG2769">
        <v>3.66</v>
      </c>
      <c r="AH2769" t="s">
        <v>5546</v>
      </c>
      <c r="AI2769" t="s">
        <v>2772</v>
      </c>
      <c r="AJ2769">
        <v>-5.23</v>
      </c>
      <c r="AK2769">
        <v>4580</v>
      </c>
      <c r="AL2769">
        <v>269</v>
      </c>
      <c r="AM2769">
        <v>7.3000000000000001E-3</v>
      </c>
      <c r="AN2769">
        <v>-1</v>
      </c>
      <c r="AO2769">
        <v>8.6199999999999992</v>
      </c>
      <c r="AP2769">
        <v>85.29</v>
      </c>
      <c r="AQ2769">
        <v>65.5</v>
      </c>
      <c r="AR2769">
        <v>77.3</v>
      </c>
      <c r="AS2769">
        <v>56.43</v>
      </c>
      <c r="AT2769" t="s">
        <v>9957</v>
      </c>
      <c r="AU2769">
        <v>64.19</v>
      </c>
      <c r="AV2769">
        <v>103.36</v>
      </c>
      <c r="AW2769">
        <v>2.76</v>
      </c>
      <c r="BA2769">
        <v>0.2</v>
      </c>
      <c r="BB2769">
        <v>9.2200000000000006</v>
      </c>
      <c r="BC2769">
        <v>-5.61</v>
      </c>
      <c r="BD2769">
        <v>2.91</v>
      </c>
      <c r="BE2769">
        <v>-5.5</v>
      </c>
      <c r="BF2769">
        <v>-13.3</v>
      </c>
      <c r="BG2769">
        <v>0.32</v>
      </c>
      <c r="BH2769">
        <v>-8.2200000000000006</v>
      </c>
      <c r="BI2769">
        <v>20191030</v>
      </c>
      <c r="BJ2769">
        <v>19931122</v>
      </c>
      <c r="BK2769">
        <v>7.11</v>
      </c>
      <c r="BL2769">
        <v>3.45</v>
      </c>
      <c r="BM2769" t="s">
        <v>116</v>
      </c>
      <c r="BN2769">
        <v>8.9</v>
      </c>
      <c r="BO2769">
        <v>7.29</v>
      </c>
      <c r="BP2769">
        <v>0.05</v>
      </c>
      <c r="BQ2769">
        <v>17.53</v>
      </c>
      <c r="BR2769">
        <v>5.08</v>
      </c>
      <c r="BS2769">
        <v>0.01</v>
      </c>
      <c r="BT2769">
        <v>0.2</v>
      </c>
      <c r="BU2769">
        <v>1.05</v>
      </c>
      <c r="BV2769">
        <v>0</v>
      </c>
      <c r="BW2769">
        <v>0.1</v>
      </c>
      <c r="BX2769">
        <v>3.93</v>
      </c>
      <c r="BY2769">
        <v>0.36</v>
      </c>
      <c r="BZ2769">
        <v>0.05</v>
      </c>
      <c r="CA2769">
        <v>0.48</v>
      </c>
      <c r="CB2769">
        <v>0.28000000000000003</v>
      </c>
      <c r="CC2769">
        <v>0.47</v>
      </c>
      <c r="CD2769">
        <v>0.44</v>
      </c>
      <c r="CE2769">
        <v>0.45</v>
      </c>
      <c r="CF2769">
        <v>0.26</v>
      </c>
      <c r="CG2769">
        <v>-4.6900000000000004</v>
      </c>
      <c r="CH2769">
        <v>-0.15</v>
      </c>
      <c r="CI2769">
        <v>0.12</v>
      </c>
      <c r="CJ2769">
        <v>72894</v>
      </c>
      <c r="CK2769">
        <v>7718</v>
      </c>
      <c r="CL2769" t="s">
        <v>957</v>
      </c>
      <c r="CM2769">
        <v>814.75</v>
      </c>
      <c r="CN2769">
        <v>12.77</v>
      </c>
      <c r="CO2769">
        <v>9.2100000000000009</v>
      </c>
      <c r="CP2769">
        <v>-446.79</v>
      </c>
      <c r="CQ2769">
        <v>184.91</v>
      </c>
      <c r="CR2769">
        <v>0</v>
      </c>
      <c r="CS2769" t="s">
        <v>2373</v>
      </c>
      <c r="CT2769">
        <v>1.03</v>
      </c>
      <c r="CU2769">
        <v>0</v>
      </c>
      <c r="CV2769">
        <v>0.55000000000000004</v>
      </c>
      <c r="CW2769">
        <v>-0.66</v>
      </c>
      <c r="CX2769">
        <v>-0.02</v>
      </c>
      <c r="CY2769">
        <v>81.95</v>
      </c>
      <c r="CZ2769" t="s">
        <v>4343</v>
      </c>
      <c r="DA2769">
        <v>85.49</v>
      </c>
      <c r="DB2769">
        <v>132.5</v>
      </c>
      <c r="DC2769">
        <v>122.58</v>
      </c>
      <c r="DD2769">
        <v>0</v>
      </c>
      <c r="DE2769">
        <v>47</v>
      </c>
      <c r="DF2769">
        <v>600695</v>
      </c>
      <c r="DG2769" t="s">
        <v>116</v>
      </c>
      <c r="DH2769" t="s">
        <v>116</v>
      </c>
      <c r="DI2769" t="s">
        <v>116</v>
      </c>
    </row>
    <row r="2770" spans="1:113" x14ac:dyDescent="0.4">
      <c r="A2770" t="str">
        <f>"600696"</f>
        <v>600696</v>
      </c>
      <c r="B2770" t="s">
        <v>12418</v>
      </c>
      <c r="C2770">
        <v>-1.2</v>
      </c>
      <c r="D2770">
        <v>13.13</v>
      </c>
      <c r="E2770">
        <v>-0.16</v>
      </c>
      <c r="F2770">
        <v>13.1</v>
      </c>
      <c r="G2770">
        <v>13.13</v>
      </c>
      <c r="H2770">
        <v>8923</v>
      </c>
      <c r="I2770">
        <v>647</v>
      </c>
      <c r="J2770">
        <v>-0.52</v>
      </c>
      <c r="K2770">
        <v>0.27</v>
      </c>
      <c r="L2770">
        <v>13.27</v>
      </c>
      <c r="M2770">
        <v>13.39</v>
      </c>
      <c r="N2770">
        <v>13.13</v>
      </c>
      <c r="O2770">
        <v>13.29</v>
      </c>
      <c r="P2770">
        <v>255.11</v>
      </c>
      <c r="Q2770">
        <v>11824528</v>
      </c>
      <c r="R2770">
        <v>0.81</v>
      </c>
      <c r="S2770" t="s">
        <v>148</v>
      </c>
      <c r="T2770" t="s">
        <v>1653</v>
      </c>
      <c r="U2770">
        <v>1.96</v>
      </c>
      <c r="V2770">
        <v>13.25</v>
      </c>
      <c r="W2770">
        <v>4156</v>
      </c>
      <c r="X2770">
        <v>4767</v>
      </c>
      <c r="Y2770">
        <v>0.87</v>
      </c>
      <c r="Z2770">
        <v>39</v>
      </c>
      <c r="AA2770">
        <v>146</v>
      </c>
      <c r="AB2770" t="s">
        <v>116</v>
      </c>
      <c r="AC2770">
        <v>0</v>
      </c>
      <c r="AD2770">
        <v>0</v>
      </c>
      <c r="AE2770" t="s">
        <v>116</v>
      </c>
      <c r="AF2770" t="s">
        <v>116</v>
      </c>
      <c r="AG2770">
        <v>3.34</v>
      </c>
      <c r="AH2770" t="s">
        <v>12419</v>
      </c>
      <c r="AI2770" t="s">
        <v>12419</v>
      </c>
      <c r="AJ2770">
        <v>-1.1299999999999999</v>
      </c>
      <c r="AK2770">
        <v>377</v>
      </c>
      <c r="AL2770">
        <v>24</v>
      </c>
      <c r="AM2770">
        <v>6.9999999999999999E-4</v>
      </c>
      <c r="AN2770">
        <v>-1</v>
      </c>
      <c r="AO2770">
        <v>-2.16</v>
      </c>
      <c r="AP2770">
        <v>-0.61</v>
      </c>
      <c r="AQ2770">
        <v>-4.16</v>
      </c>
      <c r="AR2770">
        <v>167.96</v>
      </c>
      <c r="AS2770">
        <v>0.56000000000000005</v>
      </c>
      <c r="AT2770" t="s">
        <v>12420</v>
      </c>
      <c r="AU2770">
        <v>405.67</v>
      </c>
      <c r="AV2770">
        <v>228.49</v>
      </c>
      <c r="AW2770">
        <v>0.99</v>
      </c>
      <c r="BA2770">
        <v>-0.15</v>
      </c>
      <c r="BB2770">
        <v>0.75</v>
      </c>
      <c r="BC2770">
        <v>-1.2</v>
      </c>
      <c r="BD2770">
        <v>-0.28999999999999998</v>
      </c>
      <c r="BE2770">
        <v>-1.06</v>
      </c>
      <c r="BF2770">
        <v>-1.94</v>
      </c>
      <c r="BG2770">
        <v>0</v>
      </c>
      <c r="BH2770">
        <v>-0.92</v>
      </c>
      <c r="BI2770">
        <v>20191205</v>
      </c>
      <c r="BJ2770">
        <v>19931206</v>
      </c>
      <c r="BK2770">
        <v>3.34</v>
      </c>
      <c r="BL2770" t="s">
        <v>116</v>
      </c>
      <c r="BM2770" t="s">
        <v>116</v>
      </c>
      <c r="BN2770">
        <v>4.9000000000000004</v>
      </c>
      <c r="BO2770">
        <v>2.5499999999999998</v>
      </c>
      <c r="BP2770">
        <v>0.2</v>
      </c>
      <c r="BQ2770">
        <v>43.99</v>
      </c>
      <c r="BR2770">
        <v>3.99</v>
      </c>
      <c r="BS2770">
        <v>0.01</v>
      </c>
      <c r="BT2770">
        <v>0.01</v>
      </c>
      <c r="BU2770">
        <v>2.0099999999999998</v>
      </c>
      <c r="BV2770">
        <v>0.01</v>
      </c>
      <c r="BW2770">
        <v>0.03</v>
      </c>
      <c r="BX2770">
        <v>0.25</v>
      </c>
      <c r="BY2770">
        <v>0.98</v>
      </c>
      <c r="BZ2770">
        <v>0.67</v>
      </c>
      <c r="CA2770">
        <v>0.19</v>
      </c>
      <c r="CB2770">
        <v>0</v>
      </c>
      <c r="CC2770">
        <v>0.18</v>
      </c>
      <c r="CD2770">
        <v>0.13</v>
      </c>
      <c r="CE2770">
        <v>0.13</v>
      </c>
      <c r="CF2770">
        <v>0.13</v>
      </c>
      <c r="CG2770">
        <v>-1.06</v>
      </c>
      <c r="CH2770">
        <v>-0.56000000000000005</v>
      </c>
      <c r="CI2770">
        <v>0.17</v>
      </c>
      <c r="CJ2770">
        <v>22035</v>
      </c>
      <c r="CK2770">
        <v>7274</v>
      </c>
      <c r="CL2770" t="s">
        <v>12421</v>
      </c>
      <c r="CM2770">
        <v>-39.4</v>
      </c>
      <c r="CN2770">
        <v>-76.3</v>
      </c>
      <c r="CO2770">
        <v>17.25</v>
      </c>
      <c r="CP2770">
        <v>-78.05</v>
      </c>
      <c r="CQ2770">
        <v>44.8</v>
      </c>
      <c r="CR2770">
        <v>0</v>
      </c>
      <c r="CS2770" t="s">
        <v>1887</v>
      </c>
      <c r="CT2770">
        <v>0.76</v>
      </c>
      <c r="CU2770">
        <v>0</v>
      </c>
      <c r="CV2770">
        <v>7.0000000000000007E-2</v>
      </c>
      <c r="CW2770">
        <v>-0.32</v>
      </c>
      <c r="CX2770">
        <v>-0.17</v>
      </c>
      <c r="CY2770">
        <v>52.01</v>
      </c>
      <c r="CZ2770" t="s">
        <v>7299</v>
      </c>
      <c r="DA2770">
        <v>32</v>
      </c>
      <c r="DB2770">
        <v>18.97</v>
      </c>
      <c r="DC2770">
        <v>13.17</v>
      </c>
      <c r="DD2770">
        <v>0</v>
      </c>
      <c r="DE2770">
        <v>25</v>
      </c>
      <c r="DF2770">
        <v>600696</v>
      </c>
      <c r="DG2770" t="s">
        <v>116</v>
      </c>
      <c r="DH2770" t="s">
        <v>116</v>
      </c>
      <c r="DI2770" t="s">
        <v>116</v>
      </c>
    </row>
    <row r="2771" spans="1:113" x14ac:dyDescent="0.4">
      <c r="A2771" t="str">
        <f>"600697"</f>
        <v>600697</v>
      </c>
      <c r="B2771" t="s">
        <v>12422</v>
      </c>
      <c r="C2771">
        <v>-0.12</v>
      </c>
      <c r="D2771">
        <v>17.09</v>
      </c>
      <c r="E2771">
        <v>-0.02</v>
      </c>
      <c r="F2771">
        <v>17.09</v>
      </c>
      <c r="G2771">
        <v>17.100000000000001</v>
      </c>
      <c r="H2771">
        <v>9601</v>
      </c>
      <c r="I2771">
        <v>53</v>
      </c>
      <c r="J2771">
        <v>-0.05</v>
      </c>
      <c r="K2771">
        <v>0.62</v>
      </c>
      <c r="L2771">
        <v>17.11</v>
      </c>
      <c r="M2771">
        <v>17.25</v>
      </c>
      <c r="N2771">
        <v>17.04</v>
      </c>
      <c r="O2771">
        <v>17.11</v>
      </c>
      <c r="P2771">
        <v>10.23</v>
      </c>
      <c r="Q2771">
        <v>16460084</v>
      </c>
      <c r="R2771">
        <v>1.1399999999999999</v>
      </c>
      <c r="S2771" t="s">
        <v>746</v>
      </c>
      <c r="T2771" t="s">
        <v>294</v>
      </c>
      <c r="U2771">
        <v>1.23</v>
      </c>
      <c r="V2771">
        <v>17.14</v>
      </c>
      <c r="W2771">
        <v>3336</v>
      </c>
      <c r="X2771">
        <v>6265</v>
      </c>
      <c r="Y2771">
        <v>0.53</v>
      </c>
      <c r="Z2771">
        <v>118</v>
      </c>
      <c r="AA2771">
        <v>12</v>
      </c>
      <c r="AB2771" t="s">
        <v>116</v>
      </c>
      <c r="AC2771">
        <v>0</v>
      </c>
      <c r="AD2771">
        <v>0</v>
      </c>
      <c r="AE2771" t="s">
        <v>116</v>
      </c>
      <c r="AF2771" t="s">
        <v>116</v>
      </c>
      <c r="AG2771">
        <v>1.55</v>
      </c>
      <c r="AH2771" t="s">
        <v>7790</v>
      </c>
      <c r="AI2771" t="s">
        <v>5587</v>
      </c>
      <c r="AJ2771">
        <v>-0.04</v>
      </c>
      <c r="AK2771">
        <v>1468</v>
      </c>
      <c r="AL2771">
        <v>7</v>
      </c>
      <c r="AM2771">
        <v>4.0000000000000002E-4</v>
      </c>
      <c r="AN2771">
        <v>-1</v>
      </c>
      <c r="AO2771">
        <v>1.1200000000000001</v>
      </c>
      <c r="AP2771">
        <v>4.59</v>
      </c>
      <c r="AQ2771">
        <v>-2.34</v>
      </c>
      <c r="AR2771">
        <v>-5.0599999999999996</v>
      </c>
      <c r="AS2771">
        <v>1.04</v>
      </c>
      <c r="AT2771" t="s">
        <v>5806</v>
      </c>
      <c r="AU2771">
        <v>10.44</v>
      </c>
      <c r="AV2771">
        <v>10.47</v>
      </c>
      <c r="AW2771">
        <v>0.83</v>
      </c>
      <c r="BA2771">
        <v>0</v>
      </c>
      <c r="BB2771">
        <v>0.82</v>
      </c>
      <c r="BC2771">
        <v>-0.41</v>
      </c>
      <c r="BD2771">
        <v>0.2</v>
      </c>
      <c r="BE2771">
        <v>-0.12</v>
      </c>
      <c r="BF2771">
        <v>-0.93</v>
      </c>
      <c r="BG2771">
        <v>0.28999999999999998</v>
      </c>
      <c r="BH2771">
        <v>-0.32</v>
      </c>
      <c r="BI2771">
        <v>20191226</v>
      </c>
      <c r="BJ2771">
        <v>19931206</v>
      </c>
      <c r="BK2771">
        <v>1.59</v>
      </c>
      <c r="BL2771" t="s">
        <v>116</v>
      </c>
      <c r="BM2771" t="s">
        <v>116</v>
      </c>
      <c r="BN2771">
        <v>226.16</v>
      </c>
      <c r="BO2771">
        <v>32.11</v>
      </c>
      <c r="BP2771">
        <v>25.4</v>
      </c>
      <c r="BQ2771">
        <v>74.569999999999993</v>
      </c>
      <c r="BR2771">
        <v>54.94</v>
      </c>
      <c r="BS2771">
        <v>127.84</v>
      </c>
      <c r="BT2771">
        <v>22.45</v>
      </c>
      <c r="BU2771">
        <v>144.44</v>
      </c>
      <c r="BV2771">
        <v>28.57</v>
      </c>
      <c r="BW2771">
        <v>0.28999999999999998</v>
      </c>
      <c r="BX2771">
        <v>2.98</v>
      </c>
      <c r="BY2771">
        <v>124.52</v>
      </c>
      <c r="BZ2771">
        <v>95.45</v>
      </c>
      <c r="CA2771">
        <v>6.07</v>
      </c>
      <c r="CB2771">
        <v>-0.04</v>
      </c>
      <c r="CC2771">
        <v>6.06</v>
      </c>
      <c r="CD2771">
        <v>4.54</v>
      </c>
      <c r="CE2771">
        <v>1.99</v>
      </c>
      <c r="CF2771">
        <v>1.98</v>
      </c>
      <c r="CG2771">
        <v>20.73</v>
      </c>
      <c r="CH2771">
        <v>7.53</v>
      </c>
      <c r="CI2771">
        <v>-1.1599999999999999</v>
      </c>
      <c r="CJ2771">
        <v>16132</v>
      </c>
      <c r="CK2771">
        <v>5721</v>
      </c>
      <c r="CL2771" t="s">
        <v>9374</v>
      </c>
      <c r="CM2771">
        <v>0.3</v>
      </c>
      <c r="CN2771">
        <v>9.7799999999999994</v>
      </c>
      <c r="CO2771">
        <v>1.04</v>
      </c>
      <c r="CP2771">
        <v>3.61</v>
      </c>
      <c r="CQ2771">
        <v>0.22</v>
      </c>
      <c r="CR2771">
        <v>2.2799999999999998</v>
      </c>
      <c r="CS2771" t="s">
        <v>12423</v>
      </c>
      <c r="CT2771">
        <v>16.41</v>
      </c>
      <c r="CU2771">
        <v>16.41</v>
      </c>
      <c r="CV2771">
        <v>1.88</v>
      </c>
      <c r="CW2771">
        <v>13.03</v>
      </c>
      <c r="CX2771">
        <v>4.74</v>
      </c>
      <c r="CY2771">
        <v>14.2</v>
      </c>
      <c r="CZ2771" t="s">
        <v>5421</v>
      </c>
      <c r="DA2771">
        <v>23.35</v>
      </c>
      <c r="DB2771">
        <v>4.88</v>
      </c>
      <c r="DC2771">
        <v>1.6</v>
      </c>
      <c r="DD2771">
        <v>0</v>
      </c>
      <c r="DE2771">
        <v>11296</v>
      </c>
      <c r="DF2771">
        <v>600697</v>
      </c>
      <c r="DG2771" t="s">
        <v>116</v>
      </c>
      <c r="DH2771" t="s">
        <v>116</v>
      </c>
      <c r="DI2771" t="s">
        <v>116</v>
      </c>
    </row>
    <row r="2772" spans="1:113" x14ac:dyDescent="0.4">
      <c r="A2772" t="str">
        <f>"600698"</f>
        <v>600698</v>
      </c>
      <c r="B2772" t="s">
        <v>12424</v>
      </c>
      <c r="C2772">
        <v>0.33</v>
      </c>
      <c r="D2772">
        <v>3.06</v>
      </c>
      <c r="E2772">
        <v>0.01</v>
      </c>
      <c r="F2772">
        <v>3.05</v>
      </c>
      <c r="G2772">
        <v>3.06</v>
      </c>
      <c r="H2772">
        <v>53659</v>
      </c>
      <c r="I2772">
        <v>572</v>
      </c>
      <c r="J2772">
        <v>0.66</v>
      </c>
      <c r="K2772">
        <v>0.73</v>
      </c>
      <c r="L2772">
        <v>3.03</v>
      </c>
      <c r="M2772">
        <v>3.07</v>
      </c>
      <c r="N2772">
        <v>3.02</v>
      </c>
      <c r="O2772">
        <v>3.05</v>
      </c>
      <c r="P2772">
        <v>2099.1799999999998</v>
      </c>
      <c r="Q2772">
        <v>16326462</v>
      </c>
      <c r="R2772">
        <v>0.73</v>
      </c>
      <c r="S2772" t="s">
        <v>293</v>
      </c>
      <c r="T2772" t="s">
        <v>599</v>
      </c>
      <c r="U2772">
        <v>1.64</v>
      </c>
      <c r="V2772">
        <v>3.04</v>
      </c>
      <c r="W2772">
        <v>27727</v>
      </c>
      <c r="X2772">
        <v>25932</v>
      </c>
      <c r="Y2772">
        <v>1.07</v>
      </c>
      <c r="Z2772">
        <v>456</v>
      </c>
      <c r="AA2772">
        <v>1843</v>
      </c>
      <c r="AB2772" t="s">
        <v>116</v>
      </c>
      <c r="AC2772">
        <v>143900</v>
      </c>
      <c r="AD2772">
        <v>0.01</v>
      </c>
      <c r="AE2772" t="s">
        <v>116</v>
      </c>
      <c r="AF2772" t="s">
        <v>116</v>
      </c>
      <c r="AG2772">
        <v>7.38</v>
      </c>
      <c r="AH2772" t="s">
        <v>12425</v>
      </c>
      <c r="AI2772" t="s">
        <v>4213</v>
      </c>
      <c r="AJ2772">
        <v>0.4</v>
      </c>
      <c r="AK2772">
        <v>522</v>
      </c>
      <c r="AL2772">
        <v>103</v>
      </c>
      <c r="AM2772">
        <v>1.4E-3</v>
      </c>
      <c r="AN2772">
        <v>1</v>
      </c>
      <c r="AO2772">
        <v>-2.2400000000000002</v>
      </c>
      <c r="AP2772">
        <v>5.88</v>
      </c>
      <c r="AQ2772">
        <v>5.52</v>
      </c>
      <c r="AR2772">
        <v>-26.27</v>
      </c>
      <c r="AS2772">
        <v>1.24</v>
      </c>
      <c r="AT2772" t="s">
        <v>2398</v>
      </c>
      <c r="AU2772" t="s">
        <v>116</v>
      </c>
      <c r="AV2772" t="s">
        <v>116</v>
      </c>
      <c r="AW2772">
        <v>0.09</v>
      </c>
      <c r="BA2772">
        <v>-0.66</v>
      </c>
      <c r="BB2772">
        <v>0.66</v>
      </c>
      <c r="BC2772">
        <v>-0.98</v>
      </c>
      <c r="BD2772">
        <v>-0.24</v>
      </c>
      <c r="BE2772">
        <v>0.99</v>
      </c>
      <c r="BF2772">
        <v>-0.33</v>
      </c>
      <c r="BG2772">
        <v>1.32</v>
      </c>
      <c r="BH2772">
        <v>0.56999999999999995</v>
      </c>
      <c r="BI2772">
        <v>20191209</v>
      </c>
      <c r="BJ2772">
        <v>19931206</v>
      </c>
      <c r="BK2772">
        <v>10.64</v>
      </c>
      <c r="BL2772">
        <v>2.2999999999999998</v>
      </c>
      <c r="BM2772" t="s">
        <v>116</v>
      </c>
      <c r="BN2772">
        <v>8.77</v>
      </c>
      <c r="BO2772">
        <v>4.9000000000000004</v>
      </c>
      <c r="BP2772">
        <v>0</v>
      </c>
      <c r="BQ2772">
        <v>44.2</v>
      </c>
      <c r="BR2772">
        <v>5.94</v>
      </c>
      <c r="BS2772">
        <v>1.85</v>
      </c>
      <c r="BT2772">
        <v>0.06</v>
      </c>
      <c r="BU2772">
        <v>3.32</v>
      </c>
      <c r="BV2772">
        <v>1.49</v>
      </c>
      <c r="BW2772">
        <v>1.6</v>
      </c>
      <c r="BX2772">
        <v>3.74</v>
      </c>
      <c r="BY2772">
        <v>3.38</v>
      </c>
      <c r="BZ2772">
        <v>2.77</v>
      </c>
      <c r="CA2772">
        <v>0</v>
      </c>
      <c r="CB2772">
        <v>0.02</v>
      </c>
      <c r="CC2772">
        <v>0.01</v>
      </c>
      <c r="CD2772">
        <v>0.01</v>
      </c>
      <c r="CE2772">
        <v>0.01</v>
      </c>
      <c r="CF2772">
        <v>-0.06</v>
      </c>
      <c r="CG2772">
        <v>-9.4</v>
      </c>
      <c r="CH2772">
        <v>0.18</v>
      </c>
      <c r="CI2772">
        <v>-2.66</v>
      </c>
      <c r="CJ2772">
        <v>103889</v>
      </c>
      <c r="CK2772">
        <v>6373</v>
      </c>
      <c r="CL2772" t="s">
        <v>5521</v>
      </c>
      <c r="CM2772">
        <v>150.37</v>
      </c>
      <c r="CN2772">
        <v>-12.1</v>
      </c>
      <c r="CO2772">
        <v>6.07</v>
      </c>
      <c r="CP2772">
        <v>185.5</v>
      </c>
      <c r="CQ2772">
        <v>9.65</v>
      </c>
      <c r="CR2772">
        <v>0</v>
      </c>
      <c r="CS2772" t="s">
        <v>4302</v>
      </c>
      <c r="CT2772">
        <v>0.5</v>
      </c>
      <c r="CU2772">
        <v>0.5</v>
      </c>
      <c r="CV2772">
        <v>0.35</v>
      </c>
      <c r="CW2772">
        <v>-0.88</v>
      </c>
      <c r="CX2772">
        <v>0.02</v>
      </c>
      <c r="CY2772">
        <v>55.8</v>
      </c>
      <c r="CZ2772" t="s">
        <v>4701</v>
      </c>
      <c r="DA2772">
        <v>18.02</v>
      </c>
      <c r="DB2772">
        <v>0.03</v>
      </c>
      <c r="DC2772">
        <v>0.34</v>
      </c>
      <c r="DD2772">
        <v>0.17</v>
      </c>
      <c r="DE2772">
        <v>1310</v>
      </c>
      <c r="DF2772">
        <v>600698</v>
      </c>
      <c r="DG2772" t="s">
        <v>116</v>
      </c>
      <c r="DH2772" t="s">
        <v>116</v>
      </c>
      <c r="DI2772" t="s">
        <v>116</v>
      </c>
    </row>
    <row r="2773" spans="1:113" x14ac:dyDescent="0.4">
      <c r="A2773" t="str">
        <f>"600699"</f>
        <v>600699</v>
      </c>
      <c r="B2773" t="s">
        <v>12426</v>
      </c>
      <c r="C2773">
        <v>2.93</v>
      </c>
      <c r="D2773">
        <v>17.89</v>
      </c>
      <c r="E2773">
        <v>0.51</v>
      </c>
      <c r="F2773">
        <v>17.88</v>
      </c>
      <c r="G2773">
        <v>17.89</v>
      </c>
      <c r="H2773">
        <v>324722</v>
      </c>
      <c r="I2773">
        <v>3401</v>
      </c>
      <c r="J2773">
        <v>0.06</v>
      </c>
      <c r="K2773">
        <v>2.62</v>
      </c>
      <c r="L2773">
        <v>17.350000000000001</v>
      </c>
      <c r="M2773">
        <v>18.079999999999998</v>
      </c>
      <c r="N2773">
        <v>17.28</v>
      </c>
      <c r="O2773">
        <v>17.38</v>
      </c>
      <c r="P2773">
        <v>23.64</v>
      </c>
      <c r="Q2773">
        <v>576742464</v>
      </c>
      <c r="R2773">
        <v>1.79</v>
      </c>
      <c r="S2773" t="s">
        <v>293</v>
      </c>
      <c r="T2773" t="s">
        <v>590</v>
      </c>
      <c r="U2773">
        <v>4.5999999999999996</v>
      </c>
      <c r="V2773">
        <v>17.760000000000002</v>
      </c>
      <c r="W2773">
        <v>155404</v>
      </c>
      <c r="X2773">
        <v>169318</v>
      </c>
      <c r="Y2773">
        <v>0.92</v>
      </c>
      <c r="Z2773">
        <v>340</v>
      </c>
      <c r="AA2773">
        <v>248</v>
      </c>
      <c r="AB2773" t="s">
        <v>116</v>
      </c>
      <c r="AC2773">
        <v>907400</v>
      </c>
      <c r="AD2773">
        <v>0.01</v>
      </c>
      <c r="AE2773" t="s">
        <v>116</v>
      </c>
      <c r="AF2773" t="s">
        <v>116</v>
      </c>
      <c r="AG2773">
        <v>12.37</v>
      </c>
      <c r="AH2773" t="s">
        <v>12427</v>
      </c>
      <c r="AI2773" t="s">
        <v>12427</v>
      </c>
      <c r="AJ2773">
        <v>3.01</v>
      </c>
      <c r="AK2773">
        <v>4041</v>
      </c>
      <c r="AL2773">
        <v>80</v>
      </c>
      <c r="AM2773">
        <v>5.9999999999999995E-4</v>
      </c>
      <c r="AN2773">
        <v>4</v>
      </c>
      <c r="AO2773">
        <v>3.52</v>
      </c>
      <c r="AP2773">
        <v>16.93</v>
      </c>
      <c r="AQ2773">
        <v>1.3</v>
      </c>
      <c r="AR2773">
        <v>4.9000000000000004</v>
      </c>
      <c r="AS2773">
        <v>4.8899999999999997</v>
      </c>
      <c r="AT2773" t="s">
        <v>12428</v>
      </c>
      <c r="AU2773">
        <v>22.99</v>
      </c>
      <c r="AV2773">
        <v>16.79</v>
      </c>
      <c r="AW2773">
        <v>1.34</v>
      </c>
      <c r="BA2773">
        <v>-0.17</v>
      </c>
      <c r="BB2773">
        <v>4.03</v>
      </c>
      <c r="BC2773">
        <v>-0.57999999999999996</v>
      </c>
      <c r="BD2773">
        <v>2.19</v>
      </c>
      <c r="BE2773">
        <v>3.11</v>
      </c>
      <c r="BF2773">
        <v>-1.05</v>
      </c>
      <c r="BG2773">
        <v>3.53</v>
      </c>
      <c r="BH2773">
        <v>0.74</v>
      </c>
      <c r="BI2773">
        <v>20191220</v>
      </c>
      <c r="BJ2773">
        <v>19931206</v>
      </c>
      <c r="BK2773">
        <v>12.37</v>
      </c>
      <c r="BL2773" t="s">
        <v>116</v>
      </c>
      <c r="BM2773" t="s">
        <v>116</v>
      </c>
      <c r="BN2773">
        <v>591.33000000000004</v>
      </c>
      <c r="BO2773">
        <v>131.03</v>
      </c>
      <c r="BP2773">
        <v>61.91</v>
      </c>
      <c r="BQ2773">
        <v>67.37</v>
      </c>
      <c r="BR2773">
        <v>281.44</v>
      </c>
      <c r="BS2773">
        <v>131.78</v>
      </c>
      <c r="BT2773">
        <v>33.840000000000003</v>
      </c>
      <c r="BU2773">
        <v>211.53</v>
      </c>
      <c r="BV2773">
        <v>82.16</v>
      </c>
      <c r="BW2773">
        <v>96.42</v>
      </c>
      <c r="BX2773">
        <v>95.78</v>
      </c>
      <c r="BY2773">
        <v>458.06</v>
      </c>
      <c r="BZ2773">
        <v>380.18</v>
      </c>
      <c r="CA2773">
        <v>16.899999999999999</v>
      </c>
      <c r="CB2773">
        <v>2.77</v>
      </c>
      <c r="CC2773">
        <v>16.75</v>
      </c>
      <c r="CD2773">
        <v>11.98</v>
      </c>
      <c r="CE2773">
        <v>7.02</v>
      </c>
      <c r="CF2773">
        <v>8.14</v>
      </c>
      <c r="CG2773">
        <v>37.65</v>
      </c>
      <c r="CH2773">
        <v>19.36</v>
      </c>
      <c r="CI2773">
        <v>-11.77</v>
      </c>
      <c r="CJ2773">
        <v>53639</v>
      </c>
      <c r="CK2773">
        <v>12390</v>
      </c>
      <c r="CL2773" t="s">
        <v>8997</v>
      </c>
      <c r="CM2773">
        <v>-33.6</v>
      </c>
      <c r="CN2773">
        <v>16.2</v>
      </c>
      <c r="CO2773">
        <v>1.69</v>
      </c>
      <c r="CP2773">
        <v>11.43</v>
      </c>
      <c r="CQ2773">
        <v>0.48</v>
      </c>
      <c r="CR2773">
        <v>0</v>
      </c>
      <c r="CS2773" t="s">
        <v>1598</v>
      </c>
      <c r="CT2773">
        <v>10.59</v>
      </c>
      <c r="CU2773">
        <v>0</v>
      </c>
      <c r="CV2773">
        <v>7.74</v>
      </c>
      <c r="CW2773">
        <v>3.04</v>
      </c>
      <c r="CX2773">
        <v>1.56</v>
      </c>
      <c r="CY2773">
        <v>22.16</v>
      </c>
      <c r="CZ2773" t="s">
        <v>12429</v>
      </c>
      <c r="DA2773">
        <v>17</v>
      </c>
      <c r="DB2773">
        <v>3.69</v>
      </c>
      <c r="DC2773">
        <v>1.53</v>
      </c>
      <c r="DD2773">
        <v>19.989999999999998</v>
      </c>
      <c r="DE2773">
        <v>59250</v>
      </c>
      <c r="DF2773">
        <v>600699</v>
      </c>
      <c r="DG2773" t="s">
        <v>116</v>
      </c>
      <c r="DH2773" t="s">
        <v>116</v>
      </c>
      <c r="DI2773" t="s">
        <v>116</v>
      </c>
    </row>
    <row r="2774" spans="1:113" x14ac:dyDescent="0.4">
      <c r="A2774" t="str">
        <f>"600701"</f>
        <v>600701</v>
      </c>
      <c r="B2774" t="s">
        <v>12430</v>
      </c>
      <c r="C2774">
        <v>-3.48</v>
      </c>
      <c r="D2774">
        <v>1.94</v>
      </c>
      <c r="E2774">
        <v>-7.0000000000000007E-2</v>
      </c>
      <c r="F2774">
        <v>1.94</v>
      </c>
      <c r="G2774">
        <v>1.95</v>
      </c>
      <c r="H2774">
        <v>192656</v>
      </c>
      <c r="I2774">
        <v>844</v>
      </c>
      <c r="J2774">
        <v>0.52</v>
      </c>
      <c r="K2774">
        <v>2.48</v>
      </c>
      <c r="L2774">
        <v>1.99</v>
      </c>
      <c r="M2774">
        <v>2.02</v>
      </c>
      <c r="N2774">
        <v>1.92</v>
      </c>
      <c r="O2774">
        <v>2.0099999999999998</v>
      </c>
      <c r="P2774" t="s">
        <v>116</v>
      </c>
      <c r="Q2774">
        <v>37896624</v>
      </c>
      <c r="R2774">
        <v>1.34</v>
      </c>
      <c r="S2774" t="s">
        <v>173</v>
      </c>
      <c r="T2774" t="s">
        <v>1287</v>
      </c>
      <c r="U2774">
        <v>4.9800000000000004</v>
      </c>
      <c r="V2774">
        <v>1.97</v>
      </c>
      <c r="W2774">
        <v>112053</v>
      </c>
      <c r="X2774">
        <v>80603</v>
      </c>
      <c r="Y2774">
        <v>1.39</v>
      </c>
      <c r="Z2774">
        <v>19</v>
      </c>
      <c r="AA2774">
        <v>1986</v>
      </c>
      <c r="AB2774" t="s">
        <v>116</v>
      </c>
      <c r="AC2774">
        <v>1898700</v>
      </c>
      <c r="AD2774">
        <v>0.14000000000000001</v>
      </c>
      <c r="AE2774" t="s">
        <v>116</v>
      </c>
      <c r="AF2774" t="s">
        <v>116</v>
      </c>
      <c r="AG2774">
        <v>7.76</v>
      </c>
      <c r="AH2774" t="s">
        <v>9898</v>
      </c>
      <c r="AI2774" t="s">
        <v>12431</v>
      </c>
      <c r="AJ2774">
        <v>-3.41</v>
      </c>
      <c r="AK2774">
        <v>996</v>
      </c>
      <c r="AL2774">
        <v>193</v>
      </c>
      <c r="AM2774">
        <v>2.5000000000000001E-3</v>
      </c>
      <c r="AN2774">
        <v>-3</v>
      </c>
      <c r="AO2774">
        <v>-13</v>
      </c>
      <c r="AP2774">
        <v>2.65</v>
      </c>
      <c r="AQ2774">
        <v>-12.61</v>
      </c>
      <c r="AR2774">
        <v>-15.65</v>
      </c>
      <c r="AS2774">
        <v>2.9</v>
      </c>
      <c r="AT2774" t="s">
        <v>6911</v>
      </c>
      <c r="AU2774" t="s">
        <v>116</v>
      </c>
      <c r="AV2774" t="s">
        <v>116</v>
      </c>
      <c r="AW2774">
        <v>0.74</v>
      </c>
      <c r="BA2774">
        <v>-1</v>
      </c>
      <c r="BB2774">
        <v>0.5</v>
      </c>
      <c r="BC2774">
        <v>-4.4800000000000004</v>
      </c>
      <c r="BD2774">
        <v>-2.14</v>
      </c>
      <c r="BE2774">
        <v>-2.5099999999999998</v>
      </c>
      <c r="BF2774">
        <v>-3.96</v>
      </c>
      <c r="BG2774">
        <v>1.04</v>
      </c>
      <c r="BH2774">
        <v>-1.35</v>
      </c>
      <c r="BI2774">
        <v>20191029</v>
      </c>
      <c r="BJ2774">
        <v>19960528</v>
      </c>
      <c r="BK2774">
        <v>10.35</v>
      </c>
      <c r="BL2774" t="s">
        <v>116</v>
      </c>
      <c r="BM2774" t="s">
        <v>116</v>
      </c>
      <c r="BN2774">
        <v>65.739999999999995</v>
      </c>
      <c r="BO2774">
        <v>-5.38</v>
      </c>
      <c r="BP2774">
        <v>0.36</v>
      </c>
      <c r="BQ2774">
        <v>107.64</v>
      </c>
      <c r="BR2774">
        <v>20.67</v>
      </c>
      <c r="BS2774">
        <v>29.57</v>
      </c>
      <c r="BT2774">
        <v>2.93</v>
      </c>
      <c r="BU2774">
        <v>48.43</v>
      </c>
      <c r="BV2774">
        <v>1.3</v>
      </c>
      <c r="BW2774">
        <v>1.89</v>
      </c>
      <c r="BX2774">
        <v>27.84</v>
      </c>
      <c r="BY2774">
        <v>5.87</v>
      </c>
      <c r="BZ2774">
        <v>3.25</v>
      </c>
      <c r="CA2774">
        <v>-4.6399999999999997</v>
      </c>
      <c r="CB2774">
        <v>0</v>
      </c>
      <c r="CC2774">
        <v>-5.31</v>
      </c>
      <c r="CD2774">
        <v>-5.31</v>
      </c>
      <c r="CE2774">
        <v>-5</v>
      </c>
      <c r="CF2774">
        <v>-4.33</v>
      </c>
      <c r="CG2774">
        <v>-45.45</v>
      </c>
      <c r="CH2774">
        <v>2.74</v>
      </c>
      <c r="CI2774">
        <v>1.57</v>
      </c>
      <c r="CJ2774">
        <v>51628</v>
      </c>
      <c r="CK2774">
        <v>12865</v>
      </c>
      <c r="CL2774" t="s">
        <v>1017</v>
      </c>
      <c r="CM2774">
        <v>-29.48</v>
      </c>
      <c r="CN2774">
        <v>-43.82</v>
      </c>
      <c r="CO2774">
        <v>-3.73</v>
      </c>
      <c r="CP2774">
        <v>7.32</v>
      </c>
      <c r="CQ2774">
        <v>3.42</v>
      </c>
      <c r="CR2774">
        <v>0</v>
      </c>
      <c r="CS2774" t="s">
        <v>12432</v>
      </c>
      <c r="CT2774">
        <v>-0.52</v>
      </c>
      <c r="CU2774">
        <v>0</v>
      </c>
      <c r="CV2774">
        <v>2.69</v>
      </c>
      <c r="CW2774">
        <v>-4.3899999999999997</v>
      </c>
      <c r="CX2774">
        <v>0.27</v>
      </c>
      <c r="CY2774">
        <v>-8.18</v>
      </c>
      <c r="CZ2774" t="s">
        <v>116</v>
      </c>
      <c r="DA2774">
        <v>44.55</v>
      </c>
      <c r="DB2774">
        <v>-79.14</v>
      </c>
      <c r="DC2774">
        <v>-85.17</v>
      </c>
      <c r="DD2774">
        <v>0</v>
      </c>
      <c r="DE2774">
        <v>1783</v>
      </c>
      <c r="DF2774">
        <v>600701</v>
      </c>
      <c r="DG2774" t="s">
        <v>116</v>
      </c>
      <c r="DH2774" t="s">
        <v>116</v>
      </c>
      <c r="DI2774" t="s">
        <v>116</v>
      </c>
    </row>
    <row r="2775" spans="1:113" x14ac:dyDescent="0.4">
      <c r="A2775" t="str">
        <f>"600702"</f>
        <v>600702</v>
      </c>
      <c r="B2775" t="s">
        <v>12433</v>
      </c>
      <c r="C2775">
        <v>-1.08</v>
      </c>
      <c r="D2775">
        <v>29.3</v>
      </c>
      <c r="E2775">
        <v>-0.32</v>
      </c>
      <c r="F2775">
        <v>29.29</v>
      </c>
      <c r="G2775">
        <v>29.3</v>
      </c>
      <c r="H2775">
        <v>66401</v>
      </c>
      <c r="I2775">
        <v>820</v>
      </c>
      <c r="J2775">
        <v>0</v>
      </c>
      <c r="K2775">
        <v>2.02</v>
      </c>
      <c r="L2775">
        <v>29.57</v>
      </c>
      <c r="M2775">
        <v>30.09</v>
      </c>
      <c r="N2775">
        <v>29.29</v>
      </c>
      <c r="O2775">
        <v>29.62</v>
      </c>
      <c r="P2775">
        <v>24.45</v>
      </c>
      <c r="Q2775">
        <v>196933664</v>
      </c>
      <c r="R2775">
        <v>1.3</v>
      </c>
      <c r="S2775" t="s">
        <v>1212</v>
      </c>
      <c r="T2775" t="s">
        <v>582</v>
      </c>
      <c r="U2775">
        <v>2.7</v>
      </c>
      <c r="V2775">
        <v>29.66</v>
      </c>
      <c r="W2775">
        <v>37745</v>
      </c>
      <c r="X2775">
        <v>28658</v>
      </c>
      <c r="Y2775">
        <v>1.32</v>
      </c>
      <c r="Z2775">
        <v>161</v>
      </c>
      <c r="AA2775">
        <v>16</v>
      </c>
      <c r="AB2775" t="s">
        <v>116</v>
      </c>
      <c r="AC2775">
        <v>340900</v>
      </c>
      <c r="AD2775">
        <v>0.01</v>
      </c>
      <c r="AE2775" t="s">
        <v>116</v>
      </c>
      <c r="AF2775" t="s">
        <v>116</v>
      </c>
      <c r="AG2775">
        <v>3.3</v>
      </c>
      <c r="AH2775" t="s">
        <v>12434</v>
      </c>
      <c r="AI2775" t="s">
        <v>12435</v>
      </c>
      <c r="AJ2775">
        <v>-1</v>
      </c>
      <c r="AK2775">
        <v>2817</v>
      </c>
      <c r="AL2775">
        <v>24</v>
      </c>
      <c r="AM2775">
        <v>6.9999999999999999E-4</v>
      </c>
      <c r="AN2775">
        <v>-1</v>
      </c>
      <c r="AO2775">
        <v>0.69</v>
      </c>
      <c r="AP2775">
        <v>0.96</v>
      </c>
      <c r="AQ2775">
        <v>-6.15</v>
      </c>
      <c r="AR2775">
        <v>28.98</v>
      </c>
      <c r="AS2775">
        <v>2.9</v>
      </c>
      <c r="AT2775" t="s">
        <v>12436</v>
      </c>
      <c r="AU2775">
        <v>26.57</v>
      </c>
      <c r="AV2775">
        <v>28.89</v>
      </c>
      <c r="AW2775">
        <v>1.22</v>
      </c>
      <c r="BA2775">
        <v>-0.17</v>
      </c>
      <c r="BB2775">
        <v>1.59</v>
      </c>
      <c r="BC2775">
        <v>-1.1100000000000001</v>
      </c>
      <c r="BD2775">
        <v>0.13</v>
      </c>
      <c r="BE2775">
        <v>-0.91</v>
      </c>
      <c r="BF2775">
        <v>-2.63</v>
      </c>
      <c r="BG2775">
        <v>0.03</v>
      </c>
      <c r="BH2775">
        <v>-1.21</v>
      </c>
      <c r="BI2775">
        <v>20191225</v>
      </c>
      <c r="BJ2775">
        <v>19960524</v>
      </c>
      <c r="BK2775">
        <v>3.37</v>
      </c>
      <c r="BL2775" t="s">
        <v>116</v>
      </c>
      <c r="BM2775" t="s">
        <v>116</v>
      </c>
      <c r="BN2775">
        <v>54.89</v>
      </c>
      <c r="BO2775">
        <v>28.21</v>
      </c>
      <c r="BP2775">
        <v>1.96</v>
      </c>
      <c r="BQ2775">
        <v>45.05</v>
      </c>
      <c r="BR2775">
        <v>42.16</v>
      </c>
      <c r="BS2775">
        <v>6.44</v>
      </c>
      <c r="BT2775">
        <v>1.38</v>
      </c>
      <c r="BU2775">
        <v>24.21</v>
      </c>
      <c r="BV2775">
        <v>24.02</v>
      </c>
      <c r="BW2775">
        <v>1.0900000000000001</v>
      </c>
      <c r="BX2775">
        <v>8.81</v>
      </c>
      <c r="BY2775">
        <v>18.43</v>
      </c>
      <c r="BZ2775">
        <v>4.5</v>
      </c>
      <c r="CA2775">
        <v>4.57</v>
      </c>
      <c r="CB2775">
        <v>0.03</v>
      </c>
      <c r="CC2775">
        <v>4.51</v>
      </c>
      <c r="CD2775">
        <v>3.27</v>
      </c>
      <c r="CE2775">
        <v>3.03</v>
      </c>
      <c r="CF2775">
        <v>3.04</v>
      </c>
      <c r="CG2775">
        <v>16.559999999999999</v>
      </c>
      <c r="CH2775">
        <v>2.63</v>
      </c>
      <c r="CI2775">
        <v>2.96</v>
      </c>
      <c r="CJ2775">
        <v>51213</v>
      </c>
      <c r="CK2775">
        <v>4468</v>
      </c>
      <c r="CL2775" t="s">
        <v>3922</v>
      </c>
      <c r="CM2775">
        <v>10.93</v>
      </c>
      <c r="CN2775">
        <v>16.010000000000002</v>
      </c>
      <c r="CO2775">
        <v>3.5</v>
      </c>
      <c r="CP2775">
        <v>37.590000000000003</v>
      </c>
      <c r="CQ2775">
        <v>5.36</v>
      </c>
      <c r="CR2775">
        <v>0.35</v>
      </c>
      <c r="CS2775" t="s">
        <v>7606</v>
      </c>
      <c r="CT2775">
        <v>8.3699999999999992</v>
      </c>
      <c r="CU2775">
        <v>0</v>
      </c>
      <c r="CV2775">
        <v>2.61</v>
      </c>
      <c r="CW2775">
        <v>4.91</v>
      </c>
      <c r="CX2775">
        <v>0.78</v>
      </c>
      <c r="CY2775">
        <v>51.39</v>
      </c>
      <c r="CZ2775" t="s">
        <v>478</v>
      </c>
      <c r="DA2775">
        <v>75.569999999999993</v>
      </c>
      <c r="DB2775">
        <v>24.78</v>
      </c>
      <c r="DC2775">
        <v>16.43</v>
      </c>
      <c r="DD2775">
        <v>0.17</v>
      </c>
      <c r="DE2775">
        <v>4781</v>
      </c>
      <c r="DF2775">
        <v>600702</v>
      </c>
      <c r="DG2775" t="s">
        <v>116</v>
      </c>
      <c r="DH2775" t="s">
        <v>116</v>
      </c>
      <c r="DI2775" t="s">
        <v>116</v>
      </c>
    </row>
    <row r="2776" spans="1:113" x14ac:dyDescent="0.4">
      <c r="A2776" t="str">
        <f>"600703"</f>
        <v>600703</v>
      </c>
      <c r="B2776" t="s">
        <v>12437</v>
      </c>
      <c r="C2776">
        <v>-3.79</v>
      </c>
      <c r="D2776">
        <v>18.760000000000002</v>
      </c>
      <c r="E2776">
        <v>-0.74</v>
      </c>
      <c r="F2776">
        <v>18.75</v>
      </c>
      <c r="G2776">
        <v>18.760000000000002</v>
      </c>
      <c r="H2776">
        <v>1086130</v>
      </c>
      <c r="I2776">
        <v>22358</v>
      </c>
      <c r="J2776">
        <v>-0.26</v>
      </c>
      <c r="K2776">
        <v>2.66</v>
      </c>
      <c r="L2776">
        <v>19.61</v>
      </c>
      <c r="M2776">
        <v>19.75</v>
      </c>
      <c r="N2776">
        <v>18.760000000000002</v>
      </c>
      <c r="O2776">
        <v>19.5</v>
      </c>
      <c r="P2776">
        <v>49.79</v>
      </c>
      <c r="Q2776">
        <v>2081720064</v>
      </c>
      <c r="R2776">
        <v>1.0900000000000001</v>
      </c>
      <c r="S2776" t="s">
        <v>3507</v>
      </c>
      <c r="T2776" t="s">
        <v>774</v>
      </c>
      <c r="U2776">
        <v>5.08</v>
      </c>
      <c r="V2776">
        <v>19.170000000000002</v>
      </c>
      <c r="W2776">
        <v>584637</v>
      </c>
      <c r="X2776">
        <v>501493</v>
      </c>
      <c r="Y2776">
        <v>1.17</v>
      </c>
      <c r="Z2776">
        <v>4088</v>
      </c>
      <c r="AA2776">
        <v>10171</v>
      </c>
      <c r="AB2776" t="s">
        <v>116</v>
      </c>
      <c r="AC2776">
        <v>9609000</v>
      </c>
      <c r="AD2776">
        <v>0.02</v>
      </c>
      <c r="AE2776" t="s">
        <v>116</v>
      </c>
      <c r="AF2776" t="s">
        <v>116</v>
      </c>
      <c r="AG2776">
        <v>40.78</v>
      </c>
      <c r="AH2776" t="s">
        <v>12438</v>
      </c>
      <c r="AI2776" t="s">
        <v>12438</v>
      </c>
      <c r="AJ2776">
        <v>-3.72</v>
      </c>
      <c r="AK2776">
        <v>4687</v>
      </c>
      <c r="AL2776">
        <v>232</v>
      </c>
      <c r="AM2776">
        <v>5.9999999999999995E-4</v>
      </c>
      <c r="AN2776">
        <v>-2</v>
      </c>
      <c r="AO2776">
        <v>-4.82</v>
      </c>
      <c r="AP2776">
        <v>12.81</v>
      </c>
      <c r="AQ2776">
        <v>27.79</v>
      </c>
      <c r="AR2776">
        <v>68.86</v>
      </c>
      <c r="AS2776">
        <v>5.03</v>
      </c>
      <c r="AT2776" t="s">
        <v>12439</v>
      </c>
      <c r="AU2776">
        <v>55.08</v>
      </c>
      <c r="AV2776">
        <v>27.03</v>
      </c>
      <c r="AW2776">
        <v>1.88</v>
      </c>
      <c r="BA2776">
        <v>0.56000000000000005</v>
      </c>
      <c r="BB2776">
        <v>1.28</v>
      </c>
      <c r="BC2776">
        <v>-3.79</v>
      </c>
      <c r="BD2776">
        <v>-1.71</v>
      </c>
      <c r="BE2776">
        <v>-4.33</v>
      </c>
      <c r="BF2776">
        <v>-5.01</v>
      </c>
      <c r="BG2776">
        <v>0</v>
      </c>
      <c r="BH2776">
        <v>-2.08</v>
      </c>
      <c r="BI2776">
        <v>20191029</v>
      </c>
      <c r="BJ2776">
        <v>19960528</v>
      </c>
      <c r="BK2776">
        <v>40.78</v>
      </c>
      <c r="BL2776" t="s">
        <v>116</v>
      </c>
      <c r="BM2776" t="s">
        <v>116</v>
      </c>
      <c r="BN2776">
        <v>290.52999999999997</v>
      </c>
      <c r="BO2776">
        <v>216.03</v>
      </c>
      <c r="BP2776">
        <v>0</v>
      </c>
      <c r="BQ2776">
        <v>25.64</v>
      </c>
      <c r="BR2776">
        <v>101</v>
      </c>
      <c r="BS2776">
        <v>87.96</v>
      </c>
      <c r="BT2776">
        <v>30.5</v>
      </c>
      <c r="BU2776">
        <v>39.92</v>
      </c>
      <c r="BV2776">
        <v>32.68</v>
      </c>
      <c r="BW2776">
        <v>25.58</v>
      </c>
      <c r="BX2776">
        <v>70.790000000000006</v>
      </c>
      <c r="BY2776">
        <v>53.32</v>
      </c>
      <c r="BZ2776">
        <v>36.06</v>
      </c>
      <c r="CA2776">
        <v>13.5</v>
      </c>
      <c r="CB2776">
        <v>0.03</v>
      </c>
      <c r="CC2776">
        <v>13.49</v>
      </c>
      <c r="CD2776">
        <v>11.52</v>
      </c>
      <c r="CE2776">
        <v>11.52</v>
      </c>
      <c r="CF2776">
        <v>6.89</v>
      </c>
      <c r="CG2776">
        <v>101.1</v>
      </c>
      <c r="CH2776">
        <v>24.67</v>
      </c>
      <c r="CI2776">
        <v>-21.29</v>
      </c>
      <c r="CJ2776">
        <v>164917</v>
      </c>
      <c r="CK2776">
        <v>13098</v>
      </c>
      <c r="CL2776" t="s">
        <v>12440</v>
      </c>
      <c r="CM2776">
        <v>-55.57</v>
      </c>
      <c r="CN2776">
        <v>-16.600000000000001</v>
      </c>
      <c r="CO2776">
        <v>3.54</v>
      </c>
      <c r="CP2776">
        <v>31.02</v>
      </c>
      <c r="CQ2776">
        <v>14.35</v>
      </c>
      <c r="CR2776">
        <v>1.06</v>
      </c>
      <c r="CS2776" t="s">
        <v>5706</v>
      </c>
      <c r="CT2776">
        <v>5.3</v>
      </c>
      <c r="CU2776">
        <v>0</v>
      </c>
      <c r="CV2776">
        <v>1.74</v>
      </c>
      <c r="CW2776">
        <v>2.48</v>
      </c>
      <c r="CX2776">
        <v>0.6</v>
      </c>
      <c r="CY2776">
        <v>74.36</v>
      </c>
      <c r="CZ2776" t="s">
        <v>4153</v>
      </c>
      <c r="DA2776">
        <v>32.380000000000003</v>
      </c>
      <c r="DB2776">
        <v>25.31</v>
      </c>
      <c r="DC2776">
        <v>21.61</v>
      </c>
      <c r="DD2776">
        <v>1.21</v>
      </c>
      <c r="DE2776">
        <v>11404</v>
      </c>
      <c r="DF2776">
        <v>600703</v>
      </c>
      <c r="DG2776" t="s">
        <v>116</v>
      </c>
      <c r="DH2776" t="s">
        <v>116</v>
      </c>
      <c r="DI2776" t="s">
        <v>116</v>
      </c>
    </row>
    <row r="2777" spans="1:113" x14ac:dyDescent="0.4">
      <c r="A2777" t="str">
        <f>"600704"</f>
        <v>600704</v>
      </c>
      <c r="B2777" t="s">
        <v>12441</v>
      </c>
      <c r="C2777">
        <v>0.39</v>
      </c>
      <c r="D2777">
        <v>5.18</v>
      </c>
      <c r="E2777">
        <v>0.02</v>
      </c>
      <c r="F2777">
        <v>5.17</v>
      </c>
      <c r="G2777">
        <v>5.18</v>
      </c>
      <c r="H2777">
        <v>130462</v>
      </c>
      <c r="I2777">
        <v>3136</v>
      </c>
      <c r="J2777">
        <v>0.19</v>
      </c>
      <c r="K2777">
        <v>0.3</v>
      </c>
      <c r="L2777">
        <v>5.16</v>
      </c>
      <c r="M2777">
        <v>5.21</v>
      </c>
      <c r="N2777">
        <v>5.14</v>
      </c>
      <c r="O2777">
        <v>5.16</v>
      </c>
      <c r="P2777">
        <v>8.2899999999999991</v>
      </c>
      <c r="Q2777">
        <v>67544560</v>
      </c>
      <c r="R2777">
        <v>1.0900000000000001</v>
      </c>
      <c r="S2777" t="s">
        <v>566</v>
      </c>
      <c r="T2777" t="s">
        <v>590</v>
      </c>
      <c r="U2777">
        <v>1.36</v>
      </c>
      <c r="V2777">
        <v>5.18</v>
      </c>
      <c r="W2777">
        <v>58650</v>
      </c>
      <c r="X2777">
        <v>71812</v>
      </c>
      <c r="Y2777">
        <v>0.82</v>
      </c>
      <c r="Z2777">
        <v>1157</v>
      </c>
      <c r="AA2777">
        <v>250</v>
      </c>
      <c r="AB2777" t="s">
        <v>116</v>
      </c>
      <c r="AC2777">
        <v>149600</v>
      </c>
      <c r="AD2777">
        <v>0</v>
      </c>
      <c r="AE2777" t="s">
        <v>116</v>
      </c>
      <c r="AF2777" t="s">
        <v>116</v>
      </c>
      <c r="AG2777">
        <v>43.07</v>
      </c>
      <c r="AH2777" t="s">
        <v>12442</v>
      </c>
      <c r="AI2777" t="s">
        <v>12443</v>
      </c>
      <c r="AJ2777">
        <v>0.46</v>
      </c>
      <c r="AK2777">
        <v>1864</v>
      </c>
      <c r="AL2777">
        <v>70</v>
      </c>
      <c r="AM2777">
        <v>2.0000000000000001E-4</v>
      </c>
      <c r="AN2777">
        <v>2</v>
      </c>
      <c r="AO2777">
        <v>0.39</v>
      </c>
      <c r="AP2777">
        <v>1.97</v>
      </c>
      <c r="AQ2777">
        <v>-6.16</v>
      </c>
      <c r="AR2777">
        <v>19.63</v>
      </c>
      <c r="AS2777">
        <v>0.73</v>
      </c>
      <c r="AT2777" t="s">
        <v>12444</v>
      </c>
      <c r="AU2777">
        <v>8.91</v>
      </c>
      <c r="AV2777">
        <v>10.94</v>
      </c>
      <c r="AW2777">
        <v>1.45</v>
      </c>
      <c r="BA2777">
        <v>0</v>
      </c>
      <c r="BB2777">
        <v>0.97</v>
      </c>
      <c r="BC2777">
        <v>-0.39</v>
      </c>
      <c r="BD2777">
        <v>0.34</v>
      </c>
      <c r="BE2777">
        <v>0.39</v>
      </c>
      <c r="BF2777">
        <v>-0.57999999999999996</v>
      </c>
      <c r="BG2777">
        <v>0.78</v>
      </c>
      <c r="BH2777">
        <v>0.05</v>
      </c>
      <c r="BI2777">
        <v>20191113</v>
      </c>
      <c r="BJ2777">
        <v>19960606</v>
      </c>
      <c r="BK2777">
        <v>50.62</v>
      </c>
      <c r="BL2777" t="s">
        <v>116</v>
      </c>
      <c r="BM2777" t="s">
        <v>116</v>
      </c>
      <c r="BN2777">
        <v>1041.58</v>
      </c>
      <c r="BO2777">
        <v>251.52</v>
      </c>
      <c r="BP2777">
        <v>51.96</v>
      </c>
      <c r="BQ2777">
        <v>70.86</v>
      </c>
      <c r="BR2777">
        <v>733.86</v>
      </c>
      <c r="BS2777">
        <v>69.03</v>
      </c>
      <c r="BT2777">
        <v>15.95</v>
      </c>
      <c r="BU2777">
        <v>663.19</v>
      </c>
      <c r="BV2777">
        <v>233.64</v>
      </c>
      <c r="BW2777">
        <v>85.84</v>
      </c>
      <c r="BX2777">
        <v>39.340000000000003</v>
      </c>
      <c r="BY2777">
        <v>2521.85</v>
      </c>
      <c r="BZ2777">
        <v>2454.19</v>
      </c>
      <c r="CA2777">
        <v>41.19</v>
      </c>
      <c r="CB2777">
        <v>15.08</v>
      </c>
      <c r="CC2777">
        <v>41.29</v>
      </c>
      <c r="CD2777">
        <v>32.64</v>
      </c>
      <c r="CE2777">
        <v>23.73</v>
      </c>
      <c r="CF2777">
        <v>18.559999999999999</v>
      </c>
      <c r="CG2777">
        <v>93.97</v>
      </c>
      <c r="CH2777">
        <v>-16.5</v>
      </c>
      <c r="CI2777">
        <v>-11.16</v>
      </c>
      <c r="CJ2777">
        <v>68739</v>
      </c>
      <c r="CK2777">
        <v>26003</v>
      </c>
      <c r="CL2777" t="s">
        <v>12445</v>
      </c>
      <c r="CM2777">
        <v>29.93</v>
      </c>
      <c r="CN2777">
        <v>18.52</v>
      </c>
      <c r="CO2777">
        <v>1.1599999999999999</v>
      </c>
      <c r="CP2777">
        <v>-15.89</v>
      </c>
      <c r="CQ2777">
        <v>0.1</v>
      </c>
      <c r="CR2777">
        <v>4.1100000000000003</v>
      </c>
      <c r="CS2777" t="s">
        <v>1677</v>
      </c>
      <c r="CT2777">
        <v>4.46</v>
      </c>
      <c r="CU2777">
        <v>4.46</v>
      </c>
      <c r="CV2777">
        <v>0.78</v>
      </c>
      <c r="CW2777">
        <v>1.86</v>
      </c>
      <c r="CX2777">
        <v>-0.33</v>
      </c>
      <c r="CY2777">
        <v>24.15</v>
      </c>
      <c r="CZ2777" t="s">
        <v>2777</v>
      </c>
      <c r="DA2777">
        <v>2.68</v>
      </c>
      <c r="DB2777">
        <v>1.63</v>
      </c>
      <c r="DC2777">
        <v>0.94</v>
      </c>
      <c r="DD2777">
        <v>1.68</v>
      </c>
      <c r="DE2777">
        <v>20142</v>
      </c>
      <c r="DF2777">
        <v>600704</v>
      </c>
      <c r="DG2777" t="s">
        <v>116</v>
      </c>
      <c r="DH2777" t="s">
        <v>116</v>
      </c>
      <c r="DI2777" t="s">
        <v>116</v>
      </c>
    </row>
    <row r="2778" spans="1:113" x14ac:dyDescent="0.4">
      <c r="A2778" t="str">
        <f>"600705"</f>
        <v>600705</v>
      </c>
      <c r="B2778" t="s">
        <v>12446</v>
      </c>
      <c r="C2778">
        <v>-0.63</v>
      </c>
      <c r="D2778">
        <v>4.71</v>
      </c>
      <c r="E2778">
        <v>-0.03</v>
      </c>
      <c r="F2778">
        <v>4.71</v>
      </c>
      <c r="G2778">
        <v>4.72</v>
      </c>
      <c r="H2778">
        <v>523805</v>
      </c>
      <c r="I2778">
        <v>2738</v>
      </c>
      <c r="J2778">
        <v>0</v>
      </c>
      <c r="K2778">
        <v>0.57999999999999996</v>
      </c>
      <c r="L2778">
        <v>4.7300000000000004</v>
      </c>
      <c r="M2778">
        <v>4.87</v>
      </c>
      <c r="N2778">
        <v>4.7</v>
      </c>
      <c r="O2778">
        <v>4.74</v>
      </c>
      <c r="P2778">
        <v>15.08</v>
      </c>
      <c r="Q2778">
        <v>251080576</v>
      </c>
      <c r="R2778">
        <v>1.53</v>
      </c>
      <c r="S2778" t="s">
        <v>732</v>
      </c>
      <c r="T2778" t="s">
        <v>1287</v>
      </c>
      <c r="U2778">
        <v>3.59</v>
      </c>
      <c r="V2778">
        <v>4.79</v>
      </c>
      <c r="W2778">
        <v>281968</v>
      </c>
      <c r="X2778">
        <v>241837</v>
      </c>
      <c r="Y2778">
        <v>1.17</v>
      </c>
      <c r="Z2778">
        <v>2370</v>
      </c>
      <c r="AA2778">
        <v>2716</v>
      </c>
      <c r="AB2778" t="s">
        <v>116</v>
      </c>
      <c r="AC2778">
        <v>316400</v>
      </c>
      <c r="AD2778">
        <v>0</v>
      </c>
      <c r="AE2778" t="s">
        <v>116</v>
      </c>
      <c r="AF2778" t="s">
        <v>116</v>
      </c>
      <c r="AG2778">
        <v>89.76</v>
      </c>
      <c r="AH2778" t="s">
        <v>12447</v>
      </c>
      <c r="AI2778" t="s">
        <v>12447</v>
      </c>
      <c r="AJ2778">
        <v>-0.56000000000000005</v>
      </c>
      <c r="AK2778">
        <v>3133</v>
      </c>
      <c r="AL2778">
        <v>167</v>
      </c>
      <c r="AM2778">
        <v>2.0000000000000001E-4</v>
      </c>
      <c r="AN2778">
        <v>-1</v>
      </c>
      <c r="AO2778">
        <v>0.64</v>
      </c>
      <c r="AP2778">
        <v>4.57</v>
      </c>
      <c r="AQ2778">
        <v>1.42</v>
      </c>
      <c r="AR2778">
        <v>12.04</v>
      </c>
      <c r="AS2778">
        <v>1.1000000000000001</v>
      </c>
      <c r="AT2778" t="s">
        <v>12448</v>
      </c>
      <c r="AU2778">
        <v>13.78</v>
      </c>
      <c r="AV2778">
        <v>13.35</v>
      </c>
      <c r="AW2778">
        <v>1.53</v>
      </c>
      <c r="BA2778">
        <v>-0.21</v>
      </c>
      <c r="BB2778">
        <v>2.74</v>
      </c>
      <c r="BC2778">
        <v>-0.84</v>
      </c>
      <c r="BD2778">
        <v>1.1299999999999999</v>
      </c>
      <c r="BE2778">
        <v>-0.42</v>
      </c>
      <c r="BF2778">
        <v>-3.29</v>
      </c>
      <c r="BG2778">
        <v>0.21</v>
      </c>
      <c r="BH2778">
        <v>-1.76</v>
      </c>
      <c r="BI2778">
        <v>20191031</v>
      </c>
      <c r="BJ2778">
        <v>19960516</v>
      </c>
      <c r="BK2778">
        <v>89.76</v>
      </c>
      <c r="BL2778" t="s">
        <v>116</v>
      </c>
      <c r="BM2778" t="s">
        <v>116</v>
      </c>
      <c r="BN2778">
        <v>3112.43</v>
      </c>
      <c r="BO2778">
        <v>287.83</v>
      </c>
      <c r="BP2778">
        <v>153.4</v>
      </c>
      <c r="BQ2778">
        <v>85.82</v>
      </c>
      <c r="BR2778">
        <v>1761.67</v>
      </c>
      <c r="BS2778">
        <v>129.91999999999999</v>
      </c>
      <c r="BT2778">
        <v>0.51</v>
      </c>
      <c r="BU2778">
        <v>1686.15</v>
      </c>
      <c r="BV2778">
        <v>0.11</v>
      </c>
      <c r="BW2778">
        <v>5.59</v>
      </c>
      <c r="BX2778">
        <v>62.46</v>
      </c>
      <c r="BY2778">
        <v>73.88</v>
      </c>
      <c r="BZ2778">
        <v>40.03</v>
      </c>
      <c r="CA2778">
        <v>47.01</v>
      </c>
      <c r="CB2778">
        <v>12.44</v>
      </c>
      <c r="CC2778">
        <v>47.76</v>
      </c>
      <c r="CD2778">
        <v>34.61</v>
      </c>
      <c r="CE2778">
        <v>21.02</v>
      </c>
      <c r="CF2778">
        <v>19.600000000000001</v>
      </c>
      <c r="CG2778">
        <v>106.01</v>
      </c>
      <c r="CH2778">
        <v>-294.49</v>
      </c>
      <c r="CI2778">
        <v>-311.22000000000003</v>
      </c>
      <c r="CJ2778">
        <v>177317</v>
      </c>
      <c r="CK2778">
        <v>26956</v>
      </c>
      <c r="CL2778" t="s">
        <v>12449</v>
      </c>
      <c r="CM2778">
        <v>-4.46</v>
      </c>
      <c r="CN2778">
        <v>42.94</v>
      </c>
      <c r="CO2778">
        <v>1.47</v>
      </c>
      <c r="CP2778">
        <v>-1.44</v>
      </c>
      <c r="CQ2778">
        <v>5.72</v>
      </c>
      <c r="CR2778">
        <v>0.75</v>
      </c>
      <c r="CS2778" t="s">
        <v>5764</v>
      </c>
      <c r="CT2778">
        <v>3.21</v>
      </c>
      <c r="CU2778">
        <v>0</v>
      </c>
      <c r="CV2778">
        <v>0.7</v>
      </c>
      <c r="CW2778">
        <v>1.18</v>
      </c>
      <c r="CX2778">
        <v>-3.28</v>
      </c>
      <c r="CY2778">
        <v>9.25</v>
      </c>
      <c r="CZ2778" t="s">
        <v>3359</v>
      </c>
      <c r="DA2778">
        <v>45.82</v>
      </c>
      <c r="DB2778">
        <v>63.63</v>
      </c>
      <c r="DC2778">
        <v>28.46</v>
      </c>
      <c r="DD2778">
        <v>0.04</v>
      </c>
      <c r="DE2778">
        <v>4617</v>
      </c>
      <c r="DF2778">
        <v>600705</v>
      </c>
      <c r="DG2778" t="s">
        <v>116</v>
      </c>
      <c r="DH2778" t="s">
        <v>116</v>
      </c>
      <c r="DI2778" t="s">
        <v>116</v>
      </c>
    </row>
    <row r="2779" spans="1:113" x14ac:dyDescent="0.4">
      <c r="A2779" t="str">
        <f>"600706"</f>
        <v>600706</v>
      </c>
      <c r="B2779" t="s">
        <v>12450</v>
      </c>
      <c r="C2779">
        <v>0.11</v>
      </c>
      <c r="D2779">
        <v>8.7100000000000009</v>
      </c>
      <c r="E2779">
        <v>0.01</v>
      </c>
      <c r="F2779">
        <v>8.69</v>
      </c>
      <c r="G2779">
        <v>8.7100000000000009</v>
      </c>
      <c r="H2779">
        <v>16767</v>
      </c>
      <c r="I2779">
        <v>287</v>
      </c>
      <c r="J2779">
        <v>0.11</v>
      </c>
      <c r="K2779">
        <v>0.79</v>
      </c>
      <c r="L2779">
        <v>8.6999999999999993</v>
      </c>
      <c r="M2779">
        <v>8.77</v>
      </c>
      <c r="N2779">
        <v>8.6300000000000008</v>
      </c>
      <c r="O2779">
        <v>8.6999999999999993</v>
      </c>
      <c r="P2779">
        <v>13.72</v>
      </c>
      <c r="Q2779">
        <v>14609863</v>
      </c>
      <c r="R2779">
        <v>1.29</v>
      </c>
      <c r="S2779" t="s">
        <v>1412</v>
      </c>
      <c r="T2779" t="s">
        <v>913</v>
      </c>
      <c r="U2779">
        <v>1.61</v>
      </c>
      <c r="V2779">
        <v>8.7100000000000009</v>
      </c>
      <c r="W2779">
        <v>9631</v>
      </c>
      <c r="X2779">
        <v>7136</v>
      </c>
      <c r="Y2779">
        <v>1.35</v>
      </c>
      <c r="Z2779">
        <v>97</v>
      </c>
      <c r="AA2779">
        <v>142</v>
      </c>
      <c r="AB2779" t="s">
        <v>116</v>
      </c>
      <c r="AC2779">
        <v>0</v>
      </c>
      <c r="AD2779">
        <v>0</v>
      </c>
      <c r="AE2779" t="s">
        <v>116</v>
      </c>
      <c r="AF2779" t="s">
        <v>116</v>
      </c>
      <c r="AG2779">
        <v>2.13</v>
      </c>
      <c r="AH2779" t="s">
        <v>12451</v>
      </c>
      <c r="AI2779" t="s">
        <v>1806</v>
      </c>
      <c r="AJ2779">
        <v>0.19</v>
      </c>
      <c r="AK2779">
        <v>638</v>
      </c>
      <c r="AL2779">
        <v>26</v>
      </c>
      <c r="AM2779">
        <v>1.1999999999999999E-3</v>
      </c>
      <c r="AN2779">
        <v>4</v>
      </c>
      <c r="AO2779">
        <v>1.87</v>
      </c>
      <c r="AP2779">
        <v>6.22</v>
      </c>
      <c r="AQ2779">
        <v>-2.79</v>
      </c>
      <c r="AR2779">
        <v>3.23</v>
      </c>
      <c r="AS2779">
        <v>1.69</v>
      </c>
      <c r="AT2779" t="s">
        <v>7439</v>
      </c>
      <c r="AU2779">
        <v>28.77</v>
      </c>
      <c r="AV2779">
        <v>24.66</v>
      </c>
      <c r="AW2779">
        <v>1.03</v>
      </c>
      <c r="BA2779">
        <v>0</v>
      </c>
      <c r="BB2779">
        <v>0.8</v>
      </c>
      <c r="BC2779">
        <v>-0.8</v>
      </c>
      <c r="BD2779">
        <v>0.15</v>
      </c>
      <c r="BE2779">
        <v>0.11</v>
      </c>
      <c r="BF2779">
        <v>-0.68</v>
      </c>
      <c r="BG2779">
        <v>0.93</v>
      </c>
      <c r="BH2779">
        <v>-0.04</v>
      </c>
      <c r="BI2779">
        <v>20191026</v>
      </c>
      <c r="BJ2779">
        <v>19960516</v>
      </c>
      <c r="BK2779">
        <v>2.15</v>
      </c>
      <c r="BL2779" t="s">
        <v>116</v>
      </c>
      <c r="BM2779" t="s">
        <v>116</v>
      </c>
      <c r="BN2779">
        <v>25.4</v>
      </c>
      <c r="BO2779">
        <v>11.19</v>
      </c>
      <c r="BP2779">
        <v>0.01</v>
      </c>
      <c r="BQ2779">
        <v>55.9</v>
      </c>
      <c r="BR2779">
        <v>9.91</v>
      </c>
      <c r="BS2779">
        <v>7.41</v>
      </c>
      <c r="BT2779">
        <v>1.36</v>
      </c>
      <c r="BU2779">
        <v>9.41</v>
      </c>
      <c r="BV2779">
        <v>0.47</v>
      </c>
      <c r="BW2779">
        <v>5.49</v>
      </c>
      <c r="BX2779">
        <v>4.13</v>
      </c>
      <c r="BY2779">
        <v>9.89</v>
      </c>
      <c r="BZ2779">
        <v>6.8</v>
      </c>
      <c r="CA2779">
        <v>1.1599999999999999</v>
      </c>
      <c r="CB2779">
        <v>0.03</v>
      </c>
      <c r="CC2779">
        <v>1.2</v>
      </c>
      <c r="CD2779">
        <v>1.03</v>
      </c>
      <c r="CE2779">
        <v>1.03</v>
      </c>
      <c r="CF2779">
        <v>0.94</v>
      </c>
      <c r="CG2779">
        <v>4.8899999999999997</v>
      </c>
      <c r="CH2779">
        <v>0.5</v>
      </c>
      <c r="CI2779">
        <v>-0.31</v>
      </c>
      <c r="CJ2779">
        <v>15504</v>
      </c>
      <c r="CK2779">
        <v>6384</v>
      </c>
      <c r="CL2779" t="s">
        <v>742</v>
      </c>
      <c r="CM2779">
        <v>-9.59</v>
      </c>
      <c r="CN2779">
        <v>0.16</v>
      </c>
      <c r="CO2779">
        <v>1.68</v>
      </c>
      <c r="CP2779">
        <v>37.619999999999997</v>
      </c>
      <c r="CQ2779">
        <v>1.9</v>
      </c>
      <c r="CR2779">
        <v>0.43</v>
      </c>
      <c r="CS2779" t="s">
        <v>7321</v>
      </c>
      <c r="CT2779">
        <v>5.19</v>
      </c>
      <c r="CU2779">
        <v>0</v>
      </c>
      <c r="CV2779">
        <v>1.92</v>
      </c>
      <c r="CW2779">
        <v>2.27</v>
      </c>
      <c r="CX2779">
        <v>0.23</v>
      </c>
      <c r="CY2779">
        <v>44.06</v>
      </c>
      <c r="CZ2779" t="s">
        <v>7729</v>
      </c>
      <c r="DA2779">
        <v>31.2</v>
      </c>
      <c r="DB2779">
        <v>11.69</v>
      </c>
      <c r="DC2779">
        <v>10.37</v>
      </c>
      <c r="DD2779">
        <v>0</v>
      </c>
      <c r="DE2779">
        <v>4355</v>
      </c>
      <c r="DF2779">
        <v>600706</v>
      </c>
      <c r="DG2779" t="s">
        <v>116</v>
      </c>
      <c r="DH2779" t="s">
        <v>116</v>
      </c>
      <c r="DI2779" t="s">
        <v>116</v>
      </c>
    </row>
    <row r="2780" spans="1:113" x14ac:dyDescent="0.4">
      <c r="A2780" t="str">
        <f>"600707"</f>
        <v>600707</v>
      </c>
      <c r="B2780" t="s">
        <v>12452</v>
      </c>
      <c r="C2780">
        <v>-4.07</v>
      </c>
      <c r="D2780">
        <v>4.24</v>
      </c>
      <c r="E2780">
        <v>-0.18</v>
      </c>
      <c r="F2780">
        <v>4.2300000000000004</v>
      </c>
      <c r="G2780">
        <v>4.24</v>
      </c>
      <c r="H2780">
        <v>450766</v>
      </c>
      <c r="I2780">
        <v>6533</v>
      </c>
      <c r="J2780">
        <v>0.24</v>
      </c>
      <c r="K2780">
        <v>3.5</v>
      </c>
      <c r="L2780">
        <v>4.4000000000000004</v>
      </c>
      <c r="M2780">
        <v>4.42</v>
      </c>
      <c r="N2780">
        <v>4.2300000000000004</v>
      </c>
      <c r="O2780">
        <v>4.42</v>
      </c>
      <c r="P2780" t="s">
        <v>116</v>
      </c>
      <c r="Q2780">
        <v>194537472</v>
      </c>
      <c r="R2780">
        <v>0.69</v>
      </c>
      <c r="S2780" t="s">
        <v>233</v>
      </c>
      <c r="T2780" t="s">
        <v>913</v>
      </c>
      <c r="U2780">
        <v>4.3</v>
      </c>
      <c r="V2780">
        <v>4.32</v>
      </c>
      <c r="W2780">
        <v>281879</v>
      </c>
      <c r="X2780">
        <v>168887</v>
      </c>
      <c r="Y2780">
        <v>1.67</v>
      </c>
      <c r="Z2780">
        <v>2048</v>
      </c>
      <c r="AA2780">
        <v>440</v>
      </c>
      <c r="AB2780" t="s">
        <v>116</v>
      </c>
      <c r="AC2780">
        <v>1501300</v>
      </c>
      <c r="AD2780">
        <v>0.05</v>
      </c>
      <c r="AE2780" t="s">
        <v>116</v>
      </c>
      <c r="AF2780" t="s">
        <v>116</v>
      </c>
      <c r="AG2780">
        <v>12.88</v>
      </c>
      <c r="AH2780" t="s">
        <v>12453</v>
      </c>
      <c r="AI2780" t="s">
        <v>12454</v>
      </c>
      <c r="AJ2780">
        <v>-4</v>
      </c>
      <c r="AK2780">
        <v>3229</v>
      </c>
      <c r="AL2780">
        <v>140</v>
      </c>
      <c r="AM2780">
        <v>1.1000000000000001E-3</v>
      </c>
      <c r="AN2780">
        <v>-1</v>
      </c>
      <c r="AO2780">
        <v>-2.31</v>
      </c>
      <c r="AP2780">
        <v>12.47</v>
      </c>
      <c r="AQ2780">
        <v>-8.82</v>
      </c>
      <c r="AR2780">
        <v>2.66</v>
      </c>
      <c r="AS2780">
        <v>7.04</v>
      </c>
      <c r="AT2780" t="s">
        <v>6636</v>
      </c>
      <c r="AU2780" t="s">
        <v>116</v>
      </c>
      <c r="AV2780">
        <v>249.33</v>
      </c>
      <c r="AW2780">
        <v>1.73</v>
      </c>
      <c r="BA2780">
        <v>-0.45</v>
      </c>
      <c r="BB2780">
        <v>0</v>
      </c>
      <c r="BC2780">
        <v>-4.3</v>
      </c>
      <c r="BD2780">
        <v>-2.36</v>
      </c>
      <c r="BE2780">
        <v>-3.64</v>
      </c>
      <c r="BF2780">
        <v>-4.07</v>
      </c>
      <c r="BG2780">
        <v>0.24</v>
      </c>
      <c r="BH2780">
        <v>-1.71</v>
      </c>
      <c r="BI2780">
        <v>20191030</v>
      </c>
      <c r="BJ2780">
        <v>19960520</v>
      </c>
      <c r="BK2780">
        <v>35.880000000000003</v>
      </c>
      <c r="BL2780" t="s">
        <v>116</v>
      </c>
      <c r="BM2780" t="s">
        <v>116</v>
      </c>
      <c r="BN2780">
        <v>410.05</v>
      </c>
      <c r="BO2780">
        <v>197.2</v>
      </c>
      <c r="BP2780">
        <v>1.76</v>
      </c>
      <c r="BQ2780">
        <v>51.48</v>
      </c>
      <c r="BR2780">
        <v>88.02</v>
      </c>
      <c r="BS2780">
        <v>221.61</v>
      </c>
      <c r="BT2780">
        <v>22.08</v>
      </c>
      <c r="BU2780">
        <v>80.62</v>
      </c>
      <c r="BV2780">
        <v>8.33</v>
      </c>
      <c r="BW2780">
        <v>15.56</v>
      </c>
      <c r="BX2780">
        <v>205</v>
      </c>
      <c r="BY2780">
        <v>40.86</v>
      </c>
      <c r="BZ2780">
        <v>47.51</v>
      </c>
      <c r="CA2780">
        <v>-7.12</v>
      </c>
      <c r="CB2780">
        <v>0.45</v>
      </c>
      <c r="CC2780">
        <v>-6.99</v>
      </c>
      <c r="CD2780">
        <v>-6.99</v>
      </c>
      <c r="CE2780">
        <v>-7</v>
      </c>
      <c r="CF2780">
        <v>-14.96</v>
      </c>
      <c r="CG2780">
        <v>-45.99</v>
      </c>
      <c r="CH2780">
        <v>-1.88</v>
      </c>
      <c r="CI2780">
        <v>-26.18</v>
      </c>
      <c r="CJ2780">
        <v>56390</v>
      </c>
      <c r="CK2780">
        <v>11347</v>
      </c>
      <c r="CL2780" t="s">
        <v>2532</v>
      </c>
      <c r="CM2780">
        <v>-162.43</v>
      </c>
      <c r="CN2780">
        <v>404.73</v>
      </c>
      <c r="CO2780">
        <v>0.77</v>
      </c>
      <c r="CP2780">
        <v>-80.95</v>
      </c>
      <c r="CQ2780">
        <v>3.72</v>
      </c>
      <c r="CR2780">
        <v>0</v>
      </c>
      <c r="CS2780" t="s">
        <v>12455</v>
      </c>
      <c r="CT2780">
        <v>5.5</v>
      </c>
      <c r="CU2780">
        <v>0</v>
      </c>
      <c r="CV2780">
        <v>5.71</v>
      </c>
      <c r="CW2780">
        <v>-1.28</v>
      </c>
      <c r="CX2780">
        <v>-0.05</v>
      </c>
      <c r="CY2780">
        <v>48.09</v>
      </c>
      <c r="CZ2780" t="s">
        <v>12456</v>
      </c>
      <c r="DA2780">
        <v>-16.260000000000002</v>
      </c>
      <c r="DB2780">
        <v>-17.420000000000002</v>
      </c>
      <c r="DC2780">
        <v>-17.14</v>
      </c>
      <c r="DD2780">
        <v>1.93</v>
      </c>
      <c r="DE2780">
        <v>3497</v>
      </c>
      <c r="DF2780">
        <v>600707</v>
      </c>
      <c r="DG2780" t="s">
        <v>116</v>
      </c>
      <c r="DH2780" t="s">
        <v>116</v>
      </c>
      <c r="DI2780" t="s">
        <v>116</v>
      </c>
    </row>
    <row r="2781" spans="1:113" x14ac:dyDescent="0.4">
      <c r="A2781" t="str">
        <f>"600708"</f>
        <v>600708</v>
      </c>
      <c r="B2781" t="s">
        <v>12457</v>
      </c>
      <c r="C2781">
        <v>0.87</v>
      </c>
      <c r="D2781">
        <v>3.48</v>
      </c>
      <c r="E2781">
        <v>0.03</v>
      </c>
      <c r="F2781">
        <v>3.47</v>
      </c>
      <c r="G2781">
        <v>3.48</v>
      </c>
      <c r="H2781">
        <v>162137</v>
      </c>
      <c r="I2781">
        <v>1621</v>
      </c>
      <c r="J2781">
        <v>-0.28000000000000003</v>
      </c>
      <c r="K2781">
        <v>0.73</v>
      </c>
      <c r="L2781">
        <v>3.46</v>
      </c>
      <c r="M2781">
        <v>3.55</v>
      </c>
      <c r="N2781">
        <v>3.44</v>
      </c>
      <c r="O2781">
        <v>3.45</v>
      </c>
      <c r="P2781">
        <v>10.15</v>
      </c>
      <c r="Q2781">
        <v>56674560</v>
      </c>
      <c r="R2781">
        <v>1.66</v>
      </c>
      <c r="S2781" t="s">
        <v>124</v>
      </c>
      <c r="T2781" t="s">
        <v>1653</v>
      </c>
      <c r="U2781">
        <v>3.19</v>
      </c>
      <c r="V2781">
        <v>3.5</v>
      </c>
      <c r="W2781">
        <v>72529</v>
      </c>
      <c r="X2781">
        <v>89608</v>
      </c>
      <c r="Y2781">
        <v>0.81</v>
      </c>
      <c r="Z2781">
        <v>3158</v>
      </c>
      <c r="AA2781">
        <v>12</v>
      </c>
      <c r="AB2781" t="s">
        <v>116</v>
      </c>
      <c r="AC2781">
        <v>183000</v>
      </c>
      <c r="AD2781">
        <v>0</v>
      </c>
      <c r="AE2781" t="s">
        <v>116</v>
      </c>
      <c r="AF2781" t="s">
        <v>116</v>
      </c>
      <c r="AG2781">
        <v>22.25</v>
      </c>
      <c r="AH2781" t="s">
        <v>12458</v>
      </c>
      <c r="AI2781" t="s">
        <v>7070</v>
      </c>
      <c r="AJ2781">
        <v>0.95</v>
      </c>
      <c r="AK2781">
        <v>1441</v>
      </c>
      <c r="AL2781">
        <v>113</v>
      </c>
      <c r="AM2781">
        <v>5.0000000000000001E-4</v>
      </c>
      <c r="AN2781">
        <v>2</v>
      </c>
      <c r="AO2781">
        <v>2.36</v>
      </c>
      <c r="AP2781">
        <v>7.41</v>
      </c>
      <c r="AQ2781">
        <v>-3.06</v>
      </c>
      <c r="AR2781">
        <v>5.78</v>
      </c>
      <c r="AS2781">
        <v>1.5</v>
      </c>
      <c r="AT2781" t="s">
        <v>2730</v>
      </c>
      <c r="AU2781">
        <v>7.92</v>
      </c>
      <c r="AV2781">
        <v>5.47</v>
      </c>
      <c r="AW2781">
        <v>1.76</v>
      </c>
      <c r="BA2781">
        <v>0.28999999999999998</v>
      </c>
      <c r="BB2781">
        <v>2.9</v>
      </c>
      <c r="BC2781">
        <v>-0.28999999999999998</v>
      </c>
      <c r="BD2781">
        <v>1.32</v>
      </c>
      <c r="BE2781">
        <v>0.57999999999999996</v>
      </c>
      <c r="BF2781">
        <v>-1.97</v>
      </c>
      <c r="BG2781">
        <v>1.1599999999999999</v>
      </c>
      <c r="BH2781">
        <v>-0.45</v>
      </c>
      <c r="BI2781">
        <v>20191029</v>
      </c>
      <c r="BJ2781">
        <v>19960606</v>
      </c>
      <c r="BK2781">
        <v>22.29</v>
      </c>
      <c r="BL2781" t="s">
        <v>116</v>
      </c>
      <c r="BM2781" t="s">
        <v>116</v>
      </c>
      <c r="BN2781">
        <v>828.76</v>
      </c>
      <c r="BO2781">
        <v>137.85</v>
      </c>
      <c r="BP2781">
        <v>8.67</v>
      </c>
      <c r="BQ2781">
        <v>82.32</v>
      </c>
      <c r="BR2781">
        <v>811.58</v>
      </c>
      <c r="BS2781">
        <v>6.11</v>
      </c>
      <c r="BT2781">
        <v>2.2200000000000002</v>
      </c>
      <c r="BU2781">
        <v>394.74</v>
      </c>
      <c r="BV2781">
        <v>581.16999999999996</v>
      </c>
      <c r="BW2781">
        <v>13.82</v>
      </c>
      <c r="BX2781">
        <v>13.23</v>
      </c>
      <c r="BY2781">
        <v>85.23</v>
      </c>
      <c r="BZ2781">
        <v>62.06</v>
      </c>
      <c r="CA2781">
        <v>11.42</v>
      </c>
      <c r="CB2781">
        <v>-0.09</v>
      </c>
      <c r="CC2781">
        <v>11.7</v>
      </c>
      <c r="CD2781">
        <v>7.32</v>
      </c>
      <c r="CE2781">
        <v>5.73</v>
      </c>
      <c r="CF2781">
        <v>5.5</v>
      </c>
      <c r="CG2781">
        <v>73.790000000000006</v>
      </c>
      <c r="CH2781">
        <v>-55.81</v>
      </c>
      <c r="CI2781">
        <v>-21.56</v>
      </c>
      <c r="CJ2781">
        <v>49370</v>
      </c>
      <c r="CK2781">
        <v>21917</v>
      </c>
      <c r="CL2781" t="s">
        <v>10203</v>
      </c>
      <c r="CM2781">
        <v>-43.34</v>
      </c>
      <c r="CN2781">
        <v>-9.33</v>
      </c>
      <c r="CO2781">
        <v>0.68</v>
      </c>
      <c r="CP2781">
        <v>-1.39</v>
      </c>
      <c r="CQ2781">
        <v>0.91</v>
      </c>
      <c r="CR2781">
        <v>5.75</v>
      </c>
      <c r="CS2781" t="s">
        <v>1244</v>
      </c>
      <c r="CT2781">
        <v>5.14</v>
      </c>
      <c r="CU2781">
        <v>5.14</v>
      </c>
      <c r="CV2781">
        <v>0.59</v>
      </c>
      <c r="CW2781">
        <v>3.31</v>
      </c>
      <c r="CX2781">
        <v>-2.5</v>
      </c>
      <c r="CY2781">
        <v>16.63</v>
      </c>
      <c r="CZ2781" t="s">
        <v>5787</v>
      </c>
      <c r="DA2781">
        <v>27.18</v>
      </c>
      <c r="DB2781">
        <v>13.4</v>
      </c>
      <c r="DC2781">
        <v>6.73</v>
      </c>
      <c r="DD2781">
        <v>0</v>
      </c>
      <c r="DE2781">
        <v>4561</v>
      </c>
      <c r="DF2781">
        <v>600708</v>
      </c>
      <c r="DG2781" t="s">
        <v>116</v>
      </c>
      <c r="DH2781" t="s">
        <v>116</v>
      </c>
      <c r="DI2781" t="s">
        <v>116</v>
      </c>
    </row>
    <row r="2782" spans="1:113" x14ac:dyDescent="0.4">
      <c r="A2782" t="str">
        <f>"600710"</f>
        <v>600710</v>
      </c>
      <c r="B2782" t="s">
        <v>12459</v>
      </c>
      <c r="C2782">
        <v>-0.18</v>
      </c>
      <c r="D2782">
        <v>5.45</v>
      </c>
      <c r="E2782">
        <v>-0.01</v>
      </c>
      <c r="F2782">
        <v>5.45</v>
      </c>
      <c r="G2782">
        <v>5.46</v>
      </c>
      <c r="H2782">
        <v>118173</v>
      </c>
      <c r="I2782">
        <v>1362</v>
      </c>
      <c r="J2782">
        <v>0</v>
      </c>
      <c r="K2782">
        <v>1.18</v>
      </c>
      <c r="L2782">
        <v>5.45</v>
      </c>
      <c r="M2782">
        <v>5.56</v>
      </c>
      <c r="N2782">
        <v>5.44</v>
      </c>
      <c r="O2782">
        <v>5.46</v>
      </c>
      <c r="P2782">
        <v>13.03</v>
      </c>
      <c r="Q2782">
        <v>65094616</v>
      </c>
      <c r="R2782">
        <v>1.48</v>
      </c>
      <c r="S2782" t="s">
        <v>598</v>
      </c>
      <c r="T2782" t="s">
        <v>323</v>
      </c>
      <c r="U2782">
        <v>2.2000000000000002</v>
      </c>
      <c r="V2782">
        <v>5.51</v>
      </c>
      <c r="W2782">
        <v>51496</v>
      </c>
      <c r="X2782">
        <v>66677</v>
      </c>
      <c r="Y2782">
        <v>0.77</v>
      </c>
      <c r="Z2782">
        <v>1423</v>
      </c>
      <c r="AA2782">
        <v>866</v>
      </c>
      <c r="AB2782" t="s">
        <v>116</v>
      </c>
      <c r="AC2782">
        <v>285000</v>
      </c>
      <c r="AD2782">
        <v>0.01</v>
      </c>
      <c r="AE2782" t="s">
        <v>116</v>
      </c>
      <c r="AF2782" t="s">
        <v>116</v>
      </c>
      <c r="AG2782">
        <v>10.029999999999999</v>
      </c>
      <c r="AH2782" t="s">
        <v>12460</v>
      </c>
      <c r="AI2782" t="s">
        <v>12461</v>
      </c>
      <c r="AJ2782">
        <v>-0.11</v>
      </c>
      <c r="AK2782">
        <v>1767</v>
      </c>
      <c r="AL2782">
        <v>67</v>
      </c>
      <c r="AM2782">
        <v>6.9999999999999999E-4</v>
      </c>
      <c r="AN2782">
        <v>-1</v>
      </c>
      <c r="AO2782">
        <v>-0.18</v>
      </c>
      <c r="AP2782">
        <v>3.22</v>
      </c>
      <c r="AQ2782">
        <v>1.49</v>
      </c>
      <c r="AR2782">
        <v>52.02</v>
      </c>
      <c r="AS2782">
        <v>2.16</v>
      </c>
      <c r="AT2782" t="s">
        <v>12462</v>
      </c>
      <c r="AU2782">
        <v>13.77</v>
      </c>
      <c r="AV2782">
        <v>15.64</v>
      </c>
      <c r="AW2782">
        <v>1.36</v>
      </c>
      <c r="BA2782">
        <v>-0.18</v>
      </c>
      <c r="BB2782">
        <v>1.83</v>
      </c>
      <c r="BC2782">
        <v>-0.37</v>
      </c>
      <c r="BD2782">
        <v>0.89</v>
      </c>
      <c r="BE2782">
        <v>0</v>
      </c>
      <c r="BF2782">
        <v>-1.98</v>
      </c>
      <c r="BG2782">
        <v>0.18</v>
      </c>
      <c r="BH2782">
        <v>-1.07</v>
      </c>
      <c r="BI2782">
        <v>20191114</v>
      </c>
      <c r="BJ2782">
        <v>19960701</v>
      </c>
      <c r="BK2782">
        <v>13.07</v>
      </c>
      <c r="BL2782" t="s">
        <v>116</v>
      </c>
      <c r="BM2782" t="s">
        <v>116</v>
      </c>
      <c r="BN2782">
        <v>434.2</v>
      </c>
      <c r="BO2782">
        <v>46.71</v>
      </c>
      <c r="BP2782">
        <v>41.53</v>
      </c>
      <c r="BQ2782">
        <v>79.680000000000007</v>
      </c>
      <c r="BR2782">
        <v>317.56</v>
      </c>
      <c r="BS2782">
        <v>85.34</v>
      </c>
      <c r="BT2782">
        <v>3.89</v>
      </c>
      <c r="BU2782">
        <v>312.20999999999998</v>
      </c>
      <c r="BV2782">
        <v>43.29</v>
      </c>
      <c r="BW2782">
        <v>86.27</v>
      </c>
      <c r="BX2782">
        <v>12.65</v>
      </c>
      <c r="BY2782">
        <v>635.51</v>
      </c>
      <c r="BZ2782">
        <v>598.12</v>
      </c>
      <c r="CA2782">
        <v>14.22</v>
      </c>
      <c r="CB2782">
        <v>0.57999999999999996</v>
      </c>
      <c r="CC2782">
        <v>14.56</v>
      </c>
      <c r="CD2782">
        <v>11.48</v>
      </c>
      <c r="CE2782">
        <v>4.0999999999999996</v>
      </c>
      <c r="CF2782">
        <v>3.8</v>
      </c>
      <c r="CG2782">
        <v>18.77</v>
      </c>
      <c r="CH2782">
        <v>19.43</v>
      </c>
      <c r="CI2782">
        <v>-10.119999999999999</v>
      </c>
      <c r="CJ2782">
        <v>49246</v>
      </c>
      <c r="CK2782">
        <v>11088</v>
      </c>
      <c r="CL2782" t="s">
        <v>1367</v>
      </c>
      <c r="CM2782">
        <v>17.77</v>
      </c>
      <c r="CN2782">
        <v>7.46</v>
      </c>
      <c r="CO2782">
        <v>1.52</v>
      </c>
      <c r="CP2782">
        <v>3.66</v>
      </c>
      <c r="CQ2782">
        <v>0.11</v>
      </c>
      <c r="CR2782">
        <v>1.93</v>
      </c>
      <c r="CS2782" t="s">
        <v>3270</v>
      </c>
      <c r="CT2782">
        <v>3.57</v>
      </c>
      <c r="CU2782">
        <v>0</v>
      </c>
      <c r="CV2782">
        <v>0.97</v>
      </c>
      <c r="CW2782">
        <v>1.44</v>
      </c>
      <c r="CX2782">
        <v>1.49</v>
      </c>
      <c r="CY2782">
        <v>10.76</v>
      </c>
      <c r="CZ2782" t="s">
        <v>1761</v>
      </c>
      <c r="DA2782">
        <v>5.88</v>
      </c>
      <c r="DB2782">
        <v>2.2400000000000002</v>
      </c>
      <c r="DC2782">
        <v>0.64</v>
      </c>
      <c r="DD2782">
        <v>1.89</v>
      </c>
      <c r="DE2782">
        <v>19658</v>
      </c>
      <c r="DF2782">
        <v>600710</v>
      </c>
      <c r="DG2782" t="s">
        <v>116</v>
      </c>
      <c r="DH2782" t="s">
        <v>116</v>
      </c>
      <c r="DI2782" t="s">
        <v>116</v>
      </c>
    </row>
    <row r="2783" spans="1:113" x14ac:dyDescent="0.4">
      <c r="A2783" t="str">
        <f>"600711"</f>
        <v>600711</v>
      </c>
      <c r="B2783" t="s">
        <v>12463</v>
      </c>
      <c r="C2783">
        <v>6.25</v>
      </c>
      <c r="D2783">
        <v>5.27</v>
      </c>
      <c r="E2783">
        <v>0.31</v>
      </c>
      <c r="F2783">
        <v>5.26</v>
      </c>
      <c r="G2783">
        <v>5.27</v>
      </c>
      <c r="H2783">
        <v>1603872</v>
      </c>
      <c r="I2783">
        <v>13240</v>
      </c>
      <c r="J2783">
        <v>-0.18</v>
      </c>
      <c r="K2783">
        <v>10.55</v>
      </c>
      <c r="L2783">
        <v>4.96</v>
      </c>
      <c r="M2783">
        <v>5.46</v>
      </c>
      <c r="N2783">
        <v>4.92</v>
      </c>
      <c r="O2783">
        <v>4.96</v>
      </c>
      <c r="P2783">
        <v>51.58</v>
      </c>
      <c r="Q2783">
        <v>848585408</v>
      </c>
      <c r="R2783">
        <v>3.12</v>
      </c>
      <c r="S2783" t="s">
        <v>1509</v>
      </c>
      <c r="T2783" t="s">
        <v>975</v>
      </c>
      <c r="U2783">
        <v>10.89</v>
      </c>
      <c r="V2783">
        <v>5.29</v>
      </c>
      <c r="W2783">
        <v>895628</v>
      </c>
      <c r="X2783">
        <v>708243</v>
      </c>
      <c r="Y2783">
        <v>1.26</v>
      </c>
      <c r="Z2783">
        <v>3808</v>
      </c>
      <c r="AA2783">
        <v>1168</v>
      </c>
      <c r="AB2783" t="s">
        <v>116</v>
      </c>
      <c r="AC2783">
        <v>536700</v>
      </c>
      <c r="AD2783">
        <v>0.01</v>
      </c>
      <c r="AE2783" t="s">
        <v>116</v>
      </c>
      <c r="AF2783" t="s">
        <v>116</v>
      </c>
      <c r="AG2783">
        <v>15.2</v>
      </c>
      <c r="AH2783" t="s">
        <v>12464</v>
      </c>
      <c r="AI2783" t="s">
        <v>12465</v>
      </c>
      <c r="AJ2783">
        <v>6.33</v>
      </c>
      <c r="AK2783">
        <v>4431</v>
      </c>
      <c r="AL2783">
        <v>362</v>
      </c>
      <c r="AM2783">
        <v>2.3999999999999998E-3</v>
      </c>
      <c r="AN2783">
        <v>2</v>
      </c>
      <c r="AO2783">
        <v>2.93</v>
      </c>
      <c r="AP2783">
        <v>13.09</v>
      </c>
      <c r="AQ2783">
        <v>2.13</v>
      </c>
      <c r="AR2783">
        <v>15.9</v>
      </c>
      <c r="AS2783">
        <v>13.54</v>
      </c>
      <c r="AT2783" t="s">
        <v>12466</v>
      </c>
      <c r="AU2783">
        <v>143.66999999999999</v>
      </c>
      <c r="AV2783">
        <v>28.94</v>
      </c>
      <c r="AW2783">
        <v>1.2</v>
      </c>
      <c r="BA2783">
        <v>0</v>
      </c>
      <c r="BB2783">
        <v>10.08</v>
      </c>
      <c r="BC2783">
        <v>-0.81</v>
      </c>
      <c r="BD2783">
        <v>6.67</v>
      </c>
      <c r="BE2783">
        <v>6.25</v>
      </c>
      <c r="BF2783">
        <v>-3.48</v>
      </c>
      <c r="BG2783">
        <v>7.11</v>
      </c>
      <c r="BH2783">
        <v>-0.42</v>
      </c>
      <c r="BI2783">
        <v>20191030</v>
      </c>
      <c r="BJ2783">
        <v>19960531</v>
      </c>
      <c r="BK2783">
        <v>23.08</v>
      </c>
      <c r="BL2783" t="s">
        <v>116</v>
      </c>
      <c r="BM2783" t="s">
        <v>116</v>
      </c>
      <c r="BN2783">
        <v>192.61</v>
      </c>
      <c r="BO2783">
        <v>88.96</v>
      </c>
      <c r="BP2783">
        <v>2.4700000000000002</v>
      </c>
      <c r="BQ2783">
        <v>52.53</v>
      </c>
      <c r="BR2783">
        <v>99.49</v>
      </c>
      <c r="BS2783">
        <v>24.92</v>
      </c>
      <c r="BT2783">
        <v>32.93</v>
      </c>
      <c r="BU2783">
        <v>89.04</v>
      </c>
      <c r="BV2783">
        <v>33.61</v>
      </c>
      <c r="BW2783">
        <v>10.35</v>
      </c>
      <c r="BX2783">
        <v>49.38</v>
      </c>
      <c r="BY2783">
        <v>233.08</v>
      </c>
      <c r="BZ2783">
        <v>224.88</v>
      </c>
      <c r="CA2783">
        <v>1.66</v>
      </c>
      <c r="CB2783">
        <v>-0.49</v>
      </c>
      <c r="CC2783">
        <v>1.93</v>
      </c>
      <c r="CD2783">
        <v>1.88</v>
      </c>
      <c r="CE2783">
        <v>1.77</v>
      </c>
      <c r="CF2783">
        <v>0.65</v>
      </c>
      <c r="CG2783">
        <v>15.26</v>
      </c>
      <c r="CH2783">
        <v>6.84</v>
      </c>
      <c r="CI2783">
        <v>0.05</v>
      </c>
      <c r="CJ2783">
        <v>116686</v>
      </c>
      <c r="CK2783">
        <v>10149</v>
      </c>
      <c r="CL2783" t="s">
        <v>4525</v>
      </c>
      <c r="CM2783">
        <v>-65.489999999999995</v>
      </c>
      <c r="CN2783">
        <v>2.0099999999999998</v>
      </c>
      <c r="CO2783">
        <v>1.37</v>
      </c>
      <c r="CP2783">
        <v>17.77</v>
      </c>
      <c r="CQ2783">
        <v>0.52</v>
      </c>
      <c r="CR2783">
        <v>0.35</v>
      </c>
      <c r="CS2783" t="s">
        <v>896</v>
      </c>
      <c r="CT2783">
        <v>3.85</v>
      </c>
      <c r="CU2783">
        <v>0</v>
      </c>
      <c r="CV2783">
        <v>2.14</v>
      </c>
      <c r="CW2783">
        <v>0.66</v>
      </c>
      <c r="CX2783">
        <v>0.3</v>
      </c>
      <c r="CY2783">
        <v>46.19</v>
      </c>
      <c r="CZ2783" t="s">
        <v>6383</v>
      </c>
      <c r="DA2783">
        <v>3.52</v>
      </c>
      <c r="DB2783">
        <v>0.71</v>
      </c>
      <c r="DC2783">
        <v>0.76</v>
      </c>
      <c r="DD2783">
        <v>0.34</v>
      </c>
      <c r="DE2783">
        <v>1376</v>
      </c>
      <c r="DF2783">
        <v>600711</v>
      </c>
      <c r="DG2783" t="s">
        <v>116</v>
      </c>
      <c r="DH2783" t="s">
        <v>116</v>
      </c>
      <c r="DI2783" t="s">
        <v>116</v>
      </c>
    </row>
    <row r="2784" spans="1:113" x14ac:dyDescent="0.4">
      <c r="A2784" t="str">
        <f>"600712"</f>
        <v>600712</v>
      </c>
      <c r="B2784" t="s">
        <v>12467</v>
      </c>
      <c r="C2784">
        <v>6.54</v>
      </c>
      <c r="D2784">
        <v>11.08</v>
      </c>
      <c r="E2784">
        <v>0.68</v>
      </c>
      <c r="F2784">
        <v>11.07</v>
      </c>
      <c r="G2784">
        <v>11.08</v>
      </c>
      <c r="H2784">
        <v>1491201</v>
      </c>
      <c r="I2784">
        <v>25305</v>
      </c>
      <c r="J2784">
        <v>0.73</v>
      </c>
      <c r="K2784">
        <v>27.7</v>
      </c>
      <c r="L2784">
        <v>10.4</v>
      </c>
      <c r="M2784">
        <v>11.3</v>
      </c>
      <c r="N2784">
        <v>10.4</v>
      </c>
      <c r="O2784">
        <v>10.4</v>
      </c>
      <c r="P2784">
        <v>753.53</v>
      </c>
      <c r="Q2784">
        <v>1633100288</v>
      </c>
      <c r="R2784">
        <v>1.24</v>
      </c>
      <c r="S2784" t="s">
        <v>746</v>
      </c>
      <c r="T2784" t="s">
        <v>982</v>
      </c>
      <c r="U2784">
        <v>8.65</v>
      </c>
      <c r="V2784">
        <v>10.95</v>
      </c>
      <c r="W2784">
        <v>694855</v>
      </c>
      <c r="X2784">
        <v>796346</v>
      </c>
      <c r="Y2784">
        <v>0.87</v>
      </c>
      <c r="Z2784">
        <v>3299</v>
      </c>
      <c r="AA2784">
        <v>315</v>
      </c>
      <c r="AB2784" t="s">
        <v>116</v>
      </c>
      <c r="AC2784">
        <v>8657000</v>
      </c>
      <c r="AD2784">
        <v>0.23</v>
      </c>
      <c r="AE2784" t="s">
        <v>116</v>
      </c>
      <c r="AF2784" t="s">
        <v>116</v>
      </c>
      <c r="AG2784">
        <v>5.38</v>
      </c>
      <c r="AH2784" t="s">
        <v>12468</v>
      </c>
      <c r="AI2784" t="s">
        <v>4981</v>
      </c>
      <c r="AJ2784">
        <v>6.62</v>
      </c>
      <c r="AK2784">
        <v>4667</v>
      </c>
      <c r="AL2784">
        <v>320</v>
      </c>
      <c r="AM2784">
        <v>5.8999999999999999E-3</v>
      </c>
      <c r="AN2784">
        <v>1</v>
      </c>
      <c r="AO2784">
        <v>11.47</v>
      </c>
      <c r="AP2784">
        <v>182.65</v>
      </c>
      <c r="AQ2784">
        <v>186.3</v>
      </c>
      <c r="AR2784">
        <v>202.73</v>
      </c>
      <c r="AS2784">
        <v>41.52</v>
      </c>
      <c r="AT2784" t="s">
        <v>1036</v>
      </c>
      <c r="AU2784" t="s">
        <v>116</v>
      </c>
      <c r="AV2784" t="s">
        <v>116</v>
      </c>
      <c r="AW2784">
        <v>1.79</v>
      </c>
      <c r="BA2784">
        <v>0</v>
      </c>
      <c r="BB2784">
        <v>8.65</v>
      </c>
      <c r="BC2784">
        <v>0</v>
      </c>
      <c r="BD2784">
        <v>5.3</v>
      </c>
      <c r="BE2784">
        <v>6.54</v>
      </c>
      <c r="BF2784">
        <v>-1.95</v>
      </c>
      <c r="BG2784">
        <v>6.54</v>
      </c>
      <c r="BH2784">
        <v>1.23</v>
      </c>
      <c r="BI2784">
        <v>20191225</v>
      </c>
      <c r="BJ2784">
        <v>19960626</v>
      </c>
      <c r="BK2784">
        <v>5.45</v>
      </c>
      <c r="BL2784" t="s">
        <v>116</v>
      </c>
      <c r="BM2784" t="s">
        <v>116</v>
      </c>
      <c r="BN2784">
        <v>18.8</v>
      </c>
      <c r="BO2784">
        <v>10.25</v>
      </c>
      <c r="BP2784">
        <v>0</v>
      </c>
      <c r="BQ2784">
        <v>45.47</v>
      </c>
      <c r="BR2784">
        <v>4.76</v>
      </c>
      <c r="BS2784">
        <v>10.38</v>
      </c>
      <c r="BT2784">
        <v>0.27</v>
      </c>
      <c r="BU2784">
        <v>8.48</v>
      </c>
      <c r="BV2784">
        <v>1.06</v>
      </c>
      <c r="BW2784">
        <v>0.06</v>
      </c>
      <c r="BX2784">
        <v>3.7</v>
      </c>
      <c r="BY2784">
        <v>13.51</v>
      </c>
      <c r="BZ2784">
        <v>10.94</v>
      </c>
      <c r="CA2784">
        <v>7.0000000000000007E-2</v>
      </c>
      <c r="CB2784">
        <v>0</v>
      </c>
      <c r="CC2784">
        <v>0.09</v>
      </c>
      <c r="CD2784">
        <v>0.06</v>
      </c>
      <c r="CE2784">
        <v>0.06</v>
      </c>
      <c r="CF2784">
        <v>0.05</v>
      </c>
      <c r="CG2784">
        <v>0.56999999999999995</v>
      </c>
      <c r="CH2784">
        <v>0.22</v>
      </c>
      <c r="CI2784">
        <v>-0.39</v>
      </c>
      <c r="CJ2784">
        <v>24357</v>
      </c>
      <c r="CK2784">
        <v>14745</v>
      </c>
      <c r="CL2784" t="s">
        <v>12469</v>
      </c>
      <c r="CM2784">
        <v>115.98</v>
      </c>
      <c r="CN2784">
        <v>-13.26</v>
      </c>
      <c r="CO2784">
        <v>5.89</v>
      </c>
      <c r="CP2784">
        <v>271.37</v>
      </c>
      <c r="CQ2784">
        <v>4.47</v>
      </c>
      <c r="CR2784">
        <v>0</v>
      </c>
      <c r="CS2784" t="s">
        <v>3700</v>
      </c>
      <c r="CT2784">
        <v>1.88</v>
      </c>
      <c r="CU2784">
        <v>0</v>
      </c>
      <c r="CV2784">
        <v>0.68</v>
      </c>
      <c r="CW2784">
        <v>0.1</v>
      </c>
      <c r="CX2784">
        <v>0.04</v>
      </c>
      <c r="CY2784">
        <v>54.53</v>
      </c>
      <c r="CZ2784" t="s">
        <v>9015</v>
      </c>
      <c r="DA2784">
        <v>19.03</v>
      </c>
      <c r="DB2784">
        <v>0.55000000000000004</v>
      </c>
      <c r="DC2784">
        <v>0.44</v>
      </c>
      <c r="DD2784">
        <v>0</v>
      </c>
      <c r="DE2784">
        <v>1056</v>
      </c>
      <c r="DF2784">
        <v>600712</v>
      </c>
      <c r="DG2784" t="s">
        <v>116</v>
      </c>
      <c r="DH2784" t="s">
        <v>116</v>
      </c>
      <c r="DI2784" t="s">
        <v>116</v>
      </c>
    </row>
    <row r="2785" spans="1:113" x14ac:dyDescent="0.4">
      <c r="A2785" t="str">
        <f>"600713"</f>
        <v>600713</v>
      </c>
      <c r="B2785" t="s">
        <v>12470</v>
      </c>
      <c r="C2785">
        <v>-1.08</v>
      </c>
      <c r="D2785">
        <v>4.5599999999999996</v>
      </c>
      <c r="E2785">
        <v>-0.05</v>
      </c>
      <c r="F2785">
        <v>4.5599999999999996</v>
      </c>
      <c r="G2785">
        <v>4.57</v>
      </c>
      <c r="H2785">
        <v>95782</v>
      </c>
      <c r="I2785">
        <v>1291</v>
      </c>
      <c r="J2785">
        <v>0</v>
      </c>
      <c r="K2785">
        <v>1.07</v>
      </c>
      <c r="L2785">
        <v>4.6100000000000003</v>
      </c>
      <c r="M2785">
        <v>4.6399999999999997</v>
      </c>
      <c r="N2785">
        <v>4.55</v>
      </c>
      <c r="O2785">
        <v>4.6100000000000003</v>
      </c>
      <c r="P2785">
        <v>12.1</v>
      </c>
      <c r="Q2785">
        <v>43973116</v>
      </c>
      <c r="R2785">
        <v>0.89</v>
      </c>
      <c r="S2785" t="s">
        <v>278</v>
      </c>
      <c r="T2785" t="s">
        <v>323</v>
      </c>
      <c r="U2785">
        <v>1.95</v>
      </c>
      <c r="V2785">
        <v>4.59</v>
      </c>
      <c r="W2785">
        <v>61636</v>
      </c>
      <c r="X2785">
        <v>34146</v>
      </c>
      <c r="Y2785">
        <v>1.81</v>
      </c>
      <c r="Z2785">
        <v>1081</v>
      </c>
      <c r="AA2785">
        <v>837</v>
      </c>
      <c r="AB2785" t="s">
        <v>116</v>
      </c>
      <c r="AC2785">
        <v>236000</v>
      </c>
      <c r="AD2785">
        <v>0.01</v>
      </c>
      <c r="AE2785" t="s">
        <v>116</v>
      </c>
      <c r="AF2785" t="s">
        <v>116</v>
      </c>
      <c r="AG2785">
        <v>8.9700000000000006</v>
      </c>
      <c r="AH2785" t="s">
        <v>12471</v>
      </c>
      <c r="AI2785" t="s">
        <v>9388</v>
      </c>
      <c r="AJ2785">
        <v>-1.01</v>
      </c>
      <c r="AK2785">
        <v>1748</v>
      </c>
      <c r="AL2785">
        <v>55</v>
      </c>
      <c r="AM2785">
        <v>5.9999999999999995E-4</v>
      </c>
      <c r="AN2785">
        <v>-2</v>
      </c>
      <c r="AO2785">
        <v>0.44</v>
      </c>
      <c r="AP2785">
        <v>4.59</v>
      </c>
      <c r="AQ2785">
        <v>7.04</v>
      </c>
      <c r="AR2785">
        <v>9.6199999999999992</v>
      </c>
      <c r="AS2785">
        <v>1.75</v>
      </c>
      <c r="AT2785" t="s">
        <v>1877</v>
      </c>
      <c r="AU2785">
        <v>13.21</v>
      </c>
      <c r="AV2785">
        <v>17.97</v>
      </c>
      <c r="AW2785">
        <v>1.08</v>
      </c>
      <c r="BA2785">
        <v>0</v>
      </c>
      <c r="BB2785">
        <v>0.65</v>
      </c>
      <c r="BC2785">
        <v>-1.3</v>
      </c>
      <c r="BD2785">
        <v>-0.41</v>
      </c>
      <c r="BE2785">
        <v>-1.08</v>
      </c>
      <c r="BF2785">
        <v>-1.72</v>
      </c>
      <c r="BG2785">
        <v>0.22</v>
      </c>
      <c r="BH2785">
        <v>-0.67</v>
      </c>
      <c r="BI2785">
        <v>20191031</v>
      </c>
      <c r="BJ2785">
        <v>19960701</v>
      </c>
      <c r="BK2785">
        <v>10.42</v>
      </c>
      <c r="BL2785" t="s">
        <v>116</v>
      </c>
      <c r="BM2785" t="s">
        <v>116</v>
      </c>
      <c r="BN2785">
        <v>238.05</v>
      </c>
      <c r="BO2785">
        <v>38.9</v>
      </c>
      <c r="BP2785">
        <v>4.74</v>
      </c>
      <c r="BQ2785">
        <v>81.67</v>
      </c>
      <c r="BR2785">
        <v>218.43</v>
      </c>
      <c r="BS2785">
        <v>11.04</v>
      </c>
      <c r="BT2785">
        <v>1.92</v>
      </c>
      <c r="BU2785">
        <v>191.52</v>
      </c>
      <c r="BV2785">
        <v>39</v>
      </c>
      <c r="BW2785">
        <v>115.23</v>
      </c>
      <c r="BX2785">
        <v>16.62</v>
      </c>
      <c r="BY2785">
        <v>276.92</v>
      </c>
      <c r="BZ2785">
        <v>258.93</v>
      </c>
      <c r="CA2785">
        <v>4.24</v>
      </c>
      <c r="CB2785">
        <v>0.02</v>
      </c>
      <c r="CC2785">
        <v>4.87</v>
      </c>
      <c r="CD2785">
        <v>3.61</v>
      </c>
      <c r="CE2785">
        <v>2.94</v>
      </c>
      <c r="CF2785">
        <v>2.3199999999999998</v>
      </c>
      <c r="CG2785">
        <v>9.41</v>
      </c>
      <c r="CH2785">
        <v>-19.850000000000001</v>
      </c>
      <c r="CI2785">
        <v>0.86</v>
      </c>
      <c r="CJ2785">
        <v>68145</v>
      </c>
      <c r="CK2785">
        <v>8041</v>
      </c>
      <c r="CL2785" t="s">
        <v>2825</v>
      </c>
      <c r="CM2785">
        <v>47.94</v>
      </c>
      <c r="CN2785">
        <v>19.100000000000001</v>
      </c>
      <c r="CO2785">
        <v>1.22</v>
      </c>
      <c r="CP2785">
        <v>-2.39</v>
      </c>
      <c r="CQ2785">
        <v>0.17</v>
      </c>
      <c r="CR2785">
        <v>2.19</v>
      </c>
      <c r="CS2785" t="s">
        <v>5706</v>
      </c>
      <c r="CT2785">
        <v>3.73</v>
      </c>
      <c r="CU2785">
        <v>0</v>
      </c>
      <c r="CV2785">
        <v>1.6</v>
      </c>
      <c r="CW2785">
        <v>0.9</v>
      </c>
      <c r="CX2785">
        <v>-1.91</v>
      </c>
      <c r="CY2785">
        <v>16.34</v>
      </c>
      <c r="CZ2785" t="s">
        <v>11191</v>
      </c>
      <c r="DA2785">
        <v>6.5</v>
      </c>
      <c r="DB2785">
        <v>1.53</v>
      </c>
      <c r="DC2785">
        <v>1.06</v>
      </c>
      <c r="DD2785">
        <v>0.1</v>
      </c>
      <c r="DE2785">
        <v>4470</v>
      </c>
      <c r="DF2785">
        <v>600713</v>
      </c>
      <c r="DG2785" t="s">
        <v>116</v>
      </c>
      <c r="DH2785" t="s">
        <v>116</v>
      </c>
      <c r="DI2785" t="s">
        <v>116</v>
      </c>
    </row>
    <row r="2786" spans="1:113" x14ac:dyDescent="0.4">
      <c r="A2786" t="str">
        <f>"600714"</f>
        <v>600714</v>
      </c>
      <c r="B2786" t="s">
        <v>12472</v>
      </c>
      <c r="C2786">
        <v>0.34</v>
      </c>
      <c r="D2786">
        <v>5.84</v>
      </c>
      <c r="E2786">
        <v>0.02</v>
      </c>
      <c r="F2786">
        <v>5.83</v>
      </c>
      <c r="G2786">
        <v>5.84</v>
      </c>
      <c r="H2786">
        <v>32248</v>
      </c>
      <c r="I2786">
        <v>490</v>
      </c>
      <c r="J2786">
        <v>0</v>
      </c>
      <c r="K2786">
        <v>1.1200000000000001</v>
      </c>
      <c r="L2786">
        <v>5.87</v>
      </c>
      <c r="M2786">
        <v>6.01</v>
      </c>
      <c r="N2786">
        <v>5.77</v>
      </c>
      <c r="O2786">
        <v>5.82</v>
      </c>
      <c r="P2786">
        <v>954.7</v>
      </c>
      <c r="Q2786">
        <v>18923490</v>
      </c>
      <c r="R2786">
        <v>0.77</v>
      </c>
      <c r="S2786" t="s">
        <v>891</v>
      </c>
      <c r="T2786" t="s">
        <v>698</v>
      </c>
      <c r="U2786">
        <v>4.12</v>
      </c>
      <c r="V2786">
        <v>5.87</v>
      </c>
      <c r="W2786">
        <v>17796</v>
      </c>
      <c r="X2786">
        <v>14452</v>
      </c>
      <c r="Y2786">
        <v>1.23</v>
      </c>
      <c r="Z2786">
        <v>11</v>
      </c>
      <c r="AA2786">
        <v>222</v>
      </c>
      <c r="AB2786" t="s">
        <v>116</v>
      </c>
      <c r="AC2786">
        <v>148500</v>
      </c>
      <c r="AD2786">
        <v>0.02</v>
      </c>
      <c r="AE2786" t="s">
        <v>116</v>
      </c>
      <c r="AF2786" t="s">
        <v>116</v>
      </c>
      <c r="AG2786">
        <v>2.88</v>
      </c>
      <c r="AH2786" t="s">
        <v>184</v>
      </c>
      <c r="AI2786" t="s">
        <v>184</v>
      </c>
      <c r="AJ2786">
        <v>0.42</v>
      </c>
      <c r="AK2786">
        <v>697</v>
      </c>
      <c r="AL2786">
        <v>46</v>
      </c>
      <c r="AM2786">
        <v>1.6000000000000001E-3</v>
      </c>
      <c r="AN2786">
        <v>2</v>
      </c>
      <c r="AO2786">
        <v>-0.51</v>
      </c>
      <c r="AP2786">
        <v>-3.47</v>
      </c>
      <c r="AQ2786">
        <v>0</v>
      </c>
      <c r="AR2786">
        <v>1.39</v>
      </c>
      <c r="AS2786">
        <v>2.97</v>
      </c>
      <c r="AT2786" t="s">
        <v>9861</v>
      </c>
      <c r="AU2786">
        <v>198.53</v>
      </c>
      <c r="AV2786">
        <v>74.010000000000005</v>
      </c>
      <c r="AW2786">
        <v>1.1399999999999999</v>
      </c>
      <c r="BA2786">
        <v>0.86</v>
      </c>
      <c r="BB2786">
        <v>3.26</v>
      </c>
      <c r="BC2786">
        <v>-0.86</v>
      </c>
      <c r="BD2786">
        <v>0.83</v>
      </c>
      <c r="BE2786">
        <v>-0.51</v>
      </c>
      <c r="BF2786">
        <v>-2.83</v>
      </c>
      <c r="BG2786">
        <v>1.21</v>
      </c>
      <c r="BH2786">
        <v>-0.48</v>
      </c>
      <c r="BI2786">
        <v>20191023</v>
      </c>
      <c r="BJ2786">
        <v>19960606</v>
      </c>
      <c r="BK2786">
        <v>2.88</v>
      </c>
      <c r="BL2786" t="s">
        <v>116</v>
      </c>
      <c r="BM2786" t="s">
        <v>116</v>
      </c>
      <c r="BN2786">
        <v>6.88</v>
      </c>
      <c r="BO2786">
        <v>6.27</v>
      </c>
      <c r="BP2786">
        <v>0</v>
      </c>
      <c r="BQ2786">
        <v>8.92</v>
      </c>
      <c r="BR2786">
        <v>4.7699999999999996</v>
      </c>
      <c r="BS2786">
        <v>1.53</v>
      </c>
      <c r="BT2786">
        <v>0.51</v>
      </c>
      <c r="BU2786">
        <v>0.55000000000000004</v>
      </c>
      <c r="BV2786">
        <v>0.73</v>
      </c>
      <c r="BW2786">
        <v>0.14000000000000001</v>
      </c>
      <c r="BX2786">
        <v>3</v>
      </c>
      <c r="BY2786">
        <v>1.25</v>
      </c>
      <c r="BZ2786">
        <v>1.07</v>
      </c>
      <c r="CA2786">
        <v>0.02</v>
      </c>
      <c r="CB2786">
        <v>0</v>
      </c>
      <c r="CC2786">
        <v>0.03</v>
      </c>
      <c r="CD2786">
        <v>0.01</v>
      </c>
      <c r="CE2786">
        <v>0.01</v>
      </c>
      <c r="CF2786">
        <v>0.01</v>
      </c>
      <c r="CG2786">
        <v>0.09</v>
      </c>
      <c r="CH2786">
        <v>0.4</v>
      </c>
      <c r="CI2786">
        <v>-1.43</v>
      </c>
      <c r="CJ2786">
        <v>17462</v>
      </c>
      <c r="CK2786">
        <v>6223</v>
      </c>
      <c r="CL2786" t="s">
        <v>2473</v>
      </c>
      <c r="CM2786">
        <v>-91.52</v>
      </c>
      <c r="CN2786">
        <v>35.79</v>
      </c>
      <c r="CO2786">
        <v>2.69</v>
      </c>
      <c r="CP2786">
        <v>41.64</v>
      </c>
      <c r="CQ2786">
        <v>13.49</v>
      </c>
      <c r="CR2786">
        <v>0</v>
      </c>
      <c r="CS2786" t="s">
        <v>1701</v>
      </c>
      <c r="CT2786">
        <v>2.17</v>
      </c>
      <c r="CU2786">
        <v>0</v>
      </c>
      <c r="CV2786">
        <v>1.04</v>
      </c>
      <c r="CW2786">
        <v>0.03</v>
      </c>
      <c r="CX2786">
        <v>0.14000000000000001</v>
      </c>
      <c r="CY2786">
        <v>91.08</v>
      </c>
      <c r="CZ2786" t="s">
        <v>1019</v>
      </c>
      <c r="DA2786">
        <v>13.91</v>
      </c>
      <c r="DB2786">
        <v>1.52</v>
      </c>
      <c r="DC2786">
        <v>1.06</v>
      </c>
      <c r="DD2786">
        <v>0.03</v>
      </c>
      <c r="DE2786">
        <v>307</v>
      </c>
      <c r="DF2786">
        <v>600714</v>
      </c>
      <c r="DG2786" t="s">
        <v>116</v>
      </c>
      <c r="DH2786" t="s">
        <v>116</v>
      </c>
      <c r="DI2786" t="s">
        <v>116</v>
      </c>
    </row>
    <row r="2787" spans="1:113" x14ac:dyDescent="0.4">
      <c r="A2787" t="str">
        <f>"600715"</f>
        <v>600715</v>
      </c>
      <c r="B2787" t="s">
        <v>12473</v>
      </c>
      <c r="C2787">
        <v>-2.8</v>
      </c>
      <c r="D2787">
        <v>3.47</v>
      </c>
      <c r="E2787">
        <v>-0.1</v>
      </c>
      <c r="F2787">
        <v>3.47</v>
      </c>
      <c r="G2787">
        <v>3.48</v>
      </c>
      <c r="H2787">
        <v>103933</v>
      </c>
      <c r="I2787">
        <v>2402</v>
      </c>
      <c r="J2787">
        <v>0</v>
      </c>
      <c r="K2787">
        <v>0.81</v>
      </c>
      <c r="L2787">
        <v>3.56</v>
      </c>
      <c r="M2787">
        <v>3.59</v>
      </c>
      <c r="N2787">
        <v>3.47</v>
      </c>
      <c r="O2787">
        <v>3.57</v>
      </c>
      <c r="P2787">
        <v>107.81</v>
      </c>
      <c r="Q2787">
        <v>36750016</v>
      </c>
      <c r="R2787">
        <v>0.79</v>
      </c>
      <c r="S2787" t="s">
        <v>589</v>
      </c>
      <c r="T2787" t="s">
        <v>434</v>
      </c>
      <c r="U2787">
        <v>3.36</v>
      </c>
      <c r="V2787">
        <v>3.54</v>
      </c>
      <c r="W2787">
        <v>66154</v>
      </c>
      <c r="X2787">
        <v>37779</v>
      </c>
      <c r="Y2787">
        <v>1.75</v>
      </c>
      <c r="Z2787">
        <v>757</v>
      </c>
      <c r="AA2787">
        <v>594</v>
      </c>
      <c r="AB2787" t="s">
        <v>116</v>
      </c>
      <c r="AC2787">
        <v>212200</v>
      </c>
      <c r="AD2787">
        <v>0.01</v>
      </c>
      <c r="AE2787" t="s">
        <v>116</v>
      </c>
      <c r="AF2787" t="s">
        <v>116</v>
      </c>
      <c r="AG2787">
        <v>12.84</v>
      </c>
      <c r="AH2787" t="s">
        <v>12474</v>
      </c>
      <c r="AI2787" t="s">
        <v>12475</v>
      </c>
      <c r="AJ2787">
        <v>-2.72</v>
      </c>
      <c r="AK2787">
        <v>1344</v>
      </c>
      <c r="AL2787">
        <v>77</v>
      </c>
      <c r="AM2787">
        <v>5.9999999999999995E-4</v>
      </c>
      <c r="AN2787">
        <v>-1</v>
      </c>
      <c r="AO2787">
        <v>-2.5299999999999998</v>
      </c>
      <c r="AP2787">
        <v>9.1199999999999992</v>
      </c>
      <c r="AQ2787">
        <v>-14.32</v>
      </c>
      <c r="AR2787">
        <v>-22.89</v>
      </c>
      <c r="AS2787">
        <v>1.46</v>
      </c>
      <c r="AT2787" t="s">
        <v>6645</v>
      </c>
      <c r="AU2787" t="s">
        <v>116</v>
      </c>
      <c r="AV2787" t="s">
        <v>116</v>
      </c>
      <c r="AW2787">
        <v>1.36</v>
      </c>
      <c r="BA2787">
        <v>-0.28000000000000003</v>
      </c>
      <c r="BB2787">
        <v>0.56000000000000005</v>
      </c>
      <c r="BC2787">
        <v>-2.8</v>
      </c>
      <c r="BD2787">
        <v>-0.95</v>
      </c>
      <c r="BE2787">
        <v>-2.5299999999999998</v>
      </c>
      <c r="BF2787">
        <v>-3.34</v>
      </c>
      <c r="BG2787">
        <v>0</v>
      </c>
      <c r="BH2787">
        <v>-1.85</v>
      </c>
      <c r="BI2787">
        <v>20191111</v>
      </c>
      <c r="BJ2787">
        <v>19960701</v>
      </c>
      <c r="BK2787">
        <v>18.55</v>
      </c>
      <c r="BL2787" t="s">
        <v>116</v>
      </c>
      <c r="BM2787" t="s">
        <v>116</v>
      </c>
      <c r="BN2787">
        <v>107.9</v>
      </c>
      <c r="BO2787">
        <v>64.06</v>
      </c>
      <c r="BP2787">
        <v>0.25</v>
      </c>
      <c r="BQ2787">
        <v>40.4</v>
      </c>
      <c r="BR2787">
        <v>34.950000000000003</v>
      </c>
      <c r="BS2787">
        <v>3.5</v>
      </c>
      <c r="BT2787">
        <v>1.27</v>
      </c>
      <c r="BU2787">
        <v>22.23</v>
      </c>
      <c r="BV2787">
        <v>3.8</v>
      </c>
      <c r="BW2787">
        <v>5.0599999999999996</v>
      </c>
      <c r="BX2787">
        <v>48.83</v>
      </c>
      <c r="BY2787">
        <v>14.57</v>
      </c>
      <c r="BZ2787">
        <v>9.9499999999999993</v>
      </c>
      <c r="CA2787">
        <v>0.51</v>
      </c>
      <c r="CB2787">
        <v>-0.1</v>
      </c>
      <c r="CC2787">
        <v>0.55000000000000004</v>
      </c>
      <c r="CD2787">
        <v>0.34</v>
      </c>
      <c r="CE2787">
        <v>0.45</v>
      </c>
      <c r="CF2787">
        <v>0.41</v>
      </c>
      <c r="CG2787">
        <v>-3.71</v>
      </c>
      <c r="CH2787">
        <v>-4</v>
      </c>
      <c r="CI2787">
        <v>-2.77</v>
      </c>
      <c r="CJ2787">
        <v>33543</v>
      </c>
      <c r="CK2787">
        <v>21223</v>
      </c>
      <c r="CL2787" t="s">
        <v>3530</v>
      </c>
      <c r="CM2787">
        <v>77.86</v>
      </c>
      <c r="CN2787">
        <v>-1.51</v>
      </c>
      <c r="CO2787">
        <v>1</v>
      </c>
      <c r="CP2787">
        <v>-16.09</v>
      </c>
      <c r="CQ2787">
        <v>4.42</v>
      </c>
      <c r="CR2787">
        <v>0</v>
      </c>
      <c r="CS2787" t="s">
        <v>4700</v>
      </c>
      <c r="CT2787">
        <v>3.45</v>
      </c>
      <c r="CU2787">
        <v>0</v>
      </c>
      <c r="CV2787">
        <v>2.63</v>
      </c>
      <c r="CW2787">
        <v>-0.2</v>
      </c>
      <c r="CX2787">
        <v>-0.22</v>
      </c>
      <c r="CY2787">
        <v>59.36</v>
      </c>
      <c r="CZ2787" t="s">
        <v>614</v>
      </c>
      <c r="DA2787">
        <v>31.73</v>
      </c>
      <c r="DB2787">
        <v>3.49</v>
      </c>
      <c r="DC2787">
        <v>3.07</v>
      </c>
      <c r="DD2787">
        <v>0.43</v>
      </c>
      <c r="DE2787">
        <v>2075</v>
      </c>
      <c r="DF2787">
        <v>600715</v>
      </c>
      <c r="DG2787" t="s">
        <v>116</v>
      </c>
      <c r="DH2787" t="s">
        <v>116</v>
      </c>
      <c r="DI2787" t="s">
        <v>116</v>
      </c>
    </row>
    <row r="2788" spans="1:113" x14ac:dyDescent="0.4">
      <c r="A2788" t="str">
        <f>"600716"</f>
        <v>600716</v>
      </c>
      <c r="B2788" t="s">
        <v>12476</v>
      </c>
      <c r="C2788">
        <v>-3.47</v>
      </c>
      <c r="D2788">
        <v>4.17</v>
      </c>
      <c r="E2788">
        <v>-0.15</v>
      </c>
      <c r="F2788">
        <v>4.16</v>
      </c>
      <c r="G2788">
        <v>4.17</v>
      </c>
      <c r="H2788">
        <v>210880</v>
      </c>
      <c r="I2788">
        <v>2608</v>
      </c>
      <c r="J2788">
        <v>-0.47</v>
      </c>
      <c r="K2788">
        <v>2.25</v>
      </c>
      <c r="L2788">
        <v>4.3</v>
      </c>
      <c r="M2788">
        <v>4.41</v>
      </c>
      <c r="N2788">
        <v>4.17</v>
      </c>
      <c r="O2788">
        <v>4.32</v>
      </c>
      <c r="P2788">
        <v>74.61</v>
      </c>
      <c r="Q2788">
        <v>90830256</v>
      </c>
      <c r="R2788">
        <v>1.17</v>
      </c>
      <c r="S2788" t="s">
        <v>148</v>
      </c>
      <c r="T2788" t="s">
        <v>323</v>
      </c>
      <c r="U2788">
        <v>5.56</v>
      </c>
      <c r="V2788">
        <v>4.3099999999999996</v>
      </c>
      <c r="W2788">
        <v>116806</v>
      </c>
      <c r="X2788">
        <v>94074</v>
      </c>
      <c r="Y2788">
        <v>1.24</v>
      </c>
      <c r="Z2788">
        <v>4171</v>
      </c>
      <c r="AA2788">
        <v>1252</v>
      </c>
      <c r="AB2788" t="s">
        <v>116</v>
      </c>
      <c r="AC2788">
        <v>598100</v>
      </c>
      <c r="AD2788">
        <v>0.03</v>
      </c>
      <c r="AE2788" t="s">
        <v>116</v>
      </c>
      <c r="AF2788" t="s">
        <v>116</v>
      </c>
      <c r="AG2788">
        <v>9.36</v>
      </c>
      <c r="AH2788" t="s">
        <v>12477</v>
      </c>
      <c r="AI2788" t="s">
        <v>12477</v>
      </c>
      <c r="AJ2788">
        <v>-3.4</v>
      </c>
      <c r="AK2788">
        <v>1932</v>
      </c>
      <c r="AL2788">
        <v>109</v>
      </c>
      <c r="AM2788">
        <v>1.1999999999999999E-3</v>
      </c>
      <c r="AN2788">
        <v>-1</v>
      </c>
      <c r="AO2788">
        <v>-1.41</v>
      </c>
      <c r="AP2788">
        <v>12.7</v>
      </c>
      <c r="AQ2788">
        <v>4.7699999999999996</v>
      </c>
      <c r="AR2788">
        <v>34.520000000000003</v>
      </c>
      <c r="AS2788">
        <v>4.74</v>
      </c>
      <c r="AT2788" t="s">
        <v>8690</v>
      </c>
      <c r="AU2788">
        <v>6.14</v>
      </c>
      <c r="AV2788">
        <v>6.92</v>
      </c>
      <c r="AW2788">
        <v>1.54</v>
      </c>
      <c r="BA2788">
        <v>-0.46</v>
      </c>
      <c r="BB2788">
        <v>2.08</v>
      </c>
      <c r="BC2788">
        <v>-3.47</v>
      </c>
      <c r="BD2788">
        <v>-0.3</v>
      </c>
      <c r="BE2788">
        <v>-3.02</v>
      </c>
      <c r="BF2788">
        <v>-5.44</v>
      </c>
      <c r="BG2788">
        <v>0</v>
      </c>
      <c r="BH2788">
        <v>-3.18</v>
      </c>
      <c r="BI2788">
        <v>20191030</v>
      </c>
      <c r="BJ2788">
        <v>19960702</v>
      </c>
      <c r="BK2788">
        <v>9.36</v>
      </c>
      <c r="BL2788" t="s">
        <v>116</v>
      </c>
      <c r="BM2788" t="s">
        <v>116</v>
      </c>
      <c r="BN2788">
        <v>69.7</v>
      </c>
      <c r="BO2788">
        <v>49.86</v>
      </c>
      <c r="BP2788">
        <v>3.42</v>
      </c>
      <c r="BQ2788">
        <v>23.55</v>
      </c>
      <c r="BR2788">
        <v>43.25</v>
      </c>
      <c r="BS2788">
        <v>0.22</v>
      </c>
      <c r="BT2788">
        <v>0.04</v>
      </c>
      <c r="BU2788">
        <v>7</v>
      </c>
      <c r="BV2788">
        <v>32.35</v>
      </c>
      <c r="BW2788">
        <v>0</v>
      </c>
      <c r="BX2788">
        <v>14.8</v>
      </c>
      <c r="BY2788">
        <v>9.9</v>
      </c>
      <c r="BZ2788">
        <v>8.17</v>
      </c>
      <c r="CA2788">
        <v>0.71</v>
      </c>
      <c r="CB2788">
        <v>0.21</v>
      </c>
      <c r="CC2788">
        <v>0.72</v>
      </c>
      <c r="CD2788">
        <v>0.41</v>
      </c>
      <c r="CE2788">
        <v>0.39</v>
      </c>
      <c r="CF2788">
        <v>0.45</v>
      </c>
      <c r="CG2788">
        <v>14.13</v>
      </c>
      <c r="CH2788">
        <v>-8.44</v>
      </c>
      <c r="CI2788">
        <v>-20.46</v>
      </c>
      <c r="CJ2788">
        <v>35698</v>
      </c>
      <c r="CK2788">
        <v>12471</v>
      </c>
      <c r="CL2788" t="s">
        <v>518</v>
      </c>
      <c r="CM2788">
        <v>220.2</v>
      </c>
      <c r="CN2788">
        <v>5.0199999999999996</v>
      </c>
      <c r="CO2788">
        <v>0.78</v>
      </c>
      <c r="CP2788">
        <v>-4.62</v>
      </c>
      <c r="CQ2788">
        <v>3.94</v>
      </c>
      <c r="CR2788">
        <v>2.4</v>
      </c>
      <c r="CS2788" t="s">
        <v>145</v>
      </c>
      <c r="CT2788">
        <v>5.33</v>
      </c>
      <c r="CU2788">
        <v>0</v>
      </c>
      <c r="CV2788">
        <v>1.58</v>
      </c>
      <c r="CW2788">
        <v>1.51</v>
      </c>
      <c r="CX2788">
        <v>-0.9</v>
      </c>
      <c r="CY2788">
        <v>71.540000000000006</v>
      </c>
      <c r="CZ2788" t="s">
        <v>2424</v>
      </c>
      <c r="DA2788">
        <v>17.43</v>
      </c>
      <c r="DB2788">
        <v>7.14</v>
      </c>
      <c r="DC2788">
        <v>3.96</v>
      </c>
      <c r="DD2788">
        <v>0</v>
      </c>
      <c r="DE2788">
        <v>122</v>
      </c>
      <c r="DF2788">
        <v>600716</v>
      </c>
      <c r="DG2788" t="s">
        <v>116</v>
      </c>
      <c r="DH2788" t="s">
        <v>116</v>
      </c>
      <c r="DI2788" t="s">
        <v>116</v>
      </c>
    </row>
    <row r="2789" spans="1:113" x14ac:dyDescent="0.4">
      <c r="A2789" t="str">
        <f>"600717"</f>
        <v>600717</v>
      </c>
      <c r="B2789" t="s">
        <v>12478</v>
      </c>
      <c r="C2789">
        <v>0.32</v>
      </c>
      <c r="D2789">
        <v>6.21</v>
      </c>
      <c r="E2789">
        <v>0.02</v>
      </c>
      <c r="F2789">
        <v>6.21</v>
      </c>
      <c r="G2789">
        <v>6.22</v>
      </c>
      <c r="H2789">
        <v>44073</v>
      </c>
      <c r="I2789">
        <v>175</v>
      </c>
      <c r="J2789">
        <v>-0.15</v>
      </c>
      <c r="K2789">
        <v>0.22</v>
      </c>
      <c r="L2789">
        <v>6.19</v>
      </c>
      <c r="M2789">
        <v>6.25</v>
      </c>
      <c r="N2789">
        <v>6.19</v>
      </c>
      <c r="O2789">
        <v>6.19</v>
      </c>
      <c r="P2789">
        <v>13.89</v>
      </c>
      <c r="Q2789">
        <v>27456724</v>
      </c>
      <c r="R2789">
        <v>0.97</v>
      </c>
      <c r="S2789" t="s">
        <v>515</v>
      </c>
      <c r="T2789" t="s">
        <v>1035</v>
      </c>
      <c r="U2789">
        <v>0.97</v>
      </c>
      <c r="V2789">
        <v>6.23</v>
      </c>
      <c r="W2789">
        <v>21326</v>
      </c>
      <c r="X2789">
        <v>22747</v>
      </c>
      <c r="Y2789">
        <v>0.94</v>
      </c>
      <c r="Z2789">
        <v>19</v>
      </c>
      <c r="AA2789">
        <v>856</v>
      </c>
      <c r="AB2789" t="s">
        <v>116</v>
      </c>
      <c r="AC2789">
        <v>12900</v>
      </c>
      <c r="AD2789">
        <v>0</v>
      </c>
      <c r="AE2789" t="s">
        <v>116</v>
      </c>
      <c r="AF2789" t="s">
        <v>116</v>
      </c>
      <c r="AG2789">
        <v>20.100000000000001</v>
      </c>
      <c r="AH2789" t="s">
        <v>12479</v>
      </c>
      <c r="AI2789" t="s">
        <v>12479</v>
      </c>
      <c r="AJ2789">
        <v>0.4</v>
      </c>
      <c r="AK2789">
        <v>1449</v>
      </c>
      <c r="AL2789">
        <v>30</v>
      </c>
      <c r="AM2789">
        <v>2.0000000000000001E-4</v>
      </c>
      <c r="AN2789">
        <v>2</v>
      </c>
      <c r="AO2789">
        <v>0.48</v>
      </c>
      <c r="AP2789">
        <v>-0.16</v>
      </c>
      <c r="AQ2789">
        <v>0.32</v>
      </c>
      <c r="AR2789">
        <v>7.04</v>
      </c>
      <c r="AS2789">
        <v>0.51</v>
      </c>
      <c r="AT2789" t="s">
        <v>2210</v>
      </c>
      <c r="AU2789">
        <v>19.91</v>
      </c>
      <c r="AV2789">
        <v>20.78</v>
      </c>
      <c r="AW2789">
        <v>0.97</v>
      </c>
      <c r="BA2789">
        <v>0</v>
      </c>
      <c r="BB2789">
        <v>0.97</v>
      </c>
      <c r="BC2789">
        <v>0</v>
      </c>
      <c r="BD2789">
        <v>0.64</v>
      </c>
      <c r="BE2789">
        <v>0.32</v>
      </c>
      <c r="BF2789">
        <v>-0.64</v>
      </c>
      <c r="BG2789">
        <v>0.32</v>
      </c>
      <c r="BH2789">
        <v>-0.32</v>
      </c>
      <c r="BI2789">
        <v>20191225</v>
      </c>
      <c r="BJ2789">
        <v>19960614</v>
      </c>
      <c r="BK2789">
        <v>20.100000000000001</v>
      </c>
      <c r="BL2789" t="s">
        <v>116</v>
      </c>
      <c r="BM2789" t="s">
        <v>116</v>
      </c>
      <c r="BN2789">
        <v>358.38</v>
      </c>
      <c r="BO2789">
        <v>165</v>
      </c>
      <c r="BP2789">
        <v>57.7</v>
      </c>
      <c r="BQ2789">
        <v>37.86</v>
      </c>
      <c r="BR2789">
        <v>80.69</v>
      </c>
      <c r="BS2789">
        <v>157.94999999999999</v>
      </c>
      <c r="BT2789">
        <v>52.74</v>
      </c>
      <c r="BU2789">
        <v>82.51</v>
      </c>
      <c r="BV2789">
        <v>2.35</v>
      </c>
      <c r="BW2789">
        <v>17.57</v>
      </c>
      <c r="BX2789">
        <v>28.89</v>
      </c>
      <c r="BY2789">
        <v>94.24</v>
      </c>
      <c r="BZ2789">
        <v>74.64</v>
      </c>
      <c r="CA2789">
        <v>12.4</v>
      </c>
      <c r="CB2789">
        <v>4.2300000000000004</v>
      </c>
      <c r="CC2789">
        <v>12.44</v>
      </c>
      <c r="CD2789">
        <v>9.8000000000000007</v>
      </c>
      <c r="CE2789">
        <v>6.74</v>
      </c>
      <c r="CF2789">
        <v>5.95</v>
      </c>
      <c r="CG2789">
        <v>91.15</v>
      </c>
      <c r="CH2789">
        <v>16.68</v>
      </c>
      <c r="CI2789">
        <v>1.8</v>
      </c>
      <c r="CJ2789">
        <v>99808</v>
      </c>
      <c r="CK2789">
        <v>8696</v>
      </c>
      <c r="CL2789" t="s">
        <v>2738</v>
      </c>
      <c r="CM2789">
        <v>4.09</v>
      </c>
      <c r="CN2789">
        <v>-0.02</v>
      </c>
      <c r="CO2789">
        <v>0.76</v>
      </c>
      <c r="CP2789">
        <v>7.48</v>
      </c>
      <c r="CQ2789">
        <v>1.32</v>
      </c>
      <c r="CR2789">
        <v>1.45</v>
      </c>
      <c r="CS2789" t="s">
        <v>8566</v>
      </c>
      <c r="CT2789">
        <v>8.2100000000000009</v>
      </c>
      <c r="CU2789">
        <v>0</v>
      </c>
      <c r="CV2789">
        <v>1.44</v>
      </c>
      <c r="CW2789">
        <v>4.54</v>
      </c>
      <c r="CX2789">
        <v>0.83</v>
      </c>
      <c r="CY2789">
        <v>46.04</v>
      </c>
      <c r="CZ2789" t="s">
        <v>1396</v>
      </c>
      <c r="DA2789">
        <v>20.81</v>
      </c>
      <c r="DB2789">
        <v>13.16</v>
      </c>
      <c r="DC2789">
        <v>7.15</v>
      </c>
      <c r="DD2789">
        <v>0.5</v>
      </c>
      <c r="DE2789">
        <v>7917</v>
      </c>
      <c r="DF2789">
        <v>600717</v>
      </c>
      <c r="DG2789" t="s">
        <v>116</v>
      </c>
      <c r="DH2789" t="s">
        <v>116</v>
      </c>
      <c r="DI2789" t="s">
        <v>116</v>
      </c>
    </row>
    <row r="2790" spans="1:113" x14ac:dyDescent="0.4">
      <c r="A2790" t="str">
        <f>"600718"</f>
        <v>600718</v>
      </c>
      <c r="B2790" t="s">
        <v>12480</v>
      </c>
      <c r="C2790">
        <v>-1.68</v>
      </c>
      <c r="D2790">
        <v>11.14</v>
      </c>
      <c r="E2790">
        <v>-0.19</v>
      </c>
      <c r="F2790">
        <v>11.13</v>
      </c>
      <c r="G2790">
        <v>11.14</v>
      </c>
      <c r="H2790">
        <v>70796</v>
      </c>
      <c r="I2790">
        <v>553</v>
      </c>
      <c r="J2790">
        <v>-0.26</v>
      </c>
      <c r="K2790">
        <v>0.56999999999999995</v>
      </c>
      <c r="L2790">
        <v>11.35</v>
      </c>
      <c r="M2790">
        <v>11.38</v>
      </c>
      <c r="N2790">
        <v>11.13</v>
      </c>
      <c r="O2790">
        <v>11.33</v>
      </c>
      <c r="P2790">
        <v>288.7</v>
      </c>
      <c r="Q2790">
        <v>79714904</v>
      </c>
      <c r="R2790">
        <v>0.94</v>
      </c>
      <c r="S2790" t="s">
        <v>607</v>
      </c>
      <c r="T2790" t="s">
        <v>434</v>
      </c>
      <c r="U2790">
        <v>2.21</v>
      </c>
      <c r="V2790">
        <v>11.26</v>
      </c>
      <c r="W2790">
        <v>45225</v>
      </c>
      <c r="X2790">
        <v>25571</v>
      </c>
      <c r="Y2790">
        <v>1.77</v>
      </c>
      <c r="Z2790">
        <v>267</v>
      </c>
      <c r="AA2790">
        <v>683</v>
      </c>
      <c r="AB2790" t="s">
        <v>116</v>
      </c>
      <c r="AC2790">
        <v>227000</v>
      </c>
      <c r="AD2790">
        <v>0</v>
      </c>
      <c r="AE2790" t="s">
        <v>116</v>
      </c>
      <c r="AF2790" t="s">
        <v>116</v>
      </c>
      <c r="AG2790">
        <v>12.42</v>
      </c>
      <c r="AH2790" t="s">
        <v>12481</v>
      </c>
      <c r="AI2790" t="s">
        <v>12481</v>
      </c>
      <c r="AJ2790">
        <v>-1.6</v>
      </c>
      <c r="AK2790">
        <v>2023</v>
      </c>
      <c r="AL2790">
        <v>35</v>
      </c>
      <c r="AM2790">
        <v>2.9999999999999997E-4</v>
      </c>
      <c r="AN2790">
        <v>-1</v>
      </c>
      <c r="AO2790">
        <v>-0.72</v>
      </c>
      <c r="AP2790">
        <v>4.5999999999999996</v>
      </c>
      <c r="AQ2790">
        <v>-0.18</v>
      </c>
      <c r="AR2790">
        <v>-3.55</v>
      </c>
      <c r="AS2790">
        <v>0.82</v>
      </c>
      <c r="AT2790" t="s">
        <v>12482</v>
      </c>
      <c r="AU2790">
        <v>642.66999999999996</v>
      </c>
      <c r="AV2790">
        <v>125.68</v>
      </c>
      <c r="AW2790">
        <v>1.5</v>
      </c>
      <c r="BA2790">
        <v>0.18</v>
      </c>
      <c r="BB2790">
        <v>0.44</v>
      </c>
      <c r="BC2790">
        <v>-1.77</v>
      </c>
      <c r="BD2790">
        <v>-0.62</v>
      </c>
      <c r="BE2790">
        <v>-1.85</v>
      </c>
      <c r="BF2790">
        <v>-2.11</v>
      </c>
      <c r="BG2790">
        <v>0.09</v>
      </c>
      <c r="BH2790">
        <v>-1.06</v>
      </c>
      <c r="BI2790">
        <v>20191031</v>
      </c>
      <c r="BJ2790">
        <v>19960618</v>
      </c>
      <c r="BK2790">
        <v>12.42</v>
      </c>
      <c r="BL2790" t="s">
        <v>116</v>
      </c>
      <c r="BM2790" t="s">
        <v>116</v>
      </c>
      <c r="BN2790">
        <v>143.66999999999999</v>
      </c>
      <c r="BO2790">
        <v>87.08</v>
      </c>
      <c r="BP2790">
        <v>0.84</v>
      </c>
      <c r="BQ2790">
        <v>38.81</v>
      </c>
      <c r="BR2790">
        <v>73.7</v>
      </c>
      <c r="BS2790">
        <v>16.41</v>
      </c>
      <c r="BT2790">
        <v>5.66</v>
      </c>
      <c r="BU2790">
        <v>43.32</v>
      </c>
      <c r="BV2790">
        <v>28.32</v>
      </c>
      <c r="BW2790">
        <v>19.399999999999999</v>
      </c>
      <c r="BX2790">
        <v>10.41</v>
      </c>
      <c r="BY2790">
        <v>46.18</v>
      </c>
      <c r="BZ2790">
        <v>31.14</v>
      </c>
      <c r="CA2790">
        <v>-0.73</v>
      </c>
      <c r="CB2790">
        <v>-1.93</v>
      </c>
      <c r="CC2790">
        <v>-0.67</v>
      </c>
      <c r="CD2790">
        <v>-1.37</v>
      </c>
      <c r="CE2790">
        <v>0.36</v>
      </c>
      <c r="CF2790">
        <v>-0.51</v>
      </c>
      <c r="CG2790">
        <v>55.9</v>
      </c>
      <c r="CH2790">
        <v>-13.17</v>
      </c>
      <c r="CI2790">
        <v>-11.12</v>
      </c>
      <c r="CJ2790">
        <v>83564</v>
      </c>
      <c r="CK2790">
        <v>10359</v>
      </c>
      <c r="CL2790" t="s">
        <v>3013</v>
      </c>
      <c r="CM2790">
        <v>-71.13</v>
      </c>
      <c r="CN2790">
        <v>8.52</v>
      </c>
      <c r="CO2790">
        <v>1.59</v>
      </c>
      <c r="CP2790">
        <v>-10.51</v>
      </c>
      <c r="CQ2790">
        <v>3</v>
      </c>
      <c r="CR2790">
        <v>0</v>
      </c>
      <c r="CS2790" t="s">
        <v>944</v>
      </c>
      <c r="CT2790">
        <v>7.01</v>
      </c>
      <c r="CU2790">
        <v>0</v>
      </c>
      <c r="CV2790">
        <v>0.84</v>
      </c>
      <c r="CW2790">
        <v>4.5</v>
      </c>
      <c r="CX2790">
        <v>-1.06</v>
      </c>
      <c r="CY2790">
        <v>60.61</v>
      </c>
      <c r="CZ2790" t="s">
        <v>8261</v>
      </c>
      <c r="DA2790">
        <v>32.57</v>
      </c>
      <c r="DB2790">
        <v>-1.59</v>
      </c>
      <c r="DC2790">
        <v>0.78</v>
      </c>
      <c r="DD2790">
        <v>5.79</v>
      </c>
      <c r="DE2790">
        <v>16656</v>
      </c>
      <c r="DF2790">
        <v>600718</v>
      </c>
      <c r="DG2790" t="s">
        <v>116</v>
      </c>
      <c r="DH2790" t="s">
        <v>116</v>
      </c>
      <c r="DI2790" t="s">
        <v>116</v>
      </c>
    </row>
    <row r="2791" spans="1:113" x14ac:dyDescent="0.4">
      <c r="A2791" t="str">
        <f>"600719"</f>
        <v>600719</v>
      </c>
      <c r="B2791" t="s">
        <v>12483</v>
      </c>
      <c r="C2791">
        <v>-0.2</v>
      </c>
      <c r="D2791">
        <v>5.04</v>
      </c>
      <c r="E2791">
        <v>-0.01</v>
      </c>
      <c r="F2791">
        <v>5.03</v>
      </c>
      <c r="G2791">
        <v>5.04</v>
      </c>
      <c r="H2791">
        <v>21162</v>
      </c>
      <c r="I2791">
        <v>127</v>
      </c>
      <c r="J2791">
        <v>0.4</v>
      </c>
      <c r="K2791">
        <v>0.52</v>
      </c>
      <c r="L2791">
        <v>5.14</v>
      </c>
      <c r="M2791">
        <v>5.14</v>
      </c>
      <c r="N2791">
        <v>5.01</v>
      </c>
      <c r="O2791">
        <v>5.05</v>
      </c>
      <c r="P2791" t="s">
        <v>116</v>
      </c>
      <c r="Q2791">
        <v>10692148</v>
      </c>
      <c r="R2791">
        <v>0.79</v>
      </c>
      <c r="S2791" t="s">
        <v>690</v>
      </c>
      <c r="T2791" t="s">
        <v>434</v>
      </c>
      <c r="U2791">
        <v>2.57</v>
      </c>
      <c r="V2791">
        <v>5.05</v>
      </c>
      <c r="W2791">
        <v>14286</v>
      </c>
      <c r="X2791">
        <v>6876</v>
      </c>
      <c r="Y2791">
        <v>2.08</v>
      </c>
      <c r="Z2791">
        <v>2130</v>
      </c>
      <c r="AA2791">
        <v>63</v>
      </c>
      <c r="AB2791" t="s">
        <v>116</v>
      </c>
      <c r="AC2791">
        <v>91000</v>
      </c>
      <c r="AD2791">
        <v>0.01</v>
      </c>
      <c r="AE2791" t="s">
        <v>116</v>
      </c>
      <c r="AF2791" t="s">
        <v>116</v>
      </c>
      <c r="AG2791">
        <v>4.05</v>
      </c>
      <c r="AH2791" t="s">
        <v>7796</v>
      </c>
      <c r="AI2791" t="s">
        <v>7796</v>
      </c>
      <c r="AJ2791">
        <v>-0.12</v>
      </c>
      <c r="AK2791">
        <v>456</v>
      </c>
      <c r="AL2791">
        <v>46</v>
      </c>
      <c r="AM2791">
        <v>1.1000000000000001E-3</v>
      </c>
      <c r="AN2791">
        <v>-1</v>
      </c>
      <c r="AO2791">
        <v>2.85</v>
      </c>
      <c r="AP2791">
        <v>13</v>
      </c>
      <c r="AQ2791">
        <v>-2.89</v>
      </c>
      <c r="AR2791">
        <v>32.46</v>
      </c>
      <c r="AS2791">
        <v>0.78</v>
      </c>
      <c r="AT2791" t="s">
        <v>12484</v>
      </c>
      <c r="AU2791">
        <v>149.41999999999999</v>
      </c>
      <c r="AV2791">
        <v>753.34</v>
      </c>
      <c r="AW2791">
        <v>1.32</v>
      </c>
      <c r="BA2791">
        <v>1.78</v>
      </c>
      <c r="BB2791">
        <v>1.78</v>
      </c>
      <c r="BC2791">
        <v>-0.79</v>
      </c>
      <c r="BD2791">
        <v>0.05</v>
      </c>
      <c r="BE2791">
        <v>-1.95</v>
      </c>
      <c r="BF2791">
        <v>-1.95</v>
      </c>
      <c r="BG2791">
        <v>0.6</v>
      </c>
      <c r="BH2791">
        <v>-0.25</v>
      </c>
      <c r="BI2791">
        <v>20191026</v>
      </c>
      <c r="BJ2791">
        <v>19960716</v>
      </c>
      <c r="BK2791">
        <v>4.05</v>
      </c>
      <c r="BL2791" t="s">
        <v>116</v>
      </c>
      <c r="BM2791" t="s">
        <v>116</v>
      </c>
      <c r="BN2791">
        <v>20.94</v>
      </c>
      <c r="BO2791">
        <v>7.03</v>
      </c>
      <c r="BP2791">
        <v>0</v>
      </c>
      <c r="BQ2791">
        <v>66.41</v>
      </c>
      <c r="BR2791">
        <v>5.55</v>
      </c>
      <c r="BS2791">
        <v>7.89</v>
      </c>
      <c r="BT2791">
        <v>0.01</v>
      </c>
      <c r="BU2791">
        <v>11.36</v>
      </c>
      <c r="BV2791">
        <v>0.74</v>
      </c>
      <c r="BW2791">
        <v>0.21</v>
      </c>
      <c r="BX2791">
        <v>1.02</v>
      </c>
      <c r="BY2791">
        <v>5</v>
      </c>
      <c r="BZ2791">
        <v>4.2300000000000004</v>
      </c>
      <c r="CA2791">
        <v>-0.23</v>
      </c>
      <c r="CB2791">
        <v>0</v>
      </c>
      <c r="CC2791">
        <v>-0.25</v>
      </c>
      <c r="CD2791">
        <v>-0.23</v>
      </c>
      <c r="CE2791">
        <v>-0.23</v>
      </c>
      <c r="CF2791">
        <v>-0.21</v>
      </c>
      <c r="CG2791">
        <v>0.28000000000000003</v>
      </c>
      <c r="CH2791">
        <v>-0.5</v>
      </c>
      <c r="CI2791">
        <v>-0.27</v>
      </c>
      <c r="CJ2791">
        <v>20510</v>
      </c>
      <c r="CK2791">
        <v>13236</v>
      </c>
      <c r="CL2791" t="s">
        <v>152</v>
      </c>
      <c r="CM2791">
        <v>32.24</v>
      </c>
      <c r="CN2791">
        <v>1.27</v>
      </c>
      <c r="CO2791">
        <v>2.9</v>
      </c>
      <c r="CP2791">
        <v>-41.02</v>
      </c>
      <c r="CQ2791">
        <v>4.08</v>
      </c>
      <c r="CR2791">
        <v>0.1</v>
      </c>
      <c r="CS2791" t="s">
        <v>1425</v>
      </c>
      <c r="CT2791">
        <v>1.74</v>
      </c>
      <c r="CU2791">
        <v>0</v>
      </c>
      <c r="CV2791">
        <v>0.25</v>
      </c>
      <c r="CW2791">
        <v>7.0000000000000007E-2</v>
      </c>
      <c r="CX2791">
        <v>-0.12</v>
      </c>
      <c r="CY2791">
        <v>33.590000000000003</v>
      </c>
      <c r="CZ2791" t="s">
        <v>12485</v>
      </c>
      <c r="DA2791">
        <v>15.29</v>
      </c>
      <c r="DB2791">
        <v>-4.62</v>
      </c>
      <c r="DC2791">
        <v>-4.5999999999999996</v>
      </c>
      <c r="DD2791">
        <v>0</v>
      </c>
      <c r="DE2791">
        <v>807</v>
      </c>
      <c r="DF2791">
        <v>600719</v>
      </c>
      <c r="DG2791" t="s">
        <v>116</v>
      </c>
      <c r="DH2791" t="s">
        <v>116</v>
      </c>
      <c r="DI2791" t="s">
        <v>116</v>
      </c>
    </row>
    <row r="2792" spans="1:113" x14ac:dyDescent="0.4">
      <c r="A2792" t="str">
        <f>"600720"</f>
        <v>600720</v>
      </c>
      <c r="B2792" t="s">
        <v>12486</v>
      </c>
      <c r="C2792">
        <v>-1.62</v>
      </c>
      <c r="D2792">
        <v>11.54</v>
      </c>
      <c r="E2792">
        <v>-0.19</v>
      </c>
      <c r="F2792">
        <v>11.53</v>
      </c>
      <c r="G2792">
        <v>11.54</v>
      </c>
      <c r="H2792">
        <v>153942</v>
      </c>
      <c r="I2792">
        <v>3441</v>
      </c>
      <c r="J2792">
        <v>-0.08</v>
      </c>
      <c r="K2792">
        <v>1.98</v>
      </c>
      <c r="L2792">
        <v>11.73</v>
      </c>
      <c r="M2792">
        <v>11.82</v>
      </c>
      <c r="N2792">
        <v>11.54</v>
      </c>
      <c r="O2792">
        <v>11.73</v>
      </c>
      <c r="P2792">
        <v>6.45</v>
      </c>
      <c r="Q2792">
        <v>179349824</v>
      </c>
      <c r="R2792">
        <v>0.9</v>
      </c>
      <c r="S2792" t="s">
        <v>660</v>
      </c>
      <c r="T2792" t="s">
        <v>1122</v>
      </c>
      <c r="U2792">
        <v>2.39</v>
      </c>
      <c r="V2792">
        <v>11.65</v>
      </c>
      <c r="W2792">
        <v>72621</v>
      </c>
      <c r="X2792">
        <v>81322</v>
      </c>
      <c r="Y2792">
        <v>0.89</v>
      </c>
      <c r="Z2792">
        <v>996</v>
      </c>
      <c r="AA2792">
        <v>496</v>
      </c>
      <c r="AB2792" t="s">
        <v>116</v>
      </c>
      <c r="AC2792">
        <v>528200</v>
      </c>
      <c r="AD2792">
        <v>0.01</v>
      </c>
      <c r="AE2792" t="s">
        <v>116</v>
      </c>
      <c r="AF2792" t="s">
        <v>116</v>
      </c>
      <c r="AG2792">
        <v>7.76</v>
      </c>
      <c r="AH2792" t="s">
        <v>12487</v>
      </c>
      <c r="AI2792" t="s">
        <v>12488</v>
      </c>
      <c r="AJ2792">
        <v>-1.54</v>
      </c>
      <c r="AK2792">
        <v>3777</v>
      </c>
      <c r="AL2792">
        <v>41</v>
      </c>
      <c r="AM2792">
        <v>5.0000000000000001E-4</v>
      </c>
      <c r="AN2792">
        <v>-1</v>
      </c>
      <c r="AO2792">
        <v>-0.69</v>
      </c>
      <c r="AP2792">
        <v>7.85</v>
      </c>
      <c r="AQ2792">
        <v>24.09</v>
      </c>
      <c r="AR2792">
        <v>87.52</v>
      </c>
      <c r="AS2792">
        <v>2.65</v>
      </c>
      <c r="AT2792" t="s">
        <v>12489</v>
      </c>
      <c r="AU2792">
        <v>7.82</v>
      </c>
      <c r="AV2792">
        <v>13.68</v>
      </c>
      <c r="AW2792">
        <v>1.22</v>
      </c>
      <c r="BA2792">
        <v>0</v>
      </c>
      <c r="BB2792">
        <v>0.77</v>
      </c>
      <c r="BC2792">
        <v>-1.62</v>
      </c>
      <c r="BD2792">
        <v>-0.68</v>
      </c>
      <c r="BE2792">
        <v>-1.62</v>
      </c>
      <c r="BF2792">
        <v>-2.37</v>
      </c>
      <c r="BG2792">
        <v>0</v>
      </c>
      <c r="BH2792">
        <v>-0.94</v>
      </c>
      <c r="BI2792">
        <v>20191022</v>
      </c>
      <c r="BJ2792">
        <v>19960716</v>
      </c>
      <c r="BK2792">
        <v>7.76</v>
      </c>
      <c r="BL2792" t="s">
        <v>116</v>
      </c>
      <c r="BM2792" t="s">
        <v>116</v>
      </c>
      <c r="BN2792">
        <v>103.75</v>
      </c>
      <c r="BO2792">
        <v>66.09</v>
      </c>
      <c r="BP2792">
        <v>6.56</v>
      </c>
      <c r="BQ2792">
        <v>29.98</v>
      </c>
      <c r="BR2792">
        <v>23.37</v>
      </c>
      <c r="BS2792">
        <v>61.58</v>
      </c>
      <c r="BT2792">
        <v>7.98</v>
      </c>
      <c r="BU2792">
        <v>28.8</v>
      </c>
      <c r="BV2792">
        <v>4.2699999999999996</v>
      </c>
      <c r="BW2792">
        <v>5.71</v>
      </c>
      <c r="BX2792">
        <v>13.41</v>
      </c>
      <c r="BY2792">
        <v>52.19</v>
      </c>
      <c r="BZ2792">
        <v>32.799999999999997</v>
      </c>
      <c r="CA2792">
        <v>12.54</v>
      </c>
      <c r="CB2792">
        <v>-0.05</v>
      </c>
      <c r="CC2792">
        <v>13.16</v>
      </c>
      <c r="CD2792">
        <v>11.16</v>
      </c>
      <c r="CE2792">
        <v>10.42</v>
      </c>
      <c r="CF2792">
        <v>9.17</v>
      </c>
      <c r="CG2792">
        <v>39.549999999999997</v>
      </c>
      <c r="CH2792">
        <v>19.25</v>
      </c>
      <c r="CI2792">
        <v>2</v>
      </c>
      <c r="CJ2792">
        <v>54993</v>
      </c>
      <c r="CK2792">
        <v>10579</v>
      </c>
      <c r="CL2792" t="s">
        <v>3136</v>
      </c>
      <c r="CM2792">
        <v>88.98</v>
      </c>
      <c r="CN2792">
        <v>20.9</v>
      </c>
      <c r="CO2792">
        <v>1.36</v>
      </c>
      <c r="CP2792">
        <v>4.6500000000000004</v>
      </c>
      <c r="CQ2792">
        <v>1.72</v>
      </c>
      <c r="CR2792">
        <v>2.56</v>
      </c>
      <c r="CS2792" t="s">
        <v>12490</v>
      </c>
      <c r="CT2792">
        <v>8.51</v>
      </c>
      <c r="CU2792">
        <v>0</v>
      </c>
      <c r="CV2792">
        <v>1.73</v>
      </c>
      <c r="CW2792">
        <v>5.0999999999999996</v>
      </c>
      <c r="CX2792">
        <v>2.48</v>
      </c>
      <c r="CY2792">
        <v>63.7</v>
      </c>
      <c r="CZ2792" t="s">
        <v>9476</v>
      </c>
      <c r="DA2792">
        <v>37.15</v>
      </c>
      <c r="DB2792">
        <v>24.03</v>
      </c>
      <c r="DC2792">
        <v>19.96</v>
      </c>
      <c r="DD2792">
        <v>0</v>
      </c>
      <c r="DE2792">
        <v>5224</v>
      </c>
      <c r="DF2792">
        <v>600720</v>
      </c>
      <c r="DG2792" t="s">
        <v>116</v>
      </c>
      <c r="DH2792" t="s">
        <v>116</v>
      </c>
      <c r="DI2792" t="s">
        <v>116</v>
      </c>
    </row>
    <row r="2793" spans="1:113" x14ac:dyDescent="0.4">
      <c r="A2793" t="str">
        <f>"600721"</f>
        <v>600721</v>
      </c>
      <c r="B2793" t="s">
        <v>12491</v>
      </c>
      <c r="C2793">
        <v>-1.43</v>
      </c>
      <c r="D2793">
        <v>6.2</v>
      </c>
      <c r="E2793">
        <v>-0.09</v>
      </c>
      <c r="F2793">
        <v>6.18</v>
      </c>
      <c r="G2793">
        <v>6.2</v>
      </c>
      <c r="H2793">
        <v>30641</v>
      </c>
      <c r="I2793">
        <v>1044</v>
      </c>
      <c r="J2793">
        <v>0.81</v>
      </c>
      <c r="K2793">
        <v>1</v>
      </c>
      <c r="L2793">
        <v>6.29</v>
      </c>
      <c r="M2793">
        <v>6.32</v>
      </c>
      <c r="N2793">
        <v>6.12</v>
      </c>
      <c r="O2793">
        <v>6.29</v>
      </c>
      <c r="P2793">
        <v>37.36</v>
      </c>
      <c r="Q2793">
        <v>19058432</v>
      </c>
      <c r="R2793">
        <v>1.19</v>
      </c>
      <c r="S2793" t="s">
        <v>132</v>
      </c>
      <c r="T2793" t="s">
        <v>616</v>
      </c>
      <c r="U2793">
        <v>3.18</v>
      </c>
      <c r="V2793">
        <v>6.22</v>
      </c>
      <c r="W2793">
        <v>21131</v>
      </c>
      <c r="X2793">
        <v>9510</v>
      </c>
      <c r="Y2793">
        <v>2.2200000000000002</v>
      </c>
      <c r="Z2793">
        <v>143</v>
      </c>
      <c r="AA2793">
        <v>676</v>
      </c>
      <c r="AB2793" t="s">
        <v>116</v>
      </c>
      <c r="AC2793">
        <v>0</v>
      </c>
      <c r="AD2793">
        <v>0</v>
      </c>
      <c r="AE2793" t="s">
        <v>116</v>
      </c>
      <c r="AF2793" t="s">
        <v>116</v>
      </c>
      <c r="AG2793">
        <v>3.06</v>
      </c>
      <c r="AH2793" t="s">
        <v>2939</v>
      </c>
      <c r="AI2793" t="s">
        <v>8424</v>
      </c>
      <c r="AJ2793">
        <v>-1.35</v>
      </c>
      <c r="AK2793">
        <v>354</v>
      </c>
      <c r="AL2793">
        <v>87</v>
      </c>
      <c r="AM2793">
        <v>2.8E-3</v>
      </c>
      <c r="AN2793">
        <v>-1</v>
      </c>
      <c r="AO2793">
        <v>-0.15</v>
      </c>
      <c r="AP2793">
        <v>4.7300000000000004</v>
      </c>
      <c r="AQ2793">
        <v>12.32</v>
      </c>
      <c r="AR2793">
        <v>18.100000000000001</v>
      </c>
      <c r="AS2793">
        <v>1.56</v>
      </c>
      <c r="AT2793" t="s">
        <v>4930</v>
      </c>
      <c r="AU2793" t="s">
        <v>116</v>
      </c>
      <c r="AV2793" t="s">
        <v>116</v>
      </c>
      <c r="AW2793">
        <v>0.59</v>
      </c>
      <c r="BA2793">
        <v>0</v>
      </c>
      <c r="BB2793">
        <v>0.48</v>
      </c>
      <c r="BC2793">
        <v>-2.7</v>
      </c>
      <c r="BD2793">
        <v>-1.1100000000000001</v>
      </c>
      <c r="BE2793">
        <v>-1.43</v>
      </c>
      <c r="BF2793">
        <v>-1.9</v>
      </c>
      <c r="BG2793">
        <v>1.31</v>
      </c>
      <c r="BH2793">
        <v>-0.32</v>
      </c>
      <c r="BI2793">
        <v>20191025</v>
      </c>
      <c r="BJ2793">
        <v>19960626</v>
      </c>
      <c r="BK2793">
        <v>4</v>
      </c>
      <c r="BL2793" t="s">
        <v>116</v>
      </c>
      <c r="BM2793" t="s">
        <v>116</v>
      </c>
      <c r="BN2793">
        <v>12.11</v>
      </c>
      <c r="BO2793">
        <v>9.7100000000000009</v>
      </c>
      <c r="BP2793">
        <v>0</v>
      </c>
      <c r="BQ2793">
        <v>19.8</v>
      </c>
      <c r="BR2793">
        <v>5.72</v>
      </c>
      <c r="BS2793">
        <v>1.97</v>
      </c>
      <c r="BT2793">
        <v>0.15</v>
      </c>
      <c r="BU2793">
        <v>2.0299999999999998</v>
      </c>
      <c r="BV2793">
        <v>2.14</v>
      </c>
      <c r="BW2793">
        <v>2.4500000000000002</v>
      </c>
      <c r="BX2793">
        <v>23.22</v>
      </c>
      <c r="BY2793">
        <v>2.02</v>
      </c>
      <c r="BZ2793">
        <v>0.92</v>
      </c>
      <c r="CA2793">
        <v>0.6</v>
      </c>
      <c r="CB2793">
        <v>0.04</v>
      </c>
      <c r="CC2793">
        <v>0.6</v>
      </c>
      <c r="CD2793">
        <v>0.49</v>
      </c>
      <c r="CE2793">
        <v>0.5</v>
      </c>
      <c r="CF2793">
        <v>0.44</v>
      </c>
      <c r="CG2793">
        <v>-17.649999999999999</v>
      </c>
      <c r="CH2793">
        <v>-0.38</v>
      </c>
      <c r="CI2793">
        <v>-0.65</v>
      </c>
      <c r="CJ2793">
        <v>13571</v>
      </c>
      <c r="CK2793">
        <v>14489</v>
      </c>
      <c r="CL2793" t="s">
        <v>12492</v>
      </c>
      <c r="CM2793">
        <v>-28.9</v>
      </c>
      <c r="CN2793">
        <v>-43.87</v>
      </c>
      <c r="CO2793">
        <v>2.56</v>
      </c>
      <c r="CP2793">
        <v>-64.83</v>
      </c>
      <c r="CQ2793">
        <v>12.27</v>
      </c>
      <c r="CR2793">
        <v>0</v>
      </c>
      <c r="CS2793" t="s">
        <v>868</v>
      </c>
      <c r="CT2793">
        <v>2.4300000000000002</v>
      </c>
      <c r="CU2793">
        <v>0</v>
      </c>
      <c r="CV2793">
        <v>5.8</v>
      </c>
      <c r="CW2793">
        <v>-4.41</v>
      </c>
      <c r="CX2793">
        <v>-0.1</v>
      </c>
      <c r="CY2793">
        <v>80.2</v>
      </c>
      <c r="CZ2793" t="s">
        <v>5830</v>
      </c>
      <c r="DA2793">
        <v>54.66</v>
      </c>
      <c r="DB2793">
        <v>29.57</v>
      </c>
      <c r="DC2793">
        <v>24.63</v>
      </c>
      <c r="DD2793">
        <v>0</v>
      </c>
      <c r="DE2793">
        <v>723</v>
      </c>
      <c r="DF2793">
        <v>600721</v>
      </c>
      <c r="DG2793" t="s">
        <v>116</v>
      </c>
      <c r="DH2793" t="s">
        <v>116</v>
      </c>
      <c r="DI2793" t="s">
        <v>116</v>
      </c>
    </row>
    <row r="2794" spans="1:113" x14ac:dyDescent="0.4">
      <c r="A2794" t="str">
        <f>"600722"</f>
        <v>600722</v>
      </c>
      <c r="B2794" t="s">
        <v>12493</v>
      </c>
      <c r="C2794">
        <v>-1.64</v>
      </c>
      <c r="D2794">
        <v>4.8</v>
      </c>
      <c r="E2794">
        <v>-0.08</v>
      </c>
      <c r="F2794">
        <v>4.8</v>
      </c>
      <c r="G2794">
        <v>4.8099999999999996</v>
      </c>
      <c r="H2794">
        <v>65236</v>
      </c>
      <c r="I2794">
        <v>228</v>
      </c>
      <c r="J2794">
        <v>-0.2</v>
      </c>
      <c r="K2794">
        <v>0.96</v>
      </c>
      <c r="L2794">
        <v>4.8600000000000003</v>
      </c>
      <c r="M2794">
        <v>4.9000000000000004</v>
      </c>
      <c r="N2794">
        <v>4.78</v>
      </c>
      <c r="O2794">
        <v>4.88</v>
      </c>
      <c r="P2794">
        <v>99.54</v>
      </c>
      <c r="Q2794">
        <v>31590052</v>
      </c>
      <c r="R2794">
        <v>1.78</v>
      </c>
      <c r="S2794" t="s">
        <v>891</v>
      </c>
      <c r="T2794" t="s">
        <v>608</v>
      </c>
      <c r="U2794">
        <v>2.46</v>
      </c>
      <c r="V2794">
        <v>4.84</v>
      </c>
      <c r="W2794">
        <v>41128</v>
      </c>
      <c r="X2794">
        <v>24108</v>
      </c>
      <c r="Y2794">
        <v>1.71</v>
      </c>
      <c r="Z2794">
        <v>3825</v>
      </c>
      <c r="AA2794">
        <v>344</v>
      </c>
      <c r="AB2794" t="s">
        <v>116</v>
      </c>
      <c r="AC2794">
        <v>37900</v>
      </c>
      <c r="AD2794">
        <v>0</v>
      </c>
      <c r="AE2794" t="s">
        <v>116</v>
      </c>
      <c r="AF2794" t="s">
        <v>116</v>
      </c>
      <c r="AG2794">
        <v>6.8</v>
      </c>
      <c r="AH2794" t="s">
        <v>12494</v>
      </c>
      <c r="AI2794" t="s">
        <v>12494</v>
      </c>
      <c r="AJ2794">
        <v>-1.56</v>
      </c>
      <c r="AK2794">
        <v>919</v>
      </c>
      <c r="AL2794">
        <v>71</v>
      </c>
      <c r="AM2794">
        <v>1E-3</v>
      </c>
      <c r="AN2794">
        <v>-1</v>
      </c>
      <c r="AO2794">
        <v>0.21</v>
      </c>
      <c r="AP2794">
        <v>3.9</v>
      </c>
      <c r="AQ2794">
        <v>-8.4</v>
      </c>
      <c r="AR2794">
        <v>5.26</v>
      </c>
      <c r="AS2794">
        <v>2.1800000000000002</v>
      </c>
      <c r="AT2794" t="s">
        <v>4341</v>
      </c>
      <c r="AU2794">
        <v>74.42</v>
      </c>
      <c r="AV2794">
        <v>55.96</v>
      </c>
      <c r="AW2794">
        <v>1.07</v>
      </c>
      <c r="BA2794">
        <v>-0.41</v>
      </c>
      <c r="BB2794">
        <v>0.41</v>
      </c>
      <c r="BC2794">
        <v>-2.0499999999999998</v>
      </c>
      <c r="BD2794">
        <v>-0.77</v>
      </c>
      <c r="BE2794">
        <v>-1.23</v>
      </c>
      <c r="BF2794">
        <v>-2.04</v>
      </c>
      <c r="BG2794">
        <v>0.42</v>
      </c>
      <c r="BH2794">
        <v>-0.87</v>
      </c>
      <c r="BI2794">
        <v>20191018</v>
      </c>
      <c r="BJ2794">
        <v>19960626</v>
      </c>
      <c r="BK2794">
        <v>6.8</v>
      </c>
      <c r="BL2794" t="s">
        <v>116</v>
      </c>
      <c r="BM2794" t="s">
        <v>116</v>
      </c>
      <c r="BN2794">
        <v>12.31</v>
      </c>
      <c r="BO2794">
        <v>10</v>
      </c>
      <c r="BP2794">
        <v>1.0900000000000001</v>
      </c>
      <c r="BQ2794">
        <v>9.9</v>
      </c>
      <c r="BR2794">
        <v>10.41</v>
      </c>
      <c r="BS2794">
        <v>1.34</v>
      </c>
      <c r="BT2794">
        <v>0.21</v>
      </c>
      <c r="BU2794">
        <v>1.22</v>
      </c>
      <c r="BV2794">
        <v>0.12</v>
      </c>
      <c r="BW2794">
        <v>0.33</v>
      </c>
      <c r="BX2794">
        <v>16.45</v>
      </c>
      <c r="BY2794">
        <v>7.01</v>
      </c>
      <c r="BZ2794">
        <v>6.43</v>
      </c>
      <c r="CA2794">
        <v>0.47</v>
      </c>
      <c r="CB2794">
        <v>0</v>
      </c>
      <c r="CC2794">
        <v>0.47</v>
      </c>
      <c r="CD2794">
        <v>0.45</v>
      </c>
      <c r="CE2794">
        <v>0.25</v>
      </c>
      <c r="CF2794">
        <v>0.24</v>
      </c>
      <c r="CG2794">
        <v>-14.2</v>
      </c>
      <c r="CH2794">
        <v>1.25</v>
      </c>
      <c r="CI2794">
        <v>1.07</v>
      </c>
      <c r="CJ2794">
        <v>45558</v>
      </c>
      <c r="CK2794">
        <v>6564</v>
      </c>
      <c r="CL2794" t="s">
        <v>4280</v>
      </c>
      <c r="CM2794">
        <v>-37.049999999999997</v>
      </c>
      <c r="CN2794">
        <v>-6.76</v>
      </c>
      <c r="CO2794">
        <v>3.27</v>
      </c>
      <c r="CP2794">
        <v>26.17</v>
      </c>
      <c r="CQ2794">
        <v>4.66</v>
      </c>
      <c r="CR2794">
        <v>0</v>
      </c>
      <c r="CS2794" t="s">
        <v>1223</v>
      </c>
      <c r="CT2794">
        <v>1.47</v>
      </c>
      <c r="CU2794">
        <v>0</v>
      </c>
      <c r="CV2794">
        <v>2.42</v>
      </c>
      <c r="CW2794">
        <v>-2.09</v>
      </c>
      <c r="CX2794">
        <v>0.18</v>
      </c>
      <c r="CY2794">
        <v>81.23</v>
      </c>
      <c r="CZ2794" t="s">
        <v>822</v>
      </c>
      <c r="DA2794">
        <v>8.23</v>
      </c>
      <c r="DB2794">
        <v>6.72</v>
      </c>
      <c r="DC2794">
        <v>3.51</v>
      </c>
      <c r="DD2794">
        <v>0</v>
      </c>
      <c r="DE2794">
        <v>186</v>
      </c>
      <c r="DF2794">
        <v>600722</v>
      </c>
      <c r="DG2794" t="s">
        <v>116</v>
      </c>
      <c r="DH2794" t="s">
        <v>116</v>
      </c>
      <c r="DI2794" t="s">
        <v>116</v>
      </c>
    </row>
    <row r="2795" spans="1:113" x14ac:dyDescent="0.4">
      <c r="A2795" t="str">
        <f>"600723"</f>
        <v>600723</v>
      </c>
      <c r="B2795" t="s">
        <v>12495</v>
      </c>
      <c r="C2795">
        <v>0.33</v>
      </c>
      <c r="D2795">
        <v>6.09</v>
      </c>
      <c r="E2795">
        <v>0.02</v>
      </c>
      <c r="F2795">
        <v>6.08</v>
      </c>
      <c r="G2795">
        <v>6.09</v>
      </c>
      <c r="H2795">
        <v>26886</v>
      </c>
      <c r="I2795">
        <v>1088</v>
      </c>
      <c r="J2795">
        <v>0.5</v>
      </c>
      <c r="K2795">
        <v>0.41</v>
      </c>
      <c r="L2795">
        <v>6.08</v>
      </c>
      <c r="M2795">
        <v>6.12</v>
      </c>
      <c r="N2795">
        <v>6.06</v>
      </c>
      <c r="O2795">
        <v>6.07</v>
      </c>
      <c r="P2795">
        <v>10.1</v>
      </c>
      <c r="Q2795">
        <v>16349945</v>
      </c>
      <c r="R2795">
        <v>1.33</v>
      </c>
      <c r="S2795" t="s">
        <v>746</v>
      </c>
      <c r="T2795" t="s">
        <v>165</v>
      </c>
      <c r="U2795">
        <v>0.99</v>
      </c>
      <c r="V2795">
        <v>6.08</v>
      </c>
      <c r="W2795">
        <v>15043</v>
      </c>
      <c r="X2795">
        <v>11843</v>
      </c>
      <c r="Y2795">
        <v>1.27</v>
      </c>
      <c r="Z2795">
        <v>130</v>
      </c>
      <c r="AA2795">
        <v>527</v>
      </c>
      <c r="AB2795" t="s">
        <v>116</v>
      </c>
      <c r="AC2795">
        <v>25500</v>
      </c>
      <c r="AD2795">
        <v>0</v>
      </c>
      <c r="AE2795" t="s">
        <v>116</v>
      </c>
      <c r="AF2795" t="s">
        <v>116</v>
      </c>
      <c r="AG2795">
        <v>6.58</v>
      </c>
      <c r="AH2795" t="s">
        <v>10261</v>
      </c>
      <c r="AI2795" t="s">
        <v>12496</v>
      </c>
      <c r="AJ2795">
        <v>0.41</v>
      </c>
      <c r="AK2795">
        <v>568</v>
      </c>
      <c r="AL2795">
        <v>47</v>
      </c>
      <c r="AM2795">
        <v>6.9999999999999999E-4</v>
      </c>
      <c r="AN2795">
        <v>4</v>
      </c>
      <c r="AO2795">
        <v>0.83</v>
      </c>
      <c r="AP2795">
        <v>3.57</v>
      </c>
      <c r="AQ2795">
        <v>0.83</v>
      </c>
      <c r="AR2795">
        <v>0.83</v>
      </c>
      <c r="AS2795">
        <v>0.97</v>
      </c>
      <c r="AT2795" t="s">
        <v>10987</v>
      </c>
      <c r="AU2795">
        <v>10.29</v>
      </c>
      <c r="AV2795">
        <v>11.02</v>
      </c>
      <c r="AW2795">
        <v>0.77</v>
      </c>
      <c r="BA2795">
        <v>0.16</v>
      </c>
      <c r="BB2795">
        <v>0.82</v>
      </c>
      <c r="BC2795">
        <v>-0.16</v>
      </c>
      <c r="BD2795">
        <v>0.18</v>
      </c>
      <c r="BE2795">
        <v>0.16</v>
      </c>
      <c r="BF2795">
        <v>-0.49</v>
      </c>
      <c r="BG2795">
        <v>0.5</v>
      </c>
      <c r="BH2795">
        <v>0.14000000000000001</v>
      </c>
      <c r="BI2795">
        <v>20191031</v>
      </c>
      <c r="BJ2795">
        <v>19960716</v>
      </c>
      <c r="BK2795">
        <v>6.58</v>
      </c>
      <c r="BL2795" t="s">
        <v>116</v>
      </c>
      <c r="BM2795" t="s">
        <v>116</v>
      </c>
      <c r="BN2795">
        <v>68.59</v>
      </c>
      <c r="BO2795">
        <v>41.69</v>
      </c>
      <c r="BP2795">
        <v>2.91</v>
      </c>
      <c r="BQ2795">
        <v>34.97</v>
      </c>
      <c r="BR2795">
        <v>54.25</v>
      </c>
      <c r="BS2795">
        <v>7.22</v>
      </c>
      <c r="BT2795">
        <v>3.49</v>
      </c>
      <c r="BU2795">
        <v>23.14</v>
      </c>
      <c r="BV2795">
        <v>6.56</v>
      </c>
      <c r="BW2795">
        <v>0.7</v>
      </c>
      <c r="BX2795">
        <v>8.25</v>
      </c>
      <c r="BY2795">
        <v>72.849999999999994</v>
      </c>
      <c r="BZ2795">
        <v>55.22</v>
      </c>
      <c r="CA2795">
        <v>5.0599999999999996</v>
      </c>
      <c r="CB2795">
        <v>0.56999999999999995</v>
      </c>
      <c r="CC2795">
        <v>5.0999999999999996</v>
      </c>
      <c r="CD2795">
        <v>3.75</v>
      </c>
      <c r="CE2795">
        <v>2.98</v>
      </c>
      <c r="CF2795">
        <v>2.5</v>
      </c>
      <c r="CG2795">
        <v>23.25</v>
      </c>
      <c r="CH2795">
        <v>0.94</v>
      </c>
      <c r="CI2795">
        <v>-1.0900000000000001</v>
      </c>
      <c r="CJ2795">
        <v>33003</v>
      </c>
      <c r="CK2795">
        <v>8405</v>
      </c>
      <c r="CL2795" t="s">
        <v>5929</v>
      </c>
      <c r="CM2795">
        <v>9.44</v>
      </c>
      <c r="CN2795">
        <v>-0.91</v>
      </c>
      <c r="CO2795">
        <v>0.96</v>
      </c>
      <c r="CP2795">
        <v>42.66</v>
      </c>
      <c r="CQ2795">
        <v>0.55000000000000004</v>
      </c>
      <c r="CR2795">
        <v>2.79</v>
      </c>
      <c r="CS2795" t="s">
        <v>12497</v>
      </c>
      <c r="CT2795">
        <v>6.33</v>
      </c>
      <c r="CU2795">
        <v>0</v>
      </c>
      <c r="CV2795">
        <v>1.25</v>
      </c>
      <c r="CW2795">
        <v>3.53</v>
      </c>
      <c r="CX2795">
        <v>0.14000000000000001</v>
      </c>
      <c r="CY2795">
        <v>60.78</v>
      </c>
      <c r="CZ2795" t="s">
        <v>12498</v>
      </c>
      <c r="DA2795">
        <v>24.2</v>
      </c>
      <c r="DB2795">
        <v>6.95</v>
      </c>
      <c r="DC2795">
        <v>4.09</v>
      </c>
      <c r="DD2795">
        <v>0</v>
      </c>
      <c r="DE2795">
        <v>5856</v>
      </c>
      <c r="DF2795">
        <v>600723</v>
      </c>
      <c r="DG2795" t="s">
        <v>116</v>
      </c>
      <c r="DH2795" t="s">
        <v>116</v>
      </c>
      <c r="DI2795" t="s">
        <v>116</v>
      </c>
    </row>
    <row r="2796" spans="1:113" x14ac:dyDescent="0.4">
      <c r="A2796" t="str">
        <f>"600724"</f>
        <v>600724</v>
      </c>
      <c r="B2796" t="s">
        <v>12499</v>
      </c>
      <c r="C2796">
        <v>0</v>
      </c>
      <c r="D2796">
        <v>3.64</v>
      </c>
      <c r="E2796">
        <v>0</v>
      </c>
      <c r="F2796">
        <v>3.63</v>
      </c>
      <c r="G2796">
        <v>3.64</v>
      </c>
      <c r="H2796">
        <v>32865</v>
      </c>
      <c r="I2796">
        <v>138</v>
      </c>
      <c r="J2796">
        <v>0</v>
      </c>
      <c r="K2796">
        <v>0.23</v>
      </c>
      <c r="L2796">
        <v>3.64</v>
      </c>
      <c r="M2796">
        <v>3.68</v>
      </c>
      <c r="N2796">
        <v>3.62</v>
      </c>
      <c r="O2796">
        <v>3.64</v>
      </c>
      <c r="P2796">
        <v>10.130000000000001</v>
      </c>
      <c r="Q2796">
        <v>11965329</v>
      </c>
      <c r="R2796">
        <v>0.94</v>
      </c>
      <c r="S2796" t="s">
        <v>148</v>
      </c>
      <c r="T2796" t="s">
        <v>590</v>
      </c>
      <c r="U2796">
        <v>1.65</v>
      </c>
      <c r="V2796">
        <v>3.64</v>
      </c>
      <c r="W2796">
        <v>16885</v>
      </c>
      <c r="X2796">
        <v>15980</v>
      </c>
      <c r="Y2796">
        <v>1.06</v>
      </c>
      <c r="Z2796">
        <v>90</v>
      </c>
      <c r="AA2796">
        <v>1194</v>
      </c>
      <c r="AB2796" t="s">
        <v>116</v>
      </c>
      <c r="AC2796">
        <v>84100</v>
      </c>
      <c r="AD2796">
        <v>0.01</v>
      </c>
      <c r="AE2796" t="s">
        <v>116</v>
      </c>
      <c r="AF2796" t="s">
        <v>116</v>
      </c>
      <c r="AG2796">
        <v>14.45</v>
      </c>
      <c r="AH2796" t="s">
        <v>10823</v>
      </c>
      <c r="AI2796" t="s">
        <v>12500</v>
      </c>
      <c r="AJ2796">
        <v>0.08</v>
      </c>
      <c r="AK2796">
        <v>532</v>
      </c>
      <c r="AL2796">
        <v>62</v>
      </c>
      <c r="AM2796">
        <v>4.0000000000000002E-4</v>
      </c>
      <c r="AN2796">
        <v>0</v>
      </c>
      <c r="AO2796">
        <v>0.28000000000000003</v>
      </c>
      <c r="AP2796">
        <v>4.5999999999999996</v>
      </c>
      <c r="AQ2796">
        <v>4.9000000000000004</v>
      </c>
      <c r="AR2796">
        <v>10.64</v>
      </c>
      <c r="AS2796">
        <v>0.99</v>
      </c>
      <c r="AT2796" t="s">
        <v>8661</v>
      </c>
      <c r="AU2796">
        <v>6.33</v>
      </c>
      <c r="AV2796">
        <v>7.04</v>
      </c>
      <c r="AW2796">
        <v>0.94</v>
      </c>
      <c r="BA2796">
        <v>0</v>
      </c>
      <c r="BB2796">
        <v>1.1000000000000001</v>
      </c>
      <c r="BC2796">
        <v>-0.55000000000000004</v>
      </c>
      <c r="BD2796">
        <v>0.02</v>
      </c>
      <c r="BE2796">
        <v>0</v>
      </c>
      <c r="BF2796">
        <v>-1.0900000000000001</v>
      </c>
      <c r="BG2796">
        <v>0.55000000000000004</v>
      </c>
      <c r="BH2796">
        <v>-0.02</v>
      </c>
      <c r="BI2796">
        <v>20191026</v>
      </c>
      <c r="BJ2796">
        <v>19960716</v>
      </c>
      <c r="BK2796">
        <v>14.45</v>
      </c>
      <c r="BL2796" t="s">
        <v>116</v>
      </c>
      <c r="BM2796" t="s">
        <v>116</v>
      </c>
      <c r="BN2796">
        <v>51.5</v>
      </c>
      <c r="BO2796">
        <v>28.24</v>
      </c>
      <c r="BP2796">
        <v>4.47</v>
      </c>
      <c r="BQ2796">
        <v>36.49</v>
      </c>
      <c r="BR2796">
        <v>31.36</v>
      </c>
      <c r="BS2796">
        <v>6.03</v>
      </c>
      <c r="BT2796">
        <v>0.89</v>
      </c>
      <c r="BU2796">
        <v>10.15</v>
      </c>
      <c r="BV2796">
        <v>1.26</v>
      </c>
      <c r="BW2796">
        <v>1.66</v>
      </c>
      <c r="BX2796">
        <v>2.6</v>
      </c>
      <c r="BY2796">
        <v>22.81</v>
      </c>
      <c r="BZ2796">
        <v>14.73</v>
      </c>
      <c r="CA2796">
        <v>6.49</v>
      </c>
      <c r="CB2796">
        <v>0.44</v>
      </c>
      <c r="CC2796">
        <v>6.51</v>
      </c>
      <c r="CD2796">
        <v>5.23</v>
      </c>
      <c r="CE2796">
        <v>3.89</v>
      </c>
      <c r="CF2796">
        <v>2.1800000000000002</v>
      </c>
      <c r="CG2796">
        <v>9.0299999999999994</v>
      </c>
      <c r="CH2796">
        <v>4.49</v>
      </c>
      <c r="CI2796">
        <v>-9.49</v>
      </c>
      <c r="CJ2796">
        <v>28328</v>
      </c>
      <c r="CK2796">
        <v>11748</v>
      </c>
      <c r="CL2796" t="s">
        <v>770</v>
      </c>
      <c r="CM2796">
        <v>27.19</v>
      </c>
      <c r="CN2796">
        <v>-33.22</v>
      </c>
      <c r="CO2796">
        <v>1.86</v>
      </c>
      <c r="CP2796">
        <v>11.73</v>
      </c>
      <c r="CQ2796">
        <v>2.31</v>
      </c>
      <c r="CR2796">
        <v>0.55000000000000004</v>
      </c>
      <c r="CS2796" t="s">
        <v>2207</v>
      </c>
      <c r="CT2796">
        <v>1.95</v>
      </c>
      <c r="CU2796">
        <v>0</v>
      </c>
      <c r="CV2796">
        <v>0.18</v>
      </c>
      <c r="CW2796">
        <v>0.63</v>
      </c>
      <c r="CX2796">
        <v>0.31</v>
      </c>
      <c r="CY2796">
        <v>54.82</v>
      </c>
      <c r="CZ2796" t="s">
        <v>12501</v>
      </c>
      <c r="DA2796">
        <v>35.42</v>
      </c>
      <c r="DB2796">
        <v>28.45</v>
      </c>
      <c r="DC2796">
        <v>17.07</v>
      </c>
      <c r="DD2796">
        <v>0</v>
      </c>
      <c r="DE2796">
        <v>1628</v>
      </c>
      <c r="DF2796">
        <v>600724</v>
      </c>
      <c r="DG2796" t="s">
        <v>116</v>
      </c>
      <c r="DH2796" t="s">
        <v>116</v>
      </c>
      <c r="DI2796" t="s">
        <v>116</v>
      </c>
    </row>
    <row r="2797" spans="1:113" x14ac:dyDescent="0.4">
      <c r="A2797" t="str">
        <f>"600725"</f>
        <v>600725</v>
      </c>
      <c r="B2797" t="s">
        <v>12502</v>
      </c>
      <c r="C2797">
        <v>-0.38</v>
      </c>
      <c r="D2797">
        <v>2.59</v>
      </c>
      <c r="E2797">
        <v>-0.01</v>
      </c>
      <c r="F2797">
        <v>2.59</v>
      </c>
      <c r="G2797">
        <v>2.6</v>
      </c>
      <c r="H2797">
        <v>22908</v>
      </c>
      <c r="I2797">
        <v>972</v>
      </c>
      <c r="J2797">
        <v>0.39</v>
      </c>
      <c r="K2797">
        <v>0.19</v>
      </c>
      <c r="L2797">
        <v>2.61</v>
      </c>
      <c r="M2797">
        <v>2.61</v>
      </c>
      <c r="N2797">
        <v>2.58</v>
      </c>
      <c r="O2797">
        <v>2.6</v>
      </c>
      <c r="P2797">
        <v>217.07</v>
      </c>
      <c r="Q2797">
        <v>5934239</v>
      </c>
      <c r="R2797">
        <v>0.83</v>
      </c>
      <c r="S2797" t="s">
        <v>1927</v>
      </c>
      <c r="T2797" t="s">
        <v>1043</v>
      </c>
      <c r="U2797">
        <v>1.1499999999999999</v>
      </c>
      <c r="V2797">
        <v>2.59</v>
      </c>
      <c r="W2797">
        <v>14036</v>
      </c>
      <c r="X2797">
        <v>8872</v>
      </c>
      <c r="Y2797">
        <v>1.58</v>
      </c>
      <c r="Z2797">
        <v>1031</v>
      </c>
      <c r="AA2797">
        <v>1940</v>
      </c>
      <c r="AB2797" t="s">
        <v>116</v>
      </c>
      <c r="AC2797">
        <v>42500</v>
      </c>
      <c r="AD2797">
        <v>0</v>
      </c>
      <c r="AE2797" t="s">
        <v>116</v>
      </c>
      <c r="AF2797" t="s">
        <v>116</v>
      </c>
      <c r="AG2797">
        <v>12.32</v>
      </c>
      <c r="AH2797" t="s">
        <v>12503</v>
      </c>
      <c r="AI2797" t="s">
        <v>12503</v>
      </c>
      <c r="AJ2797">
        <v>-0.31</v>
      </c>
      <c r="AK2797">
        <v>197</v>
      </c>
      <c r="AL2797">
        <v>116</v>
      </c>
      <c r="AM2797">
        <v>8.9999999999999998E-4</v>
      </c>
      <c r="AN2797">
        <v>-3</v>
      </c>
      <c r="AO2797">
        <v>-2.62</v>
      </c>
      <c r="AP2797">
        <v>-1.89</v>
      </c>
      <c r="AQ2797">
        <v>-8.8000000000000007</v>
      </c>
      <c r="AR2797">
        <v>10.210000000000001</v>
      </c>
      <c r="AS2797">
        <v>0.27</v>
      </c>
      <c r="AT2797" t="s">
        <v>12504</v>
      </c>
      <c r="AU2797">
        <v>380.8</v>
      </c>
      <c r="AV2797">
        <v>245.4</v>
      </c>
      <c r="AW2797">
        <v>0.32</v>
      </c>
      <c r="BA2797">
        <v>0.38</v>
      </c>
      <c r="BB2797">
        <v>0.38</v>
      </c>
      <c r="BC2797">
        <v>-0.77</v>
      </c>
      <c r="BD2797">
        <v>-0.37</v>
      </c>
      <c r="BE2797">
        <v>-0.77</v>
      </c>
      <c r="BF2797">
        <v>-0.77</v>
      </c>
      <c r="BG2797">
        <v>0.39</v>
      </c>
      <c r="BH2797">
        <v>-0.02</v>
      </c>
      <c r="BI2797">
        <v>20191121</v>
      </c>
      <c r="BJ2797">
        <v>19960702</v>
      </c>
      <c r="BK2797">
        <v>12.32</v>
      </c>
      <c r="BL2797" t="s">
        <v>116</v>
      </c>
      <c r="BM2797" t="s">
        <v>116</v>
      </c>
      <c r="BN2797">
        <v>3.94</v>
      </c>
      <c r="BO2797">
        <v>3</v>
      </c>
      <c r="BP2797">
        <v>0</v>
      </c>
      <c r="BQ2797">
        <v>24.05</v>
      </c>
      <c r="BR2797">
        <v>3.94</v>
      </c>
      <c r="BS2797">
        <v>0.01</v>
      </c>
      <c r="BT2797">
        <v>0</v>
      </c>
      <c r="BU2797">
        <v>0.77</v>
      </c>
      <c r="BV2797">
        <v>0.64</v>
      </c>
      <c r="BW2797">
        <v>0.81</v>
      </c>
      <c r="BX2797">
        <v>18.010000000000002</v>
      </c>
      <c r="BY2797">
        <v>7.62</v>
      </c>
      <c r="BZ2797">
        <v>7.45</v>
      </c>
      <c r="CA2797">
        <v>7.0000000000000007E-2</v>
      </c>
      <c r="CB2797">
        <v>0.04</v>
      </c>
      <c r="CC2797">
        <v>0.11</v>
      </c>
      <c r="CD2797">
        <v>0.11</v>
      </c>
      <c r="CE2797">
        <v>0.11</v>
      </c>
      <c r="CF2797">
        <v>7.0000000000000007E-2</v>
      </c>
      <c r="CG2797">
        <v>-28.39</v>
      </c>
      <c r="CH2797">
        <v>0.22</v>
      </c>
      <c r="CI2797">
        <v>-0.47</v>
      </c>
      <c r="CJ2797">
        <v>26129</v>
      </c>
      <c r="CK2797">
        <v>31914</v>
      </c>
      <c r="CL2797" t="s">
        <v>11485</v>
      </c>
      <c r="CM2797">
        <v>-29.55</v>
      </c>
      <c r="CN2797">
        <v>2.0699999999999998</v>
      </c>
      <c r="CO2797">
        <v>10.66</v>
      </c>
      <c r="CP2797">
        <v>145.71</v>
      </c>
      <c r="CQ2797">
        <v>4.1900000000000004</v>
      </c>
      <c r="CR2797">
        <v>0</v>
      </c>
      <c r="CS2797" t="s">
        <v>930</v>
      </c>
      <c r="CT2797">
        <v>0.24</v>
      </c>
      <c r="CU2797">
        <v>0</v>
      </c>
      <c r="CV2797">
        <v>1.46</v>
      </c>
      <c r="CW2797">
        <v>-2.2999999999999998</v>
      </c>
      <c r="CX2797">
        <v>0.02</v>
      </c>
      <c r="CY2797">
        <v>75.95</v>
      </c>
      <c r="CZ2797" t="s">
        <v>4028</v>
      </c>
      <c r="DA2797">
        <v>2.31</v>
      </c>
      <c r="DB2797">
        <v>0.97</v>
      </c>
      <c r="DC2797">
        <v>1.45</v>
      </c>
      <c r="DD2797">
        <v>0</v>
      </c>
      <c r="DE2797">
        <v>187</v>
      </c>
      <c r="DF2797">
        <v>600725</v>
      </c>
      <c r="DG2797" t="s">
        <v>116</v>
      </c>
      <c r="DH2797" t="s">
        <v>116</v>
      </c>
      <c r="DI2797" t="s">
        <v>116</v>
      </c>
    </row>
    <row r="2798" spans="1:113" x14ac:dyDescent="0.4">
      <c r="A2798" t="str">
        <f>"600726"</f>
        <v>600726</v>
      </c>
      <c r="B2798" t="s">
        <v>12505</v>
      </c>
      <c r="C2798">
        <v>-0.56000000000000005</v>
      </c>
      <c r="D2798">
        <v>1.78</v>
      </c>
      <c r="E2798">
        <v>-0.01</v>
      </c>
      <c r="F2798">
        <v>1.78</v>
      </c>
      <c r="G2798">
        <v>1.79</v>
      </c>
      <c r="H2798">
        <v>32398</v>
      </c>
      <c r="I2798">
        <v>1473</v>
      </c>
      <c r="J2798">
        <v>-0.55000000000000004</v>
      </c>
      <c r="K2798">
        <v>0.21</v>
      </c>
      <c r="L2798">
        <v>1.79</v>
      </c>
      <c r="M2798">
        <v>1.81</v>
      </c>
      <c r="N2798">
        <v>1.78</v>
      </c>
      <c r="O2798">
        <v>1.79</v>
      </c>
      <c r="P2798" t="s">
        <v>116</v>
      </c>
      <c r="Q2798">
        <v>5801455</v>
      </c>
      <c r="R2798">
        <v>0.43</v>
      </c>
      <c r="S2798" t="s">
        <v>271</v>
      </c>
      <c r="T2798" t="s">
        <v>1287</v>
      </c>
      <c r="U2798">
        <v>1.68</v>
      </c>
      <c r="V2798">
        <v>1.79</v>
      </c>
      <c r="W2798">
        <v>20831</v>
      </c>
      <c r="X2798">
        <v>11567</v>
      </c>
      <c r="Y2798">
        <v>1.8</v>
      </c>
      <c r="Z2798">
        <v>1649</v>
      </c>
      <c r="AA2798">
        <v>1667</v>
      </c>
      <c r="AB2798" t="s">
        <v>116</v>
      </c>
      <c r="AC2798">
        <v>1800</v>
      </c>
      <c r="AD2798">
        <v>0</v>
      </c>
      <c r="AE2798" t="s">
        <v>116</v>
      </c>
      <c r="AF2798" t="s">
        <v>116</v>
      </c>
      <c r="AG2798">
        <v>15.35</v>
      </c>
      <c r="AH2798" t="s">
        <v>4900</v>
      </c>
      <c r="AI2798" t="s">
        <v>9620</v>
      </c>
      <c r="AJ2798">
        <v>-0.48</v>
      </c>
      <c r="AK2798">
        <v>241</v>
      </c>
      <c r="AL2798">
        <v>134</v>
      </c>
      <c r="AM2798">
        <v>8.9999999999999998E-4</v>
      </c>
      <c r="AN2798">
        <v>-3</v>
      </c>
      <c r="AO2798">
        <v>-3.79</v>
      </c>
      <c r="AP2798">
        <v>4.71</v>
      </c>
      <c r="AQ2798">
        <v>-4.3</v>
      </c>
      <c r="AR2798">
        <v>-22.94</v>
      </c>
      <c r="AS2798">
        <v>0.5</v>
      </c>
      <c r="AT2798" t="s">
        <v>12506</v>
      </c>
      <c r="AU2798" t="s">
        <v>116</v>
      </c>
      <c r="AV2798" t="s">
        <v>116</v>
      </c>
      <c r="AW2798">
        <v>0.33</v>
      </c>
      <c r="BA2798">
        <v>0</v>
      </c>
      <c r="BB2798">
        <v>1.1200000000000001</v>
      </c>
      <c r="BC2798">
        <v>-0.56000000000000005</v>
      </c>
      <c r="BD2798">
        <v>0.04</v>
      </c>
      <c r="BE2798">
        <v>-0.56000000000000005</v>
      </c>
      <c r="BF2798">
        <v>-1.66</v>
      </c>
      <c r="BG2798">
        <v>0</v>
      </c>
      <c r="BH2798">
        <v>-0.6</v>
      </c>
      <c r="BI2798">
        <v>20191102</v>
      </c>
      <c r="BJ2798">
        <v>19960701</v>
      </c>
      <c r="BK2798">
        <v>19.670000000000002</v>
      </c>
      <c r="BL2798">
        <v>4.32</v>
      </c>
      <c r="BM2798" t="s">
        <v>116</v>
      </c>
      <c r="BN2798">
        <v>240.29</v>
      </c>
      <c r="BO2798">
        <v>13.77</v>
      </c>
      <c r="BP2798">
        <v>2.4300000000000002</v>
      </c>
      <c r="BQ2798">
        <v>93.26</v>
      </c>
      <c r="BR2798">
        <v>41.19</v>
      </c>
      <c r="BS2798">
        <v>167.22</v>
      </c>
      <c r="BT2798">
        <v>6.31</v>
      </c>
      <c r="BU2798">
        <v>153.19</v>
      </c>
      <c r="BV2798">
        <v>4.8</v>
      </c>
      <c r="BW2798">
        <v>12.55</v>
      </c>
      <c r="BX2798">
        <v>17.12</v>
      </c>
      <c r="BY2798">
        <v>73.64</v>
      </c>
      <c r="BZ2798">
        <v>68.55</v>
      </c>
      <c r="CA2798">
        <v>-2.19</v>
      </c>
      <c r="CB2798">
        <v>0.56000000000000005</v>
      </c>
      <c r="CC2798">
        <v>-2.16</v>
      </c>
      <c r="CD2798">
        <v>-2.39</v>
      </c>
      <c r="CE2798">
        <v>-2.12</v>
      </c>
      <c r="CF2798">
        <v>-2.44</v>
      </c>
      <c r="CG2798">
        <v>-25.22</v>
      </c>
      <c r="CH2798">
        <v>12.05</v>
      </c>
      <c r="CI2798">
        <v>-0.92</v>
      </c>
      <c r="CJ2798">
        <v>168864</v>
      </c>
      <c r="CK2798">
        <v>6429</v>
      </c>
      <c r="CL2798" t="s">
        <v>12507</v>
      </c>
      <c r="CM2798">
        <v>59.47</v>
      </c>
      <c r="CN2798">
        <v>8.01</v>
      </c>
      <c r="CO2798">
        <v>2.54</v>
      </c>
      <c r="CP2798">
        <v>2.91</v>
      </c>
      <c r="CQ2798">
        <v>0.48</v>
      </c>
      <c r="CR2798">
        <v>0</v>
      </c>
      <c r="CS2798" t="s">
        <v>1230</v>
      </c>
      <c r="CT2798">
        <v>0.7</v>
      </c>
      <c r="CU2798">
        <v>0</v>
      </c>
      <c r="CV2798">
        <v>0.87</v>
      </c>
      <c r="CW2798">
        <v>-1.28</v>
      </c>
      <c r="CX2798">
        <v>0.61</v>
      </c>
      <c r="CY2798">
        <v>5.73</v>
      </c>
      <c r="CZ2798" t="s">
        <v>12508</v>
      </c>
      <c r="DA2798">
        <v>6.91</v>
      </c>
      <c r="DB2798">
        <v>-2.97</v>
      </c>
      <c r="DC2798">
        <v>-2.88</v>
      </c>
      <c r="DD2798">
        <v>0.06</v>
      </c>
      <c r="DE2798">
        <v>10991</v>
      </c>
      <c r="DF2798">
        <v>600726</v>
      </c>
      <c r="DG2798" t="s">
        <v>116</v>
      </c>
      <c r="DH2798" t="s">
        <v>116</v>
      </c>
      <c r="DI2798" t="s">
        <v>116</v>
      </c>
    </row>
    <row r="2799" spans="1:113" x14ac:dyDescent="0.4">
      <c r="A2799" t="str">
        <f>"600727"</f>
        <v>600727</v>
      </c>
      <c r="B2799" t="s">
        <v>12509</v>
      </c>
      <c r="C2799">
        <v>-1.99</v>
      </c>
      <c r="D2799">
        <v>6.9</v>
      </c>
      <c r="E2799">
        <v>-0.14000000000000001</v>
      </c>
      <c r="F2799">
        <v>6.9</v>
      </c>
      <c r="G2799">
        <v>6.91</v>
      </c>
      <c r="H2799">
        <v>60240</v>
      </c>
      <c r="I2799">
        <v>990</v>
      </c>
      <c r="J2799">
        <v>-0.13</v>
      </c>
      <c r="K2799">
        <v>1.72</v>
      </c>
      <c r="L2799">
        <v>7.06</v>
      </c>
      <c r="M2799">
        <v>7.06</v>
      </c>
      <c r="N2799">
        <v>6.9</v>
      </c>
      <c r="O2799">
        <v>7.04</v>
      </c>
      <c r="P2799">
        <v>12.72</v>
      </c>
      <c r="Q2799">
        <v>41949568</v>
      </c>
      <c r="R2799">
        <v>1.36</v>
      </c>
      <c r="S2799" t="s">
        <v>697</v>
      </c>
      <c r="T2799" t="s">
        <v>645</v>
      </c>
      <c r="U2799">
        <v>2.27</v>
      </c>
      <c r="V2799">
        <v>6.96</v>
      </c>
      <c r="W2799">
        <v>38347</v>
      </c>
      <c r="X2799">
        <v>21893</v>
      </c>
      <c r="Y2799">
        <v>1.75</v>
      </c>
      <c r="Z2799">
        <v>1220</v>
      </c>
      <c r="AA2799">
        <v>623</v>
      </c>
      <c r="AB2799" t="s">
        <v>116</v>
      </c>
      <c r="AC2799">
        <v>91100</v>
      </c>
      <c r="AD2799">
        <v>0.01</v>
      </c>
      <c r="AE2799" t="s">
        <v>116</v>
      </c>
      <c r="AF2799" t="s">
        <v>116</v>
      </c>
      <c r="AG2799">
        <v>3.51</v>
      </c>
      <c r="AH2799" t="s">
        <v>9061</v>
      </c>
      <c r="AI2799" t="s">
        <v>2845</v>
      </c>
      <c r="AJ2799">
        <v>-1.91</v>
      </c>
      <c r="AK2799">
        <v>1258</v>
      </c>
      <c r="AL2799">
        <v>48</v>
      </c>
      <c r="AM2799">
        <v>1.4E-3</v>
      </c>
      <c r="AN2799">
        <v>-1</v>
      </c>
      <c r="AO2799">
        <v>0.43</v>
      </c>
      <c r="AP2799">
        <v>-0.14000000000000001</v>
      </c>
      <c r="AQ2799">
        <v>4.55</v>
      </c>
      <c r="AR2799">
        <v>25.68</v>
      </c>
      <c r="AS2799">
        <v>2.4700000000000002</v>
      </c>
      <c r="AT2799" t="s">
        <v>12510</v>
      </c>
      <c r="AU2799">
        <v>16.05</v>
      </c>
      <c r="AV2799">
        <v>25.74</v>
      </c>
      <c r="AW2799">
        <v>0.84</v>
      </c>
      <c r="BA2799">
        <v>0.28000000000000003</v>
      </c>
      <c r="BB2799">
        <v>0.28000000000000003</v>
      </c>
      <c r="BC2799">
        <v>-1.99</v>
      </c>
      <c r="BD2799">
        <v>-1.08</v>
      </c>
      <c r="BE2799">
        <v>-2.27</v>
      </c>
      <c r="BF2799">
        <v>-2.27</v>
      </c>
      <c r="BG2799">
        <v>0</v>
      </c>
      <c r="BH2799">
        <v>-0.91</v>
      </c>
      <c r="BI2799">
        <v>20191129</v>
      </c>
      <c r="BJ2799">
        <v>19960702</v>
      </c>
      <c r="BK2799">
        <v>3.51</v>
      </c>
      <c r="BL2799" t="s">
        <v>116</v>
      </c>
      <c r="BM2799" t="s">
        <v>116</v>
      </c>
      <c r="BN2799">
        <v>19.670000000000002</v>
      </c>
      <c r="BO2799">
        <v>14</v>
      </c>
      <c r="BP2799">
        <v>1.49</v>
      </c>
      <c r="BQ2799">
        <v>21.25</v>
      </c>
      <c r="BR2799">
        <v>6.91</v>
      </c>
      <c r="BS2799">
        <v>8.75</v>
      </c>
      <c r="BT2799">
        <v>0.72</v>
      </c>
      <c r="BU2799">
        <v>3.93</v>
      </c>
      <c r="BV2799">
        <v>1.74</v>
      </c>
      <c r="BW2799">
        <v>0.05</v>
      </c>
      <c r="BX2799">
        <v>8.74</v>
      </c>
      <c r="BY2799">
        <v>9.23</v>
      </c>
      <c r="BZ2799">
        <v>6.17</v>
      </c>
      <c r="CA2799">
        <v>2.2599999999999998</v>
      </c>
      <c r="CB2799">
        <v>0.03</v>
      </c>
      <c r="CC2799">
        <v>2.27</v>
      </c>
      <c r="CD2799">
        <v>2.0099999999999998</v>
      </c>
      <c r="CE2799">
        <v>1.43</v>
      </c>
      <c r="CF2799">
        <v>1.43</v>
      </c>
      <c r="CG2799">
        <v>-0.04</v>
      </c>
      <c r="CH2799">
        <v>1.8</v>
      </c>
      <c r="CI2799">
        <v>-1.02</v>
      </c>
      <c r="CJ2799">
        <v>29823</v>
      </c>
      <c r="CK2799">
        <v>8171</v>
      </c>
      <c r="CL2799" t="s">
        <v>1970</v>
      </c>
      <c r="CM2799">
        <v>66.08</v>
      </c>
      <c r="CN2799">
        <v>90.89</v>
      </c>
      <c r="CO2799">
        <v>1.73</v>
      </c>
      <c r="CP2799">
        <v>13.44</v>
      </c>
      <c r="CQ2799">
        <v>2.63</v>
      </c>
      <c r="CR2799">
        <v>0</v>
      </c>
      <c r="CS2799" t="s">
        <v>12511</v>
      </c>
      <c r="CT2799">
        <v>3.99</v>
      </c>
      <c r="CU2799">
        <v>0</v>
      </c>
      <c r="CV2799">
        <v>2.4900000000000002</v>
      </c>
      <c r="CW2799">
        <v>-0.01</v>
      </c>
      <c r="CX2799">
        <v>0.51</v>
      </c>
      <c r="CY2799">
        <v>71.180000000000007</v>
      </c>
      <c r="CZ2799" t="s">
        <v>2155</v>
      </c>
      <c r="DA2799">
        <v>33.08</v>
      </c>
      <c r="DB2799">
        <v>24.54</v>
      </c>
      <c r="DC2799">
        <v>15.48</v>
      </c>
      <c r="DD2799">
        <v>0.16</v>
      </c>
      <c r="DE2799">
        <v>1023</v>
      </c>
      <c r="DF2799">
        <v>600727</v>
      </c>
      <c r="DG2799" t="s">
        <v>116</v>
      </c>
      <c r="DH2799" t="s">
        <v>116</v>
      </c>
      <c r="DI2799" t="s">
        <v>116</v>
      </c>
    </row>
    <row r="2800" spans="1:113" x14ac:dyDescent="0.4">
      <c r="A2800" t="str">
        <f>"600728"</f>
        <v>600728</v>
      </c>
      <c r="B2800" t="s">
        <v>12512</v>
      </c>
      <c r="C2800">
        <v>-1.91</v>
      </c>
      <c r="D2800">
        <v>9.23</v>
      </c>
      <c r="E2800">
        <v>-0.18</v>
      </c>
      <c r="F2800">
        <v>9.23</v>
      </c>
      <c r="G2800">
        <v>9.24</v>
      </c>
      <c r="H2800">
        <v>206038</v>
      </c>
      <c r="I2800">
        <v>2418</v>
      </c>
      <c r="J2800">
        <v>0.11</v>
      </c>
      <c r="K2800">
        <v>1.26</v>
      </c>
      <c r="L2800">
        <v>9.3800000000000008</v>
      </c>
      <c r="M2800">
        <v>9.4499999999999993</v>
      </c>
      <c r="N2800">
        <v>9.19</v>
      </c>
      <c r="O2800">
        <v>9.41</v>
      </c>
      <c r="P2800">
        <v>19.63</v>
      </c>
      <c r="Q2800">
        <v>192321248</v>
      </c>
      <c r="R2800">
        <v>0.95</v>
      </c>
      <c r="S2800" t="s">
        <v>607</v>
      </c>
      <c r="T2800" t="s">
        <v>551</v>
      </c>
      <c r="U2800">
        <v>2.76</v>
      </c>
      <c r="V2800">
        <v>9.33</v>
      </c>
      <c r="W2800">
        <v>120849</v>
      </c>
      <c r="X2800">
        <v>85190</v>
      </c>
      <c r="Y2800">
        <v>1.42</v>
      </c>
      <c r="Z2800">
        <v>133</v>
      </c>
      <c r="AA2800">
        <v>179</v>
      </c>
      <c r="AB2800" t="s">
        <v>116</v>
      </c>
      <c r="AC2800">
        <v>923900</v>
      </c>
      <c r="AD2800">
        <v>0.01</v>
      </c>
      <c r="AE2800" t="s">
        <v>116</v>
      </c>
      <c r="AF2800" t="s">
        <v>116</v>
      </c>
      <c r="AG2800">
        <v>16.37</v>
      </c>
      <c r="AH2800" t="s">
        <v>12513</v>
      </c>
      <c r="AI2800" t="s">
        <v>1596</v>
      </c>
      <c r="AJ2800">
        <v>-1.84</v>
      </c>
      <c r="AK2800">
        <v>3450</v>
      </c>
      <c r="AL2800">
        <v>60</v>
      </c>
      <c r="AM2800">
        <v>4.0000000000000002E-4</v>
      </c>
      <c r="AN2800">
        <v>-1</v>
      </c>
      <c r="AO2800">
        <v>0.66</v>
      </c>
      <c r="AP2800">
        <v>5.49</v>
      </c>
      <c r="AQ2800">
        <v>-10.56</v>
      </c>
      <c r="AR2800">
        <v>35.08</v>
      </c>
      <c r="AS2800">
        <v>1.59</v>
      </c>
      <c r="AT2800" t="s">
        <v>12514</v>
      </c>
      <c r="AU2800">
        <v>20.88</v>
      </c>
      <c r="AV2800">
        <v>58.83</v>
      </c>
      <c r="AW2800">
        <v>0.88</v>
      </c>
      <c r="BA2800">
        <v>-0.32</v>
      </c>
      <c r="BB2800">
        <v>0.43</v>
      </c>
      <c r="BC2800">
        <v>-2.34</v>
      </c>
      <c r="BD2800">
        <v>-0.8</v>
      </c>
      <c r="BE2800">
        <v>-1.6</v>
      </c>
      <c r="BF2800">
        <v>-2.33</v>
      </c>
      <c r="BG2800">
        <v>0.44</v>
      </c>
      <c r="BH2800">
        <v>-1.1100000000000001</v>
      </c>
      <c r="BI2800">
        <v>20191122</v>
      </c>
      <c r="BJ2800">
        <v>19960716</v>
      </c>
      <c r="BK2800">
        <v>16.71</v>
      </c>
      <c r="BL2800" t="s">
        <v>116</v>
      </c>
      <c r="BM2800" t="s">
        <v>116</v>
      </c>
      <c r="BN2800">
        <v>84.04</v>
      </c>
      <c r="BO2800">
        <v>47.77</v>
      </c>
      <c r="BP2800">
        <v>0.6</v>
      </c>
      <c r="BQ2800">
        <v>42.44</v>
      </c>
      <c r="BR2800">
        <v>56.29</v>
      </c>
      <c r="BS2800">
        <v>0.31</v>
      </c>
      <c r="BT2800">
        <v>2.34</v>
      </c>
      <c r="BU2800">
        <v>27.52</v>
      </c>
      <c r="BV2800">
        <v>16.190000000000001</v>
      </c>
      <c r="BW2800">
        <v>21.5</v>
      </c>
      <c r="BX2800">
        <v>16.5</v>
      </c>
      <c r="BY2800">
        <v>24.19</v>
      </c>
      <c r="BZ2800">
        <v>21.25</v>
      </c>
      <c r="CA2800">
        <v>6.87</v>
      </c>
      <c r="CB2800">
        <v>-0.02</v>
      </c>
      <c r="CC2800">
        <v>6.88</v>
      </c>
      <c r="CD2800">
        <v>5.96</v>
      </c>
      <c r="CE2800">
        <v>5.89</v>
      </c>
      <c r="CF2800">
        <v>0.02</v>
      </c>
      <c r="CG2800">
        <v>12.73</v>
      </c>
      <c r="CH2800">
        <v>-5.76</v>
      </c>
      <c r="CI2800">
        <v>-11.56</v>
      </c>
      <c r="CJ2800">
        <v>92981</v>
      </c>
      <c r="CK2800">
        <v>13975</v>
      </c>
      <c r="CL2800" t="s">
        <v>10592</v>
      </c>
      <c r="CM2800">
        <v>423.15</v>
      </c>
      <c r="CN2800">
        <v>-13.31</v>
      </c>
      <c r="CO2800">
        <v>3.25</v>
      </c>
      <c r="CP2800">
        <v>-26.77</v>
      </c>
      <c r="CQ2800">
        <v>6.38</v>
      </c>
      <c r="CR2800">
        <v>0.6</v>
      </c>
      <c r="CS2800" t="s">
        <v>1074</v>
      </c>
      <c r="CT2800">
        <v>2.84</v>
      </c>
      <c r="CU2800">
        <v>2.84</v>
      </c>
      <c r="CV2800">
        <v>0.99</v>
      </c>
      <c r="CW2800">
        <v>0.76</v>
      </c>
      <c r="CX2800">
        <v>-0.34</v>
      </c>
      <c r="CY2800">
        <v>56.85</v>
      </c>
      <c r="CZ2800" t="s">
        <v>12016</v>
      </c>
      <c r="DA2800">
        <v>12.14</v>
      </c>
      <c r="DB2800">
        <v>28.41</v>
      </c>
      <c r="DC2800">
        <v>24.36</v>
      </c>
      <c r="DD2800">
        <v>0.89</v>
      </c>
      <c r="DE2800">
        <v>2167</v>
      </c>
      <c r="DF2800">
        <v>600728</v>
      </c>
      <c r="DG2800" t="s">
        <v>116</v>
      </c>
      <c r="DH2800" t="s">
        <v>116</v>
      </c>
      <c r="DI2800" t="s">
        <v>116</v>
      </c>
    </row>
    <row r="2801" spans="1:113" x14ac:dyDescent="0.4">
      <c r="A2801" t="str">
        <f>"600729"</f>
        <v>600729</v>
      </c>
      <c r="B2801" t="s">
        <v>12515</v>
      </c>
      <c r="C2801">
        <v>0.2</v>
      </c>
      <c r="D2801">
        <v>29.69</v>
      </c>
      <c r="E2801">
        <v>0.06</v>
      </c>
      <c r="F2801">
        <v>29.68</v>
      </c>
      <c r="G2801">
        <v>29.69</v>
      </c>
      <c r="H2801">
        <v>34863</v>
      </c>
      <c r="I2801">
        <v>171</v>
      </c>
      <c r="J2801">
        <v>0.1</v>
      </c>
      <c r="K2801">
        <v>0.86</v>
      </c>
      <c r="L2801">
        <v>29.3</v>
      </c>
      <c r="M2801">
        <v>30.1</v>
      </c>
      <c r="N2801">
        <v>29.3</v>
      </c>
      <c r="O2801">
        <v>29.63</v>
      </c>
      <c r="P2801">
        <v>10.01</v>
      </c>
      <c r="Q2801">
        <v>103759048</v>
      </c>
      <c r="R2801">
        <v>1.26</v>
      </c>
      <c r="S2801" t="s">
        <v>746</v>
      </c>
      <c r="T2801" t="s">
        <v>906</v>
      </c>
      <c r="U2801">
        <v>2.7</v>
      </c>
      <c r="V2801">
        <v>29.76</v>
      </c>
      <c r="W2801">
        <v>16065</v>
      </c>
      <c r="X2801">
        <v>18798</v>
      </c>
      <c r="Y2801">
        <v>0.85</v>
      </c>
      <c r="Z2801">
        <v>11</v>
      </c>
      <c r="AA2801">
        <v>152</v>
      </c>
      <c r="AB2801" t="s">
        <v>116</v>
      </c>
      <c r="AC2801">
        <v>1054800</v>
      </c>
      <c r="AD2801">
        <v>0.02</v>
      </c>
      <c r="AE2801" t="s">
        <v>116</v>
      </c>
      <c r="AF2801" t="s">
        <v>116</v>
      </c>
      <c r="AG2801">
        <v>4.0599999999999996</v>
      </c>
      <c r="AH2801" t="s">
        <v>12516</v>
      </c>
      <c r="AI2801" t="s">
        <v>8479</v>
      </c>
      <c r="AJ2801">
        <v>0.28000000000000003</v>
      </c>
      <c r="AK2801">
        <v>2948</v>
      </c>
      <c r="AL2801">
        <v>12</v>
      </c>
      <c r="AM2801">
        <v>2.9999999999999997E-4</v>
      </c>
      <c r="AN2801">
        <v>4</v>
      </c>
      <c r="AO2801">
        <v>3.63</v>
      </c>
      <c r="AP2801">
        <v>7.18</v>
      </c>
      <c r="AQ2801">
        <v>3.88</v>
      </c>
      <c r="AR2801">
        <v>7.38</v>
      </c>
      <c r="AS2801">
        <v>1.56</v>
      </c>
      <c r="AT2801" t="s">
        <v>10648</v>
      </c>
      <c r="AU2801">
        <v>12.48</v>
      </c>
      <c r="AV2801">
        <v>14.52</v>
      </c>
      <c r="AW2801">
        <v>0.88</v>
      </c>
      <c r="BA2801">
        <v>-1.1100000000000001</v>
      </c>
      <c r="BB2801">
        <v>1.59</v>
      </c>
      <c r="BC2801">
        <v>-1.1100000000000001</v>
      </c>
      <c r="BD2801">
        <v>0.44</v>
      </c>
      <c r="BE2801">
        <v>1.33</v>
      </c>
      <c r="BF2801">
        <v>-1.36</v>
      </c>
      <c r="BG2801">
        <v>1.33</v>
      </c>
      <c r="BH2801">
        <v>-0.24</v>
      </c>
      <c r="BI2801">
        <v>20191019</v>
      </c>
      <c r="BJ2801">
        <v>19960702</v>
      </c>
      <c r="BK2801">
        <v>4.07</v>
      </c>
      <c r="BL2801" t="s">
        <v>116</v>
      </c>
      <c r="BM2801" t="s">
        <v>116</v>
      </c>
      <c r="BN2801">
        <v>140.68</v>
      </c>
      <c r="BO2801">
        <v>62.04</v>
      </c>
      <c r="BP2801">
        <v>1.5</v>
      </c>
      <c r="BQ2801">
        <v>54.84</v>
      </c>
      <c r="BR2801">
        <v>77.72</v>
      </c>
      <c r="BS2801">
        <v>30.66</v>
      </c>
      <c r="BT2801">
        <v>2.2599999999999998</v>
      </c>
      <c r="BU2801">
        <v>74.13</v>
      </c>
      <c r="BV2801">
        <v>22.69</v>
      </c>
      <c r="BW2801">
        <v>2.12</v>
      </c>
      <c r="BX2801">
        <v>4.03</v>
      </c>
      <c r="BY2801">
        <v>255.74</v>
      </c>
      <c r="BZ2801">
        <v>209.22</v>
      </c>
      <c r="CA2801">
        <v>10.56</v>
      </c>
      <c r="CB2801">
        <v>2.58</v>
      </c>
      <c r="CC2801">
        <v>10.62</v>
      </c>
      <c r="CD2801">
        <v>9.27</v>
      </c>
      <c r="CE2801">
        <v>9.0500000000000007</v>
      </c>
      <c r="CF2801">
        <v>8.68</v>
      </c>
      <c r="CG2801">
        <v>51.11</v>
      </c>
      <c r="CH2801">
        <v>8.48</v>
      </c>
      <c r="CI2801">
        <v>-2.4</v>
      </c>
      <c r="CJ2801">
        <v>14806</v>
      </c>
      <c r="CK2801">
        <v>15081</v>
      </c>
      <c r="CL2801" t="s">
        <v>12517</v>
      </c>
      <c r="CM2801">
        <v>17.66</v>
      </c>
      <c r="CN2801">
        <v>-0.43</v>
      </c>
      <c r="CO2801">
        <v>1.95</v>
      </c>
      <c r="CP2801">
        <v>14.23</v>
      </c>
      <c r="CQ2801">
        <v>0.47</v>
      </c>
      <c r="CR2801">
        <v>2.19</v>
      </c>
      <c r="CS2801" t="s">
        <v>12518</v>
      </c>
      <c r="CT2801">
        <v>15.26</v>
      </c>
      <c r="CU2801">
        <v>0</v>
      </c>
      <c r="CV2801">
        <v>0.99</v>
      </c>
      <c r="CW2801">
        <v>12.57</v>
      </c>
      <c r="CX2801">
        <v>2.09</v>
      </c>
      <c r="CY2801">
        <v>44.1</v>
      </c>
      <c r="CZ2801" t="s">
        <v>12519</v>
      </c>
      <c r="DA2801">
        <v>18.190000000000001</v>
      </c>
      <c r="DB2801">
        <v>4.13</v>
      </c>
      <c r="DC2801">
        <v>3.54</v>
      </c>
      <c r="DD2801">
        <v>0.06</v>
      </c>
      <c r="DE2801">
        <v>20801</v>
      </c>
      <c r="DF2801">
        <v>600729</v>
      </c>
      <c r="DG2801" t="s">
        <v>116</v>
      </c>
      <c r="DH2801" t="s">
        <v>116</v>
      </c>
      <c r="DI2801" t="s">
        <v>116</v>
      </c>
    </row>
    <row r="2802" spans="1:113" x14ac:dyDescent="0.4">
      <c r="A2802" t="str">
        <f>"600730"</f>
        <v>600730</v>
      </c>
      <c r="B2802" t="s">
        <v>12520</v>
      </c>
      <c r="C2802">
        <v>-1.21</v>
      </c>
      <c r="D2802">
        <v>4.9000000000000004</v>
      </c>
      <c r="E2802">
        <v>-0.06</v>
      </c>
      <c r="F2802">
        <v>4.8899999999999997</v>
      </c>
      <c r="G2802">
        <v>4.9000000000000004</v>
      </c>
      <c r="H2802">
        <v>51169</v>
      </c>
      <c r="I2802">
        <v>636</v>
      </c>
      <c r="J2802">
        <v>0</v>
      </c>
      <c r="K2802">
        <v>0.87</v>
      </c>
      <c r="L2802">
        <v>4.91</v>
      </c>
      <c r="M2802">
        <v>5.01</v>
      </c>
      <c r="N2802">
        <v>4.88</v>
      </c>
      <c r="O2802">
        <v>4.96</v>
      </c>
      <c r="P2802" t="s">
        <v>116</v>
      </c>
      <c r="Q2802">
        <v>25289332</v>
      </c>
      <c r="R2802">
        <v>1.08</v>
      </c>
      <c r="S2802" t="s">
        <v>173</v>
      </c>
      <c r="T2802" t="s">
        <v>165</v>
      </c>
      <c r="U2802">
        <v>2.62</v>
      </c>
      <c r="V2802">
        <v>4.9400000000000004</v>
      </c>
      <c r="W2802">
        <v>26571</v>
      </c>
      <c r="X2802">
        <v>24598</v>
      </c>
      <c r="Y2802">
        <v>1.08</v>
      </c>
      <c r="Z2802">
        <v>3951</v>
      </c>
      <c r="AA2802">
        <v>3</v>
      </c>
      <c r="AB2802" t="s">
        <v>116</v>
      </c>
      <c r="AC2802">
        <v>80000</v>
      </c>
      <c r="AD2802">
        <v>0</v>
      </c>
      <c r="AE2802" t="s">
        <v>116</v>
      </c>
      <c r="AF2802" t="s">
        <v>116</v>
      </c>
      <c r="AG2802">
        <v>5.87</v>
      </c>
      <c r="AH2802" t="s">
        <v>7265</v>
      </c>
      <c r="AI2802" t="s">
        <v>7265</v>
      </c>
      <c r="AJ2802">
        <v>-1.1299999999999999</v>
      </c>
      <c r="AK2802">
        <v>1015</v>
      </c>
      <c r="AL2802">
        <v>50</v>
      </c>
      <c r="AM2802">
        <v>8.9999999999999998E-4</v>
      </c>
      <c r="AN2802">
        <v>-1</v>
      </c>
      <c r="AO2802">
        <v>-0.2</v>
      </c>
      <c r="AP2802">
        <v>6.29</v>
      </c>
      <c r="AQ2802">
        <v>-6.67</v>
      </c>
      <c r="AR2802">
        <v>1.32</v>
      </c>
      <c r="AS2802">
        <v>1.0900000000000001</v>
      </c>
      <c r="AT2802" t="s">
        <v>12521</v>
      </c>
      <c r="AU2802" t="s">
        <v>116</v>
      </c>
      <c r="AV2802">
        <v>1567.87</v>
      </c>
      <c r="AW2802">
        <v>1.82</v>
      </c>
      <c r="BA2802">
        <v>-1.01</v>
      </c>
      <c r="BB2802">
        <v>1.01</v>
      </c>
      <c r="BC2802">
        <v>-1.61</v>
      </c>
      <c r="BD2802">
        <v>-0.36</v>
      </c>
      <c r="BE2802">
        <v>-0.2</v>
      </c>
      <c r="BF2802">
        <v>-2.2000000000000002</v>
      </c>
      <c r="BG2802">
        <v>0.41</v>
      </c>
      <c r="BH2802">
        <v>-0.85</v>
      </c>
      <c r="BI2802">
        <v>20191028</v>
      </c>
      <c r="BJ2802">
        <v>19960726</v>
      </c>
      <c r="BK2802">
        <v>5.87</v>
      </c>
      <c r="BL2802" t="s">
        <v>116</v>
      </c>
      <c r="BM2802" t="s">
        <v>116</v>
      </c>
      <c r="BN2802">
        <v>22.5</v>
      </c>
      <c r="BO2802">
        <v>19.63</v>
      </c>
      <c r="BP2802">
        <v>0.56000000000000005</v>
      </c>
      <c r="BQ2802">
        <v>10.210000000000001</v>
      </c>
      <c r="BR2802">
        <v>12.92</v>
      </c>
      <c r="BS2802">
        <v>0.03</v>
      </c>
      <c r="BT2802">
        <v>0.08</v>
      </c>
      <c r="BU2802">
        <v>0.71</v>
      </c>
      <c r="BV2802">
        <v>0.2</v>
      </c>
      <c r="BW2802">
        <v>0.03</v>
      </c>
      <c r="BX2802">
        <v>0.51</v>
      </c>
      <c r="BY2802">
        <v>0.78</v>
      </c>
      <c r="BZ2802">
        <v>0.13</v>
      </c>
      <c r="CA2802">
        <v>0.11</v>
      </c>
      <c r="CB2802">
        <v>0.32</v>
      </c>
      <c r="CC2802">
        <v>0.1</v>
      </c>
      <c r="CD2802">
        <v>0.05</v>
      </c>
      <c r="CE2802">
        <v>-0.02</v>
      </c>
      <c r="CF2802">
        <v>-0.36</v>
      </c>
      <c r="CG2802">
        <v>8.4600000000000009</v>
      </c>
      <c r="CH2802">
        <v>-0.18</v>
      </c>
      <c r="CI2802">
        <v>-4.57</v>
      </c>
      <c r="CJ2802">
        <v>61684</v>
      </c>
      <c r="CK2802">
        <v>7606</v>
      </c>
      <c r="CL2802" t="s">
        <v>3654</v>
      </c>
      <c r="CM2802">
        <v>-152.68</v>
      </c>
      <c r="CN2802">
        <v>5.7</v>
      </c>
      <c r="CO2802">
        <v>1.46</v>
      </c>
      <c r="CP2802">
        <v>-157.51</v>
      </c>
      <c r="CQ2802">
        <v>36.700000000000003</v>
      </c>
      <c r="CR2802">
        <v>0.9</v>
      </c>
      <c r="CS2802" t="s">
        <v>12522</v>
      </c>
      <c r="CT2802">
        <v>3.35</v>
      </c>
      <c r="CU2802">
        <v>0</v>
      </c>
      <c r="CV2802">
        <v>0.09</v>
      </c>
      <c r="CW2802">
        <v>1.44</v>
      </c>
      <c r="CX2802">
        <v>-0.03</v>
      </c>
      <c r="CY2802">
        <v>87.28</v>
      </c>
      <c r="CZ2802" t="s">
        <v>12523</v>
      </c>
      <c r="DA2802">
        <v>83.26</v>
      </c>
      <c r="DB2802">
        <v>13.7</v>
      </c>
      <c r="DC2802">
        <v>-2.29</v>
      </c>
      <c r="DD2802">
        <v>0.14000000000000001</v>
      </c>
      <c r="DE2802">
        <v>360</v>
      </c>
      <c r="DF2802">
        <v>600730</v>
      </c>
      <c r="DG2802" t="s">
        <v>116</v>
      </c>
      <c r="DH2802" t="s">
        <v>116</v>
      </c>
      <c r="DI2802" t="s">
        <v>116</v>
      </c>
    </row>
    <row r="2803" spans="1:113" x14ac:dyDescent="0.4">
      <c r="A2803" t="str">
        <f>"600731"</f>
        <v>600731</v>
      </c>
      <c r="B2803" t="s">
        <v>12524</v>
      </c>
      <c r="C2803">
        <v>-0.71</v>
      </c>
      <c r="D2803">
        <v>7.02</v>
      </c>
      <c r="E2803">
        <v>-0.05</v>
      </c>
      <c r="F2803">
        <v>7.01</v>
      </c>
      <c r="G2803">
        <v>7.02</v>
      </c>
      <c r="H2803">
        <v>54374</v>
      </c>
      <c r="I2803">
        <v>1711</v>
      </c>
      <c r="J2803">
        <v>0.72</v>
      </c>
      <c r="K2803">
        <v>1.66</v>
      </c>
      <c r="L2803">
        <v>7.08</v>
      </c>
      <c r="M2803">
        <v>7.12</v>
      </c>
      <c r="N2803">
        <v>6.95</v>
      </c>
      <c r="O2803">
        <v>7.07</v>
      </c>
      <c r="P2803">
        <v>24.02</v>
      </c>
      <c r="Q2803">
        <v>38196716</v>
      </c>
      <c r="R2803">
        <v>1.1399999999999999</v>
      </c>
      <c r="S2803" t="s">
        <v>697</v>
      </c>
      <c r="T2803" t="s">
        <v>599</v>
      </c>
      <c r="U2803">
        <v>2.4</v>
      </c>
      <c r="V2803">
        <v>7.02</v>
      </c>
      <c r="W2803">
        <v>32491</v>
      </c>
      <c r="X2803">
        <v>21883</v>
      </c>
      <c r="Y2803">
        <v>1.48</v>
      </c>
      <c r="Z2803">
        <v>60</v>
      </c>
      <c r="AA2803">
        <v>1477</v>
      </c>
      <c r="AB2803" t="s">
        <v>116</v>
      </c>
      <c r="AC2803">
        <v>41800</v>
      </c>
      <c r="AD2803">
        <v>0</v>
      </c>
      <c r="AE2803" t="s">
        <v>116</v>
      </c>
      <c r="AF2803" t="s">
        <v>116</v>
      </c>
      <c r="AG2803">
        <v>3.27</v>
      </c>
      <c r="AH2803" t="s">
        <v>12525</v>
      </c>
      <c r="AI2803" t="s">
        <v>4633</v>
      </c>
      <c r="AJ2803">
        <v>-0.63</v>
      </c>
      <c r="AK2803">
        <v>1395</v>
      </c>
      <c r="AL2803">
        <v>39</v>
      </c>
      <c r="AM2803">
        <v>1.1999999999999999E-3</v>
      </c>
      <c r="AN2803">
        <v>-2</v>
      </c>
      <c r="AO2803">
        <v>-0.28999999999999998</v>
      </c>
      <c r="AP2803">
        <v>4.93</v>
      </c>
      <c r="AQ2803">
        <v>4.3099999999999996</v>
      </c>
      <c r="AR2803">
        <v>66.349999999999994</v>
      </c>
      <c r="AS2803">
        <v>2.38</v>
      </c>
      <c r="AT2803" t="s">
        <v>11209</v>
      </c>
      <c r="AU2803">
        <v>21.12</v>
      </c>
      <c r="AV2803">
        <v>48.42</v>
      </c>
      <c r="AW2803">
        <v>0.91</v>
      </c>
      <c r="BA2803">
        <v>0.14000000000000001</v>
      </c>
      <c r="BB2803">
        <v>0.71</v>
      </c>
      <c r="BC2803">
        <v>-1.7</v>
      </c>
      <c r="BD2803">
        <v>-0.64</v>
      </c>
      <c r="BE2803">
        <v>-0.85</v>
      </c>
      <c r="BF2803">
        <v>-1.4</v>
      </c>
      <c r="BG2803">
        <v>1.01</v>
      </c>
      <c r="BH2803">
        <v>-7.0000000000000007E-2</v>
      </c>
      <c r="BI2803">
        <v>20191029</v>
      </c>
      <c r="BJ2803">
        <v>19960802</v>
      </c>
      <c r="BK2803">
        <v>3.55</v>
      </c>
      <c r="BL2803" t="s">
        <v>116</v>
      </c>
      <c r="BM2803" t="s">
        <v>116</v>
      </c>
      <c r="BN2803">
        <v>23.71</v>
      </c>
      <c r="BO2803">
        <v>11.49</v>
      </c>
      <c r="BP2803">
        <v>0.98</v>
      </c>
      <c r="BQ2803">
        <v>47.42</v>
      </c>
      <c r="BR2803">
        <v>12.94</v>
      </c>
      <c r="BS2803">
        <v>5.78</v>
      </c>
      <c r="BT2803">
        <v>1.45</v>
      </c>
      <c r="BU2803">
        <v>8.2799999999999994</v>
      </c>
      <c r="BV2803">
        <v>3.41</v>
      </c>
      <c r="BW2803">
        <v>1.34</v>
      </c>
      <c r="BX2803">
        <v>6.62</v>
      </c>
      <c r="BY2803">
        <v>15.42</v>
      </c>
      <c r="BZ2803">
        <v>11.21</v>
      </c>
      <c r="CA2803">
        <v>1.29</v>
      </c>
      <c r="CB2803">
        <v>0.01</v>
      </c>
      <c r="CC2803">
        <v>1.1299999999999999</v>
      </c>
      <c r="CD2803">
        <v>0.75</v>
      </c>
      <c r="CE2803">
        <v>0.78</v>
      </c>
      <c r="CF2803">
        <v>0.93</v>
      </c>
      <c r="CG2803">
        <v>0.87</v>
      </c>
      <c r="CH2803">
        <v>0.96</v>
      </c>
      <c r="CI2803">
        <v>-0.68</v>
      </c>
      <c r="CJ2803">
        <v>22639</v>
      </c>
      <c r="CK2803">
        <v>10077</v>
      </c>
      <c r="CL2803" t="s">
        <v>12526</v>
      </c>
      <c r="CM2803">
        <v>587.89</v>
      </c>
      <c r="CN2803">
        <v>46.48</v>
      </c>
      <c r="CO2803">
        <v>2.17</v>
      </c>
      <c r="CP2803">
        <v>26.03</v>
      </c>
      <c r="CQ2803">
        <v>1.62</v>
      </c>
      <c r="CR2803">
        <v>0</v>
      </c>
      <c r="CS2803" t="s">
        <v>4880</v>
      </c>
      <c r="CT2803">
        <v>3.23</v>
      </c>
      <c r="CU2803">
        <v>0</v>
      </c>
      <c r="CV2803">
        <v>1.86</v>
      </c>
      <c r="CW2803">
        <v>0.25</v>
      </c>
      <c r="CX2803">
        <v>0.27</v>
      </c>
      <c r="CY2803">
        <v>48.44</v>
      </c>
      <c r="CZ2803" t="s">
        <v>12527</v>
      </c>
      <c r="DA2803">
        <v>27.26</v>
      </c>
      <c r="DB2803">
        <v>8.34</v>
      </c>
      <c r="DC2803">
        <v>5.05</v>
      </c>
      <c r="DD2803">
        <v>0.46</v>
      </c>
      <c r="DE2803">
        <v>1837</v>
      </c>
      <c r="DF2803">
        <v>600731</v>
      </c>
      <c r="DG2803" t="s">
        <v>116</v>
      </c>
      <c r="DH2803" t="s">
        <v>116</v>
      </c>
      <c r="DI2803" t="s">
        <v>116</v>
      </c>
    </row>
    <row r="2804" spans="1:113" x14ac:dyDescent="0.4">
      <c r="A2804" t="str">
        <f>"600732"</f>
        <v>600732</v>
      </c>
      <c r="B2804" t="s">
        <v>12528</v>
      </c>
      <c r="C2804">
        <v>-4.0999999999999996</v>
      </c>
      <c r="D2804">
        <v>7.71</v>
      </c>
      <c r="E2804">
        <v>-0.33</v>
      </c>
      <c r="F2804">
        <v>7.7</v>
      </c>
      <c r="G2804">
        <v>7.71</v>
      </c>
      <c r="H2804">
        <v>68306</v>
      </c>
      <c r="I2804">
        <v>578</v>
      </c>
      <c r="J2804">
        <v>0.39</v>
      </c>
      <c r="K2804">
        <v>1.53</v>
      </c>
      <c r="L2804">
        <v>8.0299999999999994</v>
      </c>
      <c r="M2804">
        <v>8.17</v>
      </c>
      <c r="N2804">
        <v>7.66</v>
      </c>
      <c r="O2804">
        <v>8.0399999999999991</v>
      </c>
      <c r="P2804">
        <v>21.25</v>
      </c>
      <c r="Q2804">
        <v>53634252</v>
      </c>
      <c r="R2804">
        <v>1.18</v>
      </c>
      <c r="S2804" t="s">
        <v>148</v>
      </c>
      <c r="T2804" t="s">
        <v>1653</v>
      </c>
      <c r="U2804">
        <v>6.34</v>
      </c>
      <c r="V2804">
        <v>7.85</v>
      </c>
      <c r="W2804">
        <v>46425</v>
      </c>
      <c r="X2804">
        <v>21881</v>
      </c>
      <c r="Y2804">
        <v>2.12</v>
      </c>
      <c r="Z2804">
        <v>252</v>
      </c>
      <c r="AA2804">
        <v>255</v>
      </c>
      <c r="AB2804" t="s">
        <v>116</v>
      </c>
      <c r="AC2804">
        <v>147800</v>
      </c>
      <c r="AD2804">
        <v>0.01</v>
      </c>
      <c r="AE2804" t="s">
        <v>116</v>
      </c>
      <c r="AF2804" t="s">
        <v>116</v>
      </c>
      <c r="AG2804">
        <v>4.46</v>
      </c>
      <c r="AH2804" t="s">
        <v>12529</v>
      </c>
      <c r="AI2804" t="s">
        <v>12530</v>
      </c>
      <c r="AJ2804">
        <v>-4.03</v>
      </c>
      <c r="AK2804">
        <v>1120</v>
      </c>
      <c r="AL2804">
        <v>61</v>
      </c>
      <c r="AM2804">
        <v>1.4E-3</v>
      </c>
      <c r="AN2804">
        <v>-3</v>
      </c>
      <c r="AO2804">
        <v>-7.11</v>
      </c>
      <c r="AP2804">
        <v>6.34</v>
      </c>
      <c r="AQ2804">
        <v>-3.87</v>
      </c>
      <c r="AR2804">
        <v>70.58</v>
      </c>
      <c r="AS2804">
        <v>1.96</v>
      </c>
      <c r="AT2804" t="s">
        <v>12531</v>
      </c>
      <c r="AU2804">
        <v>54.6</v>
      </c>
      <c r="AV2804">
        <v>881.99</v>
      </c>
      <c r="AW2804">
        <v>1.34</v>
      </c>
      <c r="BA2804">
        <v>-0.12</v>
      </c>
      <c r="BB2804">
        <v>1.62</v>
      </c>
      <c r="BC2804">
        <v>-4.7300000000000004</v>
      </c>
      <c r="BD2804">
        <v>-2.34</v>
      </c>
      <c r="BE2804">
        <v>-3.99</v>
      </c>
      <c r="BF2804">
        <v>-5.63</v>
      </c>
      <c r="BG2804">
        <v>0.65</v>
      </c>
      <c r="BH2804">
        <v>-1.77</v>
      </c>
      <c r="BI2804">
        <v>20191224</v>
      </c>
      <c r="BJ2804">
        <v>19960816</v>
      </c>
      <c r="BK2804">
        <v>18.3</v>
      </c>
      <c r="BL2804" t="s">
        <v>116</v>
      </c>
      <c r="BM2804" t="s">
        <v>116</v>
      </c>
      <c r="BN2804">
        <v>75.25</v>
      </c>
      <c r="BO2804">
        <v>19.89</v>
      </c>
      <c r="BP2804">
        <v>0</v>
      </c>
      <c r="BQ2804">
        <v>73.569999999999993</v>
      </c>
      <c r="BR2804">
        <v>29.29</v>
      </c>
      <c r="BS2804">
        <v>28.48</v>
      </c>
      <c r="BT2804">
        <v>2.1</v>
      </c>
      <c r="BU2804">
        <v>38.299999999999997</v>
      </c>
      <c r="BV2804">
        <v>3.54</v>
      </c>
      <c r="BW2804">
        <v>0.62</v>
      </c>
      <c r="BX2804">
        <v>-6.65</v>
      </c>
      <c r="BY2804">
        <v>41.86</v>
      </c>
      <c r="BZ2804">
        <v>32.85</v>
      </c>
      <c r="CA2804">
        <v>5.69</v>
      </c>
      <c r="CB2804">
        <v>0</v>
      </c>
      <c r="CC2804">
        <v>5.54</v>
      </c>
      <c r="CD2804">
        <v>4.9800000000000004</v>
      </c>
      <c r="CE2804">
        <v>4.9800000000000004</v>
      </c>
      <c r="CF2804">
        <v>4.5</v>
      </c>
      <c r="CG2804">
        <v>8.2100000000000009</v>
      </c>
      <c r="CH2804">
        <v>9.36</v>
      </c>
      <c r="CI2804">
        <v>-2.1</v>
      </c>
      <c r="CJ2804">
        <v>15386</v>
      </c>
      <c r="CK2804">
        <v>22615</v>
      </c>
      <c r="CL2804" t="s">
        <v>12532</v>
      </c>
      <c r="CM2804">
        <v>94.83</v>
      </c>
      <c r="CN2804">
        <v>50.61</v>
      </c>
      <c r="CO2804">
        <v>7.09</v>
      </c>
      <c r="CP2804">
        <v>15.07</v>
      </c>
      <c r="CQ2804">
        <v>3.37</v>
      </c>
      <c r="CR2804">
        <v>0</v>
      </c>
      <c r="CS2804" t="s">
        <v>3553</v>
      </c>
      <c r="CT2804">
        <v>1.0900000000000001</v>
      </c>
      <c r="CU2804">
        <v>0</v>
      </c>
      <c r="CV2804">
        <v>-0.36</v>
      </c>
      <c r="CW2804">
        <v>0.45</v>
      </c>
      <c r="CX2804">
        <v>0.51</v>
      </c>
      <c r="CY2804">
        <v>26.43</v>
      </c>
      <c r="CZ2804" t="s">
        <v>12533</v>
      </c>
      <c r="DA2804">
        <v>21.53</v>
      </c>
      <c r="DB2804">
        <v>13.58</v>
      </c>
      <c r="DC2804">
        <v>11.9</v>
      </c>
      <c r="DD2804">
        <v>1.6</v>
      </c>
      <c r="DE2804">
        <v>27</v>
      </c>
      <c r="DF2804">
        <v>600732</v>
      </c>
      <c r="DG2804" t="s">
        <v>116</v>
      </c>
      <c r="DH2804" t="s">
        <v>116</v>
      </c>
      <c r="DI2804" t="s">
        <v>116</v>
      </c>
    </row>
    <row r="2805" spans="1:113" x14ac:dyDescent="0.4">
      <c r="A2805" t="str">
        <f>"600733"</f>
        <v>600733</v>
      </c>
      <c r="B2805" t="s">
        <v>12534</v>
      </c>
      <c r="C2805">
        <v>-0.86</v>
      </c>
      <c r="D2805">
        <v>5.75</v>
      </c>
      <c r="E2805">
        <v>-0.05</v>
      </c>
      <c r="F2805">
        <v>5.75</v>
      </c>
      <c r="G2805">
        <v>5.76</v>
      </c>
      <c r="H2805">
        <v>141851</v>
      </c>
      <c r="I2805">
        <v>2461</v>
      </c>
      <c r="J2805">
        <v>0</v>
      </c>
      <c r="K2805">
        <v>0.84</v>
      </c>
      <c r="L2805">
        <v>5.8</v>
      </c>
      <c r="M2805">
        <v>5.93</v>
      </c>
      <c r="N2805">
        <v>5.74</v>
      </c>
      <c r="O2805">
        <v>5.8</v>
      </c>
      <c r="P2805" t="s">
        <v>116</v>
      </c>
      <c r="Q2805">
        <v>82616312</v>
      </c>
      <c r="R2805">
        <v>0.86</v>
      </c>
      <c r="S2805" t="s">
        <v>1108</v>
      </c>
      <c r="T2805" t="s">
        <v>165</v>
      </c>
      <c r="U2805">
        <v>3.28</v>
      </c>
      <c r="V2805">
        <v>5.82</v>
      </c>
      <c r="W2805">
        <v>70221</v>
      </c>
      <c r="X2805">
        <v>71630</v>
      </c>
      <c r="Y2805">
        <v>0.98</v>
      </c>
      <c r="Z2805">
        <v>75</v>
      </c>
      <c r="AA2805">
        <v>346</v>
      </c>
      <c r="AB2805" t="s">
        <v>116</v>
      </c>
      <c r="AC2805">
        <v>323100</v>
      </c>
      <c r="AD2805">
        <v>0</v>
      </c>
      <c r="AE2805" t="s">
        <v>116</v>
      </c>
      <c r="AF2805" t="s">
        <v>116</v>
      </c>
      <c r="AG2805">
        <v>16.86</v>
      </c>
      <c r="AH2805" t="s">
        <v>12535</v>
      </c>
      <c r="AI2805" t="s">
        <v>12536</v>
      </c>
      <c r="AJ2805">
        <v>-0.79</v>
      </c>
      <c r="AK2805">
        <v>2309</v>
      </c>
      <c r="AL2805">
        <v>61</v>
      </c>
      <c r="AM2805">
        <v>4.0000000000000002E-4</v>
      </c>
      <c r="AN2805">
        <v>-3</v>
      </c>
      <c r="AO2805">
        <v>-1.7</v>
      </c>
      <c r="AP2805">
        <v>10.36</v>
      </c>
      <c r="AQ2805">
        <v>-9.73</v>
      </c>
      <c r="AR2805">
        <v>-27.76</v>
      </c>
      <c r="AS2805">
        <v>1.1000000000000001</v>
      </c>
      <c r="AT2805" t="s">
        <v>4749</v>
      </c>
      <c r="AU2805" t="s">
        <v>116</v>
      </c>
      <c r="AV2805">
        <v>129.47</v>
      </c>
      <c r="AW2805">
        <v>1.25</v>
      </c>
      <c r="BA2805">
        <v>0</v>
      </c>
      <c r="BB2805">
        <v>2.2400000000000002</v>
      </c>
      <c r="BC2805">
        <v>-1.03</v>
      </c>
      <c r="BD2805">
        <v>0.42</v>
      </c>
      <c r="BE2805">
        <v>-0.86</v>
      </c>
      <c r="BF2805">
        <v>-3.04</v>
      </c>
      <c r="BG2805">
        <v>0.17</v>
      </c>
      <c r="BH2805">
        <v>-1.28</v>
      </c>
      <c r="BI2805">
        <v>20191030</v>
      </c>
      <c r="BJ2805">
        <v>19960816</v>
      </c>
      <c r="BK2805">
        <v>34.94</v>
      </c>
      <c r="BL2805" t="s">
        <v>116</v>
      </c>
      <c r="BM2805" t="s">
        <v>116</v>
      </c>
      <c r="BN2805">
        <v>580.51</v>
      </c>
      <c r="BO2805">
        <v>170.25</v>
      </c>
      <c r="BP2805">
        <v>-0.25</v>
      </c>
      <c r="BQ2805">
        <v>70.72</v>
      </c>
      <c r="BR2805">
        <v>465.18</v>
      </c>
      <c r="BS2805">
        <v>51.97</v>
      </c>
      <c r="BT2805">
        <v>23.92</v>
      </c>
      <c r="BU2805">
        <v>307.02</v>
      </c>
      <c r="BV2805">
        <v>53.08</v>
      </c>
      <c r="BW2805">
        <v>210.52</v>
      </c>
      <c r="BX2805">
        <v>139.32</v>
      </c>
      <c r="BY2805">
        <v>174.84</v>
      </c>
      <c r="BZ2805">
        <v>166.03</v>
      </c>
      <c r="CA2805">
        <v>-3.14</v>
      </c>
      <c r="CB2805">
        <v>1.27</v>
      </c>
      <c r="CC2805">
        <v>-3.02</v>
      </c>
      <c r="CD2805">
        <v>-2.77</v>
      </c>
      <c r="CE2805">
        <v>-2.7</v>
      </c>
      <c r="CF2805">
        <v>-9.44</v>
      </c>
      <c r="CG2805">
        <v>-4.05</v>
      </c>
      <c r="CH2805">
        <v>-62.09</v>
      </c>
      <c r="CI2805">
        <v>16.05</v>
      </c>
      <c r="CJ2805">
        <v>53220</v>
      </c>
      <c r="CK2805">
        <v>24291</v>
      </c>
      <c r="CL2805" t="s">
        <v>12537</v>
      </c>
      <c r="CM2805">
        <v>-303.55</v>
      </c>
      <c r="CN2805">
        <v>78.64</v>
      </c>
      <c r="CO2805">
        <v>1.18</v>
      </c>
      <c r="CP2805">
        <v>-3.24</v>
      </c>
      <c r="CQ2805">
        <v>1.1499999999999999</v>
      </c>
      <c r="CR2805">
        <v>0</v>
      </c>
      <c r="CS2805" t="s">
        <v>12538</v>
      </c>
      <c r="CT2805">
        <v>4.87</v>
      </c>
      <c r="CU2805">
        <v>0</v>
      </c>
      <c r="CV2805">
        <v>3.99</v>
      </c>
      <c r="CW2805">
        <v>-0.12</v>
      </c>
      <c r="CX2805">
        <v>-1.78</v>
      </c>
      <c r="CY2805">
        <v>29.33</v>
      </c>
      <c r="CZ2805" t="s">
        <v>877</v>
      </c>
      <c r="DA2805">
        <v>5.04</v>
      </c>
      <c r="DB2805">
        <v>-1.8</v>
      </c>
      <c r="DC2805">
        <v>-1.54</v>
      </c>
      <c r="DD2805">
        <v>2.94</v>
      </c>
      <c r="DE2805">
        <v>3994</v>
      </c>
      <c r="DF2805">
        <v>600733</v>
      </c>
      <c r="DG2805" t="s">
        <v>116</v>
      </c>
      <c r="DH2805" t="s">
        <v>116</v>
      </c>
      <c r="DI2805" t="s">
        <v>116</v>
      </c>
    </row>
    <row r="2806" spans="1:113" x14ac:dyDescent="0.4">
      <c r="A2806" t="str">
        <f>"600734"</f>
        <v>600734</v>
      </c>
      <c r="B2806" t="s">
        <v>12539</v>
      </c>
      <c r="C2806">
        <v>-1.02</v>
      </c>
      <c r="D2806">
        <v>6.8</v>
      </c>
      <c r="E2806">
        <v>-7.0000000000000007E-2</v>
      </c>
      <c r="F2806">
        <v>6.8</v>
      </c>
      <c r="G2806">
        <v>6.81</v>
      </c>
      <c r="H2806">
        <v>86980</v>
      </c>
      <c r="I2806">
        <v>1513</v>
      </c>
      <c r="J2806">
        <v>-0.28000000000000003</v>
      </c>
      <c r="K2806">
        <v>1.68</v>
      </c>
      <c r="L2806">
        <v>6.88</v>
      </c>
      <c r="M2806">
        <v>6.93</v>
      </c>
      <c r="N2806">
        <v>6.8</v>
      </c>
      <c r="O2806">
        <v>6.87</v>
      </c>
      <c r="P2806" t="s">
        <v>116</v>
      </c>
      <c r="Q2806">
        <v>59683552</v>
      </c>
      <c r="R2806">
        <v>0.76</v>
      </c>
      <c r="S2806" t="s">
        <v>241</v>
      </c>
      <c r="T2806" t="s">
        <v>975</v>
      </c>
      <c r="U2806">
        <v>1.89</v>
      </c>
      <c r="V2806">
        <v>6.86</v>
      </c>
      <c r="W2806">
        <v>55014</v>
      </c>
      <c r="X2806">
        <v>31966</v>
      </c>
      <c r="Y2806">
        <v>1.72</v>
      </c>
      <c r="Z2806">
        <v>2464</v>
      </c>
      <c r="AA2806">
        <v>13</v>
      </c>
      <c r="AB2806" t="s">
        <v>116</v>
      </c>
      <c r="AC2806">
        <v>60500</v>
      </c>
      <c r="AD2806">
        <v>0</v>
      </c>
      <c r="AE2806" t="s">
        <v>116</v>
      </c>
      <c r="AF2806" t="s">
        <v>116</v>
      </c>
      <c r="AG2806">
        <v>5.19</v>
      </c>
      <c r="AH2806" t="s">
        <v>12540</v>
      </c>
      <c r="AI2806" t="s">
        <v>12541</v>
      </c>
      <c r="AJ2806">
        <v>-0.94</v>
      </c>
      <c r="AK2806">
        <v>1886</v>
      </c>
      <c r="AL2806">
        <v>46</v>
      </c>
      <c r="AM2806">
        <v>8.9999999999999998E-4</v>
      </c>
      <c r="AN2806">
        <v>-2</v>
      </c>
      <c r="AO2806">
        <v>-0.28999999999999998</v>
      </c>
      <c r="AP2806">
        <v>-1.59</v>
      </c>
      <c r="AQ2806">
        <v>-20.190000000000001</v>
      </c>
      <c r="AR2806">
        <v>8.2799999999999994</v>
      </c>
      <c r="AS2806">
        <v>2.99</v>
      </c>
      <c r="AT2806" t="s">
        <v>12542</v>
      </c>
      <c r="AU2806" t="s">
        <v>116</v>
      </c>
      <c r="AV2806" t="s">
        <v>116</v>
      </c>
      <c r="AW2806">
        <v>1.24</v>
      </c>
      <c r="BA2806">
        <v>0.15</v>
      </c>
      <c r="BB2806">
        <v>0.87</v>
      </c>
      <c r="BC2806">
        <v>-1.02</v>
      </c>
      <c r="BD2806">
        <v>-0.12</v>
      </c>
      <c r="BE2806">
        <v>-1.1599999999999999</v>
      </c>
      <c r="BF2806">
        <v>-1.88</v>
      </c>
      <c r="BG2806">
        <v>0</v>
      </c>
      <c r="BH2806">
        <v>-0.9</v>
      </c>
      <c r="BI2806">
        <v>20191031</v>
      </c>
      <c r="BJ2806">
        <v>19960808</v>
      </c>
      <c r="BK2806">
        <v>6.22</v>
      </c>
      <c r="BL2806" t="s">
        <v>116</v>
      </c>
      <c r="BM2806" t="s">
        <v>116</v>
      </c>
      <c r="BN2806">
        <v>55.36</v>
      </c>
      <c r="BO2806">
        <v>23.19</v>
      </c>
      <c r="BP2806">
        <v>0</v>
      </c>
      <c r="BQ2806">
        <v>58.12</v>
      </c>
      <c r="BR2806">
        <v>34.97</v>
      </c>
      <c r="BS2806">
        <v>2.44</v>
      </c>
      <c r="BT2806">
        <v>0.5</v>
      </c>
      <c r="BU2806">
        <v>31.17</v>
      </c>
      <c r="BV2806">
        <v>9.18</v>
      </c>
      <c r="BW2806">
        <v>14.52</v>
      </c>
      <c r="BX2806">
        <v>20.78</v>
      </c>
      <c r="BY2806">
        <v>20.71</v>
      </c>
      <c r="BZ2806">
        <v>19.899999999999999</v>
      </c>
      <c r="CA2806">
        <v>-3.62</v>
      </c>
      <c r="CB2806">
        <v>0.01</v>
      </c>
      <c r="CC2806">
        <v>-3.48</v>
      </c>
      <c r="CD2806">
        <v>-2.79</v>
      </c>
      <c r="CE2806">
        <v>-2.79</v>
      </c>
      <c r="CF2806">
        <v>-2.99</v>
      </c>
      <c r="CG2806">
        <v>-4.04</v>
      </c>
      <c r="CH2806">
        <v>-2.87</v>
      </c>
      <c r="CI2806">
        <v>-0.65</v>
      </c>
      <c r="CJ2806">
        <v>63076</v>
      </c>
      <c r="CK2806">
        <v>4609</v>
      </c>
      <c r="CL2806" t="s">
        <v>12543</v>
      </c>
      <c r="CM2806">
        <v>-324.07</v>
      </c>
      <c r="CN2806">
        <v>-48.5</v>
      </c>
      <c r="CO2806">
        <v>1.83</v>
      </c>
      <c r="CP2806">
        <v>-14.77</v>
      </c>
      <c r="CQ2806">
        <v>2.04</v>
      </c>
      <c r="CR2806">
        <v>0</v>
      </c>
      <c r="CS2806" t="s">
        <v>12544</v>
      </c>
      <c r="CT2806">
        <v>3.73</v>
      </c>
      <c r="CU2806">
        <v>0</v>
      </c>
      <c r="CV2806">
        <v>3.34</v>
      </c>
      <c r="CW2806">
        <v>-0.65</v>
      </c>
      <c r="CX2806">
        <v>-0.46</v>
      </c>
      <c r="CY2806">
        <v>41.88</v>
      </c>
      <c r="CZ2806" t="s">
        <v>12545</v>
      </c>
      <c r="DA2806">
        <v>3.9</v>
      </c>
      <c r="DB2806">
        <v>-17.48</v>
      </c>
      <c r="DC2806">
        <v>-13.47</v>
      </c>
      <c r="DD2806">
        <v>0.95</v>
      </c>
      <c r="DE2806">
        <v>2475</v>
      </c>
      <c r="DF2806">
        <v>600734</v>
      </c>
      <c r="DG2806" t="s">
        <v>116</v>
      </c>
      <c r="DH2806" t="s">
        <v>116</v>
      </c>
      <c r="DI2806" t="s">
        <v>116</v>
      </c>
    </row>
    <row r="2807" spans="1:113" x14ac:dyDescent="0.4">
      <c r="A2807" t="str">
        <f>"600735"</f>
        <v>600735</v>
      </c>
      <c r="B2807" t="s">
        <v>12546</v>
      </c>
      <c r="C2807">
        <v>-0.91</v>
      </c>
      <c r="D2807">
        <v>6.55</v>
      </c>
      <c r="E2807">
        <v>-0.06</v>
      </c>
      <c r="F2807">
        <v>6.55</v>
      </c>
      <c r="G2807">
        <v>6.56</v>
      </c>
      <c r="H2807">
        <v>96919</v>
      </c>
      <c r="I2807">
        <v>753</v>
      </c>
      <c r="J2807">
        <v>-0.28999999999999998</v>
      </c>
      <c r="K2807">
        <v>2.58</v>
      </c>
      <c r="L2807">
        <v>6.58</v>
      </c>
      <c r="M2807">
        <v>6.73</v>
      </c>
      <c r="N2807">
        <v>6.55</v>
      </c>
      <c r="O2807">
        <v>6.61</v>
      </c>
      <c r="P2807">
        <v>26.77</v>
      </c>
      <c r="Q2807">
        <v>64336600</v>
      </c>
      <c r="R2807">
        <v>1.06</v>
      </c>
      <c r="S2807" t="s">
        <v>566</v>
      </c>
      <c r="T2807" t="s">
        <v>645</v>
      </c>
      <c r="U2807">
        <v>2.72</v>
      </c>
      <c r="V2807">
        <v>6.64</v>
      </c>
      <c r="W2807">
        <v>48651</v>
      </c>
      <c r="X2807">
        <v>48268</v>
      </c>
      <c r="Y2807">
        <v>1.01</v>
      </c>
      <c r="Z2807">
        <v>666</v>
      </c>
      <c r="AA2807">
        <v>296</v>
      </c>
      <c r="AB2807" t="s">
        <v>116</v>
      </c>
      <c r="AC2807">
        <v>363900</v>
      </c>
      <c r="AD2807">
        <v>0.03</v>
      </c>
      <c r="AE2807" t="s">
        <v>116</v>
      </c>
      <c r="AF2807" t="s">
        <v>116</v>
      </c>
      <c r="AG2807">
        <v>3.76</v>
      </c>
      <c r="AH2807" t="s">
        <v>12547</v>
      </c>
      <c r="AI2807" t="s">
        <v>12547</v>
      </c>
      <c r="AJ2807">
        <v>-0.83</v>
      </c>
      <c r="AK2807">
        <v>1951</v>
      </c>
      <c r="AL2807">
        <v>50</v>
      </c>
      <c r="AM2807">
        <v>1.2999999999999999E-3</v>
      </c>
      <c r="AN2807">
        <v>-1</v>
      </c>
      <c r="AO2807">
        <v>-1.65</v>
      </c>
      <c r="AP2807">
        <v>5.99</v>
      </c>
      <c r="AQ2807">
        <v>14.51</v>
      </c>
      <c r="AR2807">
        <v>28.46</v>
      </c>
      <c r="AS2807">
        <v>5.23</v>
      </c>
      <c r="AT2807" t="s">
        <v>2127</v>
      </c>
      <c r="AU2807">
        <v>28.27</v>
      </c>
      <c r="AV2807">
        <v>32.22</v>
      </c>
      <c r="AW2807">
        <v>1.86</v>
      </c>
      <c r="BA2807">
        <v>-0.45</v>
      </c>
      <c r="BB2807">
        <v>1.82</v>
      </c>
      <c r="BC2807">
        <v>-0.91</v>
      </c>
      <c r="BD2807">
        <v>0.43</v>
      </c>
      <c r="BE2807">
        <v>-0.46</v>
      </c>
      <c r="BF2807">
        <v>-2.67</v>
      </c>
      <c r="BG2807">
        <v>0</v>
      </c>
      <c r="BH2807">
        <v>-1.33</v>
      </c>
      <c r="BI2807">
        <v>20191031</v>
      </c>
      <c r="BJ2807">
        <v>19960726</v>
      </c>
      <c r="BK2807">
        <v>3.76</v>
      </c>
      <c r="BL2807" t="s">
        <v>116</v>
      </c>
      <c r="BM2807" t="s">
        <v>116</v>
      </c>
      <c r="BN2807">
        <v>12.94</v>
      </c>
      <c r="BO2807">
        <v>9.4600000000000009</v>
      </c>
      <c r="BP2807">
        <v>0.67</v>
      </c>
      <c r="BQ2807">
        <v>21.68</v>
      </c>
      <c r="BR2807">
        <v>9.24</v>
      </c>
      <c r="BS2807">
        <v>0.28000000000000003</v>
      </c>
      <c r="BT2807">
        <v>0.03</v>
      </c>
      <c r="BU2807">
        <v>2.68</v>
      </c>
      <c r="BV2807">
        <v>3.23</v>
      </c>
      <c r="BW2807">
        <v>1.37</v>
      </c>
      <c r="BX2807">
        <v>1.43</v>
      </c>
      <c r="BY2807">
        <v>10.77</v>
      </c>
      <c r="BZ2807">
        <v>8.09</v>
      </c>
      <c r="CA2807">
        <v>1.38</v>
      </c>
      <c r="CB2807">
        <v>0.03</v>
      </c>
      <c r="CC2807">
        <v>1.38</v>
      </c>
      <c r="CD2807">
        <v>1.01</v>
      </c>
      <c r="CE2807">
        <v>0.69</v>
      </c>
      <c r="CF2807">
        <v>0.69</v>
      </c>
      <c r="CG2807">
        <v>3.72</v>
      </c>
      <c r="CH2807">
        <v>0.86</v>
      </c>
      <c r="CI2807">
        <v>0.09</v>
      </c>
      <c r="CJ2807">
        <v>28250</v>
      </c>
      <c r="CK2807">
        <v>6563</v>
      </c>
      <c r="CL2807" t="s">
        <v>4389</v>
      </c>
      <c r="CM2807">
        <v>18.28</v>
      </c>
      <c r="CN2807">
        <v>6.68</v>
      </c>
      <c r="CO2807">
        <v>2.6</v>
      </c>
      <c r="CP2807">
        <v>28.68</v>
      </c>
      <c r="CQ2807">
        <v>2.29</v>
      </c>
      <c r="CR2807">
        <v>0.93</v>
      </c>
      <c r="CS2807" t="s">
        <v>2474</v>
      </c>
      <c r="CT2807">
        <v>2.52</v>
      </c>
      <c r="CU2807">
        <v>0</v>
      </c>
      <c r="CV2807">
        <v>0.38</v>
      </c>
      <c r="CW2807">
        <v>0.99</v>
      </c>
      <c r="CX2807">
        <v>0.23</v>
      </c>
      <c r="CY2807">
        <v>73.11</v>
      </c>
      <c r="CZ2807" t="s">
        <v>12548</v>
      </c>
      <c r="DA2807">
        <v>24.85</v>
      </c>
      <c r="DB2807">
        <v>12.8</v>
      </c>
      <c r="DC2807">
        <v>6.41</v>
      </c>
      <c r="DD2807">
        <v>0</v>
      </c>
      <c r="DE2807">
        <v>1703</v>
      </c>
      <c r="DF2807">
        <v>600735</v>
      </c>
      <c r="DG2807" t="s">
        <v>116</v>
      </c>
      <c r="DH2807" t="s">
        <v>116</v>
      </c>
      <c r="DI2807" t="s">
        <v>116</v>
      </c>
    </row>
    <row r="2808" spans="1:113" x14ac:dyDescent="0.4">
      <c r="A2808" t="str">
        <f>"600736"</f>
        <v>600736</v>
      </c>
      <c r="B2808" t="s">
        <v>12549</v>
      </c>
      <c r="C2808">
        <v>0.72</v>
      </c>
      <c r="D2808">
        <v>5.61</v>
      </c>
      <c r="E2808">
        <v>0.04</v>
      </c>
      <c r="F2808">
        <v>5.61</v>
      </c>
      <c r="G2808">
        <v>5.62</v>
      </c>
      <c r="H2808">
        <v>91168</v>
      </c>
      <c r="I2808">
        <v>816</v>
      </c>
      <c r="J2808">
        <v>0.18</v>
      </c>
      <c r="K2808">
        <v>0.79</v>
      </c>
      <c r="L2808">
        <v>5.56</v>
      </c>
      <c r="M2808">
        <v>5.64</v>
      </c>
      <c r="N2808">
        <v>5.55</v>
      </c>
      <c r="O2808">
        <v>5.57</v>
      </c>
      <c r="P2808">
        <v>16.91</v>
      </c>
      <c r="Q2808">
        <v>51041588</v>
      </c>
      <c r="R2808">
        <v>1.27</v>
      </c>
      <c r="S2808" t="s">
        <v>1503</v>
      </c>
      <c r="T2808" t="s">
        <v>323</v>
      </c>
      <c r="U2808">
        <v>1.62</v>
      </c>
      <c r="V2808">
        <v>5.6</v>
      </c>
      <c r="W2808">
        <v>48847</v>
      </c>
      <c r="X2808">
        <v>42321</v>
      </c>
      <c r="Y2808">
        <v>1.1499999999999999</v>
      </c>
      <c r="Z2808">
        <v>12</v>
      </c>
      <c r="AA2808">
        <v>2134</v>
      </c>
      <c r="AB2808" t="s">
        <v>116</v>
      </c>
      <c r="AC2808">
        <v>129000</v>
      </c>
      <c r="AD2808">
        <v>0</v>
      </c>
      <c r="AE2808" t="s">
        <v>116</v>
      </c>
      <c r="AF2808" t="s">
        <v>116</v>
      </c>
      <c r="AG2808">
        <v>11.51</v>
      </c>
      <c r="AH2808" t="s">
        <v>12253</v>
      </c>
      <c r="AI2808" t="s">
        <v>12253</v>
      </c>
      <c r="AJ2808">
        <v>0.79</v>
      </c>
      <c r="AK2808">
        <v>1366</v>
      </c>
      <c r="AL2808">
        <v>67</v>
      </c>
      <c r="AM2808">
        <v>5.9999999999999995E-4</v>
      </c>
      <c r="AN2808">
        <v>2</v>
      </c>
      <c r="AO2808">
        <v>1.45</v>
      </c>
      <c r="AP2808">
        <v>7.06</v>
      </c>
      <c r="AQ2808">
        <v>-7.27</v>
      </c>
      <c r="AR2808">
        <v>6.65</v>
      </c>
      <c r="AS2808">
        <v>1.41</v>
      </c>
      <c r="AT2808" t="s">
        <v>12550</v>
      </c>
      <c r="AU2808">
        <v>13.71</v>
      </c>
      <c r="AV2808">
        <v>10.57</v>
      </c>
      <c r="AW2808">
        <v>1.52</v>
      </c>
      <c r="BA2808">
        <v>-0.18</v>
      </c>
      <c r="BB2808">
        <v>1.26</v>
      </c>
      <c r="BC2808">
        <v>-0.36</v>
      </c>
      <c r="BD2808">
        <v>0.51</v>
      </c>
      <c r="BE2808">
        <v>0.9</v>
      </c>
      <c r="BF2808">
        <v>-0.53</v>
      </c>
      <c r="BG2808">
        <v>1.08</v>
      </c>
      <c r="BH2808">
        <v>0.2</v>
      </c>
      <c r="BI2808">
        <v>20191029</v>
      </c>
      <c r="BJ2808">
        <v>19960815</v>
      </c>
      <c r="BK2808">
        <v>11.51</v>
      </c>
      <c r="BL2808" t="s">
        <v>116</v>
      </c>
      <c r="BM2808" t="s">
        <v>116</v>
      </c>
      <c r="BN2808">
        <v>432.14</v>
      </c>
      <c r="BO2808">
        <v>86.83</v>
      </c>
      <c r="BP2808">
        <v>60.2</v>
      </c>
      <c r="BQ2808">
        <v>65.97</v>
      </c>
      <c r="BR2808">
        <v>358.73</v>
      </c>
      <c r="BS2808">
        <v>17.29</v>
      </c>
      <c r="BT2808">
        <v>11.91</v>
      </c>
      <c r="BU2808">
        <v>167.91</v>
      </c>
      <c r="BV2808">
        <v>244.33</v>
      </c>
      <c r="BW2808">
        <v>4.3899999999999997</v>
      </c>
      <c r="BX2808">
        <v>15.78</v>
      </c>
      <c r="BY2808">
        <v>66.37</v>
      </c>
      <c r="BZ2808">
        <v>44.2</v>
      </c>
      <c r="CA2808">
        <v>9.07</v>
      </c>
      <c r="CB2808">
        <v>0.52</v>
      </c>
      <c r="CC2808">
        <v>9.1199999999999992</v>
      </c>
      <c r="CD2808">
        <v>5.53</v>
      </c>
      <c r="CE2808">
        <v>2.86</v>
      </c>
      <c r="CF2808">
        <v>0.88</v>
      </c>
      <c r="CG2808">
        <v>28.89</v>
      </c>
      <c r="CH2808">
        <v>-23.15</v>
      </c>
      <c r="CI2808">
        <v>4.8600000000000003</v>
      </c>
      <c r="CJ2808">
        <v>79527</v>
      </c>
      <c r="CK2808">
        <v>8137</v>
      </c>
      <c r="CL2808" t="s">
        <v>349</v>
      </c>
      <c r="CM2808">
        <v>-32.880000000000003</v>
      </c>
      <c r="CN2808">
        <v>76.83</v>
      </c>
      <c r="CO2808">
        <v>1.04</v>
      </c>
      <c r="CP2808">
        <v>-2.79</v>
      </c>
      <c r="CQ2808">
        <v>0.97</v>
      </c>
      <c r="CR2808">
        <v>0</v>
      </c>
      <c r="CS2808" t="s">
        <v>8554</v>
      </c>
      <c r="CT2808">
        <v>5.39</v>
      </c>
      <c r="CU2808">
        <v>5.39</v>
      </c>
      <c r="CV2808">
        <v>1.37</v>
      </c>
      <c r="CW2808">
        <v>2.5099999999999998</v>
      </c>
      <c r="CX2808">
        <v>-2.0099999999999998</v>
      </c>
      <c r="CY2808">
        <v>20.09</v>
      </c>
      <c r="CZ2808" t="s">
        <v>1606</v>
      </c>
      <c r="DA2808">
        <v>33.4</v>
      </c>
      <c r="DB2808">
        <v>13.67</v>
      </c>
      <c r="DC2808">
        <v>4.32</v>
      </c>
      <c r="DD2808">
        <v>7.0000000000000007E-2</v>
      </c>
      <c r="DE2808">
        <v>1731</v>
      </c>
      <c r="DF2808">
        <v>600736</v>
      </c>
      <c r="DG2808" t="s">
        <v>116</v>
      </c>
      <c r="DH2808" t="s">
        <v>116</v>
      </c>
      <c r="DI2808" t="s">
        <v>116</v>
      </c>
    </row>
    <row r="2809" spans="1:113" x14ac:dyDescent="0.4">
      <c r="A2809" t="str">
        <f>"600737"</f>
        <v>600737</v>
      </c>
      <c r="B2809" t="s">
        <v>12551</v>
      </c>
      <c r="C2809">
        <v>0.49</v>
      </c>
      <c r="D2809">
        <v>8.2799999999999994</v>
      </c>
      <c r="E2809">
        <v>0.04</v>
      </c>
      <c r="F2809">
        <v>8.2799999999999994</v>
      </c>
      <c r="G2809">
        <v>8.2899999999999991</v>
      </c>
      <c r="H2809">
        <v>92414</v>
      </c>
      <c r="I2809">
        <v>1205</v>
      </c>
      <c r="J2809">
        <v>-0.23</v>
      </c>
      <c r="K2809">
        <v>0.45</v>
      </c>
      <c r="L2809">
        <v>8.2899999999999991</v>
      </c>
      <c r="M2809">
        <v>8.4</v>
      </c>
      <c r="N2809">
        <v>8.27</v>
      </c>
      <c r="O2809">
        <v>8.24</v>
      </c>
      <c r="P2809">
        <v>22.54</v>
      </c>
      <c r="Q2809">
        <v>76975720</v>
      </c>
      <c r="R2809">
        <v>1.27</v>
      </c>
      <c r="S2809" t="s">
        <v>863</v>
      </c>
      <c r="T2809" t="s">
        <v>616</v>
      </c>
      <c r="U2809">
        <v>1.58</v>
      </c>
      <c r="V2809">
        <v>8.33</v>
      </c>
      <c r="W2809">
        <v>44379</v>
      </c>
      <c r="X2809">
        <v>48035</v>
      </c>
      <c r="Y2809">
        <v>0.92</v>
      </c>
      <c r="Z2809">
        <v>1064</v>
      </c>
      <c r="AA2809">
        <v>555</v>
      </c>
      <c r="AB2809" t="s">
        <v>116</v>
      </c>
      <c r="AC2809">
        <v>601900</v>
      </c>
      <c r="AD2809">
        <v>0.01</v>
      </c>
      <c r="AE2809" t="s">
        <v>116</v>
      </c>
      <c r="AF2809" t="s">
        <v>116</v>
      </c>
      <c r="AG2809">
        <v>20.52</v>
      </c>
      <c r="AH2809" t="s">
        <v>12552</v>
      </c>
      <c r="AI2809" t="s">
        <v>12553</v>
      </c>
      <c r="AJ2809">
        <v>0.56000000000000005</v>
      </c>
      <c r="AK2809">
        <v>2620</v>
      </c>
      <c r="AL2809">
        <v>35</v>
      </c>
      <c r="AM2809">
        <v>2.0000000000000001E-4</v>
      </c>
      <c r="AN2809">
        <v>4</v>
      </c>
      <c r="AO2809">
        <v>0.98</v>
      </c>
      <c r="AP2809">
        <v>2.1</v>
      </c>
      <c r="AQ2809">
        <v>-7.38</v>
      </c>
      <c r="AR2809">
        <v>12.5</v>
      </c>
      <c r="AS2809">
        <v>0.93</v>
      </c>
      <c r="AT2809" t="s">
        <v>12554</v>
      </c>
      <c r="AU2809">
        <v>60.07</v>
      </c>
      <c r="AV2809">
        <v>35.15</v>
      </c>
      <c r="AW2809">
        <v>0.49</v>
      </c>
      <c r="BA2809">
        <v>0.61</v>
      </c>
      <c r="BB2809">
        <v>1.94</v>
      </c>
      <c r="BC2809">
        <v>0.36</v>
      </c>
      <c r="BD2809">
        <v>1.0900000000000001</v>
      </c>
      <c r="BE2809">
        <v>-0.12</v>
      </c>
      <c r="BF2809">
        <v>-1.43</v>
      </c>
      <c r="BG2809">
        <v>0.12</v>
      </c>
      <c r="BH2809">
        <v>-0.6</v>
      </c>
      <c r="BI2809">
        <v>20191030</v>
      </c>
      <c r="BJ2809">
        <v>19960731</v>
      </c>
      <c r="BK2809">
        <v>21.39</v>
      </c>
      <c r="BL2809" t="s">
        <v>116</v>
      </c>
      <c r="BM2809" t="s">
        <v>116</v>
      </c>
      <c r="BN2809">
        <v>211.57</v>
      </c>
      <c r="BO2809">
        <v>79.75</v>
      </c>
      <c r="BP2809">
        <v>1.57</v>
      </c>
      <c r="BQ2809">
        <v>61.56</v>
      </c>
      <c r="BR2809">
        <v>152.16</v>
      </c>
      <c r="BS2809">
        <v>39.979999999999997</v>
      </c>
      <c r="BT2809">
        <v>8.81</v>
      </c>
      <c r="BU2809">
        <v>128.43</v>
      </c>
      <c r="BV2809">
        <v>41.16</v>
      </c>
      <c r="BW2809">
        <v>10.84</v>
      </c>
      <c r="BX2809">
        <v>46.8</v>
      </c>
      <c r="BY2809">
        <v>123.25</v>
      </c>
      <c r="BZ2809">
        <v>105.79</v>
      </c>
      <c r="CA2809">
        <v>7.44</v>
      </c>
      <c r="CB2809">
        <v>-0.11</v>
      </c>
      <c r="CC2809">
        <v>7.45</v>
      </c>
      <c r="CD2809">
        <v>6.26</v>
      </c>
      <c r="CE2809">
        <v>5.89</v>
      </c>
      <c r="CF2809">
        <v>5.87</v>
      </c>
      <c r="CG2809">
        <v>13.57</v>
      </c>
      <c r="CH2809">
        <v>31.27</v>
      </c>
      <c r="CI2809">
        <v>47.35</v>
      </c>
      <c r="CJ2809">
        <v>131694</v>
      </c>
      <c r="CK2809">
        <v>7552</v>
      </c>
      <c r="CL2809" t="s">
        <v>1880</v>
      </c>
      <c r="CM2809">
        <v>-26.18</v>
      </c>
      <c r="CN2809">
        <v>-9.44</v>
      </c>
      <c r="CO2809">
        <v>2.2200000000000002</v>
      </c>
      <c r="CP2809">
        <v>5.66</v>
      </c>
      <c r="CQ2809">
        <v>1.44</v>
      </c>
      <c r="CR2809">
        <v>0</v>
      </c>
      <c r="CS2809" t="s">
        <v>3370</v>
      </c>
      <c r="CT2809">
        <v>3.73</v>
      </c>
      <c r="CU2809">
        <v>0</v>
      </c>
      <c r="CV2809">
        <v>2.19</v>
      </c>
      <c r="CW2809">
        <v>0.63</v>
      </c>
      <c r="CX2809">
        <v>1.46</v>
      </c>
      <c r="CY2809">
        <v>37.69</v>
      </c>
      <c r="CZ2809" t="s">
        <v>2506</v>
      </c>
      <c r="DA2809">
        <v>14.17</v>
      </c>
      <c r="DB2809">
        <v>6.03</v>
      </c>
      <c r="DC2809">
        <v>4.78</v>
      </c>
      <c r="DD2809">
        <v>0.02</v>
      </c>
      <c r="DE2809">
        <v>6601</v>
      </c>
      <c r="DF2809">
        <v>600737</v>
      </c>
      <c r="DG2809" t="s">
        <v>116</v>
      </c>
      <c r="DH2809" t="s">
        <v>116</v>
      </c>
      <c r="DI2809" t="s">
        <v>116</v>
      </c>
    </row>
    <row r="2810" spans="1:113" x14ac:dyDescent="0.4">
      <c r="A2810" t="str">
        <f>"600738"</f>
        <v>600738</v>
      </c>
      <c r="B2810" t="s">
        <v>12555</v>
      </c>
      <c r="C2810">
        <v>0.21</v>
      </c>
      <c r="D2810">
        <v>4.82</v>
      </c>
      <c r="E2810">
        <v>0.01</v>
      </c>
      <c r="F2810">
        <v>4.82</v>
      </c>
      <c r="G2810">
        <v>4.83</v>
      </c>
      <c r="H2810">
        <v>59512</v>
      </c>
      <c r="I2810">
        <v>1233</v>
      </c>
      <c r="J2810">
        <v>0.21</v>
      </c>
      <c r="K2810">
        <v>1.45</v>
      </c>
      <c r="L2810">
        <v>4.78</v>
      </c>
      <c r="M2810">
        <v>4.8600000000000003</v>
      </c>
      <c r="N2810">
        <v>4.75</v>
      </c>
      <c r="O2810">
        <v>4.8099999999999996</v>
      </c>
      <c r="P2810">
        <v>13.78</v>
      </c>
      <c r="Q2810">
        <v>28656528</v>
      </c>
      <c r="R2810">
        <v>0.89</v>
      </c>
      <c r="S2810" t="s">
        <v>746</v>
      </c>
      <c r="T2810" t="s">
        <v>1122</v>
      </c>
      <c r="U2810">
        <v>2.29</v>
      </c>
      <c r="V2810">
        <v>4.82</v>
      </c>
      <c r="W2810">
        <v>25880</v>
      </c>
      <c r="X2810">
        <v>33632</v>
      </c>
      <c r="Y2810">
        <v>0.77</v>
      </c>
      <c r="Z2810">
        <v>455</v>
      </c>
      <c r="AA2810">
        <v>2334</v>
      </c>
      <c r="AB2810" t="s">
        <v>116</v>
      </c>
      <c r="AC2810">
        <v>366100</v>
      </c>
      <c r="AD2810">
        <v>0.03</v>
      </c>
      <c r="AE2810" t="s">
        <v>116</v>
      </c>
      <c r="AF2810" t="s">
        <v>116</v>
      </c>
      <c r="AG2810">
        <v>4.12</v>
      </c>
      <c r="AH2810" t="s">
        <v>576</v>
      </c>
      <c r="AI2810" t="s">
        <v>7168</v>
      </c>
      <c r="AJ2810">
        <v>0.28000000000000003</v>
      </c>
      <c r="AK2810">
        <v>1231</v>
      </c>
      <c r="AL2810">
        <v>48</v>
      </c>
      <c r="AM2810">
        <v>1.1999999999999999E-3</v>
      </c>
      <c r="AN2810">
        <v>2</v>
      </c>
      <c r="AO2810">
        <v>0</v>
      </c>
      <c r="AP2810">
        <v>-2.19</v>
      </c>
      <c r="AQ2810">
        <v>-15.11</v>
      </c>
      <c r="AR2810">
        <v>26.92</v>
      </c>
      <c r="AS2810">
        <v>2.11</v>
      </c>
      <c r="AT2810" t="s">
        <v>8668</v>
      </c>
      <c r="AU2810">
        <v>6.97</v>
      </c>
      <c r="AV2810">
        <v>2.35</v>
      </c>
      <c r="AW2810">
        <v>0.98</v>
      </c>
      <c r="BA2810">
        <v>-0.62</v>
      </c>
      <c r="BB2810">
        <v>1.04</v>
      </c>
      <c r="BC2810">
        <v>-1.25</v>
      </c>
      <c r="BD2810">
        <v>0.11</v>
      </c>
      <c r="BE2810">
        <v>0.84</v>
      </c>
      <c r="BF2810">
        <v>-0.82</v>
      </c>
      <c r="BG2810">
        <v>1.47</v>
      </c>
      <c r="BH2810">
        <v>0.1</v>
      </c>
      <c r="BI2810">
        <v>20191111</v>
      </c>
      <c r="BJ2810">
        <v>19960802</v>
      </c>
      <c r="BK2810">
        <v>7.73</v>
      </c>
      <c r="BL2810" t="s">
        <v>116</v>
      </c>
      <c r="BM2810" t="s">
        <v>116</v>
      </c>
      <c r="BN2810">
        <v>42.81</v>
      </c>
      <c r="BO2810">
        <v>18.16</v>
      </c>
      <c r="BP2810">
        <v>0</v>
      </c>
      <c r="BQ2810">
        <v>57.59</v>
      </c>
      <c r="BR2810">
        <v>26.66</v>
      </c>
      <c r="BS2810">
        <v>2.9</v>
      </c>
      <c r="BT2810">
        <v>0.1</v>
      </c>
      <c r="BU2810">
        <v>17.8</v>
      </c>
      <c r="BV2810">
        <v>14.49</v>
      </c>
      <c r="BW2810">
        <v>0.01</v>
      </c>
      <c r="BX2810">
        <v>3.88</v>
      </c>
      <c r="BY2810">
        <v>13.65</v>
      </c>
      <c r="BZ2810">
        <v>9.6199999999999992</v>
      </c>
      <c r="CA2810">
        <v>2.74</v>
      </c>
      <c r="CB2810">
        <v>0.64</v>
      </c>
      <c r="CC2810">
        <v>2.74</v>
      </c>
      <c r="CD2810">
        <v>2.0299999999999998</v>
      </c>
      <c r="CE2810">
        <v>2.0299999999999998</v>
      </c>
      <c r="CF2810">
        <v>1.53</v>
      </c>
      <c r="CG2810">
        <v>5.95</v>
      </c>
      <c r="CH2810">
        <v>-0.42</v>
      </c>
      <c r="CI2810">
        <v>-10.38</v>
      </c>
      <c r="CJ2810">
        <v>34844</v>
      </c>
      <c r="CK2810">
        <v>8094</v>
      </c>
      <c r="CL2810" t="s">
        <v>12556</v>
      </c>
      <c r="CM2810">
        <v>-83.8</v>
      </c>
      <c r="CN2810">
        <v>28.23</v>
      </c>
      <c r="CO2810">
        <v>2.08</v>
      </c>
      <c r="CP2810">
        <v>-89.33</v>
      </c>
      <c r="CQ2810">
        <v>2.73</v>
      </c>
      <c r="CR2810">
        <v>39.520000000000003</v>
      </c>
      <c r="CS2810" t="s">
        <v>3228</v>
      </c>
      <c r="CT2810">
        <v>2.3199999999999998</v>
      </c>
      <c r="CU2810">
        <v>2.3199999999999998</v>
      </c>
      <c r="CV2810">
        <v>0.5</v>
      </c>
      <c r="CW2810">
        <v>0.77</v>
      </c>
      <c r="CX2810">
        <v>-0.05</v>
      </c>
      <c r="CY2810">
        <v>42.41</v>
      </c>
      <c r="CZ2810" t="s">
        <v>9097</v>
      </c>
      <c r="DA2810">
        <v>29.51</v>
      </c>
      <c r="DB2810">
        <v>20.09</v>
      </c>
      <c r="DC2810">
        <v>14.86</v>
      </c>
      <c r="DD2810">
        <v>0</v>
      </c>
      <c r="DE2810">
        <v>961</v>
      </c>
      <c r="DF2810">
        <v>600738</v>
      </c>
      <c r="DG2810" t="s">
        <v>116</v>
      </c>
      <c r="DH2810" t="s">
        <v>116</v>
      </c>
      <c r="DI2810" t="s">
        <v>116</v>
      </c>
    </row>
    <row r="2811" spans="1:113" x14ac:dyDescent="0.4">
      <c r="A2811" t="str">
        <f>"600739"</f>
        <v>600739</v>
      </c>
      <c r="B2811" t="s">
        <v>12557</v>
      </c>
      <c r="C2811">
        <v>-2.1800000000000002</v>
      </c>
      <c r="D2811">
        <v>14.82</v>
      </c>
      <c r="E2811">
        <v>-0.33</v>
      </c>
      <c r="F2811">
        <v>14.82</v>
      </c>
      <c r="G2811">
        <v>14.83</v>
      </c>
      <c r="H2811">
        <v>151817</v>
      </c>
      <c r="I2811">
        <v>2228</v>
      </c>
      <c r="J2811">
        <v>-0.19</v>
      </c>
      <c r="K2811">
        <v>0.99</v>
      </c>
      <c r="L2811">
        <v>14.96</v>
      </c>
      <c r="M2811">
        <v>15.14</v>
      </c>
      <c r="N2811">
        <v>14.82</v>
      </c>
      <c r="O2811">
        <v>15.15</v>
      </c>
      <c r="P2811">
        <v>16.23</v>
      </c>
      <c r="Q2811">
        <v>227063536</v>
      </c>
      <c r="R2811">
        <v>1.43</v>
      </c>
      <c r="S2811" t="s">
        <v>566</v>
      </c>
      <c r="T2811" t="s">
        <v>434</v>
      </c>
      <c r="U2811">
        <v>2.11</v>
      </c>
      <c r="V2811">
        <v>14.96</v>
      </c>
      <c r="W2811">
        <v>91054</v>
      </c>
      <c r="X2811">
        <v>60763</v>
      </c>
      <c r="Y2811">
        <v>1.5</v>
      </c>
      <c r="Z2811">
        <v>5693</v>
      </c>
      <c r="AA2811">
        <v>44</v>
      </c>
      <c r="AB2811" t="s">
        <v>116</v>
      </c>
      <c r="AC2811">
        <v>3891100</v>
      </c>
      <c r="AD2811">
        <v>0.02</v>
      </c>
      <c r="AE2811" t="s">
        <v>116</v>
      </c>
      <c r="AF2811" t="s">
        <v>116</v>
      </c>
      <c r="AG2811">
        <v>15.3</v>
      </c>
      <c r="AH2811" t="s">
        <v>12558</v>
      </c>
      <c r="AI2811" t="s">
        <v>12558</v>
      </c>
      <c r="AJ2811">
        <v>-2.1</v>
      </c>
      <c r="AK2811">
        <v>3471</v>
      </c>
      <c r="AL2811">
        <v>44</v>
      </c>
      <c r="AM2811">
        <v>2.9999999999999997E-4</v>
      </c>
      <c r="AN2811">
        <v>-1</v>
      </c>
      <c r="AO2811">
        <v>-0.54</v>
      </c>
      <c r="AP2811">
        <v>2.35</v>
      </c>
      <c r="AQ2811">
        <v>9.7799999999999994</v>
      </c>
      <c r="AR2811">
        <v>41.68</v>
      </c>
      <c r="AS2811">
        <v>1.31</v>
      </c>
      <c r="AT2811" t="s">
        <v>12559</v>
      </c>
      <c r="AU2811">
        <v>20.399999999999999</v>
      </c>
      <c r="AV2811">
        <v>29.76</v>
      </c>
      <c r="AW2811">
        <v>1.05</v>
      </c>
      <c r="BA2811">
        <v>-1.25</v>
      </c>
      <c r="BB2811">
        <v>-7.0000000000000007E-2</v>
      </c>
      <c r="BC2811">
        <v>-2.1800000000000002</v>
      </c>
      <c r="BD2811">
        <v>-1.28</v>
      </c>
      <c r="BE2811">
        <v>-0.94</v>
      </c>
      <c r="BF2811">
        <v>-2.11</v>
      </c>
      <c r="BG2811">
        <v>0</v>
      </c>
      <c r="BH2811">
        <v>-0.9</v>
      </c>
      <c r="BI2811">
        <v>20191031</v>
      </c>
      <c r="BJ2811">
        <v>19960819</v>
      </c>
      <c r="BK2811">
        <v>15.3</v>
      </c>
      <c r="BL2811" t="s">
        <v>116</v>
      </c>
      <c r="BM2811" t="s">
        <v>116</v>
      </c>
      <c r="BN2811">
        <v>376.95</v>
      </c>
      <c r="BO2811">
        <v>215.11</v>
      </c>
      <c r="BP2811">
        <v>13.76</v>
      </c>
      <c r="BQ2811">
        <v>39.28</v>
      </c>
      <c r="BR2811">
        <v>72.08</v>
      </c>
      <c r="BS2811">
        <v>38.97</v>
      </c>
      <c r="BT2811">
        <v>9.1999999999999993</v>
      </c>
      <c r="BU2811">
        <v>86.3</v>
      </c>
      <c r="BV2811">
        <v>22.31</v>
      </c>
      <c r="BW2811">
        <v>16.46</v>
      </c>
      <c r="BX2811">
        <v>64.040000000000006</v>
      </c>
      <c r="BY2811">
        <v>137.88</v>
      </c>
      <c r="BZ2811">
        <v>118.42</v>
      </c>
      <c r="CA2811">
        <v>12.9</v>
      </c>
      <c r="CB2811">
        <v>11.12</v>
      </c>
      <c r="CC2811">
        <v>12.91</v>
      </c>
      <c r="CD2811">
        <v>11.67</v>
      </c>
      <c r="CE2811">
        <v>10.48</v>
      </c>
      <c r="CF2811">
        <v>9.7200000000000006</v>
      </c>
      <c r="CG2811">
        <v>124.02</v>
      </c>
      <c r="CH2811">
        <v>4.28</v>
      </c>
      <c r="CI2811">
        <v>-6.52</v>
      </c>
      <c r="CJ2811">
        <v>70938</v>
      </c>
      <c r="CK2811">
        <v>16314</v>
      </c>
      <c r="CL2811" t="s">
        <v>12560</v>
      </c>
      <c r="CM2811">
        <v>49.99</v>
      </c>
      <c r="CN2811">
        <v>-2.69</v>
      </c>
      <c r="CO2811">
        <v>1.05</v>
      </c>
      <c r="CP2811">
        <v>53.01</v>
      </c>
      <c r="CQ2811">
        <v>1.64</v>
      </c>
      <c r="CR2811">
        <v>0</v>
      </c>
      <c r="CS2811" t="s">
        <v>4624</v>
      </c>
      <c r="CT2811">
        <v>14.06</v>
      </c>
      <c r="CU2811">
        <v>0</v>
      </c>
      <c r="CV2811">
        <v>4.1900000000000004</v>
      </c>
      <c r="CW2811">
        <v>8.11</v>
      </c>
      <c r="CX2811">
        <v>0.28000000000000003</v>
      </c>
      <c r="CY2811">
        <v>57.07</v>
      </c>
      <c r="CZ2811" t="s">
        <v>549</v>
      </c>
      <c r="DA2811">
        <v>14.12</v>
      </c>
      <c r="DB2811">
        <v>9.36</v>
      </c>
      <c r="DC2811">
        <v>7.6</v>
      </c>
      <c r="DD2811">
        <v>0.71</v>
      </c>
      <c r="DE2811">
        <v>2958</v>
      </c>
      <c r="DF2811">
        <v>600739</v>
      </c>
      <c r="DG2811" t="s">
        <v>116</v>
      </c>
      <c r="DH2811" t="s">
        <v>116</v>
      </c>
      <c r="DI2811" t="s">
        <v>116</v>
      </c>
    </row>
    <row r="2812" spans="1:113" x14ac:dyDescent="0.4">
      <c r="A2812" t="str">
        <f>"600740"</f>
        <v>600740</v>
      </c>
      <c r="B2812" t="s">
        <v>12561</v>
      </c>
      <c r="C2812">
        <v>-0.28000000000000003</v>
      </c>
      <c r="D2812">
        <v>7.17</v>
      </c>
      <c r="E2812">
        <v>-0.02</v>
      </c>
      <c r="F2812">
        <v>7.17</v>
      </c>
      <c r="G2812">
        <v>7.18</v>
      </c>
      <c r="H2812">
        <v>206456</v>
      </c>
      <c r="I2812">
        <v>2582</v>
      </c>
      <c r="J2812">
        <v>0</v>
      </c>
      <c r="K2812">
        <v>3.14</v>
      </c>
      <c r="L2812">
        <v>7.13</v>
      </c>
      <c r="M2812">
        <v>7.38</v>
      </c>
      <c r="N2812">
        <v>7.12</v>
      </c>
      <c r="O2812">
        <v>7.19</v>
      </c>
      <c r="P2812">
        <v>9.07</v>
      </c>
      <c r="Q2812">
        <v>149323424</v>
      </c>
      <c r="R2812">
        <v>2.23</v>
      </c>
      <c r="S2812" t="s">
        <v>1927</v>
      </c>
      <c r="T2812" t="s">
        <v>675</v>
      </c>
      <c r="U2812">
        <v>3.62</v>
      </c>
      <c r="V2812">
        <v>7.23</v>
      </c>
      <c r="W2812">
        <v>97000</v>
      </c>
      <c r="X2812">
        <v>109456</v>
      </c>
      <c r="Y2812">
        <v>0.89</v>
      </c>
      <c r="Z2812">
        <v>176</v>
      </c>
      <c r="AA2812">
        <v>2045</v>
      </c>
      <c r="AB2812" t="s">
        <v>116</v>
      </c>
      <c r="AC2812">
        <v>351500</v>
      </c>
      <c r="AD2812">
        <v>0.01</v>
      </c>
      <c r="AE2812" t="s">
        <v>116</v>
      </c>
      <c r="AF2812" t="s">
        <v>116</v>
      </c>
      <c r="AG2812">
        <v>6.57</v>
      </c>
      <c r="AH2812" t="s">
        <v>12562</v>
      </c>
      <c r="AI2812" t="s">
        <v>12563</v>
      </c>
      <c r="AJ2812">
        <v>-0.2</v>
      </c>
      <c r="AK2812">
        <v>2864</v>
      </c>
      <c r="AL2812">
        <v>72</v>
      </c>
      <c r="AM2812">
        <v>1.1000000000000001E-3</v>
      </c>
      <c r="AN2812">
        <v>-1</v>
      </c>
      <c r="AO2812">
        <v>2.42</v>
      </c>
      <c r="AP2812">
        <v>3.61</v>
      </c>
      <c r="AQ2812">
        <v>-7.48</v>
      </c>
      <c r="AR2812">
        <v>-8.19</v>
      </c>
      <c r="AS2812">
        <v>4.1900000000000004</v>
      </c>
      <c r="AT2812" t="s">
        <v>6422</v>
      </c>
      <c r="AU2812">
        <v>9.5</v>
      </c>
      <c r="AV2812">
        <v>7.09</v>
      </c>
      <c r="AW2812">
        <v>1.53</v>
      </c>
      <c r="BA2812">
        <v>-0.83</v>
      </c>
      <c r="BB2812">
        <v>2.64</v>
      </c>
      <c r="BC2812">
        <v>-0.97</v>
      </c>
      <c r="BD2812">
        <v>0.59</v>
      </c>
      <c r="BE2812">
        <v>0.56000000000000005</v>
      </c>
      <c r="BF2812">
        <v>-2.85</v>
      </c>
      <c r="BG2812">
        <v>0.7</v>
      </c>
      <c r="BH2812">
        <v>-0.87</v>
      </c>
      <c r="BI2812">
        <v>20191125</v>
      </c>
      <c r="BJ2812">
        <v>19960808</v>
      </c>
      <c r="BK2812">
        <v>15.16</v>
      </c>
      <c r="BL2812" t="s">
        <v>116</v>
      </c>
      <c r="BM2812" t="s">
        <v>116</v>
      </c>
      <c r="BN2812">
        <v>215.42</v>
      </c>
      <c r="BO2812">
        <v>105.71</v>
      </c>
      <c r="BP2812">
        <v>5.19</v>
      </c>
      <c r="BQ2812">
        <v>48.52</v>
      </c>
      <c r="BR2812">
        <v>63.12</v>
      </c>
      <c r="BS2812">
        <v>36.68</v>
      </c>
      <c r="BT2812">
        <v>3.01</v>
      </c>
      <c r="BU2812">
        <v>90.3</v>
      </c>
      <c r="BV2812">
        <v>4.57</v>
      </c>
      <c r="BW2812">
        <v>1.25</v>
      </c>
      <c r="BX2812">
        <v>78.22</v>
      </c>
      <c r="BY2812">
        <v>52.5</v>
      </c>
      <c r="BZ2812">
        <v>53.85</v>
      </c>
      <c r="CA2812">
        <v>8.6300000000000008</v>
      </c>
      <c r="CB2812">
        <v>14.79</v>
      </c>
      <c r="CC2812">
        <v>8.64</v>
      </c>
      <c r="CD2812">
        <v>8.65</v>
      </c>
      <c r="CE2812">
        <v>8.99</v>
      </c>
      <c r="CF2812">
        <v>9.16</v>
      </c>
      <c r="CG2812">
        <v>9.8800000000000008</v>
      </c>
      <c r="CH2812">
        <v>0.74</v>
      </c>
      <c r="CI2812">
        <v>-1.89</v>
      </c>
      <c r="CJ2812">
        <v>67784</v>
      </c>
      <c r="CK2812">
        <v>7270</v>
      </c>
      <c r="CL2812" t="s">
        <v>2325</v>
      </c>
      <c r="CM2812">
        <v>-30.14</v>
      </c>
      <c r="CN2812">
        <v>0.89</v>
      </c>
      <c r="CO2812">
        <v>1.03</v>
      </c>
      <c r="CP2812">
        <v>147.44999999999999</v>
      </c>
      <c r="CQ2812">
        <v>2.0699999999999998</v>
      </c>
      <c r="CR2812">
        <v>2.79</v>
      </c>
      <c r="CS2812" t="s">
        <v>6908</v>
      </c>
      <c r="CT2812">
        <v>6.97</v>
      </c>
      <c r="CU2812">
        <v>0</v>
      </c>
      <c r="CV2812">
        <v>5.16</v>
      </c>
      <c r="CW2812">
        <v>0.65</v>
      </c>
      <c r="CX2812">
        <v>0.05</v>
      </c>
      <c r="CY2812">
        <v>49.07</v>
      </c>
      <c r="CZ2812" t="s">
        <v>12564</v>
      </c>
      <c r="DA2812">
        <v>-2.57</v>
      </c>
      <c r="DB2812">
        <v>16.45</v>
      </c>
      <c r="DC2812">
        <v>17.13</v>
      </c>
      <c r="DD2812">
        <v>0.4</v>
      </c>
      <c r="DE2812">
        <v>5037</v>
      </c>
      <c r="DF2812">
        <v>600740</v>
      </c>
      <c r="DG2812" t="s">
        <v>116</v>
      </c>
      <c r="DH2812" t="s">
        <v>116</v>
      </c>
      <c r="DI2812" t="s">
        <v>116</v>
      </c>
    </row>
    <row r="2813" spans="1:113" x14ac:dyDescent="0.4">
      <c r="A2813" t="str">
        <f>"600741"</f>
        <v>600741</v>
      </c>
      <c r="B2813" t="s">
        <v>12565</v>
      </c>
      <c r="C2813">
        <v>0.44</v>
      </c>
      <c r="D2813">
        <v>25.3</v>
      </c>
      <c r="E2813">
        <v>0.11</v>
      </c>
      <c r="F2813">
        <v>25.29</v>
      </c>
      <c r="G2813">
        <v>25.3</v>
      </c>
      <c r="H2813">
        <v>140342</v>
      </c>
      <c r="I2813">
        <v>697</v>
      </c>
      <c r="J2813">
        <v>-7.0000000000000007E-2</v>
      </c>
      <c r="K2813">
        <v>0.45</v>
      </c>
      <c r="L2813">
        <v>25.24</v>
      </c>
      <c r="M2813">
        <v>25.77</v>
      </c>
      <c r="N2813">
        <v>25.11</v>
      </c>
      <c r="O2813">
        <v>25.19</v>
      </c>
      <c r="P2813">
        <v>12.14</v>
      </c>
      <c r="Q2813">
        <v>356112928</v>
      </c>
      <c r="R2813">
        <v>1.1599999999999999</v>
      </c>
      <c r="S2813" t="s">
        <v>293</v>
      </c>
      <c r="T2813" t="s">
        <v>1653</v>
      </c>
      <c r="U2813">
        <v>2.62</v>
      </c>
      <c r="V2813">
        <v>25.37</v>
      </c>
      <c r="W2813">
        <v>75150</v>
      </c>
      <c r="X2813">
        <v>65192</v>
      </c>
      <c r="Y2813">
        <v>1.1499999999999999</v>
      </c>
      <c r="Z2813">
        <v>41</v>
      </c>
      <c r="AA2813">
        <v>112</v>
      </c>
      <c r="AB2813" t="s">
        <v>116</v>
      </c>
      <c r="AC2813">
        <v>626000</v>
      </c>
      <c r="AD2813">
        <v>0</v>
      </c>
      <c r="AE2813" t="s">
        <v>116</v>
      </c>
      <c r="AF2813" t="s">
        <v>116</v>
      </c>
      <c r="AG2813">
        <v>31.53</v>
      </c>
      <c r="AH2813" t="s">
        <v>12566</v>
      </c>
      <c r="AI2813" t="s">
        <v>12566</v>
      </c>
      <c r="AJ2813">
        <v>0.51</v>
      </c>
      <c r="AK2813">
        <v>4098</v>
      </c>
      <c r="AL2813">
        <v>34</v>
      </c>
      <c r="AM2813">
        <v>1E-4</v>
      </c>
      <c r="AN2813">
        <v>4</v>
      </c>
      <c r="AO2813">
        <v>4.38</v>
      </c>
      <c r="AP2813">
        <v>-2.39</v>
      </c>
      <c r="AQ2813">
        <v>5.37</v>
      </c>
      <c r="AR2813">
        <v>45.82</v>
      </c>
      <c r="AS2813">
        <v>1.07</v>
      </c>
      <c r="AT2813" t="s">
        <v>12567</v>
      </c>
      <c r="AU2813">
        <v>12.1</v>
      </c>
      <c r="AV2813">
        <v>9.94</v>
      </c>
      <c r="AW2813">
        <v>1.17</v>
      </c>
      <c r="BA2813">
        <v>0.2</v>
      </c>
      <c r="BB2813">
        <v>2.2999999999999998</v>
      </c>
      <c r="BC2813">
        <v>-0.32</v>
      </c>
      <c r="BD2813">
        <v>0.73</v>
      </c>
      <c r="BE2813">
        <v>0.24</v>
      </c>
      <c r="BF2813">
        <v>-1.82</v>
      </c>
      <c r="BG2813">
        <v>0.76</v>
      </c>
      <c r="BH2813">
        <v>-0.3</v>
      </c>
      <c r="BI2813">
        <v>20191030</v>
      </c>
      <c r="BJ2813">
        <v>19960826</v>
      </c>
      <c r="BK2813">
        <v>31.53</v>
      </c>
      <c r="BL2813" t="s">
        <v>116</v>
      </c>
      <c r="BM2813" t="s">
        <v>116</v>
      </c>
      <c r="BN2813">
        <v>1381.31</v>
      </c>
      <c r="BO2813">
        <v>481.1</v>
      </c>
      <c r="BP2813">
        <v>94.29</v>
      </c>
      <c r="BQ2813">
        <v>58.34</v>
      </c>
      <c r="BR2813">
        <v>823.94</v>
      </c>
      <c r="BS2813">
        <v>216.18</v>
      </c>
      <c r="BT2813">
        <v>35.5</v>
      </c>
      <c r="BU2813">
        <v>686.49</v>
      </c>
      <c r="BV2813">
        <v>95.44</v>
      </c>
      <c r="BW2813">
        <v>265.95</v>
      </c>
      <c r="BX2813">
        <v>128.79</v>
      </c>
      <c r="BY2813">
        <v>1055.96</v>
      </c>
      <c r="BZ2813">
        <v>902.47</v>
      </c>
      <c r="CA2813">
        <v>69.45</v>
      </c>
      <c r="CB2813">
        <v>28.09</v>
      </c>
      <c r="CC2813">
        <v>72.13</v>
      </c>
      <c r="CD2813">
        <v>63.82</v>
      </c>
      <c r="CE2813">
        <v>49.27</v>
      </c>
      <c r="CF2813">
        <v>41.77</v>
      </c>
      <c r="CG2813">
        <v>270.69</v>
      </c>
      <c r="CH2813">
        <v>66.25</v>
      </c>
      <c r="CI2813">
        <v>10.89</v>
      </c>
      <c r="CJ2813">
        <v>47075</v>
      </c>
      <c r="CK2813">
        <v>27914</v>
      </c>
      <c r="CL2813" t="s">
        <v>12568</v>
      </c>
      <c r="CM2813">
        <v>-22.58</v>
      </c>
      <c r="CN2813">
        <v>-11.11</v>
      </c>
      <c r="CO2813">
        <v>1.66</v>
      </c>
      <c r="CP2813">
        <v>12.04</v>
      </c>
      <c r="CQ2813">
        <v>0.76</v>
      </c>
      <c r="CR2813">
        <v>4.1500000000000004</v>
      </c>
      <c r="CS2813" t="s">
        <v>12569</v>
      </c>
      <c r="CT2813">
        <v>15.26</v>
      </c>
      <c r="CU2813">
        <v>0</v>
      </c>
      <c r="CV2813">
        <v>4.09</v>
      </c>
      <c r="CW2813">
        <v>8.59</v>
      </c>
      <c r="CX2813">
        <v>2.1</v>
      </c>
      <c r="CY2813">
        <v>34.83</v>
      </c>
      <c r="CZ2813" t="s">
        <v>12570</v>
      </c>
      <c r="DA2813">
        <v>14.54</v>
      </c>
      <c r="DB2813">
        <v>6.58</v>
      </c>
      <c r="DC2813">
        <v>4.67</v>
      </c>
      <c r="DD2813">
        <v>38.36</v>
      </c>
      <c r="DE2813">
        <v>34226</v>
      </c>
      <c r="DF2813">
        <v>600741</v>
      </c>
      <c r="DG2813" t="s">
        <v>116</v>
      </c>
      <c r="DH2813" t="s">
        <v>116</v>
      </c>
      <c r="DI2813" t="s">
        <v>116</v>
      </c>
    </row>
    <row r="2814" spans="1:113" x14ac:dyDescent="0.4">
      <c r="A2814" t="str">
        <f>"600742"</f>
        <v>600742</v>
      </c>
      <c r="B2814" t="s">
        <v>12571</v>
      </c>
      <c r="C2814">
        <v>-2.0299999999999998</v>
      </c>
      <c r="D2814">
        <v>12.04</v>
      </c>
      <c r="E2814">
        <v>-0.25</v>
      </c>
      <c r="F2814">
        <v>12.04</v>
      </c>
      <c r="G2814">
        <v>12.05</v>
      </c>
      <c r="H2814">
        <v>56274</v>
      </c>
      <c r="I2814">
        <v>189</v>
      </c>
      <c r="J2814">
        <v>0</v>
      </c>
      <c r="K2814">
        <v>1.1100000000000001</v>
      </c>
      <c r="L2814">
        <v>12.25</v>
      </c>
      <c r="M2814">
        <v>12.3</v>
      </c>
      <c r="N2814">
        <v>11.99</v>
      </c>
      <c r="O2814">
        <v>12.29</v>
      </c>
      <c r="P2814">
        <v>12.86</v>
      </c>
      <c r="Q2814">
        <v>68343304</v>
      </c>
      <c r="R2814">
        <v>1.21</v>
      </c>
      <c r="S2814" t="s">
        <v>293</v>
      </c>
      <c r="T2814" t="s">
        <v>294</v>
      </c>
      <c r="U2814">
        <v>2.52</v>
      </c>
      <c r="V2814">
        <v>12.14</v>
      </c>
      <c r="W2814">
        <v>37675</v>
      </c>
      <c r="X2814">
        <v>18599</v>
      </c>
      <c r="Y2814">
        <v>2.0299999999999998</v>
      </c>
      <c r="Z2814">
        <v>30</v>
      </c>
      <c r="AA2814">
        <v>230</v>
      </c>
      <c r="AB2814" t="s">
        <v>116</v>
      </c>
      <c r="AC2814">
        <v>74700</v>
      </c>
      <c r="AD2814">
        <v>0</v>
      </c>
      <c r="AE2814" t="s">
        <v>116</v>
      </c>
      <c r="AF2814" t="s">
        <v>116</v>
      </c>
      <c r="AG2814">
        <v>5.08</v>
      </c>
      <c r="AH2814" t="s">
        <v>12572</v>
      </c>
      <c r="AI2814" t="s">
        <v>12572</v>
      </c>
      <c r="AJ2814">
        <v>-1.96</v>
      </c>
      <c r="AK2814">
        <v>1820</v>
      </c>
      <c r="AL2814">
        <v>31</v>
      </c>
      <c r="AM2814">
        <v>5.9999999999999995E-4</v>
      </c>
      <c r="AN2814">
        <v>-1</v>
      </c>
      <c r="AO2814">
        <v>2.29</v>
      </c>
      <c r="AP2814">
        <v>2.4700000000000002</v>
      </c>
      <c r="AQ2814">
        <v>1.43</v>
      </c>
      <c r="AR2814">
        <v>28.36</v>
      </c>
      <c r="AS2814">
        <v>1.76</v>
      </c>
      <c r="AT2814" t="s">
        <v>12573</v>
      </c>
      <c r="AU2814">
        <v>13.2</v>
      </c>
      <c r="AV2814">
        <v>12.36</v>
      </c>
      <c r="AW2814">
        <v>1.1499999999999999</v>
      </c>
      <c r="BA2814">
        <v>-0.33</v>
      </c>
      <c r="BB2814">
        <v>0.08</v>
      </c>
      <c r="BC2814">
        <v>-2.44</v>
      </c>
      <c r="BD2814">
        <v>-1.18</v>
      </c>
      <c r="BE2814">
        <v>-1.71</v>
      </c>
      <c r="BF2814">
        <v>-2.11</v>
      </c>
      <c r="BG2814">
        <v>0.42</v>
      </c>
      <c r="BH2814">
        <v>-0.85</v>
      </c>
      <c r="BI2814">
        <v>20191025</v>
      </c>
      <c r="BJ2814">
        <v>19960826</v>
      </c>
      <c r="BK2814">
        <v>5.08</v>
      </c>
      <c r="BL2814" t="s">
        <v>116</v>
      </c>
      <c r="BM2814" t="s">
        <v>116</v>
      </c>
      <c r="BN2814">
        <v>94.31</v>
      </c>
      <c r="BO2814">
        <v>49.13</v>
      </c>
      <c r="BP2814">
        <v>7.14</v>
      </c>
      <c r="BQ2814">
        <v>40.33</v>
      </c>
      <c r="BR2814">
        <v>46.9</v>
      </c>
      <c r="BS2814">
        <v>18.82</v>
      </c>
      <c r="BT2814">
        <v>1.85</v>
      </c>
      <c r="BU2814">
        <v>36.15</v>
      </c>
      <c r="BV2814">
        <v>8.68</v>
      </c>
      <c r="BW2814">
        <v>16.04</v>
      </c>
      <c r="BX2814">
        <v>4.46</v>
      </c>
      <c r="BY2814">
        <v>96.21</v>
      </c>
      <c r="BZ2814">
        <v>88.37</v>
      </c>
      <c r="CA2814">
        <v>5.34</v>
      </c>
      <c r="CB2814">
        <v>2.4</v>
      </c>
      <c r="CC2814">
        <v>5.39</v>
      </c>
      <c r="CD2814">
        <v>4.66</v>
      </c>
      <c r="CE2814">
        <v>3.56</v>
      </c>
      <c r="CF2814">
        <v>3.53</v>
      </c>
      <c r="CG2814">
        <v>32.130000000000003</v>
      </c>
      <c r="CH2814">
        <v>1.92</v>
      </c>
      <c r="CI2814">
        <v>-6.33</v>
      </c>
      <c r="CJ2814">
        <v>21758</v>
      </c>
      <c r="CK2814">
        <v>14735</v>
      </c>
      <c r="CL2814" t="s">
        <v>2660</v>
      </c>
      <c r="CM2814">
        <v>-8.14</v>
      </c>
      <c r="CN2814">
        <v>-2.79</v>
      </c>
      <c r="CO2814">
        <v>1.24</v>
      </c>
      <c r="CP2814">
        <v>31.89</v>
      </c>
      <c r="CQ2814">
        <v>0.64</v>
      </c>
      <c r="CR2814">
        <v>4.9800000000000004</v>
      </c>
      <c r="CS2814" t="s">
        <v>7278</v>
      </c>
      <c r="CT2814">
        <v>9.68</v>
      </c>
      <c r="CU2814">
        <v>0</v>
      </c>
      <c r="CV2814">
        <v>0.88</v>
      </c>
      <c r="CW2814">
        <v>6.33</v>
      </c>
      <c r="CX2814">
        <v>0.38</v>
      </c>
      <c r="CY2814">
        <v>52.09</v>
      </c>
      <c r="CZ2814" t="s">
        <v>11235</v>
      </c>
      <c r="DA2814">
        <v>8.15</v>
      </c>
      <c r="DB2814">
        <v>5.55</v>
      </c>
      <c r="DC2814">
        <v>3.7</v>
      </c>
      <c r="DD2814">
        <v>0.79</v>
      </c>
      <c r="DE2814">
        <v>5912</v>
      </c>
      <c r="DF2814">
        <v>600742</v>
      </c>
      <c r="DG2814" t="s">
        <v>116</v>
      </c>
      <c r="DH2814" t="s">
        <v>116</v>
      </c>
      <c r="DI2814" t="s">
        <v>116</v>
      </c>
    </row>
    <row r="2815" spans="1:113" x14ac:dyDescent="0.4">
      <c r="A2815" t="str">
        <f>"600743"</f>
        <v>600743</v>
      </c>
      <c r="B2815" t="s">
        <v>12574</v>
      </c>
      <c r="C2815">
        <v>2.4300000000000002</v>
      </c>
      <c r="D2815">
        <v>2.5299999999999998</v>
      </c>
      <c r="E2815">
        <v>0.06</v>
      </c>
      <c r="F2815">
        <v>2.52</v>
      </c>
      <c r="G2815">
        <v>2.5299999999999998</v>
      </c>
      <c r="H2815">
        <v>245997</v>
      </c>
      <c r="I2815">
        <v>3993</v>
      </c>
      <c r="J2815">
        <v>0.8</v>
      </c>
      <c r="K2815">
        <v>1.05</v>
      </c>
      <c r="L2815">
        <v>2.48</v>
      </c>
      <c r="M2815">
        <v>2.6</v>
      </c>
      <c r="N2815">
        <v>2.4700000000000002</v>
      </c>
      <c r="O2815">
        <v>2.4700000000000002</v>
      </c>
      <c r="P2815">
        <v>14.89</v>
      </c>
      <c r="Q2815">
        <v>62414564</v>
      </c>
      <c r="R2815">
        <v>4.22</v>
      </c>
      <c r="S2815" t="s">
        <v>148</v>
      </c>
      <c r="T2815" t="s">
        <v>165</v>
      </c>
      <c r="U2815">
        <v>5.26</v>
      </c>
      <c r="V2815">
        <v>2.54</v>
      </c>
      <c r="W2815">
        <v>115108</v>
      </c>
      <c r="X2815">
        <v>130889</v>
      </c>
      <c r="Y2815">
        <v>0.88</v>
      </c>
      <c r="Z2815">
        <v>225</v>
      </c>
      <c r="AA2815">
        <v>433</v>
      </c>
      <c r="AB2815" t="s">
        <v>116</v>
      </c>
      <c r="AC2815">
        <v>58800</v>
      </c>
      <c r="AD2815">
        <v>0</v>
      </c>
      <c r="AE2815" t="s">
        <v>116</v>
      </c>
      <c r="AF2815" t="s">
        <v>116</v>
      </c>
      <c r="AG2815">
        <v>23.46</v>
      </c>
      <c r="AH2815" t="s">
        <v>12575</v>
      </c>
      <c r="AI2815" t="s">
        <v>12575</v>
      </c>
      <c r="AJ2815">
        <v>2.5099999999999998</v>
      </c>
      <c r="AK2815">
        <v>1133</v>
      </c>
      <c r="AL2815">
        <v>217</v>
      </c>
      <c r="AM2815">
        <v>8.9999999999999998E-4</v>
      </c>
      <c r="AN2815">
        <v>2</v>
      </c>
      <c r="AO2815">
        <v>1.62</v>
      </c>
      <c r="AP2815">
        <v>5.42</v>
      </c>
      <c r="AQ2815">
        <v>6.3</v>
      </c>
      <c r="AR2815">
        <v>10</v>
      </c>
      <c r="AS2815">
        <v>2.66</v>
      </c>
      <c r="AT2815" t="s">
        <v>6541</v>
      </c>
      <c r="AU2815">
        <v>7.84</v>
      </c>
      <c r="AV2815">
        <v>7.91</v>
      </c>
      <c r="AW2815">
        <v>1</v>
      </c>
      <c r="BA2815">
        <v>0.4</v>
      </c>
      <c r="BB2815">
        <v>5.26</v>
      </c>
      <c r="BC2815">
        <v>0</v>
      </c>
      <c r="BD2815">
        <v>2.72</v>
      </c>
      <c r="BE2815">
        <v>2.02</v>
      </c>
      <c r="BF2815">
        <v>-2.69</v>
      </c>
      <c r="BG2815">
        <v>2.4300000000000002</v>
      </c>
      <c r="BH2815">
        <v>-0.28999999999999998</v>
      </c>
      <c r="BI2815">
        <v>20191030</v>
      </c>
      <c r="BJ2815">
        <v>19960909</v>
      </c>
      <c r="BK2815">
        <v>23.46</v>
      </c>
      <c r="BL2815" t="s">
        <v>116</v>
      </c>
      <c r="BM2815" t="s">
        <v>116</v>
      </c>
      <c r="BN2815">
        <v>591.38</v>
      </c>
      <c r="BO2815">
        <v>78.540000000000006</v>
      </c>
      <c r="BP2815">
        <v>9.68</v>
      </c>
      <c r="BQ2815">
        <v>85.08</v>
      </c>
      <c r="BR2815">
        <v>516.35</v>
      </c>
      <c r="BS2815">
        <v>13.03</v>
      </c>
      <c r="BT2815">
        <v>0.42</v>
      </c>
      <c r="BU2815">
        <v>292.81</v>
      </c>
      <c r="BV2815">
        <v>405.99</v>
      </c>
      <c r="BW2815">
        <v>0.67</v>
      </c>
      <c r="BX2815">
        <v>12.76</v>
      </c>
      <c r="BY2815">
        <v>31.59</v>
      </c>
      <c r="BZ2815">
        <v>20.96</v>
      </c>
      <c r="CA2815">
        <v>3.19</v>
      </c>
      <c r="CB2815">
        <v>2.1</v>
      </c>
      <c r="CC2815">
        <v>3.18</v>
      </c>
      <c r="CD2815">
        <v>2.73</v>
      </c>
      <c r="CE2815">
        <v>2.99</v>
      </c>
      <c r="CF2815">
        <v>2.33</v>
      </c>
      <c r="CG2815">
        <v>38.76</v>
      </c>
      <c r="CH2815">
        <v>-39.630000000000003</v>
      </c>
      <c r="CI2815">
        <v>-30.4</v>
      </c>
      <c r="CJ2815">
        <v>49637</v>
      </c>
      <c r="CK2815">
        <v>18601</v>
      </c>
      <c r="CL2815" t="s">
        <v>7271</v>
      </c>
      <c r="CM2815">
        <v>2.4500000000000002</v>
      </c>
      <c r="CN2815">
        <v>3.14</v>
      </c>
      <c r="CO2815">
        <v>0.76</v>
      </c>
      <c r="CP2815">
        <v>-1.5</v>
      </c>
      <c r="CQ2815">
        <v>1.88</v>
      </c>
      <c r="CR2815">
        <v>4.74</v>
      </c>
      <c r="CS2815" t="s">
        <v>4121</v>
      </c>
      <c r="CT2815">
        <v>3.35</v>
      </c>
      <c r="CU2815">
        <v>0</v>
      </c>
      <c r="CV2815">
        <v>0.54</v>
      </c>
      <c r="CW2815">
        <v>1.65</v>
      </c>
      <c r="CX2815">
        <v>-1.69</v>
      </c>
      <c r="CY2815">
        <v>13.28</v>
      </c>
      <c r="CZ2815" t="s">
        <v>1809</v>
      </c>
      <c r="DA2815">
        <v>33.630000000000003</v>
      </c>
      <c r="DB2815">
        <v>10.09</v>
      </c>
      <c r="DC2815">
        <v>9.4600000000000009</v>
      </c>
      <c r="DD2815">
        <v>0</v>
      </c>
      <c r="DE2815">
        <v>796</v>
      </c>
      <c r="DF2815">
        <v>600743</v>
      </c>
      <c r="DG2815" t="s">
        <v>116</v>
      </c>
      <c r="DH2815" t="s">
        <v>116</v>
      </c>
      <c r="DI2815" t="s">
        <v>116</v>
      </c>
    </row>
    <row r="2816" spans="1:113" x14ac:dyDescent="0.4">
      <c r="A2816" t="str">
        <f>"600744"</f>
        <v>600744</v>
      </c>
      <c r="B2816" t="s">
        <v>12576</v>
      </c>
      <c r="C2816">
        <v>0.78</v>
      </c>
      <c r="D2816">
        <v>2.58</v>
      </c>
      <c r="E2816">
        <v>0.02</v>
      </c>
      <c r="F2816">
        <v>2.58</v>
      </c>
      <c r="G2816">
        <v>2.59</v>
      </c>
      <c r="H2816">
        <v>66956</v>
      </c>
      <c r="I2816">
        <v>351</v>
      </c>
      <c r="J2816">
        <v>0</v>
      </c>
      <c r="K2816">
        <v>0.81</v>
      </c>
      <c r="L2816">
        <v>2.57</v>
      </c>
      <c r="M2816">
        <v>2.62</v>
      </c>
      <c r="N2816">
        <v>2.54</v>
      </c>
      <c r="O2816">
        <v>2.56</v>
      </c>
      <c r="P2816" t="s">
        <v>116</v>
      </c>
      <c r="Q2816">
        <v>17310370</v>
      </c>
      <c r="R2816">
        <v>0.99</v>
      </c>
      <c r="S2816" t="s">
        <v>271</v>
      </c>
      <c r="T2816" t="s">
        <v>599</v>
      </c>
      <c r="U2816">
        <v>3.12</v>
      </c>
      <c r="V2816">
        <v>2.59</v>
      </c>
      <c r="W2816">
        <v>36744</v>
      </c>
      <c r="X2816">
        <v>30212</v>
      </c>
      <c r="Y2816">
        <v>1.22</v>
      </c>
      <c r="Z2816">
        <v>1080</v>
      </c>
      <c r="AA2816">
        <v>7172</v>
      </c>
      <c r="AB2816" t="s">
        <v>116</v>
      </c>
      <c r="AC2816">
        <v>33900</v>
      </c>
      <c r="AD2816">
        <v>0</v>
      </c>
      <c r="AE2816" t="s">
        <v>116</v>
      </c>
      <c r="AF2816" t="s">
        <v>116</v>
      </c>
      <c r="AG2816">
        <v>8.2799999999999994</v>
      </c>
      <c r="AH2816" t="s">
        <v>5423</v>
      </c>
      <c r="AI2816" t="s">
        <v>12577</v>
      </c>
      <c r="AJ2816">
        <v>0.86</v>
      </c>
      <c r="AK2816">
        <v>885</v>
      </c>
      <c r="AL2816">
        <v>76</v>
      </c>
      <c r="AM2816">
        <v>8.9999999999999998E-4</v>
      </c>
      <c r="AN2816">
        <v>1</v>
      </c>
      <c r="AO2816">
        <v>1.17</v>
      </c>
      <c r="AP2816">
        <v>3.61</v>
      </c>
      <c r="AQ2816">
        <v>-2.64</v>
      </c>
      <c r="AR2816">
        <v>-1.1499999999999999</v>
      </c>
      <c r="AS2816">
        <v>1.0900000000000001</v>
      </c>
      <c r="AT2816" t="s">
        <v>5714</v>
      </c>
      <c r="AU2816" t="s">
        <v>116</v>
      </c>
      <c r="AV2816">
        <v>78.180000000000007</v>
      </c>
      <c r="AW2816">
        <v>1.46</v>
      </c>
      <c r="BA2816">
        <v>0.39</v>
      </c>
      <c r="BB2816">
        <v>2.34</v>
      </c>
      <c r="BC2816">
        <v>-0.78</v>
      </c>
      <c r="BD2816">
        <v>0.99</v>
      </c>
      <c r="BE2816">
        <v>0.39</v>
      </c>
      <c r="BF2816">
        <v>-1.53</v>
      </c>
      <c r="BG2816">
        <v>1.57</v>
      </c>
      <c r="BH2816">
        <v>-0.21</v>
      </c>
      <c r="BI2816">
        <v>20191107</v>
      </c>
      <c r="BJ2816">
        <v>19960905</v>
      </c>
      <c r="BK2816">
        <v>17.809999999999999</v>
      </c>
      <c r="BL2816" t="s">
        <v>116</v>
      </c>
      <c r="BM2816" t="s">
        <v>116</v>
      </c>
      <c r="BN2816">
        <v>186.79</v>
      </c>
      <c r="BO2816">
        <v>29.58</v>
      </c>
      <c r="BP2816">
        <v>-1.51</v>
      </c>
      <c r="BQ2816">
        <v>84.97</v>
      </c>
      <c r="BR2816">
        <v>47.33</v>
      </c>
      <c r="BS2816">
        <v>100.81</v>
      </c>
      <c r="BT2816">
        <v>7.83</v>
      </c>
      <c r="BU2816">
        <v>81.33</v>
      </c>
      <c r="BV2816">
        <v>8.5299999999999994</v>
      </c>
      <c r="BW2816">
        <v>19.79</v>
      </c>
      <c r="BX2816">
        <v>48.89</v>
      </c>
      <c r="BY2816">
        <v>59.69</v>
      </c>
      <c r="BZ2816">
        <v>54.9</v>
      </c>
      <c r="CA2816">
        <v>-0.72</v>
      </c>
      <c r="CB2816">
        <v>0.04</v>
      </c>
      <c r="CC2816">
        <v>-0.71</v>
      </c>
      <c r="CD2816">
        <v>-0.94</v>
      </c>
      <c r="CE2816">
        <v>-0.91</v>
      </c>
      <c r="CF2816">
        <v>-0.98</v>
      </c>
      <c r="CG2816">
        <v>-38.409999999999997</v>
      </c>
      <c r="CH2816">
        <v>11.19</v>
      </c>
      <c r="CI2816">
        <v>2.04</v>
      </c>
      <c r="CJ2816">
        <v>85386</v>
      </c>
      <c r="CK2816">
        <v>7200</v>
      </c>
      <c r="CL2816" t="s">
        <v>6585</v>
      </c>
      <c r="CM2816">
        <v>-5514.25</v>
      </c>
      <c r="CN2816">
        <v>-12.45</v>
      </c>
      <c r="CO2816">
        <v>1.55</v>
      </c>
      <c r="CP2816">
        <v>4.1100000000000003</v>
      </c>
      <c r="CQ2816">
        <v>0.77</v>
      </c>
      <c r="CR2816">
        <v>0</v>
      </c>
      <c r="CS2816" t="s">
        <v>10726</v>
      </c>
      <c r="CT2816">
        <v>1.66</v>
      </c>
      <c r="CU2816">
        <v>0</v>
      </c>
      <c r="CV2816">
        <v>2.74</v>
      </c>
      <c r="CW2816">
        <v>-2.16</v>
      </c>
      <c r="CX2816">
        <v>0.63</v>
      </c>
      <c r="CY2816">
        <v>15.83</v>
      </c>
      <c r="CZ2816" t="s">
        <v>12578</v>
      </c>
      <c r="DA2816">
        <v>8.0299999999999994</v>
      </c>
      <c r="DB2816">
        <v>-1.2</v>
      </c>
      <c r="DC2816">
        <v>-1.52</v>
      </c>
      <c r="DD2816">
        <v>0</v>
      </c>
      <c r="DE2816">
        <v>5944</v>
      </c>
      <c r="DF2816">
        <v>600744</v>
      </c>
      <c r="DG2816" t="s">
        <v>116</v>
      </c>
      <c r="DH2816" t="s">
        <v>116</v>
      </c>
      <c r="DI2816" t="s">
        <v>116</v>
      </c>
    </row>
    <row r="2817" spans="1:113" x14ac:dyDescent="0.4">
      <c r="A2817" t="str">
        <f>"600745"</f>
        <v>600745</v>
      </c>
      <c r="B2817" t="s">
        <v>12579</v>
      </c>
      <c r="C2817">
        <v>-3.9</v>
      </c>
      <c r="D2817">
        <v>91.18</v>
      </c>
      <c r="E2817">
        <v>-3.7</v>
      </c>
      <c r="F2817">
        <v>91.16</v>
      </c>
      <c r="G2817">
        <v>91.18</v>
      </c>
      <c r="H2817">
        <v>140570</v>
      </c>
      <c r="I2817">
        <v>1571</v>
      </c>
      <c r="J2817">
        <v>-0.28999999999999998</v>
      </c>
      <c r="K2817">
        <v>2.21</v>
      </c>
      <c r="L2817">
        <v>94.47</v>
      </c>
      <c r="M2817">
        <v>94.96</v>
      </c>
      <c r="N2817">
        <v>90.8</v>
      </c>
      <c r="O2817">
        <v>94.88</v>
      </c>
      <c r="P2817">
        <v>144.9</v>
      </c>
      <c r="Q2817">
        <v>1299904640</v>
      </c>
      <c r="R2817">
        <v>1.07</v>
      </c>
      <c r="S2817" t="s">
        <v>465</v>
      </c>
      <c r="T2817" t="s">
        <v>774</v>
      </c>
      <c r="U2817">
        <v>4.38</v>
      </c>
      <c r="V2817">
        <v>92.47</v>
      </c>
      <c r="W2817">
        <v>78162</v>
      </c>
      <c r="X2817">
        <v>62408</v>
      </c>
      <c r="Y2817">
        <v>1.25</v>
      </c>
      <c r="Z2817">
        <v>5</v>
      </c>
      <c r="AA2817">
        <v>79</v>
      </c>
      <c r="AB2817" t="s">
        <v>116</v>
      </c>
      <c r="AC2817">
        <v>3561500</v>
      </c>
      <c r="AD2817">
        <v>0.01</v>
      </c>
      <c r="AE2817" t="s">
        <v>116</v>
      </c>
      <c r="AF2817" t="s">
        <v>116</v>
      </c>
      <c r="AG2817">
        <v>6.37</v>
      </c>
      <c r="AH2817" t="s">
        <v>12580</v>
      </c>
      <c r="AI2817" t="s">
        <v>12581</v>
      </c>
      <c r="AJ2817">
        <v>-3.82</v>
      </c>
      <c r="AK2817">
        <v>4487</v>
      </c>
      <c r="AL2817">
        <v>31</v>
      </c>
      <c r="AM2817">
        <v>5.0000000000000001E-4</v>
      </c>
      <c r="AN2817">
        <v>-2</v>
      </c>
      <c r="AO2817">
        <v>-2.58</v>
      </c>
      <c r="AP2817">
        <v>-5.9</v>
      </c>
      <c r="AQ2817">
        <v>21.57</v>
      </c>
      <c r="AR2817">
        <v>331.52</v>
      </c>
      <c r="AS2817">
        <v>4.2699999999999996</v>
      </c>
      <c r="AT2817" t="s">
        <v>12582</v>
      </c>
      <c r="AU2817">
        <v>134.69</v>
      </c>
      <c r="AV2817">
        <v>1679.62</v>
      </c>
      <c r="AW2817">
        <v>1.21</v>
      </c>
      <c r="BA2817">
        <v>-0.43</v>
      </c>
      <c r="BB2817">
        <v>0.08</v>
      </c>
      <c r="BC2817">
        <v>-4.3</v>
      </c>
      <c r="BD2817">
        <v>-2.54</v>
      </c>
      <c r="BE2817">
        <v>-3.48</v>
      </c>
      <c r="BF2817">
        <v>-3.98</v>
      </c>
      <c r="BG2817">
        <v>0.42</v>
      </c>
      <c r="BH2817">
        <v>-1.36</v>
      </c>
      <c r="BI2817">
        <v>20191220</v>
      </c>
      <c r="BJ2817">
        <v>19960828</v>
      </c>
      <c r="BK2817">
        <v>11.24</v>
      </c>
      <c r="BL2817" t="s">
        <v>116</v>
      </c>
      <c r="BM2817" t="s">
        <v>116</v>
      </c>
      <c r="BN2817">
        <v>347.78</v>
      </c>
      <c r="BO2817">
        <v>41.12</v>
      </c>
      <c r="BP2817">
        <v>0.02</v>
      </c>
      <c r="BQ2817">
        <v>88.17</v>
      </c>
      <c r="BR2817">
        <v>161.4</v>
      </c>
      <c r="BS2817">
        <v>6.71</v>
      </c>
      <c r="BT2817">
        <v>6.55</v>
      </c>
      <c r="BU2817">
        <v>284.51</v>
      </c>
      <c r="BV2817">
        <v>44.43</v>
      </c>
      <c r="BW2817">
        <v>79.58</v>
      </c>
      <c r="BX2817">
        <v>23.48</v>
      </c>
      <c r="BY2817">
        <v>218.74</v>
      </c>
      <c r="BZ2817">
        <v>201.26</v>
      </c>
      <c r="CA2817">
        <v>6.76</v>
      </c>
      <c r="CB2817">
        <v>2.08</v>
      </c>
      <c r="CC2817">
        <v>6.77</v>
      </c>
      <c r="CD2817">
        <v>5.18</v>
      </c>
      <c r="CE2817">
        <v>5.3</v>
      </c>
      <c r="CF2817">
        <v>5.01</v>
      </c>
      <c r="CG2817">
        <v>10.57</v>
      </c>
      <c r="CH2817">
        <v>11.45</v>
      </c>
      <c r="CI2817">
        <v>3.22</v>
      </c>
      <c r="CJ2817">
        <v>43670</v>
      </c>
      <c r="CK2817">
        <v>7542</v>
      </c>
      <c r="CL2817" t="s">
        <v>12583</v>
      </c>
      <c r="CM2817">
        <v>413.18</v>
      </c>
      <c r="CN2817">
        <v>98.74</v>
      </c>
      <c r="CO2817">
        <v>15.02</v>
      </c>
      <c r="CP2817">
        <v>89.49</v>
      </c>
      <c r="CQ2817">
        <v>4.6900000000000004</v>
      </c>
      <c r="CR2817">
        <v>0</v>
      </c>
      <c r="CS2817" t="s">
        <v>9188</v>
      </c>
      <c r="CT2817">
        <v>6.07</v>
      </c>
      <c r="CU2817">
        <v>6.07</v>
      </c>
      <c r="CV2817">
        <v>2.09</v>
      </c>
      <c r="CW2817">
        <v>0.94</v>
      </c>
      <c r="CX2817">
        <v>1.02</v>
      </c>
      <c r="CY2817">
        <v>11.82</v>
      </c>
      <c r="CZ2817" t="s">
        <v>4014</v>
      </c>
      <c r="DA2817">
        <v>7.99</v>
      </c>
      <c r="DB2817">
        <v>3.09</v>
      </c>
      <c r="DC2817">
        <v>2.4300000000000002</v>
      </c>
      <c r="DD2817">
        <v>6.3</v>
      </c>
      <c r="DE2817">
        <v>4806</v>
      </c>
      <c r="DF2817">
        <v>600745</v>
      </c>
      <c r="DG2817" t="s">
        <v>116</v>
      </c>
      <c r="DH2817" t="s">
        <v>116</v>
      </c>
      <c r="DI2817" t="s">
        <v>116</v>
      </c>
    </row>
    <row r="2818" spans="1:113" x14ac:dyDescent="0.4">
      <c r="A2818" t="str">
        <f>"600746"</f>
        <v>600746</v>
      </c>
      <c r="B2818" t="s">
        <v>12584</v>
      </c>
      <c r="C2818">
        <v>-1.01</v>
      </c>
      <c r="D2818">
        <v>6.89</v>
      </c>
      <c r="E2818">
        <v>-7.0000000000000007E-2</v>
      </c>
      <c r="F2818">
        <v>6.88</v>
      </c>
      <c r="G2818">
        <v>6.89</v>
      </c>
      <c r="H2818">
        <v>16088</v>
      </c>
      <c r="I2818">
        <v>128</v>
      </c>
      <c r="J2818">
        <v>0</v>
      </c>
      <c r="K2818">
        <v>0.53</v>
      </c>
      <c r="L2818">
        <v>7.03</v>
      </c>
      <c r="M2818">
        <v>7.05</v>
      </c>
      <c r="N2818">
        <v>6.88</v>
      </c>
      <c r="O2818">
        <v>6.96</v>
      </c>
      <c r="P2818" t="s">
        <v>116</v>
      </c>
      <c r="Q2818">
        <v>11157961</v>
      </c>
      <c r="R2818">
        <v>0.97</v>
      </c>
      <c r="S2818" t="s">
        <v>891</v>
      </c>
      <c r="T2818" t="s">
        <v>323</v>
      </c>
      <c r="U2818">
        <v>2.44</v>
      </c>
      <c r="V2818">
        <v>6.94</v>
      </c>
      <c r="W2818">
        <v>10958</v>
      </c>
      <c r="X2818">
        <v>5130</v>
      </c>
      <c r="Y2818">
        <v>2.14</v>
      </c>
      <c r="Z2818">
        <v>156</v>
      </c>
      <c r="AA2818">
        <v>27</v>
      </c>
      <c r="AB2818" t="s">
        <v>116</v>
      </c>
      <c r="AC2818">
        <v>85100</v>
      </c>
      <c r="AD2818">
        <v>0.01</v>
      </c>
      <c r="AE2818" t="s">
        <v>116</v>
      </c>
      <c r="AF2818" t="s">
        <v>116</v>
      </c>
      <c r="AG2818">
        <v>3.05</v>
      </c>
      <c r="AH2818" t="s">
        <v>9310</v>
      </c>
      <c r="AI2818" t="s">
        <v>12585</v>
      </c>
      <c r="AJ2818">
        <v>-0.93</v>
      </c>
      <c r="AK2818">
        <v>599</v>
      </c>
      <c r="AL2818">
        <v>27</v>
      </c>
      <c r="AM2818">
        <v>8.9999999999999998E-4</v>
      </c>
      <c r="AN2818">
        <v>-1</v>
      </c>
      <c r="AO2818">
        <v>0.87</v>
      </c>
      <c r="AP2818">
        <v>4.08</v>
      </c>
      <c r="AQ2818">
        <v>1.47</v>
      </c>
      <c r="AR2818">
        <v>20.03</v>
      </c>
      <c r="AS2818">
        <v>1.2</v>
      </c>
      <c r="AT2818" t="s">
        <v>3468</v>
      </c>
      <c r="AU2818" t="s">
        <v>116</v>
      </c>
      <c r="AV2818">
        <v>589.20000000000005</v>
      </c>
      <c r="AW2818">
        <v>0.63</v>
      </c>
      <c r="BA2818">
        <v>1.01</v>
      </c>
      <c r="BB2818">
        <v>1.29</v>
      </c>
      <c r="BC2818">
        <v>-1.1499999999999999</v>
      </c>
      <c r="BD2818">
        <v>-0.35</v>
      </c>
      <c r="BE2818">
        <v>-1.99</v>
      </c>
      <c r="BF2818">
        <v>-2.27</v>
      </c>
      <c r="BG2818">
        <v>0.15</v>
      </c>
      <c r="BH2818">
        <v>-0.65</v>
      </c>
      <c r="BI2818">
        <v>20191030</v>
      </c>
      <c r="BJ2818">
        <v>19960918</v>
      </c>
      <c r="BK2818">
        <v>3.06</v>
      </c>
      <c r="BL2818" t="s">
        <v>116</v>
      </c>
      <c r="BM2818" t="s">
        <v>116</v>
      </c>
      <c r="BN2818">
        <v>5.97</v>
      </c>
      <c r="BO2818">
        <v>5.0199999999999996</v>
      </c>
      <c r="BP2818">
        <v>0</v>
      </c>
      <c r="BQ2818">
        <v>15.91</v>
      </c>
      <c r="BR2818">
        <v>3.47</v>
      </c>
      <c r="BS2818">
        <v>1.25</v>
      </c>
      <c r="BT2818">
        <v>0</v>
      </c>
      <c r="BU2818">
        <v>0.76</v>
      </c>
      <c r="BV2818">
        <v>0.24</v>
      </c>
      <c r="BW2818">
        <v>0.08</v>
      </c>
      <c r="BX2818">
        <v>0.62</v>
      </c>
      <c r="BY2818">
        <v>2.58</v>
      </c>
      <c r="BZ2818">
        <v>2.52</v>
      </c>
      <c r="CA2818">
        <v>-0.1</v>
      </c>
      <c r="CB2818">
        <v>0.04</v>
      </c>
      <c r="CC2818">
        <v>-0.1</v>
      </c>
      <c r="CD2818">
        <v>-7.0000000000000007E-2</v>
      </c>
      <c r="CE2818">
        <v>-7.0000000000000007E-2</v>
      </c>
      <c r="CF2818">
        <v>-0.12</v>
      </c>
      <c r="CG2818">
        <v>0.48</v>
      </c>
      <c r="CH2818">
        <v>0.88</v>
      </c>
      <c r="CI2818">
        <v>-0.41</v>
      </c>
      <c r="CJ2818">
        <v>17911</v>
      </c>
      <c r="CK2818">
        <v>7461</v>
      </c>
      <c r="CL2818" t="s">
        <v>820</v>
      </c>
      <c r="CM2818">
        <v>-455.18</v>
      </c>
      <c r="CN2818">
        <v>-32.090000000000003</v>
      </c>
      <c r="CO2818">
        <v>4.2</v>
      </c>
      <c r="CP2818">
        <v>24.1</v>
      </c>
      <c r="CQ2818">
        <v>8.19</v>
      </c>
      <c r="CR2818">
        <v>0</v>
      </c>
      <c r="CS2818" t="s">
        <v>620</v>
      </c>
      <c r="CT2818">
        <v>1.64</v>
      </c>
      <c r="CU2818">
        <v>0</v>
      </c>
      <c r="CV2818">
        <v>0.2</v>
      </c>
      <c r="CW2818">
        <v>0.16</v>
      </c>
      <c r="CX2818">
        <v>0.28999999999999998</v>
      </c>
      <c r="CY2818">
        <v>84.09</v>
      </c>
      <c r="CZ2818" t="s">
        <v>12586</v>
      </c>
      <c r="DA2818">
        <v>2.23</v>
      </c>
      <c r="DB2818">
        <v>-3.89</v>
      </c>
      <c r="DC2818">
        <v>-2.73</v>
      </c>
      <c r="DD2818">
        <v>0</v>
      </c>
      <c r="DE2818">
        <v>324</v>
      </c>
      <c r="DF2818">
        <v>600746</v>
      </c>
      <c r="DG2818" t="s">
        <v>116</v>
      </c>
      <c r="DH2818" t="s">
        <v>116</v>
      </c>
      <c r="DI2818" t="s">
        <v>116</v>
      </c>
    </row>
    <row r="2819" spans="1:113" x14ac:dyDescent="0.4">
      <c r="A2819" t="str">
        <f>"600748"</f>
        <v>600748</v>
      </c>
      <c r="B2819" t="s">
        <v>12587</v>
      </c>
      <c r="C2819">
        <v>-0.51</v>
      </c>
      <c r="D2819">
        <v>5.83</v>
      </c>
      <c r="E2819">
        <v>-0.03</v>
      </c>
      <c r="F2819">
        <v>5.83</v>
      </c>
      <c r="G2819">
        <v>5.84</v>
      </c>
      <c r="H2819">
        <v>86798</v>
      </c>
      <c r="I2819">
        <v>391</v>
      </c>
      <c r="J2819">
        <v>-0.16</v>
      </c>
      <c r="K2819">
        <v>0.47</v>
      </c>
      <c r="L2819">
        <v>5.86</v>
      </c>
      <c r="M2819">
        <v>5.95</v>
      </c>
      <c r="N2819">
        <v>5.82</v>
      </c>
      <c r="O2819">
        <v>5.86</v>
      </c>
      <c r="P2819">
        <v>18.61</v>
      </c>
      <c r="Q2819">
        <v>51080652</v>
      </c>
      <c r="R2819">
        <v>1.1299999999999999</v>
      </c>
      <c r="S2819" t="s">
        <v>124</v>
      </c>
      <c r="T2819" t="s">
        <v>1653</v>
      </c>
      <c r="U2819">
        <v>2.2200000000000002</v>
      </c>
      <c r="V2819">
        <v>5.88</v>
      </c>
      <c r="W2819">
        <v>40851</v>
      </c>
      <c r="X2819">
        <v>45947</v>
      </c>
      <c r="Y2819">
        <v>0.89</v>
      </c>
      <c r="Z2819">
        <v>292</v>
      </c>
      <c r="AA2819">
        <v>930</v>
      </c>
      <c r="AB2819" t="s">
        <v>116</v>
      </c>
      <c r="AC2819">
        <v>255500</v>
      </c>
      <c r="AD2819">
        <v>0.01</v>
      </c>
      <c r="AE2819" t="s">
        <v>116</v>
      </c>
      <c r="AF2819" t="s">
        <v>116</v>
      </c>
      <c r="AG2819">
        <v>18.45</v>
      </c>
      <c r="AH2819" t="s">
        <v>2346</v>
      </c>
      <c r="AI2819" t="s">
        <v>2346</v>
      </c>
      <c r="AJ2819">
        <v>-0.44</v>
      </c>
      <c r="AK2819">
        <v>2562</v>
      </c>
      <c r="AL2819">
        <v>34</v>
      </c>
      <c r="AM2819">
        <v>2.0000000000000001E-4</v>
      </c>
      <c r="AN2819">
        <v>-1</v>
      </c>
      <c r="AO2819">
        <v>0.34</v>
      </c>
      <c r="AP2819">
        <v>0.17</v>
      </c>
      <c r="AQ2819">
        <v>-4.2699999999999996</v>
      </c>
      <c r="AR2819">
        <v>9.7899999999999991</v>
      </c>
      <c r="AS2819">
        <v>1.07</v>
      </c>
      <c r="AT2819" t="s">
        <v>2592</v>
      </c>
      <c r="AU2819">
        <v>13.37</v>
      </c>
      <c r="AV2819">
        <v>16.350000000000001</v>
      </c>
      <c r="AW2819">
        <v>2.2999999999999998</v>
      </c>
      <c r="BA2819">
        <v>0</v>
      </c>
      <c r="BB2819">
        <v>1.54</v>
      </c>
      <c r="BC2819">
        <v>-0.68</v>
      </c>
      <c r="BD2819">
        <v>0.43</v>
      </c>
      <c r="BE2819">
        <v>-0.51</v>
      </c>
      <c r="BF2819">
        <v>-2.02</v>
      </c>
      <c r="BG2819">
        <v>0.17</v>
      </c>
      <c r="BH2819">
        <v>-0.94</v>
      </c>
      <c r="BI2819">
        <v>20191202</v>
      </c>
      <c r="BJ2819">
        <v>19960925</v>
      </c>
      <c r="BK2819">
        <v>18.45</v>
      </c>
      <c r="BL2819" t="s">
        <v>116</v>
      </c>
      <c r="BM2819" t="s">
        <v>116</v>
      </c>
      <c r="BN2819">
        <v>391.32</v>
      </c>
      <c r="BO2819">
        <v>103.67</v>
      </c>
      <c r="BP2819">
        <v>14.75</v>
      </c>
      <c r="BQ2819">
        <v>69.739999999999995</v>
      </c>
      <c r="BR2819">
        <v>332.17</v>
      </c>
      <c r="BS2819">
        <v>8.93</v>
      </c>
      <c r="BT2819">
        <v>0.17</v>
      </c>
      <c r="BU2819">
        <v>188.48</v>
      </c>
      <c r="BV2819">
        <v>250.28</v>
      </c>
      <c r="BW2819">
        <v>6.11</v>
      </c>
      <c r="BX2819">
        <v>25.99</v>
      </c>
      <c r="BY2819">
        <v>54.49</v>
      </c>
      <c r="BZ2819">
        <v>39.72</v>
      </c>
      <c r="CA2819">
        <v>8.4600000000000009</v>
      </c>
      <c r="CB2819">
        <v>-0.14000000000000001</v>
      </c>
      <c r="CC2819">
        <v>8.4499999999999993</v>
      </c>
      <c r="CD2819">
        <v>5.58</v>
      </c>
      <c r="CE2819">
        <v>4.33</v>
      </c>
      <c r="CF2819">
        <v>3.91</v>
      </c>
      <c r="CG2819">
        <v>51.67</v>
      </c>
      <c r="CH2819">
        <v>-13.7</v>
      </c>
      <c r="CI2819">
        <v>-9.58</v>
      </c>
      <c r="CJ2819">
        <v>34329</v>
      </c>
      <c r="CK2819">
        <v>23592</v>
      </c>
      <c r="CL2819" t="s">
        <v>3678</v>
      </c>
      <c r="CM2819">
        <v>51.26</v>
      </c>
      <c r="CN2819">
        <v>15.22</v>
      </c>
      <c r="CO2819">
        <v>1.04</v>
      </c>
      <c r="CP2819">
        <v>-7.85</v>
      </c>
      <c r="CQ2819">
        <v>1.97</v>
      </c>
      <c r="CR2819">
        <v>0.51</v>
      </c>
      <c r="CS2819" t="s">
        <v>8523</v>
      </c>
      <c r="CT2819">
        <v>5.62</v>
      </c>
      <c r="CU2819">
        <v>0</v>
      </c>
      <c r="CV2819">
        <v>1.41</v>
      </c>
      <c r="CW2819">
        <v>2.8</v>
      </c>
      <c r="CX2819">
        <v>-0.74</v>
      </c>
      <c r="CY2819">
        <v>26.49</v>
      </c>
      <c r="CZ2819" t="s">
        <v>5839</v>
      </c>
      <c r="DA2819">
        <v>27.11</v>
      </c>
      <c r="DB2819">
        <v>15.52</v>
      </c>
      <c r="DC2819">
        <v>7.95</v>
      </c>
      <c r="DD2819">
        <v>0.28000000000000003</v>
      </c>
      <c r="DE2819">
        <v>8097</v>
      </c>
      <c r="DF2819">
        <v>600748</v>
      </c>
      <c r="DG2819" t="s">
        <v>116</v>
      </c>
      <c r="DH2819" t="s">
        <v>116</v>
      </c>
      <c r="DI2819" t="s">
        <v>116</v>
      </c>
    </row>
    <row r="2820" spans="1:113" x14ac:dyDescent="0.4">
      <c r="A2820" t="str">
        <f>"600749"</f>
        <v>600749</v>
      </c>
      <c r="B2820" t="s">
        <v>12588</v>
      </c>
      <c r="C2820">
        <v>0.53</v>
      </c>
      <c r="D2820">
        <v>9.49</v>
      </c>
      <c r="E2820">
        <v>0.05</v>
      </c>
      <c r="F2820">
        <v>9.49</v>
      </c>
      <c r="G2820">
        <v>9.5</v>
      </c>
      <c r="H2820">
        <v>16141</v>
      </c>
      <c r="I2820">
        <v>120</v>
      </c>
      <c r="J2820">
        <v>0</v>
      </c>
      <c r="K2820">
        <v>0.71</v>
      </c>
      <c r="L2820">
        <v>9.44</v>
      </c>
      <c r="M2820">
        <v>9.5500000000000007</v>
      </c>
      <c r="N2820">
        <v>9.4</v>
      </c>
      <c r="O2820">
        <v>9.44</v>
      </c>
      <c r="P2820">
        <v>64.7</v>
      </c>
      <c r="Q2820">
        <v>15292759</v>
      </c>
      <c r="R2820">
        <v>1.4</v>
      </c>
      <c r="S2820" t="s">
        <v>493</v>
      </c>
      <c r="T2820" t="s">
        <v>2028</v>
      </c>
      <c r="U2820">
        <v>1.59</v>
      </c>
      <c r="V2820">
        <v>9.4700000000000006</v>
      </c>
      <c r="W2820">
        <v>8016</v>
      </c>
      <c r="X2820">
        <v>8125</v>
      </c>
      <c r="Y2820">
        <v>0.99</v>
      </c>
      <c r="Z2820">
        <v>56</v>
      </c>
      <c r="AA2820">
        <v>226</v>
      </c>
      <c r="AB2820" t="s">
        <v>116</v>
      </c>
      <c r="AC2820">
        <v>2800</v>
      </c>
      <c r="AD2820">
        <v>0</v>
      </c>
      <c r="AE2820" t="s">
        <v>116</v>
      </c>
      <c r="AF2820" t="s">
        <v>116</v>
      </c>
      <c r="AG2820">
        <v>2.27</v>
      </c>
      <c r="AH2820" t="s">
        <v>12589</v>
      </c>
      <c r="AI2820" t="s">
        <v>12589</v>
      </c>
      <c r="AJ2820">
        <v>0.61</v>
      </c>
      <c r="AK2820">
        <v>677</v>
      </c>
      <c r="AL2820">
        <v>24</v>
      </c>
      <c r="AM2820">
        <v>1.1000000000000001E-3</v>
      </c>
      <c r="AN2820">
        <v>2</v>
      </c>
      <c r="AO2820">
        <v>0.75</v>
      </c>
      <c r="AP2820">
        <v>4.17</v>
      </c>
      <c r="AQ2820">
        <v>-10.47</v>
      </c>
      <c r="AR2820">
        <v>1.17</v>
      </c>
      <c r="AS2820">
        <v>1.68</v>
      </c>
      <c r="AT2820" t="s">
        <v>6338</v>
      </c>
      <c r="AU2820">
        <v>84.98</v>
      </c>
      <c r="AV2820">
        <v>101.29</v>
      </c>
      <c r="AW2820">
        <v>1.31</v>
      </c>
      <c r="BA2820">
        <v>0</v>
      </c>
      <c r="BB2820">
        <v>1.17</v>
      </c>
      <c r="BC2820">
        <v>-0.42</v>
      </c>
      <c r="BD2820">
        <v>0.37</v>
      </c>
      <c r="BE2820">
        <v>0.53</v>
      </c>
      <c r="BF2820">
        <v>-0.63</v>
      </c>
      <c r="BG2820">
        <v>0.96</v>
      </c>
      <c r="BH2820">
        <v>0.16</v>
      </c>
      <c r="BI2820">
        <v>20191028</v>
      </c>
      <c r="BJ2820">
        <v>19961015</v>
      </c>
      <c r="BK2820">
        <v>2.27</v>
      </c>
      <c r="BL2820" t="s">
        <v>116</v>
      </c>
      <c r="BM2820" t="s">
        <v>116</v>
      </c>
      <c r="BN2820">
        <v>12.97</v>
      </c>
      <c r="BO2820">
        <v>10.8</v>
      </c>
      <c r="BP2820">
        <v>-0.01</v>
      </c>
      <c r="BQ2820">
        <v>16.77</v>
      </c>
      <c r="BR2820">
        <v>6.05</v>
      </c>
      <c r="BS2820">
        <v>1.63</v>
      </c>
      <c r="BT2820">
        <v>4.1900000000000004</v>
      </c>
      <c r="BU2820">
        <v>1.96</v>
      </c>
      <c r="BV2820">
        <v>0.09</v>
      </c>
      <c r="BW2820">
        <v>0.36</v>
      </c>
      <c r="BX2820">
        <v>9.76</v>
      </c>
      <c r="BY2820">
        <v>1.56</v>
      </c>
      <c r="BZ2820">
        <v>0.71</v>
      </c>
      <c r="CA2820">
        <v>0.25</v>
      </c>
      <c r="CB2820">
        <v>0.09</v>
      </c>
      <c r="CC2820">
        <v>0.26</v>
      </c>
      <c r="CD2820">
        <v>0.26</v>
      </c>
      <c r="CE2820">
        <v>0.25</v>
      </c>
      <c r="CF2820">
        <v>0.15</v>
      </c>
      <c r="CG2820">
        <v>-1.28</v>
      </c>
      <c r="CH2820">
        <v>0.5</v>
      </c>
      <c r="CI2820">
        <v>-1.1200000000000001</v>
      </c>
      <c r="CJ2820">
        <v>18506</v>
      </c>
      <c r="CK2820">
        <v>5201</v>
      </c>
      <c r="CL2820" t="s">
        <v>6728</v>
      </c>
      <c r="CM2820">
        <v>19.53</v>
      </c>
      <c r="CN2820">
        <v>5.66</v>
      </c>
      <c r="CO2820">
        <v>1.99</v>
      </c>
      <c r="CP2820">
        <v>43.03</v>
      </c>
      <c r="CQ2820">
        <v>13.79</v>
      </c>
      <c r="CR2820">
        <v>0</v>
      </c>
      <c r="CS2820" t="s">
        <v>424</v>
      </c>
      <c r="CT2820">
        <v>4.76</v>
      </c>
      <c r="CU2820">
        <v>0</v>
      </c>
      <c r="CV2820">
        <v>4.3</v>
      </c>
      <c r="CW2820">
        <v>-0.56000000000000005</v>
      </c>
      <c r="CX2820">
        <v>0.22</v>
      </c>
      <c r="CY2820">
        <v>83.3</v>
      </c>
      <c r="CZ2820" t="s">
        <v>10736</v>
      </c>
      <c r="DA2820">
        <v>54.47</v>
      </c>
      <c r="DB2820">
        <v>16.21</v>
      </c>
      <c r="DC2820">
        <v>15.99</v>
      </c>
      <c r="DD2820">
        <v>0</v>
      </c>
      <c r="DE2820">
        <v>514</v>
      </c>
      <c r="DF2820">
        <v>600749</v>
      </c>
      <c r="DG2820" t="s">
        <v>116</v>
      </c>
      <c r="DH2820" t="s">
        <v>116</v>
      </c>
      <c r="DI2820" t="s">
        <v>116</v>
      </c>
    </row>
    <row r="2821" spans="1:113" x14ac:dyDescent="0.4">
      <c r="A2821" t="str">
        <f>"600750"</f>
        <v>600750</v>
      </c>
      <c r="B2821" t="s">
        <v>12590</v>
      </c>
      <c r="C2821">
        <v>-1.05</v>
      </c>
      <c r="D2821">
        <v>12.2</v>
      </c>
      <c r="E2821">
        <v>-0.13</v>
      </c>
      <c r="F2821">
        <v>12.19</v>
      </c>
      <c r="G2821">
        <v>12.2</v>
      </c>
      <c r="H2821">
        <v>44862</v>
      </c>
      <c r="I2821">
        <v>217</v>
      </c>
      <c r="J2821">
        <v>0.08</v>
      </c>
      <c r="K2821">
        <v>0.85</v>
      </c>
      <c r="L2821">
        <v>12.34</v>
      </c>
      <c r="M2821">
        <v>12.42</v>
      </c>
      <c r="N2821">
        <v>12.18</v>
      </c>
      <c r="O2821">
        <v>12.33</v>
      </c>
      <c r="P2821">
        <v>12.59</v>
      </c>
      <c r="Q2821">
        <v>55103744</v>
      </c>
      <c r="R2821">
        <v>0.95</v>
      </c>
      <c r="S2821" t="s">
        <v>781</v>
      </c>
      <c r="T2821" t="s">
        <v>683</v>
      </c>
      <c r="U2821">
        <v>1.95</v>
      </c>
      <c r="V2821">
        <v>12.28</v>
      </c>
      <c r="W2821">
        <v>28120</v>
      </c>
      <c r="X2821">
        <v>16742</v>
      </c>
      <c r="Y2821">
        <v>1.68</v>
      </c>
      <c r="Z2821">
        <v>162</v>
      </c>
      <c r="AA2821">
        <v>79</v>
      </c>
      <c r="AB2821" t="s">
        <v>116</v>
      </c>
      <c r="AC2821">
        <v>25900</v>
      </c>
      <c r="AD2821">
        <v>0</v>
      </c>
      <c r="AE2821" t="s">
        <v>116</v>
      </c>
      <c r="AF2821" t="s">
        <v>116</v>
      </c>
      <c r="AG2821">
        <v>5.25</v>
      </c>
      <c r="AH2821" t="s">
        <v>12591</v>
      </c>
      <c r="AI2821" t="s">
        <v>12591</v>
      </c>
      <c r="AJ2821">
        <v>-0.98</v>
      </c>
      <c r="AK2821">
        <v>1636</v>
      </c>
      <c r="AL2821">
        <v>27</v>
      </c>
      <c r="AM2821">
        <v>5.0000000000000001E-4</v>
      </c>
      <c r="AN2821">
        <v>-1</v>
      </c>
      <c r="AO2821">
        <v>0.83</v>
      </c>
      <c r="AP2821">
        <v>0.08</v>
      </c>
      <c r="AQ2821">
        <v>0.16</v>
      </c>
      <c r="AR2821">
        <v>-8.02</v>
      </c>
      <c r="AS2821">
        <v>1.5</v>
      </c>
      <c r="AT2821" t="s">
        <v>12592</v>
      </c>
      <c r="AU2821">
        <v>12.85</v>
      </c>
      <c r="AV2821">
        <v>13.62</v>
      </c>
      <c r="AW2821">
        <v>1.23</v>
      </c>
      <c r="BA2821">
        <v>0.08</v>
      </c>
      <c r="BB2821">
        <v>0.73</v>
      </c>
      <c r="BC2821">
        <v>-1.22</v>
      </c>
      <c r="BD2821">
        <v>-0.38</v>
      </c>
      <c r="BE2821">
        <v>-1.1299999999999999</v>
      </c>
      <c r="BF2821">
        <v>-1.77</v>
      </c>
      <c r="BG2821">
        <v>0.16</v>
      </c>
      <c r="BH2821">
        <v>-0.67</v>
      </c>
      <c r="BI2821">
        <v>20191025</v>
      </c>
      <c r="BJ2821">
        <v>19960923</v>
      </c>
      <c r="BK2821">
        <v>5.25</v>
      </c>
      <c r="BL2821" t="s">
        <v>116</v>
      </c>
      <c r="BM2821" t="s">
        <v>116</v>
      </c>
      <c r="BN2821">
        <v>45.05</v>
      </c>
      <c r="BO2821">
        <v>35.159999999999997</v>
      </c>
      <c r="BP2821">
        <v>3.56</v>
      </c>
      <c r="BQ2821">
        <v>14.06</v>
      </c>
      <c r="BR2821">
        <v>28.41</v>
      </c>
      <c r="BS2821">
        <v>10.29</v>
      </c>
      <c r="BT2821">
        <v>3.26</v>
      </c>
      <c r="BU2821">
        <v>5.58</v>
      </c>
      <c r="BV2821">
        <v>1.97</v>
      </c>
      <c r="BW2821">
        <v>1.81</v>
      </c>
      <c r="BX2821">
        <v>4.3499999999999996</v>
      </c>
      <c r="BY2821">
        <v>17.04</v>
      </c>
      <c r="BZ2821">
        <v>5.57</v>
      </c>
      <c r="CA2821">
        <v>4.68</v>
      </c>
      <c r="CB2821">
        <v>0.12</v>
      </c>
      <c r="CC2821">
        <v>4.67</v>
      </c>
      <c r="CD2821">
        <v>3.93</v>
      </c>
      <c r="CE2821">
        <v>3.82</v>
      </c>
      <c r="CF2821">
        <v>3.57</v>
      </c>
      <c r="CG2821">
        <v>23.4</v>
      </c>
      <c r="CH2821">
        <v>6.42</v>
      </c>
      <c r="CI2821">
        <v>-1.1100000000000001</v>
      </c>
      <c r="CJ2821">
        <v>31601</v>
      </c>
      <c r="CK2821">
        <v>9465</v>
      </c>
      <c r="CL2821" t="s">
        <v>9273</v>
      </c>
      <c r="CM2821">
        <v>7.92</v>
      </c>
      <c r="CN2821">
        <v>31.9</v>
      </c>
      <c r="CO2821">
        <v>1.82</v>
      </c>
      <c r="CP2821">
        <v>9.98</v>
      </c>
      <c r="CQ2821">
        <v>3.76</v>
      </c>
      <c r="CR2821">
        <v>2.2999999999999998</v>
      </c>
      <c r="CS2821" t="s">
        <v>12593</v>
      </c>
      <c r="CT2821">
        <v>6.7</v>
      </c>
      <c r="CU2821">
        <v>0</v>
      </c>
      <c r="CV2821">
        <v>0.83</v>
      </c>
      <c r="CW2821">
        <v>4.46</v>
      </c>
      <c r="CX2821">
        <v>1.22</v>
      </c>
      <c r="CY2821">
        <v>78.040000000000006</v>
      </c>
      <c r="CZ2821" t="s">
        <v>4913</v>
      </c>
      <c r="DA2821">
        <v>67.319999999999993</v>
      </c>
      <c r="DB2821">
        <v>27.44</v>
      </c>
      <c r="DC2821">
        <v>22.4</v>
      </c>
      <c r="DD2821">
        <v>0.3</v>
      </c>
      <c r="DE2821">
        <v>2849</v>
      </c>
      <c r="DF2821">
        <v>600750</v>
      </c>
      <c r="DG2821" t="s">
        <v>116</v>
      </c>
      <c r="DH2821" t="s">
        <v>116</v>
      </c>
      <c r="DI2821" t="s">
        <v>116</v>
      </c>
    </row>
    <row r="2822" spans="1:113" x14ac:dyDescent="0.4">
      <c r="A2822" t="str">
        <f>"600751"</f>
        <v>600751</v>
      </c>
      <c r="B2822" t="s">
        <v>12594</v>
      </c>
      <c r="C2822">
        <v>-0.68</v>
      </c>
      <c r="D2822">
        <v>2.92</v>
      </c>
      <c r="E2822">
        <v>-0.02</v>
      </c>
      <c r="F2822">
        <v>2.92</v>
      </c>
      <c r="G2822">
        <v>2.93</v>
      </c>
      <c r="H2822">
        <v>233510</v>
      </c>
      <c r="I2822">
        <v>6264</v>
      </c>
      <c r="J2822">
        <v>-0.67</v>
      </c>
      <c r="K2822">
        <v>0.91</v>
      </c>
      <c r="L2822">
        <v>2.94</v>
      </c>
      <c r="M2822">
        <v>2.97</v>
      </c>
      <c r="N2822">
        <v>2.92</v>
      </c>
      <c r="O2822">
        <v>2.94</v>
      </c>
      <c r="P2822">
        <v>23.02</v>
      </c>
      <c r="Q2822">
        <v>68764272</v>
      </c>
      <c r="R2822">
        <v>0.85</v>
      </c>
      <c r="S2822" t="s">
        <v>940</v>
      </c>
      <c r="T2822" t="s">
        <v>1035</v>
      </c>
      <c r="U2822">
        <v>1.7</v>
      </c>
      <c r="V2822">
        <v>2.94</v>
      </c>
      <c r="W2822">
        <v>110580</v>
      </c>
      <c r="X2822">
        <v>122930</v>
      </c>
      <c r="Y2822">
        <v>0.9</v>
      </c>
      <c r="Z2822">
        <v>5980</v>
      </c>
      <c r="AA2822">
        <v>145</v>
      </c>
      <c r="AB2822" t="s">
        <v>116</v>
      </c>
      <c r="AC2822">
        <v>126400</v>
      </c>
      <c r="AD2822">
        <v>0</v>
      </c>
      <c r="AE2822" t="s">
        <v>116</v>
      </c>
      <c r="AF2822" t="s">
        <v>116</v>
      </c>
      <c r="AG2822">
        <v>25.73</v>
      </c>
      <c r="AH2822" t="s">
        <v>4614</v>
      </c>
      <c r="AI2822" t="s">
        <v>12595</v>
      </c>
      <c r="AJ2822">
        <v>-0.6</v>
      </c>
      <c r="AK2822">
        <v>2192</v>
      </c>
      <c r="AL2822">
        <v>107</v>
      </c>
      <c r="AM2822">
        <v>4.0000000000000002E-4</v>
      </c>
      <c r="AN2822">
        <v>-1</v>
      </c>
      <c r="AO2822">
        <v>-0.34</v>
      </c>
      <c r="AP2822">
        <v>1.04</v>
      </c>
      <c r="AQ2822">
        <v>-3.31</v>
      </c>
      <c r="AR2822">
        <v>7.75</v>
      </c>
      <c r="AS2822">
        <v>2.04</v>
      </c>
      <c r="AT2822" t="s">
        <v>11417</v>
      </c>
      <c r="AU2822">
        <v>28.95</v>
      </c>
      <c r="AV2822">
        <v>140.53</v>
      </c>
      <c r="AW2822">
        <v>1.69</v>
      </c>
      <c r="BA2822">
        <v>0</v>
      </c>
      <c r="BB2822">
        <v>1.02</v>
      </c>
      <c r="BC2822">
        <v>-0.68</v>
      </c>
      <c r="BD2822">
        <v>0.16</v>
      </c>
      <c r="BE2822">
        <v>-0.68</v>
      </c>
      <c r="BF2822">
        <v>-1.68</v>
      </c>
      <c r="BG2822">
        <v>0</v>
      </c>
      <c r="BH2822">
        <v>-0.84</v>
      </c>
      <c r="BI2822">
        <v>20191031</v>
      </c>
      <c r="BJ2822">
        <v>19960909</v>
      </c>
      <c r="BK2822">
        <v>28.99</v>
      </c>
      <c r="BL2822">
        <v>3.26</v>
      </c>
      <c r="BM2822" t="s">
        <v>116</v>
      </c>
      <c r="BN2822">
        <v>1272.3</v>
      </c>
      <c r="BO2822">
        <v>137.56</v>
      </c>
      <c r="BP2822">
        <v>47.65</v>
      </c>
      <c r="BQ2822">
        <v>85.44</v>
      </c>
      <c r="BR2822">
        <v>947.05</v>
      </c>
      <c r="BS2822">
        <v>27.62</v>
      </c>
      <c r="BT2822">
        <v>88.44</v>
      </c>
      <c r="BU2822">
        <v>864.99</v>
      </c>
      <c r="BV2822">
        <v>293.88</v>
      </c>
      <c r="BW2822">
        <v>497.21</v>
      </c>
      <c r="BX2822">
        <v>102.06</v>
      </c>
      <c r="BY2822">
        <v>2420.89</v>
      </c>
      <c r="BZ2822">
        <v>2250.12</v>
      </c>
      <c r="CA2822">
        <v>9.56</v>
      </c>
      <c r="CB2822">
        <v>0.62</v>
      </c>
      <c r="CC2822">
        <v>9.56</v>
      </c>
      <c r="CD2822">
        <v>4.0999999999999996</v>
      </c>
      <c r="CE2822">
        <v>2.76</v>
      </c>
      <c r="CF2822">
        <v>2.14</v>
      </c>
      <c r="CG2822">
        <v>4.96</v>
      </c>
      <c r="CH2822">
        <v>28.98</v>
      </c>
      <c r="CI2822">
        <v>15.99</v>
      </c>
      <c r="CJ2822">
        <v>92876</v>
      </c>
      <c r="CK2822">
        <v>15831</v>
      </c>
      <c r="CL2822" t="s">
        <v>1571</v>
      </c>
      <c r="CM2822">
        <v>532.41999999999996</v>
      </c>
      <c r="CN2822">
        <v>4.08</v>
      </c>
      <c r="CO2822">
        <v>0.62</v>
      </c>
      <c r="CP2822">
        <v>2.92</v>
      </c>
      <c r="CQ2822">
        <v>0.03</v>
      </c>
      <c r="CR2822">
        <v>0</v>
      </c>
      <c r="CS2822" t="s">
        <v>5850</v>
      </c>
      <c r="CT2822">
        <v>4.74</v>
      </c>
      <c r="CU2822">
        <v>0</v>
      </c>
      <c r="CV2822">
        <v>3.52</v>
      </c>
      <c r="CW2822">
        <v>0.17</v>
      </c>
      <c r="CX2822">
        <v>1</v>
      </c>
      <c r="CY2822">
        <v>10.81</v>
      </c>
      <c r="CZ2822" t="s">
        <v>2837</v>
      </c>
      <c r="DA2822">
        <v>7.05</v>
      </c>
      <c r="DB2822">
        <v>0.39</v>
      </c>
      <c r="DC2822">
        <v>0.11</v>
      </c>
      <c r="DD2822">
        <v>0</v>
      </c>
      <c r="DE2822">
        <v>35175</v>
      </c>
      <c r="DF2822">
        <v>600751</v>
      </c>
      <c r="DG2822" t="s">
        <v>116</v>
      </c>
      <c r="DH2822" t="s">
        <v>116</v>
      </c>
      <c r="DI2822" t="s">
        <v>116</v>
      </c>
    </row>
    <row r="2823" spans="1:113" x14ac:dyDescent="0.4">
      <c r="A2823" t="str">
        <f>"600753"</f>
        <v>600753</v>
      </c>
      <c r="B2823" t="s">
        <v>12596</v>
      </c>
      <c r="C2823">
        <v>0.52</v>
      </c>
      <c r="D2823">
        <v>15.53</v>
      </c>
      <c r="E2823">
        <v>0.08</v>
      </c>
      <c r="F2823">
        <v>15.51</v>
      </c>
      <c r="G2823">
        <v>15.53</v>
      </c>
      <c r="H2823">
        <v>16037</v>
      </c>
      <c r="I2823">
        <v>481</v>
      </c>
      <c r="J2823">
        <v>0.19</v>
      </c>
      <c r="K2823">
        <v>1.25</v>
      </c>
      <c r="L2823">
        <v>15.45</v>
      </c>
      <c r="M2823">
        <v>15.64</v>
      </c>
      <c r="N2823">
        <v>15.44</v>
      </c>
      <c r="O2823">
        <v>15.45</v>
      </c>
      <c r="P2823">
        <v>107.56</v>
      </c>
      <c r="Q2823">
        <v>24859766</v>
      </c>
      <c r="R2823">
        <v>3.04</v>
      </c>
      <c r="S2823" t="s">
        <v>457</v>
      </c>
      <c r="T2823" t="s">
        <v>975</v>
      </c>
      <c r="U2823">
        <v>1.29</v>
      </c>
      <c r="V2823">
        <v>15.5</v>
      </c>
      <c r="W2823">
        <v>8743</v>
      </c>
      <c r="X2823">
        <v>7294</v>
      </c>
      <c r="Y2823">
        <v>1.2</v>
      </c>
      <c r="Z2823">
        <v>505</v>
      </c>
      <c r="AA2823">
        <v>38</v>
      </c>
      <c r="AB2823" t="s">
        <v>116</v>
      </c>
      <c r="AC2823">
        <v>15500</v>
      </c>
      <c r="AD2823">
        <v>0</v>
      </c>
      <c r="AE2823" t="s">
        <v>116</v>
      </c>
      <c r="AF2823" t="s">
        <v>116</v>
      </c>
      <c r="AG2823">
        <v>1.28</v>
      </c>
      <c r="AH2823" t="s">
        <v>12597</v>
      </c>
      <c r="AI2823" t="s">
        <v>12597</v>
      </c>
      <c r="AJ2823">
        <v>0.59</v>
      </c>
      <c r="AK2823">
        <v>415</v>
      </c>
      <c r="AL2823">
        <v>39</v>
      </c>
      <c r="AM2823">
        <v>3.0000000000000001E-3</v>
      </c>
      <c r="AN2823">
        <v>1</v>
      </c>
      <c r="AO2823">
        <v>0.01</v>
      </c>
      <c r="AP2823">
        <v>-0.45</v>
      </c>
      <c r="AQ2823">
        <v>-0.83</v>
      </c>
      <c r="AR2823">
        <v>5.79</v>
      </c>
      <c r="AS2823">
        <v>2.11</v>
      </c>
      <c r="AT2823" t="s">
        <v>6896</v>
      </c>
      <c r="AU2823">
        <v>68.680000000000007</v>
      </c>
      <c r="AV2823">
        <v>94.97</v>
      </c>
      <c r="AW2823">
        <v>0.33</v>
      </c>
      <c r="BA2823">
        <v>0</v>
      </c>
      <c r="BB2823">
        <v>1.23</v>
      </c>
      <c r="BC2823">
        <v>-0.06</v>
      </c>
      <c r="BD2823">
        <v>0.33</v>
      </c>
      <c r="BE2823">
        <v>0.52</v>
      </c>
      <c r="BF2823">
        <v>-0.7</v>
      </c>
      <c r="BG2823">
        <v>0.57999999999999996</v>
      </c>
      <c r="BH2823">
        <v>0.18</v>
      </c>
      <c r="BI2823">
        <v>20191030</v>
      </c>
      <c r="BJ2823">
        <v>19960927</v>
      </c>
      <c r="BK2823">
        <v>1.28</v>
      </c>
      <c r="BL2823" t="s">
        <v>116</v>
      </c>
      <c r="BM2823" t="s">
        <v>116</v>
      </c>
      <c r="BN2823">
        <v>4.95</v>
      </c>
      <c r="BO2823">
        <v>1.96</v>
      </c>
      <c r="BP2823">
        <v>0.28000000000000003</v>
      </c>
      <c r="BQ2823">
        <v>54.64</v>
      </c>
      <c r="BR2823">
        <v>4.84</v>
      </c>
      <c r="BS2823">
        <v>0.01</v>
      </c>
      <c r="BT2823">
        <v>0.01</v>
      </c>
      <c r="BU2823">
        <v>2.71</v>
      </c>
      <c r="BV2823">
        <v>0.04</v>
      </c>
      <c r="BW2823">
        <v>4.1900000000000004</v>
      </c>
      <c r="BX2823">
        <v>1.41</v>
      </c>
      <c r="BY2823">
        <v>11.46</v>
      </c>
      <c r="BZ2823">
        <v>11.13</v>
      </c>
      <c r="CA2823">
        <v>0.23</v>
      </c>
      <c r="CB2823">
        <v>0</v>
      </c>
      <c r="CC2823">
        <v>0.23</v>
      </c>
      <c r="CD2823">
        <v>0.16</v>
      </c>
      <c r="CE2823">
        <v>0.14000000000000001</v>
      </c>
      <c r="CF2823">
        <v>0.11</v>
      </c>
      <c r="CG2823">
        <v>-0.73</v>
      </c>
      <c r="CH2823">
        <v>-1.7</v>
      </c>
      <c r="CI2823">
        <v>-0.85</v>
      </c>
      <c r="CJ2823">
        <v>6563</v>
      </c>
      <c r="CK2823">
        <v>11608</v>
      </c>
      <c r="CL2823" t="s">
        <v>12598</v>
      </c>
      <c r="CM2823">
        <v>136.97999999999999</v>
      </c>
      <c r="CN2823">
        <v>-27.63</v>
      </c>
      <c r="CO2823">
        <v>10.119999999999999</v>
      </c>
      <c r="CP2823">
        <v>-11.66</v>
      </c>
      <c r="CQ2823">
        <v>1.73</v>
      </c>
      <c r="CR2823">
        <v>0</v>
      </c>
      <c r="CS2823" t="s">
        <v>1808</v>
      </c>
      <c r="CT2823">
        <v>1.53</v>
      </c>
      <c r="CU2823">
        <v>0</v>
      </c>
      <c r="CV2823">
        <v>1.1100000000000001</v>
      </c>
      <c r="CW2823">
        <v>-0.56999999999999995</v>
      </c>
      <c r="CX2823">
        <v>-1.33</v>
      </c>
      <c r="CY2823">
        <v>39.630000000000003</v>
      </c>
      <c r="CZ2823" t="s">
        <v>7250</v>
      </c>
      <c r="DA2823">
        <v>2.92</v>
      </c>
      <c r="DB2823">
        <v>1.98</v>
      </c>
      <c r="DC2823">
        <v>1.21</v>
      </c>
      <c r="DD2823">
        <v>0</v>
      </c>
      <c r="DE2823">
        <v>54</v>
      </c>
      <c r="DF2823">
        <v>600753</v>
      </c>
      <c r="DG2823" t="s">
        <v>116</v>
      </c>
      <c r="DH2823" t="s">
        <v>116</v>
      </c>
      <c r="DI2823" t="s">
        <v>116</v>
      </c>
    </row>
    <row r="2824" spans="1:113" x14ac:dyDescent="0.4">
      <c r="A2824" t="str">
        <f>"600754"</f>
        <v>600754</v>
      </c>
      <c r="B2824" t="s">
        <v>12599</v>
      </c>
      <c r="C2824">
        <v>-0.48</v>
      </c>
      <c r="D2824">
        <v>29.17</v>
      </c>
      <c r="E2824">
        <v>-0.14000000000000001</v>
      </c>
      <c r="F2824">
        <v>29.15</v>
      </c>
      <c r="G2824">
        <v>29.17</v>
      </c>
      <c r="H2824">
        <v>23040</v>
      </c>
      <c r="I2824">
        <v>152</v>
      </c>
      <c r="J2824">
        <v>-0.06</v>
      </c>
      <c r="K2824">
        <v>0.28999999999999998</v>
      </c>
      <c r="L2824">
        <v>29.5</v>
      </c>
      <c r="M2824">
        <v>29.5</v>
      </c>
      <c r="N2824">
        <v>29</v>
      </c>
      <c r="O2824">
        <v>29.31</v>
      </c>
      <c r="P2824">
        <v>24</v>
      </c>
      <c r="Q2824">
        <v>67334176</v>
      </c>
      <c r="R2824">
        <v>0.5</v>
      </c>
      <c r="S2824" t="s">
        <v>156</v>
      </c>
      <c r="T2824" t="s">
        <v>1653</v>
      </c>
      <c r="U2824">
        <v>1.71</v>
      </c>
      <c r="V2824">
        <v>29.23</v>
      </c>
      <c r="W2824">
        <v>11945</v>
      </c>
      <c r="X2824">
        <v>11095</v>
      </c>
      <c r="Y2824">
        <v>1.08</v>
      </c>
      <c r="Z2824">
        <v>6</v>
      </c>
      <c r="AA2824">
        <v>3</v>
      </c>
      <c r="AB2824" t="s">
        <v>116</v>
      </c>
      <c r="AC2824">
        <v>180000</v>
      </c>
      <c r="AD2824">
        <v>0</v>
      </c>
      <c r="AE2824" t="s">
        <v>116</v>
      </c>
      <c r="AF2824" t="s">
        <v>116</v>
      </c>
      <c r="AG2824">
        <v>8.02</v>
      </c>
      <c r="AH2824" t="s">
        <v>12600</v>
      </c>
      <c r="AI2824" t="s">
        <v>12601</v>
      </c>
      <c r="AJ2824">
        <v>-0.4</v>
      </c>
      <c r="AK2824">
        <v>2128</v>
      </c>
      <c r="AL2824">
        <v>11</v>
      </c>
      <c r="AM2824">
        <v>1E-4</v>
      </c>
      <c r="AN2824">
        <v>-2</v>
      </c>
      <c r="AO2824">
        <v>1.42</v>
      </c>
      <c r="AP2824">
        <v>21.14</v>
      </c>
      <c r="AQ2824">
        <v>25.57</v>
      </c>
      <c r="AR2824">
        <v>40.92</v>
      </c>
      <c r="AS2824">
        <v>0.95</v>
      </c>
      <c r="AT2824" t="s">
        <v>12602</v>
      </c>
      <c r="AU2824">
        <v>25.78</v>
      </c>
      <c r="AV2824">
        <v>25.81</v>
      </c>
      <c r="AW2824">
        <v>1.45</v>
      </c>
      <c r="BA2824">
        <v>0.65</v>
      </c>
      <c r="BB2824">
        <v>0.65</v>
      </c>
      <c r="BC2824">
        <v>-1.06</v>
      </c>
      <c r="BD2824">
        <v>-0.28999999999999998</v>
      </c>
      <c r="BE2824">
        <v>-1.1200000000000001</v>
      </c>
      <c r="BF2824">
        <v>-1.1200000000000001</v>
      </c>
      <c r="BG2824">
        <v>0.59</v>
      </c>
      <c r="BH2824">
        <v>-0.19</v>
      </c>
      <c r="BI2824">
        <v>20191031</v>
      </c>
      <c r="BJ2824">
        <v>19961011</v>
      </c>
      <c r="BK2824">
        <v>9.58</v>
      </c>
      <c r="BL2824">
        <v>1.56</v>
      </c>
      <c r="BM2824" t="s">
        <v>116</v>
      </c>
      <c r="BN2824">
        <v>388.06</v>
      </c>
      <c r="BO2824">
        <v>130.13</v>
      </c>
      <c r="BP2824">
        <v>11.33</v>
      </c>
      <c r="BQ2824">
        <v>63.55</v>
      </c>
      <c r="BR2824">
        <v>86.85</v>
      </c>
      <c r="BS2824">
        <v>63.85</v>
      </c>
      <c r="BT2824">
        <v>72.150000000000006</v>
      </c>
      <c r="BU2824">
        <v>79.62</v>
      </c>
      <c r="BV2824">
        <v>0.83</v>
      </c>
      <c r="BW2824">
        <v>11.54</v>
      </c>
      <c r="BX2824">
        <v>78.64</v>
      </c>
      <c r="BY2824">
        <v>112.82</v>
      </c>
      <c r="BZ2824">
        <v>11.58</v>
      </c>
      <c r="CA2824">
        <v>13.35</v>
      </c>
      <c r="CB2824">
        <v>2.16</v>
      </c>
      <c r="CC2824">
        <v>13.43</v>
      </c>
      <c r="CD2824">
        <v>10.17</v>
      </c>
      <c r="CE2824">
        <v>8.73</v>
      </c>
      <c r="CF2824">
        <v>8</v>
      </c>
      <c r="CG2824">
        <v>35.29</v>
      </c>
      <c r="CH2824">
        <v>16</v>
      </c>
      <c r="CI2824">
        <v>-14.8</v>
      </c>
      <c r="CJ2824">
        <v>50722</v>
      </c>
      <c r="CK2824">
        <v>7878</v>
      </c>
      <c r="CL2824" t="s">
        <v>12603</v>
      </c>
      <c r="CM2824">
        <v>0.15</v>
      </c>
      <c r="CN2824">
        <v>2.97</v>
      </c>
      <c r="CO2824">
        <v>2.15</v>
      </c>
      <c r="CP2824">
        <v>17.47</v>
      </c>
      <c r="CQ2824">
        <v>2.48</v>
      </c>
      <c r="CR2824">
        <v>2.06</v>
      </c>
      <c r="CS2824" t="s">
        <v>12604</v>
      </c>
      <c r="CT2824">
        <v>13.58</v>
      </c>
      <c r="CU2824">
        <v>0</v>
      </c>
      <c r="CV2824">
        <v>8.2100000000000009</v>
      </c>
      <c r="CW2824">
        <v>3.68</v>
      </c>
      <c r="CX2824">
        <v>1.67</v>
      </c>
      <c r="CY2824">
        <v>33.53</v>
      </c>
      <c r="CZ2824" t="s">
        <v>7218</v>
      </c>
      <c r="DA2824">
        <v>89.73</v>
      </c>
      <c r="DB2824">
        <v>11.83</v>
      </c>
      <c r="DC2824">
        <v>7.74</v>
      </c>
      <c r="DD2824">
        <v>0.36</v>
      </c>
      <c r="DE2824">
        <v>40558</v>
      </c>
      <c r="DF2824">
        <v>600754</v>
      </c>
      <c r="DG2824" t="s">
        <v>116</v>
      </c>
      <c r="DH2824" t="s">
        <v>116</v>
      </c>
      <c r="DI2824" t="s">
        <v>116</v>
      </c>
    </row>
    <row r="2825" spans="1:113" x14ac:dyDescent="0.4">
      <c r="A2825" t="str">
        <f>"600755"</f>
        <v>600755</v>
      </c>
      <c r="B2825" t="s">
        <v>12605</v>
      </c>
      <c r="C2825">
        <v>-0.28000000000000003</v>
      </c>
      <c r="D2825">
        <v>7.2</v>
      </c>
      <c r="E2825">
        <v>-0.02</v>
      </c>
      <c r="F2825">
        <v>7.19</v>
      </c>
      <c r="G2825">
        <v>7.2</v>
      </c>
      <c r="H2825">
        <v>140403</v>
      </c>
      <c r="I2825">
        <v>1923</v>
      </c>
      <c r="J2825">
        <v>-0.13</v>
      </c>
      <c r="K2825">
        <v>0.76</v>
      </c>
      <c r="L2825">
        <v>7.22</v>
      </c>
      <c r="M2825">
        <v>7.31</v>
      </c>
      <c r="N2825">
        <v>7.19</v>
      </c>
      <c r="O2825">
        <v>7.22</v>
      </c>
      <c r="P2825">
        <v>5.28</v>
      </c>
      <c r="Q2825">
        <v>101877952</v>
      </c>
      <c r="R2825">
        <v>1.4</v>
      </c>
      <c r="S2825" t="s">
        <v>566</v>
      </c>
      <c r="T2825" t="s">
        <v>975</v>
      </c>
      <c r="U2825">
        <v>1.66</v>
      </c>
      <c r="V2825">
        <v>7.26</v>
      </c>
      <c r="W2825">
        <v>74119</v>
      </c>
      <c r="X2825">
        <v>66284</v>
      </c>
      <c r="Y2825">
        <v>1.1200000000000001</v>
      </c>
      <c r="Z2825">
        <v>2750</v>
      </c>
      <c r="AA2825">
        <v>1142</v>
      </c>
      <c r="AB2825" t="s">
        <v>116</v>
      </c>
      <c r="AC2825">
        <v>445500</v>
      </c>
      <c r="AD2825">
        <v>0.01</v>
      </c>
      <c r="AE2825" t="s">
        <v>116</v>
      </c>
      <c r="AF2825" t="s">
        <v>116</v>
      </c>
      <c r="AG2825">
        <v>18.5</v>
      </c>
      <c r="AH2825" t="s">
        <v>12606</v>
      </c>
      <c r="AI2825" t="s">
        <v>12606</v>
      </c>
      <c r="AJ2825">
        <v>-0.2</v>
      </c>
      <c r="AK2825">
        <v>1896</v>
      </c>
      <c r="AL2825">
        <v>74</v>
      </c>
      <c r="AM2825">
        <v>4.0000000000000002E-4</v>
      </c>
      <c r="AN2825">
        <v>-1</v>
      </c>
      <c r="AO2825">
        <v>0.27</v>
      </c>
      <c r="AP2825">
        <v>3.15</v>
      </c>
      <c r="AQ2825">
        <v>-2.31</v>
      </c>
      <c r="AR2825">
        <v>7.3</v>
      </c>
      <c r="AS2825">
        <v>1.1499999999999999</v>
      </c>
      <c r="AT2825" t="s">
        <v>12607</v>
      </c>
      <c r="AU2825">
        <v>6.02</v>
      </c>
      <c r="AV2825">
        <v>6.08</v>
      </c>
      <c r="AW2825">
        <v>1.34</v>
      </c>
      <c r="BA2825">
        <v>0</v>
      </c>
      <c r="BB2825">
        <v>1.25</v>
      </c>
      <c r="BC2825">
        <v>-0.42</v>
      </c>
      <c r="BD2825">
        <v>0.5</v>
      </c>
      <c r="BE2825">
        <v>-0.28000000000000003</v>
      </c>
      <c r="BF2825">
        <v>-1.5</v>
      </c>
      <c r="BG2825">
        <v>0.14000000000000001</v>
      </c>
      <c r="BH2825">
        <v>-0.78</v>
      </c>
      <c r="BI2825">
        <v>20191115</v>
      </c>
      <c r="BJ2825">
        <v>19961003</v>
      </c>
      <c r="BK2825">
        <v>18.5</v>
      </c>
      <c r="BL2825" t="s">
        <v>116</v>
      </c>
      <c r="BM2825" t="s">
        <v>116</v>
      </c>
      <c r="BN2825">
        <v>957.2</v>
      </c>
      <c r="BO2825">
        <v>242.84</v>
      </c>
      <c r="BP2825">
        <v>22.16</v>
      </c>
      <c r="BQ2825">
        <v>72.31</v>
      </c>
      <c r="BR2825">
        <v>784.94</v>
      </c>
      <c r="BS2825">
        <v>22.08</v>
      </c>
      <c r="BT2825">
        <v>1.32</v>
      </c>
      <c r="BU2825">
        <v>608.72</v>
      </c>
      <c r="BV2825">
        <v>395.16</v>
      </c>
      <c r="BW2825">
        <v>44</v>
      </c>
      <c r="BX2825">
        <v>26.62</v>
      </c>
      <c r="BY2825">
        <v>1629.6</v>
      </c>
      <c r="BZ2825">
        <v>1585.47</v>
      </c>
      <c r="CA2825">
        <v>24.77</v>
      </c>
      <c r="CB2825">
        <v>6.14</v>
      </c>
      <c r="CC2825">
        <v>26.93</v>
      </c>
      <c r="CD2825">
        <v>20.55</v>
      </c>
      <c r="CE2825">
        <v>18.91</v>
      </c>
      <c r="CF2825">
        <v>11.02</v>
      </c>
      <c r="CG2825">
        <v>79.08</v>
      </c>
      <c r="CH2825">
        <v>-29.74</v>
      </c>
      <c r="CI2825">
        <v>15.67</v>
      </c>
      <c r="CJ2825">
        <v>120575</v>
      </c>
      <c r="CK2825">
        <v>10109</v>
      </c>
      <c r="CL2825" t="s">
        <v>1623</v>
      </c>
      <c r="CM2825">
        <v>1.1200000000000001</v>
      </c>
      <c r="CN2825">
        <v>11.85</v>
      </c>
      <c r="CO2825">
        <v>1.01</v>
      </c>
      <c r="CP2825">
        <v>-4.4800000000000004</v>
      </c>
      <c r="CQ2825">
        <v>0.08</v>
      </c>
      <c r="CR2825">
        <v>3.68</v>
      </c>
      <c r="CS2825" t="s">
        <v>10012</v>
      </c>
      <c r="CT2825">
        <v>7.1</v>
      </c>
      <c r="CU2825">
        <v>7.1</v>
      </c>
      <c r="CV2825">
        <v>1.44</v>
      </c>
      <c r="CW2825">
        <v>4.2699999999999996</v>
      </c>
      <c r="CX2825">
        <v>-1.61</v>
      </c>
      <c r="CY2825">
        <v>25.37</v>
      </c>
      <c r="CZ2825" t="s">
        <v>9884</v>
      </c>
      <c r="DA2825">
        <v>2.71</v>
      </c>
      <c r="DB2825">
        <v>1.52</v>
      </c>
      <c r="DC2825">
        <v>1.1599999999999999</v>
      </c>
      <c r="DD2825">
        <v>0</v>
      </c>
      <c r="DE2825">
        <v>3594</v>
      </c>
      <c r="DF2825">
        <v>600755</v>
      </c>
      <c r="DG2825" t="s">
        <v>116</v>
      </c>
      <c r="DH2825" t="s">
        <v>116</v>
      </c>
      <c r="DI2825" t="s">
        <v>116</v>
      </c>
    </row>
    <row r="2826" spans="1:113" x14ac:dyDescent="0.4">
      <c r="A2826" t="str">
        <f>"600756"</f>
        <v>600756</v>
      </c>
      <c r="B2826" t="s">
        <v>12608</v>
      </c>
      <c r="C2826">
        <v>-1.67</v>
      </c>
      <c r="D2826">
        <v>20.57</v>
      </c>
      <c r="E2826">
        <v>-0.35</v>
      </c>
      <c r="F2826">
        <v>20.56</v>
      </c>
      <c r="G2826">
        <v>20.57</v>
      </c>
      <c r="H2826">
        <v>65064</v>
      </c>
      <c r="I2826">
        <v>905</v>
      </c>
      <c r="J2826">
        <v>-0.04</v>
      </c>
      <c r="K2826">
        <v>2.0099999999999998</v>
      </c>
      <c r="L2826">
        <v>20.76</v>
      </c>
      <c r="M2826">
        <v>21.04</v>
      </c>
      <c r="N2826">
        <v>20.53</v>
      </c>
      <c r="O2826">
        <v>20.92</v>
      </c>
      <c r="P2826" t="s">
        <v>116</v>
      </c>
      <c r="Q2826">
        <v>135121312</v>
      </c>
      <c r="R2826">
        <v>0.91</v>
      </c>
      <c r="S2826" t="s">
        <v>607</v>
      </c>
      <c r="T2826" t="s">
        <v>645</v>
      </c>
      <c r="U2826">
        <v>2.44</v>
      </c>
      <c r="V2826">
        <v>20.77</v>
      </c>
      <c r="W2826">
        <v>38789</v>
      </c>
      <c r="X2826">
        <v>26275</v>
      </c>
      <c r="Y2826">
        <v>1.48</v>
      </c>
      <c r="Z2826">
        <v>347</v>
      </c>
      <c r="AA2826">
        <v>51</v>
      </c>
      <c r="AB2826" t="s">
        <v>116</v>
      </c>
      <c r="AC2826">
        <v>1961800</v>
      </c>
      <c r="AD2826">
        <v>0.04</v>
      </c>
      <c r="AE2826" t="s">
        <v>116</v>
      </c>
      <c r="AF2826" t="s">
        <v>116</v>
      </c>
      <c r="AG2826">
        <v>3.24</v>
      </c>
      <c r="AH2826" t="s">
        <v>12609</v>
      </c>
      <c r="AI2826" t="s">
        <v>12609</v>
      </c>
      <c r="AJ2826">
        <v>-1.6</v>
      </c>
      <c r="AK2826">
        <v>2341</v>
      </c>
      <c r="AL2826">
        <v>28</v>
      </c>
      <c r="AM2826">
        <v>8.9999999999999998E-4</v>
      </c>
      <c r="AN2826">
        <v>-1</v>
      </c>
      <c r="AO2826">
        <v>0.14000000000000001</v>
      </c>
      <c r="AP2826">
        <v>2.14</v>
      </c>
      <c r="AQ2826">
        <v>-3.92</v>
      </c>
      <c r="AR2826">
        <v>35.549999999999997</v>
      </c>
      <c r="AS2826">
        <v>2.48</v>
      </c>
      <c r="AT2826" t="s">
        <v>3529</v>
      </c>
      <c r="AU2826">
        <v>42.64</v>
      </c>
      <c r="AV2826">
        <v>21.23</v>
      </c>
      <c r="AW2826">
        <v>1.68</v>
      </c>
      <c r="BA2826">
        <v>-0.76</v>
      </c>
      <c r="BB2826">
        <v>0.56999999999999995</v>
      </c>
      <c r="BC2826">
        <v>-1.86</v>
      </c>
      <c r="BD2826">
        <v>-0.73</v>
      </c>
      <c r="BE2826">
        <v>-0.92</v>
      </c>
      <c r="BF2826">
        <v>-2.23</v>
      </c>
      <c r="BG2826">
        <v>0.19</v>
      </c>
      <c r="BH2826">
        <v>-0.94</v>
      </c>
      <c r="BI2826">
        <v>20191031</v>
      </c>
      <c r="BJ2826">
        <v>19960923</v>
      </c>
      <c r="BK2826">
        <v>3.24</v>
      </c>
      <c r="BL2826" t="s">
        <v>116</v>
      </c>
      <c r="BM2826" t="s">
        <v>116</v>
      </c>
      <c r="BN2826">
        <v>29.37</v>
      </c>
      <c r="BO2826">
        <v>23.52</v>
      </c>
      <c r="BP2826">
        <v>0.01</v>
      </c>
      <c r="BQ2826">
        <v>19.899999999999999</v>
      </c>
      <c r="BR2826">
        <v>17.95</v>
      </c>
      <c r="BS2826">
        <v>1.46</v>
      </c>
      <c r="BT2826">
        <v>1.65</v>
      </c>
      <c r="BU2826">
        <v>5.53</v>
      </c>
      <c r="BV2826">
        <v>1.96</v>
      </c>
      <c r="BW2826">
        <v>3.8</v>
      </c>
      <c r="BX2826">
        <v>10.57</v>
      </c>
      <c r="BY2826">
        <v>7.7</v>
      </c>
      <c r="BZ2826">
        <v>3.95</v>
      </c>
      <c r="CA2826">
        <v>-0.55000000000000004</v>
      </c>
      <c r="CB2826">
        <v>0.53</v>
      </c>
      <c r="CC2826">
        <v>-0.56000000000000005</v>
      </c>
      <c r="CD2826">
        <v>-0.56999999999999995</v>
      </c>
      <c r="CE2826">
        <v>-0.56999999999999995</v>
      </c>
      <c r="CF2826">
        <v>-0.59</v>
      </c>
      <c r="CG2826">
        <v>8.7799999999999994</v>
      </c>
      <c r="CH2826">
        <v>-3.06</v>
      </c>
      <c r="CI2826">
        <v>-2.31</v>
      </c>
      <c r="CJ2826">
        <v>76464</v>
      </c>
      <c r="CK2826">
        <v>3429</v>
      </c>
      <c r="CL2826" t="s">
        <v>453</v>
      </c>
      <c r="CM2826">
        <v>-157.28</v>
      </c>
      <c r="CN2826">
        <v>21.47</v>
      </c>
      <c r="CO2826">
        <v>2.83</v>
      </c>
      <c r="CP2826">
        <v>-21.76</v>
      </c>
      <c r="CQ2826">
        <v>8.66</v>
      </c>
      <c r="CR2826">
        <v>0.56000000000000005</v>
      </c>
      <c r="CS2826" t="s">
        <v>10252</v>
      </c>
      <c r="CT2826">
        <v>7.26</v>
      </c>
      <c r="CU2826">
        <v>0</v>
      </c>
      <c r="CV2826">
        <v>3.26</v>
      </c>
      <c r="CW2826">
        <v>2.71</v>
      </c>
      <c r="CX2826">
        <v>-0.95</v>
      </c>
      <c r="CY2826">
        <v>80.08</v>
      </c>
      <c r="CZ2826" t="s">
        <v>11064</v>
      </c>
      <c r="DA2826">
        <v>48.69</v>
      </c>
      <c r="DB2826">
        <v>-7.19</v>
      </c>
      <c r="DC2826">
        <v>-7.46</v>
      </c>
      <c r="DD2826">
        <v>2.08</v>
      </c>
      <c r="DE2826">
        <v>1879</v>
      </c>
      <c r="DF2826">
        <v>600756</v>
      </c>
      <c r="DG2826" t="s">
        <v>116</v>
      </c>
      <c r="DH2826" t="s">
        <v>116</v>
      </c>
      <c r="DI2826" t="s">
        <v>116</v>
      </c>
    </row>
    <row r="2827" spans="1:113" x14ac:dyDescent="0.4">
      <c r="A2827" t="str">
        <f>"600757"</f>
        <v>600757</v>
      </c>
      <c r="B2827" t="s">
        <v>12610</v>
      </c>
      <c r="C2827">
        <v>0</v>
      </c>
      <c r="D2827">
        <v>6.06</v>
      </c>
      <c r="E2827">
        <v>0</v>
      </c>
      <c r="F2827">
        <v>6.06</v>
      </c>
      <c r="G2827">
        <v>6.07</v>
      </c>
      <c r="H2827">
        <v>62999</v>
      </c>
      <c r="I2827">
        <v>805</v>
      </c>
      <c r="J2827">
        <v>-0.15</v>
      </c>
      <c r="K2827">
        <v>0.52</v>
      </c>
      <c r="L2827">
        <v>6.06</v>
      </c>
      <c r="M2827">
        <v>6.13</v>
      </c>
      <c r="N2827">
        <v>6.06</v>
      </c>
      <c r="O2827">
        <v>6.06</v>
      </c>
      <c r="P2827">
        <v>8.59</v>
      </c>
      <c r="Q2827">
        <v>38387748</v>
      </c>
      <c r="R2827">
        <v>0.9</v>
      </c>
      <c r="S2827" t="s">
        <v>1902</v>
      </c>
      <c r="T2827" t="s">
        <v>774</v>
      </c>
      <c r="U2827">
        <v>1.1599999999999999</v>
      </c>
      <c r="V2827">
        <v>6.09</v>
      </c>
      <c r="W2827">
        <v>28898</v>
      </c>
      <c r="X2827">
        <v>34101</v>
      </c>
      <c r="Y2827">
        <v>0.85</v>
      </c>
      <c r="Z2827">
        <v>280</v>
      </c>
      <c r="AA2827">
        <v>1036</v>
      </c>
      <c r="AB2827" t="s">
        <v>116</v>
      </c>
      <c r="AC2827">
        <v>72100</v>
      </c>
      <c r="AD2827">
        <v>0</v>
      </c>
      <c r="AE2827" t="s">
        <v>116</v>
      </c>
      <c r="AF2827" t="s">
        <v>116</v>
      </c>
      <c r="AG2827">
        <v>12.13</v>
      </c>
      <c r="AH2827" t="s">
        <v>12611</v>
      </c>
      <c r="AI2827" t="s">
        <v>12612</v>
      </c>
      <c r="AJ2827">
        <v>0.08</v>
      </c>
      <c r="AK2827">
        <v>1541</v>
      </c>
      <c r="AL2827">
        <v>41</v>
      </c>
      <c r="AM2827">
        <v>2.9999999999999997E-4</v>
      </c>
      <c r="AN2827">
        <v>0</v>
      </c>
      <c r="AO2827">
        <v>0.5</v>
      </c>
      <c r="AP2827">
        <v>1.34</v>
      </c>
      <c r="AQ2827">
        <v>-3.04</v>
      </c>
      <c r="AR2827">
        <v>-4.87</v>
      </c>
      <c r="AS2827">
        <v>1.19</v>
      </c>
      <c r="AT2827" t="s">
        <v>5713</v>
      </c>
      <c r="AU2827">
        <v>9.93</v>
      </c>
      <c r="AV2827">
        <v>10.039999999999999</v>
      </c>
      <c r="AW2827">
        <v>0.91</v>
      </c>
      <c r="BA2827">
        <v>0</v>
      </c>
      <c r="BB2827">
        <v>1.1599999999999999</v>
      </c>
      <c r="BC2827">
        <v>0</v>
      </c>
      <c r="BD2827">
        <v>0.55000000000000004</v>
      </c>
      <c r="BE2827">
        <v>0</v>
      </c>
      <c r="BF2827">
        <v>-1.1399999999999999</v>
      </c>
      <c r="BG2827">
        <v>0</v>
      </c>
      <c r="BH2827">
        <v>-0.55000000000000004</v>
      </c>
      <c r="BI2827">
        <v>20191029</v>
      </c>
      <c r="BJ2827">
        <v>19961003</v>
      </c>
      <c r="BK2827">
        <v>12.14</v>
      </c>
      <c r="BL2827" t="s">
        <v>116</v>
      </c>
      <c r="BM2827" t="s">
        <v>116</v>
      </c>
      <c r="BN2827">
        <v>108.25</v>
      </c>
      <c r="BO2827">
        <v>71.47</v>
      </c>
      <c r="BP2827">
        <v>1.54</v>
      </c>
      <c r="BQ2827">
        <v>32.549999999999997</v>
      </c>
      <c r="BR2827">
        <v>84.55</v>
      </c>
      <c r="BS2827">
        <v>8.2799999999999994</v>
      </c>
      <c r="BT2827">
        <v>2.7</v>
      </c>
      <c r="BU2827">
        <v>33.64</v>
      </c>
      <c r="BV2827">
        <v>14.12</v>
      </c>
      <c r="BW2827">
        <v>13.43</v>
      </c>
      <c r="BX2827">
        <v>18.149999999999999</v>
      </c>
      <c r="BY2827">
        <v>55.76</v>
      </c>
      <c r="BZ2827">
        <v>40.76</v>
      </c>
      <c r="CA2827">
        <v>6.44</v>
      </c>
      <c r="CB2827">
        <v>1.38</v>
      </c>
      <c r="CC2827">
        <v>6.47</v>
      </c>
      <c r="CD2827">
        <v>6.44</v>
      </c>
      <c r="CE2827">
        <v>6.42</v>
      </c>
      <c r="CF2827">
        <v>6.01</v>
      </c>
      <c r="CG2827">
        <v>38.4</v>
      </c>
      <c r="CH2827">
        <v>-0.34</v>
      </c>
      <c r="CI2827">
        <v>0.92</v>
      </c>
      <c r="CJ2827">
        <v>36671</v>
      </c>
      <c r="CK2827">
        <v>14407</v>
      </c>
      <c r="CL2827" t="s">
        <v>4337</v>
      </c>
      <c r="CM2827">
        <v>1.23</v>
      </c>
      <c r="CN2827">
        <v>-27.44</v>
      </c>
      <c r="CO2827">
        <v>1.03</v>
      </c>
      <c r="CP2827">
        <v>-213.39</v>
      </c>
      <c r="CQ2827">
        <v>1.32</v>
      </c>
      <c r="CR2827">
        <v>2.48</v>
      </c>
      <c r="CS2827" t="s">
        <v>1643</v>
      </c>
      <c r="CT2827">
        <v>5.89</v>
      </c>
      <c r="CU2827">
        <v>0</v>
      </c>
      <c r="CV2827">
        <v>1.5</v>
      </c>
      <c r="CW2827">
        <v>3.16</v>
      </c>
      <c r="CX2827">
        <v>-0.03</v>
      </c>
      <c r="CY2827">
        <v>66.03</v>
      </c>
      <c r="CZ2827" t="s">
        <v>3887</v>
      </c>
      <c r="DA2827">
        <v>26.89</v>
      </c>
      <c r="DB2827">
        <v>11.55</v>
      </c>
      <c r="DC2827">
        <v>11.52</v>
      </c>
      <c r="DD2827">
        <v>0.3</v>
      </c>
      <c r="DE2827">
        <v>4441</v>
      </c>
      <c r="DF2827">
        <v>600757</v>
      </c>
      <c r="DG2827" t="s">
        <v>116</v>
      </c>
      <c r="DH2827" t="s">
        <v>116</v>
      </c>
      <c r="DI2827" t="s">
        <v>116</v>
      </c>
    </row>
    <row r="2828" spans="1:113" x14ac:dyDescent="0.4">
      <c r="A2828" t="str">
        <f>"600758"</f>
        <v>600758</v>
      </c>
      <c r="B2828" t="s">
        <v>12613</v>
      </c>
      <c r="C2828">
        <v>-0.92</v>
      </c>
      <c r="D2828">
        <v>4.29</v>
      </c>
      <c r="E2828">
        <v>-0.04</v>
      </c>
      <c r="F2828">
        <v>4.28</v>
      </c>
      <c r="G2828">
        <v>4.29</v>
      </c>
      <c r="H2828">
        <v>181857</v>
      </c>
      <c r="I2828">
        <v>1602</v>
      </c>
      <c r="J2828">
        <v>0</v>
      </c>
      <c r="K2828">
        <v>2.31</v>
      </c>
      <c r="L2828">
        <v>4.3099999999999996</v>
      </c>
      <c r="M2828">
        <v>4.41</v>
      </c>
      <c r="N2828">
        <v>4.2699999999999996</v>
      </c>
      <c r="O2828">
        <v>4.33</v>
      </c>
      <c r="P2828">
        <v>407.36</v>
      </c>
      <c r="Q2828">
        <v>78559656</v>
      </c>
      <c r="R2828">
        <v>1.19</v>
      </c>
      <c r="S2828" t="s">
        <v>1121</v>
      </c>
      <c r="T2828" t="s">
        <v>434</v>
      </c>
      <c r="U2828">
        <v>3.23</v>
      </c>
      <c r="V2828">
        <v>4.32</v>
      </c>
      <c r="W2828">
        <v>102190</v>
      </c>
      <c r="X2828">
        <v>79667</v>
      </c>
      <c r="Y2828">
        <v>1.28</v>
      </c>
      <c r="Z2828">
        <v>2052</v>
      </c>
      <c r="AA2828">
        <v>2048</v>
      </c>
      <c r="AB2828" t="s">
        <v>116</v>
      </c>
      <c r="AC2828">
        <v>582700</v>
      </c>
      <c r="AD2828">
        <v>0.03</v>
      </c>
      <c r="AE2828" t="s">
        <v>116</v>
      </c>
      <c r="AF2828" t="s">
        <v>116</v>
      </c>
      <c r="AG2828">
        <v>7.86</v>
      </c>
      <c r="AH2828" t="s">
        <v>12614</v>
      </c>
      <c r="AI2828" t="s">
        <v>9252</v>
      </c>
      <c r="AJ2828">
        <v>-0.85</v>
      </c>
      <c r="AK2828">
        <v>1853</v>
      </c>
      <c r="AL2828">
        <v>98</v>
      </c>
      <c r="AM2828">
        <v>1.1999999999999999E-3</v>
      </c>
      <c r="AN2828">
        <v>-1</v>
      </c>
      <c r="AO2828">
        <v>0.23</v>
      </c>
      <c r="AP2828">
        <v>4.63</v>
      </c>
      <c r="AQ2828">
        <v>-8.92</v>
      </c>
      <c r="AR2828">
        <v>33.06</v>
      </c>
      <c r="AS2828">
        <v>4.1900000000000004</v>
      </c>
      <c r="AT2828" t="s">
        <v>133</v>
      </c>
      <c r="AU2828">
        <v>47.59</v>
      </c>
      <c r="AV2828">
        <v>50.24</v>
      </c>
      <c r="AW2828">
        <v>1.92</v>
      </c>
      <c r="BA2828">
        <v>-0.46</v>
      </c>
      <c r="BB2828">
        <v>1.85</v>
      </c>
      <c r="BC2828">
        <v>-1.39</v>
      </c>
      <c r="BD2828">
        <v>-0.23</v>
      </c>
      <c r="BE2828">
        <v>-0.46</v>
      </c>
      <c r="BF2828">
        <v>-2.72</v>
      </c>
      <c r="BG2828">
        <v>0.47</v>
      </c>
      <c r="BH2828">
        <v>-0.69</v>
      </c>
      <c r="BI2828">
        <v>20191030</v>
      </c>
      <c r="BJ2828">
        <v>19961029</v>
      </c>
      <c r="BK2828">
        <v>13.22</v>
      </c>
      <c r="BL2828" t="s">
        <v>116</v>
      </c>
      <c r="BM2828" t="s">
        <v>116</v>
      </c>
      <c r="BN2828">
        <v>148.59</v>
      </c>
      <c r="BO2828">
        <v>55.1</v>
      </c>
      <c r="BP2828">
        <v>0.02</v>
      </c>
      <c r="BQ2828">
        <v>62.91</v>
      </c>
      <c r="BR2828">
        <v>56.79</v>
      </c>
      <c r="BS2828">
        <v>65.03</v>
      </c>
      <c r="BT2828">
        <v>17.09</v>
      </c>
      <c r="BU2828">
        <v>79.150000000000006</v>
      </c>
      <c r="BV2828">
        <v>3.49</v>
      </c>
      <c r="BW2828">
        <v>15.43</v>
      </c>
      <c r="BX2828">
        <v>34.19</v>
      </c>
      <c r="BY2828">
        <v>47.84</v>
      </c>
      <c r="BZ2828">
        <v>40.78</v>
      </c>
      <c r="CA2828">
        <v>-0.3</v>
      </c>
      <c r="CB2828">
        <v>0.18</v>
      </c>
      <c r="CC2828">
        <v>0.62</v>
      </c>
      <c r="CD2828">
        <v>0.1</v>
      </c>
      <c r="CE2828">
        <v>0.1</v>
      </c>
      <c r="CF2828">
        <v>-0.64</v>
      </c>
      <c r="CG2828">
        <v>5.18</v>
      </c>
      <c r="CH2828">
        <v>3.33</v>
      </c>
      <c r="CI2828">
        <v>0.78</v>
      </c>
      <c r="CJ2828">
        <v>80565</v>
      </c>
      <c r="CK2828">
        <v>5389</v>
      </c>
      <c r="CL2828" t="s">
        <v>12615</v>
      </c>
      <c r="CM2828">
        <v>151.47999999999999</v>
      </c>
      <c r="CN2828">
        <v>-10.37</v>
      </c>
      <c r="CO2828">
        <v>1.03</v>
      </c>
      <c r="CP2828">
        <v>17.04</v>
      </c>
      <c r="CQ2828">
        <v>1.19</v>
      </c>
      <c r="CR2828">
        <v>0.61</v>
      </c>
      <c r="CS2828" t="s">
        <v>571</v>
      </c>
      <c r="CT2828">
        <v>4.17</v>
      </c>
      <c r="CU2828">
        <v>0</v>
      </c>
      <c r="CV2828">
        <v>2.59</v>
      </c>
      <c r="CW2828">
        <v>0.39</v>
      </c>
      <c r="CX2828">
        <v>0.25</v>
      </c>
      <c r="CY2828">
        <v>37.08</v>
      </c>
      <c r="CZ2828" t="s">
        <v>5810</v>
      </c>
      <c r="DA2828">
        <v>14.74</v>
      </c>
      <c r="DB2828">
        <v>-0.63</v>
      </c>
      <c r="DC2828">
        <v>0.22</v>
      </c>
      <c r="DD2828">
        <v>0</v>
      </c>
      <c r="DE2828">
        <v>17902</v>
      </c>
      <c r="DF2828">
        <v>600758</v>
      </c>
      <c r="DG2828" t="s">
        <v>116</v>
      </c>
      <c r="DH2828" t="s">
        <v>116</v>
      </c>
      <c r="DI2828" t="s">
        <v>116</v>
      </c>
    </row>
    <row r="2829" spans="1:113" x14ac:dyDescent="0.4">
      <c r="A2829" t="str">
        <f>"600759"</f>
        <v>600759</v>
      </c>
      <c r="B2829" t="s">
        <v>12616</v>
      </c>
      <c r="C2829">
        <v>0.36</v>
      </c>
      <c r="D2829">
        <v>2.76</v>
      </c>
      <c r="E2829">
        <v>0.01</v>
      </c>
      <c r="F2829">
        <v>2.75</v>
      </c>
      <c r="G2829">
        <v>2.76</v>
      </c>
      <c r="H2829">
        <v>197302</v>
      </c>
      <c r="I2829">
        <v>2324</v>
      </c>
      <c r="J2829">
        <v>0</v>
      </c>
      <c r="K2829">
        <v>0.87</v>
      </c>
      <c r="L2829">
        <v>2.75</v>
      </c>
      <c r="M2829">
        <v>2.79</v>
      </c>
      <c r="N2829">
        <v>2.74</v>
      </c>
      <c r="O2829">
        <v>2.75</v>
      </c>
      <c r="P2829">
        <v>113.09</v>
      </c>
      <c r="Q2829">
        <v>54530548</v>
      </c>
      <c r="R2829">
        <v>1.2</v>
      </c>
      <c r="S2829" t="s">
        <v>4171</v>
      </c>
      <c r="T2829" t="s">
        <v>851</v>
      </c>
      <c r="U2829">
        <v>1.82</v>
      </c>
      <c r="V2829">
        <v>2.76</v>
      </c>
      <c r="W2829">
        <v>90037</v>
      </c>
      <c r="X2829">
        <v>107265</v>
      </c>
      <c r="Y2829">
        <v>0.84</v>
      </c>
      <c r="Z2829">
        <v>4007</v>
      </c>
      <c r="AA2829">
        <v>4482</v>
      </c>
      <c r="AB2829" t="s">
        <v>116</v>
      </c>
      <c r="AC2829">
        <v>159000</v>
      </c>
      <c r="AD2829">
        <v>0</v>
      </c>
      <c r="AE2829" t="s">
        <v>116</v>
      </c>
      <c r="AF2829" t="s">
        <v>116</v>
      </c>
      <c r="AG2829">
        <v>22.58</v>
      </c>
      <c r="AH2829" t="s">
        <v>332</v>
      </c>
      <c r="AI2829" t="s">
        <v>12617</v>
      </c>
      <c r="AJ2829">
        <v>0.44</v>
      </c>
      <c r="AK2829">
        <v>1630</v>
      </c>
      <c r="AL2829">
        <v>121</v>
      </c>
      <c r="AM2829">
        <v>5.0000000000000001E-4</v>
      </c>
      <c r="AN2829">
        <v>2</v>
      </c>
      <c r="AO2829">
        <v>0.72</v>
      </c>
      <c r="AP2829">
        <v>2.2200000000000002</v>
      </c>
      <c r="AQ2829">
        <v>-10.1</v>
      </c>
      <c r="AR2829">
        <v>16.95</v>
      </c>
      <c r="AS2829">
        <v>1.51</v>
      </c>
      <c r="AT2829" t="s">
        <v>12618</v>
      </c>
      <c r="AU2829" t="s">
        <v>116</v>
      </c>
      <c r="AV2829">
        <v>89.73</v>
      </c>
      <c r="AW2829">
        <v>1.28</v>
      </c>
      <c r="BA2829">
        <v>0</v>
      </c>
      <c r="BB2829">
        <v>1.45</v>
      </c>
      <c r="BC2829">
        <v>-0.36</v>
      </c>
      <c r="BD2829">
        <v>0.5</v>
      </c>
      <c r="BE2829">
        <v>0.36</v>
      </c>
      <c r="BF2829">
        <v>-1.08</v>
      </c>
      <c r="BG2829">
        <v>0.73</v>
      </c>
      <c r="BH2829">
        <v>-0.14000000000000001</v>
      </c>
      <c r="BI2829">
        <v>20191031</v>
      </c>
      <c r="BJ2829">
        <v>19961008</v>
      </c>
      <c r="BK2829">
        <v>22.64</v>
      </c>
      <c r="BL2829" t="s">
        <v>116</v>
      </c>
      <c r="BM2829" t="s">
        <v>116</v>
      </c>
      <c r="BN2829">
        <v>140.5</v>
      </c>
      <c r="BO2829">
        <v>53.68</v>
      </c>
      <c r="BP2829">
        <v>2.2200000000000002</v>
      </c>
      <c r="BQ2829">
        <v>60.22</v>
      </c>
      <c r="BR2829">
        <v>20.36</v>
      </c>
      <c r="BS2829">
        <v>0.82</v>
      </c>
      <c r="BT2829">
        <v>0.06</v>
      </c>
      <c r="BU2829">
        <v>43.64</v>
      </c>
      <c r="BV2829">
        <v>0.88</v>
      </c>
      <c r="BW2829">
        <v>3.39</v>
      </c>
      <c r="BX2829">
        <v>24.53</v>
      </c>
      <c r="BY2829">
        <v>19.95</v>
      </c>
      <c r="BZ2829">
        <v>6.44</v>
      </c>
      <c r="CA2829">
        <v>1.25</v>
      </c>
      <c r="CB2829">
        <v>0.04</v>
      </c>
      <c r="CC2829">
        <v>1.24</v>
      </c>
      <c r="CD2829">
        <v>0.53</v>
      </c>
      <c r="CE2829">
        <v>0.41</v>
      </c>
      <c r="CF2829">
        <v>0.27</v>
      </c>
      <c r="CG2829">
        <v>5.5</v>
      </c>
      <c r="CH2829">
        <v>4.22</v>
      </c>
      <c r="CI2829">
        <v>-0.19</v>
      </c>
      <c r="CJ2829">
        <v>96963</v>
      </c>
      <c r="CK2829">
        <v>13516</v>
      </c>
      <c r="CL2829" t="s">
        <v>3654</v>
      </c>
      <c r="CM2829">
        <v>-64.989999999999995</v>
      </c>
      <c r="CN2829">
        <v>-24.34</v>
      </c>
      <c r="CO2829">
        <v>1.1599999999999999</v>
      </c>
      <c r="CP2829">
        <v>14.81</v>
      </c>
      <c r="CQ2829">
        <v>3.13</v>
      </c>
      <c r="CR2829">
        <v>0</v>
      </c>
      <c r="CS2829" t="s">
        <v>4864</v>
      </c>
      <c r="CT2829">
        <v>2.37</v>
      </c>
      <c r="CU2829">
        <v>0</v>
      </c>
      <c r="CV2829">
        <v>1.08</v>
      </c>
      <c r="CW2829">
        <v>0.24</v>
      </c>
      <c r="CX2829">
        <v>0.19</v>
      </c>
      <c r="CY2829">
        <v>38.21</v>
      </c>
      <c r="CZ2829" t="s">
        <v>6608</v>
      </c>
      <c r="DA2829">
        <v>67.709999999999994</v>
      </c>
      <c r="DB2829">
        <v>6.28</v>
      </c>
      <c r="DC2829">
        <v>2.08</v>
      </c>
      <c r="DD2829">
        <v>0</v>
      </c>
      <c r="DE2829">
        <v>963</v>
      </c>
      <c r="DF2829">
        <v>600759</v>
      </c>
      <c r="DG2829" t="s">
        <v>116</v>
      </c>
      <c r="DH2829" t="s">
        <v>116</v>
      </c>
      <c r="DI2829" t="s">
        <v>116</v>
      </c>
    </row>
    <row r="2830" spans="1:113" x14ac:dyDescent="0.4">
      <c r="A2830" t="str">
        <f>"600760"</f>
        <v>600760</v>
      </c>
      <c r="B2830" t="s">
        <v>12619</v>
      </c>
      <c r="C2830">
        <v>-0.86</v>
      </c>
      <c r="D2830">
        <v>31.18</v>
      </c>
      <c r="E2830">
        <v>-0.27</v>
      </c>
      <c r="F2830">
        <v>31.17</v>
      </c>
      <c r="G2830">
        <v>31.18</v>
      </c>
      <c r="H2830">
        <v>55342</v>
      </c>
      <c r="I2830">
        <v>736</v>
      </c>
      <c r="J2830">
        <v>-0.05</v>
      </c>
      <c r="K2830">
        <v>1.39</v>
      </c>
      <c r="L2830">
        <v>31.35</v>
      </c>
      <c r="M2830">
        <v>31.57</v>
      </c>
      <c r="N2830">
        <v>31.15</v>
      </c>
      <c r="O2830">
        <v>31.45</v>
      </c>
      <c r="P2830">
        <v>52.79</v>
      </c>
      <c r="Q2830">
        <v>173738384</v>
      </c>
      <c r="R2830">
        <v>0.71</v>
      </c>
      <c r="S2830" t="s">
        <v>1789</v>
      </c>
      <c r="T2830" t="s">
        <v>645</v>
      </c>
      <c r="U2830">
        <v>1.34</v>
      </c>
      <c r="V2830">
        <v>31.39</v>
      </c>
      <c r="W2830">
        <v>29980</v>
      </c>
      <c r="X2830">
        <v>25362</v>
      </c>
      <c r="Y2830">
        <v>1.18</v>
      </c>
      <c r="Z2830">
        <v>60</v>
      </c>
      <c r="AA2830">
        <v>23</v>
      </c>
      <c r="AB2830" t="s">
        <v>116</v>
      </c>
      <c r="AC2830">
        <v>1025100</v>
      </c>
      <c r="AD2830">
        <v>0.01</v>
      </c>
      <c r="AE2830" t="s">
        <v>116</v>
      </c>
      <c r="AF2830" t="s">
        <v>116</v>
      </c>
      <c r="AG2830">
        <v>3.99</v>
      </c>
      <c r="AH2830" t="s">
        <v>12620</v>
      </c>
      <c r="AI2830" t="s">
        <v>12621</v>
      </c>
      <c r="AJ2830">
        <v>-0.78</v>
      </c>
      <c r="AK2830">
        <v>2668</v>
      </c>
      <c r="AL2830">
        <v>21</v>
      </c>
      <c r="AM2830">
        <v>5.0000000000000001E-4</v>
      </c>
      <c r="AN2830">
        <v>-1</v>
      </c>
      <c r="AO2830">
        <v>-1.71</v>
      </c>
      <c r="AP2830">
        <v>10.92</v>
      </c>
      <c r="AQ2830">
        <v>-1.17</v>
      </c>
      <c r="AR2830">
        <v>12.52</v>
      </c>
      <c r="AS2830">
        <v>1.48</v>
      </c>
      <c r="AT2830" t="s">
        <v>12622</v>
      </c>
      <c r="AU2830">
        <v>41.55</v>
      </c>
      <c r="AV2830">
        <v>58.75</v>
      </c>
      <c r="AW2830">
        <v>1.07</v>
      </c>
      <c r="BA2830">
        <v>-0.32</v>
      </c>
      <c r="BB2830">
        <v>0.38</v>
      </c>
      <c r="BC2830">
        <v>-0.95</v>
      </c>
      <c r="BD2830">
        <v>-0.18</v>
      </c>
      <c r="BE2830">
        <v>-0.54</v>
      </c>
      <c r="BF2830">
        <v>-1.24</v>
      </c>
      <c r="BG2830">
        <v>0.1</v>
      </c>
      <c r="BH2830">
        <v>-0.68</v>
      </c>
      <c r="BI2830">
        <v>20191225</v>
      </c>
      <c r="BJ2830">
        <v>19961011</v>
      </c>
      <c r="BK2830">
        <v>14</v>
      </c>
      <c r="BL2830" t="s">
        <v>116</v>
      </c>
      <c r="BM2830" t="s">
        <v>116</v>
      </c>
      <c r="BN2830">
        <v>297.69</v>
      </c>
      <c r="BO2830">
        <v>85.13</v>
      </c>
      <c r="BP2830">
        <v>3.43</v>
      </c>
      <c r="BQ2830">
        <v>70.25</v>
      </c>
      <c r="BR2830">
        <v>234.36</v>
      </c>
      <c r="BS2830">
        <v>32.619999999999997</v>
      </c>
      <c r="BT2830">
        <v>9.84</v>
      </c>
      <c r="BU2830">
        <v>199.26</v>
      </c>
      <c r="BV2830">
        <v>104.88</v>
      </c>
      <c r="BW2830">
        <v>33.49</v>
      </c>
      <c r="BX2830">
        <v>61.51</v>
      </c>
      <c r="BY2830">
        <v>158.9</v>
      </c>
      <c r="BZ2830">
        <v>144.9</v>
      </c>
      <c r="CA2830">
        <v>7.27</v>
      </c>
      <c r="CB2830">
        <v>-0.38</v>
      </c>
      <c r="CC2830">
        <v>7.26</v>
      </c>
      <c r="CD2830">
        <v>6.23</v>
      </c>
      <c r="CE2830">
        <v>6.2</v>
      </c>
      <c r="CF2830">
        <v>5.94</v>
      </c>
      <c r="CG2830">
        <v>10.01</v>
      </c>
      <c r="CH2830">
        <v>0.56000000000000005</v>
      </c>
      <c r="CI2830">
        <v>-2.75</v>
      </c>
      <c r="CJ2830">
        <v>51250</v>
      </c>
      <c r="CK2830">
        <v>7288</v>
      </c>
      <c r="CL2830" t="s">
        <v>12623</v>
      </c>
      <c r="CM2830">
        <v>98.37</v>
      </c>
      <c r="CN2830">
        <v>37.07</v>
      </c>
      <c r="CO2830">
        <v>5.13</v>
      </c>
      <c r="CP2830">
        <v>780.57</v>
      </c>
      <c r="CQ2830">
        <v>2.75</v>
      </c>
      <c r="CR2830">
        <v>0</v>
      </c>
      <c r="CS2830" t="s">
        <v>1368</v>
      </c>
      <c r="CT2830">
        <v>6.08</v>
      </c>
      <c r="CU2830">
        <v>0</v>
      </c>
      <c r="CV2830">
        <v>4.3899999999999997</v>
      </c>
      <c r="CW2830">
        <v>0.71</v>
      </c>
      <c r="CX2830">
        <v>0.04</v>
      </c>
      <c r="CY2830">
        <v>28.6</v>
      </c>
      <c r="CZ2830" t="s">
        <v>12548</v>
      </c>
      <c r="DA2830">
        <v>8.81</v>
      </c>
      <c r="DB2830">
        <v>4.58</v>
      </c>
      <c r="DC2830">
        <v>3.9</v>
      </c>
      <c r="DD2830">
        <v>1.47</v>
      </c>
      <c r="DE2830">
        <v>14787</v>
      </c>
      <c r="DF2830">
        <v>600760</v>
      </c>
      <c r="DG2830" t="s">
        <v>116</v>
      </c>
      <c r="DH2830" t="s">
        <v>116</v>
      </c>
      <c r="DI2830" t="s">
        <v>116</v>
      </c>
    </row>
    <row r="2831" spans="1:113" x14ac:dyDescent="0.4">
      <c r="A2831" t="str">
        <f>"600761"</f>
        <v>600761</v>
      </c>
      <c r="B2831" t="s">
        <v>12624</v>
      </c>
      <c r="C2831">
        <v>0.43</v>
      </c>
      <c r="D2831">
        <v>9.41</v>
      </c>
      <c r="E2831">
        <v>0.04</v>
      </c>
      <c r="F2831">
        <v>9.4</v>
      </c>
      <c r="G2831">
        <v>9.41</v>
      </c>
      <c r="H2831">
        <v>49725</v>
      </c>
      <c r="I2831">
        <v>1173</v>
      </c>
      <c r="J2831">
        <v>0</v>
      </c>
      <c r="K2831">
        <v>0.67</v>
      </c>
      <c r="L2831">
        <v>9.39</v>
      </c>
      <c r="M2831">
        <v>9.56</v>
      </c>
      <c r="N2831">
        <v>9.3699999999999992</v>
      </c>
      <c r="O2831">
        <v>9.3699999999999992</v>
      </c>
      <c r="P2831">
        <v>10.79</v>
      </c>
      <c r="Q2831">
        <v>47099016</v>
      </c>
      <c r="R2831">
        <v>1.66</v>
      </c>
      <c r="S2831" t="s">
        <v>598</v>
      </c>
      <c r="T2831" t="s">
        <v>575</v>
      </c>
      <c r="U2831">
        <v>2.0299999999999998</v>
      </c>
      <c r="V2831">
        <v>9.4700000000000006</v>
      </c>
      <c r="W2831">
        <v>20494</v>
      </c>
      <c r="X2831">
        <v>29231</v>
      </c>
      <c r="Y2831">
        <v>0.7</v>
      </c>
      <c r="Z2831">
        <v>593</v>
      </c>
      <c r="AA2831">
        <v>1181</v>
      </c>
      <c r="AB2831" t="s">
        <v>116</v>
      </c>
      <c r="AC2831">
        <v>106100</v>
      </c>
      <c r="AD2831">
        <v>0</v>
      </c>
      <c r="AE2831" t="s">
        <v>116</v>
      </c>
      <c r="AF2831" t="s">
        <v>116</v>
      </c>
      <c r="AG2831">
        <v>7.4</v>
      </c>
      <c r="AH2831" t="s">
        <v>12625</v>
      </c>
      <c r="AI2831" t="s">
        <v>12625</v>
      </c>
      <c r="AJ2831">
        <v>0.5</v>
      </c>
      <c r="AK2831">
        <v>1384</v>
      </c>
      <c r="AL2831">
        <v>36</v>
      </c>
      <c r="AM2831">
        <v>5.0000000000000001E-4</v>
      </c>
      <c r="AN2831">
        <v>1</v>
      </c>
      <c r="AO2831">
        <v>0.86</v>
      </c>
      <c r="AP2831">
        <v>5.26</v>
      </c>
      <c r="AQ2831">
        <v>2.62</v>
      </c>
      <c r="AR2831">
        <v>12.02</v>
      </c>
      <c r="AS2831">
        <v>1.18</v>
      </c>
      <c r="AT2831" t="s">
        <v>12626</v>
      </c>
      <c r="AU2831">
        <v>11.57</v>
      </c>
      <c r="AV2831">
        <v>11.95</v>
      </c>
      <c r="AW2831">
        <v>1.03</v>
      </c>
      <c r="BA2831">
        <v>0.21</v>
      </c>
      <c r="BB2831">
        <v>2.0299999999999998</v>
      </c>
      <c r="BC2831">
        <v>0</v>
      </c>
      <c r="BD2831">
        <v>1.0900000000000001</v>
      </c>
      <c r="BE2831">
        <v>0.21</v>
      </c>
      <c r="BF2831">
        <v>-1.57</v>
      </c>
      <c r="BG2831">
        <v>0.43</v>
      </c>
      <c r="BH2831">
        <v>-0.66</v>
      </c>
      <c r="BI2831">
        <v>20191029</v>
      </c>
      <c r="BJ2831">
        <v>19961009</v>
      </c>
      <c r="BK2831">
        <v>7.4</v>
      </c>
      <c r="BL2831" t="s">
        <v>116</v>
      </c>
      <c r="BM2831" t="s">
        <v>116</v>
      </c>
      <c r="BN2831">
        <v>78.62</v>
      </c>
      <c r="BO2831">
        <v>48.07</v>
      </c>
      <c r="BP2831">
        <v>3.68</v>
      </c>
      <c r="BQ2831">
        <v>34.17</v>
      </c>
      <c r="BR2831">
        <v>54.06</v>
      </c>
      <c r="BS2831">
        <v>15.62</v>
      </c>
      <c r="BT2831">
        <v>1.96</v>
      </c>
      <c r="BU2831">
        <v>23.48</v>
      </c>
      <c r="BV2831">
        <v>11.79</v>
      </c>
      <c r="BW2831">
        <v>9.18</v>
      </c>
      <c r="BX2831">
        <v>3.15</v>
      </c>
      <c r="BY2831">
        <v>74.84</v>
      </c>
      <c r="BZ2831">
        <v>58.86</v>
      </c>
      <c r="CA2831">
        <v>6.66</v>
      </c>
      <c r="CB2831">
        <v>0.63</v>
      </c>
      <c r="CC2831">
        <v>6.68</v>
      </c>
      <c r="CD2831">
        <v>5.7</v>
      </c>
      <c r="CE2831">
        <v>4.84</v>
      </c>
      <c r="CF2831">
        <v>4.08</v>
      </c>
      <c r="CG2831">
        <v>31.28</v>
      </c>
      <c r="CH2831">
        <v>5.9</v>
      </c>
      <c r="CI2831">
        <v>3.69</v>
      </c>
      <c r="CJ2831">
        <v>33808</v>
      </c>
      <c r="CK2831">
        <v>12487</v>
      </c>
      <c r="CL2831" t="s">
        <v>12627</v>
      </c>
      <c r="CM2831">
        <v>4.1500000000000004</v>
      </c>
      <c r="CN2831">
        <v>0.31</v>
      </c>
      <c r="CO2831">
        <v>1.45</v>
      </c>
      <c r="CP2831">
        <v>11.8</v>
      </c>
      <c r="CQ2831">
        <v>0.93</v>
      </c>
      <c r="CR2831">
        <v>3.72</v>
      </c>
      <c r="CS2831" t="s">
        <v>3521</v>
      </c>
      <c r="CT2831">
        <v>6.49</v>
      </c>
      <c r="CU2831">
        <v>0</v>
      </c>
      <c r="CV2831">
        <v>0.43</v>
      </c>
      <c r="CW2831">
        <v>4.2300000000000004</v>
      </c>
      <c r="CX2831">
        <v>0.8</v>
      </c>
      <c r="CY2831">
        <v>61.14</v>
      </c>
      <c r="CZ2831" t="s">
        <v>10523</v>
      </c>
      <c r="DA2831">
        <v>21.36</v>
      </c>
      <c r="DB2831">
        <v>8.9</v>
      </c>
      <c r="DC2831">
        <v>6.47</v>
      </c>
      <c r="DD2831">
        <v>3.69</v>
      </c>
      <c r="DE2831">
        <v>7467</v>
      </c>
      <c r="DF2831">
        <v>600761</v>
      </c>
      <c r="DG2831" t="s">
        <v>116</v>
      </c>
      <c r="DH2831" t="s">
        <v>116</v>
      </c>
      <c r="DI2831" t="s">
        <v>116</v>
      </c>
    </row>
    <row r="2832" spans="1:113" x14ac:dyDescent="0.4">
      <c r="A2832" t="str">
        <f>"600763"</f>
        <v>600763</v>
      </c>
      <c r="B2832" t="s">
        <v>12628</v>
      </c>
      <c r="C2832">
        <v>-1.04</v>
      </c>
      <c r="D2832">
        <v>99.4</v>
      </c>
      <c r="E2832">
        <v>-1.04</v>
      </c>
      <c r="F2832">
        <v>99.39</v>
      </c>
      <c r="G2832">
        <v>99.4</v>
      </c>
      <c r="H2832">
        <v>29860</v>
      </c>
      <c r="I2832">
        <v>207</v>
      </c>
      <c r="J2832">
        <v>0</v>
      </c>
      <c r="K2832">
        <v>0.93</v>
      </c>
      <c r="L2832">
        <v>100.07</v>
      </c>
      <c r="M2832">
        <v>102.2</v>
      </c>
      <c r="N2832">
        <v>99.21</v>
      </c>
      <c r="O2832">
        <v>100.44</v>
      </c>
      <c r="P2832">
        <v>59.81</v>
      </c>
      <c r="Q2832">
        <v>300682912</v>
      </c>
      <c r="R2832">
        <v>1.1399999999999999</v>
      </c>
      <c r="S2832" t="s">
        <v>559</v>
      </c>
      <c r="T2832" t="s">
        <v>590</v>
      </c>
      <c r="U2832">
        <v>2.98</v>
      </c>
      <c r="V2832">
        <v>100.7</v>
      </c>
      <c r="W2832">
        <v>15501</v>
      </c>
      <c r="X2832">
        <v>14361</v>
      </c>
      <c r="Y2832">
        <v>1.08</v>
      </c>
      <c r="Z2832">
        <v>20</v>
      </c>
      <c r="AA2832">
        <v>14</v>
      </c>
      <c r="AB2832" t="s">
        <v>116</v>
      </c>
      <c r="AC2832">
        <v>1003000</v>
      </c>
      <c r="AD2832">
        <v>0.01</v>
      </c>
      <c r="AE2832" t="s">
        <v>116</v>
      </c>
      <c r="AF2832" t="s">
        <v>116</v>
      </c>
      <c r="AG2832">
        <v>3.21</v>
      </c>
      <c r="AH2832" t="s">
        <v>12629</v>
      </c>
      <c r="AI2832" t="s">
        <v>12629</v>
      </c>
      <c r="AJ2832">
        <v>-0.96</v>
      </c>
      <c r="AK2832">
        <v>2997</v>
      </c>
      <c r="AL2832">
        <v>10</v>
      </c>
      <c r="AM2832">
        <v>2.9999999999999997E-4</v>
      </c>
      <c r="AN2832">
        <v>-1</v>
      </c>
      <c r="AO2832">
        <v>0.8</v>
      </c>
      <c r="AP2832">
        <v>-4.0199999999999996</v>
      </c>
      <c r="AQ2832">
        <v>-1.77</v>
      </c>
      <c r="AR2832">
        <v>109.4</v>
      </c>
      <c r="AS2832">
        <v>1.59</v>
      </c>
      <c r="AT2832" t="s">
        <v>12630</v>
      </c>
      <c r="AU2832">
        <v>69.84</v>
      </c>
      <c r="AV2832">
        <v>95.97</v>
      </c>
      <c r="AW2832">
        <v>1.1000000000000001</v>
      </c>
      <c r="BA2832">
        <v>-0.37</v>
      </c>
      <c r="BB2832">
        <v>1.75</v>
      </c>
      <c r="BC2832">
        <v>-1.22</v>
      </c>
      <c r="BD2832">
        <v>0.26</v>
      </c>
      <c r="BE2832">
        <v>-0.67</v>
      </c>
      <c r="BF2832">
        <v>-2.74</v>
      </c>
      <c r="BG2832">
        <v>0.19</v>
      </c>
      <c r="BH2832">
        <v>-1.29</v>
      </c>
      <c r="BI2832">
        <v>20191107</v>
      </c>
      <c r="BJ2832">
        <v>19961030</v>
      </c>
      <c r="BK2832">
        <v>3.21</v>
      </c>
      <c r="BL2832" t="s">
        <v>116</v>
      </c>
      <c r="BM2832" t="s">
        <v>116</v>
      </c>
      <c r="BN2832">
        <v>25.77</v>
      </c>
      <c r="BO2832">
        <v>17.309999999999999</v>
      </c>
      <c r="BP2832">
        <v>1.76</v>
      </c>
      <c r="BQ2832">
        <v>26</v>
      </c>
      <c r="BR2832">
        <v>5.81</v>
      </c>
      <c r="BS2832">
        <v>7.89</v>
      </c>
      <c r="BT2832">
        <v>0.14000000000000001</v>
      </c>
      <c r="BU2832">
        <v>2.89</v>
      </c>
      <c r="BV2832">
        <v>0.17</v>
      </c>
      <c r="BW2832">
        <v>0.74</v>
      </c>
      <c r="BX2832">
        <v>0</v>
      </c>
      <c r="BY2832">
        <v>14.21</v>
      </c>
      <c r="BZ2832">
        <v>7.4</v>
      </c>
      <c r="CA2832">
        <v>5.21</v>
      </c>
      <c r="CB2832">
        <v>0.27</v>
      </c>
      <c r="CC2832">
        <v>5.2</v>
      </c>
      <c r="CD2832">
        <v>4.46</v>
      </c>
      <c r="CE2832">
        <v>4</v>
      </c>
      <c r="CF2832">
        <v>3.93</v>
      </c>
      <c r="CG2832">
        <v>13.75</v>
      </c>
      <c r="CH2832">
        <v>4.9000000000000004</v>
      </c>
      <c r="CI2832">
        <v>0.53</v>
      </c>
      <c r="CJ2832">
        <v>20440</v>
      </c>
      <c r="CK2832">
        <v>9210</v>
      </c>
      <c r="CL2832" t="s">
        <v>12631</v>
      </c>
      <c r="CM2832">
        <v>45.13</v>
      </c>
      <c r="CN2832">
        <v>22.11</v>
      </c>
      <c r="CO2832">
        <v>18.41</v>
      </c>
      <c r="CP2832">
        <v>65.069999999999993</v>
      </c>
      <c r="CQ2832">
        <v>22.43</v>
      </c>
      <c r="CR2832">
        <v>0</v>
      </c>
      <c r="CS2832" t="s">
        <v>12632</v>
      </c>
      <c r="CT2832">
        <v>5.4</v>
      </c>
      <c r="CU2832">
        <v>0</v>
      </c>
      <c r="CV2832">
        <v>0</v>
      </c>
      <c r="CW2832">
        <v>4.29</v>
      </c>
      <c r="CX2832">
        <v>1.53</v>
      </c>
      <c r="CY2832">
        <v>67.17</v>
      </c>
      <c r="CZ2832" t="s">
        <v>12633</v>
      </c>
      <c r="DA2832">
        <v>47.93</v>
      </c>
      <c r="DB2832">
        <v>36.67</v>
      </c>
      <c r="DC2832">
        <v>28.13</v>
      </c>
      <c r="DD2832">
        <v>0.17</v>
      </c>
      <c r="DE2832">
        <v>2967</v>
      </c>
      <c r="DF2832">
        <v>600763</v>
      </c>
      <c r="DG2832" t="s">
        <v>116</v>
      </c>
      <c r="DH2832" t="s">
        <v>116</v>
      </c>
      <c r="DI2832" t="s">
        <v>116</v>
      </c>
    </row>
    <row r="2833" spans="1:113" x14ac:dyDescent="0.4">
      <c r="A2833" t="str">
        <f>"600764"</f>
        <v>600764</v>
      </c>
      <c r="B2833" t="s">
        <v>12634</v>
      </c>
      <c r="C2833">
        <v>-2.31</v>
      </c>
      <c r="D2833">
        <v>29.13</v>
      </c>
      <c r="E2833">
        <v>-0.69</v>
      </c>
      <c r="F2833">
        <v>29.09</v>
      </c>
      <c r="G2833">
        <v>29.13</v>
      </c>
      <c r="H2833">
        <v>16449</v>
      </c>
      <c r="I2833">
        <v>75</v>
      </c>
      <c r="J2833">
        <v>-0.3</v>
      </c>
      <c r="K2833">
        <v>0.5</v>
      </c>
      <c r="L2833">
        <v>29.84</v>
      </c>
      <c r="M2833">
        <v>30.51</v>
      </c>
      <c r="N2833">
        <v>28.98</v>
      </c>
      <c r="O2833">
        <v>29.82</v>
      </c>
      <c r="P2833">
        <v>605.35</v>
      </c>
      <c r="Q2833">
        <v>48451428</v>
      </c>
      <c r="R2833">
        <v>1.05</v>
      </c>
      <c r="S2833" t="s">
        <v>465</v>
      </c>
      <c r="T2833" t="s">
        <v>165</v>
      </c>
      <c r="U2833">
        <v>5.13</v>
      </c>
      <c r="V2833">
        <v>29.46</v>
      </c>
      <c r="W2833">
        <v>8322</v>
      </c>
      <c r="X2833">
        <v>8127</v>
      </c>
      <c r="Y2833">
        <v>1.02</v>
      </c>
      <c r="Z2833">
        <v>1</v>
      </c>
      <c r="AA2833">
        <v>9</v>
      </c>
      <c r="AB2833" t="s">
        <v>116</v>
      </c>
      <c r="AC2833">
        <v>128300</v>
      </c>
      <c r="AD2833">
        <v>0</v>
      </c>
      <c r="AE2833" t="s">
        <v>116</v>
      </c>
      <c r="AF2833" t="s">
        <v>116</v>
      </c>
      <c r="AG2833">
        <v>3.29</v>
      </c>
      <c r="AH2833" t="s">
        <v>12635</v>
      </c>
      <c r="AI2833" t="s">
        <v>4517</v>
      </c>
      <c r="AJ2833">
        <v>-2.2400000000000002</v>
      </c>
      <c r="AK2833">
        <v>2044</v>
      </c>
      <c r="AL2833">
        <v>8</v>
      </c>
      <c r="AM2833">
        <v>2.0000000000000001E-4</v>
      </c>
      <c r="AN2833">
        <v>-1</v>
      </c>
      <c r="AO2833">
        <v>-1.75</v>
      </c>
      <c r="AP2833">
        <v>12.99</v>
      </c>
      <c r="AQ2833">
        <v>-0.75</v>
      </c>
      <c r="AR2833">
        <v>22.19</v>
      </c>
      <c r="AS2833">
        <v>1.61</v>
      </c>
      <c r="AT2833" t="s">
        <v>12636</v>
      </c>
      <c r="AU2833">
        <v>282.5</v>
      </c>
      <c r="AV2833">
        <v>272.63</v>
      </c>
      <c r="AW2833">
        <v>1.07</v>
      </c>
      <c r="BA2833">
        <v>7.0000000000000007E-2</v>
      </c>
      <c r="BB2833">
        <v>2.31</v>
      </c>
      <c r="BC2833">
        <v>-2.82</v>
      </c>
      <c r="BD2833">
        <v>-1.22</v>
      </c>
      <c r="BE2833">
        <v>-2.38</v>
      </c>
      <c r="BF2833">
        <v>-4.5199999999999996</v>
      </c>
      <c r="BG2833">
        <v>0.52</v>
      </c>
      <c r="BH2833">
        <v>-1.0900000000000001</v>
      </c>
      <c r="BI2833">
        <v>20191220</v>
      </c>
      <c r="BJ2833">
        <v>19961104</v>
      </c>
      <c r="BK2833">
        <v>6.32</v>
      </c>
      <c r="BL2833" t="s">
        <v>116</v>
      </c>
      <c r="BM2833" t="s">
        <v>116</v>
      </c>
      <c r="BN2833">
        <v>14.49</v>
      </c>
      <c r="BO2833">
        <v>10.88</v>
      </c>
      <c r="BP2833">
        <v>0</v>
      </c>
      <c r="BQ2833">
        <v>24.95</v>
      </c>
      <c r="BR2833">
        <v>10.65</v>
      </c>
      <c r="BS2833">
        <v>2.94</v>
      </c>
      <c r="BT2833">
        <v>0.57999999999999996</v>
      </c>
      <c r="BU2833">
        <v>3.04</v>
      </c>
      <c r="BV2833">
        <v>1.81</v>
      </c>
      <c r="BW2833">
        <v>4.49</v>
      </c>
      <c r="BX2833">
        <v>4.17</v>
      </c>
      <c r="BY2833">
        <v>1.72</v>
      </c>
      <c r="BZ2833">
        <v>0.98</v>
      </c>
      <c r="CA2833">
        <v>0.28000000000000003</v>
      </c>
      <c r="CB2833">
        <v>0</v>
      </c>
      <c r="CC2833">
        <v>0.28000000000000003</v>
      </c>
      <c r="CD2833">
        <v>0.23</v>
      </c>
      <c r="CE2833">
        <v>0.23</v>
      </c>
      <c r="CF2833">
        <v>0.2</v>
      </c>
      <c r="CG2833">
        <v>2.5</v>
      </c>
      <c r="CH2833">
        <v>-0.4</v>
      </c>
      <c r="CI2833">
        <v>-0.54</v>
      </c>
      <c r="CJ2833">
        <v>13044</v>
      </c>
      <c r="CK2833">
        <v>7811</v>
      </c>
      <c r="CL2833" t="s">
        <v>12637</v>
      </c>
      <c r="CM2833">
        <v>-9.3699999999999992</v>
      </c>
      <c r="CN2833">
        <v>-0.5</v>
      </c>
      <c r="CO2833">
        <v>10.58</v>
      </c>
      <c r="CP2833">
        <v>-461.84</v>
      </c>
      <c r="CQ2833">
        <v>107.2</v>
      </c>
      <c r="CR2833">
        <v>0</v>
      </c>
      <c r="CS2833" t="s">
        <v>484</v>
      </c>
      <c r="CT2833">
        <v>2.75</v>
      </c>
      <c r="CU2833">
        <v>2.75</v>
      </c>
      <c r="CV2833">
        <v>0.66</v>
      </c>
      <c r="CW2833">
        <v>0.4</v>
      </c>
      <c r="CX2833">
        <v>-0.06</v>
      </c>
      <c r="CY2833">
        <v>75.05</v>
      </c>
      <c r="CZ2833" t="s">
        <v>2105</v>
      </c>
      <c r="DA2833">
        <v>43.1</v>
      </c>
      <c r="DB2833">
        <v>16.170000000000002</v>
      </c>
      <c r="DC2833">
        <v>13.28</v>
      </c>
      <c r="DD2833">
        <v>0.03</v>
      </c>
      <c r="DE2833">
        <v>478</v>
      </c>
      <c r="DF2833">
        <v>600764</v>
      </c>
      <c r="DG2833" t="s">
        <v>116</v>
      </c>
      <c r="DH2833" t="s">
        <v>116</v>
      </c>
      <c r="DI2833" t="s">
        <v>116</v>
      </c>
    </row>
    <row r="2834" spans="1:113" x14ac:dyDescent="0.4">
      <c r="A2834" t="str">
        <f>"600765"</f>
        <v>600765</v>
      </c>
      <c r="B2834" t="s">
        <v>12638</v>
      </c>
      <c r="C2834">
        <v>-0.2</v>
      </c>
      <c r="D2834">
        <v>9.8800000000000008</v>
      </c>
      <c r="E2834">
        <v>-0.02</v>
      </c>
      <c r="F2834">
        <v>9.8699999999999992</v>
      </c>
      <c r="G2834">
        <v>9.8800000000000008</v>
      </c>
      <c r="H2834">
        <v>74702</v>
      </c>
      <c r="I2834">
        <v>1143</v>
      </c>
      <c r="J2834">
        <v>0.41</v>
      </c>
      <c r="K2834">
        <v>0.96</v>
      </c>
      <c r="L2834">
        <v>9.93</v>
      </c>
      <c r="M2834">
        <v>10.08</v>
      </c>
      <c r="N2834">
        <v>9.83</v>
      </c>
      <c r="O2834">
        <v>9.9</v>
      </c>
      <c r="P2834">
        <v>34</v>
      </c>
      <c r="Q2834">
        <v>74391296</v>
      </c>
      <c r="R2834">
        <v>0.99</v>
      </c>
      <c r="S2834" t="s">
        <v>996</v>
      </c>
      <c r="T2834" t="s">
        <v>1056</v>
      </c>
      <c r="U2834">
        <v>2.5299999999999998</v>
      </c>
      <c r="V2834">
        <v>9.9600000000000009</v>
      </c>
      <c r="W2834">
        <v>34804</v>
      </c>
      <c r="X2834">
        <v>39898</v>
      </c>
      <c r="Y2834">
        <v>0.87</v>
      </c>
      <c r="Z2834">
        <v>22</v>
      </c>
      <c r="AA2834">
        <v>463</v>
      </c>
      <c r="AB2834" t="s">
        <v>116</v>
      </c>
      <c r="AC2834">
        <v>14900</v>
      </c>
      <c r="AD2834">
        <v>0</v>
      </c>
      <c r="AE2834" t="s">
        <v>116</v>
      </c>
      <c r="AF2834" t="s">
        <v>116</v>
      </c>
      <c r="AG2834">
        <v>7.78</v>
      </c>
      <c r="AH2834" t="s">
        <v>12639</v>
      </c>
      <c r="AI2834" t="s">
        <v>12640</v>
      </c>
      <c r="AJ2834">
        <v>-0.13</v>
      </c>
      <c r="AK2834">
        <v>1886</v>
      </c>
      <c r="AL2834">
        <v>40</v>
      </c>
      <c r="AM2834">
        <v>5.0000000000000001E-4</v>
      </c>
      <c r="AN2834">
        <v>-2</v>
      </c>
      <c r="AO2834">
        <v>0</v>
      </c>
      <c r="AP2834">
        <v>9.9</v>
      </c>
      <c r="AQ2834">
        <v>-4.45</v>
      </c>
      <c r="AR2834">
        <v>33.57</v>
      </c>
      <c r="AS2834">
        <v>1.59</v>
      </c>
      <c r="AT2834" t="s">
        <v>12641</v>
      </c>
      <c r="AU2834">
        <v>28.16</v>
      </c>
      <c r="AV2834">
        <v>27.69</v>
      </c>
      <c r="AW2834">
        <v>0.97</v>
      </c>
      <c r="BA2834">
        <v>0.3</v>
      </c>
      <c r="BB2834">
        <v>1.82</v>
      </c>
      <c r="BC2834">
        <v>-0.71</v>
      </c>
      <c r="BD2834">
        <v>0.59</v>
      </c>
      <c r="BE2834">
        <v>-0.5</v>
      </c>
      <c r="BF2834">
        <v>-1.98</v>
      </c>
      <c r="BG2834">
        <v>0.51</v>
      </c>
      <c r="BH2834">
        <v>-0.79</v>
      </c>
      <c r="BI2834">
        <v>20191220</v>
      </c>
      <c r="BJ2834">
        <v>19961106</v>
      </c>
      <c r="BK2834">
        <v>9.34</v>
      </c>
      <c r="BL2834" t="s">
        <v>116</v>
      </c>
      <c r="BM2834" t="s">
        <v>116</v>
      </c>
      <c r="BN2834">
        <v>131.06</v>
      </c>
      <c r="BO2834">
        <v>47.87</v>
      </c>
      <c r="BP2834">
        <v>3.85</v>
      </c>
      <c r="BQ2834">
        <v>60.54</v>
      </c>
      <c r="BR2834">
        <v>88.49</v>
      </c>
      <c r="BS2834">
        <v>25.25</v>
      </c>
      <c r="BT2834">
        <v>2.61</v>
      </c>
      <c r="BU2834">
        <v>61.52</v>
      </c>
      <c r="BV2834">
        <v>25.91</v>
      </c>
      <c r="BW2834">
        <v>35.619999999999997</v>
      </c>
      <c r="BX2834">
        <v>16.809999999999999</v>
      </c>
      <c r="BY2834">
        <v>44.39</v>
      </c>
      <c r="BZ2834">
        <v>32.61</v>
      </c>
      <c r="CA2834">
        <v>2.99</v>
      </c>
      <c r="CB2834">
        <v>0.06</v>
      </c>
      <c r="CC2834">
        <v>3</v>
      </c>
      <c r="CD2834">
        <v>2.39</v>
      </c>
      <c r="CE2834">
        <v>2.0299999999999998</v>
      </c>
      <c r="CF2834">
        <v>1.95</v>
      </c>
      <c r="CG2834">
        <v>18.14</v>
      </c>
      <c r="CH2834">
        <v>0.57999999999999996</v>
      </c>
      <c r="CI2834">
        <v>-2.7</v>
      </c>
      <c r="CJ2834">
        <v>59318</v>
      </c>
      <c r="CK2834">
        <v>7932</v>
      </c>
      <c r="CL2834" t="s">
        <v>9561</v>
      </c>
      <c r="CM2834">
        <v>-2.66</v>
      </c>
      <c r="CN2834">
        <v>16.059999999999999</v>
      </c>
      <c r="CO2834">
        <v>1.61</v>
      </c>
      <c r="CP2834">
        <v>157.88999999999999</v>
      </c>
      <c r="CQ2834">
        <v>2.08</v>
      </c>
      <c r="CR2834">
        <v>0.36</v>
      </c>
      <c r="CS2834" t="s">
        <v>4342</v>
      </c>
      <c r="CT2834">
        <v>6.15</v>
      </c>
      <c r="CU2834">
        <v>6.15</v>
      </c>
      <c r="CV2834">
        <v>1.8</v>
      </c>
      <c r="CW2834">
        <v>1.94</v>
      </c>
      <c r="CX2834">
        <v>0.06</v>
      </c>
      <c r="CY2834">
        <v>36.520000000000003</v>
      </c>
      <c r="CZ2834" t="s">
        <v>5280</v>
      </c>
      <c r="DA2834">
        <v>26.55</v>
      </c>
      <c r="DB2834">
        <v>6.74</v>
      </c>
      <c r="DC2834">
        <v>4.58</v>
      </c>
      <c r="DD2834">
        <v>1.35</v>
      </c>
      <c r="DE2834">
        <v>7136</v>
      </c>
      <c r="DF2834">
        <v>600765</v>
      </c>
      <c r="DG2834" t="s">
        <v>116</v>
      </c>
      <c r="DH2834" t="s">
        <v>116</v>
      </c>
      <c r="DI2834" t="s">
        <v>116</v>
      </c>
    </row>
    <row r="2835" spans="1:113" x14ac:dyDescent="0.4">
      <c r="A2835" t="str">
        <f>"600766"</f>
        <v>600766</v>
      </c>
      <c r="B2835" t="s">
        <v>12642</v>
      </c>
      <c r="C2835">
        <v>0.13</v>
      </c>
      <c r="D2835">
        <v>7.46</v>
      </c>
      <c r="E2835">
        <v>0.01</v>
      </c>
      <c r="F2835">
        <v>7.45</v>
      </c>
      <c r="G2835">
        <v>7.46</v>
      </c>
      <c r="H2835">
        <v>113309</v>
      </c>
      <c r="I2835">
        <v>1359</v>
      </c>
      <c r="J2835">
        <v>0.13</v>
      </c>
      <c r="K2835">
        <v>5.0599999999999996</v>
      </c>
      <c r="L2835">
        <v>7.47</v>
      </c>
      <c r="M2835">
        <v>7.67</v>
      </c>
      <c r="N2835">
        <v>7.44</v>
      </c>
      <c r="O2835">
        <v>7.45</v>
      </c>
      <c r="P2835">
        <v>2535.98</v>
      </c>
      <c r="Q2835">
        <v>85469984</v>
      </c>
      <c r="R2835">
        <v>1.33</v>
      </c>
      <c r="S2835" t="s">
        <v>871</v>
      </c>
      <c r="T2835" t="s">
        <v>645</v>
      </c>
      <c r="U2835">
        <v>3.09</v>
      </c>
      <c r="V2835">
        <v>7.54</v>
      </c>
      <c r="W2835">
        <v>54243</v>
      </c>
      <c r="X2835">
        <v>59066</v>
      </c>
      <c r="Y2835">
        <v>0.92</v>
      </c>
      <c r="Z2835">
        <v>784</v>
      </c>
      <c r="AA2835">
        <v>59</v>
      </c>
      <c r="AB2835" t="s">
        <v>116</v>
      </c>
      <c r="AC2835">
        <v>199400</v>
      </c>
      <c r="AD2835">
        <v>0.02</v>
      </c>
      <c r="AE2835" t="s">
        <v>116</v>
      </c>
      <c r="AF2835" t="s">
        <v>116</v>
      </c>
      <c r="AG2835">
        <v>2.2400000000000002</v>
      </c>
      <c r="AH2835" t="s">
        <v>4878</v>
      </c>
      <c r="AI2835" t="s">
        <v>4388</v>
      </c>
      <c r="AJ2835">
        <v>0.21</v>
      </c>
      <c r="AK2835">
        <v>2602</v>
      </c>
      <c r="AL2835">
        <v>44</v>
      </c>
      <c r="AM2835">
        <v>1.9E-3</v>
      </c>
      <c r="AN2835">
        <v>4</v>
      </c>
      <c r="AO2835">
        <v>0.39</v>
      </c>
      <c r="AP2835">
        <v>7.49</v>
      </c>
      <c r="AQ2835">
        <v>-10.23</v>
      </c>
      <c r="AR2835">
        <v>-6.28</v>
      </c>
      <c r="AS2835">
        <v>7.16</v>
      </c>
      <c r="AT2835" t="s">
        <v>8234</v>
      </c>
      <c r="AU2835" t="s">
        <v>116</v>
      </c>
      <c r="AV2835" t="s">
        <v>116</v>
      </c>
      <c r="AW2835">
        <v>0.99</v>
      </c>
      <c r="BA2835">
        <v>0.27</v>
      </c>
      <c r="BB2835">
        <v>2.95</v>
      </c>
      <c r="BC2835">
        <v>-0.13</v>
      </c>
      <c r="BD2835">
        <v>1.25</v>
      </c>
      <c r="BE2835">
        <v>-0.13</v>
      </c>
      <c r="BF2835">
        <v>-2.74</v>
      </c>
      <c r="BG2835">
        <v>0.27</v>
      </c>
      <c r="BH2835">
        <v>-1.1200000000000001</v>
      </c>
      <c r="BI2835">
        <v>20191030</v>
      </c>
      <c r="BJ2835">
        <v>19961028</v>
      </c>
      <c r="BK2835">
        <v>2.2400000000000002</v>
      </c>
      <c r="BL2835" t="s">
        <v>116</v>
      </c>
      <c r="BM2835" t="s">
        <v>116</v>
      </c>
      <c r="BN2835">
        <v>1.61</v>
      </c>
      <c r="BO2835">
        <v>0.52</v>
      </c>
      <c r="BP2835">
        <v>0</v>
      </c>
      <c r="BQ2835">
        <v>67.790000000000006</v>
      </c>
      <c r="BR2835">
        <v>1.1100000000000001</v>
      </c>
      <c r="BS2835">
        <v>7.0000000000000007E-2</v>
      </c>
      <c r="BT2835">
        <v>0.02</v>
      </c>
      <c r="BU2835">
        <v>1.0900000000000001</v>
      </c>
      <c r="BV2835">
        <v>1.03</v>
      </c>
      <c r="BW2835">
        <v>0.06</v>
      </c>
      <c r="BX2835">
        <v>2.37</v>
      </c>
      <c r="BY2835">
        <v>0.25</v>
      </c>
      <c r="BZ2835">
        <v>0.21</v>
      </c>
      <c r="CA2835">
        <v>0</v>
      </c>
      <c r="CB2835">
        <v>0</v>
      </c>
      <c r="CC2835">
        <v>0</v>
      </c>
      <c r="CD2835">
        <v>0</v>
      </c>
      <c r="CE2835">
        <v>0</v>
      </c>
      <c r="CF2835">
        <v>-0.01</v>
      </c>
      <c r="CG2835">
        <v>-4.01</v>
      </c>
      <c r="CH2835">
        <v>-0.05</v>
      </c>
      <c r="CI2835">
        <v>-0.01</v>
      </c>
      <c r="CJ2835">
        <v>35988</v>
      </c>
      <c r="CK2835">
        <v>4398</v>
      </c>
      <c r="CL2835" t="s">
        <v>5094</v>
      </c>
      <c r="CM2835">
        <v>-22.79</v>
      </c>
      <c r="CN2835">
        <v>250.22</v>
      </c>
      <c r="CO2835">
        <v>32.299999999999997</v>
      </c>
      <c r="CP2835">
        <v>-324.39999999999998</v>
      </c>
      <c r="CQ2835">
        <v>67.599999999999994</v>
      </c>
      <c r="CR2835">
        <v>0</v>
      </c>
      <c r="CS2835" t="s">
        <v>1018</v>
      </c>
      <c r="CT2835">
        <v>0.23</v>
      </c>
      <c r="CU2835">
        <v>0</v>
      </c>
      <c r="CV2835">
        <v>1.06</v>
      </c>
      <c r="CW2835">
        <v>-1.79</v>
      </c>
      <c r="CX2835">
        <v>-0.02</v>
      </c>
      <c r="CY2835">
        <v>32.21</v>
      </c>
      <c r="CZ2835" t="s">
        <v>1224</v>
      </c>
      <c r="DA2835">
        <v>16.63</v>
      </c>
      <c r="DB2835">
        <v>0.47</v>
      </c>
      <c r="DC2835">
        <v>2</v>
      </c>
      <c r="DD2835">
        <v>0</v>
      </c>
      <c r="DE2835">
        <v>25</v>
      </c>
      <c r="DF2835">
        <v>600766</v>
      </c>
      <c r="DG2835" t="s">
        <v>116</v>
      </c>
      <c r="DH2835" t="s">
        <v>116</v>
      </c>
      <c r="DI2835" t="s">
        <v>116</v>
      </c>
    </row>
    <row r="2836" spans="1:113" x14ac:dyDescent="0.4">
      <c r="A2836" t="str">
        <f>"600767"</f>
        <v>600767</v>
      </c>
      <c r="B2836" t="s">
        <v>12643</v>
      </c>
      <c r="C2836">
        <v>-1.83</v>
      </c>
      <c r="D2836">
        <v>4.82</v>
      </c>
      <c r="E2836">
        <v>-0.09</v>
      </c>
      <c r="F2836">
        <v>4.82</v>
      </c>
      <c r="G2836">
        <v>4.83</v>
      </c>
      <c r="H2836">
        <v>13132</v>
      </c>
      <c r="I2836">
        <v>401</v>
      </c>
      <c r="J2836">
        <v>0</v>
      </c>
      <c r="K2836">
        <v>0.39</v>
      </c>
      <c r="L2836">
        <v>4.91</v>
      </c>
      <c r="M2836">
        <v>4.92</v>
      </c>
      <c r="N2836">
        <v>4.8099999999999996</v>
      </c>
      <c r="O2836">
        <v>4.91</v>
      </c>
      <c r="P2836" t="s">
        <v>116</v>
      </c>
      <c r="Q2836">
        <v>6384359</v>
      </c>
      <c r="R2836">
        <v>0.78</v>
      </c>
      <c r="S2836" t="s">
        <v>559</v>
      </c>
      <c r="T2836" t="s">
        <v>1653</v>
      </c>
      <c r="U2836">
        <v>2.2400000000000002</v>
      </c>
      <c r="V2836">
        <v>4.8600000000000003</v>
      </c>
      <c r="W2836">
        <v>10055</v>
      </c>
      <c r="X2836">
        <v>3077</v>
      </c>
      <c r="Y2836">
        <v>3.27</v>
      </c>
      <c r="Z2836">
        <v>22</v>
      </c>
      <c r="AA2836">
        <v>50</v>
      </c>
      <c r="AB2836" t="s">
        <v>116</v>
      </c>
      <c r="AC2836">
        <v>0</v>
      </c>
      <c r="AD2836">
        <v>0</v>
      </c>
      <c r="AE2836" t="s">
        <v>116</v>
      </c>
      <c r="AF2836" t="s">
        <v>116</v>
      </c>
      <c r="AG2836">
        <v>3.41</v>
      </c>
      <c r="AH2836" t="s">
        <v>999</v>
      </c>
      <c r="AI2836" t="s">
        <v>3961</v>
      </c>
      <c r="AJ2836">
        <v>-1.76</v>
      </c>
      <c r="AK2836">
        <v>214</v>
      </c>
      <c r="AL2836">
        <v>61</v>
      </c>
      <c r="AM2836">
        <v>1.8E-3</v>
      </c>
      <c r="AN2836">
        <v>-1</v>
      </c>
      <c r="AO2836">
        <v>-1.03</v>
      </c>
      <c r="AP2836">
        <v>-4.55</v>
      </c>
      <c r="AQ2836">
        <v>-6.23</v>
      </c>
      <c r="AR2836">
        <v>1.9</v>
      </c>
      <c r="AS2836">
        <v>0.51</v>
      </c>
      <c r="AT2836" t="s">
        <v>9534</v>
      </c>
      <c r="AU2836">
        <v>153.24</v>
      </c>
      <c r="AV2836">
        <v>80.540000000000006</v>
      </c>
      <c r="AW2836">
        <v>0.84</v>
      </c>
      <c r="BA2836">
        <v>0</v>
      </c>
      <c r="BB2836">
        <v>0.2</v>
      </c>
      <c r="BC2836">
        <v>-2.04</v>
      </c>
      <c r="BD2836">
        <v>-0.98</v>
      </c>
      <c r="BE2836">
        <v>-1.83</v>
      </c>
      <c r="BF2836">
        <v>-2.0299999999999998</v>
      </c>
      <c r="BG2836">
        <v>0.21</v>
      </c>
      <c r="BH2836">
        <v>-0.85</v>
      </c>
      <c r="BI2836">
        <v>20191031</v>
      </c>
      <c r="BJ2836">
        <v>19961115</v>
      </c>
      <c r="BK2836">
        <v>3.41</v>
      </c>
      <c r="BL2836" t="s">
        <v>116</v>
      </c>
      <c r="BM2836" t="s">
        <v>116</v>
      </c>
      <c r="BN2836">
        <v>4.25</v>
      </c>
      <c r="BO2836">
        <v>2.57</v>
      </c>
      <c r="BP2836">
        <v>0.24</v>
      </c>
      <c r="BQ2836">
        <v>33.770000000000003</v>
      </c>
      <c r="BR2836">
        <v>1.71</v>
      </c>
      <c r="BS2836">
        <v>0.02</v>
      </c>
      <c r="BT2836">
        <v>1.38</v>
      </c>
      <c r="BU2836">
        <v>1.23</v>
      </c>
      <c r="BV2836">
        <v>0.18</v>
      </c>
      <c r="BW2836">
        <v>0.76</v>
      </c>
      <c r="BX2836">
        <v>0.35</v>
      </c>
      <c r="BY2836">
        <v>0.92</v>
      </c>
      <c r="BZ2836">
        <v>0.85</v>
      </c>
      <c r="CA2836">
        <v>-0.45</v>
      </c>
      <c r="CB2836">
        <v>0.02</v>
      </c>
      <c r="CC2836">
        <v>-0.4</v>
      </c>
      <c r="CD2836">
        <v>-0.37</v>
      </c>
      <c r="CE2836">
        <v>-0.28000000000000003</v>
      </c>
      <c r="CF2836">
        <v>-0.35</v>
      </c>
      <c r="CG2836">
        <v>-1.25</v>
      </c>
      <c r="CH2836">
        <v>-0.44</v>
      </c>
      <c r="CI2836">
        <v>-0.34</v>
      </c>
      <c r="CJ2836">
        <v>28027</v>
      </c>
      <c r="CK2836">
        <v>9203</v>
      </c>
      <c r="CL2836" t="s">
        <v>5775</v>
      </c>
      <c r="CM2836">
        <v>-52.74</v>
      </c>
      <c r="CN2836">
        <v>-1.94</v>
      </c>
      <c r="CO2836">
        <v>6.38</v>
      </c>
      <c r="CP2836">
        <v>-37.159999999999997</v>
      </c>
      <c r="CQ2836">
        <v>17.899999999999999</v>
      </c>
      <c r="CR2836">
        <v>0</v>
      </c>
      <c r="CS2836" t="s">
        <v>8415</v>
      </c>
      <c r="CT2836">
        <v>0.76</v>
      </c>
      <c r="CU2836">
        <v>0</v>
      </c>
      <c r="CV2836">
        <v>0.1</v>
      </c>
      <c r="CW2836">
        <v>-0.37</v>
      </c>
      <c r="CX2836">
        <v>-0.13</v>
      </c>
      <c r="CY2836">
        <v>60.6</v>
      </c>
      <c r="CZ2836" t="s">
        <v>12644</v>
      </c>
      <c r="DA2836">
        <v>7.5</v>
      </c>
      <c r="DB2836">
        <v>-49.53</v>
      </c>
      <c r="DC2836">
        <v>-30.54</v>
      </c>
      <c r="DD2836">
        <v>7.0000000000000007E-2</v>
      </c>
      <c r="DE2836">
        <v>316</v>
      </c>
      <c r="DF2836">
        <v>600767</v>
      </c>
      <c r="DG2836" t="s">
        <v>116</v>
      </c>
      <c r="DH2836" t="s">
        <v>116</v>
      </c>
      <c r="DI2836" t="s">
        <v>116</v>
      </c>
    </row>
    <row r="2837" spans="1:113" x14ac:dyDescent="0.4">
      <c r="A2837" t="str">
        <f>"600768"</f>
        <v>600768</v>
      </c>
      <c r="B2837" t="s">
        <v>12645</v>
      </c>
      <c r="C2837">
        <v>-3.06</v>
      </c>
      <c r="D2837">
        <v>13.6</v>
      </c>
      <c r="E2837">
        <v>-0.43</v>
      </c>
      <c r="F2837">
        <v>13.6</v>
      </c>
      <c r="G2837">
        <v>13.61</v>
      </c>
      <c r="H2837">
        <v>177193</v>
      </c>
      <c r="I2837">
        <v>2918</v>
      </c>
      <c r="J2837">
        <v>0</v>
      </c>
      <c r="K2837">
        <v>13.25</v>
      </c>
      <c r="L2837">
        <v>14.08</v>
      </c>
      <c r="M2837">
        <v>14.76</v>
      </c>
      <c r="N2837">
        <v>13.56</v>
      </c>
      <c r="O2837">
        <v>14.03</v>
      </c>
      <c r="P2837">
        <v>12.05</v>
      </c>
      <c r="Q2837">
        <v>251509712</v>
      </c>
      <c r="R2837">
        <v>0.69</v>
      </c>
      <c r="S2837" t="s">
        <v>1428</v>
      </c>
      <c r="T2837" t="s">
        <v>590</v>
      </c>
      <c r="U2837">
        <v>8.5500000000000007</v>
      </c>
      <c r="V2837">
        <v>14.19</v>
      </c>
      <c r="W2837">
        <v>90109</v>
      </c>
      <c r="X2837">
        <v>87084</v>
      </c>
      <c r="Y2837">
        <v>1.03</v>
      </c>
      <c r="Z2837">
        <v>2347</v>
      </c>
      <c r="AA2837">
        <v>384</v>
      </c>
      <c r="AB2837" t="s">
        <v>116</v>
      </c>
      <c r="AC2837">
        <v>2565400</v>
      </c>
      <c r="AD2837">
        <v>0.22</v>
      </c>
      <c r="AE2837" t="s">
        <v>116</v>
      </c>
      <c r="AF2837" t="s">
        <v>116</v>
      </c>
      <c r="AG2837">
        <v>1.34</v>
      </c>
      <c r="AH2837" t="s">
        <v>12646</v>
      </c>
      <c r="AI2837" t="s">
        <v>12646</v>
      </c>
      <c r="AJ2837">
        <v>-2.99</v>
      </c>
      <c r="AK2837">
        <v>3583</v>
      </c>
      <c r="AL2837">
        <v>49</v>
      </c>
      <c r="AM2837">
        <v>3.7000000000000002E-3</v>
      </c>
      <c r="AN2837">
        <v>-3</v>
      </c>
      <c r="AO2837">
        <v>-6.52</v>
      </c>
      <c r="AP2837">
        <v>34.25</v>
      </c>
      <c r="AQ2837">
        <v>24.43</v>
      </c>
      <c r="AR2837">
        <v>41.23</v>
      </c>
      <c r="AS2837">
        <v>21.11</v>
      </c>
      <c r="AT2837" t="s">
        <v>12647</v>
      </c>
      <c r="AU2837">
        <v>20.37</v>
      </c>
      <c r="AV2837" t="s">
        <v>116</v>
      </c>
      <c r="AW2837">
        <v>0.35</v>
      </c>
      <c r="BA2837">
        <v>0.36</v>
      </c>
      <c r="BB2837">
        <v>5.2</v>
      </c>
      <c r="BC2837">
        <v>-3.35</v>
      </c>
      <c r="BD2837">
        <v>1.17</v>
      </c>
      <c r="BE2837">
        <v>-3.41</v>
      </c>
      <c r="BF2837">
        <v>-7.86</v>
      </c>
      <c r="BG2837">
        <v>0.28999999999999998</v>
      </c>
      <c r="BH2837">
        <v>-4.2300000000000004</v>
      </c>
      <c r="BI2837">
        <v>20191029</v>
      </c>
      <c r="BJ2837">
        <v>19961111</v>
      </c>
      <c r="BK2837">
        <v>1.34</v>
      </c>
      <c r="BL2837" t="s">
        <v>116</v>
      </c>
      <c r="BM2837" t="s">
        <v>116</v>
      </c>
      <c r="BN2837">
        <v>3.45</v>
      </c>
      <c r="BO2837">
        <v>2.29</v>
      </c>
      <c r="BP2837">
        <v>0</v>
      </c>
      <c r="BQ2837">
        <v>33.44</v>
      </c>
      <c r="BR2837">
        <v>2.93</v>
      </c>
      <c r="BS2837">
        <v>0.03</v>
      </c>
      <c r="BT2837">
        <v>0</v>
      </c>
      <c r="BU2837">
        <v>1.1399999999999999</v>
      </c>
      <c r="BV2837">
        <v>0.15</v>
      </c>
      <c r="BW2837">
        <v>0.23</v>
      </c>
      <c r="BX2837">
        <v>0.16</v>
      </c>
      <c r="BY2837">
        <v>4.33</v>
      </c>
      <c r="BZ2837">
        <v>4.2</v>
      </c>
      <c r="CA2837">
        <v>1.37</v>
      </c>
      <c r="CB2837">
        <v>1.47</v>
      </c>
      <c r="CC2837">
        <v>1.28</v>
      </c>
      <c r="CD2837">
        <v>1.1299999999999999</v>
      </c>
      <c r="CE2837">
        <v>1.1299999999999999</v>
      </c>
      <c r="CF2837">
        <v>-0.11</v>
      </c>
      <c r="CG2837">
        <v>0.66</v>
      </c>
      <c r="CH2837">
        <v>-0.28000000000000003</v>
      </c>
      <c r="CI2837">
        <v>-0.98</v>
      </c>
      <c r="CJ2837">
        <v>10267</v>
      </c>
      <c r="CK2837">
        <v>8174</v>
      </c>
      <c r="CL2837" t="s">
        <v>8707</v>
      </c>
      <c r="CM2837">
        <v>1673.12</v>
      </c>
      <c r="CN2837">
        <v>-21.98</v>
      </c>
      <c r="CO2837">
        <v>7.93</v>
      </c>
      <c r="CP2837">
        <v>-64.680000000000007</v>
      </c>
      <c r="CQ2837">
        <v>4.2</v>
      </c>
      <c r="CR2837">
        <v>0</v>
      </c>
      <c r="CS2837" t="s">
        <v>12648</v>
      </c>
      <c r="CT2837">
        <v>1.71</v>
      </c>
      <c r="CU2837">
        <v>0</v>
      </c>
      <c r="CV2837">
        <v>0.12</v>
      </c>
      <c r="CW2837">
        <v>0.49</v>
      </c>
      <c r="CX2837">
        <v>-0.21</v>
      </c>
      <c r="CY2837">
        <v>66.56</v>
      </c>
      <c r="CZ2837" t="s">
        <v>12649</v>
      </c>
      <c r="DA2837">
        <v>2.96</v>
      </c>
      <c r="DB2837">
        <v>31.67</v>
      </c>
      <c r="DC2837">
        <v>26.16</v>
      </c>
      <c r="DD2837">
        <v>0</v>
      </c>
      <c r="DE2837">
        <v>453</v>
      </c>
      <c r="DF2837">
        <v>600768</v>
      </c>
      <c r="DG2837" t="s">
        <v>116</v>
      </c>
      <c r="DH2837" t="s">
        <v>116</v>
      </c>
      <c r="DI2837" t="s">
        <v>116</v>
      </c>
    </row>
    <row r="2838" spans="1:113" x14ac:dyDescent="0.4">
      <c r="A2838" t="str">
        <f>"600769"</f>
        <v>600769</v>
      </c>
      <c r="B2838" t="s">
        <v>12650</v>
      </c>
      <c r="C2838">
        <v>2.3199999999999998</v>
      </c>
      <c r="D2838">
        <v>5.73</v>
      </c>
      <c r="E2838">
        <v>0.13</v>
      </c>
      <c r="F2838">
        <v>5.73</v>
      </c>
      <c r="G2838">
        <v>5.74</v>
      </c>
      <c r="H2838">
        <v>41016</v>
      </c>
      <c r="I2838">
        <v>205</v>
      </c>
      <c r="J2838">
        <v>-0.16</v>
      </c>
      <c r="K2838">
        <v>1.0900000000000001</v>
      </c>
      <c r="L2838">
        <v>5.6</v>
      </c>
      <c r="M2838">
        <v>5.85</v>
      </c>
      <c r="N2838">
        <v>5.58</v>
      </c>
      <c r="O2838">
        <v>5.6</v>
      </c>
      <c r="P2838">
        <v>494.92</v>
      </c>
      <c r="Q2838">
        <v>23503584</v>
      </c>
      <c r="R2838">
        <v>1.58</v>
      </c>
      <c r="S2838" t="s">
        <v>181</v>
      </c>
      <c r="T2838" t="s">
        <v>774</v>
      </c>
      <c r="U2838">
        <v>4.82</v>
      </c>
      <c r="V2838">
        <v>5.73</v>
      </c>
      <c r="W2838">
        <v>17381</v>
      </c>
      <c r="X2838">
        <v>23635</v>
      </c>
      <c r="Y2838">
        <v>0.74</v>
      </c>
      <c r="Z2838">
        <v>719</v>
      </c>
      <c r="AA2838">
        <v>473</v>
      </c>
      <c r="AB2838" t="s">
        <v>116</v>
      </c>
      <c r="AC2838">
        <v>346100</v>
      </c>
      <c r="AD2838">
        <v>0.02</v>
      </c>
      <c r="AE2838" t="s">
        <v>116</v>
      </c>
      <c r="AF2838" t="s">
        <v>116</v>
      </c>
      <c r="AG2838">
        <v>3.75</v>
      </c>
      <c r="AH2838" t="s">
        <v>12651</v>
      </c>
      <c r="AI2838" t="s">
        <v>12651</v>
      </c>
      <c r="AJ2838">
        <v>2.4</v>
      </c>
      <c r="AK2838">
        <v>972</v>
      </c>
      <c r="AL2838">
        <v>42</v>
      </c>
      <c r="AM2838">
        <v>1.1000000000000001E-3</v>
      </c>
      <c r="AN2838">
        <v>2</v>
      </c>
      <c r="AO2838">
        <v>2.3199999999999998</v>
      </c>
      <c r="AP2838">
        <v>5.14</v>
      </c>
      <c r="AQ2838">
        <v>-13.18</v>
      </c>
      <c r="AR2838">
        <v>46.92</v>
      </c>
      <c r="AS2838">
        <v>1.49</v>
      </c>
      <c r="AT2838" t="s">
        <v>8622</v>
      </c>
      <c r="AU2838">
        <v>444.81</v>
      </c>
      <c r="AV2838">
        <v>421.92</v>
      </c>
      <c r="AW2838">
        <v>0.8</v>
      </c>
      <c r="BA2838">
        <v>0</v>
      </c>
      <c r="BB2838">
        <v>4.46</v>
      </c>
      <c r="BC2838">
        <v>-0.36</v>
      </c>
      <c r="BD2838">
        <v>2.33</v>
      </c>
      <c r="BE2838">
        <v>2.3199999999999998</v>
      </c>
      <c r="BF2838">
        <v>-2.0499999999999998</v>
      </c>
      <c r="BG2838">
        <v>2.69</v>
      </c>
      <c r="BH2838">
        <v>-0.01</v>
      </c>
      <c r="BI2838">
        <v>20191028</v>
      </c>
      <c r="BJ2838">
        <v>19961101</v>
      </c>
      <c r="BK2838">
        <v>3.75</v>
      </c>
      <c r="BL2838" t="s">
        <v>116</v>
      </c>
      <c r="BM2838" t="s">
        <v>116</v>
      </c>
      <c r="BN2838">
        <v>1.39</v>
      </c>
      <c r="BO2838">
        <v>0.56000000000000005</v>
      </c>
      <c r="BP2838">
        <v>0</v>
      </c>
      <c r="BQ2838">
        <v>59.5</v>
      </c>
      <c r="BR2838">
        <v>0.46</v>
      </c>
      <c r="BS2838">
        <v>0.16</v>
      </c>
      <c r="BT2838">
        <v>0.06</v>
      </c>
      <c r="BU2838">
        <v>0.83</v>
      </c>
      <c r="BV2838">
        <v>0.09</v>
      </c>
      <c r="BW2838">
        <v>0.12</v>
      </c>
      <c r="BX2838">
        <v>3.67</v>
      </c>
      <c r="BY2838">
        <v>0.2</v>
      </c>
      <c r="BZ2838">
        <v>0.13</v>
      </c>
      <c r="CA2838">
        <v>0.03</v>
      </c>
      <c r="CB2838">
        <v>0</v>
      </c>
      <c r="CC2838">
        <v>0.03</v>
      </c>
      <c r="CD2838">
        <v>0.03</v>
      </c>
      <c r="CE2838">
        <v>0.03</v>
      </c>
      <c r="CF2838">
        <v>0.03</v>
      </c>
      <c r="CG2838">
        <v>-7.27</v>
      </c>
      <c r="CH2838">
        <v>-0.08</v>
      </c>
      <c r="CI2838">
        <v>-0.18</v>
      </c>
      <c r="CJ2838">
        <v>18194</v>
      </c>
      <c r="CK2838">
        <v>15157</v>
      </c>
      <c r="CL2838" t="s">
        <v>12652</v>
      </c>
      <c r="CM2838">
        <v>-7.45</v>
      </c>
      <c r="CN2838">
        <v>-31.76</v>
      </c>
      <c r="CO2838">
        <v>38.19</v>
      </c>
      <c r="CP2838">
        <v>-263.73</v>
      </c>
      <c r="CQ2838">
        <v>110.13</v>
      </c>
      <c r="CR2838">
        <v>0</v>
      </c>
      <c r="CS2838" t="s">
        <v>930</v>
      </c>
      <c r="CT2838">
        <v>0.15</v>
      </c>
      <c r="CU2838">
        <v>0</v>
      </c>
      <c r="CV2838">
        <v>0.98</v>
      </c>
      <c r="CW2838">
        <v>-1.94</v>
      </c>
      <c r="CX2838">
        <v>-0.02</v>
      </c>
      <c r="CY2838">
        <v>40.5</v>
      </c>
      <c r="CZ2838" t="s">
        <v>7688</v>
      </c>
      <c r="DA2838">
        <v>32.200000000000003</v>
      </c>
      <c r="DB2838">
        <v>14.37</v>
      </c>
      <c r="DC2838">
        <v>16.690000000000001</v>
      </c>
      <c r="DD2838">
        <v>0</v>
      </c>
      <c r="DE2838">
        <v>67</v>
      </c>
      <c r="DF2838">
        <v>600769</v>
      </c>
      <c r="DG2838" t="s">
        <v>116</v>
      </c>
      <c r="DH2838" t="s">
        <v>116</v>
      </c>
      <c r="DI2838" t="s">
        <v>116</v>
      </c>
    </row>
    <row r="2839" spans="1:113" x14ac:dyDescent="0.4">
      <c r="A2839" t="str">
        <f>"600770"</f>
        <v>600770</v>
      </c>
      <c r="B2839" t="s">
        <v>12653</v>
      </c>
      <c r="C2839">
        <v>-2.17</v>
      </c>
      <c r="D2839">
        <v>5.42</v>
      </c>
      <c r="E2839">
        <v>-0.12</v>
      </c>
      <c r="F2839">
        <v>5.42</v>
      </c>
      <c r="G2839">
        <v>5.43</v>
      </c>
      <c r="H2839">
        <v>114488</v>
      </c>
      <c r="I2839">
        <v>1278</v>
      </c>
      <c r="J2839">
        <v>-0.36</v>
      </c>
      <c r="K2839">
        <v>0.88</v>
      </c>
      <c r="L2839">
        <v>5.53</v>
      </c>
      <c r="M2839">
        <v>5.58</v>
      </c>
      <c r="N2839">
        <v>5.42</v>
      </c>
      <c r="O2839">
        <v>5.54</v>
      </c>
      <c r="P2839">
        <v>327.29000000000002</v>
      </c>
      <c r="Q2839">
        <v>62946240</v>
      </c>
      <c r="R2839">
        <v>0.66</v>
      </c>
      <c r="S2839" t="s">
        <v>173</v>
      </c>
      <c r="T2839" t="s">
        <v>323</v>
      </c>
      <c r="U2839">
        <v>2.89</v>
      </c>
      <c r="V2839">
        <v>5.5</v>
      </c>
      <c r="W2839">
        <v>67754</v>
      </c>
      <c r="X2839">
        <v>46734</v>
      </c>
      <c r="Y2839">
        <v>1.45</v>
      </c>
      <c r="Z2839">
        <v>346</v>
      </c>
      <c r="AA2839">
        <v>927</v>
      </c>
      <c r="AB2839" t="s">
        <v>116</v>
      </c>
      <c r="AC2839">
        <v>162600</v>
      </c>
      <c r="AD2839">
        <v>0</v>
      </c>
      <c r="AE2839" t="s">
        <v>116</v>
      </c>
      <c r="AF2839" t="s">
        <v>116</v>
      </c>
      <c r="AG2839">
        <v>13</v>
      </c>
      <c r="AH2839" t="s">
        <v>12654</v>
      </c>
      <c r="AI2839" t="s">
        <v>12654</v>
      </c>
      <c r="AJ2839">
        <v>-2.09</v>
      </c>
      <c r="AK2839">
        <v>1704</v>
      </c>
      <c r="AL2839">
        <v>67</v>
      </c>
      <c r="AM2839">
        <v>5.0000000000000001E-4</v>
      </c>
      <c r="AN2839">
        <v>-1</v>
      </c>
      <c r="AO2839">
        <v>1.5</v>
      </c>
      <c r="AP2839">
        <v>7.75</v>
      </c>
      <c r="AQ2839">
        <v>-1.99</v>
      </c>
      <c r="AR2839">
        <v>15.07</v>
      </c>
      <c r="AS2839">
        <v>1.58</v>
      </c>
      <c r="AT2839" t="s">
        <v>12655</v>
      </c>
      <c r="AU2839" t="s">
        <v>116</v>
      </c>
      <c r="AV2839">
        <v>131.05000000000001</v>
      </c>
      <c r="AW2839">
        <v>1.6</v>
      </c>
      <c r="BA2839">
        <v>-0.18</v>
      </c>
      <c r="BB2839">
        <v>0.72</v>
      </c>
      <c r="BC2839">
        <v>-2.17</v>
      </c>
      <c r="BD2839">
        <v>-0.76</v>
      </c>
      <c r="BE2839">
        <v>-1.99</v>
      </c>
      <c r="BF2839">
        <v>-2.87</v>
      </c>
      <c r="BG2839">
        <v>0</v>
      </c>
      <c r="BH2839">
        <v>-1.41</v>
      </c>
      <c r="BI2839">
        <v>20191030</v>
      </c>
      <c r="BJ2839">
        <v>19961120</v>
      </c>
      <c r="BK2839">
        <v>13</v>
      </c>
      <c r="BL2839" t="s">
        <v>116</v>
      </c>
      <c r="BM2839" t="s">
        <v>116</v>
      </c>
      <c r="BN2839">
        <v>58.76</v>
      </c>
      <c r="BO2839">
        <v>34.729999999999997</v>
      </c>
      <c r="BP2839">
        <v>12.11</v>
      </c>
      <c r="BQ2839">
        <v>20.28</v>
      </c>
      <c r="BR2839">
        <v>23.69</v>
      </c>
      <c r="BS2839">
        <v>11.64</v>
      </c>
      <c r="BT2839">
        <v>1.66</v>
      </c>
      <c r="BU2839">
        <v>10.73</v>
      </c>
      <c r="BV2839">
        <v>0.88</v>
      </c>
      <c r="BW2839">
        <v>2.31</v>
      </c>
      <c r="BX2839">
        <v>22.26</v>
      </c>
      <c r="BY2839">
        <v>3.6</v>
      </c>
      <c r="BZ2839">
        <v>2.59</v>
      </c>
      <c r="CA2839">
        <v>0.54</v>
      </c>
      <c r="CB2839">
        <v>0.4</v>
      </c>
      <c r="CC2839">
        <v>0.54</v>
      </c>
      <c r="CD2839">
        <v>0.3</v>
      </c>
      <c r="CE2839">
        <v>0.16</v>
      </c>
      <c r="CF2839">
        <v>-0.02</v>
      </c>
      <c r="CG2839">
        <v>0.14000000000000001</v>
      </c>
      <c r="CH2839">
        <v>0.33</v>
      </c>
      <c r="CI2839">
        <v>0.6</v>
      </c>
      <c r="CJ2839">
        <v>76440</v>
      </c>
      <c r="CK2839">
        <v>9500</v>
      </c>
      <c r="CL2839" t="s">
        <v>3704</v>
      </c>
      <c r="CM2839">
        <v>-81.03</v>
      </c>
      <c r="CN2839">
        <v>-2.61</v>
      </c>
      <c r="CO2839">
        <v>2.0299999999999998</v>
      </c>
      <c r="CP2839">
        <v>215.49</v>
      </c>
      <c r="CQ2839">
        <v>19.55</v>
      </c>
      <c r="CR2839">
        <v>0</v>
      </c>
      <c r="CS2839" t="s">
        <v>238</v>
      </c>
      <c r="CT2839">
        <v>2.67</v>
      </c>
      <c r="CU2839">
        <v>0</v>
      </c>
      <c r="CV2839">
        <v>1.71</v>
      </c>
      <c r="CW2839">
        <v>0.01</v>
      </c>
      <c r="CX2839">
        <v>0.03</v>
      </c>
      <c r="CY2839">
        <v>59.1</v>
      </c>
      <c r="CZ2839" t="s">
        <v>10760</v>
      </c>
      <c r="DA2839">
        <v>28.2</v>
      </c>
      <c r="DB2839">
        <v>15</v>
      </c>
      <c r="DC2839">
        <v>4.4800000000000004</v>
      </c>
      <c r="DD2839">
        <v>0.21</v>
      </c>
      <c r="DE2839">
        <v>756</v>
      </c>
      <c r="DF2839">
        <v>600770</v>
      </c>
      <c r="DG2839" t="s">
        <v>116</v>
      </c>
      <c r="DH2839" t="s">
        <v>116</v>
      </c>
      <c r="DI2839" t="s">
        <v>116</v>
      </c>
    </row>
    <row r="2840" spans="1:113" x14ac:dyDescent="0.4">
      <c r="A2840" t="str">
        <f>"600771"</f>
        <v>600771</v>
      </c>
      <c r="B2840" t="s">
        <v>12656</v>
      </c>
      <c r="C2840">
        <v>-2.13</v>
      </c>
      <c r="D2840">
        <v>16.059999999999999</v>
      </c>
      <c r="E2840">
        <v>-0.35</v>
      </c>
      <c r="F2840">
        <v>16.059999999999999</v>
      </c>
      <c r="G2840">
        <v>16.07</v>
      </c>
      <c r="H2840">
        <v>59427</v>
      </c>
      <c r="I2840">
        <v>770</v>
      </c>
      <c r="J2840">
        <v>0</v>
      </c>
      <c r="K2840">
        <v>1.21</v>
      </c>
      <c r="L2840">
        <v>16.420000000000002</v>
      </c>
      <c r="M2840">
        <v>16.600000000000001</v>
      </c>
      <c r="N2840">
        <v>16.010000000000002</v>
      </c>
      <c r="O2840">
        <v>16.41</v>
      </c>
      <c r="P2840">
        <v>34.1</v>
      </c>
      <c r="Q2840">
        <v>96670464</v>
      </c>
      <c r="R2840">
        <v>1.08</v>
      </c>
      <c r="S2840" t="s">
        <v>781</v>
      </c>
      <c r="T2840" t="s">
        <v>698</v>
      </c>
      <c r="U2840">
        <v>3.6</v>
      </c>
      <c r="V2840">
        <v>16.27</v>
      </c>
      <c r="W2840">
        <v>32899</v>
      </c>
      <c r="X2840">
        <v>26528</v>
      </c>
      <c r="Y2840">
        <v>1.24</v>
      </c>
      <c r="Z2840">
        <v>19</v>
      </c>
      <c r="AA2840">
        <v>97</v>
      </c>
      <c r="AB2840" t="s">
        <v>116</v>
      </c>
      <c r="AC2840">
        <v>190800</v>
      </c>
      <c r="AD2840">
        <v>0</v>
      </c>
      <c r="AE2840" t="s">
        <v>116</v>
      </c>
      <c r="AF2840" t="s">
        <v>116</v>
      </c>
      <c r="AG2840">
        <v>4.92</v>
      </c>
      <c r="AH2840" t="s">
        <v>12657</v>
      </c>
      <c r="AI2840" t="s">
        <v>12657</v>
      </c>
      <c r="AJ2840">
        <v>-2.06</v>
      </c>
      <c r="AK2840">
        <v>2145</v>
      </c>
      <c r="AL2840">
        <v>28</v>
      </c>
      <c r="AM2840">
        <v>5.9999999999999995E-4</v>
      </c>
      <c r="AN2840">
        <v>-1</v>
      </c>
      <c r="AO2840">
        <v>5.25</v>
      </c>
      <c r="AP2840">
        <v>11.76</v>
      </c>
      <c r="AQ2840">
        <v>-0.86</v>
      </c>
      <c r="AR2840">
        <v>-22.12</v>
      </c>
      <c r="AS2840">
        <v>1.8</v>
      </c>
      <c r="AT2840" t="s">
        <v>12658</v>
      </c>
      <c r="AU2840">
        <v>24.54</v>
      </c>
      <c r="AV2840">
        <v>21.12</v>
      </c>
      <c r="AW2840">
        <v>1</v>
      </c>
      <c r="BA2840">
        <v>0.06</v>
      </c>
      <c r="BB2840">
        <v>1.1599999999999999</v>
      </c>
      <c r="BC2840">
        <v>-2.44</v>
      </c>
      <c r="BD2840">
        <v>-0.87</v>
      </c>
      <c r="BE2840">
        <v>-2.19</v>
      </c>
      <c r="BF2840">
        <v>-3.25</v>
      </c>
      <c r="BG2840">
        <v>0.31</v>
      </c>
      <c r="BH2840">
        <v>-1.26</v>
      </c>
      <c r="BI2840">
        <v>20191220</v>
      </c>
      <c r="BJ2840">
        <v>19961105</v>
      </c>
      <c r="BK2840">
        <v>4.92</v>
      </c>
      <c r="BL2840" t="s">
        <v>116</v>
      </c>
      <c r="BM2840" t="s">
        <v>116</v>
      </c>
      <c r="BN2840">
        <v>34.1</v>
      </c>
      <c r="BO2840">
        <v>24.3</v>
      </c>
      <c r="BP2840">
        <v>0.88</v>
      </c>
      <c r="BQ2840">
        <v>26.15</v>
      </c>
      <c r="BR2840">
        <v>25.02</v>
      </c>
      <c r="BS2840">
        <v>6.61</v>
      </c>
      <c r="BT2840">
        <v>0.93</v>
      </c>
      <c r="BU2840">
        <v>8.5299999999999994</v>
      </c>
      <c r="BV2840">
        <v>4.8899999999999997</v>
      </c>
      <c r="BW2840">
        <v>14.73</v>
      </c>
      <c r="BX2840">
        <v>16.149999999999999</v>
      </c>
      <c r="BY2840">
        <v>8.5399999999999991</v>
      </c>
      <c r="BZ2840">
        <v>1.86</v>
      </c>
      <c r="CA2840">
        <v>1.96</v>
      </c>
      <c r="CB2840">
        <v>-0.02</v>
      </c>
      <c r="CC2840">
        <v>2.15</v>
      </c>
      <c r="CD2840">
        <v>1.83</v>
      </c>
      <c r="CE2840">
        <v>1.74</v>
      </c>
      <c r="CF2840">
        <v>1.56</v>
      </c>
      <c r="CG2840">
        <v>3.25</v>
      </c>
      <c r="CH2840">
        <v>-1.29</v>
      </c>
      <c r="CI2840">
        <v>-0.02</v>
      </c>
      <c r="CJ2840">
        <v>29438</v>
      </c>
      <c r="CK2840">
        <v>11226</v>
      </c>
      <c r="CL2840" t="s">
        <v>12598</v>
      </c>
      <c r="CM2840">
        <v>-23.09</v>
      </c>
      <c r="CN2840">
        <v>-16.39</v>
      </c>
      <c r="CO2840">
        <v>3.25</v>
      </c>
      <c r="CP2840">
        <v>-61.4</v>
      </c>
      <c r="CQ2840">
        <v>9.25</v>
      </c>
      <c r="CR2840">
        <v>0</v>
      </c>
      <c r="CS2840" t="s">
        <v>595</v>
      </c>
      <c r="CT2840">
        <v>4.9400000000000004</v>
      </c>
      <c r="CU2840">
        <v>0</v>
      </c>
      <c r="CV2840">
        <v>3.28</v>
      </c>
      <c r="CW2840">
        <v>0.66</v>
      </c>
      <c r="CX2840">
        <v>-0.26</v>
      </c>
      <c r="CY2840">
        <v>71.27</v>
      </c>
      <c r="CZ2840" t="s">
        <v>4447</v>
      </c>
      <c r="DA2840">
        <v>78.17</v>
      </c>
      <c r="DB2840">
        <v>22.97</v>
      </c>
      <c r="DC2840">
        <v>20.350000000000001</v>
      </c>
      <c r="DD2840">
        <v>0.32</v>
      </c>
      <c r="DE2840">
        <v>3115</v>
      </c>
      <c r="DF2840">
        <v>600771</v>
      </c>
      <c r="DG2840" t="s">
        <v>116</v>
      </c>
      <c r="DH2840" t="s">
        <v>116</v>
      </c>
      <c r="DI2840" t="s">
        <v>116</v>
      </c>
    </row>
    <row r="2841" spans="1:113" x14ac:dyDescent="0.4">
      <c r="A2841" t="str">
        <f>"600773"</f>
        <v>600773</v>
      </c>
      <c r="B2841" t="s">
        <v>12659</v>
      </c>
      <c r="C2841">
        <v>2.12</v>
      </c>
      <c r="D2841">
        <v>5.77</v>
      </c>
      <c r="E2841">
        <v>0.12</v>
      </c>
      <c r="F2841">
        <v>5.76</v>
      </c>
      <c r="G2841">
        <v>5.77</v>
      </c>
      <c r="H2841">
        <v>127067</v>
      </c>
      <c r="I2841">
        <v>1665</v>
      </c>
      <c r="J2841">
        <v>0.17</v>
      </c>
      <c r="K2841">
        <v>1.7</v>
      </c>
      <c r="L2841">
        <v>5.61</v>
      </c>
      <c r="M2841">
        <v>5.9</v>
      </c>
      <c r="N2841">
        <v>5.61</v>
      </c>
      <c r="O2841">
        <v>5.65</v>
      </c>
      <c r="P2841">
        <v>49.6</v>
      </c>
      <c r="Q2841">
        <v>73231168</v>
      </c>
      <c r="R2841">
        <v>1.77</v>
      </c>
      <c r="S2841" t="s">
        <v>148</v>
      </c>
      <c r="T2841" t="s">
        <v>2028</v>
      </c>
      <c r="U2841">
        <v>5.13</v>
      </c>
      <c r="V2841">
        <v>5.76</v>
      </c>
      <c r="W2841">
        <v>60747</v>
      </c>
      <c r="X2841">
        <v>66320</v>
      </c>
      <c r="Y2841">
        <v>0.92</v>
      </c>
      <c r="Z2841">
        <v>1400</v>
      </c>
      <c r="AA2841">
        <v>254</v>
      </c>
      <c r="AB2841" t="s">
        <v>116</v>
      </c>
      <c r="AC2841">
        <v>473500</v>
      </c>
      <c r="AD2841">
        <v>0.02</v>
      </c>
      <c r="AE2841" t="s">
        <v>116</v>
      </c>
      <c r="AF2841" t="s">
        <v>116</v>
      </c>
      <c r="AG2841">
        <v>7.46</v>
      </c>
      <c r="AH2841" t="s">
        <v>12169</v>
      </c>
      <c r="AI2841" t="s">
        <v>5128</v>
      </c>
      <c r="AJ2841">
        <v>2.2000000000000002</v>
      </c>
      <c r="AK2841">
        <v>1760</v>
      </c>
      <c r="AL2841">
        <v>72</v>
      </c>
      <c r="AM2841">
        <v>1E-3</v>
      </c>
      <c r="AN2841">
        <v>2</v>
      </c>
      <c r="AO2841">
        <v>2.48</v>
      </c>
      <c r="AP2841">
        <v>8.0500000000000007</v>
      </c>
      <c r="AQ2841">
        <v>-0.52</v>
      </c>
      <c r="AR2841">
        <v>-3.59</v>
      </c>
      <c r="AS2841">
        <v>2.97</v>
      </c>
      <c r="AT2841" t="s">
        <v>6645</v>
      </c>
      <c r="AU2841">
        <v>44.92</v>
      </c>
      <c r="AV2841">
        <v>45.38</v>
      </c>
      <c r="AW2841">
        <v>1.18</v>
      </c>
      <c r="BA2841">
        <v>-0.71</v>
      </c>
      <c r="BB2841">
        <v>4.42</v>
      </c>
      <c r="BC2841">
        <v>-0.71</v>
      </c>
      <c r="BD2841">
        <v>2</v>
      </c>
      <c r="BE2841">
        <v>2.85</v>
      </c>
      <c r="BF2841">
        <v>-2.2000000000000002</v>
      </c>
      <c r="BG2841">
        <v>2.85</v>
      </c>
      <c r="BH2841">
        <v>0.12</v>
      </c>
      <c r="BI2841">
        <v>20191029</v>
      </c>
      <c r="BJ2841">
        <v>19961108</v>
      </c>
      <c r="BK2841">
        <v>8.1999999999999993</v>
      </c>
      <c r="BL2841" t="s">
        <v>116</v>
      </c>
      <c r="BM2841" t="s">
        <v>116</v>
      </c>
      <c r="BN2841">
        <v>129.09</v>
      </c>
      <c r="BO2841">
        <v>33.659999999999997</v>
      </c>
      <c r="BP2841">
        <v>-0.08</v>
      </c>
      <c r="BQ2841">
        <v>73.98</v>
      </c>
      <c r="BR2841">
        <v>109.85</v>
      </c>
      <c r="BS2841">
        <v>12.67</v>
      </c>
      <c r="BT2841">
        <v>2.44</v>
      </c>
      <c r="BU2841">
        <v>34.72</v>
      </c>
      <c r="BV2841">
        <v>89.42</v>
      </c>
      <c r="BW2841">
        <v>0.53</v>
      </c>
      <c r="BX2841">
        <v>16.420000000000002</v>
      </c>
      <c r="BY2841">
        <v>9.3800000000000008</v>
      </c>
      <c r="BZ2841">
        <v>5.44</v>
      </c>
      <c r="CA2841">
        <v>1.26</v>
      </c>
      <c r="CB2841">
        <v>7.0000000000000007E-2</v>
      </c>
      <c r="CC2841">
        <v>1.25</v>
      </c>
      <c r="CD2841">
        <v>0.69</v>
      </c>
      <c r="CE2841">
        <v>0.72</v>
      </c>
      <c r="CF2841">
        <v>0.68</v>
      </c>
      <c r="CG2841">
        <v>8.9700000000000006</v>
      </c>
      <c r="CH2841">
        <v>-1.1399999999999999</v>
      </c>
      <c r="CI2841">
        <v>9.3699999999999992</v>
      </c>
      <c r="CJ2841">
        <v>50389</v>
      </c>
      <c r="CK2841">
        <v>8495</v>
      </c>
      <c r="CL2841" t="s">
        <v>867</v>
      </c>
      <c r="CM2841">
        <v>1.51</v>
      </c>
      <c r="CN2841">
        <v>16.170000000000002</v>
      </c>
      <c r="CO2841">
        <v>1.4</v>
      </c>
      <c r="CP2841">
        <v>-41.44</v>
      </c>
      <c r="CQ2841">
        <v>5.04</v>
      </c>
      <c r="CR2841">
        <v>0.26</v>
      </c>
      <c r="CS2841" t="s">
        <v>2201</v>
      </c>
      <c r="CT2841">
        <v>4.1100000000000003</v>
      </c>
      <c r="CU2841">
        <v>0</v>
      </c>
      <c r="CV2841">
        <v>2</v>
      </c>
      <c r="CW2841">
        <v>1.0900000000000001</v>
      </c>
      <c r="CX2841">
        <v>-0.14000000000000001</v>
      </c>
      <c r="CY2841">
        <v>26.08</v>
      </c>
      <c r="CZ2841" t="s">
        <v>10661</v>
      </c>
      <c r="DA2841">
        <v>42.02</v>
      </c>
      <c r="DB2841">
        <v>13.38</v>
      </c>
      <c r="DC2841">
        <v>7.62</v>
      </c>
      <c r="DD2841">
        <v>0</v>
      </c>
      <c r="DE2841">
        <v>258</v>
      </c>
      <c r="DF2841">
        <v>600773</v>
      </c>
      <c r="DG2841" t="s">
        <v>116</v>
      </c>
      <c r="DH2841" t="s">
        <v>116</v>
      </c>
      <c r="DI2841" t="s">
        <v>116</v>
      </c>
    </row>
    <row r="2842" spans="1:113" x14ac:dyDescent="0.4">
      <c r="A2842" t="str">
        <f>"600774"</f>
        <v>600774</v>
      </c>
      <c r="B2842" t="s">
        <v>12660</v>
      </c>
      <c r="C2842">
        <v>-0.82</v>
      </c>
      <c r="D2842">
        <v>10.88</v>
      </c>
      <c r="E2842">
        <v>-0.09</v>
      </c>
      <c r="F2842">
        <v>10.86</v>
      </c>
      <c r="G2842">
        <v>10.88</v>
      </c>
      <c r="H2842">
        <v>5590</v>
      </c>
      <c r="I2842">
        <v>70</v>
      </c>
      <c r="J2842">
        <v>-0.36</v>
      </c>
      <c r="K2842">
        <v>0.25</v>
      </c>
      <c r="L2842">
        <v>11.25</v>
      </c>
      <c r="M2842">
        <v>11.25</v>
      </c>
      <c r="N2842">
        <v>10.88</v>
      </c>
      <c r="O2842">
        <v>10.97</v>
      </c>
      <c r="P2842">
        <v>67.52</v>
      </c>
      <c r="Q2842">
        <v>6211173</v>
      </c>
      <c r="R2842">
        <v>1.79</v>
      </c>
      <c r="S2842" t="s">
        <v>746</v>
      </c>
      <c r="T2842" t="s">
        <v>774</v>
      </c>
      <c r="U2842">
        <v>3.37</v>
      </c>
      <c r="V2842">
        <v>11.11</v>
      </c>
      <c r="W2842">
        <v>3399</v>
      </c>
      <c r="X2842">
        <v>2191</v>
      </c>
      <c r="Y2842">
        <v>1.55</v>
      </c>
      <c r="Z2842">
        <v>7</v>
      </c>
      <c r="AA2842">
        <v>32</v>
      </c>
      <c r="AB2842" t="s">
        <v>116</v>
      </c>
      <c r="AC2842">
        <v>843800</v>
      </c>
      <c r="AD2842">
        <v>0.13</v>
      </c>
      <c r="AE2842" t="s">
        <v>116</v>
      </c>
      <c r="AF2842" t="s">
        <v>116</v>
      </c>
      <c r="AG2842">
        <v>2.27</v>
      </c>
      <c r="AH2842" t="s">
        <v>370</v>
      </c>
      <c r="AI2842" t="s">
        <v>4812</v>
      </c>
      <c r="AJ2842">
        <v>-0.74</v>
      </c>
      <c r="AK2842">
        <v>387</v>
      </c>
      <c r="AL2842">
        <v>14</v>
      </c>
      <c r="AM2842">
        <v>5.9999999999999995E-4</v>
      </c>
      <c r="AN2842">
        <v>-1</v>
      </c>
      <c r="AO2842">
        <v>-0.01</v>
      </c>
      <c r="AP2842">
        <v>3.03</v>
      </c>
      <c r="AQ2842">
        <v>-6.53</v>
      </c>
      <c r="AR2842">
        <v>-23.06</v>
      </c>
      <c r="AS2842">
        <v>0.97</v>
      </c>
      <c r="AT2842" t="s">
        <v>12661</v>
      </c>
      <c r="AU2842">
        <v>68.650000000000006</v>
      </c>
      <c r="AV2842">
        <v>126.19</v>
      </c>
      <c r="AW2842">
        <v>1.25</v>
      </c>
      <c r="BA2842">
        <v>2.5499999999999998</v>
      </c>
      <c r="BB2842">
        <v>2.5499999999999998</v>
      </c>
      <c r="BC2842">
        <v>-0.82</v>
      </c>
      <c r="BD2842">
        <v>1.28</v>
      </c>
      <c r="BE2842">
        <v>-3.29</v>
      </c>
      <c r="BF2842">
        <v>-3.29</v>
      </c>
      <c r="BG2842">
        <v>0</v>
      </c>
      <c r="BH2842">
        <v>-2.1</v>
      </c>
      <c r="BI2842">
        <v>20191026</v>
      </c>
      <c r="BJ2842">
        <v>19961108</v>
      </c>
      <c r="BK2842">
        <v>2.27</v>
      </c>
      <c r="BL2842" t="s">
        <v>116</v>
      </c>
      <c r="BM2842" t="s">
        <v>116</v>
      </c>
      <c r="BN2842">
        <v>16.350000000000001</v>
      </c>
      <c r="BO2842">
        <v>6.18</v>
      </c>
      <c r="BP2842">
        <v>1.27</v>
      </c>
      <c r="BQ2842">
        <v>54.38</v>
      </c>
      <c r="BR2842">
        <v>1.03</v>
      </c>
      <c r="BS2842">
        <v>10.81</v>
      </c>
      <c r="BT2842">
        <v>0.45</v>
      </c>
      <c r="BU2842">
        <v>7.36</v>
      </c>
      <c r="BV2842">
        <v>0.08</v>
      </c>
      <c r="BW2842">
        <v>0.04</v>
      </c>
      <c r="BX2842">
        <v>1.29</v>
      </c>
      <c r="BY2842">
        <v>7.99</v>
      </c>
      <c r="BZ2842">
        <v>5.29</v>
      </c>
      <c r="CA2842">
        <v>0.22</v>
      </c>
      <c r="CB2842">
        <v>0.01</v>
      </c>
      <c r="CC2842">
        <v>0.45</v>
      </c>
      <c r="CD2842">
        <v>0.36</v>
      </c>
      <c r="CE2842">
        <v>0.27</v>
      </c>
      <c r="CF2842">
        <v>0.16</v>
      </c>
      <c r="CG2842">
        <v>1.81</v>
      </c>
      <c r="CH2842">
        <v>-0.27</v>
      </c>
      <c r="CI2842">
        <v>-0.81</v>
      </c>
      <c r="CJ2842">
        <v>7914</v>
      </c>
      <c r="CK2842">
        <v>7287</v>
      </c>
      <c r="CL2842" t="s">
        <v>6153</v>
      </c>
      <c r="CM2842">
        <v>148.74</v>
      </c>
      <c r="CN2842">
        <v>3.11</v>
      </c>
      <c r="CO2842">
        <v>3.99</v>
      </c>
      <c r="CP2842">
        <v>-91.92</v>
      </c>
      <c r="CQ2842">
        <v>3.09</v>
      </c>
      <c r="CR2842">
        <v>0.28000000000000003</v>
      </c>
      <c r="CS2842" t="s">
        <v>6965</v>
      </c>
      <c r="CT2842">
        <v>2.72</v>
      </c>
      <c r="CU2842">
        <v>0</v>
      </c>
      <c r="CV2842">
        <v>0.56999999999999995</v>
      </c>
      <c r="CW2842">
        <v>0.8</v>
      </c>
      <c r="CX2842">
        <v>-0.12</v>
      </c>
      <c r="CY2842">
        <v>37.83</v>
      </c>
      <c r="CZ2842" t="s">
        <v>1080</v>
      </c>
      <c r="DA2842">
        <v>33.83</v>
      </c>
      <c r="DB2842">
        <v>2.78</v>
      </c>
      <c r="DC2842">
        <v>3.43</v>
      </c>
      <c r="DD2842">
        <v>0</v>
      </c>
      <c r="DE2842">
        <v>1174</v>
      </c>
      <c r="DF2842">
        <v>600774</v>
      </c>
      <c r="DG2842" t="s">
        <v>116</v>
      </c>
      <c r="DH2842" t="s">
        <v>116</v>
      </c>
      <c r="DI2842" t="s">
        <v>116</v>
      </c>
    </row>
    <row r="2843" spans="1:113" x14ac:dyDescent="0.4">
      <c r="A2843" t="str">
        <f>"600775"</f>
        <v>600775</v>
      </c>
      <c r="B2843" t="s">
        <v>12662</v>
      </c>
      <c r="C2843">
        <v>-1.1599999999999999</v>
      </c>
      <c r="D2843">
        <v>10.199999999999999</v>
      </c>
      <c r="E2843">
        <v>-0.12</v>
      </c>
      <c r="F2843">
        <v>10.199999999999999</v>
      </c>
      <c r="G2843">
        <v>10.210000000000001</v>
      </c>
      <c r="H2843">
        <v>107755</v>
      </c>
      <c r="I2843">
        <v>1392</v>
      </c>
      <c r="J2843">
        <v>0.2</v>
      </c>
      <c r="K2843">
        <v>1.6</v>
      </c>
      <c r="L2843">
        <v>10.38</v>
      </c>
      <c r="M2843">
        <v>10.46</v>
      </c>
      <c r="N2843">
        <v>10.17</v>
      </c>
      <c r="O2843">
        <v>10.32</v>
      </c>
      <c r="P2843">
        <v>147.69</v>
      </c>
      <c r="Q2843">
        <v>111491552</v>
      </c>
      <c r="R2843">
        <v>1.1599999999999999</v>
      </c>
      <c r="S2843" t="s">
        <v>465</v>
      </c>
      <c r="T2843" t="s">
        <v>323</v>
      </c>
      <c r="U2843">
        <v>2.81</v>
      </c>
      <c r="V2843">
        <v>10.35</v>
      </c>
      <c r="W2843">
        <v>66650</v>
      </c>
      <c r="X2843">
        <v>41105</v>
      </c>
      <c r="Y2843">
        <v>1.62</v>
      </c>
      <c r="Z2843">
        <v>482</v>
      </c>
      <c r="AA2843">
        <v>259</v>
      </c>
      <c r="AB2843" t="s">
        <v>116</v>
      </c>
      <c r="AC2843">
        <v>341500</v>
      </c>
      <c r="AD2843">
        <v>0.01</v>
      </c>
      <c r="AE2843" t="s">
        <v>116</v>
      </c>
      <c r="AF2843" t="s">
        <v>116</v>
      </c>
      <c r="AG2843">
        <v>6.72</v>
      </c>
      <c r="AH2843" t="s">
        <v>12663</v>
      </c>
      <c r="AI2843" t="s">
        <v>12663</v>
      </c>
      <c r="AJ2843">
        <v>-1.0900000000000001</v>
      </c>
      <c r="AK2843">
        <v>2380</v>
      </c>
      <c r="AL2843">
        <v>45</v>
      </c>
      <c r="AM2843">
        <v>6.9999999999999999E-4</v>
      </c>
      <c r="AN2843">
        <v>-1</v>
      </c>
      <c r="AO2843">
        <v>0</v>
      </c>
      <c r="AP2843">
        <v>6.36</v>
      </c>
      <c r="AQ2843">
        <v>-8.11</v>
      </c>
      <c r="AR2843">
        <v>27.02</v>
      </c>
      <c r="AS2843">
        <v>2.88</v>
      </c>
      <c r="AT2843" t="s">
        <v>6301</v>
      </c>
      <c r="AU2843">
        <v>72.78</v>
      </c>
      <c r="AV2843">
        <v>57.55</v>
      </c>
      <c r="AW2843">
        <v>1.71</v>
      </c>
      <c r="BA2843">
        <v>0.57999999999999996</v>
      </c>
      <c r="BB2843">
        <v>1.36</v>
      </c>
      <c r="BC2843">
        <v>-1.45</v>
      </c>
      <c r="BD2843">
        <v>0.26</v>
      </c>
      <c r="BE2843">
        <v>-1.73</v>
      </c>
      <c r="BF2843">
        <v>-2.4900000000000002</v>
      </c>
      <c r="BG2843">
        <v>0.28999999999999998</v>
      </c>
      <c r="BH2843">
        <v>-1.42</v>
      </c>
      <c r="BI2843">
        <v>20191031</v>
      </c>
      <c r="BJ2843">
        <v>19961118</v>
      </c>
      <c r="BK2843">
        <v>9.14</v>
      </c>
      <c r="BL2843" t="s">
        <v>116</v>
      </c>
      <c r="BM2843">
        <v>2.42</v>
      </c>
      <c r="BN2843">
        <v>64.05</v>
      </c>
      <c r="BO2843">
        <v>34.43</v>
      </c>
      <c r="BP2843">
        <v>2.38</v>
      </c>
      <c r="BQ2843">
        <v>42.54</v>
      </c>
      <c r="BR2843">
        <v>48.01</v>
      </c>
      <c r="BS2843">
        <v>8.82</v>
      </c>
      <c r="BT2843">
        <v>1.07</v>
      </c>
      <c r="BU2843">
        <v>26.94</v>
      </c>
      <c r="BV2843">
        <v>9.2100000000000009</v>
      </c>
      <c r="BW2843">
        <v>11.13</v>
      </c>
      <c r="BX2843">
        <v>14.71</v>
      </c>
      <c r="BY2843">
        <v>32.03</v>
      </c>
      <c r="BZ2843">
        <v>27.6</v>
      </c>
      <c r="CA2843">
        <v>1.21</v>
      </c>
      <c r="CB2843">
        <v>0.57999999999999996</v>
      </c>
      <c r="CC2843">
        <v>1.25</v>
      </c>
      <c r="CD2843">
        <v>0.94</v>
      </c>
      <c r="CE2843">
        <v>0.47</v>
      </c>
      <c r="CF2843">
        <v>0.3</v>
      </c>
      <c r="CG2843">
        <v>7.99</v>
      </c>
      <c r="CH2843">
        <v>-3.25</v>
      </c>
      <c r="CI2843">
        <v>-3.11</v>
      </c>
      <c r="CJ2843">
        <v>89398</v>
      </c>
      <c r="CK2843">
        <v>4183</v>
      </c>
      <c r="CL2843" t="s">
        <v>4052</v>
      </c>
      <c r="CM2843">
        <v>-41.73</v>
      </c>
      <c r="CN2843">
        <v>3.67</v>
      </c>
      <c r="CO2843">
        <v>2.71</v>
      </c>
      <c r="CP2843">
        <v>-28.67</v>
      </c>
      <c r="CQ2843">
        <v>2.91</v>
      </c>
      <c r="CR2843">
        <v>0.78</v>
      </c>
      <c r="CS2843" t="s">
        <v>8613</v>
      </c>
      <c r="CT2843">
        <v>3.77</v>
      </c>
      <c r="CU2843">
        <v>0</v>
      </c>
      <c r="CV2843">
        <v>1.61</v>
      </c>
      <c r="CW2843">
        <v>0.87</v>
      </c>
      <c r="CX2843">
        <v>-0.36</v>
      </c>
      <c r="CY2843">
        <v>53.75</v>
      </c>
      <c r="CZ2843" t="s">
        <v>5021</v>
      </c>
      <c r="DA2843">
        <v>13.83</v>
      </c>
      <c r="DB2843">
        <v>3.77</v>
      </c>
      <c r="DC2843">
        <v>1.48</v>
      </c>
      <c r="DD2843">
        <v>1.6</v>
      </c>
      <c r="DE2843">
        <v>3507</v>
      </c>
      <c r="DF2843">
        <v>600775</v>
      </c>
      <c r="DG2843" t="s">
        <v>116</v>
      </c>
      <c r="DH2843" t="s">
        <v>116</v>
      </c>
      <c r="DI2843" t="s">
        <v>116</v>
      </c>
    </row>
    <row r="2844" spans="1:113" x14ac:dyDescent="0.4">
      <c r="A2844" t="str">
        <f>"600776"</f>
        <v>600776</v>
      </c>
      <c r="B2844" t="s">
        <v>12664</v>
      </c>
      <c r="C2844">
        <v>-1.75</v>
      </c>
      <c r="D2844">
        <v>20.83</v>
      </c>
      <c r="E2844">
        <v>-0.37</v>
      </c>
      <c r="F2844">
        <v>20.82</v>
      </c>
      <c r="G2844">
        <v>20.83</v>
      </c>
      <c r="H2844">
        <v>193139</v>
      </c>
      <c r="I2844">
        <v>3371</v>
      </c>
      <c r="J2844">
        <v>-0.09</v>
      </c>
      <c r="K2844">
        <v>2.02</v>
      </c>
      <c r="L2844">
        <v>21.25</v>
      </c>
      <c r="M2844">
        <v>21.4</v>
      </c>
      <c r="N2844">
        <v>20.8</v>
      </c>
      <c r="O2844">
        <v>21.2</v>
      </c>
      <c r="P2844">
        <v>364.74</v>
      </c>
      <c r="Q2844">
        <v>408511808</v>
      </c>
      <c r="R2844">
        <v>0.75</v>
      </c>
      <c r="S2844" t="s">
        <v>465</v>
      </c>
      <c r="T2844" t="s">
        <v>590</v>
      </c>
      <c r="U2844">
        <v>2.83</v>
      </c>
      <c r="V2844">
        <v>21.15</v>
      </c>
      <c r="W2844">
        <v>106695</v>
      </c>
      <c r="X2844">
        <v>86444</v>
      </c>
      <c r="Y2844">
        <v>1.23</v>
      </c>
      <c r="Z2844">
        <v>324</v>
      </c>
      <c r="AA2844">
        <v>1218</v>
      </c>
      <c r="AB2844" t="s">
        <v>116</v>
      </c>
      <c r="AC2844">
        <v>1109300</v>
      </c>
      <c r="AD2844">
        <v>0.01</v>
      </c>
      <c r="AE2844" t="s">
        <v>116</v>
      </c>
      <c r="AF2844" t="s">
        <v>116</v>
      </c>
      <c r="AG2844">
        <v>9.56</v>
      </c>
      <c r="AH2844" t="s">
        <v>12665</v>
      </c>
      <c r="AI2844" t="s">
        <v>12666</v>
      </c>
      <c r="AJ2844">
        <v>-1.67</v>
      </c>
      <c r="AK2844">
        <v>4027</v>
      </c>
      <c r="AL2844">
        <v>48</v>
      </c>
      <c r="AM2844">
        <v>5.0000000000000001E-4</v>
      </c>
      <c r="AN2844">
        <v>-3</v>
      </c>
      <c r="AO2844">
        <v>-2.8</v>
      </c>
      <c r="AP2844">
        <v>9.4</v>
      </c>
      <c r="AQ2844">
        <v>2.11</v>
      </c>
      <c r="AR2844">
        <v>82.56</v>
      </c>
      <c r="AS2844">
        <v>4.74</v>
      </c>
      <c r="AT2844" t="s">
        <v>12667</v>
      </c>
      <c r="AU2844">
        <v>250.36</v>
      </c>
      <c r="AV2844">
        <v>205.35</v>
      </c>
      <c r="AW2844">
        <v>1.39</v>
      </c>
      <c r="BA2844">
        <v>0.24</v>
      </c>
      <c r="BB2844">
        <v>0.94</v>
      </c>
      <c r="BC2844">
        <v>-1.89</v>
      </c>
      <c r="BD2844">
        <v>-0.23</v>
      </c>
      <c r="BE2844">
        <v>-1.98</v>
      </c>
      <c r="BF2844">
        <v>-2.66</v>
      </c>
      <c r="BG2844">
        <v>0.14000000000000001</v>
      </c>
      <c r="BH2844">
        <v>-1.52</v>
      </c>
      <c r="BI2844">
        <v>20191029</v>
      </c>
      <c r="BJ2844">
        <v>19961126</v>
      </c>
      <c r="BK2844">
        <v>12.56</v>
      </c>
      <c r="BL2844">
        <v>3</v>
      </c>
      <c r="BM2844" t="s">
        <v>116</v>
      </c>
      <c r="BN2844">
        <v>37.659999999999997</v>
      </c>
      <c r="BO2844">
        <v>30.52</v>
      </c>
      <c r="BP2844">
        <v>0.42</v>
      </c>
      <c r="BQ2844">
        <v>17.850000000000001</v>
      </c>
      <c r="BR2844">
        <v>29.19</v>
      </c>
      <c r="BS2844">
        <v>2.06</v>
      </c>
      <c r="BT2844">
        <v>0.98</v>
      </c>
      <c r="BU2844">
        <v>6.68</v>
      </c>
      <c r="BV2844">
        <v>8.7899999999999991</v>
      </c>
      <c r="BW2844">
        <v>11.05</v>
      </c>
      <c r="BX2844">
        <v>8.9700000000000006</v>
      </c>
      <c r="BY2844">
        <v>18.03</v>
      </c>
      <c r="BZ2844">
        <v>15.54</v>
      </c>
      <c r="CA2844">
        <v>0.64</v>
      </c>
      <c r="CB2844">
        <v>0.12</v>
      </c>
      <c r="CC2844">
        <v>0.7</v>
      </c>
      <c r="CD2844">
        <v>0.55000000000000004</v>
      </c>
      <c r="CE2844">
        <v>0.54</v>
      </c>
      <c r="CF2844">
        <v>0.41</v>
      </c>
      <c r="CG2844">
        <v>7.74</v>
      </c>
      <c r="CH2844">
        <v>-2.97</v>
      </c>
      <c r="CI2844">
        <v>0.86</v>
      </c>
      <c r="CJ2844">
        <v>178998</v>
      </c>
      <c r="CK2844">
        <v>3955</v>
      </c>
      <c r="CL2844" t="s">
        <v>12668</v>
      </c>
      <c r="CM2844">
        <v>-29.86</v>
      </c>
      <c r="CN2844">
        <v>15.43</v>
      </c>
      <c r="CO2844">
        <v>8.57</v>
      </c>
      <c r="CP2844">
        <v>-88.19</v>
      </c>
      <c r="CQ2844">
        <v>14.51</v>
      </c>
      <c r="CR2844">
        <v>0.28999999999999998</v>
      </c>
      <c r="CS2844" t="s">
        <v>1533</v>
      </c>
      <c r="CT2844">
        <v>2.4300000000000002</v>
      </c>
      <c r="CU2844">
        <v>0</v>
      </c>
      <c r="CV2844">
        <v>0.71</v>
      </c>
      <c r="CW2844">
        <v>0.62</v>
      </c>
      <c r="CX2844">
        <v>-0.24</v>
      </c>
      <c r="CY2844">
        <v>81.040000000000006</v>
      </c>
      <c r="CZ2844" t="s">
        <v>6023</v>
      </c>
      <c r="DA2844">
        <v>13.8</v>
      </c>
      <c r="DB2844">
        <v>3.54</v>
      </c>
      <c r="DC2844">
        <v>2.98</v>
      </c>
      <c r="DD2844">
        <v>1.03</v>
      </c>
      <c r="DE2844">
        <v>2548</v>
      </c>
      <c r="DF2844">
        <v>600776</v>
      </c>
      <c r="DG2844" t="s">
        <v>116</v>
      </c>
      <c r="DH2844" t="s">
        <v>116</v>
      </c>
      <c r="DI2844" t="s">
        <v>116</v>
      </c>
    </row>
    <row r="2845" spans="1:113" x14ac:dyDescent="0.4">
      <c r="A2845" t="str">
        <f>"600777"</f>
        <v>600777</v>
      </c>
      <c r="B2845" t="s">
        <v>12669</v>
      </c>
      <c r="C2845">
        <v>0</v>
      </c>
      <c r="D2845">
        <v>2.0699999999999998</v>
      </c>
      <c r="E2845">
        <v>0</v>
      </c>
      <c r="F2845">
        <v>2.06</v>
      </c>
      <c r="G2845">
        <v>2.0699999999999998</v>
      </c>
      <c r="H2845">
        <v>585187</v>
      </c>
      <c r="I2845">
        <v>3154</v>
      </c>
      <c r="J2845">
        <v>0</v>
      </c>
      <c r="K2845">
        <v>1.44</v>
      </c>
      <c r="L2845">
        <v>2.0699999999999998</v>
      </c>
      <c r="M2845">
        <v>2.1</v>
      </c>
      <c r="N2845">
        <v>2.06</v>
      </c>
      <c r="O2845">
        <v>2.0699999999999998</v>
      </c>
      <c r="P2845">
        <v>10.55</v>
      </c>
      <c r="Q2845">
        <v>121540504</v>
      </c>
      <c r="R2845">
        <v>1.58</v>
      </c>
      <c r="S2845" t="s">
        <v>4171</v>
      </c>
      <c r="T2845" t="s">
        <v>645</v>
      </c>
      <c r="U2845">
        <v>1.93</v>
      </c>
      <c r="V2845">
        <v>2.08</v>
      </c>
      <c r="W2845">
        <v>228341</v>
      </c>
      <c r="X2845">
        <v>356847</v>
      </c>
      <c r="Y2845">
        <v>0.64</v>
      </c>
      <c r="Z2845">
        <v>41734</v>
      </c>
      <c r="AA2845">
        <v>7618</v>
      </c>
      <c r="AB2845" t="s">
        <v>116</v>
      </c>
      <c r="AC2845">
        <v>551900</v>
      </c>
      <c r="AD2845">
        <v>0.01</v>
      </c>
      <c r="AE2845" t="s">
        <v>116</v>
      </c>
      <c r="AF2845" t="s">
        <v>116</v>
      </c>
      <c r="AG2845">
        <v>40.51</v>
      </c>
      <c r="AH2845" t="s">
        <v>12670</v>
      </c>
      <c r="AI2845" t="s">
        <v>12671</v>
      </c>
      <c r="AJ2845">
        <v>0.08</v>
      </c>
      <c r="AK2845">
        <v>2601</v>
      </c>
      <c r="AL2845">
        <v>225</v>
      </c>
      <c r="AM2845">
        <v>5.9999999999999995E-4</v>
      </c>
      <c r="AN2845">
        <v>0</v>
      </c>
      <c r="AO2845">
        <v>0.49</v>
      </c>
      <c r="AP2845">
        <v>1.97</v>
      </c>
      <c r="AQ2845">
        <v>1.97</v>
      </c>
      <c r="AR2845">
        <v>8.3800000000000008</v>
      </c>
      <c r="AS2845">
        <v>1.66</v>
      </c>
      <c r="AT2845" t="s">
        <v>12672</v>
      </c>
      <c r="AU2845">
        <v>14.81</v>
      </c>
      <c r="AV2845">
        <v>23.43</v>
      </c>
      <c r="AW2845">
        <v>1.07</v>
      </c>
      <c r="BA2845">
        <v>0</v>
      </c>
      <c r="BB2845">
        <v>1.45</v>
      </c>
      <c r="BC2845">
        <v>-0.48</v>
      </c>
      <c r="BD2845">
        <v>0.34</v>
      </c>
      <c r="BE2845">
        <v>0</v>
      </c>
      <c r="BF2845">
        <v>-1.43</v>
      </c>
      <c r="BG2845">
        <v>0.49</v>
      </c>
      <c r="BH2845">
        <v>-0.34</v>
      </c>
      <c r="BI2845">
        <v>20191029</v>
      </c>
      <c r="BJ2845">
        <v>19961121</v>
      </c>
      <c r="BK2845">
        <v>68</v>
      </c>
      <c r="BL2845" t="s">
        <v>116</v>
      </c>
      <c r="BM2845" t="s">
        <v>116</v>
      </c>
      <c r="BN2845">
        <v>286.66000000000003</v>
      </c>
      <c r="BO2845">
        <v>163</v>
      </c>
      <c r="BP2845">
        <v>0</v>
      </c>
      <c r="BQ2845">
        <v>43.14</v>
      </c>
      <c r="BR2845">
        <v>29.27</v>
      </c>
      <c r="BS2845">
        <v>8.6</v>
      </c>
      <c r="BT2845">
        <v>0.15</v>
      </c>
      <c r="BU2845">
        <v>25.14</v>
      </c>
      <c r="BV2845">
        <v>0.3</v>
      </c>
      <c r="BW2845">
        <v>7.72</v>
      </c>
      <c r="BX2845">
        <v>66.569999999999993</v>
      </c>
      <c r="BY2845">
        <v>43.8</v>
      </c>
      <c r="BZ2845">
        <v>22.37</v>
      </c>
      <c r="CA2845">
        <v>12.75</v>
      </c>
      <c r="CB2845">
        <v>0</v>
      </c>
      <c r="CC2845">
        <v>12.76</v>
      </c>
      <c r="CD2845">
        <v>10.01</v>
      </c>
      <c r="CE2845">
        <v>10.01</v>
      </c>
      <c r="CF2845">
        <v>10.01</v>
      </c>
      <c r="CG2845">
        <v>17.95</v>
      </c>
      <c r="CH2845">
        <v>29.39</v>
      </c>
      <c r="CI2845">
        <v>8.82</v>
      </c>
      <c r="CJ2845">
        <v>98986</v>
      </c>
      <c r="CK2845">
        <v>35553</v>
      </c>
      <c r="CL2845" t="s">
        <v>3530</v>
      </c>
      <c r="CM2845">
        <v>53.74</v>
      </c>
      <c r="CN2845">
        <v>23.01</v>
      </c>
      <c r="CO2845">
        <v>0.86</v>
      </c>
      <c r="CP2845">
        <v>4.79</v>
      </c>
      <c r="CQ2845">
        <v>3.21</v>
      </c>
      <c r="CR2845">
        <v>0</v>
      </c>
      <c r="CS2845" t="s">
        <v>2902</v>
      </c>
      <c r="CT2845">
        <v>2.4</v>
      </c>
      <c r="CU2845">
        <v>0</v>
      </c>
      <c r="CV2845">
        <v>0.98</v>
      </c>
      <c r="CW2845">
        <v>0.26</v>
      </c>
      <c r="CX2845">
        <v>0.43</v>
      </c>
      <c r="CY2845">
        <v>56.86</v>
      </c>
      <c r="CZ2845" t="s">
        <v>2111</v>
      </c>
      <c r="DA2845">
        <v>48.92</v>
      </c>
      <c r="DB2845">
        <v>29.1</v>
      </c>
      <c r="DC2845">
        <v>22.85</v>
      </c>
      <c r="DD2845">
        <v>0</v>
      </c>
      <c r="DE2845">
        <v>194</v>
      </c>
      <c r="DF2845">
        <v>600777</v>
      </c>
      <c r="DG2845" t="s">
        <v>116</v>
      </c>
      <c r="DH2845" t="s">
        <v>116</v>
      </c>
      <c r="DI2845" t="s">
        <v>116</v>
      </c>
    </row>
    <row r="2846" spans="1:113" x14ac:dyDescent="0.4">
      <c r="A2846" t="str">
        <f>"600778"</f>
        <v>600778</v>
      </c>
      <c r="B2846" t="s">
        <v>12673</v>
      </c>
      <c r="C2846">
        <v>-0.37</v>
      </c>
      <c r="D2846">
        <v>5.34</v>
      </c>
      <c r="E2846">
        <v>-0.02</v>
      </c>
      <c r="F2846">
        <v>5.34</v>
      </c>
      <c r="G2846">
        <v>5.35</v>
      </c>
      <c r="H2846">
        <v>33613</v>
      </c>
      <c r="I2846">
        <v>775</v>
      </c>
      <c r="J2846">
        <v>-0.18</v>
      </c>
      <c r="K2846">
        <v>1.08</v>
      </c>
      <c r="L2846">
        <v>5.36</v>
      </c>
      <c r="M2846">
        <v>5.45</v>
      </c>
      <c r="N2846">
        <v>5.33</v>
      </c>
      <c r="O2846">
        <v>5.36</v>
      </c>
      <c r="P2846">
        <v>9.5299999999999994</v>
      </c>
      <c r="Q2846">
        <v>18099208</v>
      </c>
      <c r="R2846">
        <v>1.1499999999999999</v>
      </c>
      <c r="S2846" t="s">
        <v>746</v>
      </c>
      <c r="T2846" t="s">
        <v>616</v>
      </c>
      <c r="U2846">
        <v>2.2400000000000002</v>
      </c>
      <c r="V2846">
        <v>5.38</v>
      </c>
      <c r="W2846">
        <v>18520</v>
      </c>
      <c r="X2846">
        <v>15093</v>
      </c>
      <c r="Y2846">
        <v>1.23</v>
      </c>
      <c r="Z2846">
        <v>63</v>
      </c>
      <c r="AA2846">
        <v>254</v>
      </c>
      <c r="AB2846" t="s">
        <v>116</v>
      </c>
      <c r="AC2846">
        <v>80400</v>
      </c>
      <c r="AD2846">
        <v>0.01</v>
      </c>
      <c r="AE2846" t="s">
        <v>116</v>
      </c>
      <c r="AF2846" t="s">
        <v>116</v>
      </c>
      <c r="AG2846">
        <v>3.11</v>
      </c>
      <c r="AH2846" t="s">
        <v>12674</v>
      </c>
      <c r="AI2846" t="s">
        <v>12675</v>
      </c>
      <c r="AJ2846">
        <v>-0.3</v>
      </c>
      <c r="AK2846">
        <v>1000</v>
      </c>
      <c r="AL2846">
        <v>34</v>
      </c>
      <c r="AM2846">
        <v>1.1000000000000001E-3</v>
      </c>
      <c r="AN2846">
        <v>-1</v>
      </c>
      <c r="AO2846">
        <v>-0.18</v>
      </c>
      <c r="AP2846">
        <v>4.5</v>
      </c>
      <c r="AQ2846">
        <v>8.76</v>
      </c>
      <c r="AR2846">
        <v>18.14</v>
      </c>
      <c r="AS2846">
        <v>1.69</v>
      </c>
      <c r="AT2846" t="s">
        <v>12676</v>
      </c>
      <c r="AU2846">
        <v>19.25</v>
      </c>
      <c r="AV2846">
        <v>46</v>
      </c>
      <c r="AW2846">
        <v>1.96</v>
      </c>
      <c r="BA2846">
        <v>0</v>
      </c>
      <c r="BB2846">
        <v>1.68</v>
      </c>
      <c r="BC2846">
        <v>-0.56000000000000005</v>
      </c>
      <c r="BD2846">
        <v>0.46</v>
      </c>
      <c r="BE2846">
        <v>-0.37</v>
      </c>
      <c r="BF2846">
        <v>-2.02</v>
      </c>
      <c r="BG2846">
        <v>0.19</v>
      </c>
      <c r="BH2846">
        <v>-0.83</v>
      </c>
      <c r="BI2846">
        <v>20191024</v>
      </c>
      <c r="BJ2846">
        <v>19961203</v>
      </c>
      <c r="BK2846">
        <v>3.11</v>
      </c>
      <c r="BL2846" t="s">
        <v>116</v>
      </c>
      <c r="BM2846" t="s">
        <v>116</v>
      </c>
      <c r="BN2846">
        <v>50.08</v>
      </c>
      <c r="BO2846">
        <v>8.9499999999999993</v>
      </c>
      <c r="BP2846">
        <v>0.2</v>
      </c>
      <c r="BQ2846">
        <v>81.739999999999995</v>
      </c>
      <c r="BR2846">
        <v>14.95</v>
      </c>
      <c r="BS2846">
        <v>16.989999999999998</v>
      </c>
      <c r="BT2846">
        <v>2.14</v>
      </c>
      <c r="BU2846">
        <v>30.82</v>
      </c>
      <c r="BV2846">
        <v>5.13</v>
      </c>
      <c r="BW2846">
        <v>0.33</v>
      </c>
      <c r="BX2846">
        <v>4.04</v>
      </c>
      <c r="BY2846">
        <v>37.86</v>
      </c>
      <c r="BZ2846">
        <v>28.17</v>
      </c>
      <c r="CA2846">
        <v>1.51</v>
      </c>
      <c r="CB2846">
        <v>0.04</v>
      </c>
      <c r="CC2846">
        <v>1.54</v>
      </c>
      <c r="CD2846">
        <v>1.37</v>
      </c>
      <c r="CE2846">
        <v>1.31</v>
      </c>
      <c r="CF2846">
        <v>0.17</v>
      </c>
      <c r="CG2846">
        <v>0.73</v>
      </c>
      <c r="CH2846">
        <v>1.95</v>
      </c>
      <c r="CI2846">
        <v>0.66</v>
      </c>
      <c r="CJ2846">
        <v>20730</v>
      </c>
      <c r="CK2846">
        <v>9621</v>
      </c>
      <c r="CL2846" t="s">
        <v>820</v>
      </c>
      <c r="CM2846">
        <v>62.34</v>
      </c>
      <c r="CN2846">
        <v>-9.4700000000000006</v>
      </c>
      <c r="CO2846">
        <v>1.86</v>
      </c>
      <c r="CP2846">
        <v>8.5500000000000007</v>
      </c>
      <c r="CQ2846">
        <v>0.44</v>
      </c>
      <c r="CR2846">
        <v>0</v>
      </c>
      <c r="CS2846" t="s">
        <v>2820</v>
      </c>
      <c r="CT2846">
        <v>2.87</v>
      </c>
      <c r="CU2846">
        <v>0</v>
      </c>
      <c r="CV2846">
        <v>1.3</v>
      </c>
      <c r="CW2846">
        <v>0.23</v>
      </c>
      <c r="CX2846">
        <v>0.62</v>
      </c>
      <c r="CY2846">
        <v>17.87</v>
      </c>
      <c r="CZ2846" t="s">
        <v>12677</v>
      </c>
      <c r="DA2846">
        <v>25.58</v>
      </c>
      <c r="DB2846">
        <v>3.98</v>
      </c>
      <c r="DC2846">
        <v>3.46</v>
      </c>
      <c r="DD2846">
        <v>0</v>
      </c>
      <c r="DE2846">
        <v>3457</v>
      </c>
      <c r="DF2846">
        <v>600778</v>
      </c>
      <c r="DG2846" t="s">
        <v>116</v>
      </c>
      <c r="DH2846" t="s">
        <v>116</v>
      </c>
      <c r="DI2846" t="s">
        <v>116</v>
      </c>
    </row>
    <row r="2847" spans="1:113" x14ac:dyDescent="0.4">
      <c r="A2847" t="str">
        <f>"600779"</f>
        <v>600779</v>
      </c>
      <c r="B2847" t="s">
        <v>12678</v>
      </c>
      <c r="C2847">
        <v>-0.66</v>
      </c>
      <c r="D2847">
        <v>51.49</v>
      </c>
      <c r="E2847">
        <v>-0.34</v>
      </c>
      <c r="F2847">
        <v>51.49</v>
      </c>
      <c r="G2847">
        <v>51.5</v>
      </c>
      <c r="H2847">
        <v>58694</v>
      </c>
      <c r="I2847">
        <v>349</v>
      </c>
      <c r="J2847">
        <v>-0.01</v>
      </c>
      <c r="K2847">
        <v>1.2</v>
      </c>
      <c r="L2847">
        <v>51.71</v>
      </c>
      <c r="M2847">
        <v>52.74</v>
      </c>
      <c r="N2847">
        <v>51.4</v>
      </c>
      <c r="O2847">
        <v>51.83</v>
      </c>
      <c r="P2847">
        <v>29.52</v>
      </c>
      <c r="Q2847">
        <v>305048288</v>
      </c>
      <c r="R2847">
        <v>1.8</v>
      </c>
      <c r="S2847" t="s">
        <v>1212</v>
      </c>
      <c r="T2847" t="s">
        <v>582</v>
      </c>
      <c r="U2847">
        <v>2.59</v>
      </c>
      <c r="V2847">
        <v>51.97</v>
      </c>
      <c r="W2847">
        <v>33744</v>
      </c>
      <c r="X2847">
        <v>24950</v>
      </c>
      <c r="Y2847">
        <v>1.35</v>
      </c>
      <c r="Z2847">
        <v>446</v>
      </c>
      <c r="AA2847">
        <v>11</v>
      </c>
      <c r="AB2847" t="s">
        <v>116</v>
      </c>
      <c r="AC2847">
        <v>543000</v>
      </c>
      <c r="AD2847">
        <v>0.01</v>
      </c>
      <c r="AE2847" t="s">
        <v>116</v>
      </c>
      <c r="AF2847" t="s">
        <v>116</v>
      </c>
      <c r="AG2847">
        <v>4.88</v>
      </c>
      <c r="AH2847" t="s">
        <v>12679</v>
      </c>
      <c r="AI2847" t="s">
        <v>12680</v>
      </c>
      <c r="AJ2847">
        <v>-0.57999999999999996</v>
      </c>
      <c r="AK2847">
        <v>3977</v>
      </c>
      <c r="AL2847">
        <v>15</v>
      </c>
      <c r="AM2847">
        <v>2.9999999999999997E-4</v>
      </c>
      <c r="AN2847">
        <v>-2</v>
      </c>
      <c r="AO2847">
        <v>-0.57999999999999996</v>
      </c>
      <c r="AP2847">
        <v>-8.66</v>
      </c>
      <c r="AQ2847">
        <v>12.37</v>
      </c>
      <c r="AR2847">
        <v>68.66</v>
      </c>
      <c r="AS2847">
        <v>3.26</v>
      </c>
      <c r="AT2847" t="s">
        <v>10963</v>
      </c>
      <c r="AU2847">
        <v>33.28</v>
      </c>
      <c r="AV2847">
        <v>43.41</v>
      </c>
      <c r="AW2847">
        <v>0.75</v>
      </c>
      <c r="BA2847">
        <v>-0.23</v>
      </c>
      <c r="BB2847">
        <v>1.76</v>
      </c>
      <c r="BC2847">
        <v>-0.83</v>
      </c>
      <c r="BD2847">
        <v>0.28000000000000003</v>
      </c>
      <c r="BE2847">
        <v>-0.43</v>
      </c>
      <c r="BF2847">
        <v>-2.37</v>
      </c>
      <c r="BG2847">
        <v>0.18</v>
      </c>
      <c r="BH2847">
        <v>-0.93</v>
      </c>
      <c r="BI2847">
        <v>20191026</v>
      </c>
      <c r="BJ2847">
        <v>19961206</v>
      </c>
      <c r="BK2847">
        <v>4.8899999999999997</v>
      </c>
      <c r="BL2847" t="s">
        <v>116</v>
      </c>
      <c r="BM2847" t="s">
        <v>116</v>
      </c>
      <c r="BN2847">
        <v>35.78</v>
      </c>
      <c r="BO2847">
        <v>19.3</v>
      </c>
      <c r="BP2847">
        <v>0</v>
      </c>
      <c r="BQ2847">
        <v>46.05</v>
      </c>
      <c r="BR2847">
        <v>26.99</v>
      </c>
      <c r="BS2847">
        <v>5.35</v>
      </c>
      <c r="BT2847">
        <v>1.26</v>
      </c>
      <c r="BU2847">
        <v>16.21</v>
      </c>
      <c r="BV2847">
        <v>14.59</v>
      </c>
      <c r="BW2847">
        <v>0.19</v>
      </c>
      <c r="BX2847">
        <v>3.95</v>
      </c>
      <c r="BY2847">
        <v>26.51</v>
      </c>
      <c r="BZ2847">
        <v>4.6399999999999997</v>
      </c>
      <c r="CA2847">
        <v>8.5</v>
      </c>
      <c r="CB2847">
        <v>0</v>
      </c>
      <c r="CC2847">
        <v>8.5</v>
      </c>
      <c r="CD2847">
        <v>6.39</v>
      </c>
      <c r="CE2847">
        <v>6.39</v>
      </c>
      <c r="CF2847">
        <v>6.18</v>
      </c>
      <c r="CG2847">
        <v>6.39</v>
      </c>
      <c r="CH2847">
        <v>7.19</v>
      </c>
      <c r="CI2847">
        <v>1.48</v>
      </c>
      <c r="CJ2847">
        <v>35405</v>
      </c>
      <c r="CK2847">
        <v>5079</v>
      </c>
      <c r="CL2847" t="s">
        <v>12681</v>
      </c>
      <c r="CM2847">
        <v>38.130000000000003</v>
      </c>
      <c r="CN2847">
        <v>23.93</v>
      </c>
      <c r="CO2847">
        <v>13.03</v>
      </c>
      <c r="CP2847">
        <v>34.97</v>
      </c>
      <c r="CQ2847">
        <v>9.49</v>
      </c>
      <c r="CR2847">
        <v>2.2200000000000002</v>
      </c>
      <c r="CS2847" t="s">
        <v>12682</v>
      </c>
      <c r="CT2847">
        <v>3.95</v>
      </c>
      <c r="CU2847">
        <v>0</v>
      </c>
      <c r="CV2847">
        <v>0.81</v>
      </c>
      <c r="CW2847">
        <v>1.31</v>
      </c>
      <c r="CX2847">
        <v>1.47</v>
      </c>
      <c r="CY2847">
        <v>53.95</v>
      </c>
      <c r="CZ2847" t="s">
        <v>12683</v>
      </c>
      <c r="DA2847">
        <v>82.5</v>
      </c>
      <c r="DB2847">
        <v>32.049999999999997</v>
      </c>
      <c r="DC2847">
        <v>24.12</v>
      </c>
      <c r="DD2847">
        <v>0.01</v>
      </c>
      <c r="DE2847">
        <v>1339</v>
      </c>
      <c r="DF2847">
        <v>600779</v>
      </c>
      <c r="DG2847" t="s">
        <v>116</v>
      </c>
      <c r="DH2847" t="s">
        <v>116</v>
      </c>
      <c r="DI2847" t="s">
        <v>116</v>
      </c>
    </row>
    <row r="2848" spans="1:113" x14ac:dyDescent="0.4">
      <c r="A2848" t="str">
        <f>"600780"</f>
        <v>600780</v>
      </c>
      <c r="B2848" t="s">
        <v>12684</v>
      </c>
      <c r="C2848">
        <v>-1.1399999999999999</v>
      </c>
      <c r="D2848">
        <v>3.46</v>
      </c>
      <c r="E2848">
        <v>-0.04</v>
      </c>
      <c r="F2848">
        <v>3.46</v>
      </c>
      <c r="G2848">
        <v>3.47</v>
      </c>
      <c r="H2848">
        <v>32415</v>
      </c>
      <c r="I2848">
        <v>1219</v>
      </c>
      <c r="J2848">
        <v>0</v>
      </c>
      <c r="K2848">
        <v>0.28000000000000003</v>
      </c>
      <c r="L2848">
        <v>3.48</v>
      </c>
      <c r="M2848">
        <v>3.51</v>
      </c>
      <c r="N2848">
        <v>3.46</v>
      </c>
      <c r="O2848">
        <v>3.5</v>
      </c>
      <c r="P2848">
        <v>12.68</v>
      </c>
      <c r="Q2848">
        <v>11295047</v>
      </c>
      <c r="R2848">
        <v>0.54</v>
      </c>
      <c r="S2848" t="s">
        <v>271</v>
      </c>
      <c r="T2848" t="s">
        <v>675</v>
      </c>
      <c r="U2848">
        <v>1.43</v>
      </c>
      <c r="V2848">
        <v>3.48</v>
      </c>
      <c r="W2848">
        <v>20749</v>
      </c>
      <c r="X2848">
        <v>11666</v>
      </c>
      <c r="Y2848">
        <v>1.78</v>
      </c>
      <c r="Z2848">
        <v>48</v>
      </c>
      <c r="AA2848">
        <v>428</v>
      </c>
      <c r="AB2848" t="s">
        <v>116</v>
      </c>
      <c r="AC2848">
        <v>112800</v>
      </c>
      <c r="AD2848">
        <v>0.01</v>
      </c>
      <c r="AE2848" t="s">
        <v>116</v>
      </c>
      <c r="AF2848" t="s">
        <v>116</v>
      </c>
      <c r="AG2848">
        <v>11.47</v>
      </c>
      <c r="AH2848" t="s">
        <v>3872</v>
      </c>
      <c r="AI2848" t="s">
        <v>3872</v>
      </c>
      <c r="AJ2848">
        <v>-1.07</v>
      </c>
      <c r="AK2848">
        <v>409</v>
      </c>
      <c r="AL2848">
        <v>79</v>
      </c>
      <c r="AM2848">
        <v>6.9999999999999999E-4</v>
      </c>
      <c r="AN2848">
        <v>-1</v>
      </c>
      <c r="AO2848">
        <v>-3.07</v>
      </c>
      <c r="AP2848">
        <v>4.22</v>
      </c>
      <c r="AQ2848">
        <v>1.76</v>
      </c>
      <c r="AR2848">
        <v>7.12</v>
      </c>
      <c r="AS2848">
        <v>0.72</v>
      </c>
      <c r="AT2848" t="s">
        <v>377</v>
      </c>
      <c r="AU2848">
        <v>13.45</v>
      </c>
      <c r="AV2848">
        <v>17.71</v>
      </c>
      <c r="AW2848">
        <v>1.05</v>
      </c>
      <c r="BA2848">
        <v>-0.56999999999999995</v>
      </c>
      <c r="BB2848">
        <v>0.28999999999999998</v>
      </c>
      <c r="BC2848">
        <v>-1.1399999999999999</v>
      </c>
      <c r="BD2848">
        <v>-0.44</v>
      </c>
      <c r="BE2848">
        <v>-0.56999999999999995</v>
      </c>
      <c r="BF2848">
        <v>-1.42</v>
      </c>
      <c r="BG2848">
        <v>0</v>
      </c>
      <c r="BH2848">
        <v>-0.7</v>
      </c>
      <c r="BI2848">
        <v>20191030</v>
      </c>
      <c r="BJ2848">
        <v>19961205</v>
      </c>
      <c r="BK2848">
        <v>11.47</v>
      </c>
      <c r="BL2848" t="s">
        <v>116</v>
      </c>
      <c r="BM2848" t="s">
        <v>116</v>
      </c>
      <c r="BN2848">
        <v>118.21</v>
      </c>
      <c r="BO2848">
        <v>53.41</v>
      </c>
      <c r="BP2848">
        <v>-0.26</v>
      </c>
      <c r="BQ2848">
        <v>55.03</v>
      </c>
      <c r="BR2848">
        <v>22.91</v>
      </c>
      <c r="BS2848">
        <v>42.67</v>
      </c>
      <c r="BT2848">
        <v>2.57</v>
      </c>
      <c r="BU2848">
        <v>27.22</v>
      </c>
      <c r="BV2848">
        <v>1.18</v>
      </c>
      <c r="BW2848">
        <v>1.22</v>
      </c>
      <c r="BX2848">
        <v>12.3</v>
      </c>
      <c r="BY2848">
        <v>49.33</v>
      </c>
      <c r="BZ2848">
        <v>42.78</v>
      </c>
      <c r="CA2848">
        <v>3.16</v>
      </c>
      <c r="CB2848">
        <v>0.13</v>
      </c>
      <c r="CC2848">
        <v>3.14</v>
      </c>
      <c r="CD2848">
        <v>2.33</v>
      </c>
      <c r="CE2848">
        <v>2.35</v>
      </c>
      <c r="CF2848">
        <v>2.31</v>
      </c>
      <c r="CG2848">
        <v>26.79</v>
      </c>
      <c r="CH2848">
        <v>8.89</v>
      </c>
      <c r="CI2848">
        <v>-1.82</v>
      </c>
      <c r="CJ2848">
        <v>43407</v>
      </c>
      <c r="CK2848">
        <v>10325</v>
      </c>
      <c r="CL2848" t="s">
        <v>10912</v>
      </c>
      <c r="CM2848">
        <v>43.34</v>
      </c>
      <c r="CN2848">
        <v>15.69</v>
      </c>
      <c r="CO2848">
        <v>0.74</v>
      </c>
      <c r="CP2848">
        <v>4.46</v>
      </c>
      <c r="CQ2848">
        <v>0.8</v>
      </c>
      <c r="CR2848">
        <v>0</v>
      </c>
      <c r="CS2848" t="s">
        <v>5174</v>
      </c>
      <c r="CT2848">
        <v>4.66</v>
      </c>
      <c r="CU2848">
        <v>0</v>
      </c>
      <c r="CV2848">
        <v>1.07</v>
      </c>
      <c r="CW2848">
        <v>2.34</v>
      </c>
      <c r="CX2848">
        <v>0.78</v>
      </c>
      <c r="CY2848">
        <v>45.18</v>
      </c>
      <c r="CZ2848" t="s">
        <v>4907</v>
      </c>
      <c r="DA2848">
        <v>13.26</v>
      </c>
      <c r="DB2848">
        <v>6.41</v>
      </c>
      <c r="DC2848">
        <v>4.76</v>
      </c>
      <c r="DD2848">
        <v>0.01</v>
      </c>
      <c r="DE2848">
        <v>5159</v>
      </c>
      <c r="DF2848">
        <v>600780</v>
      </c>
      <c r="DG2848" t="s">
        <v>116</v>
      </c>
      <c r="DH2848" t="s">
        <v>116</v>
      </c>
      <c r="DI2848" t="s">
        <v>116</v>
      </c>
    </row>
    <row r="2849" spans="1:113" x14ac:dyDescent="0.4">
      <c r="A2849" t="str">
        <f>"600781"</f>
        <v>600781</v>
      </c>
      <c r="B2849" t="s">
        <v>12685</v>
      </c>
      <c r="C2849">
        <v>-2.4900000000000002</v>
      </c>
      <c r="D2849">
        <v>5.87</v>
      </c>
      <c r="E2849">
        <v>-0.15</v>
      </c>
      <c r="F2849">
        <v>5.86</v>
      </c>
      <c r="G2849">
        <v>5.87</v>
      </c>
      <c r="H2849">
        <v>258704</v>
      </c>
      <c r="I2849">
        <v>3593</v>
      </c>
      <c r="J2849">
        <v>-0.5</v>
      </c>
      <c r="K2849">
        <v>6.91</v>
      </c>
      <c r="L2849">
        <v>6.2</v>
      </c>
      <c r="M2849">
        <v>6.31</v>
      </c>
      <c r="N2849">
        <v>5.86</v>
      </c>
      <c r="O2849">
        <v>6.02</v>
      </c>
      <c r="P2849">
        <v>5.1100000000000003</v>
      </c>
      <c r="Q2849">
        <v>157959536</v>
      </c>
      <c r="R2849">
        <v>1.42</v>
      </c>
      <c r="S2849" t="s">
        <v>781</v>
      </c>
      <c r="T2849" t="s">
        <v>652</v>
      </c>
      <c r="U2849">
        <v>7.48</v>
      </c>
      <c r="V2849">
        <v>6.11</v>
      </c>
      <c r="W2849">
        <v>139040</v>
      </c>
      <c r="X2849">
        <v>119664</v>
      </c>
      <c r="Y2849">
        <v>1.1599999999999999</v>
      </c>
      <c r="Z2849">
        <v>2146</v>
      </c>
      <c r="AA2849">
        <v>193</v>
      </c>
      <c r="AB2849" t="s">
        <v>116</v>
      </c>
      <c r="AC2849">
        <v>7580700</v>
      </c>
      <c r="AD2849">
        <v>0.53</v>
      </c>
      <c r="AE2849" t="s">
        <v>116</v>
      </c>
      <c r="AF2849" t="s">
        <v>116</v>
      </c>
      <c r="AG2849">
        <v>3.74</v>
      </c>
      <c r="AH2849" t="s">
        <v>4798</v>
      </c>
      <c r="AI2849" t="s">
        <v>12686</v>
      </c>
      <c r="AJ2849">
        <v>-2.41</v>
      </c>
      <c r="AK2849">
        <v>2215</v>
      </c>
      <c r="AL2849">
        <v>117</v>
      </c>
      <c r="AM2849">
        <v>3.0999999999999999E-3</v>
      </c>
      <c r="AN2849">
        <v>-1</v>
      </c>
      <c r="AO2849">
        <v>-2.66</v>
      </c>
      <c r="AP2849">
        <v>10.55</v>
      </c>
      <c r="AQ2849">
        <v>7.12</v>
      </c>
      <c r="AR2849">
        <v>-53.6</v>
      </c>
      <c r="AS2849">
        <v>11.11</v>
      </c>
      <c r="AT2849" t="s">
        <v>8011</v>
      </c>
      <c r="AU2849">
        <v>5.28</v>
      </c>
      <c r="AV2849">
        <v>4.1399999999999997</v>
      </c>
      <c r="AW2849">
        <v>1.24</v>
      </c>
      <c r="BA2849">
        <v>2.99</v>
      </c>
      <c r="BB2849">
        <v>4.82</v>
      </c>
      <c r="BC2849">
        <v>-2.66</v>
      </c>
      <c r="BD2849">
        <v>1.43</v>
      </c>
      <c r="BE2849">
        <v>-5.32</v>
      </c>
      <c r="BF2849">
        <v>-6.97</v>
      </c>
      <c r="BG2849">
        <v>0.17</v>
      </c>
      <c r="BH2849">
        <v>-3.92</v>
      </c>
      <c r="BI2849">
        <v>20191111</v>
      </c>
      <c r="BJ2849">
        <v>19961218</v>
      </c>
      <c r="BK2849">
        <v>6.27</v>
      </c>
      <c r="BL2849" t="s">
        <v>116</v>
      </c>
      <c r="BM2849" t="s">
        <v>116</v>
      </c>
      <c r="BN2849">
        <v>114.14</v>
      </c>
      <c r="BO2849">
        <v>58.78</v>
      </c>
      <c r="BP2849">
        <v>0.69</v>
      </c>
      <c r="BQ2849">
        <v>47.9</v>
      </c>
      <c r="BR2849">
        <v>64.47</v>
      </c>
      <c r="BS2849">
        <v>36.200000000000003</v>
      </c>
      <c r="BT2849">
        <v>2.46</v>
      </c>
      <c r="BU2849">
        <v>46.89</v>
      </c>
      <c r="BV2849">
        <v>6.03</v>
      </c>
      <c r="BW2849">
        <v>33.049999999999997</v>
      </c>
      <c r="BX2849">
        <v>18.98</v>
      </c>
      <c r="BY2849">
        <v>38.340000000000003</v>
      </c>
      <c r="BZ2849">
        <v>21.12</v>
      </c>
      <c r="CA2849">
        <v>6.92</v>
      </c>
      <c r="CB2849">
        <v>0</v>
      </c>
      <c r="CC2849">
        <v>6.93</v>
      </c>
      <c r="CD2849">
        <v>5.43</v>
      </c>
      <c r="CE2849">
        <v>5.4</v>
      </c>
      <c r="CF2849">
        <v>4.8600000000000003</v>
      </c>
      <c r="CG2849">
        <v>32.61</v>
      </c>
      <c r="CH2849">
        <v>2.46</v>
      </c>
      <c r="CI2849">
        <v>-13.65</v>
      </c>
      <c r="CJ2849">
        <v>30146</v>
      </c>
      <c r="CK2849">
        <v>7723</v>
      </c>
      <c r="CL2849" t="s">
        <v>5637</v>
      </c>
      <c r="CM2849">
        <v>-26.15</v>
      </c>
      <c r="CN2849">
        <v>-19.59</v>
      </c>
      <c r="CO2849">
        <v>0.63</v>
      </c>
      <c r="CP2849">
        <v>14.98</v>
      </c>
      <c r="CQ2849">
        <v>0.96</v>
      </c>
      <c r="CR2849">
        <v>0</v>
      </c>
      <c r="CS2849" t="s">
        <v>12687</v>
      </c>
      <c r="CT2849">
        <v>9.3699999999999992</v>
      </c>
      <c r="CU2849">
        <v>0</v>
      </c>
      <c r="CV2849">
        <v>3.03</v>
      </c>
      <c r="CW2849">
        <v>5.2</v>
      </c>
      <c r="CX2849">
        <v>0.39</v>
      </c>
      <c r="CY2849">
        <v>51.5</v>
      </c>
      <c r="CZ2849" t="s">
        <v>6268</v>
      </c>
      <c r="DA2849">
        <v>44.91</v>
      </c>
      <c r="DB2849">
        <v>18.059999999999999</v>
      </c>
      <c r="DC2849">
        <v>14.08</v>
      </c>
      <c r="DD2849">
        <v>1.3</v>
      </c>
      <c r="DE2849">
        <v>4653</v>
      </c>
      <c r="DF2849">
        <v>600781</v>
      </c>
      <c r="DG2849" t="s">
        <v>116</v>
      </c>
      <c r="DH2849" t="s">
        <v>116</v>
      </c>
      <c r="DI2849" t="s">
        <v>116</v>
      </c>
    </row>
    <row r="2850" spans="1:113" x14ac:dyDescent="0.4">
      <c r="A2850" t="str">
        <f>"600782"</f>
        <v>600782</v>
      </c>
      <c r="B2850" t="s">
        <v>12688</v>
      </c>
      <c r="C2850">
        <v>0.2</v>
      </c>
      <c r="D2850">
        <v>4.97</v>
      </c>
      <c r="E2850">
        <v>0.01</v>
      </c>
      <c r="F2850">
        <v>4.97</v>
      </c>
      <c r="G2850">
        <v>4.9800000000000004</v>
      </c>
      <c r="H2850">
        <v>328339</v>
      </c>
      <c r="I2850">
        <v>3041</v>
      </c>
      <c r="J2850">
        <v>0</v>
      </c>
      <c r="K2850">
        <v>1.03</v>
      </c>
      <c r="L2850">
        <v>4.97</v>
      </c>
      <c r="M2850">
        <v>5.04</v>
      </c>
      <c r="N2850">
        <v>4.95</v>
      </c>
      <c r="O2850">
        <v>4.96</v>
      </c>
      <c r="P2850">
        <v>4.49</v>
      </c>
      <c r="Q2850">
        <v>163543936</v>
      </c>
      <c r="R2850">
        <v>1.39</v>
      </c>
      <c r="S2850" t="s">
        <v>1587</v>
      </c>
      <c r="T2850" t="s">
        <v>683</v>
      </c>
      <c r="U2850">
        <v>1.81</v>
      </c>
      <c r="V2850">
        <v>4.9800000000000004</v>
      </c>
      <c r="W2850">
        <v>156556</v>
      </c>
      <c r="X2850">
        <v>171783</v>
      </c>
      <c r="Y2850">
        <v>0.91</v>
      </c>
      <c r="Z2850">
        <v>850</v>
      </c>
      <c r="AA2850">
        <v>3151</v>
      </c>
      <c r="AB2850" t="s">
        <v>116</v>
      </c>
      <c r="AC2850">
        <v>788200</v>
      </c>
      <c r="AD2850">
        <v>0.01</v>
      </c>
      <c r="AE2850" t="s">
        <v>116</v>
      </c>
      <c r="AF2850" t="s">
        <v>116</v>
      </c>
      <c r="AG2850">
        <v>31.89</v>
      </c>
      <c r="AH2850" t="s">
        <v>12689</v>
      </c>
      <c r="AI2850" t="s">
        <v>12689</v>
      </c>
      <c r="AJ2850">
        <v>0.28000000000000003</v>
      </c>
      <c r="AK2850">
        <v>2249</v>
      </c>
      <c r="AL2850">
        <v>146</v>
      </c>
      <c r="AM2850">
        <v>5.0000000000000001E-4</v>
      </c>
      <c r="AN2850">
        <v>2</v>
      </c>
      <c r="AO2850">
        <v>0.6</v>
      </c>
      <c r="AP2850">
        <v>3.54</v>
      </c>
      <c r="AQ2850">
        <v>10.69</v>
      </c>
      <c r="AR2850">
        <v>1.64</v>
      </c>
      <c r="AS2850">
        <v>2.3199999999999998</v>
      </c>
      <c r="AT2850" t="s">
        <v>12690</v>
      </c>
      <c r="AU2850">
        <v>3.44</v>
      </c>
      <c r="AV2850">
        <v>2.68</v>
      </c>
      <c r="AW2850">
        <v>1.01</v>
      </c>
      <c r="BA2850">
        <v>0.2</v>
      </c>
      <c r="BB2850">
        <v>1.61</v>
      </c>
      <c r="BC2850">
        <v>-0.2</v>
      </c>
      <c r="BD2850">
        <v>0.42</v>
      </c>
      <c r="BE2850">
        <v>0</v>
      </c>
      <c r="BF2850">
        <v>-1.39</v>
      </c>
      <c r="BG2850">
        <v>0.4</v>
      </c>
      <c r="BH2850">
        <v>-0.22</v>
      </c>
      <c r="BI2850">
        <v>20191030</v>
      </c>
      <c r="BJ2850">
        <v>19961225</v>
      </c>
      <c r="BK2850">
        <v>31.89</v>
      </c>
      <c r="BL2850" t="s">
        <v>116</v>
      </c>
      <c r="BM2850" t="s">
        <v>116</v>
      </c>
      <c r="BN2850">
        <v>447.4</v>
      </c>
      <c r="BO2850">
        <v>209.9</v>
      </c>
      <c r="BP2850">
        <v>5.69</v>
      </c>
      <c r="BQ2850">
        <v>51.81</v>
      </c>
      <c r="BR2850">
        <v>317.72000000000003</v>
      </c>
      <c r="BS2850">
        <v>95.87</v>
      </c>
      <c r="BT2850">
        <v>8.06</v>
      </c>
      <c r="BU2850">
        <v>229.47</v>
      </c>
      <c r="BV2850">
        <v>36.31</v>
      </c>
      <c r="BW2850">
        <v>29.27</v>
      </c>
      <c r="BX2850">
        <v>56.08</v>
      </c>
      <c r="BY2850">
        <v>413.24</v>
      </c>
      <c r="BZ2850">
        <v>373.7</v>
      </c>
      <c r="CA2850">
        <v>30.54</v>
      </c>
      <c r="CB2850">
        <v>0.45</v>
      </c>
      <c r="CC2850">
        <v>30.73</v>
      </c>
      <c r="CD2850">
        <v>26.57</v>
      </c>
      <c r="CE2850">
        <v>26.47</v>
      </c>
      <c r="CF2850">
        <v>25.33</v>
      </c>
      <c r="CG2850">
        <v>110.47</v>
      </c>
      <c r="CH2850">
        <v>44.1</v>
      </c>
      <c r="CI2850">
        <v>2.06</v>
      </c>
      <c r="CJ2850">
        <v>60963</v>
      </c>
      <c r="CK2850">
        <v>23237</v>
      </c>
      <c r="CL2850" t="s">
        <v>9273</v>
      </c>
      <c r="CM2850">
        <v>-32.96</v>
      </c>
      <c r="CN2850">
        <v>1.32</v>
      </c>
      <c r="CO2850">
        <v>0.76</v>
      </c>
      <c r="CP2850">
        <v>3.59</v>
      </c>
      <c r="CQ2850">
        <v>0.38</v>
      </c>
      <c r="CR2850">
        <v>4.0199999999999996</v>
      </c>
      <c r="CS2850" t="s">
        <v>9188</v>
      </c>
      <c r="CT2850">
        <v>6.58</v>
      </c>
      <c r="CU2850">
        <v>6.58</v>
      </c>
      <c r="CV2850">
        <v>1.76</v>
      </c>
      <c r="CW2850">
        <v>3.46</v>
      </c>
      <c r="CX2850">
        <v>1.38</v>
      </c>
      <c r="CY2850">
        <v>46.92</v>
      </c>
      <c r="CZ2850" t="s">
        <v>7020</v>
      </c>
      <c r="DA2850">
        <v>9.57</v>
      </c>
      <c r="DB2850">
        <v>7.39</v>
      </c>
      <c r="DC2850">
        <v>6.4</v>
      </c>
      <c r="DD2850">
        <v>3.74</v>
      </c>
      <c r="DE2850">
        <v>18412</v>
      </c>
      <c r="DF2850">
        <v>600782</v>
      </c>
      <c r="DG2850" t="s">
        <v>116</v>
      </c>
      <c r="DH2850" t="s">
        <v>116</v>
      </c>
      <c r="DI2850" t="s">
        <v>116</v>
      </c>
    </row>
    <row r="2851" spans="1:113" x14ac:dyDescent="0.4">
      <c r="A2851" t="str">
        <f>"600783"</f>
        <v>600783</v>
      </c>
      <c r="B2851" t="s">
        <v>12691</v>
      </c>
      <c r="C2851">
        <v>0</v>
      </c>
      <c r="D2851">
        <v>14.14</v>
      </c>
      <c r="E2851">
        <v>0</v>
      </c>
      <c r="F2851">
        <v>14.14</v>
      </c>
      <c r="G2851">
        <v>14.15</v>
      </c>
      <c r="H2851">
        <v>106880</v>
      </c>
      <c r="I2851">
        <v>2018</v>
      </c>
      <c r="J2851">
        <v>0.43</v>
      </c>
      <c r="K2851">
        <v>1.44</v>
      </c>
      <c r="L2851">
        <v>14.23</v>
      </c>
      <c r="M2851">
        <v>14.57</v>
      </c>
      <c r="N2851">
        <v>13.94</v>
      </c>
      <c r="O2851">
        <v>14.14</v>
      </c>
      <c r="P2851">
        <v>113.94</v>
      </c>
      <c r="Q2851">
        <v>152391600</v>
      </c>
      <c r="R2851">
        <v>1.19</v>
      </c>
      <c r="S2851" t="s">
        <v>732</v>
      </c>
      <c r="T2851" t="s">
        <v>645</v>
      </c>
      <c r="U2851">
        <v>4.46</v>
      </c>
      <c r="V2851">
        <v>14.26</v>
      </c>
      <c r="W2851">
        <v>57834</v>
      </c>
      <c r="X2851">
        <v>49046</v>
      </c>
      <c r="Y2851">
        <v>1.18</v>
      </c>
      <c r="Z2851">
        <v>1301</v>
      </c>
      <c r="AA2851">
        <v>200</v>
      </c>
      <c r="AB2851" t="s">
        <v>116</v>
      </c>
      <c r="AC2851">
        <v>513700</v>
      </c>
      <c r="AD2851">
        <v>0.02</v>
      </c>
      <c r="AE2851" t="s">
        <v>116</v>
      </c>
      <c r="AF2851" t="s">
        <v>116</v>
      </c>
      <c r="AG2851">
        <v>7.44</v>
      </c>
      <c r="AH2851" t="s">
        <v>12692</v>
      </c>
      <c r="AI2851" t="s">
        <v>12692</v>
      </c>
      <c r="AJ2851">
        <v>0.08</v>
      </c>
      <c r="AK2851">
        <v>2663</v>
      </c>
      <c r="AL2851">
        <v>40</v>
      </c>
      <c r="AM2851">
        <v>5.0000000000000001E-4</v>
      </c>
      <c r="AN2851">
        <v>0</v>
      </c>
      <c r="AO2851">
        <v>1.95</v>
      </c>
      <c r="AP2851">
        <v>8.94</v>
      </c>
      <c r="AQ2851">
        <v>7.45</v>
      </c>
      <c r="AR2851">
        <v>-9.24</v>
      </c>
      <c r="AS2851">
        <v>4.72</v>
      </c>
      <c r="AT2851" t="s">
        <v>4414</v>
      </c>
      <c r="AU2851">
        <v>267.77999999999997</v>
      </c>
      <c r="AV2851">
        <v>56.31</v>
      </c>
      <c r="AW2851">
        <v>1.98</v>
      </c>
      <c r="BA2851">
        <v>0.64</v>
      </c>
      <c r="BB2851">
        <v>3.04</v>
      </c>
      <c r="BC2851">
        <v>-1.41</v>
      </c>
      <c r="BD2851">
        <v>0.84</v>
      </c>
      <c r="BE2851">
        <v>-0.63</v>
      </c>
      <c r="BF2851">
        <v>-2.95</v>
      </c>
      <c r="BG2851">
        <v>1.43</v>
      </c>
      <c r="BH2851">
        <v>-0.84</v>
      </c>
      <c r="BI2851">
        <v>20191031</v>
      </c>
      <c r="BJ2851">
        <v>19961225</v>
      </c>
      <c r="BK2851">
        <v>7.44</v>
      </c>
      <c r="BL2851" t="s">
        <v>116</v>
      </c>
      <c r="BM2851" t="s">
        <v>116</v>
      </c>
      <c r="BN2851">
        <v>60.25</v>
      </c>
      <c r="BO2851">
        <v>35.15</v>
      </c>
      <c r="BP2851">
        <v>1.1299999999999999</v>
      </c>
      <c r="BQ2851">
        <v>39.78</v>
      </c>
      <c r="BR2851">
        <v>19.62</v>
      </c>
      <c r="BS2851">
        <v>1.44</v>
      </c>
      <c r="BT2851">
        <v>0.5</v>
      </c>
      <c r="BU2851">
        <v>10.76</v>
      </c>
      <c r="BV2851">
        <v>0.77</v>
      </c>
      <c r="BW2851">
        <v>0.41</v>
      </c>
      <c r="BX2851">
        <v>10.039999999999999</v>
      </c>
      <c r="BY2851">
        <v>1.57</v>
      </c>
      <c r="BZ2851">
        <v>1.1000000000000001</v>
      </c>
      <c r="CA2851">
        <v>0.81</v>
      </c>
      <c r="CB2851">
        <v>2.0699999999999998</v>
      </c>
      <c r="CC2851">
        <v>0.83</v>
      </c>
      <c r="CD2851">
        <v>0.7</v>
      </c>
      <c r="CE2851">
        <v>0.69</v>
      </c>
      <c r="CF2851">
        <v>0.67</v>
      </c>
      <c r="CG2851">
        <v>15.55</v>
      </c>
      <c r="CH2851">
        <v>-1.1499999999999999</v>
      </c>
      <c r="CI2851">
        <v>4.08</v>
      </c>
      <c r="CJ2851">
        <v>50157</v>
      </c>
      <c r="CK2851">
        <v>4516</v>
      </c>
      <c r="CL2851" t="s">
        <v>1126</v>
      </c>
      <c r="CM2851">
        <v>-68.06</v>
      </c>
      <c r="CN2851">
        <v>3.22</v>
      </c>
      <c r="CO2851">
        <v>2.99</v>
      </c>
      <c r="CP2851">
        <v>-91.27</v>
      </c>
      <c r="CQ2851">
        <v>67.22</v>
      </c>
      <c r="CR2851">
        <v>0.71</v>
      </c>
      <c r="CS2851" t="s">
        <v>2836</v>
      </c>
      <c r="CT2851">
        <v>4.72</v>
      </c>
      <c r="CU2851">
        <v>0</v>
      </c>
      <c r="CV2851">
        <v>1.35</v>
      </c>
      <c r="CW2851">
        <v>2.09</v>
      </c>
      <c r="CX2851">
        <v>-0.15</v>
      </c>
      <c r="CY2851">
        <v>58.35</v>
      </c>
      <c r="CZ2851" t="s">
        <v>787</v>
      </c>
      <c r="DA2851">
        <v>29.44</v>
      </c>
      <c r="DB2851">
        <v>51.66</v>
      </c>
      <c r="DC2851">
        <v>44.25</v>
      </c>
      <c r="DD2851">
        <v>0.09</v>
      </c>
      <c r="DE2851">
        <v>594</v>
      </c>
      <c r="DF2851">
        <v>600783</v>
      </c>
      <c r="DG2851" t="s">
        <v>116</v>
      </c>
      <c r="DH2851" t="s">
        <v>116</v>
      </c>
      <c r="DI2851" t="s">
        <v>116</v>
      </c>
    </row>
    <row r="2852" spans="1:113" x14ac:dyDescent="0.4">
      <c r="A2852" t="str">
        <f>"600784"</f>
        <v>600784</v>
      </c>
      <c r="B2852" t="s">
        <v>12693</v>
      </c>
      <c r="C2852">
        <v>-1.89</v>
      </c>
      <c r="D2852">
        <v>5.2</v>
      </c>
      <c r="E2852">
        <v>-0.1</v>
      </c>
      <c r="F2852">
        <v>5.2</v>
      </c>
      <c r="G2852">
        <v>5.21</v>
      </c>
      <c r="H2852">
        <v>42456</v>
      </c>
      <c r="I2852">
        <v>1759</v>
      </c>
      <c r="J2852">
        <v>0</v>
      </c>
      <c r="K2852">
        <v>0.75</v>
      </c>
      <c r="L2852">
        <v>5.26</v>
      </c>
      <c r="M2852">
        <v>5.28</v>
      </c>
      <c r="N2852">
        <v>5.18</v>
      </c>
      <c r="O2852">
        <v>5.3</v>
      </c>
      <c r="P2852">
        <v>102.51</v>
      </c>
      <c r="Q2852">
        <v>22170290</v>
      </c>
      <c r="R2852">
        <v>0.44</v>
      </c>
      <c r="S2852" t="s">
        <v>1587</v>
      </c>
      <c r="T2852" t="s">
        <v>645</v>
      </c>
      <c r="U2852">
        <v>1.89</v>
      </c>
      <c r="V2852">
        <v>5.22</v>
      </c>
      <c r="W2852">
        <v>27754</v>
      </c>
      <c r="X2852">
        <v>14702</v>
      </c>
      <c r="Y2852">
        <v>1.89</v>
      </c>
      <c r="Z2852">
        <v>101</v>
      </c>
      <c r="AA2852">
        <v>250</v>
      </c>
      <c r="AB2852" t="s">
        <v>116</v>
      </c>
      <c r="AC2852">
        <v>248300</v>
      </c>
      <c r="AD2852">
        <v>0.01</v>
      </c>
      <c r="AE2852" t="s">
        <v>116</v>
      </c>
      <c r="AF2852" t="s">
        <v>116</v>
      </c>
      <c r="AG2852">
        <v>5.68</v>
      </c>
      <c r="AH2852" t="s">
        <v>12694</v>
      </c>
      <c r="AI2852" t="s">
        <v>12694</v>
      </c>
      <c r="AJ2852">
        <v>-1.81</v>
      </c>
      <c r="AK2852">
        <v>783</v>
      </c>
      <c r="AL2852">
        <v>54</v>
      </c>
      <c r="AM2852">
        <v>1E-3</v>
      </c>
      <c r="AN2852">
        <v>-1</v>
      </c>
      <c r="AO2852">
        <v>-1.89</v>
      </c>
      <c r="AP2852">
        <v>12.07</v>
      </c>
      <c r="AQ2852">
        <v>5.69</v>
      </c>
      <c r="AR2852">
        <v>3.01</v>
      </c>
      <c r="AS2852">
        <v>0.98</v>
      </c>
      <c r="AT2852" t="s">
        <v>7977</v>
      </c>
      <c r="AU2852">
        <v>152.22</v>
      </c>
      <c r="AV2852">
        <v>47.03</v>
      </c>
      <c r="AW2852">
        <v>0.51</v>
      </c>
      <c r="BA2852">
        <v>-0.75</v>
      </c>
      <c r="BB2852">
        <v>-0.38</v>
      </c>
      <c r="BC2852">
        <v>-2.2599999999999998</v>
      </c>
      <c r="BD2852">
        <v>-1.47</v>
      </c>
      <c r="BE2852">
        <v>-1.1399999999999999</v>
      </c>
      <c r="BF2852">
        <v>-1.52</v>
      </c>
      <c r="BG2852">
        <v>0.39</v>
      </c>
      <c r="BH2852">
        <v>-0.41</v>
      </c>
      <c r="BI2852">
        <v>20191026</v>
      </c>
      <c r="BJ2852">
        <v>19961225</v>
      </c>
      <c r="BK2852">
        <v>5.68</v>
      </c>
      <c r="BL2852" t="s">
        <v>116</v>
      </c>
      <c r="BM2852" t="s">
        <v>116</v>
      </c>
      <c r="BN2852">
        <v>53.35</v>
      </c>
      <c r="BO2852">
        <v>15.27</v>
      </c>
      <c r="BP2852">
        <v>0.54</v>
      </c>
      <c r="BQ2852">
        <v>70.37</v>
      </c>
      <c r="BR2852">
        <v>21.94</v>
      </c>
      <c r="BS2852">
        <v>14.36</v>
      </c>
      <c r="BT2852">
        <v>2.78</v>
      </c>
      <c r="BU2852">
        <v>32.92</v>
      </c>
      <c r="BV2852">
        <v>3.1</v>
      </c>
      <c r="BW2852">
        <v>7.96</v>
      </c>
      <c r="BX2852">
        <v>5.78</v>
      </c>
      <c r="BY2852">
        <v>14.24</v>
      </c>
      <c r="BZ2852">
        <v>11.01</v>
      </c>
      <c r="CA2852">
        <v>0.2</v>
      </c>
      <c r="CB2852">
        <v>0.88</v>
      </c>
      <c r="CC2852">
        <v>0.27</v>
      </c>
      <c r="CD2852">
        <v>0.22</v>
      </c>
      <c r="CE2852">
        <v>0.22</v>
      </c>
      <c r="CF2852">
        <v>-0.24</v>
      </c>
      <c r="CG2852">
        <v>2.61</v>
      </c>
      <c r="CH2852">
        <v>-0.05</v>
      </c>
      <c r="CI2852">
        <v>0.7</v>
      </c>
      <c r="CJ2852">
        <v>40117</v>
      </c>
      <c r="CK2852">
        <v>10802</v>
      </c>
      <c r="CL2852" t="s">
        <v>2551</v>
      </c>
      <c r="CM2852">
        <v>-66.760000000000005</v>
      </c>
      <c r="CN2852">
        <v>1.2</v>
      </c>
      <c r="CO2852">
        <v>1.94</v>
      </c>
      <c r="CP2852">
        <v>-625.36</v>
      </c>
      <c r="CQ2852">
        <v>2.0699999999999998</v>
      </c>
      <c r="CR2852">
        <v>0.23</v>
      </c>
      <c r="CS2852" t="s">
        <v>2865</v>
      </c>
      <c r="CT2852">
        <v>2.69</v>
      </c>
      <c r="CU2852">
        <v>0</v>
      </c>
      <c r="CV2852">
        <v>1.02</v>
      </c>
      <c r="CW2852">
        <v>0.46</v>
      </c>
      <c r="CX2852">
        <v>-0.01</v>
      </c>
      <c r="CY2852">
        <v>28.62</v>
      </c>
      <c r="CZ2852" t="s">
        <v>7970</v>
      </c>
      <c r="DA2852">
        <v>22.73</v>
      </c>
      <c r="DB2852">
        <v>1.43</v>
      </c>
      <c r="DC2852">
        <v>1.52</v>
      </c>
      <c r="DD2852">
        <v>0.19</v>
      </c>
      <c r="DE2852">
        <v>1943</v>
      </c>
      <c r="DF2852">
        <v>600784</v>
      </c>
      <c r="DG2852" t="s">
        <v>116</v>
      </c>
      <c r="DH2852" t="s">
        <v>116</v>
      </c>
      <c r="DI2852" t="s">
        <v>116</v>
      </c>
    </row>
    <row r="2853" spans="1:113" x14ac:dyDescent="0.4">
      <c r="A2853" t="str">
        <f>"600785"</f>
        <v>600785</v>
      </c>
      <c r="B2853" t="s">
        <v>12695</v>
      </c>
      <c r="C2853">
        <v>-0.2</v>
      </c>
      <c r="D2853">
        <v>14.97</v>
      </c>
      <c r="E2853">
        <v>-0.03</v>
      </c>
      <c r="F2853">
        <v>14.97</v>
      </c>
      <c r="G2853">
        <v>14.98</v>
      </c>
      <c r="H2853">
        <v>3012</v>
      </c>
      <c r="I2853">
        <v>20</v>
      </c>
      <c r="J2853">
        <v>-0.12</v>
      </c>
      <c r="K2853">
        <v>0.13</v>
      </c>
      <c r="L2853">
        <v>14.93</v>
      </c>
      <c r="M2853">
        <v>15.08</v>
      </c>
      <c r="N2853">
        <v>14.93</v>
      </c>
      <c r="O2853">
        <v>15</v>
      </c>
      <c r="P2853">
        <v>14.85</v>
      </c>
      <c r="Q2853">
        <v>4515359</v>
      </c>
      <c r="R2853">
        <v>0.63</v>
      </c>
      <c r="S2853" t="s">
        <v>746</v>
      </c>
      <c r="T2853" t="s">
        <v>1147</v>
      </c>
      <c r="U2853">
        <v>1</v>
      </c>
      <c r="V2853">
        <v>14.99</v>
      </c>
      <c r="W2853">
        <v>1889</v>
      </c>
      <c r="X2853">
        <v>1123</v>
      </c>
      <c r="Y2853">
        <v>1.68</v>
      </c>
      <c r="Z2853">
        <v>8</v>
      </c>
      <c r="AA2853">
        <v>1</v>
      </c>
      <c r="AB2853" t="s">
        <v>116</v>
      </c>
      <c r="AC2853">
        <v>3000</v>
      </c>
      <c r="AD2853">
        <v>0</v>
      </c>
      <c r="AE2853" t="s">
        <v>116</v>
      </c>
      <c r="AF2853" t="s">
        <v>116</v>
      </c>
      <c r="AG2853">
        <v>2.2599999999999998</v>
      </c>
      <c r="AH2853" t="s">
        <v>9411</v>
      </c>
      <c r="AI2853" t="s">
        <v>9411</v>
      </c>
      <c r="AJ2853">
        <v>-0.12</v>
      </c>
      <c r="AK2853">
        <v>283</v>
      </c>
      <c r="AL2853">
        <v>11</v>
      </c>
      <c r="AM2853">
        <v>5.0000000000000001E-4</v>
      </c>
      <c r="AN2853">
        <v>-3</v>
      </c>
      <c r="AO2853">
        <v>-1.26</v>
      </c>
      <c r="AP2853">
        <v>2.1800000000000002</v>
      </c>
      <c r="AQ2853">
        <v>7.0000000000000007E-2</v>
      </c>
      <c r="AR2853">
        <v>-8.44</v>
      </c>
      <c r="AS2853">
        <v>0.43</v>
      </c>
      <c r="AT2853" t="s">
        <v>12696</v>
      </c>
      <c r="AU2853">
        <v>23.52</v>
      </c>
      <c r="AV2853">
        <v>24.59</v>
      </c>
      <c r="AW2853">
        <v>0.83</v>
      </c>
      <c r="BA2853">
        <v>-0.47</v>
      </c>
      <c r="BB2853">
        <v>0.53</v>
      </c>
      <c r="BC2853">
        <v>-0.47</v>
      </c>
      <c r="BD2853">
        <v>-7.0000000000000007E-2</v>
      </c>
      <c r="BE2853">
        <v>0.27</v>
      </c>
      <c r="BF2853">
        <v>-0.73</v>
      </c>
      <c r="BG2853">
        <v>0.27</v>
      </c>
      <c r="BH2853">
        <v>-0.13</v>
      </c>
      <c r="BI2853">
        <v>20191019</v>
      </c>
      <c r="BJ2853">
        <v>19970108</v>
      </c>
      <c r="BK2853">
        <v>2.2599999999999998</v>
      </c>
      <c r="BL2853" t="s">
        <v>116</v>
      </c>
      <c r="BM2853" t="s">
        <v>116</v>
      </c>
      <c r="BN2853">
        <v>53.27</v>
      </c>
      <c r="BO2853">
        <v>22.96</v>
      </c>
      <c r="BP2853">
        <v>-1.1200000000000001</v>
      </c>
      <c r="BQ2853">
        <v>58.99</v>
      </c>
      <c r="BR2853">
        <v>18.12</v>
      </c>
      <c r="BS2853">
        <v>17.420000000000002</v>
      </c>
      <c r="BT2853">
        <v>5.55</v>
      </c>
      <c r="BU2853">
        <v>29.44</v>
      </c>
      <c r="BV2853">
        <v>6.5</v>
      </c>
      <c r="BW2853">
        <v>1.8</v>
      </c>
      <c r="BX2853">
        <v>3.11</v>
      </c>
      <c r="BY2853">
        <v>57.03</v>
      </c>
      <c r="BZ2853">
        <v>44.38</v>
      </c>
      <c r="CA2853">
        <v>1.67</v>
      </c>
      <c r="CB2853">
        <v>0.04</v>
      </c>
      <c r="CC2853">
        <v>1.98</v>
      </c>
      <c r="CD2853">
        <v>1.52</v>
      </c>
      <c r="CE2853">
        <v>1.71</v>
      </c>
      <c r="CF2853">
        <v>1.44</v>
      </c>
      <c r="CG2853">
        <v>15.61</v>
      </c>
      <c r="CH2853">
        <v>0.06</v>
      </c>
      <c r="CI2853">
        <v>0.04</v>
      </c>
      <c r="CJ2853">
        <v>9978</v>
      </c>
      <c r="CK2853">
        <v>7005</v>
      </c>
      <c r="CL2853" t="s">
        <v>4420</v>
      </c>
      <c r="CM2853">
        <v>3.8</v>
      </c>
      <c r="CN2853">
        <v>-0.15</v>
      </c>
      <c r="CO2853">
        <v>1.47</v>
      </c>
      <c r="CP2853">
        <v>577.27</v>
      </c>
      <c r="CQ2853">
        <v>0.59</v>
      </c>
      <c r="CR2853">
        <v>0</v>
      </c>
      <c r="CS2853" t="s">
        <v>12697</v>
      </c>
      <c r="CT2853">
        <v>10.18</v>
      </c>
      <c r="CU2853">
        <v>0</v>
      </c>
      <c r="CV2853">
        <v>1.38</v>
      </c>
      <c r="CW2853">
        <v>6.92</v>
      </c>
      <c r="CX2853">
        <v>0.03</v>
      </c>
      <c r="CY2853">
        <v>43.11</v>
      </c>
      <c r="CZ2853" t="s">
        <v>3068</v>
      </c>
      <c r="DA2853">
        <v>22.19</v>
      </c>
      <c r="DB2853">
        <v>2.93</v>
      </c>
      <c r="DC2853">
        <v>2.99</v>
      </c>
      <c r="DD2853">
        <v>0</v>
      </c>
      <c r="DE2853">
        <v>8223</v>
      </c>
      <c r="DF2853">
        <v>600785</v>
      </c>
      <c r="DG2853" t="s">
        <v>116</v>
      </c>
      <c r="DH2853" t="s">
        <v>116</v>
      </c>
      <c r="DI2853" t="s">
        <v>116</v>
      </c>
    </row>
    <row r="2854" spans="1:113" x14ac:dyDescent="0.4">
      <c r="A2854" t="str">
        <f>"600787"</f>
        <v>600787</v>
      </c>
      <c r="B2854" t="s">
        <v>12698</v>
      </c>
      <c r="C2854">
        <v>-0.38</v>
      </c>
      <c r="D2854">
        <v>5.18</v>
      </c>
      <c r="E2854">
        <v>-0.02</v>
      </c>
      <c r="F2854">
        <v>5.18</v>
      </c>
      <c r="G2854">
        <v>5.19</v>
      </c>
      <c r="H2854">
        <v>72953</v>
      </c>
      <c r="I2854">
        <v>471</v>
      </c>
      <c r="J2854">
        <v>0</v>
      </c>
      <c r="K2854">
        <v>0.33</v>
      </c>
      <c r="L2854">
        <v>5.21</v>
      </c>
      <c r="M2854">
        <v>5.24</v>
      </c>
      <c r="N2854">
        <v>5.17</v>
      </c>
      <c r="O2854">
        <v>5.2</v>
      </c>
      <c r="P2854">
        <v>32.4</v>
      </c>
      <c r="Q2854">
        <v>37993592</v>
      </c>
      <c r="R2854">
        <v>1.32</v>
      </c>
      <c r="S2854" t="s">
        <v>3113</v>
      </c>
      <c r="T2854" t="s">
        <v>1035</v>
      </c>
      <c r="U2854">
        <v>1.35</v>
      </c>
      <c r="V2854">
        <v>5.21</v>
      </c>
      <c r="W2854">
        <v>43372</v>
      </c>
      <c r="X2854">
        <v>29581</v>
      </c>
      <c r="Y2854">
        <v>1.47</v>
      </c>
      <c r="Z2854">
        <v>265</v>
      </c>
      <c r="AA2854">
        <v>854</v>
      </c>
      <c r="AB2854" t="s">
        <v>116</v>
      </c>
      <c r="AC2854">
        <v>4200</v>
      </c>
      <c r="AD2854">
        <v>0</v>
      </c>
      <c r="AE2854" t="s">
        <v>116</v>
      </c>
      <c r="AF2854" t="s">
        <v>116</v>
      </c>
      <c r="AG2854">
        <v>22</v>
      </c>
      <c r="AH2854" t="s">
        <v>12699</v>
      </c>
      <c r="AI2854" t="s">
        <v>12699</v>
      </c>
      <c r="AJ2854">
        <v>-0.31</v>
      </c>
      <c r="AK2854">
        <v>1652</v>
      </c>
      <c r="AL2854">
        <v>44</v>
      </c>
      <c r="AM2854">
        <v>2.0000000000000001E-4</v>
      </c>
      <c r="AN2854">
        <v>-1</v>
      </c>
      <c r="AO2854">
        <v>1.18</v>
      </c>
      <c r="AP2854">
        <v>5.28</v>
      </c>
      <c r="AQ2854">
        <v>3.39</v>
      </c>
      <c r="AR2854">
        <v>4.08</v>
      </c>
      <c r="AS2854">
        <v>0.85</v>
      </c>
      <c r="AT2854" t="s">
        <v>7337</v>
      </c>
      <c r="AU2854">
        <v>17.059999999999999</v>
      </c>
      <c r="AV2854">
        <v>23.85</v>
      </c>
      <c r="AW2854">
        <v>1.19</v>
      </c>
      <c r="BA2854">
        <v>0.19</v>
      </c>
      <c r="BB2854">
        <v>0.77</v>
      </c>
      <c r="BC2854">
        <v>-0.57999999999999996</v>
      </c>
      <c r="BD2854">
        <v>0.15</v>
      </c>
      <c r="BE2854">
        <v>-0.57999999999999996</v>
      </c>
      <c r="BF2854">
        <v>-1.1499999999999999</v>
      </c>
      <c r="BG2854">
        <v>0.19</v>
      </c>
      <c r="BH2854">
        <v>-0.54</v>
      </c>
      <c r="BI2854">
        <v>20191031</v>
      </c>
      <c r="BJ2854">
        <v>19970121</v>
      </c>
      <c r="BK2854">
        <v>22</v>
      </c>
      <c r="BL2854" t="s">
        <v>116</v>
      </c>
      <c r="BM2854" t="s">
        <v>116</v>
      </c>
      <c r="BN2854">
        <v>204.28</v>
      </c>
      <c r="BO2854">
        <v>111.57</v>
      </c>
      <c r="BP2854">
        <v>4.54</v>
      </c>
      <c r="BQ2854">
        <v>43.16</v>
      </c>
      <c r="BR2854">
        <v>98.68</v>
      </c>
      <c r="BS2854">
        <v>28.18</v>
      </c>
      <c r="BT2854">
        <v>27.25</v>
      </c>
      <c r="BU2854">
        <v>63.85</v>
      </c>
      <c r="BV2854">
        <v>13.93</v>
      </c>
      <c r="BW2854">
        <v>17.62</v>
      </c>
      <c r="BX2854">
        <v>36.770000000000003</v>
      </c>
      <c r="BY2854">
        <v>332.44</v>
      </c>
      <c r="BZ2854">
        <v>323.14999999999998</v>
      </c>
      <c r="CA2854">
        <v>3.51</v>
      </c>
      <c r="CB2854">
        <v>0.25</v>
      </c>
      <c r="CC2854">
        <v>2.99</v>
      </c>
      <c r="CD2854">
        <v>2.2599999999999998</v>
      </c>
      <c r="CE2854">
        <v>2.64</v>
      </c>
      <c r="CF2854">
        <v>1.19</v>
      </c>
      <c r="CG2854">
        <v>35.78</v>
      </c>
      <c r="CH2854">
        <v>7.1</v>
      </c>
      <c r="CI2854">
        <v>-32.520000000000003</v>
      </c>
      <c r="CJ2854">
        <v>57426</v>
      </c>
      <c r="CK2854">
        <v>14865</v>
      </c>
      <c r="CL2854" t="s">
        <v>199</v>
      </c>
      <c r="CM2854">
        <v>258.16000000000003</v>
      </c>
      <c r="CN2854">
        <v>21.27</v>
      </c>
      <c r="CO2854">
        <v>1.02</v>
      </c>
      <c r="CP2854">
        <v>16.04</v>
      </c>
      <c r="CQ2854">
        <v>0.34</v>
      </c>
      <c r="CR2854">
        <v>0.44</v>
      </c>
      <c r="CS2854" t="s">
        <v>505</v>
      </c>
      <c r="CT2854">
        <v>5.07</v>
      </c>
      <c r="CU2854">
        <v>0</v>
      </c>
      <c r="CV2854">
        <v>1.67</v>
      </c>
      <c r="CW2854">
        <v>1.63</v>
      </c>
      <c r="CX2854">
        <v>0.32</v>
      </c>
      <c r="CY2854">
        <v>54.62</v>
      </c>
      <c r="CZ2854" t="s">
        <v>3442</v>
      </c>
      <c r="DA2854">
        <v>2.8</v>
      </c>
      <c r="DB2854">
        <v>1.05</v>
      </c>
      <c r="DC2854">
        <v>0.79</v>
      </c>
      <c r="DD2854">
        <v>0.02</v>
      </c>
      <c r="DE2854">
        <v>4869</v>
      </c>
      <c r="DF2854">
        <v>600787</v>
      </c>
      <c r="DG2854" t="s">
        <v>116</v>
      </c>
      <c r="DH2854" t="s">
        <v>116</v>
      </c>
      <c r="DI2854" t="s">
        <v>116</v>
      </c>
    </row>
    <row r="2855" spans="1:113" x14ac:dyDescent="0.4">
      <c r="A2855" t="str">
        <f>"600789"</f>
        <v>600789</v>
      </c>
      <c r="B2855" t="s">
        <v>12700</v>
      </c>
      <c r="C2855">
        <v>-1.65</v>
      </c>
      <c r="D2855">
        <v>6.54</v>
      </c>
      <c r="E2855">
        <v>-0.11</v>
      </c>
      <c r="F2855">
        <v>6.54</v>
      </c>
      <c r="G2855">
        <v>6.55</v>
      </c>
      <c r="H2855">
        <v>243542</v>
      </c>
      <c r="I2855">
        <v>4342</v>
      </c>
      <c r="J2855">
        <v>-0.14000000000000001</v>
      </c>
      <c r="K2855">
        <v>2.86</v>
      </c>
      <c r="L2855">
        <v>6.64</v>
      </c>
      <c r="M2855">
        <v>6.69</v>
      </c>
      <c r="N2855">
        <v>6.54</v>
      </c>
      <c r="O2855">
        <v>6.65</v>
      </c>
      <c r="P2855">
        <v>42.48</v>
      </c>
      <c r="Q2855">
        <v>160965584</v>
      </c>
      <c r="R2855">
        <v>1.04</v>
      </c>
      <c r="S2855" t="s">
        <v>574</v>
      </c>
      <c r="T2855" t="s">
        <v>645</v>
      </c>
      <c r="U2855">
        <v>2.2599999999999998</v>
      </c>
      <c r="V2855">
        <v>6.61</v>
      </c>
      <c r="W2855">
        <v>152729</v>
      </c>
      <c r="X2855">
        <v>90813</v>
      </c>
      <c r="Y2855">
        <v>1.68</v>
      </c>
      <c r="Z2855">
        <v>158</v>
      </c>
      <c r="AA2855">
        <v>1301</v>
      </c>
      <c r="AB2855" t="s">
        <v>116</v>
      </c>
      <c r="AC2855">
        <v>385800</v>
      </c>
      <c r="AD2855">
        <v>0.01</v>
      </c>
      <c r="AE2855" t="s">
        <v>116</v>
      </c>
      <c r="AF2855" t="s">
        <v>116</v>
      </c>
      <c r="AG2855">
        <v>8.52</v>
      </c>
      <c r="AH2855" t="s">
        <v>12701</v>
      </c>
      <c r="AI2855" t="s">
        <v>12702</v>
      </c>
      <c r="AJ2855">
        <v>-1.58</v>
      </c>
      <c r="AK2855">
        <v>2598</v>
      </c>
      <c r="AL2855">
        <v>94</v>
      </c>
      <c r="AM2855">
        <v>1.1000000000000001E-3</v>
      </c>
      <c r="AN2855">
        <v>-2</v>
      </c>
      <c r="AO2855">
        <v>0</v>
      </c>
      <c r="AP2855">
        <v>3.65</v>
      </c>
      <c r="AQ2855">
        <v>4.8099999999999996</v>
      </c>
      <c r="AR2855">
        <v>13.21</v>
      </c>
      <c r="AS2855">
        <v>3.66</v>
      </c>
      <c r="AT2855" t="s">
        <v>9414</v>
      </c>
      <c r="AU2855">
        <v>48.37</v>
      </c>
      <c r="AV2855">
        <v>35.67</v>
      </c>
      <c r="AW2855">
        <v>0.78</v>
      </c>
      <c r="BA2855">
        <v>-0.15</v>
      </c>
      <c r="BB2855">
        <v>0.6</v>
      </c>
      <c r="BC2855">
        <v>-1.65</v>
      </c>
      <c r="BD2855">
        <v>-0.61</v>
      </c>
      <c r="BE2855">
        <v>-1.51</v>
      </c>
      <c r="BF2855">
        <v>-2.2400000000000002</v>
      </c>
      <c r="BG2855">
        <v>0</v>
      </c>
      <c r="BH2855">
        <v>-1.04</v>
      </c>
      <c r="BI2855">
        <v>20191031</v>
      </c>
      <c r="BJ2855">
        <v>19970226</v>
      </c>
      <c r="BK2855">
        <v>8.8000000000000007</v>
      </c>
      <c r="BL2855" t="s">
        <v>116</v>
      </c>
      <c r="BM2855" t="s">
        <v>116</v>
      </c>
      <c r="BN2855">
        <v>70.58</v>
      </c>
      <c r="BO2855">
        <v>30.07</v>
      </c>
      <c r="BP2855">
        <v>1.5</v>
      </c>
      <c r="BQ2855">
        <v>55.27</v>
      </c>
      <c r="BR2855">
        <v>27.59</v>
      </c>
      <c r="BS2855">
        <v>22.3</v>
      </c>
      <c r="BT2855">
        <v>3.72</v>
      </c>
      <c r="BU2855">
        <v>27.62</v>
      </c>
      <c r="BV2855">
        <v>8.59</v>
      </c>
      <c r="BW2855">
        <v>5.16</v>
      </c>
      <c r="BX2855">
        <v>16.25</v>
      </c>
      <c r="BY2855">
        <v>27.31</v>
      </c>
      <c r="BZ2855">
        <v>19.61</v>
      </c>
      <c r="CA2855">
        <v>1.1299999999999999</v>
      </c>
      <c r="CB2855">
        <v>0.08</v>
      </c>
      <c r="CC2855">
        <v>1.23</v>
      </c>
      <c r="CD2855">
        <v>1.07</v>
      </c>
      <c r="CE2855">
        <v>1.02</v>
      </c>
      <c r="CF2855">
        <v>0.66</v>
      </c>
      <c r="CG2855">
        <v>3.51</v>
      </c>
      <c r="CH2855">
        <v>0.39</v>
      </c>
      <c r="CI2855">
        <v>-0.05</v>
      </c>
      <c r="CJ2855">
        <v>112796</v>
      </c>
      <c r="CK2855">
        <v>5906</v>
      </c>
      <c r="CL2855" t="s">
        <v>964</v>
      </c>
      <c r="CM2855">
        <v>-29.42</v>
      </c>
      <c r="CN2855">
        <v>15.07</v>
      </c>
      <c r="CO2855">
        <v>1.91</v>
      </c>
      <c r="CP2855">
        <v>146.11000000000001</v>
      </c>
      <c r="CQ2855">
        <v>2.11</v>
      </c>
      <c r="CR2855">
        <v>0.47</v>
      </c>
      <c r="CS2855" t="s">
        <v>6030</v>
      </c>
      <c r="CT2855">
        <v>3.42</v>
      </c>
      <c r="CU2855">
        <v>0</v>
      </c>
      <c r="CV2855">
        <v>1.85</v>
      </c>
      <c r="CW2855">
        <v>0.4</v>
      </c>
      <c r="CX2855">
        <v>0.04</v>
      </c>
      <c r="CY2855">
        <v>42.61</v>
      </c>
      <c r="CZ2855" t="s">
        <v>3229</v>
      </c>
      <c r="DA2855">
        <v>28.21</v>
      </c>
      <c r="DB2855">
        <v>4.13</v>
      </c>
      <c r="DC2855">
        <v>3.72</v>
      </c>
      <c r="DD2855">
        <v>1.01</v>
      </c>
      <c r="DE2855">
        <v>6232</v>
      </c>
      <c r="DF2855">
        <v>600789</v>
      </c>
      <c r="DG2855" t="s">
        <v>116</v>
      </c>
      <c r="DH2855" t="s">
        <v>116</v>
      </c>
      <c r="DI2855" t="s">
        <v>116</v>
      </c>
    </row>
    <row r="2856" spans="1:113" x14ac:dyDescent="0.4">
      <c r="A2856" t="str">
        <f>"600790"</f>
        <v>600790</v>
      </c>
      <c r="B2856" t="s">
        <v>12703</v>
      </c>
      <c r="C2856">
        <v>0.3</v>
      </c>
      <c r="D2856">
        <v>3.37</v>
      </c>
      <c r="E2856">
        <v>0.01</v>
      </c>
      <c r="F2856">
        <v>3.37</v>
      </c>
      <c r="G2856">
        <v>3.38</v>
      </c>
      <c r="H2856">
        <v>46542</v>
      </c>
      <c r="I2856">
        <v>386</v>
      </c>
      <c r="J2856">
        <v>0</v>
      </c>
      <c r="K2856">
        <v>0.32</v>
      </c>
      <c r="L2856">
        <v>3.35</v>
      </c>
      <c r="M2856">
        <v>3.4</v>
      </c>
      <c r="N2856">
        <v>3.35</v>
      </c>
      <c r="O2856">
        <v>3.36</v>
      </c>
      <c r="P2856">
        <v>14.5</v>
      </c>
      <c r="Q2856">
        <v>15733098</v>
      </c>
      <c r="R2856">
        <v>1.1000000000000001</v>
      </c>
      <c r="S2856" t="s">
        <v>4871</v>
      </c>
      <c r="T2856" t="s">
        <v>590</v>
      </c>
      <c r="U2856">
        <v>1.49</v>
      </c>
      <c r="V2856">
        <v>3.38</v>
      </c>
      <c r="W2856">
        <v>20391</v>
      </c>
      <c r="X2856">
        <v>26151</v>
      </c>
      <c r="Y2856">
        <v>0.78</v>
      </c>
      <c r="Z2856">
        <v>2252</v>
      </c>
      <c r="AA2856">
        <v>1216</v>
      </c>
      <c r="AB2856" t="s">
        <v>116</v>
      </c>
      <c r="AC2856">
        <v>12100</v>
      </c>
      <c r="AD2856">
        <v>0</v>
      </c>
      <c r="AE2856" t="s">
        <v>116</v>
      </c>
      <c r="AF2856" t="s">
        <v>116</v>
      </c>
      <c r="AG2856">
        <v>14.66</v>
      </c>
      <c r="AH2856" t="s">
        <v>6616</v>
      </c>
      <c r="AI2856" t="s">
        <v>6616</v>
      </c>
      <c r="AJ2856">
        <v>0.37</v>
      </c>
      <c r="AK2856">
        <v>471</v>
      </c>
      <c r="AL2856">
        <v>99</v>
      </c>
      <c r="AM2856">
        <v>6.9999999999999999E-4</v>
      </c>
      <c r="AN2856">
        <v>1</v>
      </c>
      <c r="AO2856">
        <v>1.2</v>
      </c>
      <c r="AP2856">
        <v>2.74</v>
      </c>
      <c r="AQ2856">
        <v>-4.26</v>
      </c>
      <c r="AR2856">
        <v>-2.88</v>
      </c>
      <c r="AS2856">
        <v>0.51</v>
      </c>
      <c r="AT2856" t="s">
        <v>12704</v>
      </c>
      <c r="AU2856">
        <v>10.66</v>
      </c>
      <c r="AV2856">
        <v>9.61</v>
      </c>
      <c r="AW2856">
        <v>0.89</v>
      </c>
      <c r="BA2856">
        <v>-0.3</v>
      </c>
      <c r="BB2856">
        <v>1.19</v>
      </c>
      <c r="BC2856">
        <v>-0.3</v>
      </c>
      <c r="BD2856">
        <v>0.61</v>
      </c>
      <c r="BE2856">
        <v>0.6</v>
      </c>
      <c r="BF2856">
        <v>-0.88</v>
      </c>
      <c r="BG2856">
        <v>0.6</v>
      </c>
      <c r="BH2856">
        <v>-0.31</v>
      </c>
      <c r="BI2856">
        <v>20191029</v>
      </c>
      <c r="BJ2856">
        <v>19970228</v>
      </c>
      <c r="BK2856">
        <v>14.66</v>
      </c>
      <c r="BL2856" t="s">
        <v>116</v>
      </c>
      <c r="BM2856" t="s">
        <v>116</v>
      </c>
      <c r="BN2856">
        <v>99.21</v>
      </c>
      <c r="BO2856">
        <v>53.73</v>
      </c>
      <c r="BP2856">
        <v>1.89</v>
      </c>
      <c r="BQ2856">
        <v>43.93</v>
      </c>
      <c r="BR2856">
        <v>22.67</v>
      </c>
      <c r="BS2856">
        <v>1.81</v>
      </c>
      <c r="BT2856">
        <v>0.83</v>
      </c>
      <c r="BU2856">
        <v>40.65</v>
      </c>
      <c r="BV2856">
        <v>0</v>
      </c>
      <c r="BW2856">
        <v>0.03</v>
      </c>
      <c r="BX2856">
        <v>10.87</v>
      </c>
      <c r="BY2856">
        <v>7.4</v>
      </c>
      <c r="BZ2856">
        <v>2.93</v>
      </c>
      <c r="CA2856">
        <v>3.66</v>
      </c>
      <c r="CB2856">
        <v>0.33</v>
      </c>
      <c r="CC2856">
        <v>3.61</v>
      </c>
      <c r="CD2856">
        <v>2.71</v>
      </c>
      <c r="CE2856">
        <v>2.56</v>
      </c>
      <c r="CF2856">
        <v>2.42</v>
      </c>
      <c r="CG2856">
        <v>17.059999999999999</v>
      </c>
      <c r="CH2856">
        <v>-2.3199999999999998</v>
      </c>
      <c r="CI2856">
        <v>-1.79</v>
      </c>
      <c r="CJ2856">
        <v>36757</v>
      </c>
      <c r="CK2856">
        <v>24823</v>
      </c>
      <c r="CL2856" t="s">
        <v>5757</v>
      </c>
      <c r="CM2856">
        <v>-16.57</v>
      </c>
      <c r="CN2856">
        <v>1.26</v>
      </c>
      <c r="CO2856">
        <v>0.92</v>
      </c>
      <c r="CP2856">
        <v>-21.27</v>
      </c>
      <c r="CQ2856">
        <v>6.68</v>
      </c>
      <c r="CR2856">
        <v>5.34</v>
      </c>
      <c r="CS2856" t="s">
        <v>8181</v>
      </c>
      <c r="CT2856">
        <v>3.67</v>
      </c>
      <c r="CU2856">
        <v>0</v>
      </c>
      <c r="CV2856">
        <v>0.74</v>
      </c>
      <c r="CW2856">
        <v>1.1599999999999999</v>
      </c>
      <c r="CX2856">
        <v>-0.16</v>
      </c>
      <c r="CY2856">
        <v>54.16</v>
      </c>
      <c r="CZ2856" t="s">
        <v>897</v>
      </c>
      <c r="DA2856">
        <v>60.44</v>
      </c>
      <c r="DB2856">
        <v>49.43</v>
      </c>
      <c r="DC2856">
        <v>34.54</v>
      </c>
      <c r="DD2856">
        <v>0.04</v>
      </c>
      <c r="DE2856">
        <v>1040</v>
      </c>
      <c r="DF2856">
        <v>600790</v>
      </c>
      <c r="DG2856" t="s">
        <v>116</v>
      </c>
      <c r="DH2856" t="s">
        <v>116</v>
      </c>
      <c r="DI2856" t="s">
        <v>116</v>
      </c>
    </row>
    <row r="2857" spans="1:113" x14ac:dyDescent="0.4">
      <c r="A2857" t="str">
        <f>"600791"</f>
        <v>600791</v>
      </c>
      <c r="B2857" t="s">
        <v>12705</v>
      </c>
      <c r="C2857">
        <v>0.76</v>
      </c>
      <c r="D2857">
        <v>4</v>
      </c>
      <c r="E2857">
        <v>0.03</v>
      </c>
      <c r="F2857">
        <v>4</v>
      </c>
      <c r="G2857">
        <v>4.01</v>
      </c>
      <c r="H2857">
        <v>96570</v>
      </c>
      <c r="I2857">
        <v>1275</v>
      </c>
      <c r="J2857">
        <v>-0.24</v>
      </c>
      <c r="K2857">
        <v>2.14</v>
      </c>
      <c r="L2857">
        <v>3.96</v>
      </c>
      <c r="M2857">
        <v>4.1100000000000003</v>
      </c>
      <c r="N2857">
        <v>3.92</v>
      </c>
      <c r="O2857">
        <v>3.97</v>
      </c>
      <c r="P2857">
        <v>54.19</v>
      </c>
      <c r="Q2857">
        <v>38650616</v>
      </c>
      <c r="R2857">
        <v>2.5299999999999998</v>
      </c>
      <c r="S2857" t="s">
        <v>124</v>
      </c>
      <c r="T2857" t="s">
        <v>165</v>
      </c>
      <c r="U2857">
        <v>4.79</v>
      </c>
      <c r="V2857">
        <v>4</v>
      </c>
      <c r="W2857">
        <v>51022</v>
      </c>
      <c r="X2857">
        <v>45550</v>
      </c>
      <c r="Y2857">
        <v>1.1200000000000001</v>
      </c>
      <c r="Z2857">
        <v>1042</v>
      </c>
      <c r="AA2857">
        <v>451</v>
      </c>
      <c r="AB2857" t="s">
        <v>116</v>
      </c>
      <c r="AC2857">
        <v>10700</v>
      </c>
      <c r="AD2857">
        <v>0</v>
      </c>
      <c r="AE2857" t="s">
        <v>116</v>
      </c>
      <c r="AF2857" t="s">
        <v>116</v>
      </c>
      <c r="AG2857">
        <v>4.5199999999999996</v>
      </c>
      <c r="AH2857" t="s">
        <v>12706</v>
      </c>
      <c r="AI2857" t="s">
        <v>12707</v>
      </c>
      <c r="AJ2857">
        <v>0.83</v>
      </c>
      <c r="AK2857">
        <v>1089</v>
      </c>
      <c r="AL2857">
        <v>89</v>
      </c>
      <c r="AM2857">
        <v>2E-3</v>
      </c>
      <c r="AN2857">
        <v>1</v>
      </c>
      <c r="AO2857">
        <v>-1.23</v>
      </c>
      <c r="AP2857">
        <v>8.11</v>
      </c>
      <c r="AQ2857">
        <v>6.38</v>
      </c>
      <c r="AR2857">
        <v>10.38</v>
      </c>
      <c r="AS2857">
        <v>3.9</v>
      </c>
      <c r="AT2857" t="s">
        <v>12708</v>
      </c>
      <c r="AU2857" t="s">
        <v>116</v>
      </c>
      <c r="AV2857">
        <v>35.979999999999997</v>
      </c>
      <c r="AW2857">
        <v>1.1200000000000001</v>
      </c>
      <c r="BA2857">
        <v>-0.25</v>
      </c>
      <c r="BB2857">
        <v>3.53</v>
      </c>
      <c r="BC2857">
        <v>-1.26</v>
      </c>
      <c r="BD2857">
        <v>0.82</v>
      </c>
      <c r="BE2857">
        <v>1.01</v>
      </c>
      <c r="BF2857">
        <v>-2.68</v>
      </c>
      <c r="BG2857">
        <v>2.04</v>
      </c>
      <c r="BH2857">
        <v>-0.06</v>
      </c>
      <c r="BI2857">
        <v>20191030</v>
      </c>
      <c r="BJ2857">
        <v>19970130</v>
      </c>
      <c r="BK2857">
        <v>4.53</v>
      </c>
      <c r="BL2857" t="s">
        <v>116</v>
      </c>
      <c r="BM2857" t="s">
        <v>116</v>
      </c>
      <c r="BN2857">
        <v>80.52</v>
      </c>
      <c r="BO2857">
        <v>17.079999999999998</v>
      </c>
      <c r="BP2857">
        <v>16.13</v>
      </c>
      <c r="BQ2857">
        <v>58.75</v>
      </c>
      <c r="BR2857">
        <v>73.88</v>
      </c>
      <c r="BS2857">
        <v>0.15</v>
      </c>
      <c r="BT2857">
        <v>0.01</v>
      </c>
      <c r="BU2857">
        <v>23.74</v>
      </c>
      <c r="BV2857">
        <v>64.77</v>
      </c>
      <c r="BW2857">
        <v>0.02</v>
      </c>
      <c r="BX2857">
        <v>1.77</v>
      </c>
      <c r="BY2857">
        <v>8.11</v>
      </c>
      <c r="BZ2857">
        <v>6.09</v>
      </c>
      <c r="CA2857">
        <v>0.77</v>
      </c>
      <c r="CB2857">
        <v>0.16</v>
      </c>
      <c r="CC2857">
        <v>0.83</v>
      </c>
      <c r="CD2857">
        <v>0.44</v>
      </c>
      <c r="CE2857">
        <v>0.25</v>
      </c>
      <c r="CF2857">
        <v>0.22</v>
      </c>
      <c r="CG2857">
        <v>9.24</v>
      </c>
      <c r="CH2857">
        <v>-15.82</v>
      </c>
      <c r="CI2857">
        <v>-1.52</v>
      </c>
      <c r="CJ2857">
        <v>26203</v>
      </c>
      <c r="CK2857">
        <v>9439</v>
      </c>
      <c r="CL2857" t="s">
        <v>3392</v>
      </c>
      <c r="CM2857">
        <v>-77.64</v>
      </c>
      <c r="CN2857">
        <v>52.55</v>
      </c>
      <c r="CO2857">
        <v>1.06</v>
      </c>
      <c r="CP2857">
        <v>-1.1499999999999999</v>
      </c>
      <c r="CQ2857">
        <v>2.23</v>
      </c>
      <c r="CR2857">
        <v>0.4</v>
      </c>
      <c r="CS2857" t="s">
        <v>2069</v>
      </c>
      <c r="CT2857">
        <v>3.77</v>
      </c>
      <c r="CU2857">
        <v>0</v>
      </c>
      <c r="CV2857">
        <v>0.39</v>
      </c>
      <c r="CW2857">
        <v>2.04</v>
      </c>
      <c r="CX2857">
        <v>-3.49</v>
      </c>
      <c r="CY2857">
        <v>21.21</v>
      </c>
      <c r="CZ2857" t="s">
        <v>6053</v>
      </c>
      <c r="DA2857">
        <v>24.89</v>
      </c>
      <c r="DB2857">
        <v>9.5399999999999991</v>
      </c>
      <c r="DC2857">
        <v>3.09</v>
      </c>
      <c r="DD2857">
        <v>0</v>
      </c>
      <c r="DE2857">
        <v>163</v>
      </c>
      <c r="DF2857">
        <v>600791</v>
      </c>
      <c r="DG2857" t="s">
        <v>116</v>
      </c>
      <c r="DH2857" t="s">
        <v>116</v>
      </c>
      <c r="DI2857" t="s">
        <v>116</v>
      </c>
    </row>
    <row r="2858" spans="1:113" x14ac:dyDescent="0.4">
      <c r="A2858" t="str">
        <f>"600792"</f>
        <v>600792</v>
      </c>
      <c r="B2858" t="s">
        <v>12709</v>
      </c>
      <c r="C2858">
        <v>0.9</v>
      </c>
      <c r="D2858">
        <v>3.37</v>
      </c>
      <c r="E2858">
        <v>0.03</v>
      </c>
      <c r="F2858">
        <v>3.37</v>
      </c>
      <c r="G2858">
        <v>3.38</v>
      </c>
      <c r="H2858">
        <v>130531</v>
      </c>
      <c r="I2858">
        <v>1224</v>
      </c>
      <c r="J2858">
        <v>0</v>
      </c>
      <c r="K2858">
        <v>1.32</v>
      </c>
      <c r="L2858">
        <v>3.34</v>
      </c>
      <c r="M2858">
        <v>3.43</v>
      </c>
      <c r="N2858">
        <v>3.32</v>
      </c>
      <c r="O2858">
        <v>3.34</v>
      </c>
      <c r="P2858">
        <v>11.8</v>
      </c>
      <c r="Q2858">
        <v>44109776</v>
      </c>
      <c r="R2858">
        <v>1.93</v>
      </c>
      <c r="S2858" t="s">
        <v>1927</v>
      </c>
      <c r="T2858" t="s">
        <v>1043</v>
      </c>
      <c r="U2858">
        <v>3.29</v>
      </c>
      <c r="V2858">
        <v>3.38</v>
      </c>
      <c r="W2858">
        <v>52695</v>
      </c>
      <c r="X2858">
        <v>77836</v>
      </c>
      <c r="Y2858">
        <v>0.68</v>
      </c>
      <c r="Z2858">
        <v>496</v>
      </c>
      <c r="AA2858">
        <v>1362</v>
      </c>
      <c r="AB2858" t="s">
        <v>116</v>
      </c>
      <c r="AC2858">
        <v>46800</v>
      </c>
      <c r="AD2858">
        <v>0</v>
      </c>
      <c r="AE2858" t="s">
        <v>116</v>
      </c>
      <c r="AF2858" t="s">
        <v>116</v>
      </c>
      <c r="AG2858">
        <v>9.9</v>
      </c>
      <c r="AH2858" t="s">
        <v>2791</v>
      </c>
      <c r="AI2858" t="s">
        <v>2791</v>
      </c>
      <c r="AJ2858">
        <v>0.98</v>
      </c>
      <c r="AK2858">
        <v>1232</v>
      </c>
      <c r="AL2858">
        <v>106</v>
      </c>
      <c r="AM2858">
        <v>1.1000000000000001E-3</v>
      </c>
      <c r="AN2858">
        <v>2</v>
      </c>
      <c r="AO2858">
        <v>0.61</v>
      </c>
      <c r="AP2858">
        <v>0.3</v>
      </c>
      <c r="AQ2858">
        <v>3.06</v>
      </c>
      <c r="AR2858">
        <v>25.75</v>
      </c>
      <c r="AS2858">
        <v>4.47</v>
      </c>
      <c r="AT2858" t="s">
        <v>10134</v>
      </c>
      <c r="AU2858">
        <v>10.46</v>
      </c>
      <c r="AV2858">
        <v>17.41</v>
      </c>
      <c r="AW2858">
        <v>1.25</v>
      </c>
      <c r="BA2858">
        <v>0</v>
      </c>
      <c r="BB2858">
        <v>2.69</v>
      </c>
      <c r="BC2858">
        <v>-0.6</v>
      </c>
      <c r="BD2858">
        <v>1.18</v>
      </c>
      <c r="BE2858">
        <v>0.9</v>
      </c>
      <c r="BF2858">
        <v>-1.75</v>
      </c>
      <c r="BG2858">
        <v>1.51</v>
      </c>
      <c r="BH2858">
        <v>-0.28000000000000003</v>
      </c>
      <c r="BI2858">
        <v>20191029</v>
      </c>
      <c r="BJ2858">
        <v>19970123</v>
      </c>
      <c r="BK2858">
        <v>9.9</v>
      </c>
      <c r="BL2858" t="s">
        <v>116</v>
      </c>
      <c r="BM2858" t="s">
        <v>116</v>
      </c>
      <c r="BN2858">
        <v>58.23</v>
      </c>
      <c r="BO2858">
        <v>33.33</v>
      </c>
      <c r="BP2858">
        <v>0.7</v>
      </c>
      <c r="BQ2858">
        <v>41.56</v>
      </c>
      <c r="BR2858">
        <v>28.03</v>
      </c>
      <c r="BS2858">
        <v>19.39</v>
      </c>
      <c r="BT2858">
        <v>5.9</v>
      </c>
      <c r="BU2858">
        <v>19.059999999999999</v>
      </c>
      <c r="BV2858">
        <v>3.72</v>
      </c>
      <c r="BW2858">
        <v>8.8000000000000007</v>
      </c>
      <c r="BX2858">
        <v>22.91</v>
      </c>
      <c r="BY2858">
        <v>42.36</v>
      </c>
      <c r="BZ2858">
        <v>36.65</v>
      </c>
      <c r="CA2858">
        <v>2.38</v>
      </c>
      <c r="CB2858">
        <v>0</v>
      </c>
      <c r="CC2858">
        <v>2.35</v>
      </c>
      <c r="CD2858">
        <v>2.16</v>
      </c>
      <c r="CE2858">
        <v>2.12</v>
      </c>
      <c r="CF2858">
        <v>2.1</v>
      </c>
      <c r="CG2858">
        <v>-0.82</v>
      </c>
      <c r="CH2858">
        <v>-6.01</v>
      </c>
      <c r="CI2858">
        <v>-1.7</v>
      </c>
      <c r="CJ2858">
        <v>40062</v>
      </c>
      <c r="CK2858">
        <v>7289</v>
      </c>
      <c r="CL2858" t="s">
        <v>3564</v>
      </c>
      <c r="CM2858">
        <v>150.41</v>
      </c>
      <c r="CN2858">
        <v>10.67</v>
      </c>
      <c r="CO2858">
        <v>1</v>
      </c>
      <c r="CP2858">
        <v>-5.55</v>
      </c>
      <c r="CQ2858">
        <v>0.79</v>
      </c>
      <c r="CR2858">
        <v>0</v>
      </c>
      <c r="CS2858" t="s">
        <v>1061</v>
      </c>
      <c r="CT2858">
        <v>3.37</v>
      </c>
      <c r="CU2858">
        <v>0</v>
      </c>
      <c r="CV2858">
        <v>2.31</v>
      </c>
      <c r="CW2858">
        <v>-0.08</v>
      </c>
      <c r="CX2858">
        <v>-0.61</v>
      </c>
      <c r="CY2858">
        <v>57.23</v>
      </c>
      <c r="CZ2858" t="s">
        <v>12710</v>
      </c>
      <c r="DA2858">
        <v>13.5</v>
      </c>
      <c r="DB2858">
        <v>5.63</v>
      </c>
      <c r="DC2858">
        <v>5.01</v>
      </c>
      <c r="DD2858">
        <v>0.05</v>
      </c>
      <c r="DE2858">
        <v>2036</v>
      </c>
      <c r="DF2858">
        <v>600792</v>
      </c>
      <c r="DG2858" t="s">
        <v>116</v>
      </c>
      <c r="DH2858" t="s">
        <v>116</v>
      </c>
      <c r="DI2858" t="s">
        <v>116</v>
      </c>
    </row>
    <row r="2859" spans="1:113" x14ac:dyDescent="0.4">
      <c r="A2859" t="str">
        <f>"600793"</f>
        <v>600793</v>
      </c>
      <c r="B2859" t="s">
        <v>12711</v>
      </c>
      <c r="C2859">
        <v>-0.37</v>
      </c>
      <c r="D2859">
        <v>16.11</v>
      </c>
      <c r="E2859">
        <v>-0.06</v>
      </c>
      <c r="F2859">
        <v>16.11</v>
      </c>
      <c r="G2859">
        <v>16.12</v>
      </c>
      <c r="H2859">
        <v>5225</v>
      </c>
      <c r="I2859">
        <v>106</v>
      </c>
      <c r="J2859">
        <v>0</v>
      </c>
      <c r="K2859">
        <v>0.5</v>
      </c>
      <c r="L2859">
        <v>16.12</v>
      </c>
      <c r="M2859">
        <v>16.2</v>
      </c>
      <c r="N2859">
        <v>16.100000000000001</v>
      </c>
      <c r="O2859">
        <v>16.170000000000002</v>
      </c>
      <c r="P2859">
        <v>171.29</v>
      </c>
      <c r="Q2859">
        <v>8441217</v>
      </c>
      <c r="R2859">
        <v>0.56999999999999995</v>
      </c>
      <c r="S2859" t="s">
        <v>824</v>
      </c>
      <c r="T2859" t="s">
        <v>582</v>
      </c>
      <c r="U2859">
        <v>0.62</v>
      </c>
      <c r="V2859">
        <v>16.16</v>
      </c>
      <c r="W2859">
        <v>3524</v>
      </c>
      <c r="X2859">
        <v>1701</v>
      </c>
      <c r="Y2859">
        <v>2.0699999999999998</v>
      </c>
      <c r="Z2859">
        <v>458</v>
      </c>
      <c r="AA2859">
        <v>37</v>
      </c>
      <c r="AB2859" t="s">
        <v>116</v>
      </c>
      <c r="AC2859">
        <v>66100</v>
      </c>
      <c r="AD2859">
        <v>0.01</v>
      </c>
      <c r="AE2859" t="s">
        <v>116</v>
      </c>
      <c r="AF2859" t="s">
        <v>116</v>
      </c>
      <c r="AG2859">
        <v>1.05</v>
      </c>
      <c r="AH2859" t="s">
        <v>12712</v>
      </c>
      <c r="AI2859" t="s">
        <v>9090</v>
      </c>
      <c r="AJ2859">
        <v>-0.28999999999999998</v>
      </c>
      <c r="AK2859">
        <v>336</v>
      </c>
      <c r="AL2859">
        <v>16</v>
      </c>
      <c r="AM2859">
        <v>1.5E-3</v>
      </c>
      <c r="AN2859">
        <v>-1</v>
      </c>
      <c r="AO2859">
        <v>-0.19</v>
      </c>
      <c r="AP2859">
        <v>-4.1100000000000003</v>
      </c>
      <c r="AQ2859">
        <v>-11.29</v>
      </c>
      <c r="AR2859">
        <v>8.92</v>
      </c>
      <c r="AS2859">
        <v>1.07</v>
      </c>
      <c r="AT2859" t="s">
        <v>12713</v>
      </c>
      <c r="AU2859" t="s">
        <v>116</v>
      </c>
      <c r="AV2859">
        <v>11.67</v>
      </c>
      <c r="AW2859">
        <v>0.42</v>
      </c>
      <c r="BA2859">
        <v>-0.31</v>
      </c>
      <c r="BB2859">
        <v>0.19</v>
      </c>
      <c r="BC2859">
        <v>-0.43</v>
      </c>
      <c r="BD2859">
        <v>-0.09</v>
      </c>
      <c r="BE2859">
        <v>-0.06</v>
      </c>
      <c r="BF2859">
        <v>-0.56000000000000005</v>
      </c>
      <c r="BG2859">
        <v>0.06</v>
      </c>
      <c r="BH2859">
        <v>-0.28000000000000003</v>
      </c>
      <c r="BI2859">
        <v>20191031</v>
      </c>
      <c r="BJ2859">
        <v>19970220</v>
      </c>
      <c r="BK2859">
        <v>1.26</v>
      </c>
      <c r="BL2859" t="s">
        <v>116</v>
      </c>
      <c r="BM2859" t="s">
        <v>116</v>
      </c>
      <c r="BN2859">
        <v>34.25</v>
      </c>
      <c r="BO2859">
        <v>6.96</v>
      </c>
      <c r="BP2859">
        <v>0</v>
      </c>
      <c r="BQ2859">
        <v>79.67</v>
      </c>
      <c r="BR2859">
        <v>9.17</v>
      </c>
      <c r="BS2859">
        <v>23.01</v>
      </c>
      <c r="BT2859">
        <v>0.84</v>
      </c>
      <c r="BU2859">
        <v>16.25</v>
      </c>
      <c r="BV2859">
        <v>3.16</v>
      </c>
      <c r="BW2859">
        <v>1.3</v>
      </c>
      <c r="BX2859">
        <v>4.51</v>
      </c>
      <c r="BY2859">
        <v>10.88</v>
      </c>
      <c r="BZ2859">
        <v>9.9</v>
      </c>
      <c r="CA2859">
        <v>7.0000000000000007E-2</v>
      </c>
      <c r="CB2859">
        <v>0</v>
      </c>
      <c r="CC2859">
        <v>0.09</v>
      </c>
      <c r="CD2859">
        <v>0.09</v>
      </c>
      <c r="CE2859">
        <v>0.09</v>
      </c>
      <c r="CF2859">
        <v>-0.9</v>
      </c>
      <c r="CG2859">
        <v>1.1499999999999999</v>
      </c>
      <c r="CH2859">
        <v>1.64</v>
      </c>
      <c r="CI2859">
        <v>1.53</v>
      </c>
      <c r="CJ2859">
        <v>8407</v>
      </c>
      <c r="CK2859">
        <v>5782</v>
      </c>
      <c r="CL2859" t="s">
        <v>8425</v>
      </c>
      <c r="CM2859">
        <v>-95.76</v>
      </c>
      <c r="CN2859">
        <v>4.66</v>
      </c>
      <c r="CO2859">
        <v>2.92</v>
      </c>
      <c r="CP2859">
        <v>12.4</v>
      </c>
      <c r="CQ2859">
        <v>1.87</v>
      </c>
      <c r="CR2859">
        <v>0</v>
      </c>
      <c r="CS2859" t="s">
        <v>9070</v>
      </c>
      <c r="CT2859">
        <v>5.51</v>
      </c>
      <c r="CU2859">
        <v>0</v>
      </c>
      <c r="CV2859">
        <v>3.57</v>
      </c>
      <c r="CW2859">
        <v>0.91</v>
      </c>
      <c r="CX2859">
        <v>1.3</v>
      </c>
      <c r="CY2859">
        <v>20.329999999999998</v>
      </c>
      <c r="CZ2859" t="s">
        <v>4940</v>
      </c>
      <c r="DA2859">
        <v>9.0500000000000007</v>
      </c>
      <c r="DB2859">
        <v>0.62</v>
      </c>
      <c r="DC2859">
        <v>0.82</v>
      </c>
      <c r="DD2859">
        <v>0</v>
      </c>
      <c r="DE2859">
        <v>1288</v>
      </c>
      <c r="DF2859">
        <v>600793</v>
      </c>
      <c r="DG2859" t="s">
        <v>116</v>
      </c>
      <c r="DH2859" t="s">
        <v>116</v>
      </c>
      <c r="DI2859" t="s">
        <v>116</v>
      </c>
    </row>
    <row r="2860" spans="1:113" x14ac:dyDescent="0.4">
      <c r="A2860" t="str">
        <f>"600794"</f>
        <v>600794</v>
      </c>
      <c r="B2860" t="s">
        <v>12714</v>
      </c>
      <c r="C2860">
        <v>-0.53</v>
      </c>
      <c r="D2860">
        <v>3.77</v>
      </c>
      <c r="E2860">
        <v>-0.02</v>
      </c>
      <c r="F2860">
        <v>3.77</v>
      </c>
      <c r="G2860">
        <v>3.78</v>
      </c>
      <c r="H2860">
        <v>142144</v>
      </c>
      <c r="I2860">
        <v>560</v>
      </c>
      <c r="J2860">
        <v>-0.25</v>
      </c>
      <c r="K2860">
        <v>1.17</v>
      </c>
      <c r="L2860">
        <v>3.78</v>
      </c>
      <c r="M2860">
        <v>3.82</v>
      </c>
      <c r="N2860">
        <v>3.77</v>
      </c>
      <c r="O2860">
        <v>3.79</v>
      </c>
      <c r="P2860">
        <v>19.04</v>
      </c>
      <c r="Q2860">
        <v>53959660</v>
      </c>
      <c r="R2860">
        <v>1.02</v>
      </c>
      <c r="S2860" t="s">
        <v>3113</v>
      </c>
      <c r="T2860" t="s">
        <v>323</v>
      </c>
      <c r="U2860">
        <v>1.32</v>
      </c>
      <c r="V2860">
        <v>3.8</v>
      </c>
      <c r="W2860">
        <v>74555</v>
      </c>
      <c r="X2860">
        <v>67589</v>
      </c>
      <c r="Y2860">
        <v>1.1000000000000001</v>
      </c>
      <c r="Z2860">
        <v>4656</v>
      </c>
      <c r="AA2860">
        <v>241</v>
      </c>
      <c r="AB2860" t="s">
        <v>116</v>
      </c>
      <c r="AC2860">
        <v>128100</v>
      </c>
      <c r="AD2860">
        <v>0</v>
      </c>
      <c r="AE2860" t="s">
        <v>116</v>
      </c>
      <c r="AF2860" t="s">
        <v>116</v>
      </c>
      <c r="AG2860">
        <v>12.12</v>
      </c>
      <c r="AH2860" t="s">
        <v>12715</v>
      </c>
      <c r="AI2860" t="s">
        <v>12715</v>
      </c>
      <c r="AJ2860">
        <v>-0.45</v>
      </c>
      <c r="AK2860">
        <v>1967</v>
      </c>
      <c r="AL2860">
        <v>72</v>
      </c>
      <c r="AM2860">
        <v>5.9999999999999995E-4</v>
      </c>
      <c r="AN2860">
        <v>-1</v>
      </c>
      <c r="AO2860">
        <v>-0.8</v>
      </c>
      <c r="AP2860">
        <v>1.07</v>
      </c>
      <c r="AQ2860">
        <v>-4.8</v>
      </c>
      <c r="AR2860">
        <v>46.24</v>
      </c>
      <c r="AS2860">
        <v>1.82</v>
      </c>
      <c r="AT2860" t="s">
        <v>4767</v>
      </c>
      <c r="AU2860">
        <v>24.52</v>
      </c>
      <c r="AV2860">
        <v>128.71</v>
      </c>
      <c r="AW2860">
        <v>1.46</v>
      </c>
      <c r="BA2860">
        <v>-0.26</v>
      </c>
      <c r="BB2860">
        <v>0.79</v>
      </c>
      <c r="BC2860">
        <v>-0.53</v>
      </c>
      <c r="BD2860">
        <v>0.16</v>
      </c>
      <c r="BE2860">
        <v>-0.26</v>
      </c>
      <c r="BF2860">
        <v>-1.31</v>
      </c>
      <c r="BG2860">
        <v>0</v>
      </c>
      <c r="BH2860">
        <v>-0.69</v>
      </c>
      <c r="BI2860">
        <v>20191023</v>
      </c>
      <c r="BJ2860">
        <v>19970306</v>
      </c>
      <c r="BK2860">
        <v>12.12</v>
      </c>
      <c r="BL2860" t="s">
        <v>116</v>
      </c>
      <c r="BM2860" t="s">
        <v>116</v>
      </c>
      <c r="BN2860">
        <v>29.46</v>
      </c>
      <c r="BO2860">
        <v>19.73</v>
      </c>
      <c r="BP2860">
        <v>2.89</v>
      </c>
      <c r="BQ2860">
        <v>23.18</v>
      </c>
      <c r="BR2860">
        <v>12.86</v>
      </c>
      <c r="BS2860">
        <v>10.44</v>
      </c>
      <c r="BT2860">
        <v>2.35</v>
      </c>
      <c r="BU2860">
        <v>3.19</v>
      </c>
      <c r="BV2860">
        <v>1.49</v>
      </c>
      <c r="BW2860">
        <v>0.13</v>
      </c>
      <c r="BX2860">
        <v>2.68</v>
      </c>
      <c r="BY2860">
        <v>16.98</v>
      </c>
      <c r="BZ2860">
        <v>14.17</v>
      </c>
      <c r="CA2860">
        <v>2.42</v>
      </c>
      <c r="CB2860">
        <v>0.24</v>
      </c>
      <c r="CC2860">
        <v>2.39</v>
      </c>
      <c r="CD2860">
        <v>1.92</v>
      </c>
      <c r="CE2860">
        <v>1.8</v>
      </c>
      <c r="CF2860">
        <v>1.72</v>
      </c>
      <c r="CG2860">
        <v>4.0999999999999996</v>
      </c>
      <c r="CH2860">
        <v>2.7</v>
      </c>
      <c r="CI2860">
        <v>0.71</v>
      </c>
      <c r="CJ2860">
        <v>103557</v>
      </c>
      <c r="CK2860">
        <v>7529</v>
      </c>
      <c r="CL2860" t="s">
        <v>3462</v>
      </c>
      <c r="CM2860">
        <v>517.64</v>
      </c>
      <c r="CN2860">
        <v>57.24</v>
      </c>
      <c r="CO2860">
        <v>2.3199999999999998</v>
      </c>
      <c r="CP2860">
        <v>16.940000000000001</v>
      </c>
      <c r="CQ2860">
        <v>2.69</v>
      </c>
      <c r="CR2860">
        <v>0.32</v>
      </c>
      <c r="CS2860" t="s">
        <v>261</v>
      </c>
      <c r="CT2860">
        <v>1.63</v>
      </c>
      <c r="CU2860">
        <v>0</v>
      </c>
      <c r="CV2860">
        <v>0.22</v>
      </c>
      <c r="CW2860">
        <v>0.34</v>
      </c>
      <c r="CX2860">
        <v>0.22</v>
      </c>
      <c r="CY2860">
        <v>66.989999999999995</v>
      </c>
      <c r="CZ2860" t="s">
        <v>2455</v>
      </c>
      <c r="DA2860">
        <v>16.510000000000002</v>
      </c>
      <c r="DB2860">
        <v>14.27</v>
      </c>
      <c r="DC2860">
        <v>10.61</v>
      </c>
      <c r="DD2860">
        <v>0</v>
      </c>
      <c r="DE2860">
        <v>491</v>
      </c>
      <c r="DF2860">
        <v>600794</v>
      </c>
      <c r="DG2860" t="s">
        <v>116</v>
      </c>
      <c r="DH2860" t="s">
        <v>116</v>
      </c>
      <c r="DI2860" t="s">
        <v>116</v>
      </c>
    </row>
    <row r="2861" spans="1:113" x14ac:dyDescent="0.4">
      <c r="A2861" t="str">
        <f>"600795"</f>
        <v>600795</v>
      </c>
      <c r="B2861" t="s">
        <v>12716</v>
      </c>
      <c r="C2861">
        <v>-0.43</v>
      </c>
      <c r="D2861">
        <v>2.31</v>
      </c>
      <c r="E2861">
        <v>-0.01</v>
      </c>
      <c r="F2861">
        <v>2.31</v>
      </c>
      <c r="G2861">
        <v>2.3199999999999998</v>
      </c>
      <c r="H2861">
        <v>454257</v>
      </c>
      <c r="I2861">
        <v>4715</v>
      </c>
      <c r="J2861">
        <v>0</v>
      </c>
      <c r="K2861">
        <v>0.23</v>
      </c>
      <c r="L2861">
        <v>2.3199999999999998</v>
      </c>
      <c r="M2861">
        <v>2.33</v>
      </c>
      <c r="N2861">
        <v>2.31</v>
      </c>
      <c r="O2861">
        <v>2.3199999999999998</v>
      </c>
      <c r="P2861">
        <v>11.04</v>
      </c>
      <c r="Q2861">
        <v>105347544</v>
      </c>
      <c r="R2861">
        <v>1.23</v>
      </c>
      <c r="S2861" t="s">
        <v>271</v>
      </c>
      <c r="T2861" t="s">
        <v>434</v>
      </c>
      <c r="U2861">
        <v>0.86</v>
      </c>
      <c r="V2861">
        <v>2.3199999999999998</v>
      </c>
      <c r="W2861">
        <v>230957</v>
      </c>
      <c r="X2861">
        <v>223300</v>
      </c>
      <c r="Y2861">
        <v>1.03</v>
      </c>
      <c r="Z2861">
        <v>13869</v>
      </c>
      <c r="AA2861">
        <v>28795</v>
      </c>
      <c r="AB2861" t="s">
        <v>116</v>
      </c>
      <c r="AC2861">
        <v>318300</v>
      </c>
      <c r="AD2861">
        <v>0</v>
      </c>
      <c r="AE2861" t="s">
        <v>116</v>
      </c>
      <c r="AF2861" t="s">
        <v>116</v>
      </c>
      <c r="AG2861">
        <v>196.5</v>
      </c>
      <c r="AH2861" t="s">
        <v>12717</v>
      </c>
      <c r="AI2861" t="s">
        <v>12717</v>
      </c>
      <c r="AJ2861">
        <v>-0.35</v>
      </c>
      <c r="AK2861">
        <v>3296</v>
      </c>
      <c r="AL2861">
        <v>138</v>
      </c>
      <c r="AM2861">
        <v>1E-4</v>
      </c>
      <c r="AN2861">
        <v>-1</v>
      </c>
      <c r="AO2861">
        <v>0</v>
      </c>
      <c r="AP2861">
        <v>2.21</v>
      </c>
      <c r="AQ2861">
        <v>-3.75</v>
      </c>
      <c r="AR2861">
        <v>-8.33</v>
      </c>
      <c r="AS2861">
        <v>0.43</v>
      </c>
      <c r="AT2861" t="s">
        <v>12718</v>
      </c>
      <c r="AU2861">
        <v>31.37</v>
      </c>
      <c r="AV2861">
        <v>33.15</v>
      </c>
      <c r="AW2861">
        <v>0.76</v>
      </c>
      <c r="BA2861">
        <v>0</v>
      </c>
      <c r="BB2861">
        <v>0.43</v>
      </c>
      <c r="BC2861">
        <v>-0.43</v>
      </c>
      <c r="BD2861">
        <v>-0.04</v>
      </c>
      <c r="BE2861">
        <v>-0.43</v>
      </c>
      <c r="BF2861">
        <v>-0.86</v>
      </c>
      <c r="BG2861">
        <v>0</v>
      </c>
      <c r="BH2861">
        <v>-0.39</v>
      </c>
      <c r="BI2861">
        <v>20191031</v>
      </c>
      <c r="BJ2861">
        <v>19970318</v>
      </c>
      <c r="BK2861">
        <v>196.5</v>
      </c>
      <c r="BL2861" t="s">
        <v>116</v>
      </c>
      <c r="BM2861" t="s">
        <v>116</v>
      </c>
      <c r="BN2861">
        <v>3724.85</v>
      </c>
      <c r="BO2861">
        <v>559.79</v>
      </c>
      <c r="BP2861">
        <v>643.16</v>
      </c>
      <c r="BQ2861">
        <v>67.7</v>
      </c>
      <c r="BR2861">
        <v>392.73</v>
      </c>
      <c r="BS2861">
        <v>2763.26</v>
      </c>
      <c r="BT2861">
        <v>85.8</v>
      </c>
      <c r="BU2861">
        <v>888.01</v>
      </c>
      <c r="BV2861">
        <v>44.07</v>
      </c>
      <c r="BW2861">
        <v>167.76</v>
      </c>
      <c r="BX2861">
        <v>61.49</v>
      </c>
      <c r="BY2861">
        <v>856.99</v>
      </c>
      <c r="BZ2861">
        <v>678.23</v>
      </c>
      <c r="CA2861">
        <v>77.930000000000007</v>
      </c>
      <c r="CB2861">
        <v>8.49</v>
      </c>
      <c r="CC2861">
        <v>80.39</v>
      </c>
      <c r="CD2861">
        <v>61.42</v>
      </c>
      <c r="CE2861">
        <v>30.84</v>
      </c>
      <c r="CF2861">
        <v>26.84</v>
      </c>
      <c r="CG2861">
        <v>216.06</v>
      </c>
      <c r="CH2861">
        <v>266.18</v>
      </c>
      <c r="CI2861">
        <v>52.15</v>
      </c>
      <c r="CJ2861">
        <v>659394</v>
      </c>
      <c r="CK2861">
        <v>16093</v>
      </c>
      <c r="CL2861" t="s">
        <v>1663</v>
      </c>
      <c r="CM2861">
        <v>2.58</v>
      </c>
      <c r="CN2861">
        <v>7.56</v>
      </c>
      <c r="CO2861">
        <v>0.85</v>
      </c>
      <c r="CP2861">
        <v>1.71</v>
      </c>
      <c r="CQ2861">
        <v>0.53</v>
      </c>
      <c r="CR2861">
        <v>1.73</v>
      </c>
      <c r="CS2861" t="s">
        <v>3137</v>
      </c>
      <c r="CT2861">
        <v>2.71</v>
      </c>
      <c r="CU2861">
        <v>2.71</v>
      </c>
      <c r="CV2861">
        <v>0.31</v>
      </c>
      <c r="CW2861">
        <v>1.1000000000000001</v>
      </c>
      <c r="CX2861">
        <v>1.35</v>
      </c>
      <c r="CY2861">
        <v>15.03</v>
      </c>
      <c r="CZ2861" t="s">
        <v>12719</v>
      </c>
      <c r="DA2861">
        <v>20.86</v>
      </c>
      <c r="DB2861">
        <v>9.09</v>
      </c>
      <c r="DC2861">
        <v>3.6</v>
      </c>
      <c r="DD2861">
        <v>0.04</v>
      </c>
      <c r="DE2861">
        <v>25586</v>
      </c>
      <c r="DF2861">
        <v>600795</v>
      </c>
      <c r="DG2861" t="s">
        <v>116</v>
      </c>
      <c r="DH2861" t="s">
        <v>116</v>
      </c>
      <c r="DI2861" t="s">
        <v>116</v>
      </c>
    </row>
    <row r="2862" spans="1:113" x14ac:dyDescent="0.4">
      <c r="A2862" t="str">
        <f>"600796"</f>
        <v>600796</v>
      </c>
      <c r="B2862" t="s">
        <v>12720</v>
      </c>
      <c r="C2862">
        <v>-1.25</v>
      </c>
      <c r="D2862">
        <v>5.51</v>
      </c>
      <c r="E2862">
        <v>-7.0000000000000007E-2</v>
      </c>
      <c r="F2862">
        <v>5.5</v>
      </c>
      <c r="G2862">
        <v>5.51</v>
      </c>
      <c r="H2862">
        <v>14234</v>
      </c>
      <c r="I2862">
        <v>133</v>
      </c>
      <c r="J2862">
        <v>0.18</v>
      </c>
      <c r="K2862">
        <v>0.47</v>
      </c>
      <c r="L2862">
        <v>5.58</v>
      </c>
      <c r="M2862">
        <v>5.65</v>
      </c>
      <c r="N2862">
        <v>5.48</v>
      </c>
      <c r="O2862">
        <v>5.58</v>
      </c>
      <c r="P2862" t="s">
        <v>116</v>
      </c>
      <c r="Q2862">
        <v>7937448</v>
      </c>
      <c r="R2862">
        <v>1.08</v>
      </c>
      <c r="S2862" t="s">
        <v>697</v>
      </c>
      <c r="T2862" t="s">
        <v>590</v>
      </c>
      <c r="U2862">
        <v>3.05</v>
      </c>
      <c r="V2862">
        <v>5.58</v>
      </c>
      <c r="W2862">
        <v>8485</v>
      </c>
      <c r="X2862">
        <v>5749</v>
      </c>
      <c r="Y2862">
        <v>1.48</v>
      </c>
      <c r="Z2862">
        <v>146</v>
      </c>
      <c r="AA2862">
        <v>146</v>
      </c>
      <c r="AB2862" t="s">
        <v>116</v>
      </c>
      <c r="AC2862">
        <v>359900</v>
      </c>
      <c r="AD2862">
        <v>0.03</v>
      </c>
      <c r="AE2862" t="s">
        <v>116</v>
      </c>
      <c r="AF2862" t="s">
        <v>116</v>
      </c>
      <c r="AG2862">
        <v>3.01</v>
      </c>
      <c r="AH2862" t="s">
        <v>3148</v>
      </c>
      <c r="AI2862" t="s">
        <v>3148</v>
      </c>
      <c r="AJ2862">
        <v>-1.18</v>
      </c>
      <c r="AK2862">
        <v>518</v>
      </c>
      <c r="AL2862">
        <v>27</v>
      </c>
      <c r="AM2862">
        <v>8.9999999999999998E-4</v>
      </c>
      <c r="AN2862">
        <v>-1</v>
      </c>
      <c r="AO2862">
        <v>-0.89</v>
      </c>
      <c r="AP2862">
        <v>1.47</v>
      </c>
      <c r="AQ2862">
        <v>6.78</v>
      </c>
      <c r="AR2862">
        <v>6.58</v>
      </c>
      <c r="AS2862">
        <v>0.71</v>
      </c>
      <c r="AT2862" t="s">
        <v>12721</v>
      </c>
      <c r="AU2862" t="s">
        <v>116</v>
      </c>
      <c r="AV2862" t="s">
        <v>116</v>
      </c>
      <c r="AW2862">
        <v>1.06</v>
      </c>
      <c r="BA2862">
        <v>0</v>
      </c>
      <c r="BB2862">
        <v>1.25</v>
      </c>
      <c r="BC2862">
        <v>-1.79</v>
      </c>
      <c r="BD2862">
        <v>-0.06</v>
      </c>
      <c r="BE2862">
        <v>-1.25</v>
      </c>
      <c r="BF2862">
        <v>-2.48</v>
      </c>
      <c r="BG2862">
        <v>0.55000000000000004</v>
      </c>
      <c r="BH2862">
        <v>-1.19</v>
      </c>
      <c r="BI2862">
        <v>20191030</v>
      </c>
      <c r="BJ2862">
        <v>19970408</v>
      </c>
      <c r="BK2862">
        <v>3.01</v>
      </c>
      <c r="BL2862" t="s">
        <v>116</v>
      </c>
      <c r="BM2862" t="s">
        <v>116</v>
      </c>
      <c r="BN2862">
        <v>9.3000000000000007</v>
      </c>
      <c r="BO2862">
        <v>5.67</v>
      </c>
      <c r="BP2862">
        <v>0.35</v>
      </c>
      <c r="BQ2862">
        <v>35.270000000000003</v>
      </c>
      <c r="BR2862">
        <v>4.29</v>
      </c>
      <c r="BS2862">
        <v>3.78</v>
      </c>
      <c r="BT2862">
        <v>0.25</v>
      </c>
      <c r="BU2862">
        <v>2.23</v>
      </c>
      <c r="BV2862">
        <v>1.6</v>
      </c>
      <c r="BW2862">
        <v>0.74</v>
      </c>
      <c r="BX2862">
        <v>0.38</v>
      </c>
      <c r="BY2862">
        <v>2.87</v>
      </c>
      <c r="BZ2862">
        <v>2.54</v>
      </c>
      <c r="CA2862">
        <v>-0.03</v>
      </c>
      <c r="CB2862">
        <v>0</v>
      </c>
      <c r="CC2862">
        <v>-0.03</v>
      </c>
      <c r="CD2862">
        <v>-0.06</v>
      </c>
      <c r="CE2862">
        <v>-0.11</v>
      </c>
      <c r="CF2862">
        <v>-0.31</v>
      </c>
      <c r="CG2862">
        <v>1.46</v>
      </c>
      <c r="CH2862">
        <v>-0.13</v>
      </c>
      <c r="CI2862">
        <v>-0.5</v>
      </c>
      <c r="CJ2862">
        <v>29525</v>
      </c>
      <c r="CK2862">
        <v>6756</v>
      </c>
      <c r="CL2862" t="s">
        <v>1663</v>
      </c>
      <c r="CM2862">
        <v>43.36</v>
      </c>
      <c r="CN2862">
        <v>-13.69</v>
      </c>
      <c r="CO2862">
        <v>2.93</v>
      </c>
      <c r="CP2862">
        <v>-128.88999999999999</v>
      </c>
      <c r="CQ2862">
        <v>5.78</v>
      </c>
      <c r="CR2862">
        <v>0</v>
      </c>
      <c r="CS2862" t="s">
        <v>6352</v>
      </c>
      <c r="CT2862">
        <v>1.88</v>
      </c>
      <c r="CU2862">
        <v>0</v>
      </c>
      <c r="CV2862">
        <v>0.12</v>
      </c>
      <c r="CW2862">
        <v>0.48</v>
      </c>
      <c r="CX2862">
        <v>-0.04</v>
      </c>
      <c r="CY2862">
        <v>61.01</v>
      </c>
      <c r="CZ2862" t="s">
        <v>2831</v>
      </c>
      <c r="DA2862">
        <v>11.52</v>
      </c>
      <c r="DB2862">
        <v>-1.1499999999999999</v>
      </c>
      <c r="DC2862">
        <v>-3.69</v>
      </c>
      <c r="DD2862">
        <v>0.09</v>
      </c>
      <c r="DE2862">
        <v>606</v>
      </c>
      <c r="DF2862">
        <v>600796</v>
      </c>
      <c r="DG2862" t="s">
        <v>116</v>
      </c>
      <c r="DH2862" t="s">
        <v>116</v>
      </c>
      <c r="DI2862" t="s">
        <v>116</v>
      </c>
    </row>
    <row r="2863" spans="1:113" x14ac:dyDescent="0.4">
      <c r="A2863" t="str">
        <f>"600797"</f>
        <v>600797</v>
      </c>
      <c r="B2863" t="s">
        <v>12722</v>
      </c>
      <c r="C2863">
        <v>-2.54</v>
      </c>
      <c r="D2863">
        <v>9.9600000000000009</v>
      </c>
      <c r="E2863">
        <v>-0.26</v>
      </c>
      <c r="F2863">
        <v>9.9600000000000009</v>
      </c>
      <c r="G2863">
        <v>9.9700000000000006</v>
      </c>
      <c r="H2863">
        <v>349296</v>
      </c>
      <c r="I2863">
        <v>6827</v>
      </c>
      <c r="J2863">
        <v>-0.19</v>
      </c>
      <c r="K2863">
        <v>3.41</v>
      </c>
      <c r="L2863">
        <v>10.199999999999999</v>
      </c>
      <c r="M2863">
        <v>10.26</v>
      </c>
      <c r="N2863">
        <v>9.9600000000000009</v>
      </c>
      <c r="O2863">
        <v>10.220000000000001</v>
      </c>
      <c r="P2863">
        <v>52.97</v>
      </c>
      <c r="Q2863">
        <v>353957536</v>
      </c>
      <c r="R2863">
        <v>1.02</v>
      </c>
      <c r="S2863" t="s">
        <v>607</v>
      </c>
      <c r="T2863" t="s">
        <v>590</v>
      </c>
      <c r="U2863">
        <v>2.94</v>
      </c>
      <c r="V2863">
        <v>10.130000000000001</v>
      </c>
      <c r="W2863">
        <v>211083</v>
      </c>
      <c r="X2863">
        <v>138214</v>
      </c>
      <c r="Y2863">
        <v>1.53</v>
      </c>
      <c r="Z2863">
        <v>208</v>
      </c>
      <c r="AA2863">
        <v>893</v>
      </c>
      <c r="AB2863" t="s">
        <v>116</v>
      </c>
      <c r="AC2863">
        <v>797600</v>
      </c>
      <c r="AD2863">
        <v>0.01</v>
      </c>
      <c r="AE2863" t="s">
        <v>116</v>
      </c>
      <c r="AF2863" t="s">
        <v>116</v>
      </c>
      <c r="AG2863">
        <v>10.24</v>
      </c>
      <c r="AH2863" t="s">
        <v>12723</v>
      </c>
      <c r="AI2863" t="s">
        <v>12724</v>
      </c>
      <c r="AJ2863">
        <v>-2.4700000000000002</v>
      </c>
      <c r="AK2863">
        <v>3766</v>
      </c>
      <c r="AL2863">
        <v>93</v>
      </c>
      <c r="AM2863">
        <v>8.9999999999999998E-4</v>
      </c>
      <c r="AN2863">
        <v>-1</v>
      </c>
      <c r="AO2863">
        <v>-0.39</v>
      </c>
      <c r="AP2863">
        <v>0.61</v>
      </c>
      <c r="AQ2863">
        <v>15.14</v>
      </c>
      <c r="AR2863">
        <v>38.72</v>
      </c>
      <c r="AS2863">
        <v>4.04</v>
      </c>
      <c r="AT2863" t="s">
        <v>12725</v>
      </c>
      <c r="AU2863">
        <v>62.88</v>
      </c>
      <c r="AV2863">
        <v>59.03</v>
      </c>
      <c r="AW2863">
        <v>1.54</v>
      </c>
      <c r="BA2863">
        <v>-0.2</v>
      </c>
      <c r="BB2863">
        <v>0.39</v>
      </c>
      <c r="BC2863">
        <v>-2.54</v>
      </c>
      <c r="BD2863">
        <v>-0.85</v>
      </c>
      <c r="BE2863">
        <v>-2.35</v>
      </c>
      <c r="BF2863">
        <v>-2.92</v>
      </c>
      <c r="BG2863">
        <v>0</v>
      </c>
      <c r="BH2863">
        <v>-1.7</v>
      </c>
      <c r="BI2863">
        <v>20191029</v>
      </c>
      <c r="BJ2863">
        <v>19970418</v>
      </c>
      <c r="BK2863">
        <v>10.47</v>
      </c>
      <c r="BL2863" t="s">
        <v>116</v>
      </c>
      <c r="BM2863" t="s">
        <v>116</v>
      </c>
      <c r="BN2863">
        <v>65.7</v>
      </c>
      <c r="BO2863">
        <v>44.93</v>
      </c>
      <c r="BP2863">
        <v>2.25</v>
      </c>
      <c r="BQ2863">
        <v>28.19</v>
      </c>
      <c r="BR2863">
        <v>29.6</v>
      </c>
      <c r="BS2863">
        <v>7.24</v>
      </c>
      <c r="BT2863">
        <v>0.73</v>
      </c>
      <c r="BU2863">
        <v>17.75</v>
      </c>
      <c r="BV2863">
        <v>4.88</v>
      </c>
      <c r="BW2863">
        <v>12.27</v>
      </c>
      <c r="BX2863">
        <v>20.28</v>
      </c>
      <c r="BY2863">
        <v>24.07</v>
      </c>
      <c r="BZ2863">
        <v>16.899999999999999</v>
      </c>
      <c r="CA2863">
        <v>1.9</v>
      </c>
      <c r="CB2863">
        <v>0.55000000000000004</v>
      </c>
      <c r="CC2863">
        <v>1.87</v>
      </c>
      <c r="CD2863">
        <v>1.61</v>
      </c>
      <c r="CE2863">
        <v>1.48</v>
      </c>
      <c r="CF2863">
        <v>1</v>
      </c>
      <c r="CG2863">
        <v>12.92</v>
      </c>
      <c r="CH2863">
        <v>-1.71</v>
      </c>
      <c r="CI2863">
        <v>-1.8</v>
      </c>
      <c r="CJ2863">
        <v>114765</v>
      </c>
      <c r="CK2863">
        <v>7529</v>
      </c>
      <c r="CL2863" t="s">
        <v>5440</v>
      </c>
      <c r="CM2863">
        <v>-6.83</v>
      </c>
      <c r="CN2863">
        <v>0.98</v>
      </c>
      <c r="CO2863">
        <v>2.3199999999999998</v>
      </c>
      <c r="CP2863">
        <v>-60.98</v>
      </c>
      <c r="CQ2863">
        <v>4.33</v>
      </c>
      <c r="CR2863">
        <v>0.3</v>
      </c>
      <c r="CS2863" t="s">
        <v>5207</v>
      </c>
      <c r="CT2863">
        <v>4.29</v>
      </c>
      <c r="CU2863">
        <v>0</v>
      </c>
      <c r="CV2863">
        <v>1.94</v>
      </c>
      <c r="CW2863">
        <v>1.23</v>
      </c>
      <c r="CX2863">
        <v>-0.16</v>
      </c>
      <c r="CY2863">
        <v>68.39</v>
      </c>
      <c r="CZ2863" t="s">
        <v>9643</v>
      </c>
      <c r="DA2863">
        <v>29.79</v>
      </c>
      <c r="DB2863">
        <v>7.89</v>
      </c>
      <c r="DC2863">
        <v>6.13</v>
      </c>
      <c r="DD2863">
        <v>1.87</v>
      </c>
      <c r="DE2863">
        <v>4545</v>
      </c>
      <c r="DF2863">
        <v>600797</v>
      </c>
      <c r="DG2863" t="s">
        <v>116</v>
      </c>
      <c r="DH2863" t="s">
        <v>116</v>
      </c>
      <c r="DI2863" t="s">
        <v>116</v>
      </c>
    </row>
    <row r="2864" spans="1:113" x14ac:dyDescent="0.4">
      <c r="A2864" t="str">
        <f>"600798"</f>
        <v>600798</v>
      </c>
      <c r="B2864" t="s">
        <v>12726</v>
      </c>
      <c r="C2864">
        <v>-0.56999999999999995</v>
      </c>
      <c r="D2864">
        <v>3.5</v>
      </c>
      <c r="E2864">
        <v>-0.02</v>
      </c>
      <c r="F2864">
        <v>3.5</v>
      </c>
      <c r="G2864">
        <v>3.51</v>
      </c>
      <c r="H2864">
        <v>69429</v>
      </c>
      <c r="I2864">
        <v>1348</v>
      </c>
      <c r="J2864">
        <v>-0.27</v>
      </c>
      <c r="K2864">
        <v>0.67</v>
      </c>
      <c r="L2864">
        <v>3.53</v>
      </c>
      <c r="M2864">
        <v>3.54</v>
      </c>
      <c r="N2864">
        <v>3.49</v>
      </c>
      <c r="O2864">
        <v>3.52</v>
      </c>
      <c r="P2864">
        <v>17.41</v>
      </c>
      <c r="Q2864">
        <v>24436684</v>
      </c>
      <c r="R2864">
        <v>1.4</v>
      </c>
      <c r="S2864" t="s">
        <v>940</v>
      </c>
      <c r="T2864" t="s">
        <v>590</v>
      </c>
      <c r="U2864">
        <v>1.42</v>
      </c>
      <c r="V2864">
        <v>3.52</v>
      </c>
      <c r="W2864">
        <v>40974</v>
      </c>
      <c r="X2864">
        <v>28455</v>
      </c>
      <c r="Y2864">
        <v>1.44</v>
      </c>
      <c r="Z2864">
        <v>133</v>
      </c>
      <c r="AA2864">
        <v>721</v>
      </c>
      <c r="AB2864" t="s">
        <v>116</v>
      </c>
      <c r="AC2864">
        <v>162400</v>
      </c>
      <c r="AD2864">
        <v>0.01</v>
      </c>
      <c r="AE2864" t="s">
        <v>116</v>
      </c>
      <c r="AF2864" t="s">
        <v>116</v>
      </c>
      <c r="AG2864">
        <v>10.31</v>
      </c>
      <c r="AH2864" t="s">
        <v>1352</v>
      </c>
      <c r="AI2864" t="s">
        <v>6951</v>
      </c>
      <c r="AJ2864">
        <v>-0.49</v>
      </c>
      <c r="AK2864">
        <v>744</v>
      </c>
      <c r="AL2864">
        <v>93</v>
      </c>
      <c r="AM2864">
        <v>8.9999999999999998E-4</v>
      </c>
      <c r="AN2864">
        <v>-1</v>
      </c>
      <c r="AO2864">
        <v>-0.28000000000000003</v>
      </c>
      <c r="AP2864">
        <v>2.94</v>
      </c>
      <c r="AQ2864">
        <v>-2.78</v>
      </c>
      <c r="AR2864">
        <v>10.41</v>
      </c>
      <c r="AS2864">
        <v>1.05</v>
      </c>
      <c r="AT2864" t="s">
        <v>5403</v>
      </c>
      <c r="AU2864">
        <v>17.14</v>
      </c>
      <c r="AV2864">
        <v>17.920000000000002</v>
      </c>
      <c r="AW2864">
        <v>1.34</v>
      </c>
      <c r="BA2864">
        <v>0.28000000000000003</v>
      </c>
      <c r="BB2864">
        <v>0.56999999999999995</v>
      </c>
      <c r="BC2864">
        <v>-0.85</v>
      </c>
      <c r="BD2864">
        <v>-0.01</v>
      </c>
      <c r="BE2864">
        <v>-0.85</v>
      </c>
      <c r="BF2864">
        <v>-1.1299999999999999</v>
      </c>
      <c r="BG2864">
        <v>0.28999999999999998</v>
      </c>
      <c r="BH2864">
        <v>-0.56000000000000005</v>
      </c>
      <c r="BI2864">
        <v>20191107</v>
      </c>
      <c r="BJ2864">
        <v>19970423</v>
      </c>
      <c r="BK2864">
        <v>12.07</v>
      </c>
      <c r="BL2864" t="s">
        <v>116</v>
      </c>
      <c r="BM2864" t="s">
        <v>116</v>
      </c>
      <c r="BN2864">
        <v>73.13</v>
      </c>
      <c r="BO2864">
        <v>35.57</v>
      </c>
      <c r="BP2864">
        <v>11.52</v>
      </c>
      <c r="BQ2864">
        <v>35.61</v>
      </c>
      <c r="BR2864">
        <v>11.27</v>
      </c>
      <c r="BS2864">
        <v>27.22</v>
      </c>
      <c r="BT2864">
        <v>33.56</v>
      </c>
      <c r="BU2864">
        <v>7.73</v>
      </c>
      <c r="BV2864">
        <v>0.55000000000000004</v>
      </c>
      <c r="BW2864">
        <v>3.34</v>
      </c>
      <c r="BX2864">
        <v>11.87</v>
      </c>
      <c r="BY2864">
        <v>16.96</v>
      </c>
      <c r="BZ2864">
        <v>12.27</v>
      </c>
      <c r="CA2864">
        <v>3.98</v>
      </c>
      <c r="CB2864">
        <v>-0.03</v>
      </c>
      <c r="CC2864">
        <v>3.99</v>
      </c>
      <c r="CD2864">
        <v>3</v>
      </c>
      <c r="CE2864">
        <v>1.82</v>
      </c>
      <c r="CF2864">
        <v>1.34</v>
      </c>
      <c r="CG2864">
        <v>9.17</v>
      </c>
      <c r="CH2864">
        <v>5.69</v>
      </c>
      <c r="CI2864">
        <v>1.1100000000000001</v>
      </c>
      <c r="CJ2864">
        <v>75555</v>
      </c>
      <c r="CK2864">
        <v>8777</v>
      </c>
      <c r="CL2864" t="s">
        <v>3910</v>
      </c>
      <c r="CM2864">
        <v>6.31</v>
      </c>
      <c r="CN2864">
        <v>-12.71</v>
      </c>
      <c r="CO2864">
        <v>1.19</v>
      </c>
      <c r="CP2864">
        <v>7.42</v>
      </c>
      <c r="CQ2864">
        <v>2.4900000000000002</v>
      </c>
      <c r="CR2864">
        <v>1.71</v>
      </c>
      <c r="CS2864" t="s">
        <v>1163</v>
      </c>
      <c r="CT2864">
        <v>2.95</v>
      </c>
      <c r="CU2864">
        <v>0</v>
      </c>
      <c r="CV2864">
        <v>0.98</v>
      </c>
      <c r="CW2864">
        <v>0.76</v>
      </c>
      <c r="CX2864">
        <v>0.47</v>
      </c>
      <c r="CY2864">
        <v>48.63</v>
      </c>
      <c r="CZ2864" t="s">
        <v>5435</v>
      </c>
      <c r="DA2864">
        <v>27.65</v>
      </c>
      <c r="DB2864">
        <v>23.48</v>
      </c>
      <c r="DC2864">
        <v>10.73</v>
      </c>
      <c r="DD2864">
        <v>0</v>
      </c>
      <c r="DE2864">
        <v>983</v>
      </c>
      <c r="DF2864">
        <v>600798</v>
      </c>
      <c r="DG2864" t="s">
        <v>116</v>
      </c>
      <c r="DH2864" t="s">
        <v>116</v>
      </c>
      <c r="DI2864" t="s">
        <v>116</v>
      </c>
    </row>
    <row r="2865" spans="1:113" x14ac:dyDescent="0.4">
      <c r="A2865" t="str">
        <f>"600800"</f>
        <v>600800</v>
      </c>
      <c r="B2865" t="s">
        <v>12727</v>
      </c>
      <c r="C2865">
        <v>-0.18</v>
      </c>
      <c r="D2865">
        <v>5.62</v>
      </c>
      <c r="E2865">
        <v>-0.01</v>
      </c>
      <c r="F2865">
        <v>5.62</v>
      </c>
      <c r="G2865">
        <v>5.63</v>
      </c>
      <c r="H2865">
        <v>56751</v>
      </c>
      <c r="I2865">
        <v>313</v>
      </c>
      <c r="J2865">
        <v>0</v>
      </c>
      <c r="K2865">
        <v>0.93</v>
      </c>
      <c r="L2865">
        <v>5.65</v>
      </c>
      <c r="M2865">
        <v>5.72</v>
      </c>
      <c r="N2865">
        <v>5.61</v>
      </c>
      <c r="O2865">
        <v>5.63</v>
      </c>
      <c r="P2865" t="s">
        <v>116</v>
      </c>
      <c r="Q2865">
        <v>32131256</v>
      </c>
      <c r="R2865">
        <v>0.95</v>
      </c>
      <c r="S2865" t="s">
        <v>173</v>
      </c>
      <c r="T2865" t="s">
        <v>1035</v>
      </c>
      <c r="U2865">
        <v>1.95</v>
      </c>
      <c r="V2865">
        <v>5.66</v>
      </c>
      <c r="W2865">
        <v>30425</v>
      </c>
      <c r="X2865">
        <v>26326</v>
      </c>
      <c r="Y2865">
        <v>1.1599999999999999</v>
      </c>
      <c r="Z2865">
        <v>448</v>
      </c>
      <c r="AA2865">
        <v>578</v>
      </c>
      <c r="AB2865" t="s">
        <v>116</v>
      </c>
      <c r="AC2865">
        <v>58200</v>
      </c>
      <c r="AD2865">
        <v>0</v>
      </c>
      <c r="AE2865" t="s">
        <v>116</v>
      </c>
      <c r="AF2865" t="s">
        <v>116</v>
      </c>
      <c r="AG2865">
        <v>6.11</v>
      </c>
      <c r="AH2865" t="s">
        <v>6860</v>
      </c>
      <c r="AI2865" t="s">
        <v>9726</v>
      </c>
      <c r="AJ2865">
        <v>-0.1</v>
      </c>
      <c r="AK2865">
        <v>920</v>
      </c>
      <c r="AL2865">
        <v>62</v>
      </c>
      <c r="AM2865">
        <v>1E-3</v>
      </c>
      <c r="AN2865">
        <v>-2</v>
      </c>
      <c r="AO2865">
        <v>-0.35</v>
      </c>
      <c r="AP2865">
        <v>-3.93</v>
      </c>
      <c r="AQ2865">
        <v>1.26</v>
      </c>
      <c r="AR2865">
        <v>12.18</v>
      </c>
      <c r="AS2865">
        <v>1.29</v>
      </c>
      <c r="AT2865" t="s">
        <v>11124</v>
      </c>
      <c r="AU2865">
        <v>54.29</v>
      </c>
      <c r="AV2865">
        <v>47.4</v>
      </c>
      <c r="AW2865">
        <v>1.47</v>
      </c>
      <c r="BA2865">
        <v>0.36</v>
      </c>
      <c r="BB2865">
        <v>1.6</v>
      </c>
      <c r="BC2865">
        <v>-0.36</v>
      </c>
      <c r="BD2865">
        <v>0.56000000000000005</v>
      </c>
      <c r="BE2865">
        <v>-0.53</v>
      </c>
      <c r="BF2865">
        <v>-1.75</v>
      </c>
      <c r="BG2865">
        <v>0.18</v>
      </c>
      <c r="BH2865">
        <v>-0.74</v>
      </c>
      <c r="BI2865">
        <v>20191029</v>
      </c>
      <c r="BJ2865">
        <v>19931206</v>
      </c>
      <c r="BK2865">
        <v>6.11</v>
      </c>
      <c r="BL2865" t="s">
        <v>116</v>
      </c>
      <c r="BM2865" t="s">
        <v>116</v>
      </c>
      <c r="BN2865">
        <v>5.44</v>
      </c>
      <c r="BO2865">
        <v>1.23</v>
      </c>
      <c r="BP2865">
        <v>-0.35</v>
      </c>
      <c r="BQ2865">
        <v>83.87</v>
      </c>
      <c r="BR2865">
        <v>2.71</v>
      </c>
      <c r="BS2865">
        <v>0.6</v>
      </c>
      <c r="BT2865">
        <v>0.17</v>
      </c>
      <c r="BU2865">
        <v>4.5</v>
      </c>
      <c r="BV2865">
        <v>0.3</v>
      </c>
      <c r="BW2865">
        <v>1.1399999999999999</v>
      </c>
      <c r="BX2865">
        <v>1.35</v>
      </c>
      <c r="BY2865">
        <v>0.7</v>
      </c>
      <c r="BZ2865">
        <v>0.61</v>
      </c>
      <c r="CA2865">
        <v>-0.53</v>
      </c>
      <c r="CB2865">
        <v>0.03</v>
      </c>
      <c r="CC2865">
        <v>-0.52</v>
      </c>
      <c r="CD2865">
        <v>-0.52</v>
      </c>
      <c r="CE2865">
        <v>-0.52</v>
      </c>
      <c r="CF2865">
        <v>-0.52</v>
      </c>
      <c r="CG2865">
        <v>-6.86</v>
      </c>
      <c r="CH2865">
        <v>-0.43</v>
      </c>
      <c r="CI2865">
        <v>-0.59</v>
      </c>
      <c r="CJ2865">
        <v>62523</v>
      </c>
      <c r="CK2865">
        <v>7025</v>
      </c>
      <c r="CL2865" t="s">
        <v>895</v>
      </c>
      <c r="CM2865">
        <v>-21.49</v>
      </c>
      <c r="CN2865">
        <v>-34.64</v>
      </c>
      <c r="CO2865">
        <v>27.9</v>
      </c>
      <c r="CP2865">
        <v>-79.5</v>
      </c>
      <c r="CQ2865">
        <v>48.89</v>
      </c>
      <c r="CR2865">
        <v>0</v>
      </c>
      <c r="CS2865" t="s">
        <v>6586</v>
      </c>
      <c r="CT2865">
        <v>0.2</v>
      </c>
      <c r="CU2865">
        <v>0</v>
      </c>
      <c r="CV2865">
        <v>0.22</v>
      </c>
      <c r="CW2865">
        <v>-1.1200000000000001</v>
      </c>
      <c r="CX2865">
        <v>-7.0000000000000007E-2</v>
      </c>
      <c r="CY2865">
        <v>22.65</v>
      </c>
      <c r="CZ2865" t="s">
        <v>12728</v>
      </c>
      <c r="DA2865">
        <v>12.89</v>
      </c>
      <c r="DB2865">
        <v>-74.900000000000006</v>
      </c>
      <c r="DC2865">
        <v>-74.099999999999994</v>
      </c>
      <c r="DD2865">
        <v>0.09</v>
      </c>
      <c r="DE2865">
        <v>863</v>
      </c>
      <c r="DF2865">
        <v>600800</v>
      </c>
      <c r="DG2865" t="s">
        <v>116</v>
      </c>
      <c r="DH2865" t="s">
        <v>116</v>
      </c>
      <c r="DI2865" t="s">
        <v>116</v>
      </c>
    </row>
    <row r="2866" spans="1:113" x14ac:dyDescent="0.4">
      <c r="A2866" t="str">
        <f>"600801"</f>
        <v>600801</v>
      </c>
      <c r="B2866" t="s">
        <v>12729</v>
      </c>
      <c r="C2866">
        <v>0</v>
      </c>
      <c r="D2866">
        <v>23.87</v>
      </c>
      <c r="E2866">
        <v>0</v>
      </c>
      <c r="F2866">
        <v>23.86</v>
      </c>
      <c r="G2866">
        <v>23.87</v>
      </c>
      <c r="H2866">
        <v>191607</v>
      </c>
      <c r="I2866">
        <v>3491</v>
      </c>
      <c r="J2866">
        <v>0.13</v>
      </c>
      <c r="K2866">
        <v>1.41</v>
      </c>
      <c r="L2866">
        <v>23.93</v>
      </c>
      <c r="M2866">
        <v>24.11</v>
      </c>
      <c r="N2866">
        <v>23.65</v>
      </c>
      <c r="O2866">
        <v>23.87</v>
      </c>
      <c r="P2866">
        <v>7.75</v>
      </c>
      <c r="Q2866">
        <v>455977888</v>
      </c>
      <c r="R2866">
        <v>0.91</v>
      </c>
      <c r="S2866" t="s">
        <v>660</v>
      </c>
      <c r="T2866" t="s">
        <v>774</v>
      </c>
      <c r="U2866">
        <v>1.93</v>
      </c>
      <c r="V2866">
        <v>23.8</v>
      </c>
      <c r="W2866">
        <v>108380</v>
      </c>
      <c r="X2866">
        <v>83227</v>
      </c>
      <c r="Y2866">
        <v>1.3</v>
      </c>
      <c r="Z2866">
        <v>169</v>
      </c>
      <c r="AA2866">
        <v>158</v>
      </c>
      <c r="AB2866" t="s">
        <v>116</v>
      </c>
      <c r="AC2866">
        <v>2510300</v>
      </c>
      <c r="AD2866">
        <v>0.02</v>
      </c>
      <c r="AE2866" t="s">
        <v>116</v>
      </c>
      <c r="AF2866" t="s">
        <v>116</v>
      </c>
      <c r="AG2866">
        <v>13.62</v>
      </c>
      <c r="AH2866" t="s">
        <v>12730</v>
      </c>
      <c r="AI2866" t="s">
        <v>12731</v>
      </c>
      <c r="AJ2866">
        <v>0.08</v>
      </c>
      <c r="AK2866">
        <v>3806</v>
      </c>
      <c r="AL2866">
        <v>50</v>
      </c>
      <c r="AM2866">
        <v>4.0000000000000002E-4</v>
      </c>
      <c r="AN2866">
        <v>0</v>
      </c>
      <c r="AO2866">
        <v>2.76</v>
      </c>
      <c r="AP2866">
        <v>8.3000000000000007</v>
      </c>
      <c r="AQ2866">
        <v>25.24</v>
      </c>
      <c r="AR2866">
        <v>114.63</v>
      </c>
      <c r="AS2866">
        <v>3.33</v>
      </c>
      <c r="AT2866" t="s">
        <v>12732</v>
      </c>
      <c r="AU2866">
        <v>7.57</v>
      </c>
      <c r="AV2866">
        <v>9.66</v>
      </c>
      <c r="AW2866">
        <v>1.34</v>
      </c>
      <c r="BA2866">
        <v>0.25</v>
      </c>
      <c r="BB2866">
        <v>1.01</v>
      </c>
      <c r="BC2866">
        <v>-0.92</v>
      </c>
      <c r="BD2866">
        <v>-0.3</v>
      </c>
      <c r="BE2866">
        <v>-0.25</v>
      </c>
      <c r="BF2866">
        <v>-1</v>
      </c>
      <c r="BG2866">
        <v>0.93</v>
      </c>
      <c r="BH2866">
        <v>0.3</v>
      </c>
      <c r="BI2866">
        <v>20191025</v>
      </c>
      <c r="BJ2866">
        <v>19940103</v>
      </c>
      <c r="BK2866">
        <v>20.97</v>
      </c>
      <c r="BL2866">
        <v>7.35</v>
      </c>
      <c r="BM2866" t="s">
        <v>116</v>
      </c>
      <c r="BN2866">
        <v>355.45</v>
      </c>
      <c r="BO2866">
        <v>198.45</v>
      </c>
      <c r="BP2866">
        <v>19.43</v>
      </c>
      <c r="BQ2866">
        <v>38.700000000000003</v>
      </c>
      <c r="BR2866">
        <v>113.1</v>
      </c>
      <c r="BS2866">
        <v>154.21</v>
      </c>
      <c r="BT2866">
        <v>33.08</v>
      </c>
      <c r="BU2866">
        <v>94.69</v>
      </c>
      <c r="BV2866">
        <v>20.43</v>
      </c>
      <c r="BW2866">
        <v>11.04</v>
      </c>
      <c r="BX2866">
        <v>19.11</v>
      </c>
      <c r="BY2866">
        <v>224.72</v>
      </c>
      <c r="BZ2866">
        <v>132.03</v>
      </c>
      <c r="CA2866">
        <v>66.569999999999993</v>
      </c>
      <c r="CB2866">
        <v>1.1599999999999999</v>
      </c>
      <c r="CC2866">
        <v>66.53</v>
      </c>
      <c r="CD2866">
        <v>53.71</v>
      </c>
      <c r="CE2866">
        <v>48.44</v>
      </c>
      <c r="CF2866">
        <v>48.01</v>
      </c>
      <c r="CG2866">
        <v>148.65</v>
      </c>
      <c r="CH2866">
        <v>70.510000000000005</v>
      </c>
      <c r="CI2866">
        <v>4.2699999999999996</v>
      </c>
      <c r="CJ2866">
        <v>68650</v>
      </c>
      <c r="CK2866">
        <v>19078</v>
      </c>
      <c r="CL2866" t="s">
        <v>12733</v>
      </c>
      <c r="CM2866">
        <v>41.99</v>
      </c>
      <c r="CN2866">
        <v>18.02</v>
      </c>
      <c r="CO2866">
        <v>2.52</v>
      </c>
      <c r="CP2866">
        <v>7.1</v>
      </c>
      <c r="CQ2866">
        <v>2.23</v>
      </c>
      <c r="CR2866">
        <v>3.44</v>
      </c>
      <c r="CS2866" t="s">
        <v>12734</v>
      </c>
      <c r="CT2866">
        <v>9.4700000000000006</v>
      </c>
      <c r="CU2866">
        <v>0</v>
      </c>
      <c r="CV2866">
        <v>0.91</v>
      </c>
      <c r="CW2866">
        <v>7.09</v>
      </c>
      <c r="CX2866">
        <v>3.36</v>
      </c>
      <c r="CY2866">
        <v>55.83</v>
      </c>
      <c r="CZ2866" t="s">
        <v>12735</v>
      </c>
      <c r="DA2866">
        <v>41.25</v>
      </c>
      <c r="DB2866">
        <v>29.62</v>
      </c>
      <c r="DC2866">
        <v>21.56</v>
      </c>
      <c r="DD2866">
        <v>0.15</v>
      </c>
      <c r="DE2866">
        <v>16404</v>
      </c>
      <c r="DF2866">
        <v>600801</v>
      </c>
      <c r="DG2866" t="s">
        <v>116</v>
      </c>
      <c r="DH2866" t="s">
        <v>116</v>
      </c>
      <c r="DI2866" t="s">
        <v>116</v>
      </c>
    </row>
    <row r="2867" spans="1:113" x14ac:dyDescent="0.4">
      <c r="A2867" t="str">
        <f>"600802"</f>
        <v>600802</v>
      </c>
      <c r="B2867" t="s">
        <v>12736</v>
      </c>
      <c r="C2867">
        <v>-1.32</v>
      </c>
      <c r="D2867">
        <v>8.24</v>
      </c>
      <c r="E2867">
        <v>-0.11</v>
      </c>
      <c r="F2867">
        <v>8.24</v>
      </c>
      <c r="G2867">
        <v>8.25</v>
      </c>
      <c r="H2867">
        <v>87419</v>
      </c>
      <c r="I2867">
        <v>2097</v>
      </c>
      <c r="J2867">
        <v>0</v>
      </c>
      <c r="K2867">
        <v>2.29</v>
      </c>
      <c r="L2867">
        <v>8.41</v>
      </c>
      <c r="M2867">
        <v>8.4499999999999993</v>
      </c>
      <c r="N2867">
        <v>8.2100000000000009</v>
      </c>
      <c r="O2867">
        <v>8.35</v>
      </c>
      <c r="P2867">
        <v>9.16</v>
      </c>
      <c r="Q2867">
        <v>72716168</v>
      </c>
      <c r="R2867">
        <v>1.02</v>
      </c>
      <c r="S2867" t="s">
        <v>660</v>
      </c>
      <c r="T2867" t="s">
        <v>975</v>
      </c>
      <c r="U2867">
        <v>2.87</v>
      </c>
      <c r="V2867">
        <v>8.32</v>
      </c>
      <c r="W2867">
        <v>53422</v>
      </c>
      <c r="X2867">
        <v>33997</v>
      </c>
      <c r="Y2867">
        <v>1.57</v>
      </c>
      <c r="Z2867">
        <v>12</v>
      </c>
      <c r="AA2867">
        <v>502</v>
      </c>
      <c r="AB2867" t="s">
        <v>116</v>
      </c>
      <c r="AC2867">
        <v>842700</v>
      </c>
      <c r="AD2867">
        <v>0.04</v>
      </c>
      <c r="AE2867" t="s">
        <v>116</v>
      </c>
      <c r="AF2867" t="s">
        <v>116</v>
      </c>
      <c r="AG2867">
        <v>3.82</v>
      </c>
      <c r="AH2867" t="s">
        <v>9363</v>
      </c>
      <c r="AI2867" t="s">
        <v>9363</v>
      </c>
      <c r="AJ2867">
        <v>-1.24</v>
      </c>
      <c r="AK2867">
        <v>1751</v>
      </c>
      <c r="AL2867">
        <v>50</v>
      </c>
      <c r="AM2867">
        <v>1.2999999999999999E-3</v>
      </c>
      <c r="AN2867">
        <v>-1</v>
      </c>
      <c r="AO2867">
        <v>0.12</v>
      </c>
      <c r="AP2867">
        <v>8.99</v>
      </c>
      <c r="AQ2867">
        <v>12.72</v>
      </c>
      <c r="AR2867">
        <v>12.46</v>
      </c>
      <c r="AS2867">
        <v>3.65</v>
      </c>
      <c r="AT2867" t="s">
        <v>4503</v>
      </c>
      <c r="AU2867">
        <v>11.51</v>
      </c>
      <c r="AV2867">
        <v>9.32</v>
      </c>
      <c r="AW2867">
        <v>1.42</v>
      </c>
      <c r="BA2867">
        <v>0.72</v>
      </c>
      <c r="BB2867">
        <v>1.2</v>
      </c>
      <c r="BC2867">
        <v>-1.68</v>
      </c>
      <c r="BD2867">
        <v>-0.38</v>
      </c>
      <c r="BE2867">
        <v>-2.02</v>
      </c>
      <c r="BF2867">
        <v>-2.4900000000000002</v>
      </c>
      <c r="BG2867">
        <v>0.37</v>
      </c>
      <c r="BH2867">
        <v>-0.94</v>
      </c>
      <c r="BI2867">
        <v>20191029</v>
      </c>
      <c r="BJ2867">
        <v>19940103</v>
      </c>
      <c r="BK2867">
        <v>3.82</v>
      </c>
      <c r="BL2867" t="s">
        <v>116</v>
      </c>
      <c r="BM2867" t="s">
        <v>116</v>
      </c>
      <c r="BN2867">
        <v>43.31</v>
      </c>
      <c r="BO2867">
        <v>11.64</v>
      </c>
      <c r="BP2867">
        <v>4.6900000000000004</v>
      </c>
      <c r="BQ2867">
        <v>62.3</v>
      </c>
      <c r="BR2867">
        <v>14.09</v>
      </c>
      <c r="BS2867">
        <v>17.850000000000001</v>
      </c>
      <c r="BT2867">
        <v>3.81</v>
      </c>
      <c r="BU2867">
        <v>25.32</v>
      </c>
      <c r="BV2867">
        <v>1.31</v>
      </c>
      <c r="BW2867">
        <v>0.01</v>
      </c>
      <c r="BX2867">
        <v>2.14</v>
      </c>
      <c r="BY2867">
        <v>19.75</v>
      </c>
      <c r="BZ2867">
        <v>14.43</v>
      </c>
      <c r="CA2867">
        <v>3.82</v>
      </c>
      <c r="CB2867">
        <v>0.22</v>
      </c>
      <c r="CC2867">
        <v>3.79</v>
      </c>
      <c r="CD2867">
        <v>3.01</v>
      </c>
      <c r="CE2867">
        <v>2.58</v>
      </c>
      <c r="CF2867">
        <v>2.38</v>
      </c>
      <c r="CG2867">
        <v>1.31</v>
      </c>
      <c r="CH2867">
        <v>5.63</v>
      </c>
      <c r="CI2867">
        <v>4.32</v>
      </c>
      <c r="CJ2867">
        <v>40762</v>
      </c>
      <c r="CK2867">
        <v>5882</v>
      </c>
      <c r="CL2867" t="s">
        <v>4967</v>
      </c>
      <c r="CM2867">
        <v>-19.91</v>
      </c>
      <c r="CN2867">
        <v>-1.04</v>
      </c>
      <c r="CO2867">
        <v>2.7</v>
      </c>
      <c r="CP2867">
        <v>5.59</v>
      </c>
      <c r="CQ2867">
        <v>1.59</v>
      </c>
      <c r="CR2867">
        <v>0.4</v>
      </c>
      <c r="CS2867" t="s">
        <v>10069</v>
      </c>
      <c r="CT2867">
        <v>3.05</v>
      </c>
      <c r="CU2867">
        <v>3.05</v>
      </c>
      <c r="CV2867">
        <v>0.56000000000000005</v>
      </c>
      <c r="CW2867">
        <v>0.34</v>
      </c>
      <c r="CX2867">
        <v>1.47</v>
      </c>
      <c r="CY2867">
        <v>26.88</v>
      </c>
      <c r="CZ2867" t="s">
        <v>12737</v>
      </c>
      <c r="DA2867">
        <v>26.93</v>
      </c>
      <c r="DB2867">
        <v>19.34</v>
      </c>
      <c r="DC2867">
        <v>13.05</v>
      </c>
      <c r="DD2867">
        <v>0</v>
      </c>
      <c r="DE2867">
        <v>1956</v>
      </c>
      <c r="DF2867">
        <v>600802</v>
      </c>
      <c r="DG2867" t="s">
        <v>116</v>
      </c>
      <c r="DH2867" t="s">
        <v>116</v>
      </c>
      <c r="DI2867" t="s">
        <v>116</v>
      </c>
    </row>
    <row r="2868" spans="1:113" x14ac:dyDescent="0.4">
      <c r="A2868" t="str">
        <f>"600803"</f>
        <v>600803</v>
      </c>
      <c r="B2868" t="s">
        <v>12738</v>
      </c>
      <c r="C2868">
        <v>-1.7</v>
      </c>
      <c r="D2868">
        <v>10.42</v>
      </c>
      <c r="E2868">
        <v>-0.18</v>
      </c>
      <c r="F2868">
        <v>10.42</v>
      </c>
      <c r="G2868">
        <v>10.43</v>
      </c>
      <c r="H2868">
        <v>76021</v>
      </c>
      <c r="I2868">
        <v>754</v>
      </c>
      <c r="J2868">
        <v>0.1</v>
      </c>
      <c r="K2868">
        <v>0.62</v>
      </c>
      <c r="L2868">
        <v>10.61</v>
      </c>
      <c r="M2868">
        <v>10.65</v>
      </c>
      <c r="N2868">
        <v>10.4</v>
      </c>
      <c r="O2868">
        <v>10.6</v>
      </c>
      <c r="P2868">
        <v>8.93</v>
      </c>
      <c r="Q2868">
        <v>79954664</v>
      </c>
      <c r="R2868">
        <v>1.41</v>
      </c>
      <c r="S2868" t="s">
        <v>697</v>
      </c>
      <c r="T2868" t="s">
        <v>608</v>
      </c>
      <c r="U2868">
        <v>2.36</v>
      </c>
      <c r="V2868">
        <v>10.52</v>
      </c>
      <c r="W2868">
        <v>45573</v>
      </c>
      <c r="X2868">
        <v>30448</v>
      </c>
      <c r="Y2868">
        <v>1.5</v>
      </c>
      <c r="Z2868">
        <v>203</v>
      </c>
      <c r="AA2868">
        <v>268</v>
      </c>
      <c r="AB2868" t="s">
        <v>116</v>
      </c>
      <c r="AC2868">
        <v>63700</v>
      </c>
      <c r="AD2868">
        <v>0</v>
      </c>
      <c r="AE2868" t="s">
        <v>116</v>
      </c>
      <c r="AF2868" t="s">
        <v>116</v>
      </c>
      <c r="AG2868">
        <v>12.29</v>
      </c>
      <c r="AH2868" t="s">
        <v>12739</v>
      </c>
      <c r="AI2868" t="s">
        <v>12739</v>
      </c>
      <c r="AJ2868">
        <v>-1.62</v>
      </c>
      <c r="AK2868">
        <v>1615</v>
      </c>
      <c r="AL2868">
        <v>47</v>
      </c>
      <c r="AM2868">
        <v>4.0000000000000002E-4</v>
      </c>
      <c r="AN2868">
        <v>-1</v>
      </c>
      <c r="AO2868">
        <v>-1.1499999999999999</v>
      </c>
      <c r="AP2868">
        <v>2.66</v>
      </c>
      <c r="AQ2868">
        <v>-0.56999999999999995</v>
      </c>
      <c r="AR2868">
        <v>7.09</v>
      </c>
      <c r="AS2868">
        <v>1.54</v>
      </c>
      <c r="AT2868" t="s">
        <v>12740</v>
      </c>
      <c r="AU2868">
        <v>9.4</v>
      </c>
      <c r="AV2868">
        <v>9.6999999999999993</v>
      </c>
      <c r="AW2868">
        <v>1.26</v>
      </c>
      <c r="BA2868">
        <v>0.09</v>
      </c>
      <c r="BB2868">
        <v>0.47</v>
      </c>
      <c r="BC2868">
        <v>-1.89</v>
      </c>
      <c r="BD2868">
        <v>-0.78</v>
      </c>
      <c r="BE2868">
        <v>-1.79</v>
      </c>
      <c r="BF2868">
        <v>-2.16</v>
      </c>
      <c r="BG2868">
        <v>0.19</v>
      </c>
      <c r="BH2868">
        <v>-0.92</v>
      </c>
      <c r="BI2868">
        <v>20191026</v>
      </c>
      <c r="BJ2868">
        <v>19940103</v>
      </c>
      <c r="BK2868">
        <v>12.29</v>
      </c>
      <c r="BL2868" t="s">
        <v>116</v>
      </c>
      <c r="BM2868" t="s">
        <v>116</v>
      </c>
      <c r="BN2868">
        <v>255.05</v>
      </c>
      <c r="BO2868">
        <v>93.05</v>
      </c>
      <c r="BP2868">
        <v>7.86</v>
      </c>
      <c r="BQ2868">
        <v>60.44</v>
      </c>
      <c r="BR2868">
        <v>85.39</v>
      </c>
      <c r="BS2868">
        <v>72.849999999999994</v>
      </c>
      <c r="BT2868">
        <v>10.08</v>
      </c>
      <c r="BU2868">
        <v>82.71</v>
      </c>
      <c r="BV2868">
        <v>19.920000000000002</v>
      </c>
      <c r="BW2868">
        <v>15.83</v>
      </c>
      <c r="BX2868">
        <v>17.940000000000001</v>
      </c>
      <c r="BY2868">
        <v>97.37</v>
      </c>
      <c r="BZ2868">
        <v>79.03</v>
      </c>
      <c r="CA2868">
        <v>10.71</v>
      </c>
      <c r="CB2868">
        <v>5.32</v>
      </c>
      <c r="CC2868">
        <v>12.05</v>
      </c>
      <c r="CD2868">
        <v>10.66</v>
      </c>
      <c r="CE2868">
        <v>10.76</v>
      </c>
      <c r="CF2868">
        <v>8.42</v>
      </c>
      <c r="CG2868">
        <v>60.65</v>
      </c>
      <c r="CH2868">
        <v>4.7</v>
      </c>
      <c r="CI2868">
        <v>18.559999999999999</v>
      </c>
      <c r="CJ2868">
        <v>43456</v>
      </c>
      <c r="CK2868">
        <v>11323</v>
      </c>
      <c r="CL2868" t="s">
        <v>12741</v>
      </c>
      <c r="CM2868">
        <v>3.96</v>
      </c>
      <c r="CN2868">
        <v>-0.61</v>
      </c>
      <c r="CO2868">
        <v>1.38</v>
      </c>
      <c r="CP2868">
        <v>27.25</v>
      </c>
      <c r="CQ2868">
        <v>1.32</v>
      </c>
      <c r="CR2868">
        <v>1.99</v>
      </c>
      <c r="CS2868" t="s">
        <v>12742</v>
      </c>
      <c r="CT2868">
        <v>7.57</v>
      </c>
      <c r="CU2868">
        <v>0</v>
      </c>
      <c r="CV2868">
        <v>1.46</v>
      </c>
      <c r="CW2868">
        <v>4.93</v>
      </c>
      <c r="CX2868">
        <v>0.38</v>
      </c>
      <c r="CY2868">
        <v>36.479999999999997</v>
      </c>
      <c r="CZ2868" t="s">
        <v>12743</v>
      </c>
      <c r="DA2868">
        <v>18.84</v>
      </c>
      <c r="DB2868">
        <v>10.99</v>
      </c>
      <c r="DC2868">
        <v>11.05</v>
      </c>
      <c r="DD2868">
        <v>1.03</v>
      </c>
      <c r="DE2868">
        <v>5250</v>
      </c>
      <c r="DF2868">
        <v>600803</v>
      </c>
      <c r="DG2868" t="s">
        <v>116</v>
      </c>
      <c r="DH2868" t="s">
        <v>116</v>
      </c>
      <c r="DI2868" t="s">
        <v>116</v>
      </c>
    </row>
    <row r="2869" spans="1:113" x14ac:dyDescent="0.4">
      <c r="A2869" t="str">
        <f>"600804"</f>
        <v>600804</v>
      </c>
      <c r="B2869" t="s">
        <v>12744</v>
      </c>
      <c r="C2869">
        <v>-1.1100000000000001</v>
      </c>
      <c r="D2869">
        <v>6.23</v>
      </c>
      <c r="E2869">
        <v>-7.0000000000000007E-2</v>
      </c>
      <c r="F2869">
        <v>6.23</v>
      </c>
      <c r="G2869">
        <v>6.24</v>
      </c>
      <c r="H2869">
        <v>238627</v>
      </c>
      <c r="I2869">
        <v>1893</v>
      </c>
      <c r="J2869">
        <v>-0.15</v>
      </c>
      <c r="K2869">
        <v>1.67</v>
      </c>
      <c r="L2869">
        <v>6.28</v>
      </c>
      <c r="M2869">
        <v>6.34</v>
      </c>
      <c r="N2869">
        <v>6.21</v>
      </c>
      <c r="O2869">
        <v>6.3</v>
      </c>
      <c r="P2869">
        <v>144.44</v>
      </c>
      <c r="Q2869">
        <v>149704224</v>
      </c>
      <c r="R2869">
        <v>1.1000000000000001</v>
      </c>
      <c r="S2869" t="s">
        <v>3586</v>
      </c>
      <c r="T2869" t="s">
        <v>582</v>
      </c>
      <c r="U2869">
        <v>2.06</v>
      </c>
      <c r="V2869">
        <v>6.27</v>
      </c>
      <c r="W2869">
        <v>138351</v>
      </c>
      <c r="X2869">
        <v>100276</v>
      </c>
      <c r="Y2869">
        <v>1.38</v>
      </c>
      <c r="Z2869">
        <v>1730</v>
      </c>
      <c r="AA2869">
        <v>1595</v>
      </c>
      <c r="AB2869" t="s">
        <v>116</v>
      </c>
      <c r="AC2869">
        <v>537600</v>
      </c>
      <c r="AD2869">
        <v>0.01</v>
      </c>
      <c r="AE2869" t="s">
        <v>116</v>
      </c>
      <c r="AF2869" t="s">
        <v>116</v>
      </c>
      <c r="AG2869">
        <v>14.32</v>
      </c>
      <c r="AH2869" t="s">
        <v>12745</v>
      </c>
      <c r="AI2869" t="s">
        <v>12745</v>
      </c>
      <c r="AJ2869">
        <v>-1.03</v>
      </c>
      <c r="AK2869">
        <v>2472</v>
      </c>
      <c r="AL2869">
        <v>97</v>
      </c>
      <c r="AM2869">
        <v>6.9999999999999999E-4</v>
      </c>
      <c r="AN2869">
        <v>-1</v>
      </c>
      <c r="AO2869">
        <v>-0.79</v>
      </c>
      <c r="AP2869">
        <v>4.18</v>
      </c>
      <c r="AQ2869">
        <v>-7.15</v>
      </c>
      <c r="AR2869">
        <v>-11.38</v>
      </c>
      <c r="AS2869">
        <v>2.02</v>
      </c>
      <c r="AT2869" t="s">
        <v>12746</v>
      </c>
      <c r="AU2869">
        <v>104.55</v>
      </c>
      <c r="AV2869">
        <v>23.44</v>
      </c>
      <c r="AW2869">
        <v>1.91</v>
      </c>
      <c r="BA2869">
        <v>-0.32</v>
      </c>
      <c r="BB2869">
        <v>0.63</v>
      </c>
      <c r="BC2869">
        <v>-1.43</v>
      </c>
      <c r="BD2869">
        <v>-0.42</v>
      </c>
      <c r="BE2869">
        <v>-0.8</v>
      </c>
      <c r="BF2869">
        <v>-1.74</v>
      </c>
      <c r="BG2869">
        <v>0.32</v>
      </c>
      <c r="BH2869">
        <v>-0.69</v>
      </c>
      <c r="BI2869">
        <v>20191105</v>
      </c>
      <c r="BJ2869">
        <v>19940103</v>
      </c>
      <c r="BK2869">
        <v>14.32</v>
      </c>
      <c r="BL2869" t="s">
        <v>116</v>
      </c>
      <c r="BM2869" t="s">
        <v>116</v>
      </c>
      <c r="BN2869">
        <v>229.03</v>
      </c>
      <c r="BO2869">
        <v>69.510000000000005</v>
      </c>
      <c r="BP2869">
        <v>0.67</v>
      </c>
      <c r="BQ2869">
        <v>69.36</v>
      </c>
      <c r="BR2869">
        <v>38.08</v>
      </c>
      <c r="BS2869">
        <v>90.97</v>
      </c>
      <c r="BT2869">
        <v>3.09</v>
      </c>
      <c r="BU2869">
        <v>96.23</v>
      </c>
      <c r="BV2869">
        <v>0.53</v>
      </c>
      <c r="BW2869">
        <v>5.07</v>
      </c>
      <c r="BX2869">
        <v>24.21</v>
      </c>
      <c r="BY2869">
        <v>45.69</v>
      </c>
      <c r="BZ2869">
        <v>25.35</v>
      </c>
      <c r="CA2869">
        <v>-0.12</v>
      </c>
      <c r="CB2869">
        <v>0.63</v>
      </c>
      <c r="CC2869">
        <v>0.12</v>
      </c>
      <c r="CD2869">
        <v>0.39</v>
      </c>
      <c r="CE2869">
        <v>0.46</v>
      </c>
      <c r="CF2869">
        <v>-0.27</v>
      </c>
      <c r="CG2869">
        <v>30.86</v>
      </c>
      <c r="CH2869">
        <v>6.17</v>
      </c>
      <c r="CI2869">
        <v>-3.23</v>
      </c>
      <c r="CJ2869">
        <v>108451</v>
      </c>
      <c r="CK2869">
        <v>10911</v>
      </c>
      <c r="CL2869" t="s">
        <v>8542</v>
      </c>
      <c r="CM2869">
        <v>-86.44</v>
      </c>
      <c r="CN2869">
        <v>-12.68</v>
      </c>
      <c r="CO2869">
        <v>1.28</v>
      </c>
      <c r="CP2869">
        <v>14.47</v>
      </c>
      <c r="CQ2869">
        <v>1.95</v>
      </c>
      <c r="CR2869">
        <v>0</v>
      </c>
      <c r="CS2869" t="s">
        <v>1284</v>
      </c>
      <c r="CT2869">
        <v>4.8499999999999996</v>
      </c>
      <c r="CU2869">
        <v>0</v>
      </c>
      <c r="CV2869">
        <v>1.69</v>
      </c>
      <c r="CW2869">
        <v>2.15</v>
      </c>
      <c r="CX2869">
        <v>0.43</v>
      </c>
      <c r="CY2869">
        <v>30.35</v>
      </c>
      <c r="CZ2869" t="s">
        <v>3930</v>
      </c>
      <c r="DA2869">
        <v>44.51</v>
      </c>
      <c r="DB2869">
        <v>-0.27</v>
      </c>
      <c r="DC2869">
        <v>1.01</v>
      </c>
      <c r="DD2869">
        <v>2.21</v>
      </c>
      <c r="DE2869">
        <v>22505</v>
      </c>
      <c r="DF2869">
        <v>600804</v>
      </c>
      <c r="DG2869" t="s">
        <v>116</v>
      </c>
      <c r="DH2869" t="s">
        <v>116</v>
      </c>
      <c r="DI2869" t="s">
        <v>116</v>
      </c>
    </row>
    <row r="2870" spans="1:113" x14ac:dyDescent="0.4">
      <c r="A2870" t="str">
        <f>"600805"</f>
        <v>600805</v>
      </c>
      <c r="B2870" t="s">
        <v>12747</v>
      </c>
      <c r="C2870">
        <v>-1</v>
      </c>
      <c r="D2870">
        <v>4.97</v>
      </c>
      <c r="E2870">
        <v>-0.05</v>
      </c>
      <c r="F2870">
        <v>4.97</v>
      </c>
      <c r="G2870">
        <v>4.9800000000000004</v>
      </c>
      <c r="H2870">
        <v>47873</v>
      </c>
      <c r="I2870">
        <v>426</v>
      </c>
      <c r="J2870">
        <v>-0.19</v>
      </c>
      <c r="K2870">
        <v>0.56000000000000005</v>
      </c>
      <c r="L2870">
        <v>5.0199999999999996</v>
      </c>
      <c r="M2870">
        <v>5.04</v>
      </c>
      <c r="N2870">
        <v>4.97</v>
      </c>
      <c r="O2870">
        <v>5.0199999999999996</v>
      </c>
      <c r="P2870">
        <v>34.07</v>
      </c>
      <c r="Q2870">
        <v>23973680</v>
      </c>
      <c r="R2870">
        <v>1.1499999999999999</v>
      </c>
      <c r="S2870" t="s">
        <v>173</v>
      </c>
      <c r="T2870" t="s">
        <v>323</v>
      </c>
      <c r="U2870">
        <v>1.39</v>
      </c>
      <c r="V2870">
        <v>5.01</v>
      </c>
      <c r="W2870">
        <v>26934</v>
      </c>
      <c r="X2870">
        <v>20939</v>
      </c>
      <c r="Y2870">
        <v>1.29</v>
      </c>
      <c r="Z2870">
        <v>1341</v>
      </c>
      <c r="AA2870">
        <v>115</v>
      </c>
      <c r="AB2870" t="s">
        <v>116</v>
      </c>
      <c r="AC2870">
        <v>5000</v>
      </c>
      <c r="AD2870">
        <v>0</v>
      </c>
      <c r="AE2870" t="s">
        <v>116</v>
      </c>
      <c r="AF2870" t="s">
        <v>116</v>
      </c>
      <c r="AG2870">
        <v>8.5</v>
      </c>
      <c r="AH2870" t="s">
        <v>6244</v>
      </c>
      <c r="AI2870" t="s">
        <v>12748</v>
      </c>
      <c r="AJ2870">
        <v>-0.92</v>
      </c>
      <c r="AK2870">
        <v>713</v>
      </c>
      <c r="AL2870">
        <v>67</v>
      </c>
      <c r="AM2870">
        <v>8.0000000000000004E-4</v>
      </c>
      <c r="AN2870">
        <v>-1</v>
      </c>
      <c r="AO2870">
        <v>-0.41</v>
      </c>
      <c r="AP2870">
        <v>5.52</v>
      </c>
      <c r="AQ2870">
        <v>-5.33</v>
      </c>
      <c r="AR2870">
        <v>8.0399999999999991</v>
      </c>
      <c r="AS2870">
        <v>0.83</v>
      </c>
      <c r="AT2870" t="s">
        <v>12749</v>
      </c>
      <c r="AU2870">
        <v>164.8</v>
      </c>
      <c r="AV2870">
        <v>52.04</v>
      </c>
      <c r="AW2870">
        <v>1.46</v>
      </c>
      <c r="BA2870">
        <v>0</v>
      </c>
      <c r="BB2870">
        <v>0.4</v>
      </c>
      <c r="BC2870">
        <v>-1</v>
      </c>
      <c r="BD2870">
        <v>-0.24</v>
      </c>
      <c r="BE2870">
        <v>-1</v>
      </c>
      <c r="BF2870">
        <v>-1.39</v>
      </c>
      <c r="BG2870">
        <v>0</v>
      </c>
      <c r="BH2870">
        <v>-0.75</v>
      </c>
      <c r="BI2870">
        <v>20191018</v>
      </c>
      <c r="BJ2870">
        <v>19940103</v>
      </c>
      <c r="BK2870">
        <v>8.51</v>
      </c>
      <c r="BL2870" t="s">
        <v>116</v>
      </c>
      <c r="BM2870" t="s">
        <v>116</v>
      </c>
      <c r="BN2870">
        <v>105.31</v>
      </c>
      <c r="BO2870">
        <v>62.5</v>
      </c>
      <c r="BP2870">
        <v>5.52</v>
      </c>
      <c r="BQ2870">
        <v>35.4</v>
      </c>
      <c r="BR2870">
        <v>33.21</v>
      </c>
      <c r="BS2870">
        <v>9.91</v>
      </c>
      <c r="BT2870">
        <v>6.67</v>
      </c>
      <c r="BU2870">
        <v>35.64</v>
      </c>
      <c r="BV2870">
        <v>7.43</v>
      </c>
      <c r="BW2870">
        <v>3.4</v>
      </c>
      <c r="BX2870">
        <v>3.95</v>
      </c>
      <c r="BY2870">
        <v>19.149999999999999</v>
      </c>
      <c r="BZ2870">
        <v>16.440000000000001</v>
      </c>
      <c r="CA2870">
        <v>0.63</v>
      </c>
      <c r="CB2870">
        <v>4.2</v>
      </c>
      <c r="CC2870">
        <v>0.6</v>
      </c>
      <c r="CD2870">
        <v>0.26</v>
      </c>
      <c r="CE2870">
        <v>0.93</v>
      </c>
      <c r="CF2870">
        <v>-2.37</v>
      </c>
      <c r="CG2870">
        <v>43.27</v>
      </c>
      <c r="CH2870">
        <v>-1.07</v>
      </c>
      <c r="CI2870">
        <v>0.49</v>
      </c>
      <c r="CJ2870">
        <v>51274</v>
      </c>
      <c r="CK2870">
        <v>11273</v>
      </c>
      <c r="CL2870" t="s">
        <v>5543</v>
      </c>
      <c r="CM2870">
        <v>-37.4</v>
      </c>
      <c r="CN2870">
        <v>29.62</v>
      </c>
      <c r="CO2870">
        <v>0.68</v>
      </c>
      <c r="CP2870">
        <v>-39.68</v>
      </c>
      <c r="CQ2870">
        <v>2.21</v>
      </c>
      <c r="CR2870">
        <v>0</v>
      </c>
      <c r="CS2870" t="s">
        <v>3966</v>
      </c>
      <c r="CT2870">
        <v>7.35</v>
      </c>
      <c r="CU2870">
        <v>0</v>
      </c>
      <c r="CV2870">
        <v>0.46</v>
      </c>
      <c r="CW2870">
        <v>5.08</v>
      </c>
      <c r="CX2870">
        <v>-0.13</v>
      </c>
      <c r="CY2870">
        <v>59.35</v>
      </c>
      <c r="CZ2870" t="s">
        <v>12381</v>
      </c>
      <c r="DA2870">
        <v>14.17</v>
      </c>
      <c r="DB2870">
        <v>3.27</v>
      </c>
      <c r="DC2870">
        <v>4.8600000000000003</v>
      </c>
      <c r="DD2870">
        <v>0.26</v>
      </c>
      <c r="DE2870">
        <v>5003</v>
      </c>
      <c r="DF2870">
        <v>600805</v>
      </c>
      <c r="DG2870" t="s">
        <v>116</v>
      </c>
      <c r="DH2870" t="s">
        <v>116</v>
      </c>
      <c r="DI2870" t="s">
        <v>116</v>
      </c>
    </row>
    <row r="2871" spans="1:113" x14ac:dyDescent="0.4">
      <c r="A2871" t="str">
        <f>"600807"</f>
        <v>600807</v>
      </c>
      <c r="B2871" t="s">
        <v>12750</v>
      </c>
      <c r="C2871">
        <v>0</v>
      </c>
      <c r="D2871">
        <v>3.69</v>
      </c>
      <c r="E2871">
        <v>0</v>
      </c>
      <c r="F2871">
        <v>3.69</v>
      </c>
      <c r="G2871">
        <v>3.7</v>
      </c>
      <c r="H2871">
        <v>33938</v>
      </c>
      <c r="I2871">
        <v>766</v>
      </c>
      <c r="J2871">
        <v>0.27</v>
      </c>
      <c r="K2871">
        <v>0.43</v>
      </c>
      <c r="L2871">
        <v>3.66</v>
      </c>
      <c r="M2871">
        <v>3.73</v>
      </c>
      <c r="N2871">
        <v>3.66</v>
      </c>
      <c r="O2871">
        <v>3.69</v>
      </c>
      <c r="P2871">
        <v>188.64</v>
      </c>
      <c r="Q2871">
        <v>12527296</v>
      </c>
      <c r="R2871">
        <v>0.38</v>
      </c>
      <c r="S2871" t="s">
        <v>148</v>
      </c>
      <c r="T2871" t="s">
        <v>645</v>
      </c>
      <c r="U2871">
        <v>1.9</v>
      </c>
      <c r="V2871">
        <v>3.69</v>
      </c>
      <c r="W2871">
        <v>19008</v>
      </c>
      <c r="X2871">
        <v>14930</v>
      </c>
      <c r="Y2871">
        <v>1.27</v>
      </c>
      <c r="Z2871">
        <v>125</v>
      </c>
      <c r="AA2871">
        <v>724</v>
      </c>
      <c r="AB2871" t="s">
        <v>116</v>
      </c>
      <c r="AC2871">
        <v>50500</v>
      </c>
      <c r="AD2871">
        <v>0</v>
      </c>
      <c r="AE2871" t="s">
        <v>116</v>
      </c>
      <c r="AF2871" t="s">
        <v>116</v>
      </c>
      <c r="AG2871">
        <v>7.87</v>
      </c>
      <c r="AH2871" t="s">
        <v>3998</v>
      </c>
      <c r="AI2871" t="s">
        <v>2447</v>
      </c>
      <c r="AJ2871">
        <v>0.08</v>
      </c>
      <c r="AK2871">
        <v>465</v>
      </c>
      <c r="AL2871">
        <v>73</v>
      </c>
      <c r="AM2871">
        <v>8.9999999999999998E-4</v>
      </c>
      <c r="AN2871">
        <v>0</v>
      </c>
      <c r="AO2871">
        <v>-2.89</v>
      </c>
      <c r="AP2871">
        <v>8.85</v>
      </c>
      <c r="AQ2871">
        <v>-15.37</v>
      </c>
      <c r="AR2871">
        <v>-2.38</v>
      </c>
      <c r="AS2871">
        <v>0.64</v>
      </c>
      <c r="AT2871" t="s">
        <v>1155</v>
      </c>
      <c r="AU2871">
        <v>3.1</v>
      </c>
      <c r="AV2871">
        <v>90.97</v>
      </c>
      <c r="AW2871">
        <v>0.49</v>
      </c>
      <c r="BA2871">
        <v>-0.81</v>
      </c>
      <c r="BB2871">
        <v>1.08</v>
      </c>
      <c r="BC2871">
        <v>-0.81</v>
      </c>
      <c r="BD2871">
        <v>0.03</v>
      </c>
      <c r="BE2871">
        <v>0.82</v>
      </c>
      <c r="BF2871">
        <v>-1.07</v>
      </c>
      <c r="BG2871">
        <v>0.82</v>
      </c>
      <c r="BH2871">
        <v>-0.03</v>
      </c>
      <c r="BI2871">
        <v>20191026</v>
      </c>
      <c r="BJ2871">
        <v>19940103</v>
      </c>
      <c r="BK2871">
        <v>8.85</v>
      </c>
      <c r="BL2871" t="s">
        <v>116</v>
      </c>
      <c r="BM2871" t="s">
        <v>116</v>
      </c>
      <c r="BN2871">
        <v>61.9</v>
      </c>
      <c r="BO2871">
        <v>12.29</v>
      </c>
      <c r="BP2871">
        <v>0.14000000000000001</v>
      </c>
      <c r="BQ2871">
        <v>79.930000000000007</v>
      </c>
      <c r="BR2871">
        <v>40.840000000000003</v>
      </c>
      <c r="BS2871">
        <v>1.2</v>
      </c>
      <c r="BT2871">
        <v>2.73</v>
      </c>
      <c r="BU2871">
        <v>37.869999999999997</v>
      </c>
      <c r="BV2871">
        <v>11.58</v>
      </c>
      <c r="BW2871">
        <v>13.84</v>
      </c>
      <c r="BX2871">
        <v>11.83</v>
      </c>
      <c r="BY2871">
        <v>8.26</v>
      </c>
      <c r="BZ2871">
        <v>6.57</v>
      </c>
      <c r="CA2871">
        <v>0.24</v>
      </c>
      <c r="CB2871">
        <v>-0.06</v>
      </c>
      <c r="CC2871">
        <v>0.64</v>
      </c>
      <c r="CD2871">
        <v>0.14000000000000001</v>
      </c>
      <c r="CE2871">
        <v>0.13</v>
      </c>
      <c r="CF2871">
        <v>-0.38</v>
      </c>
      <c r="CG2871">
        <v>-5.87</v>
      </c>
      <c r="CH2871">
        <v>6.95</v>
      </c>
      <c r="CI2871">
        <v>-2.15</v>
      </c>
      <c r="CJ2871">
        <v>43327</v>
      </c>
      <c r="CK2871">
        <v>12155</v>
      </c>
      <c r="CL2871" t="s">
        <v>12751</v>
      </c>
      <c r="CM2871">
        <v>101.29</v>
      </c>
      <c r="CN2871">
        <v>-13.01</v>
      </c>
      <c r="CO2871">
        <v>2.66</v>
      </c>
      <c r="CP2871">
        <v>4.6900000000000004</v>
      </c>
      <c r="CQ2871">
        <v>3.95</v>
      </c>
      <c r="CR2871">
        <v>0</v>
      </c>
      <c r="CS2871" t="s">
        <v>3929</v>
      </c>
      <c r="CT2871">
        <v>1.39</v>
      </c>
      <c r="CU2871">
        <v>0</v>
      </c>
      <c r="CV2871">
        <v>1.34</v>
      </c>
      <c r="CW2871">
        <v>-0.66</v>
      </c>
      <c r="CX2871">
        <v>0.79</v>
      </c>
      <c r="CY2871">
        <v>19.850000000000001</v>
      </c>
      <c r="CZ2871" t="s">
        <v>1888</v>
      </c>
      <c r="DA2871">
        <v>20.43</v>
      </c>
      <c r="DB2871">
        <v>2.89</v>
      </c>
      <c r="DC2871">
        <v>1.57</v>
      </c>
      <c r="DD2871">
        <v>0</v>
      </c>
      <c r="DE2871">
        <v>450</v>
      </c>
      <c r="DF2871">
        <v>600807</v>
      </c>
      <c r="DG2871" t="s">
        <v>116</v>
      </c>
      <c r="DH2871" t="s">
        <v>116</v>
      </c>
      <c r="DI2871" t="s">
        <v>116</v>
      </c>
    </row>
    <row r="2872" spans="1:113" x14ac:dyDescent="0.4">
      <c r="A2872" t="str">
        <f>"600808"</f>
        <v>600808</v>
      </c>
      <c r="B2872" t="s">
        <v>12752</v>
      </c>
      <c r="C2872">
        <v>1.69</v>
      </c>
      <c r="D2872">
        <v>3</v>
      </c>
      <c r="E2872">
        <v>0.05</v>
      </c>
      <c r="F2872">
        <v>2.99</v>
      </c>
      <c r="G2872">
        <v>3</v>
      </c>
      <c r="H2872">
        <v>353411</v>
      </c>
      <c r="I2872">
        <v>2886</v>
      </c>
      <c r="J2872">
        <v>-0.32</v>
      </c>
      <c r="K2872">
        <v>0.59</v>
      </c>
      <c r="L2872">
        <v>2.97</v>
      </c>
      <c r="M2872">
        <v>3.02</v>
      </c>
      <c r="N2872">
        <v>2.96</v>
      </c>
      <c r="O2872">
        <v>2.95</v>
      </c>
      <c r="P2872">
        <v>11.83</v>
      </c>
      <c r="Q2872">
        <v>105617872</v>
      </c>
      <c r="R2872">
        <v>1.96</v>
      </c>
      <c r="S2872" t="s">
        <v>1587</v>
      </c>
      <c r="T2872" t="s">
        <v>575</v>
      </c>
      <c r="U2872">
        <v>2.0299999999999998</v>
      </c>
      <c r="V2872">
        <v>2.99</v>
      </c>
      <c r="W2872">
        <v>95740</v>
      </c>
      <c r="X2872">
        <v>257671</v>
      </c>
      <c r="Y2872">
        <v>0.37</v>
      </c>
      <c r="Z2872">
        <v>2126</v>
      </c>
      <c r="AA2872">
        <v>34</v>
      </c>
      <c r="AB2872" t="s">
        <v>116</v>
      </c>
      <c r="AC2872">
        <v>651600</v>
      </c>
      <c r="AD2872">
        <v>0.01</v>
      </c>
      <c r="AE2872" t="s">
        <v>116</v>
      </c>
      <c r="AF2872" t="s">
        <v>116</v>
      </c>
      <c r="AG2872">
        <v>59.68</v>
      </c>
      <c r="AH2872" t="s">
        <v>12753</v>
      </c>
      <c r="AI2872" t="s">
        <v>12753</v>
      </c>
      <c r="AJ2872">
        <v>1.77</v>
      </c>
      <c r="AK2872">
        <v>2448</v>
      </c>
      <c r="AL2872">
        <v>144</v>
      </c>
      <c r="AM2872">
        <v>2.0000000000000001E-4</v>
      </c>
      <c r="AN2872">
        <v>1</v>
      </c>
      <c r="AO2872">
        <v>3.44</v>
      </c>
      <c r="AP2872">
        <v>9.09</v>
      </c>
      <c r="AQ2872">
        <v>11.11</v>
      </c>
      <c r="AR2872">
        <v>-4.76</v>
      </c>
      <c r="AS2872">
        <v>1.44</v>
      </c>
      <c r="AT2872" t="s">
        <v>12754</v>
      </c>
      <c r="AU2872">
        <v>12.66</v>
      </c>
      <c r="AV2872">
        <v>3.89</v>
      </c>
      <c r="AW2872">
        <v>0.82</v>
      </c>
      <c r="BA2872">
        <v>0.68</v>
      </c>
      <c r="BB2872">
        <v>2.37</v>
      </c>
      <c r="BC2872">
        <v>0.34</v>
      </c>
      <c r="BD2872">
        <v>1.31</v>
      </c>
      <c r="BE2872">
        <v>1.01</v>
      </c>
      <c r="BF2872">
        <v>-0.66</v>
      </c>
      <c r="BG2872">
        <v>1.35</v>
      </c>
      <c r="BH2872">
        <v>0.39</v>
      </c>
      <c r="BI2872">
        <v>20191031</v>
      </c>
      <c r="BJ2872">
        <v>19940106</v>
      </c>
      <c r="BK2872">
        <v>77.010000000000005</v>
      </c>
      <c r="BL2872" t="s">
        <v>116</v>
      </c>
      <c r="BM2872">
        <v>17.329999999999998</v>
      </c>
      <c r="BN2872">
        <v>770.43</v>
      </c>
      <c r="BO2872">
        <v>272.68</v>
      </c>
      <c r="BP2872">
        <v>37.43</v>
      </c>
      <c r="BQ2872">
        <v>59.75</v>
      </c>
      <c r="BR2872">
        <v>381.58</v>
      </c>
      <c r="BS2872">
        <v>299.72000000000003</v>
      </c>
      <c r="BT2872">
        <v>18.5</v>
      </c>
      <c r="BU2872">
        <v>406.73</v>
      </c>
      <c r="BV2872">
        <v>113.82</v>
      </c>
      <c r="BW2872">
        <v>13.37</v>
      </c>
      <c r="BX2872">
        <v>83.52</v>
      </c>
      <c r="BY2872">
        <v>575.80999999999995</v>
      </c>
      <c r="BZ2872">
        <v>525.53</v>
      </c>
      <c r="CA2872">
        <v>19.96</v>
      </c>
      <c r="CB2872">
        <v>6.05</v>
      </c>
      <c r="CC2872">
        <v>22.69</v>
      </c>
      <c r="CD2872">
        <v>18.850000000000001</v>
      </c>
      <c r="CE2872">
        <v>14.65</v>
      </c>
      <c r="CF2872">
        <v>14.53</v>
      </c>
      <c r="CG2872">
        <v>64.83</v>
      </c>
      <c r="CH2872">
        <v>16.37</v>
      </c>
      <c r="CI2872">
        <v>-40.04</v>
      </c>
      <c r="CJ2872">
        <v>215595</v>
      </c>
      <c r="CK2872">
        <v>11416</v>
      </c>
      <c r="CL2872" t="s">
        <v>2637</v>
      </c>
      <c r="CM2872">
        <v>-73.77</v>
      </c>
      <c r="CN2872">
        <v>-8.77</v>
      </c>
      <c r="CO2872">
        <v>0.85</v>
      </c>
      <c r="CP2872">
        <v>14.11</v>
      </c>
      <c r="CQ2872">
        <v>0.4</v>
      </c>
      <c r="CR2872">
        <v>10.33</v>
      </c>
      <c r="CS2872" t="s">
        <v>702</v>
      </c>
      <c r="CT2872">
        <v>3.54</v>
      </c>
      <c r="CU2872">
        <v>0</v>
      </c>
      <c r="CV2872">
        <v>1.08</v>
      </c>
      <c r="CW2872">
        <v>0.84</v>
      </c>
      <c r="CX2872">
        <v>0.21</v>
      </c>
      <c r="CY2872">
        <v>35.39</v>
      </c>
      <c r="CZ2872" t="s">
        <v>10059</v>
      </c>
      <c r="DA2872">
        <v>8.73</v>
      </c>
      <c r="DB2872">
        <v>3.47</v>
      </c>
      <c r="DC2872">
        <v>2.54</v>
      </c>
      <c r="DD2872">
        <v>5.62</v>
      </c>
      <c r="DE2872">
        <v>28454</v>
      </c>
      <c r="DF2872">
        <v>600808</v>
      </c>
      <c r="DG2872" t="s">
        <v>116</v>
      </c>
      <c r="DH2872" t="s">
        <v>116</v>
      </c>
      <c r="DI2872" t="s">
        <v>116</v>
      </c>
    </row>
    <row r="2873" spans="1:113" x14ac:dyDescent="0.4">
      <c r="A2873" t="str">
        <f>"600809"</f>
        <v>600809</v>
      </c>
      <c r="B2873" t="s">
        <v>12755</v>
      </c>
      <c r="C2873">
        <v>3.2</v>
      </c>
      <c r="D2873">
        <v>88.08</v>
      </c>
      <c r="E2873">
        <v>2.73</v>
      </c>
      <c r="F2873">
        <v>88.08</v>
      </c>
      <c r="G2873">
        <v>88.09</v>
      </c>
      <c r="H2873">
        <v>97951</v>
      </c>
      <c r="I2873">
        <v>842</v>
      </c>
      <c r="J2873">
        <v>-0.08</v>
      </c>
      <c r="K2873">
        <v>1.1299999999999999</v>
      </c>
      <c r="L2873">
        <v>85.52</v>
      </c>
      <c r="M2873">
        <v>89.69</v>
      </c>
      <c r="N2873">
        <v>85.52</v>
      </c>
      <c r="O2873">
        <v>85.35</v>
      </c>
      <c r="P2873">
        <v>33.950000000000003</v>
      </c>
      <c r="Q2873">
        <v>864550592</v>
      </c>
      <c r="R2873">
        <v>1.9</v>
      </c>
      <c r="S2873" t="s">
        <v>1212</v>
      </c>
      <c r="T2873" t="s">
        <v>675</v>
      </c>
      <c r="U2873">
        <v>4.8899999999999997</v>
      </c>
      <c r="V2873">
        <v>88.26</v>
      </c>
      <c r="W2873">
        <v>42561</v>
      </c>
      <c r="X2873">
        <v>55390</v>
      </c>
      <c r="Y2873">
        <v>0.77</v>
      </c>
      <c r="Z2873">
        <v>16</v>
      </c>
      <c r="AA2873">
        <v>13</v>
      </c>
      <c r="AB2873" t="s">
        <v>116</v>
      </c>
      <c r="AC2873">
        <v>1222900</v>
      </c>
      <c r="AD2873">
        <v>0.01</v>
      </c>
      <c r="AE2873" t="s">
        <v>116</v>
      </c>
      <c r="AF2873" t="s">
        <v>116</v>
      </c>
      <c r="AG2873">
        <v>8.66</v>
      </c>
      <c r="AH2873" t="s">
        <v>12756</v>
      </c>
      <c r="AI2873" t="s">
        <v>12757</v>
      </c>
      <c r="AJ2873">
        <v>3.28</v>
      </c>
      <c r="AK2873">
        <v>4195</v>
      </c>
      <c r="AL2873">
        <v>23</v>
      </c>
      <c r="AM2873">
        <v>2.9999999999999997E-4</v>
      </c>
      <c r="AN2873">
        <v>2</v>
      </c>
      <c r="AO2873">
        <v>3.44</v>
      </c>
      <c r="AP2873">
        <v>-1.41</v>
      </c>
      <c r="AQ2873">
        <v>13.71</v>
      </c>
      <c r="AR2873">
        <v>156.79</v>
      </c>
      <c r="AS2873">
        <v>3.86</v>
      </c>
      <c r="AT2873" t="s">
        <v>12758</v>
      </c>
      <c r="AU2873">
        <v>40.6</v>
      </c>
      <c r="AV2873">
        <v>52.34</v>
      </c>
      <c r="AW2873">
        <v>0.63</v>
      </c>
      <c r="BA2873">
        <v>0.2</v>
      </c>
      <c r="BB2873">
        <v>5.08</v>
      </c>
      <c r="BC2873">
        <v>0.2</v>
      </c>
      <c r="BD2873">
        <v>3.41</v>
      </c>
      <c r="BE2873">
        <v>2.99</v>
      </c>
      <c r="BF2873">
        <v>-1.8</v>
      </c>
      <c r="BG2873">
        <v>2.99</v>
      </c>
      <c r="BH2873">
        <v>-0.21</v>
      </c>
      <c r="BI2873">
        <v>20191106</v>
      </c>
      <c r="BJ2873">
        <v>19940106</v>
      </c>
      <c r="BK2873">
        <v>8.7200000000000006</v>
      </c>
      <c r="BL2873" t="s">
        <v>116</v>
      </c>
      <c r="BM2873" t="s">
        <v>116</v>
      </c>
      <c r="BN2873">
        <v>141.80000000000001</v>
      </c>
      <c r="BO2873">
        <v>72.53</v>
      </c>
      <c r="BP2873">
        <v>4.1100000000000003</v>
      </c>
      <c r="BQ2873">
        <v>45.95</v>
      </c>
      <c r="BR2873">
        <v>110.32</v>
      </c>
      <c r="BS2873">
        <v>16.37</v>
      </c>
      <c r="BT2873">
        <v>2.38</v>
      </c>
      <c r="BU2873">
        <v>64.8</v>
      </c>
      <c r="BV2873">
        <v>39.909999999999997</v>
      </c>
      <c r="BW2873">
        <v>0.18</v>
      </c>
      <c r="BX2873">
        <v>3.41</v>
      </c>
      <c r="BY2873">
        <v>91.27</v>
      </c>
      <c r="BZ2873">
        <v>28.12</v>
      </c>
      <c r="CA2873">
        <v>25.38</v>
      </c>
      <c r="CB2873">
        <v>0</v>
      </c>
      <c r="CC2873">
        <v>25.4</v>
      </c>
      <c r="CD2873">
        <v>18.12</v>
      </c>
      <c r="CE2873">
        <v>16.96</v>
      </c>
      <c r="CF2873">
        <v>16.93</v>
      </c>
      <c r="CG2873">
        <v>56.02</v>
      </c>
      <c r="CH2873">
        <v>18.96</v>
      </c>
      <c r="CI2873">
        <v>20.350000000000001</v>
      </c>
      <c r="CJ2873">
        <v>30528</v>
      </c>
      <c r="CK2873">
        <v>8323</v>
      </c>
      <c r="CL2873" t="s">
        <v>12759</v>
      </c>
      <c r="CM2873">
        <v>33.36</v>
      </c>
      <c r="CN2873">
        <v>25.72</v>
      </c>
      <c r="CO2873">
        <v>10.58</v>
      </c>
      <c r="CP2873">
        <v>40.479999999999997</v>
      </c>
      <c r="CQ2873">
        <v>8.41</v>
      </c>
      <c r="CR2873">
        <v>0.85</v>
      </c>
      <c r="CS2873" t="s">
        <v>12760</v>
      </c>
      <c r="CT2873">
        <v>8.32</v>
      </c>
      <c r="CU2873">
        <v>0</v>
      </c>
      <c r="CV2873">
        <v>0.39</v>
      </c>
      <c r="CW2873">
        <v>6.43</v>
      </c>
      <c r="CX2873">
        <v>2.1800000000000002</v>
      </c>
      <c r="CY2873">
        <v>51.15</v>
      </c>
      <c r="CZ2873" t="s">
        <v>12761</v>
      </c>
      <c r="DA2873">
        <v>69.19</v>
      </c>
      <c r="DB2873">
        <v>27.8</v>
      </c>
      <c r="DC2873">
        <v>18.579999999999998</v>
      </c>
      <c r="DD2873">
        <v>0.12</v>
      </c>
      <c r="DE2873">
        <v>7656</v>
      </c>
      <c r="DF2873">
        <v>600809</v>
      </c>
      <c r="DG2873" t="s">
        <v>116</v>
      </c>
      <c r="DH2873" t="s">
        <v>116</v>
      </c>
      <c r="DI2873" t="s">
        <v>116</v>
      </c>
    </row>
    <row r="2874" spans="1:113" x14ac:dyDescent="0.4">
      <c r="A2874" t="str">
        <f>"600810"</f>
        <v>600810</v>
      </c>
      <c r="B2874" t="s">
        <v>12762</v>
      </c>
      <c r="C2874">
        <v>-0.52</v>
      </c>
      <c r="D2874">
        <v>7.72</v>
      </c>
      <c r="E2874">
        <v>-0.04</v>
      </c>
      <c r="F2874">
        <v>7.72</v>
      </c>
      <c r="G2874">
        <v>7.73</v>
      </c>
      <c r="H2874">
        <v>64005</v>
      </c>
      <c r="I2874">
        <v>671</v>
      </c>
      <c r="J2874">
        <v>0.13</v>
      </c>
      <c r="K2874">
        <v>1.1100000000000001</v>
      </c>
      <c r="L2874">
        <v>7.77</v>
      </c>
      <c r="M2874">
        <v>7.86</v>
      </c>
      <c r="N2874">
        <v>7.68</v>
      </c>
      <c r="O2874">
        <v>7.76</v>
      </c>
      <c r="P2874">
        <v>8.68</v>
      </c>
      <c r="Q2874">
        <v>49761812</v>
      </c>
      <c r="R2874">
        <v>0.96</v>
      </c>
      <c r="S2874" t="s">
        <v>630</v>
      </c>
      <c r="T2874" t="s">
        <v>652</v>
      </c>
      <c r="U2874">
        <v>2.3199999999999998</v>
      </c>
      <c r="V2874">
        <v>7.77</v>
      </c>
      <c r="W2874">
        <v>35471</v>
      </c>
      <c r="X2874">
        <v>28534</v>
      </c>
      <c r="Y2874">
        <v>1.24</v>
      </c>
      <c r="Z2874">
        <v>76</v>
      </c>
      <c r="AA2874">
        <v>277</v>
      </c>
      <c r="AB2874" t="s">
        <v>116</v>
      </c>
      <c r="AC2874">
        <v>41200</v>
      </c>
      <c r="AD2874">
        <v>0</v>
      </c>
      <c r="AE2874" t="s">
        <v>116</v>
      </c>
      <c r="AF2874" t="s">
        <v>116</v>
      </c>
      <c r="AG2874">
        <v>5.75</v>
      </c>
      <c r="AH2874" t="s">
        <v>4830</v>
      </c>
      <c r="AI2874" t="s">
        <v>4830</v>
      </c>
      <c r="AJ2874">
        <v>-0.44</v>
      </c>
      <c r="AK2874">
        <v>1377</v>
      </c>
      <c r="AL2874">
        <v>46</v>
      </c>
      <c r="AM2874">
        <v>8.0000000000000004E-4</v>
      </c>
      <c r="AN2874">
        <v>-1</v>
      </c>
      <c r="AO2874">
        <v>-0.9</v>
      </c>
      <c r="AP2874">
        <v>4.75</v>
      </c>
      <c r="AQ2874">
        <v>-2.89</v>
      </c>
      <c r="AR2874">
        <v>4.22</v>
      </c>
      <c r="AS2874">
        <v>2.19</v>
      </c>
      <c r="AT2874" t="s">
        <v>12763</v>
      </c>
      <c r="AU2874">
        <v>9.5399999999999991</v>
      </c>
      <c r="AV2874">
        <v>6.83</v>
      </c>
      <c r="AW2874">
        <v>1.62</v>
      </c>
      <c r="BA2874">
        <v>0.13</v>
      </c>
      <c r="BB2874">
        <v>1.29</v>
      </c>
      <c r="BC2874">
        <v>-1.03</v>
      </c>
      <c r="BD2874">
        <v>0.19</v>
      </c>
      <c r="BE2874">
        <v>-0.64</v>
      </c>
      <c r="BF2874">
        <v>-1.78</v>
      </c>
      <c r="BG2874">
        <v>0.52</v>
      </c>
      <c r="BH2874">
        <v>-0.7</v>
      </c>
      <c r="BI2874">
        <v>20191031</v>
      </c>
      <c r="BJ2874">
        <v>19940106</v>
      </c>
      <c r="BK2874">
        <v>5.75</v>
      </c>
      <c r="BL2874" t="s">
        <v>116</v>
      </c>
      <c r="BM2874" t="s">
        <v>116</v>
      </c>
      <c r="BN2874">
        <v>135</v>
      </c>
      <c r="BO2874">
        <v>33.57</v>
      </c>
      <c r="BP2874">
        <v>9.0500000000000007</v>
      </c>
      <c r="BQ2874">
        <v>68.430000000000007</v>
      </c>
      <c r="BR2874">
        <v>67.650000000000006</v>
      </c>
      <c r="BS2874">
        <v>25.4</v>
      </c>
      <c r="BT2874">
        <v>3.04</v>
      </c>
      <c r="BU2874">
        <v>80.23</v>
      </c>
      <c r="BV2874">
        <v>14.56</v>
      </c>
      <c r="BW2874">
        <v>10.81</v>
      </c>
      <c r="BX2874">
        <v>16.440000000000001</v>
      </c>
      <c r="BY2874">
        <v>97.81</v>
      </c>
      <c r="BZ2874">
        <v>88.58</v>
      </c>
      <c r="CA2874">
        <v>4.9000000000000004</v>
      </c>
      <c r="CB2874">
        <v>2.1</v>
      </c>
      <c r="CC2874">
        <v>4.88</v>
      </c>
      <c r="CD2874">
        <v>4.59</v>
      </c>
      <c r="CE2874">
        <v>3.84</v>
      </c>
      <c r="CF2874">
        <v>3.79</v>
      </c>
      <c r="CG2874">
        <v>8.94</v>
      </c>
      <c r="CH2874">
        <v>9.7200000000000006</v>
      </c>
      <c r="CI2874">
        <v>4.88</v>
      </c>
      <c r="CJ2874">
        <v>45431</v>
      </c>
      <c r="CK2874">
        <v>6420</v>
      </c>
      <c r="CL2874" t="s">
        <v>1463</v>
      </c>
      <c r="CM2874">
        <v>-32.47</v>
      </c>
      <c r="CN2874">
        <v>12.1</v>
      </c>
      <c r="CO2874">
        <v>1.32</v>
      </c>
      <c r="CP2874">
        <v>4.57</v>
      </c>
      <c r="CQ2874">
        <v>0.45</v>
      </c>
      <c r="CR2874">
        <v>4.4800000000000004</v>
      </c>
      <c r="CS2874" t="s">
        <v>12764</v>
      </c>
      <c r="CT2874">
        <v>5.84</v>
      </c>
      <c r="CU2874">
        <v>0</v>
      </c>
      <c r="CV2874">
        <v>2.86</v>
      </c>
      <c r="CW2874">
        <v>1.56</v>
      </c>
      <c r="CX2874">
        <v>1.69</v>
      </c>
      <c r="CY2874">
        <v>24.86</v>
      </c>
      <c r="CZ2874" t="s">
        <v>10439</v>
      </c>
      <c r="DA2874">
        <v>9.44</v>
      </c>
      <c r="DB2874">
        <v>5.01</v>
      </c>
      <c r="DC2874">
        <v>3.92</v>
      </c>
      <c r="DD2874">
        <v>1.25</v>
      </c>
      <c r="DE2874">
        <v>6446</v>
      </c>
      <c r="DF2874">
        <v>600810</v>
      </c>
      <c r="DG2874" t="s">
        <v>116</v>
      </c>
      <c r="DH2874" t="s">
        <v>116</v>
      </c>
      <c r="DI2874" t="s">
        <v>116</v>
      </c>
    </row>
    <row r="2875" spans="1:113" x14ac:dyDescent="0.4">
      <c r="A2875" t="str">
        <f>"600811"</f>
        <v>600811</v>
      </c>
      <c r="B2875" t="s">
        <v>12765</v>
      </c>
      <c r="C2875">
        <v>0.3</v>
      </c>
      <c r="D2875">
        <v>3.32</v>
      </c>
      <c r="E2875">
        <v>0.01</v>
      </c>
      <c r="F2875">
        <v>3.32</v>
      </c>
      <c r="G2875">
        <v>3.33</v>
      </c>
      <c r="H2875">
        <v>196321</v>
      </c>
      <c r="I2875">
        <v>1507</v>
      </c>
      <c r="J2875">
        <v>-0.28999999999999998</v>
      </c>
      <c r="K2875">
        <v>0.53</v>
      </c>
      <c r="L2875">
        <v>3.32</v>
      </c>
      <c r="M2875">
        <v>3.37</v>
      </c>
      <c r="N2875">
        <v>3.31</v>
      </c>
      <c r="O2875">
        <v>3.31</v>
      </c>
      <c r="P2875">
        <v>19.510000000000002</v>
      </c>
      <c r="Q2875">
        <v>65587784</v>
      </c>
      <c r="R2875">
        <v>1.22</v>
      </c>
      <c r="S2875" t="s">
        <v>173</v>
      </c>
      <c r="T2875" t="s">
        <v>1287</v>
      </c>
      <c r="U2875">
        <v>1.81</v>
      </c>
      <c r="V2875">
        <v>3.34</v>
      </c>
      <c r="W2875">
        <v>81706</v>
      </c>
      <c r="X2875">
        <v>114615</v>
      </c>
      <c r="Y2875">
        <v>0.71</v>
      </c>
      <c r="Z2875">
        <v>6078</v>
      </c>
      <c r="AA2875">
        <v>2325</v>
      </c>
      <c r="AB2875" t="s">
        <v>116</v>
      </c>
      <c r="AC2875">
        <v>527200</v>
      </c>
      <c r="AD2875">
        <v>0.01</v>
      </c>
      <c r="AE2875" t="s">
        <v>116</v>
      </c>
      <c r="AF2875" t="s">
        <v>116</v>
      </c>
      <c r="AG2875">
        <v>37.15</v>
      </c>
      <c r="AH2875" t="s">
        <v>12766</v>
      </c>
      <c r="AI2875" t="s">
        <v>12766</v>
      </c>
      <c r="AJ2875">
        <v>0.38</v>
      </c>
      <c r="AK2875">
        <v>1773</v>
      </c>
      <c r="AL2875">
        <v>111</v>
      </c>
      <c r="AM2875">
        <v>2.9999999999999997E-4</v>
      </c>
      <c r="AN2875">
        <v>2</v>
      </c>
      <c r="AO2875">
        <v>0.61</v>
      </c>
      <c r="AP2875">
        <v>1.22</v>
      </c>
      <c r="AQ2875">
        <v>-1.48</v>
      </c>
      <c r="AR2875">
        <v>-9.2899999999999991</v>
      </c>
      <c r="AS2875">
        <v>0.75</v>
      </c>
      <c r="AT2875" t="s">
        <v>12767</v>
      </c>
      <c r="AU2875">
        <v>34.619999999999997</v>
      </c>
      <c r="AV2875">
        <v>18.809999999999999</v>
      </c>
      <c r="AW2875">
        <v>0.67</v>
      </c>
      <c r="BA2875">
        <v>0.3</v>
      </c>
      <c r="BB2875">
        <v>1.81</v>
      </c>
      <c r="BC2875">
        <v>0</v>
      </c>
      <c r="BD2875">
        <v>0.93</v>
      </c>
      <c r="BE2875">
        <v>0</v>
      </c>
      <c r="BF2875">
        <v>-1.48</v>
      </c>
      <c r="BG2875">
        <v>0.3</v>
      </c>
      <c r="BH2875">
        <v>-0.63</v>
      </c>
      <c r="BI2875">
        <v>20191031</v>
      </c>
      <c r="BJ2875">
        <v>19940106</v>
      </c>
      <c r="BK2875">
        <v>37.15</v>
      </c>
      <c r="BL2875" t="s">
        <v>116</v>
      </c>
      <c r="BM2875" t="s">
        <v>116</v>
      </c>
      <c r="BN2875">
        <v>476.21</v>
      </c>
      <c r="BO2875">
        <v>209.96</v>
      </c>
      <c r="BP2875">
        <v>2.4700000000000002</v>
      </c>
      <c r="BQ2875">
        <v>55.39</v>
      </c>
      <c r="BR2875">
        <v>248.32</v>
      </c>
      <c r="BS2875">
        <v>8.5</v>
      </c>
      <c r="BT2875">
        <v>2.74</v>
      </c>
      <c r="BU2875">
        <v>189.61</v>
      </c>
      <c r="BV2875">
        <v>98.17</v>
      </c>
      <c r="BW2875">
        <v>1.72</v>
      </c>
      <c r="BX2875">
        <v>88.88</v>
      </c>
      <c r="BY2875">
        <v>93.51</v>
      </c>
      <c r="BZ2875">
        <v>91.44</v>
      </c>
      <c r="CA2875">
        <v>3.89</v>
      </c>
      <c r="CB2875">
        <v>12.89</v>
      </c>
      <c r="CC2875">
        <v>3.88</v>
      </c>
      <c r="CD2875">
        <v>3.85</v>
      </c>
      <c r="CE2875">
        <v>4.74</v>
      </c>
      <c r="CF2875">
        <v>4.83</v>
      </c>
      <c r="CG2875">
        <v>55.19</v>
      </c>
      <c r="CH2875">
        <v>33.9</v>
      </c>
      <c r="CI2875">
        <v>-1.29</v>
      </c>
      <c r="CJ2875">
        <v>89443</v>
      </c>
      <c r="CK2875">
        <v>29213</v>
      </c>
      <c r="CL2875" t="s">
        <v>10763</v>
      </c>
      <c r="CM2875">
        <v>-38.72</v>
      </c>
      <c r="CN2875">
        <v>21.22</v>
      </c>
      <c r="CO2875">
        <v>0.59</v>
      </c>
      <c r="CP2875">
        <v>3.64</v>
      </c>
      <c r="CQ2875">
        <v>1.32</v>
      </c>
      <c r="CR2875">
        <v>0</v>
      </c>
      <c r="CS2875" t="s">
        <v>5140</v>
      </c>
      <c r="CT2875">
        <v>5.65</v>
      </c>
      <c r="CU2875">
        <v>0</v>
      </c>
      <c r="CV2875">
        <v>2.39</v>
      </c>
      <c r="CW2875">
        <v>1.49</v>
      </c>
      <c r="CX2875">
        <v>0.91</v>
      </c>
      <c r="CY2875">
        <v>44.09</v>
      </c>
      <c r="CZ2875" t="s">
        <v>2244</v>
      </c>
      <c r="DA2875">
        <v>2.2200000000000002</v>
      </c>
      <c r="DB2875">
        <v>4.16</v>
      </c>
      <c r="DC2875">
        <v>5.07</v>
      </c>
      <c r="DD2875">
        <v>0</v>
      </c>
      <c r="DE2875">
        <v>1009</v>
      </c>
      <c r="DF2875">
        <v>600811</v>
      </c>
      <c r="DG2875" t="s">
        <v>116</v>
      </c>
      <c r="DH2875" t="s">
        <v>116</v>
      </c>
      <c r="DI2875" t="s">
        <v>116</v>
      </c>
    </row>
    <row r="2876" spans="1:113" x14ac:dyDescent="0.4">
      <c r="A2876" t="str">
        <f>"600812"</f>
        <v>600812</v>
      </c>
      <c r="B2876" t="s">
        <v>12768</v>
      </c>
      <c r="C2876">
        <v>3.83</v>
      </c>
      <c r="D2876">
        <v>9.2200000000000006</v>
      </c>
      <c r="E2876">
        <v>0.34</v>
      </c>
      <c r="F2876">
        <v>9.2200000000000006</v>
      </c>
      <c r="G2876">
        <v>9.23</v>
      </c>
      <c r="H2876">
        <v>772369</v>
      </c>
      <c r="I2876">
        <v>12285</v>
      </c>
      <c r="J2876">
        <v>0.44</v>
      </c>
      <c r="K2876">
        <v>4.74</v>
      </c>
      <c r="L2876">
        <v>8.89</v>
      </c>
      <c r="M2876">
        <v>9.32</v>
      </c>
      <c r="N2876">
        <v>8.8699999999999992</v>
      </c>
      <c r="O2876">
        <v>8.8800000000000008</v>
      </c>
      <c r="P2876">
        <v>123.21</v>
      </c>
      <c r="Q2876">
        <v>702758016</v>
      </c>
      <c r="R2876">
        <v>1.45</v>
      </c>
      <c r="S2876" t="s">
        <v>574</v>
      </c>
      <c r="T2876" t="s">
        <v>608</v>
      </c>
      <c r="U2876">
        <v>5.07</v>
      </c>
      <c r="V2876">
        <v>9.1</v>
      </c>
      <c r="W2876">
        <v>351577</v>
      </c>
      <c r="X2876">
        <v>420792</v>
      </c>
      <c r="Y2876">
        <v>0.84</v>
      </c>
      <c r="Z2876">
        <v>6918</v>
      </c>
      <c r="AA2876">
        <v>1278</v>
      </c>
      <c r="AB2876" t="s">
        <v>116</v>
      </c>
      <c r="AC2876">
        <v>716500</v>
      </c>
      <c r="AD2876">
        <v>0.01</v>
      </c>
      <c r="AE2876" t="s">
        <v>116</v>
      </c>
      <c r="AF2876" t="s">
        <v>116</v>
      </c>
      <c r="AG2876">
        <v>16.309999999999999</v>
      </c>
      <c r="AH2876" t="s">
        <v>12769</v>
      </c>
      <c r="AI2876" t="s">
        <v>12769</v>
      </c>
      <c r="AJ2876">
        <v>3.91</v>
      </c>
      <c r="AK2876">
        <v>4281</v>
      </c>
      <c r="AL2876">
        <v>180</v>
      </c>
      <c r="AM2876">
        <v>1.1000000000000001E-3</v>
      </c>
      <c r="AN2876">
        <v>4</v>
      </c>
      <c r="AO2876">
        <v>7.21</v>
      </c>
      <c r="AP2876">
        <v>28.95</v>
      </c>
      <c r="AQ2876">
        <v>24.26</v>
      </c>
      <c r="AR2876">
        <v>132.24</v>
      </c>
      <c r="AS2876">
        <v>10</v>
      </c>
      <c r="AT2876" t="s">
        <v>12770</v>
      </c>
      <c r="AU2876">
        <v>90.99</v>
      </c>
      <c r="AV2876">
        <v>99.81</v>
      </c>
      <c r="AW2876">
        <v>2.5499999999999998</v>
      </c>
      <c r="BA2876">
        <v>0.11</v>
      </c>
      <c r="BB2876">
        <v>4.95</v>
      </c>
      <c r="BC2876">
        <v>-0.11</v>
      </c>
      <c r="BD2876">
        <v>2.46</v>
      </c>
      <c r="BE2876">
        <v>3.71</v>
      </c>
      <c r="BF2876">
        <v>-1.07</v>
      </c>
      <c r="BG2876">
        <v>3.95</v>
      </c>
      <c r="BH2876">
        <v>1.37</v>
      </c>
      <c r="BI2876">
        <v>20191018</v>
      </c>
      <c r="BJ2876">
        <v>19940114</v>
      </c>
      <c r="BK2876">
        <v>16.309999999999999</v>
      </c>
      <c r="BL2876" t="s">
        <v>116</v>
      </c>
      <c r="BM2876" t="s">
        <v>116</v>
      </c>
      <c r="BN2876">
        <v>184.59</v>
      </c>
      <c r="BO2876">
        <v>54.97</v>
      </c>
      <c r="BP2876">
        <v>0.65</v>
      </c>
      <c r="BQ2876">
        <v>69.87</v>
      </c>
      <c r="BR2876">
        <v>77.55</v>
      </c>
      <c r="BS2876">
        <v>79.2</v>
      </c>
      <c r="BT2876">
        <v>3.79</v>
      </c>
      <c r="BU2876">
        <v>104.04</v>
      </c>
      <c r="BV2876">
        <v>20.11</v>
      </c>
      <c r="BW2876">
        <v>13.77</v>
      </c>
      <c r="BX2876">
        <v>34.909999999999997</v>
      </c>
      <c r="BY2876">
        <v>80.260000000000005</v>
      </c>
      <c r="BZ2876">
        <v>47.32</v>
      </c>
      <c r="CA2876">
        <v>1.39</v>
      </c>
      <c r="CB2876">
        <v>0.33</v>
      </c>
      <c r="CC2876">
        <v>1.35</v>
      </c>
      <c r="CD2876">
        <v>0.87</v>
      </c>
      <c r="CE2876">
        <v>0.92</v>
      </c>
      <c r="CF2876">
        <v>0.61</v>
      </c>
      <c r="CG2876">
        <v>1.3</v>
      </c>
      <c r="CH2876">
        <v>5.98</v>
      </c>
      <c r="CI2876">
        <v>0.72</v>
      </c>
      <c r="CJ2876">
        <v>96021</v>
      </c>
      <c r="CK2876">
        <v>8040</v>
      </c>
      <c r="CL2876" t="s">
        <v>828</v>
      </c>
      <c r="CM2876">
        <v>18.98</v>
      </c>
      <c r="CN2876">
        <v>13.36</v>
      </c>
      <c r="CO2876">
        <v>2.74</v>
      </c>
      <c r="CP2876">
        <v>25.16</v>
      </c>
      <c r="CQ2876">
        <v>1.87</v>
      </c>
      <c r="CR2876">
        <v>0.33</v>
      </c>
      <c r="CS2876" t="s">
        <v>743</v>
      </c>
      <c r="CT2876">
        <v>3.37</v>
      </c>
      <c r="CU2876">
        <v>0</v>
      </c>
      <c r="CV2876">
        <v>2.14</v>
      </c>
      <c r="CW2876">
        <v>0.08</v>
      </c>
      <c r="CX2876">
        <v>0.37</v>
      </c>
      <c r="CY2876">
        <v>29.78</v>
      </c>
      <c r="CZ2876" t="s">
        <v>359</v>
      </c>
      <c r="DA2876">
        <v>41.04</v>
      </c>
      <c r="DB2876">
        <v>1.74</v>
      </c>
      <c r="DC2876">
        <v>1.1399999999999999</v>
      </c>
      <c r="DD2876">
        <v>0.62</v>
      </c>
      <c r="DE2876">
        <v>10909</v>
      </c>
      <c r="DF2876">
        <v>600812</v>
      </c>
      <c r="DG2876" t="s">
        <v>116</v>
      </c>
      <c r="DH2876" t="s">
        <v>116</v>
      </c>
      <c r="DI2876" t="s">
        <v>116</v>
      </c>
    </row>
    <row r="2877" spans="1:113" x14ac:dyDescent="0.4">
      <c r="A2877" t="str">
        <f>"600814"</f>
        <v>600814</v>
      </c>
      <c r="B2877" t="s">
        <v>12771</v>
      </c>
      <c r="C2877">
        <v>-0.59</v>
      </c>
      <c r="D2877">
        <v>5.0599999999999996</v>
      </c>
      <c r="E2877">
        <v>-0.03</v>
      </c>
      <c r="F2877">
        <v>5.05</v>
      </c>
      <c r="G2877">
        <v>5.0599999999999996</v>
      </c>
      <c r="H2877">
        <v>18679</v>
      </c>
      <c r="I2877">
        <v>361</v>
      </c>
      <c r="J2877">
        <v>0</v>
      </c>
      <c r="K2877">
        <v>0.26</v>
      </c>
      <c r="L2877">
        <v>5.09</v>
      </c>
      <c r="M2877">
        <v>5.12</v>
      </c>
      <c r="N2877">
        <v>5.05</v>
      </c>
      <c r="O2877">
        <v>5.09</v>
      </c>
      <c r="P2877">
        <v>19.2</v>
      </c>
      <c r="Q2877">
        <v>9508647</v>
      </c>
      <c r="R2877">
        <v>1.1299999999999999</v>
      </c>
      <c r="S2877" t="s">
        <v>746</v>
      </c>
      <c r="T2877" t="s">
        <v>590</v>
      </c>
      <c r="U2877">
        <v>1.38</v>
      </c>
      <c r="V2877">
        <v>5.09</v>
      </c>
      <c r="W2877">
        <v>10796</v>
      </c>
      <c r="X2877">
        <v>7883</v>
      </c>
      <c r="Y2877">
        <v>1.37</v>
      </c>
      <c r="Z2877">
        <v>546</v>
      </c>
      <c r="AA2877">
        <v>38</v>
      </c>
      <c r="AB2877" t="s">
        <v>116</v>
      </c>
      <c r="AC2877">
        <v>500</v>
      </c>
      <c r="AD2877">
        <v>0</v>
      </c>
      <c r="AE2877" t="s">
        <v>116</v>
      </c>
      <c r="AF2877" t="s">
        <v>116</v>
      </c>
      <c r="AG2877">
        <v>7.15</v>
      </c>
      <c r="AH2877" t="s">
        <v>4956</v>
      </c>
      <c r="AI2877" t="s">
        <v>4956</v>
      </c>
      <c r="AJ2877">
        <v>-0.51</v>
      </c>
      <c r="AK2877">
        <v>413</v>
      </c>
      <c r="AL2877">
        <v>45</v>
      </c>
      <c r="AM2877">
        <v>5.9999999999999995E-4</v>
      </c>
      <c r="AN2877">
        <v>-1</v>
      </c>
      <c r="AO2877">
        <v>0</v>
      </c>
      <c r="AP2877">
        <v>3.27</v>
      </c>
      <c r="AQ2877">
        <v>1.4</v>
      </c>
      <c r="AR2877">
        <v>0.9</v>
      </c>
      <c r="AS2877">
        <v>0.82</v>
      </c>
      <c r="AT2877" t="s">
        <v>1816</v>
      </c>
      <c r="AU2877">
        <v>22.78</v>
      </c>
      <c r="AV2877">
        <v>24.27</v>
      </c>
      <c r="AW2877">
        <v>0.91</v>
      </c>
      <c r="BA2877">
        <v>0</v>
      </c>
      <c r="BB2877">
        <v>0.59</v>
      </c>
      <c r="BC2877">
        <v>-0.79</v>
      </c>
      <c r="BD2877">
        <v>0.01</v>
      </c>
      <c r="BE2877">
        <v>-0.59</v>
      </c>
      <c r="BF2877">
        <v>-1.17</v>
      </c>
      <c r="BG2877">
        <v>0.2</v>
      </c>
      <c r="BH2877">
        <v>-0.6</v>
      </c>
      <c r="BI2877">
        <v>20191026</v>
      </c>
      <c r="BJ2877">
        <v>19940114</v>
      </c>
      <c r="BK2877">
        <v>7.15</v>
      </c>
      <c r="BL2877" t="s">
        <v>116</v>
      </c>
      <c r="BM2877" t="s">
        <v>116</v>
      </c>
      <c r="BN2877">
        <v>54.24</v>
      </c>
      <c r="BO2877">
        <v>24.77</v>
      </c>
      <c r="BP2877">
        <v>8.92</v>
      </c>
      <c r="BQ2877">
        <v>37.9</v>
      </c>
      <c r="BR2877">
        <v>34.39</v>
      </c>
      <c r="BS2877">
        <v>8.18</v>
      </c>
      <c r="BT2877">
        <v>0.16</v>
      </c>
      <c r="BU2877">
        <v>20.36</v>
      </c>
      <c r="BV2877">
        <v>0.45</v>
      </c>
      <c r="BW2877">
        <v>0.28999999999999998</v>
      </c>
      <c r="BX2877">
        <v>0.14000000000000001</v>
      </c>
      <c r="BY2877">
        <v>45.17</v>
      </c>
      <c r="BZ2877">
        <v>35.700000000000003</v>
      </c>
      <c r="CA2877">
        <v>3.89</v>
      </c>
      <c r="CB2877">
        <v>-0.13</v>
      </c>
      <c r="CC2877">
        <v>3.74</v>
      </c>
      <c r="CD2877">
        <v>2.6</v>
      </c>
      <c r="CE2877">
        <v>1.41</v>
      </c>
      <c r="CF2877">
        <v>1.4</v>
      </c>
      <c r="CG2877">
        <v>16.13</v>
      </c>
      <c r="CH2877">
        <v>4.08</v>
      </c>
      <c r="CI2877">
        <v>-0.99</v>
      </c>
      <c r="CJ2877">
        <v>27851</v>
      </c>
      <c r="CK2877">
        <v>8148</v>
      </c>
      <c r="CL2877" t="s">
        <v>3250</v>
      </c>
      <c r="CM2877">
        <v>7.41</v>
      </c>
      <c r="CN2877">
        <v>7.39</v>
      </c>
      <c r="CO2877">
        <v>1.46</v>
      </c>
      <c r="CP2877">
        <v>8.8699999999999992</v>
      </c>
      <c r="CQ2877">
        <v>0.8</v>
      </c>
      <c r="CR2877">
        <v>1.28</v>
      </c>
      <c r="CS2877" t="s">
        <v>729</v>
      </c>
      <c r="CT2877">
        <v>3.46</v>
      </c>
      <c r="CU2877">
        <v>0</v>
      </c>
      <c r="CV2877">
        <v>0.02</v>
      </c>
      <c r="CW2877">
        <v>2.2599999999999998</v>
      </c>
      <c r="CX2877">
        <v>0.56999999999999995</v>
      </c>
      <c r="CY2877">
        <v>45.66</v>
      </c>
      <c r="CZ2877" t="s">
        <v>3661</v>
      </c>
      <c r="DA2877">
        <v>20.97</v>
      </c>
      <c r="DB2877">
        <v>8.6199999999999992</v>
      </c>
      <c r="DC2877">
        <v>3.13</v>
      </c>
      <c r="DD2877">
        <v>0</v>
      </c>
      <c r="DE2877">
        <v>1466</v>
      </c>
      <c r="DF2877">
        <v>600814</v>
      </c>
      <c r="DG2877" t="s">
        <v>116</v>
      </c>
      <c r="DH2877" t="s">
        <v>116</v>
      </c>
      <c r="DI2877" t="s">
        <v>116</v>
      </c>
    </row>
    <row r="2878" spans="1:113" x14ac:dyDescent="0.4">
      <c r="A2878" t="str">
        <f>"600815"</f>
        <v>600815</v>
      </c>
      <c r="B2878" t="s">
        <v>12772</v>
      </c>
      <c r="C2878">
        <v>1.39</v>
      </c>
      <c r="D2878">
        <v>2.92</v>
      </c>
      <c r="E2878">
        <v>0.04</v>
      </c>
      <c r="F2878">
        <v>2.91</v>
      </c>
      <c r="G2878">
        <v>2.92</v>
      </c>
      <c r="H2878">
        <v>31710</v>
      </c>
      <c r="I2878">
        <v>597</v>
      </c>
      <c r="J2878">
        <v>0</v>
      </c>
      <c r="K2878">
        <v>0.18</v>
      </c>
      <c r="L2878">
        <v>2.87</v>
      </c>
      <c r="M2878">
        <v>2.92</v>
      </c>
      <c r="N2878">
        <v>2.86</v>
      </c>
      <c r="O2878">
        <v>2.88</v>
      </c>
      <c r="P2878" t="s">
        <v>116</v>
      </c>
      <c r="Q2878">
        <v>9179058</v>
      </c>
      <c r="R2878">
        <v>0.53</v>
      </c>
      <c r="S2878" t="s">
        <v>598</v>
      </c>
      <c r="T2878" t="s">
        <v>975</v>
      </c>
      <c r="U2878">
        <v>2.08</v>
      </c>
      <c r="V2878">
        <v>2.89</v>
      </c>
      <c r="W2878">
        <v>13945</v>
      </c>
      <c r="X2878">
        <v>17765</v>
      </c>
      <c r="Y2878">
        <v>0.78</v>
      </c>
      <c r="Z2878">
        <v>1276</v>
      </c>
      <c r="AA2878">
        <v>1059</v>
      </c>
      <c r="AB2878" t="s">
        <v>116</v>
      </c>
      <c r="AC2878">
        <v>0</v>
      </c>
      <c r="AD2878">
        <v>0</v>
      </c>
      <c r="AE2878" t="s">
        <v>116</v>
      </c>
      <c r="AF2878" t="s">
        <v>116</v>
      </c>
      <c r="AG2878">
        <v>17.739999999999998</v>
      </c>
      <c r="AH2878" t="s">
        <v>12773</v>
      </c>
      <c r="AI2878" t="s">
        <v>12773</v>
      </c>
      <c r="AJ2878">
        <v>1.47</v>
      </c>
      <c r="AK2878">
        <v>345</v>
      </c>
      <c r="AL2878">
        <v>92</v>
      </c>
      <c r="AM2878">
        <v>5.0000000000000001E-4</v>
      </c>
      <c r="AN2878">
        <v>1</v>
      </c>
      <c r="AO2878">
        <v>-3.31</v>
      </c>
      <c r="AP2878">
        <v>-0.96</v>
      </c>
      <c r="AQ2878">
        <v>-7.54</v>
      </c>
      <c r="AR2878">
        <v>1.54</v>
      </c>
      <c r="AS2878">
        <v>0.28999999999999998</v>
      </c>
      <c r="AT2878" t="s">
        <v>11425</v>
      </c>
      <c r="AU2878" t="s">
        <v>116</v>
      </c>
      <c r="AV2878" t="s">
        <v>116</v>
      </c>
      <c r="AW2878">
        <v>0.15</v>
      </c>
      <c r="BA2878">
        <v>-0.35</v>
      </c>
      <c r="BB2878">
        <v>1.39</v>
      </c>
      <c r="BC2878">
        <v>-0.69</v>
      </c>
      <c r="BD2878">
        <v>0.51</v>
      </c>
      <c r="BE2878">
        <v>1.74</v>
      </c>
      <c r="BF2878">
        <v>0</v>
      </c>
      <c r="BG2878">
        <v>2.1</v>
      </c>
      <c r="BH2878">
        <v>0.88</v>
      </c>
      <c r="BI2878">
        <v>20191223</v>
      </c>
      <c r="BJ2878">
        <v>19940128</v>
      </c>
      <c r="BK2878">
        <v>17.739999999999998</v>
      </c>
      <c r="BL2878" t="s">
        <v>116</v>
      </c>
      <c r="BM2878" t="s">
        <v>116</v>
      </c>
      <c r="BN2878">
        <v>40.64</v>
      </c>
      <c r="BO2878">
        <v>-7.11</v>
      </c>
      <c r="BP2878">
        <v>1.47</v>
      </c>
      <c r="BQ2878">
        <v>113.88</v>
      </c>
      <c r="BR2878">
        <v>29.56</v>
      </c>
      <c r="BS2878">
        <v>5.85</v>
      </c>
      <c r="BT2878">
        <v>2.56</v>
      </c>
      <c r="BU2878">
        <v>42.34</v>
      </c>
      <c r="BV2878">
        <v>9.33</v>
      </c>
      <c r="BW2878">
        <v>14.52</v>
      </c>
      <c r="BX2878">
        <v>20.57</v>
      </c>
      <c r="BY2878">
        <v>14.96</v>
      </c>
      <c r="BZ2878">
        <v>13.14</v>
      </c>
      <c r="CA2878">
        <v>-5.16</v>
      </c>
      <c r="CB2878">
        <v>0.01</v>
      </c>
      <c r="CC2878">
        <v>-5.07</v>
      </c>
      <c r="CD2878">
        <v>-5.1100000000000003</v>
      </c>
      <c r="CE2878">
        <v>-5.43</v>
      </c>
      <c r="CF2878">
        <v>-6.02</v>
      </c>
      <c r="CG2878">
        <v>-40</v>
      </c>
      <c r="CH2878">
        <v>4.53</v>
      </c>
      <c r="CI2878">
        <v>-1.29</v>
      </c>
      <c r="CJ2878">
        <v>40128</v>
      </c>
      <c r="CK2878">
        <v>26923</v>
      </c>
      <c r="CL2878" t="s">
        <v>4813</v>
      </c>
      <c r="CM2878">
        <v>-411.62</v>
      </c>
      <c r="CN2878">
        <v>-34.020000000000003</v>
      </c>
      <c r="CO2878">
        <v>-7.28</v>
      </c>
      <c r="CP2878">
        <v>11.43</v>
      </c>
      <c r="CQ2878">
        <v>3.46</v>
      </c>
      <c r="CR2878">
        <v>0</v>
      </c>
      <c r="CS2878" t="s">
        <v>12774</v>
      </c>
      <c r="CT2878">
        <v>-0.4</v>
      </c>
      <c r="CU2878">
        <v>0</v>
      </c>
      <c r="CV2878">
        <v>1.1599999999999999</v>
      </c>
      <c r="CW2878">
        <v>-2.25</v>
      </c>
      <c r="CX2878">
        <v>0.26</v>
      </c>
      <c r="CY2878">
        <v>-17.5</v>
      </c>
      <c r="CZ2878" t="s">
        <v>116</v>
      </c>
      <c r="DA2878">
        <v>12.15</v>
      </c>
      <c r="DB2878">
        <v>-34.49</v>
      </c>
      <c r="DC2878">
        <v>-36.299999999999997</v>
      </c>
      <c r="DD2878">
        <v>0.28000000000000003</v>
      </c>
      <c r="DE2878">
        <v>2453</v>
      </c>
      <c r="DF2878">
        <v>600815</v>
      </c>
      <c r="DG2878" t="s">
        <v>116</v>
      </c>
      <c r="DH2878" t="s">
        <v>116</v>
      </c>
      <c r="DI2878" t="s">
        <v>116</v>
      </c>
    </row>
    <row r="2879" spans="1:113" x14ac:dyDescent="0.4">
      <c r="A2879" t="str">
        <f>"600816"</f>
        <v>600816</v>
      </c>
      <c r="B2879" t="s">
        <v>12775</v>
      </c>
      <c r="C2879">
        <v>6.84</v>
      </c>
      <c r="D2879">
        <v>4.53</v>
      </c>
      <c r="E2879">
        <v>0.28999999999999998</v>
      </c>
      <c r="F2879">
        <v>4.53</v>
      </c>
      <c r="G2879">
        <v>4.54</v>
      </c>
      <c r="H2879">
        <v>2724260</v>
      </c>
      <c r="I2879">
        <v>14846</v>
      </c>
      <c r="J2879">
        <v>0</v>
      </c>
      <c r="K2879">
        <v>5.17</v>
      </c>
      <c r="L2879">
        <v>4.25</v>
      </c>
      <c r="M2879">
        <v>4.66</v>
      </c>
      <c r="N2879">
        <v>4.24</v>
      </c>
      <c r="O2879">
        <v>4.24</v>
      </c>
      <c r="P2879" t="s">
        <v>116</v>
      </c>
      <c r="Q2879">
        <v>1253216640</v>
      </c>
      <c r="R2879">
        <v>6.62</v>
      </c>
      <c r="S2879" t="s">
        <v>732</v>
      </c>
      <c r="T2879" t="s">
        <v>1653</v>
      </c>
      <c r="U2879">
        <v>9.91</v>
      </c>
      <c r="V2879">
        <v>4.5999999999999996</v>
      </c>
      <c r="W2879">
        <v>1651451</v>
      </c>
      <c r="X2879">
        <v>1072809</v>
      </c>
      <c r="Y2879">
        <v>1.54</v>
      </c>
      <c r="Z2879">
        <v>1103</v>
      </c>
      <c r="AA2879">
        <v>5265</v>
      </c>
      <c r="AB2879" t="s">
        <v>116</v>
      </c>
      <c r="AC2879">
        <v>1191700</v>
      </c>
      <c r="AD2879">
        <v>0.01</v>
      </c>
      <c r="AE2879" t="s">
        <v>116</v>
      </c>
      <c r="AF2879" t="s">
        <v>116</v>
      </c>
      <c r="AG2879">
        <v>52.64</v>
      </c>
      <c r="AH2879" t="s">
        <v>12776</v>
      </c>
      <c r="AI2879" t="s">
        <v>12777</v>
      </c>
      <c r="AJ2879">
        <v>6.92</v>
      </c>
      <c r="AK2879">
        <v>4484</v>
      </c>
      <c r="AL2879">
        <v>608</v>
      </c>
      <c r="AM2879">
        <v>1.1999999999999999E-3</v>
      </c>
      <c r="AN2879">
        <v>4</v>
      </c>
      <c r="AO2879">
        <v>9.15</v>
      </c>
      <c r="AP2879">
        <v>13.82</v>
      </c>
      <c r="AQ2879">
        <v>-7.55</v>
      </c>
      <c r="AR2879">
        <v>3.66</v>
      </c>
      <c r="AS2879">
        <v>10.47</v>
      </c>
      <c r="AT2879" t="s">
        <v>12778</v>
      </c>
      <c r="AU2879" t="s">
        <v>116</v>
      </c>
      <c r="AV2879" t="s">
        <v>116</v>
      </c>
      <c r="AW2879">
        <v>2.35</v>
      </c>
      <c r="BA2879">
        <v>0.24</v>
      </c>
      <c r="BB2879">
        <v>9.91</v>
      </c>
      <c r="BC2879">
        <v>0</v>
      </c>
      <c r="BD2879">
        <v>8.5</v>
      </c>
      <c r="BE2879">
        <v>6.59</v>
      </c>
      <c r="BF2879">
        <v>-2.79</v>
      </c>
      <c r="BG2879">
        <v>6.84</v>
      </c>
      <c r="BH2879">
        <v>-1.66</v>
      </c>
      <c r="BI2879">
        <v>20191226</v>
      </c>
      <c r="BJ2879">
        <v>19940128</v>
      </c>
      <c r="BK2879">
        <v>54.69</v>
      </c>
      <c r="BL2879" t="s">
        <v>116</v>
      </c>
      <c r="BM2879" t="s">
        <v>116</v>
      </c>
      <c r="BN2879">
        <v>297.91000000000003</v>
      </c>
      <c r="BO2879">
        <v>121.5</v>
      </c>
      <c r="BP2879">
        <v>7.09</v>
      </c>
      <c r="BQ2879">
        <v>56.84</v>
      </c>
      <c r="BR2879">
        <v>0</v>
      </c>
      <c r="BS2879">
        <v>0.1</v>
      </c>
      <c r="BT2879">
        <v>0.05</v>
      </c>
      <c r="BU2879">
        <v>0</v>
      </c>
      <c r="BV2879">
        <v>0</v>
      </c>
      <c r="BW2879">
        <v>0</v>
      </c>
      <c r="BX2879">
        <v>31.01</v>
      </c>
      <c r="BY2879">
        <v>-0.27</v>
      </c>
      <c r="BZ2879">
        <v>0</v>
      </c>
      <c r="CA2879">
        <v>-6.22</v>
      </c>
      <c r="CB2879">
        <v>-1.98</v>
      </c>
      <c r="CC2879">
        <v>-4.84</v>
      </c>
      <c r="CD2879">
        <v>-3.46</v>
      </c>
      <c r="CE2879">
        <v>-3.45</v>
      </c>
      <c r="CF2879">
        <v>-4.5</v>
      </c>
      <c r="CG2879">
        <v>18.75</v>
      </c>
      <c r="CH2879">
        <v>-1.1200000000000001</v>
      </c>
      <c r="CI2879">
        <v>-4.04</v>
      </c>
      <c r="CJ2879">
        <v>125438</v>
      </c>
      <c r="CK2879">
        <v>20737</v>
      </c>
      <c r="CL2879" t="s">
        <v>5785</v>
      </c>
      <c r="CM2879">
        <v>-1533.59</v>
      </c>
      <c r="CN2879">
        <v>-102.14</v>
      </c>
      <c r="CO2879">
        <v>2.04</v>
      </c>
      <c r="CP2879">
        <v>-221.54</v>
      </c>
      <c r="CQ2879">
        <v>-902.64</v>
      </c>
      <c r="CR2879">
        <v>0</v>
      </c>
      <c r="CS2879" t="s">
        <v>11284</v>
      </c>
      <c r="CT2879">
        <v>2.2200000000000002</v>
      </c>
      <c r="CU2879">
        <v>0</v>
      </c>
      <c r="CV2879">
        <v>0.56999999999999995</v>
      </c>
      <c r="CW2879">
        <v>0.34</v>
      </c>
      <c r="CX2879">
        <v>-0.02</v>
      </c>
      <c r="CY2879">
        <v>40.78</v>
      </c>
      <c r="CZ2879" t="s">
        <v>8799</v>
      </c>
      <c r="DA2879" t="s">
        <v>116</v>
      </c>
      <c r="DB2879" t="s">
        <v>116</v>
      </c>
      <c r="DC2879" t="s">
        <v>116</v>
      </c>
      <c r="DD2879">
        <v>0</v>
      </c>
      <c r="DE2879">
        <v>425</v>
      </c>
      <c r="DF2879">
        <v>600816</v>
      </c>
      <c r="DG2879" t="s">
        <v>116</v>
      </c>
      <c r="DH2879" t="s">
        <v>116</v>
      </c>
      <c r="DI2879" t="s">
        <v>116</v>
      </c>
    </row>
    <row r="2880" spans="1:113" x14ac:dyDescent="0.4">
      <c r="A2880" t="str">
        <f>"600817"</f>
        <v>600817</v>
      </c>
      <c r="B2880" t="s">
        <v>12779</v>
      </c>
      <c r="C2880">
        <v>-0.67</v>
      </c>
      <c r="D2880">
        <v>7.45</v>
      </c>
      <c r="E2880">
        <v>-0.05</v>
      </c>
      <c r="F2880">
        <v>7.45</v>
      </c>
      <c r="G2880">
        <v>7.47</v>
      </c>
      <c r="H2880">
        <v>5951</v>
      </c>
      <c r="I2880">
        <v>114</v>
      </c>
      <c r="J2880">
        <v>0</v>
      </c>
      <c r="K2880">
        <v>0.38</v>
      </c>
      <c r="L2880">
        <v>7.48</v>
      </c>
      <c r="M2880">
        <v>7.59</v>
      </c>
      <c r="N2880">
        <v>7.45</v>
      </c>
      <c r="O2880">
        <v>7.5</v>
      </c>
      <c r="P2880">
        <v>8114.48</v>
      </c>
      <c r="Q2880">
        <v>4462065</v>
      </c>
      <c r="R2880">
        <v>0.8</v>
      </c>
      <c r="S2880" t="s">
        <v>732</v>
      </c>
      <c r="T2880" t="s">
        <v>652</v>
      </c>
      <c r="U2880">
        <v>1.87</v>
      </c>
      <c r="V2880">
        <v>7.5</v>
      </c>
      <c r="W2880">
        <v>3820</v>
      </c>
      <c r="X2880">
        <v>2131</v>
      </c>
      <c r="Y2880">
        <v>1.79</v>
      </c>
      <c r="Z2880">
        <v>64</v>
      </c>
      <c r="AA2880">
        <v>30</v>
      </c>
      <c r="AB2880" t="s">
        <v>116</v>
      </c>
      <c r="AC2880">
        <v>0</v>
      </c>
      <c r="AD2880">
        <v>0</v>
      </c>
      <c r="AE2880" t="s">
        <v>116</v>
      </c>
      <c r="AF2880" t="s">
        <v>116</v>
      </c>
      <c r="AG2880">
        <v>1.56</v>
      </c>
      <c r="AH2880" t="s">
        <v>8072</v>
      </c>
      <c r="AI2880" t="s">
        <v>4394</v>
      </c>
      <c r="AJ2880">
        <v>-0.59</v>
      </c>
      <c r="AK2880">
        <v>149</v>
      </c>
      <c r="AL2880">
        <v>40</v>
      </c>
      <c r="AM2880">
        <v>2.5999999999999999E-3</v>
      </c>
      <c r="AN2880">
        <v>-1</v>
      </c>
      <c r="AO2880">
        <v>-0.53</v>
      </c>
      <c r="AP2880">
        <v>4.49</v>
      </c>
      <c r="AQ2880">
        <v>2.0499999999999998</v>
      </c>
      <c r="AR2880">
        <v>6.13</v>
      </c>
      <c r="AS2880">
        <v>0.56999999999999995</v>
      </c>
      <c r="AT2880" t="s">
        <v>9799</v>
      </c>
      <c r="AU2880">
        <v>204.73</v>
      </c>
      <c r="AV2880">
        <v>239.94</v>
      </c>
      <c r="AW2880">
        <v>0.42</v>
      </c>
      <c r="BA2880">
        <v>-0.27</v>
      </c>
      <c r="BB2880">
        <v>1.2</v>
      </c>
      <c r="BC2880">
        <v>-0.67</v>
      </c>
      <c r="BD2880">
        <v>-0.03</v>
      </c>
      <c r="BE2880">
        <v>-0.4</v>
      </c>
      <c r="BF2880">
        <v>-1.84</v>
      </c>
      <c r="BG2880">
        <v>0</v>
      </c>
      <c r="BH2880">
        <v>-0.64</v>
      </c>
      <c r="BI2880">
        <v>20191031</v>
      </c>
      <c r="BJ2880">
        <v>19940128</v>
      </c>
      <c r="BK2880">
        <v>1.61</v>
      </c>
      <c r="BL2880" t="s">
        <v>116</v>
      </c>
      <c r="BM2880" t="s">
        <v>116</v>
      </c>
      <c r="BN2880">
        <v>1.94</v>
      </c>
      <c r="BO2880">
        <v>1.02</v>
      </c>
      <c r="BP2880">
        <v>0.36</v>
      </c>
      <c r="BQ2880">
        <v>29.04</v>
      </c>
      <c r="BR2880">
        <v>0.78</v>
      </c>
      <c r="BS2880">
        <v>0.01</v>
      </c>
      <c r="BT2880">
        <v>0</v>
      </c>
      <c r="BU2880">
        <v>0.32</v>
      </c>
      <c r="BV2880">
        <v>0.03</v>
      </c>
      <c r="BW2880">
        <v>0.16</v>
      </c>
      <c r="BX2880">
        <v>2.12</v>
      </c>
      <c r="BY2880">
        <v>0.31</v>
      </c>
      <c r="BZ2880">
        <v>0.21</v>
      </c>
      <c r="CA2880">
        <v>0.03</v>
      </c>
      <c r="CB2880">
        <v>0</v>
      </c>
      <c r="CC2880">
        <v>0.03</v>
      </c>
      <c r="CD2880">
        <v>0.02</v>
      </c>
      <c r="CE2880">
        <v>0</v>
      </c>
      <c r="CF2880">
        <v>0</v>
      </c>
      <c r="CG2880">
        <v>-2.8</v>
      </c>
      <c r="CH2880">
        <v>0.25</v>
      </c>
      <c r="CI2880">
        <v>0.26</v>
      </c>
      <c r="CJ2880">
        <v>7204</v>
      </c>
      <c r="CK2880">
        <v>14490</v>
      </c>
      <c r="CL2880" t="s">
        <v>6099</v>
      </c>
      <c r="CM2880">
        <v>114.8</v>
      </c>
      <c r="CN2880">
        <v>98.79</v>
      </c>
      <c r="CO2880">
        <v>11.79</v>
      </c>
      <c r="CP2880">
        <v>47.34</v>
      </c>
      <c r="CQ2880">
        <v>38.9</v>
      </c>
      <c r="CR2880">
        <v>0</v>
      </c>
      <c r="CS2880" t="s">
        <v>4302</v>
      </c>
      <c r="CT2880">
        <v>0.63</v>
      </c>
      <c r="CU2880">
        <v>0</v>
      </c>
      <c r="CV2880">
        <v>1.32</v>
      </c>
      <c r="CW2880">
        <v>-1.74</v>
      </c>
      <c r="CX2880">
        <v>0.16</v>
      </c>
      <c r="CY2880">
        <v>52.52</v>
      </c>
      <c r="CZ2880" t="s">
        <v>564</v>
      </c>
      <c r="DA2880">
        <v>32.46</v>
      </c>
      <c r="DB2880">
        <v>10.94</v>
      </c>
      <c r="DC2880">
        <v>0.36</v>
      </c>
      <c r="DD2880">
        <v>0.01</v>
      </c>
      <c r="DE2880">
        <v>18</v>
      </c>
      <c r="DF2880">
        <v>600817</v>
      </c>
      <c r="DG2880" t="s">
        <v>116</v>
      </c>
      <c r="DH2880" t="s">
        <v>116</v>
      </c>
      <c r="DI2880" t="s">
        <v>116</v>
      </c>
    </row>
    <row r="2881" spans="1:113" x14ac:dyDescent="0.4">
      <c r="A2881" t="str">
        <f>"600818"</f>
        <v>600818</v>
      </c>
      <c r="B2881" t="s">
        <v>12780</v>
      </c>
      <c r="C2881">
        <v>0.17</v>
      </c>
      <c r="D2881">
        <v>11.9</v>
      </c>
      <c r="E2881">
        <v>0.02</v>
      </c>
      <c r="F2881">
        <v>11.9</v>
      </c>
      <c r="G2881">
        <v>11.91</v>
      </c>
      <c r="H2881">
        <v>15381</v>
      </c>
      <c r="I2881">
        <v>117</v>
      </c>
      <c r="J2881">
        <v>0.17</v>
      </c>
      <c r="K2881">
        <v>0.65</v>
      </c>
      <c r="L2881">
        <v>11.92</v>
      </c>
      <c r="M2881">
        <v>12.14</v>
      </c>
      <c r="N2881">
        <v>11.85</v>
      </c>
      <c r="O2881">
        <v>11.88</v>
      </c>
      <c r="P2881" t="s">
        <v>116</v>
      </c>
      <c r="Q2881">
        <v>18486010</v>
      </c>
      <c r="R2881">
        <v>0.78</v>
      </c>
      <c r="S2881" t="s">
        <v>217</v>
      </c>
      <c r="T2881" t="s">
        <v>1653</v>
      </c>
      <c r="U2881">
        <v>2.44</v>
      </c>
      <c r="V2881">
        <v>12.02</v>
      </c>
      <c r="W2881">
        <v>7970</v>
      </c>
      <c r="X2881">
        <v>7411</v>
      </c>
      <c r="Y2881">
        <v>1.08</v>
      </c>
      <c r="Z2881">
        <v>50</v>
      </c>
      <c r="AA2881">
        <v>62</v>
      </c>
      <c r="AB2881" t="s">
        <v>116</v>
      </c>
      <c r="AC2881">
        <v>72700</v>
      </c>
      <c r="AD2881">
        <v>0.01</v>
      </c>
      <c r="AE2881" t="s">
        <v>116</v>
      </c>
      <c r="AF2881" t="s">
        <v>116</v>
      </c>
      <c r="AG2881">
        <v>2.38</v>
      </c>
      <c r="AH2881" t="s">
        <v>7764</v>
      </c>
      <c r="AI2881" t="s">
        <v>12781</v>
      </c>
      <c r="AJ2881">
        <v>0.25</v>
      </c>
      <c r="AK2881">
        <v>752</v>
      </c>
      <c r="AL2881">
        <v>20</v>
      </c>
      <c r="AM2881">
        <v>8.9999999999999998E-4</v>
      </c>
      <c r="AN2881">
        <v>1</v>
      </c>
      <c r="AO2881">
        <v>-3.56</v>
      </c>
      <c r="AP2881">
        <v>-4.34</v>
      </c>
      <c r="AQ2881">
        <v>10.19</v>
      </c>
      <c r="AR2881">
        <v>12.8</v>
      </c>
      <c r="AS2881">
        <v>1.45</v>
      </c>
      <c r="AT2881" t="s">
        <v>4066</v>
      </c>
      <c r="AU2881" t="s">
        <v>116</v>
      </c>
      <c r="AV2881">
        <v>754.8</v>
      </c>
      <c r="AW2881">
        <v>0.91</v>
      </c>
      <c r="BA2881">
        <v>0.34</v>
      </c>
      <c r="BB2881">
        <v>2.19</v>
      </c>
      <c r="BC2881">
        <v>-0.25</v>
      </c>
      <c r="BD2881">
        <v>1.17</v>
      </c>
      <c r="BE2881">
        <v>-0.17</v>
      </c>
      <c r="BF2881">
        <v>-1.98</v>
      </c>
      <c r="BG2881">
        <v>0.42</v>
      </c>
      <c r="BH2881">
        <v>-1</v>
      </c>
      <c r="BI2881">
        <v>20191030</v>
      </c>
      <c r="BJ2881">
        <v>19940128</v>
      </c>
      <c r="BK2881">
        <v>3.21</v>
      </c>
      <c r="BL2881">
        <v>0.83</v>
      </c>
      <c r="BM2881" t="s">
        <v>116</v>
      </c>
      <c r="BN2881">
        <v>9.18</v>
      </c>
      <c r="BO2881">
        <v>5.95</v>
      </c>
      <c r="BP2881">
        <v>-0.01</v>
      </c>
      <c r="BQ2881">
        <v>35.299999999999997</v>
      </c>
      <c r="BR2881">
        <v>1.25</v>
      </c>
      <c r="BS2881">
        <v>0.74</v>
      </c>
      <c r="BT2881">
        <v>1.1399999999999999</v>
      </c>
      <c r="BU2881">
        <v>2.12</v>
      </c>
      <c r="BV2881">
        <v>0.36</v>
      </c>
      <c r="BW2881">
        <v>0.32</v>
      </c>
      <c r="BX2881">
        <v>0.34</v>
      </c>
      <c r="BY2881">
        <v>4.54</v>
      </c>
      <c r="BZ2881">
        <v>3.96</v>
      </c>
      <c r="CA2881">
        <v>-0.3</v>
      </c>
      <c r="CB2881">
        <v>0.08</v>
      </c>
      <c r="CC2881">
        <v>-0.31</v>
      </c>
      <c r="CD2881">
        <v>-0.33</v>
      </c>
      <c r="CE2881">
        <v>-0.24</v>
      </c>
      <c r="CF2881">
        <v>-0.3</v>
      </c>
      <c r="CG2881">
        <v>2.16</v>
      </c>
      <c r="CH2881">
        <v>0.23</v>
      </c>
      <c r="CI2881">
        <v>-1.45</v>
      </c>
      <c r="CJ2881">
        <v>32486</v>
      </c>
      <c r="CK2881">
        <v>5846</v>
      </c>
      <c r="CL2881" t="s">
        <v>10183</v>
      </c>
      <c r="CM2881">
        <v>-273.25</v>
      </c>
      <c r="CN2881">
        <v>12.1</v>
      </c>
      <c r="CO2881">
        <v>6.43</v>
      </c>
      <c r="CP2881">
        <v>166.99</v>
      </c>
      <c r="CQ2881">
        <v>8.43</v>
      </c>
      <c r="CR2881">
        <v>0.42</v>
      </c>
      <c r="CS2881" t="s">
        <v>12782</v>
      </c>
      <c r="CT2881">
        <v>1.85</v>
      </c>
      <c r="CU2881">
        <v>0</v>
      </c>
      <c r="CV2881">
        <v>0.11</v>
      </c>
      <c r="CW2881">
        <v>0.67</v>
      </c>
      <c r="CX2881">
        <v>7.0000000000000007E-2</v>
      </c>
      <c r="CY2881">
        <v>64.790000000000006</v>
      </c>
      <c r="CZ2881" t="s">
        <v>12783</v>
      </c>
      <c r="DA2881">
        <v>12.79</v>
      </c>
      <c r="DB2881">
        <v>-6.65</v>
      </c>
      <c r="DC2881">
        <v>-5.31</v>
      </c>
      <c r="DD2881">
        <v>0.24</v>
      </c>
      <c r="DE2881">
        <v>1011</v>
      </c>
      <c r="DF2881">
        <v>600818</v>
      </c>
      <c r="DG2881" t="s">
        <v>116</v>
      </c>
      <c r="DH2881" t="s">
        <v>116</v>
      </c>
      <c r="DI2881" t="s">
        <v>116</v>
      </c>
    </row>
    <row r="2882" spans="1:113" x14ac:dyDescent="0.4">
      <c r="A2882" t="str">
        <f>"600819"</f>
        <v>600819</v>
      </c>
      <c r="B2882" t="s">
        <v>12784</v>
      </c>
      <c r="C2882">
        <v>-3.28</v>
      </c>
      <c r="D2882">
        <v>4.72</v>
      </c>
      <c r="E2882">
        <v>-0.16</v>
      </c>
      <c r="F2882">
        <v>4.71</v>
      </c>
      <c r="G2882">
        <v>4.72</v>
      </c>
      <c r="H2882">
        <v>89423</v>
      </c>
      <c r="I2882">
        <v>1172</v>
      </c>
      <c r="J2882">
        <v>-0.41</v>
      </c>
      <c r="K2882">
        <v>1.2</v>
      </c>
      <c r="L2882">
        <v>4.8600000000000003</v>
      </c>
      <c r="M2882">
        <v>4.95</v>
      </c>
      <c r="N2882">
        <v>4.7</v>
      </c>
      <c r="O2882">
        <v>4.88</v>
      </c>
      <c r="P2882">
        <v>24.29</v>
      </c>
      <c r="Q2882">
        <v>43041188</v>
      </c>
      <c r="R2882">
        <v>1.6</v>
      </c>
      <c r="S2882" t="s">
        <v>195</v>
      </c>
      <c r="T2882" t="s">
        <v>1653</v>
      </c>
      <c r="U2882">
        <v>5.12</v>
      </c>
      <c r="V2882">
        <v>4.8099999999999996</v>
      </c>
      <c r="W2882">
        <v>55729</v>
      </c>
      <c r="X2882">
        <v>33694</v>
      </c>
      <c r="Y2882">
        <v>1.65</v>
      </c>
      <c r="Z2882">
        <v>859</v>
      </c>
      <c r="AA2882">
        <v>1439</v>
      </c>
      <c r="AB2882" t="s">
        <v>116</v>
      </c>
      <c r="AC2882">
        <v>365500</v>
      </c>
      <c r="AD2882">
        <v>0.03</v>
      </c>
      <c r="AE2882" t="s">
        <v>116</v>
      </c>
      <c r="AF2882" t="s">
        <v>116</v>
      </c>
      <c r="AG2882">
        <v>7.47</v>
      </c>
      <c r="AH2882" t="s">
        <v>10316</v>
      </c>
      <c r="AI2882" t="s">
        <v>12785</v>
      </c>
      <c r="AJ2882">
        <v>-3.2</v>
      </c>
      <c r="AK2882">
        <v>1433</v>
      </c>
      <c r="AL2882">
        <v>62</v>
      </c>
      <c r="AM2882">
        <v>8.0000000000000004E-4</v>
      </c>
      <c r="AN2882">
        <v>-1</v>
      </c>
      <c r="AO2882">
        <v>3.28</v>
      </c>
      <c r="AP2882">
        <v>6.79</v>
      </c>
      <c r="AQ2882">
        <v>7.76</v>
      </c>
      <c r="AR2882">
        <v>16.260000000000002</v>
      </c>
      <c r="AS2882">
        <v>3.69</v>
      </c>
      <c r="AT2882" t="s">
        <v>12786</v>
      </c>
      <c r="AU2882">
        <v>32.21</v>
      </c>
      <c r="AV2882">
        <v>48.66</v>
      </c>
      <c r="AW2882">
        <v>1.17</v>
      </c>
      <c r="BA2882">
        <v>-0.41</v>
      </c>
      <c r="BB2882">
        <v>1.43</v>
      </c>
      <c r="BC2882">
        <v>-3.69</v>
      </c>
      <c r="BD2882">
        <v>-1.37</v>
      </c>
      <c r="BE2882">
        <v>-2.88</v>
      </c>
      <c r="BF2882">
        <v>-4.6500000000000004</v>
      </c>
      <c r="BG2882">
        <v>0.43</v>
      </c>
      <c r="BH2882">
        <v>-1.91</v>
      </c>
      <c r="BI2882">
        <v>20191030</v>
      </c>
      <c r="BJ2882">
        <v>19940128</v>
      </c>
      <c r="BK2882">
        <v>9.35</v>
      </c>
      <c r="BL2882">
        <v>1.88</v>
      </c>
      <c r="BM2882" t="s">
        <v>116</v>
      </c>
      <c r="BN2882">
        <v>71.97</v>
      </c>
      <c r="BO2882">
        <v>32.18</v>
      </c>
      <c r="BP2882">
        <v>7.23</v>
      </c>
      <c r="BQ2882">
        <v>45.23</v>
      </c>
      <c r="BR2882">
        <v>29.83</v>
      </c>
      <c r="BS2882">
        <v>32.39</v>
      </c>
      <c r="BT2882">
        <v>4.1399999999999997</v>
      </c>
      <c r="BU2882">
        <v>25.77</v>
      </c>
      <c r="BV2882">
        <v>10.24</v>
      </c>
      <c r="BW2882">
        <v>7.2</v>
      </c>
      <c r="BX2882">
        <v>11.57</v>
      </c>
      <c r="BY2882">
        <v>33.07</v>
      </c>
      <c r="BZ2882">
        <v>26.53</v>
      </c>
      <c r="CA2882">
        <v>1.51</v>
      </c>
      <c r="CB2882">
        <v>0.11</v>
      </c>
      <c r="CC2882">
        <v>1.55</v>
      </c>
      <c r="CD2882">
        <v>1.41</v>
      </c>
      <c r="CE2882">
        <v>1.36</v>
      </c>
      <c r="CF2882">
        <v>0.78</v>
      </c>
      <c r="CG2882">
        <v>6.47</v>
      </c>
      <c r="CH2882">
        <v>2.85</v>
      </c>
      <c r="CI2882">
        <v>-1.4</v>
      </c>
      <c r="CJ2882">
        <v>49124</v>
      </c>
      <c r="CK2882">
        <v>8744</v>
      </c>
      <c r="CL2882" t="s">
        <v>4268</v>
      </c>
      <c r="CM2882">
        <v>51.51</v>
      </c>
      <c r="CN2882">
        <v>17.78</v>
      </c>
      <c r="CO2882">
        <v>1.37</v>
      </c>
      <c r="CP2882">
        <v>15.48</v>
      </c>
      <c r="CQ2882">
        <v>1.33</v>
      </c>
      <c r="CR2882">
        <v>0.64</v>
      </c>
      <c r="CS2882" t="s">
        <v>4222</v>
      </c>
      <c r="CT2882">
        <v>3.44</v>
      </c>
      <c r="CU2882">
        <v>0</v>
      </c>
      <c r="CV2882">
        <v>1.24</v>
      </c>
      <c r="CW2882">
        <v>0.69</v>
      </c>
      <c r="CX2882">
        <v>0.3</v>
      </c>
      <c r="CY2882">
        <v>44.72</v>
      </c>
      <c r="CZ2882" t="s">
        <v>4832</v>
      </c>
      <c r="DA2882">
        <v>19.760000000000002</v>
      </c>
      <c r="DB2882">
        <v>4.58</v>
      </c>
      <c r="DC2882">
        <v>4.12</v>
      </c>
      <c r="DD2882">
        <v>1.23</v>
      </c>
      <c r="DE2882">
        <v>2661</v>
      </c>
      <c r="DF2882">
        <v>600819</v>
      </c>
      <c r="DG2882" t="s">
        <v>116</v>
      </c>
      <c r="DH2882" t="s">
        <v>116</v>
      </c>
      <c r="DI2882" t="s">
        <v>116</v>
      </c>
    </row>
    <row r="2883" spans="1:113" x14ac:dyDescent="0.4">
      <c r="A2883" t="str">
        <f>"600820"</f>
        <v>600820</v>
      </c>
      <c r="B2883" t="s">
        <v>12787</v>
      </c>
      <c r="C2883">
        <v>0.17</v>
      </c>
      <c r="D2883">
        <v>5.94</v>
      </c>
      <c r="E2883">
        <v>0.01</v>
      </c>
      <c r="F2883">
        <v>5.93</v>
      </c>
      <c r="G2883">
        <v>5.94</v>
      </c>
      <c r="H2883">
        <v>100411</v>
      </c>
      <c r="I2883">
        <v>906</v>
      </c>
      <c r="J2883">
        <v>0.17</v>
      </c>
      <c r="K2883">
        <v>0.32</v>
      </c>
      <c r="L2883">
        <v>5.94</v>
      </c>
      <c r="M2883">
        <v>5.98</v>
      </c>
      <c r="N2883">
        <v>5.92</v>
      </c>
      <c r="O2883">
        <v>5.93</v>
      </c>
      <c r="P2883">
        <v>10.08</v>
      </c>
      <c r="Q2883">
        <v>59804832</v>
      </c>
      <c r="R2883">
        <v>1.22</v>
      </c>
      <c r="S2883" t="s">
        <v>181</v>
      </c>
      <c r="T2883" t="s">
        <v>1653</v>
      </c>
      <c r="U2883">
        <v>1.01</v>
      </c>
      <c r="V2883">
        <v>5.96</v>
      </c>
      <c r="W2883">
        <v>46132</v>
      </c>
      <c r="X2883">
        <v>54279</v>
      </c>
      <c r="Y2883">
        <v>0.85</v>
      </c>
      <c r="Z2883">
        <v>276</v>
      </c>
      <c r="AA2883">
        <v>1430</v>
      </c>
      <c r="AB2883" t="s">
        <v>116</v>
      </c>
      <c r="AC2883">
        <v>175200</v>
      </c>
      <c r="AD2883">
        <v>0</v>
      </c>
      <c r="AE2883" t="s">
        <v>116</v>
      </c>
      <c r="AF2883" t="s">
        <v>116</v>
      </c>
      <c r="AG2883">
        <v>31.44</v>
      </c>
      <c r="AH2883" t="s">
        <v>12788</v>
      </c>
      <c r="AI2883" t="s">
        <v>12788</v>
      </c>
      <c r="AJ2883">
        <v>0.25</v>
      </c>
      <c r="AK2883">
        <v>2029</v>
      </c>
      <c r="AL2883">
        <v>49</v>
      </c>
      <c r="AM2883">
        <v>2.0000000000000001E-4</v>
      </c>
      <c r="AN2883">
        <v>2</v>
      </c>
      <c r="AO2883">
        <v>0.34</v>
      </c>
      <c r="AP2883">
        <v>1.02</v>
      </c>
      <c r="AQ2883">
        <v>0.17</v>
      </c>
      <c r="AR2883">
        <v>-2.14</v>
      </c>
      <c r="AS2883">
        <v>0.56999999999999995</v>
      </c>
      <c r="AT2883" t="s">
        <v>211</v>
      </c>
      <c r="AU2883">
        <v>8.94</v>
      </c>
      <c r="AV2883">
        <v>9.44</v>
      </c>
      <c r="AW2883">
        <v>0.88</v>
      </c>
      <c r="BA2883">
        <v>0.17</v>
      </c>
      <c r="BB2883">
        <v>0.84</v>
      </c>
      <c r="BC2883">
        <v>-0.17</v>
      </c>
      <c r="BD2883">
        <v>0.44</v>
      </c>
      <c r="BE2883">
        <v>0</v>
      </c>
      <c r="BF2883">
        <v>-0.67</v>
      </c>
      <c r="BG2883">
        <v>0.34</v>
      </c>
      <c r="BH2883">
        <v>-0.27</v>
      </c>
      <c r="BI2883">
        <v>20191029</v>
      </c>
      <c r="BJ2883">
        <v>19940128</v>
      </c>
      <c r="BK2883">
        <v>31.44</v>
      </c>
      <c r="BL2883" t="s">
        <v>116</v>
      </c>
      <c r="BM2883" t="s">
        <v>116</v>
      </c>
      <c r="BN2883">
        <v>801.62</v>
      </c>
      <c r="BO2883">
        <v>214.3</v>
      </c>
      <c r="BP2883">
        <v>12.64</v>
      </c>
      <c r="BQ2883">
        <v>71.69</v>
      </c>
      <c r="BR2883">
        <v>417.25</v>
      </c>
      <c r="BS2883">
        <v>27.99</v>
      </c>
      <c r="BT2883">
        <v>41.44</v>
      </c>
      <c r="BU2883">
        <v>362.41</v>
      </c>
      <c r="BV2883">
        <v>118.52</v>
      </c>
      <c r="BW2883">
        <v>148.69999999999999</v>
      </c>
      <c r="BX2883">
        <v>68.33</v>
      </c>
      <c r="BY2883">
        <v>277.32</v>
      </c>
      <c r="BZ2883">
        <v>244.87</v>
      </c>
      <c r="CA2883">
        <v>17.940000000000001</v>
      </c>
      <c r="CB2883">
        <v>6.33</v>
      </c>
      <c r="CC2883">
        <v>17.850000000000001</v>
      </c>
      <c r="CD2883">
        <v>14.07</v>
      </c>
      <c r="CE2883">
        <v>13.89</v>
      </c>
      <c r="CF2883">
        <v>13.72</v>
      </c>
      <c r="CG2883">
        <v>99.65</v>
      </c>
      <c r="CH2883">
        <v>2</v>
      </c>
      <c r="CI2883">
        <v>-21.16</v>
      </c>
      <c r="CJ2883">
        <v>154060</v>
      </c>
      <c r="CK2883">
        <v>11499</v>
      </c>
      <c r="CL2883" t="s">
        <v>6034</v>
      </c>
      <c r="CM2883">
        <v>8.5500000000000007</v>
      </c>
      <c r="CN2883">
        <v>18.21</v>
      </c>
      <c r="CO2883">
        <v>0.87</v>
      </c>
      <c r="CP2883">
        <v>93.4</v>
      </c>
      <c r="CQ2883">
        <v>0.67</v>
      </c>
      <c r="CR2883">
        <v>3.2</v>
      </c>
      <c r="CS2883" t="s">
        <v>10997</v>
      </c>
      <c r="CT2883">
        <v>6.82</v>
      </c>
      <c r="CU2883">
        <v>0</v>
      </c>
      <c r="CV2883">
        <v>2.17</v>
      </c>
      <c r="CW2883">
        <v>3.17</v>
      </c>
      <c r="CX2883">
        <v>0.06</v>
      </c>
      <c r="CY2883">
        <v>26.73</v>
      </c>
      <c r="CZ2883" t="s">
        <v>1171</v>
      </c>
      <c r="DA2883">
        <v>11.7</v>
      </c>
      <c r="DB2883">
        <v>6.47</v>
      </c>
      <c r="DC2883">
        <v>5.01</v>
      </c>
      <c r="DD2883">
        <v>6.96</v>
      </c>
      <c r="DE2883">
        <v>10805</v>
      </c>
      <c r="DF2883">
        <v>600820</v>
      </c>
      <c r="DG2883" t="s">
        <v>116</v>
      </c>
      <c r="DH2883" t="s">
        <v>116</v>
      </c>
      <c r="DI2883" t="s">
        <v>116</v>
      </c>
    </row>
    <row r="2884" spans="1:113" x14ac:dyDescent="0.4">
      <c r="A2884" t="str">
        <f>"600821"</f>
        <v>600821</v>
      </c>
      <c r="B2884" t="s">
        <v>12789</v>
      </c>
      <c r="C2884">
        <v>-1.28</v>
      </c>
      <c r="D2884">
        <v>4.6399999999999997</v>
      </c>
      <c r="E2884">
        <v>-0.06</v>
      </c>
      <c r="F2884">
        <v>4.63</v>
      </c>
      <c r="G2884">
        <v>4.6399999999999997</v>
      </c>
      <c r="H2884">
        <v>49902</v>
      </c>
      <c r="I2884">
        <v>1090</v>
      </c>
      <c r="J2884">
        <v>0</v>
      </c>
      <c r="K2884">
        <v>1.2</v>
      </c>
      <c r="L2884">
        <v>4.72</v>
      </c>
      <c r="M2884">
        <v>4.74</v>
      </c>
      <c r="N2884">
        <v>4.62</v>
      </c>
      <c r="O2884">
        <v>4.7</v>
      </c>
      <c r="P2884" t="s">
        <v>116</v>
      </c>
      <c r="Q2884">
        <v>23394716</v>
      </c>
      <c r="R2884">
        <v>1.19</v>
      </c>
      <c r="S2884" t="s">
        <v>746</v>
      </c>
      <c r="T2884" t="s">
        <v>1035</v>
      </c>
      <c r="U2884">
        <v>2.5499999999999998</v>
      </c>
      <c r="V2884">
        <v>4.6900000000000004</v>
      </c>
      <c r="W2884">
        <v>30375</v>
      </c>
      <c r="X2884">
        <v>19527</v>
      </c>
      <c r="Y2884">
        <v>1.56</v>
      </c>
      <c r="Z2884">
        <v>593</v>
      </c>
      <c r="AA2884">
        <v>354</v>
      </c>
      <c r="AB2884" t="s">
        <v>116</v>
      </c>
      <c r="AC2884">
        <v>0</v>
      </c>
      <c r="AD2884">
        <v>0</v>
      </c>
      <c r="AE2884" t="s">
        <v>116</v>
      </c>
      <c r="AF2884" t="s">
        <v>116</v>
      </c>
      <c r="AG2884">
        <v>4.16</v>
      </c>
      <c r="AH2884" t="s">
        <v>12790</v>
      </c>
      <c r="AI2884" t="s">
        <v>12790</v>
      </c>
      <c r="AJ2884">
        <v>-1.2</v>
      </c>
      <c r="AK2884">
        <v>785</v>
      </c>
      <c r="AL2884">
        <v>64</v>
      </c>
      <c r="AM2884">
        <v>1.5E-3</v>
      </c>
      <c r="AN2884">
        <v>-2</v>
      </c>
      <c r="AO2884">
        <v>-0.86</v>
      </c>
      <c r="AP2884">
        <v>11.54</v>
      </c>
      <c r="AQ2884">
        <v>-6.07</v>
      </c>
      <c r="AR2884">
        <v>16.29</v>
      </c>
      <c r="AS2884">
        <v>1.47</v>
      </c>
      <c r="AT2884" t="s">
        <v>8622</v>
      </c>
      <c r="AU2884" t="s">
        <v>116</v>
      </c>
      <c r="AV2884" t="s">
        <v>116</v>
      </c>
      <c r="AW2884">
        <v>1.21</v>
      </c>
      <c r="BA2884">
        <v>0.43</v>
      </c>
      <c r="BB2884">
        <v>0.85</v>
      </c>
      <c r="BC2884">
        <v>-1.7</v>
      </c>
      <c r="BD2884">
        <v>-0.25</v>
      </c>
      <c r="BE2884">
        <v>-1.69</v>
      </c>
      <c r="BF2884">
        <v>-2.11</v>
      </c>
      <c r="BG2884">
        <v>0.43</v>
      </c>
      <c r="BH2884">
        <v>-1.02</v>
      </c>
      <c r="BI2884">
        <v>20191031</v>
      </c>
      <c r="BJ2884">
        <v>19940128</v>
      </c>
      <c r="BK2884">
        <v>4.16</v>
      </c>
      <c r="BL2884" t="s">
        <v>116</v>
      </c>
      <c r="BM2884" t="s">
        <v>116</v>
      </c>
      <c r="BN2884">
        <v>12.2</v>
      </c>
      <c r="BO2884">
        <v>1.02</v>
      </c>
      <c r="BP2884">
        <v>-0.01</v>
      </c>
      <c r="BQ2884">
        <v>91.65</v>
      </c>
      <c r="BR2884">
        <v>1.1200000000000001</v>
      </c>
      <c r="BS2884">
        <v>5.84</v>
      </c>
      <c r="BT2884">
        <v>0.2</v>
      </c>
      <c r="BU2884">
        <v>11.17</v>
      </c>
      <c r="BV2884">
        <v>0.01</v>
      </c>
      <c r="BW2884">
        <v>0</v>
      </c>
      <c r="BX2884">
        <v>1.79</v>
      </c>
      <c r="BY2884">
        <v>0.56000000000000005</v>
      </c>
      <c r="BZ2884">
        <v>0.42</v>
      </c>
      <c r="CA2884">
        <v>-1.36</v>
      </c>
      <c r="CB2884">
        <v>-0.23</v>
      </c>
      <c r="CC2884">
        <v>-1.36</v>
      </c>
      <c r="CD2884">
        <v>-1.36</v>
      </c>
      <c r="CE2884">
        <v>-1.36</v>
      </c>
      <c r="CF2884">
        <v>-1.37</v>
      </c>
      <c r="CG2884">
        <v>-5.9</v>
      </c>
      <c r="CH2884">
        <v>-0.83</v>
      </c>
      <c r="CI2884">
        <v>-0.37</v>
      </c>
      <c r="CJ2884">
        <v>36866</v>
      </c>
      <c r="CK2884">
        <v>9237</v>
      </c>
      <c r="CL2884" t="s">
        <v>5799</v>
      </c>
      <c r="CM2884">
        <v>-25.75</v>
      </c>
      <c r="CN2884">
        <v>-53.85</v>
      </c>
      <c r="CO2884">
        <v>18.850000000000001</v>
      </c>
      <c r="CP2884">
        <v>-23.24</v>
      </c>
      <c r="CQ2884">
        <v>34.4</v>
      </c>
      <c r="CR2884">
        <v>0</v>
      </c>
      <c r="CS2884" t="s">
        <v>12791</v>
      </c>
      <c r="CT2884">
        <v>0.25</v>
      </c>
      <c r="CU2884">
        <v>0</v>
      </c>
      <c r="CV2884">
        <v>0.43</v>
      </c>
      <c r="CW2884">
        <v>-1.42</v>
      </c>
      <c r="CX2884">
        <v>-0.2</v>
      </c>
      <c r="CY2884">
        <v>8.4</v>
      </c>
      <c r="CZ2884" t="s">
        <v>12792</v>
      </c>
      <c r="DA2884">
        <v>24.51</v>
      </c>
      <c r="DB2884">
        <v>-242.6</v>
      </c>
      <c r="DC2884">
        <v>-242.11</v>
      </c>
      <c r="DD2884">
        <v>0</v>
      </c>
      <c r="DE2884">
        <v>496</v>
      </c>
      <c r="DF2884">
        <v>600821</v>
      </c>
      <c r="DG2884" t="s">
        <v>116</v>
      </c>
      <c r="DH2884" t="s">
        <v>116</v>
      </c>
      <c r="DI2884" t="s">
        <v>116</v>
      </c>
    </row>
    <row r="2885" spans="1:113" x14ac:dyDescent="0.4">
      <c r="A2885" t="str">
        <f>"600822"</f>
        <v>600822</v>
      </c>
      <c r="B2885" t="s">
        <v>12793</v>
      </c>
      <c r="C2885">
        <v>-0.39</v>
      </c>
      <c r="D2885">
        <v>10.11</v>
      </c>
      <c r="E2885">
        <v>-0.04</v>
      </c>
      <c r="F2885">
        <v>10.1</v>
      </c>
      <c r="G2885">
        <v>10.11</v>
      </c>
      <c r="H2885">
        <v>29185</v>
      </c>
      <c r="I2885">
        <v>610</v>
      </c>
      <c r="J2885">
        <v>-0.09</v>
      </c>
      <c r="K2885">
        <v>0.74</v>
      </c>
      <c r="L2885">
        <v>10.16</v>
      </c>
      <c r="M2885">
        <v>10.28</v>
      </c>
      <c r="N2885">
        <v>10.1</v>
      </c>
      <c r="O2885">
        <v>10.15</v>
      </c>
      <c r="P2885">
        <v>77.84</v>
      </c>
      <c r="Q2885">
        <v>29740940</v>
      </c>
      <c r="R2885">
        <v>1.1399999999999999</v>
      </c>
      <c r="S2885" t="s">
        <v>566</v>
      </c>
      <c r="T2885" t="s">
        <v>1653</v>
      </c>
      <c r="U2885">
        <v>1.77</v>
      </c>
      <c r="V2885">
        <v>10.19</v>
      </c>
      <c r="W2885">
        <v>15690</v>
      </c>
      <c r="X2885">
        <v>13495</v>
      </c>
      <c r="Y2885">
        <v>1.1599999999999999</v>
      </c>
      <c r="Z2885">
        <v>744</v>
      </c>
      <c r="AA2885">
        <v>28</v>
      </c>
      <c r="AB2885" t="s">
        <v>116</v>
      </c>
      <c r="AC2885">
        <v>15200</v>
      </c>
      <c r="AD2885">
        <v>0</v>
      </c>
      <c r="AE2885" t="s">
        <v>116</v>
      </c>
      <c r="AF2885" t="s">
        <v>116</v>
      </c>
      <c r="AG2885">
        <v>3.96</v>
      </c>
      <c r="AH2885" t="s">
        <v>6376</v>
      </c>
      <c r="AI2885" t="s">
        <v>12794</v>
      </c>
      <c r="AJ2885">
        <v>-0.32</v>
      </c>
      <c r="AK2885">
        <v>1204</v>
      </c>
      <c r="AL2885">
        <v>24</v>
      </c>
      <c r="AM2885">
        <v>5.9999999999999995E-4</v>
      </c>
      <c r="AN2885">
        <v>-1</v>
      </c>
      <c r="AO2885">
        <v>-0.48</v>
      </c>
      <c r="AP2885">
        <v>1.1000000000000001</v>
      </c>
      <c r="AQ2885">
        <v>-7.5</v>
      </c>
      <c r="AR2885">
        <v>17.149999999999999</v>
      </c>
      <c r="AS2885">
        <v>1.85</v>
      </c>
      <c r="AT2885" t="s">
        <v>6888</v>
      </c>
      <c r="AU2885">
        <v>97.14</v>
      </c>
      <c r="AV2885">
        <v>113.75</v>
      </c>
      <c r="AW2885">
        <v>1.38</v>
      </c>
      <c r="BA2885">
        <v>0.1</v>
      </c>
      <c r="BB2885">
        <v>1.28</v>
      </c>
      <c r="BC2885">
        <v>-0.49</v>
      </c>
      <c r="BD2885">
        <v>0.4</v>
      </c>
      <c r="BE2885">
        <v>-0.49</v>
      </c>
      <c r="BF2885">
        <v>-1.65</v>
      </c>
      <c r="BG2885">
        <v>0.1</v>
      </c>
      <c r="BH2885">
        <v>-0.79</v>
      </c>
      <c r="BI2885">
        <v>20191031</v>
      </c>
      <c r="BJ2885">
        <v>19940204</v>
      </c>
      <c r="BK2885">
        <v>4.96</v>
      </c>
      <c r="BL2885">
        <v>1</v>
      </c>
      <c r="BM2885" t="s">
        <v>116</v>
      </c>
      <c r="BN2885">
        <v>24.96</v>
      </c>
      <c r="BO2885">
        <v>6.53</v>
      </c>
      <c r="BP2885">
        <v>0.6</v>
      </c>
      <c r="BQ2885">
        <v>71.45</v>
      </c>
      <c r="BR2885">
        <v>18.54</v>
      </c>
      <c r="BS2885">
        <v>3.28</v>
      </c>
      <c r="BT2885">
        <v>0.32</v>
      </c>
      <c r="BU2885">
        <v>16.86</v>
      </c>
      <c r="BV2885">
        <v>6.73</v>
      </c>
      <c r="BW2885">
        <v>0.77</v>
      </c>
      <c r="BX2885">
        <v>17.829999999999998</v>
      </c>
      <c r="BY2885">
        <v>53.47</v>
      </c>
      <c r="BZ2885">
        <v>50.56</v>
      </c>
      <c r="CA2885">
        <v>0.67</v>
      </c>
      <c r="CB2885">
        <v>0.2</v>
      </c>
      <c r="CC2885">
        <v>0.72</v>
      </c>
      <c r="CD2885">
        <v>0.56000000000000005</v>
      </c>
      <c r="CE2885">
        <v>0.48</v>
      </c>
      <c r="CF2885">
        <v>0.4</v>
      </c>
      <c r="CG2885">
        <v>-16.95</v>
      </c>
      <c r="CH2885">
        <v>3.67</v>
      </c>
      <c r="CI2885">
        <v>3.03</v>
      </c>
      <c r="CJ2885">
        <v>54473</v>
      </c>
      <c r="CK2885">
        <v>4725</v>
      </c>
      <c r="CL2885" t="s">
        <v>4879</v>
      </c>
      <c r="CM2885">
        <v>18.48</v>
      </c>
      <c r="CN2885">
        <v>6.32</v>
      </c>
      <c r="CO2885">
        <v>7.68</v>
      </c>
      <c r="CP2885">
        <v>13.68</v>
      </c>
      <c r="CQ2885">
        <v>0.94</v>
      </c>
      <c r="CR2885">
        <v>0</v>
      </c>
      <c r="CS2885" t="s">
        <v>454</v>
      </c>
      <c r="CT2885">
        <v>1.32</v>
      </c>
      <c r="CU2885">
        <v>0</v>
      </c>
      <c r="CV2885">
        <v>3.59</v>
      </c>
      <c r="CW2885">
        <v>-3.42</v>
      </c>
      <c r="CX2885">
        <v>0.74</v>
      </c>
      <c r="CY2885">
        <v>26.15</v>
      </c>
      <c r="CZ2885" t="s">
        <v>12795</v>
      </c>
      <c r="DA2885">
        <v>5.44</v>
      </c>
      <c r="DB2885">
        <v>1.26</v>
      </c>
      <c r="DC2885">
        <v>0.9</v>
      </c>
      <c r="DD2885">
        <v>0</v>
      </c>
      <c r="DE2885">
        <v>1068</v>
      </c>
      <c r="DF2885">
        <v>600822</v>
      </c>
      <c r="DG2885" t="s">
        <v>116</v>
      </c>
      <c r="DH2885" t="s">
        <v>116</v>
      </c>
      <c r="DI2885" t="s">
        <v>116</v>
      </c>
    </row>
    <row r="2886" spans="1:113" x14ac:dyDescent="0.4">
      <c r="A2886" t="str">
        <f>"600823"</f>
        <v>600823</v>
      </c>
      <c r="B2886" t="s">
        <v>12796</v>
      </c>
      <c r="C2886">
        <v>-0.22</v>
      </c>
      <c r="D2886">
        <v>4.49</v>
      </c>
      <c r="E2886">
        <v>-0.01</v>
      </c>
      <c r="F2886">
        <v>4.49</v>
      </c>
      <c r="G2886">
        <v>4.5</v>
      </c>
      <c r="H2886">
        <v>319210</v>
      </c>
      <c r="I2886">
        <v>1123</v>
      </c>
      <c r="J2886">
        <v>-0.21</v>
      </c>
      <c r="K2886">
        <v>0.85</v>
      </c>
      <c r="L2886">
        <v>4.5199999999999996</v>
      </c>
      <c r="M2886">
        <v>4.55</v>
      </c>
      <c r="N2886">
        <v>4.46</v>
      </c>
      <c r="O2886">
        <v>4.5</v>
      </c>
      <c r="P2886">
        <v>8.17</v>
      </c>
      <c r="Q2886">
        <v>143596400</v>
      </c>
      <c r="R2886">
        <v>1.28</v>
      </c>
      <c r="S2886" t="s">
        <v>124</v>
      </c>
      <c r="T2886" t="s">
        <v>1653</v>
      </c>
      <c r="U2886">
        <v>2</v>
      </c>
      <c r="V2886">
        <v>4.5</v>
      </c>
      <c r="W2886">
        <v>180407</v>
      </c>
      <c r="X2886">
        <v>138803</v>
      </c>
      <c r="Y2886">
        <v>1.3</v>
      </c>
      <c r="Z2886">
        <v>6292</v>
      </c>
      <c r="AA2886">
        <v>6488</v>
      </c>
      <c r="AB2886" t="s">
        <v>116</v>
      </c>
      <c r="AC2886">
        <v>853800</v>
      </c>
      <c r="AD2886">
        <v>0.02</v>
      </c>
      <c r="AE2886" t="s">
        <v>116</v>
      </c>
      <c r="AF2886" t="s">
        <v>116</v>
      </c>
      <c r="AG2886">
        <v>37.51</v>
      </c>
      <c r="AH2886" t="s">
        <v>12797</v>
      </c>
      <c r="AI2886" t="s">
        <v>12797</v>
      </c>
      <c r="AJ2886">
        <v>-0.15</v>
      </c>
      <c r="AK2886">
        <v>3035</v>
      </c>
      <c r="AL2886">
        <v>105</v>
      </c>
      <c r="AM2886">
        <v>2.9999999999999997E-4</v>
      </c>
      <c r="AN2886">
        <v>-1</v>
      </c>
      <c r="AO2886">
        <v>9.25</v>
      </c>
      <c r="AP2886">
        <v>15.42</v>
      </c>
      <c r="AQ2886">
        <v>3.22</v>
      </c>
      <c r="AR2886">
        <v>28.29</v>
      </c>
      <c r="AS2886">
        <v>2.67</v>
      </c>
      <c r="AT2886" t="s">
        <v>12798</v>
      </c>
      <c r="AU2886">
        <v>6.82</v>
      </c>
      <c r="AV2886">
        <v>7.01</v>
      </c>
      <c r="AW2886">
        <v>1.55</v>
      </c>
      <c r="BA2886">
        <v>0.44</v>
      </c>
      <c r="BB2886">
        <v>1.1100000000000001</v>
      </c>
      <c r="BC2886">
        <v>-0.89</v>
      </c>
      <c r="BD2886">
        <v>-0.03</v>
      </c>
      <c r="BE2886">
        <v>-0.66</v>
      </c>
      <c r="BF2886">
        <v>-1.32</v>
      </c>
      <c r="BG2886">
        <v>0.67</v>
      </c>
      <c r="BH2886">
        <v>-0.19</v>
      </c>
      <c r="BI2886">
        <v>20191030</v>
      </c>
      <c r="BJ2886">
        <v>19940204</v>
      </c>
      <c r="BK2886">
        <v>37.51</v>
      </c>
      <c r="BL2886" t="s">
        <v>116</v>
      </c>
      <c r="BM2886" t="s">
        <v>116</v>
      </c>
      <c r="BN2886">
        <v>1154.52</v>
      </c>
      <c r="BO2886">
        <v>242.47</v>
      </c>
      <c r="BP2886">
        <v>218.91</v>
      </c>
      <c r="BQ2886">
        <v>60.04</v>
      </c>
      <c r="BR2886">
        <v>766.51</v>
      </c>
      <c r="BS2886">
        <v>16.45</v>
      </c>
      <c r="BT2886">
        <v>2.87</v>
      </c>
      <c r="BU2886">
        <v>462.47</v>
      </c>
      <c r="BV2886">
        <v>606.4</v>
      </c>
      <c r="BW2886">
        <v>23.44</v>
      </c>
      <c r="BX2886">
        <v>7.78</v>
      </c>
      <c r="BY2886">
        <v>150.71</v>
      </c>
      <c r="BZ2886">
        <v>101.79</v>
      </c>
      <c r="CA2886">
        <v>34.06</v>
      </c>
      <c r="CB2886">
        <v>0.97</v>
      </c>
      <c r="CC2886">
        <v>34.08</v>
      </c>
      <c r="CD2886">
        <v>25.41</v>
      </c>
      <c r="CE2886">
        <v>15.46</v>
      </c>
      <c r="CF2886">
        <v>13.01</v>
      </c>
      <c r="CG2886">
        <v>155.41999999999999</v>
      </c>
      <c r="CH2886">
        <v>-33.15</v>
      </c>
      <c r="CI2886">
        <v>-31.47</v>
      </c>
      <c r="CJ2886">
        <v>51436</v>
      </c>
      <c r="CK2886">
        <v>23228</v>
      </c>
      <c r="CL2886" t="s">
        <v>12799</v>
      </c>
      <c r="CM2886">
        <v>4.4000000000000004</v>
      </c>
      <c r="CN2886">
        <v>4.8099999999999996</v>
      </c>
      <c r="CO2886">
        <v>0.69</v>
      </c>
      <c r="CP2886">
        <v>-5.08</v>
      </c>
      <c r="CQ2886">
        <v>1.1200000000000001</v>
      </c>
      <c r="CR2886">
        <v>5.79</v>
      </c>
      <c r="CS2886" t="s">
        <v>12800</v>
      </c>
      <c r="CT2886">
        <v>6.46</v>
      </c>
      <c r="CU2886">
        <v>0</v>
      </c>
      <c r="CV2886">
        <v>0.21</v>
      </c>
      <c r="CW2886">
        <v>4.1399999999999997</v>
      </c>
      <c r="CX2886">
        <v>-0.88</v>
      </c>
      <c r="CY2886">
        <v>21</v>
      </c>
      <c r="CZ2886" t="s">
        <v>1738</v>
      </c>
      <c r="DA2886">
        <v>32.46</v>
      </c>
      <c r="DB2886">
        <v>22.6</v>
      </c>
      <c r="DC2886">
        <v>10.26</v>
      </c>
      <c r="DD2886">
        <v>0</v>
      </c>
      <c r="DE2886">
        <v>2097</v>
      </c>
      <c r="DF2886">
        <v>600823</v>
      </c>
      <c r="DG2886" t="s">
        <v>116</v>
      </c>
      <c r="DH2886" t="s">
        <v>116</v>
      </c>
      <c r="DI2886" t="s">
        <v>116</v>
      </c>
    </row>
    <row r="2887" spans="1:113" x14ac:dyDescent="0.4">
      <c r="A2887" t="str">
        <f>"600824"</f>
        <v>600824</v>
      </c>
      <c r="B2887" t="s">
        <v>12801</v>
      </c>
      <c r="C2887">
        <v>-0.28999999999999998</v>
      </c>
      <c r="D2887">
        <v>3.38</v>
      </c>
      <c r="E2887">
        <v>-0.01</v>
      </c>
      <c r="F2887">
        <v>3.37</v>
      </c>
      <c r="G2887">
        <v>3.38</v>
      </c>
      <c r="H2887">
        <v>30457</v>
      </c>
      <c r="I2887">
        <v>2</v>
      </c>
      <c r="J2887">
        <v>-0.28000000000000003</v>
      </c>
      <c r="K2887">
        <v>0.28999999999999998</v>
      </c>
      <c r="L2887">
        <v>3.39</v>
      </c>
      <c r="M2887">
        <v>3.41</v>
      </c>
      <c r="N2887">
        <v>3.37</v>
      </c>
      <c r="O2887">
        <v>3.39</v>
      </c>
      <c r="P2887">
        <v>26.83</v>
      </c>
      <c r="Q2887">
        <v>10330869</v>
      </c>
      <c r="R2887">
        <v>1.95</v>
      </c>
      <c r="S2887" t="s">
        <v>746</v>
      </c>
      <c r="T2887" t="s">
        <v>1653</v>
      </c>
      <c r="U2887">
        <v>1.18</v>
      </c>
      <c r="V2887">
        <v>3.39</v>
      </c>
      <c r="W2887">
        <v>14909</v>
      </c>
      <c r="X2887">
        <v>15548</v>
      </c>
      <c r="Y2887">
        <v>0.96</v>
      </c>
      <c r="Z2887">
        <v>661</v>
      </c>
      <c r="AA2887">
        <v>478</v>
      </c>
      <c r="AB2887" t="s">
        <v>116</v>
      </c>
      <c r="AC2887">
        <v>0</v>
      </c>
      <c r="AD2887">
        <v>0</v>
      </c>
      <c r="AE2887" t="s">
        <v>116</v>
      </c>
      <c r="AF2887" t="s">
        <v>116</v>
      </c>
      <c r="AG2887">
        <v>10.54</v>
      </c>
      <c r="AH2887" t="s">
        <v>12802</v>
      </c>
      <c r="AI2887" t="s">
        <v>12802</v>
      </c>
      <c r="AJ2887">
        <v>-0.22</v>
      </c>
      <c r="AK2887">
        <v>415</v>
      </c>
      <c r="AL2887">
        <v>73</v>
      </c>
      <c r="AM2887">
        <v>6.9999999999999999E-4</v>
      </c>
      <c r="AN2887">
        <v>-1</v>
      </c>
      <c r="AO2887">
        <v>-0.57999999999999996</v>
      </c>
      <c r="AP2887">
        <v>3.05</v>
      </c>
      <c r="AQ2887">
        <v>-2.59</v>
      </c>
      <c r="AR2887">
        <v>2.1800000000000002</v>
      </c>
      <c r="AS2887">
        <v>0.47</v>
      </c>
      <c r="AT2887" t="s">
        <v>2799</v>
      </c>
      <c r="AU2887">
        <v>40.659999999999997</v>
      </c>
      <c r="AV2887">
        <v>32.53</v>
      </c>
      <c r="AW2887">
        <v>1.02</v>
      </c>
      <c r="BA2887">
        <v>0</v>
      </c>
      <c r="BB2887">
        <v>0.59</v>
      </c>
      <c r="BC2887">
        <v>-0.59</v>
      </c>
      <c r="BD2887">
        <v>0.06</v>
      </c>
      <c r="BE2887">
        <v>-0.28999999999999998</v>
      </c>
      <c r="BF2887">
        <v>-0.88</v>
      </c>
      <c r="BG2887">
        <v>0.3</v>
      </c>
      <c r="BH2887">
        <v>-0.35</v>
      </c>
      <c r="BI2887">
        <v>20191029</v>
      </c>
      <c r="BJ2887">
        <v>19940204</v>
      </c>
      <c r="BK2887">
        <v>10.54</v>
      </c>
      <c r="BL2887" t="s">
        <v>116</v>
      </c>
      <c r="BM2887" t="s">
        <v>116</v>
      </c>
      <c r="BN2887">
        <v>31.85</v>
      </c>
      <c r="BO2887">
        <v>24.61</v>
      </c>
      <c r="BP2887">
        <v>0.39</v>
      </c>
      <c r="BQ2887">
        <v>21.51</v>
      </c>
      <c r="BR2887">
        <v>14.78</v>
      </c>
      <c r="BS2887">
        <v>1.73</v>
      </c>
      <c r="BT2887">
        <v>0.27</v>
      </c>
      <c r="BU2887">
        <v>6.21</v>
      </c>
      <c r="BV2887">
        <v>5.67</v>
      </c>
      <c r="BW2887">
        <v>0.95</v>
      </c>
      <c r="BX2887">
        <v>1.56</v>
      </c>
      <c r="BY2887">
        <v>11.59</v>
      </c>
      <c r="BZ2887">
        <v>6.85</v>
      </c>
      <c r="CA2887">
        <v>1.27</v>
      </c>
      <c r="CB2887">
        <v>0.1</v>
      </c>
      <c r="CC2887">
        <v>1.26</v>
      </c>
      <c r="CD2887">
        <v>0.99</v>
      </c>
      <c r="CE2887">
        <v>1</v>
      </c>
      <c r="CF2887">
        <v>1.01</v>
      </c>
      <c r="CG2887">
        <v>10.34</v>
      </c>
      <c r="CH2887">
        <v>0.99</v>
      </c>
      <c r="CI2887">
        <v>-4.22</v>
      </c>
      <c r="CJ2887">
        <v>61676</v>
      </c>
      <c r="CK2887">
        <v>10418</v>
      </c>
      <c r="CL2887" t="s">
        <v>777</v>
      </c>
      <c r="CM2887">
        <v>-18.02</v>
      </c>
      <c r="CN2887">
        <v>-0.45</v>
      </c>
      <c r="CO2887">
        <v>1.45</v>
      </c>
      <c r="CP2887">
        <v>36</v>
      </c>
      <c r="CQ2887">
        <v>3.07</v>
      </c>
      <c r="CR2887">
        <v>0.95</v>
      </c>
      <c r="CS2887" t="s">
        <v>3590</v>
      </c>
      <c r="CT2887">
        <v>2.33</v>
      </c>
      <c r="CU2887">
        <v>0</v>
      </c>
      <c r="CV2887">
        <v>0.15</v>
      </c>
      <c r="CW2887">
        <v>0.98</v>
      </c>
      <c r="CX2887">
        <v>0.09</v>
      </c>
      <c r="CY2887">
        <v>77.27</v>
      </c>
      <c r="CZ2887" t="s">
        <v>5468</v>
      </c>
      <c r="DA2887">
        <v>40.869999999999997</v>
      </c>
      <c r="DB2887">
        <v>10.93</v>
      </c>
      <c r="DC2887">
        <v>8.59</v>
      </c>
      <c r="DD2887">
        <v>0</v>
      </c>
      <c r="DE2887">
        <v>701</v>
      </c>
      <c r="DF2887">
        <v>600824</v>
      </c>
      <c r="DG2887" t="s">
        <v>116</v>
      </c>
      <c r="DH2887" t="s">
        <v>116</v>
      </c>
      <c r="DI2887" t="s">
        <v>116</v>
      </c>
    </row>
    <row r="2888" spans="1:113" x14ac:dyDescent="0.4">
      <c r="A2888" t="str">
        <f>"600825"</f>
        <v>600825</v>
      </c>
      <c r="B2888" t="s">
        <v>12803</v>
      </c>
      <c r="C2888">
        <v>-0.68</v>
      </c>
      <c r="D2888">
        <v>5.88</v>
      </c>
      <c r="E2888">
        <v>-0.04</v>
      </c>
      <c r="F2888">
        <v>5.88</v>
      </c>
      <c r="G2888">
        <v>5.89</v>
      </c>
      <c r="H2888">
        <v>288013</v>
      </c>
      <c r="I2888">
        <v>1333</v>
      </c>
      <c r="J2888">
        <v>-0.16</v>
      </c>
      <c r="K2888">
        <v>2.76</v>
      </c>
      <c r="L2888">
        <v>6</v>
      </c>
      <c r="M2888">
        <v>6.16</v>
      </c>
      <c r="N2888">
        <v>5.82</v>
      </c>
      <c r="O2888">
        <v>5.92</v>
      </c>
      <c r="P2888">
        <v>198.57</v>
      </c>
      <c r="Q2888">
        <v>172067152</v>
      </c>
      <c r="R2888">
        <v>2.88</v>
      </c>
      <c r="S2888" t="s">
        <v>1902</v>
      </c>
      <c r="T2888" t="s">
        <v>1653</v>
      </c>
      <c r="U2888">
        <v>5.74</v>
      </c>
      <c r="V2888">
        <v>5.97</v>
      </c>
      <c r="W2888">
        <v>152058</v>
      </c>
      <c r="X2888">
        <v>135955</v>
      </c>
      <c r="Y2888">
        <v>1.1200000000000001</v>
      </c>
      <c r="Z2888">
        <v>146</v>
      </c>
      <c r="AA2888">
        <v>497</v>
      </c>
      <c r="AB2888" t="s">
        <v>116</v>
      </c>
      <c r="AC2888">
        <v>4876800</v>
      </c>
      <c r="AD2888">
        <v>0.16</v>
      </c>
      <c r="AE2888" t="s">
        <v>116</v>
      </c>
      <c r="AF2888" t="s">
        <v>116</v>
      </c>
      <c r="AG2888">
        <v>10.45</v>
      </c>
      <c r="AH2888" t="s">
        <v>12804</v>
      </c>
      <c r="AI2888" t="s">
        <v>12804</v>
      </c>
      <c r="AJ2888">
        <v>-0.6</v>
      </c>
      <c r="AK2888">
        <v>2979</v>
      </c>
      <c r="AL2888">
        <v>97</v>
      </c>
      <c r="AM2888">
        <v>8.9999999999999998E-4</v>
      </c>
      <c r="AN2888">
        <v>-1</v>
      </c>
      <c r="AO2888">
        <v>9.08</v>
      </c>
      <c r="AP2888">
        <v>15.52</v>
      </c>
      <c r="AQ2888">
        <v>34.549999999999997</v>
      </c>
      <c r="AR2888">
        <v>20.25</v>
      </c>
      <c r="AS2888">
        <v>5.68</v>
      </c>
      <c r="AT2888" t="s">
        <v>5519</v>
      </c>
      <c r="AU2888">
        <v>218.51</v>
      </c>
      <c r="AV2888">
        <v>194.09</v>
      </c>
      <c r="AW2888">
        <v>1.2</v>
      </c>
      <c r="BA2888">
        <v>1.35</v>
      </c>
      <c r="BB2888">
        <v>4.05</v>
      </c>
      <c r="BC2888">
        <v>-1.69</v>
      </c>
      <c r="BD2888">
        <v>0.92</v>
      </c>
      <c r="BE2888">
        <v>-2</v>
      </c>
      <c r="BF2888">
        <v>-4.55</v>
      </c>
      <c r="BG2888">
        <v>1.03</v>
      </c>
      <c r="BH2888">
        <v>-1.59</v>
      </c>
      <c r="BI2888">
        <v>20191031</v>
      </c>
      <c r="BJ2888">
        <v>19940204</v>
      </c>
      <c r="BK2888">
        <v>10.45</v>
      </c>
      <c r="BL2888" t="s">
        <v>116</v>
      </c>
      <c r="BM2888" t="s">
        <v>116</v>
      </c>
      <c r="BN2888">
        <v>38.520000000000003</v>
      </c>
      <c r="BO2888">
        <v>25.41</v>
      </c>
      <c r="BP2888">
        <v>0.01</v>
      </c>
      <c r="BQ2888">
        <v>34.03</v>
      </c>
      <c r="BR2888">
        <v>24.22</v>
      </c>
      <c r="BS2888">
        <v>2.71</v>
      </c>
      <c r="BT2888">
        <v>0.28000000000000003</v>
      </c>
      <c r="BU2888">
        <v>13.11</v>
      </c>
      <c r="BV2888">
        <v>4.8899999999999997</v>
      </c>
      <c r="BW2888">
        <v>0.48</v>
      </c>
      <c r="BX2888">
        <v>5.57</v>
      </c>
      <c r="BY2888">
        <v>9.14</v>
      </c>
      <c r="BZ2888">
        <v>5.99</v>
      </c>
      <c r="CA2888">
        <v>0.21</v>
      </c>
      <c r="CB2888">
        <v>0.28000000000000003</v>
      </c>
      <c r="CC2888">
        <v>0.23</v>
      </c>
      <c r="CD2888">
        <v>0.23</v>
      </c>
      <c r="CE2888">
        <v>0.23</v>
      </c>
      <c r="CF2888">
        <v>0.09</v>
      </c>
      <c r="CG2888">
        <v>8.51</v>
      </c>
      <c r="CH2888">
        <v>-9.36</v>
      </c>
      <c r="CI2888">
        <v>-1.7</v>
      </c>
      <c r="CJ2888">
        <v>48846</v>
      </c>
      <c r="CK2888">
        <v>10377</v>
      </c>
      <c r="CL2888" t="s">
        <v>2605</v>
      </c>
      <c r="CM2888">
        <v>-13.23</v>
      </c>
      <c r="CN2888">
        <v>8.32</v>
      </c>
      <c r="CO2888">
        <v>2.42</v>
      </c>
      <c r="CP2888">
        <v>-6.56</v>
      </c>
      <c r="CQ2888">
        <v>6.72</v>
      </c>
      <c r="CR2888">
        <v>0.17</v>
      </c>
      <c r="CS2888" t="s">
        <v>3988</v>
      </c>
      <c r="CT2888">
        <v>2.4300000000000002</v>
      </c>
      <c r="CU2888">
        <v>0</v>
      </c>
      <c r="CV2888">
        <v>0.53</v>
      </c>
      <c r="CW2888">
        <v>0.81</v>
      </c>
      <c r="CX2888">
        <v>-0.9</v>
      </c>
      <c r="CY2888">
        <v>65.959999999999994</v>
      </c>
      <c r="CZ2888" t="s">
        <v>12805</v>
      </c>
      <c r="DA2888">
        <v>34.479999999999997</v>
      </c>
      <c r="DB2888">
        <v>2.33</v>
      </c>
      <c r="DC2888">
        <v>2.54</v>
      </c>
      <c r="DD2888">
        <v>0</v>
      </c>
      <c r="DE2888">
        <v>1709</v>
      </c>
      <c r="DF2888">
        <v>600825</v>
      </c>
      <c r="DG2888" t="s">
        <v>116</v>
      </c>
      <c r="DH2888" t="s">
        <v>116</v>
      </c>
      <c r="DI2888" t="s">
        <v>116</v>
      </c>
    </row>
    <row r="2889" spans="1:113" x14ac:dyDescent="0.4">
      <c r="A2889" t="str">
        <f>"600826"</f>
        <v>600826</v>
      </c>
      <c r="B2889" t="s">
        <v>12806</v>
      </c>
      <c r="C2889">
        <v>0.18</v>
      </c>
      <c r="D2889">
        <v>11.24</v>
      </c>
      <c r="E2889">
        <v>0.02</v>
      </c>
      <c r="F2889">
        <v>11.23</v>
      </c>
      <c r="G2889">
        <v>11.24</v>
      </c>
      <c r="H2889">
        <v>28672</v>
      </c>
      <c r="I2889">
        <v>201</v>
      </c>
      <c r="J2889">
        <v>0.09</v>
      </c>
      <c r="K2889">
        <v>0.68</v>
      </c>
      <c r="L2889">
        <v>11.23</v>
      </c>
      <c r="M2889">
        <v>11.38</v>
      </c>
      <c r="N2889">
        <v>11.21</v>
      </c>
      <c r="O2889">
        <v>11.22</v>
      </c>
      <c r="P2889">
        <v>21.77</v>
      </c>
      <c r="Q2889">
        <v>32413012</v>
      </c>
      <c r="R2889">
        <v>1.71</v>
      </c>
      <c r="S2889" t="s">
        <v>566</v>
      </c>
      <c r="T2889" t="s">
        <v>1653</v>
      </c>
      <c r="U2889">
        <v>1.52</v>
      </c>
      <c r="V2889">
        <v>11.3</v>
      </c>
      <c r="W2889">
        <v>14080</v>
      </c>
      <c r="X2889">
        <v>14592</v>
      </c>
      <c r="Y2889">
        <v>0.96</v>
      </c>
      <c r="Z2889">
        <v>73</v>
      </c>
      <c r="AA2889">
        <v>185</v>
      </c>
      <c r="AB2889" t="s">
        <v>116</v>
      </c>
      <c r="AC2889">
        <v>96600</v>
      </c>
      <c r="AD2889">
        <v>0</v>
      </c>
      <c r="AE2889" t="s">
        <v>116</v>
      </c>
      <c r="AF2889" t="s">
        <v>116</v>
      </c>
      <c r="AG2889">
        <v>4.21</v>
      </c>
      <c r="AH2889" t="s">
        <v>3703</v>
      </c>
      <c r="AI2889" t="s">
        <v>3703</v>
      </c>
      <c r="AJ2889">
        <v>0.26</v>
      </c>
      <c r="AK2889">
        <v>880</v>
      </c>
      <c r="AL2889">
        <v>33</v>
      </c>
      <c r="AM2889">
        <v>8.0000000000000004E-4</v>
      </c>
      <c r="AN2889">
        <v>2</v>
      </c>
      <c r="AO2889">
        <v>0.19</v>
      </c>
      <c r="AP2889">
        <v>4.17</v>
      </c>
      <c r="AQ2889">
        <v>-1.4</v>
      </c>
      <c r="AR2889">
        <v>20.34</v>
      </c>
      <c r="AS2889">
        <v>1.43</v>
      </c>
      <c r="AT2889" t="s">
        <v>5623</v>
      </c>
      <c r="AU2889">
        <v>30.69</v>
      </c>
      <c r="AV2889">
        <v>20.65</v>
      </c>
      <c r="AW2889">
        <v>0.26</v>
      </c>
      <c r="BA2889">
        <v>0.09</v>
      </c>
      <c r="BB2889">
        <v>1.43</v>
      </c>
      <c r="BC2889">
        <v>-0.09</v>
      </c>
      <c r="BD2889">
        <v>0.76</v>
      </c>
      <c r="BE2889">
        <v>0.09</v>
      </c>
      <c r="BF2889">
        <v>-1.23</v>
      </c>
      <c r="BG2889">
        <v>0.27</v>
      </c>
      <c r="BH2889">
        <v>-0.57999999999999996</v>
      </c>
      <c r="BI2889">
        <v>20191026</v>
      </c>
      <c r="BJ2889">
        <v>19940204</v>
      </c>
      <c r="BK2889">
        <v>4.21</v>
      </c>
      <c r="BL2889" t="s">
        <v>116</v>
      </c>
      <c r="BM2889" t="s">
        <v>116</v>
      </c>
      <c r="BN2889">
        <v>44.4</v>
      </c>
      <c r="BO2889">
        <v>34.22</v>
      </c>
      <c r="BP2889">
        <v>0.51</v>
      </c>
      <c r="BQ2889">
        <v>21.77</v>
      </c>
      <c r="BR2889">
        <v>25.53</v>
      </c>
      <c r="BS2889">
        <v>0.2</v>
      </c>
      <c r="BT2889">
        <v>0.02</v>
      </c>
      <c r="BU2889">
        <v>7.7</v>
      </c>
      <c r="BV2889">
        <v>1.24</v>
      </c>
      <c r="BW2889">
        <v>1.4</v>
      </c>
      <c r="BX2889">
        <v>1.36</v>
      </c>
      <c r="BY2889">
        <v>25.5</v>
      </c>
      <c r="BZ2889">
        <v>24.17</v>
      </c>
      <c r="CA2889">
        <v>2.11</v>
      </c>
      <c r="CB2889">
        <v>0.77</v>
      </c>
      <c r="CC2889">
        <v>2.16</v>
      </c>
      <c r="CD2889">
        <v>1.71</v>
      </c>
      <c r="CE2889">
        <v>1.63</v>
      </c>
      <c r="CF2889">
        <v>0.41</v>
      </c>
      <c r="CG2889">
        <v>21.3</v>
      </c>
      <c r="CH2889">
        <v>-1.66</v>
      </c>
      <c r="CI2889">
        <v>-0.62</v>
      </c>
      <c r="CJ2889">
        <v>23508</v>
      </c>
      <c r="CK2889">
        <v>8507</v>
      </c>
      <c r="CL2889" t="s">
        <v>4616</v>
      </c>
      <c r="CM2889">
        <v>-31.49</v>
      </c>
      <c r="CN2889">
        <v>8.75</v>
      </c>
      <c r="CO2889">
        <v>1.38</v>
      </c>
      <c r="CP2889">
        <v>-28.47</v>
      </c>
      <c r="CQ2889">
        <v>1.85</v>
      </c>
      <c r="CR2889">
        <v>1.51</v>
      </c>
      <c r="CS2889" t="s">
        <v>7175</v>
      </c>
      <c r="CT2889">
        <v>8.14</v>
      </c>
      <c r="CU2889">
        <v>0</v>
      </c>
      <c r="CV2889">
        <v>0.32</v>
      </c>
      <c r="CW2889">
        <v>5.0599999999999996</v>
      </c>
      <c r="CX2889">
        <v>-0.39</v>
      </c>
      <c r="CY2889">
        <v>77.08</v>
      </c>
      <c r="CZ2889" t="s">
        <v>897</v>
      </c>
      <c r="DA2889">
        <v>5.22</v>
      </c>
      <c r="DB2889">
        <v>8.2899999999999991</v>
      </c>
      <c r="DC2889">
        <v>6.39</v>
      </c>
      <c r="DD2889">
        <v>0</v>
      </c>
      <c r="DE2889">
        <v>226</v>
      </c>
      <c r="DF2889">
        <v>600826</v>
      </c>
      <c r="DG2889" t="s">
        <v>116</v>
      </c>
      <c r="DH2889" t="s">
        <v>116</v>
      </c>
      <c r="DI2889" t="s">
        <v>116</v>
      </c>
    </row>
    <row r="2890" spans="1:113" x14ac:dyDescent="0.4">
      <c r="A2890" t="str">
        <f>"600827"</f>
        <v>600827</v>
      </c>
      <c r="B2890" t="s">
        <v>12807</v>
      </c>
      <c r="C2890">
        <v>0.23</v>
      </c>
      <c r="D2890">
        <v>8.83</v>
      </c>
      <c r="E2890">
        <v>0.02</v>
      </c>
      <c r="F2890">
        <v>8.82</v>
      </c>
      <c r="G2890">
        <v>8.83</v>
      </c>
      <c r="H2890">
        <v>46616</v>
      </c>
      <c r="I2890">
        <v>75</v>
      </c>
      <c r="J2890">
        <v>0.11</v>
      </c>
      <c r="K2890">
        <v>0.28999999999999998</v>
      </c>
      <c r="L2890">
        <v>8.84</v>
      </c>
      <c r="M2890">
        <v>8.8800000000000008</v>
      </c>
      <c r="N2890">
        <v>8.81</v>
      </c>
      <c r="O2890">
        <v>8.81</v>
      </c>
      <c r="P2890">
        <v>16.48</v>
      </c>
      <c r="Q2890">
        <v>41234120</v>
      </c>
      <c r="R2890">
        <v>1.25</v>
      </c>
      <c r="S2890" t="s">
        <v>2064</v>
      </c>
      <c r="T2890" t="s">
        <v>1653</v>
      </c>
      <c r="U2890">
        <v>0.79</v>
      </c>
      <c r="V2890">
        <v>8.85</v>
      </c>
      <c r="W2890">
        <v>19738</v>
      </c>
      <c r="X2890">
        <v>26878</v>
      </c>
      <c r="Y2890">
        <v>0.73</v>
      </c>
      <c r="Z2890">
        <v>445</v>
      </c>
      <c r="AA2890">
        <v>102</v>
      </c>
      <c r="AB2890" t="s">
        <v>116</v>
      </c>
      <c r="AC2890">
        <v>271400</v>
      </c>
      <c r="AD2890">
        <v>0</v>
      </c>
      <c r="AE2890" t="s">
        <v>116</v>
      </c>
      <c r="AF2890" t="s">
        <v>116</v>
      </c>
      <c r="AG2890">
        <v>16.04</v>
      </c>
      <c r="AH2890" t="s">
        <v>12808</v>
      </c>
      <c r="AI2890" t="s">
        <v>12809</v>
      </c>
      <c r="AJ2890">
        <v>0.3</v>
      </c>
      <c r="AK2890">
        <v>1415</v>
      </c>
      <c r="AL2890">
        <v>33</v>
      </c>
      <c r="AM2890">
        <v>2.0000000000000001E-4</v>
      </c>
      <c r="AN2890">
        <v>2</v>
      </c>
      <c r="AO2890">
        <v>0.46</v>
      </c>
      <c r="AP2890">
        <v>0.34</v>
      </c>
      <c r="AQ2890">
        <v>-1.23</v>
      </c>
      <c r="AR2890">
        <v>6.77</v>
      </c>
      <c r="AS2890">
        <v>0.69</v>
      </c>
      <c r="AT2890" t="s">
        <v>12810</v>
      </c>
      <c r="AU2890">
        <v>17.73</v>
      </c>
      <c r="AV2890">
        <v>18.059999999999999</v>
      </c>
      <c r="AW2890">
        <v>0.95</v>
      </c>
      <c r="BA2890">
        <v>0.34</v>
      </c>
      <c r="BB2890">
        <v>0.79</v>
      </c>
      <c r="BC2890">
        <v>0</v>
      </c>
      <c r="BD2890">
        <v>0.4</v>
      </c>
      <c r="BE2890">
        <v>-0.11</v>
      </c>
      <c r="BF2890">
        <v>-0.56000000000000005</v>
      </c>
      <c r="BG2890">
        <v>0.23</v>
      </c>
      <c r="BH2890">
        <v>-0.18</v>
      </c>
      <c r="BI2890">
        <v>20191031</v>
      </c>
      <c r="BJ2890">
        <v>19940204</v>
      </c>
      <c r="BK2890">
        <v>17.84</v>
      </c>
      <c r="BL2890">
        <v>1.8</v>
      </c>
      <c r="BM2890" t="s">
        <v>116</v>
      </c>
      <c r="BN2890">
        <v>538.61</v>
      </c>
      <c r="BO2890">
        <v>177.98</v>
      </c>
      <c r="BP2890">
        <v>35.979999999999997</v>
      </c>
      <c r="BQ2890">
        <v>60.28</v>
      </c>
      <c r="BR2890">
        <v>194.93</v>
      </c>
      <c r="BS2890">
        <v>145.94</v>
      </c>
      <c r="BT2890">
        <v>34.29</v>
      </c>
      <c r="BU2890">
        <v>219.86</v>
      </c>
      <c r="BV2890">
        <v>27.51</v>
      </c>
      <c r="BW2890">
        <v>5.55</v>
      </c>
      <c r="BX2890">
        <v>29.28</v>
      </c>
      <c r="BY2890">
        <v>373.57</v>
      </c>
      <c r="BZ2890">
        <v>294.19</v>
      </c>
      <c r="CA2890">
        <v>13.72</v>
      </c>
      <c r="CB2890">
        <v>2.31</v>
      </c>
      <c r="CC2890">
        <v>14.25</v>
      </c>
      <c r="CD2890">
        <v>8.9499999999999993</v>
      </c>
      <c r="CE2890">
        <v>7.17</v>
      </c>
      <c r="CF2890">
        <v>6.45</v>
      </c>
      <c r="CG2890">
        <v>84.73</v>
      </c>
      <c r="CH2890">
        <v>26.02</v>
      </c>
      <c r="CI2890">
        <v>34.159999999999997</v>
      </c>
      <c r="CJ2890">
        <v>89640</v>
      </c>
      <c r="CK2890">
        <v>9520</v>
      </c>
      <c r="CL2890" t="s">
        <v>7746</v>
      </c>
      <c r="CM2890">
        <v>2.36</v>
      </c>
      <c r="CN2890">
        <v>4.43</v>
      </c>
      <c r="CO2890">
        <v>0.89</v>
      </c>
      <c r="CP2890">
        <v>6.06</v>
      </c>
      <c r="CQ2890">
        <v>0.42</v>
      </c>
      <c r="CR2890">
        <v>2.04</v>
      </c>
      <c r="CS2890" t="s">
        <v>2937</v>
      </c>
      <c r="CT2890">
        <v>9.98</v>
      </c>
      <c r="CU2890">
        <v>0</v>
      </c>
      <c r="CV2890">
        <v>1.64</v>
      </c>
      <c r="CW2890">
        <v>4.75</v>
      </c>
      <c r="CX2890">
        <v>1.46</v>
      </c>
      <c r="CY2890">
        <v>33.04</v>
      </c>
      <c r="CZ2890" t="s">
        <v>2745</v>
      </c>
      <c r="DA2890">
        <v>21.25</v>
      </c>
      <c r="DB2890">
        <v>3.67</v>
      </c>
      <c r="DC2890">
        <v>1.92</v>
      </c>
      <c r="DD2890">
        <v>7.0000000000000007E-2</v>
      </c>
      <c r="DE2890">
        <v>38455</v>
      </c>
      <c r="DF2890">
        <v>600827</v>
      </c>
      <c r="DG2890" t="s">
        <v>116</v>
      </c>
      <c r="DH2890" t="s">
        <v>116</v>
      </c>
      <c r="DI2890" t="s">
        <v>116</v>
      </c>
    </row>
    <row r="2891" spans="1:113" x14ac:dyDescent="0.4">
      <c r="A2891" t="str">
        <f>"600828"</f>
        <v>600828</v>
      </c>
      <c r="B2891" t="s">
        <v>12811</v>
      </c>
      <c r="C2891">
        <v>-0.43</v>
      </c>
      <c r="D2891">
        <v>4.66</v>
      </c>
      <c r="E2891">
        <v>-0.02</v>
      </c>
      <c r="F2891">
        <v>4.6500000000000004</v>
      </c>
      <c r="G2891">
        <v>4.66</v>
      </c>
      <c r="H2891">
        <v>25876</v>
      </c>
      <c r="I2891">
        <v>127</v>
      </c>
      <c r="J2891">
        <v>0</v>
      </c>
      <c r="K2891">
        <v>0.39</v>
      </c>
      <c r="L2891">
        <v>4.66</v>
      </c>
      <c r="M2891">
        <v>4.75</v>
      </c>
      <c r="N2891">
        <v>4.6500000000000004</v>
      </c>
      <c r="O2891">
        <v>4.68</v>
      </c>
      <c r="P2891">
        <v>6.95</v>
      </c>
      <c r="Q2891">
        <v>12157360</v>
      </c>
      <c r="R2891">
        <v>1.0900000000000001</v>
      </c>
      <c r="S2891" t="s">
        <v>746</v>
      </c>
      <c r="T2891" t="s">
        <v>582</v>
      </c>
      <c r="U2891">
        <v>2.14</v>
      </c>
      <c r="V2891">
        <v>4.7</v>
      </c>
      <c r="W2891">
        <v>14100</v>
      </c>
      <c r="X2891">
        <v>11776</v>
      </c>
      <c r="Y2891">
        <v>1.2</v>
      </c>
      <c r="Z2891">
        <v>597</v>
      </c>
      <c r="AA2891">
        <v>2</v>
      </c>
      <c r="AB2891" t="s">
        <v>116</v>
      </c>
      <c r="AC2891">
        <v>4200</v>
      </c>
      <c r="AD2891">
        <v>0</v>
      </c>
      <c r="AE2891" t="s">
        <v>116</v>
      </c>
      <c r="AF2891" t="s">
        <v>116</v>
      </c>
      <c r="AG2891">
        <v>6.55</v>
      </c>
      <c r="AH2891" t="s">
        <v>6588</v>
      </c>
      <c r="AI2891" t="s">
        <v>12812</v>
      </c>
      <c r="AJ2891">
        <v>-0.35</v>
      </c>
      <c r="AK2891">
        <v>920</v>
      </c>
      <c r="AL2891">
        <v>28</v>
      </c>
      <c r="AM2891">
        <v>4.0000000000000002E-4</v>
      </c>
      <c r="AN2891">
        <v>-1</v>
      </c>
      <c r="AO2891">
        <v>0.64</v>
      </c>
      <c r="AP2891">
        <v>5.19</v>
      </c>
      <c r="AQ2891">
        <v>-3.12</v>
      </c>
      <c r="AR2891">
        <v>1.53</v>
      </c>
      <c r="AS2891">
        <v>1.1100000000000001</v>
      </c>
      <c r="AT2891" t="s">
        <v>220</v>
      </c>
      <c r="AU2891">
        <v>6.17</v>
      </c>
      <c r="AV2891">
        <v>6.7</v>
      </c>
      <c r="AW2891">
        <v>0.89</v>
      </c>
      <c r="BA2891">
        <v>-0.43</v>
      </c>
      <c r="BB2891">
        <v>1.5</v>
      </c>
      <c r="BC2891">
        <v>-0.64</v>
      </c>
      <c r="BD2891">
        <v>0.39</v>
      </c>
      <c r="BE2891">
        <v>0</v>
      </c>
      <c r="BF2891">
        <v>-1.89</v>
      </c>
      <c r="BG2891">
        <v>0.22</v>
      </c>
      <c r="BH2891">
        <v>-0.82</v>
      </c>
      <c r="BI2891">
        <v>20191030</v>
      </c>
      <c r="BJ2891">
        <v>19940224</v>
      </c>
      <c r="BK2891">
        <v>17.32</v>
      </c>
      <c r="BL2891" t="s">
        <v>116</v>
      </c>
      <c r="BM2891" t="s">
        <v>116</v>
      </c>
      <c r="BN2891">
        <v>191.88</v>
      </c>
      <c r="BO2891">
        <v>64.290000000000006</v>
      </c>
      <c r="BP2891">
        <v>11.07</v>
      </c>
      <c r="BQ2891">
        <v>60.73</v>
      </c>
      <c r="BR2891">
        <v>38.409999999999997</v>
      </c>
      <c r="BS2891">
        <v>44.87</v>
      </c>
      <c r="BT2891">
        <v>18.739999999999998</v>
      </c>
      <c r="BU2891">
        <v>68.12</v>
      </c>
      <c r="BV2891">
        <v>7.95</v>
      </c>
      <c r="BW2891">
        <v>0.48</v>
      </c>
      <c r="BX2891">
        <v>0.75</v>
      </c>
      <c r="BY2891">
        <v>86.62</v>
      </c>
      <c r="BZ2891">
        <v>60.05</v>
      </c>
      <c r="CA2891">
        <v>12.07</v>
      </c>
      <c r="CB2891">
        <v>0.2</v>
      </c>
      <c r="CC2891">
        <v>11.93</v>
      </c>
      <c r="CD2891">
        <v>9.41</v>
      </c>
      <c r="CE2891">
        <v>8.6999999999999993</v>
      </c>
      <c r="CF2891">
        <v>8.44</v>
      </c>
      <c r="CG2891">
        <v>23.31</v>
      </c>
      <c r="CH2891">
        <v>4.72</v>
      </c>
      <c r="CI2891">
        <v>2.2999999999999998</v>
      </c>
      <c r="CJ2891">
        <v>21010</v>
      </c>
      <c r="CK2891">
        <v>11137</v>
      </c>
      <c r="CL2891" t="s">
        <v>3949</v>
      </c>
      <c r="CM2891">
        <v>13.48</v>
      </c>
      <c r="CN2891">
        <v>-4.5199999999999996</v>
      </c>
      <c r="CO2891">
        <v>1.26</v>
      </c>
      <c r="CP2891">
        <v>17.09</v>
      </c>
      <c r="CQ2891">
        <v>0.93</v>
      </c>
      <c r="CR2891">
        <v>2.15</v>
      </c>
      <c r="CS2891" t="s">
        <v>7889</v>
      </c>
      <c r="CT2891">
        <v>3.71</v>
      </c>
      <c r="CU2891">
        <v>0</v>
      </c>
      <c r="CV2891">
        <v>0.04</v>
      </c>
      <c r="CW2891">
        <v>1.35</v>
      </c>
      <c r="CX2891">
        <v>0.27</v>
      </c>
      <c r="CY2891">
        <v>33.5</v>
      </c>
      <c r="CZ2891" t="s">
        <v>11167</v>
      </c>
      <c r="DA2891">
        <v>30.67</v>
      </c>
      <c r="DB2891">
        <v>13.94</v>
      </c>
      <c r="DC2891">
        <v>10.050000000000001</v>
      </c>
      <c r="DD2891">
        <v>0</v>
      </c>
      <c r="DE2891">
        <v>2839</v>
      </c>
      <c r="DF2891">
        <v>600828</v>
      </c>
      <c r="DG2891" t="s">
        <v>116</v>
      </c>
      <c r="DH2891" t="s">
        <v>116</v>
      </c>
      <c r="DI2891" t="s">
        <v>116</v>
      </c>
    </row>
    <row r="2892" spans="1:113" x14ac:dyDescent="0.4">
      <c r="A2892" t="str">
        <f>"600829"</f>
        <v>600829</v>
      </c>
      <c r="B2892" t="s">
        <v>12813</v>
      </c>
      <c r="C2892">
        <v>0.15</v>
      </c>
      <c r="D2892">
        <v>6.69</v>
      </c>
      <c r="E2892">
        <v>0.01</v>
      </c>
      <c r="F2892">
        <v>6.68</v>
      </c>
      <c r="G2892">
        <v>6.69</v>
      </c>
      <c r="H2892">
        <v>16386</v>
      </c>
      <c r="I2892">
        <v>107</v>
      </c>
      <c r="J2892">
        <v>0</v>
      </c>
      <c r="K2892">
        <v>0.28000000000000003</v>
      </c>
      <c r="L2892">
        <v>6.69</v>
      </c>
      <c r="M2892">
        <v>6.76</v>
      </c>
      <c r="N2892">
        <v>6.65</v>
      </c>
      <c r="O2892">
        <v>6.68</v>
      </c>
      <c r="P2892">
        <v>13.89</v>
      </c>
      <c r="Q2892">
        <v>10993643</v>
      </c>
      <c r="R2892">
        <v>1.02</v>
      </c>
      <c r="S2892" t="s">
        <v>278</v>
      </c>
      <c r="T2892" t="s">
        <v>1287</v>
      </c>
      <c r="U2892">
        <v>1.65</v>
      </c>
      <c r="V2892">
        <v>6.71</v>
      </c>
      <c r="W2892">
        <v>7877</v>
      </c>
      <c r="X2892">
        <v>8509</v>
      </c>
      <c r="Y2892">
        <v>0.93</v>
      </c>
      <c r="Z2892">
        <v>89</v>
      </c>
      <c r="AA2892">
        <v>112</v>
      </c>
      <c r="AB2892" t="s">
        <v>116</v>
      </c>
      <c r="AC2892">
        <v>76900</v>
      </c>
      <c r="AD2892">
        <v>0.01</v>
      </c>
      <c r="AE2892" t="s">
        <v>116</v>
      </c>
      <c r="AF2892" t="s">
        <v>116</v>
      </c>
      <c r="AG2892">
        <v>5.8</v>
      </c>
      <c r="AH2892" t="s">
        <v>12814</v>
      </c>
      <c r="AI2892" t="s">
        <v>12814</v>
      </c>
      <c r="AJ2892">
        <v>0.23</v>
      </c>
      <c r="AK2892">
        <v>663</v>
      </c>
      <c r="AL2892">
        <v>25</v>
      </c>
      <c r="AM2892">
        <v>4.0000000000000002E-4</v>
      </c>
      <c r="AN2892">
        <v>2</v>
      </c>
      <c r="AO2892">
        <v>0.6</v>
      </c>
      <c r="AP2892">
        <v>4.37</v>
      </c>
      <c r="AQ2892">
        <v>-9.84</v>
      </c>
      <c r="AR2892">
        <v>14.75</v>
      </c>
      <c r="AS2892">
        <v>1.1200000000000001</v>
      </c>
      <c r="AT2892" t="s">
        <v>12815</v>
      </c>
      <c r="AU2892">
        <v>14.63</v>
      </c>
      <c r="AV2892">
        <v>15.04</v>
      </c>
      <c r="AW2892">
        <v>1.58</v>
      </c>
      <c r="BA2892">
        <v>0.15</v>
      </c>
      <c r="BB2892">
        <v>1.2</v>
      </c>
      <c r="BC2892">
        <v>-0.45</v>
      </c>
      <c r="BD2892">
        <v>0.44</v>
      </c>
      <c r="BE2892">
        <v>0</v>
      </c>
      <c r="BF2892">
        <v>-1.04</v>
      </c>
      <c r="BG2892">
        <v>0.6</v>
      </c>
      <c r="BH2892">
        <v>-0.28999999999999998</v>
      </c>
      <c r="BI2892">
        <v>20191019</v>
      </c>
      <c r="BJ2892">
        <v>19940224</v>
      </c>
      <c r="BK2892">
        <v>5.8</v>
      </c>
      <c r="BL2892" t="s">
        <v>116</v>
      </c>
      <c r="BM2892" t="s">
        <v>116</v>
      </c>
      <c r="BN2892">
        <v>51.16</v>
      </c>
      <c r="BO2892">
        <v>17.89</v>
      </c>
      <c r="BP2892">
        <v>0</v>
      </c>
      <c r="BQ2892">
        <v>65.03</v>
      </c>
      <c r="BR2892">
        <v>46.35</v>
      </c>
      <c r="BS2892">
        <v>2.7</v>
      </c>
      <c r="BT2892">
        <v>0.27</v>
      </c>
      <c r="BU2892">
        <v>31.86</v>
      </c>
      <c r="BV2892">
        <v>8.0299999999999994</v>
      </c>
      <c r="BW2892">
        <v>32.270000000000003</v>
      </c>
      <c r="BX2892">
        <v>0</v>
      </c>
      <c r="BY2892">
        <v>61.78</v>
      </c>
      <c r="BZ2892">
        <v>54.2</v>
      </c>
      <c r="CA2892">
        <v>2.8</v>
      </c>
      <c r="CB2892">
        <v>0</v>
      </c>
      <c r="CC2892">
        <v>2.78</v>
      </c>
      <c r="CD2892">
        <v>2.09</v>
      </c>
      <c r="CE2892">
        <v>2.09</v>
      </c>
      <c r="CF2892">
        <v>2.08</v>
      </c>
      <c r="CG2892">
        <v>11.44</v>
      </c>
      <c r="CH2892">
        <v>-3.08</v>
      </c>
      <c r="CI2892">
        <v>-1.23</v>
      </c>
      <c r="CJ2892">
        <v>24163</v>
      </c>
      <c r="CK2892">
        <v>6042</v>
      </c>
      <c r="CL2892" t="s">
        <v>992</v>
      </c>
      <c r="CM2892">
        <v>3.64</v>
      </c>
      <c r="CN2892">
        <v>15.56</v>
      </c>
      <c r="CO2892">
        <v>2.17</v>
      </c>
      <c r="CP2892">
        <v>-12.59</v>
      </c>
      <c r="CQ2892">
        <v>0.63</v>
      </c>
      <c r="CR2892">
        <v>0</v>
      </c>
      <c r="CS2892" t="s">
        <v>4791</v>
      </c>
      <c r="CT2892">
        <v>3.09</v>
      </c>
      <c r="CU2892">
        <v>0</v>
      </c>
      <c r="CV2892">
        <v>0</v>
      </c>
      <c r="CW2892">
        <v>1.97</v>
      </c>
      <c r="CX2892">
        <v>-0.53</v>
      </c>
      <c r="CY2892">
        <v>34.97</v>
      </c>
      <c r="CZ2892" t="s">
        <v>12816</v>
      </c>
      <c r="DA2892">
        <v>12.27</v>
      </c>
      <c r="DB2892">
        <v>4.54</v>
      </c>
      <c r="DC2892">
        <v>3.39</v>
      </c>
      <c r="DD2892">
        <v>0</v>
      </c>
      <c r="DE2892">
        <v>2483</v>
      </c>
      <c r="DF2892">
        <v>600829</v>
      </c>
      <c r="DG2892" t="s">
        <v>116</v>
      </c>
      <c r="DH2892" t="s">
        <v>116</v>
      </c>
      <c r="DI2892" t="s">
        <v>116</v>
      </c>
    </row>
    <row r="2893" spans="1:113" x14ac:dyDescent="0.4">
      <c r="A2893" t="str">
        <f>"600830"</f>
        <v>600830</v>
      </c>
      <c r="B2893" t="s">
        <v>12817</v>
      </c>
      <c r="C2893">
        <v>-0.73</v>
      </c>
      <c r="D2893">
        <v>5.44</v>
      </c>
      <c r="E2893">
        <v>-0.04</v>
      </c>
      <c r="F2893">
        <v>5.43</v>
      </c>
      <c r="G2893">
        <v>5.44</v>
      </c>
      <c r="H2893">
        <v>44798</v>
      </c>
      <c r="I2893">
        <v>241</v>
      </c>
      <c r="J2893">
        <v>0</v>
      </c>
      <c r="K2893">
        <v>0.99</v>
      </c>
      <c r="L2893">
        <v>5.48</v>
      </c>
      <c r="M2893">
        <v>5.59</v>
      </c>
      <c r="N2893">
        <v>5.43</v>
      </c>
      <c r="O2893">
        <v>5.48</v>
      </c>
      <c r="P2893">
        <v>86.45</v>
      </c>
      <c r="Q2893">
        <v>24767690</v>
      </c>
      <c r="R2893">
        <v>1.17</v>
      </c>
      <c r="S2893" t="s">
        <v>732</v>
      </c>
      <c r="T2893" t="s">
        <v>590</v>
      </c>
      <c r="U2893">
        <v>2.92</v>
      </c>
      <c r="V2893">
        <v>5.53</v>
      </c>
      <c r="W2893">
        <v>23677</v>
      </c>
      <c r="X2893">
        <v>21121</v>
      </c>
      <c r="Y2893">
        <v>1.1200000000000001</v>
      </c>
      <c r="Z2893">
        <v>287</v>
      </c>
      <c r="AA2893">
        <v>411</v>
      </c>
      <c r="AB2893" t="s">
        <v>116</v>
      </c>
      <c r="AC2893">
        <v>153400</v>
      </c>
      <c r="AD2893">
        <v>0.01</v>
      </c>
      <c r="AE2893" t="s">
        <v>116</v>
      </c>
      <c r="AF2893" t="s">
        <v>116</v>
      </c>
      <c r="AG2893">
        <v>4.54</v>
      </c>
      <c r="AH2893" t="s">
        <v>12818</v>
      </c>
      <c r="AI2893" t="s">
        <v>12818</v>
      </c>
      <c r="AJ2893">
        <v>-0.65</v>
      </c>
      <c r="AK2893">
        <v>959</v>
      </c>
      <c r="AL2893">
        <v>47</v>
      </c>
      <c r="AM2893">
        <v>1E-3</v>
      </c>
      <c r="AN2893">
        <v>-1</v>
      </c>
      <c r="AO2893">
        <v>0.18</v>
      </c>
      <c r="AP2893">
        <v>8.15</v>
      </c>
      <c r="AQ2893">
        <v>-5.88</v>
      </c>
      <c r="AR2893">
        <v>15.01</v>
      </c>
      <c r="AS2893">
        <v>1.43</v>
      </c>
      <c r="AT2893" t="s">
        <v>2037</v>
      </c>
      <c r="AU2893">
        <v>109.62</v>
      </c>
      <c r="AV2893">
        <v>80.37</v>
      </c>
      <c r="AW2893">
        <v>1.99</v>
      </c>
      <c r="BA2893">
        <v>0</v>
      </c>
      <c r="BB2893">
        <v>2.0099999999999998</v>
      </c>
      <c r="BC2893">
        <v>-0.91</v>
      </c>
      <c r="BD2893">
        <v>0.89</v>
      </c>
      <c r="BE2893">
        <v>-0.73</v>
      </c>
      <c r="BF2893">
        <v>-2.68</v>
      </c>
      <c r="BG2893">
        <v>0.18</v>
      </c>
      <c r="BH2893">
        <v>-1.62</v>
      </c>
      <c r="BI2893">
        <v>20191031</v>
      </c>
      <c r="BJ2893">
        <v>19940224</v>
      </c>
      <c r="BK2893">
        <v>4.54</v>
      </c>
      <c r="BL2893" t="s">
        <v>116</v>
      </c>
      <c r="BM2893" t="s">
        <v>116</v>
      </c>
      <c r="BN2893">
        <v>27.93</v>
      </c>
      <c r="BO2893">
        <v>20.81</v>
      </c>
      <c r="BP2893">
        <v>4.2</v>
      </c>
      <c r="BQ2893">
        <v>10.48</v>
      </c>
      <c r="BR2893">
        <v>12.56</v>
      </c>
      <c r="BS2893">
        <v>0.77</v>
      </c>
      <c r="BT2893">
        <v>0.43</v>
      </c>
      <c r="BU2893">
        <v>2.92</v>
      </c>
      <c r="BV2893">
        <v>0.19</v>
      </c>
      <c r="BW2893">
        <v>0.3</v>
      </c>
      <c r="BX2893">
        <v>5.24</v>
      </c>
      <c r="BY2893">
        <v>2.1800000000000002</v>
      </c>
      <c r="BZ2893">
        <v>1.7</v>
      </c>
      <c r="CA2893">
        <v>0.38</v>
      </c>
      <c r="CB2893">
        <v>0</v>
      </c>
      <c r="CC2893">
        <v>0.5</v>
      </c>
      <c r="CD2893">
        <v>0.32</v>
      </c>
      <c r="CE2893">
        <v>0.21</v>
      </c>
      <c r="CF2893">
        <v>0</v>
      </c>
      <c r="CG2893">
        <v>9.8800000000000008</v>
      </c>
      <c r="CH2893">
        <v>4.3899999999999997</v>
      </c>
      <c r="CI2893">
        <v>2.99</v>
      </c>
      <c r="CJ2893">
        <v>35857</v>
      </c>
      <c r="CK2893">
        <v>8738</v>
      </c>
      <c r="CL2893" t="s">
        <v>1609</v>
      </c>
      <c r="CM2893">
        <v>-27.68</v>
      </c>
      <c r="CN2893">
        <v>-64.55</v>
      </c>
      <c r="CO2893">
        <v>1.19</v>
      </c>
      <c r="CP2893">
        <v>5.63</v>
      </c>
      <c r="CQ2893">
        <v>11.36</v>
      </c>
      <c r="CR2893">
        <v>1.1000000000000001</v>
      </c>
      <c r="CS2893" t="s">
        <v>9504</v>
      </c>
      <c r="CT2893">
        <v>4.58</v>
      </c>
      <c r="CU2893">
        <v>0</v>
      </c>
      <c r="CV2893">
        <v>1.1499999999999999</v>
      </c>
      <c r="CW2893">
        <v>2.17</v>
      </c>
      <c r="CX2893">
        <v>0.97</v>
      </c>
      <c r="CY2893">
        <v>74.489999999999995</v>
      </c>
      <c r="CZ2893" t="s">
        <v>239</v>
      </c>
      <c r="DA2893">
        <v>22.03</v>
      </c>
      <c r="DB2893">
        <v>17.27</v>
      </c>
      <c r="DC2893">
        <v>9.86</v>
      </c>
      <c r="DD2893">
        <v>0</v>
      </c>
      <c r="DE2893">
        <v>341</v>
      </c>
      <c r="DF2893">
        <v>600830</v>
      </c>
      <c r="DG2893" t="s">
        <v>116</v>
      </c>
      <c r="DH2893" t="s">
        <v>116</v>
      </c>
      <c r="DI2893" t="s">
        <v>116</v>
      </c>
    </row>
    <row r="2894" spans="1:113" x14ac:dyDescent="0.4">
      <c r="A2894" t="str">
        <f>"600831"</f>
        <v>600831</v>
      </c>
      <c r="B2894" t="s">
        <v>12819</v>
      </c>
      <c r="C2894">
        <v>-2.85</v>
      </c>
      <c r="D2894">
        <v>9.1999999999999993</v>
      </c>
      <c r="E2894">
        <v>-0.27</v>
      </c>
      <c r="F2894">
        <v>9.1999999999999993</v>
      </c>
      <c r="G2894">
        <v>9.2100000000000009</v>
      </c>
      <c r="H2894">
        <v>176694</v>
      </c>
      <c r="I2894">
        <v>1226</v>
      </c>
      <c r="J2894">
        <v>-0.1</v>
      </c>
      <c r="K2894">
        <v>2.4900000000000002</v>
      </c>
      <c r="L2894">
        <v>9.49</v>
      </c>
      <c r="M2894">
        <v>9.57</v>
      </c>
      <c r="N2894">
        <v>9.1999999999999993</v>
      </c>
      <c r="O2894">
        <v>9.4700000000000006</v>
      </c>
      <c r="P2894">
        <v>56.13</v>
      </c>
      <c r="Q2894">
        <v>165921456</v>
      </c>
      <c r="R2894">
        <v>0.85</v>
      </c>
      <c r="S2894" t="s">
        <v>589</v>
      </c>
      <c r="T2894" t="s">
        <v>913</v>
      </c>
      <c r="U2894">
        <v>3.91</v>
      </c>
      <c r="V2894">
        <v>9.39</v>
      </c>
      <c r="W2894">
        <v>96675</v>
      </c>
      <c r="X2894">
        <v>80019</v>
      </c>
      <c r="Y2894">
        <v>1.21</v>
      </c>
      <c r="Z2894">
        <v>1649</v>
      </c>
      <c r="AA2894">
        <v>893</v>
      </c>
      <c r="AB2894" t="s">
        <v>116</v>
      </c>
      <c r="AC2894">
        <v>1082800</v>
      </c>
      <c r="AD2894">
        <v>0.02</v>
      </c>
      <c r="AE2894" t="s">
        <v>116</v>
      </c>
      <c r="AF2894" t="s">
        <v>116</v>
      </c>
      <c r="AG2894">
        <v>7.09</v>
      </c>
      <c r="AH2894" t="s">
        <v>12820</v>
      </c>
      <c r="AI2894" t="s">
        <v>12820</v>
      </c>
      <c r="AJ2894">
        <v>-2.77</v>
      </c>
      <c r="AK2894">
        <v>2691</v>
      </c>
      <c r="AL2894">
        <v>66</v>
      </c>
      <c r="AM2894">
        <v>8.9999999999999998E-4</v>
      </c>
      <c r="AN2894">
        <v>-1</v>
      </c>
      <c r="AO2894">
        <v>0.54</v>
      </c>
      <c r="AP2894">
        <v>10.58</v>
      </c>
      <c r="AQ2894">
        <v>-0.97</v>
      </c>
      <c r="AR2894">
        <v>36.090000000000003</v>
      </c>
      <c r="AS2894">
        <v>3.53</v>
      </c>
      <c r="AT2894" t="s">
        <v>12821</v>
      </c>
      <c r="AU2894">
        <v>88.61</v>
      </c>
      <c r="AV2894">
        <v>62.07</v>
      </c>
      <c r="AW2894">
        <v>1.98</v>
      </c>
      <c r="BA2894">
        <v>0.21</v>
      </c>
      <c r="BB2894">
        <v>1.06</v>
      </c>
      <c r="BC2894">
        <v>-2.85</v>
      </c>
      <c r="BD2894">
        <v>-0.84</v>
      </c>
      <c r="BE2894">
        <v>-3.06</v>
      </c>
      <c r="BF2894">
        <v>-3.87</v>
      </c>
      <c r="BG2894">
        <v>0</v>
      </c>
      <c r="BH2894">
        <v>-2.0099999999999998</v>
      </c>
      <c r="BI2894">
        <v>20191031</v>
      </c>
      <c r="BJ2894">
        <v>19940224</v>
      </c>
      <c r="BK2894">
        <v>7.09</v>
      </c>
      <c r="BL2894" t="s">
        <v>116</v>
      </c>
      <c r="BM2894" t="s">
        <v>116</v>
      </c>
      <c r="BN2894">
        <v>80.260000000000005</v>
      </c>
      <c r="BO2894">
        <v>38.46</v>
      </c>
      <c r="BP2894">
        <v>0.71</v>
      </c>
      <c r="BQ2894">
        <v>51.19</v>
      </c>
      <c r="BR2894">
        <v>26.82</v>
      </c>
      <c r="BS2894">
        <v>39.01</v>
      </c>
      <c r="BT2894">
        <v>1.4</v>
      </c>
      <c r="BU2894">
        <v>31.16</v>
      </c>
      <c r="BV2894">
        <v>1.33</v>
      </c>
      <c r="BW2894">
        <v>9.6</v>
      </c>
      <c r="BX2894">
        <v>17.64</v>
      </c>
      <c r="BY2894">
        <v>19.59</v>
      </c>
      <c r="BZ2894">
        <v>13.73</v>
      </c>
      <c r="CA2894">
        <v>0.82</v>
      </c>
      <c r="CB2894">
        <v>0.02</v>
      </c>
      <c r="CC2894">
        <v>0.8</v>
      </c>
      <c r="CD2894">
        <v>0.78</v>
      </c>
      <c r="CE2894">
        <v>0.87</v>
      </c>
      <c r="CF2894">
        <v>0.87</v>
      </c>
      <c r="CG2894">
        <v>12.32</v>
      </c>
      <c r="CH2894">
        <v>0.3</v>
      </c>
      <c r="CI2894">
        <v>-1.77</v>
      </c>
      <c r="CJ2894">
        <v>69207</v>
      </c>
      <c r="CK2894">
        <v>7243</v>
      </c>
      <c r="CL2894" t="s">
        <v>2898</v>
      </c>
      <c r="CM2894">
        <v>-26.53</v>
      </c>
      <c r="CN2894">
        <v>-10.5</v>
      </c>
      <c r="CO2894">
        <v>1.7</v>
      </c>
      <c r="CP2894">
        <v>216.54</v>
      </c>
      <c r="CQ2894">
        <v>3.33</v>
      </c>
      <c r="CR2894">
        <v>0.11</v>
      </c>
      <c r="CS2894" t="s">
        <v>2655</v>
      </c>
      <c r="CT2894">
        <v>5.41</v>
      </c>
      <c r="CU2894">
        <v>5.41</v>
      </c>
      <c r="CV2894">
        <v>2.4900000000000002</v>
      </c>
      <c r="CW2894">
        <v>1.74</v>
      </c>
      <c r="CX2894">
        <v>0.04</v>
      </c>
      <c r="CY2894">
        <v>47.92</v>
      </c>
      <c r="CZ2894" t="s">
        <v>8670</v>
      </c>
      <c r="DA2894">
        <v>29.88</v>
      </c>
      <c r="DB2894">
        <v>4.17</v>
      </c>
      <c r="DC2894">
        <v>4.45</v>
      </c>
      <c r="DD2894">
        <v>0</v>
      </c>
      <c r="DE2894">
        <v>6979</v>
      </c>
      <c r="DF2894">
        <v>600831</v>
      </c>
      <c r="DG2894" t="s">
        <v>116</v>
      </c>
      <c r="DH2894" t="s">
        <v>116</v>
      </c>
      <c r="DI2894" t="s">
        <v>116</v>
      </c>
    </row>
    <row r="2895" spans="1:113" x14ac:dyDescent="0.4">
      <c r="A2895" t="str">
        <f>"600833"</f>
        <v>600833</v>
      </c>
      <c r="B2895" t="s">
        <v>12822</v>
      </c>
      <c r="C2895">
        <v>-0.11</v>
      </c>
      <c r="D2895">
        <v>9.43</v>
      </c>
      <c r="E2895">
        <v>-0.01</v>
      </c>
      <c r="F2895">
        <v>9.43</v>
      </c>
      <c r="G2895">
        <v>9.44</v>
      </c>
      <c r="H2895">
        <v>14323</v>
      </c>
      <c r="I2895">
        <v>290</v>
      </c>
      <c r="J2895">
        <v>0.53</v>
      </c>
      <c r="K2895">
        <v>0.64</v>
      </c>
      <c r="L2895">
        <v>9.3800000000000008</v>
      </c>
      <c r="M2895">
        <v>9.59</v>
      </c>
      <c r="N2895">
        <v>9.36</v>
      </c>
      <c r="O2895">
        <v>9.44</v>
      </c>
      <c r="P2895">
        <v>41.32</v>
      </c>
      <c r="Q2895">
        <v>13507101</v>
      </c>
      <c r="R2895">
        <v>0.84</v>
      </c>
      <c r="S2895" t="s">
        <v>278</v>
      </c>
      <c r="T2895" t="s">
        <v>1653</v>
      </c>
      <c r="U2895">
        <v>2.44</v>
      </c>
      <c r="V2895">
        <v>9.43</v>
      </c>
      <c r="W2895">
        <v>8190</v>
      </c>
      <c r="X2895">
        <v>6133</v>
      </c>
      <c r="Y2895">
        <v>1.34</v>
      </c>
      <c r="Z2895">
        <v>892</v>
      </c>
      <c r="AA2895">
        <v>83</v>
      </c>
      <c r="AB2895" t="s">
        <v>116</v>
      </c>
      <c r="AC2895">
        <v>152000</v>
      </c>
      <c r="AD2895">
        <v>0.01</v>
      </c>
      <c r="AE2895" t="s">
        <v>116</v>
      </c>
      <c r="AF2895" t="s">
        <v>116</v>
      </c>
      <c r="AG2895">
        <v>2.23</v>
      </c>
      <c r="AH2895" t="s">
        <v>12823</v>
      </c>
      <c r="AI2895" t="s">
        <v>12823</v>
      </c>
      <c r="AJ2895">
        <v>-0.03</v>
      </c>
      <c r="AK2895">
        <v>576</v>
      </c>
      <c r="AL2895">
        <v>25</v>
      </c>
      <c r="AM2895">
        <v>1.1000000000000001E-3</v>
      </c>
      <c r="AN2895">
        <v>-1</v>
      </c>
      <c r="AO2895">
        <v>5</v>
      </c>
      <c r="AP2895">
        <v>7.65</v>
      </c>
      <c r="AQ2895">
        <v>-2.58</v>
      </c>
      <c r="AR2895">
        <v>4.03</v>
      </c>
      <c r="AS2895">
        <v>1.17</v>
      </c>
      <c r="AT2895" t="s">
        <v>2133</v>
      </c>
      <c r="AU2895">
        <v>37.46</v>
      </c>
      <c r="AV2895">
        <v>44.58</v>
      </c>
      <c r="AW2895">
        <v>1.04</v>
      </c>
      <c r="BA2895">
        <v>-0.64</v>
      </c>
      <c r="BB2895">
        <v>1.59</v>
      </c>
      <c r="BC2895">
        <v>-0.85</v>
      </c>
      <c r="BD2895">
        <v>-0.1</v>
      </c>
      <c r="BE2895">
        <v>0.53</v>
      </c>
      <c r="BF2895">
        <v>-1.67</v>
      </c>
      <c r="BG2895">
        <v>0.75</v>
      </c>
      <c r="BH2895">
        <v>-0.01</v>
      </c>
      <c r="BI2895">
        <v>20191031</v>
      </c>
      <c r="BJ2895">
        <v>19940224</v>
      </c>
      <c r="BK2895">
        <v>2.23</v>
      </c>
      <c r="BL2895" t="s">
        <v>116</v>
      </c>
      <c r="BM2895" t="s">
        <v>116</v>
      </c>
      <c r="BN2895">
        <v>11.94</v>
      </c>
      <c r="BO2895">
        <v>7.05</v>
      </c>
      <c r="BP2895">
        <v>7.0000000000000007E-2</v>
      </c>
      <c r="BQ2895">
        <v>40.369999999999997</v>
      </c>
      <c r="BR2895">
        <v>8.34</v>
      </c>
      <c r="BS2895">
        <v>0.75</v>
      </c>
      <c r="BT2895">
        <v>0.51</v>
      </c>
      <c r="BU2895">
        <v>4.22</v>
      </c>
      <c r="BV2895">
        <v>2.17</v>
      </c>
      <c r="BW2895">
        <v>1.4</v>
      </c>
      <c r="BX2895">
        <v>0.65</v>
      </c>
      <c r="BY2895">
        <v>9.19</v>
      </c>
      <c r="BZ2895">
        <v>7.36</v>
      </c>
      <c r="CA2895">
        <v>0.42</v>
      </c>
      <c r="CB2895">
        <v>0.06</v>
      </c>
      <c r="CC2895">
        <v>0.5</v>
      </c>
      <c r="CD2895">
        <v>0.38</v>
      </c>
      <c r="CE2895">
        <v>0.38</v>
      </c>
      <c r="CF2895">
        <v>0.28999999999999998</v>
      </c>
      <c r="CG2895">
        <v>2.3199999999999998</v>
      </c>
      <c r="CH2895">
        <v>0.68</v>
      </c>
      <c r="CI2895">
        <v>0.56000000000000005</v>
      </c>
      <c r="CJ2895">
        <v>22794</v>
      </c>
      <c r="CK2895">
        <v>5388</v>
      </c>
      <c r="CL2895" t="s">
        <v>2727</v>
      </c>
      <c r="CM2895">
        <v>30.73</v>
      </c>
      <c r="CN2895">
        <v>7.06</v>
      </c>
      <c r="CO2895">
        <v>2.98</v>
      </c>
      <c r="CP2895">
        <v>30.96</v>
      </c>
      <c r="CQ2895">
        <v>2.29</v>
      </c>
      <c r="CR2895">
        <v>0.69</v>
      </c>
      <c r="CS2895" t="s">
        <v>4074</v>
      </c>
      <c r="CT2895">
        <v>3.16</v>
      </c>
      <c r="CU2895">
        <v>0</v>
      </c>
      <c r="CV2895">
        <v>0.28999999999999998</v>
      </c>
      <c r="CW2895">
        <v>1.04</v>
      </c>
      <c r="CX2895">
        <v>0.3</v>
      </c>
      <c r="CY2895">
        <v>59.04</v>
      </c>
      <c r="CZ2895" t="s">
        <v>737</v>
      </c>
      <c r="DA2895">
        <v>19.95</v>
      </c>
      <c r="DB2895">
        <v>4.53</v>
      </c>
      <c r="DC2895">
        <v>4.1500000000000004</v>
      </c>
      <c r="DD2895">
        <v>0</v>
      </c>
      <c r="DE2895">
        <v>892</v>
      </c>
      <c r="DF2895">
        <v>600833</v>
      </c>
      <c r="DG2895" t="s">
        <v>116</v>
      </c>
      <c r="DH2895" t="s">
        <v>116</v>
      </c>
      <c r="DI2895" t="s">
        <v>116</v>
      </c>
    </row>
    <row r="2896" spans="1:113" x14ac:dyDescent="0.4">
      <c r="A2896" t="str">
        <f>"600834"</f>
        <v>600834</v>
      </c>
      <c r="B2896" t="s">
        <v>12824</v>
      </c>
      <c r="C2896">
        <v>-0.28999999999999998</v>
      </c>
      <c r="D2896">
        <v>6.86</v>
      </c>
      <c r="E2896">
        <v>-0.02</v>
      </c>
      <c r="F2896">
        <v>6.86</v>
      </c>
      <c r="G2896">
        <v>6.88</v>
      </c>
      <c r="H2896">
        <v>16310</v>
      </c>
      <c r="I2896">
        <v>853</v>
      </c>
      <c r="J2896">
        <v>-0.28000000000000003</v>
      </c>
      <c r="K2896">
        <v>0.34</v>
      </c>
      <c r="L2896">
        <v>6.87</v>
      </c>
      <c r="M2896">
        <v>6.91</v>
      </c>
      <c r="N2896">
        <v>6.85</v>
      </c>
      <c r="O2896">
        <v>6.88</v>
      </c>
      <c r="P2896">
        <v>47.7</v>
      </c>
      <c r="Q2896">
        <v>11225440</v>
      </c>
      <c r="R2896">
        <v>1.74</v>
      </c>
      <c r="S2896" t="s">
        <v>6225</v>
      </c>
      <c r="T2896" t="s">
        <v>1653</v>
      </c>
      <c r="U2896">
        <v>0.87</v>
      </c>
      <c r="V2896">
        <v>6.88</v>
      </c>
      <c r="W2896">
        <v>9753</v>
      </c>
      <c r="X2896">
        <v>6557</v>
      </c>
      <c r="Y2896">
        <v>1.49</v>
      </c>
      <c r="Z2896">
        <v>210</v>
      </c>
      <c r="AA2896">
        <v>10</v>
      </c>
      <c r="AB2896" t="s">
        <v>116</v>
      </c>
      <c r="AC2896">
        <v>0</v>
      </c>
      <c r="AD2896">
        <v>0</v>
      </c>
      <c r="AE2896" t="s">
        <v>116</v>
      </c>
      <c r="AF2896" t="s">
        <v>116</v>
      </c>
      <c r="AG2896">
        <v>4.7699999999999996</v>
      </c>
      <c r="AH2896" t="s">
        <v>12825</v>
      </c>
      <c r="AI2896" t="s">
        <v>12825</v>
      </c>
      <c r="AJ2896">
        <v>-0.21</v>
      </c>
      <c r="AK2896">
        <v>404</v>
      </c>
      <c r="AL2896">
        <v>40</v>
      </c>
      <c r="AM2896">
        <v>8.0000000000000004E-4</v>
      </c>
      <c r="AN2896">
        <v>-1</v>
      </c>
      <c r="AO2896">
        <v>0.44</v>
      </c>
      <c r="AP2896">
        <v>2.69</v>
      </c>
      <c r="AQ2896">
        <v>-2.42</v>
      </c>
      <c r="AR2896">
        <v>2.85</v>
      </c>
      <c r="AS2896">
        <v>0.82</v>
      </c>
      <c r="AT2896" t="s">
        <v>1462</v>
      </c>
      <c r="AU2896">
        <v>57.51</v>
      </c>
      <c r="AV2896">
        <v>106.87</v>
      </c>
      <c r="AW2896">
        <v>0.68</v>
      </c>
      <c r="BA2896">
        <v>-0.15</v>
      </c>
      <c r="BB2896">
        <v>0.44</v>
      </c>
      <c r="BC2896">
        <v>-0.44</v>
      </c>
      <c r="BD2896">
        <v>0.04</v>
      </c>
      <c r="BE2896">
        <v>-0.15</v>
      </c>
      <c r="BF2896">
        <v>-0.72</v>
      </c>
      <c r="BG2896">
        <v>0.15</v>
      </c>
      <c r="BH2896">
        <v>-0.33</v>
      </c>
      <c r="BI2896">
        <v>20191031</v>
      </c>
      <c r="BJ2896">
        <v>19940224</v>
      </c>
      <c r="BK2896">
        <v>4.7699999999999996</v>
      </c>
      <c r="BL2896" t="s">
        <v>116</v>
      </c>
      <c r="BM2896" t="s">
        <v>116</v>
      </c>
      <c r="BN2896">
        <v>27.35</v>
      </c>
      <c r="BO2896">
        <v>15.25</v>
      </c>
      <c r="BP2896">
        <v>0</v>
      </c>
      <c r="BQ2896">
        <v>44.23</v>
      </c>
      <c r="BR2896">
        <v>7.99</v>
      </c>
      <c r="BS2896">
        <v>0.02</v>
      </c>
      <c r="BT2896">
        <v>0</v>
      </c>
      <c r="BU2896">
        <v>2.61</v>
      </c>
      <c r="BV2896">
        <v>0</v>
      </c>
      <c r="BW2896">
        <v>0</v>
      </c>
      <c r="BX2896">
        <v>0.8</v>
      </c>
      <c r="BY2896">
        <v>4.1900000000000004</v>
      </c>
      <c r="BZ2896">
        <v>3.79</v>
      </c>
      <c r="CA2896">
        <v>0.6</v>
      </c>
      <c r="CB2896">
        <v>0.53</v>
      </c>
      <c r="CC2896">
        <v>0.66</v>
      </c>
      <c r="CD2896">
        <v>0.51</v>
      </c>
      <c r="CE2896">
        <v>0.51</v>
      </c>
      <c r="CF2896">
        <v>0.35</v>
      </c>
      <c r="CG2896">
        <v>7.54</v>
      </c>
      <c r="CH2896">
        <v>-9.24</v>
      </c>
      <c r="CI2896">
        <v>0.68</v>
      </c>
      <c r="CJ2896">
        <v>35932</v>
      </c>
      <c r="CK2896">
        <v>5523</v>
      </c>
      <c r="CL2896" t="s">
        <v>5253</v>
      </c>
      <c r="CM2896">
        <v>104.39</v>
      </c>
      <c r="CN2896">
        <v>-24.85</v>
      </c>
      <c r="CO2896">
        <v>2.15</v>
      </c>
      <c r="CP2896">
        <v>-3.54</v>
      </c>
      <c r="CQ2896">
        <v>7.81</v>
      </c>
      <c r="CR2896">
        <v>0.28999999999999998</v>
      </c>
      <c r="CS2896" t="s">
        <v>1808</v>
      </c>
      <c r="CT2896">
        <v>3.19</v>
      </c>
      <c r="CU2896">
        <v>0</v>
      </c>
      <c r="CV2896">
        <v>0.17</v>
      </c>
      <c r="CW2896">
        <v>1.58</v>
      </c>
      <c r="CX2896">
        <v>-1.94</v>
      </c>
      <c r="CY2896">
        <v>55.77</v>
      </c>
      <c r="CZ2896" t="s">
        <v>3229</v>
      </c>
      <c r="DA2896">
        <v>9.7100000000000009</v>
      </c>
      <c r="DB2896">
        <v>14.27</v>
      </c>
      <c r="DC2896">
        <v>12.28</v>
      </c>
      <c r="DD2896">
        <v>0</v>
      </c>
      <c r="DE2896">
        <v>29</v>
      </c>
      <c r="DF2896">
        <v>600834</v>
      </c>
      <c r="DG2896" t="s">
        <v>116</v>
      </c>
      <c r="DH2896" t="s">
        <v>116</v>
      </c>
      <c r="DI2896" t="s">
        <v>116</v>
      </c>
    </row>
    <row r="2897" spans="1:113" x14ac:dyDescent="0.4">
      <c r="A2897" t="str">
        <f>"600835"</f>
        <v>600835</v>
      </c>
      <c r="B2897" t="s">
        <v>12826</v>
      </c>
      <c r="C2897">
        <v>-0.79</v>
      </c>
      <c r="D2897">
        <v>16.350000000000001</v>
      </c>
      <c r="E2897">
        <v>-0.13</v>
      </c>
      <c r="F2897">
        <v>16.34</v>
      </c>
      <c r="G2897">
        <v>16.350000000000001</v>
      </c>
      <c r="H2897">
        <v>27208</v>
      </c>
      <c r="I2897">
        <v>168</v>
      </c>
      <c r="J2897">
        <v>0</v>
      </c>
      <c r="K2897">
        <v>0.34</v>
      </c>
      <c r="L2897">
        <v>16.510000000000002</v>
      </c>
      <c r="M2897">
        <v>16.55</v>
      </c>
      <c r="N2897">
        <v>16.329999999999998</v>
      </c>
      <c r="O2897">
        <v>16.48</v>
      </c>
      <c r="P2897">
        <v>14.56</v>
      </c>
      <c r="Q2897">
        <v>44706608</v>
      </c>
      <c r="R2897">
        <v>0.65</v>
      </c>
      <c r="S2897" t="s">
        <v>164</v>
      </c>
      <c r="T2897" t="s">
        <v>1653</v>
      </c>
      <c r="U2897">
        <v>1.33</v>
      </c>
      <c r="V2897">
        <v>16.43</v>
      </c>
      <c r="W2897">
        <v>18533</v>
      </c>
      <c r="X2897">
        <v>8675</v>
      </c>
      <c r="Y2897">
        <v>2.14</v>
      </c>
      <c r="Z2897">
        <v>153</v>
      </c>
      <c r="AA2897">
        <v>87</v>
      </c>
      <c r="AB2897" t="s">
        <v>116</v>
      </c>
      <c r="AC2897">
        <v>84200</v>
      </c>
      <c r="AD2897">
        <v>0</v>
      </c>
      <c r="AE2897" t="s">
        <v>116</v>
      </c>
      <c r="AF2897" t="s">
        <v>116</v>
      </c>
      <c r="AG2897">
        <v>8.07</v>
      </c>
      <c r="AH2897" t="s">
        <v>12827</v>
      </c>
      <c r="AI2897" t="s">
        <v>12828</v>
      </c>
      <c r="AJ2897">
        <v>-0.71</v>
      </c>
      <c r="AK2897">
        <v>1716</v>
      </c>
      <c r="AL2897">
        <v>16</v>
      </c>
      <c r="AM2897">
        <v>2.0000000000000001E-4</v>
      </c>
      <c r="AN2897">
        <v>-1</v>
      </c>
      <c r="AO2897">
        <v>-1.03</v>
      </c>
      <c r="AP2897">
        <v>7.71</v>
      </c>
      <c r="AQ2897">
        <v>-2.4500000000000002</v>
      </c>
      <c r="AR2897">
        <v>15.88</v>
      </c>
      <c r="AS2897">
        <v>0.86</v>
      </c>
      <c r="AT2897" t="s">
        <v>12829</v>
      </c>
      <c r="AU2897">
        <v>15.24</v>
      </c>
      <c r="AV2897">
        <v>13.18</v>
      </c>
      <c r="AW2897">
        <v>0.83</v>
      </c>
      <c r="BA2897">
        <v>0.18</v>
      </c>
      <c r="BB2897">
        <v>0.42</v>
      </c>
      <c r="BC2897">
        <v>-0.91</v>
      </c>
      <c r="BD2897">
        <v>-0.28999999999999998</v>
      </c>
      <c r="BE2897">
        <v>-0.97</v>
      </c>
      <c r="BF2897">
        <v>-1.21</v>
      </c>
      <c r="BG2897">
        <v>0.12</v>
      </c>
      <c r="BH2897">
        <v>-0.49</v>
      </c>
      <c r="BI2897">
        <v>20191029</v>
      </c>
      <c r="BJ2897">
        <v>19940224</v>
      </c>
      <c r="BK2897">
        <v>10.23</v>
      </c>
      <c r="BL2897">
        <v>2.16</v>
      </c>
      <c r="BM2897" t="s">
        <v>116</v>
      </c>
      <c r="BN2897">
        <v>335.74</v>
      </c>
      <c r="BO2897">
        <v>112.14</v>
      </c>
      <c r="BP2897">
        <v>22.15</v>
      </c>
      <c r="BQ2897">
        <v>60</v>
      </c>
      <c r="BR2897">
        <v>281.5</v>
      </c>
      <c r="BS2897">
        <v>15.96</v>
      </c>
      <c r="BT2897">
        <v>3.55</v>
      </c>
      <c r="BU2897">
        <v>197.49</v>
      </c>
      <c r="BV2897">
        <v>85.39</v>
      </c>
      <c r="BW2897">
        <v>30.16</v>
      </c>
      <c r="BX2897">
        <v>20.39</v>
      </c>
      <c r="BY2897">
        <v>166.15</v>
      </c>
      <c r="BZ2897">
        <v>138.66</v>
      </c>
      <c r="CA2897">
        <v>15.24</v>
      </c>
      <c r="CB2897">
        <v>2.2400000000000002</v>
      </c>
      <c r="CC2897">
        <v>15.15</v>
      </c>
      <c r="CD2897">
        <v>13.8</v>
      </c>
      <c r="CE2897">
        <v>8.61</v>
      </c>
      <c r="CF2897">
        <v>8.36</v>
      </c>
      <c r="CG2897">
        <v>68.22</v>
      </c>
      <c r="CH2897">
        <v>1.75</v>
      </c>
      <c r="CI2897">
        <v>-3.03</v>
      </c>
      <c r="CJ2897">
        <v>62533</v>
      </c>
      <c r="CK2897">
        <v>8502</v>
      </c>
      <c r="CL2897" t="s">
        <v>12830</v>
      </c>
      <c r="CM2897">
        <v>-16.579999999999998</v>
      </c>
      <c r="CN2897">
        <v>4.43</v>
      </c>
      <c r="CO2897">
        <v>1.49</v>
      </c>
      <c r="CP2897">
        <v>95.58</v>
      </c>
      <c r="CQ2897">
        <v>1.01</v>
      </c>
      <c r="CR2897">
        <v>2.69</v>
      </c>
      <c r="CS2897" t="s">
        <v>12831</v>
      </c>
      <c r="CT2897">
        <v>10.96</v>
      </c>
      <c r="CU2897">
        <v>0</v>
      </c>
      <c r="CV2897">
        <v>1.99</v>
      </c>
      <c r="CW2897">
        <v>6.67</v>
      </c>
      <c r="CX2897">
        <v>0.17</v>
      </c>
      <c r="CY2897">
        <v>33.4</v>
      </c>
      <c r="CZ2897" t="s">
        <v>1252</v>
      </c>
      <c r="DA2897">
        <v>16.54</v>
      </c>
      <c r="DB2897">
        <v>9.17</v>
      </c>
      <c r="DC2897">
        <v>5.18</v>
      </c>
      <c r="DD2897">
        <v>4.66</v>
      </c>
      <c r="DE2897">
        <v>2508</v>
      </c>
      <c r="DF2897">
        <v>600835</v>
      </c>
      <c r="DG2897" t="s">
        <v>116</v>
      </c>
      <c r="DH2897" t="s">
        <v>116</v>
      </c>
      <c r="DI2897" t="s">
        <v>116</v>
      </c>
    </row>
    <row r="2898" spans="1:113" x14ac:dyDescent="0.4">
      <c r="A2898" t="str">
        <f>"600836"</f>
        <v>600836</v>
      </c>
      <c r="B2898" t="s">
        <v>12832</v>
      </c>
      <c r="C2898">
        <v>4.47</v>
      </c>
      <c r="D2898">
        <v>5.14</v>
      </c>
      <c r="E2898">
        <v>0.22</v>
      </c>
      <c r="F2898">
        <v>5.14</v>
      </c>
      <c r="G2898">
        <v>5.15</v>
      </c>
      <c r="H2898">
        <v>261713</v>
      </c>
      <c r="I2898">
        <v>4477</v>
      </c>
      <c r="J2898">
        <v>0.39</v>
      </c>
      <c r="K2898">
        <v>3.95</v>
      </c>
      <c r="L2898">
        <v>4.92</v>
      </c>
      <c r="M2898">
        <v>5.29</v>
      </c>
      <c r="N2898">
        <v>4.88</v>
      </c>
      <c r="O2898">
        <v>4.92</v>
      </c>
      <c r="P2898" t="s">
        <v>116</v>
      </c>
      <c r="Q2898">
        <v>133724776</v>
      </c>
      <c r="R2898">
        <v>1.74</v>
      </c>
      <c r="S2898" t="s">
        <v>345</v>
      </c>
      <c r="T2898" t="s">
        <v>1653</v>
      </c>
      <c r="U2898">
        <v>8.33</v>
      </c>
      <c r="V2898">
        <v>5.1100000000000003</v>
      </c>
      <c r="W2898">
        <v>123381</v>
      </c>
      <c r="X2898">
        <v>138332</v>
      </c>
      <c r="Y2898">
        <v>0.89</v>
      </c>
      <c r="Z2898">
        <v>894</v>
      </c>
      <c r="AA2898">
        <v>4016</v>
      </c>
      <c r="AB2898" t="s">
        <v>116</v>
      </c>
      <c r="AC2898">
        <v>341000</v>
      </c>
      <c r="AD2898">
        <v>0.01</v>
      </c>
      <c r="AE2898" t="s">
        <v>116</v>
      </c>
      <c r="AF2898" t="s">
        <v>116</v>
      </c>
      <c r="AG2898">
        <v>6.63</v>
      </c>
      <c r="AH2898" t="s">
        <v>8600</v>
      </c>
      <c r="AI2898" t="s">
        <v>8600</v>
      </c>
      <c r="AJ2898">
        <v>4.55</v>
      </c>
      <c r="AK2898">
        <v>2808</v>
      </c>
      <c r="AL2898">
        <v>93</v>
      </c>
      <c r="AM2898">
        <v>1.4E-3</v>
      </c>
      <c r="AN2898">
        <v>2</v>
      </c>
      <c r="AO2898">
        <v>3.62</v>
      </c>
      <c r="AP2898">
        <v>17.62</v>
      </c>
      <c r="AQ2898">
        <v>32.130000000000003</v>
      </c>
      <c r="AR2898">
        <v>36.340000000000003</v>
      </c>
      <c r="AS2898">
        <v>5.43</v>
      </c>
      <c r="AT2898" t="s">
        <v>7292</v>
      </c>
      <c r="AU2898" t="s">
        <v>116</v>
      </c>
      <c r="AV2898" t="s">
        <v>116</v>
      </c>
      <c r="AW2898">
        <v>2.06</v>
      </c>
      <c r="BA2898">
        <v>0</v>
      </c>
      <c r="BB2898">
        <v>7.52</v>
      </c>
      <c r="BC2898">
        <v>-0.81</v>
      </c>
      <c r="BD2898">
        <v>3.85</v>
      </c>
      <c r="BE2898">
        <v>4.47</v>
      </c>
      <c r="BF2898">
        <v>-2.84</v>
      </c>
      <c r="BG2898">
        <v>5.33</v>
      </c>
      <c r="BH2898">
        <v>0.62</v>
      </c>
      <c r="BI2898">
        <v>20191026</v>
      </c>
      <c r="BJ2898">
        <v>19940224</v>
      </c>
      <c r="BK2898">
        <v>6.63</v>
      </c>
      <c r="BL2898" t="s">
        <v>116</v>
      </c>
      <c r="BM2898" t="s">
        <v>116</v>
      </c>
      <c r="BN2898">
        <v>31.94</v>
      </c>
      <c r="BO2898">
        <v>8.18</v>
      </c>
      <c r="BP2898">
        <v>0.44</v>
      </c>
      <c r="BQ2898">
        <v>73.03</v>
      </c>
      <c r="BR2898">
        <v>19.079999999999998</v>
      </c>
      <c r="BS2898">
        <v>5.57</v>
      </c>
      <c r="BT2898">
        <v>0.54</v>
      </c>
      <c r="BU2898">
        <v>21.48</v>
      </c>
      <c r="BV2898">
        <v>14.44</v>
      </c>
      <c r="BW2898">
        <v>1.86</v>
      </c>
      <c r="BX2898">
        <v>1</v>
      </c>
      <c r="BY2898">
        <v>8.0399999999999991</v>
      </c>
      <c r="BZ2898">
        <v>6.56</v>
      </c>
      <c r="CA2898">
        <v>-0.62</v>
      </c>
      <c r="CB2898">
        <v>0.01</v>
      </c>
      <c r="CC2898">
        <v>-0.56000000000000005</v>
      </c>
      <c r="CD2898">
        <v>-0.61</v>
      </c>
      <c r="CE2898">
        <v>-0.53</v>
      </c>
      <c r="CF2898">
        <v>-0.57999999999999996</v>
      </c>
      <c r="CG2898">
        <v>0.41</v>
      </c>
      <c r="CH2898">
        <v>3.2</v>
      </c>
      <c r="CI2898">
        <v>-1.1200000000000001</v>
      </c>
      <c r="CJ2898">
        <v>66452</v>
      </c>
      <c r="CK2898">
        <v>7258</v>
      </c>
      <c r="CL2898" t="s">
        <v>3654</v>
      </c>
      <c r="CM2898">
        <v>-1227.5899999999999</v>
      </c>
      <c r="CN2898">
        <v>-21.72</v>
      </c>
      <c r="CO2898">
        <v>4.17</v>
      </c>
      <c r="CP2898">
        <v>10.63</v>
      </c>
      <c r="CQ2898">
        <v>4.24</v>
      </c>
      <c r="CR2898">
        <v>0</v>
      </c>
      <c r="CS2898" t="s">
        <v>3463</v>
      </c>
      <c r="CT2898">
        <v>1.23</v>
      </c>
      <c r="CU2898">
        <v>0</v>
      </c>
      <c r="CV2898">
        <v>0.15</v>
      </c>
      <c r="CW2898">
        <v>0.06</v>
      </c>
      <c r="CX2898">
        <v>0.48</v>
      </c>
      <c r="CY2898">
        <v>25.61</v>
      </c>
      <c r="CZ2898" t="s">
        <v>12833</v>
      </c>
      <c r="DA2898">
        <v>18.34</v>
      </c>
      <c r="DB2898">
        <v>-7.69</v>
      </c>
      <c r="DC2898">
        <v>-6.55</v>
      </c>
      <c r="DD2898">
        <v>0.16</v>
      </c>
      <c r="DE2898">
        <v>2023</v>
      </c>
      <c r="DF2898">
        <v>600836</v>
      </c>
      <c r="DG2898" t="s">
        <v>116</v>
      </c>
      <c r="DH2898" t="s">
        <v>116</v>
      </c>
      <c r="DI2898" t="s">
        <v>116</v>
      </c>
    </row>
    <row r="2899" spans="1:113" x14ac:dyDescent="0.4">
      <c r="A2899" t="str">
        <f>"600837"</f>
        <v>600837</v>
      </c>
      <c r="B2899" t="s">
        <v>12834</v>
      </c>
      <c r="C2899">
        <v>-1.67</v>
      </c>
      <c r="D2899">
        <v>14.73</v>
      </c>
      <c r="E2899">
        <v>-0.25</v>
      </c>
      <c r="F2899">
        <v>14.73</v>
      </c>
      <c r="G2899">
        <v>14.74</v>
      </c>
      <c r="H2899">
        <v>900652</v>
      </c>
      <c r="I2899">
        <v>7689</v>
      </c>
      <c r="J2899">
        <v>-0.13</v>
      </c>
      <c r="K2899">
        <v>1.1100000000000001</v>
      </c>
      <c r="L2899">
        <v>14.91</v>
      </c>
      <c r="M2899">
        <v>15.16</v>
      </c>
      <c r="N2899">
        <v>14.72</v>
      </c>
      <c r="O2899">
        <v>14.98</v>
      </c>
      <c r="P2899">
        <v>17.2</v>
      </c>
      <c r="Q2899">
        <v>1350222464</v>
      </c>
      <c r="R2899">
        <v>1.41</v>
      </c>
      <c r="S2899" t="s">
        <v>623</v>
      </c>
      <c r="T2899" t="s">
        <v>1653</v>
      </c>
      <c r="U2899">
        <v>2.94</v>
      </c>
      <c r="V2899">
        <v>14.99</v>
      </c>
      <c r="W2899">
        <v>496421</v>
      </c>
      <c r="X2899">
        <v>404231</v>
      </c>
      <c r="Y2899">
        <v>1.23</v>
      </c>
      <c r="Z2899">
        <v>1822</v>
      </c>
      <c r="AA2899">
        <v>1778</v>
      </c>
      <c r="AB2899" t="s">
        <v>116</v>
      </c>
      <c r="AC2899">
        <v>8914700</v>
      </c>
      <c r="AD2899">
        <v>0.01</v>
      </c>
      <c r="AE2899" t="s">
        <v>116</v>
      </c>
      <c r="AF2899" t="s">
        <v>116</v>
      </c>
      <c r="AG2899">
        <v>80.92</v>
      </c>
      <c r="AH2899" t="s">
        <v>12835</v>
      </c>
      <c r="AI2899" t="s">
        <v>12835</v>
      </c>
      <c r="AJ2899">
        <v>-1.59</v>
      </c>
      <c r="AK2899">
        <v>4528</v>
      </c>
      <c r="AL2899">
        <v>199</v>
      </c>
      <c r="AM2899">
        <v>2.0000000000000001E-4</v>
      </c>
      <c r="AN2899">
        <v>-1</v>
      </c>
      <c r="AO2899">
        <v>-7.0000000000000007E-2</v>
      </c>
      <c r="AP2899">
        <v>7.21</v>
      </c>
      <c r="AQ2899">
        <v>-0.87</v>
      </c>
      <c r="AR2899">
        <v>70.290000000000006</v>
      </c>
      <c r="AS2899">
        <v>1.1100000000000001</v>
      </c>
      <c r="AT2899" t="s">
        <v>12835</v>
      </c>
      <c r="AU2899">
        <v>18.809999999999999</v>
      </c>
      <c r="AV2899">
        <v>32.51</v>
      </c>
      <c r="AW2899">
        <v>1.77</v>
      </c>
      <c r="BA2899">
        <v>-0.47</v>
      </c>
      <c r="BB2899">
        <v>1.2</v>
      </c>
      <c r="BC2899">
        <v>-1.74</v>
      </c>
      <c r="BD2899">
        <v>0.08</v>
      </c>
      <c r="BE2899">
        <v>-1.21</v>
      </c>
      <c r="BF2899">
        <v>-2.84</v>
      </c>
      <c r="BG2899">
        <v>7.0000000000000007E-2</v>
      </c>
      <c r="BH2899">
        <v>-1.75</v>
      </c>
      <c r="BI2899">
        <v>20191031</v>
      </c>
      <c r="BJ2899">
        <v>19940224</v>
      </c>
      <c r="BK2899">
        <v>115.02</v>
      </c>
      <c r="BL2899" t="s">
        <v>116</v>
      </c>
      <c r="BM2899">
        <v>34.1</v>
      </c>
      <c r="BN2899">
        <v>6354.44</v>
      </c>
      <c r="BO2899">
        <v>1240.3900000000001</v>
      </c>
      <c r="BP2899">
        <v>152.63</v>
      </c>
      <c r="BQ2899">
        <v>78.08</v>
      </c>
      <c r="BR2899">
        <v>0</v>
      </c>
      <c r="BS2899">
        <v>64.33</v>
      </c>
      <c r="BT2899">
        <v>12.89</v>
      </c>
      <c r="BU2899">
        <v>0</v>
      </c>
      <c r="BV2899">
        <v>0</v>
      </c>
      <c r="BW2899">
        <v>0</v>
      </c>
      <c r="BX2899">
        <v>563.01</v>
      </c>
      <c r="BY2899">
        <v>251.47</v>
      </c>
      <c r="BZ2899">
        <v>0</v>
      </c>
      <c r="CA2899">
        <v>102.22</v>
      </c>
      <c r="CB2899">
        <v>66.38</v>
      </c>
      <c r="CC2899">
        <v>106.56</v>
      </c>
      <c r="CD2899">
        <v>80.75</v>
      </c>
      <c r="CE2899">
        <v>73.86</v>
      </c>
      <c r="CF2899">
        <v>70.67</v>
      </c>
      <c r="CG2899">
        <v>368.69</v>
      </c>
      <c r="CH2899">
        <v>150.11000000000001</v>
      </c>
      <c r="CI2899">
        <v>161.63999999999999</v>
      </c>
      <c r="CJ2899">
        <v>288266</v>
      </c>
      <c r="CK2899">
        <v>28072</v>
      </c>
      <c r="CL2899" t="s">
        <v>12836</v>
      </c>
      <c r="CM2899">
        <v>105.86</v>
      </c>
      <c r="CN2899">
        <v>55.45</v>
      </c>
      <c r="CO2899">
        <v>1.37</v>
      </c>
      <c r="CP2899">
        <v>11.29</v>
      </c>
      <c r="CQ2899">
        <v>6.74</v>
      </c>
      <c r="CR2899">
        <v>1.02</v>
      </c>
      <c r="CS2899" t="s">
        <v>12837</v>
      </c>
      <c r="CT2899">
        <v>10.78</v>
      </c>
      <c r="CU2899">
        <v>0</v>
      </c>
      <c r="CV2899">
        <v>4.9000000000000004</v>
      </c>
      <c r="CW2899">
        <v>3.21</v>
      </c>
      <c r="CX2899">
        <v>1.31</v>
      </c>
      <c r="CY2899">
        <v>19.52</v>
      </c>
      <c r="CZ2899" t="s">
        <v>4089</v>
      </c>
      <c r="DA2899" t="s">
        <v>116</v>
      </c>
      <c r="DB2899">
        <v>40.65</v>
      </c>
      <c r="DC2899">
        <v>29.37</v>
      </c>
      <c r="DD2899">
        <v>0</v>
      </c>
      <c r="DE2899">
        <v>10391</v>
      </c>
      <c r="DF2899">
        <v>600837</v>
      </c>
      <c r="DG2899" t="s">
        <v>116</v>
      </c>
      <c r="DH2899" t="s">
        <v>116</v>
      </c>
      <c r="DI2899" t="s">
        <v>116</v>
      </c>
    </row>
    <row r="2900" spans="1:113" x14ac:dyDescent="0.4">
      <c r="A2900" t="str">
        <f>"600838"</f>
        <v>600838</v>
      </c>
      <c r="B2900" t="s">
        <v>12838</v>
      </c>
      <c r="C2900">
        <v>-0.31</v>
      </c>
      <c r="D2900">
        <v>6.33</v>
      </c>
      <c r="E2900">
        <v>-0.02</v>
      </c>
      <c r="F2900">
        <v>6.32</v>
      </c>
      <c r="G2900">
        <v>6.33</v>
      </c>
      <c r="H2900">
        <v>22670</v>
      </c>
      <c r="I2900">
        <v>502</v>
      </c>
      <c r="J2900">
        <v>-0.15</v>
      </c>
      <c r="K2900">
        <v>0.56999999999999995</v>
      </c>
      <c r="L2900">
        <v>6.36</v>
      </c>
      <c r="M2900">
        <v>6.4</v>
      </c>
      <c r="N2900">
        <v>6.31</v>
      </c>
      <c r="O2900">
        <v>6.35</v>
      </c>
      <c r="P2900">
        <v>26.22</v>
      </c>
      <c r="Q2900">
        <v>14433567</v>
      </c>
      <c r="R2900">
        <v>1.04</v>
      </c>
      <c r="S2900" t="s">
        <v>746</v>
      </c>
      <c r="T2900" t="s">
        <v>1653</v>
      </c>
      <c r="U2900">
        <v>1.42</v>
      </c>
      <c r="V2900">
        <v>6.37</v>
      </c>
      <c r="W2900">
        <v>13238</v>
      </c>
      <c r="X2900">
        <v>9432</v>
      </c>
      <c r="Y2900">
        <v>1.4</v>
      </c>
      <c r="Z2900">
        <v>1034</v>
      </c>
      <c r="AA2900">
        <v>17</v>
      </c>
      <c r="AB2900" t="s">
        <v>116</v>
      </c>
      <c r="AC2900">
        <v>46400</v>
      </c>
      <c r="AD2900">
        <v>0</v>
      </c>
      <c r="AE2900" t="s">
        <v>116</v>
      </c>
      <c r="AF2900" t="s">
        <v>116</v>
      </c>
      <c r="AG2900">
        <v>4.01</v>
      </c>
      <c r="AH2900" t="s">
        <v>2353</v>
      </c>
      <c r="AI2900" t="s">
        <v>2353</v>
      </c>
      <c r="AJ2900">
        <v>-0.24</v>
      </c>
      <c r="AK2900">
        <v>569</v>
      </c>
      <c r="AL2900">
        <v>40</v>
      </c>
      <c r="AM2900">
        <v>1E-3</v>
      </c>
      <c r="AN2900">
        <v>-1</v>
      </c>
      <c r="AO2900">
        <v>0.17</v>
      </c>
      <c r="AP2900">
        <v>6.93</v>
      </c>
      <c r="AQ2900">
        <v>-3.65</v>
      </c>
      <c r="AR2900">
        <v>6.64</v>
      </c>
      <c r="AS2900">
        <v>0.77</v>
      </c>
      <c r="AT2900" t="s">
        <v>12839</v>
      </c>
      <c r="AU2900">
        <v>25.49</v>
      </c>
      <c r="AV2900">
        <v>25.74</v>
      </c>
      <c r="AW2900">
        <v>1.05</v>
      </c>
      <c r="BA2900">
        <v>0.16</v>
      </c>
      <c r="BB2900">
        <v>0.79</v>
      </c>
      <c r="BC2900">
        <v>-0.63</v>
      </c>
      <c r="BD2900">
        <v>0.26</v>
      </c>
      <c r="BE2900">
        <v>-0.47</v>
      </c>
      <c r="BF2900">
        <v>-1.0900000000000001</v>
      </c>
      <c r="BG2900">
        <v>0.32</v>
      </c>
      <c r="BH2900">
        <v>-0.57999999999999996</v>
      </c>
      <c r="BI2900">
        <v>20191030</v>
      </c>
      <c r="BJ2900">
        <v>19940224</v>
      </c>
      <c r="BK2900">
        <v>4.01</v>
      </c>
      <c r="BL2900" t="s">
        <v>116</v>
      </c>
      <c r="BM2900" t="s">
        <v>116</v>
      </c>
      <c r="BN2900">
        <v>14</v>
      </c>
      <c r="BO2900">
        <v>12.95</v>
      </c>
      <c r="BP2900">
        <v>0</v>
      </c>
      <c r="BQ2900">
        <v>7.47</v>
      </c>
      <c r="BR2900">
        <v>4.21</v>
      </c>
      <c r="BS2900">
        <v>1.1299999999999999</v>
      </c>
      <c r="BT2900">
        <v>0.85</v>
      </c>
      <c r="BU2900">
        <v>0.51</v>
      </c>
      <c r="BV2900">
        <v>0.19</v>
      </c>
      <c r="BW2900">
        <v>0.13</v>
      </c>
      <c r="BX2900">
        <v>1.84</v>
      </c>
      <c r="BY2900">
        <v>0.47</v>
      </c>
      <c r="BZ2900">
        <v>0.19</v>
      </c>
      <c r="CA2900">
        <v>0.73</v>
      </c>
      <c r="CB2900">
        <v>0.82</v>
      </c>
      <c r="CC2900">
        <v>0.73</v>
      </c>
      <c r="CD2900">
        <v>0.73</v>
      </c>
      <c r="CE2900">
        <v>0.73</v>
      </c>
      <c r="CF2900">
        <v>0.73</v>
      </c>
      <c r="CG2900">
        <v>4.5599999999999996</v>
      </c>
      <c r="CH2900">
        <v>-0.13</v>
      </c>
      <c r="CI2900">
        <v>0.71</v>
      </c>
      <c r="CJ2900">
        <v>48535</v>
      </c>
      <c r="CK2900">
        <v>6069</v>
      </c>
      <c r="CL2900" t="s">
        <v>12840</v>
      </c>
      <c r="CM2900">
        <v>1.34</v>
      </c>
      <c r="CN2900">
        <v>-6.46</v>
      </c>
      <c r="CO2900">
        <v>1.96</v>
      </c>
      <c r="CP2900">
        <v>-190.52</v>
      </c>
      <c r="CQ2900">
        <v>53.59</v>
      </c>
      <c r="CR2900">
        <v>1.17</v>
      </c>
      <c r="CS2900" t="s">
        <v>5826</v>
      </c>
      <c r="CT2900">
        <v>3.23</v>
      </c>
      <c r="CU2900">
        <v>0</v>
      </c>
      <c r="CV2900">
        <v>0.46</v>
      </c>
      <c r="CW2900">
        <v>1.1399999999999999</v>
      </c>
      <c r="CX2900">
        <v>-0.03</v>
      </c>
      <c r="CY2900">
        <v>92.53</v>
      </c>
      <c r="CZ2900" t="s">
        <v>1750</v>
      </c>
      <c r="DA2900">
        <v>60.35</v>
      </c>
      <c r="DB2900">
        <v>154.56</v>
      </c>
      <c r="DC2900">
        <v>153.27000000000001</v>
      </c>
      <c r="DD2900">
        <v>0</v>
      </c>
      <c r="DE2900">
        <v>210</v>
      </c>
      <c r="DF2900">
        <v>600838</v>
      </c>
      <c r="DG2900" t="s">
        <v>116</v>
      </c>
      <c r="DH2900" t="s">
        <v>116</v>
      </c>
      <c r="DI2900" t="s">
        <v>116</v>
      </c>
    </row>
    <row r="2901" spans="1:113" x14ac:dyDescent="0.4">
      <c r="A2901" t="str">
        <f>"600839"</f>
        <v>600839</v>
      </c>
      <c r="B2901" t="s">
        <v>12841</v>
      </c>
      <c r="C2901">
        <v>-1.04</v>
      </c>
      <c r="D2901">
        <v>2.86</v>
      </c>
      <c r="E2901">
        <v>-0.03</v>
      </c>
      <c r="F2901">
        <v>2.85</v>
      </c>
      <c r="G2901">
        <v>2.86</v>
      </c>
      <c r="H2901">
        <v>313230</v>
      </c>
      <c r="I2901">
        <v>2824</v>
      </c>
      <c r="J2901">
        <v>0.35</v>
      </c>
      <c r="K2901">
        <v>0.68</v>
      </c>
      <c r="L2901">
        <v>2.88</v>
      </c>
      <c r="M2901">
        <v>2.89</v>
      </c>
      <c r="N2901">
        <v>2.85</v>
      </c>
      <c r="O2901">
        <v>2.89</v>
      </c>
      <c r="P2901">
        <v>257.23</v>
      </c>
      <c r="Q2901">
        <v>89947600</v>
      </c>
      <c r="R2901">
        <v>0.8</v>
      </c>
      <c r="S2901" t="s">
        <v>209</v>
      </c>
      <c r="T2901" t="s">
        <v>582</v>
      </c>
      <c r="U2901">
        <v>1.38</v>
      </c>
      <c r="V2901">
        <v>2.87</v>
      </c>
      <c r="W2901">
        <v>218179</v>
      </c>
      <c r="X2901">
        <v>95051</v>
      </c>
      <c r="Y2901">
        <v>2.2999999999999998</v>
      </c>
      <c r="Z2901">
        <v>4706</v>
      </c>
      <c r="AA2901">
        <v>398</v>
      </c>
      <c r="AB2901" t="s">
        <v>116</v>
      </c>
      <c r="AC2901">
        <v>1060700</v>
      </c>
      <c r="AD2901">
        <v>0.01</v>
      </c>
      <c r="AE2901" t="s">
        <v>116</v>
      </c>
      <c r="AF2901" t="s">
        <v>116</v>
      </c>
      <c r="AG2901">
        <v>46.14</v>
      </c>
      <c r="AH2901" t="s">
        <v>12842</v>
      </c>
      <c r="AI2901" t="s">
        <v>12843</v>
      </c>
      <c r="AJ2901">
        <v>-0.96</v>
      </c>
      <c r="AK2901">
        <v>2149</v>
      </c>
      <c r="AL2901">
        <v>146</v>
      </c>
      <c r="AM2901">
        <v>2.9999999999999997E-4</v>
      </c>
      <c r="AN2901">
        <v>-1</v>
      </c>
      <c r="AO2901">
        <v>1.06</v>
      </c>
      <c r="AP2901">
        <v>6.72</v>
      </c>
      <c r="AQ2901">
        <v>4.38</v>
      </c>
      <c r="AR2901">
        <v>25</v>
      </c>
      <c r="AS2901">
        <v>0.89</v>
      </c>
      <c r="AT2901" t="s">
        <v>12844</v>
      </c>
      <c r="AU2901">
        <v>84.28</v>
      </c>
      <c r="AV2901">
        <v>40.85</v>
      </c>
      <c r="AW2901">
        <v>1.57</v>
      </c>
      <c r="BA2901">
        <v>-0.35</v>
      </c>
      <c r="BB2901">
        <v>0</v>
      </c>
      <c r="BC2901">
        <v>-1.38</v>
      </c>
      <c r="BD2901">
        <v>-0.64</v>
      </c>
      <c r="BE2901">
        <v>-0.69</v>
      </c>
      <c r="BF2901">
        <v>-1.04</v>
      </c>
      <c r="BG2901">
        <v>0.35</v>
      </c>
      <c r="BH2901">
        <v>-0.4</v>
      </c>
      <c r="BI2901">
        <v>20191029</v>
      </c>
      <c r="BJ2901">
        <v>19940311</v>
      </c>
      <c r="BK2901">
        <v>46.16</v>
      </c>
      <c r="BL2901" t="s">
        <v>116</v>
      </c>
      <c r="BM2901" t="s">
        <v>116</v>
      </c>
      <c r="BN2901">
        <v>728.3</v>
      </c>
      <c r="BO2901">
        <v>129.4</v>
      </c>
      <c r="BP2901">
        <v>85.16</v>
      </c>
      <c r="BQ2901">
        <v>70.540000000000006</v>
      </c>
      <c r="BR2901">
        <v>512.82000000000005</v>
      </c>
      <c r="BS2901">
        <v>76.239999999999995</v>
      </c>
      <c r="BT2901">
        <v>42.83</v>
      </c>
      <c r="BU2901">
        <v>484.51</v>
      </c>
      <c r="BV2901">
        <v>149.88</v>
      </c>
      <c r="BW2901">
        <v>101.15</v>
      </c>
      <c r="BX2901">
        <v>36.61</v>
      </c>
      <c r="BY2901">
        <v>622.1</v>
      </c>
      <c r="BZ2901">
        <v>547.79999999999995</v>
      </c>
      <c r="CA2901">
        <v>5.83</v>
      </c>
      <c r="CB2901">
        <v>-0.09</v>
      </c>
      <c r="CC2901">
        <v>6.01</v>
      </c>
      <c r="CD2901">
        <v>3.31</v>
      </c>
      <c r="CE2901">
        <v>0.38</v>
      </c>
      <c r="CF2901">
        <v>-1.1299999999999999</v>
      </c>
      <c r="CG2901">
        <v>46.09</v>
      </c>
      <c r="CH2901">
        <v>-6.7</v>
      </c>
      <c r="CI2901">
        <v>2.66</v>
      </c>
      <c r="CJ2901">
        <v>328917</v>
      </c>
      <c r="CK2901">
        <v>10644</v>
      </c>
      <c r="CL2901" t="s">
        <v>2378</v>
      </c>
      <c r="CM2901">
        <v>-81.23</v>
      </c>
      <c r="CN2901">
        <v>7.56</v>
      </c>
      <c r="CO2901">
        <v>1.02</v>
      </c>
      <c r="CP2901">
        <v>-19.71</v>
      </c>
      <c r="CQ2901">
        <v>0.21</v>
      </c>
      <c r="CR2901">
        <v>0.77</v>
      </c>
      <c r="CS2901" t="s">
        <v>571</v>
      </c>
      <c r="CT2901">
        <v>2.8</v>
      </c>
      <c r="CU2901">
        <v>0</v>
      </c>
      <c r="CV2901">
        <v>0.79</v>
      </c>
      <c r="CW2901">
        <v>1</v>
      </c>
      <c r="CX2901">
        <v>-0.15</v>
      </c>
      <c r="CY2901">
        <v>17.77</v>
      </c>
      <c r="CZ2901" t="s">
        <v>6578</v>
      </c>
      <c r="DA2901">
        <v>11.94</v>
      </c>
      <c r="DB2901">
        <v>0.94</v>
      </c>
      <c r="DC2901">
        <v>0.06</v>
      </c>
      <c r="DD2901">
        <v>10.15</v>
      </c>
      <c r="DE2901">
        <v>55149</v>
      </c>
      <c r="DF2901">
        <v>600839</v>
      </c>
      <c r="DG2901" t="s">
        <v>116</v>
      </c>
      <c r="DH2901" t="s">
        <v>116</v>
      </c>
      <c r="DI2901" t="s">
        <v>116</v>
      </c>
    </row>
    <row r="2902" spans="1:113" x14ac:dyDescent="0.4">
      <c r="A2902" t="str">
        <f>"600841"</f>
        <v>600841</v>
      </c>
      <c r="B2902" t="s">
        <v>12845</v>
      </c>
      <c r="C2902">
        <v>-0.71</v>
      </c>
      <c r="D2902">
        <v>7</v>
      </c>
      <c r="E2902">
        <v>-0.05</v>
      </c>
      <c r="F2902">
        <v>6.99</v>
      </c>
      <c r="G2902">
        <v>7</v>
      </c>
      <c r="H2902">
        <v>9016</v>
      </c>
      <c r="I2902">
        <v>147</v>
      </c>
      <c r="J2902">
        <v>0.28999999999999998</v>
      </c>
      <c r="K2902">
        <v>0.17</v>
      </c>
      <c r="L2902">
        <v>7.05</v>
      </c>
      <c r="M2902">
        <v>7.09</v>
      </c>
      <c r="N2902">
        <v>6.98</v>
      </c>
      <c r="O2902">
        <v>7.05</v>
      </c>
      <c r="P2902">
        <v>49.63</v>
      </c>
      <c r="Q2902">
        <v>6335572</v>
      </c>
      <c r="R2902">
        <v>1.25</v>
      </c>
      <c r="S2902" t="s">
        <v>996</v>
      </c>
      <c r="T2902" t="s">
        <v>1653</v>
      </c>
      <c r="U2902">
        <v>1.56</v>
      </c>
      <c r="V2902">
        <v>7.03</v>
      </c>
      <c r="W2902">
        <v>5459</v>
      </c>
      <c r="X2902">
        <v>3557</v>
      </c>
      <c r="Y2902">
        <v>1.53</v>
      </c>
      <c r="Z2902">
        <v>10</v>
      </c>
      <c r="AA2902">
        <v>53</v>
      </c>
      <c r="AB2902" t="s">
        <v>116</v>
      </c>
      <c r="AC2902">
        <v>0</v>
      </c>
      <c r="AD2902">
        <v>0</v>
      </c>
      <c r="AE2902" t="s">
        <v>116</v>
      </c>
      <c r="AF2902" t="s">
        <v>116</v>
      </c>
      <c r="AG2902">
        <v>5.22</v>
      </c>
      <c r="AH2902" t="s">
        <v>12846</v>
      </c>
      <c r="AI2902" t="s">
        <v>11040</v>
      </c>
      <c r="AJ2902">
        <v>-0.63</v>
      </c>
      <c r="AK2902">
        <v>385</v>
      </c>
      <c r="AL2902">
        <v>23</v>
      </c>
      <c r="AM2902">
        <v>4.0000000000000002E-4</v>
      </c>
      <c r="AN2902">
        <v>-1</v>
      </c>
      <c r="AO2902">
        <v>-0.28999999999999998</v>
      </c>
      <c r="AP2902">
        <v>3.24</v>
      </c>
      <c r="AQ2902">
        <v>-4.8899999999999997</v>
      </c>
      <c r="AR2902">
        <v>7.15</v>
      </c>
      <c r="AS2902">
        <v>0.86</v>
      </c>
      <c r="AT2902" t="s">
        <v>7317</v>
      </c>
      <c r="AU2902">
        <v>55.05</v>
      </c>
      <c r="AV2902">
        <v>45.46</v>
      </c>
      <c r="AW2902">
        <v>0.94</v>
      </c>
      <c r="BA2902">
        <v>0</v>
      </c>
      <c r="BB2902">
        <v>0.56999999999999995</v>
      </c>
      <c r="BC2902">
        <v>-0.99</v>
      </c>
      <c r="BD2902">
        <v>-0.33</v>
      </c>
      <c r="BE2902">
        <v>-0.71</v>
      </c>
      <c r="BF2902">
        <v>-1.27</v>
      </c>
      <c r="BG2902">
        <v>0.28999999999999998</v>
      </c>
      <c r="BH2902">
        <v>-0.38</v>
      </c>
      <c r="BI2902">
        <v>20191026</v>
      </c>
      <c r="BJ2902">
        <v>19940311</v>
      </c>
      <c r="BK2902">
        <v>8.67</v>
      </c>
      <c r="BL2902">
        <v>3.45</v>
      </c>
      <c r="BM2902" t="s">
        <v>116</v>
      </c>
      <c r="BN2902">
        <v>72.069999999999993</v>
      </c>
      <c r="BO2902">
        <v>37.79</v>
      </c>
      <c r="BP2902">
        <v>-0.01</v>
      </c>
      <c r="BQ2902">
        <v>47.58</v>
      </c>
      <c r="BR2902">
        <v>51.87</v>
      </c>
      <c r="BS2902">
        <v>11.9</v>
      </c>
      <c r="BT2902">
        <v>0.25</v>
      </c>
      <c r="BU2902">
        <v>32.9</v>
      </c>
      <c r="BV2902">
        <v>3.17</v>
      </c>
      <c r="BW2902">
        <v>7.67</v>
      </c>
      <c r="BX2902">
        <v>11.31</v>
      </c>
      <c r="BY2902">
        <v>28.43</v>
      </c>
      <c r="BZ2902">
        <v>23.58</v>
      </c>
      <c r="CA2902">
        <v>0.78</v>
      </c>
      <c r="CB2902">
        <v>0.64</v>
      </c>
      <c r="CC2902">
        <v>0.79</v>
      </c>
      <c r="CD2902">
        <v>0.91</v>
      </c>
      <c r="CE2902">
        <v>0.92</v>
      </c>
      <c r="CF2902">
        <v>0.85</v>
      </c>
      <c r="CG2902">
        <v>12.22</v>
      </c>
      <c r="CH2902">
        <v>2.6</v>
      </c>
      <c r="CI2902">
        <v>1.69</v>
      </c>
      <c r="CJ2902">
        <v>46112</v>
      </c>
      <c r="CK2902">
        <v>9764</v>
      </c>
      <c r="CL2902" t="s">
        <v>6034</v>
      </c>
      <c r="CM2902">
        <v>-20.23</v>
      </c>
      <c r="CN2902">
        <v>-12.91</v>
      </c>
      <c r="CO2902">
        <v>1.61</v>
      </c>
      <c r="CP2902">
        <v>23.36</v>
      </c>
      <c r="CQ2902">
        <v>2.13</v>
      </c>
      <c r="CR2902">
        <v>0.67</v>
      </c>
      <c r="CS2902" t="s">
        <v>6630</v>
      </c>
      <c r="CT2902">
        <v>4.3600000000000003</v>
      </c>
      <c r="CU2902">
        <v>0</v>
      </c>
      <c r="CV2902">
        <v>1.31</v>
      </c>
      <c r="CW2902">
        <v>1.41</v>
      </c>
      <c r="CX2902">
        <v>0.3</v>
      </c>
      <c r="CY2902">
        <v>52.43</v>
      </c>
      <c r="CZ2902" t="s">
        <v>6276</v>
      </c>
      <c r="DA2902">
        <v>17.05</v>
      </c>
      <c r="DB2902">
        <v>2.75</v>
      </c>
      <c r="DC2902">
        <v>3.23</v>
      </c>
      <c r="DD2902">
        <v>1.52</v>
      </c>
      <c r="DE2902">
        <v>1847</v>
      </c>
      <c r="DF2902">
        <v>600841</v>
      </c>
      <c r="DG2902" t="s">
        <v>116</v>
      </c>
      <c r="DH2902" t="s">
        <v>116</v>
      </c>
      <c r="DI2902" t="s">
        <v>116</v>
      </c>
    </row>
    <row r="2903" spans="1:113" x14ac:dyDescent="0.4">
      <c r="A2903" t="str">
        <f>"600843"</f>
        <v>600843</v>
      </c>
      <c r="B2903" t="s">
        <v>12847</v>
      </c>
      <c r="C2903">
        <v>0.8</v>
      </c>
      <c r="D2903">
        <v>7.57</v>
      </c>
      <c r="E2903">
        <v>0.06</v>
      </c>
      <c r="F2903">
        <v>7.56</v>
      </c>
      <c r="G2903">
        <v>7.57</v>
      </c>
      <c r="H2903">
        <v>15848</v>
      </c>
      <c r="I2903">
        <v>117</v>
      </c>
      <c r="J2903">
        <v>0.26</v>
      </c>
      <c r="K2903">
        <v>0.52</v>
      </c>
      <c r="L2903">
        <v>7.51</v>
      </c>
      <c r="M2903">
        <v>7.72</v>
      </c>
      <c r="N2903">
        <v>7.51</v>
      </c>
      <c r="O2903">
        <v>7.51</v>
      </c>
      <c r="P2903">
        <v>38.380000000000003</v>
      </c>
      <c r="Q2903">
        <v>12110431</v>
      </c>
      <c r="R2903">
        <v>2.75</v>
      </c>
      <c r="S2903" t="s">
        <v>3176</v>
      </c>
      <c r="T2903" t="s">
        <v>1653</v>
      </c>
      <c r="U2903">
        <v>2.8</v>
      </c>
      <c r="V2903">
        <v>7.64</v>
      </c>
      <c r="W2903">
        <v>7762</v>
      </c>
      <c r="X2903">
        <v>8087</v>
      </c>
      <c r="Y2903">
        <v>0.96</v>
      </c>
      <c r="Z2903">
        <v>5</v>
      </c>
      <c r="AA2903">
        <v>422</v>
      </c>
      <c r="AB2903" t="s">
        <v>116</v>
      </c>
      <c r="AC2903">
        <v>15000</v>
      </c>
      <c r="AD2903">
        <v>0</v>
      </c>
      <c r="AE2903" t="s">
        <v>116</v>
      </c>
      <c r="AF2903" t="s">
        <v>116</v>
      </c>
      <c r="AG2903">
        <v>3.05</v>
      </c>
      <c r="AH2903" t="s">
        <v>693</v>
      </c>
      <c r="AI2903" t="s">
        <v>3842</v>
      </c>
      <c r="AJ2903">
        <v>0.88</v>
      </c>
      <c r="AK2903">
        <v>664</v>
      </c>
      <c r="AL2903">
        <v>24</v>
      </c>
      <c r="AM2903">
        <v>8.0000000000000004E-4</v>
      </c>
      <c r="AN2903">
        <v>4</v>
      </c>
      <c r="AO2903">
        <v>1.75</v>
      </c>
      <c r="AP2903">
        <v>3.13</v>
      </c>
      <c r="AQ2903">
        <v>-6.54</v>
      </c>
      <c r="AR2903">
        <v>14.01</v>
      </c>
      <c r="AS2903">
        <v>0.8</v>
      </c>
      <c r="AT2903" t="s">
        <v>5620</v>
      </c>
      <c r="AU2903">
        <v>47.75</v>
      </c>
      <c r="AV2903">
        <v>29.49</v>
      </c>
      <c r="AW2903">
        <v>0.95</v>
      </c>
      <c r="BA2903">
        <v>0</v>
      </c>
      <c r="BB2903">
        <v>2.8</v>
      </c>
      <c r="BC2903">
        <v>0</v>
      </c>
      <c r="BD2903">
        <v>1.75</v>
      </c>
      <c r="BE2903">
        <v>0.8</v>
      </c>
      <c r="BF2903">
        <v>-1.94</v>
      </c>
      <c r="BG2903">
        <v>0.8</v>
      </c>
      <c r="BH2903">
        <v>-0.95</v>
      </c>
      <c r="BI2903">
        <v>20191031</v>
      </c>
      <c r="BJ2903">
        <v>19940311</v>
      </c>
      <c r="BK2903">
        <v>5.49</v>
      </c>
      <c r="BL2903">
        <v>2.44</v>
      </c>
      <c r="BM2903" t="s">
        <v>116</v>
      </c>
      <c r="BN2903">
        <v>41.93</v>
      </c>
      <c r="BO2903">
        <v>23.35</v>
      </c>
      <c r="BP2903">
        <v>2.9</v>
      </c>
      <c r="BQ2903">
        <v>37.42</v>
      </c>
      <c r="BR2903">
        <v>27.35</v>
      </c>
      <c r="BS2903">
        <v>4.7300000000000004</v>
      </c>
      <c r="BT2903">
        <v>2.66</v>
      </c>
      <c r="BU2903">
        <v>9.68</v>
      </c>
      <c r="BV2903">
        <v>10.01</v>
      </c>
      <c r="BW2903">
        <v>5.96</v>
      </c>
      <c r="BX2903">
        <v>9.16</v>
      </c>
      <c r="BY2903">
        <v>24.03</v>
      </c>
      <c r="BZ2903">
        <v>17.98</v>
      </c>
      <c r="CA2903">
        <v>1.1100000000000001</v>
      </c>
      <c r="CB2903">
        <v>0.28999999999999998</v>
      </c>
      <c r="CC2903">
        <v>1.1200000000000001</v>
      </c>
      <c r="CD2903">
        <v>0.88</v>
      </c>
      <c r="CE2903">
        <v>0.81</v>
      </c>
      <c r="CF2903">
        <v>0.55000000000000004</v>
      </c>
      <c r="CG2903">
        <v>9.1199999999999992</v>
      </c>
      <c r="CH2903">
        <v>-0.8</v>
      </c>
      <c r="CI2903">
        <v>-0.32</v>
      </c>
      <c r="CJ2903">
        <v>51289</v>
      </c>
      <c r="CK2903">
        <v>8641</v>
      </c>
      <c r="CL2903" t="s">
        <v>1302</v>
      </c>
      <c r="CM2903">
        <v>-39.89</v>
      </c>
      <c r="CN2903">
        <v>4.8</v>
      </c>
      <c r="CO2903">
        <v>1.78</v>
      </c>
      <c r="CP2903">
        <v>-51.87</v>
      </c>
      <c r="CQ2903">
        <v>1.73</v>
      </c>
      <c r="CR2903">
        <v>0</v>
      </c>
      <c r="CS2903" t="s">
        <v>1195</v>
      </c>
      <c r="CT2903">
        <v>4.26</v>
      </c>
      <c r="CU2903">
        <v>0</v>
      </c>
      <c r="CV2903">
        <v>1.67</v>
      </c>
      <c r="CW2903">
        <v>1.66</v>
      </c>
      <c r="CX2903">
        <v>-0.15</v>
      </c>
      <c r="CY2903">
        <v>55.67</v>
      </c>
      <c r="CZ2903" t="s">
        <v>2165</v>
      </c>
      <c r="DA2903">
        <v>25.19</v>
      </c>
      <c r="DB2903">
        <v>4.62</v>
      </c>
      <c r="DC2903">
        <v>3.38</v>
      </c>
      <c r="DD2903">
        <v>0.77</v>
      </c>
      <c r="DE2903">
        <v>4079</v>
      </c>
      <c r="DF2903">
        <v>600843</v>
      </c>
      <c r="DG2903" t="s">
        <v>116</v>
      </c>
      <c r="DH2903" t="s">
        <v>116</v>
      </c>
      <c r="DI2903" t="s">
        <v>116</v>
      </c>
    </row>
    <row r="2904" spans="1:113" x14ac:dyDescent="0.4">
      <c r="A2904" t="str">
        <f>"600844"</f>
        <v>600844</v>
      </c>
      <c r="B2904" t="s">
        <v>12848</v>
      </c>
      <c r="C2904">
        <v>-0.98</v>
      </c>
      <c r="D2904">
        <v>5.07</v>
      </c>
      <c r="E2904">
        <v>-0.05</v>
      </c>
      <c r="F2904">
        <v>5.0599999999999996</v>
      </c>
      <c r="G2904">
        <v>5.07</v>
      </c>
      <c r="H2904">
        <v>66957</v>
      </c>
      <c r="I2904">
        <v>915</v>
      </c>
      <c r="J2904">
        <v>-0.19</v>
      </c>
      <c r="K2904">
        <v>0.81</v>
      </c>
      <c r="L2904">
        <v>5.13</v>
      </c>
      <c r="M2904">
        <v>5.15</v>
      </c>
      <c r="N2904">
        <v>5.07</v>
      </c>
      <c r="O2904">
        <v>5.12</v>
      </c>
      <c r="P2904" t="s">
        <v>116</v>
      </c>
      <c r="Q2904">
        <v>34104264</v>
      </c>
      <c r="R2904">
        <v>0.32</v>
      </c>
      <c r="S2904" t="s">
        <v>891</v>
      </c>
      <c r="T2904" t="s">
        <v>323</v>
      </c>
      <c r="U2904">
        <v>1.56</v>
      </c>
      <c r="V2904">
        <v>5.09</v>
      </c>
      <c r="W2904">
        <v>40543</v>
      </c>
      <c r="X2904">
        <v>26414</v>
      </c>
      <c r="Y2904">
        <v>1.53</v>
      </c>
      <c r="Z2904">
        <v>1249</v>
      </c>
      <c r="AA2904">
        <v>407</v>
      </c>
      <c r="AB2904" t="s">
        <v>116</v>
      </c>
      <c r="AC2904">
        <v>162100</v>
      </c>
      <c r="AD2904">
        <v>0</v>
      </c>
      <c r="AE2904" t="s">
        <v>116</v>
      </c>
      <c r="AF2904" t="s">
        <v>116</v>
      </c>
      <c r="AG2904">
        <v>8.23</v>
      </c>
      <c r="AH2904" t="s">
        <v>8402</v>
      </c>
      <c r="AI2904" t="s">
        <v>12849</v>
      </c>
      <c r="AJ2904">
        <v>-0.9</v>
      </c>
      <c r="AK2904">
        <v>1279</v>
      </c>
      <c r="AL2904">
        <v>52</v>
      </c>
      <c r="AM2904">
        <v>5.9999999999999995E-4</v>
      </c>
      <c r="AN2904">
        <v>-3</v>
      </c>
      <c r="AO2904">
        <v>-5.6</v>
      </c>
      <c r="AP2904">
        <v>-0.39</v>
      </c>
      <c r="AQ2904">
        <v>5.63</v>
      </c>
      <c r="AR2904">
        <v>60.44</v>
      </c>
      <c r="AS2904">
        <v>1.06</v>
      </c>
      <c r="AT2904" t="s">
        <v>7777</v>
      </c>
      <c r="AU2904" t="s">
        <v>116</v>
      </c>
      <c r="AV2904">
        <v>2505.77</v>
      </c>
      <c r="AW2904">
        <v>1.42</v>
      </c>
      <c r="BA2904">
        <v>0.2</v>
      </c>
      <c r="BB2904">
        <v>0.59</v>
      </c>
      <c r="BC2904">
        <v>-0.98</v>
      </c>
      <c r="BD2904">
        <v>-0.52</v>
      </c>
      <c r="BE2904">
        <v>-1.17</v>
      </c>
      <c r="BF2904">
        <v>-1.55</v>
      </c>
      <c r="BG2904">
        <v>0</v>
      </c>
      <c r="BH2904">
        <v>-0.46</v>
      </c>
      <c r="BI2904">
        <v>20191031</v>
      </c>
      <c r="BJ2904">
        <v>19940311</v>
      </c>
      <c r="BK2904">
        <v>10.17</v>
      </c>
      <c r="BL2904">
        <v>1.94</v>
      </c>
      <c r="BM2904" t="s">
        <v>116</v>
      </c>
      <c r="BN2904">
        <v>35.020000000000003</v>
      </c>
      <c r="BO2904">
        <v>19</v>
      </c>
      <c r="BP2904">
        <v>5.7</v>
      </c>
      <c r="BQ2904">
        <v>29.48</v>
      </c>
      <c r="BR2904">
        <v>7.41</v>
      </c>
      <c r="BS2904">
        <v>20.36</v>
      </c>
      <c r="BT2904">
        <v>1.54</v>
      </c>
      <c r="BU2904">
        <v>9.92</v>
      </c>
      <c r="BV2904">
        <v>4.04</v>
      </c>
      <c r="BW2904">
        <v>0.42</v>
      </c>
      <c r="BX2904">
        <v>17.62</v>
      </c>
      <c r="BY2904">
        <v>6.71</v>
      </c>
      <c r="BZ2904">
        <v>7.02</v>
      </c>
      <c r="CA2904">
        <v>-2.83</v>
      </c>
      <c r="CB2904">
        <v>-0.27</v>
      </c>
      <c r="CC2904">
        <v>-2.89</v>
      </c>
      <c r="CD2904">
        <v>-2.89</v>
      </c>
      <c r="CE2904">
        <v>-2.25</v>
      </c>
      <c r="CF2904">
        <v>-2.2400000000000002</v>
      </c>
      <c r="CG2904">
        <v>-9.35</v>
      </c>
      <c r="CH2904">
        <v>3.06</v>
      </c>
      <c r="CI2904">
        <v>-0.38</v>
      </c>
      <c r="CJ2904">
        <v>46682</v>
      </c>
      <c r="CK2904">
        <v>17746</v>
      </c>
      <c r="CL2904" t="s">
        <v>12850</v>
      </c>
      <c r="CM2904">
        <v>-7822.64</v>
      </c>
      <c r="CN2904">
        <v>-33.630000000000003</v>
      </c>
      <c r="CO2904">
        <v>2.71</v>
      </c>
      <c r="CP2904">
        <v>16.850000000000001</v>
      </c>
      <c r="CQ2904">
        <v>7.68</v>
      </c>
      <c r="CR2904">
        <v>0</v>
      </c>
      <c r="CS2904" t="s">
        <v>12851</v>
      </c>
      <c r="CT2904">
        <v>1.87</v>
      </c>
      <c r="CU2904">
        <v>0</v>
      </c>
      <c r="CV2904">
        <v>1.73</v>
      </c>
      <c r="CW2904">
        <v>-0.92</v>
      </c>
      <c r="CX2904">
        <v>0.3</v>
      </c>
      <c r="CY2904">
        <v>54.25</v>
      </c>
      <c r="CZ2904" t="s">
        <v>12852</v>
      </c>
      <c r="DA2904">
        <v>-4.66</v>
      </c>
      <c r="DB2904">
        <v>-42.17</v>
      </c>
      <c r="DC2904">
        <v>-33.5</v>
      </c>
      <c r="DD2904">
        <v>0.31</v>
      </c>
      <c r="DE2904">
        <v>1347</v>
      </c>
      <c r="DF2904">
        <v>600844</v>
      </c>
      <c r="DG2904" t="s">
        <v>116</v>
      </c>
      <c r="DH2904" t="s">
        <v>116</v>
      </c>
      <c r="DI2904" t="s">
        <v>116</v>
      </c>
    </row>
    <row r="2905" spans="1:113" x14ac:dyDescent="0.4">
      <c r="A2905" t="str">
        <f>"600845"</f>
        <v>600845</v>
      </c>
      <c r="B2905" t="s">
        <v>12853</v>
      </c>
      <c r="C2905">
        <v>-0.66</v>
      </c>
      <c r="D2905">
        <v>32.950000000000003</v>
      </c>
      <c r="E2905">
        <v>-0.22</v>
      </c>
      <c r="F2905">
        <v>32.94</v>
      </c>
      <c r="G2905">
        <v>32.950000000000003</v>
      </c>
      <c r="H2905">
        <v>53569</v>
      </c>
      <c r="I2905">
        <v>852</v>
      </c>
      <c r="J2905">
        <v>0.37</v>
      </c>
      <c r="K2905">
        <v>0.64</v>
      </c>
      <c r="L2905">
        <v>33.380000000000003</v>
      </c>
      <c r="M2905">
        <v>33.47</v>
      </c>
      <c r="N2905">
        <v>32.75</v>
      </c>
      <c r="O2905">
        <v>33.17</v>
      </c>
      <c r="P2905">
        <v>46.38</v>
      </c>
      <c r="Q2905">
        <v>177151872</v>
      </c>
      <c r="R2905">
        <v>0.72</v>
      </c>
      <c r="S2905" t="s">
        <v>607</v>
      </c>
      <c r="T2905" t="s">
        <v>1653</v>
      </c>
      <c r="U2905">
        <v>2.17</v>
      </c>
      <c r="V2905">
        <v>33.07</v>
      </c>
      <c r="W2905">
        <v>29879</v>
      </c>
      <c r="X2905">
        <v>23690</v>
      </c>
      <c r="Y2905">
        <v>1.26</v>
      </c>
      <c r="Z2905">
        <v>1</v>
      </c>
      <c r="AA2905">
        <v>117</v>
      </c>
      <c r="AB2905" t="s">
        <v>116</v>
      </c>
      <c r="AC2905">
        <v>230300</v>
      </c>
      <c r="AD2905">
        <v>0</v>
      </c>
      <c r="AE2905" t="s">
        <v>116</v>
      </c>
      <c r="AF2905" t="s">
        <v>116</v>
      </c>
      <c r="AG2905">
        <v>8.33</v>
      </c>
      <c r="AH2905" t="s">
        <v>12854</v>
      </c>
      <c r="AI2905" t="s">
        <v>12855</v>
      </c>
      <c r="AJ2905">
        <v>-0.59</v>
      </c>
      <c r="AK2905">
        <v>3108</v>
      </c>
      <c r="AL2905">
        <v>17</v>
      </c>
      <c r="AM2905">
        <v>2.0000000000000001E-4</v>
      </c>
      <c r="AN2905">
        <v>-2</v>
      </c>
      <c r="AO2905">
        <v>-0.6</v>
      </c>
      <c r="AP2905">
        <v>-4.5999999999999996</v>
      </c>
      <c r="AQ2905">
        <v>-7</v>
      </c>
      <c r="AR2905">
        <v>109.28</v>
      </c>
      <c r="AS2905">
        <v>2.11</v>
      </c>
      <c r="AT2905" t="s">
        <v>12856</v>
      </c>
      <c r="AU2905">
        <v>47.57</v>
      </c>
      <c r="AV2905">
        <v>56.16</v>
      </c>
      <c r="AW2905">
        <v>0.86</v>
      </c>
      <c r="BA2905">
        <v>0.63</v>
      </c>
      <c r="BB2905">
        <v>0.9</v>
      </c>
      <c r="BC2905">
        <v>-1.27</v>
      </c>
      <c r="BD2905">
        <v>-0.3</v>
      </c>
      <c r="BE2905">
        <v>-1.29</v>
      </c>
      <c r="BF2905">
        <v>-1.55</v>
      </c>
      <c r="BG2905">
        <v>0.61</v>
      </c>
      <c r="BH2905">
        <v>-0.36</v>
      </c>
      <c r="BI2905">
        <v>20191211</v>
      </c>
      <c r="BJ2905">
        <v>19940311</v>
      </c>
      <c r="BK2905">
        <v>11.4</v>
      </c>
      <c r="BL2905">
        <v>2.97</v>
      </c>
      <c r="BM2905" t="s">
        <v>116</v>
      </c>
      <c r="BN2905">
        <v>107.39</v>
      </c>
      <c r="BO2905">
        <v>67.92</v>
      </c>
      <c r="BP2905">
        <v>2.12</v>
      </c>
      <c r="BQ2905">
        <v>34.79</v>
      </c>
      <c r="BR2905">
        <v>77.47</v>
      </c>
      <c r="BS2905">
        <v>11.26</v>
      </c>
      <c r="BT2905">
        <v>1.1200000000000001</v>
      </c>
      <c r="BU2905">
        <v>36.479999999999997</v>
      </c>
      <c r="BV2905">
        <v>9.52</v>
      </c>
      <c r="BW2905">
        <v>21.88</v>
      </c>
      <c r="BX2905">
        <v>26.87</v>
      </c>
      <c r="BY2905">
        <v>45.19</v>
      </c>
      <c r="BZ2905">
        <v>31.68</v>
      </c>
      <c r="CA2905">
        <v>7.19</v>
      </c>
      <c r="CB2905">
        <v>0.01</v>
      </c>
      <c r="CC2905">
        <v>7.2</v>
      </c>
      <c r="CD2905">
        <v>6.38</v>
      </c>
      <c r="CE2905">
        <v>6.08</v>
      </c>
      <c r="CF2905">
        <v>5.9</v>
      </c>
      <c r="CG2905">
        <v>26.98</v>
      </c>
      <c r="CH2905">
        <v>8.76</v>
      </c>
      <c r="CI2905">
        <v>-3</v>
      </c>
      <c r="CJ2905">
        <v>41875</v>
      </c>
      <c r="CK2905">
        <v>13160</v>
      </c>
      <c r="CL2905" t="s">
        <v>12857</v>
      </c>
      <c r="CM2905">
        <v>24.82</v>
      </c>
      <c r="CN2905">
        <v>12.01</v>
      </c>
      <c r="CO2905">
        <v>5.53</v>
      </c>
      <c r="CP2905">
        <v>42.92</v>
      </c>
      <c r="CQ2905">
        <v>8.31</v>
      </c>
      <c r="CR2905">
        <v>0.89</v>
      </c>
      <c r="CS2905" t="s">
        <v>1892</v>
      </c>
      <c r="CT2905">
        <v>5.96</v>
      </c>
      <c r="CU2905">
        <v>0</v>
      </c>
      <c r="CV2905">
        <v>2.36</v>
      </c>
      <c r="CW2905">
        <v>2.37</v>
      </c>
      <c r="CX2905">
        <v>0.77</v>
      </c>
      <c r="CY2905">
        <v>63.24</v>
      </c>
      <c r="CZ2905" t="s">
        <v>3515</v>
      </c>
      <c r="DA2905">
        <v>29.89</v>
      </c>
      <c r="DB2905">
        <v>15.92</v>
      </c>
      <c r="DC2905">
        <v>13.44</v>
      </c>
      <c r="DD2905">
        <v>4.47</v>
      </c>
      <c r="DE2905">
        <v>3952</v>
      </c>
      <c r="DF2905">
        <v>600845</v>
      </c>
      <c r="DG2905" t="s">
        <v>116</v>
      </c>
      <c r="DH2905" t="s">
        <v>116</v>
      </c>
      <c r="DI2905" t="s">
        <v>116</v>
      </c>
    </row>
    <row r="2906" spans="1:113" x14ac:dyDescent="0.4">
      <c r="A2906" t="str">
        <f>"600846"</f>
        <v>600846</v>
      </c>
      <c r="B2906" t="s">
        <v>12858</v>
      </c>
      <c r="C2906">
        <v>-3.4</v>
      </c>
      <c r="D2906">
        <v>9.1</v>
      </c>
      <c r="E2906">
        <v>-0.32</v>
      </c>
      <c r="F2906">
        <v>9.1</v>
      </c>
      <c r="G2906">
        <v>9.11</v>
      </c>
      <c r="H2906">
        <v>268212</v>
      </c>
      <c r="I2906">
        <v>1671</v>
      </c>
      <c r="J2906">
        <v>0</v>
      </c>
      <c r="K2906">
        <v>4.29</v>
      </c>
      <c r="L2906">
        <v>9.42</v>
      </c>
      <c r="M2906">
        <v>9.42</v>
      </c>
      <c r="N2906">
        <v>9.08</v>
      </c>
      <c r="O2906">
        <v>9.42</v>
      </c>
      <c r="P2906">
        <v>13.22</v>
      </c>
      <c r="Q2906">
        <v>247576080</v>
      </c>
      <c r="R2906">
        <v>1.1399999999999999</v>
      </c>
      <c r="S2906" t="s">
        <v>181</v>
      </c>
      <c r="T2906" t="s">
        <v>1653</v>
      </c>
      <c r="U2906">
        <v>3.61</v>
      </c>
      <c r="V2906">
        <v>9.23</v>
      </c>
      <c r="W2906">
        <v>167022</v>
      </c>
      <c r="X2906">
        <v>101190</v>
      </c>
      <c r="Y2906">
        <v>1.65</v>
      </c>
      <c r="Z2906">
        <v>148</v>
      </c>
      <c r="AA2906">
        <v>1052</v>
      </c>
      <c r="AB2906" t="s">
        <v>116</v>
      </c>
      <c r="AC2906">
        <v>900600</v>
      </c>
      <c r="AD2906">
        <v>0.02</v>
      </c>
      <c r="AE2906" t="s">
        <v>116</v>
      </c>
      <c r="AF2906" t="s">
        <v>116</v>
      </c>
      <c r="AG2906">
        <v>6.25</v>
      </c>
      <c r="AH2906" t="s">
        <v>12859</v>
      </c>
      <c r="AI2906" t="s">
        <v>12859</v>
      </c>
      <c r="AJ2906">
        <v>-3.32</v>
      </c>
      <c r="AK2906">
        <v>3693</v>
      </c>
      <c r="AL2906">
        <v>73</v>
      </c>
      <c r="AM2906">
        <v>1.1999999999999999E-3</v>
      </c>
      <c r="AN2906">
        <v>-1</v>
      </c>
      <c r="AO2906">
        <v>-4.21</v>
      </c>
      <c r="AP2906">
        <v>5.2</v>
      </c>
      <c r="AQ2906">
        <v>15.92</v>
      </c>
      <c r="AR2906">
        <v>30</v>
      </c>
      <c r="AS2906">
        <v>5.6</v>
      </c>
      <c r="AT2906" t="s">
        <v>12860</v>
      </c>
      <c r="AU2906">
        <v>11.92</v>
      </c>
      <c r="AV2906">
        <v>18.87</v>
      </c>
      <c r="AW2906">
        <v>1.36</v>
      </c>
      <c r="BA2906">
        <v>0</v>
      </c>
      <c r="BB2906">
        <v>0</v>
      </c>
      <c r="BC2906">
        <v>-3.61</v>
      </c>
      <c r="BD2906">
        <v>-2.0099999999999998</v>
      </c>
      <c r="BE2906">
        <v>-3.4</v>
      </c>
      <c r="BF2906">
        <v>-3.4</v>
      </c>
      <c r="BG2906">
        <v>0.22</v>
      </c>
      <c r="BH2906">
        <v>-1.39</v>
      </c>
      <c r="BI2906">
        <v>20191031</v>
      </c>
      <c r="BJ2906">
        <v>19940311</v>
      </c>
      <c r="BK2906">
        <v>6.25</v>
      </c>
      <c r="BL2906" t="s">
        <v>116</v>
      </c>
      <c r="BM2906" t="s">
        <v>116</v>
      </c>
      <c r="BN2906">
        <v>129.25</v>
      </c>
      <c r="BO2906">
        <v>25.07</v>
      </c>
      <c r="BP2906">
        <v>7.42</v>
      </c>
      <c r="BQ2906">
        <v>74.87</v>
      </c>
      <c r="BR2906">
        <v>111.54</v>
      </c>
      <c r="BS2906">
        <v>1.49</v>
      </c>
      <c r="BT2906">
        <v>7.47</v>
      </c>
      <c r="BU2906">
        <v>86.61</v>
      </c>
      <c r="BV2906">
        <v>58.66</v>
      </c>
      <c r="BW2906">
        <v>7.6</v>
      </c>
      <c r="BX2906">
        <v>1.99</v>
      </c>
      <c r="BY2906">
        <v>41.37</v>
      </c>
      <c r="BZ2906">
        <v>28.75</v>
      </c>
      <c r="CA2906">
        <v>7.05</v>
      </c>
      <c r="CB2906">
        <v>0.52</v>
      </c>
      <c r="CC2906">
        <v>7.24</v>
      </c>
      <c r="CD2906">
        <v>5.24</v>
      </c>
      <c r="CE2906">
        <v>3.23</v>
      </c>
      <c r="CF2906">
        <v>3.1</v>
      </c>
      <c r="CG2906">
        <v>15.27</v>
      </c>
      <c r="CH2906">
        <v>-2.35</v>
      </c>
      <c r="CI2906">
        <v>-0.18</v>
      </c>
      <c r="CJ2906">
        <v>81399</v>
      </c>
      <c r="CK2906">
        <v>5881</v>
      </c>
      <c r="CL2906" t="s">
        <v>4525</v>
      </c>
      <c r="CM2906">
        <v>119.49</v>
      </c>
      <c r="CN2906">
        <v>107.66</v>
      </c>
      <c r="CO2906">
        <v>2.27</v>
      </c>
      <c r="CP2906">
        <v>-24.17</v>
      </c>
      <c r="CQ2906">
        <v>1.37</v>
      </c>
      <c r="CR2906">
        <v>1.65</v>
      </c>
      <c r="CS2906" t="s">
        <v>12861</v>
      </c>
      <c r="CT2906">
        <v>4.01</v>
      </c>
      <c r="CU2906">
        <v>0</v>
      </c>
      <c r="CV2906">
        <v>0.32</v>
      </c>
      <c r="CW2906">
        <v>2.44</v>
      </c>
      <c r="CX2906">
        <v>-0.38</v>
      </c>
      <c r="CY2906">
        <v>19.39</v>
      </c>
      <c r="CZ2906" t="s">
        <v>7953</v>
      </c>
      <c r="DA2906">
        <v>30.5</v>
      </c>
      <c r="DB2906">
        <v>17.03</v>
      </c>
      <c r="DC2906">
        <v>7.8</v>
      </c>
      <c r="DD2906">
        <v>0.09</v>
      </c>
      <c r="DE2906">
        <v>2397</v>
      </c>
      <c r="DF2906">
        <v>600846</v>
      </c>
      <c r="DG2906" t="s">
        <v>116</v>
      </c>
      <c r="DH2906" t="s">
        <v>116</v>
      </c>
      <c r="DI2906" t="s">
        <v>116</v>
      </c>
    </row>
    <row r="2907" spans="1:113" x14ac:dyDescent="0.4">
      <c r="A2907" t="str">
        <f>"600847"</f>
        <v>600847</v>
      </c>
      <c r="B2907" t="s">
        <v>12862</v>
      </c>
      <c r="C2907">
        <v>0</v>
      </c>
      <c r="D2907">
        <v>12.08</v>
      </c>
      <c r="E2907">
        <v>0</v>
      </c>
      <c r="F2907">
        <v>12.08</v>
      </c>
      <c r="G2907">
        <v>12.09</v>
      </c>
      <c r="H2907">
        <v>58157</v>
      </c>
      <c r="I2907">
        <v>886</v>
      </c>
      <c r="J2907">
        <v>-0.89</v>
      </c>
      <c r="K2907">
        <v>3.79</v>
      </c>
      <c r="L2907">
        <v>13</v>
      </c>
      <c r="M2907">
        <v>13.14</v>
      </c>
      <c r="N2907">
        <v>12</v>
      </c>
      <c r="O2907">
        <v>12.08</v>
      </c>
      <c r="P2907">
        <v>2407.7399999999998</v>
      </c>
      <c r="Q2907">
        <v>73290936</v>
      </c>
      <c r="R2907">
        <v>7.34</v>
      </c>
      <c r="S2907" t="s">
        <v>397</v>
      </c>
      <c r="T2907" t="s">
        <v>906</v>
      </c>
      <c r="U2907">
        <v>9.44</v>
      </c>
      <c r="V2907">
        <v>12.6</v>
      </c>
      <c r="W2907">
        <v>29274</v>
      </c>
      <c r="X2907">
        <v>28883</v>
      </c>
      <c r="Y2907">
        <v>1.01</v>
      </c>
      <c r="Z2907">
        <v>491</v>
      </c>
      <c r="AA2907">
        <v>45</v>
      </c>
      <c r="AB2907" t="s">
        <v>116</v>
      </c>
      <c r="AC2907">
        <v>3198000</v>
      </c>
      <c r="AD2907">
        <v>0.21</v>
      </c>
      <c r="AE2907" t="s">
        <v>116</v>
      </c>
      <c r="AF2907" t="s">
        <v>116</v>
      </c>
      <c r="AG2907">
        <v>1.53</v>
      </c>
      <c r="AH2907" t="s">
        <v>1084</v>
      </c>
      <c r="AI2907" t="s">
        <v>1084</v>
      </c>
      <c r="AJ2907">
        <v>0.08</v>
      </c>
      <c r="AK2907">
        <v>1629</v>
      </c>
      <c r="AL2907">
        <v>36</v>
      </c>
      <c r="AM2907">
        <v>2.3E-3</v>
      </c>
      <c r="AN2907">
        <v>0</v>
      </c>
      <c r="AO2907">
        <v>10.82</v>
      </c>
      <c r="AP2907">
        <v>19.25</v>
      </c>
      <c r="AQ2907">
        <v>6.24</v>
      </c>
      <c r="AR2907">
        <v>4.95</v>
      </c>
      <c r="AS2907">
        <v>4.92</v>
      </c>
      <c r="AT2907" t="s">
        <v>12863</v>
      </c>
      <c r="AU2907" t="s">
        <v>116</v>
      </c>
      <c r="AV2907" t="s">
        <v>116</v>
      </c>
      <c r="AW2907">
        <v>1.55</v>
      </c>
      <c r="BA2907">
        <v>7.62</v>
      </c>
      <c r="BB2907">
        <v>8.77</v>
      </c>
      <c r="BC2907">
        <v>-0.66</v>
      </c>
      <c r="BD2907">
        <v>4.32</v>
      </c>
      <c r="BE2907">
        <v>-7.08</v>
      </c>
      <c r="BF2907">
        <v>-8.07</v>
      </c>
      <c r="BG2907">
        <v>0.67</v>
      </c>
      <c r="BH2907">
        <v>-4.32</v>
      </c>
      <c r="BI2907">
        <v>20191031</v>
      </c>
      <c r="BJ2907">
        <v>19940324</v>
      </c>
      <c r="BK2907">
        <v>1.53</v>
      </c>
      <c r="BL2907" t="s">
        <v>116</v>
      </c>
      <c r="BM2907" t="s">
        <v>116</v>
      </c>
      <c r="BN2907">
        <v>7.31</v>
      </c>
      <c r="BO2907">
        <v>6.83</v>
      </c>
      <c r="BP2907">
        <v>0</v>
      </c>
      <c r="BQ2907">
        <v>6.59</v>
      </c>
      <c r="BR2907">
        <v>4.25</v>
      </c>
      <c r="BS2907">
        <v>2.83</v>
      </c>
      <c r="BT2907">
        <v>0.19</v>
      </c>
      <c r="BU2907">
        <v>0.43</v>
      </c>
      <c r="BV2907">
        <v>1.1399999999999999</v>
      </c>
      <c r="BW2907">
        <v>0.95</v>
      </c>
      <c r="BX2907">
        <v>8.0399999999999991</v>
      </c>
      <c r="BY2907">
        <v>3.97</v>
      </c>
      <c r="BZ2907">
        <v>3.47</v>
      </c>
      <c r="CA2907">
        <v>0.01</v>
      </c>
      <c r="CB2907">
        <v>0</v>
      </c>
      <c r="CC2907">
        <v>0.01</v>
      </c>
      <c r="CD2907">
        <v>0.01</v>
      </c>
      <c r="CE2907">
        <v>0.01</v>
      </c>
      <c r="CF2907">
        <v>-0.02</v>
      </c>
      <c r="CG2907">
        <v>-2.75</v>
      </c>
      <c r="CH2907">
        <v>-0.03</v>
      </c>
      <c r="CI2907">
        <v>-0.04</v>
      </c>
      <c r="CJ2907">
        <v>6575</v>
      </c>
      <c r="CK2907">
        <v>17966</v>
      </c>
      <c r="CL2907" t="s">
        <v>12864</v>
      </c>
      <c r="CM2907">
        <v>115.19</v>
      </c>
      <c r="CN2907">
        <v>-2.44</v>
      </c>
      <c r="CO2907">
        <v>2.71</v>
      </c>
      <c r="CP2907">
        <v>-577</v>
      </c>
      <c r="CQ2907">
        <v>4.66</v>
      </c>
      <c r="CR2907">
        <v>0</v>
      </c>
      <c r="CS2907" t="s">
        <v>2001</v>
      </c>
      <c r="CT2907">
        <v>4.45</v>
      </c>
      <c r="CU2907">
        <v>0</v>
      </c>
      <c r="CV2907">
        <v>5.24</v>
      </c>
      <c r="CW2907">
        <v>-1.79</v>
      </c>
      <c r="CX2907">
        <v>-0.02</v>
      </c>
      <c r="CY2907">
        <v>93.41</v>
      </c>
      <c r="CZ2907" t="s">
        <v>6203</v>
      </c>
      <c r="DA2907">
        <v>12.78</v>
      </c>
      <c r="DB2907">
        <v>0.17</v>
      </c>
      <c r="DC2907">
        <v>0.15</v>
      </c>
      <c r="DD2907">
        <v>0.01</v>
      </c>
      <c r="DE2907">
        <v>543</v>
      </c>
      <c r="DF2907">
        <v>600847</v>
      </c>
      <c r="DG2907" t="s">
        <v>116</v>
      </c>
      <c r="DH2907" t="s">
        <v>116</v>
      </c>
      <c r="DI2907" t="s">
        <v>116</v>
      </c>
    </row>
    <row r="2908" spans="1:113" x14ac:dyDescent="0.4">
      <c r="A2908" t="str">
        <f>"600848"</f>
        <v>600848</v>
      </c>
      <c r="B2908" t="s">
        <v>12865</v>
      </c>
      <c r="C2908">
        <v>-0.96</v>
      </c>
      <c r="D2908">
        <v>23.75</v>
      </c>
      <c r="E2908">
        <v>-0.23</v>
      </c>
      <c r="F2908">
        <v>23.75</v>
      </c>
      <c r="G2908">
        <v>23.76</v>
      </c>
      <c r="H2908">
        <v>36809</v>
      </c>
      <c r="I2908">
        <v>739</v>
      </c>
      <c r="J2908">
        <v>-0.16</v>
      </c>
      <c r="K2908">
        <v>0.47</v>
      </c>
      <c r="L2908">
        <v>23.97</v>
      </c>
      <c r="M2908">
        <v>24.09</v>
      </c>
      <c r="N2908">
        <v>23.75</v>
      </c>
      <c r="O2908">
        <v>23.98</v>
      </c>
      <c r="P2908">
        <v>31.12</v>
      </c>
      <c r="Q2908">
        <v>88136912</v>
      </c>
      <c r="R2908">
        <v>0.99</v>
      </c>
      <c r="S2908" t="s">
        <v>1503</v>
      </c>
      <c r="T2908" t="s">
        <v>1653</v>
      </c>
      <c r="U2908">
        <v>1.42</v>
      </c>
      <c r="V2908">
        <v>23.94</v>
      </c>
      <c r="W2908">
        <v>23721</v>
      </c>
      <c r="X2908">
        <v>13088</v>
      </c>
      <c r="Y2908">
        <v>1.81</v>
      </c>
      <c r="Z2908">
        <v>19</v>
      </c>
      <c r="AA2908">
        <v>65</v>
      </c>
      <c r="AB2908" t="s">
        <v>116</v>
      </c>
      <c r="AC2908">
        <v>278100</v>
      </c>
      <c r="AD2908">
        <v>0</v>
      </c>
      <c r="AE2908" t="s">
        <v>116</v>
      </c>
      <c r="AF2908" t="s">
        <v>116</v>
      </c>
      <c r="AG2908">
        <v>7.88</v>
      </c>
      <c r="AH2908" t="s">
        <v>12866</v>
      </c>
      <c r="AI2908" t="s">
        <v>12867</v>
      </c>
      <c r="AJ2908">
        <v>-0.88</v>
      </c>
      <c r="AK2908">
        <v>2101</v>
      </c>
      <c r="AL2908">
        <v>18</v>
      </c>
      <c r="AM2908">
        <v>2.0000000000000001E-4</v>
      </c>
      <c r="AN2908">
        <v>-1</v>
      </c>
      <c r="AO2908">
        <v>-2.14</v>
      </c>
      <c r="AP2908">
        <v>2.15</v>
      </c>
      <c r="AQ2908">
        <v>-9.73</v>
      </c>
      <c r="AR2908">
        <v>15.52</v>
      </c>
      <c r="AS2908">
        <v>0.96</v>
      </c>
      <c r="AT2908" t="s">
        <v>9186</v>
      </c>
      <c r="AU2908">
        <v>78.03</v>
      </c>
      <c r="AV2908">
        <v>114.69</v>
      </c>
      <c r="AW2908">
        <v>0.99</v>
      </c>
      <c r="BA2908">
        <v>-0.04</v>
      </c>
      <c r="BB2908">
        <v>0.46</v>
      </c>
      <c r="BC2908">
        <v>-0.96</v>
      </c>
      <c r="BD2908">
        <v>-0.15</v>
      </c>
      <c r="BE2908">
        <v>-0.92</v>
      </c>
      <c r="BF2908">
        <v>-1.41</v>
      </c>
      <c r="BG2908">
        <v>0</v>
      </c>
      <c r="BH2908">
        <v>-0.81</v>
      </c>
      <c r="BI2908">
        <v>20191204</v>
      </c>
      <c r="BJ2908">
        <v>19940324</v>
      </c>
      <c r="BK2908">
        <v>21.02</v>
      </c>
      <c r="BL2908">
        <v>1.07</v>
      </c>
      <c r="BM2908" t="s">
        <v>116</v>
      </c>
      <c r="BN2908">
        <v>328.66</v>
      </c>
      <c r="BO2908">
        <v>87.59</v>
      </c>
      <c r="BP2908">
        <v>26.17</v>
      </c>
      <c r="BQ2908">
        <v>65.38</v>
      </c>
      <c r="BR2908">
        <v>197.32</v>
      </c>
      <c r="BS2908">
        <v>3.97</v>
      </c>
      <c r="BT2908">
        <v>0.05</v>
      </c>
      <c r="BU2908">
        <v>121.5</v>
      </c>
      <c r="BV2908">
        <v>150.09</v>
      </c>
      <c r="BW2908">
        <v>4.95</v>
      </c>
      <c r="BX2908">
        <v>31.08</v>
      </c>
      <c r="BY2908">
        <v>32.590000000000003</v>
      </c>
      <c r="BZ2908">
        <v>10.34</v>
      </c>
      <c r="CA2908">
        <v>15.84</v>
      </c>
      <c r="CB2908">
        <v>3.47</v>
      </c>
      <c r="CC2908">
        <v>15.88</v>
      </c>
      <c r="CD2908">
        <v>13</v>
      </c>
      <c r="CE2908">
        <v>12.03</v>
      </c>
      <c r="CF2908">
        <v>2.14</v>
      </c>
      <c r="CG2908">
        <v>26.95</v>
      </c>
      <c r="CH2908">
        <v>-36.770000000000003</v>
      </c>
      <c r="CI2908">
        <v>-7.0000000000000007E-2</v>
      </c>
      <c r="CJ2908">
        <v>67990</v>
      </c>
      <c r="CK2908">
        <v>7232</v>
      </c>
      <c r="CL2908" t="s">
        <v>9284</v>
      </c>
      <c r="CM2908">
        <v>20.47</v>
      </c>
      <c r="CN2908">
        <v>-14.46</v>
      </c>
      <c r="CO2908">
        <v>5.16</v>
      </c>
      <c r="CP2908">
        <v>-13.58</v>
      </c>
      <c r="CQ2908">
        <v>15.32</v>
      </c>
      <c r="CR2908">
        <v>0.27</v>
      </c>
      <c r="CS2908" t="s">
        <v>4250</v>
      </c>
      <c r="CT2908">
        <v>4.5999999999999996</v>
      </c>
      <c r="CU2908">
        <v>4.5999999999999996</v>
      </c>
      <c r="CV2908">
        <v>1.48</v>
      </c>
      <c r="CW2908">
        <v>1.28</v>
      </c>
      <c r="CX2908">
        <v>-1.75</v>
      </c>
      <c r="CY2908">
        <v>26.65</v>
      </c>
      <c r="CZ2908" t="s">
        <v>12868</v>
      </c>
      <c r="DA2908">
        <v>68.290000000000006</v>
      </c>
      <c r="DB2908">
        <v>48.61</v>
      </c>
      <c r="DC2908">
        <v>36.92</v>
      </c>
      <c r="DD2908">
        <v>0</v>
      </c>
      <c r="DE2908">
        <v>322</v>
      </c>
      <c r="DF2908">
        <v>600848</v>
      </c>
      <c r="DG2908" t="s">
        <v>116</v>
      </c>
      <c r="DH2908" t="s">
        <v>116</v>
      </c>
      <c r="DI2908" t="s">
        <v>116</v>
      </c>
    </row>
    <row r="2909" spans="1:113" x14ac:dyDescent="0.4">
      <c r="A2909" t="str">
        <f>"600850"</f>
        <v>600850</v>
      </c>
      <c r="B2909" t="s">
        <v>12869</v>
      </c>
      <c r="C2909">
        <v>-2.84</v>
      </c>
      <c r="D2909">
        <v>24.97</v>
      </c>
      <c r="E2909">
        <v>-0.73</v>
      </c>
      <c r="F2909">
        <v>24.97</v>
      </c>
      <c r="G2909">
        <v>24.98</v>
      </c>
      <c r="H2909">
        <v>45016</v>
      </c>
      <c r="I2909">
        <v>918</v>
      </c>
      <c r="J2909">
        <v>-0.11</v>
      </c>
      <c r="K2909">
        <v>1.06</v>
      </c>
      <c r="L2909">
        <v>25.68</v>
      </c>
      <c r="M2909">
        <v>25.76</v>
      </c>
      <c r="N2909">
        <v>24.95</v>
      </c>
      <c r="O2909">
        <v>25.7</v>
      </c>
      <c r="P2909">
        <v>30.62</v>
      </c>
      <c r="Q2909">
        <v>114192448</v>
      </c>
      <c r="R2909">
        <v>1.1399999999999999</v>
      </c>
      <c r="S2909" t="s">
        <v>607</v>
      </c>
      <c r="T2909" t="s">
        <v>1653</v>
      </c>
      <c r="U2909">
        <v>3.15</v>
      </c>
      <c r="V2909">
        <v>25.37</v>
      </c>
      <c r="W2909">
        <v>30571</v>
      </c>
      <c r="X2909">
        <v>14445</v>
      </c>
      <c r="Y2909">
        <v>2.12</v>
      </c>
      <c r="Z2909">
        <v>106</v>
      </c>
      <c r="AA2909">
        <v>159</v>
      </c>
      <c r="AB2909" t="s">
        <v>116</v>
      </c>
      <c r="AC2909">
        <v>184900</v>
      </c>
      <c r="AD2909">
        <v>0</v>
      </c>
      <c r="AE2909" t="s">
        <v>116</v>
      </c>
      <c r="AF2909" t="s">
        <v>116</v>
      </c>
      <c r="AG2909">
        <v>4.26</v>
      </c>
      <c r="AH2909" t="s">
        <v>12870</v>
      </c>
      <c r="AI2909" t="s">
        <v>12870</v>
      </c>
      <c r="AJ2909">
        <v>-2.76</v>
      </c>
      <c r="AK2909">
        <v>2028</v>
      </c>
      <c r="AL2909">
        <v>22</v>
      </c>
      <c r="AM2909">
        <v>5.0000000000000001E-4</v>
      </c>
      <c r="AN2909">
        <v>-1</v>
      </c>
      <c r="AO2909">
        <v>-1.03</v>
      </c>
      <c r="AP2909">
        <v>3.65</v>
      </c>
      <c r="AQ2909">
        <v>-1.92</v>
      </c>
      <c r="AR2909">
        <v>62.04</v>
      </c>
      <c r="AS2909">
        <v>1.83</v>
      </c>
      <c r="AT2909" t="s">
        <v>12871</v>
      </c>
      <c r="AU2909">
        <v>34.17</v>
      </c>
      <c r="AV2909">
        <v>35.19</v>
      </c>
      <c r="AW2909">
        <v>1.46</v>
      </c>
      <c r="BA2909">
        <v>-0.08</v>
      </c>
      <c r="BB2909">
        <v>0.23</v>
      </c>
      <c r="BC2909">
        <v>-2.92</v>
      </c>
      <c r="BD2909">
        <v>-1.3</v>
      </c>
      <c r="BE2909">
        <v>-2.76</v>
      </c>
      <c r="BF2909">
        <v>-3.07</v>
      </c>
      <c r="BG2909">
        <v>0.08</v>
      </c>
      <c r="BH2909">
        <v>-1.54</v>
      </c>
      <c r="BI2909">
        <v>20191019</v>
      </c>
      <c r="BJ2909">
        <v>19940324</v>
      </c>
      <c r="BK2909">
        <v>4.26</v>
      </c>
      <c r="BL2909" t="s">
        <v>116</v>
      </c>
      <c r="BM2909" t="s">
        <v>116</v>
      </c>
      <c r="BN2909">
        <v>61.76</v>
      </c>
      <c r="BO2909">
        <v>24.93</v>
      </c>
      <c r="BP2909">
        <v>1.61</v>
      </c>
      <c r="BQ2909">
        <v>57.03</v>
      </c>
      <c r="BR2909">
        <v>59.92</v>
      </c>
      <c r="BS2909">
        <v>0.31</v>
      </c>
      <c r="BT2909">
        <v>0.41</v>
      </c>
      <c r="BU2909">
        <v>35.21</v>
      </c>
      <c r="BV2909">
        <v>33.119999999999997</v>
      </c>
      <c r="BW2909">
        <v>10.01</v>
      </c>
      <c r="BX2909">
        <v>0.63</v>
      </c>
      <c r="BY2909">
        <v>51.89</v>
      </c>
      <c r="BZ2909">
        <v>43.57</v>
      </c>
      <c r="CA2909">
        <v>2.97</v>
      </c>
      <c r="CB2909">
        <v>-0.01</v>
      </c>
      <c r="CC2909">
        <v>2.98</v>
      </c>
      <c r="CD2909">
        <v>2.62</v>
      </c>
      <c r="CE2909">
        <v>2.61</v>
      </c>
      <c r="CF2909">
        <v>2.5499999999999998</v>
      </c>
      <c r="CG2909">
        <v>19.36</v>
      </c>
      <c r="CH2909">
        <v>-0.69</v>
      </c>
      <c r="CI2909">
        <v>-2.81</v>
      </c>
      <c r="CJ2909">
        <v>25676</v>
      </c>
      <c r="CK2909">
        <v>9603</v>
      </c>
      <c r="CL2909" t="s">
        <v>12872</v>
      </c>
      <c r="CM2909">
        <v>3.61</v>
      </c>
      <c r="CN2909">
        <v>4.7300000000000004</v>
      </c>
      <c r="CO2909">
        <v>4.2699999999999996</v>
      </c>
      <c r="CP2909">
        <v>-154.69</v>
      </c>
      <c r="CQ2909">
        <v>2.0499999999999998</v>
      </c>
      <c r="CR2909">
        <v>1.44</v>
      </c>
      <c r="CS2909" t="s">
        <v>11871</v>
      </c>
      <c r="CT2909">
        <v>5.85</v>
      </c>
      <c r="CU2909">
        <v>0</v>
      </c>
      <c r="CV2909">
        <v>0.15</v>
      </c>
      <c r="CW2909">
        <v>4.54</v>
      </c>
      <c r="CX2909">
        <v>-0.16</v>
      </c>
      <c r="CY2909">
        <v>40.369999999999997</v>
      </c>
      <c r="CZ2909" t="s">
        <v>12873</v>
      </c>
      <c r="DA2909">
        <v>16.03</v>
      </c>
      <c r="DB2909">
        <v>5.73</v>
      </c>
      <c r="DC2909">
        <v>5.03</v>
      </c>
      <c r="DD2909">
        <v>1.76</v>
      </c>
      <c r="DE2909">
        <v>2351</v>
      </c>
      <c r="DF2909">
        <v>600850</v>
      </c>
      <c r="DG2909" t="s">
        <v>116</v>
      </c>
      <c r="DH2909" t="s">
        <v>116</v>
      </c>
      <c r="DI2909" t="s">
        <v>116</v>
      </c>
    </row>
    <row r="2910" spans="1:113" x14ac:dyDescent="0.4">
      <c r="A2910" t="str">
        <f>"600851"</f>
        <v>600851</v>
      </c>
      <c r="B2910" t="s">
        <v>12874</v>
      </c>
      <c r="C2910">
        <v>-1.17</v>
      </c>
      <c r="D2910">
        <v>7.59</v>
      </c>
      <c r="E2910">
        <v>-0.09</v>
      </c>
      <c r="F2910">
        <v>7.59</v>
      </c>
      <c r="G2910">
        <v>7.61</v>
      </c>
      <c r="H2910">
        <v>23853</v>
      </c>
      <c r="I2910">
        <v>167</v>
      </c>
      <c r="J2910">
        <v>-0.25</v>
      </c>
      <c r="K2910">
        <v>0.32</v>
      </c>
      <c r="L2910">
        <v>7.66</v>
      </c>
      <c r="M2910">
        <v>7.78</v>
      </c>
      <c r="N2910">
        <v>7.57</v>
      </c>
      <c r="O2910">
        <v>7.68</v>
      </c>
      <c r="P2910">
        <v>71.62</v>
      </c>
      <c r="Q2910">
        <v>18290240</v>
      </c>
      <c r="R2910">
        <v>1.23</v>
      </c>
      <c r="S2910" t="s">
        <v>574</v>
      </c>
      <c r="T2910" t="s">
        <v>1653</v>
      </c>
      <c r="U2910">
        <v>2.73</v>
      </c>
      <c r="V2910">
        <v>7.67</v>
      </c>
      <c r="W2910">
        <v>12498</v>
      </c>
      <c r="X2910">
        <v>11355</v>
      </c>
      <c r="Y2910">
        <v>1.1000000000000001</v>
      </c>
      <c r="Z2910">
        <v>52</v>
      </c>
      <c r="AA2910">
        <v>146</v>
      </c>
      <c r="AB2910" t="s">
        <v>116</v>
      </c>
      <c r="AC2910">
        <v>3100</v>
      </c>
      <c r="AD2910">
        <v>0</v>
      </c>
      <c r="AE2910" t="s">
        <v>116</v>
      </c>
      <c r="AF2910" t="s">
        <v>116</v>
      </c>
      <c r="AG2910">
        <v>7.38</v>
      </c>
      <c r="AH2910" t="s">
        <v>12875</v>
      </c>
      <c r="AI2910" t="s">
        <v>12876</v>
      </c>
      <c r="AJ2910">
        <v>-1.1000000000000001</v>
      </c>
      <c r="AK2910">
        <v>1000</v>
      </c>
      <c r="AL2910">
        <v>24</v>
      </c>
      <c r="AM2910">
        <v>2.9999999999999997E-4</v>
      </c>
      <c r="AN2910">
        <v>-3</v>
      </c>
      <c r="AO2910">
        <v>-1.94</v>
      </c>
      <c r="AP2910">
        <v>-1.68</v>
      </c>
      <c r="AQ2910">
        <v>10.8</v>
      </c>
      <c r="AR2910">
        <v>9.92</v>
      </c>
      <c r="AS2910">
        <v>0.46</v>
      </c>
      <c r="AT2910" t="s">
        <v>12877</v>
      </c>
      <c r="AU2910">
        <v>71.91</v>
      </c>
      <c r="AV2910">
        <v>67.739999999999995</v>
      </c>
      <c r="AW2910">
        <v>1.02</v>
      </c>
      <c r="BA2910">
        <v>-0.26</v>
      </c>
      <c r="BB2910">
        <v>1.3</v>
      </c>
      <c r="BC2910">
        <v>-1.43</v>
      </c>
      <c r="BD2910">
        <v>-0.16</v>
      </c>
      <c r="BE2910">
        <v>-0.91</v>
      </c>
      <c r="BF2910">
        <v>-2.44</v>
      </c>
      <c r="BG2910">
        <v>0.26</v>
      </c>
      <c r="BH2910">
        <v>-1.01</v>
      </c>
      <c r="BI2910">
        <v>20191028</v>
      </c>
      <c r="BJ2910">
        <v>19940404</v>
      </c>
      <c r="BK2910">
        <v>12.07</v>
      </c>
      <c r="BL2910">
        <v>4.6900000000000004</v>
      </c>
      <c r="BM2910" t="s">
        <v>116</v>
      </c>
      <c r="BN2910">
        <v>50.05</v>
      </c>
      <c r="BO2910">
        <v>38.18</v>
      </c>
      <c r="BP2910">
        <v>2.11</v>
      </c>
      <c r="BQ2910">
        <v>19.510000000000002</v>
      </c>
      <c r="BR2910">
        <v>8.33</v>
      </c>
      <c r="BS2910">
        <v>3.63</v>
      </c>
      <c r="BT2910">
        <v>0.18</v>
      </c>
      <c r="BU2910">
        <v>4.6500000000000004</v>
      </c>
      <c r="BV2910">
        <v>1.5</v>
      </c>
      <c r="BW2910">
        <v>2.4700000000000002</v>
      </c>
      <c r="BX2910">
        <v>4.24</v>
      </c>
      <c r="BY2910">
        <v>8.6999999999999993</v>
      </c>
      <c r="BZ2910">
        <v>5.18</v>
      </c>
      <c r="CA2910">
        <v>1.31</v>
      </c>
      <c r="CB2910">
        <v>0.86</v>
      </c>
      <c r="CC2910">
        <v>1.3</v>
      </c>
      <c r="CD2910">
        <v>1.1100000000000001</v>
      </c>
      <c r="CE2910">
        <v>0.96</v>
      </c>
      <c r="CF2910">
        <v>0.52</v>
      </c>
      <c r="CG2910">
        <v>4.51</v>
      </c>
      <c r="CH2910">
        <v>-1.03</v>
      </c>
      <c r="CI2910">
        <v>-0.96</v>
      </c>
      <c r="CJ2910">
        <v>72011</v>
      </c>
      <c r="CK2910">
        <v>13703</v>
      </c>
      <c r="CL2910" t="s">
        <v>603</v>
      </c>
      <c r="CM2910">
        <v>-7.56</v>
      </c>
      <c r="CN2910">
        <v>8.6</v>
      </c>
      <c r="CO2910">
        <v>2.4</v>
      </c>
      <c r="CP2910">
        <v>-88.72</v>
      </c>
      <c r="CQ2910">
        <v>10.53</v>
      </c>
      <c r="CR2910">
        <v>0.46</v>
      </c>
      <c r="CS2910" t="s">
        <v>4027</v>
      </c>
      <c r="CT2910">
        <v>3.16</v>
      </c>
      <c r="CU2910">
        <v>0</v>
      </c>
      <c r="CV2910">
        <v>0.35</v>
      </c>
      <c r="CW2910">
        <v>0.37</v>
      </c>
      <c r="CX2910">
        <v>-0.09</v>
      </c>
      <c r="CY2910">
        <v>76.27</v>
      </c>
      <c r="CZ2910" t="s">
        <v>2083</v>
      </c>
      <c r="DA2910">
        <v>40.450000000000003</v>
      </c>
      <c r="DB2910">
        <v>15.08</v>
      </c>
      <c r="DC2910">
        <v>11.03</v>
      </c>
      <c r="DD2910">
        <v>0.12</v>
      </c>
      <c r="DE2910">
        <v>1551</v>
      </c>
      <c r="DF2910">
        <v>600851</v>
      </c>
      <c r="DG2910" t="s">
        <v>116</v>
      </c>
      <c r="DH2910" t="s">
        <v>116</v>
      </c>
      <c r="DI2910" t="s">
        <v>116</v>
      </c>
    </row>
    <row r="2911" spans="1:113" x14ac:dyDescent="0.4">
      <c r="A2911" t="str">
        <f>"600853"</f>
        <v>600853</v>
      </c>
      <c r="B2911" t="s">
        <v>12878</v>
      </c>
      <c r="C2911">
        <v>0</v>
      </c>
      <c r="D2911">
        <v>3.15</v>
      </c>
      <c r="E2911">
        <v>0</v>
      </c>
      <c r="F2911">
        <v>3.14</v>
      </c>
      <c r="G2911">
        <v>3.15</v>
      </c>
      <c r="H2911">
        <v>48945</v>
      </c>
      <c r="I2911">
        <v>386</v>
      </c>
      <c r="J2911">
        <v>0.32</v>
      </c>
      <c r="K2911">
        <v>0.7</v>
      </c>
      <c r="L2911">
        <v>3.19</v>
      </c>
      <c r="M2911">
        <v>3.2</v>
      </c>
      <c r="N2911">
        <v>3.14</v>
      </c>
      <c r="O2911">
        <v>3.15</v>
      </c>
      <c r="P2911">
        <v>19.079999999999998</v>
      </c>
      <c r="Q2911">
        <v>15492927</v>
      </c>
      <c r="R2911">
        <v>1.38</v>
      </c>
      <c r="S2911" t="s">
        <v>181</v>
      </c>
      <c r="T2911" t="s">
        <v>1287</v>
      </c>
      <c r="U2911">
        <v>1.9</v>
      </c>
      <c r="V2911">
        <v>3.17</v>
      </c>
      <c r="W2911">
        <v>29304</v>
      </c>
      <c r="X2911">
        <v>19641</v>
      </c>
      <c r="Y2911">
        <v>1.49</v>
      </c>
      <c r="Z2911">
        <v>1591</v>
      </c>
      <c r="AA2911">
        <v>2497</v>
      </c>
      <c r="AB2911" t="s">
        <v>116</v>
      </c>
      <c r="AC2911">
        <v>314500</v>
      </c>
      <c r="AD2911">
        <v>0.02</v>
      </c>
      <c r="AE2911" t="s">
        <v>116</v>
      </c>
      <c r="AF2911" t="s">
        <v>116</v>
      </c>
      <c r="AG2911">
        <v>6.98</v>
      </c>
      <c r="AH2911" t="s">
        <v>4185</v>
      </c>
      <c r="AI2911" t="s">
        <v>7080</v>
      </c>
      <c r="AJ2911">
        <v>0.08</v>
      </c>
      <c r="AK2911">
        <v>666</v>
      </c>
      <c r="AL2911">
        <v>73</v>
      </c>
      <c r="AM2911">
        <v>1.1000000000000001E-3</v>
      </c>
      <c r="AN2911">
        <v>0</v>
      </c>
      <c r="AO2911">
        <v>0.32</v>
      </c>
      <c r="AP2911">
        <v>2.27</v>
      </c>
      <c r="AQ2911">
        <v>2.27</v>
      </c>
      <c r="AR2911">
        <v>19.04</v>
      </c>
      <c r="AS2911">
        <v>1.05</v>
      </c>
      <c r="AT2911" t="s">
        <v>6827</v>
      </c>
      <c r="AU2911">
        <v>16.23</v>
      </c>
      <c r="AV2911">
        <v>18.03</v>
      </c>
      <c r="AW2911">
        <v>1.1100000000000001</v>
      </c>
      <c r="BA2911">
        <v>1.27</v>
      </c>
      <c r="BB2911">
        <v>1.59</v>
      </c>
      <c r="BC2911">
        <v>-0.32</v>
      </c>
      <c r="BD2911">
        <v>0.49</v>
      </c>
      <c r="BE2911">
        <v>-1.25</v>
      </c>
      <c r="BF2911">
        <v>-1.56</v>
      </c>
      <c r="BG2911">
        <v>0.32</v>
      </c>
      <c r="BH2911">
        <v>-0.49</v>
      </c>
      <c r="BI2911">
        <v>20191031</v>
      </c>
      <c r="BJ2911">
        <v>19940404</v>
      </c>
      <c r="BK2911">
        <v>8.3699999999999992</v>
      </c>
      <c r="BL2911" t="s">
        <v>116</v>
      </c>
      <c r="BM2911" t="s">
        <v>116</v>
      </c>
      <c r="BN2911">
        <v>181.56</v>
      </c>
      <c r="BO2911">
        <v>16.78</v>
      </c>
      <c r="BP2911">
        <v>3.24</v>
      </c>
      <c r="BQ2911">
        <v>88.97</v>
      </c>
      <c r="BR2911">
        <v>126.48</v>
      </c>
      <c r="BS2911">
        <v>4.28</v>
      </c>
      <c r="BT2911">
        <v>4.46</v>
      </c>
      <c r="BU2911">
        <v>119.26</v>
      </c>
      <c r="BV2911">
        <v>56.22</v>
      </c>
      <c r="BW2911">
        <v>29.81</v>
      </c>
      <c r="BX2911">
        <v>2.6</v>
      </c>
      <c r="BY2911">
        <v>65.09</v>
      </c>
      <c r="BZ2911">
        <v>59.34</v>
      </c>
      <c r="CA2911">
        <v>1.38</v>
      </c>
      <c r="CB2911">
        <v>-0.01</v>
      </c>
      <c r="CC2911">
        <v>1.38</v>
      </c>
      <c r="CD2911">
        <v>0.97</v>
      </c>
      <c r="CE2911">
        <v>1.04</v>
      </c>
      <c r="CF2911">
        <v>1.03</v>
      </c>
      <c r="CG2911">
        <v>5.13</v>
      </c>
      <c r="CH2911">
        <v>-11.38</v>
      </c>
      <c r="CI2911">
        <v>0.12</v>
      </c>
      <c r="CJ2911">
        <v>54615</v>
      </c>
      <c r="CK2911">
        <v>8517</v>
      </c>
      <c r="CL2911" t="s">
        <v>12879</v>
      </c>
      <c r="CM2911">
        <v>18.57</v>
      </c>
      <c r="CN2911">
        <v>-3.81</v>
      </c>
      <c r="CO2911">
        <v>1.6</v>
      </c>
      <c r="CP2911">
        <v>-2.3199999999999998</v>
      </c>
      <c r="CQ2911">
        <v>0.41</v>
      </c>
      <c r="CR2911">
        <v>0.49</v>
      </c>
      <c r="CS2911" t="s">
        <v>829</v>
      </c>
      <c r="CT2911">
        <v>1.97</v>
      </c>
      <c r="CU2911">
        <v>1.97</v>
      </c>
      <c r="CV2911">
        <v>0.31</v>
      </c>
      <c r="CW2911">
        <v>0.61</v>
      </c>
      <c r="CX2911">
        <v>-1.36</v>
      </c>
      <c r="CY2911">
        <v>9.24</v>
      </c>
      <c r="CZ2911" t="s">
        <v>1308</v>
      </c>
      <c r="DA2911">
        <v>8.83</v>
      </c>
      <c r="DB2911">
        <v>2.11</v>
      </c>
      <c r="DC2911">
        <v>1.59</v>
      </c>
      <c r="DD2911">
        <v>0.08</v>
      </c>
      <c r="DE2911">
        <v>5626</v>
      </c>
      <c r="DF2911">
        <v>600853</v>
      </c>
      <c r="DG2911" t="s">
        <v>116</v>
      </c>
      <c r="DH2911" t="s">
        <v>116</v>
      </c>
      <c r="DI2911" t="s">
        <v>116</v>
      </c>
    </row>
    <row r="2912" spans="1:113" x14ac:dyDescent="0.4">
      <c r="A2912" t="str">
        <f>"600854"</f>
        <v>600854</v>
      </c>
      <c r="B2912" t="s">
        <v>12880</v>
      </c>
      <c r="C2912">
        <v>-0.26</v>
      </c>
      <c r="D2912">
        <v>3.8</v>
      </c>
      <c r="E2912">
        <v>-0.01</v>
      </c>
      <c r="F2912">
        <v>3.8</v>
      </c>
      <c r="G2912">
        <v>3.81</v>
      </c>
      <c r="H2912">
        <v>25346</v>
      </c>
      <c r="I2912">
        <v>271</v>
      </c>
      <c r="J2912">
        <v>0.26</v>
      </c>
      <c r="K2912">
        <v>0.49</v>
      </c>
      <c r="L2912">
        <v>3.8</v>
      </c>
      <c r="M2912">
        <v>3.85</v>
      </c>
      <c r="N2912">
        <v>3.79</v>
      </c>
      <c r="O2912">
        <v>3.81</v>
      </c>
      <c r="P2912">
        <v>34.31</v>
      </c>
      <c r="Q2912">
        <v>9677370</v>
      </c>
      <c r="R2912">
        <v>1.23</v>
      </c>
      <c r="S2912" t="s">
        <v>209</v>
      </c>
      <c r="T2912" t="s">
        <v>323</v>
      </c>
      <c r="U2912">
        <v>1.57</v>
      </c>
      <c r="V2912">
        <v>3.82</v>
      </c>
      <c r="W2912">
        <v>12694</v>
      </c>
      <c r="X2912">
        <v>12652</v>
      </c>
      <c r="Y2912">
        <v>1</v>
      </c>
      <c r="Z2912">
        <v>216</v>
      </c>
      <c r="AA2912">
        <v>541</v>
      </c>
      <c r="AB2912" t="s">
        <v>116</v>
      </c>
      <c r="AC2912">
        <v>58500</v>
      </c>
      <c r="AD2912">
        <v>0</v>
      </c>
      <c r="AE2912" t="s">
        <v>116</v>
      </c>
      <c r="AF2912" t="s">
        <v>116</v>
      </c>
      <c r="AG2912">
        <v>5.19</v>
      </c>
      <c r="AH2912" t="s">
        <v>2556</v>
      </c>
      <c r="AI2912" t="s">
        <v>2556</v>
      </c>
      <c r="AJ2912">
        <v>-0.19</v>
      </c>
      <c r="AK2912">
        <v>336</v>
      </c>
      <c r="AL2912">
        <v>75</v>
      </c>
      <c r="AM2912">
        <v>1.5E-3</v>
      </c>
      <c r="AN2912">
        <v>-1</v>
      </c>
      <c r="AO2912">
        <v>0.27</v>
      </c>
      <c r="AP2912">
        <v>4.4000000000000004</v>
      </c>
      <c r="AQ2912">
        <v>0.8</v>
      </c>
      <c r="AR2912">
        <v>11.11</v>
      </c>
      <c r="AS2912">
        <v>0.72</v>
      </c>
      <c r="AT2912" t="s">
        <v>8636</v>
      </c>
      <c r="AU2912" t="s">
        <v>116</v>
      </c>
      <c r="AV2912">
        <v>48.35</v>
      </c>
      <c r="AW2912">
        <v>1.1200000000000001</v>
      </c>
      <c r="BA2912">
        <v>-0.26</v>
      </c>
      <c r="BB2912">
        <v>1.05</v>
      </c>
      <c r="BC2912">
        <v>-0.52</v>
      </c>
      <c r="BD2912">
        <v>0.21</v>
      </c>
      <c r="BE2912">
        <v>0</v>
      </c>
      <c r="BF2912">
        <v>-1.3</v>
      </c>
      <c r="BG2912">
        <v>0.26</v>
      </c>
      <c r="BH2912">
        <v>-0.47</v>
      </c>
      <c r="BI2912">
        <v>20191225</v>
      </c>
      <c r="BJ2912">
        <v>19940425</v>
      </c>
      <c r="BK2912">
        <v>5.19</v>
      </c>
      <c r="BL2912" t="s">
        <v>116</v>
      </c>
      <c r="BM2912" t="s">
        <v>116</v>
      </c>
      <c r="BN2912">
        <v>21.2</v>
      </c>
      <c r="BO2912">
        <v>20.05</v>
      </c>
      <c r="BP2912">
        <v>-1.43</v>
      </c>
      <c r="BQ2912">
        <v>12.15</v>
      </c>
      <c r="BR2912">
        <v>9.81</v>
      </c>
      <c r="BS2912">
        <v>1.79</v>
      </c>
      <c r="BT2912">
        <v>0.05</v>
      </c>
      <c r="BU2912">
        <v>2.5</v>
      </c>
      <c r="BV2912">
        <v>4.1399999999999997</v>
      </c>
      <c r="BW2912">
        <v>0.13</v>
      </c>
      <c r="BX2912">
        <v>15.34</v>
      </c>
      <c r="BY2912">
        <v>1.53</v>
      </c>
      <c r="BZ2912">
        <v>0.95</v>
      </c>
      <c r="CA2912">
        <v>0.5</v>
      </c>
      <c r="CB2912">
        <v>0.55000000000000004</v>
      </c>
      <c r="CC2912">
        <v>0.49</v>
      </c>
      <c r="CD2912">
        <v>0.45</v>
      </c>
      <c r="CE2912">
        <v>0.43</v>
      </c>
      <c r="CF2912">
        <v>0.42</v>
      </c>
      <c r="CG2912">
        <v>-5.8</v>
      </c>
      <c r="CH2912">
        <v>0.56999999999999995</v>
      </c>
      <c r="CI2912">
        <v>-0.31</v>
      </c>
      <c r="CJ2912">
        <v>30342</v>
      </c>
      <c r="CK2912">
        <v>11607</v>
      </c>
      <c r="CL2912" t="s">
        <v>3027</v>
      </c>
      <c r="CM2912">
        <v>-58.36</v>
      </c>
      <c r="CN2912">
        <v>-74</v>
      </c>
      <c r="CO2912">
        <v>0.98</v>
      </c>
      <c r="CP2912">
        <v>34.53</v>
      </c>
      <c r="CQ2912">
        <v>12.91</v>
      </c>
      <c r="CR2912">
        <v>1.58</v>
      </c>
      <c r="CS2912" t="s">
        <v>6275</v>
      </c>
      <c r="CT2912">
        <v>3.86</v>
      </c>
      <c r="CU2912">
        <v>0</v>
      </c>
      <c r="CV2912">
        <v>2.95</v>
      </c>
      <c r="CW2912">
        <v>-1.1200000000000001</v>
      </c>
      <c r="CX2912">
        <v>0.11</v>
      </c>
      <c r="CY2912">
        <v>94.6</v>
      </c>
      <c r="CZ2912" t="s">
        <v>10076</v>
      </c>
      <c r="DA2912">
        <v>37.75</v>
      </c>
      <c r="DB2912">
        <v>32.729999999999997</v>
      </c>
      <c r="DC2912">
        <v>28.22</v>
      </c>
      <c r="DD2912">
        <v>0</v>
      </c>
      <c r="DE2912">
        <v>220</v>
      </c>
      <c r="DF2912">
        <v>600854</v>
      </c>
      <c r="DG2912" t="s">
        <v>116</v>
      </c>
      <c r="DH2912" t="s">
        <v>116</v>
      </c>
      <c r="DI2912" t="s">
        <v>116</v>
      </c>
    </row>
    <row r="2913" spans="1:113" x14ac:dyDescent="0.4">
      <c r="A2913" t="str">
        <f>"600855"</f>
        <v>600855</v>
      </c>
      <c r="B2913" t="s">
        <v>12881</v>
      </c>
      <c r="C2913">
        <v>-0.99</v>
      </c>
      <c r="D2913">
        <v>12.06</v>
      </c>
      <c r="E2913">
        <v>-0.12</v>
      </c>
      <c r="F2913">
        <v>12.06</v>
      </c>
      <c r="G2913">
        <v>12.07</v>
      </c>
      <c r="H2913">
        <v>37559</v>
      </c>
      <c r="I2913">
        <v>660</v>
      </c>
      <c r="J2913">
        <v>-0.49</v>
      </c>
      <c r="K2913">
        <v>1.1000000000000001</v>
      </c>
      <c r="L2913">
        <v>12.25</v>
      </c>
      <c r="M2913">
        <v>12.33</v>
      </c>
      <c r="N2913">
        <v>12.06</v>
      </c>
      <c r="O2913">
        <v>12.18</v>
      </c>
      <c r="P2913" t="s">
        <v>116</v>
      </c>
      <c r="Q2913">
        <v>45913240</v>
      </c>
      <c r="R2913">
        <v>1.0900000000000001</v>
      </c>
      <c r="S2913" t="s">
        <v>682</v>
      </c>
      <c r="T2913" t="s">
        <v>165</v>
      </c>
      <c r="U2913">
        <v>2.2200000000000002</v>
      </c>
      <c r="V2913">
        <v>12.22</v>
      </c>
      <c r="W2913">
        <v>22420</v>
      </c>
      <c r="X2913">
        <v>15139</v>
      </c>
      <c r="Y2913">
        <v>1.48</v>
      </c>
      <c r="Z2913">
        <v>259</v>
      </c>
      <c r="AA2913">
        <v>223</v>
      </c>
      <c r="AB2913" t="s">
        <v>116</v>
      </c>
      <c r="AC2913">
        <v>290300</v>
      </c>
      <c r="AD2913">
        <v>0.01</v>
      </c>
      <c r="AE2913" t="s">
        <v>116</v>
      </c>
      <c r="AF2913" t="s">
        <v>116</v>
      </c>
      <c r="AG2913">
        <v>3.41</v>
      </c>
      <c r="AH2913" t="s">
        <v>5953</v>
      </c>
      <c r="AI2913" t="s">
        <v>12882</v>
      </c>
      <c r="AJ2913">
        <v>-0.91</v>
      </c>
      <c r="AK2913">
        <v>2456</v>
      </c>
      <c r="AL2913">
        <v>15</v>
      </c>
      <c r="AM2913">
        <v>4.0000000000000002E-4</v>
      </c>
      <c r="AN2913">
        <v>-1</v>
      </c>
      <c r="AO2913">
        <v>-0.5</v>
      </c>
      <c r="AP2913">
        <v>1.86</v>
      </c>
      <c r="AQ2913">
        <v>-8.2899999999999991</v>
      </c>
      <c r="AR2913">
        <v>34.520000000000003</v>
      </c>
      <c r="AS2913">
        <v>1.72</v>
      </c>
      <c r="AT2913" t="s">
        <v>6777</v>
      </c>
      <c r="AU2913">
        <v>95.72</v>
      </c>
      <c r="AV2913">
        <v>69.87</v>
      </c>
      <c r="AW2913">
        <v>0.95</v>
      </c>
      <c r="BA2913">
        <v>0.56999999999999995</v>
      </c>
      <c r="BB2913">
        <v>1.23</v>
      </c>
      <c r="BC2913">
        <v>-0.99</v>
      </c>
      <c r="BD2913">
        <v>0.36</v>
      </c>
      <c r="BE2913">
        <v>-1.55</v>
      </c>
      <c r="BF2913">
        <v>-2.19</v>
      </c>
      <c r="BG2913">
        <v>0</v>
      </c>
      <c r="BH2913">
        <v>-1.35</v>
      </c>
      <c r="BI2913">
        <v>20191226</v>
      </c>
      <c r="BJ2913">
        <v>19940425</v>
      </c>
      <c r="BK2913">
        <v>4.4000000000000004</v>
      </c>
      <c r="BL2913" t="s">
        <v>116</v>
      </c>
      <c r="BM2913" t="s">
        <v>116</v>
      </c>
      <c r="BN2913">
        <v>25.92</v>
      </c>
      <c r="BO2913">
        <v>11.57</v>
      </c>
      <c r="BP2913">
        <v>2.0299999999999998</v>
      </c>
      <c r="BQ2913">
        <v>47.52</v>
      </c>
      <c r="BR2913">
        <v>21.29</v>
      </c>
      <c r="BS2913">
        <v>1.18</v>
      </c>
      <c r="BT2913">
        <v>0.46</v>
      </c>
      <c r="BU2913">
        <v>12.17</v>
      </c>
      <c r="BV2913">
        <v>4.09</v>
      </c>
      <c r="BW2913">
        <v>10.35</v>
      </c>
      <c r="BX2913">
        <v>4.75</v>
      </c>
      <c r="BY2913">
        <v>11.76</v>
      </c>
      <c r="BZ2913">
        <v>9.33</v>
      </c>
      <c r="CA2913">
        <v>0.17</v>
      </c>
      <c r="CB2913">
        <v>-0.01</v>
      </c>
      <c r="CC2913">
        <v>0.18</v>
      </c>
      <c r="CD2913">
        <v>0.1</v>
      </c>
      <c r="CE2913">
        <v>-0.11</v>
      </c>
      <c r="CF2913">
        <v>-0.21</v>
      </c>
      <c r="CG2913">
        <v>3.01</v>
      </c>
      <c r="CH2913">
        <v>-2.68</v>
      </c>
      <c r="CI2913">
        <v>-2.7</v>
      </c>
      <c r="CJ2913">
        <v>47657</v>
      </c>
      <c r="CK2913">
        <v>4570</v>
      </c>
      <c r="CL2913" t="s">
        <v>2733</v>
      </c>
      <c r="CM2913">
        <v>-205.56</v>
      </c>
      <c r="CN2913">
        <v>30.54</v>
      </c>
      <c r="CO2913">
        <v>3.67</v>
      </c>
      <c r="CP2913">
        <v>-19.760000000000002</v>
      </c>
      <c r="CQ2913">
        <v>4.51</v>
      </c>
      <c r="CR2913">
        <v>0.43</v>
      </c>
      <c r="CS2913" t="s">
        <v>8974</v>
      </c>
      <c r="CT2913">
        <v>3.29</v>
      </c>
      <c r="CU2913">
        <v>3.29</v>
      </c>
      <c r="CV2913">
        <v>1.08</v>
      </c>
      <c r="CW2913">
        <v>0.69</v>
      </c>
      <c r="CX2913">
        <v>-0.61</v>
      </c>
      <c r="CY2913">
        <v>44.65</v>
      </c>
      <c r="CZ2913" t="s">
        <v>4642</v>
      </c>
      <c r="DA2913">
        <v>20.67</v>
      </c>
      <c r="DB2913">
        <v>1.48</v>
      </c>
      <c r="DC2913">
        <v>-0.89</v>
      </c>
      <c r="DD2913">
        <v>0.25</v>
      </c>
      <c r="DE2913">
        <v>1738</v>
      </c>
      <c r="DF2913">
        <v>600855</v>
      </c>
      <c r="DG2913" t="s">
        <v>116</v>
      </c>
      <c r="DH2913" t="s">
        <v>116</v>
      </c>
      <c r="DI2913" t="s">
        <v>116</v>
      </c>
    </row>
    <row r="2914" spans="1:113" x14ac:dyDescent="0.4">
      <c r="A2914" t="str">
        <f>"600856"</f>
        <v>600856</v>
      </c>
      <c r="B2914" t="s">
        <v>12883</v>
      </c>
      <c r="C2914">
        <v>2.65</v>
      </c>
      <c r="D2914">
        <v>2.3199999999999998</v>
      </c>
      <c r="E2914">
        <v>0.06</v>
      </c>
      <c r="F2914">
        <v>2.31</v>
      </c>
      <c r="G2914">
        <v>2.3199999999999998</v>
      </c>
      <c r="H2914">
        <v>148255</v>
      </c>
      <c r="I2914">
        <v>1588</v>
      </c>
      <c r="J2914">
        <v>0.43</v>
      </c>
      <c r="K2914">
        <v>1.1000000000000001</v>
      </c>
      <c r="L2914">
        <v>2.2599999999999998</v>
      </c>
      <c r="M2914">
        <v>2.35</v>
      </c>
      <c r="N2914">
        <v>2.2599999999999998</v>
      </c>
      <c r="O2914">
        <v>2.2599999999999998</v>
      </c>
      <c r="P2914" t="s">
        <v>116</v>
      </c>
      <c r="Q2914">
        <v>34208188</v>
      </c>
      <c r="R2914">
        <v>1.46</v>
      </c>
      <c r="S2914" t="s">
        <v>690</v>
      </c>
      <c r="T2914" t="s">
        <v>294</v>
      </c>
      <c r="U2914">
        <v>3.98</v>
      </c>
      <c r="V2914">
        <v>2.31</v>
      </c>
      <c r="W2914">
        <v>73326</v>
      </c>
      <c r="X2914">
        <v>74929</v>
      </c>
      <c r="Y2914">
        <v>0.98</v>
      </c>
      <c r="Z2914">
        <v>1236</v>
      </c>
      <c r="AA2914">
        <v>1240</v>
      </c>
      <c r="AB2914" t="s">
        <v>116</v>
      </c>
      <c r="AC2914">
        <v>25300</v>
      </c>
      <c r="AD2914">
        <v>0</v>
      </c>
      <c r="AE2914" t="s">
        <v>116</v>
      </c>
      <c r="AF2914" t="s">
        <v>116</v>
      </c>
      <c r="AG2914">
        <v>13.43</v>
      </c>
      <c r="AH2914" t="s">
        <v>11548</v>
      </c>
      <c r="AI2914" t="s">
        <v>6214</v>
      </c>
      <c r="AJ2914">
        <v>2.73</v>
      </c>
      <c r="AK2914">
        <v>814</v>
      </c>
      <c r="AL2914">
        <v>182</v>
      </c>
      <c r="AM2914">
        <v>1.4E-3</v>
      </c>
      <c r="AN2914">
        <v>2</v>
      </c>
      <c r="AO2914">
        <v>0.87</v>
      </c>
      <c r="AP2914">
        <v>9.9499999999999993</v>
      </c>
      <c r="AQ2914">
        <v>-19.440000000000001</v>
      </c>
      <c r="AR2914">
        <v>-37.630000000000003</v>
      </c>
      <c r="AS2914">
        <v>1.52</v>
      </c>
      <c r="AT2914" t="s">
        <v>5651</v>
      </c>
      <c r="AU2914" t="s">
        <v>116</v>
      </c>
      <c r="AV2914" t="s">
        <v>116</v>
      </c>
      <c r="AW2914">
        <v>0.23</v>
      </c>
      <c r="BA2914">
        <v>0</v>
      </c>
      <c r="BB2914">
        <v>3.98</v>
      </c>
      <c r="BC2914">
        <v>0</v>
      </c>
      <c r="BD2914">
        <v>2.1</v>
      </c>
      <c r="BE2914">
        <v>2.65</v>
      </c>
      <c r="BF2914">
        <v>-1.28</v>
      </c>
      <c r="BG2914">
        <v>2.65</v>
      </c>
      <c r="BH2914">
        <v>0.56000000000000005</v>
      </c>
      <c r="BI2914">
        <v>20191028</v>
      </c>
      <c r="BJ2914">
        <v>19940425</v>
      </c>
      <c r="BK2914">
        <v>13.67</v>
      </c>
      <c r="BL2914" t="s">
        <v>116</v>
      </c>
      <c r="BM2914" t="s">
        <v>116</v>
      </c>
      <c r="BN2914">
        <v>151.37</v>
      </c>
      <c r="BO2914">
        <v>36.75</v>
      </c>
      <c r="BP2914">
        <v>15.85</v>
      </c>
      <c r="BQ2914">
        <v>65.25</v>
      </c>
      <c r="BR2914">
        <v>31.7</v>
      </c>
      <c r="BS2914">
        <v>5.55</v>
      </c>
      <c r="BT2914">
        <v>3.06</v>
      </c>
      <c r="BU2914">
        <v>51.81</v>
      </c>
      <c r="BV2914">
        <v>7.0000000000000007E-2</v>
      </c>
      <c r="BW2914">
        <v>5.93</v>
      </c>
      <c r="BX2914">
        <v>28.04</v>
      </c>
      <c r="BY2914">
        <v>10.78</v>
      </c>
      <c r="BZ2914">
        <v>9.6999999999999993</v>
      </c>
      <c r="CA2914">
        <v>-4.21</v>
      </c>
      <c r="CB2914">
        <v>-0.46</v>
      </c>
      <c r="CC2914">
        <v>-4.47</v>
      </c>
      <c r="CD2914">
        <v>-4.72</v>
      </c>
      <c r="CE2914">
        <v>-3.01</v>
      </c>
      <c r="CF2914">
        <v>-2.65</v>
      </c>
      <c r="CG2914">
        <v>2.2400000000000002</v>
      </c>
      <c r="CH2914">
        <v>0.15</v>
      </c>
      <c r="CI2914">
        <v>-0.57999999999999996</v>
      </c>
      <c r="CJ2914">
        <v>36258</v>
      </c>
      <c r="CK2914">
        <v>26874</v>
      </c>
      <c r="CL2914" t="s">
        <v>12884</v>
      </c>
      <c r="CM2914">
        <v>-264.64</v>
      </c>
      <c r="CN2914">
        <v>-73.23</v>
      </c>
      <c r="CO2914">
        <v>0.86</v>
      </c>
      <c r="CP2914">
        <v>215.17</v>
      </c>
      <c r="CQ2914">
        <v>2.94</v>
      </c>
      <c r="CR2914">
        <v>0</v>
      </c>
      <c r="CS2914" t="s">
        <v>12885</v>
      </c>
      <c r="CT2914">
        <v>2.69</v>
      </c>
      <c r="CU2914">
        <v>0</v>
      </c>
      <c r="CV2914">
        <v>2.0499999999999998</v>
      </c>
      <c r="CW2914">
        <v>0.16</v>
      </c>
      <c r="CX2914">
        <v>0.01</v>
      </c>
      <c r="CY2914">
        <v>24.28</v>
      </c>
      <c r="CZ2914" t="s">
        <v>12886</v>
      </c>
      <c r="DA2914">
        <v>9.99</v>
      </c>
      <c r="DB2914">
        <v>-39.090000000000003</v>
      </c>
      <c r="DC2914">
        <v>-27.97</v>
      </c>
      <c r="DD2914">
        <v>0</v>
      </c>
      <c r="DE2914">
        <v>620</v>
      </c>
      <c r="DF2914">
        <v>600856</v>
      </c>
      <c r="DG2914" t="s">
        <v>116</v>
      </c>
      <c r="DH2914" t="s">
        <v>116</v>
      </c>
      <c r="DI2914" t="s">
        <v>116</v>
      </c>
    </row>
    <row r="2915" spans="1:113" x14ac:dyDescent="0.4">
      <c r="A2915" t="str">
        <f>"600857"</f>
        <v>600857</v>
      </c>
      <c r="B2915" t="s">
        <v>12887</v>
      </c>
      <c r="C2915">
        <v>-0.65</v>
      </c>
      <c r="D2915">
        <v>9.16</v>
      </c>
      <c r="E2915">
        <v>-0.06</v>
      </c>
      <c r="F2915">
        <v>9.16</v>
      </c>
      <c r="G2915">
        <v>9.19</v>
      </c>
      <c r="H2915">
        <v>7663</v>
      </c>
      <c r="I2915">
        <v>101</v>
      </c>
      <c r="J2915">
        <v>0</v>
      </c>
      <c r="K2915">
        <v>0.34</v>
      </c>
      <c r="L2915">
        <v>9.18</v>
      </c>
      <c r="M2915">
        <v>9.27</v>
      </c>
      <c r="N2915">
        <v>9.16</v>
      </c>
      <c r="O2915">
        <v>9.2200000000000006</v>
      </c>
      <c r="P2915">
        <v>36.92</v>
      </c>
      <c r="Q2915">
        <v>7059943</v>
      </c>
      <c r="R2915">
        <v>1.1000000000000001</v>
      </c>
      <c r="S2915" t="s">
        <v>746</v>
      </c>
      <c r="T2915" t="s">
        <v>590</v>
      </c>
      <c r="U2915">
        <v>1.19</v>
      </c>
      <c r="V2915">
        <v>9.2100000000000009</v>
      </c>
      <c r="W2915">
        <v>4642</v>
      </c>
      <c r="X2915">
        <v>3021</v>
      </c>
      <c r="Y2915">
        <v>1.54</v>
      </c>
      <c r="Z2915">
        <v>360</v>
      </c>
      <c r="AA2915">
        <v>120</v>
      </c>
      <c r="AB2915" t="s">
        <v>116</v>
      </c>
      <c r="AC2915">
        <v>15600</v>
      </c>
      <c r="AD2915">
        <v>0</v>
      </c>
      <c r="AE2915" t="s">
        <v>116</v>
      </c>
      <c r="AF2915" t="s">
        <v>116</v>
      </c>
      <c r="AG2915">
        <v>2.2400000000000002</v>
      </c>
      <c r="AH2915" t="s">
        <v>12888</v>
      </c>
      <c r="AI2915" t="s">
        <v>12888</v>
      </c>
      <c r="AJ2915">
        <v>-0.56999999999999995</v>
      </c>
      <c r="AK2915">
        <v>225</v>
      </c>
      <c r="AL2915">
        <v>34</v>
      </c>
      <c r="AM2915">
        <v>1.5E-3</v>
      </c>
      <c r="AN2915">
        <v>-1</v>
      </c>
      <c r="AO2915">
        <v>-0.43</v>
      </c>
      <c r="AP2915">
        <v>-0.65</v>
      </c>
      <c r="AQ2915">
        <v>-6.53</v>
      </c>
      <c r="AR2915">
        <v>10.23</v>
      </c>
      <c r="AS2915">
        <v>0.52</v>
      </c>
      <c r="AT2915" t="s">
        <v>1456</v>
      </c>
      <c r="AU2915">
        <v>43.41</v>
      </c>
      <c r="AV2915">
        <v>56.1</v>
      </c>
      <c r="AW2915">
        <v>0.48</v>
      </c>
      <c r="BA2915">
        <v>-0.43</v>
      </c>
      <c r="BB2915">
        <v>0.54</v>
      </c>
      <c r="BC2915">
        <v>-0.65</v>
      </c>
      <c r="BD2915">
        <v>-0.08</v>
      </c>
      <c r="BE2915">
        <v>-0.22</v>
      </c>
      <c r="BF2915">
        <v>-1.19</v>
      </c>
      <c r="BG2915">
        <v>0</v>
      </c>
      <c r="BH2915">
        <v>-0.56999999999999995</v>
      </c>
      <c r="BI2915">
        <v>20191111</v>
      </c>
      <c r="BJ2915">
        <v>19940425</v>
      </c>
      <c r="BK2915">
        <v>2.2400000000000002</v>
      </c>
      <c r="BL2915" t="s">
        <v>116</v>
      </c>
      <c r="BM2915" t="s">
        <v>116</v>
      </c>
      <c r="BN2915">
        <v>11.75</v>
      </c>
      <c r="BO2915">
        <v>4.91</v>
      </c>
      <c r="BP2915">
        <v>0</v>
      </c>
      <c r="BQ2915">
        <v>58.25</v>
      </c>
      <c r="BR2915">
        <v>4.0999999999999996</v>
      </c>
      <c r="BS2915">
        <v>1.98</v>
      </c>
      <c r="BT2915">
        <v>0.02</v>
      </c>
      <c r="BU2915">
        <v>1.05</v>
      </c>
      <c r="BV2915">
        <v>0.48</v>
      </c>
      <c r="BW2915">
        <v>0.04</v>
      </c>
      <c r="BX2915">
        <v>0.65</v>
      </c>
      <c r="BY2915">
        <v>7.09</v>
      </c>
      <c r="BZ2915">
        <v>6.19</v>
      </c>
      <c r="CA2915">
        <v>0.5</v>
      </c>
      <c r="CB2915">
        <v>0.21</v>
      </c>
      <c r="CC2915">
        <v>0.5</v>
      </c>
      <c r="CD2915">
        <v>0.42</v>
      </c>
      <c r="CE2915">
        <v>0.42</v>
      </c>
      <c r="CF2915">
        <v>0.37</v>
      </c>
      <c r="CG2915">
        <v>-1.0900000000000001</v>
      </c>
      <c r="CH2915">
        <v>0.06</v>
      </c>
      <c r="CI2915">
        <v>-0.38</v>
      </c>
      <c r="CJ2915">
        <v>12233</v>
      </c>
      <c r="CK2915">
        <v>12151</v>
      </c>
      <c r="CL2915" t="s">
        <v>7703</v>
      </c>
      <c r="CM2915">
        <v>34.49</v>
      </c>
      <c r="CN2915">
        <v>-2.39</v>
      </c>
      <c r="CO2915">
        <v>4.1900000000000004</v>
      </c>
      <c r="CP2915">
        <v>363.13</v>
      </c>
      <c r="CQ2915">
        <v>2.9</v>
      </c>
      <c r="CR2915">
        <v>0</v>
      </c>
      <c r="CS2915" t="s">
        <v>3615</v>
      </c>
      <c r="CT2915">
        <v>2.19</v>
      </c>
      <c r="CU2915">
        <v>0</v>
      </c>
      <c r="CV2915">
        <v>0.28999999999999998</v>
      </c>
      <c r="CW2915">
        <v>-0.49</v>
      </c>
      <c r="CX2915">
        <v>0.03</v>
      </c>
      <c r="CY2915">
        <v>41.75</v>
      </c>
      <c r="CZ2915" t="s">
        <v>12564</v>
      </c>
      <c r="DA2915">
        <v>12.68</v>
      </c>
      <c r="DB2915">
        <v>7.09</v>
      </c>
      <c r="DC2915">
        <v>5.89</v>
      </c>
      <c r="DD2915">
        <v>0</v>
      </c>
      <c r="DE2915">
        <v>207</v>
      </c>
      <c r="DF2915">
        <v>600857</v>
      </c>
      <c r="DG2915" t="s">
        <v>116</v>
      </c>
      <c r="DH2915" t="s">
        <v>116</v>
      </c>
      <c r="DI2915" t="s">
        <v>116</v>
      </c>
    </row>
    <row r="2916" spans="1:113" x14ac:dyDescent="0.4">
      <c r="A2916" t="str">
        <f>"600858"</f>
        <v>600858</v>
      </c>
      <c r="B2916" t="s">
        <v>12889</v>
      </c>
      <c r="C2916">
        <v>0.2</v>
      </c>
      <c r="D2916">
        <v>5.07</v>
      </c>
      <c r="E2916">
        <v>0.01</v>
      </c>
      <c r="F2916">
        <v>5.07</v>
      </c>
      <c r="G2916">
        <v>5.08</v>
      </c>
      <c r="H2916">
        <v>33282</v>
      </c>
      <c r="I2916">
        <v>289</v>
      </c>
      <c r="J2916">
        <v>0.2</v>
      </c>
      <c r="K2916">
        <v>0.64</v>
      </c>
      <c r="L2916">
        <v>5.09</v>
      </c>
      <c r="M2916">
        <v>5.14</v>
      </c>
      <c r="N2916">
        <v>5.05</v>
      </c>
      <c r="O2916">
        <v>5.0599999999999996</v>
      </c>
      <c r="P2916">
        <v>41.13</v>
      </c>
      <c r="Q2916">
        <v>16962382</v>
      </c>
      <c r="R2916">
        <v>1.23</v>
      </c>
      <c r="S2916" t="s">
        <v>746</v>
      </c>
      <c r="T2916" t="s">
        <v>645</v>
      </c>
      <c r="U2916">
        <v>1.78</v>
      </c>
      <c r="V2916">
        <v>5.0999999999999996</v>
      </c>
      <c r="W2916">
        <v>18684</v>
      </c>
      <c r="X2916">
        <v>14598</v>
      </c>
      <c r="Y2916">
        <v>1.28</v>
      </c>
      <c r="Z2916">
        <v>403</v>
      </c>
      <c r="AA2916">
        <v>474</v>
      </c>
      <c r="AB2916" t="s">
        <v>116</v>
      </c>
      <c r="AC2916">
        <v>62100</v>
      </c>
      <c r="AD2916">
        <v>0</v>
      </c>
      <c r="AE2916" t="s">
        <v>116</v>
      </c>
      <c r="AF2916" t="s">
        <v>116</v>
      </c>
      <c r="AG2916">
        <v>5.18</v>
      </c>
      <c r="AH2916" t="s">
        <v>9000</v>
      </c>
      <c r="AI2916" t="s">
        <v>3962</v>
      </c>
      <c r="AJ2916">
        <v>0.27</v>
      </c>
      <c r="AK2916">
        <v>649</v>
      </c>
      <c r="AL2916">
        <v>51</v>
      </c>
      <c r="AM2916">
        <v>1E-3</v>
      </c>
      <c r="AN2916">
        <v>2</v>
      </c>
      <c r="AO2916">
        <v>0.79</v>
      </c>
      <c r="AP2916">
        <v>5.19</v>
      </c>
      <c r="AQ2916">
        <v>8.1</v>
      </c>
      <c r="AR2916">
        <v>3.26</v>
      </c>
      <c r="AS2916">
        <v>1.35</v>
      </c>
      <c r="AT2916" t="s">
        <v>2593</v>
      </c>
      <c r="AU2916">
        <v>45.27</v>
      </c>
      <c r="AV2916">
        <v>56.99</v>
      </c>
      <c r="AW2916">
        <v>0.95</v>
      </c>
      <c r="BA2916">
        <v>0.59</v>
      </c>
      <c r="BB2916">
        <v>1.58</v>
      </c>
      <c r="BC2916">
        <v>-0.2</v>
      </c>
      <c r="BD2916">
        <v>0.72</v>
      </c>
      <c r="BE2916">
        <v>-0.39</v>
      </c>
      <c r="BF2916">
        <v>-1.36</v>
      </c>
      <c r="BG2916">
        <v>0.4</v>
      </c>
      <c r="BH2916">
        <v>-0.52</v>
      </c>
      <c r="BI2916">
        <v>20191029</v>
      </c>
      <c r="BJ2916">
        <v>19940506</v>
      </c>
      <c r="BK2916">
        <v>5.2</v>
      </c>
      <c r="BL2916" t="s">
        <v>116</v>
      </c>
      <c r="BM2916" t="s">
        <v>116</v>
      </c>
      <c r="BN2916">
        <v>124.57</v>
      </c>
      <c r="BO2916">
        <v>30.82</v>
      </c>
      <c r="BP2916">
        <v>1.51</v>
      </c>
      <c r="BQ2916">
        <v>74.05</v>
      </c>
      <c r="BR2916">
        <v>43.73</v>
      </c>
      <c r="BS2916">
        <v>37.18</v>
      </c>
      <c r="BT2916">
        <v>12</v>
      </c>
      <c r="BU2916">
        <v>86.95</v>
      </c>
      <c r="BV2916">
        <v>8.94</v>
      </c>
      <c r="BW2916">
        <v>0.21</v>
      </c>
      <c r="BX2916">
        <v>9.65</v>
      </c>
      <c r="BY2916">
        <v>92.12</v>
      </c>
      <c r="BZ2916">
        <v>73.33</v>
      </c>
      <c r="CA2916">
        <v>1.1000000000000001</v>
      </c>
      <c r="CB2916">
        <v>0.03</v>
      </c>
      <c r="CC2916">
        <v>1.06</v>
      </c>
      <c r="CD2916">
        <v>0.31</v>
      </c>
      <c r="CE2916">
        <v>0.48</v>
      </c>
      <c r="CF2916">
        <v>0.34</v>
      </c>
      <c r="CG2916">
        <v>14.96</v>
      </c>
      <c r="CH2916">
        <v>7.36</v>
      </c>
      <c r="CI2916">
        <v>8.43</v>
      </c>
      <c r="CJ2916">
        <v>20067</v>
      </c>
      <c r="CK2916">
        <v>12329</v>
      </c>
      <c r="CL2916" t="s">
        <v>1880</v>
      </c>
      <c r="CM2916">
        <v>33.18</v>
      </c>
      <c r="CN2916">
        <v>-4.5</v>
      </c>
      <c r="CO2916">
        <v>0.86</v>
      </c>
      <c r="CP2916">
        <v>3.58</v>
      </c>
      <c r="CQ2916">
        <v>0.28999999999999998</v>
      </c>
      <c r="CR2916">
        <v>0.59</v>
      </c>
      <c r="CS2916" t="s">
        <v>1202</v>
      </c>
      <c r="CT2916">
        <v>5.93</v>
      </c>
      <c r="CU2916">
        <v>0</v>
      </c>
      <c r="CV2916">
        <v>1.86</v>
      </c>
      <c r="CW2916">
        <v>2.88</v>
      </c>
      <c r="CX2916">
        <v>1.42</v>
      </c>
      <c r="CY2916">
        <v>24.74</v>
      </c>
      <c r="CZ2916" t="s">
        <v>931</v>
      </c>
      <c r="DA2916">
        <v>20.399999999999999</v>
      </c>
      <c r="DB2916">
        <v>1.2</v>
      </c>
      <c r="DC2916">
        <v>0.52</v>
      </c>
      <c r="DD2916">
        <v>0</v>
      </c>
      <c r="DE2916">
        <v>13085</v>
      </c>
      <c r="DF2916">
        <v>600858</v>
      </c>
      <c r="DG2916" t="s">
        <v>116</v>
      </c>
      <c r="DH2916" t="s">
        <v>116</v>
      </c>
      <c r="DI2916" t="s">
        <v>116</v>
      </c>
    </row>
    <row r="2917" spans="1:113" x14ac:dyDescent="0.4">
      <c r="A2917" t="str">
        <f>"600859"</f>
        <v>600859</v>
      </c>
      <c r="B2917" t="s">
        <v>12890</v>
      </c>
      <c r="C2917">
        <v>-0.94</v>
      </c>
      <c r="D2917">
        <v>13.69</v>
      </c>
      <c r="E2917">
        <v>-0.13</v>
      </c>
      <c r="F2917">
        <v>13.69</v>
      </c>
      <c r="G2917">
        <v>13.7</v>
      </c>
      <c r="H2917">
        <v>40799</v>
      </c>
      <c r="I2917">
        <v>334</v>
      </c>
      <c r="J2917">
        <v>-0.06</v>
      </c>
      <c r="K2917">
        <v>0.72</v>
      </c>
      <c r="L2917">
        <v>13.82</v>
      </c>
      <c r="M2917">
        <v>13.89</v>
      </c>
      <c r="N2917">
        <v>13.67</v>
      </c>
      <c r="O2917">
        <v>13.82</v>
      </c>
      <c r="P2917">
        <v>9.41</v>
      </c>
      <c r="Q2917">
        <v>56211808</v>
      </c>
      <c r="R2917">
        <v>1.02</v>
      </c>
      <c r="S2917" t="s">
        <v>746</v>
      </c>
      <c r="T2917" t="s">
        <v>165</v>
      </c>
      <c r="U2917">
        <v>1.59</v>
      </c>
      <c r="V2917">
        <v>13.78</v>
      </c>
      <c r="W2917">
        <v>26526</v>
      </c>
      <c r="X2917">
        <v>14273</v>
      </c>
      <c r="Y2917">
        <v>1.86</v>
      </c>
      <c r="Z2917">
        <v>104</v>
      </c>
      <c r="AA2917">
        <v>141</v>
      </c>
      <c r="AB2917" t="s">
        <v>116</v>
      </c>
      <c r="AC2917">
        <v>23500</v>
      </c>
      <c r="AD2917">
        <v>0</v>
      </c>
      <c r="AE2917" t="s">
        <v>116</v>
      </c>
      <c r="AF2917" t="s">
        <v>116</v>
      </c>
      <c r="AG2917">
        <v>5.69</v>
      </c>
      <c r="AH2917" t="s">
        <v>7988</v>
      </c>
      <c r="AI2917" t="s">
        <v>12891</v>
      </c>
      <c r="AJ2917">
        <v>-0.86</v>
      </c>
      <c r="AK2917">
        <v>1634</v>
      </c>
      <c r="AL2917">
        <v>25</v>
      </c>
      <c r="AM2917">
        <v>4.0000000000000002E-4</v>
      </c>
      <c r="AN2917">
        <v>-1</v>
      </c>
      <c r="AO2917">
        <v>-0.87</v>
      </c>
      <c r="AP2917">
        <v>5.63</v>
      </c>
      <c r="AQ2917">
        <v>-5.52</v>
      </c>
      <c r="AR2917">
        <v>4.58</v>
      </c>
      <c r="AS2917">
        <v>1.22</v>
      </c>
      <c r="AT2917" t="s">
        <v>12892</v>
      </c>
      <c r="AU2917">
        <v>10.029999999999999</v>
      </c>
      <c r="AV2917">
        <v>8.85</v>
      </c>
      <c r="AW2917">
        <v>1.05</v>
      </c>
      <c r="BA2917">
        <v>0</v>
      </c>
      <c r="BB2917">
        <v>0.51</v>
      </c>
      <c r="BC2917">
        <v>-1.0900000000000001</v>
      </c>
      <c r="BD2917">
        <v>-0.31</v>
      </c>
      <c r="BE2917">
        <v>-0.94</v>
      </c>
      <c r="BF2917">
        <v>-1.44</v>
      </c>
      <c r="BG2917">
        <v>0.15</v>
      </c>
      <c r="BH2917">
        <v>-0.64</v>
      </c>
      <c r="BI2917">
        <v>20191030</v>
      </c>
      <c r="BJ2917">
        <v>19940506</v>
      </c>
      <c r="BK2917">
        <v>7.76</v>
      </c>
      <c r="BL2917" t="s">
        <v>116</v>
      </c>
      <c r="BM2917" t="s">
        <v>116</v>
      </c>
      <c r="BN2917">
        <v>245.37</v>
      </c>
      <c r="BO2917">
        <v>112.83</v>
      </c>
      <c r="BP2917">
        <v>6.88</v>
      </c>
      <c r="BQ2917">
        <v>51.21</v>
      </c>
      <c r="BR2917">
        <v>123.38</v>
      </c>
      <c r="BS2917">
        <v>47.73</v>
      </c>
      <c r="BT2917">
        <v>9.19</v>
      </c>
      <c r="BU2917">
        <v>90.39</v>
      </c>
      <c r="BV2917">
        <v>9.99</v>
      </c>
      <c r="BW2917">
        <v>1.5</v>
      </c>
      <c r="BX2917">
        <v>49.59</v>
      </c>
      <c r="BY2917">
        <v>194.01</v>
      </c>
      <c r="BZ2917">
        <v>153.05000000000001</v>
      </c>
      <c r="CA2917">
        <v>12.03</v>
      </c>
      <c r="CB2917">
        <v>0.26</v>
      </c>
      <c r="CC2917">
        <v>12.04</v>
      </c>
      <c r="CD2917">
        <v>8.4499999999999993</v>
      </c>
      <c r="CE2917">
        <v>8.4700000000000006</v>
      </c>
      <c r="CF2917">
        <v>7.48</v>
      </c>
      <c r="CG2917">
        <v>40.56</v>
      </c>
      <c r="CH2917">
        <v>8.5</v>
      </c>
      <c r="CI2917">
        <v>29.58</v>
      </c>
      <c r="CJ2917">
        <v>28390</v>
      </c>
      <c r="CK2917">
        <v>11784</v>
      </c>
      <c r="CL2917" t="s">
        <v>12893</v>
      </c>
      <c r="CM2917">
        <v>-14.33</v>
      </c>
      <c r="CN2917">
        <v>1.06</v>
      </c>
      <c r="CO2917">
        <v>0.94</v>
      </c>
      <c r="CP2917">
        <v>12.5</v>
      </c>
      <c r="CQ2917">
        <v>0.55000000000000004</v>
      </c>
      <c r="CR2917">
        <v>3.43</v>
      </c>
      <c r="CS2917" t="s">
        <v>12894</v>
      </c>
      <c r="CT2917">
        <v>14.54</v>
      </c>
      <c r="CU2917">
        <v>0</v>
      </c>
      <c r="CV2917">
        <v>6.39</v>
      </c>
      <c r="CW2917">
        <v>5.23</v>
      </c>
      <c r="CX2917">
        <v>1.1000000000000001</v>
      </c>
      <c r="CY2917">
        <v>45.98</v>
      </c>
      <c r="CZ2917" t="s">
        <v>231</v>
      </c>
      <c r="DA2917">
        <v>21.11</v>
      </c>
      <c r="DB2917">
        <v>6.2</v>
      </c>
      <c r="DC2917">
        <v>4.37</v>
      </c>
      <c r="DD2917">
        <v>0</v>
      </c>
      <c r="DE2917">
        <v>10819</v>
      </c>
      <c r="DF2917">
        <v>600859</v>
      </c>
      <c r="DG2917" t="s">
        <v>116</v>
      </c>
      <c r="DH2917" t="s">
        <v>116</v>
      </c>
      <c r="DI2917" t="s">
        <v>116</v>
      </c>
    </row>
    <row r="2918" spans="1:113" x14ac:dyDescent="0.4">
      <c r="A2918" t="str">
        <f>"600860"</f>
        <v>600860</v>
      </c>
      <c r="B2918" t="s">
        <v>12895</v>
      </c>
      <c r="C2918">
        <v>-2.77</v>
      </c>
      <c r="D2918">
        <v>5.97</v>
      </c>
      <c r="E2918">
        <v>-0.17</v>
      </c>
      <c r="F2918">
        <v>5.96</v>
      </c>
      <c r="G2918">
        <v>5.97</v>
      </c>
      <c r="H2918">
        <v>39992</v>
      </c>
      <c r="I2918">
        <v>1129</v>
      </c>
      <c r="J2918">
        <v>-0.49</v>
      </c>
      <c r="K2918">
        <v>1.24</v>
      </c>
      <c r="L2918">
        <v>6.11</v>
      </c>
      <c r="M2918">
        <v>6.13</v>
      </c>
      <c r="N2918">
        <v>5.97</v>
      </c>
      <c r="O2918">
        <v>6.14</v>
      </c>
      <c r="P2918" t="s">
        <v>116</v>
      </c>
      <c r="Q2918">
        <v>24228402</v>
      </c>
      <c r="R2918">
        <v>0.76</v>
      </c>
      <c r="S2918" t="s">
        <v>682</v>
      </c>
      <c r="T2918" t="s">
        <v>165</v>
      </c>
      <c r="U2918">
        <v>2.61</v>
      </c>
      <c r="V2918">
        <v>6.06</v>
      </c>
      <c r="W2918">
        <v>27302</v>
      </c>
      <c r="X2918">
        <v>12690</v>
      </c>
      <c r="Y2918">
        <v>2.15</v>
      </c>
      <c r="Z2918">
        <v>721</v>
      </c>
      <c r="AA2918">
        <v>561</v>
      </c>
      <c r="AB2918" t="s">
        <v>116</v>
      </c>
      <c r="AC2918">
        <v>33000</v>
      </c>
      <c r="AD2918">
        <v>0</v>
      </c>
      <c r="AE2918" t="s">
        <v>116</v>
      </c>
      <c r="AF2918" t="s">
        <v>116</v>
      </c>
      <c r="AG2918">
        <v>3.22</v>
      </c>
      <c r="AH2918" t="s">
        <v>7013</v>
      </c>
      <c r="AI2918" t="s">
        <v>7013</v>
      </c>
      <c r="AJ2918">
        <v>-2.69</v>
      </c>
      <c r="AK2918">
        <v>906</v>
      </c>
      <c r="AL2918">
        <v>44</v>
      </c>
      <c r="AM2918">
        <v>1.4E-3</v>
      </c>
      <c r="AN2918">
        <v>-1</v>
      </c>
      <c r="AO2918">
        <v>0.16</v>
      </c>
      <c r="AP2918">
        <v>17.98</v>
      </c>
      <c r="AQ2918">
        <v>3.29</v>
      </c>
      <c r="AR2918">
        <v>33.56</v>
      </c>
      <c r="AS2918">
        <v>2.87</v>
      </c>
      <c r="AT2918" t="s">
        <v>12896</v>
      </c>
      <c r="AU2918" t="s">
        <v>116</v>
      </c>
      <c r="AV2918" t="s">
        <v>116</v>
      </c>
      <c r="AW2918">
        <v>0.62</v>
      </c>
      <c r="BA2918">
        <v>-0.49</v>
      </c>
      <c r="BB2918">
        <v>-0.16</v>
      </c>
      <c r="BC2918">
        <v>-2.77</v>
      </c>
      <c r="BD2918">
        <v>-1.33</v>
      </c>
      <c r="BE2918">
        <v>-2.29</v>
      </c>
      <c r="BF2918">
        <v>-2.61</v>
      </c>
      <c r="BG2918">
        <v>0</v>
      </c>
      <c r="BH2918">
        <v>-1.44</v>
      </c>
      <c r="BI2918">
        <v>20191031</v>
      </c>
      <c r="BJ2918">
        <v>19940506</v>
      </c>
      <c r="BK2918">
        <v>4.22</v>
      </c>
      <c r="BL2918" t="s">
        <v>116</v>
      </c>
      <c r="BM2918">
        <v>1</v>
      </c>
      <c r="BN2918">
        <v>17.7</v>
      </c>
      <c r="BO2918">
        <v>4.03</v>
      </c>
      <c r="BP2918">
        <v>3.79</v>
      </c>
      <c r="BQ2918">
        <v>55.84</v>
      </c>
      <c r="BR2918">
        <v>8.1999999999999993</v>
      </c>
      <c r="BS2918">
        <v>6.48</v>
      </c>
      <c r="BT2918">
        <v>1.25</v>
      </c>
      <c r="BU2918">
        <v>7.96</v>
      </c>
      <c r="BV2918">
        <v>3.54</v>
      </c>
      <c r="BW2918">
        <v>1.81</v>
      </c>
      <c r="BX2918">
        <v>6.87</v>
      </c>
      <c r="BY2918">
        <v>8.8699999999999992</v>
      </c>
      <c r="BZ2918">
        <v>8</v>
      </c>
      <c r="CA2918">
        <v>-0.8</v>
      </c>
      <c r="CB2918">
        <v>-0.02</v>
      </c>
      <c r="CC2918">
        <v>-0.79</v>
      </c>
      <c r="CD2918">
        <v>-0.81</v>
      </c>
      <c r="CE2918">
        <v>-0.64</v>
      </c>
      <c r="CF2918">
        <v>-0.65</v>
      </c>
      <c r="CG2918">
        <v>-7.54</v>
      </c>
      <c r="CH2918">
        <v>0.47</v>
      </c>
      <c r="CI2918">
        <v>0.65</v>
      </c>
      <c r="CJ2918">
        <v>21042</v>
      </c>
      <c r="CK2918">
        <v>6618</v>
      </c>
      <c r="CL2918" t="s">
        <v>895</v>
      </c>
      <c r="CM2918">
        <v>-44.64</v>
      </c>
      <c r="CN2918">
        <v>16.260000000000002</v>
      </c>
      <c r="CO2918">
        <v>6.25</v>
      </c>
      <c r="CP2918">
        <v>53.88</v>
      </c>
      <c r="CQ2918">
        <v>2.84</v>
      </c>
      <c r="CR2918">
        <v>0</v>
      </c>
      <c r="CS2918" t="s">
        <v>7599</v>
      </c>
      <c r="CT2918">
        <v>0.95</v>
      </c>
      <c r="CU2918">
        <v>0</v>
      </c>
      <c r="CV2918">
        <v>1.63</v>
      </c>
      <c r="CW2918">
        <v>-1.79</v>
      </c>
      <c r="CX2918">
        <v>0.11</v>
      </c>
      <c r="CY2918">
        <v>22.76</v>
      </c>
      <c r="CZ2918" t="s">
        <v>12897</v>
      </c>
      <c r="DA2918">
        <v>9.85</v>
      </c>
      <c r="DB2918">
        <v>-8.9700000000000006</v>
      </c>
      <c r="DC2918">
        <v>-7.2</v>
      </c>
      <c r="DD2918">
        <v>0.06</v>
      </c>
      <c r="DE2918">
        <v>1575</v>
      </c>
      <c r="DF2918">
        <v>600860</v>
      </c>
      <c r="DG2918" t="s">
        <v>116</v>
      </c>
      <c r="DH2918" t="s">
        <v>116</v>
      </c>
      <c r="DI2918" t="s">
        <v>116</v>
      </c>
    </row>
    <row r="2919" spans="1:113" x14ac:dyDescent="0.4">
      <c r="A2919" t="str">
        <f>"600861"</f>
        <v>600861</v>
      </c>
      <c r="B2919" t="s">
        <v>12898</v>
      </c>
      <c r="C2919">
        <v>-1.04</v>
      </c>
      <c r="D2919">
        <v>8.59</v>
      </c>
      <c r="E2919">
        <v>-0.09</v>
      </c>
      <c r="F2919">
        <v>8.59</v>
      </c>
      <c r="G2919">
        <v>8.6</v>
      </c>
      <c r="H2919">
        <v>16809</v>
      </c>
      <c r="I2919">
        <v>163</v>
      </c>
      <c r="J2919">
        <v>0.12</v>
      </c>
      <c r="K2919">
        <v>0.53</v>
      </c>
      <c r="L2919">
        <v>8.6999999999999993</v>
      </c>
      <c r="M2919">
        <v>8.73</v>
      </c>
      <c r="N2919">
        <v>8.56</v>
      </c>
      <c r="O2919">
        <v>8.68</v>
      </c>
      <c r="P2919">
        <v>194.82</v>
      </c>
      <c r="Q2919">
        <v>14565663</v>
      </c>
      <c r="R2919">
        <v>1.17</v>
      </c>
      <c r="S2919" t="s">
        <v>746</v>
      </c>
      <c r="T2919" t="s">
        <v>165</v>
      </c>
      <c r="U2919">
        <v>1.96</v>
      </c>
      <c r="V2919">
        <v>8.67</v>
      </c>
      <c r="W2919">
        <v>9643</v>
      </c>
      <c r="X2919">
        <v>7166</v>
      </c>
      <c r="Y2919">
        <v>1.35</v>
      </c>
      <c r="Z2919">
        <v>241</v>
      </c>
      <c r="AA2919">
        <v>353</v>
      </c>
      <c r="AB2919" t="s">
        <v>116</v>
      </c>
      <c r="AC2919">
        <v>0</v>
      </c>
      <c r="AD2919">
        <v>0</v>
      </c>
      <c r="AE2919" t="s">
        <v>116</v>
      </c>
      <c r="AF2919" t="s">
        <v>116</v>
      </c>
      <c r="AG2919">
        <v>3.17</v>
      </c>
      <c r="AH2919" t="s">
        <v>4690</v>
      </c>
      <c r="AI2919" t="s">
        <v>4690</v>
      </c>
      <c r="AJ2919">
        <v>-0.96</v>
      </c>
      <c r="AK2919">
        <v>600</v>
      </c>
      <c r="AL2919">
        <v>28</v>
      </c>
      <c r="AM2919">
        <v>8.9999999999999998E-4</v>
      </c>
      <c r="AN2919">
        <v>-1</v>
      </c>
      <c r="AO2919">
        <v>-2.93</v>
      </c>
      <c r="AP2919">
        <v>3.74</v>
      </c>
      <c r="AQ2919">
        <v>-11.72</v>
      </c>
      <c r="AR2919">
        <v>24.49</v>
      </c>
      <c r="AS2919">
        <v>0.81</v>
      </c>
      <c r="AT2919" t="s">
        <v>2531</v>
      </c>
      <c r="AU2919">
        <v>133.06</v>
      </c>
      <c r="AV2919">
        <v>67.290000000000006</v>
      </c>
      <c r="AW2919">
        <v>1.17</v>
      </c>
      <c r="BA2919">
        <v>0.23</v>
      </c>
      <c r="BB2919">
        <v>0.57999999999999996</v>
      </c>
      <c r="BC2919">
        <v>-1.38</v>
      </c>
      <c r="BD2919">
        <v>-0.17</v>
      </c>
      <c r="BE2919">
        <v>-1.26</v>
      </c>
      <c r="BF2919">
        <v>-1.6</v>
      </c>
      <c r="BG2919">
        <v>0.35</v>
      </c>
      <c r="BH2919">
        <v>-0.87</v>
      </c>
      <c r="BI2919">
        <v>20191031</v>
      </c>
      <c r="BJ2919">
        <v>19940520</v>
      </c>
      <c r="BK2919">
        <v>3.17</v>
      </c>
      <c r="BL2919" t="s">
        <v>116</v>
      </c>
      <c r="BM2919" t="s">
        <v>116</v>
      </c>
      <c r="BN2919">
        <v>35.53</v>
      </c>
      <c r="BO2919">
        <v>23.44</v>
      </c>
      <c r="BP2919">
        <v>1.25</v>
      </c>
      <c r="BQ2919">
        <v>30.52</v>
      </c>
      <c r="BR2919">
        <v>10.039999999999999</v>
      </c>
      <c r="BS2919">
        <v>14.52</v>
      </c>
      <c r="BT2919">
        <v>0.4</v>
      </c>
      <c r="BU2919">
        <v>9.74</v>
      </c>
      <c r="BV2919">
        <v>5.5</v>
      </c>
      <c r="BW2919">
        <v>0.39</v>
      </c>
      <c r="BX2919">
        <v>7.91</v>
      </c>
      <c r="BY2919">
        <v>15.01</v>
      </c>
      <c r="BZ2919">
        <v>10.47</v>
      </c>
      <c r="CA2919">
        <v>0.27</v>
      </c>
      <c r="CB2919">
        <v>0</v>
      </c>
      <c r="CC2919">
        <v>0.27</v>
      </c>
      <c r="CD2919">
        <v>0.14000000000000001</v>
      </c>
      <c r="CE2919">
        <v>0.1</v>
      </c>
      <c r="CF2919">
        <v>7.0000000000000007E-2</v>
      </c>
      <c r="CG2919">
        <v>6.08</v>
      </c>
      <c r="CH2919">
        <v>0.03</v>
      </c>
      <c r="CI2919">
        <v>-1.1299999999999999</v>
      </c>
      <c r="CJ2919">
        <v>20963</v>
      </c>
      <c r="CK2919">
        <v>9939</v>
      </c>
      <c r="CL2919" t="s">
        <v>1143</v>
      </c>
      <c r="CM2919">
        <v>-65.61</v>
      </c>
      <c r="CN2919">
        <v>8.57</v>
      </c>
      <c r="CO2919">
        <v>1.1599999999999999</v>
      </c>
      <c r="CP2919">
        <v>821.22</v>
      </c>
      <c r="CQ2919">
        <v>1.81</v>
      </c>
      <c r="CR2919">
        <v>0.57999999999999996</v>
      </c>
      <c r="CS2919" t="s">
        <v>379</v>
      </c>
      <c r="CT2919">
        <v>7.4</v>
      </c>
      <c r="CU2919">
        <v>0</v>
      </c>
      <c r="CV2919">
        <v>2.5</v>
      </c>
      <c r="CW2919">
        <v>1.92</v>
      </c>
      <c r="CX2919">
        <v>0.01</v>
      </c>
      <c r="CY2919">
        <v>65.97</v>
      </c>
      <c r="CZ2919" t="s">
        <v>11501</v>
      </c>
      <c r="DA2919">
        <v>30.26</v>
      </c>
      <c r="DB2919">
        <v>1.8</v>
      </c>
      <c r="DC2919">
        <v>0.7</v>
      </c>
      <c r="DD2919">
        <v>0</v>
      </c>
      <c r="DE2919">
        <v>1655</v>
      </c>
      <c r="DF2919">
        <v>600861</v>
      </c>
      <c r="DG2919" t="s">
        <v>116</v>
      </c>
      <c r="DH2919" t="s">
        <v>116</v>
      </c>
      <c r="DI2919" t="s">
        <v>116</v>
      </c>
    </row>
    <row r="2920" spans="1:113" x14ac:dyDescent="0.4">
      <c r="A2920" t="str">
        <f>"600862"</f>
        <v>600862</v>
      </c>
      <c r="B2920" t="s">
        <v>12899</v>
      </c>
      <c r="C2920">
        <v>0.45</v>
      </c>
      <c r="D2920">
        <v>11.06</v>
      </c>
      <c r="E2920">
        <v>0.05</v>
      </c>
      <c r="F2920">
        <v>11.05</v>
      </c>
      <c r="G2920">
        <v>11.06</v>
      </c>
      <c r="H2920">
        <v>182377</v>
      </c>
      <c r="I2920">
        <v>1602</v>
      </c>
      <c r="J2920">
        <v>0.09</v>
      </c>
      <c r="K2920">
        <v>1.31</v>
      </c>
      <c r="L2920">
        <v>11.11</v>
      </c>
      <c r="M2920">
        <v>11.35</v>
      </c>
      <c r="N2920">
        <v>10.98</v>
      </c>
      <c r="O2920">
        <v>11.01</v>
      </c>
      <c r="P2920">
        <v>34.159999999999997</v>
      </c>
      <c r="Q2920">
        <v>203194960</v>
      </c>
      <c r="R2920">
        <v>1.72</v>
      </c>
      <c r="S2920" t="s">
        <v>1789</v>
      </c>
      <c r="T2920" t="s">
        <v>323</v>
      </c>
      <c r="U2920">
        <v>3.36</v>
      </c>
      <c r="V2920">
        <v>11.14</v>
      </c>
      <c r="W2920">
        <v>81028</v>
      </c>
      <c r="X2920">
        <v>101349</v>
      </c>
      <c r="Y2920">
        <v>0.8</v>
      </c>
      <c r="Z2920">
        <v>631</v>
      </c>
      <c r="AA2920">
        <v>509</v>
      </c>
      <c r="AB2920" t="s">
        <v>116</v>
      </c>
      <c r="AC2920">
        <v>2808600</v>
      </c>
      <c r="AD2920">
        <v>0.06</v>
      </c>
      <c r="AE2920" t="s">
        <v>116</v>
      </c>
      <c r="AF2920" t="s">
        <v>116</v>
      </c>
      <c r="AG2920">
        <v>13.93</v>
      </c>
      <c r="AH2920" t="s">
        <v>12900</v>
      </c>
      <c r="AI2920" t="s">
        <v>12900</v>
      </c>
      <c r="AJ2920">
        <v>0.53</v>
      </c>
      <c r="AK2920">
        <v>3624</v>
      </c>
      <c r="AL2920">
        <v>50</v>
      </c>
      <c r="AM2920">
        <v>4.0000000000000002E-4</v>
      </c>
      <c r="AN2920">
        <v>2</v>
      </c>
      <c r="AO2920">
        <v>6.54</v>
      </c>
      <c r="AP2920">
        <v>14.97</v>
      </c>
      <c r="AQ2920">
        <v>10.71</v>
      </c>
      <c r="AR2920">
        <v>101.46</v>
      </c>
      <c r="AS2920">
        <v>4.07</v>
      </c>
      <c r="AT2920" t="s">
        <v>9991</v>
      </c>
      <c r="AU2920">
        <v>37.57</v>
      </c>
      <c r="AV2920">
        <v>50.67</v>
      </c>
      <c r="AW2920">
        <v>1.03</v>
      </c>
      <c r="BA2920">
        <v>0.91</v>
      </c>
      <c r="BB2920">
        <v>3.09</v>
      </c>
      <c r="BC2920">
        <v>-0.27</v>
      </c>
      <c r="BD2920">
        <v>1.19</v>
      </c>
      <c r="BE2920">
        <v>-0.45</v>
      </c>
      <c r="BF2920">
        <v>-2.56</v>
      </c>
      <c r="BG2920">
        <v>0.73</v>
      </c>
      <c r="BH2920">
        <v>-0.74</v>
      </c>
      <c r="BI2920">
        <v>20191029</v>
      </c>
      <c r="BJ2920">
        <v>19940520</v>
      </c>
      <c r="BK2920">
        <v>13.93</v>
      </c>
      <c r="BL2920" t="s">
        <v>116</v>
      </c>
      <c r="BM2920" t="s">
        <v>116</v>
      </c>
      <c r="BN2920">
        <v>88.85</v>
      </c>
      <c r="BO2920">
        <v>39.76</v>
      </c>
      <c r="BP2920">
        <v>0.67</v>
      </c>
      <c r="BQ2920">
        <v>54.5</v>
      </c>
      <c r="BR2920">
        <v>64.86</v>
      </c>
      <c r="BS2920">
        <v>9.91</v>
      </c>
      <c r="BT2920">
        <v>4.6500000000000004</v>
      </c>
      <c r="BU2920">
        <v>41</v>
      </c>
      <c r="BV2920">
        <v>30.2</v>
      </c>
      <c r="BW2920">
        <v>18.59</v>
      </c>
      <c r="BX2920">
        <v>14.49</v>
      </c>
      <c r="BY2920">
        <v>21.41</v>
      </c>
      <c r="BZ2920">
        <v>14.8</v>
      </c>
      <c r="CA2920">
        <v>4.46</v>
      </c>
      <c r="CB2920">
        <v>0.11</v>
      </c>
      <c r="CC2920">
        <v>4.5599999999999996</v>
      </c>
      <c r="CD2920">
        <v>3.64</v>
      </c>
      <c r="CE2920">
        <v>3.38</v>
      </c>
      <c r="CF2920">
        <v>3.02</v>
      </c>
      <c r="CG2920">
        <v>7.22</v>
      </c>
      <c r="CH2920">
        <v>3.7</v>
      </c>
      <c r="CI2920">
        <v>1.76</v>
      </c>
      <c r="CJ2920">
        <v>63681</v>
      </c>
      <c r="CK2920">
        <v>7031</v>
      </c>
      <c r="CL2920" t="s">
        <v>4256</v>
      </c>
      <c r="CM2920">
        <v>45.66</v>
      </c>
      <c r="CN2920">
        <v>6.12</v>
      </c>
      <c r="CO2920">
        <v>3.88</v>
      </c>
      <c r="CP2920">
        <v>41.62</v>
      </c>
      <c r="CQ2920">
        <v>7.2</v>
      </c>
      <c r="CR2920">
        <v>0.99</v>
      </c>
      <c r="CS2920" t="s">
        <v>3638</v>
      </c>
      <c r="CT2920">
        <v>2.85</v>
      </c>
      <c r="CU2920">
        <v>0</v>
      </c>
      <c r="CV2920">
        <v>1.04</v>
      </c>
      <c r="CW2920">
        <v>0.52</v>
      </c>
      <c r="CX2920">
        <v>0.27</v>
      </c>
      <c r="CY2920">
        <v>44.75</v>
      </c>
      <c r="CZ2920" t="s">
        <v>12564</v>
      </c>
      <c r="DA2920">
        <v>30.86</v>
      </c>
      <c r="DB2920">
        <v>20.85</v>
      </c>
      <c r="DC2920">
        <v>15.8</v>
      </c>
      <c r="DD2920">
        <v>0.56000000000000005</v>
      </c>
      <c r="DE2920">
        <v>1511</v>
      </c>
      <c r="DF2920">
        <v>600862</v>
      </c>
      <c r="DG2920" t="s">
        <v>116</v>
      </c>
      <c r="DH2920" t="s">
        <v>116</v>
      </c>
      <c r="DI2920" t="s">
        <v>116</v>
      </c>
    </row>
    <row r="2921" spans="1:113" x14ac:dyDescent="0.4">
      <c r="A2921" t="str">
        <f>"600863"</f>
        <v>600863</v>
      </c>
      <c r="B2921" t="s">
        <v>12901</v>
      </c>
      <c r="C2921">
        <v>-0.74</v>
      </c>
      <c r="D2921">
        <v>2.7</v>
      </c>
      <c r="E2921">
        <v>-0.02</v>
      </c>
      <c r="F2921">
        <v>2.7</v>
      </c>
      <c r="G2921">
        <v>2.71</v>
      </c>
      <c r="H2921">
        <v>196096</v>
      </c>
      <c r="I2921">
        <v>1180</v>
      </c>
      <c r="J2921">
        <v>0</v>
      </c>
      <c r="K2921">
        <v>0.34</v>
      </c>
      <c r="L2921">
        <v>2.72</v>
      </c>
      <c r="M2921">
        <v>2.73</v>
      </c>
      <c r="N2921">
        <v>2.69</v>
      </c>
      <c r="O2921">
        <v>2.72</v>
      </c>
      <c r="P2921">
        <v>11.64</v>
      </c>
      <c r="Q2921">
        <v>53095768</v>
      </c>
      <c r="R2921">
        <v>1.5</v>
      </c>
      <c r="S2921" t="s">
        <v>271</v>
      </c>
      <c r="T2921" t="s">
        <v>796</v>
      </c>
      <c r="U2921">
        <v>1.47</v>
      </c>
      <c r="V2921">
        <v>2.71</v>
      </c>
      <c r="W2921">
        <v>115856</v>
      </c>
      <c r="X2921">
        <v>80240</v>
      </c>
      <c r="Y2921">
        <v>1.44</v>
      </c>
      <c r="Z2921">
        <v>1633</v>
      </c>
      <c r="AA2921">
        <v>586</v>
      </c>
      <c r="AB2921" t="s">
        <v>116</v>
      </c>
      <c r="AC2921">
        <v>115600</v>
      </c>
      <c r="AD2921">
        <v>0</v>
      </c>
      <c r="AE2921" t="s">
        <v>116</v>
      </c>
      <c r="AF2921" t="s">
        <v>116</v>
      </c>
      <c r="AG2921">
        <v>58.08</v>
      </c>
      <c r="AH2921" t="s">
        <v>12902</v>
      </c>
      <c r="AI2921" t="s">
        <v>12902</v>
      </c>
      <c r="AJ2921">
        <v>-0.66</v>
      </c>
      <c r="AK2921">
        <v>2039</v>
      </c>
      <c r="AL2921">
        <v>96</v>
      </c>
      <c r="AM2921">
        <v>2.0000000000000001E-4</v>
      </c>
      <c r="AN2921">
        <v>-1</v>
      </c>
      <c r="AO2921">
        <v>0.74</v>
      </c>
      <c r="AP2921">
        <v>4.25</v>
      </c>
      <c r="AQ2921">
        <v>-12.9</v>
      </c>
      <c r="AR2921">
        <v>21.95</v>
      </c>
      <c r="AS2921">
        <v>0.82</v>
      </c>
      <c r="AT2921" t="s">
        <v>12903</v>
      </c>
      <c r="AU2921">
        <v>12.49</v>
      </c>
      <c r="AV2921">
        <v>20.04</v>
      </c>
      <c r="AW2921">
        <v>1.06</v>
      </c>
      <c r="BA2921">
        <v>0</v>
      </c>
      <c r="BB2921">
        <v>0.37</v>
      </c>
      <c r="BC2921">
        <v>-1.1000000000000001</v>
      </c>
      <c r="BD2921">
        <v>-0.45</v>
      </c>
      <c r="BE2921">
        <v>-0.74</v>
      </c>
      <c r="BF2921">
        <v>-1.1000000000000001</v>
      </c>
      <c r="BG2921">
        <v>0.37</v>
      </c>
      <c r="BH2921">
        <v>-0.28000000000000003</v>
      </c>
      <c r="BI2921">
        <v>20191029</v>
      </c>
      <c r="BJ2921">
        <v>19940520</v>
      </c>
      <c r="BK2921">
        <v>58.08</v>
      </c>
      <c r="BL2921" t="s">
        <v>116</v>
      </c>
      <c r="BM2921" t="s">
        <v>116</v>
      </c>
      <c r="BN2921">
        <v>447.21</v>
      </c>
      <c r="BO2921">
        <v>139.30000000000001</v>
      </c>
      <c r="BP2921">
        <v>32.97</v>
      </c>
      <c r="BQ2921">
        <v>61.48</v>
      </c>
      <c r="BR2921">
        <v>43.98</v>
      </c>
      <c r="BS2921">
        <v>290.42</v>
      </c>
      <c r="BT2921">
        <v>42.78</v>
      </c>
      <c r="BU2921">
        <v>129.16</v>
      </c>
      <c r="BV2921">
        <v>4.18</v>
      </c>
      <c r="BW2921">
        <v>22.65</v>
      </c>
      <c r="BX2921">
        <v>1.74</v>
      </c>
      <c r="BY2921">
        <v>104.72</v>
      </c>
      <c r="BZ2921">
        <v>83.56</v>
      </c>
      <c r="CA2921">
        <v>14.62</v>
      </c>
      <c r="CB2921">
        <v>3.25</v>
      </c>
      <c r="CC2921">
        <v>14.64</v>
      </c>
      <c r="CD2921">
        <v>11.87</v>
      </c>
      <c r="CE2921">
        <v>10.11</v>
      </c>
      <c r="CF2921">
        <v>10.01</v>
      </c>
      <c r="CG2921">
        <v>36.450000000000003</v>
      </c>
      <c r="CH2921">
        <v>30.44</v>
      </c>
      <c r="CI2921">
        <v>2.85</v>
      </c>
      <c r="CJ2921">
        <v>189956</v>
      </c>
      <c r="CK2921">
        <v>12610</v>
      </c>
      <c r="CL2921" t="s">
        <v>1321</v>
      </c>
      <c r="CM2921">
        <v>87.89</v>
      </c>
      <c r="CN2921">
        <v>5.67</v>
      </c>
      <c r="CO2921">
        <v>1.35</v>
      </c>
      <c r="CP2921">
        <v>5.15</v>
      </c>
      <c r="CQ2921">
        <v>1.5</v>
      </c>
      <c r="CR2921">
        <v>3.56</v>
      </c>
      <c r="CS2921" t="s">
        <v>7859</v>
      </c>
      <c r="CT2921">
        <v>2</v>
      </c>
      <c r="CU2921">
        <v>2</v>
      </c>
      <c r="CV2921">
        <v>0.03</v>
      </c>
      <c r="CW2921">
        <v>0.63</v>
      </c>
      <c r="CX2921">
        <v>0.52</v>
      </c>
      <c r="CY2921">
        <v>31.15</v>
      </c>
      <c r="CZ2921" t="s">
        <v>11235</v>
      </c>
      <c r="DA2921">
        <v>20.21</v>
      </c>
      <c r="DB2921">
        <v>13.96</v>
      </c>
      <c r="DC2921">
        <v>9.65</v>
      </c>
      <c r="DD2921">
        <v>0</v>
      </c>
      <c r="DE2921">
        <v>7366</v>
      </c>
      <c r="DF2921">
        <v>600863</v>
      </c>
      <c r="DG2921" t="s">
        <v>116</v>
      </c>
      <c r="DH2921" t="s">
        <v>116</v>
      </c>
      <c r="DI2921" t="s">
        <v>116</v>
      </c>
    </row>
    <row r="2922" spans="1:113" x14ac:dyDescent="0.4">
      <c r="A2922" t="str">
        <f>"600864"</f>
        <v>600864</v>
      </c>
      <c r="B2922" t="s">
        <v>12904</v>
      </c>
      <c r="C2922">
        <v>5.43</v>
      </c>
      <c r="D2922">
        <v>7.77</v>
      </c>
      <c r="E2922">
        <v>0.4</v>
      </c>
      <c r="F2922">
        <v>7.77</v>
      </c>
      <c r="G2922">
        <v>7.78</v>
      </c>
      <c r="H2922">
        <v>1633261</v>
      </c>
      <c r="I2922">
        <v>17111</v>
      </c>
      <c r="J2922">
        <v>0.26</v>
      </c>
      <c r="K2922">
        <v>7.85</v>
      </c>
      <c r="L2922">
        <v>7.41</v>
      </c>
      <c r="M2922">
        <v>8.11</v>
      </c>
      <c r="N2922">
        <v>7.35</v>
      </c>
      <c r="O2922">
        <v>7.37</v>
      </c>
      <c r="P2922">
        <v>20.420000000000002</v>
      </c>
      <c r="Q2922">
        <v>1283603712</v>
      </c>
      <c r="R2922">
        <v>3.32</v>
      </c>
      <c r="S2922" t="s">
        <v>623</v>
      </c>
      <c r="T2922" t="s">
        <v>1287</v>
      </c>
      <c r="U2922">
        <v>10.31</v>
      </c>
      <c r="V2922">
        <v>7.86</v>
      </c>
      <c r="W2922">
        <v>962153</v>
      </c>
      <c r="X2922">
        <v>671108</v>
      </c>
      <c r="Y2922">
        <v>1.43</v>
      </c>
      <c r="Z2922">
        <v>2457</v>
      </c>
      <c r="AA2922">
        <v>898</v>
      </c>
      <c r="AB2922" t="s">
        <v>116</v>
      </c>
      <c r="AC2922">
        <v>9159500</v>
      </c>
      <c r="AD2922">
        <v>0.15</v>
      </c>
      <c r="AE2922" t="s">
        <v>116</v>
      </c>
      <c r="AF2922" t="s">
        <v>116</v>
      </c>
      <c r="AG2922">
        <v>20.81</v>
      </c>
      <c r="AH2922" t="s">
        <v>12905</v>
      </c>
      <c r="AI2922" t="s">
        <v>12905</v>
      </c>
      <c r="AJ2922">
        <v>5.5</v>
      </c>
      <c r="AK2922">
        <v>3933</v>
      </c>
      <c r="AL2922">
        <v>415</v>
      </c>
      <c r="AM2922">
        <v>2E-3</v>
      </c>
      <c r="AN2922">
        <v>2</v>
      </c>
      <c r="AO2922">
        <v>8.5299999999999994</v>
      </c>
      <c r="AP2922">
        <v>23.73</v>
      </c>
      <c r="AQ2922">
        <v>10.06</v>
      </c>
      <c r="AR2922">
        <v>74.61</v>
      </c>
      <c r="AS2922">
        <v>19.27</v>
      </c>
      <c r="AT2922" t="s">
        <v>12906</v>
      </c>
      <c r="AU2922">
        <v>23.34</v>
      </c>
      <c r="AV2922" t="s">
        <v>116</v>
      </c>
      <c r="AW2922">
        <v>2.06</v>
      </c>
      <c r="BA2922">
        <v>0.54</v>
      </c>
      <c r="BB2922">
        <v>10.039999999999999</v>
      </c>
      <c r="BC2922">
        <v>-0.27</v>
      </c>
      <c r="BD2922">
        <v>6.64</v>
      </c>
      <c r="BE2922">
        <v>4.8600000000000003</v>
      </c>
      <c r="BF2922">
        <v>-4.1900000000000004</v>
      </c>
      <c r="BG2922">
        <v>5.71</v>
      </c>
      <c r="BH2922">
        <v>-1.21</v>
      </c>
      <c r="BI2922">
        <v>20191024</v>
      </c>
      <c r="BJ2922">
        <v>19940809</v>
      </c>
      <c r="BK2922">
        <v>20.81</v>
      </c>
      <c r="BL2922" t="s">
        <v>116</v>
      </c>
      <c r="BM2922" t="s">
        <v>116</v>
      </c>
      <c r="BN2922">
        <v>409.46</v>
      </c>
      <c r="BO2922">
        <v>134.13999999999999</v>
      </c>
      <c r="BP2922">
        <v>1.44</v>
      </c>
      <c r="BQ2922">
        <v>66.89</v>
      </c>
      <c r="BR2922">
        <v>345.55</v>
      </c>
      <c r="BS2922">
        <v>22.69</v>
      </c>
      <c r="BT2922">
        <v>2.27</v>
      </c>
      <c r="BU2922">
        <v>221.8</v>
      </c>
      <c r="BV2922">
        <v>2.21</v>
      </c>
      <c r="BW2922">
        <v>4.47</v>
      </c>
      <c r="BX2922">
        <v>75.23</v>
      </c>
      <c r="BY2922">
        <v>7.96</v>
      </c>
      <c r="BZ2922">
        <v>6.38</v>
      </c>
      <c r="CA2922">
        <v>7.24</v>
      </c>
      <c r="CB2922">
        <v>4.53</v>
      </c>
      <c r="CC2922">
        <v>7.54</v>
      </c>
      <c r="CD2922">
        <v>5.82</v>
      </c>
      <c r="CE2922">
        <v>5.94</v>
      </c>
      <c r="CF2922">
        <v>5.49</v>
      </c>
      <c r="CG2922">
        <v>21.48</v>
      </c>
      <c r="CH2922">
        <v>24.36</v>
      </c>
      <c r="CI2922">
        <v>19.16</v>
      </c>
      <c r="CJ2922">
        <v>68117</v>
      </c>
      <c r="CK2922">
        <v>12442</v>
      </c>
      <c r="CL2922" t="s">
        <v>10096</v>
      </c>
      <c r="CM2922">
        <v>346.47</v>
      </c>
      <c r="CN2922">
        <v>2.15</v>
      </c>
      <c r="CO2922">
        <v>1.21</v>
      </c>
      <c r="CP2922">
        <v>6.64</v>
      </c>
      <c r="CQ2922">
        <v>20.32</v>
      </c>
      <c r="CR2922">
        <v>0</v>
      </c>
      <c r="CS2922" t="s">
        <v>2993</v>
      </c>
      <c r="CT2922">
        <v>6.45</v>
      </c>
      <c r="CU2922">
        <v>0</v>
      </c>
      <c r="CV2922">
        <v>3.62</v>
      </c>
      <c r="CW2922">
        <v>1.03</v>
      </c>
      <c r="CX2922">
        <v>1.17</v>
      </c>
      <c r="CY2922">
        <v>32.76</v>
      </c>
      <c r="CZ2922" t="s">
        <v>5037</v>
      </c>
      <c r="DA2922">
        <v>19.809999999999999</v>
      </c>
      <c r="DB2922">
        <v>90.93</v>
      </c>
      <c r="DC2922">
        <v>74.61</v>
      </c>
      <c r="DD2922">
        <v>0</v>
      </c>
      <c r="DE2922">
        <v>4280</v>
      </c>
      <c r="DF2922">
        <v>600864</v>
      </c>
      <c r="DG2922" t="s">
        <v>116</v>
      </c>
      <c r="DH2922" t="s">
        <v>116</v>
      </c>
      <c r="DI2922" t="s">
        <v>116</v>
      </c>
    </row>
    <row r="2923" spans="1:113" x14ac:dyDescent="0.4">
      <c r="A2923" t="str">
        <f>"600865"</f>
        <v>600865</v>
      </c>
      <c r="B2923" t="s">
        <v>12907</v>
      </c>
      <c r="C2923">
        <v>0.65</v>
      </c>
      <c r="D2923">
        <v>6.23</v>
      </c>
      <c r="E2923">
        <v>0.04</v>
      </c>
      <c r="F2923">
        <v>6.23</v>
      </c>
      <c r="G2923">
        <v>6.24</v>
      </c>
      <c r="H2923">
        <v>29827</v>
      </c>
      <c r="I2923">
        <v>272</v>
      </c>
      <c r="J2923">
        <v>0</v>
      </c>
      <c r="K2923">
        <v>0.79</v>
      </c>
      <c r="L2923">
        <v>6.2</v>
      </c>
      <c r="M2923">
        <v>6.3</v>
      </c>
      <c r="N2923">
        <v>6.18</v>
      </c>
      <c r="O2923">
        <v>6.19</v>
      </c>
      <c r="P2923">
        <v>13.99</v>
      </c>
      <c r="Q2923">
        <v>18622532</v>
      </c>
      <c r="R2923">
        <v>1.46</v>
      </c>
      <c r="S2923" t="s">
        <v>746</v>
      </c>
      <c r="T2923" t="s">
        <v>590</v>
      </c>
      <c r="U2923">
        <v>1.94</v>
      </c>
      <c r="V2923">
        <v>6.24</v>
      </c>
      <c r="W2923">
        <v>10411</v>
      </c>
      <c r="X2923">
        <v>19416</v>
      </c>
      <c r="Y2923">
        <v>0.54</v>
      </c>
      <c r="Z2923">
        <v>9</v>
      </c>
      <c r="AA2923">
        <v>375</v>
      </c>
      <c r="AB2923" t="s">
        <v>116</v>
      </c>
      <c r="AC2923">
        <v>26700</v>
      </c>
      <c r="AD2923">
        <v>0</v>
      </c>
      <c r="AE2923" t="s">
        <v>116</v>
      </c>
      <c r="AF2923" t="s">
        <v>116</v>
      </c>
      <c r="AG2923">
        <v>3.76</v>
      </c>
      <c r="AH2923" t="s">
        <v>5712</v>
      </c>
      <c r="AI2923" t="s">
        <v>5712</v>
      </c>
      <c r="AJ2923">
        <v>0.72</v>
      </c>
      <c r="AK2923">
        <v>670</v>
      </c>
      <c r="AL2923">
        <v>45</v>
      </c>
      <c r="AM2923">
        <v>1.1999999999999999E-3</v>
      </c>
      <c r="AN2923">
        <v>2</v>
      </c>
      <c r="AO2923">
        <v>1.46</v>
      </c>
      <c r="AP2923">
        <v>3.83</v>
      </c>
      <c r="AQ2923">
        <v>6.31</v>
      </c>
      <c r="AR2923">
        <v>16.45</v>
      </c>
      <c r="AS2923">
        <v>1.41</v>
      </c>
      <c r="AT2923" t="s">
        <v>9933</v>
      </c>
      <c r="AU2923">
        <v>16.43</v>
      </c>
      <c r="AV2923">
        <v>20.13</v>
      </c>
      <c r="AW2923">
        <v>1.0900000000000001</v>
      </c>
      <c r="BA2923">
        <v>0.16</v>
      </c>
      <c r="BB2923">
        <v>1.78</v>
      </c>
      <c r="BC2923">
        <v>-0.16</v>
      </c>
      <c r="BD2923">
        <v>0.86</v>
      </c>
      <c r="BE2923">
        <v>0.48</v>
      </c>
      <c r="BF2923">
        <v>-1.1100000000000001</v>
      </c>
      <c r="BG2923">
        <v>0.81</v>
      </c>
      <c r="BH2923">
        <v>-0.22</v>
      </c>
      <c r="BI2923">
        <v>20191030</v>
      </c>
      <c r="BJ2923">
        <v>19940809</v>
      </c>
      <c r="BK2923">
        <v>3.76</v>
      </c>
      <c r="BL2923" t="s">
        <v>116</v>
      </c>
      <c r="BM2923" t="s">
        <v>116</v>
      </c>
      <c r="BN2923">
        <v>21.11</v>
      </c>
      <c r="BO2923">
        <v>18.21</v>
      </c>
      <c r="BP2923">
        <v>0</v>
      </c>
      <c r="BQ2923">
        <v>13.77</v>
      </c>
      <c r="BR2923">
        <v>8.25</v>
      </c>
      <c r="BS2923">
        <v>0.94</v>
      </c>
      <c r="BT2923">
        <v>0.59</v>
      </c>
      <c r="BU2923">
        <v>2.06</v>
      </c>
      <c r="BV2923">
        <v>0.02</v>
      </c>
      <c r="BW2923">
        <v>0.08</v>
      </c>
      <c r="BX2923">
        <v>2.33</v>
      </c>
      <c r="BY2923">
        <v>5.79</v>
      </c>
      <c r="BZ2923">
        <v>4.2300000000000004</v>
      </c>
      <c r="CA2923">
        <v>1.59</v>
      </c>
      <c r="CB2923">
        <v>0.45</v>
      </c>
      <c r="CC2923">
        <v>1.59</v>
      </c>
      <c r="CD2923">
        <v>1.26</v>
      </c>
      <c r="CE2923">
        <v>1.26</v>
      </c>
      <c r="CF2923">
        <v>0.71</v>
      </c>
      <c r="CG2923">
        <v>10.16</v>
      </c>
      <c r="CH2923">
        <v>0.81</v>
      </c>
      <c r="CI2923">
        <v>-0.27</v>
      </c>
      <c r="CJ2923">
        <v>23960</v>
      </c>
      <c r="CK2923">
        <v>8803</v>
      </c>
      <c r="CL2923" t="s">
        <v>922</v>
      </c>
      <c r="CM2923">
        <v>26.44</v>
      </c>
      <c r="CN2923">
        <v>10.33</v>
      </c>
      <c r="CO2923">
        <v>1.29</v>
      </c>
      <c r="CP2923">
        <v>28.93</v>
      </c>
      <c r="CQ2923">
        <v>4.05</v>
      </c>
      <c r="CR2923">
        <v>3.21</v>
      </c>
      <c r="CS2923" t="s">
        <v>7122</v>
      </c>
      <c r="CT2923">
        <v>4.84</v>
      </c>
      <c r="CU2923">
        <v>0</v>
      </c>
      <c r="CV2923">
        <v>0.62</v>
      </c>
      <c r="CW2923">
        <v>2.7</v>
      </c>
      <c r="CX2923">
        <v>0.22</v>
      </c>
      <c r="CY2923">
        <v>86.23</v>
      </c>
      <c r="CZ2923" t="s">
        <v>6653</v>
      </c>
      <c r="DA2923">
        <v>26.84</v>
      </c>
      <c r="DB2923">
        <v>27.51</v>
      </c>
      <c r="DC2923">
        <v>21.71</v>
      </c>
      <c r="DD2923">
        <v>0</v>
      </c>
      <c r="DE2923">
        <v>254</v>
      </c>
      <c r="DF2923">
        <v>600865</v>
      </c>
      <c r="DG2923" t="s">
        <v>116</v>
      </c>
      <c r="DH2923" t="s">
        <v>116</v>
      </c>
      <c r="DI2923" t="s">
        <v>116</v>
      </c>
    </row>
    <row r="2924" spans="1:113" x14ac:dyDescent="0.4">
      <c r="A2924" t="str">
        <f>"600866"</f>
        <v>600866</v>
      </c>
      <c r="B2924" t="s">
        <v>12908</v>
      </c>
      <c r="C2924">
        <v>-0.68</v>
      </c>
      <c r="D2924">
        <v>4.4000000000000004</v>
      </c>
      <c r="E2924">
        <v>-0.03</v>
      </c>
      <c r="F2924">
        <v>4.4000000000000004</v>
      </c>
      <c r="G2924">
        <v>4.41</v>
      </c>
      <c r="H2924">
        <v>61293</v>
      </c>
      <c r="I2924">
        <v>241</v>
      </c>
      <c r="J2924">
        <v>0.23</v>
      </c>
      <c r="K2924">
        <v>0.95</v>
      </c>
      <c r="L2924">
        <v>4.45</v>
      </c>
      <c r="M2924">
        <v>4.45</v>
      </c>
      <c r="N2924">
        <v>4.3899999999999997</v>
      </c>
      <c r="O2924">
        <v>4.43</v>
      </c>
      <c r="P2924">
        <v>20.010000000000002</v>
      </c>
      <c r="Q2924">
        <v>27104740</v>
      </c>
      <c r="R2924">
        <v>1.43</v>
      </c>
      <c r="S2924" t="s">
        <v>863</v>
      </c>
      <c r="T2924" t="s">
        <v>551</v>
      </c>
      <c r="U2924">
        <v>1.35</v>
      </c>
      <c r="V2924">
        <v>4.42</v>
      </c>
      <c r="W2924">
        <v>38377</v>
      </c>
      <c r="X2924">
        <v>22916</v>
      </c>
      <c r="Y2924">
        <v>1.67</v>
      </c>
      <c r="Z2924">
        <v>17</v>
      </c>
      <c r="AA2924">
        <v>720</v>
      </c>
      <c r="AB2924" t="s">
        <v>116</v>
      </c>
      <c r="AC2924">
        <v>326200</v>
      </c>
      <c r="AD2924">
        <v>0.02</v>
      </c>
      <c r="AE2924" t="s">
        <v>116</v>
      </c>
      <c r="AF2924" t="s">
        <v>116</v>
      </c>
      <c r="AG2924">
        <v>6.45</v>
      </c>
      <c r="AH2924" t="s">
        <v>8433</v>
      </c>
      <c r="AI2924" t="s">
        <v>12909</v>
      </c>
      <c r="AJ2924">
        <v>-0.6</v>
      </c>
      <c r="AK2924">
        <v>1017</v>
      </c>
      <c r="AL2924">
        <v>60</v>
      </c>
      <c r="AM2924">
        <v>8.9999999999999998E-4</v>
      </c>
      <c r="AN2924">
        <v>-2</v>
      </c>
      <c r="AO2924">
        <v>-1.1299999999999999</v>
      </c>
      <c r="AP2924">
        <v>0.69</v>
      </c>
      <c r="AQ2924">
        <v>-6.78</v>
      </c>
      <c r="AR2924">
        <v>40.130000000000003</v>
      </c>
      <c r="AS2924">
        <v>1.45</v>
      </c>
      <c r="AT2924" t="s">
        <v>9627</v>
      </c>
      <c r="AU2924">
        <v>24.59</v>
      </c>
      <c r="AV2924">
        <v>76.91</v>
      </c>
      <c r="AW2924">
        <v>0.72</v>
      </c>
      <c r="BA2924">
        <v>0.45</v>
      </c>
      <c r="BB2924">
        <v>0.45</v>
      </c>
      <c r="BC2924">
        <v>-0.9</v>
      </c>
      <c r="BD2924">
        <v>-0.18</v>
      </c>
      <c r="BE2924">
        <v>-1.1200000000000001</v>
      </c>
      <c r="BF2924">
        <v>-1.1200000000000001</v>
      </c>
      <c r="BG2924">
        <v>0.23</v>
      </c>
      <c r="BH2924">
        <v>-0.5</v>
      </c>
      <c r="BI2924">
        <v>20191022</v>
      </c>
      <c r="BJ2924">
        <v>19940818</v>
      </c>
      <c r="BK2924">
        <v>7.39</v>
      </c>
      <c r="BL2924" t="s">
        <v>116</v>
      </c>
      <c r="BM2924" t="s">
        <v>116</v>
      </c>
      <c r="BN2924">
        <v>19.89</v>
      </c>
      <c r="BO2924">
        <v>14.93</v>
      </c>
      <c r="BP2924">
        <v>0</v>
      </c>
      <c r="BQ2924">
        <v>24.95</v>
      </c>
      <c r="BR2924">
        <v>7.26</v>
      </c>
      <c r="BS2924">
        <v>7.58</v>
      </c>
      <c r="BT2924">
        <v>1.52</v>
      </c>
      <c r="BU2924">
        <v>3.6</v>
      </c>
      <c r="BV2924">
        <v>2.62</v>
      </c>
      <c r="BW2924">
        <v>1.48</v>
      </c>
      <c r="BX2924">
        <v>10.82</v>
      </c>
      <c r="BY2924">
        <v>8.4499999999999993</v>
      </c>
      <c r="BZ2924">
        <v>5.5</v>
      </c>
      <c r="CA2924">
        <v>1.31</v>
      </c>
      <c r="CB2924">
        <v>0.01</v>
      </c>
      <c r="CC2924">
        <v>1.28</v>
      </c>
      <c r="CD2924">
        <v>1.22</v>
      </c>
      <c r="CE2924">
        <v>1.22</v>
      </c>
      <c r="CF2924">
        <v>1.17</v>
      </c>
      <c r="CG2924">
        <v>-5.01</v>
      </c>
      <c r="CH2924">
        <v>1.8</v>
      </c>
      <c r="CI2924">
        <v>1.3</v>
      </c>
      <c r="CJ2924">
        <v>38823</v>
      </c>
      <c r="CK2924">
        <v>10883</v>
      </c>
      <c r="CL2924" t="s">
        <v>2176</v>
      </c>
      <c r="CM2924">
        <v>281.36</v>
      </c>
      <c r="CN2924">
        <v>31.42</v>
      </c>
      <c r="CO2924">
        <v>2.1800000000000002</v>
      </c>
      <c r="CP2924">
        <v>18.09</v>
      </c>
      <c r="CQ2924">
        <v>3.85</v>
      </c>
      <c r="CR2924">
        <v>0</v>
      </c>
      <c r="CS2924" t="s">
        <v>1025</v>
      </c>
      <c r="CT2924">
        <v>2.02</v>
      </c>
      <c r="CU2924">
        <v>0</v>
      </c>
      <c r="CV2924">
        <v>1.46</v>
      </c>
      <c r="CW2924">
        <v>-0.68</v>
      </c>
      <c r="CX2924">
        <v>0.24</v>
      </c>
      <c r="CY2924">
        <v>75.05</v>
      </c>
      <c r="CZ2924" t="s">
        <v>7567</v>
      </c>
      <c r="DA2924">
        <v>34.85</v>
      </c>
      <c r="DB2924">
        <v>15.5</v>
      </c>
      <c r="DC2924">
        <v>14.43</v>
      </c>
      <c r="DD2924">
        <v>0.36</v>
      </c>
      <c r="DE2924">
        <v>2105</v>
      </c>
      <c r="DF2924">
        <v>600866</v>
      </c>
      <c r="DG2924" t="s">
        <v>116</v>
      </c>
      <c r="DH2924" t="s">
        <v>116</v>
      </c>
      <c r="DI2924" t="s">
        <v>116</v>
      </c>
    </row>
    <row r="2925" spans="1:113" x14ac:dyDescent="0.4">
      <c r="A2925" t="str">
        <f>"600867"</f>
        <v>600867</v>
      </c>
      <c r="B2925" t="s">
        <v>12910</v>
      </c>
      <c r="C2925">
        <v>-0.4</v>
      </c>
      <c r="D2925">
        <v>12.51</v>
      </c>
      <c r="E2925">
        <v>-0.05</v>
      </c>
      <c r="F2925">
        <v>12.5</v>
      </c>
      <c r="G2925">
        <v>12.51</v>
      </c>
      <c r="H2925">
        <v>563126</v>
      </c>
      <c r="I2925">
        <v>2809</v>
      </c>
      <c r="J2925">
        <v>-7.0000000000000007E-2</v>
      </c>
      <c r="K2925">
        <v>2.77</v>
      </c>
      <c r="L2925">
        <v>12.64</v>
      </c>
      <c r="M2925">
        <v>12.75</v>
      </c>
      <c r="N2925">
        <v>12.47</v>
      </c>
      <c r="O2925">
        <v>12.56</v>
      </c>
      <c r="P2925">
        <v>27.73</v>
      </c>
      <c r="Q2925">
        <v>709875840</v>
      </c>
      <c r="R2925">
        <v>1.46</v>
      </c>
      <c r="S2925" t="s">
        <v>132</v>
      </c>
      <c r="T2925" t="s">
        <v>294</v>
      </c>
      <c r="U2925">
        <v>2.23</v>
      </c>
      <c r="V2925">
        <v>12.61</v>
      </c>
      <c r="W2925">
        <v>295910</v>
      </c>
      <c r="X2925">
        <v>267216</v>
      </c>
      <c r="Y2925">
        <v>1.1100000000000001</v>
      </c>
      <c r="Z2925">
        <v>1817</v>
      </c>
      <c r="AA2925">
        <v>1442</v>
      </c>
      <c r="AB2925" t="s">
        <v>116</v>
      </c>
      <c r="AC2925">
        <v>4915700</v>
      </c>
      <c r="AD2925">
        <v>0.03</v>
      </c>
      <c r="AE2925" t="s">
        <v>116</v>
      </c>
      <c r="AF2925" t="s">
        <v>116</v>
      </c>
      <c r="AG2925">
        <v>20.34</v>
      </c>
      <c r="AH2925" t="s">
        <v>12911</v>
      </c>
      <c r="AI2925" t="s">
        <v>12911</v>
      </c>
      <c r="AJ2925">
        <v>-0.32</v>
      </c>
      <c r="AK2925">
        <v>4120</v>
      </c>
      <c r="AL2925">
        <v>137</v>
      </c>
      <c r="AM2925">
        <v>6.9999999999999999E-4</v>
      </c>
      <c r="AN2925">
        <v>-1</v>
      </c>
      <c r="AO2925">
        <v>-0.48</v>
      </c>
      <c r="AP2925">
        <v>-5.73</v>
      </c>
      <c r="AQ2925">
        <v>-31.15</v>
      </c>
      <c r="AR2925">
        <v>-8.69</v>
      </c>
      <c r="AS2925">
        <v>4.54</v>
      </c>
      <c r="AT2925" t="s">
        <v>12912</v>
      </c>
      <c r="AU2925">
        <v>30.32</v>
      </c>
      <c r="AV2925">
        <v>30.34</v>
      </c>
      <c r="AW2925">
        <v>1.52</v>
      </c>
      <c r="BA2925">
        <v>0.64</v>
      </c>
      <c r="BB2925">
        <v>1.51</v>
      </c>
      <c r="BC2925">
        <v>-0.72</v>
      </c>
      <c r="BD2925">
        <v>0.37</v>
      </c>
      <c r="BE2925">
        <v>-1.03</v>
      </c>
      <c r="BF2925">
        <v>-1.88</v>
      </c>
      <c r="BG2925">
        <v>0.32</v>
      </c>
      <c r="BH2925">
        <v>-0.76</v>
      </c>
      <c r="BI2925">
        <v>20191226</v>
      </c>
      <c r="BJ2925">
        <v>19940824</v>
      </c>
      <c r="BK2925">
        <v>20.34</v>
      </c>
      <c r="BL2925" t="s">
        <v>116</v>
      </c>
      <c r="BM2925" t="s">
        <v>116</v>
      </c>
      <c r="BN2925">
        <v>53.4</v>
      </c>
      <c r="BO2925">
        <v>50.06</v>
      </c>
      <c r="BP2925">
        <v>0.08</v>
      </c>
      <c r="BQ2925">
        <v>6.12</v>
      </c>
      <c r="BR2925">
        <v>19.84</v>
      </c>
      <c r="BS2925">
        <v>10.5</v>
      </c>
      <c r="BT2925">
        <v>2.2000000000000002</v>
      </c>
      <c r="BU2925">
        <v>2.9</v>
      </c>
      <c r="BV2925">
        <v>6.72</v>
      </c>
      <c r="BW2925">
        <v>5.56</v>
      </c>
      <c r="BX2925">
        <v>9.33</v>
      </c>
      <c r="BY2925">
        <v>20.57</v>
      </c>
      <c r="BZ2925">
        <v>5.19</v>
      </c>
      <c r="CA2925">
        <v>8.11</v>
      </c>
      <c r="CB2925">
        <v>0.26</v>
      </c>
      <c r="CC2925">
        <v>8</v>
      </c>
      <c r="CD2925">
        <v>6.86</v>
      </c>
      <c r="CE2925">
        <v>6.88</v>
      </c>
      <c r="CF2925">
        <v>6.88</v>
      </c>
      <c r="CG2925">
        <v>14.9</v>
      </c>
      <c r="CH2925">
        <v>9.4700000000000006</v>
      </c>
      <c r="CI2925">
        <v>0.72</v>
      </c>
      <c r="CJ2925">
        <v>53788</v>
      </c>
      <c r="CK2925">
        <v>23085</v>
      </c>
      <c r="CL2925" t="s">
        <v>12913</v>
      </c>
      <c r="CM2925">
        <v>0.08</v>
      </c>
      <c r="CN2925">
        <v>2.41</v>
      </c>
      <c r="CO2925">
        <v>5.08</v>
      </c>
      <c r="CP2925">
        <v>26.86</v>
      </c>
      <c r="CQ2925">
        <v>12.37</v>
      </c>
      <c r="CR2925">
        <v>1.6</v>
      </c>
      <c r="CS2925" t="s">
        <v>12914</v>
      </c>
      <c r="CT2925">
        <v>2.46</v>
      </c>
      <c r="CU2925">
        <v>0</v>
      </c>
      <c r="CV2925">
        <v>0.46</v>
      </c>
      <c r="CW2925">
        <v>0.73</v>
      </c>
      <c r="CX2925">
        <v>0.47</v>
      </c>
      <c r="CY2925">
        <v>93.73</v>
      </c>
      <c r="CZ2925" t="s">
        <v>12915</v>
      </c>
      <c r="DA2925">
        <v>74.75</v>
      </c>
      <c r="DB2925">
        <v>39.42</v>
      </c>
      <c r="DC2925">
        <v>33.450000000000003</v>
      </c>
      <c r="DD2925">
        <v>0.56000000000000005</v>
      </c>
      <c r="DE2925">
        <v>2651</v>
      </c>
      <c r="DF2925">
        <v>600867</v>
      </c>
      <c r="DG2925" t="s">
        <v>116</v>
      </c>
      <c r="DH2925" t="s">
        <v>116</v>
      </c>
      <c r="DI2925" t="s">
        <v>116</v>
      </c>
    </row>
    <row r="2926" spans="1:113" x14ac:dyDescent="0.4">
      <c r="A2926" t="str">
        <f>"600868"</f>
        <v>600868</v>
      </c>
      <c r="B2926" t="s">
        <v>12916</v>
      </c>
      <c r="C2926">
        <v>-0.28999999999999998</v>
      </c>
      <c r="D2926">
        <v>3.44</v>
      </c>
      <c r="E2926">
        <v>-0.01</v>
      </c>
      <c r="F2926">
        <v>3.44</v>
      </c>
      <c r="G2926">
        <v>3.45</v>
      </c>
      <c r="H2926">
        <v>208367</v>
      </c>
      <c r="I2926">
        <v>3338</v>
      </c>
      <c r="J2926">
        <v>0</v>
      </c>
      <c r="K2926">
        <v>1.1000000000000001</v>
      </c>
      <c r="L2926">
        <v>3.45</v>
      </c>
      <c r="M2926">
        <v>3.49</v>
      </c>
      <c r="N2926">
        <v>3.43</v>
      </c>
      <c r="O2926">
        <v>3.45</v>
      </c>
      <c r="P2926">
        <v>91.77</v>
      </c>
      <c r="Q2926">
        <v>72084488</v>
      </c>
      <c r="R2926">
        <v>1.0900000000000001</v>
      </c>
      <c r="S2926" t="s">
        <v>1363</v>
      </c>
      <c r="T2926" t="s">
        <v>551</v>
      </c>
      <c r="U2926">
        <v>1.74</v>
      </c>
      <c r="V2926">
        <v>3.46</v>
      </c>
      <c r="W2926">
        <v>107295</v>
      </c>
      <c r="X2926">
        <v>101072</v>
      </c>
      <c r="Y2926">
        <v>1.06</v>
      </c>
      <c r="Z2926">
        <v>2226</v>
      </c>
      <c r="AA2926">
        <v>4409</v>
      </c>
      <c r="AB2926" t="s">
        <v>116</v>
      </c>
      <c r="AC2926">
        <v>54500</v>
      </c>
      <c r="AD2926">
        <v>0</v>
      </c>
      <c r="AE2926" t="s">
        <v>116</v>
      </c>
      <c r="AF2926" t="s">
        <v>116</v>
      </c>
      <c r="AG2926">
        <v>18.98</v>
      </c>
      <c r="AH2926" t="s">
        <v>12917</v>
      </c>
      <c r="AI2926" t="s">
        <v>12917</v>
      </c>
      <c r="AJ2926">
        <v>-0.21</v>
      </c>
      <c r="AK2926">
        <v>1595</v>
      </c>
      <c r="AL2926">
        <v>131</v>
      </c>
      <c r="AM2926">
        <v>6.9999999999999999E-4</v>
      </c>
      <c r="AN2926">
        <v>-1</v>
      </c>
      <c r="AO2926">
        <v>-0.57999999999999996</v>
      </c>
      <c r="AP2926">
        <v>0.88</v>
      </c>
      <c r="AQ2926">
        <v>1.78</v>
      </c>
      <c r="AR2926">
        <v>20.87</v>
      </c>
      <c r="AS2926">
        <v>1.24</v>
      </c>
      <c r="AT2926" t="s">
        <v>12918</v>
      </c>
      <c r="AU2926">
        <v>114.69</v>
      </c>
      <c r="AV2926">
        <v>298.25</v>
      </c>
      <c r="AW2926">
        <v>0.99</v>
      </c>
      <c r="BA2926">
        <v>0</v>
      </c>
      <c r="BB2926">
        <v>1.1599999999999999</v>
      </c>
      <c r="BC2926">
        <v>-0.57999999999999996</v>
      </c>
      <c r="BD2926">
        <v>0.28000000000000003</v>
      </c>
      <c r="BE2926">
        <v>-0.28999999999999998</v>
      </c>
      <c r="BF2926">
        <v>-1.43</v>
      </c>
      <c r="BG2926">
        <v>0.28999999999999998</v>
      </c>
      <c r="BH2926">
        <v>-0.56999999999999995</v>
      </c>
      <c r="BI2926">
        <v>20191029</v>
      </c>
      <c r="BJ2926">
        <v>19940912</v>
      </c>
      <c r="BK2926">
        <v>18.98</v>
      </c>
      <c r="BL2926" t="s">
        <v>116</v>
      </c>
      <c r="BM2926" t="s">
        <v>116</v>
      </c>
      <c r="BN2926">
        <v>24.13</v>
      </c>
      <c r="BO2926">
        <v>23.35</v>
      </c>
      <c r="BP2926">
        <v>0.25</v>
      </c>
      <c r="BQ2926">
        <v>2.2400000000000002</v>
      </c>
      <c r="BR2926">
        <v>3.43</v>
      </c>
      <c r="BS2926">
        <v>15.61</v>
      </c>
      <c r="BT2926">
        <v>0.26</v>
      </c>
      <c r="BU2926">
        <v>0.52</v>
      </c>
      <c r="BV2926">
        <v>0</v>
      </c>
      <c r="BW2926">
        <v>0.27</v>
      </c>
      <c r="BX2926">
        <v>4.0999999999999996</v>
      </c>
      <c r="BY2926">
        <v>2.5</v>
      </c>
      <c r="BZ2926">
        <v>1.44</v>
      </c>
      <c r="CA2926">
        <v>0.72</v>
      </c>
      <c r="CB2926">
        <v>0.02</v>
      </c>
      <c r="CC2926">
        <v>0.72</v>
      </c>
      <c r="CD2926">
        <v>0.56000000000000005</v>
      </c>
      <c r="CE2926">
        <v>0.53</v>
      </c>
      <c r="CF2926">
        <v>0.53</v>
      </c>
      <c r="CG2926">
        <v>-0.37</v>
      </c>
      <c r="CH2926">
        <v>1.57</v>
      </c>
      <c r="CI2926">
        <v>7.0000000000000007E-2</v>
      </c>
      <c r="CJ2926">
        <v>325862</v>
      </c>
      <c r="CK2926">
        <v>5175</v>
      </c>
      <c r="CL2926" t="s">
        <v>12919</v>
      </c>
      <c r="CM2926">
        <v>191.21</v>
      </c>
      <c r="CN2926">
        <v>46.64</v>
      </c>
      <c r="CO2926">
        <v>2.8</v>
      </c>
      <c r="CP2926">
        <v>41.63</v>
      </c>
      <c r="CQ2926">
        <v>26.17</v>
      </c>
      <c r="CR2926">
        <v>0.12</v>
      </c>
      <c r="CS2926" t="s">
        <v>2295</v>
      </c>
      <c r="CT2926">
        <v>1.23</v>
      </c>
      <c r="CU2926">
        <v>0</v>
      </c>
      <c r="CV2926">
        <v>0.22</v>
      </c>
      <c r="CW2926">
        <v>-0.02</v>
      </c>
      <c r="CX2926">
        <v>0.08</v>
      </c>
      <c r="CY2926">
        <v>96.75</v>
      </c>
      <c r="CZ2926" t="s">
        <v>3882</v>
      </c>
      <c r="DA2926">
        <v>42.47</v>
      </c>
      <c r="DB2926">
        <v>29.02</v>
      </c>
      <c r="DC2926">
        <v>21.39</v>
      </c>
      <c r="DD2926">
        <v>0</v>
      </c>
      <c r="DE2926">
        <v>432</v>
      </c>
      <c r="DF2926">
        <v>600868</v>
      </c>
      <c r="DG2926" t="s">
        <v>116</v>
      </c>
      <c r="DH2926" t="s">
        <v>116</v>
      </c>
      <c r="DI2926" t="s">
        <v>116</v>
      </c>
    </row>
    <row r="2927" spans="1:113" x14ac:dyDescent="0.4">
      <c r="A2927" t="str">
        <f>"600869"</f>
        <v>600869</v>
      </c>
      <c r="B2927" t="s">
        <v>12920</v>
      </c>
      <c r="C2927">
        <v>0</v>
      </c>
      <c r="D2927">
        <v>4.8099999999999996</v>
      </c>
      <c r="E2927">
        <v>0</v>
      </c>
      <c r="F2927">
        <v>4.8</v>
      </c>
      <c r="G2927">
        <v>4.8099999999999996</v>
      </c>
      <c r="H2927">
        <v>248983</v>
      </c>
      <c r="I2927">
        <v>3744</v>
      </c>
      <c r="J2927">
        <v>0.42</v>
      </c>
      <c r="K2927">
        <v>1.1200000000000001</v>
      </c>
      <c r="L2927">
        <v>4.83</v>
      </c>
      <c r="M2927">
        <v>4.84</v>
      </c>
      <c r="N2927">
        <v>4.79</v>
      </c>
      <c r="O2927">
        <v>4.8099999999999996</v>
      </c>
      <c r="P2927">
        <v>24.89</v>
      </c>
      <c r="Q2927">
        <v>119969960</v>
      </c>
      <c r="R2927">
        <v>1.51</v>
      </c>
      <c r="S2927" t="s">
        <v>397</v>
      </c>
      <c r="T2927" t="s">
        <v>698</v>
      </c>
      <c r="U2927">
        <v>1.04</v>
      </c>
      <c r="V2927">
        <v>4.82</v>
      </c>
      <c r="W2927">
        <v>61270</v>
      </c>
      <c r="X2927">
        <v>187713</v>
      </c>
      <c r="Y2927">
        <v>0.33</v>
      </c>
      <c r="Z2927">
        <v>2335</v>
      </c>
      <c r="AA2927">
        <v>5069</v>
      </c>
      <c r="AB2927" t="s">
        <v>116</v>
      </c>
      <c r="AC2927">
        <v>854400</v>
      </c>
      <c r="AD2927">
        <v>0.02</v>
      </c>
      <c r="AE2927" t="s">
        <v>116</v>
      </c>
      <c r="AF2927" t="s">
        <v>116</v>
      </c>
      <c r="AG2927">
        <v>22.19</v>
      </c>
      <c r="AH2927" t="s">
        <v>12921</v>
      </c>
      <c r="AI2927" t="s">
        <v>12921</v>
      </c>
      <c r="AJ2927">
        <v>0.08</v>
      </c>
      <c r="AK2927">
        <v>1964</v>
      </c>
      <c r="AL2927">
        <v>127</v>
      </c>
      <c r="AM2927">
        <v>5.9999999999999995E-4</v>
      </c>
      <c r="AN2927">
        <v>0</v>
      </c>
      <c r="AO2927">
        <v>-1.24</v>
      </c>
      <c r="AP2927">
        <v>-5.5</v>
      </c>
      <c r="AQ2927">
        <v>-3.61</v>
      </c>
      <c r="AR2927">
        <v>-0.82</v>
      </c>
      <c r="AS2927">
        <v>2.56</v>
      </c>
      <c r="AT2927" t="s">
        <v>8228</v>
      </c>
      <c r="AU2927">
        <v>60.82</v>
      </c>
      <c r="AV2927">
        <v>70.33</v>
      </c>
      <c r="AW2927">
        <v>0.84</v>
      </c>
      <c r="BA2927">
        <v>0.42</v>
      </c>
      <c r="BB2927">
        <v>0.62</v>
      </c>
      <c r="BC2927">
        <v>-0.42</v>
      </c>
      <c r="BD2927">
        <v>0.17</v>
      </c>
      <c r="BE2927">
        <v>-0.41</v>
      </c>
      <c r="BF2927">
        <v>-0.62</v>
      </c>
      <c r="BG2927">
        <v>0.42</v>
      </c>
      <c r="BH2927">
        <v>-0.17</v>
      </c>
      <c r="BI2927">
        <v>20191028</v>
      </c>
      <c r="BJ2927">
        <v>19950206</v>
      </c>
      <c r="BK2927">
        <v>22.19</v>
      </c>
      <c r="BL2927" t="s">
        <v>116</v>
      </c>
      <c r="BM2927" t="s">
        <v>116</v>
      </c>
      <c r="BN2927">
        <v>177.14</v>
      </c>
      <c r="BO2927">
        <v>51.75</v>
      </c>
      <c r="BP2927">
        <v>1.1599999999999999</v>
      </c>
      <c r="BQ2927">
        <v>70.13</v>
      </c>
      <c r="BR2927">
        <v>110.71</v>
      </c>
      <c r="BS2927">
        <v>30.34</v>
      </c>
      <c r="BT2927">
        <v>6.53</v>
      </c>
      <c r="BU2927">
        <v>106.9</v>
      </c>
      <c r="BV2927">
        <v>25.79</v>
      </c>
      <c r="BW2927">
        <v>44.58</v>
      </c>
      <c r="BX2927">
        <v>12</v>
      </c>
      <c r="BY2927">
        <v>117.39</v>
      </c>
      <c r="BZ2927">
        <v>97.34</v>
      </c>
      <c r="CA2927">
        <v>4.26</v>
      </c>
      <c r="CB2927">
        <v>-0.08</v>
      </c>
      <c r="CC2927">
        <v>4.25</v>
      </c>
      <c r="CD2927">
        <v>3.36</v>
      </c>
      <c r="CE2927">
        <v>3.22</v>
      </c>
      <c r="CF2927">
        <v>3.03</v>
      </c>
      <c r="CG2927">
        <v>15.64</v>
      </c>
      <c r="CH2927">
        <v>11.88</v>
      </c>
      <c r="CI2927">
        <v>-3.77</v>
      </c>
      <c r="CJ2927">
        <v>67779</v>
      </c>
      <c r="CK2927">
        <v>14343</v>
      </c>
      <c r="CL2927" t="s">
        <v>12922</v>
      </c>
      <c r="CM2927">
        <v>7.97</v>
      </c>
      <c r="CN2927">
        <v>-7.19</v>
      </c>
      <c r="CO2927">
        <v>2.06</v>
      </c>
      <c r="CP2927">
        <v>8.98</v>
      </c>
      <c r="CQ2927">
        <v>0.91</v>
      </c>
      <c r="CR2927">
        <v>0</v>
      </c>
      <c r="CS2927" t="s">
        <v>4857</v>
      </c>
      <c r="CT2927">
        <v>2.33</v>
      </c>
      <c r="CU2927">
        <v>0</v>
      </c>
      <c r="CV2927">
        <v>0.54</v>
      </c>
      <c r="CW2927">
        <v>0.7</v>
      </c>
      <c r="CX2927">
        <v>0.54</v>
      </c>
      <c r="CY2927">
        <v>29.21</v>
      </c>
      <c r="CZ2927" t="s">
        <v>6687</v>
      </c>
      <c r="DA2927">
        <v>17.079999999999998</v>
      </c>
      <c r="DB2927">
        <v>3.63</v>
      </c>
      <c r="DC2927">
        <v>2.74</v>
      </c>
      <c r="DD2927">
        <v>2.0699999999999998</v>
      </c>
      <c r="DE2927">
        <v>9635</v>
      </c>
      <c r="DF2927">
        <v>600869</v>
      </c>
      <c r="DG2927" t="s">
        <v>116</v>
      </c>
      <c r="DH2927" t="s">
        <v>116</v>
      </c>
      <c r="DI2927" t="s">
        <v>116</v>
      </c>
    </row>
    <row r="2928" spans="1:113" x14ac:dyDescent="0.4">
      <c r="A2928" t="str">
        <f>"600870"</f>
        <v>600870</v>
      </c>
      <c r="B2928" t="s">
        <v>12923</v>
      </c>
      <c r="C2928">
        <v>-0.33</v>
      </c>
      <c r="D2928">
        <v>3.06</v>
      </c>
      <c r="E2928">
        <v>-0.01</v>
      </c>
      <c r="F2928">
        <v>3.06</v>
      </c>
      <c r="G2928">
        <v>3.07</v>
      </c>
      <c r="H2928">
        <v>29586</v>
      </c>
      <c r="I2928">
        <v>44</v>
      </c>
      <c r="J2928">
        <v>0</v>
      </c>
      <c r="K2928">
        <v>0.56999999999999995</v>
      </c>
      <c r="L2928">
        <v>3.07</v>
      </c>
      <c r="M2928">
        <v>3.16</v>
      </c>
      <c r="N2928">
        <v>3.06</v>
      </c>
      <c r="O2928">
        <v>3.07</v>
      </c>
      <c r="P2928" t="s">
        <v>116</v>
      </c>
      <c r="Q2928">
        <v>9173699</v>
      </c>
      <c r="R2928">
        <v>1.49</v>
      </c>
      <c r="S2928" t="s">
        <v>209</v>
      </c>
      <c r="T2928" t="s">
        <v>975</v>
      </c>
      <c r="U2928">
        <v>3.26</v>
      </c>
      <c r="V2928">
        <v>3.1</v>
      </c>
      <c r="W2928">
        <v>16324</v>
      </c>
      <c r="X2928">
        <v>13262</v>
      </c>
      <c r="Y2928">
        <v>1.23</v>
      </c>
      <c r="Z2928">
        <v>170</v>
      </c>
      <c r="AA2928">
        <v>255</v>
      </c>
      <c r="AB2928" t="s">
        <v>116</v>
      </c>
      <c r="AC2928">
        <v>20000</v>
      </c>
      <c r="AD2928">
        <v>0</v>
      </c>
      <c r="AE2928" t="s">
        <v>116</v>
      </c>
      <c r="AF2928" t="s">
        <v>116</v>
      </c>
      <c r="AG2928">
        <v>5.23</v>
      </c>
      <c r="AH2928" t="s">
        <v>11209</v>
      </c>
      <c r="AI2928" t="s">
        <v>11209</v>
      </c>
      <c r="AJ2928">
        <v>-0.25</v>
      </c>
      <c r="AK2928">
        <v>303</v>
      </c>
      <c r="AL2928">
        <v>98</v>
      </c>
      <c r="AM2928">
        <v>1.9E-3</v>
      </c>
      <c r="AN2928">
        <v>-1</v>
      </c>
      <c r="AO2928">
        <v>-0.97</v>
      </c>
      <c r="AP2928">
        <v>-4.08</v>
      </c>
      <c r="AQ2928">
        <v>-0.65</v>
      </c>
      <c r="AR2928">
        <v>-8.11</v>
      </c>
      <c r="AS2928">
        <v>0.93</v>
      </c>
      <c r="AT2928" t="s">
        <v>12924</v>
      </c>
      <c r="AU2928">
        <v>131.43</v>
      </c>
      <c r="AV2928">
        <v>351.57</v>
      </c>
      <c r="AW2928">
        <v>0.52</v>
      </c>
      <c r="BA2928">
        <v>0</v>
      </c>
      <c r="BB2928">
        <v>2.93</v>
      </c>
      <c r="BC2928">
        <v>-0.33</v>
      </c>
      <c r="BD2928">
        <v>1</v>
      </c>
      <c r="BE2928">
        <v>-0.33</v>
      </c>
      <c r="BF2928">
        <v>-3.16</v>
      </c>
      <c r="BG2928">
        <v>0</v>
      </c>
      <c r="BH2928">
        <v>-1.33</v>
      </c>
      <c r="BI2928">
        <v>20191031</v>
      </c>
      <c r="BJ2928">
        <v>19950228</v>
      </c>
      <c r="BK2928">
        <v>5.23</v>
      </c>
      <c r="BL2928" t="s">
        <v>116</v>
      </c>
      <c r="BM2928" t="s">
        <v>116</v>
      </c>
      <c r="BN2928">
        <v>0.51</v>
      </c>
      <c r="BO2928">
        <v>0.08</v>
      </c>
      <c r="BP2928">
        <v>0.04</v>
      </c>
      <c r="BQ2928">
        <v>77.25</v>
      </c>
      <c r="BR2928">
        <v>0.5</v>
      </c>
      <c r="BS2928">
        <v>0</v>
      </c>
      <c r="BT2928">
        <v>0</v>
      </c>
      <c r="BU2928">
        <v>0.39</v>
      </c>
      <c r="BV2928">
        <v>0.04</v>
      </c>
      <c r="BW2928">
        <v>0.12</v>
      </c>
      <c r="BX2928">
        <v>22.86</v>
      </c>
      <c r="BY2928">
        <v>0.13</v>
      </c>
      <c r="BZ2928">
        <v>0.1</v>
      </c>
      <c r="CA2928">
        <v>-0.01</v>
      </c>
      <c r="CB2928">
        <v>0.01</v>
      </c>
      <c r="CC2928">
        <v>-0.01</v>
      </c>
      <c r="CD2928">
        <v>-0.01</v>
      </c>
      <c r="CE2928">
        <v>-0.01</v>
      </c>
      <c r="CF2928">
        <v>-0.03</v>
      </c>
      <c r="CG2928">
        <v>-28.74</v>
      </c>
      <c r="CH2928">
        <v>-0.05</v>
      </c>
      <c r="CI2928">
        <v>-0.08</v>
      </c>
      <c r="CJ2928">
        <v>16793</v>
      </c>
      <c r="CK2928">
        <v>18916</v>
      </c>
      <c r="CL2928" t="s">
        <v>6903</v>
      </c>
      <c r="CM2928">
        <v>91.69</v>
      </c>
      <c r="CN2928">
        <v>-40.21</v>
      </c>
      <c r="CO2928">
        <v>202.92</v>
      </c>
      <c r="CP2928">
        <v>-291.64</v>
      </c>
      <c r="CQ2928">
        <v>125.61</v>
      </c>
      <c r="CR2928">
        <v>0</v>
      </c>
      <c r="CS2928" t="s">
        <v>1439</v>
      </c>
      <c r="CT2928">
        <v>0.02</v>
      </c>
      <c r="CU2928">
        <v>0</v>
      </c>
      <c r="CV2928">
        <v>4.37</v>
      </c>
      <c r="CW2928">
        <v>-5.49</v>
      </c>
      <c r="CX2928">
        <v>-0.01</v>
      </c>
      <c r="CY2928">
        <v>15.55</v>
      </c>
      <c r="CZ2928" t="s">
        <v>12925</v>
      </c>
      <c r="DA2928">
        <v>24.17</v>
      </c>
      <c r="DB2928">
        <v>-8.2799999999999994</v>
      </c>
      <c r="DC2928">
        <v>-5.43</v>
      </c>
      <c r="DD2928">
        <v>0</v>
      </c>
      <c r="DE2928">
        <v>33</v>
      </c>
      <c r="DF2928">
        <v>600870</v>
      </c>
      <c r="DG2928" t="s">
        <v>116</v>
      </c>
      <c r="DH2928" t="s">
        <v>116</v>
      </c>
      <c r="DI2928" t="s">
        <v>116</v>
      </c>
    </row>
    <row r="2929" spans="1:113" x14ac:dyDescent="0.4">
      <c r="A2929" t="str">
        <f>"600871"</f>
        <v>600871</v>
      </c>
      <c r="B2929" t="s">
        <v>12926</v>
      </c>
      <c r="C2929">
        <v>-0.45</v>
      </c>
      <c r="D2929">
        <v>2.23</v>
      </c>
      <c r="E2929">
        <v>-0.01</v>
      </c>
      <c r="F2929">
        <v>2.23</v>
      </c>
      <c r="G2929">
        <v>2.2400000000000002</v>
      </c>
      <c r="H2929">
        <v>152547</v>
      </c>
      <c r="I2929">
        <v>565</v>
      </c>
      <c r="J2929">
        <v>0</v>
      </c>
      <c r="K2929">
        <v>0.13</v>
      </c>
      <c r="L2929">
        <v>2.2400000000000002</v>
      </c>
      <c r="M2929">
        <v>2.2599999999999998</v>
      </c>
      <c r="N2929">
        <v>2.23</v>
      </c>
      <c r="O2929">
        <v>2.2400000000000002</v>
      </c>
      <c r="P2929">
        <v>43.9</v>
      </c>
      <c r="Q2929">
        <v>34233960</v>
      </c>
      <c r="R2929">
        <v>1.44</v>
      </c>
      <c r="S2929" t="s">
        <v>4171</v>
      </c>
      <c r="T2929" t="s">
        <v>165</v>
      </c>
      <c r="U2929">
        <v>1.34</v>
      </c>
      <c r="V2929">
        <v>2.2400000000000002</v>
      </c>
      <c r="W2929">
        <v>83407</v>
      </c>
      <c r="X2929">
        <v>69140</v>
      </c>
      <c r="Y2929">
        <v>1.21</v>
      </c>
      <c r="Z2929">
        <v>2656</v>
      </c>
      <c r="AA2929">
        <v>12963</v>
      </c>
      <c r="AB2929" t="s">
        <v>116</v>
      </c>
      <c r="AC2929">
        <v>184100</v>
      </c>
      <c r="AD2929">
        <v>0</v>
      </c>
      <c r="AE2929" t="s">
        <v>116</v>
      </c>
      <c r="AF2929" t="s">
        <v>116</v>
      </c>
      <c r="AG2929">
        <v>120.43</v>
      </c>
      <c r="AH2929" t="s">
        <v>12927</v>
      </c>
      <c r="AI2929" t="s">
        <v>12928</v>
      </c>
      <c r="AJ2929">
        <v>-0.37</v>
      </c>
      <c r="AK2929">
        <v>1795</v>
      </c>
      <c r="AL2929">
        <v>85</v>
      </c>
      <c r="AM2929">
        <v>1E-4</v>
      </c>
      <c r="AN2929">
        <v>-1</v>
      </c>
      <c r="AO2929">
        <v>0.45</v>
      </c>
      <c r="AP2929">
        <v>1.83</v>
      </c>
      <c r="AQ2929">
        <v>0.45</v>
      </c>
      <c r="AR2929">
        <v>21.86</v>
      </c>
      <c r="AS2929">
        <v>0.86</v>
      </c>
      <c r="AT2929" t="s">
        <v>9108</v>
      </c>
      <c r="AU2929">
        <v>99.55</v>
      </c>
      <c r="AV2929">
        <v>298.02</v>
      </c>
      <c r="AW2929">
        <v>1.07</v>
      </c>
      <c r="BA2929">
        <v>0</v>
      </c>
      <c r="BB2929">
        <v>0.89</v>
      </c>
      <c r="BC2929">
        <v>-0.45</v>
      </c>
      <c r="BD2929">
        <v>0.19</v>
      </c>
      <c r="BE2929">
        <v>-0.45</v>
      </c>
      <c r="BF2929">
        <v>-1.33</v>
      </c>
      <c r="BG2929">
        <v>0</v>
      </c>
      <c r="BH2929">
        <v>-0.63</v>
      </c>
      <c r="BI2929">
        <v>20191029</v>
      </c>
      <c r="BJ2929">
        <v>19950411</v>
      </c>
      <c r="BK2929">
        <v>189.84</v>
      </c>
      <c r="BL2929" t="s">
        <v>116</v>
      </c>
      <c r="BM2929">
        <v>54.15</v>
      </c>
      <c r="BN2929">
        <v>668.53</v>
      </c>
      <c r="BO2929">
        <v>69.22</v>
      </c>
      <c r="BP2929">
        <v>0</v>
      </c>
      <c r="BQ2929">
        <v>89.65</v>
      </c>
      <c r="BR2929">
        <v>378.85</v>
      </c>
      <c r="BS2929">
        <v>220.92</v>
      </c>
      <c r="BT2929">
        <v>2.1800000000000002</v>
      </c>
      <c r="BU2929">
        <v>569.95000000000005</v>
      </c>
      <c r="BV2929">
        <v>18.02</v>
      </c>
      <c r="BW2929">
        <v>137.94</v>
      </c>
      <c r="BX2929">
        <v>117.13</v>
      </c>
      <c r="BY2929">
        <v>476</v>
      </c>
      <c r="BZ2929">
        <v>436.51</v>
      </c>
      <c r="CA2929">
        <v>10.15</v>
      </c>
      <c r="CB2929">
        <v>0.46</v>
      </c>
      <c r="CC2929">
        <v>10.49</v>
      </c>
      <c r="CD2929">
        <v>7.23</v>
      </c>
      <c r="CE2929">
        <v>7.23</v>
      </c>
      <c r="CF2929">
        <v>5.58</v>
      </c>
      <c r="CG2929">
        <v>-247.06</v>
      </c>
      <c r="CH2929">
        <v>8.98</v>
      </c>
      <c r="CI2929">
        <v>-2.2599999999999998</v>
      </c>
      <c r="CJ2929">
        <v>136686</v>
      </c>
      <c r="CK2929">
        <v>13047</v>
      </c>
      <c r="CL2929" t="s">
        <v>2031</v>
      </c>
      <c r="CM2929">
        <v>64.37</v>
      </c>
      <c r="CN2929">
        <v>28.02</v>
      </c>
      <c r="CO2929">
        <v>6.12</v>
      </c>
      <c r="CP2929">
        <v>47.16</v>
      </c>
      <c r="CQ2929">
        <v>0.89</v>
      </c>
      <c r="CR2929">
        <v>0</v>
      </c>
      <c r="CS2929" t="s">
        <v>2865</v>
      </c>
      <c r="CT2929">
        <v>0.36</v>
      </c>
      <c r="CU2929">
        <v>0</v>
      </c>
      <c r="CV2929">
        <v>0.62</v>
      </c>
      <c r="CW2929">
        <v>-1.3</v>
      </c>
      <c r="CX2929">
        <v>0.05</v>
      </c>
      <c r="CY2929">
        <v>10.35</v>
      </c>
      <c r="CZ2929" t="s">
        <v>12929</v>
      </c>
      <c r="DA2929">
        <v>8.3000000000000007</v>
      </c>
      <c r="DB2929">
        <v>2.13</v>
      </c>
      <c r="DC2929">
        <v>1.52</v>
      </c>
      <c r="DD2929">
        <v>6.84</v>
      </c>
      <c r="DE2929">
        <v>75833</v>
      </c>
      <c r="DF2929">
        <v>600871</v>
      </c>
      <c r="DG2929" t="s">
        <v>116</v>
      </c>
      <c r="DH2929" t="s">
        <v>116</v>
      </c>
      <c r="DI2929" t="s">
        <v>116</v>
      </c>
    </row>
    <row r="2930" spans="1:113" x14ac:dyDescent="0.4">
      <c r="A2930" t="str">
        <f>"600872"</f>
        <v>600872</v>
      </c>
      <c r="B2930" t="s">
        <v>12930</v>
      </c>
      <c r="C2930">
        <v>1.35</v>
      </c>
      <c r="D2930">
        <v>38.22</v>
      </c>
      <c r="E2930">
        <v>0.51</v>
      </c>
      <c r="F2930">
        <v>38.21</v>
      </c>
      <c r="G2930">
        <v>38.22</v>
      </c>
      <c r="H2930">
        <v>108413</v>
      </c>
      <c r="I2930">
        <v>1441</v>
      </c>
      <c r="J2930">
        <v>0.24</v>
      </c>
      <c r="K2930">
        <v>1.36</v>
      </c>
      <c r="L2930">
        <v>37.65</v>
      </c>
      <c r="M2930">
        <v>38.35</v>
      </c>
      <c r="N2930">
        <v>37.44</v>
      </c>
      <c r="O2930">
        <v>37.71</v>
      </c>
      <c r="P2930">
        <v>41.86</v>
      </c>
      <c r="Q2930">
        <v>412544640</v>
      </c>
      <c r="R2930">
        <v>1.43</v>
      </c>
      <c r="S2930" t="s">
        <v>863</v>
      </c>
      <c r="T2930" t="s">
        <v>551</v>
      </c>
      <c r="U2930">
        <v>2.41</v>
      </c>
      <c r="V2930">
        <v>38.049999999999997</v>
      </c>
      <c r="W2930">
        <v>53178</v>
      </c>
      <c r="X2930">
        <v>55236</v>
      </c>
      <c r="Y2930">
        <v>0.96</v>
      </c>
      <c r="Z2930">
        <v>10</v>
      </c>
      <c r="AA2930">
        <v>90</v>
      </c>
      <c r="AB2930" t="s">
        <v>116</v>
      </c>
      <c r="AC2930">
        <v>771800</v>
      </c>
      <c r="AD2930">
        <v>0</v>
      </c>
      <c r="AE2930" t="s">
        <v>116</v>
      </c>
      <c r="AF2930" t="s">
        <v>116</v>
      </c>
      <c r="AG2930">
        <v>7.97</v>
      </c>
      <c r="AH2930" t="s">
        <v>12931</v>
      </c>
      <c r="AI2930" t="s">
        <v>12931</v>
      </c>
      <c r="AJ2930">
        <v>1.43</v>
      </c>
      <c r="AK2930">
        <v>3743</v>
      </c>
      <c r="AL2930">
        <v>29</v>
      </c>
      <c r="AM2930">
        <v>4.0000000000000002E-4</v>
      </c>
      <c r="AN2930">
        <v>1</v>
      </c>
      <c r="AO2930">
        <v>0.08</v>
      </c>
      <c r="AP2930">
        <v>-15.33</v>
      </c>
      <c r="AQ2930">
        <v>-7.41</v>
      </c>
      <c r="AR2930">
        <v>30.76</v>
      </c>
      <c r="AS2930">
        <v>2.11</v>
      </c>
      <c r="AT2930" t="s">
        <v>12932</v>
      </c>
      <c r="AU2930">
        <v>45.63</v>
      </c>
      <c r="AV2930">
        <v>50.13</v>
      </c>
      <c r="AW2930">
        <v>0.68</v>
      </c>
      <c r="BA2930">
        <v>-0.16</v>
      </c>
      <c r="BB2930">
        <v>1.7</v>
      </c>
      <c r="BC2930">
        <v>-0.72</v>
      </c>
      <c r="BD2930">
        <v>0.91</v>
      </c>
      <c r="BE2930">
        <v>1.51</v>
      </c>
      <c r="BF2930">
        <v>-0.34</v>
      </c>
      <c r="BG2930">
        <v>2.08</v>
      </c>
      <c r="BH2930">
        <v>0.44</v>
      </c>
      <c r="BI2930">
        <v>20191031</v>
      </c>
      <c r="BJ2930">
        <v>19950124</v>
      </c>
      <c r="BK2930">
        <v>7.97</v>
      </c>
      <c r="BL2930" t="s">
        <v>116</v>
      </c>
      <c r="BM2930" t="s">
        <v>116</v>
      </c>
      <c r="BN2930">
        <v>57.53</v>
      </c>
      <c r="BO2930">
        <v>37.770000000000003</v>
      </c>
      <c r="BP2930">
        <v>2.78</v>
      </c>
      <c r="BQ2930">
        <v>29.51</v>
      </c>
      <c r="BR2930">
        <v>33.64</v>
      </c>
      <c r="BS2930">
        <v>13.72</v>
      </c>
      <c r="BT2930">
        <v>2.12</v>
      </c>
      <c r="BU2930">
        <v>16.22</v>
      </c>
      <c r="BV2930">
        <v>15.1</v>
      </c>
      <c r="BW2930">
        <v>0.32</v>
      </c>
      <c r="BX2930">
        <v>0.91</v>
      </c>
      <c r="BY2930">
        <v>35.31</v>
      </c>
      <c r="BZ2930">
        <v>21.47</v>
      </c>
      <c r="CA2930">
        <v>7.08</v>
      </c>
      <c r="CB2930">
        <v>0.6</v>
      </c>
      <c r="CC2930">
        <v>7.05</v>
      </c>
      <c r="CD2930">
        <v>6</v>
      </c>
      <c r="CE2930">
        <v>5.46</v>
      </c>
      <c r="CF2930">
        <v>5.2</v>
      </c>
      <c r="CG2930">
        <v>25.76</v>
      </c>
      <c r="CH2930">
        <v>8.8800000000000008</v>
      </c>
      <c r="CI2930">
        <v>2.64</v>
      </c>
      <c r="CJ2930">
        <v>25593</v>
      </c>
      <c r="CK2930">
        <v>20032</v>
      </c>
      <c r="CL2930" t="s">
        <v>12933</v>
      </c>
      <c r="CM2930">
        <v>12.32</v>
      </c>
      <c r="CN2930">
        <v>11.57</v>
      </c>
      <c r="CO2930">
        <v>8.06</v>
      </c>
      <c r="CP2930">
        <v>34.29</v>
      </c>
      <c r="CQ2930">
        <v>8.6199999999999992</v>
      </c>
      <c r="CR2930">
        <v>0.6</v>
      </c>
      <c r="CS2930" t="s">
        <v>4624</v>
      </c>
      <c r="CT2930">
        <v>4.74</v>
      </c>
      <c r="CU2930">
        <v>0</v>
      </c>
      <c r="CV2930">
        <v>0.11</v>
      </c>
      <c r="CW2930">
        <v>3.23</v>
      </c>
      <c r="CX2930">
        <v>1.1100000000000001</v>
      </c>
      <c r="CY2930">
        <v>65.650000000000006</v>
      </c>
      <c r="CZ2930" t="s">
        <v>12934</v>
      </c>
      <c r="DA2930">
        <v>39.200000000000003</v>
      </c>
      <c r="DB2930">
        <v>20.05</v>
      </c>
      <c r="DC2930">
        <v>15.45</v>
      </c>
      <c r="DD2930">
        <v>1.06</v>
      </c>
      <c r="DE2930">
        <v>4658</v>
      </c>
      <c r="DF2930">
        <v>600872</v>
      </c>
      <c r="DG2930" t="s">
        <v>116</v>
      </c>
      <c r="DH2930" t="s">
        <v>116</v>
      </c>
      <c r="DI2930" t="s">
        <v>116</v>
      </c>
    </row>
    <row r="2931" spans="1:113" x14ac:dyDescent="0.4">
      <c r="A2931" t="str">
        <f>"600873"</f>
        <v>600873</v>
      </c>
      <c r="B2931" t="s">
        <v>12935</v>
      </c>
      <c r="C2931">
        <v>0.23</v>
      </c>
      <c r="D2931">
        <v>4.37</v>
      </c>
      <c r="E2931">
        <v>0.01</v>
      </c>
      <c r="F2931">
        <v>4.37</v>
      </c>
      <c r="G2931">
        <v>4.38</v>
      </c>
      <c r="H2931">
        <v>124809</v>
      </c>
      <c r="I2931">
        <v>425</v>
      </c>
      <c r="J2931">
        <v>0</v>
      </c>
      <c r="K2931">
        <v>0.41</v>
      </c>
      <c r="L2931">
        <v>4.34</v>
      </c>
      <c r="M2931">
        <v>4.42</v>
      </c>
      <c r="N2931">
        <v>4.33</v>
      </c>
      <c r="O2931">
        <v>4.3600000000000003</v>
      </c>
      <c r="P2931">
        <v>11.9</v>
      </c>
      <c r="Q2931">
        <v>54583688</v>
      </c>
      <c r="R2931">
        <v>1.7</v>
      </c>
      <c r="S2931" t="s">
        <v>863</v>
      </c>
      <c r="T2931" t="s">
        <v>2028</v>
      </c>
      <c r="U2931">
        <v>2.06</v>
      </c>
      <c r="V2931">
        <v>4.37</v>
      </c>
      <c r="W2931">
        <v>59015</v>
      </c>
      <c r="X2931">
        <v>65794</v>
      </c>
      <c r="Y2931">
        <v>0.9</v>
      </c>
      <c r="Z2931">
        <v>1097</v>
      </c>
      <c r="AA2931">
        <v>2535</v>
      </c>
      <c r="AB2931" t="s">
        <v>116</v>
      </c>
      <c r="AC2931">
        <v>388200</v>
      </c>
      <c r="AD2931">
        <v>0</v>
      </c>
      <c r="AE2931" t="s">
        <v>116</v>
      </c>
      <c r="AF2931" t="s">
        <v>116</v>
      </c>
      <c r="AG2931">
        <v>30.81</v>
      </c>
      <c r="AH2931" t="s">
        <v>12936</v>
      </c>
      <c r="AI2931" t="s">
        <v>1141</v>
      </c>
      <c r="AJ2931">
        <v>0.31</v>
      </c>
      <c r="AK2931">
        <v>1887</v>
      </c>
      <c r="AL2931">
        <v>66</v>
      </c>
      <c r="AM2931">
        <v>2.0000000000000001E-4</v>
      </c>
      <c r="AN2931">
        <v>2</v>
      </c>
      <c r="AO2931">
        <v>0.46</v>
      </c>
      <c r="AP2931">
        <v>5.56</v>
      </c>
      <c r="AQ2931">
        <v>1.1599999999999999</v>
      </c>
      <c r="AR2931">
        <v>12.34</v>
      </c>
      <c r="AS2931">
        <v>0.64</v>
      </c>
      <c r="AT2931" t="s">
        <v>12937</v>
      </c>
      <c r="AU2931">
        <v>12.04</v>
      </c>
      <c r="AV2931">
        <v>13.54</v>
      </c>
      <c r="AW2931">
        <v>0.68</v>
      </c>
      <c r="BA2931">
        <v>-0.46</v>
      </c>
      <c r="BB2931">
        <v>1.38</v>
      </c>
      <c r="BC2931">
        <v>-0.69</v>
      </c>
      <c r="BD2931">
        <v>0.31</v>
      </c>
      <c r="BE2931">
        <v>0.69</v>
      </c>
      <c r="BF2931">
        <v>-1.1299999999999999</v>
      </c>
      <c r="BG2931">
        <v>0.92</v>
      </c>
      <c r="BH2931">
        <v>-0.08</v>
      </c>
      <c r="BI2931">
        <v>20191025</v>
      </c>
      <c r="BJ2931">
        <v>19950217</v>
      </c>
      <c r="BK2931">
        <v>31.04</v>
      </c>
      <c r="BL2931" t="s">
        <v>116</v>
      </c>
      <c r="BM2931" t="s">
        <v>116</v>
      </c>
      <c r="BN2931">
        <v>188.53</v>
      </c>
      <c r="BO2931">
        <v>88.83</v>
      </c>
      <c r="BP2931">
        <v>2.35</v>
      </c>
      <c r="BQ2931">
        <v>51.63</v>
      </c>
      <c r="BR2931">
        <v>52.83</v>
      </c>
      <c r="BS2931">
        <v>108.83</v>
      </c>
      <c r="BT2931">
        <v>12.33</v>
      </c>
      <c r="BU2931">
        <v>66.260000000000005</v>
      </c>
      <c r="BV2931">
        <v>13.49</v>
      </c>
      <c r="BW2931">
        <v>4.83</v>
      </c>
      <c r="BX2931">
        <v>21.58</v>
      </c>
      <c r="BY2931">
        <v>108.03</v>
      </c>
      <c r="BZ2931">
        <v>82.71</v>
      </c>
      <c r="CA2931">
        <v>10.26</v>
      </c>
      <c r="CB2931">
        <v>0.71</v>
      </c>
      <c r="CC2931">
        <v>10.17</v>
      </c>
      <c r="CD2931">
        <v>8.68</v>
      </c>
      <c r="CE2931">
        <v>8.5500000000000007</v>
      </c>
      <c r="CF2931">
        <v>7.45</v>
      </c>
      <c r="CG2931">
        <v>32</v>
      </c>
      <c r="CH2931">
        <v>19.45</v>
      </c>
      <c r="CI2931">
        <v>4.92</v>
      </c>
      <c r="CJ2931">
        <v>144411</v>
      </c>
      <c r="CK2931">
        <v>13471</v>
      </c>
      <c r="CL2931" t="s">
        <v>2673</v>
      </c>
      <c r="CM2931">
        <v>17.23</v>
      </c>
      <c r="CN2931">
        <v>16.149999999999999</v>
      </c>
      <c r="CO2931">
        <v>1.53</v>
      </c>
      <c r="CP2931">
        <v>6.98</v>
      </c>
      <c r="CQ2931">
        <v>1.26</v>
      </c>
      <c r="CR2931">
        <v>7.55</v>
      </c>
      <c r="CS2931" t="s">
        <v>3543</v>
      </c>
      <c r="CT2931">
        <v>2.86</v>
      </c>
      <c r="CU2931">
        <v>0</v>
      </c>
      <c r="CV2931">
        <v>0.7</v>
      </c>
      <c r="CW2931">
        <v>1.03</v>
      </c>
      <c r="CX2931">
        <v>0.63</v>
      </c>
      <c r="CY2931">
        <v>47.12</v>
      </c>
      <c r="CZ2931" t="s">
        <v>499</v>
      </c>
      <c r="DA2931">
        <v>23.43</v>
      </c>
      <c r="DB2931">
        <v>9.5</v>
      </c>
      <c r="DC2931">
        <v>7.91</v>
      </c>
      <c r="DD2931">
        <v>0.2</v>
      </c>
      <c r="DE2931">
        <v>10984</v>
      </c>
      <c r="DF2931">
        <v>600873</v>
      </c>
      <c r="DG2931" t="s">
        <v>116</v>
      </c>
      <c r="DH2931" t="s">
        <v>116</v>
      </c>
      <c r="DI2931" t="s">
        <v>116</v>
      </c>
    </row>
    <row r="2932" spans="1:113" x14ac:dyDescent="0.4">
      <c r="A2932" t="str">
        <f>"600874"</f>
        <v>600874</v>
      </c>
      <c r="B2932" t="s">
        <v>12938</v>
      </c>
      <c r="C2932">
        <v>0.71</v>
      </c>
      <c r="D2932">
        <v>7.13</v>
      </c>
      <c r="E2932">
        <v>0.05</v>
      </c>
      <c r="F2932">
        <v>7.13</v>
      </c>
      <c r="G2932">
        <v>7.14</v>
      </c>
      <c r="H2932">
        <v>84196</v>
      </c>
      <c r="I2932">
        <v>1583</v>
      </c>
      <c r="J2932">
        <v>0</v>
      </c>
      <c r="K2932">
        <v>0.77</v>
      </c>
      <c r="L2932">
        <v>7.1</v>
      </c>
      <c r="M2932">
        <v>7.24</v>
      </c>
      <c r="N2932">
        <v>7.07</v>
      </c>
      <c r="O2932">
        <v>7.08</v>
      </c>
      <c r="P2932">
        <v>19.690000000000001</v>
      </c>
      <c r="Q2932">
        <v>60171500</v>
      </c>
      <c r="R2932">
        <v>2.1</v>
      </c>
      <c r="S2932" t="s">
        <v>140</v>
      </c>
      <c r="T2932" t="s">
        <v>1035</v>
      </c>
      <c r="U2932">
        <v>2.4</v>
      </c>
      <c r="V2932">
        <v>7.15</v>
      </c>
      <c r="W2932">
        <v>40346</v>
      </c>
      <c r="X2932">
        <v>43850</v>
      </c>
      <c r="Y2932">
        <v>0.92</v>
      </c>
      <c r="Z2932">
        <v>140</v>
      </c>
      <c r="AA2932">
        <v>724</v>
      </c>
      <c r="AB2932" t="s">
        <v>116</v>
      </c>
      <c r="AC2932">
        <v>158300</v>
      </c>
      <c r="AD2932">
        <v>0.01</v>
      </c>
      <c r="AE2932" t="s">
        <v>116</v>
      </c>
      <c r="AF2932" t="s">
        <v>116</v>
      </c>
      <c r="AG2932">
        <v>10.87</v>
      </c>
      <c r="AH2932" t="s">
        <v>8906</v>
      </c>
      <c r="AI2932" t="s">
        <v>8906</v>
      </c>
      <c r="AJ2932">
        <v>0.78</v>
      </c>
      <c r="AK2932">
        <v>1742</v>
      </c>
      <c r="AL2932">
        <v>48</v>
      </c>
      <c r="AM2932">
        <v>4.0000000000000002E-4</v>
      </c>
      <c r="AN2932">
        <v>1</v>
      </c>
      <c r="AO2932">
        <v>0.15</v>
      </c>
      <c r="AP2932">
        <v>2.44</v>
      </c>
      <c r="AQ2932">
        <v>0.14000000000000001</v>
      </c>
      <c r="AR2932">
        <v>-12.45</v>
      </c>
      <c r="AS2932">
        <v>2.27</v>
      </c>
      <c r="AT2932" t="s">
        <v>3367</v>
      </c>
      <c r="AU2932">
        <v>21.57</v>
      </c>
      <c r="AV2932">
        <v>20.3</v>
      </c>
      <c r="AW2932">
        <v>1.08</v>
      </c>
      <c r="BA2932">
        <v>0.28000000000000003</v>
      </c>
      <c r="BB2932">
        <v>2.2599999999999998</v>
      </c>
      <c r="BC2932">
        <v>-0.14000000000000001</v>
      </c>
      <c r="BD2932">
        <v>0.94</v>
      </c>
      <c r="BE2932">
        <v>0.42</v>
      </c>
      <c r="BF2932">
        <v>-1.52</v>
      </c>
      <c r="BG2932">
        <v>0.85</v>
      </c>
      <c r="BH2932">
        <v>-0.23</v>
      </c>
      <c r="BI2932">
        <v>20191026</v>
      </c>
      <c r="BJ2932">
        <v>19950630</v>
      </c>
      <c r="BK2932">
        <v>14.27</v>
      </c>
      <c r="BL2932" t="s">
        <v>116</v>
      </c>
      <c r="BM2932">
        <v>3.4</v>
      </c>
      <c r="BN2932">
        <v>169.97</v>
      </c>
      <c r="BO2932">
        <v>60.55</v>
      </c>
      <c r="BP2932">
        <v>9.51</v>
      </c>
      <c r="BQ2932">
        <v>58.79</v>
      </c>
      <c r="BR2932">
        <v>43.53</v>
      </c>
      <c r="BS2932">
        <v>3.88</v>
      </c>
      <c r="BT2932">
        <v>113.63</v>
      </c>
      <c r="BU2932">
        <v>30.84</v>
      </c>
      <c r="BV2932">
        <v>0.15</v>
      </c>
      <c r="BW2932">
        <v>22.86</v>
      </c>
      <c r="BX2932">
        <v>4.3099999999999996</v>
      </c>
      <c r="BY2932">
        <v>19.41</v>
      </c>
      <c r="BZ2932">
        <v>13.06</v>
      </c>
      <c r="CA2932">
        <v>5</v>
      </c>
      <c r="CB2932">
        <v>0</v>
      </c>
      <c r="CC2932">
        <v>5.03</v>
      </c>
      <c r="CD2932">
        <v>4.13</v>
      </c>
      <c r="CE2932">
        <v>3.88</v>
      </c>
      <c r="CF2932">
        <v>3.13</v>
      </c>
      <c r="CG2932">
        <v>36.79</v>
      </c>
      <c r="CH2932">
        <v>8.5299999999999994</v>
      </c>
      <c r="CI2932">
        <v>-1.68</v>
      </c>
      <c r="CJ2932">
        <v>83979</v>
      </c>
      <c r="CK2932">
        <v>4426</v>
      </c>
      <c r="CL2932" t="s">
        <v>12183</v>
      </c>
      <c r="CM2932">
        <v>-7.07</v>
      </c>
      <c r="CN2932">
        <v>12.15</v>
      </c>
      <c r="CO2932">
        <v>1.68</v>
      </c>
      <c r="CP2932">
        <v>11.93</v>
      </c>
      <c r="CQ2932">
        <v>5.24</v>
      </c>
      <c r="CR2932">
        <v>1.49</v>
      </c>
      <c r="CS2932" t="s">
        <v>1170</v>
      </c>
      <c r="CT2932">
        <v>4.24</v>
      </c>
      <c r="CU2932">
        <v>0</v>
      </c>
      <c r="CV2932">
        <v>0.3</v>
      </c>
      <c r="CW2932">
        <v>2.58</v>
      </c>
      <c r="CX2932">
        <v>0.6</v>
      </c>
      <c r="CY2932">
        <v>35.619999999999997</v>
      </c>
      <c r="CZ2932" t="s">
        <v>5739</v>
      </c>
      <c r="DA2932">
        <v>32.700000000000003</v>
      </c>
      <c r="DB2932">
        <v>25.76</v>
      </c>
      <c r="DC2932">
        <v>19.98</v>
      </c>
      <c r="DD2932">
        <v>0.05</v>
      </c>
      <c r="DE2932">
        <v>1739</v>
      </c>
      <c r="DF2932">
        <v>600874</v>
      </c>
      <c r="DG2932" t="s">
        <v>116</v>
      </c>
      <c r="DH2932" t="s">
        <v>116</v>
      </c>
      <c r="DI2932" t="s">
        <v>116</v>
      </c>
    </row>
    <row r="2933" spans="1:113" x14ac:dyDescent="0.4">
      <c r="A2933" t="str">
        <f>"600875"</f>
        <v>600875</v>
      </c>
      <c r="B2933" t="s">
        <v>12939</v>
      </c>
      <c r="C2933">
        <v>-1.51</v>
      </c>
      <c r="D2933">
        <v>9.14</v>
      </c>
      <c r="E2933">
        <v>-0.14000000000000001</v>
      </c>
      <c r="F2933">
        <v>9.1300000000000008</v>
      </c>
      <c r="G2933">
        <v>9.14</v>
      </c>
      <c r="H2933">
        <v>117056</v>
      </c>
      <c r="I2933">
        <v>1446</v>
      </c>
      <c r="J2933">
        <v>-0.1</v>
      </c>
      <c r="K2933">
        <v>0.59</v>
      </c>
      <c r="L2933">
        <v>9.26</v>
      </c>
      <c r="M2933">
        <v>9.35</v>
      </c>
      <c r="N2933">
        <v>9.1300000000000008</v>
      </c>
      <c r="O2933">
        <v>9.2799999999999994</v>
      </c>
      <c r="P2933">
        <v>20.46</v>
      </c>
      <c r="Q2933">
        <v>108342000</v>
      </c>
      <c r="R2933">
        <v>1.34</v>
      </c>
      <c r="S2933" t="s">
        <v>397</v>
      </c>
      <c r="T2933" t="s">
        <v>582</v>
      </c>
      <c r="U2933">
        <v>2.37</v>
      </c>
      <c r="V2933">
        <v>9.26</v>
      </c>
      <c r="W2933">
        <v>63916</v>
      </c>
      <c r="X2933">
        <v>53140</v>
      </c>
      <c r="Y2933">
        <v>1.2</v>
      </c>
      <c r="Z2933">
        <v>1130</v>
      </c>
      <c r="AA2933">
        <v>66</v>
      </c>
      <c r="AB2933" t="s">
        <v>116</v>
      </c>
      <c r="AC2933">
        <v>338000</v>
      </c>
      <c r="AD2933">
        <v>0</v>
      </c>
      <c r="AE2933" t="s">
        <v>116</v>
      </c>
      <c r="AF2933" t="s">
        <v>116</v>
      </c>
      <c r="AG2933">
        <v>19.97</v>
      </c>
      <c r="AH2933" t="s">
        <v>12940</v>
      </c>
      <c r="AI2933" t="s">
        <v>11910</v>
      </c>
      <c r="AJ2933">
        <v>-1.43</v>
      </c>
      <c r="AK2933">
        <v>2001</v>
      </c>
      <c r="AL2933">
        <v>58</v>
      </c>
      <c r="AM2933">
        <v>2.9999999999999997E-4</v>
      </c>
      <c r="AN2933">
        <v>-1</v>
      </c>
      <c r="AO2933">
        <v>-0.77</v>
      </c>
      <c r="AP2933">
        <v>2.81</v>
      </c>
      <c r="AQ2933">
        <v>-0.22</v>
      </c>
      <c r="AR2933">
        <v>17.48</v>
      </c>
      <c r="AS2933">
        <v>1.1399999999999999</v>
      </c>
      <c r="AT2933" t="s">
        <v>11166</v>
      </c>
      <c r="AU2933">
        <v>22.56</v>
      </c>
      <c r="AV2933">
        <v>25.03</v>
      </c>
      <c r="AW2933">
        <v>1.1499999999999999</v>
      </c>
      <c r="BA2933">
        <v>-0.22</v>
      </c>
      <c r="BB2933">
        <v>0.75</v>
      </c>
      <c r="BC2933">
        <v>-1.62</v>
      </c>
      <c r="BD2933">
        <v>-0.26</v>
      </c>
      <c r="BE2933">
        <v>-1.3</v>
      </c>
      <c r="BF2933">
        <v>-2.25</v>
      </c>
      <c r="BG2933">
        <v>0.11</v>
      </c>
      <c r="BH2933">
        <v>-1.25</v>
      </c>
      <c r="BI2933">
        <v>20191030</v>
      </c>
      <c r="BJ2933">
        <v>19951010</v>
      </c>
      <c r="BK2933">
        <v>30.91</v>
      </c>
      <c r="BL2933" t="s">
        <v>116</v>
      </c>
      <c r="BM2933">
        <v>3.4</v>
      </c>
      <c r="BN2933">
        <v>891.19</v>
      </c>
      <c r="BO2933">
        <v>293.06</v>
      </c>
      <c r="BP2933">
        <v>21.64</v>
      </c>
      <c r="BQ2933">
        <v>64.69</v>
      </c>
      <c r="BR2933">
        <v>699.59</v>
      </c>
      <c r="BS2933">
        <v>53.56</v>
      </c>
      <c r="BT2933">
        <v>16.73</v>
      </c>
      <c r="BU2933">
        <v>494.73</v>
      </c>
      <c r="BV2933">
        <v>133.11000000000001</v>
      </c>
      <c r="BW2933">
        <v>66.23</v>
      </c>
      <c r="BX2933">
        <v>112.52</v>
      </c>
      <c r="BY2933">
        <v>221.84</v>
      </c>
      <c r="BZ2933">
        <v>173.19</v>
      </c>
      <c r="CA2933">
        <v>13.02</v>
      </c>
      <c r="CB2933">
        <v>1.93</v>
      </c>
      <c r="CC2933">
        <v>12.97</v>
      </c>
      <c r="CD2933">
        <v>11.1</v>
      </c>
      <c r="CE2933">
        <v>10.35</v>
      </c>
      <c r="CF2933">
        <v>10.53</v>
      </c>
      <c r="CG2933">
        <v>140.19999999999999</v>
      </c>
      <c r="CH2933">
        <v>-26.72</v>
      </c>
      <c r="CI2933">
        <v>-31.12</v>
      </c>
      <c r="CJ2933">
        <v>126662</v>
      </c>
      <c r="CK2933">
        <v>8076</v>
      </c>
      <c r="CL2933" t="s">
        <v>4951</v>
      </c>
      <c r="CM2933">
        <v>13.54</v>
      </c>
      <c r="CN2933">
        <v>3.25</v>
      </c>
      <c r="CO2933">
        <v>0.96</v>
      </c>
      <c r="CP2933">
        <v>-10.57</v>
      </c>
      <c r="CQ2933">
        <v>1.27</v>
      </c>
      <c r="CR2933">
        <v>1.2</v>
      </c>
      <c r="CS2933" t="s">
        <v>153</v>
      </c>
      <c r="CT2933">
        <v>9.48</v>
      </c>
      <c r="CU2933">
        <v>0</v>
      </c>
      <c r="CV2933">
        <v>3.64</v>
      </c>
      <c r="CW2933">
        <v>4.54</v>
      </c>
      <c r="CX2933">
        <v>-0.86</v>
      </c>
      <c r="CY2933">
        <v>32.880000000000003</v>
      </c>
      <c r="CZ2933" t="s">
        <v>2717</v>
      </c>
      <c r="DA2933">
        <v>21.93</v>
      </c>
      <c r="DB2933">
        <v>5.87</v>
      </c>
      <c r="DC2933">
        <v>4.67</v>
      </c>
      <c r="DD2933">
        <v>12.08</v>
      </c>
      <c r="DE2933">
        <v>17608</v>
      </c>
      <c r="DF2933">
        <v>600875</v>
      </c>
      <c r="DG2933" t="s">
        <v>116</v>
      </c>
      <c r="DH2933" t="s">
        <v>116</v>
      </c>
      <c r="DI2933" t="s">
        <v>116</v>
      </c>
    </row>
    <row r="2934" spans="1:113" x14ac:dyDescent="0.4">
      <c r="A2934" t="str">
        <f>"600876"</f>
        <v>600876</v>
      </c>
      <c r="B2934" t="s">
        <v>12941</v>
      </c>
      <c r="C2934">
        <v>10</v>
      </c>
      <c r="D2934">
        <v>14.96</v>
      </c>
      <c r="E2934">
        <v>1.36</v>
      </c>
      <c r="F2934">
        <v>14.96</v>
      </c>
      <c r="G2934" t="s">
        <v>116</v>
      </c>
      <c r="H2934">
        <v>325040</v>
      </c>
      <c r="I2934">
        <v>221</v>
      </c>
      <c r="J2934">
        <v>0</v>
      </c>
      <c r="K2934">
        <v>11.65</v>
      </c>
      <c r="L2934">
        <v>14.7</v>
      </c>
      <c r="M2934">
        <v>14.96</v>
      </c>
      <c r="N2934">
        <v>14.05</v>
      </c>
      <c r="O2934">
        <v>13.6</v>
      </c>
      <c r="P2934">
        <v>133.58000000000001</v>
      </c>
      <c r="Q2934">
        <v>473855072</v>
      </c>
      <c r="R2934">
        <v>3.39</v>
      </c>
      <c r="S2934" t="s">
        <v>195</v>
      </c>
      <c r="T2934" t="s">
        <v>652</v>
      </c>
      <c r="U2934">
        <v>6.69</v>
      </c>
      <c r="V2934">
        <v>14.58</v>
      </c>
      <c r="W2934">
        <v>162946</v>
      </c>
      <c r="X2934">
        <v>162094</v>
      </c>
      <c r="Y2934">
        <v>1.01</v>
      </c>
      <c r="Z2934">
        <v>13888</v>
      </c>
      <c r="AA2934">
        <v>0</v>
      </c>
      <c r="AB2934" t="s">
        <v>116</v>
      </c>
      <c r="AC2934">
        <v>12530300</v>
      </c>
      <c r="AD2934">
        <v>0.81</v>
      </c>
      <c r="AE2934">
        <v>0.04</v>
      </c>
      <c r="AF2934">
        <v>20776448</v>
      </c>
      <c r="AG2934">
        <v>2.79</v>
      </c>
      <c r="AH2934" t="s">
        <v>12942</v>
      </c>
      <c r="AI2934" t="s">
        <v>6879</v>
      </c>
      <c r="AJ2934">
        <v>10.08</v>
      </c>
      <c r="AK2934">
        <v>3134</v>
      </c>
      <c r="AL2934">
        <v>104</v>
      </c>
      <c r="AM2934">
        <v>3.7000000000000002E-3</v>
      </c>
      <c r="AN2934">
        <v>2</v>
      </c>
      <c r="AO2934">
        <v>20.36</v>
      </c>
      <c r="AP2934">
        <v>23.23</v>
      </c>
      <c r="AQ2934">
        <v>48.56</v>
      </c>
      <c r="AR2934">
        <v>34.53</v>
      </c>
      <c r="AS2934">
        <v>30.95</v>
      </c>
      <c r="AT2934" t="s">
        <v>12943</v>
      </c>
      <c r="AU2934">
        <v>138.66</v>
      </c>
      <c r="AV2934">
        <v>528.20000000000005</v>
      </c>
      <c r="AW2934">
        <v>0.92</v>
      </c>
      <c r="BA2934">
        <v>8.09</v>
      </c>
      <c r="BB2934">
        <v>10</v>
      </c>
      <c r="BC2934">
        <v>3.31</v>
      </c>
      <c r="BD2934">
        <v>7.19</v>
      </c>
      <c r="BE2934">
        <v>1.77</v>
      </c>
      <c r="BF2934">
        <v>0</v>
      </c>
      <c r="BG2934">
        <v>6.48</v>
      </c>
      <c r="BH2934">
        <v>2.81</v>
      </c>
      <c r="BI2934">
        <v>20191211</v>
      </c>
      <c r="BJ2934">
        <v>19951031</v>
      </c>
      <c r="BK2934">
        <v>5.52</v>
      </c>
      <c r="BL2934" t="s">
        <v>116</v>
      </c>
      <c r="BM2934">
        <v>2.5</v>
      </c>
      <c r="BN2934">
        <v>51.88</v>
      </c>
      <c r="BO2934">
        <v>12.92</v>
      </c>
      <c r="BP2934">
        <v>1.08</v>
      </c>
      <c r="BQ2934">
        <v>73.02</v>
      </c>
      <c r="BR2934">
        <v>19.190000000000001</v>
      </c>
      <c r="BS2934">
        <v>18.93</v>
      </c>
      <c r="BT2934">
        <v>3.68</v>
      </c>
      <c r="BU2934">
        <v>30.87</v>
      </c>
      <c r="BV2934">
        <v>2.84</v>
      </c>
      <c r="BW2934">
        <v>7.04</v>
      </c>
      <c r="BX2934">
        <v>19.71</v>
      </c>
      <c r="BY2934">
        <v>13.23</v>
      </c>
      <c r="BZ2934">
        <v>10.36</v>
      </c>
      <c r="CA2934">
        <v>0.5</v>
      </c>
      <c r="CB2934">
        <v>0</v>
      </c>
      <c r="CC2934">
        <v>0.68</v>
      </c>
      <c r="CD2934">
        <v>0.54</v>
      </c>
      <c r="CE2934">
        <v>0.46</v>
      </c>
      <c r="CF2934">
        <v>0.05</v>
      </c>
      <c r="CG2934">
        <v>-12.91</v>
      </c>
      <c r="CH2934">
        <v>-0.92</v>
      </c>
      <c r="CI2934">
        <v>-0.41</v>
      </c>
      <c r="CJ2934">
        <v>44842</v>
      </c>
      <c r="CK2934">
        <v>2342</v>
      </c>
      <c r="CL2934" t="s">
        <v>7087</v>
      </c>
      <c r="CM2934">
        <v>1797.46</v>
      </c>
      <c r="CN2934">
        <v>31.01</v>
      </c>
      <c r="CO2934">
        <v>6.4</v>
      </c>
      <c r="CP2934">
        <v>-89.82</v>
      </c>
      <c r="CQ2934">
        <v>6.24</v>
      </c>
      <c r="CR2934">
        <v>0</v>
      </c>
      <c r="CS2934" t="s">
        <v>3917</v>
      </c>
      <c r="CT2934">
        <v>2.34</v>
      </c>
      <c r="CU2934">
        <v>0</v>
      </c>
      <c r="CV2934">
        <v>3.57</v>
      </c>
      <c r="CW2934">
        <v>-2.34</v>
      </c>
      <c r="CX2934">
        <v>-0.17</v>
      </c>
      <c r="CY2934">
        <v>24.9</v>
      </c>
      <c r="CZ2934" t="s">
        <v>1210</v>
      </c>
      <c r="DA2934">
        <v>21.74</v>
      </c>
      <c r="DB2934">
        <v>3.76</v>
      </c>
      <c r="DC2934">
        <v>3.51</v>
      </c>
      <c r="DD2934">
        <v>0.47</v>
      </c>
      <c r="DE2934">
        <v>2300</v>
      </c>
      <c r="DF2934">
        <v>600876</v>
      </c>
      <c r="DG2934" t="s">
        <v>116</v>
      </c>
      <c r="DH2934" t="s">
        <v>116</v>
      </c>
      <c r="DI2934" t="s">
        <v>116</v>
      </c>
    </row>
    <row r="2935" spans="1:113" x14ac:dyDescent="0.4">
      <c r="A2935" t="str">
        <f>"600877"</f>
        <v>600877</v>
      </c>
      <c r="B2935" t="s">
        <v>12944</v>
      </c>
      <c r="C2935">
        <v>2.21</v>
      </c>
      <c r="D2935">
        <v>5.55</v>
      </c>
      <c r="E2935">
        <v>0.12</v>
      </c>
      <c r="F2935">
        <v>5.55</v>
      </c>
      <c r="G2935">
        <v>5.56</v>
      </c>
      <c r="H2935">
        <v>62391</v>
      </c>
      <c r="I2935">
        <v>1310</v>
      </c>
      <c r="J2935">
        <v>0.36</v>
      </c>
      <c r="K2935">
        <v>0.91</v>
      </c>
      <c r="L2935">
        <v>5.45</v>
      </c>
      <c r="M2935">
        <v>5.65</v>
      </c>
      <c r="N2935">
        <v>5.41</v>
      </c>
      <c r="O2935">
        <v>5.43</v>
      </c>
      <c r="P2935" t="s">
        <v>116</v>
      </c>
      <c r="Q2935">
        <v>34556428</v>
      </c>
      <c r="R2935">
        <v>1.65</v>
      </c>
      <c r="S2935" t="s">
        <v>397</v>
      </c>
      <c r="T2935" t="s">
        <v>906</v>
      </c>
      <c r="U2935">
        <v>4.42</v>
      </c>
      <c r="V2935">
        <v>5.54</v>
      </c>
      <c r="W2935">
        <v>29648</v>
      </c>
      <c r="X2935">
        <v>32743</v>
      </c>
      <c r="Y2935">
        <v>0.91</v>
      </c>
      <c r="Z2935">
        <v>752</v>
      </c>
      <c r="AA2935">
        <v>229</v>
      </c>
      <c r="AB2935" t="s">
        <v>116</v>
      </c>
      <c r="AC2935">
        <v>14700</v>
      </c>
      <c r="AD2935">
        <v>0</v>
      </c>
      <c r="AE2935" t="s">
        <v>116</v>
      </c>
      <c r="AF2935" t="s">
        <v>116</v>
      </c>
      <c r="AG2935">
        <v>6.87</v>
      </c>
      <c r="AH2935" t="s">
        <v>6301</v>
      </c>
      <c r="AI2935" t="s">
        <v>12945</v>
      </c>
      <c r="AJ2935">
        <v>2.29</v>
      </c>
      <c r="AK2935">
        <v>848</v>
      </c>
      <c r="AL2935">
        <v>74</v>
      </c>
      <c r="AM2935">
        <v>1.1000000000000001E-3</v>
      </c>
      <c r="AN2935">
        <v>1</v>
      </c>
      <c r="AO2935">
        <v>2.21</v>
      </c>
      <c r="AP2935">
        <v>11.67</v>
      </c>
      <c r="AQ2935">
        <v>-10.48</v>
      </c>
      <c r="AR2935">
        <v>16.600000000000001</v>
      </c>
      <c r="AS2935">
        <v>1.17</v>
      </c>
      <c r="AT2935" t="s">
        <v>12946</v>
      </c>
      <c r="AU2935" t="s">
        <v>116</v>
      </c>
      <c r="AV2935" t="s">
        <v>116</v>
      </c>
      <c r="AW2935">
        <v>0.23</v>
      </c>
      <c r="BA2935">
        <v>0.37</v>
      </c>
      <c r="BB2935">
        <v>4.05</v>
      </c>
      <c r="BC2935">
        <v>-0.37</v>
      </c>
      <c r="BD2935">
        <v>2</v>
      </c>
      <c r="BE2935">
        <v>1.83</v>
      </c>
      <c r="BF2935">
        <v>-1.77</v>
      </c>
      <c r="BG2935">
        <v>2.59</v>
      </c>
      <c r="BH2935">
        <v>0.21</v>
      </c>
      <c r="BI2935">
        <v>20191112</v>
      </c>
      <c r="BJ2935">
        <v>19951013</v>
      </c>
      <c r="BK2935">
        <v>8.2200000000000006</v>
      </c>
      <c r="BL2935" t="s">
        <v>116</v>
      </c>
      <c r="BM2935" t="s">
        <v>116</v>
      </c>
      <c r="BN2935">
        <v>4.0999999999999996</v>
      </c>
      <c r="BO2935">
        <v>2.2999999999999998</v>
      </c>
      <c r="BP2935">
        <v>0.09</v>
      </c>
      <c r="BQ2935">
        <v>41.61</v>
      </c>
      <c r="BR2935">
        <v>3.35</v>
      </c>
      <c r="BS2935">
        <v>0.66</v>
      </c>
      <c r="BT2935">
        <v>0</v>
      </c>
      <c r="BU2935">
        <v>1.71</v>
      </c>
      <c r="BV2935">
        <v>1.68</v>
      </c>
      <c r="BW2935">
        <v>0.8</v>
      </c>
      <c r="BX2935">
        <v>8.2899999999999991</v>
      </c>
      <c r="BY2935">
        <v>0.82</v>
      </c>
      <c r="BZ2935">
        <v>0.53</v>
      </c>
      <c r="CA2935">
        <v>-0.12</v>
      </c>
      <c r="CB2935">
        <v>0</v>
      </c>
      <c r="CC2935">
        <v>-0.12</v>
      </c>
      <c r="CD2935">
        <v>-0.13</v>
      </c>
      <c r="CE2935">
        <v>-0.14000000000000001</v>
      </c>
      <c r="CF2935">
        <v>-0.14000000000000001</v>
      </c>
      <c r="CG2935">
        <v>-20.09</v>
      </c>
      <c r="CH2935">
        <v>0.05</v>
      </c>
      <c r="CI2935">
        <v>0.1</v>
      </c>
      <c r="CJ2935">
        <v>55746</v>
      </c>
      <c r="CK2935">
        <v>9574</v>
      </c>
      <c r="CL2935" t="s">
        <v>3421</v>
      </c>
      <c r="CM2935">
        <v>-157.15</v>
      </c>
      <c r="CN2935">
        <v>-35.74</v>
      </c>
      <c r="CO2935">
        <v>19.82</v>
      </c>
      <c r="CP2935">
        <v>911.12</v>
      </c>
      <c r="CQ2935">
        <v>55.92</v>
      </c>
      <c r="CR2935">
        <v>0</v>
      </c>
      <c r="CS2935" t="s">
        <v>4439</v>
      </c>
      <c r="CT2935">
        <v>0.28000000000000003</v>
      </c>
      <c r="CU2935">
        <v>0</v>
      </c>
      <c r="CV2935">
        <v>1.01</v>
      </c>
      <c r="CW2935">
        <v>-2.44</v>
      </c>
      <c r="CX2935">
        <v>0.01</v>
      </c>
      <c r="CY2935">
        <v>56.08</v>
      </c>
      <c r="CZ2935" t="s">
        <v>12947</v>
      </c>
      <c r="DA2935">
        <v>35.47</v>
      </c>
      <c r="DB2935">
        <v>-14.25</v>
      </c>
      <c r="DC2935">
        <v>-16.559999999999999</v>
      </c>
      <c r="DD2935">
        <v>0.23</v>
      </c>
      <c r="DE2935">
        <v>654</v>
      </c>
      <c r="DF2935">
        <v>600877</v>
      </c>
      <c r="DG2935" t="s">
        <v>116</v>
      </c>
      <c r="DH2935" t="s">
        <v>116</v>
      </c>
      <c r="DI2935" t="s">
        <v>116</v>
      </c>
    </row>
    <row r="2936" spans="1:113" x14ac:dyDescent="0.4">
      <c r="A2936" t="str">
        <f>"600879"</f>
        <v>600879</v>
      </c>
      <c r="B2936" t="s">
        <v>12948</v>
      </c>
      <c r="C2936">
        <v>0.34</v>
      </c>
      <c r="D2936">
        <v>5.94</v>
      </c>
      <c r="E2936">
        <v>0.02</v>
      </c>
      <c r="F2936">
        <v>5.93</v>
      </c>
      <c r="G2936">
        <v>5.94</v>
      </c>
      <c r="H2936">
        <v>303115</v>
      </c>
      <c r="I2936">
        <v>4403</v>
      </c>
      <c r="J2936">
        <v>0.17</v>
      </c>
      <c r="K2936">
        <v>1.25</v>
      </c>
      <c r="L2936">
        <v>5.92</v>
      </c>
      <c r="M2936">
        <v>6.01</v>
      </c>
      <c r="N2936">
        <v>5.9</v>
      </c>
      <c r="O2936">
        <v>5.92</v>
      </c>
      <c r="P2936">
        <v>34.53</v>
      </c>
      <c r="Q2936">
        <v>180755936</v>
      </c>
      <c r="R2936">
        <v>1.69</v>
      </c>
      <c r="S2936" t="s">
        <v>1789</v>
      </c>
      <c r="T2936" t="s">
        <v>774</v>
      </c>
      <c r="U2936">
        <v>1.86</v>
      </c>
      <c r="V2936">
        <v>5.96</v>
      </c>
      <c r="W2936">
        <v>130225</v>
      </c>
      <c r="X2936">
        <v>172890</v>
      </c>
      <c r="Y2936">
        <v>0.75</v>
      </c>
      <c r="Z2936">
        <v>4352</v>
      </c>
      <c r="AA2936">
        <v>1422</v>
      </c>
      <c r="AB2936" t="s">
        <v>116</v>
      </c>
      <c r="AC2936">
        <v>519800</v>
      </c>
      <c r="AD2936">
        <v>0</v>
      </c>
      <c r="AE2936" t="s">
        <v>116</v>
      </c>
      <c r="AF2936" t="s">
        <v>116</v>
      </c>
      <c r="AG2936">
        <v>24.18</v>
      </c>
      <c r="AH2936" t="s">
        <v>12949</v>
      </c>
      <c r="AI2936" t="s">
        <v>12950</v>
      </c>
      <c r="AJ2936">
        <v>0.41</v>
      </c>
      <c r="AK2936">
        <v>2971</v>
      </c>
      <c r="AL2936">
        <v>102</v>
      </c>
      <c r="AM2936">
        <v>4.0000000000000002E-4</v>
      </c>
      <c r="AN2936">
        <v>4</v>
      </c>
      <c r="AO2936">
        <v>1.19</v>
      </c>
      <c r="AP2936">
        <v>1.37</v>
      </c>
      <c r="AQ2936">
        <v>-3.1</v>
      </c>
      <c r="AR2936">
        <v>9.8000000000000007</v>
      </c>
      <c r="AS2936">
        <v>1.57</v>
      </c>
      <c r="AT2936" t="s">
        <v>12951</v>
      </c>
      <c r="AU2936">
        <v>34.729999999999997</v>
      </c>
      <c r="AV2936">
        <v>35.36</v>
      </c>
      <c r="AW2936">
        <v>0.98</v>
      </c>
      <c r="BA2936">
        <v>0</v>
      </c>
      <c r="BB2936">
        <v>1.52</v>
      </c>
      <c r="BC2936">
        <v>-0.34</v>
      </c>
      <c r="BD2936">
        <v>0.73</v>
      </c>
      <c r="BE2936">
        <v>0.34</v>
      </c>
      <c r="BF2936">
        <v>-1.1599999999999999</v>
      </c>
      <c r="BG2936">
        <v>0.68</v>
      </c>
      <c r="BH2936">
        <v>-0.39</v>
      </c>
      <c r="BI2936">
        <v>20191030</v>
      </c>
      <c r="BJ2936">
        <v>19951115</v>
      </c>
      <c r="BK2936">
        <v>27.19</v>
      </c>
      <c r="BL2936" t="s">
        <v>116</v>
      </c>
      <c r="BM2936" t="s">
        <v>116</v>
      </c>
      <c r="BN2936">
        <v>287.89999999999998</v>
      </c>
      <c r="BO2936">
        <v>122.54</v>
      </c>
      <c r="BP2936">
        <v>6.11</v>
      </c>
      <c r="BQ2936">
        <v>55.32</v>
      </c>
      <c r="BR2936">
        <v>230.03</v>
      </c>
      <c r="BS2936">
        <v>38.82</v>
      </c>
      <c r="BT2936">
        <v>6.15</v>
      </c>
      <c r="BU2936">
        <v>155.93</v>
      </c>
      <c r="BV2936">
        <v>100.17</v>
      </c>
      <c r="BW2936">
        <v>88.12</v>
      </c>
      <c r="BX2936">
        <v>47.78</v>
      </c>
      <c r="BY2936">
        <v>92.81</v>
      </c>
      <c r="BZ2936">
        <v>75.8</v>
      </c>
      <c r="CA2936">
        <v>4.43</v>
      </c>
      <c r="CB2936">
        <v>0</v>
      </c>
      <c r="CC2936">
        <v>4.4400000000000004</v>
      </c>
      <c r="CD2936">
        <v>3.77</v>
      </c>
      <c r="CE2936">
        <v>3.51</v>
      </c>
      <c r="CF2936">
        <v>3.26</v>
      </c>
      <c r="CG2936">
        <v>44.95</v>
      </c>
      <c r="CH2936">
        <v>-11.52</v>
      </c>
      <c r="CI2936">
        <v>-7.44</v>
      </c>
      <c r="CJ2936">
        <v>162956</v>
      </c>
      <c r="CK2936">
        <v>11870</v>
      </c>
      <c r="CL2936" t="s">
        <v>453</v>
      </c>
      <c r="CM2936">
        <v>2.42</v>
      </c>
      <c r="CN2936">
        <v>2.2000000000000002</v>
      </c>
      <c r="CO2936">
        <v>1.32</v>
      </c>
      <c r="CP2936">
        <v>-14.02</v>
      </c>
      <c r="CQ2936">
        <v>1.74</v>
      </c>
      <c r="CR2936">
        <v>0</v>
      </c>
      <c r="CS2936" t="s">
        <v>8209</v>
      </c>
      <c r="CT2936">
        <v>4.51</v>
      </c>
      <c r="CU2936">
        <v>0</v>
      </c>
      <c r="CV2936">
        <v>1.76</v>
      </c>
      <c r="CW2936">
        <v>1.65</v>
      </c>
      <c r="CX2936">
        <v>-0.42</v>
      </c>
      <c r="CY2936">
        <v>42.56</v>
      </c>
      <c r="CZ2936" t="s">
        <v>4544</v>
      </c>
      <c r="DA2936">
        <v>18.329999999999998</v>
      </c>
      <c r="DB2936">
        <v>4.7699999999999996</v>
      </c>
      <c r="DC2936">
        <v>3.78</v>
      </c>
      <c r="DD2936">
        <v>2.74</v>
      </c>
      <c r="DE2936">
        <v>14949</v>
      </c>
      <c r="DF2936">
        <v>600879</v>
      </c>
      <c r="DG2936" t="s">
        <v>116</v>
      </c>
      <c r="DH2936" t="s">
        <v>116</v>
      </c>
      <c r="DI2936" t="s">
        <v>116</v>
      </c>
    </row>
    <row r="2937" spans="1:113" x14ac:dyDescent="0.4">
      <c r="A2937" t="str">
        <f>"600880"</f>
        <v>600880</v>
      </c>
      <c r="B2937" t="s">
        <v>12952</v>
      </c>
      <c r="C2937">
        <v>0.51</v>
      </c>
      <c r="D2937">
        <v>3.97</v>
      </c>
      <c r="E2937">
        <v>0.02</v>
      </c>
      <c r="F2937">
        <v>3.97</v>
      </c>
      <c r="G2937">
        <v>3.98</v>
      </c>
      <c r="H2937">
        <v>127569</v>
      </c>
      <c r="I2937">
        <v>800</v>
      </c>
      <c r="J2937">
        <v>-0.24</v>
      </c>
      <c r="K2937">
        <v>1.17</v>
      </c>
      <c r="L2937">
        <v>3.95</v>
      </c>
      <c r="M2937">
        <v>4.08</v>
      </c>
      <c r="N2937">
        <v>3.93</v>
      </c>
      <c r="O2937">
        <v>3.95</v>
      </c>
      <c r="P2937">
        <v>54.66</v>
      </c>
      <c r="Q2937">
        <v>51301368</v>
      </c>
      <c r="R2937">
        <v>1.43</v>
      </c>
      <c r="S2937" t="s">
        <v>345</v>
      </c>
      <c r="T2937" t="s">
        <v>582</v>
      </c>
      <c r="U2937">
        <v>3.8</v>
      </c>
      <c r="V2937">
        <v>4.0199999999999996</v>
      </c>
      <c r="W2937">
        <v>61322</v>
      </c>
      <c r="X2937">
        <v>66247</v>
      </c>
      <c r="Y2937">
        <v>0.93</v>
      </c>
      <c r="Z2937">
        <v>1861</v>
      </c>
      <c r="AA2937">
        <v>410</v>
      </c>
      <c r="AB2937" t="s">
        <v>116</v>
      </c>
      <c r="AC2937">
        <v>400</v>
      </c>
      <c r="AD2937">
        <v>0</v>
      </c>
      <c r="AE2937" t="s">
        <v>116</v>
      </c>
      <c r="AF2937" t="s">
        <v>116</v>
      </c>
      <c r="AG2937">
        <v>10.93</v>
      </c>
      <c r="AH2937" t="s">
        <v>12953</v>
      </c>
      <c r="AI2937" t="s">
        <v>12954</v>
      </c>
      <c r="AJ2937">
        <v>0.57999999999999996</v>
      </c>
      <c r="AK2937">
        <v>1634</v>
      </c>
      <c r="AL2937">
        <v>78</v>
      </c>
      <c r="AM2937">
        <v>6.9999999999999999E-4</v>
      </c>
      <c r="AN2937">
        <v>4</v>
      </c>
      <c r="AO2937">
        <v>2.86</v>
      </c>
      <c r="AP2937">
        <v>9.67</v>
      </c>
      <c r="AQ2937">
        <v>11.52</v>
      </c>
      <c r="AR2937">
        <v>7.01</v>
      </c>
      <c r="AS2937">
        <v>1.78</v>
      </c>
      <c r="AT2937" t="s">
        <v>10051</v>
      </c>
      <c r="AU2937" t="s">
        <v>116</v>
      </c>
      <c r="AV2937" t="s">
        <v>116</v>
      </c>
      <c r="AW2937">
        <v>1.1399999999999999</v>
      </c>
      <c r="BA2937">
        <v>0</v>
      </c>
      <c r="BB2937">
        <v>3.29</v>
      </c>
      <c r="BC2937">
        <v>-0.51</v>
      </c>
      <c r="BD2937">
        <v>1.81</v>
      </c>
      <c r="BE2937">
        <v>0.51</v>
      </c>
      <c r="BF2937">
        <v>-2.7</v>
      </c>
      <c r="BG2937">
        <v>1.02</v>
      </c>
      <c r="BH2937">
        <v>-1.3</v>
      </c>
      <c r="BI2937">
        <v>20191030</v>
      </c>
      <c r="BJ2937">
        <v>19951115</v>
      </c>
      <c r="BK2937">
        <v>10.93</v>
      </c>
      <c r="BL2937" t="s">
        <v>116</v>
      </c>
      <c r="BM2937" t="s">
        <v>116</v>
      </c>
      <c r="BN2937">
        <v>32.78</v>
      </c>
      <c r="BO2937">
        <v>28.54</v>
      </c>
      <c r="BP2937">
        <v>0.88</v>
      </c>
      <c r="BQ2937">
        <v>10.23</v>
      </c>
      <c r="BR2937">
        <v>12</v>
      </c>
      <c r="BS2937">
        <v>2.33</v>
      </c>
      <c r="BT2937">
        <v>0.16</v>
      </c>
      <c r="BU2937">
        <v>2.4500000000000002</v>
      </c>
      <c r="BV2937">
        <v>0.03</v>
      </c>
      <c r="BW2937">
        <v>0.99</v>
      </c>
      <c r="BX2937">
        <v>8.2200000000000006</v>
      </c>
      <c r="BY2937">
        <v>2.69</v>
      </c>
      <c r="BZ2937">
        <v>1.48</v>
      </c>
      <c r="CA2937">
        <v>0.67</v>
      </c>
      <c r="CB2937">
        <v>0.08</v>
      </c>
      <c r="CC2937">
        <v>0.68</v>
      </c>
      <c r="CD2937">
        <v>0.62</v>
      </c>
      <c r="CE2937">
        <v>0.6</v>
      </c>
      <c r="CF2937">
        <v>0.54</v>
      </c>
      <c r="CG2937">
        <v>5.76</v>
      </c>
      <c r="CH2937">
        <v>-0.02</v>
      </c>
      <c r="CI2937">
        <v>-0.02</v>
      </c>
      <c r="CJ2937">
        <v>59888</v>
      </c>
      <c r="CK2937">
        <v>11987</v>
      </c>
      <c r="CL2937" t="s">
        <v>2315</v>
      </c>
      <c r="CM2937">
        <v>154.52000000000001</v>
      </c>
      <c r="CN2937">
        <v>-36.64</v>
      </c>
      <c r="CO2937">
        <v>1.52</v>
      </c>
      <c r="CP2937">
        <v>-1909.77</v>
      </c>
      <c r="CQ2937">
        <v>16.149999999999999</v>
      </c>
      <c r="CR2937">
        <v>0</v>
      </c>
      <c r="CS2937" t="s">
        <v>8882</v>
      </c>
      <c r="CT2937">
        <v>2.61</v>
      </c>
      <c r="CU2937">
        <v>0</v>
      </c>
      <c r="CV2937">
        <v>0.75</v>
      </c>
      <c r="CW2937">
        <v>0.53</v>
      </c>
      <c r="CX2937">
        <v>0</v>
      </c>
      <c r="CY2937">
        <v>87.08</v>
      </c>
      <c r="CZ2937" t="s">
        <v>2994</v>
      </c>
      <c r="DA2937">
        <v>45.1</v>
      </c>
      <c r="DB2937">
        <v>25.08</v>
      </c>
      <c r="DC2937">
        <v>22.16</v>
      </c>
      <c r="DD2937">
        <v>0.22</v>
      </c>
      <c r="DE2937">
        <v>1043</v>
      </c>
      <c r="DF2937">
        <v>600880</v>
      </c>
      <c r="DG2937" t="s">
        <v>116</v>
      </c>
      <c r="DH2937" t="s">
        <v>116</v>
      </c>
      <c r="DI2937" t="s">
        <v>116</v>
      </c>
    </row>
    <row r="2938" spans="1:113" x14ac:dyDescent="0.4">
      <c r="A2938" t="str">
        <f>"600881"</f>
        <v>600881</v>
      </c>
      <c r="B2938" t="s">
        <v>12955</v>
      </c>
      <c r="C2938">
        <v>-0.32</v>
      </c>
      <c r="D2938">
        <v>3.07</v>
      </c>
      <c r="E2938">
        <v>-0.01</v>
      </c>
      <c r="F2938">
        <v>3.07</v>
      </c>
      <c r="G2938">
        <v>3.08</v>
      </c>
      <c r="H2938">
        <v>114988</v>
      </c>
      <c r="I2938">
        <v>1340</v>
      </c>
      <c r="J2938">
        <v>0</v>
      </c>
      <c r="K2938">
        <v>0.36</v>
      </c>
      <c r="L2938">
        <v>3.07</v>
      </c>
      <c r="M2938">
        <v>3.13</v>
      </c>
      <c r="N2938">
        <v>3.06</v>
      </c>
      <c r="O2938">
        <v>3.08</v>
      </c>
      <c r="P2938">
        <v>89.94</v>
      </c>
      <c r="Q2938">
        <v>35639584</v>
      </c>
      <c r="R2938">
        <v>1.1499999999999999</v>
      </c>
      <c r="S2938" t="s">
        <v>660</v>
      </c>
      <c r="T2938" t="s">
        <v>294</v>
      </c>
      <c r="U2938">
        <v>2.27</v>
      </c>
      <c r="V2938">
        <v>3.1</v>
      </c>
      <c r="W2938">
        <v>49936</v>
      </c>
      <c r="X2938">
        <v>65052</v>
      </c>
      <c r="Y2938">
        <v>0.77</v>
      </c>
      <c r="Z2938">
        <v>3280</v>
      </c>
      <c r="AA2938">
        <v>637</v>
      </c>
      <c r="AB2938" t="s">
        <v>116</v>
      </c>
      <c r="AC2938">
        <v>424300</v>
      </c>
      <c r="AD2938">
        <v>0</v>
      </c>
      <c r="AE2938" t="s">
        <v>116</v>
      </c>
      <c r="AF2938" t="s">
        <v>116</v>
      </c>
      <c r="AG2938">
        <v>32.229999999999997</v>
      </c>
      <c r="AH2938" t="s">
        <v>11637</v>
      </c>
      <c r="AI2938" t="s">
        <v>12956</v>
      </c>
      <c r="AJ2938">
        <v>-0.25</v>
      </c>
      <c r="AK2938">
        <v>1429</v>
      </c>
      <c r="AL2938">
        <v>80</v>
      </c>
      <c r="AM2938">
        <v>2.0000000000000001E-4</v>
      </c>
      <c r="AN2938">
        <v>-1</v>
      </c>
      <c r="AO2938">
        <v>0.32</v>
      </c>
      <c r="AP2938">
        <v>2.33</v>
      </c>
      <c r="AQ2938">
        <v>2.68</v>
      </c>
      <c r="AR2938">
        <v>-7.25</v>
      </c>
      <c r="AS2938">
        <v>0.41</v>
      </c>
      <c r="AT2938" t="s">
        <v>12957</v>
      </c>
      <c r="AU2938" t="s">
        <v>116</v>
      </c>
      <c r="AV2938" t="s">
        <v>116</v>
      </c>
      <c r="AW2938">
        <v>0.98</v>
      </c>
      <c r="BA2938">
        <v>-0.32</v>
      </c>
      <c r="BB2938">
        <v>1.62</v>
      </c>
      <c r="BC2938">
        <v>-0.65</v>
      </c>
      <c r="BD2938">
        <v>0.63</v>
      </c>
      <c r="BE2938">
        <v>0</v>
      </c>
      <c r="BF2938">
        <v>-1.92</v>
      </c>
      <c r="BG2938">
        <v>0.33</v>
      </c>
      <c r="BH2938">
        <v>-0.95</v>
      </c>
      <c r="BI2938">
        <v>20191030</v>
      </c>
      <c r="BJ2938">
        <v>19951115</v>
      </c>
      <c r="BK2938">
        <v>32.49</v>
      </c>
      <c r="BL2938" t="s">
        <v>116</v>
      </c>
      <c r="BM2938" t="s">
        <v>116</v>
      </c>
      <c r="BN2938">
        <v>582.26</v>
      </c>
      <c r="BO2938">
        <v>145.63999999999999</v>
      </c>
      <c r="BP2938">
        <v>42.11</v>
      </c>
      <c r="BQ2938">
        <v>67.75</v>
      </c>
      <c r="BR2938">
        <v>312.75</v>
      </c>
      <c r="BS2938">
        <v>123.29</v>
      </c>
      <c r="BT2938">
        <v>32.11</v>
      </c>
      <c r="BU2938">
        <v>320.44</v>
      </c>
      <c r="BV2938">
        <v>99.6</v>
      </c>
      <c r="BW2938">
        <v>65.66</v>
      </c>
      <c r="BX2938">
        <v>83.13</v>
      </c>
      <c r="BY2938">
        <v>114.64</v>
      </c>
      <c r="BZ2938">
        <v>79.91</v>
      </c>
      <c r="CA2938">
        <v>3.04</v>
      </c>
      <c r="CB2938">
        <v>3.71</v>
      </c>
      <c r="CC2938">
        <v>3.05</v>
      </c>
      <c r="CD2938">
        <v>0.2</v>
      </c>
      <c r="CE2938">
        <v>0.83</v>
      </c>
      <c r="CF2938">
        <v>0.46</v>
      </c>
      <c r="CG2938">
        <v>26.83</v>
      </c>
      <c r="CH2938">
        <v>4.57</v>
      </c>
      <c r="CI2938">
        <v>-2.5499999999999998</v>
      </c>
      <c r="CJ2938">
        <v>112319</v>
      </c>
      <c r="CK2938">
        <v>25094</v>
      </c>
      <c r="CL2938" t="s">
        <v>199</v>
      </c>
      <c r="CM2938">
        <v>-20.98</v>
      </c>
      <c r="CN2938">
        <v>15.03</v>
      </c>
      <c r="CO2938">
        <v>0.68</v>
      </c>
      <c r="CP2938">
        <v>21.84</v>
      </c>
      <c r="CQ2938">
        <v>0.87</v>
      </c>
      <c r="CR2938">
        <v>0</v>
      </c>
      <c r="CS2938" t="s">
        <v>613</v>
      </c>
      <c r="CT2938">
        <v>4.4800000000000004</v>
      </c>
      <c r="CU2938">
        <v>0</v>
      </c>
      <c r="CV2938">
        <v>2.56</v>
      </c>
      <c r="CW2938">
        <v>0.83</v>
      </c>
      <c r="CX2938">
        <v>0.14000000000000001</v>
      </c>
      <c r="CY2938">
        <v>25.01</v>
      </c>
      <c r="CZ2938" t="s">
        <v>4147</v>
      </c>
      <c r="DA2938">
        <v>30.3</v>
      </c>
      <c r="DB2938">
        <v>2.65</v>
      </c>
      <c r="DC2938">
        <v>0.73</v>
      </c>
      <c r="DD2938">
        <v>0.57999999999999996</v>
      </c>
      <c r="DE2938">
        <v>20912</v>
      </c>
      <c r="DF2938">
        <v>600881</v>
      </c>
      <c r="DG2938" t="s">
        <v>116</v>
      </c>
      <c r="DH2938" t="s">
        <v>116</v>
      </c>
      <c r="DI2938" t="s">
        <v>116</v>
      </c>
    </row>
    <row r="2939" spans="1:113" x14ac:dyDescent="0.4">
      <c r="A2939" t="str">
        <f>"600882"</f>
        <v>600882</v>
      </c>
      <c r="B2939" t="s">
        <v>12958</v>
      </c>
      <c r="C2939">
        <v>7.87</v>
      </c>
      <c r="D2939">
        <v>14.25</v>
      </c>
      <c r="E2939">
        <v>1.04</v>
      </c>
      <c r="F2939">
        <v>14.25</v>
      </c>
      <c r="G2939">
        <v>14.26</v>
      </c>
      <c r="H2939">
        <v>85354</v>
      </c>
      <c r="I2939">
        <v>467</v>
      </c>
      <c r="J2939">
        <v>0.92</v>
      </c>
      <c r="K2939">
        <v>2.1</v>
      </c>
      <c r="L2939">
        <v>13.22</v>
      </c>
      <c r="M2939">
        <v>14.53</v>
      </c>
      <c r="N2939">
        <v>13.17</v>
      </c>
      <c r="O2939">
        <v>13.21</v>
      </c>
      <c r="P2939">
        <v>371.31</v>
      </c>
      <c r="Q2939">
        <v>120774840</v>
      </c>
      <c r="R2939">
        <v>2.8</v>
      </c>
      <c r="S2939" t="s">
        <v>4803</v>
      </c>
      <c r="T2939" t="s">
        <v>1653</v>
      </c>
      <c r="U2939">
        <v>10.3</v>
      </c>
      <c r="V2939">
        <v>14.15</v>
      </c>
      <c r="W2939">
        <v>46229</v>
      </c>
      <c r="X2939">
        <v>39126</v>
      </c>
      <c r="Y2939">
        <v>1.18</v>
      </c>
      <c r="Z2939">
        <v>741</v>
      </c>
      <c r="AA2939">
        <v>109</v>
      </c>
      <c r="AB2939" t="s">
        <v>116</v>
      </c>
      <c r="AC2939">
        <v>84600</v>
      </c>
      <c r="AD2939">
        <v>0</v>
      </c>
      <c r="AE2939" t="s">
        <v>116</v>
      </c>
      <c r="AF2939" t="s">
        <v>116</v>
      </c>
      <c r="AG2939">
        <v>4.0599999999999996</v>
      </c>
      <c r="AH2939" t="s">
        <v>1124</v>
      </c>
      <c r="AI2939" t="s">
        <v>12959</v>
      </c>
      <c r="AJ2939">
        <v>7.95</v>
      </c>
      <c r="AK2939">
        <v>2239</v>
      </c>
      <c r="AL2939">
        <v>38</v>
      </c>
      <c r="AM2939">
        <v>8.9999999999999998E-4</v>
      </c>
      <c r="AN2939">
        <v>3</v>
      </c>
      <c r="AO2939">
        <v>11.06</v>
      </c>
      <c r="AP2939">
        <v>7.47</v>
      </c>
      <c r="AQ2939">
        <v>-6.86</v>
      </c>
      <c r="AR2939">
        <v>85.79</v>
      </c>
      <c r="AS2939">
        <v>4.09</v>
      </c>
      <c r="AT2939" t="s">
        <v>11476</v>
      </c>
      <c r="AU2939">
        <v>214.64</v>
      </c>
      <c r="AV2939">
        <v>548.21</v>
      </c>
      <c r="AW2939">
        <v>0.57999999999999996</v>
      </c>
      <c r="BA2939">
        <v>0.08</v>
      </c>
      <c r="BB2939">
        <v>9.99</v>
      </c>
      <c r="BC2939">
        <v>-0.3</v>
      </c>
      <c r="BD2939">
        <v>7.11</v>
      </c>
      <c r="BE2939">
        <v>7.79</v>
      </c>
      <c r="BF2939">
        <v>-1.93</v>
      </c>
      <c r="BG2939">
        <v>8.1999999999999993</v>
      </c>
      <c r="BH2939">
        <v>0.76</v>
      </c>
      <c r="BI2939">
        <v>20191224</v>
      </c>
      <c r="BJ2939">
        <v>19951206</v>
      </c>
      <c r="BK2939">
        <v>4.09</v>
      </c>
      <c r="BL2939" t="s">
        <v>116</v>
      </c>
      <c r="BM2939" t="s">
        <v>116</v>
      </c>
      <c r="BN2939">
        <v>27.55</v>
      </c>
      <c r="BO2939">
        <v>12.48</v>
      </c>
      <c r="BP2939">
        <v>0</v>
      </c>
      <c r="BQ2939">
        <v>54.7</v>
      </c>
      <c r="BR2939">
        <v>14.21</v>
      </c>
      <c r="BS2939">
        <v>5.79</v>
      </c>
      <c r="BT2939">
        <v>1.0900000000000001</v>
      </c>
      <c r="BU2939">
        <v>11.22</v>
      </c>
      <c r="BV2939">
        <v>1.4</v>
      </c>
      <c r="BW2939">
        <v>1.82</v>
      </c>
      <c r="BX2939">
        <v>16.93</v>
      </c>
      <c r="BY2939">
        <v>11.59</v>
      </c>
      <c r="BZ2939">
        <v>8.2100000000000009</v>
      </c>
      <c r="CA2939">
        <v>0.11</v>
      </c>
      <c r="CB2939">
        <v>0</v>
      </c>
      <c r="CC2939">
        <v>0.12</v>
      </c>
      <c r="CD2939">
        <v>0.12</v>
      </c>
      <c r="CE2939">
        <v>0.12</v>
      </c>
      <c r="CF2939">
        <v>0.11</v>
      </c>
      <c r="CG2939">
        <v>-9.08</v>
      </c>
      <c r="CH2939">
        <v>1.05</v>
      </c>
      <c r="CI2939">
        <v>-0.98</v>
      </c>
      <c r="CJ2939">
        <v>12544</v>
      </c>
      <c r="CK2939">
        <v>16638</v>
      </c>
      <c r="CL2939" t="s">
        <v>11977</v>
      </c>
      <c r="CM2939">
        <v>347.81</v>
      </c>
      <c r="CN2939">
        <v>50.77</v>
      </c>
      <c r="CO2939">
        <v>4.67</v>
      </c>
      <c r="CP2939">
        <v>55.62</v>
      </c>
      <c r="CQ2939">
        <v>5.03</v>
      </c>
      <c r="CR2939">
        <v>0</v>
      </c>
      <c r="CS2939" t="s">
        <v>944</v>
      </c>
      <c r="CT2939">
        <v>3.05</v>
      </c>
      <c r="CU2939">
        <v>0</v>
      </c>
      <c r="CV2939">
        <v>4.1399999999999997</v>
      </c>
      <c r="CW2939">
        <v>-2.2200000000000002</v>
      </c>
      <c r="CX2939">
        <v>0.26</v>
      </c>
      <c r="CY2939">
        <v>45.3</v>
      </c>
      <c r="CZ2939" t="s">
        <v>1316</v>
      </c>
      <c r="DA2939">
        <v>29.14</v>
      </c>
      <c r="DB2939">
        <v>0.98</v>
      </c>
      <c r="DC2939">
        <v>1.02</v>
      </c>
      <c r="DD2939">
        <v>0.12</v>
      </c>
      <c r="DE2939">
        <v>1676</v>
      </c>
      <c r="DF2939">
        <v>600882</v>
      </c>
      <c r="DG2939" t="s">
        <v>116</v>
      </c>
      <c r="DH2939" t="s">
        <v>116</v>
      </c>
      <c r="DI2939" t="s">
        <v>116</v>
      </c>
    </row>
    <row r="2940" spans="1:113" x14ac:dyDescent="0.4">
      <c r="A2940" t="str">
        <f>"600883"</f>
        <v>600883</v>
      </c>
      <c r="B2940" t="s">
        <v>12960</v>
      </c>
      <c r="C2940">
        <v>0.67</v>
      </c>
      <c r="D2940">
        <v>7.48</v>
      </c>
      <c r="E2940">
        <v>0.05</v>
      </c>
      <c r="F2940">
        <v>7.48</v>
      </c>
      <c r="G2940">
        <v>7.49</v>
      </c>
      <c r="H2940">
        <v>51068</v>
      </c>
      <c r="I2940">
        <v>1029</v>
      </c>
      <c r="J2940">
        <v>0.54</v>
      </c>
      <c r="K2940">
        <v>2.16</v>
      </c>
      <c r="L2940">
        <v>7.38</v>
      </c>
      <c r="M2940">
        <v>7.54</v>
      </c>
      <c r="N2940">
        <v>7.33</v>
      </c>
      <c r="O2940">
        <v>7.43</v>
      </c>
      <c r="P2940">
        <v>182.61</v>
      </c>
      <c r="Q2940">
        <v>37978712</v>
      </c>
      <c r="R2940">
        <v>0.85</v>
      </c>
      <c r="S2940" t="s">
        <v>660</v>
      </c>
      <c r="T2940" t="s">
        <v>1043</v>
      </c>
      <c r="U2940">
        <v>2.83</v>
      </c>
      <c r="V2940">
        <v>7.44</v>
      </c>
      <c r="W2940">
        <v>26500</v>
      </c>
      <c r="X2940">
        <v>24568</v>
      </c>
      <c r="Y2940">
        <v>1.08</v>
      </c>
      <c r="Z2940">
        <v>1349</v>
      </c>
      <c r="AA2940">
        <v>400</v>
      </c>
      <c r="AB2940" t="s">
        <v>116</v>
      </c>
      <c r="AC2940">
        <v>133600</v>
      </c>
      <c r="AD2940">
        <v>0.01</v>
      </c>
      <c r="AE2940" t="s">
        <v>116</v>
      </c>
      <c r="AF2940" t="s">
        <v>116</v>
      </c>
      <c r="AG2940">
        <v>2.36</v>
      </c>
      <c r="AH2940" t="s">
        <v>250</v>
      </c>
      <c r="AI2940" t="s">
        <v>250</v>
      </c>
      <c r="AJ2940">
        <v>0.75</v>
      </c>
      <c r="AK2940">
        <v>1387</v>
      </c>
      <c r="AL2940">
        <v>37</v>
      </c>
      <c r="AM2940">
        <v>1.6000000000000001E-3</v>
      </c>
      <c r="AN2940">
        <v>5</v>
      </c>
      <c r="AO2940">
        <v>6.09</v>
      </c>
      <c r="AP2940">
        <v>21.43</v>
      </c>
      <c r="AQ2940">
        <v>9.84</v>
      </c>
      <c r="AR2940">
        <v>23.64</v>
      </c>
      <c r="AS2940">
        <v>4.0199999999999996</v>
      </c>
      <c r="AT2940" t="s">
        <v>9838</v>
      </c>
      <c r="AU2940">
        <v>243.61</v>
      </c>
      <c r="AV2940">
        <v>164.26</v>
      </c>
      <c r="AW2940">
        <v>1.48</v>
      </c>
      <c r="BA2940">
        <v>-0.67</v>
      </c>
      <c r="BB2940">
        <v>1.48</v>
      </c>
      <c r="BC2940">
        <v>-1.35</v>
      </c>
      <c r="BD2940">
        <v>0.09</v>
      </c>
      <c r="BE2940">
        <v>1.36</v>
      </c>
      <c r="BF2940">
        <v>-0.8</v>
      </c>
      <c r="BG2940">
        <v>2.0499999999999998</v>
      </c>
      <c r="BH2940">
        <v>0.57999999999999996</v>
      </c>
      <c r="BI2940">
        <v>20191031</v>
      </c>
      <c r="BJ2940">
        <v>19951208</v>
      </c>
      <c r="BK2940">
        <v>2.36</v>
      </c>
      <c r="BL2940" t="s">
        <v>116</v>
      </c>
      <c r="BM2940" t="s">
        <v>116</v>
      </c>
      <c r="BN2940">
        <v>6.98</v>
      </c>
      <c r="BO2940">
        <v>6.63</v>
      </c>
      <c r="BP2940">
        <v>0</v>
      </c>
      <c r="BQ2940">
        <v>5.04</v>
      </c>
      <c r="BR2940">
        <v>3.41</v>
      </c>
      <c r="BS2940">
        <v>0.11</v>
      </c>
      <c r="BT2940">
        <v>0.02</v>
      </c>
      <c r="BU2940">
        <v>0.11</v>
      </c>
      <c r="BV2940">
        <v>0.11</v>
      </c>
      <c r="BW2940">
        <v>0.01</v>
      </c>
      <c r="BX2940">
        <v>0.08</v>
      </c>
      <c r="BY2940">
        <v>0.2</v>
      </c>
      <c r="BZ2940">
        <v>0.21</v>
      </c>
      <c r="CA2940">
        <v>7.0000000000000007E-2</v>
      </c>
      <c r="CB2940">
        <v>0.15</v>
      </c>
      <c r="CC2940">
        <v>7.0000000000000007E-2</v>
      </c>
      <c r="CD2940">
        <v>7.0000000000000007E-2</v>
      </c>
      <c r="CE2940">
        <v>7.0000000000000007E-2</v>
      </c>
      <c r="CF2940">
        <v>0</v>
      </c>
      <c r="CG2940">
        <v>2.73</v>
      </c>
      <c r="CH2940">
        <v>-0.06</v>
      </c>
      <c r="CI2940">
        <v>-0.67</v>
      </c>
      <c r="CJ2940">
        <v>12972</v>
      </c>
      <c r="CK2940">
        <v>9793</v>
      </c>
      <c r="CL2940" t="s">
        <v>7482</v>
      </c>
      <c r="CM2940">
        <v>-32.56</v>
      </c>
      <c r="CN2940">
        <v>-18.489999999999998</v>
      </c>
      <c r="CO2940">
        <v>2.66</v>
      </c>
      <c r="CP2940">
        <v>-313.5</v>
      </c>
      <c r="CQ2940">
        <v>87.69</v>
      </c>
      <c r="CR2940">
        <v>0.27</v>
      </c>
      <c r="CS2940" t="s">
        <v>1650</v>
      </c>
      <c r="CT2940">
        <v>2.81</v>
      </c>
      <c r="CU2940">
        <v>0</v>
      </c>
      <c r="CV2940">
        <v>0.03</v>
      </c>
      <c r="CW2940">
        <v>1.1599999999999999</v>
      </c>
      <c r="CX2940">
        <v>-0.02</v>
      </c>
      <c r="CY2940">
        <v>94.96</v>
      </c>
      <c r="CZ2940" t="s">
        <v>12961</v>
      </c>
      <c r="DA2940">
        <v>-6.27</v>
      </c>
      <c r="DB2940">
        <v>35.65</v>
      </c>
      <c r="DC2940">
        <v>36.020000000000003</v>
      </c>
      <c r="DD2940">
        <v>0</v>
      </c>
      <c r="DE2940">
        <v>98</v>
      </c>
      <c r="DF2940">
        <v>600883</v>
      </c>
      <c r="DG2940" t="s">
        <v>116</v>
      </c>
      <c r="DH2940" t="s">
        <v>116</v>
      </c>
      <c r="DI2940" t="s">
        <v>116</v>
      </c>
    </row>
    <row r="2941" spans="1:113" x14ac:dyDescent="0.4">
      <c r="A2941" t="str">
        <f>"600884"</f>
        <v>600884</v>
      </c>
      <c r="B2941" t="s">
        <v>12962</v>
      </c>
      <c r="C2941">
        <v>-0.95</v>
      </c>
      <c r="D2941">
        <v>13.57</v>
      </c>
      <c r="E2941">
        <v>-0.13</v>
      </c>
      <c r="F2941">
        <v>13.56</v>
      </c>
      <c r="G2941">
        <v>13.57</v>
      </c>
      <c r="H2941">
        <v>259924</v>
      </c>
      <c r="I2941">
        <v>1852</v>
      </c>
      <c r="J2941">
        <v>0.22</v>
      </c>
      <c r="K2941">
        <v>2.3199999999999998</v>
      </c>
      <c r="L2941">
        <v>13.48</v>
      </c>
      <c r="M2941">
        <v>13.96</v>
      </c>
      <c r="N2941">
        <v>13.4</v>
      </c>
      <c r="O2941">
        <v>13.7</v>
      </c>
      <c r="P2941">
        <v>39.71</v>
      </c>
      <c r="Q2941">
        <v>354644640</v>
      </c>
      <c r="R2941">
        <v>1.1499999999999999</v>
      </c>
      <c r="S2941" t="s">
        <v>173</v>
      </c>
      <c r="T2941" t="s">
        <v>590</v>
      </c>
      <c r="U2941">
        <v>4.09</v>
      </c>
      <c r="V2941">
        <v>13.64</v>
      </c>
      <c r="W2941">
        <v>123675</v>
      </c>
      <c r="X2941">
        <v>136249</v>
      </c>
      <c r="Y2941">
        <v>0.91</v>
      </c>
      <c r="Z2941">
        <v>115</v>
      </c>
      <c r="AA2941">
        <v>191</v>
      </c>
      <c r="AB2941" t="s">
        <v>116</v>
      </c>
      <c r="AC2941">
        <v>4991600</v>
      </c>
      <c r="AD2941">
        <v>0.06</v>
      </c>
      <c r="AE2941" t="s">
        <v>116</v>
      </c>
      <c r="AF2941" t="s">
        <v>116</v>
      </c>
      <c r="AG2941">
        <v>11.23</v>
      </c>
      <c r="AH2941" t="s">
        <v>12963</v>
      </c>
      <c r="AI2941" t="s">
        <v>12963</v>
      </c>
      <c r="AJ2941">
        <v>-0.87</v>
      </c>
      <c r="AK2941">
        <v>3717</v>
      </c>
      <c r="AL2941">
        <v>70</v>
      </c>
      <c r="AM2941">
        <v>5.9999999999999995E-4</v>
      </c>
      <c r="AN2941">
        <v>-2</v>
      </c>
      <c r="AO2941">
        <v>-0.22</v>
      </c>
      <c r="AP2941">
        <v>18.100000000000001</v>
      </c>
      <c r="AQ2941">
        <v>25.65</v>
      </c>
      <c r="AR2941">
        <v>5.69</v>
      </c>
      <c r="AS2941">
        <v>4.2300000000000004</v>
      </c>
      <c r="AT2941" t="s">
        <v>12964</v>
      </c>
      <c r="AU2941">
        <v>43.68</v>
      </c>
      <c r="AV2941">
        <v>13.66</v>
      </c>
      <c r="AW2941">
        <v>1.56</v>
      </c>
      <c r="BA2941">
        <v>-1.61</v>
      </c>
      <c r="BB2941">
        <v>1.9</v>
      </c>
      <c r="BC2941">
        <v>-2.19</v>
      </c>
      <c r="BD2941">
        <v>-0.41</v>
      </c>
      <c r="BE2941">
        <v>0.67</v>
      </c>
      <c r="BF2941">
        <v>-2.79</v>
      </c>
      <c r="BG2941">
        <v>1.27</v>
      </c>
      <c r="BH2941">
        <v>-0.54</v>
      </c>
      <c r="BI2941">
        <v>20191029</v>
      </c>
      <c r="BJ2941">
        <v>19960130</v>
      </c>
      <c r="BK2941">
        <v>11.23</v>
      </c>
      <c r="BL2941" t="s">
        <v>116</v>
      </c>
      <c r="BM2941" t="s">
        <v>116</v>
      </c>
      <c r="BN2941">
        <v>241.78</v>
      </c>
      <c r="BO2941">
        <v>115.18</v>
      </c>
      <c r="BP2941">
        <v>17.739999999999998</v>
      </c>
      <c r="BQ2941">
        <v>45.03</v>
      </c>
      <c r="BR2941">
        <v>91.01</v>
      </c>
      <c r="BS2941">
        <v>43.19</v>
      </c>
      <c r="BT2941">
        <v>7.54</v>
      </c>
      <c r="BU2941">
        <v>76.33</v>
      </c>
      <c r="BV2941">
        <v>21.31</v>
      </c>
      <c r="BW2941">
        <v>29.44</v>
      </c>
      <c r="BX2941">
        <v>41.02</v>
      </c>
      <c r="BY2941">
        <v>65.150000000000006</v>
      </c>
      <c r="BZ2941">
        <v>50.93</v>
      </c>
      <c r="CA2941">
        <v>4.51</v>
      </c>
      <c r="CB2941">
        <v>1.77</v>
      </c>
      <c r="CC2941">
        <v>4.54</v>
      </c>
      <c r="CD2941">
        <v>3.86</v>
      </c>
      <c r="CE2941">
        <v>2.88</v>
      </c>
      <c r="CF2941">
        <v>2.14</v>
      </c>
      <c r="CG2941">
        <v>46.59</v>
      </c>
      <c r="CH2941">
        <v>-3.05</v>
      </c>
      <c r="CI2941">
        <v>-11.24</v>
      </c>
      <c r="CJ2941">
        <v>75142</v>
      </c>
      <c r="CK2941">
        <v>8183</v>
      </c>
      <c r="CL2941" t="s">
        <v>12965</v>
      </c>
      <c r="CM2941">
        <v>-72.709999999999994</v>
      </c>
      <c r="CN2941">
        <v>2.08</v>
      </c>
      <c r="CO2941">
        <v>1.32</v>
      </c>
      <c r="CP2941">
        <v>-49.97</v>
      </c>
      <c r="CQ2941">
        <v>2.34</v>
      </c>
      <c r="CR2941">
        <v>0.59</v>
      </c>
      <c r="CS2941" t="s">
        <v>3081</v>
      </c>
      <c r="CT2941">
        <v>10.26</v>
      </c>
      <c r="CU2941">
        <v>0</v>
      </c>
      <c r="CV2941">
        <v>3.65</v>
      </c>
      <c r="CW2941">
        <v>4.1500000000000004</v>
      </c>
      <c r="CX2941">
        <v>-0.27</v>
      </c>
      <c r="CY2941">
        <v>47.64</v>
      </c>
      <c r="CZ2941" t="s">
        <v>7052</v>
      </c>
      <c r="DA2941">
        <v>21.81</v>
      </c>
      <c r="DB2941">
        <v>6.92</v>
      </c>
      <c r="DC2941">
        <v>4.42</v>
      </c>
      <c r="DD2941">
        <v>3.28</v>
      </c>
      <c r="DE2941">
        <v>4343</v>
      </c>
      <c r="DF2941">
        <v>600884</v>
      </c>
      <c r="DG2941" t="s">
        <v>116</v>
      </c>
      <c r="DH2941" t="s">
        <v>116</v>
      </c>
      <c r="DI2941" t="s">
        <v>116</v>
      </c>
    </row>
    <row r="2942" spans="1:113" x14ac:dyDescent="0.4">
      <c r="A2942" t="str">
        <f>"600885"</f>
        <v>600885</v>
      </c>
      <c r="B2942" t="s">
        <v>12966</v>
      </c>
      <c r="C2942">
        <v>-1.35</v>
      </c>
      <c r="D2942">
        <v>33.590000000000003</v>
      </c>
      <c r="E2942">
        <v>-0.46</v>
      </c>
      <c r="F2942">
        <v>33.590000000000003</v>
      </c>
      <c r="G2942">
        <v>33.6</v>
      </c>
      <c r="H2942">
        <v>71023</v>
      </c>
      <c r="I2942">
        <v>313</v>
      </c>
      <c r="J2942">
        <v>-0.17</v>
      </c>
      <c r="K2942">
        <v>0.95</v>
      </c>
      <c r="L2942">
        <v>34.42</v>
      </c>
      <c r="M2942">
        <v>34.43</v>
      </c>
      <c r="N2942">
        <v>33.39</v>
      </c>
      <c r="O2942">
        <v>34.049999999999997</v>
      </c>
      <c r="P2942">
        <v>33.76</v>
      </c>
      <c r="Q2942">
        <v>240204176</v>
      </c>
      <c r="R2942">
        <v>0.86</v>
      </c>
      <c r="S2942" t="s">
        <v>397</v>
      </c>
      <c r="T2942" t="s">
        <v>774</v>
      </c>
      <c r="U2942">
        <v>3.05</v>
      </c>
      <c r="V2942">
        <v>33.82</v>
      </c>
      <c r="W2942">
        <v>30224</v>
      </c>
      <c r="X2942">
        <v>40804</v>
      </c>
      <c r="Y2942">
        <v>0.74</v>
      </c>
      <c r="Z2942">
        <v>6</v>
      </c>
      <c r="AA2942">
        <v>40</v>
      </c>
      <c r="AB2942" t="s">
        <v>116</v>
      </c>
      <c r="AC2942">
        <v>1135900</v>
      </c>
      <c r="AD2942">
        <v>0.01</v>
      </c>
      <c r="AE2942" t="s">
        <v>116</v>
      </c>
      <c r="AF2942" t="s">
        <v>116</v>
      </c>
      <c r="AG2942">
        <v>7.45</v>
      </c>
      <c r="AH2942" t="s">
        <v>12967</v>
      </c>
      <c r="AI2942" t="s">
        <v>12967</v>
      </c>
      <c r="AJ2942">
        <v>-1.27</v>
      </c>
      <c r="AK2942">
        <v>3660</v>
      </c>
      <c r="AL2942">
        <v>19</v>
      </c>
      <c r="AM2942">
        <v>2.9999999999999997E-4</v>
      </c>
      <c r="AN2942">
        <v>-3</v>
      </c>
      <c r="AO2942">
        <v>-2.72</v>
      </c>
      <c r="AP2942">
        <v>15.71</v>
      </c>
      <c r="AQ2942">
        <v>31.78</v>
      </c>
      <c r="AR2942">
        <v>50.83</v>
      </c>
      <c r="AS2942">
        <v>1.8</v>
      </c>
      <c r="AT2942" t="s">
        <v>12968</v>
      </c>
      <c r="AU2942">
        <v>37.549999999999997</v>
      </c>
      <c r="AV2942">
        <v>35.799999999999997</v>
      </c>
      <c r="AW2942">
        <v>0.61</v>
      </c>
      <c r="BA2942">
        <v>1.0900000000000001</v>
      </c>
      <c r="BB2942">
        <v>1.1200000000000001</v>
      </c>
      <c r="BC2942">
        <v>-1.94</v>
      </c>
      <c r="BD2942">
        <v>-0.67</v>
      </c>
      <c r="BE2942">
        <v>-2.41</v>
      </c>
      <c r="BF2942">
        <v>-2.44</v>
      </c>
      <c r="BG2942">
        <v>0.6</v>
      </c>
      <c r="BH2942">
        <v>-0.68</v>
      </c>
      <c r="BI2942">
        <v>20191031</v>
      </c>
      <c r="BJ2942">
        <v>19960205</v>
      </c>
      <c r="BK2942">
        <v>7.45</v>
      </c>
      <c r="BL2942" t="s">
        <v>116</v>
      </c>
      <c r="BM2942" t="s">
        <v>116</v>
      </c>
      <c r="BN2942">
        <v>104.92</v>
      </c>
      <c r="BO2942">
        <v>47.76</v>
      </c>
      <c r="BP2942">
        <v>16.8</v>
      </c>
      <c r="BQ2942">
        <v>38.47</v>
      </c>
      <c r="BR2942">
        <v>62.39</v>
      </c>
      <c r="BS2942">
        <v>25.38</v>
      </c>
      <c r="BT2942">
        <v>4.3499999999999996</v>
      </c>
      <c r="BU2942">
        <v>37.520000000000003</v>
      </c>
      <c r="BV2942">
        <v>12.7</v>
      </c>
      <c r="BW2942">
        <v>19.23</v>
      </c>
      <c r="BX2942">
        <v>4.49</v>
      </c>
      <c r="BY2942">
        <v>51.48</v>
      </c>
      <c r="BZ2942">
        <v>31.28</v>
      </c>
      <c r="CA2942">
        <v>8.9700000000000006</v>
      </c>
      <c r="CB2942">
        <v>-0.03</v>
      </c>
      <c r="CC2942">
        <v>8.98</v>
      </c>
      <c r="CD2942">
        <v>7.59</v>
      </c>
      <c r="CE2942">
        <v>5.56</v>
      </c>
      <c r="CF2942">
        <v>5.26</v>
      </c>
      <c r="CG2942">
        <v>30.47</v>
      </c>
      <c r="CH2942">
        <v>15.53</v>
      </c>
      <c r="CI2942">
        <v>7.36</v>
      </c>
      <c r="CJ2942">
        <v>11142</v>
      </c>
      <c r="CK2942">
        <v>35449</v>
      </c>
      <c r="CL2942" t="s">
        <v>12969</v>
      </c>
      <c r="CM2942">
        <v>-5.54</v>
      </c>
      <c r="CN2942">
        <v>1.87</v>
      </c>
      <c r="CO2942">
        <v>5.24</v>
      </c>
      <c r="CP2942">
        <v>16.11</v>
      </c>
      <c r="CQ2942">
        <v>4.8600000000000003</v>
      </c>
      <c r="CR2942">
        <v>0.86</v>
      </c>
      <c r="CS2942" t="s">
        <v>12970</v>
      </c>
      <c r="CT2942">
        <v>6.41</v>
      </c>
      <c r="CU2942">
        <v>0</v>
      </c>
      <c r="CV2942">
        <v>0.6</v>
      </c>
      <c r="CW2942">
        <v>4.09</v>
      </c>
      <c r="CX2942">
        <v>2.08</v>
      </c>
      <c r="CY2942">
        <v>45.52</v>
      </c>
      <c r="CZ2942" t="s">
        <v>2893</v>
      </c>
      <c r="DA2942">
        <v>39.25</v>
      </c>
      <c r="DB2942">
        <v>17.43</v>
      </c>
      <c r="DC2942">
        <v>10.8</v>
      </c>
      <c r="DD2942">
        <v>2.5099999999999998</v>
      </c>
      <c r="DE2942">
        <v>13497</v>
      </c>
      <c r="DF2942">
        <v>600885</v>
      </c>
      <c r="DG2942" t="s">
        <v>116</v>
      </c>
      <c r="DH2942" t="s">
        <v>116</v>
      </c>
      <c r="DI2942" t="s">
        <v>116</v>
      </c>
    </row>
    <row r="2943" spans="1:113" x14ac:dyDescent="0.4">
      <c r="A2943" t="str">
        <f>"600886"</f>
        <v>600886</v>
      </c>
      <c r="B2943" t="s">
        <v>12971</v>
      </c>
      <c r="C2943">
        <v>1.1399999999999999</v>
      </c>
      <c r="D2943">
        <v>8.89</v>
      </c>
      <c r="E2943">
        <v>0.1</v>
      </c>
      <c r="F2943">
        <v>8.89</v>
      </c>
      <c r="G2943">
        <v>8.9</v>
      </c>
      <c r="H2943">
        <v>203687</v>
      </c>
      <c r="I2943">
        <v>747</v>
      </c>
      <c r="J2943">
        <v>0</v>
      </c>
      <c r="K2943">
        <v>0.3</v>
      </c>
      <c r="L2943">
        <v>8.76</v>
      </c>
      <c r="M2943">
        <v>8.94</v>
      </c>
      <c r="N2943">
        <v>8.74</v>
      </c>
      <c r="O2943">
        <v>8.7899999999999991</v>
      </c>
      <c r="P2943">
        <v>10.44</v>
      </c>
      <c r="Q2943">
        <v>180927584</v>
      </c>
      <c r="R2943">
        <v>1.32</v>
      </c>
      <c r="S2943" t="s">
        <v>1363</v>
      </c>
      <c r="T2943" t="s">
        <v>165</v>
      </c>
      <c r="U2943">
        <v>2.2799999999999998</v>
      </c>
      <c r="V2943">
        <v>8.8800000000000008</v>
      </c>
      <c r="W2943">
        <v>68517</v>
      </c>
      <c r="X2943">
        <v>135170</v>
      </c>
      <c r="Y2943">
        <v>0.51</v>
      </c>
      <c r="Z2943">
        <v>855</v>
      </c>
      <c r="AA2943">
        <v>608</v>
      </c>
      <c r="AB2943" t="s">
        <v>116</v>
      </c>
      <c r="AC2943">
        <v>450300</v>
      </c>
      <c r="AD2943">
        <v>0</v>
      </c>
      <c r="AE2943" t="s">
        <v>116</v>
      </c>
      <c r="AF2943" t="s">
        <v>116</v>
      </c>
      <c r="AG2943">
        <v>67.86</v>
      </c>
      <c r="AH2943" t="s">
        <v>12972</v>
      </c>
      <c r="AI2943" t="s">
        <v>12972</v>
      </c>
      <c r="AJ2943">
        <v>1.21</v>
      </c>
      <c r="AK2943">
        <v>3986</v>
      </c>
      <c r="AL2943">
        <v>51</v>
      </c>
      <c r="AM2943">
        <v>1E-4</v>
      </c>
      <c r="AN2943">
        <v>2</v>
      </c>
      <c r="AO2943">
        <v>2.9</v>
      </c>
      <c r="AP2943">
        <v>6.21</v>
      </c>
      <c r="AQ2943">
        <v>-1</v>
      </c>
      <c r="AR2943">
        <v>13.61</v>
      </c>
      <c r="AS2943">
        <v>0.75</v>
      </c>
      <c r="AT2943" t="s">
        <v>12973</v>
      </c>
      <c r="AU2943">
        <v>11.83</v>
      </c>
      <c r="AV2943">
        <v>13.82</v>
      </c>
      <c r="AW2943">
        <v>0.69</v>
      </c>
      <c r="BA2943">
        <v>-0.34</v>
      </c>
      <c r="BB2943">
        <v>1.71</v>
      </c>
      <c r="BC2943">
        <v>-0.56999999999999995</v>
      </c>
      <c r="BD2943">
        <v>1.05</v>
      </c>
      <c r="BE2943">
        <v>1.48</v>
      </c>
      <c r="BF2943">
        <v>-0.56000000000000005</v>
      </c>
      <c r="BG2943">
        <v>1.72</v>
      </c>
      <c r="BH2943">
        <v>0.08</v>
      </c>
      <c r="BI2943">
        <v>20191031</v>
      </c>
      <c r="BJ2943">
        <v>19960118</v>
      </c>
      <c r="BK2943">
        <v>67.86</v>
      </c>
      <c r="BL2943" t="s">
        <v>116</v>
      </c>
      <c r="BM2943" t="s">
        <v>116</v>
      </c>
      <c r="BN2943">
        <v>2251.7800000000002</v>
      </c>
      <c r="BO2943">
        <v>400.77</v>
      </c>
      <c r="BP2943">
        <v>337.96</v>
      </c>
      <c r="BQ2943">
        <v>67.19</v>
      </c>
      <c r="BR2943">
        <v>196.5</v>
      </c>
      <c r="BS2943">
        <v>1385.35</v>
      </c>
      <c r="BT2943">
        <v>51.19</v>
      </c>
      <c r="BU2943">
        <v>276.26</v>
      </c>
      <c r="BV2943">
        <v>16.37</v>
      </c>
      <c r="BW2943">
        <v>59.48</v>
      </c>
      <c r="BX2943">
        <v>64.69</v>
      </c>
      <c r="BY2943">
        <v>322.45999999999998</v>
      </c>
      <c r="BZ2943">
        <v>182.99</v>
      </c>
      <c r="CA2943">
        <v>93.07</v>
      </c>
      <c r="CB2943">
        <v>6.31</v>
      </c>
      <c r="CC2943">
        <v>93.85</v>
      </c>
      <c r="CD2943">
        <v>79.540000000000006</v>
      </c>
      <c r="CE2943">
        <v>43.33</v>
      </c>
      <c r="CF2943">
        <v>42.49</v>
      </c>
      <c r="CG2943">
        <v>211.78</v>
      </c>
      <c r="CH2943">
        <v>158.97</v>
      </c>
      <c r="CI2943">
        <v>13.32</v>
      </c>
      <c r="CJ2943">
        <v>121856</v>
      </c>
      <c r="CK2943">
        <v>22394</v>
      </c>
      <c r="CL2943" t="s">
        <v>12974</v>
      </c>
      <c r="CM2943">
        <v>20.51</v>
      </c>
      <c r="CN2943">
        <v>6.47</v>
      </c>
      <c r="CO2943">
        <v>1.67</v>
      </c>
      <c r="CP2943">
        <v>3.79</v>
      </c>
      <c r="CQ2943">
        <v>1.87</v>
      </c>
      <c r="CR2943">
        <v>2.5299999999999998</v>
      </c>
      <c r="CS2943" t="s">
        <v>986</v>
      </c>
      <c r="CT2943">
        <v>5.32</v>
      </c>
      <c r="CU2943">
        <v>5.32</v>
      </c>
      <c r="CV2943">
        <v>0.95</v>
      </c>
      <c r="CW2943">
        <v>3.12</v>
      </c>
      <c r="CX2943">
        <v>2.34</v>
      </c>
      <c r="CY2943">
        <v>17.8</v>
      </c>
      <c r="CZ2943" t="s">
        <v>7411</v>
      </c>
      <c r="DA2943">
        <v>43.25</v>
      </c>
      <c r="DB2943">
        <v>28.86</v>
      </c>
      <c r="DC2943">
        <v>13.44</v>
      </c>
      <c r="DD2943">
        <v>0.03</v>
      </c>
      <c r="DE2943">
        <v>9474</v>
      </c>
      <c r="DF2943">
        <v>600886</v>
      </c>
      <c r="DG2943" t="s">
        <v>116</v>
      </c>
      <c r="DH2943" t="s">
        <v>116</v>
      </c>
      <c r="DI2943" t="s">
        <v>116</v>
      </c>
    </row>
    <row r="2944" spans="1:113" x14ac:dyDescent="0.4">
      <c r="A2944" t="str">
        <f>"600887"</f>
        <v>600887</v>
      </c>
      <c r="B2944" t="s">
        <v>12975</v>
      </c>
      <c r="C2944">
        <v>1.73</v>
      </c>
      <c r="D2944">
        <v>30.64</v>
      </c>
      <c r="E2944">
        <v>0.52</v>
      </c>
      <c r="F2944">
        <v>30.63</v>
      </c>
      <c r="G2944">
        <v>30.64</v>
      </c>
      <c r="H2944">
        <v>455498</v>
      </c>
      <c r="I2944">
        <v>4626</v>
      </c>
      <c r="J2944">
        <v>-0.06</v>
      </c>
      <c r="K2944">
        <v>0.77</v>
      </c>
      <c r="L2944">
        <v>30.2</v>
      </c>
      <c r="M2944">
        <v>30.77</v>
      </c>
      <c r="N2944">
        <v>30.14</v>
      </c>
      <c r="O2944">
        <v>30.12</v>
      </c>
      <c r="P2944">
        <v>24.88</v>
      </c>
      <c r="Q2944">
        <v>1393316480</v>
      </c>
      <c r="R2944">
        <v>1.78</v>
      </c>
      <c r="S2944" t="s">
        <v>4803</v>
      </c>
      <c r="T2944" t="s">
        <v>796</v>
      </c>
      <c r="U2944">
        <v>2.09</v>
      </c>
      <c r="V2944">
        <v>30.59</v>
      </c>
      <c r="W2944">
        <v>223386</v>
      </c>
      <c r="X2944">
        <v>232112</v>
      </c>
      <c r="Y2944">
        <v>0.96</v>
      </c>
      <c r="Z2944">
        <v>444</v>
      </c>
      <c r="AA2944">
        <v>2396</v>
      </c>
      <c r="AB2944" t="s">
        <v>116</v>
      </c>
      <c r="AC2944">
        <v>5523000</v>
      </c>
      <c r="AD2944">
        <v>0</v>
      </c>
      <c r="AE2944" t="s">
        <v>116</v>
      </c>
      <c r="AF2944" t="s">
        <v>116</v>
      </c>
      <c r="AG2944">
        <v>59.07</v>
      </c>
      <c r="AH2944" t="s">
        <v>12976</v>
      </c>
      <c r="AI2944" t="s">
        <v>12977</v>
      </c>
      <c r="AJ2944">
        <v>1.8</v>
      </c>
      <c r="AK2944">
        <v>4537</v>
      </c>
      <c r="AL2944">
        <v>100</v>
      </c>
      <c r="AM2944">
        <v>2.0000000000000001E-4</v>
      </c>
      <c r="AN2944">
        <v>2</v>
      </c>
      <c r="AO2944">
        <v>1.33</v>
      </c>
      <c r="AP2944">
        <v>5.33</v>
      </c>
      <c r="AQ2944">
        <v>8.31</v>
      </c>
      <c r="AR2944">
        <v>38.14</v>
      </c>
      <c r="AS2944">
        <v>0.85</v>
      </c>
      <c r="AT2944" t="s">
        <v>12978</v>
      </c>
      <c r="AU2944">
        <v>26.6</v>
      </c>
      <c r="AV2944">
        <v>29.01</v>
      </c>
      <c r="AW2944">
        <v>0.64</v>
      </c>
      <c r="BA2944">
        <v>0.27</v>
      </c>
      <c r="BB2944">
        <v>2.16</v>
      </c>
      <c r="BC2944">
        <v>7.0000000000000007E-2</v>
      </c>
      <c r="BD2944">
        <v>1.56</v>
      </c>
      <c r="BE2944">
        <v>1.46</v>
      </c>
      <c r="BF2944">
        <v>-0.42</v>
      </c>
      <c r="BG2944">
        <v>1.66</v>
      </c>
      <c r="BH2944">
        <v>0.17</v>
      </c>
      <c r="BI2944">
        <v>20191227</v>
      </c>
      <c r="BJ2944">
        <v>19960312</v>
      </c>
      <c r="BK2944">
        <v>60.96</v>
      </c>
      <c r="BL2944" t="s">
        <v>116</v>
      </c>
      <c r="BM2944" t="s">
        <v>116</v>
      </c>
      <c r="BN2944">
        <v>531.29</v>
      </c>
      <c r="BO2944">
        <v>243.52</v>
      </c>
      <c r="BP2944">
        <v>1.44</v>
      </c>
      <c r="BQ2944">
        <v>53.89</v>
      </c>
      <c r="BR2944">
        <v>208.83</v>
      </c>
      <c r="BS2944">
        <v>171.85</v>
      </c>
      <c r="BT2944">
        <v>12.17</v>
      </c>
      <c r="BU2944">
        <v>271.60000000000002</v>
      </c>
      <c r="BV2944">
        <v>50.41</v>
      </c>
      <c r="BW2944">
        <v>17.5</v>
      </c>
      <c r="BX2944">
        <v>31.62</v>
      </c>
      <c r="BY2944">
        <v>685.17</v>
      </c>
      <c r="BZ2944">
        <v>426.95</v>
      </c>
      <c r="CA2944">
        <v>67.2</v>
      </c>
      <c r="CB2944">
        <v>2.84</v>
      </c>
      <c r="CC2944">
        <v>66.349999999999994</v>
      </c>
      <c r="CD2944">
        <v>56.48</v>
      </c>
      <c r="CE2944">
        <v>56.31</v>
      </c>
      <c r="CF2944">
        <v>52.64</v>
      </c>
      <c r="CG2944">
        <v>171.85</v>
      </c>
      <c r="CH2944">
        <v>62.03</v>
      </c>
      <c r="CI2944">
        <v>-58.42</v>
      </c>
      <c r="CJ2944">
        <v>271946</v>
      </c>
      <c r="CK2944">
        <v>19739</v>
      </c>
      <c r="CL2944" t="s">
        <v>12979</v>
      </c>
      <c r="CM2944">
        <v>11.55</v>
      </c>
      <c r="CN2944">
        <v>12.61</v>
      </c>
      <c r="CO2944">
        <v>7.67</v>
      </c>
      <c r="CP2944">
        <v>30.11</v>
      </c>
      <c r="CQ2944">
        <v>2.73</v>
      </c>
      <c r="CR2944">
        <v>2.2799999999999998</v>
      </c>
      <c r="CS2944" t="s">
        <v>12980</v>
      </c>
      <c r="CT2944">
        <v>3.99</v>
      </c>
      <c r="CU2944">
        <v>0</v>
      </c>
      <c r="CV2944">
        <v>0.52</v>
      </c>
      <c r="CW2944">
        <v>2.82</v>
      </c>
      <c r="CX2944">
        <v>1.02</v>
      </c>
      <c r="CY2944">
        <v>45.84</v>
      </c>
      <c r="CZ2944" t="s">
        <v>12981</v>
      </c>
      <c r="DA2944">
        <v>37.69</v>
      </c>
      <c r="DB2944">
        <v>9.81</v>
      </c>
      <c r="DC2944">
        <v>8.2200000000000006</v>
      </c>
      <c r="DD2944">
        <v>3.33</v>
      </c>
      <c r="DE2944">
        <v>56079</v>
      </c>
      <c r="DF2944">
        <v>600887</v>
      </c>
      <c r="DG2944" t="s">
        <v>116</v>
      </c>
      <c r="DH2944" t="s">
        <v>116</v>
      </c>
      <c r="DI2944" t="s">
        <v>116</v>
      </c>
    </row>
    <row r="2945" spans="1:113" x14ac:dyDescent="0.4">
      <c r="A2945" t="str">
        <f>"600888"</f>
        <v>600888</v>
      </c>
      <c r="B2945" t="s">
        <v>12982</v>
      </c>
      <c r="C2945">
        <v>0.88</v>
      </c>
      <c r="D2945">
        <v>4.59</v>
      </c>
      <c r="E2945">
        <v>0.04</v>
      </c>
      <c r="F2945">
        <v>4.58</v>
      </c>
      <c r="G2945">
        <v>4.59</v>
      </c>
      <c r="H2945">
        <v>117791</v>
      </c>
      <c r="I2945">
        <v>81</v>
      </c>
      <c r="J2945">
        <v>0.22</v>
      </c>
      <c r="K2945">
        <v>1.4</v>
      </c>
      <c r="L2945">
        <v>4.55</v>
      </c>
      <c r="M2945">
        <v>4.6900000000000004</v>
      </c>
      <c r="N2945">
        <v>4.53</v>
      </c>
      <c r="O2945">
        <v>4.55</v>
      </c>
      <c r="P2945">
        <v>27.56</v>
      </c>
      <c r="Q2945">
        <v>54364140</v>
      </c>
      <c r="R2945">
        <v>2.13</v>
      </c>
      <c r="S2945" t="s">
        <v>1428</v>
      </c>
      <c r="T2945" t="s">
        <v>616</v>
      </c>
      <c r="U2945">
        <v>3.52</v>
      </c>
      <c r="V2945">
        <v>4.62</v>
      </c>
      <c r="W2945">
        <v>53270</v>
      </c>
      <c r="X2945">
        <v>64521</v>
      </c>
      <c r="Y2945">
        <v>0.83</v>
      </c>
      <c r="Z2945">
        <v>103</v>
      </c>
      <c r="AA2945">
        <v>1315</v>
      </c>
      <c r="AB2945" t="s">
        <v>116</v>
      </c>
      <c r="AC2945">
        <v>52900</v>
      </c>
      <c r="AD2945">
        <v>0</v>
      </c>
      <c r="AE2945" t="s">
        <v>116</v>
      </c>
      <c r="AF2945" t="s">
        <v>116</v>
      </c>
      <c r="AG2945">
        <v>8.4</v>
      </c>
      <c r="AH2945" t="s">
        <v>8015</v>
      </c>
      <c r="AI2945" t="s">
        <v>12983</v>
      </c>
      <c r="AJ2945">
        <v>0.96</v>
      </c>
      <c r="AK2945">
        <v>1556</v>
      </c>
      <c r="AL2945">
        <v>76</v>
      </c>
      <c r="AM2945">
        <v>8.9999999999999998E-4</v>
      </c>
      <c r="AN2945">
        <v>2</v>
      </c>
      <c r="AO2945">
        <v>2</v>
      </c>
      <c r="AP2945">
        <v>6.5</v>
      </c>
      <c r="AQ2945">
        <v>-1.5</v>
      </c>
      <c r="AR2945">
        <v>11.68</v>
      </c>
      <c r="AS2945">
        <v>2.21</v>
      </c>
      <c r="AT2945" t="s">
        <v>9025</v>
      </c>
      <c r="AU2945">
        <v>29.33</v>
      </c>
      <c r="AV2945">
        <v>26.2</v>
      </c>
      <c r="AW2945">
        <v>1.32</v>
      </c>
      <c r="BA2945">
        <v>0</v>
      </c>
      <c r="BB2945">
        <v>3.08</v>
      </c>
      <c r="BC2945">
        <v>-0.44</v>
      </c>
      <c r="BD2945">
        <v>1.44</v>
      </c>
      <c r="BE2945">
        <v>0.88</v>
      </c>
      <c r="BF2945">
        <v>-2.13</v>
      </c>
      <c r="BG2945">
        <v>1.32</v>
      </c>
      <c r="BH2945">
        <v>-0.56000000000000005</v>
      </c>
      <c r="BI2945">
        <v>20191023</v>
      </c>
      <c r="BJ2945">
        <v>19960215</v>
      </c>
      <c r="BK2945">
        <v>10.35</v>
      </c>
      <c r="BL2945" t="s">
        <v>116</v>
      </c>
      <c r="BM2945" t="s">
        <v>116</v>
      </c>
      <c r="BN2945">
        <v>125.12</v>
      </c>
      <c r="BO2945">
        <v>44.62</v>
      </c>
      <c r="BP2945">
        <v>0.87</v>
      </c>
      <c r="BQ2945">
        <v>63.64</v>
      </c>
      <c r="BR2945">
        <v>60.03</v>
      </c>
      <c r="BS2945">
        <v>39.26</v>
      </c>
      <c r="BT2945">
        <v>2.74</v>
      </c>
      <c r="BU2945">
        <v>49.92</v>
      </c>
      <c r="BV2945">
        <v>10.49</v>
      </c>
      <c r="BW2945">
        <v>4.12</v>
      </c>
      <c r="BX2945">
        <v>25.66</v>
      </c>
      <c r="BY2945">
        <v>34.799999999999997</v>
      </c>
      <c r="BZ2945">
        <v>30.02</v>
      </c>
      <c r="CA2945">
        <v>1.28</v>
      </c>
      <c r="CB2945">
        <v>0.75</v>
      </c>
      <c r="CC2945">
        <v>1.31</v>
      </c>
      <c r="CD2945">
        <v>1.3</v>
      </c>
      <c r="CE2945">
        <v>1.29</v>
      </c>
      <c r="CF2945">
        <v>0.7</v>
      </c>
      <c r="CG2945">
        <v>7.58</v>
      </c>
      <c r="CH2945">
        <v>-0.9</v>
      </c>
      <c r="CI2945">
        <v>7.88</v>
      </c>
      <c r="CJ2945">
        <v>65999</v>
      </c>
      <c r="CK2945">
        <v>8093</v>
      </c>
      <c r="CL2945" t="s">
        <v>1923</v>
      </c>
      <c r="CM2945">
        <v>-13.02</v>
      </c>
      <c r="CN2945">
        <v>-0.19</v>
      </c>
      <c r="CO2945">
        <v>1.07</v>
      </c>
      <c r="CP2945">
        <v>-52.94</v>
      </c>
      <c r="CQ2945">
        <v>1.37</v>
      </c>
      <c r="CR2945">
        <v>1.27</v>
      </c>
      <c r="CS2945" t="s">
        <v>358</v>
      </c>
      <c r="CT2945">
        <v>4.3099999999999996</v>
      </c>
      <c r="CU2945">
        <v>0</v>
      </c>
      <c r="CV2945">
        <v>2.48</v>
      </c>
      <c r="CW2945">
        <v>0.73</v>
      </c>
      <c r="CX2945">
        <v>-0.09</v>
      </c>
      <c r="CY2945">
        <v>35.659999999999997</v>
      </c>
      <c r="CZ2945" t="s">
        <v>146</v>
      </c>
      <c r="DA2945">
        <v>13.74</v>
      </c>
      <c r="DB2945">
        <v>3.68</v>
      </c>
      <c r="DC2945">
        <v>3.72</v>
      </c>
      <c r="DD2945">
        <v>0.31</v>
      </c>
      <c r="DE2945">
        <v>2782</v>
      </c>
      <c r="DF2945">
        <v>600888</v>
      </c>
      <c r="DG2945" t="s">
        <v>116</v>
      </c>
      <c r="DH2945" t="s">
        <v>116</v>
      </c>
      <c r="DI2945" t="s">
        <v>116</v>
      </c>
    </row>
    <row r="2946" spans="1:113" x14ac:dyDescent="0.4">
      <c r="A2946" t="str">
        <f>"600889"</f>
        <v>600889</v>
      </c>
      <c r="B2946" t="s">
        <v>12984</v>
      </c>
      <c r="C2946">
        <v>-0.43</v>
      </c>
      <c r="D2946">
        <v>4.59</v>
      </c>
      <c r="E2946">
        <v>-0.02</v>
      </c>
      <c r="F2946">
        <v>4.58</v>
      </c>
      <c r="G2946">
        <v>4.59</v>
      </c>
      <c r="H2946">
        <v>34495</v>
      </c>
      <c r="I2946">
        <v>629</v>
      </c>
      <c r="J2946">
        <v>0.22</v>
      </c>
      <c r="K2946">
        <v>1.02</v>
      </c>
      <c r="L2946">
        <v>4.62</v>
      </c>
      <c r="M2946">
        <v>4.6399999999999997</v>
      </c>
      <c r="N2946">
        <v>4.5599999999999996</v>
      </c>
      <c r="O2946">
        <v>4.6100000000000003</v>
      </c>
      <c r="P2946" t="s">
        <v>116</v>
      </c>
      <c r="Q2946">
        <v>15888884</v>
      </c>
      <c r="R2946">
        <v>0.67</v>
      </c>
      <c r="S2946" t="s">
        <v>630</v>
      </c>
      <c r="T2946" t="s">
        <v>323</v>
      </c>
      <c r="U2946">
        <v>1.74</v>
      </c>
      <c r="V2946">
        <v>4.6100000000000003</v>
      </c>
      <c r="W2946">
        <v>19755</v>
      </c>
      <c r="X2946">
        <v>14740</v>
      </c>
      <c r="Y2946">
        <v>1.34</v>
      </c>
      <c r="Z2946">
        <v>818</v>
      </c>
      <c r="AA2946">
        <v>801</v>
      </c>
      <c r="AB2946" t="s">
        <v>116</v>
      </c>
      <c r="AC2946">
        <v>75800</v>
      </c>
      <c r="AD2946">
        <v>0.01</v>
      </c>
      <c r="AE2946" t="s">
        <v>116</v>
      </c>
      <c r="AF2946" t="s">
        <v>116</v>
      </c>
      <c r="AG2946">
        <v>3.38</v>
      </c>
      <c r="AH2946" t="s">
        <v>3563</v>
      </c>
      <c r="AI2946" t="s">
        <v>874</v>
      </c>
      <c r="AJ2946">
        <v>-0.36</v>
      </c>
      <c r="AK2946">
        <v>682</v>
      </c>
      <c r="AL2946">
        <v>51</v>
      </c>
      <c r="AM2946">
        <v>1.5E-3</v>
      </c>
      <c r="AN2946">
        <v>-1</v>
      </c>
      <c r="AO2946">
        <v>-0.42</v>
      </c>
      <c r="AP2946">
        <v>6.25</v>
      </c>
      <c r="AQ2946">
        <v>-1.08</v>
      </c>
      <c r="AR2946">
        <v>0</v>
      </c>
      <c r="AS2946">
        <v>1.82</v>
      </c>
      <c r="AT2946" t="s">
        <v>9159</v>
      </c>
      <c r="AU2946">
        <v>25.25</v>
      </c>
      <c r="AV2946">
        <v>270.89999999999998</v>
      </c>
      <c r="AW2946">
        <v>1.67</v>
      </c>
      <c r="BA2946">
        <v>0.22</v>
      </c>
      <c r="BB2946">
        <v>0.65</v>
      </c>
      <c r="BC2946">
        <v>-1.08</v>
      </c>
      <c r="BD2946">
        <v>-0.08</v>
      </c>
      <c r="BE2946">
        <v>-0.65</v>
      </c>
      <c r="BF2946">
        <v>-1.08</v>
      </c>
      <c r="BG2946">
        <v>0.66</v>
      </c>
      <c r="BH2946">
        <v>-0.35</v>
      </c>
      <c r="BI2946">
        <v>20191026</v>
      </c>
      <c r="BJ2946">
        <v>19960308</v>
      </c>
      <c r="BK2946">
        <v>3.66</v>
      </c>
      <c r="BL2946" t="s">
        <v>116</v>
      </c>
      <c r="BM2946" t="s">
        <v>116</v>
      </c>
      <c r="BN2946">
        <v>19.54</v>
      </c>
      <c r="BO2946">
        <v>14.9</v>
      </c>
      <c r="BP2946">
        <v>0.1</v>
      </c>
      <c r="BQ2946">
        <v>23.21</v>
      </c>
      <c r="BR2946">
        <v>11.22</v>
      </c>
      <c r="BS2946">
        <v>7.01</v>
      </c>
      <c r="BT2946">
        <v>0.28000000000000003</v>
      </c>
      <c r="BU2946">
        <v>3.23</v>
      </c>
      <c r="BV2946">
        <v>2.1</v>
      </c>
      <c r="BW2946">
        <v>0.28999999999999998</v>
      </c>
      <c r="BX2946">
        <v>5.38</v>
      </c>
      <c r="BY2946">
        <v>5.1100000000000003</v>
      </c>
      <c r="BZ2946">
        <v>4.6100000000000003</v>
      </c>
      <c r="CA2946">
        <v>-0.61</v>
      </c>
      <c r="CB2946">
        <v>0.23</v>
      </c>
      <c r="CC2946">
        <v>-0.44</v>
      </c>
      <c r="CD2946">
        <v>-0.23</v>
      </c>
      <c r="CE2946">
        <v>-0.24</v>
      </c>
      <c r="CF2946">
        <v>-0.64</v>
      </c>
      <c r="CG2946">
        <v>3.45</v>
      </c>
      <c r="CH2946">
        <v>-1.3</v>
      </c>
      <c r="CI2946">
        <v>-1.26</v>
      </c>
      <c r="CJ2946">
        <v>23858</v>
      </c>
      <c r="CK2946">
        <v>7924</v>
      </c>
      <c r="CL2946" t="s">
        <v>229</v>
      </c>
      <c r="CM2946">
        <v>71.38</v>
      </c>
      <c r="CN2946">
        <v>-29.96</v>
      </c>
      <c r="CO2946">
        <v>1.1299999999999999</v>
      </c>
      <c r="CP2946">
        <v>-12.94</v>
      </c>
      <c r="CQ2946">
        <v>3.29</v>
      </c>
      <c r="CR2946">
        <v>0.22</v>
      </c>
      <c r="CS2946" t="s">
        <v>5690</v>
      </c>
      <c r="CT2946">
        <v>4.07</v>
      </c>
      <c r="CU2946">
        <v>0</v>
      </c>
      <c r="CV2946">
        <v>1.47</v>
      </c>
      <c r="CW2946">
        <v>0.94</v>
      </c>
      <c r="CX2946">
        <v>-0.35</v>
      </c>
      <c r="CY2946">
        <v>76.27</v>
      </c>
      <c r="CZ2946" t="s">
        <v>12985</v>
      </c>
      <c r="DA2946">
        <v>9.92</v>
      </c>
      <c r="DB2946">
        <v>-11.88</v>
      </c>
      <c r="DC2946">
        <v>-4.7300000000000004</v>
      </c>
      <c r="DD2946">
        <v>0.02</v>
      </c>
      <c r="DE2946">
        <v>1974</v>
      </c>
      <c r="DF2946">
        <v>600889</v>
      </c>
      <c r="DG2946" t="s">
        <v>116</v>
      </c>
      <c r="DH2946" t="s">
        <v>116</v>
      </c>
      <c r="DI2946" t="s">
        <v>116</v>
      </c>
    </row>
    <row r="2947" spans="1:113" x14ac:dyDescent="0.4">
      <c r="A2947" t="str">
        <f>"600890"</f>
        <v>600890</v>
      </c>
      <c r="B2947" t="s">
        <v>12986</v>
      </c>
      <c r="C2947">
        <v>-1.99</v>
      </c>
      <c r="D2947">
        <v>6.4</v>
      </c>
      <c r="E2947">
        <v>-0.13</v>
      </c>
      <c r="F2947">
        <v>6.4</v>
      </c>
      <c r="G2947">
        <v>6.41</v>
      </c>
      <c r="H2947">
        <v>39743</v>
      </c>
      <c r="I2947">
        <v>421</v>
      </c>
      <c r="J2947">
        <v>-0.15</v>
      </c>
      <c r="K2947">
        <v>0.69</v>
      </c>
      <c r="L2947">
        <v>6.5</v>
      </c>
      <c r="M2947">
        <v>6.5</v>
      </c>
      <c r="N2947">
        <v>6.37</v>
      </c>
      <c r="O2947">
        <v>6.53</v>
      </c>
      <c r="P2947" t="s">
        <v>116</v>
      </c>
      <c r="Q2947">
        <v>25565340</v>
      </c>
      <c r="R2947">
        <v>1.74</v>
      </c>
      <c r="S2947" t="s">
        <v>148</v>
      </c>
      <c r="T2947" t="s">
        <v>165</v>
      </c>
      <c r="U2947">
        <v>1.99</v>
      </c>
      <c r="V2947">
        <v>6.43</v>
      </c>
      <c r="W2947">
        <v>21076</v>
      </c>
      <c r="X2947">
        <v>18667</v>
      </c>
      <c r="Y2947">
        <v>1.1299999999999999</v>
      </c>
      <c r="Z2947">
        <v>628</v>
      </c>
      <c r="AA2947">
        <v>51</v>
      </c>
      <c r="AB2947" t="s">
        <v>116</v>
      </c>
      <c r="AC2947">
        <v>70900</v>
      </c>
      <c r="AD2947">
        <v>0</v>
      </c>
      <c r="AE2947" t="s">
        <v>116</v>
      </c>
      <c r="AF2947" t="s">
        <v>116</v>
      </c>
      <c r="AG2947">
        <v>5.79</v>
      </c>
      <c r="AH2947" t="s">
        <v>12987</v>
      </c>
      <c r="AI2947" t="s">
        <v>12987</v>
      </c>
      <c r="AJ2947">
        <v>-1.91</v>
      </c>
      <c r="AK2947">
        <v>804</v>
      </c>
      <c r="AL2947">
        <v>49</v>
      </c>
      <c r="AM2947">
        <v>8.9999999999999998E-4</v>
      </c>
      <c r="AN2947">
        <v>-1</v>
      </c>
      <c r="AO2947">
        <v>-2.44</v>
      </c>
      <c r="AP2947">
        <v>-4.33</v>
      </c>
      <c r="AQ2947">
        <v>18.52</v>
      </c>
      <c r="AR2947">
        <v>-22.61</v>
      </c>
      <c r="AS2947">
        <v>1.0900000000000001</v>
      </c>
      <c r="AT2947" t="s">
        <v>6237</v>
      </c>
      <c r="AU2947" t="s">
        <v>116</v>
      </c>
      <c r="AV2947" t="s">
        <v>116</v>
      </c>
      <c r="AW2947">
        <v>0.15</v>
      </c>
      <c r="BA2947">
        <v>-0.46</v>
      </c>
      <c r="BB2947">
        <v>-0.46</v>
      </c>
      <c r="BC2947">
        <v>-2.4500000000000002</v>
      </c>
      <c r="BD2947">
        <v>-1.49</v>
      </c>
      <c r="BE2947">
        <v>-1.54</v>
      </c>
      <c r="BF2947">
        <v>-1.54</v>
      </c>
      <c r="BG2947">
        <v>0.47</v>
      </c>
      <c r="BH2947">
        <v>-0.5</v>
      </c>
      <c r="BI2947">
        <v>20191030</v>
      </c>
      <c r="BJ2947">
        <v>19960318</v>
      </c>
      <c r="BK2947">
        <v>5.79</v>
      </c>
      <c r="BL2947" t="s">
        <v>116</v>
      </c>
      <c r="BM2947" t="s">
        <v>116</v>
      </c>
      <c r="BN2947">
        <v>2.5499999999999998</v>
      </c>
      <c r="BO2947">
        <v>2.2999999999999998</v>
      </c>
      <c r="BP2947">
        <v>0.02</v>
      </c>
      <c r="BQ2947">
        <v>8.9600000000000009</v>
      </c>
      <c r="BR2947">
        <v>1.4</v>
      </c>
      <c r="BS2947">
        <v>0.06</v>
      </c>
      <c r="BT2947">
        <v>0</v>
      </c>
      <c r="BU2947">
        <v>0.23</v>
      </c>
      <c r="BV2947">
        <v>0.01</v>
      </c>
      <c r="BW2947">
        <v>0</v>
      </c>
      <c r="BX2947">
        <v>0.2</v>
      </c>
      <c r="BY2947">
        <v>0</v>
      </c>
      <c r="BZ2947">
        <v>0.04</v>
      </c>
      <c r="CA2947">
        <v>-0.22</v>
      </c>
      <c r="CB2947">
        <v>0</v>
      </c>
      <c r="CC2947">
        <v>-0.22</v>
      </c>
      <c r="CD2947">
        <v>-0.22</v>
      </c>
      <c r="CE2947">
        <v>-0.22</v>
      </c>
      <c r="CF2947">
        <v>-0.23</v>
      </c>
      <c r="CG2947">
        <v>-4.54</v>
      </c>
      <c r="CH2947">
        <v>-0.2</v>
      </c>
      <c r="CI2947">
        <v>-0.69</v>
      </c>
      <c r="CJ2947">
        <v>20611</v>
      </c>
      <c r="CK2947">
        <v>17750</v>
      </c>
      <c r="CL2947" t="s">
        <v>7267</v>
      </c>
      <c r="CM2947">
        <v>34.409999999999997</v>
      </c>
      <c r="CN2947">
        <v>-17.190000000000001</v>
      </c>
      <c r="CO2947">
        <v>16.11</v>
      </c>
      <c r="CP2947">
        <v>-185.58</v>
      </c>
      <c r="CQ2947">
        <v>9556.19</v>
      </c>
      <c r="CR2947">
        <v>0</v>
      </c>
      <c r="CS2947" t="s">
        <v>4777</v>
      </c>
      <c r="CT2947">
        <v>0.4</v>
      </c>
      <c r="CU2947">
        <v>0</v>
      </c>
      <c r="CV2947">
        <v>0.04</v>
      </c>
      <c r="CW2947">
        <v>-0.78</v>
      </c>
      <c r="CX2947">
        <v>-0.03</v>
      </c>
      <c r="CY2947">
        <v>90.43</v>
      </c>
      <c r="CZ2947" t="s">
        <v>12988</v>
      </c>
      <c r="DA2947">
        <v>-826.66</v>
      </c>
      <c r="DB2947">
        <v>-5602.68</v>
      </c>
      <c r="DC2947">
        <v>-5602.68</v>
      </c>
      <c r="DD2947">
        <v>0</v>
      </c>
      <c r="DE2947">
        <v>20</v>
      </c>
      <c r="DF2947">
        <v>600890</v>
      </c>
      <c r="DG2947" t="s">
        <v>116</v>
      </c>
      <c r="DH2947" t="s">
        <v>116</v>
      </c>
      <c r="DI2947" t="s">
        <v>116</v>
      </c>
    </row>
    <row r="2948" spans="1:113" x14ac:dyDescent="0.4">
      <c r="A2948" t="str">
        <f>"600891"</f>
        <v>600891</v>
      </c>
      <c r="B2948" t="s">
        <v>12989</v>
      </c>
      <c r="C2948">
        <v>-2.63</v>
      </c>
      <c r="D2948">
        <v>1.48</v>
      </c>
      <c r="E2948">
        <v>-0.04</v>
      </c>
      <c r="F2948">
        <v>1.47</v>
      </c>
      <c r="G2948">
        <v>1.48</v>
      </c>
      <c r="H2948">
        <v>84347</v>
      </c>
      <c r="I2948">
        <v>3032</v>
      </c>
      <c r="J2948">
        <v>0</v>
      </c>
      <c r="K2948">
        <v>2.2000000000000002</v>
      </c>
      <c r="L2948">
        <v>1.5</v>
      </c>
      <c r="M2948">
        <v>1.53</v>
      </c>
      <c r="N2948">
        <v>1.47</v>
      </c>
      <c r="O2948">
        <v>1.52</v>
      </c>
      <c r="P2948" t="s">
        <v>116</v>
      </c>
      <c r="Q2948">
        <v>12642105</v>
      </c>
      <c r="R2948">
        <v>0.54</v>
      </c>
      <c r="S2948" t="s">
        <v>746</v>
      </c>
      <c r="T2948" t="s">
        <v>1287</v>
      </c>
      <c r="U2948">
        <v>3.95</v>
      </c>
      <c r="V2948">
        <v>1.5</v>
      </c>
      <c r="W2948">
        <v>53758</v>
      </c>
      <c r="X2948">
        <v>30589</v>
      </c>
      <c r="Y2948">
        <v>1.76</v>
      </c>
      <c r="Z2948">
        <v>3618</v>
      </c>
      <c r="AA2948">
        <v>804</v>
      </c>
      <c r="AB2948" t="s">
        <v>116</v>
      </c>
      <c r="AC2948">
        <v>173000</v>
      </c>
      <c r="AD2948">
        <v>0.04</v>
      </c>
      <c r="AE2948" t="s">
        <v>116</v>
      </c>
      <c r="AF2948" t="s">
        <v>116</v>
      </c>
      <c r="AG2948">
        <v>3.84</v>
      </c>
      <c r="AH2948" t="s">
        <v>12990</v>
      </c>
      <c r="AI2948" t="s">
        <v>9698</v>
      </c>
      <c r="AJ2948">
        <v>-2.5499999999999998</v>
      </c>
      <c r="AK2948">
        <v>614</v>
      </c>
      <c r="AL2948">
        <v>137</v>
      </c>
      <c r="AM2948">
        <v>3.5999999999999999E-3</v>
      </c>
      <c r="AN2948">
        <v>-3</v>
      </c>
      <c r="AO2948">
        <v>-8.07</v>
      </c>
      <c r="AP2948">
        <v>12.12</v>
      </c>
      <c r="AQ2948">
        <v>5.71</v>
      </c>
      <c r="AR2948">
        <v>-78.17</v>
      </c>
      <c r="AS2948">
        <v>2.74</v>
      </c>
      <c r="AT2948" t="s">
        <v>12991</v>
      </c>
      <c r="AU2948" t="s">
        <v>116</v>
      </c>
      <c r="AV2948" t="s">
        <v>116</v>
      </c>
      <c r="AW2948">
        <v>0.36</v>
      </c>
      <c r="BA2948">
        <v>-1.32</v>
      </c>
      <c r="BB2948">
        <v>0.66</v>
      </c>
      <c r="BC2948">
        <v>-3.29</v>
      </c>
      <c r="BD2948">
        <v>-1.39</v>
      </c>
      <c r="BE2948">
        <v>-1.33</v>
      </c>
      <c r="BF2948">
        <v>-3.27</v>
      </c>
      <c r="BG2948">
        <v>0.68</v>
      </c>
      <c r="BH2948">
        <v>-1.24</v>
      </c>
      <c r="BI2948">
        <v>20191031</v>
      </c>
      <c r="BJ2948">
        <v>19960325</v>
      </c>
      <c r="BK2948">
        <v>6.18</v>
      </c>
      <c r="BL2948" t="s">
        <v>116</v>
      </c>
      <c r="BM2948" t="s">
        <v>116</v>
      </c>
      <c r="BN2948">
        <v>14.5</v>
      </c>
      <c r="BO2948">
        <v>-12.42</v>
      </c>
      <c r="BP2948">
        <v>7.0000000000000007E-2</v>
      </c>
      <c r="BQ2948">
        <v>185.21</v>
      </c>
      <c r="BR2948">
        <v>10.4</v>
      </c>
      <c r="BS2948">
        <v>1.63</v>
      </c>
      <c r="BT2948">
        <v>0.71</v>
      </c>
      <c r="BU2948">
        <v>21.71</v>
      </c>
      <c r="BV2948">
        <v>3.46</v>
      </c>
      <c r="BW2948">
        <v>2.46</v>
      </c>
      <c r="BX2948">
        <v>15.01</v>
      </c>
      <c r="BY2948">
        <v>2.5299999999999998</v>
      </c>
      <c r="BZ2948">
        <v>1.59</v>
      </c>
      <c r="CA2948">
        <v>-1.37</v>
      </c>
      <c r="CB2948">
        <v>-0.05</v>
      </c>
      <c r="CC2948">
        <v>-1.39</v>
      </c>
      <c r="CD2948">
        <v>-1.41</v>
      </c>
      <c r="CE2948">
        <v>-1.41</v>
      </c>
      <c r="CF2948">
        <v>-1.4</v>
      </c>
      <c r="CG2948">
        <v>-34.5</v>
      </c>
      <c r="CH2948">
        <v>0.33</v>
      </c>
      <c r="CI2948">
        <v>0.14000000000000001</v>
      </c>
      <c r="CJ2948">
        <v>33600</v>
      </c>
      <c r="CK2948">
        <v>9150</v>
      </c>
      <c r="CL2948" t="s">
        <v>9228</v>
      </c>
      <c r="CM2948">
        <v>-353.75</v>
      </c>
      <c r="CN2948">
        <v>-95.2</v>
      </c>
      <c r="CO2948">
        <v>-0.74</v>
      </c>
      <c r="CP2948">
        <v>27.43</v>
      </c>
      <c r="CQ2948">
        <v>3.61</v>
      </c>
      <c r="CR2948">
        <v>0</v>
      </c>
      <c r="CS2948" t="s">
        <v>12992</v>
      </c>
      <c r="CT2948">
        <v>-2.0099999999999998</v>
      </c>
      <c r="CU2948">
        <v>0</v>
      </c>
      <c r="CV2948">
        <v>2.4300000000000002</v>
      </c>
      <c r="CW2948">
        <v>-5.59</v>
      </c>
      <c r="CX2948">
        <v>0.05</v>
      </c>
      <c r="CY2948">
        <v>-85.67</v>
      </c>
      <c r="CZ2948" t="s">
        <v>116</v>
      </c>
      <c r="DA2948">
        <v>37.35</v>
      </c>
      <c r="DB2948">
        <v>-54.26</v>
      </c>
      <c r="DC2948">
        <v>-55.64</v>
      </c>
      <c r="DD2948">
        <v>0</v>
      </c>
      <c r="DE2948">
        <v>1073</v>
      </c>
      <c r="DF2948">
        <v>600891</v>
      </c>
      <c r="DG2948" t="s">
        <v>116</v>
      </c>
      <c r="DH2948" t="s">
        <v>116</v>
      </c>
      <c r="DI2948" t="s">
        <v>116</v>
      </c>
    </row>
    <row r="2949" spans="1:113" x14ac:dyDescent="0.4">
      <c r="A2949" t="str">
        <f>"600892"</f>
        <v>600892</v>
      </c>
      <c r="B2949" t="s">
        <v>12993</v>
      </c>
      <c r="C2949">
        <v>1.89</v>
      </c>
      <c r="D2949">
        <v>5.93</v>
      </c>
      <c r="E2949">
        <v>0.11</v>
      </c>
      <c r="F2949">
        <v>5.92</v>
      </c>
      <c r="G2949">
        <v>5.93</v>
      </c>
      <c r="H2949">
        <v>92980</v>
      </c>
      <c r="I2949">
        <v>6416</v>
      </c>
      <c r="J2949">
        <v>1.19</v>
      </c>
      <c r="K2949">
        <v>1.72</v>
      </c>
      <c r="L2949">
        <v>5.8</v>
      </c>
      <c r="M2949">
        <v>6.05</v>
      </c>
      <c r="N2949">
        <v>5.77</v>
      </c>
      <c r="O2949">
        <v>5.82</v>
      </c>
      <c r="P2949">
        <v>497.59</v>
      </c>
      <c r="Q2949">
        <v>54804692</v>
      </c>
      <c r="R2949">
        <v>0.83</v>
      </c>
      <c r="S2949" t="s">
        <v>589</v>
      </c>
      <c r="T2949" t="s">
        <v>115</v>
      </c>
      <c r="U2949">
        <v>4.8099999999999996</v>
      </c>
      <c r="V2949">
        <v>5.89</v>
      </c>
      <c r="W2949">
        <v>41613</v>
      </c>
      <c r="X2949">
        <v>51367</v>
      </c>
      <c r="Y2949">
        <v>0.81</v>
      </c>
      <c r="Z2949">
        <v>131</v>
      </c>
      <c r="AA2949">
        <v>3551</v>
      </c>
      <c r="AB2949" t="s">
        <v>116</v>
      </c>
      <c r="AC2949">
        <v>620000</v>
      </c>
      <c r="AD2949">
        <v>0.05</v>
      </c>
      <c r="AE2949" t="s">
        <v>116</v>
      </c>
      <c r="AF2949" t="s">
        <v>116</v>
      </c>
      <c r="AG2949">
        <v>5.4</v>
      </c>
      <c r="AH2949" t="s">
        <v>12994</v>
      </c>
      <c r="AI2949" t="s">
        <v>12995</v>
      </c>
      <c r="AJ2949">
        <v>1.97</v>
      </c>
      <c r="AK2949">
        <v>1653</v>
      </c>
      <c r="AL2949">
        <v>56</v>
      </c>
      <c r="AM2949">
        <v>1E-3</v>
      </c>
      <c r="AN2949">
        <v>1</v>
      </c>
      <c r="AO2949">
        <v>1.71</v>
      </c>
      <c r="AP2949">
        <v>10.02</v>
      </c>
      <c r="AQ2949">
        <v>17.66</v>
      </c>
      <c r="AR2949">
        <v>-30.64</v>
      </c>
      <c r="AS2949">
        <v>4.01</v>
      </c>
      <c r="AT2949" t="s">
        <v>5803</v>
      </c>
      <c r="AU2949" t="s">
        <v>116</v>
      </c>
      <c r="AV2949" t="s">
        <v>116</v>
      </c>
      <c r="AW2949">
        <v>0.31</v>
      </c>
      <c r="BA2949">
        <v>-0.34</v>
      </c>
      <c r="BB2949">
        <v>3.95</v>
      </c>
      <c r="BC2949">
        <v>-0.86</v>
      </c>
      <c r="BD2949">
        <v>1.28</v>
      </c>
      <c r="BE2949">
        <v>2.2400000000000002</v>
      </c>
      <c r="BF2949">
        <v>-1.98</v>
      </c>
      <c r="BG2949">
        <v>2.77</v>
      </c>
      <c r="BH2949">
        <v>0.61</v>
      </c>
      <c r="BI2949">
        <v>20191030</v>
      </c>
      <c r="BJ2949">
        <v>19960315</v>
      </c>
      <c r="BK2949">
        <v>5.59</v>
      </c>
      <c r="BL2949" t="s">
        <v>116</v>
      </c>
      <c r="BM2949" t="s">
        <v>116</v>
      </c>
      <c r="BN2949">
        <v>12.6</v>
      </c>
      <c r="BO2949">
        <v>8.25</v>
      </c>
      <c r="BP2949">
        <v>0.28999999999999998</v>
      </c>
      <c r="BQ2949">
        <v>32.21</v>
      </c>
      <c r="BR2949">
        <v>6.46</v>
      </c>
      <c r="BS2949">
        <v>0.02</v>
      </c>
      <c r="BT2949">
        <v>0.02</v>
      </c>
      <c r="BU2949">
        <v>2.59</v>
      </c>
      <c r="BV2949">
        <v>1.93</v>
      </c>
      <c r="BW2949">
        <v>1.1299999999999999</v>
      </c>
      <c r="BX2949">
        <v>11.36</v>
      </c>
      <c r="BY2949">
        <v>1.41</v>
      </c>
      <c r="BZ2949">
        <v>0.09</v>
      </c>
      <c r="CA2949">
        <v>0.1</v>
      </c>
      <c r="CB2949">
        <v>-0.18</v>
      </c>
      <c r="CC2949">
        <v>0.13</v>
      </c>
      <c r="CD2949">
        <v>0.1</v>
      </c>
      <c r="CE2949">
        <v>0.05</v>
      </c>
      <c r="CF2949">
        <v>0</v>
      </c>
      <c r="CG2949">
        <v>-8.7799999999999994</v>
      </c>
      <c r="CH2949">
        <v>-0.18</v>
      </c>
      <c r="CI2949">
        <v>-0.89</v>
      </c>
      <c r="CJ2949">
        <v>12814</v>
      </c>
      <c r="CK2949">
        <v>18113</v>
      </c>
      <c r="CL2949" t="s">
        <v>12996</v>
      </c>
      <c r="CM2949">
        <v>-35.44</v>
      </c>
      <c r="CN2949">
        <v>0.89</v>
      </c>
      <c r="CO2949">
        <v>4.0199999999999996</v>
      </c>
      <c r="CP2949">
        <v>-188.69</v>
      </c>
      <c r="CQ2949">
        <v>23.55</v>
      </c>
      <c r="CR2949">
        <v>0</v>
      </c>
      <c r="CS2949" t="s">
        <v>930</v>
      </c>
      <c r="CT2949">
        <v>1.48</v>
      </c>
      <c r="CU2949">
        <v>0</v>
      </c>
      <c r="CV2949">
        <v>2.0299999999999998</v>
      </c>
      <c r="CW2949">
        <v>-1.57</v>
      </c>
      <c r="CX2949">
        <v>-0.03</v>
      </c>
      <c r="CY2949">
        <v>65.5</v>
      </c>
      <c r="CZ2949" t="s">
        <v>9532</v>
      </c>
      <c r="DA2949">
        <v>93.74</v>
      </c>
      <c r="DB2949">
        <v>6.86</v>
      </c>
      <c r="DC2949">
        <v>3.55</v>
      </c>
      <c r="DD2949">
        <v>0.49</v>
      </c>
      <c r="DE2949">
        <v>440</v>
      </c>
      <c r="DF2949">
        <v>600892</v>
      </c>
      <c r="DG2949" t="s">
        <v>116</v>
      </c>
      <c r="DH2949" t="s">
        <v>116</v>
      </c>
      <c r="DI2949" t="s">
        <v>116</v>
      </c>
    </row>
    <row r="2950" spans="1:113" x14ac:dyDescent="0.4">
      <c r="A2950" t="str">
        <f>"600893"</f>
        <v>600893</v>
      </c>
      <c r="B2950" t="s">
        <v>12997</v>
      </c>
      <c r="C2950">
        <v>1.42</v>
      </c>
      <c r="D2950">
        <v>20.65</v>
      </c>
      <c r="E2950">
        <v>0.28999999999999998</v>
      </c>
      <c r="F2950">
        <v>20.64</v>
      </c>
      <c r="G2950">
        <v>20.65</v>
      </c>
      <c r="H2950">
        <v>83187</v>
      </c>
      <c r="I2950">
        <v>1198</v>
      </c>
      <c r="J2950">
        <v>0.1</v>
      </c>
      <c r="K2950">
        <v>0.43</v>
      </c>
      <c r="L2950">
        <v>20.309999999999999</v>
      </c>
      <c r="M2950">
        <v>20.76</v>
      </c>
      <c r="N2950">
        <v>20.309999999999999</v>
      </c>
      <c r="O2950">
        <v>20.36</v>
      </c>
      <c r="P2950">
        <v>84.31</v>
      </c>
      <c r="Q2950">
        <v>171184480</v>
      </c>
      <c r="R2950">
        <v>1.47</v>
      </c>
      <c r="S2950" t="s">
        <v>1789</v>
      </c>
      <c r="T2950" t="s">
        <v>913</v>
      </c>
      <c r="U2950">
        <v>2.21</v>
      </c>
      <c r="V2950">
        <v>20.58</v>
      </c>
      <c r="W2950">
        <v>32816</v>
      </c>
      <c r="X2950">
        <v>50371</v>
      </c>
      <c r="Y2950">
        <v>0.65</v>
      </c>
      <c r="Z2950">
        <v>152</v>
      </c>
      <c r="AA2950">
        <v>302</v>
      </c>
      <c r="AB2950" t="s">
        <v>116</v>
      </c>
      <c r="AC2950">
        <v>250000</v>
      </c>
      <c r="AD2950">
        <v>0</v>
      </c>
      <c r="AE2950" t="s">
        <v>116</v>
      </c>
      <c r="AF2950" t="s">
        <v>116</v>
      </c>
      <c r="AG2950">
        <v>19.48</v>
      </c>
      <c r="AH2950" t="s">
        <v>12998</v>
      </c>
      <c r="AI2950" t="s">
        <v>12999</v>
      </c>
      <c r="AJ2950">
        <v>1.5</v>
      </c>
      <c r="AK2950">
        <v>3285</v>
      </c>
      <c r="AL2950">
        <v>25</v>
      </c>
      <c r="AM2950">
        <v>1E-4</v>
      </c>
      <c r="AN2950">
        <v>2</v>
      </c>
      <c r="AO2950">
        <v>2.99</v>
      </c>
      <c r="AP2950">
        <v>1.82</v>
      </c>
      <c r="AQ2950">
        <v>-6.18</v>
      </c>
      <c r="AR2950">
        <v>-4.3</v>
      </c>
      <c r="AS2950">
        <v>0.98</v>
      </c>
      <c r="AT2950" t="s">
        <v>13000</v>
      </c>
      <c r="AU2950">
        <v>56.2</v>
      </c>
      <c r="AV2950">
        <v>43.67</v>
      </c>
      <c r="AW2950">
        <v>0.93</v>
      </c>
      <c r="BA2950">
        <v>-0.25</v>
      </c>
      <c r="BB2950">
        <v>1.96</v>
      </c>
      <c r="BC2950">
        <v>-0.25</v>
      </c>
      <c r="BD2950">
        <v>1.07</v>
      </c>
      <c r="BE2950">
        <v>1.67</v>
      </c>
      <c r="BF2950">
        <v>-0.53</v>
      </c>
      <c r="BG2950">
        <v>1.67</v>
      </c>
      <c r="BH2950">
        <v>0.35</v>
      </c>
      <c r="BI2950">
        <v>20191105</v>
      </c>
      <c r="BJ2950">
        <v>19960408</v>
      </c>
      <c r="BK2950">
        <v>22.5</v>
      </c>
      <c r="BL2950" t="s">
        <v>116</v>
      </c>
      <c r="BM2950" t="s">
        <v>116</v>
      </c>
      <c r="BN2950">
        <v>611.19000000000005</v>
      </c>
      <c r="BO2950">
        <v>284.41000000000003</v>
      </c>
      <c r="BP2950">
        <v>76.02</v>
      </c>
      <c r="BQ2950">
        <v>41.03</v>
      </c>
      <c r="BR2950">
        <v>370.34</v>
      </c>
      <c r="BS2950">
        <v>159.63999999999999</v>
      </c>
      <c r="BT2950">
        <v>21.04</v>
      </c>
      <c r="BU2950">
        <v>305.24</v>
      </c>
      <c r="BV2950">
        <v>214.43</v>
      </c>
      <c r="BW2950">
        <v>119.21</v>
      </c>
      <c r="BX2950">
        <v>209.13</v>
      </c>
      <c r="BY2950">
        <v>127.94</v>
      </c>
      <c r="BZ2950">
        <v>104.15</v>
      </c>
      <c r="CA2950">
        <v>5.44</v>
      </c>
      <c r="CB2950">
        <v>0.6</v>
      </c>
      <c r="CC2950">
        <v>5.34</v>
      </c>
      <c r="CD2950">
        <v>4.53</v>
      </c>
      <c r="CE2950">
        <v>4.13</v>
      </c>
      <c r="CF2950">
        <v>2.44</v>
      </c>
      <c r="CG2950">
        <v>49.76</v>
      </c>
      <c r="CH2950">
        <v>-48.49</v>
      </c>
      <c r="CI2950">
        <v>-25.17</v>
      </c>
      <c r="CJ2950">
        <v>83157</v>
      </c>
      <c r="CK2950">
        <v>10220</v>
      </c>
      <c r="CL2950" t="s">
        <v>13001</v>
      </c>
      <c r="CM2950">
        <v>-36.47</v>
      </c>
      <c r="CN2950">
        <v>-7.61</v>
      </c>
      <c r="CO2950">
        <v>1.63</v>
      </c>
      <c r="CP2950">
        <v>-9.58</v>
      </c>
      <c r="CQ2950">
        <v>3.63</v>
      </c>
      <c r="CR2950">
        <v>0.69</v>
      </c>
      <c r="CS2950" t="s">
        <v>2474</v>
      </c>
      <c r="CT2950">
        <v>12.64</v>
      </c>
      <c r="CU2950">
        <v>0</v>
      </c>
      <c r="CV2950">
        <v>9.3000000000000007</v>
      </c>
      <c r="CW2950">
        <v>2.21</v>
      </c>
      <c r="CX2950">
        <v>-2.16</v>
      </c>
      <c r="CY2950">
        <v>46.53</v>
      </c>
      <c r="CZ2950" t="s">
        <v>2866</v>
      </c>
      <c r="DA2950">
        <v>18.59</v>
      </c>
      <c r="DB2950">
        <v>4.25</v>
      </c>
      <c r="DC2950">
        <v>3.23</v>
      </c>
      <c r="DD2950">
        <v>1.51</v>
      </c>
      <c r="DE2950">
        <v>37046</v>
      </c>
      <c r="DF2950">
        <v>600893</v>
      </c>
      <c r="DG2950" t="s">
        <v>116</v>
      </c>
      <c r="DH2950" t="s">
        <v>116</v>
      </c>
      <c r="DI2950" t="s">
        <v>116</v>
      </c>
    </row>
    <row r="2951" spans="1:113" x14ac:dyDescent="0.4">
      <c r="A2951" t="str">
        <f>"600894"</f>
        <v>600894</v>
      </c>
      <c r="B2951" t="s">
        <v>13002</v>
      </c>
      <c r="C2951">
        <v>-0.4</v>
      </c>
      <c r="D2951">
        <v>7.42</v>
      </c>
      <c r="E2951">
        <v>-0.03</v>
      </c>
      <c r="F2951">
        <v>7.41</v>
      </c>
      <c r="G2951">
        <v>7.42</v>
      </c>
      <c r="H2951">
        <v>52123</v>
      </c>
      <c r="I2951">
        <v>394</v>
      </c>
      <c r="J2951">
        <v>0</v>
      </c>
      <c r="K2951">
        <v>0.61</v>
      </c>
      <c r="L2951">
        <v>7.45</v>
      </c>
      <c r="M2951">
        <v>7.51</v>
      </c>
      <c r="N2951">
        <v>7.41</v>
      </c>
      <c r="O2951">
        <v>7.45</v>
      </c>
      <c r="P2951">
        <v>13.25</v>
      </c>
      <c r="Q2951">
        <v>38927948</v>
      </c>
      <c r="R2951">
        <v>0.67</v>
      </c>
      <c r="S2951" t="s">
        <v>164</v>
      </c>
      <c r="T2951" t="s">
        <v>551</v>
      </c>
      <c r="U2951">
        <v>1.34</v>
      </c>
      <c r="V2951">
        <v>7.47</v>
      </c>
      <c r="W2951">
        <v>31700</v>
      </c>
      <c r="X2951">
        <v>20423</v>
      </c>
      <c r="Y2951">
        <v>1.55</v>
      </c>
      <c r="Z2951">
        <v>1912</v>
      </c>
      <c r="AA2951">
        <v>88</v>
      </c>
      <c r="AB2951" t="s">
        <v>116</v>
      </c>
      <c r="AC2951">
        <v>397100</v>
      </c>
      <c r="AD2951">
        <v>0.01</v>
      </c>
      <c r="AE2951" t="s">
        <v>116</v>
      </c>
      <c r="AF2951" t="s">
        <v>116</v>
      </c>
      <c r="AG2951">
        <v>8.6</v>
      </c>
      <c r="AH2951" t="s">
        <v>13003</v>
      </c>
      <c r="AI2951" t="s">
        <v>13003</v>
      </c>
      <c r="AJ2951">
        <v>-0.33</v>
      </c>
      <c r="AK2951">
        <v>1041</v>
      </c>
      <c r="AL2951">
        <v>50</v>
      </c>
      <c r="AM2951">
        <v>5.9999999999999995E-4</v>
      </c>
      <c r="AN2951">
        <v>-1</v>
      </c>
      <c r="AO2951">
        <v>-0.4</v>
      </c>
      <c r="AP2951">
        <v>5.0999999999999996</v>
      </c>
      <c r="AQ2951">
        <v>-16.82</v>
      </c>
      <c r="AR2951">
        <v>37.409999999999997</v>
      </c>
      <c r="AS2951">
        <v>1.4</v>
      </c>
      <c r="AT2951" t="s">
        <v>6720</v>
      </c>
      <c r="AU2951">
        <v>27.14</v>
      </c>
      <c r="AV2951">
        <v>47.6</v>
      </c>
      <c r="AW2951">
        <v>0.95</v>
      </c>
      <c r="BA2951">
        <v>0</v>
      </c>
      <c r="BB2951">
        <v>0.81</v>
      </c>
      <c r="BC2951">
        <v>-0.54</v>
      </c>
      <c r="BD2951">
        <v>0.25</v>
      </c>
      <c r="BE2951">
        <v>-0.4</v>
      </c>
      <c r="BF2951">
        <v>-1.2</v>
      </c>
      <c r="BG2951">
        <v>0.13</v>
      </c>
      <c r="BH2951">
        <v>-0.65</v>
      </c>
      <c r="BI2951">
        <v>20191030</v>
      </c>
      <c r="BJ2951">
        <v>19960328</v>
      </c>
      <c r="BK2951">
        <v>8.6</v>
      </c>
      <c r="BL2951" t="s">
        <v>116</v>
      </c>
      <c r="BM2951" t="s">
        <v>116</v>
      </c>
      <c r="BN2951">
        <v>105.1</v>
      </c>
      <c r="BO2951">
        <v>76.319999999999993</v>
      </c>
      <c r="BP2951">
        <v>1.97</v>
      </c>
      <c r="BQ2951">
        <v>25.5</v>
      </c>
      <c r="BR2951">
        <v>51.48</v>
      </c>
      <c r="BS2951">
        <v>11.66</v>
      </c>
      <c r="BT2951">
        <v>1.58</v>
      </c>
      <c r="BU2951">
        <v>26.57</v>
      </c>
      <c r="BV2951">
        <v>9.0500000000000007</v>
      </c>
      <c r="BW2951">
        <v>14.06</v>
      </c>
      <c r="BX2951">
        <v>24.46</v>
      </c>
      <c r="BY2951">
        <v>45.26</v>
      </c>
      <c r="BZ2951">
        <v>39.01</v>
      </c>
      <c r="CA2951">
        <v>3.78</v>
      </c>
      <c r="CB2951">
        <v>3.25</v>
      </c>
      <c r="CC2951">
        <v>3.77</v>
      </c>
      <c r="CD2951">
        <v>3.58</v>
      </c>
      <c r="CE2951">
        <v>3.61</v>
      </c>
      <c r="CF2951">
        <v>3.4</v>
      </c>
      <c r="CG2951">
        <v>38.6</v>
      </c>
      <c r="CH2951">
        <v>1.38</v>
      </c>
      <c r="CI2951">
        <v>-8.6</v>
      </c>
      <c r="CJ2951">
        <v>32683</v>
      </c>
      <c r="CK2951">
        <v>11431</v>
      </c>
      <c r="CL2951" t="s">
        <v>1564</v>
      </c>
      <c r="CM2951">
        <v>38.85</v>
      </c>
      <c r="CN2951">
        <v>11.92</v>
      </c>
      <c r="CO2951">
        <v>0.84</v>
      </c>
      <c r="CP2951">
        <v>46.31</v>
      </c>
      <c r="CQ2951">
        <v>1.41</v>
      </c>
      <c r="CR2951">
        <v>0.67</v>
      </c>
      <c r="CS2951" t="s">
        <v>2820</v>
      </c>
      <c r="CT2951">
        <v>8.8699999999999992</v>
      </c>
      <c r="CU2951">
        <v>0</v>
      </c>
      <c r="CV2951">
        <v>2.84</v>
      </c>
      <c r="CW2951">
        <v>4.49</v>
      </c>
      <c r="CX2951">
        <v>0.16</v>
      </c>
      <c r="CY2951">
        <v>72.62</v>
      </c>
      <c r="CZ2951" t="s">
        <v>6711</v>
      </c>
      <c r="DA2951">
        <v>13.82</v>
      </c>
      <c r="DB2951">
        <v>8.35</v>
      </c>
      <c r="DC2951">
        <v>7.98</v>
      </c>
      <c r="DD2951">
        <v>1.72</v>
      </c>
      <c r="DE2951">
        <v>4184</v>
      </c>
      <c r="DF2951">
        <v>600894</v>
      </c>
      <c r="DG2951" t="s">
        <v>116</v>
      </c>
      <c r="DH2951" t="s">
        <v>116</v>
      </c>
      <c r="DI2951" t="s">
        <v>116</v>
      </c>
    </row>
    <row r="2952" spans="1:113" x14ac:dyDescent="0.4">
      <c r="A2952" t="str">
        <f>"600895"</f>
        <v>600895</v>
      </c>
      <c r="B2952" t="s">
        <v>13004</v>
      </c>
      <c r="C2952">
        <v>-7.0000000000000007E-2</v>
      </c>
      <c r="D2952">
        <v>15.01</v>
      </c>
      <c r="E2952">
        <v>-0.01</v>
      </c>
      <c r="F2952">
        <v>15</v>
      </c>
      <c r="G2952">
        <v>15.01</v>
      </c>
      <c r="H2952">
        <v>88223</v>
      </c>
      <c r="I2952">
        <v>695</v>
      </c>
      <c r="J2952">
        <v>0.33</v>
      </c>
      <c r="K2952">
        <v>0.56999999999999995</v>
      </c>
      <c r="L2952">
        <v>15.02</v>
      </c>
      <c r="M2952">
        <v>15.19</v>
      </c>
      <c r="N2952">
        <v>14.93</v>
      </c>
      <c r="O2952">
        <v>15.02</v>
      </c>
      <c r="P2952">
        <v>36.99</v>
      </c>
      <c r="Q2952">
        <v>132691584</v>
      </c>
      <c r="R2952">
        <v>1.1399999999999999</v>
      </c>
      <c r="S2952" t="s">
        <v>1503</v>
      </c>
      <c r="T2952" t="s">
        <v>1653</v>
      </c>
      <c r="U2952">
        <v>1.73</v>
      </c>
      <c r="V2952">
        <v>15.04</v>
      </c>
      <c r="W2952">
        <v>41069</v>
      </c>
      <c r="X2952">
        <v>47154</v>
      </c>
      <c r="Y2952">
        <v>0.87</v>
      </c>
      <c r="Z2952">
        <v>503</v>
      </c>
      <c r="AA2952">
        <v>316</v>
      </c>
      <c r="AB2952" t="s">
        <v>116</v>
      </c>
      <c r="AC2952">
        <v>477600</v>
      </c>
      <c r="AD2952">
        <v>0</v>
      </c>
      <c r="AE2952" t="s">
        <v>116</v>
      </c>
      <c r="AF2952" t="s">
        <v>116</v>
      </c>
      <c r="AG2952">
        <v>15.49</v>
      </c>
      <c r="AH2952" t="s">
        <v>13005</v>
      </c>
      <c r="AI2952" t="s">
        <v>13005</v>
      </c>
      <c r="AJ2952">
        <v>0.01</v>
      </c>
      <c r="AK2952">
        <v>3140</v>
      </c>
      <c r="AL2952">
        <v>28</v>
      </c>
      <c r="AM2952">
        <v>2.0000000000000001E-4</v>
      </c>
      <c r="AN2952">
        <v>-1</v>
      </c>
      <c r="AO2952">
        <v>1.97</v>
      </c>
      <c r="AP2952">
        <v>5.56</v>
      </c>
      <c r="AQ2952">
        <v>-3.35</v>
      </c>
      <c r="AR2952">
        <v>1.1499999999999999</v>
      </c>
      <c r="AS2952">
        <v>1.1599999999999999</v>
      </c>
      <c r="AT2952" t="s">
        <v>13006</v>
      </c>
      <c r="AU2952">
        <v>41.66</v>
      </c>
      <c r="AV2952">
        <v>42.71</v>
      </c>
      <c r="AW2952">
        <v>1.36</v>
      </c>
      <c r="BA2952">
        <v>0</v>
      </c>
      <c r="BB2952">
        <v>1.1299999999999999</v>
      </c>
      <c r="BC2952">
        <v>-0.6</v>
      </c>
      <c r="BD2952">
        <v>0.14000000000000001</v>
      </c>
      <c r="BE2952">
        <v>-7.0000000000000007E-2</v>
      </c>
      <c r="BF2952">
        <v>-1.18</v>
      </c>
      <c r="BG2952">
        <v>0.54</v>
      </c>
      <c r="BH2952">
        <v>-0.2</v>
      </c>
      <c r="BI2952">
        <v>20191030</v>
      </c>
      <c r="BJ2952">
        <v>19960422</v>
      </c>
      <c r="BK2952">
        <v>15.49</v>
      </c>
      <c r="BL2952" t="s">
        <v>116</v>
      </c>
      <c r="BM2952" t="s">
        <v>116</v>
      </c>
      <c r="BN2952">
        <v>218.46</v>
      </c>
      <c r="BO2952">
        <v>91.93</v>
      </c>
      <c r="BP2952">
        <v>3.15</v>
      </c>
      <c r="BQ2952">
        <v>56.48</v>
      </c>
      <c r="BR2952">
        <v>100.1</v>
      </c>
      <c r="BS2952">
        <v>0.78</v>
      </c>
      <c r="BT2952">
        <v>0.01</v>
      </c>
      <c r="BU2952">
        <v>65.42</v>
      </c>
      <c r="BV2952">
        <v>43.49</v>
      </c>
      <c r="BW2952">
        <v>2.34</v>
      </c>
      <c r="BX2952">
        <v>26.36</v>
      </c>
      <c r="BY2952">
        <v>8.16</v>
      </c>
      <c r="BZ2952">
        <v>3.6</v>
      </c>
      <c r="CA2952">
        <v>5.86</v>
      </c>
      <c r="CB2952">
        <v>2.16</v>
      </c>
      <c r="CC2952">
        <v>5.84</v>
      </c>
      <c r="CD2952">
        <v>4.66</v>
      </c>
      <c r="CE2952">
        <v>4.71</v>
      </c>
      <c r="CF2952">
        <v>4.53</v>
      </c>
      <c r="CG2952">
        <v>44.25</v>
      </c>
      <c r="CH2952">
        <v>3.66</v>
      </c>
      <c r="CI2952">
        <v>-6.33</v>
      </c>
      <c r="CJ2952">
        <v>140259</v>
      </c>
      <c r="CK2952">
        <v>5437</v>
      </c>
      <c r="CL2952" t="s">
        <v>2354</v>
      </c>
      <c r="CM2952">
        <v>2.98</v>
      </c>
      <c r="CN2952">
        <v>20.03</v>
      </c>
      <c r="CO2952">
        <v>2.5299999999999998</v>
      </c>
      <c r="CP2952">
        <v>63.52</v>
      </c>
      <c r="CQ2952">
        <v>28.5</v>
      </c>
      <c r="CR2952">
        <v>0.73</v>
      </c>
      <c r="CS2952" t="s">
        <v>7038</v>
      </c>
      <c r="CT2952">
        <v>5.94</v>
      </c>
      <c r="CU2952">
        <v>0</v>
      </c>
      <c r="CV2952">
        <v>1.7</v>
      </c>
      <c r="CW2952">
        <v>2.86</v>
      </c>
      <c r="CX2952">
        <v>0.24</v>
      </c>
      <c r="CY2952">
        <v>42.08</v>
      </c>
      <c r="CZ2952" t="s">
        <v>5830</v>
      </c>
      <c r="DA2952">
        <v>55.9</v>
      </c>
      <c r="DB2952">
        <v>71.83</v>
      </c>
      <c r="DC2952">
        <v>57.78</v>
      </c>
      <c r="DD2952">
        <v>0</v>
      </c>
      <c r="DE2952">
        <v>170</v>
      </c>
      <c r="DF2952">
        <v>600895</v>
      </c>
      <c r="DG2952" t="s">
        <v>116</v>
      </c>
      <c r="DH2952" t="s">
        <v>116</v>
      </c>
      <c r="DI2952" t="s">
        <v>116</v>
      </c>
    </row>
    <row r="2953" spans="1:113" x14ac:dyDescent="0.4">
      <c r="A2953" t="str">
        <f>"600896"</f>
        <v>600896</v>
      </c>
      <c r="B2953" t="s">
        <v>13007</v>
      </c>
      <c r="C2953">
        <v>-1.37</v>
      </c>
      <c r="D2953">
        <v>4.33</v>
      </c>
      <c r="E2953">
        <v>-0.06</v>
      </c>
      <c r="F2953">
        <v>4.32</v>
      </c>
      <c r="G2953">
        <v>4.33</v>
      </c>
      <c r="H2953">
        <v>48257</v>
      </c>
      <c r="I2953">
        <v>524</v>
      </c>
      <c r="J2953">
        <v>0.7</v>
      </c>
      <c r="K2953">
        <v>0.56000000000000005</v>
      </c>
      <c r="L2953">
        <v>4.3899999999999997</v>
      </c>
      <c r="M2953">
        <v>4.41</v>
      </c>
      <c r="N2953">
        <v>4.28</v>
      </c>
      <c r="O2953">
        <v>4.3899999999999997</v>
      </c>
      <c r="P2953" t="s">
        <v>116</v>
      </c>
      <c r="Q2953">
        <v>20890052</v>
      </c>
      <c r="R2953">
        <v>0.79</v>
      </c>
      <c r="S2953" t="s">
        <v>559</v>
      </c>
      <c r="T2953" t="s">
        <v>851</v>
      </c>
      <c r="U2953">
        <v>2.96</v>
      </c>
      <c r="V2953">
        <v>4.33</v>
      </c>
      <c r="W2953">
        <v>33380</v>
      </c>
      <c r="X2953">
        <v>14877</v>
      </c>
      <c r="Y2953">
        <v>2.2400000000000002</v>
      </c>
      <c r="Z2953">
        <v>6</v>
      </c>
      <c r="AA2953">
        <v>439</v>
      </c>
      <c r="AB2953" t="s">
        <v>116</v>
      </c>
      <c r="AC2953">
        <v>41300</v>
      </c>
      <c r="AD2953">
        <v>0</v>
      </c>
      <c r="AE2953" t="s">
        <v>116</v>
      </c>
      <c r="AF2953" t="s">
        <v>116</v>
      </c>
      <c r="AG2953">
        <v>8.69</v>
      </c>
      <c r="AH2953" t="s">
        <v>3160</v>
      </c>
      <c r="AI2953" t="s">
        <v>3160</v>
      </c>
      <c r="AJ2953">
        <v>-1.29</v>
      </c>
      <c r="AK2953">
        <v>706</v>
      </c>
      <c r="AL2953">
        <v>68</v>
      </c>
      <c r="AM2953">
        <v>8.0000000000000004E-4</v>
      </c>
      <c r="AN2953">
        <v>-2</v>
      </c>
      <c r="AO2953">
        <v>0.46</v>
      </c>
      <c r="AP2953">
        <v>7.18</v>
      </c>
      <c r="AQ2953">
        <v>-2.48</v>
      </c>
      <c r="AR2953">
        <v>14.85</v>
      </c>
      <c r="AS2953">
        <v>1.26</v>
      </c>
      <c r="AT2953" t="s">
        <v>4064</v>
      </c>
      <c r="AU2953" t="s">
        <v>116</v>
      </c>
      <c r="AV2953">
        <v>32.89</v>
      </c>
      <c r="AW2953">
        <v>1.06</v>
      </c>
      <c r="BA2953">
        <v>0</v>
      </c>
      <c r="BB2953">
        <v>0.46</v>
      </c>
      <c r="BC2953">
        <v>-2.5099999999999998</v>
      </c>
      <c r="BD2953">
        <v>-1.39</v>
      </c>
      <c r="BE2953">
        <v>-1.37</v>
      </c>
      <c r="BF2953">
        <v>-1.81</v>
      </c>
      <c r="BG2953">
        <v>1.17</v>
      </c>
      <c r="BH2953">
        <v>0.03</v>
      </c>
      <c r="BI2953">
        <v>20191031</v>
      </c>
      <c r="BJ2953">
        <v>19960503</v>
      </c>
      <c r="BK2953">
        <v>8.69</v>
      </c>
      <c r="BL2953" t="s">
        <v>116</v>
      </c>
      <c r="BM2953" t="s">
        <v>116</v>
      </c>
      <c r="BN2953">
        <v>22.9</v>
      </c>
      <c r="BO2953">
        <v>16.21</v>
      </c>
      <c r="BP2953">
        <v>0.34</v>
      </c>
      <c r="BQ2953">
        <v>27.72</v>
      </c>
      <c r="BR2953">
        <v>1.2</v>
      </c>
      <c r="BS2953">
        <v>0.37</v>
      </c>
      <c r="BT2953">
        <v>17.66</v>
      </c>
      <c r="BU2953">
        <v>5.86</v>
      </c>
      <c r="BV2953">
        <v>0.01</v>
      </c>
      <c r="BW2953">
        <v>0.03</v>
      </c>
      <c r="BX2953">
        <v>18.29</v>
      </c>
      <c r="BY2953">
        <v>0.19</v>
      </c>
      <c r="BZ2953">
        <v>0.82</v>
      </c>
      <c r="CA2953">
        <v>-1.46</v>
      </c>
      <c r="CB2953">
        <v>-7.0000000000000007E-2</v>
      </c>
      <c r="CC2953">
        <v>-1.46</v>
      </c>
      <c r="CD2953">
        <v>-1.46</v>
      </c>
      <c r="CE2953">
        <v>-1.44</v>
      </c>
      <c r="CF2953">
        <v>-1.44</v>
      </c>
      <c r="CG2953">
        <v>-11.84</v>
      </c>
      <c r="CH2953">
        <v>-0.52</v>
      </c>
      <c r="CI2953">
        <v>-0.12</v>
      </c>
      <c r="CJ2953">
        <v>43172</v>
      </c>
      <c r="CK2953">
        <v>8906</v>
      </c>
      <c r="CL2953" t="s">
        <v>964</v>
      </c>
      <c r="CM2953">
        <v>-495.19</v>
      </c>
      <c r="CN2953">
        <v>-53.17</v>
      </c>
      <c r="CO2953">
        <v>2.3199999999999998</v>
      </c>
      <c r="CP2953">
        <v>-71.89</v>
      </c>
      <c r="CQ2953">
        <v>200.13</v>
      </c>
      <c r="CR2953">
        <v>0</v>
      </c>
      <c r="CS2953" t="s">
        <v>10062</v>
      </c>
      <c r="CT2953">
        <v>1.87</v>
      </c>
      <c r="CU2953">
        <v>0</v>
      </c>
      <c r="CV2953">
        <v>2.1</v>
      </c>
      <c r="CW2953">
        <v>-1.36</v>
      </c>
      <c r="CX2953">
        <v>-0.06</v>
      </c>
      <c r="CY2953">
        <v>70.8</v>
      </c>
      <c r="CZ2953" t="s">
        <v>13008</v>
      </c>
      <c r="DA2953">
        <v>-334.82</v>
      </c>
      <c r="DB2953">
        <v>-774.63</v>
      </c>
      <c r="DC2953">
        <v>-763.15</v>
      </c>
      <c r="DD2953">
        <v>0</v>
      </c>
      <c r="DE2953">
        <v>171</v>
      </c>
      <c r="DF2953">
        <v>600896</v>
      </c>
      <c r="DG2953" t="s">
        <v>116</v>
      </c>
      <c r="DH2953" t="s">
        <v>116</v>
      </c>
      <c r="DI2953" t="s">
        <v>116</v>
      </c>
    </row>
    <row r="2954" spans="1:113" x14ac:dyDescent="0.4">
      <c r="A2954" t="str">
        <f>"600897"</f>
        <v>600897</v>
      </c>
      <c r="B2954" t="s">
        <v>13009</v>
      </c>
      <c r="C2954">
        <v>-0.14000000000000001</v>
      </c>
      <c r="D2954">
        <v>21.93</v>
      </c>
      <c r="E2954">
        <v>-0.03</v>
      </c>
      <c r="F2954">
        <v>21.93</v>
      </c>
      <c r="G2954">
        <v>21.94</v>
      </c>
      <c r="H2954">
        <v>7306</v>
      </c>
      <c r="I2954">
        <v>78</v>
      </c>
      <c r="J2954">
        <v>-0.04</v>
      </c>
      <c r="K2954">
        <v>0.25</v>
      </c>
      <c r="L2954">
        <v>21.99</v>
      </c>
      <c r="M2954">
        <v>22.25</v>
      </c>
      <c r="N2954">
        <v>21.92</v>
      </c>
      <c r="O2954">
        <v>21.96</v>
      </c>
      <c r="P2954">
        <v>12.32</v>
      </c>
      <c r="Q2954">
        <v>16123335</v>
      </c>
      <c r="R2954">
        <v>0.78</v>
      </c>
      <c r="S2954" t="s">
        <v>522</v>
      </c>
      <c r="T2954" t="s">
        <v>975</v>
      </c>
      <c r="U2954">
        <v>1.5</v>
      </c>
      <c r="V2954">
        <v>22.07</v>
      </c>
      <c r="W2954">
        <v>3898</v>
      </c>
      <c r="X2954">
        <v>3408</v>
      </c>
      <c r="Y2954">
        <v>1.1399999999999999</v>
      </c>
      <c r="Z2954">
        <v>32</v>
      </c>
      <c r="AA2954">
        <v>34</v>
      </c>
      <c r="AB2954" t="s">
        <v>116</v>
      </c>
      <c r="AC2954">
        <v>61600</v>
      </c>
      <c r="AD2954">
        <v>0</v>
      </c>
      <c r="AE2954" t="s">
        <v>116</v>
      </c>
      <c r="AF2954" t="s">
        <v>116</v>
      </c>
      <c r="AG2954">
        <v>2.98</v>
      </c>
      <c r="AH2954" t="s">
        <v>13010</v>
      </c>
      <c r="AI2954" t="s">
        <v>13010</v>
      </c>
      <c r="AJ2954">
        <v>-0.06</v>
      </c>
      <c r="AK2954">
        <v>702</v>
      </c>
      <c r="AL2954">
        <v>10</v>
      </c>
      <c r="AM2954">
        <v>2.9999999999999997E-4</v>
      </c>
      <c r="AN2954">
        <v>-2</v>
      </c>
      <c r="AO2954">
        <v>-0.18</v>
      </c>
      <c r="AP2954">
        <v>6.51</v>
      </c>
      <c r="AQ2954">
        <v>2.4300000000000002</v>
      </c>
      <c r="AR2954">
        <v>9.6</v>
      </c>
      <c r="AS2954">
        <v>0.77</v>
      </c>
      <c r="AT2954" t="s">
        <v>10231</v>
      </c>
      <c r="AU2954">
        <v>12.47</v>
      </c>
      <c r="AV2954">
        <v>12.92</v>
      </c>
      <c r="AW2954">
        <v>0.77</v>
      </c>
      <c r="BA2954">
        <v>0.14000000000000001</v>
      </c>
      <c r="BB2954">
        <v>1.32</v>
      </c>
      <c r="BC2954">
        <v>-0.18</v>
      </c>
      <c r="BD2954">
        <v>0.5</v>
      </c>
      <c r="BE2954">
        <v>-0.27</v>
      </c>
      <c r="BF2954">
        <v>-1.44</v>
      </c>
      <c r="BG2954">
        <v>0.05</v>
      </c>
      <c r="BH2954">
        <v>-0.64</v>
      </c>
      <c r="BI2954">
        <v>20191026</v>
      </c>
      <c r="BJ2954">
        <v>19960531</v>
      </c>
      <c r="BK2954">
        <v>2.98</v>
      </c>
      <c r="BL2954" t="s">
        <v>116</v>
      </c>
      <c r="BM2954" t="s">
        <v>116</v>
      </c>
      <c r="BN2954">
        <v>44.44</v>
      </c>
      <c r="BO2954">
        <v>36.17</v>
      </c>
      <c r="BP2954">
        <v>2.19</v>
      </c>
      <c r="BQ2954">
        <v>13.68</v>
      </c>
      <c r="BR2954">
        <v>12.91</v>
      </c>
      <c r="BS2954">
        <v>27.53</v>
      </c>
      <c r="BT2954">
        <v>1.28</v>
      </c>
      <c r="BU2954">
        <v>5.9</v>
      </c>
      <c r="BV2954">
        <v>0</v>
      </c>
      <c r="BW2954">
        <v>2.74</v>
      </c>
      <c r="BX2954">
        <v>1.81</v>
      </c>
      <c r="BY2954">
        <v>13.4</v>
      </c>
      <c r="BZ2954">
        <v>7.49</v>
      </c>
      <c r="CA2954">
        <v>5.47</v>
      </c>
      <c r="CB2954">
        <v>0.2</v>
      </c>
      <c r="CC2954">
        <v>5.49</v>
      </c>
      <c r="CD2954">
        <v>4.13</v>
      </c>
      <c r="CE2954">
        <v>3.98</v>
      </c>
      <c r="CF2954">
        <v>3.8</v>
      </c>
      <c r="CG2954">
        <v>26.48</v>
      </c>
      <c r="CH2954">
        <v>5.33</v>
      </c>
      <c r="CI2954">
        <v>-0.06</v>
      </c>
      <c r="CJ2954">
        <v>18863</v>
      </c>
      <c r="CK2954">
        <v>5053</v>
      </c>
      <c r="CL2954" t="s">
        <v>13011</v>
      </c>
      <c r="CM2954">
        <v>4.72</v>
      </c>
      <c r="CN2954">
        <v>0.99</v>
      </c>
      <c r="CO2954">
        <v>1.81</v>
      </c>
      <c r="CP2954">
        <v>12.25</v>
      </c>
      <c r="CQ2954">
        <v>4.87</v>
      </c>
      <c r="CR2954">
        <v>5.84</v>
      </c>
      <c r="CS2954" t="s">
        <v>13012</v>
      </c>
      <c r="CT2954">
        <v>12.15</v>
      </c>
      <c r="CU2954">
        <v>0</v>
      </c>
      <c r="CV2954">
        <v>0.61</v>
      </c>
      <c r="CW2954">
        <v>8.89</v>
      </c>
      <c r="CX2954">
        <v>1.79</v>
      </c>
      <c r="CY2954">
        <v>81.400000000000006</v>
      </c>
      <c r="CZ2954" t="s">
        <v>13013</v>
      </c>
      <c r="DA2954">
        <v>44.15</v>
      </c>
      <c r="DB2954">
        <v>40.799999999999997</v>
      </c>
      <c r="DC2954">
        <v>29.67</v>
      </c>
      <c r="DD2954">
        <v>0</v>
      </c>
      <c r="DE2954">
        <v>3287</v>
      </c>
      <c r="DF2954">
        <v>600897</v>
      </c>
      <c r="DG2954" t="s">
        <v>116</v>
      </c>
      <c r="DH2954" t="s">
        <v>116</v>
      </c>
      <c r="DI2954" t="s">
        <v>116</v>
      </c>
    </row>
    <row r="2955" spans="1:113" x14ac:dyDescent="0.4">
      <c r="A2955" t="str">
        <f>"600898"</f>
        <v>600898</v>
      </c>
      <c r="B2955" t="s">
        <v>13014</v>
      </c>
      <c r="C2955">
        <v>0.63</v>
      </c>
      <c r="D2955">
        <v>8.0500000000000007</v>
      </c>
      <c r="E2955">
        <v>0.05</v>
      </c>
      <c r="F2955">
        <v>8.0500000000000007</v>
      </c>
      <c r="G2955">
        <v>8.06</v>
      </c>
      <c r="H2955">
        <v>66635</v>
      </c>
      <c r="I2955">
        <v>743</v>
      </c>
      <c r="J2955">
        <v>0.25</v>
      </c>
      <c r="K2955">
        <v>2.64</v>
      </c>
      <c r="L2955">
        <v>8.08</v>
      </c>
      <c r="M2955">
        <v>8.16</v>
      </c>
      <c r="N2955">
        <v>7.89</v>
      </c>
      <c r="O2955">
        <v>8</v>
      </c>
      <c r="P2955" t="s">
        <v>116</v>
      </c>
      <c r="Q2955">
        <v>53735352</v>
      </c>
      <c r="R2955">
        <v>1.37</v>
      </c>
      <c r="S2955" t="s">
        <v>465</v>
      </c>
      <c r="T2955" t="s">
        <v>645</v>
      </c>
      <c r="U2955">
        <v>3.37</v>
      </c>
      <c r="V2955">
        <v>8.06</v>
      </c>
      <c r="W2955">
        <v>29412</v>
      </c>
      <c r="X2955">
        <v>37223</v>
      </c>
      <c r="Y2955">
        <v>0.79</v>
      </c>
      <c r="Z2955">
        <v>17</v>
      </c>
      <c r="AA2955">
        <v>73</v>
      </c>
      <c r="AB2955" t="s">
        <v>116</v>
      </c>
      <c r="AC2955">
        <v>558300</v>
      </c>
      <c r="AD2955">
        <v>0.04</v>
      </c>
      <c r="AE2955" t="s">
        <v>116</v>
      </c>
      <c r="AF2955" t="s">
        <v>116</v>
      </c>
      <c r="AG2955">
        <v>2.5299999999999998</v>
      </c>
      <c r="AH2955" t="s">
        <v>5824</v>
      </c>
      <c r="AI2955" t="s">
        <v>5824</v>
      </c>
      <c r="AJ2955">
        <v>0.7</v>
      </c>
      <c r="AK2955">
        <v>1854</v>
      </c>
      <c r="AL2955">
        <v>36</v>
      </c>
      <c r="AM2955">
        <v>1.4E-3</v>
      </c>
      <c r="AN2955">
        <v>4</v>
      </c>
      <c r="AO2955">
        <v>5.92</v>
      </c>
      <c r="AP2955">
        <v>10.88</v>
      </c>
      <c r="AQ2955">
        <v>-6.94</v>
      </c>
      <c r="AR2955">
        <v>-0.12</v>
      </c>
      <c r="AS2955">
        <v>3.72</v>
      </c>
      <c r="AT2955" t="s">
        <v>7090</v>
      </c>
      <c r="AU2955" t="s">
        <v>116</v>
      </c>
      <c r="AV2955" t="s">
        <v>116</v>
      </c>
      <c r="AW2955">
        <v>0.79</v>
      </c>
      <c r="BA2955">
        <v>1</v>
      </c>
      <c r="BB2955">
        <v>2</v>
      </c>
      <c r="BC2955">
        <v>-1.37</v>
      </c>
      <c r="BD2955">
        <v>0.8</v>
      </c>
      <c r="BE2955">
        <v>-0.37</v>
      </c>
      <c r="BF2955">
        <v>-1.35</v>
      </c>
      <c r="BG2955">
        <v>2.0299999999999998</v>
      </c>
      <c r="BH2955">
        <v>-0.18</v>
      </c>
      <c r="BI2955">
        <v>20191031</v>
      </c>
      <c r="BJ2955">
        <v>19960418</v>
      </c>
      <c r="BK2955">
        <v>2.5299999999999998</v>
      </c>
      <c r="BL2955" t="s">
        <v>116</v>
      </c>
      <c r="BM2955" t="s">
        <v>116</v>
      </c>
      <c r="BN2955">
        <v>22.4</v>
      </c>
      <c r="BO2955">
        <v>-1.33</v>
      </c>
      <c r="BP2955">
        <v>1.36</v>
      </c>
      <c r="BQ2955">
        <v>99.9</v>
      </c>
      <c r="BR2955">
        <v>12.57</v>
      </c>
      <c r="BS2955">
        <v>1.56</v>
      </c>
      <c r="BT2955">
        <v>0.88</v>
      </c>
      <c r="BU2955">
        <v>20.96</v>
      </c>
      <c r="BV2955">
        <v>1.2</v>
      </c>
      <c r="BW2955">
        <v>8.3000000000000007</v>
      </c>
      <c r="BX2955">
        <v>0.45</v>
      </c>
      <c r="BY2955">
        <v>6.84</v>
      </c>
      <c r="BZ2955">
        <v>6.74</v>
      </c>
      <c r="CA2955">
        <v>-2.57</v>
      </c>
      <c r="CB2955">
        <v>0</v>
      </c>
      <c r="CC2955">
        <v>-2.56</v>
      </c>
      <c r="CD2955">
        <v>-2.36</v>
      </c>
      <c r="CE2955">
        <v>-2.08</v>
      </c>
      <c r="CF2955">
        <v>-2.12</v>
      </c>
      <c r="CG2955">
        <v>-5.38</v>
      </c>
      <c r="CH2955">
        <v>-0.08</v>
      </c>
      <c r="CI2955">
        <v>-0.34</v>
      </c>
      <c r="CJ2955">
        <v>22679</v>
      </c>
      <c r="CK2955">
        <v>7905</v>
      </c>
      <c r="CL2955" t="s">
        <v>2423</v>
      </c>
      <c r="CM2955">
        <v>-102.91</v>
      </c>
      <c r="CN2955">
        <v>-65.47</v>
      </c>
      <c r="CO2955">
        <v>-15.23</v>
      </c>
      <c r="CP2955">
        <v>-245.28</v>
      </c>
      <c r="CQ2955">
        <v>2.97</v>
      </c>
      <c r="CR2955">
        <v>0</v>
      </c>
      <c r="CS2955" t="s">
        <v>13015</v>
      </c>
      <c r="CT2955">
        <v>-0.53</v>
      </c>
      <c r="CU2955">
        <v>0</v>
      </c>
      <c r="CV2955">
        <v>0.18</v>
      </c>
      <c r="CW2955">
        <v>-2.13</v>
      </c>
      <c r="CX2955">
        <v>-0.03</v>
      </c>
      <c r="CY2955">
        <v>-5.96</v>
      </c>
      <c r="CZ2955" t="s">
        <v>116</v>
      </c>
      <c r="DA2955">
        <v>1.47</v>
      </c>
      <c r="DB2955">
        <v>-37.57</v>
      </c>
      <c r="DC2955">
        <v>-30.4</v>
      </c>
      <c r="DD2955">
        <v>0.57999999999999996</v>
      </c>
      <c r="DE2955">
        <v>1860</v>
      </c>
      <c r="DF2955">
        <v>600898</v>
      </c>
      <c r="DG2955" t="s">
        <v>116</v>
      </c>
      <c r="DH2955" t="s">
        <v>116</v>
      </c>
      <c r="DI2955" t="s">
        <v>116</v>
      </c>
    </row>
    <row r="2956" spans="1:113" x14ac:dyDescent="0.4">
      <c r="A2956" t="str">
        <f>"600900"</f>
        <v>600900</v>
      </c>
      <c r="B2956" t="s">
        <v>13016</v>
      </c>
      <c r="C2956">
        <v>0.06</v>
      </c>
      <c r="D2956">
        <v>18.190000000000001</v>
      </c>
      <c r="E2956">
        <v>0.01</v>
      </c>
      <c r="F2956">
        <v>18.18</v>
      </c>
      <c r="G2956">
        <v>18.190000000000001</v>
      </c>
      <c r="H2956">
        <v>154058</v>
      </c>
      <c r="I2956">
        <v>3788</v>
      </c>
      <c r="J2956">
        <v>0</v>
      </c>
      <c r="K2956">
        <v>7.0000000000000007E-2</v>
      </c>
      <c r="L2956">
        <v>18.12</v>
      </c>
      <c r="M2956">
        <v>18.21</v>
      </c>
      <c r="N2956">
        <v>18.100000000000001</v>
      </c>
      <c r="O2956">
        <v>18.18</v>
      </c>
      <c r="P2956">
        <v>16.829999999999998</v>
      </c>
      <c r="Q2956">
        <v>279724416</v>
      </c>
      <c r="R2956">
        <v>1.23</v>
      </c>
      <c r="S2956" t="s">
        <v>1363</v>
      </c>
      <c r="T2956" t="s">
        <v>165</v>
      </c>
      <c r="U2956">
        <v>0.61</v>
      </c>
      <c r="V2956">
        <v>18.16</v>
      </c>
      <c r="W2956">
        <v>88066</v>
      </c>
      <c r="X2956">
        <v>65992</v>
      </c>
      <c r="Y2956">
        <v>1.33</v>
      </c>
      <c r="Z2956">
        <v>375</v>
      </c>
      <c r="AA2956">
        <v>698</v>
      </c>
      <c r="AB2956" t="s">
        <v>116</v>
      </c>
      <c r="AC2956">
        <v>1700600</v>
      </c>
      <c r="AD2956">
        <v>0</v>
      </c>
      <c r="AE2956" t="s">
        <v>116</v>
      </c>
      <c r="AF2956" t="s">
        <v>116</v>
      </c>
      <c r="AG2956">
        <v>220</v>
      </c>
      <c r="AH2956" t="s">
        <v>13017</v>
      </c>
      <c r="AI2956" t="s">
        <v>13017</v>
      </c>
      <c r="AJ2956">
        <v>0.13</v>
      </c>
      <c r="AK2956">
        <v>3780</v>
      </c>
      <c r="AL2956">
        <v>41</v>
      </c>
      <c r="AM2956">
        <v>0</v>
      </c>
      <c r="AN2956">
        <v>2</v>
      </c>
      <c r="AO2956">
        <v>-0.05</v>
      </c>
      <c r="AP2956">
        <v>0.33</v>
      </c>
      <c r="AQ2956">
        <v>-0.05</v>
      </c>
      <c r="AR2956">
        <v>19.670000000000002</v>
      </c>
      <c r="AS2956">
        <v>0.18</v>
      </c>
      <c r="AT2956" t="s">
        <v>13018</v>
      </c>
      <c r="AU2956">
        <v>17.77</v>
      </c>
      <c r="AV2956">
        <v>17.7</v>
      </c>
      <c r="AW2956">
        <v>0.17</v>
      </c>
      <c r="BA2956">
        <v>-0.33</v>
      </c>
      <c r="BB2956">
        <v>0.17</v>
      </c>
      <c r="BC2956">
        <v>-0.44</v>
      </c>
      <c r="BD2956">
        <v>-0.13</v>
      </c>
      <c r="BE2956">
        <v>0.39</v>
      </c>
      <c r="BF2956">
        <v>-0.11</v>
      </c>
      <c r="BG2956">
        <v>0.5</v>
      </c>
      <c r="BH2956">
        <v>0.18</v>
      </c>
      <c r="BI2956">
        <v>20191031</v>
      </c>
      <c r="BJ2956">
        <v>20031118</v>
      </c>
      <c r="BK2956">
        <v>220</v>
      </c>
      <c r="BL2956" t="s">
        <v>116</v>
      </c>
      <c r="BM2956" t="s">
        <v>116</v>
      </c>
      <c r="BN2956">
        <v>2945.73</v>
      </c>
      <c r="BO2956">
        <v>1451.77</v>
      </c>
      <c r="BP2956">
        <v>4.9400000000000004</v>
      </c>
      <c r="BQ2956">
        <v>50.55</v>
      </c>
      <c r="BR2956">
        <v>136.12</v>
      </c>
      <c r="BS2956">
        <v>2288.63</v>
      </c>
      <c r="BT2956">
        <v>1.75</v>
      </c>
      <c r="BU2956">
        <v>615.78</v>
      </c>
      <c r="BV2956">
        <v>2.8</v>
      </c>
      <c r="BW2956">
        <v>59.85</v>
      </c>
      <c r="BX2956">
        <v>443.26</v>
      </c>
      <c r="BY2956">
        <v>380.84</v>
      </c>
      <c r="BZ2956">
        <v>134.82</v>
      </c>
      <c r="CA2956">
        <v>218.86</v>
      </c>
      <c r="CB2956">
        <v>24.63</v>
      </c>
      <c r="CC2956">
        <v>216.56</v>
      </c>
      <c r="CD2956">
        <v>178.43</v>
      </c>
      <c r="CE2956">
        <v>178.33</v>
      </c>
      <c r="CF2956">
        <v>171.89</v>
      </c>
      <c r="CG2956">
        <v>518.26</v>
      </c>
      <c r="CH2956">
        <v>262.25</v>
      </c>
      <c r="CI2956">
        <v>10.19</v>
      </c>
      <c r="CJ2956">
        <v>105005</v>
      </c>
      <c r="CK2956">
        <v>79784</v>
      </c>
      <c r="CL2956" t="s">
        <v>13019</v>
      </c>
      <c r="CM2956">
        <v>-0.5</v>
      </c>
      <c r="CN2956">
        <v>-2.5099999999999998</v>
      </c>
      <c r="CO2956">
        <v>2.76</v>
      </c>
      <c r="CP2956">
        <v>15.26</v>
      </c>
      <c r="CQ2956">
        <v>10.51</v>
      </c>
      <c r="CR2956">
        <v>3.74</v>
      </c>
      <c r="CS2956" t="s">
        <v>13020</v>
      </c>
      <c r="CT2956">
        <v>6.6</v>
      </c>
      <c r="CU2956">
        <v>0</v>
      </c>
      <c r="CV2956">
        <v>2.0099999999999998</v>
      </c>
      <c r="CW2956">
        <v>2.36</v>
      </c>
      <c r="CX2956">
        <v>1.19</v>
      </c>
      <c r="CY2956">
        <v>49.28</v>
      </c>
      <c r="CZ2956" t="s">
        <v>9942</v>
      </c>
      <c r="DA2956">
        <v>64.599999999999994</v>
      </c>
      <c r="DB2956">
        <v>57.47</v>
      </c>
      <c r="DC2956">
        <v>46.82</v>
      </c>
      <c r="DD2956">
        <v>0.24</v>
      </c>
      <c r="DE2956">
        <v>4077</v>
      </c>
      <c r="DF2956">
        <v>600900</v>
      </c>
      <c r="DG2956" t="s">
        <v>116</v>
      </c>
      <c r="DH2956" t="s">
        <v>116</v>
      </c>
      <c r="DI2956" t="s">
        <v>116</v>
      </c>
    </row>
    <row r="2957" spans="1:113" x14ac:dyDescent="0.4">
      <c r="A2957" t="str">
        <f>"600901"</f>
        <v>600901</v>
      </c>
      <c r="B2957" t="s">
        <v>13021</v>
      </c>
      <c r="C2957">
        <v>1.29</v>
      </c>
      <c r="D2957">
        <v>6.3</v>
      </c>
      <c r="E2957">
        <v>0.08</v>
      </c>
      <c r="F2957">
        <v>6.29</v>
      </c>
      <c r="G2957">
        <v>6.3</v>
      </c>
      <c r="H2957">
        <v>374191</v>
      </c>
      <c r="I2957">
        <v>1929</v>
      </c>
      <c r="J2957">
        <v>0</v>
      </c>
      <c r="K2957">
        <v>2.06</v>
      </c>
      <c r="L2957">
        <v>6.24</v>
      </c>
      <c r="M2957">
        <v>6.46</v>
      </c>
      <c r="N2957">
        <v>6.22</v>
      </c>
      <c r="O2957">
        <v>6.22</v>
      </c>
      <c r="P2957">
        <v>11.69</v>
      </c>
      <c r="Q2957">
        <v>238209280</v>
      </c>
      <c r="R2957">
        <v>2.21</v>
      </c>
      <c r="S2957" t="s">
        <v>732</v>
      </c>
      <c r="T2957" t="s">
        <v>323</v>
      </c>
      <c r="U2957">
        <v>3.86</v>
      </c>
      <c r="V2957">
        <v>6.37</v>
      </c>
      <c r="W2957">
        <v>180639</v>
      </c>
      <c r="X2957">
        <v>193552</v>
      </c>
      <c r="Y2957">
        <v>0.93</v>
      </c>
      <c r="Z2957">
        <v>1497</v>
      </c>
      <c r="AA2957">
        <v>2133</v>
      </c>
      <c r="AB2957" t="s">
        <v>116</v>
      </c>
      <c r="AC2957">
        <v>1276100</v>
      </c>
      <c r="AD2957">
        <v>0.02</v>
      </c>
      <c r="AE2957" t="s">
        <v>116</v>
      </c>
      <c r="AF2957" t="s">
        <v>116</v>
      </c>
      <c r="AG2957">
        <v>18.2</v>
      </c>
      <c r="AH2957" t="s">
        <v>13022</v>
      </c>
      <c r="AI2957" t="s">
        <v>13023</v>
      </c>
      <c r="AJ2957">
        <v>1.36</v>
      </c>
      <c r="AK2957">
        <v>3426</v>
      </c>
      <c r="AL2957">
        <v>109</v>
      </c>
      <c r="AM2957">
        <v>5.9999999999999995E-4</v>
      </c>
      <c r="AN2957">
        <v>2</v>
      </c>
      <c r="AO2957">
        <v>1.79</v>
      </c>
      <c r="AP2957">
        <v>5</v>
      </c>
      <c r="AQ2957">
        <v>8.25</v>
      </c>
      <c r="AR2957">
        <v>10.33</v>
      </c>
      <c r="AS2957">
        <v>4.47</v>
      </c>
      <c r="AT2957" t="s">
        <v>11134</v>
      </c>
      <c r="AU2957">
        <v>12.52</v>
      </c>
      <c r="AV2957">
        <v>15.04</v>
      </c>
      <c r="AW2957">
        <v>1.19</v>
      </c>
      <c r="BA2957">
        <v>0.32</v>
      </c>
      <c r="BB2957">
        <v>3.86</v>
      </c>
      <c r="BC2957">
        <v>0</v>
      </c>
      <c r="BD2957">
        <v>2.35</v>
      </c>
      <c r="BE2957">
        <v>0.96</v>
      </c>
      <c r="BF2957">
        <v>-2.48</v>
      </c>
      <c r="BG2957">
        <v>1.29</v>
      </c>
      <c r="BH2957">
        <v>-1.06</v>
      </c>
      <c r="BI2957">
        <v>20191112</v>
      </c>
      <c r="BJ2957">
        <v>20180301</v>
      </c>
      <c r="BK2957">
        <v>29.87</v>
      </c>
      <c r="BL2957" t="s">
        <v>116</v>
      </c>
      <c r="BM2957" t="s">
        <v>116</v>
      </c>
      <c r="BN2957">
        <v>664.51</v>
      </c>
      <c r="BO2957">
        <v>116.21</v>
      </c>
      <c r="BP2957">
        <v>0</v>
      </c>
      <c r="BQ2957">
        <v>82.51</v>
      </c>
      <c r="BR2957">
        <v>0</v>
      </c>
      <c r="BS2957">
        <v>4.55</v>
      </c>
      <c r="BT2957">
        <v>0.14000000000000001</v>
      </c>
      <c r="BU2957">
        <v>0</v>
      </c>
      <c r="BV2957">
        <v>0</v>
      </c>
      <c r="BW2957">
        <v>0</v>
      </c>
      <c r="BX2957">
        <v>43.16</v>
      </c>
      <c r="BY2957">
        <v>22.21</v>
      </c>
      <c r="BZ2957">
        <v>0</v>
      </c>
      <c r="CA2957">
        <v>16.11</v>
      </c>
      <c r="CB2957">
        <v>0</v>
      </c>
      <c r="CC2957">
        <v>16.100000000000001</v>
      </c>
      <c r="CD2957">
        <v>12.07</v>
      </c>
      <c r="CE2957">
        <v>12.07</v>
      </c>
      <c r="CF2957">
        <v>12.03</v>
      </c>
      <c r="CG2957">
        <v>30.27</v>
      </c>
      <c r="CH2957">
        <v>12.55</v>
      </c>
      <c r="CI2957">
        <v>3.53</v>
      </c>
      <c r="CJ2957">
        <v>107609</v>
      </c>
      <c r="CK2957">
        <v>7787</v>
      </c>
      <c r="CL2957" t="s">
        <v>185</v>
      </c>
      <c r="CM2957">
        <v>26.3</v>
      </c>
      <c r="CN2957">
        <v>25</v>
      </c>
      <c r="CO2957">
        <v>1.62</v>
      </c>
      <c r="CP2957">
        <v>14.99</v>
      </c>
      <c r="CQ2957">
        <v>8.4700000000000006</v>
      </c>
      <c r="CR2957">
        <v>3.17</v>
      </c>
      <c r="CS2957" t="s">
        <v>13024</v>
      </c>
      <c r="CT2957">
        <v>3.89</v>
      </c>
      <c r="CU2957">
        <v>0</v>
      </c>
      <c r="CV2957">
        <v>1.45</v>
      </c>
      <c r="CW2957">
        <v>1.01</v>
      </c>
      <c r="CX2957">
        <v>0.42</v>
      </c>
      <c r="CY2957">
        <v>17.489999999999998</v>
      </c>
      <c r="CZ2957" t="s">
        <v>9625</v>
      </c>
      <c r="DA2957" t="s">
        <v>116</v>
      </c>
      <c r="DB2957">
        <v>72.540000000000006</v>
      </c>
      <c r="DC2957">
        <v>54.35</v>
      </c>
      <c r="DD2957">
        <v>0</v>
      </c>
      <c r="DE2957">
        <v>271</v>
      </c>
      <c r="DF2957">
        <v>600901</v>
      </c>
      <c r="DG2957" t="s">
        <v>116</v>
      </c>
      <c r="DH2957" t="s">
        <v>116</v>
      </c>
      <c r="DI2957" t="s">
        <v>116</v>
      </c>
    </row>
    <row r="2958" spans="1:113" x14ac:dyDescent="0.4">
      <c r="A2958" t="str">
        <f>"600903"</f>
        <v>600903</v>
      </c>
      <c r="B2958" t="s">
        <v>13025</v>
      </c>
      <c r="C2958">
        <v>-0.4</v>
      </c>
      <c r="D2958">
        <v>15.11</v>
      </c>
      <c r="E2958">
        <v>-0.06</v>
      </c>
      <c r="F2958">
        <v>15.11</v>
      </c>
      <c r="G2958">
        <v>15.12</v>
      </c>
      <c r="H2958">
        <v>123897</v>
      </c>
      <c r="I2958">
        <v>2610</v>
      </c>
      <c r="J2958">
        <v>0</v>
      </c>
      <c r="K2958">
        <v>1.96</v>
      </c>
      <c r="L2958">
        <v>15.16</v>
      </c>
      <c r="M2958">
        <v>15.29</v>
      </c>
      <c r="N2958">
        <v>15.1</v>
      </c>
      <c r="O2958">
        <v>15.17</v>
      </c>
      <c r="P2958">
        <v>76.95</v>
      </c>
      <c r="Q2958">
        <v>187649072</v>
      </c>
      <c r="R2958">
        <v>0.81</v>
      </c>
      <c r="S2958" t="s">
        <v>690</v>
      </c>
      <c r="T2958" t="s">
        <v>1056</v>
      </c>
      <c r="U2958">
        <v>1.25</v>
      </c>
      <c r="V2958">
        <v>15.15</v>
      </c>
      <c r="W2958">
        <v>67738</v>
      </c>
      <c r="X2958">
        <v>56159</v>
      </c>
      <c r="Y2958">
        <v>1.21</v>
      </c>
      <c r="Z2958">
        <v>724</v>
      </c>
      <c r="AA2958">
        <v>211</v>
      </c>
      <c r="AB2958" t="s">
        <v>116</v>
      </c>
      <c r="AC2958">
        <v>206200</v>
      </c>
      <c r="AD2958">
        <v>0.01</v>
      </c>
      <c r="AE2958" t="s">
        <v>116</v>
      </c>
      <c r="AF2958" t="s">
        <v>116</v>
      </c>
      <c r="AG2958">
        <v>6.32</v>
      </c>
      <c r="AH2958" t="s">
        <v>13026</v>
      </c>
      <c r="AI2958" t="s">
        <v>13027</v>
      </c>
      <c r="AJ2958">
        <v>-0.32</v>
      </c>
      <c r="AK2958">
        <v>3120</v>
      </c>
      <c r="AL2958">
        <v>40</v>
      </c>
      <c r="AM2958">
        <v>5.9999999999999995E-4</v>
      </c>
      <c r="AN2958">
        <v>-2</v>
      </c>
      <c r="AO2958">
        <v>-0.79</v>
      </c>
      <c r="AP2958">
        <v>-1.05</v>
      </c>
      <c r="AQ2958">
        <v>6.86</v>
      </c>
      <c r="AR2958">
        <v>0.56000000000000005</v>
      </c>
      <c r="AS2958">
        <v>5.57</v>
      </c>
      <c r="AT2958" t="s">
        <v>3291</v>
      </c>
      <c r="AU2958">
        <v>77.22</v>
      </c>
      <c r="AV2958">
        <v>100.16</v>
      </c>
      <c r="AW2958">
        <v>1.32</v>
      </c>
      <c r="BA2958">
        <v>-7.0000000000000007E-2</v>
      </c>
      <c r="BB2958">
        <v>0.79</v>
      </c>
      <c r="BC2958">
        <v>-0.46</v>
      </c>
      <c r="BD2958">
        <v>-0.16</v>
      </c>
      <c r="BE2958">
        <v>-0.33</v>
      </c>
      <c r="BF2958">
        <v>-1.18</v>
      </c>
      <c r="BG2958">
        <v>7.0000000000000007E-2</v>
      </c>
      <c r="BH2958">
        <v>-0.23</v>
      </c>
      <c r="BI2958">
        <v>20191025</v>
      </c>
      <c r="BJ2958">
        <v>20171107</v>
      </c>
      <c r="BK2958">
        <v>11.38</v>
      </c>
      <c r="BL2958" t="s">
        <v>116</v>
      </c>
      <c r="BM2958" t="s">
        <v>116</v>
      </c>
      <c r="BN2958">
        <v>90.43</v>
      </c>
      <c r="BO2958">
        <v>26.73</v>
      </c>
      <c r="BP2958">
        <v>4.8099999999999996</v>
      </c>
      <c r="BQ2958">
        <v>65.12</v>
      </c>
      <c r="BR2958">
        <v>23.08</v>
      </c>
      <c r="BS2958">
        <v>38.409999999999997</v>
      </c>
      <c r="BT2958">
        <v>4.32</v>
      </c>
      <c r="BU2958">
        <v>44.89</v>
      </c>
      <c r="BV2958">
        <v>5.26</v>
      </c>
      <c r="BW2958">
        <v>4.99</v>
      </c>
      <c r="BX2958">
        <v>1.85</v>
      </c>
      <c r="BY2958">
        <v>28.36</v>
      </c>
      <c r="BZ2958">
        <v>22.44</v>
      </c>
      <c r="CA2958">
        <v>1.88</v>
      </c>
      <c r="CB2958">
        <v>0.41</v>
      </c>
      <c r="CC2958">
        <v>1.96</v>
      </c>
      <c r="CD2958">
        <v>1.62</v>
      </c>
      <c r="CE2958">
        <v>1.68</v>
      </c>
      <c r="CF2958">
        <v>1.36</v>
      </c>
      <c r="CG2958">
        <v>4.84</v>
      </c>
      <c r="CH2958">
        <v>4.8899999999999997</v>
      </c>
      <c r="CI2958">
        <v>3.83</v>
      </c>
      <c r="CJ2958">
        <v>79497</v>
      </c>
      <c r="CK2958">
        <v>2800</v>
      </c>
      <c r="CL2958" t="s">
        <v>3722</v>
      </c>
      <c r="CM2958">
        <v>43.73</v>
      </c>
      <c r="CN2958">
        <v>18.899999999999999</v>
      </c>
      <c r="CO2958">
        <v>6.43</v>
      </c>
      <c r="CP2958">
        <v>35.19</v>
      </c>
      <c r="CQ2958">
        <v>6.06</v>
      </c>
      <c r="CR2958">
        <v>0.3</v>
      </c>
      <c r="CS2958" t="s">
        <v>2902</v>
      </c>
      <c r="CT2958">
        <v>2.35</v>
      </c>
      <c r="CU2958">
        <v>0</v>
      </c>
      <c r="CV2958">
        <v>0.16</v>
      </c>
      <c r="CW2958">
        <v>0.42</v>
      </c>
      <c r="CX2958">
        <v>0.43</v>
      </c>
      <c r="CY2958">
        <v>29.55</v>
      </c>
      <c r="CZ2958" t="s">
        <v>6437</v>
      </c>
      <c r="DA2958">
        <v>20.88</v>
      </c>
      <c r="DB2958">
        <v>6.64</v>
      </c>
      <c r="DC2958">
        <v>5.91</v>
      </c>
      <c r="DD2958">
        <v>0</v>
      </c>
      <c r="DE2958">
        <v>3636</v>
      </c>
      <c r="DF2958">
        <v>600903</v>
      </c>
      <c r="DG2958" t="s">
        <v>116</v>
      </c>
      <c r="DH2958" t="s">
        <v>116</v>
      </c>
      <c r="DI2958" t="s">
        <v>116</v>
      </c>
    </row>
    <row r="2959" spans="1:113" x14ac:dyDescent="0.4">
      <c r="A2959" t="str">
        <f>"600908"</f>
        <v>600908</v>
      </c>
      <c r="B2959" t="s">
        <v>13028</v>
      </c>
      <c r="C2959">
        <v>0</v>
      </c>
      <c r="D2959">
        <v>5.42</v>
      </c>
      <c r="E2959">
        <v>0</v>
      </c>
      <c r="F2959">
        <v>5.41</v>
      </c>
      <c r="G2959">
        <v>5.42</v>
      </c>
      <c r="H2959">
        <v>154191</v>
      </c>
      <c r="I2959">
        <v>1705</v>
      </c>
      <c r="J2959">
        <v>0</v>
      </c>
      <c r="K2959">
        <v>0.91</v>
      </c>
      <c r="L2959">
        <v>5.41</v>
      </c>
      <c r="M2959">
        <v>5.54</v>
      </c>
      <c r="N2959">
        <v>5.4</v>
      </c>
      <c r="O2959">
        <v>5.42</v>
      </c>
      <c r="P2959">
        <v>7.83</v>
      </c>
      <c r="Q2959">
        <v>84182272</v>
      </c>
      <c r="R2959">
        <v>1.1399999999999999</v>
      </c>
      <c r="S2959" t="s">
        <v>114</v>
      </c>
      <c r="T2959" t="s">
        <v>323</v>
      </c>
      <c r="U2959">
        <v>2.58</v>
      </c>
      <c r="V2959">
        <v>5.46</v>
      </c>
      <c r="W2959">
        <v>70423</v>
      </c>
      <c r="X2959">
        <v>83768</v>
      </c>
      <c r="Y2959">
        <v>0.84</v>
      </c>
      <c r="Z2959">
        <v>2514</v>
      </c>
      <c r="AA2959">
        <v>706</v>
      </c>
      <c r="AB2959" t="s">
        <v>116</v>
      </c>
      <c r="AC2959">
        <v>211500</v>
      </c>
      <c r="AD2959">
        <v>0</v>
      </c>
      <c r="AE2959" t="s">
        <v>116</v>
      </c>
      <c r="AF2959" t="s">
        <v>116</v>
      </c>
      <c r="AG2959">
        <v>16.97</v>
      </c>
      <c r="AH2959" t="s">
        <v>13029</v>
      </c>
      <c r="AI2959" t="s">
        <v>13030</v>
      </c>
      <c r="AJ2959">
        <v>0.08</v>
      </c>
      <c r="AK2959">
        <v>2241</v>
      </c>
      <c r="AL2959">
        <v>69</v>
      </c>
      <c r="AM2959">
        <v>4.0000000000000002E-4</v>
      </c>
      <c r="AN2959">
        <v>0</v>
      </c>
      <c r="AO2959">
        <v>0.56000000000000005</v>
      </c>
      <c r="AP2959">
        <v>3.63</v>
      </c>
      <c r="AQ2959">
        <v>1.31</v>
      </c>
      <c r="AR2959">
        <v>7.11</v>
      </c>
      <c r="AS2959">
        <v>1.22</v>
      </c>
      <c r="AT2959" t="s">
        <v>13031</v>
      </c>
      <c r="AU2959">
        <v>8.4</v>
      </c>
      <c r="AV2959">
        <v>9.14</v>
      </c>
      <c r="AW2959">
        <v>1.18</v>
      </c>
      <c r="BA2959">
        <v>-0.18</v>
      </c>
      <c r="BB2959">
        <v>2.21</v>
      </c>
      <c r="BC2959">
        <v>-0.37</v>
      </c>
      <c r="BD2959">
        <v>0.73</v>
      </c>
      <c r="BE2959">
        <v>0.18</v>
      </c>
      <c r="BF2959">
        <v>-2.17</v>
      </c>
      <c r="BG2959">
        <v>0.37</v>
      </c>
      <c r="BH2959">
        <v>-0.73</v>
      </c>
      <c r="BI2959">
        <v>20191031</v>
      </c>
      <c r="BJ2959">
        <v>20160923</v>
      </c>
      <c r="BK2959">
        <v>18.48</v>
      </c>
      <c r="BL2959" t="s">
        <v>116</v>
      </c>
      <c r="BM2959" t="s">
        <v>116</v>
      </c>
      <c r="BN2959">
        <v>1628.67</v>
      </c>
      <c r="BO2959">
        <v>113.18</v>
      </c>
      <c r="BP2959">
        <v>0.85</v>
      </c>
      <c r="BQ2959">
        <v>93</v>
      </c>
      <c r="BR2959">
        <v>0</v>
      </c>
      <c r="BS2959">
        <v>9.0299999999999994</v>
      </c>
      <c r="BT2959">
        <v>1.97</v>
      </c>
      <c r="BU2959">
        <v>0</v>
      </c>
      <c r="BV2959">
        <v>0</v>
      </c>
      <c r="BW2959">
        <v>0</v>
      </c>
      <c r="BX2959">
        <v>9.56</v>
      </c>
      <c r="BY2959">
        <v>25.65</v>
      </c>
      <c r="BZ2959">
        <v>0</v>
      </c>
      <c r="CA2959">
        <v>11.5</v>
      </c>
      <c r="CB2959">
        <v>3.07</v>
      </c>
      <c r="CC2959">
        <v>11.42</v>
      </c>
      <c r="CD2959">
        <v>9.66</v>
      </c>
      <c r="CE2959">
        <v>9.6</v>
      </c>
      <c r="CF2959">
        <v>9.66</v>
      </c>
      <c r="CG2959">
        <v>11.62</v>
      </c>
      <c r="CH2959">
        <v>81.53</v>
      </c>
      <c r="CI2959">
        <v>-17.36</v>
      </c>
      <c r="CJ2959">
        <v>57020</v>
      </c>
      <c r="CK2959">
        <v>22159</v>
      </c>
      <c r="CL2959" t="s">
        <v>13032</v>
      </c>
      <c r="CM2959">
        <v>11.29</v>
      </c>
      <c r="CN2959">
        <v>7.33</v>
      </c>
      <c r="CO2959">
        <v>0.94</v>
      </c>
      <c r="CP2959">
        <v>1.23</v>
      </c>
      <c r="CQ2959">
        <v>3.91</v>
      </c>
      <c r="CR2959">
        <v>3.32</v>
      </c>
      <c r="CS2959" t="s">
        <v>1906</v>
      </c>
      <c r="CT2959">
        <v>5.79</v>
      </c>
      <c r="CU2959">
        <v>5.79</v>
      </c>
      <c r="CV2959">
        <v>0.52</v>
      </c>
      <c r="CW2959">
        <v>0.63</v>
      </c>
      <c r="CX2959">
        <v>4.41</v>
      </c>
      <c r="CY2959">
        <v>6.95</v>
      </c>
      <c r="CZ2959" t="s">
        <v>557</v>
      </c>
      <c r="DA2959" t="s">
        <v>116</v>
      </c>
      <c r="DB2959">
        <v>44.84</v>
      </c>
      <c r="DC2959">
        <v>37.42</v>
      </c>
      <c r="DD2959">
        <v>0</v>
      </c>
      <c r="DE2959">
        <v>1454</v>
      </c>
      <c r="DF2959">
        <v>600908</v>
      </c>
      <c r="DG2959" t="s">
        <v>116</v>
      </c>
      <c r="DH2959" t="s">
        <v>116</v>
      </c>
      <c r="DI2959" t="s">
        <v>116</v>
      </c>
    </row>
    <row r="2960" spans="1:113" x14ac:dyDescent="0.4">
      <c r="A2960" t="str">
        <f>"600909"</f>
        <v>600909</v>
      </c>
      <c r="B2960" t="s">
        <v>13033</v>
      </c>
      <c r="C2960">
        <v>-5.15</v>
      </c>
      <c r="D2960">
        <v>7</v>
      </c>
      <c r="E2960">
        <v>-0.38</v>
      </c>
      <c r="F2960">
        <v>7</v>
      </c>
      <c r="G2960">
        <v>7.01</v>
      </c>
      <c r="H2960">
        <v>1155398</v>
      </c>
      <c r="I2960">
        <v>21319</v>
      </c>
      <c r="J2960">
        <v>-0.42</v>
      </c>
      <c r="K2960">
        <v>3.19</v>
      </c>
      <c r="L2960">
        <v>7.33</v>
      </c>
      <c r="M2960">
        <v>7.45</v>
      </c>
      <c r="N2960">
        <v>7</v>
      </c>
      <c r="O2960">
        <v>7.38</v>
      </c>
      <c r="P2960">
        <v>21.77</v>
      </c>
      <c r="Q2960">
        <v>838450496</v>
      </c>
      <c r="R2960">
        <v>1.1499999999999999</v>
      </c>
      <c r="S2960" t="s">
        <v>623</v>
      </c>
      <c r="T2960" t="s">
        <v>575</v>
      </c>
      <c r="U2960">
        <v>6.1</v>
      </c>
      <c r="V2960">
        <v>7.26</v>
      </c>
      <c r="W2960">
        <v>583268</v>
      </c>
      <c r="X2960">
        <v>572130</v>
      </c>
      <c r="Y2960">
        <v>1.02</v>
      </c>
      <c r="Z2960">
        <v>6747</v>
      </c>
      <c r="AA2960">
        <v>6036</v>
      </c>
      <c r="AB2960" t="s">
        <v>116</v>
      </c>
      <c r="AC2960">
        <v>4763000</v>
      </c>
      <c r="AD2960">
        <v>0.03</v>
      </c>
      <c r="AE2960" t="s">
        <v>116</v>
      </c>
      <c r="AF2960" t="s">
        <v>116</v>
      </c>
      <c r="AG2960">
        <v>36.21</v>
      </c>
      <c r="AH2960" t="s">
        <v>13034</v>
      </c>
      <c r="AI2960" t="s">
        <v>13034</v>
      </c>
      <c r="AJ2960">
        <v>-5.07</v>
      </c>
      <c r="AK2960">
        <v>4379</v>
      </c>
      <c r="AL2960">
        <v>264</v>
      </c>
      <c r="AM2960">
        <v>6.9999999999999999E-4</v>
      </c>
      <c r="AN2960">
        <v>-1</v>
      </c>
      <c r="AO2960">
        <v>-0.85</v>
      </c>
      <c r="AP2960">
        <v>17.059999999999999</v>
      </c>
      <c r="AQ2960">
        <v>10.76</v>
      </c>
      <c r="AR2960">
        <v>50.21</v>
      </c>
      <c r="AS2960">
        <v>6.02</v>
      </c>
      <c r="AT2960" t="s">
        <v>13035</v>
      </c>
      <c r="AU2960">
        <v>23.7</v>
      </c>
      <c r="AV2960">
        <v>45.77</v>
      </c>
      <c r="AW2960">
        <v>1.85</v>
      </c>
      <c r="BA2960">
        <v>-0.68</v>
      </c>
      <c r="BB2960">
        <v>0.95</v>
      </c>
      <c r="BC2960">
        <v>-5.15</v>
      </c>
      <c r="BD2960">
        <v>-1.67</v>
      </c>
      <c r="BE2960">
        <v>-4.5</v>
      </c>
      <c r="BF2960">
        <v>-6.04</v>
      </c>
      <c r="BG2960">
        <v>0</v>
      </c>
      <c r="BH2960">
        <v>-3.48</v>
      </c>
      <c r="BI2960">
        <v>20191205</v>
      </c>
      <c r="BJ2960">
        <v>20161206</v>
      </c>
      <c r="BK2960">
        <v>36.21</v>
      </c>
      <c r="BL2960" t="s">
        <v>116</v>
      </c>
      <c r="BM2960" t="s">
        <v>116</v>
      </c>
      <c r="BN2960">
        <v>508.79</v>
      </c>
      <c r="BO2960">
        <v>130.26</v>
      </c>
      <c r="BP2960">
        <v>3.21</v>
      </c>
      <c r="BQ2960">
        <v>73.77</v>
      </c>
      <c r="BR2960">
        <v>0</v>
      </c>
      <c r="BS2960">
        <v>5.48</v>
      </c>
      <c r="BT2960">
        <v>0.53</v>
      </c>
      <c r="BU2960">
        <v>0</v>
      </c>
      <c r="BV2960">
        <v>0</v>
      </c>
      <c r="BW2960">
        <v>0</v>
      </c>
      <c r="BX2960">
        <v>51.1</v>
      </c>
      <c r="BY2960">
        <v>21.82</v>
      </c>
      <c r="BZ2960">
        <v>0</v>
      </c>
      <c r="CA2960">
        <v>11.36</v>
      </c>
      <c r="CB2960">
        <v>7.41</v>
      </c>
      <c r="CC2960">
        <v>11.37</v>
      </c>
      <c r="CD2960">
        <v>9.1999999999999993</v>
      </c>
      <c r="CE2960">
        <v>8.73</v>
      </c>
      <c r="CF2960">
        <v>8.6999999999999993</v>
      </c>
      <c r="CG2960">
        <v>26.82</v>
      </c>
      <c r="CH2960">
        <v>34.520000000000003</v>
      </c>
      <c r="CI2960">
        <v>36.74</v>
      </c>
      <c r="CJ2960">
        <v>144269</v>
      </c>
      <c r="CK2960">
        <v>13293</v>
      </c>
      <c r="CL2960" t="s">
        <v>8425</v>
      </c>
      <c r="CM2960">
        <v>144.25</v>
      </c>
      <c r="CN2960">
        <v>78.989999999999995</v>
      </c>
      <c r="CO2960">
        <v>1.95</v>
      </c>
      <c r="CP2960">
        <v>7.34</v>
      </c>
      <c r="CQ2960">
        <v>11.62</v>
      </c>
      <c r="CR2960">
        <v>0.86</v>
      </c>
      <c r="CS2960" t="s">
        <v>580</v>
      </c>
      <c r="CT2960">
        <v>3.6</v>
      </c>
      <c r="CU2960">
        <v>0</v>
      </c>
      <c r="CV2960">
        <v>1.41</v>
      </c>
      <c r="CW2960">
        <v>0.74</v>
      </c>
      <c r="CX2960">
        <v>0.95</v>
      </c>
      <c r="CY2960">
        <v>25.6</v>
      </c>
      <c r="CZ2960" t="s">
        <v>10354</v>
      </c>
      <c r="DA2960" t="s">
        <v>116</v>
      </c>
      <c r="DB2960">
        <v>52.04</v>
      </c>
      <c r="DC2960">
        <v>40.03</v>
      </c>
      <c r="DD2960">
        <v>0</v>
      </c>
      <c r="DE2960">
        <v>2753</v>
      </c>
      <c r="DF2960">
        <v>600909</v>
      </c>
      <c r="DG2960" t="s">
        <v>116</v>
      </c>
      <c r="DH2960" t="s">
        <v>116</v>
      </c>
      <c r="DI2960" t="s">
        <v>116</v>
      </c>
    </row>
    <row r="2961" spans="1:113" x14ac:dyDescent="0.4">
      <c r="A2961" t="str">
        <f>"600917"</f>
        <v>600917</v>
      </c>
      <c r="B2961" t="s">
        <v>13036</v>
      </c>
      <c r="C2961">
        <v>-0.68</v>
      </c>
      <c r="D2961">
        <v>7.29</v>
      </c>
      <c r="E2961">
        <v>-0.05</v>
      </c>
      <c r="F2961">
        <v>7.29</v>
      </c>
      <c r="G2961">
        <v>7.3</v>
      </c>
      <c r="H2961">
        <v>41589</v>
      </c>
      <c r="I2961">
        <v>878</v>
      </c>
      <c r="J2961">
        <v>-0.13</v>
      </c>
      <c r="K2961">
        <v>0.27</v>
      </c>
      <c r="L2961">
        <v>7.34</v>
      </c>
      <c r="M2961">
        <v>7.39</v>
      </c>
      <c r="N2961">
        <v>7.29</v>
      </c>
      <c r="O2961">
        <v>7.34</v>
      </c>
      <c r="P2961">
        <v>27.36</v>
      </c>
      <c r="Q2961">
        <v>30506142</v>
      </c>
      <c r="R2961">
        <v>0.69</v>
      </c>
      <c r="S2961" t="s">
        <v>690</v>
      </c>
      <c r="T2961" t="s">
        <v>906</v>
      </c>
      <c r="U2961">
        <v>1.36</v>
      </c>
      <c r="V2961">
        <v>7.34</v>
      </c>
      <c r="W2961">
        <v>24265</v>
      </c>
      <c r="X2961">
        <v>17324</v>
      </c>
      <c r="Y2961">
        <v>1.4</v>
      </c>
      <c r="Z2961">
        <v>1275</v>
      </c>
      <c r="AA2961">
        <v>839</v>
      </c>
      <c r="AB2961" t="s">
        <v>116</v>
      </c>
      <c r="AC2961">
        <v>33400</v>
      </c>
      <c r="AD2961">
        <v>0</v>
      </c>
      <c r="AE2961" t="s">
        <v>116</v>
      </c>
      <c r="AF2961" t="s">
        <v>116</v>
      </c>
      <c r="AG2961">
        <v>15.56</v>
      </c>
      <c r="AH2961" t="s">
        <v>13037</v>
      </c>
      <c r="AI2961" t="s">
        <v>13037</v>
      </c>
      <c r="AJ2961">
        <v>-0.6</v>
      </c>
      <c r="AK2961">
        <v>1070</v>
      </c>
      <c r="AL2961">
        <v>39</v>
      </c>
      <c r="AM2961">
        <v>2.0000000000000001E-4</v>
      </c>
      <c r="AN2961">
        <v>-2</v>
      </c>
      <c r="AO2961">
        <v>-0.81</v>
      </c>
      <c r="AP2961">
        <v>1.39</v>
      </c>
      <c r="AQ2961">
        <v>3.26</v>
      </c>
      <c r="AR2961">
        <v>3.55</v>
      </c>
      <c r="AS2961">
        <v>2.42</v>
      </c>
      <c r="AT2961" t="s">
        <v>5885</v>
      </c>
      <c r="AU2961">
        <v>30.21</v>
      </c>
      <c r="AV2961">
        <v>32.630000000000003</v>
      </c>
      <c r="AW2961">
        <v>0.92</v>
      </c>
      <c r="BA2961">
        <v>0</v>
      </c>
      <c r="BB2961">
        <v>0.68</v>
      </c>
      <c r="BC2961">
        <v>-0.68</v>
      </c>
      <c r="BD2961">
        <v>-7.0000000000000007E-2</v>
      </c>
      <c r="BE2961">
        <v>-0.68</v>
      </c>
      <c r="BF2961">
        <v>-1.35</v>
      </c>
      <c r="BG2961">
        <v>0</v>
      </c>
      <c r="BH2961">
        <v>-0.61</v>
      </c>
      <c r="BI2961">
        <v>20191023</v>
      </c>
      <c r="BJ2961">
        <v>20140930</v>
      </c>
      <c r="BK2961">
        <v>15.56</v>
      </c>
      <c r="BL2961" t="s">
        <v>116</v>
      </c>
      <c r="BM2961" t="s">
        <v>116</v>
      </c>
      <c r="BN2961">
        <v>88.48</v>
      </c>
      <c r="BO2961">
        <v>41.22</v>
      </c>
      <c r="BP2961">
        <v>4.0199999999999996</v>
      </c>
      <c r="BQ2961">
        <v>48.87</v>
      </c>
      <c r="BR2961">
        <v>25.15</v>
      </c>
      <c r="BS2961">
        <v>41.17</v>
      </c>
      <c r="BT2961">
        <v>3.04</v>
      </c>
      <c r="BU2961">
        <v>23.56</v>
      </c>
      <c r="BV2961">
        <v>0.89</v>
      </c>
      <c r="BW2961">
        <v>2.25</v>
      </c>
      <c r="BX2961">
        <v>10.1</v>
      </c>
      <c r="BY2961">
        <v>51.22</v>
      </c>
      <c r="BZ2961">
        <v>44.48</v>
      </c>
      <c r="CA2961">
        <v>3.7</v>
      </c>
      <c r="CB2961">
        <v>0.36</v>
      </c>
      <c r="CC2961">
        <v>3.83</v>
      </c>
      <c r="CD2961">
        <v>3.26</v>
      </c>
      <c r="CE2961">
        <v>3.11</v>
      </c>
      <c r="CF2961">
        <v>2.9</v>
      </c>
      <c r="CG2961">
        <v>12.5</v>
      </c>
      <c r="CH2961">
        <v>5.95</v>
      </c>
      <c r="CI2961">
        <v>1.02</v>
      </c>
      <c r="CJ2961">
        <v>37332</v>
      </c>
      <c r="CK2961">
        <v>4596</v>
      </c>
      <c r="CL2961" t="s">
        <v>10836</v>
      </c>
      <c r="CM2961">
        <v>9.84</v>
      </c>
      <c r="CN2961">
        <v>16.329999999999998</v>
      </c>
      <c r="CO2961">
        <v>2.75</v>
      </c>
      <c r="CP2961">
        <v>19.07</v>
      </c>
      <c r="CQ2961">
        <v>2.21</v>
      </c>
      <c r="CR2961">
        <v>1.1000000000000001</v>
      </c>
      <c r="CS2961" t="s">
        <v>541</v>
      </c>
      <c r="CT2961">
        <v>2.65</v>
      </c>
      <c r="CU2961">
        <v>0</v>
      </c>
      <c r="CV2961">
        <v>0.65</v>
      </c>
      <c r="CW2961">
        <v>0.8</v>
      </c>
      <c r="CX2961">
        <v>0.38</v>
      </c>
      <c r="CY2961">
        <v>46.58</v>
      </c>
      <c r="CZ2961" t="s">
        <v>13038</v>
      </c>
      <c r="DA2961">
        <v>13.16</v>
      </c>
      <c r="DB2961">
        <v>7.23</v>
      </c>
      <c r="DC2961">
        <v>6.07</v>
      </c>
      <c r="DD2961">
        <v>0.01</v>
      </c>
      <c r="DE2961">
        <v>4064</v>
      </c>
      <c r="DF2961">
        <v>600917</v>
      </c>
      <c r="DG2961" t="s">
        <v>116</v>
      </c>
      <c r="DH2961" t="s">
        <v>116</v>
      </c>
      <c r="DI2961" t="s">
        <v>116</v>
      </c>
    </row>
    <row r="2962" spans="1:113" x14ac:dyDescent="0.4">
      <c r="A2962" t="str">
        <f>"600919"</f>
        <v>600919</v>
      </c>
      <c r="B2962" t="s">
        <v>13039</v>
      </c>
      <c r="C2962">
        <v>-0.14000000000000001</v>
      </c>
      <c r="D2962">
        <v>7.19</v>
      </c>
      <c r="E2962">
        <v>-0.01</v>
      </c>
      <c r="F2962">
        <v>7.19</v>
      </c>
      <c r="G2962">
        <v>7.2</v>
      </c>
      <c r="H2962">
        <v>261123</v>
      </c>
      <c r="I2962">
        <v>1377</v>
      </c>
      <c r="J2962">
        <v>-0.13</v>
      </c>
      <c r="K2962">
        <v>0.23</v>
      </c>
      <c r="L2962">
        <v>7.2</v>
      </c>
      <c r="M2962">
        <v>7.25</v>
      </c>
      <c r="N2962">
        <v>7.16</v>
      </c>
      <c r="O2962">
        <v>7.2</v>
      </c>
      <c r="P2962">
        <v>5.24</v>
      </c>
      <c r="Q2962">
        <v>188419008</v>
      </c>
      <c r="R2962">
        <v>0.97</v>
      </c>
      <c r="S2962" t="s">
        <v>114</v>
      </c>
      <c r="T2962" t="s">
        <v>323</v>
      </c>
      <c r="U2962">
        <v>1.25</v>
      </c>
      <c r="V2962">
        <v>7.22</v>
      </c>
      <c r="W2962">
        <v>114869</v>
      </c>
      <c r="X2962">
        <v>146254</v>
      </c>
      <c r="Y2962">
        <v>0.79</v>
      </c>
      <c r="Z2962">
        <v>2149</v>
      </c>
      <c r="AA2962">
        <v>279</v>
      </c>
      <c r="AB2962" t="s">
        <v>116</v>
      </c>
      <c r="AC2962">
        <v>812200</v>
      </c>
      <c r="AD2962">
        <v>0</v>
      </c>
      <c r="AE2962" t="s">
        <v>116</v>
      </c>
      <c r="AF2962" t="s">
        <v>116</v>
      </c>
      <c r="AG2962">
        <v>114.06</v>
      </c>
      <c r="AH2962" t="s">
        <v>13040</v>
      </c>
      <c r="AI2962" t="s">
        <v>13041</v>
      </c>
      <c r="AJ2962">
        <v>-0.06</v>
      </c>
      <c r="AK2962">
        <v>3551</v>
      </c>
      <c r="AL2962">
        <v>74</v>
      </c>
      <c r="AM2962">
        <v>1E-4</v>
      </c>
      <c r="AN2962">
        <v>-1</v>
      </c>
      <c r="AO2962">
        <v>0.56000000000000005</v>
      </c>
      <c r="AP2962">
        <v>4.2</v>
      </c>
      <c r="AQ2962">
        <v>5.89</v>
      </c>
      <c r="AR2962">
        <v>27.71</v>
      </c>
      <c r="AS2962">
        <v>0.28999999999999998</v>
      </c>
      <c r="AT2962" t="s">
        <v>13042</v>
      </c>
      <c r="AU2962">
        <v>5.65</v>
      </c>
      <c r="AV2962">
        <v>6.35</v>
      </c>
      <c r="AW2962">
        <v>0.82</v>
      </c>
      <c r="BA2962">
        <v>0</v>
      </c>
      <c r="BB2962">
        <v>0.69</v>
      </c>
      <c r="BC2962">
        <v>-0.56000000000000005</v>
      </c>
      <c r="BD2962">
        <v>0.22</v>
      </c>
      <c r="BE2962">
        <v>-0.14000000000000001</v>
      </c>
      <c r="BF2962">
        <v>-0.83</v>
      </c>
      <c r="BG2962">
        <v>0.42</v>
      </c>
      <c r="BH2962">
        <v>-0.36</v>
      </c>
      <c r="BI2962">
        <v>20191030</v>
      </c>
      <c r="BJ2962">
        <v>20160802</v>
      </c>
      <c r="BK2962">
        <v>115.44</v>
      </c>
      <c r="BL2962" t="s">
        <v>116</v>
      </c>
      <c r="BM2962" t="s">
        <v>116</v>
      </c>
      <c r="BN2962">
        <v>20665.77</v>
      </c>
      <c r="BO2962">
        <v>1310.19</v>
      </c>
      <c r="BP2962">
        <v>36.06</v>
      </c>
      <c r="BQ2962">
        <v>93.49</v>
      </c>
      <c r="BR2962">
        <v>0</v>
      </c>
      <c r="BS2962">
        <v>53.12</v>
      </c>
      <c r="BT2962">
        <v>6.01</v>
      </c>
      <c r="BU2962">
        <v>0</v>
      </c>
      <c r="BV2962">
        <v>0</v>
      </c>
      <c r="BW2962">
        <v>0</v>
      </c>
      <c r="BX2962">
        <v>161.52000000000001</v>
      </c>
      <c r="BY2962">
        <v>332.2</v>
      </c>
      <c r="BZ2962">
        <v>0</v>
      </c>
      <c r="CA2962">
        <v>132.94999999999999</v>
      </c>
      <c r="CB2962">
        <v>104.86</v>
      </c>
      <c r="CC2962">
        <v>132.84</v>
      </c>
      <c r="CD2962">
        <v>121.84</v>
      </c>
      <c r="CE2962">
        <v>118.8</v>
      </c>
      <c r="CF2962">
        <v>117.83</v>
      </c>
      <c r="CG2962">
        <v>364.2</v>
      </c>
      <c r="CH2962">
        <v>-354.68</v>
      </c>
      <c r="CI2962">
        <v>-102.75</v>
      </c>
      <c r="CJ2962">
        <v>157576</v>
      </c>
      <c r="CK2962">
        <v>56711</v>
      </c>
      <c r="CL2962" t="s">
        <v>13043</v>
      </c>
      <c r="CM2962">
        <v>15.82</v>
      </c>
      <c r="CN2962">
        <v>27.43</v>
      </c>
      <c r="CO2962">
        <v>0.77</v>
      </c>
      <c r="CP2962">
        <v>-2.34</v>
      </c>
      <c r="CQ2962">
        <v>2.5</v>
      </c>
      <c r="CR2962">
        <v>4.7300000000000004</v>
      </c>
      <c r="CS2962" t="s">
        <v>13044</v>
      </c>
      <c r="CT2962">
        <v>9.3800000000000008</v>
      </c>
      <c r="CU2962">
        <v>9.3800000000000008</v>
      </c>
      <c r="CV2962">
        <v>1.4</v>
      </c>
      <c r="CW2962">
        <v>3.15</v>
      </c>
      <c r="CX2962">
        <v>-3.07</v>
      </c>
      <c r="CY2962">
        <v>6.34</v>
      </c>
      <c r="CZ2962" t="s">
        <v>13045</v>
      </c>
      <c r="DA2962" t="s">
        <v>116</v>
      </c>
      <c r="DB2962">
        <v>40.020000000000003</v>
      </c>
      <c r="DC2962">
        <v>35.76</v>
      </c>
      <c r="DD2962">
        <v>0</v>
      </c>
      <c r="DE2962">
        <v>14915</v>
      </c>
      <c r="DF2962">
        <v>600919</v>
      </c>
      <c r="DG2962" t="s">
        <v>116</v>
      </c>
      <c r="DH2962" t="s">
        <v>116</v>
      </c>
      <c r="DI2962" t="s">
        <v>116</v>
      </c>
    </row>
    <row r="2963" spans="1:113" x14ac:dyDescent="0.4">
      <c r="A2963" t="str">
        <f>"600926"</f>
        <v>600926</v>
      </c>
      <c r="B2963" t="s">
        <v>13046</v>
      </c>
      <c r="C2963">
        <v>-0.66</v>
      </c>
      <c r="D2963">
        <v>9.1</v>
      </c>
      <c r="E2963">
        <v>-0.06</v>
      </c>
      <c r="F2963">
        <v>9.09</v>
      </c>
      <c r="G2963">
        <v>9.1</v>
      </c>
      <c r="H2963">
        <v>157896</v>
      </c>
      <c r="I2963">
        <v>484</v>
      </c>
      <c r="J2963">
        <v>-0.1</v>
      </c>
      <c r="K2963">
        <v>0.36</v>
      </c>
      <c r="L2963">
        <v>9.14</v>
      </c>
      <c r="M2963">
        <v>9.23</v>
      </c>
      <c r="N2963">
        <v>9.07</v>
      </c>
      <c r="O2963">
        <v>9.16</v>
      </c>
      <c r="P2963">
        <v>6.6</v>
      </c>
      <c r="Q2963">
        <v>144428192</v>
      </c>
      <c r="R2963">
        <v>1.31</v>
      </c>
      <c r="S2963" t="s">
        <v>114</v>
      </c>
      <c r="T2963" t="s">
        <v>590</v>
      </c>
      <c r="U2963">
        <v>1.75</v>
      </c>
      <c r="V2963">
        <v>9.15</v>
      </c>
      <c r="W2963">
        <v>95749</v>
      </c>
      <c r="X2963">
        <v>62147</v>
      </c>
      <c r="Y2963">
        <v>1.54</v>
      </c>
      <c r="Z2963">
        <v>458</v>
      </c>
      <c r="AA2963">
        <v>454</v>
      </c>
      <c r="AB2963" t="s">
        <v>116</v>
      </c>
      <c r="AC2963">
        <v>380200</v>
      </c>
      <c r="AD2963">
        <v>0</v>
      </c>
      <c r="AE2963" t="s">
        <v>116</v>
      </c>
      <c r="AF2963" t="s">
        <v>116</v>
      </c>
      <c r="AG2963">
        <v>43.92</v>
      </c>
      <c r="AH2963" t="s">
        <v>13047</v>
      </c>
      <c r="AI2963" t="s">
        <v>13048</v>
      </c>
      <c r="AJ2963">
        <v>-0.57999999999999996</v>
      </c>
      <c r="AK2963">
        <v>3031</v>
      </c>
      <c r="AL2963">
        <v>52</v>
      </c>
      <c r="AM2963">
        <v>1E-4</v>
      </c>
      <c r="AN2963">
        <v>-1</v>
      </c>
      <c r="AO2963">
        <v>-0.23</v>
      </c>
      <c r="AP2963">
        <v>4.4800000000000004</v>
      </c>
      <c r="AQ2963">
        <v>7.82</v>
      </c>
      <c r="AR2963">
        <v>27.27</v>
      </c>
      <c r="AS2963">
        <v>0.7</v>
      </c>
      <c r="AT2963" t="s">
        <v>13049</v>
      </c>
      <c r="AU2963">
        <v>7.4</v>
      </c>
      <c r="AV2963">
        <v>8.6300000000000008</v>
      </c>
      <c r="AW2963">
        <v>1.1499999999999999</v>
      </c>
      <c r="BA2963">
        <v>-0.22</v>
      </c>
      <c r="BB2963">
        <v>0.76</v>
      </c>
      <c r="BC2963">
        <v>-0.98</v>
      </c>
      <c r="BD2963">
        <v>-0.14000000000000001</v>
      </c>
      <c r="BE2963">
        <v>-0.44</v>
      </c>
      <c r="BF2963">
        <v>-1.41</v>
      </c>
      <c r="BG2963">
        <v>0.33</v>
      </c>
      <c r="BH2963">
        <v>-0.51</v>
      </c>
      <c r="BI2963">
        <v>20191226</v>
      </c>
      <c r="BJ2963">
        <v>20161027</v>
      </c>
      <c r="BK2963">
        <v>51.3</v>
      </c>
      <c r="BL2963" t="s">
        <v>116</v>
      </c>
      <c r="BM2963" t="s">
        <v>116</v>
      </c>
      <c r="BN2963">
        <v>9806.2800000000007</v>
      </c>
      <c r="BO2963">
        <v>614.94000000000005</v>
      </c>
      <c r="BP2963">
        <v>0</v>
      </c>
      <c r="BQ2963">
        <v>93.73</v>
      </c>
      <c r="BR2963">
        <v>0</v>
      </c>
      <c r="BS2963">
        <v>13.26</v>
      </c>
      <c r="BT2963">
        <v>11.37</v>
      </c>
      <c r="BU2963">
        <v>0</v>
      </c>
      <c r="BV2963">
        <v>0</v>
      </c>
      <c r="BW2963">
        <v>0</v>
      </c>
      <c r="BX2963">
        <v>88.74</v>
      </c>
      <c r="BY2963">
        <v>160.47</v>
      </c>
      <c r="BZ2963">
        <v>0</v>
      </c>
      <c r="CA2963">
        <v>59.11</v>
      </c>
      <c r="CB2963">
        <v>34.659999999999997</v>
      </c>
      <c r="CC2963">
        <v>59.25</v>
      </c>
      <c r="CD2963">
        <v>53.06</v>
      </c>
      <c r="CE2963">
        <v>53.06</v>
      </c>
      <c r="CF2963">
        <v>52.96</v>
      </c>
      <c r="CG2963">
        <v>208.65</v>
      </c>
      <c r="CH2963">
        <v>181.26</v>
      </c>
      <c r="CI2963">
        <v>198.36</v>
      </c>
      <c r="CJ2963">
        <v>73498</v>
      </c>
      <c r="CK2963">
        <v>30761</v>
      </c>
      <c r="CL2963" t="s">
        <v>13050</v>
      </c>
      <c r="CM2963">
        <v>20.25</v>
      </c>
      <c r="CN2963">
        <v>25.85</v>
      </c>
      <c r="CO2963">
        <v>0.91</v>
      </c>
      <c r="CP2963">
        <v>2.58</v>
      </c>
      <c r="CQ2963">
        <v>2.91</v>
      </c>
      <c r="CR2963">
        <v>2.75</v>
      </c>
      <c r="CS2963" t="s">
        <v>13051</v>
      </c>
      <c r="CT2963">
        <v>10.039999999999999</v>
      </c>
      <c r="CU2963">
        <v>10.039999999999999</v>
      </c>
      <c r="CV2963">
        <v>1.73</v>
      </c>
      <c r="CW2963">
        <v>4.07</v>
      </c>
      <c r="CX2963">
        <v>3.53</v>
      </c>
      <c r="CY2963">
        <v>6.27</v>
      </c>
      <c r="CZ2963" t="s">
        <v>10442</v>
      </c>
      <c r="DA2963" t="s">
        <v>116</v>
      </c>
      <c r="DB2963">
        <v>36.840000000000003</v>
      </c>
      <c r="DC2963">
        <v>33.07</v>
      </c>
      <c r="DD2963">
        <v>0</v>
      </c>
      <c r="DE2963">
        <v>7509</v>
      </c>
      <c r="DF2963">
        <v>600926</v>
      </c>
      <c r="DG2963" t="s">
        <v>116</v>
      </c>
      <c r="DH2963" t="s">
        <v>116</v>
      </c>
      <c r="DI2963" t="s">
        <v>116</v>
      </c>
    </row>
    <row r="2964" spans="1:113" x14ac:dyDescent="0.4">
      <c r="A2964" t="str">
        <f>"600928"</f>
        <v>600928</v>
      </c>
      <c r="B2964" t="s">
        <v>13052</v>
      </c>
      <c r="C2964">
        <v>2.67</v>
      </c>
      <c r="D2964">
        <v>7.68</v>
      </c>
      <c r="E2964">
        <v>0.2</v>
      </c>
      <c r="F2964">
        <v>7.67</v>
      </c>
      <c r="G2964">
        <v>7.68</v>
      </c>
      <c r="H2964">
        <v>716871</v>
      </c>
      <c r="I2964">
        <v>6867</v>
      </c>
      <c r="J2964">
        <v>0.26</v>
      </c>
      <c r="K2964">
        <v>16.13</v>
      </c>
      <c r="L2964">
        <v>7.51</v>
      </c>
      <c r="M2964">
        <v>8.1999999999999993</v>
      </c>
      <c r="N2964">
        <v>7.42</v>
      </c>
      <c r="O2964">
        <v>7.48</v>
      </c>
      <c r="P2964">
        <v>12.73</v>
      </c>
      <c r="Q2964">
        <v>554742144</v>
      </c>
      <c r="R2964">
        <v>2.2000000000000002</v>
      </c>
      <c r="S2964" t="s">
        <v>114</v>
      </c>
      <c r="T2964" t="s">
        <v>913</v>
      </c>
      <c r="U2964">
        <v>10.43</v>
      </c>
      <c r="V2964">
        <v>7.74</v>
      </c>
      <c r="W2964">
        <v>364027</v>
      </c>
      <c r="X2964">
        <v>352844</v>
      </c>
      <c r="Y2964">
        <v>1.03</v>
      </c>
      <c r="Z2964">
        <v>1277</v>
      </c>
      <c r="AA2964">
        <v>1127</v>
      </c>
      <c r="AB2964" t="s">
        <v>116</v>
      </c>
      <c r="AC2964">
        <v>1752800</v>
      </c>
      <c r="AD2964">
        <v>0.05</v>
      </c>
      <c r="AE2964" t="s">
        <v>116</v>
      </c>
      <c r="AF2964" t="s">
        <v>116</v>
      </c>
      <c r="AG2964">
        <v>4.4400000000000004</v>
      </c>
      <c r="AH2964" t="s">
        <v>13053</v>
      </c>
      <c r="AI2964" t="s">
        <v>13054</v>
      </c>
      <c r="AJ2964">
        <v>2.75</v>
      </c>
      <c r="AK2964">
        <v>4142</v>
      </c>
      <c r="AL2964">
        <v>173</v>
      </c>
      <c r="AM2964">
        <v>3.8999999999999998E-3</v>
      </c>
      <c r="AN2964">
        <v>4</v>
      </c>
      <c r="AO2964">
        <v>7.11</v>
      </c>
      <c r="AP2964">
        <v>14.46</v>
      </c>
      <c r="AQ2964">
        <v>0.79</v>
      </c>
      <c r="AR2964">
        <v>69.91</v>
      </c>
      <c r="AS2964">
        <v>16.13</v>
      </c>
      <c r="AT2964" t="s">
        <v>13053</v>
      </c>
      <c r="AU2964">
        <v>13.29</v>
      </c>
      <c r="AV2964">
        <v>14.45</v>
      </c>
      <c r="AW2964">
        <v>1.95</v>
      </c>
      <c r="BA2964">
        <v>0.4</v>
      </c>
      <c r="BB2964">
        <v>9.6300000000000008</v>
      </c>
      <c r="BC2964">
        <v>-0.8</v>
      </c>
      <c r="BD2964">
        <v>3.45</v>
      </c>
      <c r="BE2964">
        <v>2.2599999999999998</v>
      </c>
      <c r="BF2964">
        <v>-6.34</v>
      </c>
      <c r="BG2964">
        <v>3.5</v>
      </c>
      <c r="BH2964">
        <v>-0.78</v>
      </c>
      <c r="BI2964">
        <v>20191030</v>
      </c>
      <c r="BJ2964">
        <v>20190301</v>
      </c>
      <c r="BK2964">
        <v>44.44</v>
      </c>
      <c r="BL2964" t="s">
        <v>116</v>
      </c>
      <c r="BM2964" t="s">
        <v>116</v>
      </c>
      <c r="BN2964">
        <v>2654.02</v>
      </c>
      <c r="BO2964">
        <v>231.55</v>
      </c>
      <c r="BP2964">
        <v>0.44</v>
      </c>
      <c r="BQ2964">
        <v>91.26</v>
      </c>
      <c r="BR2964">
        <v>0</v>
      </c>
      <c r="BS2964">
        <v>3.92</v>
      </c>
      <c r="BT2964">
        <v>0.7</v>
      </c>
      <c r="BU2964">
        <v>0</v>
      </c>
      <c r="BV2964">
        <v>0</v>
      </c>
      <c r="BW2964">
        <v>0</v>
      </c>
      <c r="BX2964">
        <v>36.94</v>
      </c>
      <c r="BY2964">
        <v>51.19</v>
      </c>
      <c r="BZ2964">
        <v>0</v>
      </c>
      <c r="CA2964">
        <v>23.9</v>
      </c>
      <c r="CB2964">
        <v>3.96</v>
      </c>
      <c r="CC2964">
        <v>23.89</v>
      </c>
      <c r="CD2964">
        <v>20.11</v>
      </c>
      <c r="CE2964">
        <v>20.11</v>
      </c>
      <c r="CF2964">
        <v>20.079999999999998</v>
      </c>
      <c r="CG2964">
        <v>97.84</v>
      </c>
      <c r="CH2964">
        <v>-15.02</v>
      </c>
      <c r="CI2964">
        <v>-7.12</v>
      </c>
      <c r="CJ2964">
        <v>115585</v>
      </c>
      <c r="CK2964">
        <v>3845</v>
      </c>
      <c r="CL2964" t="s">
        <v>875</v>
      </c>
      <c r="CM2964">
        <v>11.49</v>
      </c>
      <c r="CN2964">
        <v>18.260000000000002</v>
      </c>
      <c r="CO2964">
        <v>1.47</v>
      </c>
      <c r="CP2964">
        <v>-22.72</v>
      </c>
      <c r="CQ2964">
        <v>6.67</v>
      </c>
      <c r="CR2964">
        <v>2.08</v>
      </c>
      <c r="CS2964" t="s">
        <v>672</v>
      </c>
      <c r="CT2964">
        <v>5.21</v>
      </c>
      <c r="CU2964">
        <v>0</v>
      </c>
      <c r="CV2964">
        <v>0.83</v>
      </c>
      <c r="CW2964">
        <v>2.2000000000000002</v>
      </c>
      <c r="CX2964">
        <v>-0.34</v>
      </c>
      <c r="CY2964">
        <v>8.7200000000000006</v>
      </c>
      <c r="CZ2964" t="s">
        <v>3433</v>
      </c>
      <c r="DA2964" t="s">
        <v>116</v>
      </c>
      <c r="DB2964">
        <v>46.69</v>
      </c>
      <c r="DC2964">
        <v>39.28</v>
      </c>
      <c r="DD2964">
        <v>0</v>
      </c>
      <c r="DE2964">
        <v>3322</v>
      </c>
      <c r="DF2964">
        <v>600928</v>
      </c>
      <c r="DG2964" t="s">
        <v>116</v>
      </c>
      <c r="DH2964" t="s">
        <v>116</v>
      </c>
      <c r="DI2964" t="s">
        <v>116</v>
      </c>
    </row>
    <row r="2965" spans="1:113" x14ac:dyDescent="0.4">
      <c r="A2965" t="str">
        <f>"600929"</f>
        <v>600929</v>
      </c>
      <c r="B2965" t="s">
        <v>13055</v>
      </c>
      <c r="C2965">
        <v>-0.61</v>
      </c>
      <c r="D2965">
        <v>6.47</v>
      </c>
      <c r="E2965">
        <v>-0.04</v>
      </c>
      <c r="F2965">
        <v>6.47</v>
      </c>
      <c r="G2965">
        <v>6.48</v>
      </c>
      <c r="H2965">
        <v>58321</v>
      </c>
      <c r="I2965">
        <v>388</v>
      </c>
      <c r="J2965">
        <v>-0.14000000000000001</v>
      </c>
      <c r="K2965">
        <v>1.73</v>
      </c>
      <c r="L2965">
        <v>6.52</v>
      </c>
      <c r="M2965">
        <v>6.55</v>
      </c>
      <c r="N2965">
        <v>6.46</v>
      </c>
      <c r="O2965">
        <v>6.51</v>
      </c>
      <c r="P2965">
        <v>42.48</v>
      </c>
      <c r="Q2965">
        <v>38008096</v>
      </c>
      <c r="R2965">
        <v>1.5</v>
      </c>
      <c r="S2965" t="s">
        <v>863</v>
      </c>
      <c r="T2965" t="s">
        <v>599</v>
      </c>
      <c r="U2965">
        <v>1.38</v>
      </c>
      <c r="V2965">
        <v>6.52</v>
      </c>
      <c r="W2965">
        <v>33002</v>
      </c>
      <c r="X2965">
        <v>25319</v>
      </c>
      <c r="Y2965">
        <v>1.3</v>
      </c>
      <c r="Z2965">
        <v>769</v>
      </c>
      <c r="AA2965">
        <v>126</v>
      </c>
      <c r="AB2965" t="s">
        <v>116</v>
      </c>
      <c r="AC2965">
        <v>43000</v>
      </c>
      <c r="AD2965">
        <v>0</v>
      </c>
      <c r="AE2965" t="s">
        <v>116</v>
      </c>
      <c r="AF2965" t="s">
        <v>116</v>
      </c>
      <c r="AG2965">
        <v>3.37</v>
      </c>
      <c r="AH2965" t="s">
        <v>4051</v>
      </c>
      <c r="AI2965" t="s">
        <v>13056</v>
      </c>
      <c r="AJ2965">
        <v>-0.54</v>
      </c>
      <c r="AK2965">
        <v>1104</v>
      </c>
      <c r="AL2965">
        <v>53</v>
      </c>
      <c r="AM2965">
        <v>1.6000000000000001E-3</v>
      </c>
      <c r="AN2965">
        <v>-1</v>
      </c>
      <c r="AO2965">
        <v>-0.6</v>
      </c>
      <c r="AP2965">
        <v>1.41</v>
      </c>
      <c r="AQ2965">
        <v>-7.97</v>
      </c>
      <c r="AR2965">
        <v>-20.93</v>
      </c>
      <c r="AS2965">
        <v>1.75</v>
      </c>
      <c r="AT2965" t="s">
        <v>2472</v>
      </c>
      <c r="AU2965">
        <v>38.9</v>
      </c>
      <c r="AV2965">
        <v>41.71</v>
      </c>
      <c r="AW2965">
        <v>1.21</v>
      </c>
      <c r="BA2965">
        <v>0.15</v>
      </c>
      <c r="BB2965">
        <v>0.61</v>
      </c>
      <c r="BC2965">
        <v>-0.77</v>
      </c>
      <c r="BD2965">
        <v>0.11</v>
      </c>
      <c r="BE2965">
        <v>-0.77</v>
      </c>
      <c r="BF2965">
        <v>-1.22</v>
      </c>
      <c r="BG2965">
        <v>0.15</v>
      </c>
      <c r="BH2965">
        <v>-0.72</v>
      </c>
      <c r="BI2965">
        <v>20191218</v>
      </c>
      <c r="BJ2965">
        <v>20180326</v>
      </c>
      <c r="BK2965">
        <v>9.18</v>
      </c>
      <c r="BL2965" t="s">
        <v>116</v>
      </c>
      <c r="BM2965" t="s">
        <v>116</v>
      </c>
      <c r="BN2965">
        <v>35.69</v>
      </c>
      <c r="BO2965">
        <v>24.52</v>
      </c>
      <c r="BP2965">
        <v>1.72</v>
      </c>
      <c r="BQ2965">
        <v>26.47</v>
      </c>
      <c r="BR2965">
        <v>10.61</v>
      </c>
      <c r="BS2965">
        <v>15.21</v>
      </c>
      <c r="BT2965">
        <v>5.7</v>
      </c>
      <c r="BU2965">
        <v>5.56</v>
      </c>
      <c r="BV2965">
        <v>2.21</v>
      </c>
      <c r="BW2965">
        <v>1.28</v>
      </c>
      <c r="BX2965">
        <v>6.02</v>
      </c>
      <c r="BY2965">
        <v>15.47</v>
      </c>
      <c r="BZ2965">
        <v>8.07</v>
      </c>
      <c r="CA2965">
        <v>1.43</v>
      </c>
      <c r="CB2965">
        <v>0.05</v>
      </c>
      <c r="CC2965">
        <v>1.43</v>
      </c>
      <c r="CD2965">
        <v>1.18</v>
      </c>
      <c r="CE2965">
        <v>1.05</v>
      </c>
      <c r="CF2965">
        <v>0.97</v>
      </c>
      <c r="CG2965">
        <v>8.5399999999999991</v>
      </c>
      <c r="CH2965">
        <v>2.5499999999999998</v>
      </c>
      <c r="CI2965">
        <v>-0.37</v>
      </c>
      <c r="CJ2965">
        <v>50068</v>
      </c>
      <c r="CK2965">
        <v>6657</v>
      </c>
      <c r="CL2965" t="s">
        <v>3643</v>
      </c>
      <c r="CM2965">
        <v>10.85</v>
      </c>
      <c r="CN2965">
        <v>-6.39</v>
      </c>
      <c r="CO2965">
        <v>2.42</v>
      </c>
      <c r="CP2965">
        <v>23.25</v>
      </c>
      <c r="CQ2965">
        <v>3.84</v>
      </c>
      <c r="CR2965">
        <v>0.73</v>
      </c>
      <c r="CS2965" t="s">
        <v>7854</v>
      </c>
      <c r="CT2965">
        <v>2.67</v>
      </c>
      <c r="CU2965">
        <v>0</v>
      </c>
      <c r="CV2965">
        <v>0.66</v>
      </c>
      <c r="CW2965">
        <v>0.93</v>
      </c>
      <c r="CX2965">
        <v>0.28000000000000003</v>
      </c>
      <c r="CY2965">
        <v>68.7</v>
      </c>
      <c r="CZ2965" t="s">
        <v>7184</v>
      </c>
      <c r="DA2965">
        <v>47.83</v>
      </c>
      <c r="DB2965">
        <v>9.23</v>
      </c>
      <c r="DC2965">
        <v>6.78</v>
      </c>
      <c r="DD2965">
        <v>0.57999999999999996</v>
      </c>
      <c r="DE2965">
        <v>4113</v>
      </c>
      <c r="DF2965">
        <v>600929</v>
      </c>
      <c r="DG2965" t="s">
        <v>116</v>
      </c>
      <c r="DH2965" t="s">
        <v>116</v>
      </c>
      <c r="DI2965" t="s">
        <v>116</v>
      </c>
    </row>
    <row r="2966" spans="1:113" x14ac:dyDescent="0.4">
      <c r="A2966" t="str">
        <f>"600933"</f>
        <v>600933</v>
      </c>
      <c r="B2966" t="s">
        <v>13057</v>
      </c>
      <c r="C2966">
        <v>-2.11</v>
      </c>
      <c r="D2966">
        <v>13.46</v>
      </c>
      <c r="E2966">
        <v>-0.28999999999999998</v>
      </c>
      <c r="F2966">
        <v>13.46</v>
      </c>
      <c r="G2966">
        <v>13.47</v>
      </c>
      <c r="H2966">
        <v>30685</v>
      </c>
      <c r="I2966">
        <v>303</v>
      </c>
      <c r="J2966">
        <v>0</v>
      </c>
      <c r="K2966">
        <v>1.1499999999999999</v>
      </c>
      <c r="L2966">
        <v>13.71</v>
      </c>
      <c r="M2966">
        <v>13.97</v>
      </c>
      <c r="N2966">
        <v>13.4</v>
      </c>
      <c r="O2966">
        <v>13.75</v>
      </c>
      <c r="P2966">
        <v>29.47</v>
      </c>
      <c r="Q2966">
        <v>42114752</v>
      </c>
      <c r="R2966">
        <v>1.08</v>
      </c>
      <c r="S2966" t="s">
        <v>293</v>
      </c>
      <c r="T2966" t="s">
        <v>590</v>
      </c>
      <c r="U2966">
        <v>4.1500000000000004</v>
      </c>
      <c r="V2966">
        <v>13.72</v>
      </c>
      <c r="W2966">
        <v>14777</v>
      </c>
      <c r="X2966">
        <v>15909</v>
      </c>
      <c r="Y2966">
        <v>0.93</v>
      </c>
      <c r="Z2966">
        <v>10</v>
      </c>
      <c r="AA2966">
        <v>168</v>
      </c>
      <c r="AB2966" t="s">
        <v>116</v>
      </c>
      <c r="AC2966">
        <v>9600</v>
      </c>
      <c r="AD2966">
        <v>0</v>
      </c>
      <c r="AE2966" t="s">
        <v>116</v>
      </c>
      <c r="AF2966" t="s">
        <v>116</v>
      </c>
      <c r="AG2966">
        <v>2.67</v>
      </c>
      <c r="AH2966" t="s">
        <v>5762</v>
      </c>
      <c r="AI2966" t="s">
        <v>13058</v>
      </c>
      <c r="AJ2966">
        <v>-2.0299999999999998</v>
      </c>
      <c r="AK2966">
        <v>2081</v>
      </c>
      <c r="AL2966">
        <v>15</v>
      </c>
      <c r="AM2966">
        <v>5.9999999999999995E-4</v>
      </c>
      <c r="AN2966">
        <v>-1</v>
      </c>
      <c r="AO2966">
        <v>-0.74</v>
      </c>
      <c r="AP2966">
        <v>18.38</v>
      </c>
      <c r="AQ2966">
        <v>27.83</v>
      </c>
      <c r="AR2966">
        <v>81.16</v>
      </c>
      <c r="AS2966">
        <v>1.83</v>
      </c>
      <c r="AT2966" t="s">
        <v>7977</v>
      </c>
      <c r="AU2966">
        <v>29.18</v>
      </c>
      <c r="AV2966">
        <v>24.65</v>
      </c>
      <c r="AW2966">
        <v>0.79</v>
      </c>
      <c r="BA2966">
        <v>-0.28999999999999998</v>
      </c>
      <c r="BB2966">
        <v>1.6</v>
      </c>
      <c r="BC2966">
        <v>-2.5499999999999998</v>
      </c>
      <c r="BD2966">
        <v>-0.18</v>
      </c>
      <c r="BE2966">
        <v>-1.82</v>
      </c>
      <c r="BF2966">
        <v>-3.65</v>
      </c>
      <c r="BG2966">
        <v>0.45</v>
      </c>
      <c r="BH2966">
        <v>-1.93</v>
      </c>
      <c r="BI2966">
        <v>20191206</v>
      </c>
      <c r="BJ2966">
        <v>20171117</v>
      </c>
      <c r="BK2966">
        <v>8.58</v>
      </c>
      <c r="BL2966" t="s">
        <v>116</v>
      </c>
      <c r="BM2966" t="s">
        <v>116</v>
      </c>
      <c r="BN2966">
        <v>52.07</v>
      </c>
      <c r="BO2966">
        <v>39.340000000000003</v>
      </c>
      <c r="BP2966">
        <v>0.65</v>
      </c>
      <c r="BQ2966">
        <v>23.19</v>
      </c>
      <c r="BR2966">
        <v>31.45</v>
      </c>
      <c r="BS2966">
        <v>13.93</v>
      </c>
      <c r="BT2966">
        <v>2.0699999999999998</v>
      </c>
      <c r="BU2966">
        <v>6.91</v>
      </c>
      <c r="BV2966">
        <v>4.3499999999999996</v>
      </c>
      <c r="BW2966">
        <v>5.92</v>
      </c>
      <c r="BX2966">
        <v>18.260000000000002</v>
      </c>
      <c r="BY2966">
        <v>19.260000000000002</v>
      </c>
      <c r="BZ2966">
        <v>12.75</v>
      </c>
      <c r="CA2966">
        <v>3.65</v>
      </c>
      <c r="CB2966">
        <v>0.26</v>
      </c>
      <c r="CC2966">
        <v>3.9</v>
      </c>
      <c r="CD2966">
        <v>3.02</v>
      </c>
      <c r="CE2966">
        <v>2.94</v>
      </c>
      <c r="CF2966">
        <v>2.8</v>
      </c>
      <c r="CG2966">
        <v>11.22</v>
      </c>
      <c r="CH2966">
        <v>7.55</v>
      </c>
      <c r="CI2966">
        <v>6.32</v>
      </c>
      <c r="CJ2966">
        <v>30804</v>
      </c>
      <c r="CK2966">
        <v>5434</v>
      </c>
      <c r="CL2966" t="s">
        <v>11662</v>
      </c>
      <c r="CM2966">
        <v>-19.809999999999999</v>
      </c>
      <c r="CN2966">
        <v>2.88</v>
      </c>
      <c r="CO2966">
        <v>2.93</v>
      </c>
      <c r="CP2966">
        <v>15.29</v>
      </c>
      <c r="CQ2966">
        <v>5.99</v>
      </c>
      <c r="CR2966">
        <v>1.69</v>
      </c>
      <c r="CS2966" t="s">
        <v>7376</v>
      </c>
      <c r="CT2966">
        <v>4.59</v>
      </c>
      <c r="CU2966">
        <v>0</v>
      </c>
      <c r="CV2966">
        <v>2.13</v>
      </c>
      <c r="CW2966">
        <v>1.31</v>
      </c>
      <c r="CX2966">
        <v>0.88</v>
      </c>
      <c r="CY2966">
        <v>75.56</v>
      </c>
      <c r="CZ2966" t="s">
        <v>2553</v>
      </c>
      <c r="DA2966">
        <v>33.799999999999997</v>
      </c>
      <c r="DB2966">
        <v>18.95</v>
      </c>
      <c r="DC2966">
        <v>15.25</v>
      </c>
      <c r="DD2966">
        <v>0.97</v>
      </c>
      <c r="DE2966">
        <v>5001</v>
      </c>
      <c r="DF2966">
        <v>600933</v>
      </c>
      <c r="DG2966" t="s">
        <v>116</v>
      </c>
      <c r="DH2966" t="s">
        <v>116</v>
      </c>
      <c r="DI2966" t="s">
        <v>116</v>
      </c>
    </row>
    <row r="2967" spans="1:113" x14ac:dyDescent="0.4">
      <c r="A2967" t="str">
        <f>"600936"</f>
        <v>600936</v>
      </c>
      <c r="B2967" t="s">
        <v>13059</v>
      </c>
      <c r="C2967">
        <v>0</v>
      </c>
      <c r="D2967">
        <v>3.81</v>
      </c>
      <c r="E2967">
        <v>0</v>
      </c>
      <c r="F2967">
        <v>3.8</v>
      </c>
      <c r="G2967">
        <v>3.81</v>
      </c>
      <c r="H2967">
        <v>41512</v>
      </c>
      <c r="I2967">
        <v>333</v>
      </c>
      <c r="J2967">
        <v>0</v>
      </c>
      <c r="K2967">
        <v>0.25</v>
      </c>
      <c r="L2967">
        <v>3.8</v>
      </c>
      <c r="M2967">
        <v>3.87</v>
      </c>
      <c r="N2967">
        <v>3.79</v>
      </c>
      <c r="O2967">
        <v>3.81</v>
      </c>
      <c r="P2967">
        <v>897.51</v>
      </c>
      <c r="Q2967">
        <v>15940871</v>
      </c>
      <c r="R2967">
        <v>0.91</v>
      </c>
      <c r="S2967" t="s">
        <v>589</v>
      </c>
      <c r="T2967" t="s">
        <v>982</v>
      </c>
      <c r="U2967">
        <v>2.1</v>
      </c>
      <c r="V2967">
        <v>3.84</v>
      </c>
      <c r="W2967">
        <v>18795</v>
      </c>
      <c r="X2967">
        <v>22717</v>
      </c>
      <c r="Y2967">
        <v>0.83</v>
      </c>
      <c r="Z2967">
        <v>524</v>
      </c>
      <c r="AA2967">
        <v>667</v>
      </c>
      <c r="AB2967" t="s">
        <v>116</v>
      </c>
      <c r="AC2967">
        <v>39100</v>
      </c>
      <c r="AD2967">
        <v>0</v>
      </c>
      <c r="AE2967" t="s">
        <v>116</v>
      </c>
      <c r="AF2967" t="s">
        <v>116</v>
      </c>
      <c r="AG2967">
        <v>16.71</v>
      </c>
      <c r="AH2967" t="s">
        <v>13060</v>
      </c>
      <c r="AI2967" t="s">
        <v>13060</v>
      </c>
      <c r="AJ2967">
        <v>0.08</v>
      </c>
      <c r="AK2967">
        <v>596</v>
      </c>
      <c r="AL2967">
        <v>70</v>
      </c>
      <c r="AM2967">
        <v>4.0000000000000002E-4</v>
      </c>
      <c r="AN2967">
        <v>0</v>
      </c>
      <c r="AO2967">
        <v>1.06</v>
      </c>
      <c r="AP2967">
        <v>8.24</v>
      </c>
      <c r="AQ2967">
        <v>-5.46</v>
      </c>
      <c r="AR2967">
        <v>1.87</v>
      </c>
      <c r="AS2967">
        <v>0.41</v>
      </c>
      <c r="AT2967" t="s">
        <v>8116</v>
      </c>
      <c r="AU2967" t="s">
        <v>116</v>
      </c>
      <c r="AV2967">
        <v>51.24</v>
      </c>
      <c r="AW2967">
        <v>1.64</v>
      </c>
      <c r="BA2967">
        <v>-0.26</v>
      </c>
      <c r="BB2967">
        <v>1.57</v>
      </c>
      <c r="BC2967">
        <v>-0.52</v>
      </c>
      <c r="BD2967">
        <v>0.79</v>
      </c>
      <c r="BE2967">
        <v>0.26</v>
      </c>
      <c r="BF2967">
        <v>-1.55</v>
      </c>
      <c r="BG2967">
        <v>0.53</v>
      </c>
      <c r="BH2967">
        <v>-0.79</v>
      </c>
      <c r="BI2967">
        <v>20191030</v>
      </c>
      <c r="BJ2967">
        <v>20160815</v>
      </c>
      <c r="BK2967">
        <v>16.71</v>
      </c>
      <c r="BL2967" t="s">
        <v>116</v>
      </c>
      <c r="BM2967" t="s">
        <v>116</v>
      </c>
      <c r="BN2967">
        <v>86.66</v>
      </c>
      <c r="BO2967">
        <v>37</v>
      </c>
      <c r="BP2967">
        <v>0.01</v>
      </c>
      <c r="BQ2967">
        <v>57.3</v>
      </c>
      <c r="BR2967">
        <v>21.16</v>
      </c>
      <c r="BS2967">
        <v>34.979999999999997</v>
      </c>
      <c r="BT2967">
        <v>3.25</v>
      </c>
      <c r="BU2967">
        <v>26.96</v>
      </c>
      <c r="BV2967">
        <v>4</v>
      </c>
      <c r="BW2967">
        <v>4.93</v>
      </c>
      <c r="BX2967">
        <v>10.86</v>
      </c>
      <c r="BY2967">
        <v>13.67</v>
      </c>
      <c r="BZ2967">
        <v>11.4</v>
      </c>
      <c r="CA2967">
        <v>0.01</v>
      </c>
      <c r="CB2967">
        <v>0.71</v>
      </c>
      <c r="CC2967">
        <v>0.06</v>
      </c>
      <c r="CD2967">
        <v>0.05</v>
      </c>
      <c r="CE2967">
        <v>0.05</v>
      </c>
      <c r="CF2967">
        <v>-0.42</v>
      </c>
      <c r="CG2967">
        <v>7.08</v>
      </c>
      <c r="CH2967">
        <v>2.15</v>
      </c>
      <c r="CI2967">
        <v>-3.92</v>
      </c>
      <c r="CJ2967">
        <v>63296</v>
      </c>
      <c r="CK2967">
        <v>16014</v>
      </c>
      <c r="CL2967" t="s">
        <v>2605</v>
      </c>
      <c r="CM2967">
        <v>-96.28</v>
      </c>
      <c r="CN2967">
        <v>-18.88</v>
      </c>
      <c r="CO2967">
        <v>1.72</v>
      </c>
      <c r="CP2967">
        <v>29.56</v>
      </c>
      <c r="CQ2967">
        <v>4.66</v>
      </c>
      <c r="CR2967">
        <v>0</v>
      </c>
      <c r="CS2967" t="s">
        <v>350</v>
      </c>
      <c r="CT2967">
        <v>2.21</v>
      </c>
      <c r="CU2967">
        <v>0</v>
      </c>
      <c r="CV2967">
        <v>0.65</v>
      </c>
      <c r="CW2967">
        <v>0.42</v>
      </c>
      <c r="CX2967">
        <v>0.13</v>
      </c>
      <c r="CY2967">
        <v>42.69</v>
      </c>
      <c r="CZ2967" t="s">
        <v>9836</v>
      </c>
      <c r="DA2967">
        <v>16.579999999999998</v>
      </c>
      <c r="DB2967">
        <v>0.04</v>
      </c>
      <c r="DC2967">
        <v>0.39</v>
      </c>
      <c r="DD2967">
        <v>0.68</v>
      </c>
      <c r="DE2967">
        <v>4777</v>
      </c>
      <c r="DF2967">
        <v>600936</v>
      </c>
      <c r="DG2967" t="s">
        <v>116</v>
      </c>
      <c r="DH2967" t="s">
        <v>116</v>
      </c>
      <c r="DI2967" t="s">
        <v>116</v>
      </c>
    </row>
    <row r="2968" spans="1:113" x14ac:dyDescent="0.4">
      <c r="A2968" t="str">
        <f>"600939"</f>
        <v>600939</v>
      </c>
      <c r="B2968" t="s">
        <v>13061</v>
      </c>
      <c r="C2968">
        <v>0.22</v>
      </c>
      <c r="D2968">
        <v>4.62</v>
      </c>
      <c r="E2968">
        <v>0.01</v>
      </c>
      <c r="F2968">
        <v>4.6100000000000003</v>
      </c>
      <c r="G2968">
        <v>4.62</v>
      </c>
      <c r="H2968">
        <v>54312</v>
      </c>
      <c r="I2968">
        <v>154</v>
      </c>
      <c r="J2968">
        <v>0</v>
      </c>
      <c r="K2968">
        <v>1.33</v>
      </c>
      <c r="L2968">
        <v>4.6100000000000003</v>
      </c>
      <c r="M2968">
        <v>4.67</v>
      </c>
      <c r="N2968">
        <v>4.6100000000000003</v>
      </c>
      <c r="O2968">
        <v>4.6100000000000003</v>
      </c>
      <c r="P2968">
        <v>16.22</v>
      </c>
      <c r="Q2968">
        <v>25189556</v>
      </c>
      <c r="R2968">
        <v>1.02</v>
      </c>
      <c r="S2968" t="s">
        <v>181</v>
      </c>
      <c r="T2968" t="s">
        <v>906</v>
      </c>
      <c r="U2968">
        <v>1.3</v>
      </c>
      <c r="V2968">
        <v>4.6399999999999997</v>
      </c>
      <c r="W2968">
        <v>21914</v>
      </c>
      <c r="X2968">
        <v>32398</v>
      </c>
      <c r="Y2968">
        <v>0.68</v>
      </c>
      <c r="Z2968">
        <v>1584</v>
      </c>
      <c r="AA2968">
        <v>517</v>
      </c>
      <c r="AB2968" t="s">
        <v>116</v>
      </c>
      <c r="AC2968">
        <v>230500</v>
      </c>
      <c r="AD2968">
        <v>0.01</v>
      </c>
      <c r="AE2968" t="s">
        <v>116</v>
      </c>
      <c r="AF2968" t="s">
        <v>116</v>
      </c>
      <c r="AG2968">
        <v>4.0999999999999996</v>
      </c>
      <c r="AH2968" t="s">
        <v>776</v>
      </c>
      <c r="AI2968" t="s">
        <v>13062</v>
      </c>
      <c r="AJ2968">
        <v>0.28999999999999998</v>
      </c>
      <c r="AK2968">
        <v>1051</v>
      </c>
      <c r="AL2968">
        <v>52</v>
      </c>
      <c r="AM2968">
        <v>1.2999999999999999E-3</v>
      </c>
      <c r="AN2968">
        <v>2</v>
      </c>
      <c r="AO2968">
        <v>0.44</v>
      </c>
      <c r="AP2968">
        <v>2.21</v>
      </c>
      <c r="AQ2968">
        <v>-2.12</v>
      </c>
      <c r="AR2968">
        <v>1.67</v>
      </c>
      <c r="AS2968">
        <v>1.57</v>
      </c>
      <c r="AT2968" t="s">
        <v>13063</v>
      </c>
      <c r="AU2968">
        <v>14.62</v>
      </c>
      <c r="AV2968">
        <v>21.26</v>
      </c>
      <c r="AW2968">
        <v>0.9</v>
      </c>
      <c r="BA2968">
        <v>0</v>
      </c>
      <c r="BB2968">
        <v>1.3</v>
      </c>
      <c r="BC2968">
        <v>0</v>
      </c>
      <c r="BD2968">
        <v>0.61</v>
      </c>
      <c r="BE2968">
        <v>0.22</v>
      </c>
      <c r="BF2968">
        <v>-1.07</v>
      </c>
      <c r="BG2968">
        <v>0.22</v>
      </c>
      <c r="BH2968">
        <v>-0.39</v>
      </c>
      <c r="BI2968">
        <v>20191031</v>
      </c>
      <c r="BJ2968">
        <v>20170221</v>
      </c>
      <c r="BK2968">
        <v>18.149999999999999</v>
      </c>
      <c r="BL2968" t="s">
        <v>116</v>
      </c>
      <c r="BM2968" t="s">
        <v>116</v>
      </c>
      <c r="BN2968">
        <v>698.09</v>
      </c>
      <c r="BO2968">
        <v>76.81</v>
      </c>
      <c r="BP2968">
        <v>17.32</v>
      </c>
      <c r="BQ2968">
        <v>86.52</v>
      </c>
      <c r="BR2968">
        <v>562.02</v>
      </c>
      <c r="BS2968">
        <v>13.5</v>
      </c>
      <c r="BT2968">
        <v>71.73</v>
      </c>
      <c r="BU2968">
        <v>548.21</v>
      </c>
      <c r="BV2968">
        <v>263.16000000000003</v>
      </c>
      <c r="BW2968">
        <v>150.33000000000001</v>
      </c>
      <c r="BX2968">
        <v>11.63</v>
      </c>
      <c r="BY2968">
        <v>373.36</v>
      </c>
      <c r="BZ2968">
        <v>355.55</v>
      </c>
      <c r="CA2968">
        <v>4.03</v>
      </c>
      <c r="CB2968">
        <v>-0.3</v>
      </c>
      <c r="CC2968">
        <v>6.37</v>
      </c>
      <c r="CD2968">
        <v>4.95</v>
      </c>
      <c r="CE2968">
        <v>3.88</v>
      </c>
      <c r="CF2968">
        <v>1.92</v>
      </c>
      <c r="CG2968">
        <v>23.48</v>
      </c>
      <c r="CH2968">
        <v>3.01</v>
      </c>
      <c r="CI2968">
        <v>-7.52</v>
      </c>
      <c r="CJ2968">
        <v>44730</v>
      </c>
      <c r="CK2968">
        <v>7720</v>
      </c>
      <c r="CL2968" t="s">
        <v>10912</v>
      </c>
      <c r="CM2968">
        <v>85.92</v>
      </c>
      <c r="CN2968">
        <v>14.19</v>
      </c>
      <c r="CO2968">
        <v>1.25</v>
      </c>
      <c r="CP2968">
        <v>27.86</v>
      </c>
      <c r="CQ2968">
        <v>0.22</v>
      </c>
      <c r="CR2968">
        <v>1.43</v>
      </c>
      <c r="CS2968" t="s">
        <v>541</v>
      </c>
      <c r="CT2968">
        <v>3.68</v>
      </c>
      <c r="CU2968">
        <v>3.68</v>
      </c>
      <c r="CV2968">
        <v>0.64</v>
      </c>
      <c r="CW2968">
        <v>1.29</v>
      </c>
      <c r="CX2968">
        <v>0.17</v>
      </c>
      <c r="CY2968">
        <v>11</v>
      </c>
      <c r="CZ2968" t="s">
        <v>3787</v>
      </c>
      <c r="DA2968">
        <v>4.7699999999999996</v>
      </c>
      <c r="DB2968">
        <v>1.08</v>
      </c>
      <c r="DC2968">
        <v>1.04</v>
      </c>
      <c r="DD2968">
        <v>0.28000000000000003</v>
      </c>
      <c r="DE2968">
        <v>15899</v>
      </c>
      <c r="DF2968">
        <v>600939</v>
      </c>
      <c r="DG2968" t="s">
        <v>116</v>
      </c>
      <c r="DH2968" t="s">
        <v>116</v>
      </c>
      <c r="DI2968" t="s">
        <v>116</v>
      </c>
    </row>
    <row r="2969" spans="1:113" x14ac:dyDescent="0.4">
      <c r="A2969" t="str">
        <f>"600958"</f>
        <v>600958</v>
      </c>
      <c r="B2969" t="s">
        <v>13064</v>
      </c>
      <c r="C2969">
        <v>-1.88</v>
      </c>
      <c r="D2969">
        <v>10.42</v>
      </c>
      <c r="E2969">
        <v>-0.2</v>
      </c>
      <c r="F2969">
        <v>10.39</v>
      </c>
      <c r="G2969">
        <v>10.42</v>
      </c>
      <c r="H2969">
        <v>738811</v>
      </c>
      <c r="I2969">
        <v>6010</v>
      </c>
      <c r="J2969">
        <v>0.48</v>
      </c>
      <c r="K2969">
        <v>1.3</v>
      </c>
      <c r="L2969">
        <v>10.59</v>
      </c>
      <c r="M2969">
        <v>10.65</v>
      </c>
      <c r="N2969">
        <v>10.34</v>
      </c>
      <c r="O2969">
        <v>10.62</v>
      </c>
      <c r="P2969">
        <v>31.39</v>
      </c>
      <c r="Q2969">
        <v>778453440</v>
      </c>
      <c r="R2969">
        <v>2.19</v>
      </c>
      <c r="S2969" t="s">
        <v>623</v>
      </c>
      <c r="T2969" t="s">
        <v>1653</v>
      </c>
      <c r="U2969">
        <v>2.92</v>
      </c>
      <c r="V2969">
        <v>10.54</v>
      </c>
      <c r="W2969">
        <v>322746</v>
      </c>
      <c r="X2969">
        <v>416065</v>
      </c>
      <c r="Y2969">
        <v>0.78</v>
      </c>
      <c r="Z2969">
        <v>406</v>
      </c>
      <c r="AA2969">
        <v>112</v>
      </c>
      <c r="AB2969" t="s">
        <v>116</v>
      </c>
      <c r="AC2969">
        <v>4214800</v>
      </c>
      <c r="AD2969">
        <v>0.01</v>
      </c>
      <c r="AE2969" t="s">
        <v>116</v>
      </c>
      <c r="AF2969" t="s">
        <v>116</v>
      </c>
      <c r="AG2969">
        <v>56.77</v>
      </c>
      <c r="AH2969" t="s">
        <v>13065</v>
      </c>
      <c r="AI2969" t="s">
        <v>13066</v>
      </c>
      <c r="AJ2969">
        <v>-1.81</v>
      </c>
      <c r="AK2969">
        <v>3768</v>
      </c>
      <c r="AL2969">
        <v>196</v>
      </c>
      <c r="AM2969">
        <v>2.9999999999999997E-4</v>
      </c>
      <c r="AN2969">
        <v>-1</v>
      </c>
      <c r="AO2969">
        <v>0.49</v>
      </c>
      <c r="AP2969">
        <v>7.2</v>
      </c>
      <c r="AQ2969">
        <v>0</v>
      </c>
      <c r="AR2969">
        <v>32.4</v>
      </c>
      <c r="AS2969">
        <v>1.78</v>
      </c>
      <c r="AT2969" t="s">
        <v>13067</v>
      </c>
      <c r="AU2969">
        <v>35.229999999999997</v>
      </c>
      <c r="AV2969">
        <v>59.2</v>
      </c>
      <c r="AW2969">
        <v>1.56</v>
      </c>
      <c r="BA2969">
        <v>-0.28000000000000003</v>
      </c>
      <c r="BB2969">
        <v>0.28000000000000003</v>
      </c>
      <c r="BC2969">
        <v>-2.64</v>
      </c>
      <c r="BD2969">
        <v>-0.79</v>
      </c>
      <c r="BE2969">
        <v>-1.61</v>
      </c>
      <c r="BF2969">
        <v>-2.16</v>
      </c>
      <c r="BG2969">
        <v>0.77</v>
      </c>
      <c r="BH2969">
        <v>-1.1000000000000001</v>
      </c>
      <c r="BI2969">
        <v>20191118</v>
      </c>
      <c r="BJ2969">
        <v>20150323</v>
      </c>
      <c r="BK2969">
        <v>69.94</v>
      </c>
      <c r="BL2969" t="s">
        <v>116</v>
      </c>
      <c r="BM2969">
        <v>10.27</v>
      </c>
      <c r="BN2969">
        <v>2554.75</v>
      </c>
      <c r="BO2969">
        <v>532.67999999999995</v>
      </c>
      <c r="BP2969">
        <v>0.46</v>
      </c>
      <c r="BQ2969">
        <v>79.13</v>
      </c>
      <c r="BR2969">
        <v>0</v>
      </c>
      <c r="BS2969">
        <v>20.28</v>
      </c>
      <c r="BT2969">
        <v>1.29</v>
      </c>
      <c r="BU2969">
        <v>0</v>
      </c>
      <c r="BV2969">
        <v>0</v>
      </c>
      <c r="BW2969">
        <v>0</v>
      </c>
      <c r="BX2969">
        <v>282.55</v>
      </c>
      <c r="BY2969">
        <v>136.07</v>
      </c>
      <c r="BZ2969">
        <v>0</v>
      </c>
      <c r="CA2969">
        <v>19.79</v>
      </c>
      <c r="CB2969">
        <v>19.329999999999998</v>
      </c>
      <c r="CC2969">
        <v>20.73</v>
      </c>
      <c r="CD2969">
        <v>17.86</v>
      </c>
      <c r="CE2969">
        <v>17.41</v>
      </c>
      <c r="CF2969">
        <v>16.71</v>
      </c>
      <c r="CG2969">
        <v>74.55</v>
      </c>
      <c r="CH2969">
        <v>122.86</v>
      </c>
      <c r="CI2969">
        <v>110.48</v>
      </c>
      <c r="CJ2969">
        <v>141581</v>
      </c>
      <c r="CK2969">
        <v>29240</v>
      </c>
      <c r="CL2969" t="s">
        <v>13068</v>
      </c>
      <c r="CM2969">
        <v>92.67</v>
      </c>
      <c r="CN2969">
        <v>107.25</v>
      </c>
      <c r="CO2969">
        <v>1.37</v>
      </c>
      <c r="CP2969">
        <v>5.93</v>
      </c>
      <c r="CQ2969">
        <v>5.36</v>
      </c>
      <c r="CR2969">
        <v>0.82</v>
      </c>
      <c r="CS2969" t="s">
        <v>8554</v>
      </c>
      <c r="CT2969">
        <v>7.62</v>
      </c>
      <c r="CU2969">
        <v>0</v>
      </c>
      <c r="CV2969">
        <v>4.04</v>
      </c>
      <c r="CW2969">
        <v>1.07</v>
      </c>
      <c r="CX2969">
        <v>1.76</v>
      </c>
      <c r="CY2969">
        <v>20.85</v>
      </c>
      <c r="CZ2969" t="s">
        <v>4785</v>
      </c>
      <c r="DA2969" t="s">
        <v>116</v>
      </c>
      <c r="DB2969">
        <v>14.55</v>
      </c>
      <c r="DC2969">
        <v>12.8</v>
      </c>
      <c r="DD2969">
        <v>0</v>
      </c>
      <c r="DE2969">
        <v>5157</v>
      </c>
      <c r="DF2969">
        <v>600958</v>
      </c>
      <c r="DG2969" t="s">
        <v>116</v>
      </c>
      <c r="DH2969" t="s">
        <v>116</v>
      </c>
      <c r="DI2969" t="s">
        <v>116</v>
      </c>
    </row>
    <row r="2970" spans="1:113" x14ac:dyDescent="0.4">
      <c r="A2970" t="str">
        <f>"600959"</f>
        <v>600959</v>
      </c>
      <c r="B2970" t="s">
        <v>13069</v>
      </c>
      <c r="C2970">
        <v>0</v>
      </c>
      <c r="D2970">
        <v>3.93</v>
      </c>
      <c r="E2970">
        <v>0</v>
      </c>
      <c r="F2970">
        <v>3.93</v>
      </c>
      <c r="G2970">
        <v>3.94</v>
      </c>
      <c r="H2970">
        <v>134682</v>
      </c>
      <c r="I2970">
        <v>438</v>
      </c>
      <c r="J2970">
        <v>0</v>
      </c>
      <c r="K2970">
        <v>0.3</v>
      </c>
      <c r="L2970">
        <v>3.93</v>
      </c>
      <c r="M2970">
        <v>3.96</v>
      </c>
      <c r="N2970">
        <v>3.92</v>
      </c>
      <c r="O2970">
        <v>3.93</v>
      </c>
      <c r="P2970">
        <v>35.56</v>
      </c>
      <c r="Q2970">
        <v>53125324</v>
      </c>
      <c r="R2970">
        <v>1.03</v>
      </c>
      <c r="S2970" t="s">
        <v>589</v>
      </c>
      <c r="T2970" t="s">
        <v>323</v>
      </c>
      <c r="U2970">
        <v>1.02</v>
      </c>
      <c r="V2970">
        <v>3.94</v>
      </c>
      <c r="W2970">
        <v>69147</v>
      </c>
      <c r="X2970">
        <v>65535</v>
      </c>
      <c r="Y2970">
        <v>1.06</v>
      </c>
      <c r="Z2970">
        <v>1916</v>
      </c>
      <c r="AA2970">
        <v>5910</v>
      </c>
      <c r="AB2970" t="s">
        <v>116</v>
      </c>
      <c r="AC2970">
        <v>264100</v>
      </c>
      <c r="AD2970">
        <v>0</v>
      </c>
      <c r="AE2970" t="s">
        <v>116</v>
      </c>
      <c r="AF2970" t="s">
        <v>116</v>
      </c>
      <c r="AG2970">
        <v>44.57</v>
      </c>
      <c r="AH2970" t="s">
        <v>13070</v>
      </c>
      <c r="AI2970" t="s">
        <v>13071</v>
      </c>
      <c r="AJ2970">
        <v>0.08</v>
      </c>
      <c r="AK2970">
        <v>1652</v>
      </c>
      <c r="AL2970">
        <v>82</v>
      </c>
      <c r="AM2970">
        <v>2.0000000000000001E-4</v>
      </c>
      <c r="AN2970">
        <v>0</v>
      </c>
      <c r="AO2970">
        <v>0.26</v>
      </c>
      <c r="AP2970">
        <v>1.55</v>
      </c>
      <c r="AQ2970">
        <v>-4.84</v>
      </c>
      <c r="AR2970">
        <v>-2.2400000000000002</v>
      </c>
      <c r="AS2970">
        <v>0.51</v>
      </c>
      <c r="AT2970" t="s">
        <v>13072</v>
      </c>
      <c r="AU2970">
        <v>39.74</v>
      </c>
      <c r="AV2970">
        <v>31.47</v>
      </c>
      <c r="AW2970">
        <v>1.05</v>
      </c>
      <c r="BA2970">
        <v>0</v>
      </c>
      <c r="BB2970">
        <v>0.76</v>
      </c>
      <c r="BC2970">
        <v>-0.25</v>
      </c>
      <c r="BD2970">
        <v>0.37</v>
      </c>
      <c r="BE2970">
        <v>0</v>
      </c>
      <c r="BF2970">
        <v>-0.76</v>
      </c>
      <c r="BG2970">
        <v>0.26</v>
      </c>
      <c r="BH2970">
        <v>-0.37</v>
      </c>
      <c r="BI2970">
        <v>20191211</v>
      </c>
      <c r="BJ2970">
        <v>20150428</v>
      </c>
      <c r="BK2970">
        <v>50.01</v>
      </c>
      <c r="BL2970" t="s">
        <v>116</v>
      </c>
      <c r="BM2970" t="s">
        <v>116</v>
      </c>
      <c r="BN2970">
        <v>317.83999999999997</v>
      </c>
      <c r="BO2970">
        <v>217.02</v>
      </c>
      <c r="BP2970">
        <v>7.19</v>
      </c>
      <c r="BQ2970">
        <v>29.46</v>
      </c>
      <c r="BR2970">
        <v>78.91</v>
      </c>
      <c r="BS2970">
        <v>177.4</v>
      </c>
      <c r="BT2970">
        <v>4.99</v>
      </c>
      <c r="BU2970">
        <v>84.8</v>
      </c>
      <c r="BV2970">
        <v>10.039999999999999</v>
      </c>
      <c r="BW2970">
        <v>9.94</v>
      </c>
      <c r="BX2970">
        <v>131.41</v>
      </c>
      <c r="BY2970">
        <v>54.61</v>
      </c>
      <c r="BZ2970">
        <v>39.979999999999997</v>
      </c>
      <c r="CA2970">
        <v>3.49</v>
      </c>
      <c r="CB2970">
        <v>0.1</v>
      </c>
      <c r="CC2970">
        <v>4.54</v>
      </c>
      <c r="CD2970">
        <v>4.54</v>
      </c>
      <c r="CE2970">
        <v>4.1500000000000004</v>
      </c>
      <c r="CF2970">
        <v>3.02</v>
      </c>
      <c r="CG2970">
        <v>28.53</v>
      </c>
      <c r="CH2970">
        <v>13.66</v>
      </c>
      <c r="CI2970">
        <v>-4.96</v>
      </c>
      <c r="CJ2970">
        <v>133662</v>
      </c>
      <c r="CK2970">
        <v>19875</v>
      </c>
      <c r="CL2970" t="s">
        <v>13073</v>
      </c>
      <c r="CM2970">
        <v>-23.86</v>
      </c>
      <c r="CN2970">
        <v>-4.57</v>
      </c>
      <c r="CO2970">
        <v>0.91</v>
      </c>
      <c r="CP2970">
        <v>14.39</v>
      </c>
      <c r="CQ2970">
        <v>3.6</v>
      </c>
      <c r="CR2970">
        <v>2.5099999999999998</v>
      </c>
      <c r="CS2970" t="s">
        <v>6275</v>
      </c>
      <c r="CT2970">
        <v>4.34</v>
      </c>
      <c r="CU2970">
        <v>0</v>
      </c>
      <c r="CV2970">
        <v>2.63</v>
      </c>
      <c r="CW2970">
        <v>0.56999999999999995</v>
      </c>
      <c r="CX2970">
        <v>0.27</v>
      </c>
      <c r="CY2970">
        <v>68.28</v>
      </c>
      <c r="CZ2970" t="s">
        <v>2429</v>
      </c>
      <c r="DA2970">
        <v>26.8</v>
      </c>
      <c r="DB2970">
        <v>6.39</v>
      </c>
      <c r="DC2970">
        <v>7.59</v>
      </c>
      <c r="DD2970">
        <v>0.11</v>
      </c>
      <c r="DE2970">
        <v>19108</v>
      </c>
      <c r="DF2970">
        <v>600959</v>
      </c>
      <c r="DG2970" t="s">
        <v>116</v>
      </c>
      <c r="DH2970" t="s">
        <v>116</v>
      </c>
      <c r="DI2970" t="s">
        <v>116</v>
      </c>
    </row>
    <row r="2971" spans="1:113" x14ac:dyDescent="0.4">
      <c r="A2971" t="str">
        <f>"600960"</f>
        <v>600960</v>
      </c>
      <c r="B2971" t="s">
        <v>13074</v>
      </c>
      <c r="C2971">
        <v>0</v>
      </c>
      <c r="D2971">
        <v>3.19</v>
      </c>
      <c r="E2971">
        <v>0</v>
      </c>
      <c r="F2971">
        <v>3.19</v>
      </c>
      <c r="G2971">
        <v>3.2</v>
      </c>
      <c r="H2971">
        <v>75451</v>
      </c>
      <c r="I2971">
        <v>1012</v>
      </c>
      <c r="J2971">
        <v>0</v>
      </c>
      <c r="K2971">
        <v>1.06</v>
      </c>
      <c r="L2971">
        <v>3.18</v>
      </c>
      <c r="M2971">
        <v>3.26</v>
      </c>
      <c r="N2971">
        <v>3.18</v>
      </c>
      <c r="O2971">
        <v>3.19</v>
      </c>
      <c r="P2971">
        <v>317.41000000000003</v>
      </c>
      <c r="Q2971">
        <v>24256806</v>
      </c>
      <c r="R2971">
        <v>1.1000000000000001</v>
      </c>
      <c r="S2971" t="s">
        <v>293</v>
      </c>
      <c r="T2971" t="s">
        <v>645</v>
      </c>
      <c r="U2971">
        <v>2.5099999999999998</v>
      </c>
      <c r="V2971">
        <v>3.21</v>
      </c>
      <c r="W2971">
        <v>35152</v>
      </c>
      <c r="X2971">
        <v>40299</v>
      </c>
      <c r="Y2971">
        <v>0.87</v>
      </c>
      <c r="Z2971">
        <v>2188</v>
      </c>
      <c r="AA2971">
        <v>2222</v>
      </c>
      <c r="AB2971" t="s">
        <v>116</v>
      </c>
      <c r="AC2971">
        <v>41700</v>
      </c>
      <c r="AD2971">
        <v>0</v>
      </c>
      <c r="AE2971" t="s">
        <v>116</v>
      </c>
      <c r="AF2971" t="s">
        <v>116</v>
      </c>
      <c r="AG2971">
        <v>7.14</v>
      </c>
      <c r="AH2971" t="s">
        <v>7329</v>
      </c>
      <c r="AI2971" t="s">
        <v>7480</v>
      </c>
      <c r="AJ2971">
        <v>0.08</v>
      </c>
      <c r="AK2971">
        <v>1080</v>
      </c>
      <c r="AL2971">
        <v>70</v>
      </c>
      <c r="AM2971">
        <v>1E-3</v>
      </c>
      <c r="AN2971">
        <v>0</v>
      </c>
      <c r="AO2971">
        <v>0.63</v>
      </c>
      <c r="AP2971">
        <v>4.59</v>
      </c>
      <c r="AQ2971">
        <v>-5.34</v>
      </c>
      <c r="AR2971">
        <v>-8.99</v>
      </c>
      <c r="AS2971">
        <v>1.4</v>
      </c>
      <c r="AT2971" t="s">
        <v>13075</v>
      </c>
      <c r="AU2971">
        <v>38.840000000000003</v>
      </c>
      <c r="AV2971">
        <v>21.77</v>
      </c>
      <c r="AW2971">
        <v>1.02</v>
      </c>
      <c r="BA2971">
        <v>-0.31</v>
      </c>
      <c r="BB2971">
        <v>2.19</v>
      </c>
      <c r="BC2971">
        <v>-0.31</v>
      </c>
      <c r="BD2971">
        <v>0.78</v>
      </c>
      <c r="BE2971">
        <v>0.31</v>
      </c>
      <c r="BF2971">
        <v>-2.15</v>
      </c>
      <c r="BG2971">
        <v>0.31</v>
      </c>
      <c r="BH2971">
        <v>-0.78</v>
      </c>
      <c r="BI2971">
        <v>20191227</v>
      </c>
      <c r="BJ2971">
        <v>20040407</v>
      </c>
      <c r="BK2971">
        <v>9.51</v>
      </c>
      <c r="BL2971" t="s">
        <v>116</v>
      </c>
      <c r="BM2971" t="s">
        <v>116</v>
      </c>
      <c r="BN2971">
        <v>90.35</v>
      </c>
      <c r="BO2971">
        <v>46.97</v>
      </c>
      <c r="BP2971">
        <v>3.86</v>
      </c>
      <c r="BQ2971">
        <v>43.75</v>
      </c>
      <c r="BR2971">
        <v>45.84</v>
      </c>
      <c r="BS2971">
        <v>20.32</v>
      </c>
      <c r="BT2971">
        <v>3.21</v>
      </c>
      <c r="BU2971">
        <v>16.16</v>
      </c>
      <c r="BV2971">
        <v>9.35</v>
      </c>
      <c r="BW2971">
        <v>9.77</v>
      </c>
      <c r="BX2971">
        <v>26.59</v>
      </c>
      <c r="BY2971">
        <v>36.130000000000003</v>
      </c>
      <c r="BZ2971">
        <v>31.71</v>
      </c>
      <c r="CA2971">
        <v>0.25</v>
      </c>
      <c r="CB2971">
        <v>-0.11</v>
      </c>
      <c r="CC2971">
        <v>0.27</v>
      </c>
      <c r="CD2971">
        <v>0.01</v>
      </c>
      <c r="CE2971">
        <v>7.0000000000000007E-2</v>
      </c>
      <c r="CF2971">
        <v>-0.06</v>
      </c>
      <c r="CG2971">
        <v>8.9600000000000009</v>
      </c>
      <c r="CH2971">
        <v>2.89</v>
      </c>
      <c r="CI2971">
        <v>-1.69</v>
      </c>
      <c r="CJ2971">
        <v>40706</v>
      </c>
      <c r="CK2971">
        <v>13283</v>
      </c>
      <c r="CL2971" t="s">
        <v>4549</v>
      </c>
      <c r="CM2971">
        <v>-89.53</v>
      </c>
      <c r="CN2971">
        <v>42.45</v>
      </c>
      <c r="CO2971">
        <v>0.65</v>
      </c>
      <c r="CP2971">
        <v>10.51</v>
      </c>
      <c r="CQ2971">
        <v>0.84</v>
      </c>
      <c r="CR2971">
        <v>0.47</v>
      </c>
      <c r="CS2971" t="s">
        <v>571</v>
      </c>
      <c r="CT2971">
        <v>4.9400000000000004</v>
      </c>
      <c r="CU2971">
        <v>0</v>
      </c>
      <c r="CV2971">
        <v>2.8</v>
      </c>
      <c r="CW2971">
        <v>0.94</v>
      </c>
      <c r="CX2971">
        <v>0.3</v>
      </c>
      <c r="CY2971">
        <v>51.98</v>
      </c>
      <c r="CZ2971" t="s">
        <v>13076</v>
      </c>
      <c r="DA2971">
        <v>12.24</v>
      </c>
      <c r="DB2971">
        <v>0.7</v>
      </c>
      <c r="DC2971">
        <v>0.2</v>
      </c>
      <c r="DD2971">
        <v>0.8</v>
      </c>
      <c r="DE2971">
        <v>5387</v>
      </c>
      <c r="DF2971">
        <v>600960</v>
      </c>
      <c r="DG2971" t="s">
        <v>116</v>
      </c>
      <c r="DH2971" t="s">
        <v>116</v>
      </c>
      <c r="DI2971" t="s">
        <v>116</v>
      </c>
    </row>
    <row r="2972" spans="1:113" x14ac:dyDescent="0.4">
      <c r="A2972" t="str">
        <f>"600961"</f>
        <v>600961</v>
      </c>
      <c r="B2972" t="s">
        <v>13077</v>
      </c>
      <c r="C2972">
        <v>0.37</v>
      </c>
      <c r="D2972">
        <v>8.23</v>
      </c>
      <c r="E2972">
        <v>0.03</v>
      </c>
      <c r="F2972">
        <v>8.2200000000000006</v>
      </c>
      <c r="G2972">
        <v>8.23</v>
      </c>
      <c r="H2972">
        <v>31647</v>
      </c>
      <c r="I2972">
        <v>528</v>
      </c>
      <c r="J2972">
        <v>0</v>
      </c>
      <c r="K2972">
        <v>0.6</v>
      </c>
      <c r="L2972">
        <v>8.23</v>
      </c>
      <c r="M2972">
        <v>8.3699999999999992</v>
      </c>
      <c r="N2972">
        <v>8.19</v>
      </c>
      <c r="O2972">
        <v>8.1999999999999993</v>
      </c>
      <c r="P2972">
        <v>709.73</v>
      </c>
      <c r="Q2972">
        <v>26141182</v>
      </c>
      <c r="R2972">
        <v>2.27</v>
      </c>
      <c r="S2972" t="s">
        <v>441</v>
      </c>
      <c r="T2972" t="s">
        <v>599</v>
      </c>
      <c r="U2972">
        <v>2.2000000000000002</v>
      </c>
      <c r="V2972">
        <v>8.26</v>
      </c>
      <c r="W2972">
        <v>14808</v>
      </c>
      <c r="X2972">
        <v>16839</v>
      </c>
      <c r="Y2972">
        <v>0.88</v>
      </c>
      <c r="Z2972">
        <v>55</v>
      </c>
      <c r="AA2972">
        <v>60</v>
      </c>
      <c r="AB2972" t="s">
        <v>116</v>
      </c>
      <c r="AC2972">
        <v>67500</v>
      </c>
      <c r="AD2972">
        <v>0</v>
      </c>
      <c r="AE2972" t="s">
        <v>116</v>
      </c>
      <c r="AF2972" t="s">
        <v>116</v>
      </c>
      <c r="AG2972">
        <v>5.27</v>
      </c>
      <c r="AH2972" t="s">
        <v>12954</v>
      </c>
      <c r="AI2972" t="s">
        <v>12954</v>
      </c>
      <c r="AJ2972">
        <v>0.44</v>
      </c>
      <c r="AK2972">
        <v>983</v>
      </c>
      <c r="AL2972">
        <v>32</v>
      </c>
      <c r="AM2972">
        <v>5.9999999999999995E-4</v>
      </c>
      <c r="AN2972">
        <v>2</v>
      </c>
      <c r="AO2972">
        <v>-0.85</v>
      </c>
      <c r="AP2972">
        <v>-2.2599999999999998</v>
      </c>
      <c r="AQ2972">
        <v>-9.66</v>
      </c>
      <c r="AR2972">
        <v>9.3000000000000007</v>
      </c>
      <c r="AS2972">
        <v>1.06</v>
      </c>
      <c r="AT2972" t="s">
        <v>9025</v>
      </c>
      <c r="AU2972" t="s">
        <v>116</v>
      </c>
      <c r="AV2972" t="s">
        <v>116</v>
      </c>
      <c r="AW2972">
        <v>1.19</v>
      </c>
      <c r="BA2972">
        <v>0.37</v>
      </c>
      <c r="BB2972">
        <v>2.0699999999999998</v>
      </c>
      <c r="BC2972">
        <v>-0.12</v>
      </c>
      <c r="BD2972">
        <v>0.73</v>
      </c>
      <c r="BE2972">
        <v>0</v>
      </c>
      <c r="BF2972">
        <v>-1.67</v>
      </c>
      <c r="BG2972">
        <v>0.49</v>
      </c>
      <c r="BH2972">
        <v>-0.37</v>
      </c>
      <c r="BI2972">
        <v>20191025</v>
      </c>
      <c r="BJ2972">
        <v>20040830</v>
      </c>
      <c r="BK2972">
        <v>5.27</v>
      </c>
      <c r="BL2972" t="s">
        <v>116</v>
      </c>
      <c r="BM2972" t="s">
        <v>116</v>
      </c>
      <c r="BN2972">
        <v>71.98</v>
      </c>
      <c r="BO2972">
        <v>0.55000000000000004</v>
      </c>
      <c r="BP2972">
        <v>5.38</v>
      </c>
      <c r="BQ2972">
        <v>91.76</v>
      </c>
      <c r="BR2972">
        <v>37.090000000000003</v>
      </c>
      <c r="BS2972">
        <v>26.16</v>
      </c>
      <c r="BT2972">
        <v>0.96</v>
      </c>
      <c r="BU2972">
        <v>43.72</v>
      </c>
      <c r="BV2972">
        <v>11.52</v>
      </c>
      <c r="BW2972">
        <v>2.42</v>
      </c>
      <c r="BX2972">
        <v>8.67</v>
      </c>
      <c r="BY2972">
        <v>69.37</v>
      </c>
      <c r="BZ2972">
        <v>66.53</v>
      </c>
      <c r="CA2972">
        <v>0.2</v>
      </c>
      <c r="CB2972">
        <v>0.52</v>
      </c>
      <c r="CC2972">
        <v>0.2</v>
      </c>
      <c r="CD2972">
        <v>0.08</v>
      </c>
      <c r="CE2972">
        <v>0.05</v>
      </c>
      <c r="CF2972">
        <v>-0.56000000000000005</v>
      </c>
      <c r="CG2972">
        <v>-29.37</v>
      </c>
      <c r="CH2972">
        <v>2.63</v>
      </c>
      <c r="CI2972">
        <v>-1.18</v>
      </c>
      <c r="CJ2972">
        <v>25619</v>
      </c>
      <c r="CK2972">
        <v>11629</v>
      </c>
      <c r="CL2972" t="s">
        <v>7289</v>
      </c>
      <c r="CM2972">
        <v>100.29</v>
      </c>
      <c r="CN2972">
        <v>-22.64</v>
      </c>
      <c r="CO2972">
        <v>-3</v>
      </c>
      <c r="CP2972">
        <v>16.52</v>
      </c>
      <c r="CQ2972">
        <v>0.63</v>
      </c>
      <c r="CR2972">
        <v>0</v>
      </c>
      <c r="CS2972" t="s">
        <v>3929</v>
      </c>
      <c r="CT2972">
        <v>-2.74</v>
      </c>
      <c r="CU2972">
        <v>-2.74</v>
      </c>
      <c r="CV2972">
        <v>1.64</v>
      </c>
      <c r="CW2972">
        <v>-5.57</v>
      </c>
      <c r="CX2972">
        <v>0.5</v>
      </c>
      <c r="CY2972">
        <v>0.76</v>
      </c>
      <c r="CZ2972" t="s">
        <v>3223</v>
      </c>
      <c r="DA2972">
        <v>4.0999999999999996</v>
      </c>
      <c r="DB2972">
        <v>0.28999999999999998</v>
      </c>
      <c r="DC2972">
        <v>7.0000000000000007E-2</v>
      </c>
      <c r="DD2972">
        <v>0.19</v>
      </c>
      <c r="DE2972">
        <v>4778</v>
      </c>
      <c r="DF2972">
        <v>600961</v>
      </c>
      <c r="DG2972" t="s">
        <v>116</v>
      </c>
      <c r="DH2972" t="s">
        <v>116</v>
      </c>
      <c r="DI2972" t="s">
        <v>116</v>
      </c>
    </row>
    <row r="2973" spans="1:113" x14ac:dyDescent="0.4">
      <c r="A2973" t="str">
        <f>"600962"</f>
        <v>600962</v>
      </c>
      <c r="B2973" t="s">
        <v>13078</v>
      </c>
      <c r="C2973">
        <v>-0.12</v>
      </c>
      <c r="D2973">
        <v>8.09</v>
      </c>
      <c r="E2973">
        <v>-0.01</v>
      </c>
      <c r="F2973">
        <v>8.08</v>
      </c>
      <c r="G2973">
        <v>8.09</v>
      </c>
      <c r="H2973">
        <v>34313</v>
      </c>
      <c r="I2973">
        <v>369</v>
      </c>
      <c r="J2973">
        <v>0.37</v>
      </c>
      <c r="K2973">
        <v>1.35</v>
      </c>
      <c r="L2973">
        <v>8.0500000000000007</v>
      </c>
      <c r="M2973">
        <v>8.19</v>
      </c>
      <c r="N2973">
        <v>8.0299999999999994</v>
      </c>
      <c r="O2973">
        <v>8.1</v>
      </c>
      <c r="P2973">
        <v>216.71</v>
      </c>
      <c r="Q2973">
        <v>27786820</v>
      </c>
      <c r="R2973">
        <v>1.1200000000000001</v>
      </c>
      <c r="S2973" t="s">
        <v>2407</v>
      </c>
      <c r="T2973" t="s">
        <v>165</v>
      </c>
      <c r="U2973">
        <v>1.98</v>
      </c>
      <c r="V2973">
        <v>8.1</v>
      </c>
      <c r="W2973">
        <v>19757</v>
      </c>
      <c r="X2973">
        <v>14556</v>
      </c>
      <c r="Y2973">
        <v>1.36</v>
      </c>
      <c r="Z2973">
        <v>37</v>
      </c>
      <c r="AA2973">
        <v>57</v>
      </c>
      <c r="AB2973" t="s">
        <v>116</v>
      </c>
      <c r="AC2973">
        <v>546600</v>
      </c>
      <c r="AD2973">
        <v>0.05</v>
      </c>
      <c r="AE2973" t="s">
        <v>116</v>
      </c>
      <c r="AF2973" t="s">
        <v>116</v>
      </c>
      <c r="AG2973">
        <v>2.54</v>
      </c>
      <c r="AH2973" t="s">
        <v>12888</v>
      </c>
      <c r="AI2973" t="s">
        <v>13079</v>
      </c>
      <c r="AJ2973">
        <v>-0.05</v>
      </c>
      <c r="AK2973">
        <v>977</v>
      </c>
      <c r="AL2973">
        <v>35</v>
      </c>
      <c r="AM2973">
        <v>1.4E-3</v>
      </c>
      <c r="AN2973">
        <v>-1</v>
      </c>
      <c r="AO2973">
        <v>2.4</v>
      </c>
      <c r="AP2973">
        <v>9.0299999999999994</v>
      </c>
      <c r="AQ2973">
        <v>-2.1800000000000002</v>
      </c>
      <c r="AR2973">
        <v>10.37</v>
      </c>
      <c r="AS2973">
        <v>2.5</v>
      </c>
      <c r="AT2973" t="s">
        <v>7128</v>
      </c>
      <c r="AU2973">
        <v>348.25</v>
      </c>
      <c r="AV2973">
        <v>398.45</v>
      </c>
      <c r="AW2973">
        <v>1.26</v>
      </c>
      <c r="BA2973">
        <v>-0.62</v>
      </c>
      <c r="BB2973">
        <v>1.1100000000000001</v>
      </c>
      <c r="BC2973">
        <v>-0.86</v>
      </c>
      <c r="BD2973">
        <v>-0.02</v>
      </c>
      <c r="BE2973">
        <v>0.5</v>
      </c>
      <c r="BF2973">
        <v>-1.22</v>
      </c>
      <c r="BG2973">
        <v>0.75</v>
      </c>
      <c r="BH2973">
        <v>-0.1</v>
      </c>
      <c r="BI2973">
        <v>20191029</v>
      </c>
      <c r="BJ2973">
        <v>20040622</v>
      </c>
      <c r="BK2973">
        <v>2.62</v>
      </c>
      <c r="BL2973" t="s">
        <v>116</v>
      </c>
      <c r="BM2973" t="s">
        <v>116</v>
      </c>
      <c r="BN2973">
        <v>18.649999999999999</v>
      </c>
      <c r="BO2973">
        <v>8.42</v>
      </c>
      <c r="BP2973">
        <v>1.35</v>
      </c>
      <c r="BQ2973">
        <v>47.58</v>
      </c>
      <c r="BR2973">
        <v>10.050000000000001</v>
      </c>
      <c r="BS2973">
        <v>6.77</v>
      </c>
      <c r="BT2973">
        <v>0.94</v>
      </c>
      <c r="BU2973">
        <v>7.54</v>
      </c>
      <c r="BV2973">
        <v>5.71</v>
      </c>
      <c r="BW2973">
        <v>2.34</v>
      </c>
      <c r="BX2973">
        <v>5.26</v>
      </c>
      <c r="BY2973">
        <v>6.62</v>
      </c>
      <c r="BZ2973">
        <v>4.96</v>
      </c>
      <c r="CA2973">
        <v>0.09</v>
      </c>
      <c r="CB2973">
        <v>0</v>
      </c>
      <c r="CC2973">
        <v>0.13</v>
      </c>
      <c r="CD2973">
        <v>0.08</v>
      </c>
      <c r="CE2973">
        <v>7.0000000000000007E-2</v>
      </c>
      <c r="CF2973">
        <v>0.02</v>
      </c>
      <c r="CG2973">
        <v>0.1</v>
      </c>
      <c r="CH2973">
        <v>1.78</v>
      </c>
      <c r="CI2973">
        <v>0.17</v>
      </c>
      <c r="CJ2973">
        <v>17118</v>
      </c>
      <c r="CK2973">
        <v>8013</v>
      </c>
      <c r="CL2973" t="s">
        <v>1830</v>
      </c>
      <c r="CM2973">
        <v>11.67</v>
      </c>
      <c r="CN2973">
        <v>12.28</v>
      </c>
      <c r="CO2973">
        <v>2.52</v>
      </c>
      <c r="CP2973">
        <v>11.92</v>
      </c>
      <c r="CQ2973">
        <v>3.2</v>
      </c>
      <c r="CR2973">
        <v>0</v>
      </c>
      <c r="CS2973" t="s">
        <v>2295</v>
      </c>
      <c r="CT2973">
        <v>3.21</v>
      </c>
      <c r="CU2973">
        <v>0</v>
      </c>
      <c r="CV2973">
        <v>2.0099999999999998</v>
      </c>
      <c r="CW2973">
        <v>0.04</v>
      </c>
      <c r="CX2973">
        <v>0.68</v>
      </c>
      <c r="CY2973">
        <v>45.17</v>
      </c>
      <c r="CZ2973" t="s">
        <v>1464</v>
      </c>
      <c r="DA2973">
        <v>25.09</v>
      </c>
      <c r="DB2973">
        <v>1.31</v>
      </c>
      <c r="DC2973">
        <v>1.1100000000000001</v>
      </c>
      <c r="DD2973">
        <v>0.05</v>
      </c>
      <c r="DE2973">
        <v>1592</v>
      </c>
      <c r="DF2973">
        <v>600962</v>
      </c>
      <c r="DG2973" t="s">
        <v>116</v>
      </c>
      <c r="DH2973" t="s">
        <v>116</v>
      </c>
      <c r="DI2973" t="s">
        <v>116</v>
      </c>
    </row>
    <row r="2974" spans="1:113" x14ac:dyDescent="0.4">
      <c r="A2974" t="str">
        <f>"600963"</f>
        <v>600963</v>
      </c>
      <c r="B2974" t="s">
        <v>13080</v>
      </c>
      <c r="C2974">
        <v>1.1599999999999999</v>
      </c>
      <c r="D2974">
        <v>4.3499999999999996</v>
      </c>
      <c r="E2974">
        <v>0.05</v>
      </c>
      <c r="F2974">
        <v>4.3499999999999996</v>
      </c>
      <c r="G2974">
        <v>4.3600000000000003</v>
      </c>
      <c r="H2974">
        <v>148189</v>
      </c>
      <c r="I2974">
        <v>1187</v>
      </c>
      <c r="J2974">
        <v>0</v>
      </c>
      <c r="K2974">
        <v>1.42</v>
      </c>
      <c r="L2974">
        <v>4.4000000000000004</v>
      </c>
      <c r="M2974">
        <v>4.49</v>
      </c>
      <c r="N2974">
        <v>4.34</v>
      </c>
      <c r="O2974">
        <v>4.3</v>
      </c>
      <c r="P2974">
        <v>39.630000000000003</v>
      </c>
      <c r="Q2974">
        <v>65381192</v>
      </c>
      <c r="R2974">
        <v>2.29</v>
      </c>
      <c r="S2974" t="s">
        <v>824</v>
      </c>
      <c r="T2974" t="s">
        <v>599</v>
      </c>
      <c r="U2974">
        <v>3.49</v>
      </c>
      <c r="V2974">
        <v>4.41</v>
      </c>
      <c r="W2974">
        <v>77316</v>
      </c>
      <c r="X2974">
        <v>70873</v>
      </c>
      <c r="Y2974">
        <v>1.0900000000000001</v>
      </c>
      <c r="Z2974">
        <v>1842</v>
      </c>
      <c r="AA2974">
        <v>1327</v>
      </c>
      <c r="AB2974" t="s">
        <v>116</v>
      </c>
      <c r="AC2974">
        <v>2739000</v>
      </c>
      <c r="AD2974">
        <v>0.1</v>
      </c>
      <c r="AE2974" t="s">
        <v>116</v>
      </c>
      <c r="AF2974" t="s">
        <v>116</v>
      </c>
      <c r="AG2974">
        <v>10.43</v>
      </c>
      <c r="AH2974" t="s">
        <v>13081</v>
      </c>
      <c r="AI2974" t="s">
        <v>10207</v>
      </c>
      <c r="AJ2974">
        <v>1.24</v>
      </c>
      <c r="AK2974">
        <v>1602</v>
      </c>
      <c r="AL2974">
        <v>93</v>
      </c>
      <c r="AM2974">
        <v>8.9999999999999998E-4</v>
      </c>
      <c r="AN2974">
        <v>2</v>
      </c>
      <c r="AO2974">
        <v>1.39</v>
      </c>
      <c r="AP2974">
        <v>5.07</v>
      </c>
      <c r="AQ2974">
        <v>-1.1399999999999999</v>
      </c>
      <c r="AR2974">
        <v>9.2100000000000009</v>
      </c>
      <c r="AS2974">
        <v>2.27</v>
      </c>
      <c r="AT2974" t="s">
        <v>3663</v>
      </c>
      <c r="AU2974">
        <v>43.45</v>
      </c>
      <c r="AV2974">
        <v>16.62</v>
      </c>
      <c r="AW2974">
        <v>1.1200000000000001</v>
      </c>
      <c r="BA2974">
        <v>2.33</v>
      </c>
      <c r="BB2974">
        <v>4.42</v>
      </c>
      <c r="BC2974">
        <v>0.93</v>
      </c>
      <c r="BD2974">
        <v>2.6</v>
      </c>
      <c r="BE2974">
        <v>-1.1399999999999999</v>
      </c>
      <c r="BF2974">
        <v>-3.12</v>
      </c>
      <c r="BG2974">
        <v>0.23</v>
      </c>
      <c r="BH2974">
        <v>-1.44</v>
      </c>
      <c r="BI2974">
        <v>20191030</v>
      </c>
      <c r="BJ2974">
        <v>20040525</v>
      </c>
      <c r="BK2974">
        <v>13.98</v>
      </c>
      <c r="BL2974" t="s">
        <v>116</v>
      </c>
      <c r="BM2974" t="s">
        <v>116</v>
      </c>
      <c r="BN2974">
        <v>151.96</v>
      </c>
      <c r="BO2974">
        <v>81.03</v>
      </c>
      <c r="BP2974">
        <v>0.22</v>
      </c>
      <c r="BQ2974">
        <v>46.53</v>
      </c>
      <c r="BR2974">
        <v>92.24</v>
      </c>
      <c r="BS2974">
        <v>41.4</v>
      </c>
      <c r="BT2974">
        <v>6.61</v>
      </c>
      <c r="BU2974">
        <v>53.51</v>
      </c>
      <c r="BV2974">
        <v>62.58</v>
      </c>
      <c r="BW2974">
        <v>7.75</v>
      </c>
      <c r="BX2974">
        <v>59.51</v>
      </c>
      <c r="BY2974">
        <v>49.07</v>
      </c>
      <c r="BZ2974">
        <v>40.96</v>
      </c>
      <c r="CA2974">
        <v>1.53</v>
      </c>
      <c r="CB2974">
        <v>0.02</v>
      </c>
      <c r="CC2974">
        <v>1.54</v>
      </c>
      <c r="CD2974">
        <v>1.1499999999999999</v>
      </c>
      <c r="CE2974">
        <v>1.1499999999999999</v>
      </c>
      <c r="CF2974">
        <v>0.83</v>
      </c>
      <c r="CG2974">
        <v>6.71</v>
      </c>
      <c r="CH2974">
        <v>4.43</v>
      </c>
      <c r="CI2974">
        <v>2.0699999999999998</v>
      </c>
      <c r="CJ2974">
        <v>65624</v>
      </c>
      <c r="CK2974">
        <v>9960</v>
      </c>
      <c r="CL2974" t="s">
        <v>5695</v>
      </c>
      <c r="CM2974">
        <v>-66.260000000000005</v>
      </c>
      <c r="CN2974">
        <v>-1.89</v>
      </c>
      <c r="CO2974">
        <v>0.75</v>
      </c>
      <c r="CP2974">
        <v>13.72</v>
      </c>
      <c r="CQ2974">
        <v>1.24</v>
      </c>
      <c r="CR2974">
        <v>0.62</v>
      </c>
      <c r="CS2974" t="s">
        <v>1272</v>
      </c>
      <c r="CT2974">
        <v>5.8</v>
      </c>
      <c r="CU2974">
        <v>0</v>
      </c>
      <c r="CV2974">
        <v>4.26</v>
      </c>
      <c r="CW2974">
        <v>0.48</v>
      </c>
      <c r="CX2974">
        <v>0.32</v>
      </c>
      <c r="CY2974">
        <v>53.33</v>
      </c>
      <c r="CZ2974" t="s">
        <v>7970</v>
      </c>
      <c r="DA2974">
        <v>16.53</v>
      </c>
      <c r="DB2974">
        <v>3.11</v>
      </c>
      <c r="DC2974">
        <v>2.35</v>
      </c>
      <c r="DD2974">
        <v>1.56</v>
      </c>
      <c r="DE2974">
        <v>3632</v>
      </c>
      <c r="DF2974">
        <v>600963</v>
      </c>
      <c r="DG2974" t="s">
        <v>116</v>
      </c>
      <c r="DH2974" t="s">
        <v>116</v>
      </c>
      <c r="DI2974" t="s">
        <v>116</v>
      </c>
    </row>
    <row r="2975" spans="1:113" x14ac:dyDescent="0.4">
      <c r="A2975" t="str">
        <f>"600965"</f>
        <v>600965</v>
      </c>
      <c r="B2975" t="s">
        <v>13082</v>
      </c>
      <c r="C2975">
        <v>0.43</v>
      </c>
      <c r="D2975">
        <v>6.95</v>
      </c>
      <c r="E2975">
        <v>0.03</v>
      </c>
      <c r="F2975">
        <v>6.94</v>
      </c>
      <c r="G2975">
        <v>6.95</v>
      </c>
      <c r="H2975">
        <v>37836</v>
      </c>
      <c r="I2975">
        <v>2771</v>
      </c>
      <c r="J2975">
        <v>0.28999999999999998</v>
      </c>
      <c r="K2975">
        <v>0.46</v>
      </c>
      <c r="L2975">
        <v>6.93</v>
      </c>
      <c r="M2975">
        <v>6.97</v>
      </c>
      <c r="N2975">
        <v>6.9</v>
      </c>
      <c r="O2975">
        <v>6.92</v>
      </c>
      <c r="P2975">
        <v>26.66</v>
      </c>
      <c r="Q2975">
        <v>26225862</v>
      </c>
      <c r="R2975">
        <v>1.08</v>
      </c>
      <c r="S2975" t="s">
        <v>449</v>
      </c>
      <c r="T2975" t="s">
        <v>608</v>
      </c>
      <c r="U2975">
        <v>1.01</v>
      </c>
      <c r="V2975">
        <v>6.93</v>
      </c>
      <c r="W2975">
        <v>21139</v>
      </c>
      <c r="X2975">
        <v>16697</v>
      </c>
      <c r="Y2975">
        <v>1.27</v>
      </c>
      <c r="Z2975">
        <v>55</v>
      </c>
      <c r="AA2975">
        <v>299</v>
      </c>
      <c r="AB2975" t="s">
        <v>116</v>
      </c>
      <c r="AC2975">
        <v>15200</v>
      </c>
      <c r="AD2975">
        <v>0</v>
      </c>
      <c r="AE2975" t="s">
        <v>116</v>
      </c>
      <c r="AF2975" t="s">
        <v>116</v>
      </c>
      <c r="AG2975">
        <v>8.19</v>
      </c>
      <c r="AH2975" t="s">
        <v>13083</v>
      </c>
      <c r="AI2975" t="s">
        <v>13083</v>
      </c>
      <c r="AJ2975">
        <v>0.51</v>
      </c>
      <c r="AK2975">
        <v>1176</v>
      </c>
      <c r="AL2975">
        <v>32</v>
      </c>
      <c r="AM2975">
        <v>4.0000000000000002E-4</v>
      </c>
      <c r="AN2975">
        <v>1</v>
      </c>
      <c r="AO2975">
        <v>-0.14000000000000001</v>
      </c>
      <c r="AP2975">
        <v>-1</v>
      </c>
      <c r="AQ2975">
        <v>-21.91</v>
      </c>
      <c r="AR2975">
        <v>-29.37</v>
      </c>
      <c r="AS2975">
        <v>1.23</v>
      </c>
      <c r="AT2975" t="s">
        <v>8362</v>
      </c>
      <c r="AU2975">
        <v>32.340000000000003</v>
      </c>
      <c r="AV2975">
        <v>35.479999999999997</v>
      </c>
      <c r="AW2975">
        <v>0.87</v>
      </c>
      <c r="BA2975">
        <v>0.14000000000000001</v>
      </c>
      <c r="BB2975">
        <v>0.72</v>
      </c>
      <c r="BC2975">
        <v>-0.28999999999999998</v>
      </c>
      <c r="BD2975">
        <v>0.17</v>
      </c>
      <c r="BE2975">
        <v>0.28999999999999998</v>
      </c>
      <c r="BF2975">
        <v>-0.28999999999999998</v>
      </c>
      <c r="BG2975">
        <v>0.72</v>
      </c>
      <c r="BH2975">
        <v>0.27</v>
      </c>
      <c r="BI2975">
        <v>20191107</v>
      </c>
      <c r="BJ2975">
        <v>20040713</v>
      </c>
      <c r="BK2975">
        <v>8.19</v>
      </c>
      <c r="BL2975" t="s">
        <v>116</v>
      </c>
      <c r="BM2975" t="s">
        <v>116</v>
      </c>
      <c r="BN2975">
        <v>27.3</v>
      </c>
      <c r="BO2975">
        <v>20.2</v>
      </c>
      <c r="BP2975">
        <v>1.24</v>
      </c>
      <c r="BQ2975">
        <v>21.44</v>
      </c>
      <c r="BR2975">
        <v>20.260000000000002</v>
      </c>
      <c r="BS2975">
        <v>4.4400000000000004</v>
      </c>
      <c r="BT2975">
        <v>0.31</v>
      </c>
      <c r="BU2975">
        <v>5.42</v>
      </c>
      <c r="BV2975">
        <v>6.61</v>
      </c>
      <c r="BW2975">
        <v>1.62</v>
      </c>
      <c r="BX2975">
        <v>2.98</v>
      </c>
      <c r="BY2975">
        <v>11.22</v>
      </c>
      <c r="BZ2975">
        <v>7.43</v>
      </c>
      <c r="CA2975">
        <v>1.71</v>
      </c>
      <c r="CB2975">
        <v>-0.02</v>
      </c>
      <c r="CC2975">
        <v>2.0499999999999998</v>
      </c>
      <c r="CD2975">
        <v>1.64</v>
      </c>
      <c r="CE2975">
        <v>1.6</v>
      </c>
      <c r="CF2975">
        <v>1.34</v>
      </c>
      <c r="CG2975">
        <v>8.17</v>
      </c>
      <c r="CH2975">
        <v>1.2</v>
      </c>
      <c r="CI2975">
        <v>0.14000000000000001</v>
      </c>
      <c r="CJ2975">
        <v>23158</v>
      </c>
      <c r="CK2975">
        <v>13318</v>
      </c>
      <c r="CL2975" t="s">
        <v>8232</v>
      </c>
      <c r="CM2975">
        <v>10.76</v>
      </c>
      <c r="CN2975">
        <v>1.76</v>
      </c>
      <c r="CO2975">
        <v>2.82</v>
      </c>
      <c r="CP2975">
        <v>47.57</v>
      </c>
      <c r="CQ2975">
        <v>5.07</v>
      </c>
      <c r="CR2975">
        <v>2.16</v>
      </c>
      <c r="CS2975" t="s">
        <v>3110</v>
      </c>
      <c r="CT2975">
        <v>2.4700000000000002</v>
      </c>
      <c r="CU2975">
        <v>0</v>
      </c>
      <c r="CV2975">
        <v>0.36</v>
      </c>
      <c r="CW2975">
        <v>1</v>
      </c>
      <c r="CX2975">
        <v>0.15</v>
      </c>
      <c r="CY2975">
        <v>74.02</v>
      </c>
      <c r="CZ2975" t="s">
        <v>9491</v>
      </c>
      <c r="DA2975">
        <v>33.75</v>
      </c>
      <c r="DB2975">
        <v>15.23</v>
      </c>
      <c r="DC2975">
        <v>14.26</v>
      </c>
      <c r="DD2975">
        <v>0</v>
      </c>
      <c r="DE2975">
        <v>3401</v>
      </c>
      <c r="DF2975">
        <v>600965</v>
      </c>
      <c r="DG2975" t="s">
        <v>116</v>
      </c>
      <c r="DH2975" t="s">
        <v>116</v>
      </c>
      <c r="DI2975" t="s">
        <v>116</v>
      </c>
    </row>
    <row r="2976" spans="1:113" x14ac:dyDescent="0.4">
      <c r="A2976" t="str">
        <f>"600966"</f>
        <v>600966</v>
      </c>
      <c r="B2976" t="s">
        <v>13084</v>
      </c>
      <c r="C2976">
        <v>0.42</v>
      </c>
      <c r="D2976">
        <v>4.83</v>
      </c>
      <c r="E2976">
        <v>0.02</v>
      </c>
      <c r="F2976">
        <v>4.82</v>
      </c>
      <c r="G2976">
        <v>4.83</v>
      </c>
      <c r="H2976">
        <v>133141</v>
      </c>
      <c r="I2976">
        <v>493</v>
      </c>
      <c r="J2976">
        <v>-0.2</v>
      </c>
      <c r="K2976">
        <v>1</v>
      </c>
      <c r="L2976">
        <v>4.8</v>
      </c>
      <c r="M2976">
        <v>4.9400000000000004</v>
      </c>
      <c r="N2976">
        <v>4.7300000000000004</v>
      </c>
      <c r="O2976">
        <v>4.8099999999999996</v>
      </c>
      <c r="P2976">
        <v>35.32</v>
      </c>
      <c r="Q2976">
        <v>64128340</v>
      </c>
      <c r="R2976">
        <v>1.4</v>
      </c>
      <c r="S2976" t="s">
        <v>824</v>
      </c>
      <c r="T2976" t="s">
        <v>645</v>
      </c>
      <c r="U2976">
        <v>4.37</v>
      </c>
      <c r="V2976">
        <v>4.82</v>
      </c>
      <c r="W2976">
        <v>65317</v>
      </c>
      <c r="X2976">
        <v>67824</v>
      </c>
      <c r="Y2976">
        <v>0.96</v>
      </c>
      <c r="Z2976">
        <v>45</v>
      </c>
      <c r="AA2976">
        <v>62</v>
      </c>
      <c r="AB2976" t="s">
        <v>116</v>
      </c>
      <c r="AC2976">
        <v>58600</v>
      </c>
      <c r="AD2976">
        <v>0</v>
      </c>
      <c r="AE2976" t="s">
        <v>116</v>
      </c>
      <c r="AF2976" t="s">
        <v>116</v>
      </c>
      <c r="AG2976">
        <v>13.37</v>
      </c>
      <c r="AH2976" t="s">
        <v>13085</v>
      </c>
      <c r="AI2976" t="s">
        <v>13085</v>
      </c>
      <c r="AJ2976">
        <v>0.49</v>
      </c>
      <c r="AK2976">
        <v>1398</v>
      </c>
      <c r="AL2976">
        <v>95</v>
      </c>
      <c r="AM2976">
        <v>6.9999999999999999E-4</v>
      </c>
      <c r="AN2976">
        <v>1</v>
      </c>
      <c r="AO2976">
        <v>0.85</v>
      </c>
      <c r="AP2976">
        <v>-0.62</v>
      </c>
      <c r="AQ2976">
        <v>24.81</v>
      </c>
      <c r="AR2976">
        <v>54.66</v>
      </c>
      <c r="AS2976">
        <v>1.75</v>
      </c>
      <c r="AT2976" t="s">
        <v>13086</v>
      </c>
      <c r="AU2976" t="s">
        <v>116</v>
      </c>
      <c r="AV2976">
        <v>25.23</v>
      </c>
      <c r="AW2976">
        <v>0.19</v>
      </c>
      <c r="BA2976">
        <v>-0.21</v>
      </c>
      <c r="BB2976">
        <v>2.7</v>
      </c>
      <c r="BC2976">
        <v>-1.66</v>
      </c>
      <c r="BD2976">
        <v>0.14000000000000001</v>
      </c>
      <c r="BE2976">
        <v>0.63</v>
      </c>
      <c r="BF2976">
        <v>-2.23</v>
      </c>
      <c r="BG2976">
        <v>2.11</v>
      </c>
      <c r="BH2976">
        <v>0.28000000000000003</v>
      </c>
      <c r="BI2976">
        <v>20191029</v>
      </c>
      <c r="BJ2976">
        <v>20040608</v>
      </c>
      <c r="BK2976">
        <v>13.37</v>
      </c>
      <c r="BL2976" t="s">
        <v>116</v>
      </c>
      <c r="BM2976" t="s">
        <v>116</v>
      </c>
      <c r="BN2976">
        <v>192.26</v>
      </c>
      <c r="BO2976">
        <v>52.76</v>
      </c>
      <c r="BP2976">
        <v>0</v>
      </c>
      <c r="BQ2976">
        <v>72.56</v>
      </c>
      <c r="BR2976">
        <v>61.54</v>
      </c>
      <c r="BS2976">
        <v>119.12</v>
      </c>
      <c r="BT2976">
        <v>2.3199999999999998</v>
      </c>
      <c r="BU2976">
        <v>98.86</v>
      </c>
      <c r="BV2976">
        <v>14.13</v>
      </c>
      <c r="BW2976">
        <v>9.2799999999999994</v>
      </c>
      <c r="BX2976">
        <v>13.33</v>
      </c>
      <c r="BY2976">
        <v>65.03</v>
      </c>
      <c r="BZ2976">
        <v>56.31</v>
      </c>
      <c r="CA2976">
        <v>1.36</v>
      </c>
      <c r="CB2976">
        <v>7.0000000000000007E-2</v>
      </c>
      <c r="CC2976">
        <v>1.38</v>
      </c>
      <c r="CD2976">
        <v>1.37</v>
      </c>
      <c r="CE2976">
        <v>1.37</v>
      </c>
      <c r="CF2976">
        <v>1.33</v>
      </c>
      <c r="CG2976">
        <v>23.91</v>
      </c>
      <c r="CH2976">
        <v>9.68</v>
      </c>
      <c r="CI2976">
        <v>-1.35</v>
      </c>
      <c r="CJ2976">
        <v>68578</v>
      </c>
      <c r="CK2976">
        <v>11118</v>
      </c>
      <c r="CL2976" t="s">
        <v>5431</v>
      </c>
      <c r="CM2976">
        <v>-73.09</v>
      </c>
      <c r="CN2976">
        <v>1.41</v>
      </c>
      <c r="CO2976">
        <v>1.22</v>
      </c>
      <c r="CP2976">
        <v>6.67</v>
      </c>
      <c r="CQ2976">
        <v>0.99</v>
      </c>
      <c r="CR2976">
        <v>0.35</v>
      </c>
      <c r="CS2976" t="s">
        <v>2918</v>
      </c>
      <c r="CT2976">
        <v>3.95</v>
      </c>
      <c r="CU2976">
        <v>0</v>
      </c>
      <c r="CV2976">
        <v>1</v>
      </c>
      <c r="CW2976">
        <v>1.79</v>
      </c>
      <c r="CX2976">
        <v>0.72</v>
      </c>
      <c r="CY2976">
        <v>27.44</v>
      </c>
      <c r="CZ2976" t="s">
        <v>13087</v>
      </c>
      <c r="DA2976">
        <v>13.41</v>
      </c>
      <c r="DB2976">
        <v>2.09</v>
      </c>
      <c r="DC2976">
        <v>2.11</v>
      </c>
      <c r="DD2976">
        <v>0.06</v>
      </c>
      <c r="DE2976">
        <v>5031</v>
      </c>
      <c r="DF2976">
        <v>600966</v>
      </c>
      <c r="DG2976" t="s">
        <v>116</v>
      </c>
      <c r="DH2976" t="s">
        <v>116</v>
      </c>
      <c r="DI2976" t="s">
        <v>116</v>
      </c>
    </row>
    <row r="2977" spans="1:113" x14ac:dyDescent="0.4">
      <c r="A2977" t="str">
        <f>"600967"</f>
        <v>600967</v>
      </c>
      <c r="B2977" t="s">
        <v>13088</v>
      </c>
      <c r="C2977">
        <v>0.28999999999999998</v>
      </c>
      <c r="D2977">
        <v>10.5</v>
      </c>
      <c r="E2977">
        <v>0.03</v>
      </c>
      <c r="F2977">
        <v>10.5</v>
      </c>
      <c r="G2977">
        <v>10.51</v>
      </c>
      <c r="H2977">
        <v>87933</v>
      </c>
      <c r="I2977">
        <v>505</v>
      </c>
      <c r="J2977">
        <v>0</v>
      </c>
      <c r="K2977">
        <v>0.92</v>
      </c>
      <c r="L2977">
        <v>10.51</v>
      </c>
      <c r="M2977">
        <v>10.56</v>
      </c>
      <c r="N2977">
        <v>10.44</v>
      </c>
      <c r="O2977">
        <v>10.47</v>
      </c>
      <c r="P2977">
        <v>31.6</v>
      </c>
      <c r="Q2977">
        <v>92308992</v>
      </c>
      <c r="R2977">
        <v>1.17</v>
      </c>
      <c r="S2977" t="s">
        <v>164</v>
      </c>
      <c r="T2977" t="s">
        <v>796</v>
      </c>
      <c r="U2977">
        <v>1.1499999999999999</v>
      </c>
      <c r="V2977">
        <v>10.5</v>
      </c>
      <c r="W2977">
        <v>50690</v>
      </c>
      <c r="X2977">
        <v>37243</v>
      </c>
      <c r="Y2977">
        <v>1.36</v>
      </c>
      <c r="Z2977">
        <v>715</v>
      </c>
      <c r="AA2977">
        <v>546</v>
      </c>
      <c r="AB2977" t="s">
        <v>116</v>
      </c>
      <c r="AC2977">
        <v>279600</v>
      </c>
      <c r="AD2977">
        <v>0</v>
      </c>
      <c r="AE2977" t="s">
        <v>116</v>
      </c>
      <c r="AF2977" t="s">
        <v>116</v>
      </c>
      <c r="AG2977">
        <v>9.6</v>
      </c>
      <c r="AH2977" t="s">
        <v>13089</v>
      </c>
      <c r="AI2977" t="s">
        <v>13090</v>
      </c>
      <c r="AJ2977">
        <v>0.36</v>
      </c>
      <c r="AK2977">
        <v>2768</v>
      </c>
      <c r="AL2977">
        <v>32</v>
      </c>
      <c r="AM2977">
        <v>2.9999999999999997E-4</v>
      </c>
      <c r="AN2977">
        <v>1</v>
      </c>
      <c r="AO2977">
        <v>-0.94</v>
      </c>
      <c r="AP2977">
        <v>5.95</v>
      </c>
      <c r="AQ2977">
        <v>-0.85</v>
      </c>
      <c r="AR2977">
        <v>1.27</v>
      </c>
      <c r="AS2977">
        <v>1.23</v>
      </c>
      <c r="AT2977" t="s">
        <v>13091</v>
      </c>
      <c r="AU2977">
        <v>29.3</v>
      </c>
      <c r="AV2977">
        <v>33.24</v>
      </c>
      <c r="AW2977">
        <v>0.92</v>
      </c>
      <c r="BA2977">
        <v>0.38</v>
      </c>
      <c r="BB2977">
        <v>0.86</v>
      </c>
      <c r="BC2977">
        <v>-0.28999999999999998</v>
      </c>
      <c r="BD2977">
        <v>0.26</v>
      </c>
      <c r="BE2977">
        <v>-0.1</v>
      </c>
      <c r="BF2977">
        <v>-0.56999999999999995</v>
      </c>
      <c r="BG2977">
        <v>0.56999999999999995</v>
      </c>
      <c r="BH2977">
        <v>0.02</v>
      </c>
      <c r="BI2977">
        <v>20191031</v>
      </c>
      <c r="BJ2977">
        <v>20040518</v>
      </c>
      <c r="BK2977">
        <v>16.899999999999999</v>
      </c>
      <c r="BL2977" t="s">
        <v>116</v>
      </c>
      <c r="BM2977" t="s">
        <v>116</v>
      </c>
      <c r="BN2977">
        <v>211.52</v>
      </c>
      <c r="BO2977">
        <v>88.35</v>
      </c>
      <c r="BP2977">
        <v>0.66</v>
      </c>
      <c r="BQ2977">
        <v>57.92</v>
      </c>
      <c r="BR2977">
        <v>163.81</v>
      </c>
      <c r="BS2977">
        <v>20.76</v>
      </c>
      <c r="BT2977">
        <v>23.69</v>
      </c>
      <c r="BU2977">
        <v>116.45</v>
      </c>
      <c r="BV2977">
        <v>36.53</v>
      </c>
      <c r="BW2977">
        <v>28.45</v>
      </c>
      <c r="BX2977">
        <v>41.14</v>
      </c>
      <c r="BY2977">
        <v>75.36</v>
      </c>
      <c r="BZ2977">
        <v>68</v>
      </c>
      <c r="CA2977">
        <v>4.88</v>
      </c>
      <c r="CB2977">
        <v>0.28000000000000003</v>
      </c>
      <c r="CC2977">
        <v>4.88</v>
      </c>
      <c r="CD2977">
        <v>4.24</v>
      </c>
      <c r="CE2977">
        <v>4.21</v>
      </c>
      <c r="CF2977">
        <v>3.82</v>
      </c>
      <c r="CG2977">
        <v>27.77</v>
      </c>
      <c r="CH2977">
        <v>4.1500000000000004</v>
      </c>
      <c r="CI2977">
        <v>9.92</v>
      </c>
      <c r="CJ2977">
        <v>55227</v>
      </c>
      <c r="CK2977">
        <v>12965</v>
      </c>
      <c r="CL2977" t="s">
        <v>13092</v>
      </c>
      <c r="CM2977">
        <v>20.53</v>
      </c>
      <c r="CN2977">
        <v>5.25</v>
      </c>
      <c r="CO2977">
        <v>2.0099999999999998</v>
      </c>
      <c r="CP2977">
        <v>42.77</v>
      </c>
      <c r="CQ2977">
        <v>2.35</v>
      </c>
      <c r="CR2977">
        <v>0.3</v>
      </c>
      <c r="CS2977" t="s">
        <v>8554</v>
      </c>
      <c r="CT2977">
        <v>5.23</v>
      </c>
      <c r="CU2977">
        <v>0</v>
      </c>
      <c r="CV2977">
        <v>2.44</v>
      </c>
      <c r="CW2977">
        <v>1.64</v>
      </c>
      <c r="CX2977">
        <v>0.25</v>
      </c>
      <c r="CY2977">
        <v>41.77</v>
      </c>
      <c r="CZ2977" t="s">
        <v>1507</v>
      </c>
      <c r="DA2977">
        <v>9.7799999999999994</v>
      </c>
      <c r="DB2977">
        <v>6.48</v>
      </c>
      <c r="DC2977">
        <v>5.59</v>
      </c>
      <c r="DD2977">
        <v>1.62</v>
      </c>
      <c r="DE2977">
        <v>8106</v>
      </c>
      <c r="DF2977">
        <v>600967</v>
      </c>
      <c r="DG2977" t="s">
        <v>116</v>
      </c>
      <c r="DH2977" t="s">
        <v>116</v>
      </c>
      <c r="DI2977" t="s">
        <v>116</v>
      </c>
    </row>
    <row r="2978" spans="1:113" x14ac:dyDescent="0.4">
      <c r="A2978" t="str">
        <f>"600968"</f>
        <v>600968</v>
      </c>
      <c r="B2978" t="s">
        <v>13093</v>
      </c>
      <c r="C2978">
        <v>0</v>
      </c>
      <c r="D2978">
        <v>2.91</v>
      </c>
      <c r="E2978">
        <v>0</v>
      </c>
      <c r="F2978">
        <v>2.9</v>
      </c>
      <c r="G2978">
        <v>2.91</v>
      </c>
      <c r="H2978">
        <v>435294</v>
      </c>
      <c r="I2978">
        <v>3508</v>
      </c>
      <c r="J2978">
        <v>0</v>
      </c>
      <c r="K2978">
        <v>2.33</v>
      </c>
      <c r="L2978">
        <v>2.91</v>
      </c>
      <c r="M2978">
        <v>2.94</v>
      </c>
      <c r="N2978">
        <v>2.9</v>
      </c>
      <c r="O2978">
        <v>2.91</v>
      </c>
      <c r="P2978">
        <v>25.04</v>
      </c>
      <c r="Q2978">
        <v>126965040</v>
      </c>
      <c r="R2978">
        <v>1.1399999999999999</v>
      </c>
      <c r="S2978" t="s">
        <v>4171</v>
      </c>
      <c r="T2978" t="s">
        <v>165</v>
      </c>
      <c r="U2978">
        <v>1.37</v>
      </c>
      <c r="V2978">
        <v>2.92</v>
      </c>
      <c r="W2978">
        <v>237285</v>
      </c>
      <c r="X2978">
        <v>198009</v>
      </c>
      <c r="Y2978">
        <v>1.2</v>
      </c>
      <c r="Z2978">
        <v>21636</v>
      </c>
      <c r="AA2978">
        <v>18355</v>
      </c>
      <c r="AB2978" t="s">
        <v>116</v>
      </c>
      <c r="AC2978">
        <v>305600</v>
      </c>
      <c r="AD2978">
        <v>0.01</v>
      </c>
      <c r="AE2978" t="s">
        <v>116</v>
      </c>
      <c r="AF2978" t="s">
        <v>116</v>
      </c>
      <c r="AG2978">
        <v>18.649999999999999</v>
      </c>
      <c r="AH2978" t="s">
        <v>13094</v>
      </c>
      <c r="AI2978" t="s">
        <v>7031</v>
      </c>
      <c r="AJ2978">
        <v>0.08</v>
      </c>
      <c r="AK2978">
        <v>2606</v>
      </c>
      <c r="AL2978">
        <v>167</v>
      </c>
      <c r="AM2978">
        <v>8.9999999999999998E-4</v>
      </c>
      <c r="AN2978">
        <v>0</v>
      </c>
      <c r="AO2978">
        <v>-0.34</v>
      </c>
      <c r="AP2978">
        <v>4.3</v>
      </c>
      <c r="AQ2978">
        <v>-6.13</v>
      </c>
      <c r="AR2978">
        <v>42.65</v>
      </c>
      <c r="AS2978">
        <v>2.33</v>
      </c>
      <c r="AT2978" t="s">
        <v>13094</v>
      </c>
      <c r="AU2978">
        <v>22.61</v>
      </c>
      <c r="AV2978">
        <v>27.75</v>
      </c>
      <c r="AW2978">
        <v>1.41</v>
      </c>
      <c r="BA2978">
        <v>0</v>
      </c>
      <c r="BB2978">
        <v>1.03</v>
      </c>
      <c r="BC2978">
        <v>-0.34</v>
      </c>
      <c r="BD2978">
        <v>0.23</v>
      </c>
      <c r="BE2978">
        <v>0</v>
      </c>
      <c r="BF2978">
        <v>-1.02</v>
      </c>
      <c r="BG2978">
        <v>0.34</v>
      </c>
      <c r="BH2978">
        <v>-0.23</v>
      </c>
      <c r="BI2978">
        <v>20191029</v>
      </c>
      <c r="BJ2978">
        <v>20190626</v>
      </c>
      <c r="BK2978">
        <v>101.65</v>
      </c>
      <c r="BL2978" t="s">
        <v>116</v>
      </c>
      <c r="BM2978" t="s">
        <v>116</v>
      </c>
      <c r="BN2978">
        <v>293.93</v>
      </c>
      <c r="BO2978">
        <v>181.88</v>
      </c>
      <c r="BP2978">
        <v>4.45</v>
      </c>
      <c r="BQ2978">
        <v>36.61</v>
      </c>
      <c r="BR2978">
        <v>139.33000000000001</v>
      </c>
      <c r="BS2978">
        <v>108.63</v>
      </c>
      <c r="BT2978">
        <v>17.98</v>
      </c>
      <c r="BU2978">
        <v>99.11</v>
      </c>
      <c r="BV2978">
        <v>8.11</v>
      </c>
      <c r="BW2978">
        <v>98.46</v>
      </c>
      <c r="BX2978">
        <v>16.920000000000002</v>
      </c>
      <c r="BY2978">
        <v>215.32</v>
      </c>
      <c r="BZ2978">
        <v>190.22</v>
      </c>
      <c r="CA2978">
        <v>12.7</v>
      </c>
      <c r="CB2978">
        <v>1.71</v>
      </c>
      <c r="CC2978">
        <v>12.76</v>
      </c>
      <c r="CD2978">
        <v>9.42</v>
      </c>
      <c r="CE2978">
        <v>8.86</v>
      </c>
      <c r="CF2978">
        <v>7.29</v>
      </c>
      <c r="CG2978">
        <v>49.34</v>
      </c>
      <c r="CH2978">
        <v>7.09</v>
      </c>
      <c r="CI2978">
        <v>8.41</v>
      </c>
      <c r="CJ2978">
        <v>319224</v>
      </c>
      <c r="CK2978">
        <v>5843</v>
      </c>
      <c r="CL2978" t="s">
        <v>8221</v>
      </c>
      <c r="CM2978">
        <v>0</v>
      </c>
      <c r="CN2978">
        <v>0</v>
      </c>
      <c r="CO2978">
        <v>1.63</v>
      </c>
      <c r="CP2978">
        <v>41.7</v>
      </c>
      <c r="CQ2978">
        <v>1.37</v>
      </c>
      <c r="CR2978">
        <v>0</v>
      </c>
      <c r="CS2978" t="s">
        <v>2448</v>
      </c>
      <c r="CT2978">
        <v>1.79</v>
      </c>
      <c r="CU2978">
        <v>0</v>
      </c>
      <c r="CV2978">
        <v>0.17</v>
      </c>
      <c r="CW2978">
        <v>0.49</v>
      </c>
      <c r="CX2978">
        <v>7.0000000000000007E-2</v>
      </c>
      <c r="CY2978">
        <v>61.88</v>
      </c>
      <c r="CZ2978" t="s">
        <v>549</v>
      </c>
      <c r="DA2978">
        <v>11.66</v>
      </c>
      <c r="DB2978">
        <v>5.9</v>
      </c>
      <c r="DC2978">
        <v>4.1100000000000003</v>
      </c>
      <c r="DD2978">
        <v>3.29</v>
      </c>
      <c r="DE2978">
        <v>15572</v>
      </c>
      <c r="DF2978">
        <v>600968</v>
      </c>
      <c r="DG2978" t="s">
        <v>116</v>
      </c>
      <c r="DH2978" t="s">
        <v>116</v>
      </c>
      <c r="DI2978" t="s">
        <v>116</v>
      </c>
    </row>
    <row r="2979" spans="1:113" x14ac:dyDescent="0.4">
      <c r="A2979" t="str">
        <f>"600969"</f>
        <v>600969</v>
      </c>
      <c r="B2979" t="s">
        <v>13095</v>
      </c>
      <c r="C2979">
        <v>-0.46</v>
      </c>
      <c r="D2979">
        <v>6.52</v>
      </c>
      <c r="E2979">
        <v>-0.03</v>
      </c>
      <c r="F2979">
        <v>6.51</v>
      </c>
      <c r="G2979">
        <v>6.52</v>
      </c>
      <c r="H2979">
        <v>27150</v>
      </c>
      <c r="I2979">
        <v>157</v>
      </c>
      <c r="J2979">
        <v>0.15</v>
      </c>
      <c r="K2979">
        <v>0.73</v>
      </c>
      <c r="L2979">
        <v>6.58</v>
      </c>
      <c r="M2979">
        <v>6.6</v>
      </c>
      <c r="N2979">
        <v>6.5</v>
      </c>
      <c r="O2979">
        <v>6.55</v>
      </c>
      <c r="P2979">
        <v>22.77</v>
      </c>
      <c r="Q2979">
        <v>17798380</v>
      </c>
      <c r="R2979">
        <v>1.1299999999999999</v>
      </c>
      <c r="S2979" t="s">
        <v>1363</v>
      </c>
      <c r="T2979" t="s">
        <v>599</v>
      </c>
      <c r="U2979">
        <v>1.53</v>
      </c>
      <c r="V2979">
        <v>6.56</v>
      </c>
      <c r="W2979">
        <v>15284</v>
      </c>
      <c r="X2979">
        <v>11866</v>
      </c>
      <c r="Y2979">
        <v>1.29</v>
      </c>
      <c r="Z2979">
        <v>175</v>
      </c>
      <c r="AA2979">
        <v>10</v>
      </c>
      <c r="AB2979" t="s">
        <v>116</v>
      </c>
      <c r="AC2979">
        <v>0</v>
      </c>
      <c r="AD2979">
        <v>0</v>
      </c>
      <c r="AE2979" t="s">
        <v>116</v>
      </c>
      <c r="AF2979" t="s">
        <v>116</v>
      </c>
      <c r="AG2979">
        <v>3.7</v>
      </c>
      <c r="AH2979" t="s">
        <v>13096</v>
      </c>
      <c r="AI2979" t="s">
        <v>13096</v>
      </c>
      <c r="AJ2979">
        <v>-0.38</v>
      </c>
      <c r="AK2979">
        <v>693</v>
      </c>
      <c r="AL2979">
        <v>39</v>
      </c>
      <c r="AM2979">
        <v>1.1000000000000001E-3</v>
      </c>
      <c r="AN2979">
        <v>-1</v>
      </c>
      <c r="AO2979">
        <v>-0.92</v>
      </c>
      <c r="AP2979">
        <v>3.66</v>
      </c>
      <c r="AQ2979">
        <v>-0.31</v>
      </c>
      <c r="AR2979">
        <v>10.44</v>
      </c>
      <c r="AS2979">
        <v>1</v>
      </c>
      <c r="AT2979" t="s">
        <v>10128</v>
      </c>
      <c r="AU2979">
        <v>40.25</v>
      </c>
      <c r="AV2979">
        <v>62.76</v>
      </c>
      <c r="AW2979">
        <v>1.19</v>
      </c>
      <c r="BA2979">
        <v>0.46</v>
      </c>
      <c r="BB2979">
        <v>0.76</v>
      </c>
      <c r="BC2979">
        <v>-0.76</v>
      </c>
      <c r="BD2979">
        <v>0.09</v>
      </c>
      <c r="BE2979">
        <v>-0.91</v>
      </c>
      <c r="BF2979">
        <v>-1.21</v>
      </c>
      <c r="BG2979">
        <v>0.31</v>
      </c>
      <c r="BH2979">
        <v>-0.54</v>
      </c>
      <c r="BI2979">
        <v>20191029</v>
      </c>
      <c r="BJ2979">
        <v>20040408</v>
      </c>
      <c r="BK2979">
        <v>3.7</v>
      </c>
      <c r="BL2979" t="s">
        <v>116</v>
      </c>
      <c r="BM2979" t="s">
        <v>116</v>
      </c>
      <c r="BN2979">
        <v>133.59</v>
      </c>
      <c r="BO2979">
        <v>35.17</v>
      </c>
      <c r="BP2979">
        <v>2.56</v>
      </c>
      <c r="BQ2979">
        <v>71.760000000000005</v>
      </c>
      <c r="BR2979">
        <v>33.630000000000003</v>
      </c>
      <c r="BS2979">
        <v>59.19</v>
      </c>
      <c r="BT2979">
        <v>4.58</v>
      </c>
      <c r="BU2979">
        <v>25.25</v>
      </c>
      <c r="BV2979">
        <v>0.3</v>
      </c>
      <c r="BW2979">
        <v>2.36</v>
      </c>
      <c r="BX2979">
        <v>24.74</v>
      </c>
      <c r="BY2979">
        <v>23.16</v>
      </c>
      <c r="BZ2979">
        <v>19.73</v>
      </c>
      <c r="CA2979">
        <v>1.55</v>
      </c>
      <c r="CB2979">
        <v>0.23</v>
      </c>
      <c r="CC2979">
        <v>1.54</v>
      </c>
      <c r="CD2979">
        <v>1.22</v>
      </c>
      <c r="CE2979">
        <v>0.79</v>
      </c>
      <c r="CF2979">
        <v>0.73</v>
      </c>
      <c r="CG2979">
        <v>5.95</v>
      </c>
      <c r="CH2979">
        <v>6.74</v>
      </c>
      <c r="CI2979">
        <v>-5.03</v>
      </c>
      <c r="CJ2979">
        <v>23757</v>
      </c>
      <c r="CK2979">
        <v>11483</v>
      </c>
      <c r="CL2979" t="s">
        <v>9503</v>
      </c>
      <c r="CM2979">
        <v>37.1</v>
      </c>
      <c r="CN2979">
        <v>12.07</v>
      </c>
      <c r="CO2979">
        <v>0.69</v>
      </c>
      <c r="CP2979">
        <v>3.58</v>
      </c>
      <c r="CQ2979">
        <v>1.04</v>
      </c>
      <c r="CR2979">
        <v>0.4</v>
      </c>
      <c r="CS2979" t="s">
        <v>4228</v>
      </c>
      <c r="CT2979">
        <v>9.51</v>
      </c>
      <c r="CU2979">
        <v>0</v>
      </c>
      <c r="CV2979">
        <v>6.69</v>
      </c>
      <c r="CW2979">
        <v>1.61</v>
      </c>
      <c r="CX2979">
        <v>1.82</v>
      </c>
      <c r="CY2979">
        <v>26.33</v>
      </c>
      <c r="CZ2979" t="s">
        <v>2244</v>
      </c>
      <c r="DA2979">
        <v>14.81</v>
      </c>
      <c r="DB2979">
        <v>6.67</v>
      </c>
      <c r="DC2979">
        <v>3.43</v>
      </c>
      <c r="DD2979">
        <v>0</v>
      </c>
      <c r="DE2979">
        <v>2790</v>
      </c>
      <c r="DF2979">
        <v>600969</v>
      </c>
      <c r="DG2979" t="s">
        <v>116</v>
      </c>
      <c r="DH2979" t="s">
        <v>116</v>
      </c>
      <c r="DI2979" t="s">
        <v>116</v>
      </c>
    </row>
    <row r="2980" spans="1:113" x14ac:dyDescent="0.4">
      <c r="A2980" t="str">
        <f>"600970"</f>
        <v>600970</v>
      </c>
      <c r="B2980" t="s">
        <v>13097</v>
      </c>
      <c r="C2980">
        <v>-0.75</v>
      </c>
      <c r="D2980">
        <v>6.66</v>
      </c>
      <c r="E2980">
        <v>-0.05</v>
      </c>
      <c r="F2980">
        <v>6.66</v>
      </c>
      <c r="G2980">
        <v>6.67</v>
      </c>
      <c r="H2980">
        <v>147593</v>
      </c>
      <c r="I2980">
        <v>1651</v>
      </c>
      <c r="J2980">
        <v>0</v>
      </c>
      <c r="K2980">
        <v>0.85</v>
      </c>
      <c r="L2980">
        <v>6.75</v>
      </c>
      <c r="M2980">
        <v>6.76</v>
      </c>
      <c r="N2980">
        <v>6.65</v>
      </c>
      <c r="O2980">
        <v>6.71</v>
      </c>
      <c r="P2980">
        <v>7.54</v>
      </c>
      <c r="Q2980">
        <v>98997824</v>
      </c>
      <c r="R2980">
        <v>1.08</v>
      </c>
      <c r="S2980" t="s">
        <v>181</v>
      </c>
      <c r="T2980" t="s">
        <v>323</v>
      </c>
      <c r="U2980">
        <v>1.64</v>
      </c>
      <c r="V2980">
        <v>6.71</v>
      </c>
      <c r="W2980">
        <v>68630</v>
      </c>
      <c r="X2980">
        <v>78963</v>
      </c>
      <c r="Y2980">
        <v>0.87</v>
      </c>
      <c r="Z2980">
        <v>214</v>
      </c>
      <c r="AA2980">
        <v>671</v>
      </c>
      <c r="AB2980" t="s">
        <v>116</v>
      </c>
      <c r="AC2980">
        <v>469100</v>
      </c>
      <c r="AD2980">
        <v>0.01</v>
      </c>
      <c r="AE2980" t="s">
        <v>116</v>
      </c>
      <c r="AF2980" t="s">
        <v>116</v>
      </c>
      <c r="AG2980">
        <v>17.37</v>
      </c>
      <c r="AH2980" t="s">
        <v>13098</v>
      </c>
      <c r="AI2980" t="s">
        <v>714</v>
      </c>
      <c r="AJ2980">
        <v>-0.67</v>
      </c>
      <c r="AK2980">
        <v>3015</v>
      </c>
      <c r="AL2980">
        <v>49</v>
      </c>
      <c r="AM2980">
        <v>2.9999999999999997E-4</v>
      </c>
      <c r="AN2980">
        <v>-1</v>
      </c>
      <c r="AO2980">
        <v>1.68</v>
      </c>
      <c r="AP2980">
        <v>7.07</v>
      </c>
      <c r="AQ2980">
        <v>12.31</v>
      </c>
      <c r="AR2980">
        <v>27.95</v>
      </c>
      <c r="AS2980">
        <v>1.42</v>
      </c>
      <c r="AT2980" t="s">
        <v>5983</v>
      </c>
      <c r="AU2980">
        <v>7.67</v>
      </c>
      <c r="AV2980">
        <v>8.4700000000000006</v>
      </c>
      <c r="AW2980">
        <v>1.28</v>
      </c>
      <c r="BA2980">
        <v>0.6</v>
      </c>
      <c r="BB2980">
        <v>0.75</v>
      </c>
      <c r="BC2980">
        <v>-0.89</v>
      </c>
      <c r="BD2980">
        <v>-0.04</v>
      </c>
      <c r="BE2980">
        <v>-1.33</v>
      </c>
      <c r="BF2980">
        <v>-1.48</v>
      </c>
      <c r="BG2980">
        <v>0.15</v>
      </c>
      <c r="BH2980">
        <v>-0.71</v>
      </c>
      <c r="BI2980">
        <v>20191029</v>
      </c>
      <c r="BJ2980">
        <v>20050412</v>
      </c>
      <c r="BK2980">
        <v>17.399999999999999</v>
      </c>
      <c r="BL2980" t="s">
        <v>116</v>
      </c>
      <c r="BM2980" t="s">
        <v>116</v>
      </c>
      <c r="BN2980">
        <v>322.41000000000003</v>
      </c>
      <c r="BO2980">
        <v>97.58</v>
      </c>
      <c r="BP2980">
        <v>4.5599999999999996</v>
      </c>
      <c r="BQ2980">
        <v>68.319999999999993</v>
      </c>
      <c r="BR2980">
        <v>222.72</v>
      </c>
      <c r="BS2980">
        <v>19.88</v>
      </c>
      <c r="BT2980">
        <v>6.85</v>
      </c>
      <c r="BU2980">
        <v>186.01</v>
      </c>
      <c r="BV2980">
        <v>26.85</v>
      </c>
      <c r="BW2980">
        <v>40.54</v>
      </c>
      <c r="BX2980">
        <v>11.37</v>
      </c>
      <c r="BY2980">
        <v>169</v>
      </c>
      <c r="BZ2980">
        <v>141.61000000000001</v>
      </c>
      <c r="CA2980">
        <v>13.67</v>
      </c>
      <c r="CB2980">
        <v>-1.42</v>
      </c>
      <c r="CC2980">
        <v>13.93</v>
      </c>
      <c r="CD2980">
        <v>11.58</v>
      </c>
      <c r="CE2980">
        <v>11.53</v>
      </c>
      <c r="CF2980">
        <v>11.3</v>
      </c>
      <c r="CG2980">
        <v>63.67</v>
      </c>
      <c r="CH2980">
        <v>-3.79</v>
      </c>
      <c r="CI2980">
        <v>-2.23</v>
      </c>
      <c r="CJ2980">
        <v>80623</v>
      </c>
      <c r="CK2980">
        <v>12908</v>
      </c>
      <c r="CL2980" t="s">
        <v>13099</v>
      </c>
      <c r="CM2980">
        <v>14.07</v>
      </c>
      <c r="CN2980">
        <v>19.29</v>
      </c>
      <c r="CO2980">
        <v>1.19</v>
      </c>
      <c r="CP2980">
        <v>-30.6</v>
      </c>
      <c r="CQ2980">
        <v>0.69</v>
      </c>
      <c r="CR2980">
        <v>3.98</v>
      </c>
      <c r="CS2980" t="s">
        <v>13100</v>
      </c>
      <c r="CT2980">
        <v>5.61</v>
      </c>
      <c r="CU2980">
        <v>0</v>
      </c>
      <c r="CV2980">
        <v>0.65</v>
      </c>
      <c r="CW2980">
        <v>3.66</v>
      </c>
      <c r="CX2980">
        <v>-0.22</v>
      </c>
      <c r="CY2980">
        <v>30.27</v>
      </c>
      <c r="CZ2980" t="s">
        <v>8708</v>
      </c>
      <c r="DA2980">
        <v>16.21</v>
      </c>
      <c r="DB2980">
        <v>8.09</v>
      </c>
      <c r="DC2980">
        <v>6.82</v>
      </c>
      <c r="DD2980">
        <v>4.07</v>
      </c>
      <c r="DE2980">
        <v>7944</v>
      </c>
      <c r="DF2980">
        <v>600970</v>
      </c>
      <c r="DG2980" t="s">
        <v>116</v>
      </c>
      <c r="DH2980" t="s">
        <v>116</v>
      </c>
      <c r="DI2980" t="s">
        <v>116</v>
      </c>
    </row>
    <row r="2981" spans="1:113" x14ac:dyDescent="0.4">
      <c r="A2981" t="str">
        <f>"600971"</f>
        <v>600971</v>
      </c>
      <c r="B2981" t="s">
        <v>13101</v>
      </c>
      <c r="C2981">
        <v>-0.17</v>
      </c>
      <c r="D2981">
        <v>5.78</v>
      </c>
      <c r="E2981">
        <v>-0.01</v>
      </c>
      <c r="F2981">
        <v>5.78</v>
      </c>
      <c r="G2981">
        <v>5.79</v>
      </c>
      <c r="H2981">
        <v>153882</v>
      </c>
      <c r="I2981">
        <v>689</v>
      </c>
      <c r="J2981">
        <v>-0.16</v>
      </c>
      <c r="K2981">
        <v>1.28</v>
      </c>
      <c r="L2981">
        <v>5.8</v>
      </c>
      <c r="M2981">
        <v>5.94</v>
      </c>
      <c r="N2981">
        <v>5.77</v>
      </c>
      <c r="O2981">
        <v>5.79</v>
      </c>
      <c r="P2981">
        <v>7.24</v>
      </c>
      <c r="Q2981">
        <v>89866776</v>
      </c>
      <c r="R2981">
        <v>1.43</v>
      </c>
      <c r="S2981" t="s">
        <v>1121</v>
      </c>
      <c r="T2981" t="s">
        <v>575</v>
      </c>
      <c r="U2981">
        <v>2.94</v>
      </c>
      <c r="V2981">
        <v>5.84</v>
      </c>
      <c r="W2981">
        <v>72600</v>
      </c>
      <c r="X2981">
        <v>81282</v>
      </c>
      <c r="Y2981">
        <v>0.89</v>
      </c>
      <c r="Z2981">
        <v>1087</v>
      </c>
      <c r="AA2981">
        <v>160</v>
      </c>
      <c r="AB2981" t="s">
        <v>116</v>
      </c>
      <c r="AC2981">
        <v>0</v>
      </c>
      <c r="AD2981">
        <v>0</v>
      </c>
      <c r="AE2981" t="s">
        <v>116</v>
      </c>
      <c r="AF2981" t="s">
        <v>116</v>
      </c>
      <c r="AG2981">
        <v>12</v>
      </c>
      <c r="AH2981" t="s">
        <v>13102</v>
      </c>
      <c r="AI2981" t="s">
        <v>13102</v>
      </c>
      <c r="AJ2981">
        <v>-0.1</v>
      </c>
      <c r="AK2981">
        <v>1915</v>
      </c>
      <c r="AL2981">
        <v>80</v>
      </c>
      <c r="AM2981">
        <v>6.9999999999999999E-4</v>
      </c>
      <c r="AN2981">
        <v>-1</v>
      </c>
      <c r="AO2981">
        <v>0.35</v>
      </c>
      <c r="AP2981">
        <v>1.23</v>
      </c>
      <c r="AQ2981">
        <v>3.96</v>
      </c>
      <c r="AR2981">
        <v>32.869999999999997</v>
      </c>
      <c r="AS2981">
        <v>2.85</v>
      </c>
      <c r="AT2981" t="s">
        <v>13103</v>
      </c>
      <c r="AU2981">
        <v>5.55</v>
      </c>
      <c r="AV2981">
        <v>5.68</v>
      </c>
      <c r="AW2981">
        <v>1.37</v>
      </c>
      <c r="BA2981">
        <v>0.17</v>
      </c>
      <c r="BB2981">
        <v>2.59</v>
      </c>
      <c r="BC2981">
        <v>-0.35</v>
      </c>
      <c r="BD2981">
        <v>0.86</v>
      </c>
      <c r="BE2981">
        <v>-0.34</v>
      </c>
      <c r="BF2981">
        <v>-2.69</v>
      </c>
      <c r="BG2981">
        <v>0.17</v>
      </c>
      <c r="BH2981">
        <v>-1.04</v>
      </c>
      <c r="BI2981">
        <v>20191025</v>
      </c>
      <c r="BJ2981">
        <v>20040817</v>
      </c>
      <c r="BK2981">
        <v>12</v>
      </c>
      <c r="BL2981" t="s">
        <v>116</v>
      </c>
      <c r="BM2981" t="s">
        <v>116</v>
      </c>
      <c r="BN2981">
        <v>154.16</v>
      </c>
      <c r="BO2981">
        <v>81.94</v>
      </c>
      <c r="BP2981">
        <v>1.02</v>
      </c>
      <c r="BQ2981">
        <v>46.18</v>
      </c>
      <c r="BR2981">
        <v>78.5</v>
      </c>
      <c r="BS2981">
        <v>33.44</v>
      </c>
      <c r="BT2981">
        <v>25.5</v>
      </c>
      <c r="BU2981">
        <v>51.24</v>
      </c>
      <c r="BV2981">
        <v>3.15</v>
      </c>
      <c r="BW2981">
        <v>2.08</v>
      </c>
      <c r="BX2981">
        <v>18.600000000000001</v>
      </c>
      <c r="BY2981">
        <v>47.11</v>
      </c>
      <c r="BZ2981">
        <v>27.45</v>
      </c>
      <c r="CA2981">
        <v>9.99</v>
      </c>
      <c r="CB2981">
        <v>-0.03</v>
      </c>
      <c r="CC2981">
        <v>9.9600000000000009</v>
      </c>
      <c r="CD2981">
        <v>7.18</v>
      </c>
      <c r="CE2981">
        <v>7.19</v>
      </c>
      <c r="CF2981">
        <v>7.18</v>
      </c>
      <c r="CG2981">
        <v>39.22</v>
      </c>
      <c r="CH2981">
        <v>12.61</v>
      </c>
      <c r="CI2981">
        <v>-0.37</v>
      </c>
      <c r="CJ2981">
        <v>43340</v>
      </c>
      <c r="CK2981">
        <v>12470</v>
      </c>
      <c r="CL2981" t="s">
        <v>4983</v>
      </c>
      <c r="CM2981">
        <v>4.34</v>
      </c>
      <c r="CN2981">
        <v>1.03</v>
      </c>
      <c r="CO2981">
        <v>0.85</v>
      </c>
      <c r="CP2981">
        <v>5.5</v>
      </c>
      <c r="CQ2981">
        <v>1.47</v>
      </c>
      <c r="CR2981">
        <v>5.91</v>
      </c>
      <c r="CS2981" t="s">
        <v>5844</v>
      </c>
      <c r="CT2981">
        <v>6.83</v>
      </c>
      <c r="CU2981">
        <v>0</v>
      </c>
      <c r="CV2981">
        <v>1.55</v>
      </c>
      <c r="CW2981">
        <v>3.27</v>
      </c>
      <c r="CX2981">
        <v>1.05</v>
      </c>
      <c r="CY2981">
        <v>53.15</v>
      </c>
      <c r="CZ2981" t="s">
        <v>1761</v>
      </c>
      <c r="DA2981">
        <v>41.75</v>
      </c>
      <c r="DB2981">
        <v>21.2</v>
      </c>
      <c r="DC2981">
        <v>15.25</v>
      </c>
      <c r="DD2981">
        <v>1.48</v>
      </c>
      <c r="DE2981">
        <v>13470</v>
      </c>
      <c r="DF2981">
        <v>600971</v>
      </c>
      <c r="DG2981" t="s">
        <v>116</v>
      </c>
      <c r="DH2981" t="s">
        <v>116</v>
      </c>
      <c r="DI2981" t="s">
        <v>116</v>
      </c>
    </row>
    <row r="2982" spans="1:113" x14ac:dyDescent="0.4">
      <c r="A2982" t="str">
        <f>"600973"</f>
        <v>600973</v>
      </c>
      <c r="B2982" t="s">
        <v>13104</v>
      </c>
      <c r="C2982">
        <v>-0.27</v>
      </c>
      <c r="D2982">
        <v>3.73</v>
      </c>
      <c r="E2982">
        <v>-0.01</v>
      </c>
      <c r="F2982">
        <v>3.73</v>
      </c>
      <c r="G2982">
        <v>3.74</v>
      </c>
      <c r="H2982">
        <v>55266</v>
      </c>
      <c r="I2982">
        <v>615</v>
      </c>
      <c r="J2982">
        <v>-0.26</v>
      </c>
      <c r="K2982">
        <v>0.45</v>
      </c>
      <c r="L2982">
        <v>3.73</v>
      </c>
      <c r="M2982">
        <v>3.79</v>
      </c>
      <c r="N2982">
        <v>3.72</v>
      </c>
      <c r="O2982">
        <v>3.74</v>
      </c>
      <c r="P2982">
        <v>20.69</v>
      </c>
      <c r="Q2982">
        <v>20796484</v>
      </c>
      <c r="R2982">
        <v>1.42</v>
      </c>
      <c r="S2982" t="s">
        <v>397</v>
      </c>
      <c r="T2982" t="s">
        <v>323</v>
      </c>
      <c r="U2982">
        <v>1.87</v>
      </c>
      <c r="V2982">
        <v>3.76</v>
      </c>
      <c r="W2982">
        <v>24103</v>
      </c>
      <c r="X2982">
        <v>31163</v>
      </c>
      <c r="Y2982">
        <v>0.77</v>
      </c>
      <c r="Z2982">
        <v>1232</v>
      </c>
      <c r="AA2982">
        <v>110</v>
      </c>
      <c r="AB2982" t="s">
        <v>116</v>
      </c>
      <c r="AC2982">
        <v>80200</v>
      </c>
      <c r="AD2982">
        <v>0</v>
      </c>
      <c r="AE2982" t="s">
        <v>116</v>
      </c>
      <c r="AF2982" t="s">
        <v>116</v>
      </c>
      <c r="AG2982">
        <v>12.22</v>
      </c>
      <c r="AH2982" t="s">
        <v>7981</v>
      </c>
      <c r="AI2982" t="s">
        <v>7981</v>
      </c>
      <c r="AJ2982">
        <v>-0.19</v>
      </c>
      <c r="AK2982">
        <v>1074</v>
      </c>
      <c r="AL2982">
        <v>51</v>
      </c>
      <c r="AM2982">
        <v>4.0000000000000002E-4</v>
      </c>
      <c r="AN2982">
        <v>-1</v>
      </c>
      <c r="AO2982">
        <v>0.27</v>
      </c>
      <c r="AP2982">
        <v>0.81</v>
      </c>
      <c r="AQ2982">
        <v>1.36</v>
      </c>
      <c r="AR2982">
        <v>3.87</v>
      </c>
      <c r="AS2982">
        <v>0.76</v>
      </c>
      <c r="AT2982" t="s">
        <v>684</v>
      </c>
      <c r="AU2982">
        <v>27.11</v>
      </c>
      <c r="AV2982">
        <v>38.729999999999997</v>
      </c>
      <c r="AW2982">
        <v>0.89</v>
      </c>
      <c r="BA2982">
        <v>-0.27</v>
      </c>
      <c r="BB2982">
        <v>1.34</v>
      </c>
      <c r="BC2982">
        <v>-0.53</v>
      </c>
      <c r="BD2982">
        <v>0.61</v>
      </c>
      <c r="BE2982">
        <v>0</v>
      </c>
      <c r="BF2982">
        <v>-1.58</v>
      </c>
      <c r="BG2982">
        <v>0.27</v>
      </c>
      <c r="BH2982">
        <v>-0.88</v>
      </c>
      <c r="BI2982">
        <v>20191031</v>
      </c>
      <c r="BJ2982">
        <v>20040802</v>
      </c>
      <c r="BK2982">
        <v>12.22</v>
      </c>
      <c r="BL2982" t="s">
        <v>116</v>
      </c>
      <c r="BM2982" t="s">
        <v>116</v>
      </c>
      <c r="BN2982">
        <v>185.69</v>
      </c>
      <c r="BO2982">
        <v>38.14</v>
      </c>
      <c r="BP2982">
        <v>10.65</v>
      </c>
      <c r="BQ2982">
        <v>73.72</v>
      </c>
      <c r="BR2982">
        <v>130.01</v>
      </c>
      <c r="BS2982">
        <v>30.51</v>
      </c>
      <c r="BT2982">
        <v>7.9</v>
      </c>
      <c r="BU2982">
        <v>122.21</v>
      </c>
      <c r="BV2982">
        <v>22</v>
      </c>
      <c r="BW2982">
        <v>51.33</v>
      </c>
      <c r="BX2982">
        <v>12.15</v>
      </c>
      <c r="BY2982">
        <v>239.4</v>
      </c>
      <c r="BZ2982">
        <v>222.74</v>
      </c>
      <c r="CA2982">
        <v>2.39</v>
      </c>
      <c r="CB2982">
        <v>0</v>
      </c>
      <c r="CC2982">
        <v>2.41</v>
      </c>
      <c r="CD2982">
        <v>1.89</v>
      </c>
      <c r="CE2982">
        <v>1.65</v>
      </c>
      <c r="CF2982">
        <v>1.55</v>
      </c>
      <c r="CG2982">
        <v>12.3</v>
      </c>
      <c r="CH2982">
        <v>-0.83</v>
      </c>
      <c r="CI2982">
        <v>-6.91</v>
      </c>
      <c r="CJ2982">
        <v>32223</v>
      </c>
      <c r="CK2982">
        <v>22479</v>
      </c>
      <c r="CL2982" t="s">
        <v>6737</v>
      </c>
      <c r="CM2982">
        <v>43.97</v>
      </c>
      <c r="CN2982">
        <v>-0.48</v>
      </c>
      <c r="CO2982">
        <v>1.2</v>
      </c>
      <c r="CP2982">
        <v>-55.16</v>
      </c>
      <c r="CQ2982">
        <v>0.19</v>
      </c>
      <c r="CR2982">
        <v>0.78</v>
      </c>
      <c r="CS2982" t="s">
        <v>2750</v>
      </c>
      <c r="CT2982">
        <v>3.12</v>
      </c>
      <c r="CU2982">
        <v>0</v>
      </c>
      <c r="CV2982">
        <v>0.99</v>
      </c>
      <c r="CW2982">
        <v>1.01</v>
      </c>
      <c r="CX2982">
        <v>-7.0000000000000007E-2</v>
      </c>
      <c r="CY2982">
        <v>20.54</v>
      </c>
      <c r="CZ2982" t="s">
        <v>6410</v>
      </c>
      <c r="DA2982">
        <v>6.96</v>
      </c>
      <c r="DB2982">
        <v>1</v>
      </c>
      <c r="DC2982">
        <v>0.69</v>
      </c>
      <c r="DD2982">
        <v>3.24</v>
      </c>
      <c r="DE2982">
        <v>6067</v>
      </c>
      <c r="DF2982">
        <v>600973</v>
      </c>
      <c r="DG2982" t="s">
        <v>116</v>
      </c>
      <c r="DH2982" t="s">
        <v>116</v>
      </c>
      <c r="DI2982" t="s">
        <v>116</v>
      </c>
    </row>
    <row r="2983" spans="1:113" x14ac:dyDescent="0.4">
      <c r="A2983" t="str">
        <f>"600975"</f>
        <v>600975</v>
      </c>
      <c r="B2983" t="s">
        <v>13105</v>
      </c>
      <c r="C2983">
        <v>0.89</v>
      </c>
      <c r="D2983">
        <v>7.96</v>
      </c>
      <c r="E2983">
        <v>7.0000000000000007E-2</v>
      </c>
      <c r="F2983">
        <v>7.96</v>
      </c>
      <c r="G2983">
        <v>7.97</v>
      </c>
      <c r="H2983">
        <v>239647</v>
      </c>
      <c r="I2983">
        <v>2305</v>
      </c>
      <c r="J2983">
        <v>0.25</v>
      </c>
      <c r="K2983">
        <v>3.67</v>
      </c>
      <c r="L2983">
        <v>7.9</v>
      </c>
      <c r="M2983">
        <v>8.1</v>
      </c>
      <c r="N2983">
        <v>7.8</v>
      </c>
      <c r="O2983">
        <v>7.89</v>
      </c>
      <c r="P2983" t="s">
        <v>116</v>
      </c>
      <c r="Q2983">
        <v>190591888</v>
      </c>
      <c r="R2983">
        <v>1.05</v>
      </c>
      <c r="S2983" t="s">
        <v>449</v>
      </c>
      <c r="T2983" t="s">
        <v>599</v>
      </c>
      <c r="U2983">
        <v>3.8</v>
      </c>
      <c r="V2983">
        <v>7.95</v>
      </c>
      <c r="W2983">
        <v>110443</v>
      </c>
      <c r="X2983">
        <v>129204</v>
      </c>
      <c r="Y2983">
        <v>0.85</v>
      </c>
      <c r="Z2983">
        <v>4031</v>
      </c>
      <c r="AA2983">
        <v>240</v>
      </c>
      <c r="AB2983" t="s">
        <v>116</v>
      </c>
      <c r="AC2983">
        <v>146900</v>
      </c>
      <c r="AD2983">
        <v>0.01</v>
      </c>
      <c r="AE2983" t="s">
        <v>116</v>
      </c>
      <c r="AF2983" t="s">
        <v>116</v>
      </c>
      <c r="AG2983">
        <v>6.53</v>
      </c>
      <c r="AH2983" t="s">
        <v>13106</v>
      </c>
      <c r="AI2983" t="s">
        <v>13106</v>
      </c>
      <c r="AJ2983">
        <v>0.96</v>
      </c>
      <c r="AK2983">
        <v>3509</v>
      </c>
      <c r="AL2983">
        <v>68</v>
      </c>
      <c r="AM2983">
        <v>1E-3</v>
      </c>
      <c r="AN2983">
        <v>2</v>
      </c>
      <c r="AO2983">
        <v>1.01</v>
      </c>
      <c r="AP2983">
        <v>10.1</v>
      </c>
      <c r="AQ2983">
        <v>-8.51</v>
      </c>
      <c r="AR2983">
        <v>135.5</v>
      </c>
      <c r="AS2983">
        <v>6.97</v>
      </c>
      <c r="AT2983" t="s">
        <v>8071</v>
      </c>
      <c r="AU2983" t="s">
        <v>116</v>
      </c>
      <c r="AV2983" t="s">
        <v>116</v>
      </c>
      <c r="AW2983">
        <v>1.27</v>
      </c>
      <c r="BA2983">
        <v>0.13</v>
      </c>
      <c r="BB2983">
        <v>2.66</v>
      </c>
      <c r="BC2983">
        <v>-1.1399999999999999</v>
      </c>
      <c r="BD2983">
        <v>0.8</v>
      </c>
      <c r="BE2983">
        <v>0.76</v>
      </c>
      <c r="BF2983">
        <v>-1.73</v>
      </c>
      <c r="BG2983">
        <v>2.0499999999999998</v>
      </c>
      <c r="BH2983">
        <v>0.09</v>
      </c>
      <c r="BI2983">
        <v>20191031</v>
      </c>
      <c r="BJ2983">
        <v>20040609</v>
      </c>
      <c r="BK2983">
        <v>6.53</v>
      </c>
      <c r="BL2983" t="s">
        <v>116</v>
      </c>
      <c r="BM2983" t="s">
        <v>116</v>
      </c>
      <c r="BN2983">
        <v>15.53</v>
      </c>
      <c r="BO2983">
        <v>10.61</v>
      </c>
      <c r="BP2983">
        <v>0.62</v>
      </c>
      <c r="BQ2983">
        <v>27.71</v>
      </c>
      <c r="BR2983">
        <v>8.6300000000000008</v>
      </c>
      <c r="BS2983">
        <v>5.25</v>
      </c>
      <c r="BT2983">
        <v>0.77</v>
      </c>
      <c r="BU2983">
        <v>3.89</v>
      </c>
      <c r="BV2983">
        <v>5.37</v>
      </c>
      <c r="BW2983">
        <v>0.26</v>
      </c>
      <c r="BX2983">
        <v>2.52</v>
      </c>
      <c r="BY2983">
        <v>14.83</v>
      </c>
      <c r="BZ2983">
        <v>14.27</v>
      </c>
      <c r="CA2983">
        <v>-0.22</v>
      </c>
      <c r="CB2983">
        <v>0</v>
      </c>
      <c r="CC2983">
        <v>-0.39</v>
      </c>
      <c r="CD2983">
        <v>-0.39</v>
      </c>
      <c r="CE2983">
        <v>-0.42</v>
      </c>
      <c r="CF2983">
        <v>-0.32</v>
      </c>
      <c r="CG2983">
        <v>0.83</v>
      </c>
      <c r="CH2983">
        <v>-1.57</v>
      </c>
      <c r="CI2983">
        <v>-1.51</v>
      </c>
      <c r="CJ2983">
        <v>71649</v>
      </c>
      <c r="CK2983">
        <v>4798</v>
      </c>
      <c r="CL2983" t="s">
        <v>10698</v>
      </c>
      <c r="CM2983">
        <v>3.95</v>
      </c>
      <c r="CN2983">
        <v>22.03</v>
      </c>
      <c r="CO2983">
        <v>4.9000000000000004</v>
      </c>
      <c r="CP2983">
        <v>-33.19</v>
      </c>
      <c r="CQ2983">
        <v>3.5</v>
      </c>
      <c r="CR2983">
        <v>0</v>
      </c>
      <c r="CS2983" t="s">
        <v>861</v>
      </c>
      <c r="CT2983">
        <v>1.62</v>
      </c>
      <c r="CU2983">
        <v>0</v>
      </c>
      <c r="CV2983">
        <v>0.39</v>
      </c>
      <c r="CW2983">
        <v>0.13</v>
      </c>
      <c r="CX2983">
        <v>-0.24</v>
      </c>
      <c r="CY2983">
        <v>68.3</v>
      </c>
      <c r="CZ2983" t="s">
        <v>13107</v>
      </c>
      <c r="DA2983">
        <v>3.82</v>
      </c>
      <c r="DB2983">
        <v>-1.49</v>
      </c>
      <c r="DC2983">
        <v>-2.81</v>
      </c>
      <c r="DD2983">
        <v>0.02</v>
      </c>
      <c r="DE2983">
        <v>1537</v>
      </c>
      <c r="DF2983">
        <v>600975</v>
      </c>
      <c r="DG2983" t="s">
        <v>116</v>
      </c>
      <c r="DH2983" t="s">
        <v>116</v>
      </c>
      <c r="DI2983" t="s">
        <v>116</v>
      </c>
    </row>
    <row r="2984" spans="1:113" x14ac:dyDescent="0.4">
      <c r="A2984" t="str">
        <f>"600976"</f>
        <v>600976</v>
      </c>
      <c r="B2984" t="s">
        <v>13108</v>
      </c>
      <c r="C2984">
        <v>-0.69</v>
      </c>
      <c r="D2984">
        <v>17.21</v>
      </c>
      <c r="E2984">
        <v>-0.12</v>
      </c>
      <c r="F2984">
        <v>17.2</v>
      </c>
      <c r="G2984">
        <v>17.21</v>
      </c>
      <c r="H2984">
        <v>17942</v>
      </c>
      <c r="I2984">
        <v>424</v>
      </c>
      <c r="J2984">
        <v>0.06</v>
      </c>
      <c r="K2984">
        <v>1.17</v>
      </c>
      <c r="L2984">
        <v>17.309999999999999</v>
      </c>
      <c r="M2984">
        <v>17.489999999999998</v>
      </c>
      <c r="N2984">
        <v>17.16</v>
      </c>
      <c r="O2984">
        <v>17.329999999999998</v>
      </c>
      <c r="P2984">
        <v>26.95</v>
      </c>
      <c r="Q2984">
        <v>31001356</v>
      </c>
      <c r="R2984">
        <v>0.88</v>
      </c>
      <c r="S2984" t="s">
        <v>781</v>
      </c>
      <c r="T2984" t="s">
        <v>774</v>
      </c>
      <c r="U2984">
        <v>1.9</v>
      </c>
      <c r="V2984">
        <v>17.28</v>
      </c>
      <c r="W2984">
        <v>10517</v>
      </c>
      <c r="X2984">
        <v>7425</v>
      </c>
      <c r="Y2984">
        <v>1.42</v>
      </c>
      <c r="Z2984">
        <v>155</v>
      </c>
      <c r="AA2984">
        <v>20</v>
      </c>
      <c r="AB2984" t="s">
        <v>116</v>
      </c>
      <c r="AC2984">
        <v>175200</v>
      </c>
      <c r="AD2984">
        <v>0.01</v>
      </c>
      <c r="AE2984" t="s">
        <v>116</v>
      </c>
      <c r="AF2984" t="s">
        <v>116</v>
      </c>
      <c r="AG2984">
        <v>1.53</v>
      </c>
      <c r="AH2984" t="s">
        <v>7080</v>
      </c>
      <c r="AI2984" t="s">
        <v>13109</v>
      </c>
      <c r="AJ2984">
        <v>-0.62</v>
      </c>
      <c r="AK2984">
        <v>859</v>
      </c>
      <c r="AL2984">
        <v>21</v>
      </c>
      <c r="AM2984">
        <v>1.4E-3</v>
      </c>
      <c r="AN2984">
        <v>-1</v>
      </c>
      <c r="AO2984">
        <v>2.5099999999999998</v>
      </c>
      <c r="AP2984">
        <v>1.53</v>
      </c>
      <c r="AQ2984">
        <v>0.23</v>
      </c>
      <c r="AR2984">
        <v>22.23</v>
      </c>
      <c r="AS2984">
        <v>1.59</v>
      </c>
      <c r="AT2984" t="s">
        <v>3881</v>
      </c>
      <c r="AU2984">
        <v>32.270000000000003</v>
      </c>
      <c r="AV2984">
        <v>32.51</v>
      </c>
      <c r="AW2984">
        <v>1.48</v>
      </c>
      <c r="BA2984">
        <v>-0.12</v>
      </c>
      <c r="BB2984">
        <v>0.92</v>
      </c>
      <c r="BC2984">
        <v>-0.98</v>
      </c>
      <c r="BD2984">
        <v>-0.3</v>
      </c>
      <c r="BE2984">
        <v>-0.57999999999999996</v>
      </c>
      <c r="BF2984">
        <v>-1.6</v>
      </c>
      <c r="BG2984">
        <v>0.28999999999999998</v>
      </c>
      <c r="BH2984">
        <v>-0.4</v>
      </c>
      <c r="BI2984">
        <v>20191106</v>
      </c>
      <c r="BJ2984">
        <v>20040419</v>
      </c>
      <c r="BK2984">
        <v>1.53</v>
      </c>
      <c r="BL2984" t="s">
        <v>116</v>
      </c>
      <c r="BM2984" t="s">
        <v>116</v>
      </c>
      <c r="BN2984">
        <v>18.350000000000001</v>
      </c>
      <c r="BO2984">
        <v>11.84</v>
      </c>
      <c r="BP2984">
        <v>0.06</v>
      </c>
      <c r="BQ2984">
        <v>35.14</v>
      </c>
      <c r="BR2984">
        <v>11.92</v>
      </c>
      <c r="BS2984">
        <v>2.27</v>
      </c>
      <c r="BT2984">
        <v>0.22</v>
      </c>
      <c r="BU2984">
        <v>6.24</v>
      </c>
      <c r="BV2984">
        <v>1.1599999999999999</v>
      </c>
      <c r="BW2984">
        <v>4.3899999999999997</v>
      </c>
      <c r="BX2984">
        <v>3.01</v>
      </c>
      <c r="BY2984">
        <v>18.32</v>
      </c>
      <c r="BZ2984">
        <v>11.47</v>
      </c>
      <c r="CA2984">
        <v>0.79</v>
      </c>
      <c r="CB2984">
        <v>0.48</v>
      </c>
      <c r="CC2984">
        <v>0.77</v>
      </c>
      <c r="CD2984">
        <v>0.74</v>
      </c>
      <c r="CE2984">
        <v>0.73</v>
      </c>
      <c r="CF2984">
        <v>0.65</v>
      </c>
      <c r="CG2984">
        <v>5.82</v>
      </c>
      <c r="CH2984">
        <v>-0.09</v>
      </c>
      <c r="CI2984">
        <v>-0.24</v>
      </c>
      <c r="CJ2984">
        <v>9732</v>
      </c>
      <c r="CK2984">
        <v>11559</v>
      </c>
      <c r="CL2984" t="s">
        <v>13110</v>
      </c>
      <c r="CM2984">
        <v>0.82</v>
      </c>
      <c r="CN2984">
        <v>15.12</v>
      </c>
      <c r="CO2984">
        <v>2.23</v>
      </c>
      <c r="CP2984">
        <v>-282.27999999999997</v>
      </c>
      <c r="CQ2984">
        <v>1.44</v>
      </c>
      <c r="CR2984">
        <v>1.1599999999999999</v>
      </c>
      <c r="CS2984" t="s">
        <v>13111</v>
      </c>
      <c r="CT2984">
        <v>7.72</v>
      </c>
      <c r="CU2984">
        <v>0</v>
      </c>
      <c r="CV2984">
        <v>1.97</v>
      </c>
      <c r="CW2984">
        <v>3.79</v>
      </c>
      <c r="CX2984">
        <v>-0.06</v>
      </c>
      <c r="CY2984">
        <v>64.52</v>
      </c>
      <c r="CZ2984" t="s">
        <v>5421</v>
      </c>
      <c r="DA2984">
        <v>37.4</v>
      </c>
      <c r="DB2984">
        <v>4.29</v>
      </c>
      <c r="DC2984">
        <v>4.01</v>
      </c>
      <c r="DD2984">
        <v>0.21</v>
      </c>
      <c r="DE2984">
        <v>1972</v>
      </c>
      <c r="DF2984">
        <v>600976</v>
      </c>
      <c r="DG2984" t="s">
        <v>116</v>
      </c>
      <c r="DH2984" t="s">
        <v>116</v>
      </c>
      <c r="DI2984" t="s">
        <v>116</v>
      </c>
    </row>
    <row r="2985" spans="1:113" x14ac:dyDescent="0.4">
      <c r="A2985" t="str">
        <f>"600977"</f>
        <v>600977</v>
      </c>
      <c r="B2985" t="s">
        <v>13112</v>
      </c>
      <c r="C2985">
        <v>-0.2</v>
      </c>
      <c r="D2985">
        <v>15.07</v>
      </c>
      <c r="E2985">
        <v>-0.03</v>
      </c>
      <c r="F2985">
        <v>15.07</v>
      </c>
      <c r="G2985">
        <v>15.08</v>
      </c>
      <c r="H2985">
        <v>102410</v>
      </c>
      <c r="I2985">
        <v>1408</v>
      </c>
      <c r="J2985">
        <v>-0.19</v>
      </c>
      <c r="K2985">
        <v>0.55000000000000004</v>
      </c>
      <c r="L2985">
        <v>15.12</v>
      </c>
      <c r="M2985">
        <v>15.39</v>
      </c>
      <c r="N2985">
        <v>15.05</v>
      </c>
      <c r="O2985">
        <v>15.1</v>
      </c>
      <c r="P2985">
        <v>24.14</v>
      </c>
      <c r="Q2985">
        <v>155651456</v>
      </c>
      <c r="R2985">
        <v>1.08</v>
      </c>
      <c r="S2985" t="s">
        <v>589</v>
      </c>
      <c r="T2985" t="s">
        <v>165</v>
      </c>
      <c r="U2985">
        <v>2.25</v>
      </c>
      <c r="V2985">
        <v>15.2</v>
      </c>
      <c r="W2985">
        <v>51894</v>
      </c>
      <c r="X2985">
        <v>50516</v>
      </c>
      <c r="Y2985">
        <v>1.03</v>
      </c>
      <c r="Z2985">
        <v>322</v>
      </c>
      <c r="AA2985">
        <v>194</v>
      </c>
      <c r="AB2985" t="s">
        <v>116</v>
      </c>
      <c r="AC2985">
        <v>154200</v>
      </c>
      <c r="AD2985">
        <v>0</v>
      </c>
      <c r="AE2985" t="s">
        <v>116</v>
      </c>
      <c r="AF2985" t="s">
        <v>116</v>
      </c>
      <c r="AG2985">
        <v>18.670000000000002</v>
      </c>
      <c r="AH2985" t="s">
        <v>13113</v>
      </c>
      <c r="AI2985" t="s">
        <v>13113</v>
      </c>
      <c r="AJ2985">
        <v>-0.12</v>
      </c>
      <c r="AK2985">
        <v>2691</v>
      </c>
      <c r="AL2985">
        <v>38</v>
      </c>
      <c r="AM2985">
        <v>2.0000000000000001E-4</v>
      </c>
      <c r="AN2985">
        <v>-1</v>
      </c>
      <c r="AO2985">
        <v>0.06</v>
      </c>
      <c r="AP2985">
        <v>6.8</v>
      </c>
      <c r="AQ2985">
        <v>-4.2</v>
      </c>
      <c r="AR2985">
        <v>7.34</v>
      </c>
      <c r="AS2985">
        <v>1.68</v>
      </c>
      <c r="AT2985" t="s">
        <v>13114</v>
      </c>
      <c r="AU2985">
        <v>26.28</v>
      </c>
      <c r="AV2985">
        <v>18.82</v>
      </c>
      <c r="AW2985">
        <v>1.04</v>
      </c>
      <c r="BA2985">
        <v>0.13</v>
      </c>
      <c r="BB2985">
        <v>1.92</v>
      </c>
      <c r="BC2985">
        <v>-0.33</v>
      </c>
      <c r="BD2985">
        <v>0.65</v>
      </c>
      <c r="BE2985">
        <v>-0.33</v>
      </c>
      <c r="BF2985">
        <v>-2.08</v>
      </c>
      <c r="BG2985">
        <v>0.13</v>
      </c>
      <c r="BH2985">
        <v>-0.85</v>
      </c>
      <c r="BI2985">
        <v>20191030</v>
      </c>
      <c r="BJ2985">
        <v>20160809</v>
      </c>
      <c r="BK2985">
        <v>18.670000000000002</v>
      </c>
      <c r="BL2985" t="s">
        <v>116</v>
      </c>
      <c r="BM2985" t="s">
        <v>116</v>
      </c>
      <c r="BN2985">
        <v>171.25</v>
      </c>
      <c r="BO2985">
        <v>118.06</v>
      </c>
      <c r="BP2985">
        <v>8.4</v>
      </c>
      <c r="BQ2985">
        <v>26.16</v>
      </c>
      <c r="BR2985">
        <v>122.31</v>
      </c>
      <c r="BS2985">
        <v>22.62</v>
      </c>
      <c r="BT2985">
        <v>2.0099999999999998</v>
      </c>
      <c r="BU2985">
        <v>37.15</v>
      </c>
      <c r="BV2985">
        <v>18.14</v>
      </c>
      <c r="BW2985">
        <v>13.18</v>
      </c>
      <c r="BX2985">
        <v>43.72</v>
      </c>
      <c r="BY2985">
        <v>67.27</v>
      </c>
      <c r="BZ2985">
        <v>51.89</v>
      </c>
      <c r="CA2985">
        <v>13.09</v>
      </c>
      <c r="CB2985">
        <v>1.1399999999999999</v>
      </c>
      <c r="CC2985">
        <v>13.18</v>
      </c>
      <c r="CD2985">
        <v>9.7899999999999991</v>
      </c>
      <c r="CE2985">
        <v>8.74</v>
      </c>
      <c r="CF2985">
        <v>7.83</v>
      </c>
      <c r="CG2985">
        <v>50.03</v>
      </c>
      <c r="CH2985">
        <v>13.06</v>
      </c>
      <c r="CI2985">
        <v>-7.05</v>
      </c>
      <c r="CJ2985">
        <v>98253</v>
      </c>
      <c r="CK2985">
        <v>6202</v>
      </c>
      <c r="CL2985" t="s">
        <v>3183</v>
      </c>
      <c r="CM2985">
        <v>-32.67</v>
      </c>
      <c r="CN2985">
        <v>-2.82</v>
      </c>
      <c r="CO2985">
        <v>2.38</v>
      </c>
      <c r="CP2985">
        <v>21.55</v>
      </c>
      <c r="CQ2985">
        <v>4.18</v>
      </c>
      <c r="CR2985">
        <v>1.86</v>
      </c>
      <c r="CS2985" t="s">
        <v>13115</v>
      </c>
      <c r="CT2985">
        <v>6.32</v>
      </c>
      <c r="CU2985">
        <v>0</v>
      </c>
      <c r="CV2985">
        <v>2.34</v>
      </c>
      <c r="CW2985">
        <v>2.68</v>
      </c>
      <c r="CX2985">
        <v>0.7</v>
      </c>
      <c r="CY2985">
        <v>68.94</v>
      </c>
      <c r="CZ2985" t="s">
        <v>12795</v>
      </c>
      <c r="DA2985">
        <v>22.87</v>
      </c>
      <c r="DB2985">
        <v>19.46</v>
      </c>
      <c r="DC2985">
        <v>12.99</v>
      </c>
      <c r="DD2985">
        <v>0.44</v>
      </c>
      <c r="DE2985">
        <v>4303</v>
      </c>
      <c r="DF2985">
        <v>600977</v>
      </c>
      <c r="DG2985" t="s">
        <v>116</v>
      </c>
      <c r="DH2985" t="s">
        <v>116</v>
      </c>
      <c r="DI2985" t="s">
        <v>116</v>
      </c>
    </row>
    <row r="2986" spans="1:113" x14ac:dyDescent="0.4">
      <c r="A2986" t="str">
        <f>"600978"</f>
        <v>600978</v>
      </c>
      <c r="B2986" t="s">
        <v>13116</v>
      </c>
      <c r="C2986">
        <v>0.34</v>
      </c>
      <c r="D2986">
        <v>2.98</v>
      </c>
      <c r="E2986">
        <v>0.01</v>
      </c>
      <c r="F2986">
        <v>2.97</v>
      </c>
      <c r="G2986">
        <v>2.98</v>
      </c>
      <c r="H2986">
        <v>162936</v>
      </c>
      <c r="I2986">
        <v>4610</v>
      </c>
      <c r="J2986">
        <v>0.34</v>
      </c>
      <c r="K2986">
        <v>1.1000000000000001</v>
      </c>
      <c r="L2986">
        <v>2.97</v>
      </c>
      <c r="M2986">
        <v>3.03</v>
      </c>
      <c r="N2986">
        <v>2.96</v>
      </c>
      <c r="O2986">
        <v>2.97</v>
      </c>
      <c r="P2986">
        <v>24.53</v>
      </c>
      <c r="Q2986">
        <v>48779064</v>
      </c>
      <c r="R2986">
        <v>0.99</v>
      </c>
      <c r="S2986" t="s">
        <v>2640</v>
      </c>
      <c r="T2986" t="s">
        <v>551</v>
      </c>
      <c r="U2986">
        <v>2.36</v>
      </c>
      <c r="V2986">
        <v>2.99</v>
      </c>
      <c r="W2986">
        <v>83203</v>
      </c>
      <c r="X2986">
        <v>79733</v>
      </c>
      <c r="Y2986">
        <v>1.04</v>
      </c>
      <c r="Z2986">
        <v>2445</v>
      </c>
      <c r="AA2986">
        <v>2316</v>
      </c>
      <c r="AB2986" t="s">
        <v>116</v>
      </c>
      <c r="AC2986">
        <v>24700</v>
      </c>
      <c r="AD2986">
        <v>0</v>
      </c>
      <c r="AE2986" t="s">
        <v>116</v>
      </c>
      <c r="AF2986" t="s">
        <v>116</v>
      </c>
      <c r="AG2986">
        <v>14.83</v>
      </c>
      <c r="AH2986" t="s">
        <v>3791</v>
      </c>
      <c r="AI2986" t="s">
        <v>3791</v>
      </c>
      <c r="AJ2986">
        <v>0.41</v>
      </c>
      <c r="AK2986">
        <v>1359</v>
      </c>
      <c r="AL2986">
        <v>120</v>
      </c>
      <c r="AM2986">
        <v>8.0000000000000004E-4</v>
      </c>
      <c r="AN2986">
        <v>2</v>
      </c>
      <c r="AO2986">
        <v>0.67</v>
      </c>
      <c r="AP2986">
        <v>0.68</v>
      </c>
      <c r="AQ2986">
        <v>-8.8699999999999992</v>
      </c>
      <c r="AR2986">
        <v>-26.84</v>
      </c>
      <c r="AS2986">
        <v>1.57</v>
      </c>
      <c r="AT2986" t="s">
        <v>3593</v>
      </c>
      <c r="AU2986" t="s">
        <v>116</v>
      </c>
      <c r="AV2986">
        <v>11.43</v>
      </c>
      <c r="AW2986">
        <v>1.5</v>
      </c>
      <c r="BA2986">
        <v>0</v>
      </c>
      <c r="BB2986">
        <v>2.02</v>
      </c>
      <c r="BC2986">
        <v>-0.34</v>
      </c>
      <c r="BD2986">
        <v>0.8</v>
      </c>
      <c r="BE2986">
        <v>0.34</v>
      </c>
      <c r="BF2986">
        <v>-1.65</v>
      </c>
      <c r="BG2986">
        <v>0.68</v>
      </c>
      <c r="BH2986">
        <v>-0.46</v>
      </c>
      <c r="BI2986">
        <v>20191031</v>
      </c>
      <c r="BJ2986">
        <v>20040824</v>
      </c>
      <c r="BK2986">
        <v>14.83</v>
      </c>
      <c r="BL2986" t="s">
        <v>116</v>
      </c>
      <c r="BM2986" t="s">
        <v>116</v>
      </c>
      <c r="BN2986">
        <v>166.86</v>
      </c>
      <c r="BO2986">
        <v>85.22</v>
      </c>
      <c r="BP2986">
        <v>-0.04</v>
      </c>
      <c r="BQ2986">
        <v>48.95</v>
      </c>
      <c r="BR2986">
        <v>90.67</v>
      </c>
      <c r="BS2986">
        <v>39.31</v>
      </c>
      <c r="BT2986">
        <v>12.81</v>
      </c>
      <c r="BU2986">
        <v>55.73</v>
      </c>
      <c r="BV2986">
        <v>35.32</v>
      </c>
      <c r="BW2986">
        <v>22.72</v>
      </c>
      <c r="BX2986">
        <v>24.59</v>
      </c>
      <c r="BY2986">
        <v>38.76</v>
      </c>
      <c r="BZ2986">
        <v>24.94</v>
      </c>
      <c r="CA2986">
        <v>1.66</v>
      </c>
      <c r="CB2986">
        <v>0</v>
      </c>
      <c r="CC2986">
        <v>1.59</v>
      </c>
      <c r="CD2986">
        <v>1.32</v>
      </c>
      <c r="CE2986">
        <v>1.35</v>
      </c>
      <c r="CF2986">
        <v>1.1299999999999999</v>
      </c>
      <c r="CG2986">
        <v>39.54</v>
      </c>
      <c r="CH2986">
        <v>1.48</v>
      </c>
      <c r="CI2986">
        <v>-6.55</v>
      </c>
      <c r="CJ2986">
        <v>73948</v>
      </c>
      <c r="CK2986">
        <v>14052</v>
      </c>
      <c r="CL2986" t="s">
        <v>6928</v>
      </c>
      <c r="CM2986">
        <v>-74.459999999999994</v>
      </c>
      <c r="CN2986">
        <v>-30.88</v>
      </c>
      <c r="CO2986">
        <v>0.52</v>
      </c>
      <c r="CP2986">
        <v>29.88</v>
      </c>
      <c r="CQ2986">
        <v>1.1399999999999999</v>
      </c>
      <c r="CR2986">
        <v>0.91</v>
      </c>
      <c r="CS2986" t="s">
        <v>1381</v>
      </c>
      <c r="CT2986">
        <v>5.75</v>
      </c>
      <c r="CU2986">
        <v>0</v>
      </c>
      <c r="CV2986">
        <v>1.66</v>
      </c>
      <c r="CW2986">
        <v>2.67</v>
      </c>
      <c r="CX2986">
        <v>0.1</v>
      </c>
      <c r="CY2986">
        <v>51.07</v>
      </c>
      <c r="CZ2986" t="s">
        <v>10712</v>
      </c>
      <c r="DA2986">
        <v>35.64</v>
      </c>
      <c r="DB2986">
        <v>4.29</v>
      </c>
      <c r="DC2986">
        <v>3.49</v>
      </c>
      <c r="DD2986">
        <v>0.47</v>
      </c>
      <c r="DE2986">
        <v>10096</v>
      </c>
      <c r="DF2986">
        <v>600978</v>
      </c>
      <c r="DG2986" t="s">
        <v>116</v>
      </c>
      <c r="DH2986" t="s">
        <v>116</v>
      </c>
      <c r="DI2986" t="s">
        <v>116</v>
      </c>
    </row>
    <row r="2987" spans="1:113" x14ac:dyDescent="0.4">
      <c r="A2987" t="str">
        <f>"600979"</f>
        <v>600979</v>
      </c>
      <c r="B2987" t="s">
        <v>13117</v>
      </c>
      <c r="C2987">
        <v>-0.24</v>
      </c>
      <c r="D2987">
        <v>4.17</v>
      </c>
      <c r="E2987">
        <v>-0.01</v>
      </c>
      <c r="F2987">
        <v>4.16</v>
      </c>
      <c r="G2987">
        <v>4.17</v>
      </c>
      <c r="H2987">
        <v>18634</v>
      </c>
      <c r="I2987">
        <v>41</v>
      </c>
      <c r="J2987">
        <v>0</v>
      </c>
      <c r="K2987">
        <v>0.2</v>
      </c>
      <c r="L2987">
        <v>4.2</v>
      </c>
      <c r="M2987">
        <v>4.21</v>
      </c>
      <c r="N2987">
        <v>4.16</v>
      </c>
      <c r="O2987">
        <v>4.18</v>
      </c>
      <c r="P2987">
        <v>14.22</v>
      </c>
      <c r="Q2987">
        <v>7804988</v>
      </c>
      <c r="R2987">
        <v>1.1100000000000001</v>
      </c>
      <c r="S2987" t="s">
        <v>1363</v>
      </c>
      <c r="T2987" t="s">
        <v>582</v>
      </c>
      <c r="U2987">
        <v>1.2</v>
      </c>
      <c r="V2987">
        <v>4.1900000000000004</v>
      </c>
      <c r="W2987">
        <v>10375</v>
      </c>
      <c r="X2987">
        <v>8259</v>
      </c>
      <c r="Y2987">
        <v>1.26</v>
      </c>
      <c r="Z2987">
        <v>235</v>
      </c>
      <c r="AA2987">
        <v>222</v>
      </c>
      <c r="AB2987" t="s">
        <v>116</v>
      </c>
      <c r="AC2987">
        <v>14700</v>
      </c>
      <c r="AD2987">
        <v>0</v>
      </c>
      <c r="AE2987" t="s">
        <v>116</v>
      </c>
      <c r="AF2987" t="s">
        <v>116</v>
      </c>
      <c r="AG2987">
        <v>9.48</v>
      </c>
      <c r="AH2987" t="s">
        <v>13118</v>
      </c>
      <c r="AI2987" t="s">
        <v>13118</v>
      </c>
      <c r="AJ2987">
        <v>-0.16</v>
      </c>
      <c r="AK2987">
        <v>347</v>
      </c>
      <c r="AL2987">
        <v>54</v>
      </c>
      <c r="AM2987">
        <v>5.9999999999999995E-4</v>
      </c>
      <c r="AN2987">
        <v>-1</v>
      </c>
      <c r="AO2987">
        <v>0</v>
      </c>
      <c r="AP2987">
        <v>0.24</v>
      </c>
      <c r="AQ2987">
        <v>2.96</v>
      </c>
      <c r="AR2987">
        <v>6.92</v>
      </c>
      <c r="AS2987">
        <v>0.39</v>
      </c>
      <c r="AT2987" t="s">
        <v>10804</v>
      </c>
      <c r="AU2987">
        <v>15.36</v>
      </c>
      <c r="AV2987">
        <v>15.7</v>
      </c>
      <c r="AW2987">
        <v>0.73</v>
      </c>
      <c r="BA2987">
        <v>0.48</v>
      </c>
      <c r="BB2987">
        <v>0.72</v>
      </c>
      <c r="BC2987">
        <v>-0.48</v>
      </c>
      <c r="BD2987">
        <v>0.21</v>
      </c>
      <c r="BE2987">
        <v>-0.71</v>
      </c>
      <c r="BF2987">
        <v>-0.95</v>
      </c>
      <c r="BG2987">
        <v>0.24</v>
      </c>
      <c r="BH2987">
        <v>-0.44</v>
      </c>
      <c r="BI2987">
        <v>20191202</v>
      </c>
      <c r="BJ2987">
        <v>20040906</v>
      </c>
      <c r="BK2987">
        <v>9.48</v>
      </c>
      <c r="BL2987" t="s">
        <v>116</v>
      </c>
      <c r="BM2987" t="s">
        <v>116</v>
      </c>
      <c r="BN2987">
        <v>87.77</v>
      </c>
      <c r="BO2987">
        <v>38.299999999999997</v>
      </c>
      <c r="BP2987">
        <v>1.65</v>
      </c>
      <c r="BQ2987">
        <v>54.48</v>
      </c>
      <c r="BR2987">
        <v>18.91</v>
      </c>
      <c r="BS2987">
        <v>54.55</v>
      </c>
      <c r="BT2987">
        <v>2.4300000000000002</v>
      </c>
      <c r="BU2987">
        <v>19.239999999999998</v>
      </c>
      <c r="BV2987">
        <v>2.5</v>
      </c>
      <c r="BW2987">
        <v>2.85</v>
      </c>
      <c r="BX2987">
        <v>18.27</v>
      </c>
      <c r="BY2987">
        <v>17.29</v>
      </c>
      <c r="BZ2987">
        <v>12.12</v>
      </c>
      <c r="CA2987">
        <v>2.5299999999999998</v>
      </c>
      <c r="CB2987">
        <v>0.17</v>
      </c>
      <c r="CC2987">
        <v>2.54</v>
      </c>
      <c r="CD2987">
        <v>2.1</v>
      </c>
      <c r="CE2987">
        <v>2.09</v>
      </c>
      <c r="CF2987">
        <v>1.99</v>
      </c>
      <c r="CG2987">
        <v>9.24</v>
      </c>
      <c r="CH2987">
        <v>2.48</v>
      </c>
      <c r="CI2987">
        <v>2.83</v>
      </c>
      <c r="CJ2987">
        <v>43720</v>
      </c>
      <c r="CK2987">
        <v>10957</v>
      </c>
      <c r="CL2987" t="s">
        <v>694</v>
      </c>
      <c r="CM2987">
        <v>2.82</v>
      </c>
      <c r="CN2987">
        <v>14.9</v>
      </c>
      <c r="CO2987">
        <v>1.03</v>
      </c>
      <c r="CP2987">
        <v>15.96</v>
      </c>
      <c r="CQ2987">
        <v>2.29</v>
      </c>
      <c r="CR2987">
        <v>2.4</v>
      </c>
      <c r="CS2987" t="s">
        <v>1244</v>
      </c>
      <c r="CT2987">
        <v>4.04</v>
      </c>
      <c r="CU2987">
        <v>0</v>
      </c>
      <c r="CV2987">
        <v>1.93</v>
      </c>
      <c r="CW2987">
        <v>0.97</v>
      </c>
      <c r="CX2987">
        <v>0.26</v>
      </c>
      <c r="CY2987">
        <v>43.64</v>
      </c>
      <c r="CZ2987" t="s">
        <v>11638</v>
      </c>
      <c r="DA2987">
        <v>29.88</v>
      </c>
      <c r="DB2987">
        <v>14.65</v>
      </c>
      <c r="DC2987">
        <v>12.06</v>
      </c>
      <c r="DD2987">
        <v>0</v>
      </c>
      <c r="DE2987">
        <v>2436</v>
      </c>
      <c r="DF2987">
        <v>600979</v>
      </c>
      <c r="DG2987" t="s">
        <v>116</v>
      </c>
      <c r="DH2987" t="s">
        <v>116</v>
      </c>
      <c r="DI2987" t="s">
        <v>116</v>
      </c>
    </row>
    <row r="2988" spans="1:113" x14ac:dyDescent="0.4">
      <c r="A2988" t="str">
        <f>"600980"</f>
        <v>600980</v>
      </c>
      <c r="B2988" t="s">
        <v>13119</v>
      </c>
      <c r="C2988">
        <v>0.36</v>
      </c>
      <c r="D2988">
        <v>13.99</v>
      </c>
      <c r="E2988">
        <v>0.05</v>
      </c>
      <c r="F2988">
        <v>13.98</v>
      </c>
      <c r="G2988">
        <v>13.99</v>
      </c>
      <c r="H2988">
        <v>70595</v>
      </c>
      <c r="I2988">
        <v>915</v>
      </c>
      <c r="J2988">
        <v>0.14000000000000001</v>
      </c>
      <c r="K2988">
        <v>4.6399999999999997</v>
      </c>
      <c r="L2988">
        <v>13.97</v>
      </c>
      <c r="M2988">
        <v>14.5</v>
      </c>
      <c r="N2988">
        <v>13.86</v>
      </c>
      <c r="O2988">
        <v>13.94</v>
      </c>
      <c r="P2988">
        <v>52.42</v>
      </c>
      <c r="Q2988">
        <v>100120944</v>
      </c>
      <c r="R2988">
        <v>2.0299999999999998</v>
      </c>
      <c r="S2988" t="s">
        <v>233</v>
      </c>
      <c r="T2988" t="s">
        <v>165</v>
      </c>
      <c r="U2988">
        <v>4.59</v>
      </c>
      <c r="V2988">
        <v>14.18</v>
      </c>
      <c r="W2988">
        <v>32761</v>
      </c>
      <c r="X2988">
        <v>37834</v>
      </c>
      <c r="Y2988">
        <v>0.87</v>
      </c>
      <c r="Z2988">
        <v>68</v>
      </c>
      <c r="AA2988">
        <v>118</v>
      </c>
      <c r="AB2988" t="s">
        <v>116</v>
      </c>
      <c r="AC2988">
        <v>92200</v>
      </c>
      <c r="AD2988">
        <v>0.01</v>
      </c>
      <c r="AE2988" t="s">
        <v>116</v>
      </c>
      <c r="AF2988" t="s">
        <v>116</v>
      </c>
      <c r="AG2988">
        <v>1.52</v>
      </c>
      <c r="AH2988" t="s">
        <v>2793</v>
      </c>
      <c r="AI2988" t="s">
        <v>13120</v>
      </c>
      <c r="AJ2988">
        <v>0.44</v>
      </c>
      <c r="AK2988">
        <v>2272</v>
      </c>
      <c r="AL2988">
        <v>31</v>
      </c>
      <c r="AM2988">
        <v>2E-3</v>
      </c>
      <c r="AN2988">
        <v>4</v>
      </c>
      <c r="AO2988">
        <v>1.67</v>
      </c>
      <c r="AP2988">
        <v>9.64</v>
      </c>
      <c r="AQ2988">
        <v>-4.6399999999999997</v>
      </c>
      <c r="AR2988">
        <v>43.34</v>
      </c>
      <c r="AS2988">
        <v>7.73</v>
      </c>
      <c r="AT2988" t="s">
        <v>13121</v>
      </c>
      <c r="AU2988">
        <v>63.6</v>
      </c>
      <c r="AV2988">
        <v>64.099999999999994</v>
      </c>
      <c r="AW2988">
        <v>0.83</v>
      </c>
      <c r="BA2988">
        <v>0.22</v>
      </c>
      <c r="BB2988">
        <v>4.0199999999999996</v>
      </c>
      <c r="BC2988">
        <v>-0.56999999999999995</v>
      </c>
      <c r="BD2988">
        <v>1.74</v>
      </c>
      <c r="BE2988">
        <v>0.14000000000000001</v>
      </c>
      <c r="BF2988">
        <v>-3.52</v>
      </c>
      <c r="BG2988">
        <v>0.94</v>
      </c>
      <c r="BH2988">
        <v>-1.38</v>
      </c>
      <c r="BI2988">
        <v>20191025</v>
      </c>
      <c r="BJ2988">
        <v>20040512</v>
      </c>
      <c r="BK2988">
        <v>1.55</v>
      </c>
      <c r="BL2988" t="s">
        <v>116</v>
      </c>
      <c r="BM2988" t="s">
        <v>116</v>
      </c>
      <c r="BN2988">
        <v>8.06</v>
      </c>
      <c r="BO2988">
        <v>6.07</v>
      </c>
      <c r="BP2988">
        <v>7.0000000000000007E-2</v>
      </c>
      <c r="BQ2988">
        <v>23.86</v>
      </c>
      <c r="BR2988">
        <v>5.79</v>
      </c>
      <c r="BS2988">
        <v>1.67</v>
      </c>
      <c r="BT2988">
        <v>0.5</v>
      </c>
      <c r="BU2988">
        <v>1.73</v>
      </c>
      <c r="BV2988">
        <v>1.57</v>
      </c>
      <c r="BW2988">
        <v>1.51</v>
      </c>
      <c r="BX2988">
        <v>2.88</v>
      </c>
      <c r="BY2988">
        <v>3.7</v>
      </c>
      <c r="BZ2988">
        <v>2.78</v>
      </c>
      <c r="CA2988">
        <v>0.41</v>
      </c>
      <c r="CB2988">
        <v>0</v>
      </c>
      <c r="CC2988">
        <v>0.4</v>
      </c>
      <c r="CD2988">
        <v>0.31</v>
      </c>
      <c r="CE2988">
        <v>0.31</v>
      </c>
      <c r="CF2988">
        <v>0.21</v>
      </c>
      <c r="CG2988">
        <v>1.46</v>
      </c>
      <c r="CH2988">
        <v>0.45</v>
      </c>
      <c r="CI2988">
        <v>0.59</v>
      </c>
      <c r="CJ2988">
        <v>30879</v>
      </c>
      <c r="CK2988">
        <v>2958</v>
      </c>
      <c r="CL2988" t="s">
        <v>7082</v>
      </c>
      <c r="CM2988">
        <v>0.86</v>
      </c>
      <c r="CN2988">
        <v>4.99</v>
      </c>
      <c r="CO2988">
        <v>3.58</v>
      </c>
      <c r="CP2988">
        <v>48.19</v>
      </c>
      <c r="CQ2988">
        <v>5.87</v>
      </c>
      <c r="CR2988">
        <v>0.21</v>
      </c>
      <c r="CS2988" t="s">
        <v>541</v>
      </c>
      <c r="CT2988">
        <v>3.91</v>
      </c>
      <c r="CU2988">
        <v>0</v>
      </c>
      <c r="CV2988">
        <v>1.85</v>
      </c>
      <c r="CW2988">
        <v>0.94</v>
      </c>
      <c r="CX2988">
        <v>0.28999999999999998</v>
      </c>
      <c r="CY2988">
        <v>75.27</v>
      </c>
      <c r="CZ2988" t="s">
        <v>5435</v>
      </c>
      <c r="DA2988">
        <v>25.01</v>
      </c>
      <c r="DB2988">
        <v>10.99</v>
      </c>
      <c r="DC2988">
        <v>8.39</v>
      </c>
      <c r="DD2988">
        <v>0.14000000000000001</v>
      </c>
      <c r="DE2988">
        <v>599</v>
      </c>
      <c r="DF2988">
        <v>600980</v>
      </c>
      <c r="DG2988" t="s">
        <v>116</v>
      </c>
      <c r="DH2988" t="s">
        <v>116</v>
      </c>
      <c r="DI2988" t="s">
        <v>116</v>
      </c>
    </row>
    <row r="2989" spans="1:113" x14ac:dyDescent="0.4">
      <c r="A2989" t="str">
        <f>"600981"</f>
        <v>600981</v>
      </c>
      <c r="B2989" t="s">
        <v>13122</v>
      </c>
      <c r="C2989">
        <v>-0.27</v>
      </c>
      <c r="D2989">
        <v>3.68</v>
      </c>
      <c r="E2989">
        <v>-0.01</v>
      </c>
      <c r="F2989">
        <v>3.67</v>
      </c>
      <c r="G2989">
        <v>3.68</v>
      </c>
      <c r="H2989">
        <v>48103</v>
      </c>
      <c r="I2989">
        <v>730</v>
      </c>
      <c r="J2989">
        <v>0</v>
      </c>
      <c r="K2989">
        <v>0.66</v>
      </c>
      <c r="L2989">
        <v>3.68</v>
      </c>
      <c r="M2989">
        <v>3.73</v>
      </c>
      <c r="N2989">
        <v>3.65</v>
      </c>
      <c r="O2989">
        <v>3.69</v>
      </c>
      <c r="P2989">
        <v>32.229999999999997</v>
      </c>
      <c r="Q2989">
        <v>17829698</v>
      </c>
      <c r="R2989">
        <v>1.24</v>
      </c>
      <c r="S2989" t="s">
        <v>566</v>
      </c>
      <c r="T2989" t="s">
        <v>323</v>
      </c>
      <c r="U2989">
        <v>2.17</v>
      </c>
      <c r="V2989">
        <v>3.71</v>
      </c>
      <c r="W2989">
        <v>26695</v>
      </c>
      <c r="X2989">
        <v>21408</v>
      </c>
      <c r="Y2989">
        <v>1.25</v>
      </c>
      <c r="Z2989">
        <v>1032</v>
      </c>
      <c r="AA2989">
        <v>58</v>
      </c>
      <c r="AB2989" t="s">
        <v>116</v>
      </c>
      <c r="AC2989">
        <v>56700</v>
      </c>
      <c r="AD2989">
        <v>0</v>
      </c>
      <c r="AE2989" t="s">
        <v>116</v>
      </c>
      <c r="AF2989" t="s">
        <v>116</v>
      </c>
      <c r="AG2989">
        <v>7.31</v>
      </c>
      <c r="AH2989" t="s">
        <v>5107</v>
      </c>
      <c r="AI2989" t="s">
        <v>13123</v>
      </c>
      <c r="AJ2989">
        <v>-0.19</v>
      </c>
      <c r="AK2989">
        <v>684</v>
      </c>
      <c r="AL2989">
        <v>70</v>
      </c>
      <c r="AM2989">
        <v>1E-3</v>
      </c>
      <c r="AN2989">
        <v>-1</v>
      </c>
      <c r="AO2989">
        <v>-0.27</v>
      </c>
      <c r="AP2989">
        <v>3.08</v>
      </c>
      <c r="AQ2989">
        <v>-8.91</v>
      </c>
      <c r="AR2989">
        <v>2.94</v>
      </c>
      <c r="AS2989">
        <v>0.9</v>
      </c>
      <c r="AT2989" t="s">
        <v>12542</v>
      </c>
      <c r="AU2989">
        <v>19.93</v>
      </c>
      <c r="AV2989">
        <v>6.87</v>
      </c>
      <c r="AW2989">
        <v>1.73</v>
      </c>
      <c r="BA2989">
        <v>-0.27</v>
      </c>
      <c r="BB2989">
        <v>1.08</v>
      </c>
      <c r="BC2989">
        <v>-1.08</v>
      </c>
      <c r="BD2989">
        <v>0.45</v>
      </c>
      <c r="BE2989">
        <v>0</v>
      </c>
      <c r="BF2989">
        <v>-1.34</v>
      </c>
      <c r="BG2989">
        <v>0.82</v>
      </c>
      <c r="BH2989">
        <v>-0.72</v>
      </c>
      <c r="BI2989">
        <v>20191029</v>
      </c>
      <c r="BJ2989">
        <v>20040630</v>
      </c>
      <c r="BK2989">
        <v>22.42</v>
      </c>
      <c r="BL2989" t="s">
        <v>116</v>
      </c>
      <c r="BM2989" t="s">
        <v>116</v>
      </c>
      <c r="BN2989">
        <v>266.32</v>
      </c>
      <c r="BO2989">
        <v>51.52</v>
      </c>
      <c r="BP2989">
        <v>12.32</v>
      </c>
      <c r="BQ2989">
        <v>76.03</v>
      </c>
      <c r="BR2989">
        <v>209.27</v>
      </c>
      <c r="BS2989">
        <v>15.49</v>
      </c>
      <c r="BT2989">
        <v>7.02</v>
      </c>
      <c r="BU2989">
        <v>168.45</v>
      </c>
      <c r="BV2989">
        <v>35.159999999999997</v>
      </c>
      <c r="BW2989">
        <v>34.450000000000003</v>
      </c>
      <c r="BX2989">
        <v>7.05</v>
      </c>
      <c r="BY2989">
        <v>250.99</v>
      </c>
      <c r="BZ2989">
        <v>236.37</v>
      </c>
      <c r="CA2989">
        <v>4.3499999999999996</v>
      </c>
      <c r="CB2989">
        <v>0.77</v>
      </c>
      <c r="CC2989">
        <v>4.45</v>
      </c>
      <c r="CD2989">
        <v>3.12</v>
      </c>
      <c r="CE2989">
        <v>1.92</v>
      </c>
      <c r="CF2989">
        <v>-1.31</v>
      </c>
      <c r="CG2989">
        <v>17.04</v>
      </c>
      <c r="CH2989">
        <v>-2.2599999999999998</v>
      </c>
      <c r="CI2989">
        <v>-16.04</v>
      </c>
      <c r="CJ2989">
        <v>47333</v>
      </c>
      <c r="CK2989">
        <v>11349</v>
      </c>
      <c r="CL2989" t="s">
        <v>563</v>
      </c>
      <c r="CM2989">
        <v>-80.400000000000006</v>
      </c>
      <c r="CN2989">
        <v>-11.57</v>
      </c>
      <c r="CO2989">
        <v>1.6</v>
      </c>
      <c r="CP2989">
        <v>-36.43</v>
      </c>
      <c r="CQ2989">
        <v>0.33</v>
      </c>
      <c r="CR2989">
        <v>4.4800000000000004</v>
      </c>
      <c r="CS2989" t="s">
        <v>1469</v>
      </c>
      <c r="CT2989">
        <v>2.2999999999999998</v>
      </c>
      <c r="CU2989">
        <v>0</v>
      </c>
      <c r="CV2989">
        <v>0.31</v>
      </c>
      <c r="CW2989">
        <v>0.76</v>
      </c>
      <c r="CX2989">
        <v>-0.1</v>
      </c>
      <c r="CY2989">
        <v>19.34</v>
      </c>
      <c r="CZ2989" t="s">
        <v>13124</v>
      </c>
      <c r="DA2989">
        <v>5.83</v>
      </c>
      <c r="DB2989">
        <v>1.73</v>
      </c>
      <c r="DC2989">
        <v>0.77</v>
      </c>
      <c r="DD2989">
        <v>0.22</v>
      </c>
      <c r="DE2989">
        <v>4161</v>
      </c>
      <c r="DF2989">
        <v>600981</v>
      </c>
      <c r="DG2989" t="s">
        <v>116</v>
      </c>
      <c r="DH2989" t="s">
        <v>116</v>
      </c>
      <c r="DI2989" t="s">
        <v>116</v>
      </c>
    </row>
    <row r="2990" spans="1:113" x14ac:dyDescent="0.4">
      <c r="A2990" t="str">
        <f>"600982"</f>
        <v>600982</v>
      </c>
      <c r="B2990" t="s">
        <v>13125</v>
      </c>
      <c r="C2990">
        <v>0</v>
      </c>
      <c r="D2990">
        <v>3.01</v>
      </c>
      <c r="E2990">
        <v>0</v>
      </c>
      <c r="F2990">
        <v>3</v>
      </c>
      <c r="G2990">
        <v>3.01</v>
      </c>
      <c r="H2990">
        <v>33834</v>
      </c>
      <c r="I2990">
        <v>207</v>
      </c>
      <c r="J2990">
        <v>0.33</v>
      </c>
      <c r="K2990">
        <v>0.45</v>
      </c>
      <c r="L2990">
        <v>3.03</v>
      </c>
      <c r="M2990">
        <v>3.03</v>
      </c>
      <c r="N2990">
        <v>3</v>
      </c>
      <c r="O2990">
        <v>3.01</v>
      </c>
      <c r="P2990">
        <v>22.25</v>
      </c>
      <c r="Q2990">
        <v>10188264</v>
      </c>
      <c r="R2990">
        <v>0.72</v>
      </c>
      <c r="S2990" t="s">
        <v>690</v>
      </c>
      <c r="T2990" t="s">
        <v>590</v>
      </c>
      <c r="U2990">
        <v>1</v>
      </c>
      <c r="V2990">
        <v>3.01</v>
      </c>
      <c r="W2990">
        <v>19828</v>
      </c>
      <c r="X2990">
        <v>14006</v>
      </c>
      <c r="Y2990">
        <v>1.42</v>
      </c>
      <c r="Z2990">
        <v>1356</v>
      </c>
      <c r="AA2990">
        <v>1856</v>
      </c>
      <c r="AB2990" t="s">
        <v>116</v>
      </c>
      <c r="AC2990">
        <v>149100</v>
      </c>
      <c r="AD2990">
        <v>0.01</v>
      </c>
      <c r="AE2990" t="s">
        <v>116</v>
      </c>
      <c r="AF2990" t="s">
        <v>116</v>
      </c>
      <c r="AG2990">
        <v>7.47</v>
      </c>
      <c r="AH2990" t="s">
        <v>5623</v>
      </c>
      <c r="AI2990" t="s">
        <v>142</v>
      </c>
      <c r="AJ2990">
        <v>0.08</v>
      </c>
      <c r="AK2990">
        <v>357</v>
      </c>
      <c r="AL2990">
        <v>95</v>
      </c>
      <c r="AM2990">
        <v>1.2999999999999999E-3</v>
      </c>
      <c r="AN2990">
        <v>0</v>
      </c>
      <c r="AO2990">
        <v>0</v>
      </c>
      <c r="AP2990">
        <v>3.08</v>
      </c>
      <c r="AQ2990">
        <v>-1.31</v>
      </c>
      <c r="AR2990">
        <v>-7.78</v>
      </c>
      <c r="AS2990">
        <v>0.65</v>
      </c>
      <c r="AT2990" t="s">
        <v>1117</v>
      </c>
      <c r="AU2990">
        <v>35.590000000000003</v>
      </c>
      <c r="AV2990">
        <v>21.18</v>
      </c>
      <c r="AW2990">
        <v>0.92</v>
      </c>
      <c r="BA2990">
        <v>0.66</v>
      </c>
      <c r="BB2990">
        <v>0.66</v>
      </c>
      <c r="BC2990">
        <v>-0.33</v>
      </c>
      <c r="BD2990">
        <v>0.04</v>
      </c>
      <c r="BE2990">
        <v>-0.66</v>
      </c>
      <c r="BF2990">
        <v>-0.66</v>
      </c>
      <c r="BG2990">
        <v>0.33</v>
      </c>
      <c r="BH2990">
        <v>-0.04</v>
      </c>
      <c r="BI2990">
        <v>20191022</v>
      </c>
      <c r="BJ2990">
        <v>20040706</v>
      </c>
      <c r="BK2990">
        <v>10.87</v>
      </c>
      <c r="BL2990" t="s">
        <v>116</v>
      </c>
      <c r="BM2990" t="s">
        <v>116</v>
      </c>
      <c r="BN2990">
        <v>63.15</v>
      </c>
      <c r="BO2990">
        <v>33.1</v>
      </c>
      <c r="BP2990">
        <v>3.85</v>
      </c>
      <c r="BQ2990">
        <v>41.49</v>
      </c>
      <c r="BR2990">
        <v>27.07</v>
      </c>
      <c r="BS2990">
        <v>19.29</v>
      </c>
      <c r="BT2990">
        <v>1.77</v>
      </c>
      <c r="BU2990">
        <v>16.489999999999998</v>
      </c>
      <c r="BV2990">
        <v>0.46</v>
      </c>
      <c r="BW2990">
        <v>1.8</v>
      </c>
      <c r="BX2990">
        <v>13.94</v>
      </c>
      <c r="BY2990">
        <v>25.77</v>
      </c>
      <c r="BZ2990">
        <v>22.45</v>
      </c>
      <c r="CA2990">
        <v>1.71</v>
      </c>
      <c r="CB2990">
        <v>0.63</v>
      </c>
      <c r="CC2990">
        <v>1.77</v>
      </c>
      <c r="CD2990">
        <v>1.32</v>
      </c>
      <c r="CE2990">
        <v>1.1000000000000001</v>
      </c>
      <c r="CF2990">
        <v>0.46</v>
      </c>
      <c r="CG2990">
        <v>7.52</v>
      </c>
      <c r="CH2990">
        <v>5.45</v>
      </c>
      <c r="CI2990">
        <v>-3.58</v>
      </c>
      <c r="CJ2990">
        <v>40108</v>
      </c>
      <c r="CK2990">
        <v>12911</v>
      </c>
      <c r="CL2990" t="s">
        <v>5888</v>
      </c>
      <c r="CM2990">
        <v>-36.200000000000003</v>
      </c>
      <c r="CN2990">
        <v>35.630000000000003</v>
      </c>
      <c r="CO2990">
        <v>0.99</v>
      </c>
      <c r="CP2990">
        <v>6</v>
      </c>
      <c r="CQ2990">
        <v>1.27</v>
      </c>
      <c r="CR2990">
        <v>1.51</v>
      </c>
      <c r="CS2990" t="s">
        <v>3235</v>
      </c>
      <c r="CT2990">
        <v>3.05</v>
      </c>
      <c r="CU2990">
        <v>0</v>
      </c>
      <c r="CV2990">
        <v>1.28</v>
      </c>
      <c r="CW2990">
        <v>0.69</v>
      </c>
      <c r="CX2990">
        <v>0.5</v>
      </c>
      <c r="CY2990">
        <v>52.41</v>
      </c>
      <c r="CZ2990" t="s">
        <v>4296</v>
      </c>
      <c r="DA2990">
        <v>12.85</v>
      </c>
      <c r="DB2990">
        <v>6.65</v>
      </c>
      <c r="DC2990">
        <v>4.28</v>
      </c>
      <c r="DD2990">
        <v>0</v>
      </c>
      <c r="DE2990">
        <v>402</v>
      </c>
      <c r="DF2990">
        <v>600982</v>
      </c>
      <c r="DG2990" t="s">
        <v>116</v>
      </c>
      <c r="DH2990" t="s">
        <v>116</v>
      </c>
      <c r="DI2990" t="s">
        <v>116</v>
      </c>
    </row>
    <row r="2991" spans="1:113" x14ac:dyDescent="0.4">
      <c r="A2991" t="str">
        <f>"600983"</f>
        <v>600983</v>
      </c>
      <c r="B2991" t="s">
        <v>13126</v>
      </c>
      <c r="C2991">
        <v>0</v>
      </c>
      <c r="D2991">
        <v>4.93</v>
      </c>
      <c r="E2991">
        <v>0</v>
      </c>
      <c r="F2991">
        <v>4.92</v>
      </c>
      <c r="G2991">
        <v>4.93</v>
      </c>
      <c r="H2991">
        <v>12700</v>
      </c>
      <c r="I2991">
        <v>74</v>
      </c>
      <c r="J2991">
        <v>0</v>
      </c>
      <c r="K2991">
        <v>0.24</v>
      </c>
      <c r="L2991">
        <v>4.93</v>
      </c>
      <c r="M2991">
        <v>4.96</v>
      </c>
      <c r="N2991">
        <v>4.92</v>
      </c>
      <c r="O2991">
        <v>4.93</v>
      </c>
      <c r="P2991" t="s">
        <v>116</v>
      </c>
      <c r="Q2991">
        <v>6273234</v>
      </c>
      <c r="R2991">
        <v>1.23</v>
      </c>
      <c r="S2991" t="s">
        <v>209</v>
      </c>
      <c r="T2991" t="s">
        <v>575</v>
      </c>
      <c r="U2991">
        <v>0.81</v>
      </c>
      <c r="V2991">
        <v>4.9400000000000004</v>
      </c>
      <c r="W2991">
        <v>8046</v>
      </c>
      <c r="X2991">
        <v>4654</v>
      </c>
      <c r="Y2991">
        <v>1.73</v>
      </c>
      <c r="Z2991">
        <v>423</v>
      </c>
      <c r="AA2991">
        <v>98</v>
      </c>
      <c r="AB2991" t="s">
        <v>116</v>
      </c>
      <c r="AC2991">
        <v>0</v>
      </c>
      <c r="AD2991">
        <v>0</v>
      </c>
      <c r="AE2991" t="s">
        <v>116</v>
      </c>
      <c r="AF2991" t="s">
        <v>116</v>
      </c>
      <c r="AG2991">
        <v>5.33</v>
      </c>
      <c r="AH2991" t="s">
        <v>6777</v>
      </c>
      <c r="AI2991" t="s">
        <v>13127</v>
      </c>
      <c r="AJ2991">
        <v>0.08</v>
      </c>
      <c r="AK2991">
        <v>244</v>
      </c>
      <c r="AL2991">
        <v>52</v>
      </c>
      <c r="AM2991">
        <v>1E-3</v>
      </c>
      <c r="AN2991">
        <v>0</v>
      </c>
      <c r="AO2991">
        <v>-0.2</v>
      </c>
      <c r="AP2991">
        <v>2.4900000000000002</v>
      </c>
      <c r="AQ2991">
        <v>-2.95</v>
      </c>
      <c r="AR2991">
        <v>-5.37</v>
      </c>
      <c r="AS2991">
        <v>0.36</v>
      </c>
      <c r="AT2991" t="s">
        <v>8677</v>
      </c>
      <c r="AU2991" t="s">
        <v>116</v>
      </c>
      <c r="AV2991">
        <v>14.43</v>
      </c>
      <c r="AW2991">
        <v>0.99</v>
      </c>
      <c r="BA2991">
        <v>0</v>
      </c>
      <c r="BB2991">
        <v>0.61</v>
      </c>
      <c r="BC2991">
        <v>-0.2</v>
      </c>
      <c r="BD2991">
        <v>0.19</v>
      </c>
      <c r="BE2991">
        <v>0</v>
      </c>
      <c r="BF2991">
        <v>-0.6</v>
      </c>
      <c r="BG2991">
        <v>0.2</v>
      </c>
      <c r="BH2991">
        <v>-0.19</v>
      </c>
      <c r="BI2991">
        <v>20191030</v>
      </c>
      <c r="BJ2991">
        <v>20040727</v>
      </c>
      <c r="BK2991">
        <v>7.66</v>
      </c>
      <c r="BL2991" t="s">
        <v>116</v>
      </c>
      <c r="BM2991" t="s">
        <v>116</v>
      </c>
      <c r="BN2991">
        <v>75.040000000000006</v>
      </c>
      <c r="BO2991">
        <v>40.08</v>
      </c>
      <c r="BP2991">
        <v>0</v>
      </c>
      <c r="BQ2991">
        <v>46.59</v>
      </c>
      <c r="BR2991">
        <v>53.62</v>
      </c>
      <c r="BS2991">
        <v>14.26</v>
      </c>
      <c r="BT2991">
        <v>2.82</v>
      </c>
      <c r="BU2991">
        <v>34.1</v>
      </c>
      <c r="BV2991">
        <v>6.38</v>
      </c>
      <c r="BW2991">
        <v>14.68</v>
      </c>
      <c r="BX2991">
        <v>12.39</v>
      </c>
      <c r="BY2991">
        <v>40.869999999999997</v>
      </c>
      <c r="BZ2991">
        <v>32.020000000000003</v>
      </c>
      <c r="CA2991">
        <v>-0.74</v>
      </c>
      <c r="CB2991">
        <v>0.17</v>
      </c>
      <c r="CC2991">
        <v>-0.73</v>
      </c>
      <c r="CD2991">
        <v>-0.69</v>
      </c>
      <c r="CE2991">
        <v>-0.69</v>
      </c>
      <c r="CF2991">
        <v>-0.9</v>
      </c>
      <c r="CG2991">
        <v>17.260000000000002</v>
      </c>
      <c r="CH2991">
        <v>-6.42</v>
      </c>
      <c r="CI2991">
        <v>-12.11</v>
      </c>
      <c r="CJ2991">
        <v>22674</v>
      </c>
      <c r="CK2991">
        <v>15610</v>
      </c>
      <c r="CL2991" t="s">
        <v>199</v>
      </c>
      <c r="CM2991">
        <v>-119.53</v>
      </c>
      <c r="CN2991">
        <v>-11.93</v>
      </c>
      <c r="CO2991">
        <v>0.94</v>
      </c>
      <c r="CP2991">
        <v>-5.88</v>
      </c>
      <c r="CQ2991">
        <v>0.92</v>
      </c>
      <c r="CR2991">
        <v>1.01</v>
      </c>
      <c r="CS2991" t="s">
        <v>4019</v>
      </c>
      <c r="CT2991">
        <v>5.23</v>
      </c>
      <c r="CU2991">
        <v>0</v>
      </c>
      <c r="CV2991">
        <v>1.62</v>
      </c>
      <c r="CW2991">
        <v>2.25</v>
      </c>
      <c r="CX2991">
        <v>-0.84</v>
      </c>
      <c r="CY2991">
        <v>53.41</v>
      </c>
      <c r="CZ2991" t="s">
        <v>13128</v>
      </c>
      <c r="DA2991">
        <v>21.65</v>
      </c>
      <c r="DB2991">
        <v>-1.8</v>
      </c>
      <c r="DC2991">
        <v>-1.69</v>
      </c>
      <c r="DD2991">
        <v>0.99</v>
      </c>
      <c r="DE2991">
        <v>8947</v>
      </c>
      <c r="DF2991">
        <v>600983</v>
      </c>
      <c r="DG2991" t="s">
        <v>116</v>
      </c>
      <c r="DH2991" t="s">
        <v>116</v>
      </c>
      <c r="DI2991" t="s">
        <v>116</v>
      </c>
    </row>
    <row r="2992" spans="1:113" x14ac:dyDescent="0.4">
      <c r="A2992" t="str">
        <f>"600984"</f>
        <v>600984</v>
      </c>
      <c r="B2992" t="s">
        <v>13129</v>
      </c>
      <c r="C2992">
        <v>-3.66</v>
      </c>
      <c r="D2992">
        <v>9.75</v>
      </c>
      <c r="E2992">
        <v>-0.37</v>
      </c>
      <c r="F2992">
        <v>9.74</v>
      </c>
      <c r="G2992">
        <v>9.75</v>
      </c>
      <c r="H2992">
        <v>123588</v>
      </c>
      <c r="I2992">
        <v>718</v>
      </c>
      <c r="J2992">
        <v>-0.09</v>
      </c>
      <c r="K2992">
        <v>1.57</v>
      </c>
      <c r="L2992">
        <v>10.19</v>
      </c>
      <c r="M2992">
        <v>10.23</v>
      </c>
      <c r="N2992">
        <v>9.7100000000000009</v>
      </c>
      <c r="O2992">
        <v>10.119999999999999</v>
      </c>
      <c r="P2992">
        <v>15.85</v>
      </c>
      <c r="Q2992">
        <v>123359776</v>
      </c>
      <c r="R2992">
        <v>1.94</v>
      </c>
      <c r="S2992" t="s">
        <v>598</v>
      </c>
      <c r="T2992" t="s">
        <v>913</v>
      </c>
      <c r="U2992">
        <v>5.14</v>
      </c>
      <c r="V2992">
        <v>9.98</v>
      </c>
      <c r="W2992">
        <v>80369</v>
      </c>
      <c r="X2992">
        <v>43219</v>
      </c>
      <c r="Y2992">
        <v>1.86</v>
      </c>
      <c r="Z2992">
        <v>523</v>
      </c>
      <c r="AA2992">
        <v>136</v>
      </c>
      <c r="AB2992" t="s">
        <v>116</v>
      </c>
      <c r="AC2992">
        <v>435100</v>
      </c>
      <c r="AD2992">
        <v>0.01</v>
      </c>
      <c r="AE2992" t="s">
        <v>116</v>
      </c>
      <c r="AF2992" t="s">
        <v>116</v>
      </c>
      <c r="AG2992">
        <v>7.86</v>
      </c>
      <c r="AH2992" t="s">
        <v>13130</v>
      </c>
      <c r="AI2992" t="s">
        <v>12812</v>
      </c>
      <c r="AJ2992">
        <v>-3.58</v>
      </c>
      <c r="AK2992">
        <v>2780</v>
      </c>
      <c r="AL2992">
        <v>44</v>
      </c>
      <c r="AM2992">
        <v>5.9999999999999995E-4</v>
      </c>
      <c r="AN2992">
        <v>-3</v>
      </c>
      <c r="AO2992">
        <v>-4.79</v>
      </c>
      <c r="AP2992">
        <v>-0.71</v>
      </c>
      <c r="AQ2992">
        <v>8.4499999999999993</v>
      </c>
      <c r="AR2992">
        <v>92.31</v>
      </c>
      <c r="AS2992">
        <v>2.46</v>
      </c>
      <c r="AT2992" t="s">
        <v>13131</v>
      </c>
      <c r="AU2992">
        <v>19.28</v>
      </c>
      <c r="AV2992">
        <v>52.66</v>
      </c>
      <c r="AW2992">
        <v>0.13</v>
      </c>
      <c r="BA2992">
        <v>0.69</v>
      </c>
      <c r="BB2992">
        <v>1.0900000000000001</v>
      </c>
      <c r="BC2992">
        <v>-4.05</v>
      </c>
      <c r="BD2992">
        <v>-1.37</v>
      </c>
      <c r="BE2992">
        <v>-4.32</v>
      </c>
      <c r="BF2992">
        <v>-4.6900000000000004</v>
      </c>
      <c r="BG2992">
        <v>0.41</v>
      </c>
      <c r="BH2992">
        <v>-2.29</v>
      </c>
      <c r="BI2992">
        <v>20191030</v>
      </c>
      <c r="BJ2992">
        <v>20040707</v>
      </c>
      <c r="BK2992">
        <v>8.2799999999999994</v>
      </c>
      <c r="BL2992" t="s">
        <v>116</v>
      </c>
      <c r="BM2992" t="s">
        <v>116</v>
      </c>
      <c r="BN2992">
        <v>95.16</v>
      </c>
      <c r="BO2992">
        <v>37.53</v>
      </c>
      <c r="BP2992">
        <v>0.06</v>
      </c>
      <c r="BQ2992">
        <v>60.51</v>
      </c>
      <c r="BR2992">
        <v>39.68</v>
      </c>
      <c r="BS2992">
        <v>45.3</v>
      </c>
      <c r="BT2992">
        <v>1.1499999999999999</v>
      </c>
      <c r="BU2992">
        <v>44.26</v>
      </c>
      <c r="BV2992">
        <v>4.25</v>
      </c>
      <c r="BW2992">
        <v>24.83</v>
      </c>
      <c r="BX2992">
        <v>25.97</v>
      </c>
      <c r="BY2992">
        <v>22.88</v>
      </c>
      <c r="BZ2992">
        <v>13.75</v>
      </c>
      <c r="CA2992">
        <v>4.38</v>
      </c>
      <c r="CB2992">
        <v>0</v>
      </c>
      <c r="CC2992">
        <v>4.38</v>
      </c>
      <c r="CD2992">
        <v>3.82</v>
      </c>
      <c r="CE2992">
        <v>3.82</v>
      </c>
      <c r="CF2992">
        <v>3.81</v>
      </c>
      <c r="CG2992">
        <v>3.01</v>
      </c>
      <c r="CH2992">
        <v>6.96</v>
      </c>
      <c r="CI2992">
        <v>-1.32</v>
      </c>
      <c r="CJ2992">
        <v>14677</v>
      </c>
      <c r="CK2992">
        <v>34245</v>
      </c>
      <c r="CL2992" t="s">
        <v>13132</v>
      </c>
      <c r="CM2992">
        <v>227.89</v>
      </c>
      <c r="CN2992">
        <v>47.07</v>
      </c>
      <c r="CO2992">
        <v>2.15</v>
      </c>
      <c r="CP2992">
        <v>11.6</v>
      </c>
      <c r="CQ2992">
        <v>3.53</v>
      </c>
      <c r="CR2992">
        <v>0</v>
      </c>
      <c r="CS2992" t="s">
        <v>4752</v>
      </c>
      <c r="CT2992">
        <v>4.53</v>
      </c>
      <c r="CU2992">
        <v>0</v>
      </c>
      <c r="CV2992">
        <v>3.14</v>
      </c>
      <c r="CW2992">
        <v>0.36</v>
      </c>
      <c r="CX2992">
        <v>0.84</v>
      </c>
      <c r="CY2992">
        <v>39.43</v>
      </c>
      <c r="CZ2992" t="s">
        <v>11943</v>
      </c>
      <c r="DA2992">
        <v>39.909999999999997</v>
      </c>
      <c r="DB2992">
        <v>19.16</v>
      </c>
      <c r="DC2992">
        <v>16.690000000000001</v>
      </c>
      <c r="DD2992">
        <v>0.75</v>
      </c>
      <c r="DE2992">
        <v>3186</v>
      </c>
      <c r="DF2992">
        <v>600984</v>
      </c>
      <c r="DG2992" t="s">
        <v>116</v>
      </c>
      <c r="DH2992" t="s">
        <v>116</v>
      </c>
      <c r="DI2992" t="s">
        <v>116</v>
      </c>
    </row>
    <row r="2993" spans="1:113" x14ac:dyDescent="0.4">
      <c r="A2993" t="str">
        <f>"600985"</f>
        <v>600985</v>
      </c>
      <c r="B2993" t="s">
        <v>13133</v>
      </c>
      <c r="C2993">
        <v>0.51</v>
      </c>
      <c r="D2993">
        <v>9.86</v>
      </c>
      <c r="E2993">
        <v>0.05</v>
      </c>
      <c r="F2993">
        <v>9.86</v>
      </c>
      <c r="G2993">
        <v>9.8699999999999992</v>
      </c>
      <c r="H2993">
        <v>43347</v>
      </c>
      <c r="I2993">
        <v>313</v>
      </c>
      <c r="J2993">
        <v>-0.09</v>
      </c>
      <c r="K2993">
        <v>0.78</v>
      </c>
      <c r="L2993">
        <v>9.8800000000000008</v>
      </c>
      <c r="M2993">
        <v>9.98</v>
      </c>
      <c r="N2993">
        <v>9.74</v>
      </c>
      <c r="O2993">
        <v>9.81</v>
      </c>
      <c r="P2993">
        <v>5.67</v>
      </c>
      <c r="Q2993">
        <v>42860344</v>
      </c>
      <c r="R2993">
        <v>0.96</v>
      </c>
      <c r="S2993" t="s">
        <v>1121</v>
      </c>
      <c r="T2993" t="s">
        <v>575</v>
      </c>
      <c r="U2993">
        <v>2.4500000000000002</v>
      </c>
      <c r="V2993">
        <v>9.89</v>
      </c>
      <c r="W2993">
        <v>19944</v>
      </c>
      <c r="X2993">
        <v>23403</v>
      </c>
      <c r="Y2993">
        <v>0.85</v>
      </c>
      <c r="Z2993">
        <v>49</v>
      </c>
      <c r="AA2993">
        <v>108</v>
      </c>
      <c r="AB2993" t="s">
        <v>116</v>
      </c>
      <c r="AC2993">
        <v>0</v>
      </c>
      <c r="AD2993">
        <v>0</v>
      </c>
      <c r="AE2993" t="s">
        <v>116</v>
      </c>
      <c r="AF2993" t="s">
        <v>116</v>
      </c>
      <c r="AG2993">
        <v>5.53</v>
      </c>
      <c r="AH2993" t="s">
        <v>13134</v>
      </c>
      <c r="AI2993" t="s">
        <v>13135</v>
      </c>
      <c r="AJ2993">
        <v>0.59</v>
      </c>
      <c r="AK2993">
        <v>2201</v>
      </c>
      <c r="AL2993">
        <v>20</v>
      </c>
      <c r="AM2993">
        <v>4.0000000000000002E-4</v>
      </c>
      <c r="AN2993">
        <v>4</v>
      </c>
      <c r="AO2993">
        <v>2.39</v>
      </c>
      <c r="AP2993">
        <v>8.9499999999999993</v>
      </c>
      <c r="AQ2993">
        <v>-2.57</v>
      </c>
      <c r="AR2993">
        <v>12.05</v>
      </c>
      <c r="AS2993">
        <v>1.26</v>
      </c>
      <c r="AT2993" t="s">
        <v>926</v>
      </c>
      <c r="AU2993">
        <v>5.48</v>
      </c>
      <c r="AV2993">
        <v>6.03</v>
      </c>
      <c r="AW2993">
        <v>1.57</v>
      </c>
      <c r="BA2993">
        <v>0.71</v>
      </c>
      <c r="BB2993">
        <v>1.73</v>
      </c>
      <c r="BC2993">
        <v>-0.71</v>
      </c>
      <c r="BD2993">
        <v>0.79</v>
      </c>
      <c r="BE2993">
        <v>-0.2</v>
      </c>
      <c r="BF2993">
        <v>-1.2</v>
      </c>
      <c r="BG2993">
        <v>1.23</v>
      </c>
      <c r="BH2993">
        <v>-0.28000000000000003</v>
      </c>
      <c r="BI2993">
        <v>20191026</v>
      </c>
      <c r="BJ2993">
        <v>20040428</v>
      </c>
      <c r="BK2993">
        <v>21.72</v>
      </c>
      <c r="BL2993" t="s">
        <v>116</v>
      </c>
      <c r="BM2993" t="s">
        <v>116</v>
      </c>
      <c r="BN2993">
        <v>593.59</v>
      </c>
      <c r="BO2993">
        <v>183.18</v>
      </c>
      <c r="BP2993">
        <v>31.02</v>
      </c>
      <c r="BQ2993">
        <v>63.91</v>
      </c>
      <c r="BR2993">
        <v>108.14</v>
      </c>
      <c r="BS2993">
        <v>295.47000000000003</v>
      </c>
      <c r="BT2993">
        <v>101.6</v>
      </c>
      <c r="BU2993">
        <v>270.13</v>
      </c>
      <c r="BV2993">
        <v>16.940000000000001</v>
      </c>
      <c r="BW2993">
        <v>14.46</v>
      </c>
      <c r="BX2993">
        <v>60</v>
      </c>
      <c r="BY2993">
        <v>462.52</v>
      </c>
      <c r="BZ2993">
        <v>386.31</v>
      </c>
      <c r="CA2993">
        <v>33.5</v>
      </c>
      <c r="CB2993">
        <v>0.44</v>
      </c>
      <c r="CC2993">
        <v>33.54</v>
      </c>
      <c r="CD2993">
        <v>29.17</v>
      </c>
      <c r="CE2993">
        <v>28.33</v>
      </c>
      <c r="CF2993">
        <v>26.85</v>
      </c>
      <c r="CG2993">
        <v>86.86</v>
      </c>
      <c r="CH2993">
        <v>64.040000000000006</v>
      </c>
      <c r="CI2993">
        <v>-0.84</v>
      </c>
      <c r="CJ2993">
        <v>13589</v>
      </c>
      <c r="CK2993">
        <v>25351</v>
      </c>
      <c r="CL2993" t="s">
        <v>13136</v>
      </c>
      <c r="CM2993">
        <v>14.51</v>
      </c>
      <c r="CN2993">
        <v>-4.9000000000000004</v>
      </c>
      <c r="CO2993">
        <v>1.17</v>
      </c>
      <c r="CP2993">
        <v>3.34</v>
      </c>
      <c r="CQ2993">
        <v>0.46</v>
      </c>
      <c r="CR2993">
        <v>5.07</v>
      </c>
      <c r="CS2993" t="s">
        <v>13137</v>
      </c>
      <c r="CT2993">
        <v>8.43</v>
      </c>
      <c r="CU2993">
        <v>0</v>
      </c>
      <c r="CV2993">
        <v>2.76</v>
      </c>
      <c r="CW2993">
        <v>4</v>
      </c>
      <c r="CX2993">
        <v>2.95</v>
      </c>
      <c r="CY2993">
        <v>30.86</v>
      </c>
      <c r="CZ2993" t="s">
        <v>6210</v>
      </c>
      <c r="DA2993">
        <v>16.48</v>
      </c>
      <c r="DB2993">
        <v>7.24</v>
      </c>
      <c r="DC2993">
        <v>6.13</v>
      </c>
      <c r="DD2993">
        <v>9.81</v>
      </c>
      <c r="DE2993">
        <v>59249</v>
      </c>
      <c r="DF2993">
        <v>600985</v>
      </c>
      <c r="DG2993" t="s">
        <v>116</v>
      </c>
      <c r="DH2993" t="s">
        <v>116</v>
      </c>
      <c r="DI2993" t="s">
        <v>116</v>
      </c>
    </row>
    <row r="2994" spans="1:113" x14ac:dyDescent="0.4">
      <c r="A2994" t="str">
        <f>"600986"</f>
        <v>600986</v>
      </c>
      <c r="B2994" t="s">
        <v>13138</v>
      </c>
      <c r="C2994">
        <v>1.81</v>
      </c>
      <c r="D2994">
        <v>5.05</v>
      </c>
      <c r="E2994">
        <v>0.09</v>
      </c>
      <c r="F2994">
        <v>5.05</v>
      </c>
      <c r="G2994">
        <v>5.0599999999999996</v>
      </c>
      <c r="H2994">
        <v>1089359</v>
      </c>
      <c r="I2994">
        <v>16798</v>
      </c>
      <c r="J2994">
        <v>0</v>
      </c>
      <c r="K2994">
        <v>8.49</v>
      </c>
      <c r="L2994">
        <v>5</v>
      </c>
      <c r="M2994">
        <v>5.12</v>
      </c>
      <c r="N2994">
        <v>4.9400000000000004</v>
      </c>
      <c r="O2994">
        <v>4.96</v>
      </c>
      <c r="P2994">
        <v>40.25</v>
      </c>
      <c r="Q2994">
        <v>547814400</v>
      </c>
      <c r="R2994">
        <v>2.0099999999999998</v>
      </c>
      <c r="S2994" t="s">
        <v>1384</v>
      </c>
      <c r="T2994" t="s">
        <v>645</v>
      </c>
      <c r="U2994">
        <v>3.63</v>
      </c>
      <c r="V2994">
        <v>5.03</v>
      </c>
      <c r="W2994">
        <v>524453</v>
      </c>
      <c r="X2994">
        <v>564905</v>
      </c>
      <c r="Y2994">
        <v>0.93</v>
      </c>
      <c r="Z2994">
        <v>7407</v>
      </c>
      <c r="AA2994">
        <v>7193</v>
      </c>
      <c r="AB2994" t="s">
        <v>116</v>
      </c>
      <c r="AC2994">
        <v>5117500</v>
      </c>
      <c r="AD2994">
        <v>0.09</v>
      </c>
      <c r="AE2994" t="s">
        <v>116</v>
      </c>
      <c r="AF2994" t="s">
        <v>116</v>
      </c>
      <c r="AG2994">
        <v>12.83</v>
      </c>
      <c r="AH2994" t="s">
        <v>13139</v>
      </c>
      <c r="AI2994" t="s">
        <v>4336</v>
      </c>
      <c r="AJ2994">
        <v>1.89</v>
      </c>
      <c r="AK2994">
        <v>4174</v>
      </c>
      <c r="AL2994">
        <v>261</v>
      </c>
      <c r="AM2994">
        <v>2E-3</v>
      </c>
      <c r="AN2994">
        <v>4</v>
      </c>
      <c r="AO2994">
        <v>9.7799999999999994</v>
      </c>
      <c r="AP2994">
        <v>5.43</v>
      </c>
      <c r="AQ2994">
        <v>23.17</v>
      </c>
      <c r="AR2994">
        <v>20.81</v>
      </c>
      <c r="AS2994">
        <v>9.77</v>
      </c>
      <c r="AT2994" t="s">
        <v>5391</v>
      </c>
      <c r="AU2994" t="s">
        <v>116</v>
      </c>
      <c r="AV2994">
        <v>25.46</v>
      </c>
      <c r="AW2994">
        <v>3.17</v>
      </c>
      <c r="BA2994">
        <v>0.81</v>
      </c>
      <c r="BB2994">
        <v>3.23</v>
      </c>
      <c r="BC2994">
        <v>-0.4</v>
      </c>
      <c r="BD2994">
        <v>1.39</v>
      </c>
      <c r="BE2994">
        <v>1</v>
      </c>
      <c r="BF2994">
        <v>-1.37</v>
      </c>
      <c r="BG2994">
        <v>2.23</v>
      </c>
      <c r="BH2994">
        <v>0.43</v>
      </c>
      <c r="BI2994">
        <v>20191122</v>
      </c>
      <c r="BJ2994">
        <v>20040426</v>
      </c>
      <c r="BK2994">
        <v>13.25</v>
      </c>
      <c r="BL2994" t="s">
        <v>116</v>
      </c>
      <c r="BM2994" t="s">
        <v>116</v>
      </c>
      <c r="BN2994">
        <v>110.5</v>
      </c>
      <c r="BO2994">
        <v>61.8</v>
      </c>
      <c r="BP2994">
        <v>0.98</v>
      </c>
      <c r="BQ2994">
        <v>43.19</v>
      </c>
      <c r="BR2994">
        <v>68.02</v>
      </c>
      <c r="BS2994">
        <v>0.26</v>
      </c>
      <c r="BT2994">
        <v>0.76</v>
      </c>
      <c r="BU2994">
        <v>45.96</v>
      </c>
      <c r="BV2994">
        <v>6.9</v>
      </c>
      <c r="BW2994">
        <v>46.48</v>
      </c>
      <c r="BX2994">
        <v>33.130000000000003</v>
      </c>
      <c r="BY2994">
        <v>141.80000000000001</v>
      </c>
      <c r="BZ2994">
        <v>133.76</v>
      </c>
      <c r="CA2994">
        <v>1.95</v>
      </c>
      <c r="CB2994">
        <v>0.04</v>
      </c>
      <c r="CC2994">
        <v>1.95</v>
      </c>
      <c r="CD2994">
        <v>1.32</v>
      </c>
      <c r="CE2994">
        <v>1.25</v>
      </c>
      <c r="CF2994">
        <v>0.9</v>
      </c>
      <c r="CG2994">
        <v>14.53</v>
      </c>
      <c r="CH2994">
        <v>-0.59</v>
      </c>
      <c r="CI2994">
        <v>-3.28</v>
      </c>
      <c r="CJ2994">
        <v>60873</v>
      </c>
      <c r="CK2994">
        <v>18310</v>
      </c>
      <c r="CL2994" t="s">
        <v>6549</v>
      </c>
      <c r="CM2994">
        <v>-72.17</v>
      </c>
      <c r="CN2994">
        <v>34.33</v>
      </c>
      <c r="CO2994">
        <v>1.08</v>
      </c>
      <c r="CP2994">
        <v>-112.94</v>
      </c>
      <c r="CQ2994">
        <v>0.47</v>
      </c>
      <c r="CR2994">
        <v>0.2</v>
      </c>
      <c r="CS2994" t="s">
        <v>3590</v>
      </c>
      <c r="CT2994">
        <v>4.66</v>
      </c>
      <c r="CU2994">
        <v>0</v>
      </c>
      <c r="CV2994">
        <v>2.5</v>
      </c>
      <c r="CW2994">
        <v>1.1000000000000001</v>
      </c>
      <c r="CX2994">
        <v>-0.04</v>
      </c>
      <c r="CY2994">
        <v>55.93</v>
      </c>
      <c r="CZ2994" t="s">
        <v>4692</v>
      </c>
      <c r="DA2994">
        <v>5.67</v>
      </c>
      <c r="DB2994">
        <v>1.37</v>
      </c>
      <c r="DC2994">
        <v>0.88</v>
      </c>
      <c r="DD2994">
        <v>1.65</v>
      </c>
      <c r="DE2994">
        <v>1885</v>
      </c>
      <c r="DF2994">
        <v>600986</v>
      </c>
      <c r="DG2994" t="s">
        <v>116</v>
      </c>
      <c r="DH2994" t="s">
        <v>116</v>
      </c>
      <c r="DI2994" t="s">
        <v>116</v>
      </c>
    </row>
    <row r="2995" spans="1:113" x14ac:dyDescent="0.4">
      <c r="A2995" t="str">
        <f>"600987"</f>
        <v>600987</v>
      </c>
      <c r="B2995" t="s">
        <v>13140</v>
      </c>
      <c r="C2995">
        <v>-0.48</v>
      </c>
      <c r="D2995">
        <v>6.2</v>
      </c>
      <c r="E2995">
        <v>-0.03</v>
      </c>
      <c r="F2995">
        <v>6.19</v>
      </c>
      <c r="G2995">
        <v>6.2</v>
      </c>
      <c r="H2995">
        <v>48010</v>
      </c>
      <c r="I2995">
        <v>109</v>
      </c>
      <c r="J2995">
        <v>0.16</v>
      </c>
      <c r="K2995">
        <v>0.52</v>
      </c>
      <c r="L2995">
        <v>6.25</v>
      </c>
      <c r="M2995">
        <v>6.3</v>
      </c>
      <c r="N2995">
        <v>6.18</v>
      </c>
      <c r="O2995">
        <v>6.23</v>
      </c>
      <c r="P2995">
        <v>10.1</v>
      </c>
      <c r="Q2995">
        <v>29950136</v>
      </c>
      <c r="R2995">
        <v>1.71</v>
      </c>
      <c r="S2995" t="s">
        <v>1420</v>
      </c>
      <c r="T2995" t="s">
        <v>590</v>
      </c>
      <c r="U2995">
        <v>1.93</v>
      </c>
      <c r="V2995">
        <v>6.24</v>
      </c>
      <c r="W2995">
        <v>24471</v>
      </c>
      <c r="X2995">
        <v>23539</v>
      </c>
      <c r="Y2995">
        <v>1.04</v>
      </c>
      <c r="Z2995">
        <v>245</v>
      </c>
      <c r="AA2995">
        <v>464</v>
      </c>
      <c r="AB2995" t="s">
        <v>116</v>
      </c>
      <c r="AC2995">
        <v>76900</v>
      </c>
      <c r="AD2995">
        <v>0</v>
      </c>
      <c r="AE2995" t="s">
        <v>116</v>
      </c>
      <c r="AF2995" t="s">
        <v>116</v>
      </c>
      <c r="AG2995">
        <v>9.2100000000000009</v>
      </c>
      <c r="AH2995" t="s">
        <v>13141</v>
      </c>
      <c r="AI2995" t="s">
        <v>13142</v>
      </c>
      <c r="AJ2995">
        <v>-0.4</v>
      </c>
      <c r="AK2995">
        <v>1368</v>
      </c>
      <c r="AL2995">
        <v>35</v>
      </c>
      <c r="AM2995">
        <v>4.0000000000000002E-4</v>
      </c>
      <c r="AN2995">
        <v>-1</v>
      </c>
      <c r="AO2995">
        <v>0</v>
      </c>
      <c r="AP2995">
        <v>3.33</v>
      </c>
      <c r="AQ2995">
        <v>1.31</v>
      </c>
      <c r="AR2995">
        <v>13.8</v>
      </c>
      <c r="AS2995">
        <v>0.99</v>
      </c>
      <c r="AT2995" t="s">
        <v>5121</v>
      </c>
      <c r="AU2995">
        <v>9.4700000000000006</v>
      </c>
      <c r="AV2995">
        <v>10.119999999999999</v>
      </c>
      <c r="AW2995">
        <v>0.9</v>
      </c>
      <c r="BA2995">
        <v>0.32</v>
      </c>
      <c r="BB2995">
        <v>1.1200000000000001</v>
      </c>
      <c r="BC2995">
        <v>-0.8</v>
      </c>
      <c r="BD2995">
        <v>0.13</v>
      </c>
      <c r="BE2995">
        <v>-0.8</v>
      </c>
      <c r="BF2995">
        <v>-1.59</v>
      </c>
      <c r="BG2995">
        <v>0.32</v>
      </c>
      <c r="BH2995">
        <v>-0.62</v>
      </c>
      <c r="BI2995">
        <v>20191022</v>
      </c>
      <c r="BJ2995">
        <v>20040809</v>
      </c>
      <c r="BK2995">
        <v>10.81</v>
      </c>
      <c r="BL2995" t="s">
        <v>116</v>
      </c>
      <c r="BM2995" t="s">
        <v>116</v>
      </c>
      <c r="BN2995">
        <v>68.599999999999994</v>
      </c>
      <c r="BO2995">
        <v>45.83</v>
      </c>
      <c r="BP2995">
        <v>5.31</v>
      </c>
      <c r="BQ2995">
        <v>25.45</v>
      </c>
      <c r="BR2995">
        <v>45.7</v>
      </c>
      <c r="BS2995">
        <v>19</v>
      </c>
      <c r="BT2995">
        <v>1.22</v>
      </c>
      <c r="BU2995">
        <v>16.45</v>
      </c>
      <c r="BV2995">
        <v>12.94</v>
      </c>
      <c r="BW2995">
        <v>2.72</v>
      </c>
      <c r="BX2995">
        <v>0.56000000000000005</v>
      </c>
      <c r="BY2995">
        <v>50.43</v>
      </c>
      <c r="BZ2995">
        <v>39.64</v>
      </c>
      <c r="CA2995">
        <v>6.87</v>
      </c>
      <c r="CB2995">
        <v>0.31</v>
      </c>
      <c r="CC2995">
        <v>6.88</v>
      </c>
      <c r="CD2995">
        <v>5.72</v>
      </c>
      <c r="CE2995">
        <v>4.9800000000000004</v>
      </c>
      <c r="CF2995">
        <v>4.5599999999999996</v>
      </c>
      <c r="CG2995">
        <v>31.03</v>
      </c>
      <c r="CH2995">
        <v>5.27</v>
      </c>
      <c r="CI2995">
        <v>0.49</v>
      </c>
      <c r="CJ2995">
        <v>22631</v>
      </c>
      <c r="CK2995">
        <v>21458</v>
      </c>
      <c r="CL2995" t="s">
        <v>13143</v>
      </c>
      <c r="CM2995">
        <v>10.11</v>
      </c>
      <c r="CN2995">
        <v>-13.52</v>
      </c>
      <c r="CO2995">
        <v>1.46</v>
      </c>
      <c r="CP2995">
        <v>12.71</v>
      </c>
      <c r="CQ2995">
        <v>1.33</v>
      </c>
      <c r="CR2995">
        <v>3.11</v>
      </c>
      <c r="CS2995" t="s">
        <v>4752</v>
      </c>
      <c r="CT2995">
        <v>4.24</v>
      </c>
      <c r="CU2995">
        <v>0</v>
      </c>
      <c r="CV2995">
        <v>0.05</v>
      </c>
      <c r="CW2995">
        <v>2.87</v>
      </c>
      <c r="CX2995">
        <v>0.49</v>
      </c>
      <c r="CY2995">
        <v>66.81</v>
      </c>
      <c r="CZ2995" t="s">
        <v>13144</v>
      </c>
      <c r="DA2995">
        <v>21.38</v>
      </c>
      <c r="DB2995">
        <v>13.63</v>
      </c>
      <c r="DC2995">
        <v>9.8699999999999992</v>
      </c>
      <c r="DD2995">
        <v>1.37</v>
      </c>
      <c r="DE2995">
        <v>9455</v>
      </c>
      <c r="DF2995">
        <v>600987</v>
      </c>
      <c r="DG2995" t="s">
        <v>116</v>
      </c>
      <c r="DH2995" t="s">
        <v>116</v>
      </c>
      <c r="DI2995" t="s">
        <v>116</v>
      </c>
    </row>
    <row r="2996" spans="1:113" x14ac:dyDescent="0.4">
      <c r="A2996" t="str">
        <f>"600988"</f>
        <v>600988</v>
      </c>
      <c r="B2996" t="s">
        <v>13145</v>
      </c>
      <c r="C2996">
        <v>1.05</v>
      </c>
      <c r="D2996">
        <v>4.8099999999999996</v>
      </c>
      <c r="E2996">
        <v>0.05</v>
      </c>
      <c r="F2996">
        <v>4.8099999999999996</v>
      </c>
      <c r="G2996">
        <v>4.82</v>
      </c>
      <c r="H2996">
        <v>1038292</v>
      </c>
      <c r="I2996">
        <v>6748</v>
      </c>
      <c r="J2996">
        <v>0.42</v>
      </c>
      <c r="K2996">
        <v>7.28</v>
      </c>
      <c r="L2996">
        <v>4.7699999999999996</v>
      </c>
      <c r="M2996">
        <v>4.97</v>
      </c>
      <c r="N2996">
        <v>4.7699999999999996</v>
      </c>
      <c r="O2996">
        <v>4.76</v>
      </c>
      <c r="P2996">
        <v>41.33</v>
      </c>
      <c r="Q2996">
        <v>504471456</v>
      </c>
      <c r="R2996">
        <v>1.91</v>
      </c>
      <c r="S2996" t="s">
        <v>871</v>
      </c>
      <c r="T2996" t="s">
        <v>796</v>
      </c>
      <c r="U2996">
        <v>4.2</v>
      </c>
      <c r="V2996">
        <v>4.8600000000000003</v>
      </c>
      <c r="W2996">
        <v>448365</v>
      </c>
      <c r="X2996">
        <v>589927</v>
      </c>
      <c r="Y2996">
        <v>0.76</v>
      </c>
      <c r="Z2996">
        <v>3768</v>
      </c>
      <c r="AA2996">
        <v>2791</v>
      </c>
      <c r="AB2996" t="s">
        <v>116</v>
      </c>
      <c r="AC2996">
        <v>3317800</v>
      </c>
      <c r="AD2996">
        <v>0.08</v>
      </c>
      <c r="AE2996" t="s">
        <v>116</v>
      </c>
      <c r="AF2996" t="s">
        <v>116</v>
      </c>
      <c r="AG2996">
        <v>14.26</v>
      </c>
      <c r="AH2996" t="s">
        <v>13146</v>
      </c>
      <c r="AI2996" t="s">
        <v>13147</v>
      </c>
      <c r="AJ2996">
        <v>1.1299999999999999</v>
      </c>
      <c r="AK2996">
        <v>4498</v>
      </c>
      <c r="AL2996">
        <v>231</v>
      </c>
      <c r="AM2996">
        <v>1.6000000000000001E-3</v>
      </c>
      <c r="AN2996">
        <v>4</v>
      </c>
      <c r="AO2996">
        <v>3.45</v>
      </c>
      <c r="AP2996">
        <v>5.48</v>
      </c>
      <c r="AQ2996">
        <v>-1.64</v>
      </c>
      <c r="AR2996">
        <v>20.55</v>
      </c>
      <c r="AS2996">
        <v>11.36</v>
      </c>
      <c r="AT2996" t="s">
        <v>9806</v>
      </c>
      <c r="AU2996" t="s">
        <v>116</v>
      </c>
      <c r="AV2996" t="s">
        <v>116</v>
      </c>
      <c r="AW2996">
        <v>0.6</v>
      </c>
      <c r="BA2996">
        <v>0.21</v>
      </c>
      <c r="BB2996">
        <v>4.41</v>
      </c>
      <c r="BC2996">
        <v>0.21</v>
      </c>
      <c r="BD2996">
        <v>2.0699999999999998</v>
      </c>
      <c r="BE2996">
        <v>0.84</v>
      </c>
      <c r="BF2996">
        <v>-3.22</v>
      </c>
      <c r="BG2996">
        <v>0.84</v>
      </c>
      <c r="BH2996">
        <v>-1.02</v>
      </c>
      <c r="BI2996">
        <v>20191114</v>
      </c>
      <c r="BJ2996">
        <v>20040414</v>
      </c>
      <c r="BK2996">
        <v>15.55</v>
      </c>
      <c r="BL2996" t="s">
        <v>116</v>
      </c>
      <c r="BM2996" t="s">
        <v>116</v>
      </c>
      <c r="BN2996">
        <v>78.709999999999994</v>
      </c>
      <c r="BO2996">
        <v>27.01</v>
      </c>
      <c r="BP2996">
        <v>3.39</v>
      </c>
      <c r="BQ2996">
        <v>61.38</v>
      </c>
      <c r="BR2996">
        <v>32.46</v>
      </c>
      <c r="BS2996">
        <v>27.97</v>
      </c>
      <c r="BT2996">
        <v>7.63</v>
      </c>
      <c r="BU2996">
        <v>16.14</v>
      </c>
      <c r="BV2996">
        <v>23.03</v>
      </c>
      <c r="BW2996">
        <v>0.6</v>
      </c>
      <c r="BX2996">
        <v>2.19</v>
      </c>
      <c r="BY2996">
        <v>43.42</v>
      </c>
      <c r="BZ2996">
        <v>33.229999999999997</v>
      </c>
      <c r="CA2996">
        <v>2.0299999999999998</v>
      </c>
      <c r="CB2996">
        <v>-0.11</v>
      </c>
      <c r="CC2996">
        <v>1.97</v>
      </c>
      <c r="CD2996">
        <v>1.67</v>
      </c>
      <c r="CE2996">
        <v>1.36</v>
      </c>
      <c r="CF2996">
        <v>1.36</v>
      </c>
      <c r="CG2996">
        <v>12.41</v>
      </c>
      <c r="CH2996">
        <v>5.76</v>
      </c>
      <c r="CI2996">
        <v>0.9</v>
      </c>
      <c r="CJ2996">
        <v>115734</v>
      </c>
      <c r="CK2996">
        <v>7899</v>
      </c>
      <c r="CL2996" t="s">
        <v>1800</v>
      </c>
      <c r="CM2996">
        <v>60.26</v>
      </c>
      <c r="CN2996">
        <v>183.5</v>
      </c>
      <c r="CO2996">
        <v>2.54</v>
      </c>
      <c r="CP2996">
        <v>12.99</v>
      </c>
      <c r="CQ2996">
        <v>1.72</v>
      </c>
      <c r="CR2996">
        <v>0</v>
      </c>
      <c r="CS2996" t="s">
        <v>2448</v>
      </c>
      <c r="CT2996">
        <v>1.89</v>
      </c>
      <c r="CU2996">
        <v>1.89</v>
      </c>
      <c r="CV2996">
        <v>0.14000000000000001</v>
      </c>
      <c r="CW2996">
        <v>0.8</v>
      </c>
      <c r="CX2996">
        <v>0.37</v>
      </c>
      <c r="CY2996">
        <v>34.31</v>
      </c>
      <c r="CZ2996" t="s">
        <v>3510</v>
      </c>
      <c r="DA2996">
        <v>23.46</v>
      </c>
      <c r="DB2996">
        <v>4.68</v>
      </c>
      <c r="DC2996">
        <v>3.13</v>
      </c>
      <c r="DD2996">
        <v>0.48</v>
      </c>
      <c r="DE2996">
        <v>3546</v>
      </c>
      <c r="DF2996">
        <v>600988</v>
      </c>
      <c r="DG2996" t="s">
        <v>116</v>
      </c>
      <c r="DH2996" t="s">
        <v>116</v>
      </c>
      <c r="DI2996" t="s">
        <v>116</v>
      </c>
    </row>
    <row r="2997" spans="1:113" x14ac:dyDescent="0.4">
      <c r="A2997" t="str">
        <f>"600989"</f>
        <v>600989</v>
      </c>
      <c r="B2997" t="s">
        <v>13148</v>
      </c>
      <c r="C2997">
        <v>0.43</v>
      </c>
      <c r="D2997">
        <v>9.42</v>
      </c>
      <c r="E2997">
        <v>0.04</v>
      </c>
      <c r="F2997">
        <v>9.41</v>
      </c>
      <c r="G2997">
        <v>9.42</v>
      </c>
      <c r="H2997">
        <v>121878</v>
      </c>
      <c r="I2997">
        <v>1738</v>
      </c>
      <c r="J2997">
        <v>0.11</v>
      </c>
      <c r="K2997">
        <v>1.66</v>
      </c>
      <c r="L2997">
        <v>9.3800000000000008</v>
      </c>
      <c r="M2997">
        <v>9.5500000000000007</v>
      </c>
      <c r="N2997">
        <v>9.3699999999999992</v>
      </c>
      <c r="O2997">
        <v>9.3800000000000008</v>
      </c>
      <c r="P2997">
        <v>18.29</v>
      </c>
      <c r="Q2997">
        <v>115161952</v>
      </c>
      <c r="R2997">
        <v>1.33</v>
      </c>
      <c r="S2997" t="s">
        <v>891</v>
      </c>
      <c r="T2997" t="s">
        <v>1147</v>
      </c>
      <c r="U2997">
        <v>1.92</v>
      </c>
      <c r="V2997">
        <v>9.4499999999999993</v>
      </c>
      <c r="W2997">
        <v>59163</v>
      </c>
      <c r="X2997">
        <v>62715</v>
      </c>
      <c r="Y2997">
        <v>0.94</v>
      </c>
      <c r="Z2997">
        <v>1536</v>
      </c>
      <c r="AA2997">
        <v>91</v>
      </c>
      <c r="AB2997" t="s">
        <v>116</v>
      </c>
      <c r="AC2997">
        <v>128500</v>
      </c>
      <c r="AD2997">
        <v>0</v>
      </c>
      <c r="AE2997" t="s">
        <v>116</v>
      </c>
      <c r="AF2997" t="s">
        <v>116</v>
      </c>
      <c r="AG2997">
        <v>7.33</v>
      </c>
      <c r="AH2997" t="s">
        <v>3624</v>
      </c>
      <c r="AI2997" t="s">
        <v>13149</v>
      </c>
      <c r="AJ2997">
        <v>0.5</v>
      </c>
      <c r="AK2997">
        <v>2365</v>
      </c>
      <c r="AL2997">
        <v>52</v>
      </c>
      <c r="AM2997">
        <v>6.9999999999999999E-4</v>
      </c>
      <c r="AN2997">
        <v>2</v>
      </c>
      <c r="AO2997">
        <v>-0.11</v>
      </c>
      <c r="AP2997">
        <v>0</v>
      </c>
      <c r="AQ2997">
        <v>-5.89</v>
      </c>
      <c r="AR2997">
        <v>-13.1</v>
      </c>
      <c r="AS2997">
        <v>1.66</v>
      </c>
      <c r="AT2997" t="s">
        <v>3624</v>
      </c>
      <c r="AU2997">
        <v>16.68</v>
      </c>
      <c r="AV2997">
        <v>18.690000000000001</v>
      </c>
      <c r="AW2997">
        <v>1.23</v>
      </c>
      <c r="BA2997">
        <v>0</v>
      </c>
      <c r="BB2997">
        <v>1.81</v>
      </c>
      <c r="BC2997">
        <v>-0.11</v>
      </c>
      <c r="BD2997">
        <v>0.73</v>
      </c>
      <c r="BE2997">
        <v>0.43</v>
      </c>
      <c r="BF2997">
        <v>-1.36</v>
      </c>
      <c r="BG2997">
        <v>0.53</v>
      </c>
      <c r="BH2997">
        <v>-0.31</v>
      </c>
      <c r="BI2997">
        <v>20191025</v>
      </c>
      <c r="BJ2997">
        <v>20190516</v>
      </c>
      <c r="BK2997">
        <v>73.33</v>
      </c>
      <c r="BL2997" t="s">
        <v>116</v>
      </c>
      <c r="BM2997" t="s">
        <v>116</v>
      </c>
      <c r="BN2997">
        <v>352.16</v>
      </c>
      <c r="BO2997">
        <v>224.55</v>
      </c>
      <c r="BP2997">
        <v>0</v>
      </c>
      <c r="BQ2997">
        <v>36.24</v>
      </c>
      <c r="BR2997">
        <v>61.48</v>
      </c>
      <c r="BS2997">
        <v>147.82</v>
      </c>
      <c r="BT2997">
        <v>32.29</v>
      </c>
      <c r="BU2997">
        <v>84.23</v>
      </c>
      <c r="BV2997">
        <v>7.31</v>
      </c>
      <c r="BW2997">
        <v>0.17</v>
      </c>
      <c r="BX2997">
        <v>72.680000000000007</v>
      </c>
      <c r="BY2997">
        <v>97.47</v>
      </c>
      <c r="BZ2997">
        <v>54.05</v>
      </c>
      <c r="CA2997">
        <v>33.26</v>
      </c>
      <c r="CB2997">
        <v>0</v>
      </c>
      <c r="CC2997">
        <v>32.840000000000003</v>
      </c>
      <c r="CD2997">
        <v>28.33</v>
      </c>
      <c r="CE2997">
        <v>28.33</v>
      </c>
      <c r="CF2997">
        <v>27.73</v>
      </c>
      <c r="CG2997">
        <v>70.260000000000005</v>
      </c>
      <c r="CH2997">
        <v>23.51</v>
      </c>
      <c r="CI2997">
        <v>32.22</v>
      </c>
      <c r="CJ2997">
        <v>225509</v>
      </c>
      <c r="CK2997">
        <v>3252</v>
      </c>
      <c r="CL2997" t="s">
        <v>929</v>
      </c>
      <c r="CM2997">
        <v>0</v>
      </c>
      <c r="CN2997">
        <v>0</v>
      </c>
      <c r="CO2997">
        <v>3.08</v>
      </c>
      <c r="CP2997">
        <v>29.39</v>
      </c>
      <c r="CQ2997">
        <v>7.09</v>
      </c>
      <c r="CR2997">
        <v>2.97</v>
      </c>
      <c r="CS2997" t="s">
        <v>335</v>
      </c>
      <c r="CT2997">
        <v>3.06</v>
      </c>
      <c r="CU2997">
        <v>0</v>
      </c>
      <c r="CV2997">
        <v>0.99</v>
      </c>
      <c r="CW2997">
        <v>0.96</v>
      </c>
      <c r="CX2997">
        <v>0.32</v>
      </c>
      <c r="CY2997">
        <v>63.76</v>
      </c>
      <c r="CZ2997" t="s">
        <v>7020</v>
      </c>
      <c r="DA2997">
        <v>44.54</v>
      </c>
      <c r="DB2997">
        <v>34.119999999999997</v>
      </c>
      <c r="DC2997">
        <v>29.06</v>
      </c>
      <c r="DD2997">
        <v>0.46</v>
      </c>
      <c r="DE2997">
        <v>10936</v>
      </c>
      <c r="DF2997">
        <v>600989</v>
      </c>
      <c r="DG2997" t="s">
        <v>116</v>
      </c>
      <c r="DH2997" t="s">
        <v>116</v>
      </c>
      <c r="DI2997" t="s">
        <v>116</v>
      </c>
    </row>
    <row r="2998" spans="1:113" x14ac:dyDescent="0.4">
      <c r="A2998" t="str">
        <f>"600990"</f>
        <v>600990</v>
      </c>
      <c r="B2998" t="s">
        <v>13150</v>
      </c>
      <c r="C2998">
        <v>-1.7</v>
      </c>
      <c r="D2998">
        <v>44.43</v>
      </c>
      <c r="E2998">
        <v>-0.77</v>
      </c>
      <c r="F2998">
        <v>44.43</v>
      </c>
      <c r="G2998">
        <v>44.44</v>
      </c>
      <c r="H2998">
        <v>14918</v>
      </c>
      <c r="I2998">
        <v>87</v>
      </c>
      <c r="J2998">
        <v>-0.03</v>
      </c>
      <c r="K2998">
        <v>1.0900000000000001</v>
      </c>
      <c r="L2998">
        <v>45.2</v>
      </c>
      <c r="M2998">
        <v>45.68</v>
      </c>
      <c r="N2998">
        <v>44.43</v>
      </c>
      <c r="O2998">
        <v>45.2</v>
      </c>
      <c r="P2998" t="s">
        <v>116</v>
      </c>
      <c r="Q2998">
        <v>67265152</v>
      </c>
      <c r="R2998">
        <v>1.32</v>
      </c>
      <c r="S2998" t="s">
        <v>465</v>
      </c>
      <c r="T2998" t="s">
        <v>575</v>
      </c>
      <c r="U2998">
        <v>2.77</v>
      </c>
      <c r="V2998">
        <v>45.09</v>
      </c>
      <c r="W2998">
        <v>6990</v>
      </c>
      <c r="X2998">
        <v>7928</v>
      </c>
      <c r="Y2998">
        <v>0.88</v>
      </c>
      <c r="Z2998">
        <v>29</v>
      </c>
      <c r="AA2998">
        <v>62</v>
      </c>
      <c r="AB2998" t="s">
        <v>116</v>
      </c>
      <c r="AC2998">
        <v>54200</v>
      </c>
      <c r="AD2998">
        <v>0</v>
      </c>
      <c r="AE2998" t="s">
        <v>116</v>
      </c>
      <c r="AF2998" t="s">
        <v>116</v>
      </c>
      <c r="AG2998">
        <v>1.37</v>
      </c>
      <c r="AH2998" t="s">
        <v>13151</v>
      </c>
      <c r="AI2998" t="s">
        <v>11874</v>
      </c>
      <c r="AJ2998">
        <v>-1.63</v>
      </c>
      <c r="AK2998">
        <v>1829</v>
      </c>
      <c r="AL2998">
        <v>8</v>
      </c>
      <c r="AM2998">
        <v>5.9999999999999995E-4</v>
      </c>
      <c r="AN2998">
        <v>-1</v>
      </c>
      <c r="AO2998">
        <v>-0.34</v>
      </c>
      <c r="AP2998">
        <v>6.29</v>
      </c>
      <c r="AQ2998">
        <v>-12.56</v>
      </c>
      <c r="AR2998">
        <v>30.22</v>
      </c>
      <c r="AS2998">
        <v>1.86</v>
      </c>
      <c r="AT2998" t="s">
        <v>13152</v>
      </c>
      <c r="AU2998">
        <v>37.29</v>
      </c>
      <c r="AV2998">
        <v>27.49</v>
      </c>
      <c r="AW2998">
        <v>1.24</v>
      </c>
      <c r="BA2998">
        <v>0</v>
      </c>
      <c r="BB2998">
        <v>1.06</v>
      </c>
      <c r="BC2998">
        <v>-1.7</v>
      </c>
      <c r="BD2998">
        <v>-0.25</v>
      </c>
      <c r="BE2998">
        <v>-1.7</v>
      </c>
      <c r="BF2998">
        <v>-2.74</v>
      </c>
      <c r="BG2998">
        <v>0</v>
      </c>
      <c r="BH2998">
        <v>-1.46</v>
      </c>
      <c r="BI2998">
        <v>20191026</v>
      </c>
      <c r="BJ2998">
        <v>20040510</v>
      </c>
      <c r="BK2998">
        <v>1.59</v>
      </c>
      <c r="BL2998" t="s">
        <v>116</v>
      </c>
      <c r="BM2998" t="s">
        <v>116</v>
      </c>
      <c r="BN2998">
        <v>71.540000000000006</v>
      </c>
      <c r="BO2998">
        <v>22.9</v>
      </c>
      <c r="BP2998">
        <v>0.23</v>
      </c>
      <c r="BQ2998">
        <v>67.67</v>
      </c>
      <c r="BR2998">
        <v>44.76</v>
      </c>
      <c r="BS2998">
        <v>7.96</v>
      </c>
      <c r="BT2998">
        <v>2.7</v>
      </c>
      <c r="BU2998">
        <v>43.3</v>
      </c>
      <c r="BV2998">
        <v>18.43</v>
      </c>
      <c r="BW2998">
        <v>17.27</v>
      </c>
      <c r="BX2998">
        <v>9.11</v>
      </c>
      <c r="BY2998">
        <v>15.15</v>
      </c>
      <c r="BZ2998">
        <v>12.72</v>
      </c>
      <c r="CA2998">
        <v>-0.75</v>
      </c>
      <c r="CB2998">
        <v>0</v>
      </c>
      <c r="CC2998">
        <v>-0.75</v>
      </c>
      <c r="CD2998">
        <v>-0.69</v>
      </c>
      <c r="CE2998">
        <v>-0.72</v>
      </c>
      <c r="CF2998">
        <v>-0.89</v>
      </c>
      <c r="CG2998">
        <v>10.66</v>
      </c>
      <c r="CH2998">
        <v>-5.71</v>
      </c>
      <c r="CI2998">
        <v>-7.39</v>
      </c>
      <c r="CJ2998">
        <v>16797</v>
      </c>
      <c r="CK2998">
        <v>4784</v>
      </c>
      <c r="CL2998" t="s">
        <v>13153</v>
      </c>
      <c r="CM2998">
        <v>-1433.87</v>
      </c>
      <c r="CN2998">
        <v>-26.27</v>
      </c>
      <c r="CO2998">
        <v>3.09</v>
      </c>
      <c r="CP2998">
        <v>-12.39</v>
      </c>
      <c r="CQ2998">
        <v>4.67</v>
      </c>
      <c r="CR2998">
        <v>0.38</v>
      </c>
      <c r="CS2998" t="s">
        <v>13154</v>
      </c>
      <c r="CT2998">
        <v>14.39</v>
      </c>
      <c r="CU2998">
        <v>0</v>
      </c>
      <c r="CV2998">
        <v>5.72</v>
      </c>
      <c r="CW2998">
        <v>6.7</v>
      </c>
      <c r="CX2998">
        <v>-3.59</v>
      </c>
      <c r="CY2998">
        <v>32.01</v>
      </c>
      <c r="CZ2998" t="s">
        <v>13155</v>
      </c>
      <c r="DA2998">
        <v>16.07</v>
      </c>
      <c r="DB2998">
        <v>-4.97</v>
      </c>
      <c r="DC2998">
        <v>-4.78</v>
      </c>
      <c r="DD2998">
        <v>0.34</v>
      </c>
      <c r="DE2998">
        <v>3598</v>
      </c>
      <c r="DF2998">
        <v>600990</v>
      </c>
      <c r="DG2998" t="s">
        <v>116</v>
      </c>
      <c r="DH2998" t="s">
        <v>116</v>
      </c>
      <c r="DI2998" t="s">
        <v>116</v>
      </c>
    </row>
    <row r="2999" spans="1:113" x14ac:dyDescent="0.4">
      <c r="A2999" t="str">
        <f>"600992"</f>
        <v>600992</v>
      </c>
      <c r="B2999" t="s">
        <v>13156</v>
      </c>
      <c r="C2999">
        <v>-1.01</v>
      </c>
      <c r="D2999">
        <v>6.83</v>
      </c>
      <c r="E2999">
        <v>-7.0000000000000007E-2</v>
      </c>
      <c r="F2999">
        <v>6.82</v>
      </c>
      <c r="G2999">
        <v>6.83</v>
      </c>
      <c r="H2999">
        <v>16497</v>
      </c>
      <c r="I2999">
        <v>338</v>
      </c>
      <c r="J2999">
        <v>-0.14000000000000001</v>
      </c>
      <c r="K2999">
        <v>0.67</v>
      </c>
      <c r="L2999">
        <v>6.89</v>
      </c>
      <c r="M2999">
        <v>6.94</v>
      </c>
      <c r="N2999">
        <v>6.82</v>
      </c>
      <c r="O2999">
        <v>6.9</v>
      </c>
      <c r="P2999">
        <v>64.790000000000006</v>
      </c>
      <c r="Q2999">
        <v>11342604</v>
      </c>
      <c r="R2999">
        <v>0.98</v>
      </c>
      <c r="S2999" t="s">
        <v>2118</v>
      </c>
      <c r="T2999" t="s">
        <v>1056</v>
      </c>
      <c r="U2999">
        <v>1.74</v>
      </c>
      <c r="V2999">
        <v>6.88</v>
      </c>
      <c r="W2999">
        <v>10223</v>
      </c>
      <c r="X2999">
        <v>6274</v>
      </c>
      <c r="Y2999">
        <v>1.63</v>
      </c>
      <c r="Z2999">
        <v>361</v>
      </c>
      <c r="AA2999">
        <v>36</v>
      </c>
      <c r="AB2999" t="s">
        <v>116</v>
      </c>
      <c r="AC2999">
        <v>700</v>
      </c>
      <c r="AD2999">
        <v>0</v>
      </c>
      <c r="AE2999" t="s">
        <v>116</v>
      </c>
      <c r="AF2999" t="s">
        <v>116</v>
      </c>
      <c r="AG2999">
        <v>2.4500000000000002</v>
      </c>
      <c r="AH2999" t="s">
        <v>9650</v>
      </c>
      <c r="AI2999" t="s">
        <v>9650</v>
      </c>
      <c r="AJ2999">
        <v>-0.94</v>
      </c>
      <c r="AK2999">
        <v>570</v>
      </c>
      <c r="AL2999">
        <v>29</v>
      </c>
      <c r="AM2999">
        <v>1.1999999999999999E-3</v>
      </c>
      <c r="AN2999">
        <v>-1</v>
      </c>
      <c r="AO2999">
        <v>0.89</v>
      </c>
      <c r="AP2999">
        <v>4.59</v>
      </c>
      <c r="AQ2999">
        <v>-4.6100000000000003</v>
      </c>
      <c r="AR2999">
        <v>-0.87</v>
      </c>
      <c r="AS2999">
        <v>0.96</v>
      </c>
      <c r="AT2999" t="s">
        <v>11151</v>
      </c>
      <c r="AU2999">
        <v>59.88</v>
      </c>
      <c r="AV2999">
        <v>65.36</v>
      </c>
      <c r="AW2999">
        <v>1.27</v>
      </c>
      <c r="BA2999">
        <v>-0.14000000000000001</v>
      </c>
      <c r="BB2999">
        <v>0.57999999999999996</v>
      </c>
      <c r="BC2999">
        <v>-1.1599999999999999</v>
      </c>
      <c r="BD2999">
        <v>-0.35</v>
      </c>
      <c r="BE2999">
        <v>-0.87</v>
      </c>
      <c r="BF2999">
        <v>-1.59</v>
      </c>
      <c r="BG2999">
        <v>0.15</v>
      </c>
      <c r="BH2999">
        <v>-0.66</v>
      </c>
      <c r="BI2999">
        <v>20191030</v>
      </c>
      <c r="BJ2999">
        <v>20040514</v>
      </c>
      <c r="BK2999">
        <v>2.4500000000000002</v>
      </c>
      <c r="BL2999" t="s">
        <v>116</v>
      </c>
      <c r="BM2999" t="s">
        <v>116</v>
      </c>
      <c r="BN2999">
        <v>25.72</v>
      </c>
      <c r="BO2999">
        <v>14.04</v>
      </c>
      <c r="BP2999">
        <v>0</v>
      </c>
      <c r="BQ2999">
        <v>45.4</v>
      </c>
      <c r="BR2999">
        <v>17.579999999999998</v>
      </c>
      <c r="BS2999">
        <v>2.09</v>
      </c>
      <c r="BT2999">
        <v>1.48</v>
      </c>
      <c r="BU2999">
        <v>10.220000000000001</v>
      </c>
      <c r="BV2999">
        <v>3.32</v>
      </c>
      <c r="BW2999">
        <v>3.14</v>
      </c>
      <c r="BX2999">
        <v>8.4</v>
      </c>
      <c r="BY2999">
        <v>16.75</v>
      </c>
      <c r="BZ2999">
        <v>14.71</v>
      </c>
      <c r="CA2999">
        <v>0.23</v>
      </c>
      <c r="CB2999">
        <v>0.08</v>
      </c>
      <c r="CC2999">
        <v>0.23</v>
      </c>
      <c r="CD2999">
        <v>0.19</v>
      </c>
      <c r="CE2999">
        <v>0.19</v>
      </c>
      <c r="CF2999">
        <v>0.11</v>
      </c>
      <c r="CG2999">
        <v>2.5099999999999998</v>
      </c>
      <c r="CH2999">
        <v>0.49</v>
      </c>
      <c r="CI2999">
        <v>0.02</v>
      </c>
      <c r="CJ2999">
        <v>15705</v>
      </c>
      <c r="CK2999">
        <v>10985</v>
      </c>
      <c r="CL2999" t="s">
        <v>5440</v>
      </c>
      <c r="CM2999">
        <v>13.76</v>
      </c>
      <c r="CN2999">
        <v>8.6199999999999992</v>
      </c>
      <c r="CO2999">
        <v>1.19</v>
      </c>
      <c r="CP2999">
        <v>34.020000000000003</v>
      </c>
      <c r="CQ2999">
        <v>1</v>
      </c>
      <c r="CR2999">
        <v>0.44</v>
      </c>
      <c r="CS2999" t="s">
        <v>4027</v>
      </c>
      <c r="CT2999">
        <v>5.73</v>
      </c>
      <c r="CU2999">
        <v>0</v>
      </c>
      <c r="CV2999">
        <v>3.43</v>
      </c>
      <c r="CW2999">
        <v>1.03</v>
      </c>
      <c r="CX2999">
        <v>0.2</v>
      </c>
      <c r="CY2999">
        <v>54.6</v>
      </c>
      <c r="CZ2999" t="s">
        <v>12223</v>
      </c>
      <c r="DA2999">
        <v>12.18</v>
      </c>
      <c r="DB2999">
        <v>1.35</v>
      </c>
      <c r="DC2999">
        <v>1.1599999999999999</v>
      </c>
      <c r="DD2999">
        <v>0.06</v>
      </c>
      <c r="DE2999">
        <v>3950</v>
      </c>
      <c r="DF2999">
        <v>600992</v>
      </c>
      <c r="DG2999" t="s">
        <v>116</v>
      </c>
      <c r="DH2999" t="s">
        <v>116</v>
      </c>
      <c r="DI2999" t="s">
        <v>116</v>
      </c>
    </row>
    <row r="3000" spans="1:113" x14ac:dyDescent="0.4">
      <c r="A3000" t="str">
        <f>"600993"</f>
        <v>600993</v>
      </c>
      <c r="B3000" t="s">
        <v>13157</v>
      </c>
      <c r="C3000">
        <v>-0.41</v>
      </c>
      <c r="D3000">
        <v>17.170000000000002</v>
      </c>
      <c r="E3000">
        <v>-7.0000000000000007E-2</v>
      </c>
      <c r="F3000">
        <v>17.170000000000002</v>
      </c>
      <c r="G3000">
        <v>17.18</v>
      </c>
      <c r="H3000">
        <v>43277</v>
      </c>
      <c r="I3000">
        <v>330</v>
      </c>
      <c r="J3000">
        <v>0</v>
      </c>
      <c r="K3000">
        <v>1.01</v>
      </c>
      <c r="L3000">
        <v>17.21</v>
      </c>
      <c r="M3000">
        <v>17.27</v>
      </c>
      <c r="N3000">
        <v>17.16</v>
      </c>
      <c r="O3000">
        <v>17.239999999999998</v>
      </c>
      <c r="P3000">
        <v>18.93</v>
      </c>
      <c r="Q3000">
        <v>74470712</v>
      </c>
      <c r="R3000">
        <v>1.2</v>
      </c>
      <c r="S3000" t="s">
        <v>781</v>
      </c>
      <c r="T3000" t="s">
        <v>774</v>
      </c>
      <c r="U3000">
        <v>0.64</v>
      </c>
      <c r="V3000">
        <v>17.21</v>
      </c>
      <c r="W3000">
        <v>23697</v>
      </c>
      <c r="X3000">
        <v>19580</v>
      </c>
      <c r="Y3000">
        <v>1.21</v>
      </c>
      <c r="Z3000">
        <v>20</v>
      </c>
      <c r="AA3000">
        <v>103</v>
      </c>
      <c r="AB3000" t="s">
        <v>116</v>
      </c>
      <c r="AC3000">
        <v>191000</v>
      </c>
      <c r="AD3000">
        <v>0</v>
      </c>
      <c r="AE3000" t="s">
        <v>116</v>
      </c>
      <c r="AF3000" t="s">
        <v>116</v>
      </c>
      <c r="AG3000">
        <v>4.3</v>
      </c>
      <c r="AH3000" t="s">
        <v>13158</v>
      </c>
      <c r="AI3000" t="s">
        <v>13159</v>
      </c>
      <c r="AJ3000">
        <v>-0.33</v>
      </c>
      <c r="AK3000">
        <v>1616</v>
      </c>
      <c r="AL3000">
        <v>27</v>
      </c>
      <c r="AM3000">
        <v>5.9999999999999995E-4</v>
      </c>
      <c r="AN3000">
        <v>-1</v>
      </c>
      <c r="AO3000">
        <v>-0.35</v>
      </c>
      <c r="AP3000">
        <v>0.23</v>
      </c>
      <c r="AQ3000">
        <v>2.14</v>
      </c>
      <c r="AR3000">
        <v>29.39</v>
      </c>
      <c r="AS3000">
        <v>1.55</v>
      </c>
      <c r="AT3000" t="s">
        <v>2486</v>
      </c>
      <c r="AU3000">
        <v>21.22</v>
      </c>
      <c r="AV3000">
        <v>42</v>
      </c>
      <c r="AW3000">
        <v>0.69</v>
      </c>
      <c r="BA3000">
        <v>-0.17</v>
      </c>
      <c r="BB3000">
        <v>0.17</v>
      </c>
      <c r="BC3000">
        <v>-0.46</v>
      </c>
      <c r="BD3000">
        <v>-0.19</v>
      </c>
      <c r="BE3000">
        <v>-0.23</v>
      </c>
      <c r="BF3000">
        <v>-0.57999999999999996</v>
      </c>
      <c r="BG3000">
        <v>0.06</v>
      </c>
      <c r="BH3000">
        <v>-0.22</v>
      </c>
      <c r="BI3000">
        <v>20191119</v>
      </c>
      <c r="BJ3000">
        <v>20040517</v>
      </c>
      <c r="BK3000">
        <v>4.3099999999999996</v>
      </c>
      <c r="BL3000" t="s">
        <v>116</v>
      </c>
      <c r="BM3000" t="s">
        <v>116</v>
      </c>
      <c r="BN3000">
        <v>33.090000000000003</v>
      </c>
      <c r="BO3000">
        <v>24.95</v>
      </c>
      <c r="BP3000">
        <v>0.84</v>
      </c>
      <c r="BQ3000">
        <v>22.06</v>
      </c>
      <c r="BR3000">
        <v>26.38</v>
      </c>
      <c r="BS3000">
        <v>2.99</v>
      </c>
      <c r="BT3000">
        <v>0.12</v>
      </c>
      <c r="BU3000">
        <v>6.14</v>
      </c>
      <c r="BV3000">
        <v>3.33</v>
      </c>
      <c r="BW3000">
        <v>1.32</v>
      </c>
      <c r="BX3000">
        <v>1.22</v>
      </c>
      <c r="BY3000">
        <v>19.23</v>
      </c>
      <c r="BZ3000">
        <v>11.08</v>
      </c>
      <c r="CA3000">
        <v>3.43</v>
      </c>
      <c r="CB3000">
        <v>0.2</v>
      </c>
      <c r="CC3000">
        <v>3.42</v>
      </c>
      <c r="CD3000">
        <v>2.89</v>
      </c>
      <c r="CE3000">
        <v>2.93</v>
      </c>
      <c r="CF3000">
        <v>2.67</v>
      </c>
      <c r="CG3000">
        <v>16.41</v>
      </c>
      <c r="CH3000">
        <v>1.32</v>
      </c>
      <c r="CI3000">
        <v>-2.2999999999999998</v>
      </c>
      <c r="CJ3000">
        <v>39898</v>
      </c>
      <c r="CK3000">
        <v>6977</v>
      </c>
      <c r="CL3000" t="s">
        <v>4319</v>
      </c>
      <c r="CM3000">
        <v>143</v>
      </c>
      <c r="CN3000">
        <v>20.77</v>
      </c>
      <c r="CO3000">
        <v>2.97</v>
      </c>
      <c r="CP3000">
        <v>55.94</v>
      </c>
      <c r="CQ3000">
        <v>3.85</v>
      </c>
      <c r="CR3000">
        <v>0.87</v>
      </c>
      <c r="CS3000" t="s">
        <v>1945</v>
      </c>
      <c r="CT3000">
        <v>5.79</v>
      </c>
      <c r="CU3000">
        <v>0</v>
      </c>
      <c r="CV3000">
        <v>0.28000000000000003</v>
      </c>
      <c r="CW3000">
        <v>3.81</v>
      </c>
      <c r="CX3000">
        <v>0.31</v>
      </c>
      <c r="CY3000">
        <v>75.41</v>
      </c>
      <c r="CZ3000" t="s">
        <v>8045</v>
      </c>
      <c r="DA3000">
        <v>42.4</v>
      </c>
      <c r="DB3000">
        <v>17.82</v>
      </c>
      <c r="DC3000">
        <v>15.25</v>
      </c>
      <c r="DD3000">
        <v>0.37</v>
      </c>
      <c r="DE3000">
        <v>3164</v>
      </c>
      <c r="DF3000">
        <v>600993</v>
      </c>
      <c r="DG3000" t="s">
        <v>116</v>
      </c>
      <c r="DH3000" t="s">
        <v>116</v>
      </c>
      <c r="DI3000" t="s">
        <v>116</v>
      </c>
    </row>
    <row r="3001" spans="1:113" x14ac:dyDescent="0.4">
      <c r="A3001" t="str">
        <f>"600995"</f>
        <v>600995</v>
      </c>
      <c r="B3001" t="s">
        <v>13160</v>
      </c>
      <c r="C3001">
        <v>0</v>
      </c>
      <c r="D3001">
        <v>7.68</v>
      </c>
      <c r="E3001">
        <v>0</v>
      </c>
      <c r="F3001">
        <v>7.68</v>
      </c>
      <c r="G3001">
        <v>7.69</v>
      </c>
      <c r="H3001">
        <v>46668</v>
      </c>
      <c r="I3001">
        <v>564</v>
      </c>
      <c r="J3001">
        <v>0</v>
      </c>
      <c r="K3001">
        <v>0.98</v>
      </c>
      <c r="L3001">
        <v>7.68</v>
      </c>
      <c r="M3001">
        <v>7.77</v>
      </c>
      <c r="N3001">
        <v>7.66</v>
      </c>
      <c r="O3001">
        <v>7.68</v>
      </c>
      <c r="P3001">
        <v>7.21</v>
      </c>
      <c r="Q3001">
        <v>36005492</v>
      </c>
      <c r="R3001">
        <v>1.1200000000000001</v>
      </c>
      <c r="S3001" t="s">
        <v>1363</v>
      </c>
      <c r="T3001" t="s">
        <v>1043</v>
      </c>
      <c r="U3001">
        <v>1.43</v>
      </c>
      <c r="V3001">
        <v>7.72</v>
      </c>
      <c r="W3001">
        <v>26163</v>
      </c>
      <c r="X3001">
        <v>20505</v>
      </c>
      <c r="Y3001">
        <v>1.28</v>
      </c>
      <c r="Z3001">
        <v>207</v>
      </c>
      <c r="AA3001">
        <v>238</v>
      </c>
      <c r="AB3001" t="s">
        <v>116</v>
      </c>
      <c r="AC3001">
        <v>99100</v>
      </c>
      <c r="AD3001">
        <v>0</v>
      </c>
      <c r="AE3001" t="s">
        <v>116</v>
      </c>
      <c r="AF3001" t="s">
        <v>116</v>
      </c>
      <c r="AG3001">
        <v>4.79</v>
      </c>
      <c r="AH3001" t="s">
        <v>3473</v>
      </c>
      <c r="AI3001" t="s">
        <v>3473</v>
      </c>
      <c r="AJ3001">
        <v>0.08</v>
      </c>
      <c r="AK3001">
        <v>1270</v>
      </c>
      <c r="AL3001">
        <v>37</v>
      </c>
      <c r="AM3001">
        <v>8.0000000000000004E-4</v>
      </c>
      <c r="AN3001">
        <v>0</v>
      </c>
      <c r="AO3001">
        <v>0.27</v>
      </c>
      <c r="AP3001">
        <v>3.92</v>
      </c>
      <c r="AQ3001">
        <v>2.81</v>
      </c>
      <c r="AR3001">
        <v>19.809999999999999</v>
      </c>
      <c r="AS3001">
        <v>1.41</v>
      </c>
      <c r="AT3001" t="s">
        <v>3602</v>
      </c>
      <c r="AU3001">
        <v>10.51</v>
      </c>
      <c r="AV3001">
        <v>12.41</v>
      </c>
      <c r="AW3001">
        <v>1.05</v>
      </c>
      <c r="BA3001">
        <v>0</v>
      </c>
      <c r="BB3001">
        <v>1.17</v>
      </c>
      <c r="BC3001">
        <v>-0.26</v>
      </c>
      <c r="BD3001">
        <v>0.46</v>
      </c>
      <c r="BE3001">
        <v>0</v>
      </c>
      <c r="BF3001">
        <v>-1.1599999999999999</v>
      </c>
      <c r="BG3001">
        <v>0.26</v>
      </c>
      <c r="BH3001">
        <v>-0.46</v>
      </c>
      <c r="BI3001">
        <v>20191030</v>
      </c>
      <c r="BJ3001">
        <v>20040615</v>
      </c>
      <c r="BK3001">
        <v>4.79</v>
      </c>
      <c r="BL3001" t="s">
        <v>116</v>
      </c>
      <c r="BM3001" t="s">
        <v>116</v>
      </c>
      <c r="BN3001">
        <v>29.61</v>
      </c>
      <c r="BO3001">
        <v>22.37</v>
      </c>
      <c r="BP3001">
        <v>0</v>
      </c>
      <c r="BQ3001">
        <v>24.47</v>
      </c>
      <c r="BR3001">
        <v>6.46</v>
      </c>
      <c r="BS3001">
        <v>18.22</v>
      </c>
      <c r="BT3001">
        <v>0.62</v>
      </c>
      <c r="BU3001">
        <v>5.62</v>
      </c>
      <c r="BV3001">
        <v>0.22</v>
      </c>
      <c r="BW3001">
        <v>0.62</v>
      </c>
      <c r="BX3001">
        <v>1.56</v>
      </c>
      <c r="BY3001">
        <v>16.25</v>
      </c>
      <c r="BZ3001">
        <v>10.99</v>
      </c>
      <c r="CA3001">
        <v>4.43</v>
      </c>
      <c r="CB3001">
        <v>0.38</v>
      </c>
      <c r="CC3001">
        <v>4.4400000000000004</v>
      </c>
      <c r="CD3001">
        <v>3.82</v>
      </c>
      <c r="CE3001">
        <v>3.82</v>
      </c>
      <c r="CF3001">
        <v>3.76</v>
      </c>
      <c r="CG3001">
        <v>13.97</v>
      </c>
      <c r="CH3001">
        <v>4.97</v>
      </c>
      <c r="CI3001">
        <v>2.14</v>
      </c>
      <c r="CJ3001">
        <v>43532</v>
      </c>
      <c r="CK3001">
        <v>7622</v>
      </c>
      <c r="CL3001" t="s">
        <v>11115</v>
      </c>
      <c r="CM3001">
        <v>16.309999999999999</v>
      </c>
      <c r="CN3001">
        <v>5.78</v>
      </c>
      <c r="CO3001">
        <v>1.64</v>
      </c>
      <c r="CP3001">
        <v>7.39</v>
      </c>
      <c r="CQ3001">
        <v>2.2599999999999998</v>
      </c>
      <c r="CR3001">
        <v>2.6</v>
      </c>
      <c r="CS3001" t="s">
        <v>13161</v>
      </c>
      <c r="CT3001">
        <v>4.67</v>
      </c>
      <c r="CU3001">
        <v>0</v>
      </c>
      <c r="CV3001">
        <v>0.33</v>
      </c>
      <c r="CW3001">
        <v>2.92</v>
      </c>
      <c r="CX3001">
        <v>1.04</v>
      </c>
      <c r="CY3001">
        <v>75.53</v>
      </c>
      <c r="CZ3001" t="s">
        <v>9684</v>
      </c>
      <c r="DA3001">
        <v>32.369999999999997</v>
      </c>
      <c r="DB3001">
        <v>27.26</v>
      </c>
      <c r="DC3001">
        <v>23.52</v>
      </c>
      <c r="DD3001">
        <v>0</v>
      </c>
      <c r="DE3001">
        <v>2321</v>
      </c>
      <c r="DF3001">
        <v>600995</v>
      </c>
      <c r="DG3001" t="s">
        <v>116</v>
      </c>
      <c r="DH3001" t="s">
        <v>116</v>
      </c>
      <c r="DI3001" t="s">
        <v>116</v>
      </c>
    </row>
    <row r="3002" spans="1:113" x14ac:dyDescent="0.4">
      <c r="A3002" t="str">
        <f>"600996"</f>
        <v>600996</v>
      </c>
      <c r="B3002" t="s">
        <v>13162</v>
      </c>
      <c r="C3002">
        <v>-1.74</v>
      </c>
      <c r="D3002">
        <v>7.92</v>
      </c>
      <c r="E3002">
        <v>-0.14000000000000001</v>
      </c>
      <c r="F3002">
        <v>7.91</v>
      </c>
      <c r="G3002">
        <v>7.92</v>
      </c>
      <c r="H3002">
        <v>62982</v>
      </c>
      <c r="I3002">
        <v>573</v>
      </c>
      <c r="J3002">
        <v>0</v>
      </c>
      <c r="K3002">
        <v>0.6</v>
      </c>
      <c r="L3002">
        <v>8.07</v>
      </c>
      <c r="M3002">
        <v>8.15</v>
      </c>
      <c r="N3002">
        <v>7.92</v>
      </c>
      <c r="O3002">
        <v>8.06</v>
      </c>
      <c r="P3002">
        <v>36.57</v>
      </c>
      <c r="Q3002">
        <v>50695420</v>
      </c>
      <c r="R3002">
        <v>0.94</v>
      </c>
      <c r="S3002" t="s">
        <v>589</v>
      </c>
      <c r="T3002" t="s">
        <v>1056</v>
      </c>
      <c r="U3002">
        <v>2.85</v>
      </c>
      <c r="V3002">
        <v>8.0500000000000007</v>
      </c>
      <c r="W3002">
        <v>39612</v>
      </c>
      <c r="X3002">
        <v>23370</v>
      </c>
      <c r="Y3002">
        <v>1.69</v>
      </c>
      <c r="Z3002">
        <v>498</v>
      </c>
      <c r="AA3002">
        <v>485</v>
      </c>
      <c r="AB3002" t="s">
        <v>116</v>
      </c>
      <c r="AC3002">
        <v>301800</v>
      </c>
      <c r="AD3002">
        <v>0.01</v>
      </c>
      <c r="AE3002" t="s">
        <v>116</v>
      </c>
      <c r="AF3002" t="s">
        <v>116</v>
      </c>
      <c r="AG3002">
        <v>10.52</v>
      </c>
      <c r="AH3002" t="s">
        <v>8111</v>
      </c>
      <c r="AI3002" t="s">
        <v>8111</v>
      </c>
      <c r="AJ3002">
        <v>-1.66</v>
      </c>
      <c r="AK3002">
        <v>1579</v>
      </c>
      <c r="AL3002">
        <v>40</v>
      </c>
      <c r="AM3002">
        <v>4.0000000000000002E-4</v>
      </c>
      <c r="AN3002">
        <v>-1</v>
      </c>
      <c r="AO3002">
        <v>-0.25</v>
      </c>
      <c r="AP3002">
        <v>2.46</v>
      </c>
      <c r="AQ3002">
        <v>-15.57</v>
      </c>
      <c r="AR3002">
        <v>26.32</v>
      </c>
      <c r="AS3002">
        <v>1.74</v>
      </c>
      <c r="AT3002" t="s">
        <v>13163</v>
      </c>
      <c r="AU3002">
        <v>36.19</v>
      </c>
      <c r="AV3002">
        <v>26.72</v>
      </c>
      <c r="AW3002">
        <v>1.8</v>
      </c>
      <c r="BA3002">
        <v>0.12</v>
      </c>
      <c r="BB3002">
        <v>1.1200000000000001</v>
      </c>
      <c r="BC3002">
        <v>-1.74</v>
      </c>
      <c r="BD3002">
        <v>-0.13</v>
      </c>
      <c r="BE3002">
        <v>-1.86</v>
      </c>
      <c r="BF3002">
        <v>-2.82</v>
      </c>
      <c r="BG3002">
        <v>0</v>
      </c>
      <c r="BH3002">
        <v>-1.6</v>
      </c>
      <c r="BI3002">
        <v>20191226</v>
      </c>
      <c r="BJ3002">
        <v>20161226</v>
      </c>
      <c r="BK3002">
        <v>10.52</v>
      </c>
      <c r="BL3002" t="s">
        <v>116</v>
      </c>
      <c r="BM3002" t="s">
        <v>116</v>
      </c>
      <c r="BN3002">
        <v>140.36000000000001</v>
      </c>
      <c r="BO3002">
        <v>46.74</v>
      </c>
      <c r="BP3002">
        <v>0.78</v>
      </c>
      <c r="BQ3002">
        <v>66.14</v>
      </c>
      <c r="BR3002">
        <v>47.98</v>
      </c>
      <c r="BS3002">
        <v>54.62</v>
      </c>
      <c r="BT3002">
        <v>0.79</v>
      </c>
      <c r="BU3002">
        <v>53.28</v>
      </c>
      <c r="BV3002">
        <v>2.35</v>
      </c>
      <c r="BW3002">
        <v>21.14</v>
      </c>
      <c r="BX3002">
        <v>16.7</v>
      </c>
      <c r="BY3002">
        <v>21.85</v>
      </c>
      <c r="BZ3002">
        <v>14.97</v>
      </c>
      <c r="CA3002">
        <v>1.69</v>
      </c>
      <c r="CB3002">
        <v>0</v>
      </c>
      <c r="CC3002">
        <v>1.7</v>
      </c>
      <c r="CD3002">
        <v>1.69</v>
      </c>
      <c r="CE3002">
        <v>1.71</v>
      </c>
      <c r="CF3002">
        <v>1.31</v>
      </c>
      <c r="CG3002">
        <v>15.95</v>
      </c>
      <c r="CH3002">
        <v>0.52</v>
      </c>
      <c r="CI3002">
        <v>2</v>
      </c>
      <c r="CJ3002">
        <v>49354</v>
      </c>
      <c r="CK3002">
        <v>7314</v>
      </c>
      <c r="CL3002" t="s">
        <v>6903</v>
      </c>
      <c r="CM3002">
        <v>-32.32</v>
      </c>
      <c r="CN3002">
        <v>8.42</v>
      </c>
      <c r="CO3002">
        <v>1.84</v>
      </c>
      <c r="CP3002">
        <v>159.18</v>
      </c>
      <c r="CQ3002">
        <v>3.81</v>
      </c>
      <c r="CR3002">
        <v>1.1299999999999999</v>
      </c>
      <c r="CS3002" t="s">
        <v>7041</v>
      </c>
      <c r="CT3002">
        <v>4.3</v>
      </c>
      <c r="CU3002">
        <v>4.3</v>
      </c>
      <c r="CV3002">
        <v>1.59</v>
      </c>
      <c r="CW3002">
        <v>1.52</v>
      </c>
      <c r="CX3002">
        <v>0.05</v>
      </c>
      <c r="CY3002">
        <v>33.299999999999997</v>
      </c>
      <c r="CZ3002" t="s">
        <v>5753</v>
      </c>
      <c r="DA3002">
        <v>31.5</v>
      </c>
      <c r="DB3002">
        <v>7.75</v>
      </c>
      <c r="DC3002">
        <v>7.82</v>
      </c>
      <c r="DD3002">
        <v>1.1100000000000001</v>
      </c>
      <c r="DE3002">
        <v>6423</v>
      </c>
      <c r="DF3002">
        <v>600996</v>
      </c>
      <c r="DG3002" t="s">
        <v>116</v>
      </c>
      <c r="DH3002" t="s">
        <v>116</v>
      </c>
      <c r="DI3002" t="s">
        <v>116</v>
      </c>
    </row>
    <row r="3003" spans="1:113" x14ac:dyDescent="0.4">
      <c r="A3003" t="str">
        <f>"600997"</f>
        <v>600997</v>
      </c>
      <c r="B3003" t="s">
        <v>13164</v>
      </c>
      <c r="C3003">
        <v>0.56999999999999995</v>
      </c>
      <c r="D3003">
        <v>5.32</v>
      </c>
      <c r="E3003">
        <v>0.03</v>
      </c>
      <c r="F3003">
        <v>5.31</v>
      </c>
      <c r="G3003">
        <v>5.32</v>
      </c>
      <c r="H3003">
        <v>128558</v>
      </c>
      <c r="I3003">
        <v>643</v>
      </c>
      <c r="J3003">
        <v>-0.18</v>
      </c>
      <c r="K3003">
        <v>1.04</v>
      </c>
      <c r="L3003">
        <v>5.29</v>
      </c>
      <c r="M3003">
        <v>5.44</v>
      </c>
      <c r="N3003">
        <v>5.28</v>
      </c>
      <c r="O3003">
        <v>5.29</v>
      </c>
      <c r="P3003">
        <v>6.26</v>
      </c>
      <c r="Q3003">
        <v>68804176</v>
      </c>
      <c r="R3003">
        <v>2.31</v>
      </c>
      <c r="S3003" t="s">
        <v>1121</v>
      </c>
      <c r="T3003" t="s">
        <v>608</v>
      </c>
      <c r="U3003">
        <v>3.02</v>
      </c>
      <c r="V3003">
        <v>5.35</v>
      </c>
      <c r="W3003">
        <v>57202</v>
      </c>
      <c r="X3003">
        <v>71356</v>
      </c>
      <c r="Y3003">
        <v>0.8</v>
      </c>
      <c r="Z3003">
        <v>1292</v>
      </c>
      <c r="AA3003">
        <v>617</v>
      </c>
      <c r="AB3003" t="s">
        <v>116</v>
      </c>
      <c r="AC3003">
        <v>113200</v>
      </c>
      <c r="AD3003">
        <v>0</v>
      </c>
      <c r="AE3003" t="s">
        <v>116</v>
      </c>
      <c r="AF3003" t="s">
        <v>116</v>
      </c>
      <c r="AG3003">
        <v>12.35</v>
      </c>
      <c r="AH3003" t="s">
        <v>13165</v>
      </c>
      <c r="AI3003" t="s">
        <v>13166</v>
      </c>
      <c r="AJ3003">
        <v>0.64</v>
      </c>
      <c r="AK3003">
        <v>1415</v>
      </c>
      <c r="AL3003">
        <v>91</v>
      </c>
      <c r="AM3003">
        <v>6.9999999999999999E-4</v>
      </c>
      <c r="AN3003">
        <v>2</v>
      </c>
      <c r="AO3003">
        <v>1.1499999999999999</v>
      </c>
      <c r="AP3003">
        <v>3.3</v>
      </c>
      <c r="AQ3003">
        <v>-3.8</v>
      </c>
      <c r="AR3003">
        <v>-1.66</v>
      </c>
      <c r="AS3003">
        <v>2.41</v>
      </c>
      <c r="AT3003" t="s">
        <v>4130</v>
      </c>
      <c r="AU3003">
        <v>6.11</v>
      </c>
      <c r="AV3003">
        <v>6.2</v>
      </c>
      <c r="AW3003">
        <v>1.1399999999999999</v>
      </c>
      <c r="BA3003">
        <v>0</v>
      </c>
      <c r="BB3003">
        <v>2.84</v>
      </c>
      <c r="BC3003">
        <v>-0.19</v>
      </c>
      <c r="BD3003">
        <v>1.17</v>
      </c>
      <c r="BE3003">
        <v>0.56999999999999995</v>
      </c>
      <c r="BF3003">
        <v>-2.21</v>
      </c>
      <c r="BG3003">
        <v>0.76</v>
      </c>
      <c r="BH3003">
        <v>-0.6</v>
      </c>
      <c r="BI3003">
        <v>20191030</v>
      </c>
      <c r="BJ3003">
        <v>20040602</v>
      </c>
      <c r="BK3003">
        <v>15.88</v>
      </c>
      <c r="BL3003" t="s">
        <v>116</v>
      </c>
      <c r="BM3003" t="s">
        <v>116</v>
      </c>
      <c r="BN3003">
        <v>259.88</v>
      </c>
      <c r="BO3003">
        <v>112.02</v>
      </c>
      <c r="BP3003">
        <v>22.03</v>
      </c>
      <c r="BQ3003">
        <v>48.42</v>
      </c>
      <c r="BR3003">
        <v>125.09</v>
      </c>
      <c r="BS3003">
        <v>99.07</v>
      </c>
      <c r="BT3003">
        <v>8.17</v>
      </c>
      <c r="BU3003">
        <v>103.3</v>
      </c>
      <c r="BV3003">
        <v>11</v>
      </c>
      <c r="BW3003">
        <v>18.73</v>
      </c>
      <c r="BX3003">
        <v>25.67</v>
      </c>
      <c r="BY3003">
        <v>157.28</v>
      </c>
      <c r="BZ3003">
        <v>132.71</v>
      </c>
      <c r="CA3003">
        <v>14.99</v>
      </c>
      <c r="CB3003">
        <v>0.67</v>
      </c>
      <c r="CC3003">
        <v>14.89</v>
      </c>
      <c r="CD3003">
        <v>11.62</v>
      </c>
      <c r="CE3003">
        <v>10.11</v>
      </c>
      <c r="CF3003">
        <v>10.09</v>
      </c>
      <c r="CG3003">
        <v>55.8</v>
      </c>
      <c r="CH3003">
        <v>16.809999999999999</v>
      </c>
      <c r="CI3003">
        <v>8.81</v>
      </c>
      <c r="CJ3003">
        <v>62954</v>
      </c>
      <c r="CK3003">
        <v>8485</v>
      </c>
      <c r="CL3003" t="s">
        <v>1283</v>
      </c>
      <c r="CM3003">
        <v>2.04</v>
      </c>
      <c r="CN3003">
        <v>1.8</v>
      </c>
      <c r="CO3003">
        <v>0.75</v>
      </c>
      <c r="CP3003">
        <v>5.0199999999999996</v>
      </c>
      <c r="CQ3003">
        <v>0.54</v>
      </c>
      <c r="CR3003">
        <v>4.8899999999999997</v>
      </c>
      <c r="CS3003" t="s">
        <v>13167</v>
      </c>
      <c r="CT3003">
        <v>7.05</v>
      </c>
      <c r="CU3003">
        <v>0</v>
      </c>
      <c r="CV3003">
        <v>1.62</v>
      </c>
      <c r="CW3003">
        <v>3.51</v>
      </c>
      <c r="CX3003">
        <v>1.06</v>
      </c>
      <c r="CY3003">
        <v>43.1</v>
      </c>
      <c r="CZ3003" t="s">
        <v>6154</v>
      </c>
      <c r="DA3003">
        <v>15.62</v>
      </c>
      <c r="DB3003">
        <v>9.5299999999999994</v>
      </c>
      <c r="DC3003">
        <v>6.43</v>
      </c>
      <c r="DD3003">
        <v>0.6</v>
      </c>
      <c r="DE3003">
        <v>10939</v>
      </c>
      <c r="DF3003">
        <v>600997</v>
      </c>
      <c r="DG3003" t="s">
        <v>116</v>
      </c>
      <c r="DH3003" t="s">
        <v>116</v>
      </c>
      <c r="DI3003" t="s">
        <v>116</v>
      </c>
    </row>
    <row r="3004" spans="1:113" x14ac:dyDescent="0.4">
      <c r="A3004" t="str">
        <f>"600998"</f>
        <v>600998</v>
      </c>
      <c r="B3004" t="s">
        <v>13168</v>
      </c>
      <c r="C3004">
        <v>0.44</v>
      </c>
      <c r="D3004">
        <v>13.57</v>
      </c>
      <c r="E3004">
        <v>0.06</v>
      </c>
      <c r="F3004">
        <v>13.56</v>
      </c>
      <c r="G3004">
        <v>13.57</v>
      </c>
      <c r="H3004">
        <v>67779</v>
      </c>
      <c r="I3004">
        <v>3303</v>
      </c>
      <c r="J3004">
        <v>0.44</v>
      </c>
      <c r="K3004">
        <v>0.41</v>
      </c>
      <c r="L3004">
        <v>13.45</v>
      </c>
      <c r="M3004">
        <v>13.59</v>
      </c>
      <c r="N3004">
        <v>13.39</v>
      </c>
      <c r="O3004">
        <v>13.51</v>
      </c>
      <c r="P3004">
        <v>18.760000000000002</v>
      </c>
      <c r="Q3004">
        <v>91402728</v>
      </c>
      <c r="R3004">
        <v>0.77</v>
      </c>
      <c r="S3004" t="s">
        <v>278</v>
      </c>
      <c r="T3004" t="s">
        <v>774</v>
      </c>
      <c r="U3004">
        <v>1.48</v>
      </c>
      <c r="V3004">
        <v>13.49</v>
      </c>
      <c r="W3004">
        <v>31488</v>
      </c>
      <c r="X3004">
        <v>36291</v>
      </c>
      <c r="Y3004">
        <v>0.87</v>
      </c>
      <c r="Z3004">
        <v>6</v>
      </c>
      <c r="AA3004">
        <v>1338</v>
      </c>
      <c r="AB3004" t="s">
        <v>116</v>
      </c>
      <c r="AC3004">
        <v>1002000</v>
      </c>
      <c r="AD3004">
        <v>0.01</v>
      </c>
      <c r="AE3004" t="s">
        <v>116</v>
      </c>
      <c r="AF3004" t="s">
        <v>116</v>
      </c>
      <c r="AG3004">
        <v>16.73</v>
      </c>
      <c r="AH3004" t="s">
        <v>13169</v>
      </c>
      <c r="AI3004" t="s">
        <v>13170</v>
      </c>
      <c r="AJ3004">
        <v>0.52</v>
      </c>
      <c r="AK3004">
        <v>2089</v>
      </c>
      <c r="AL3004">
        <v>32</v>
      </c>
      <c r="AM3004">
        <v>2.0000000000000001E-4</v>
      </c>
      <c r="AN3004">
        <v>1</v>
      </c>
      <c r="AO3004">
        <v>-0.44</v>
      </c>
      <c r="AP3004">
        <v>0.44</v>
      </c>
      <c r="AQ3004">
        <v>-5.7</v>
      </c>
      <c r="AR3004">
        <v>-6.41</v>
      </c>
      <c r="AS3004">
        <v>1.1200000000000001</v>
      </c>
      <c r="AT3004" t="s">
        <v>13171</v>
      </c>
      <c r="AU3004">
        <v>16.05</v>
      </c>
      <c r="AV3004">
        <v>19.010000000000002</v>
      </c>
      <c r="AW3004">
        <v>0.95</v>
      </c>
      <c r="BA3004">
        <v>-0.44</v>
      </c>
      <c r="BB3004">
        <v>0.59</v>
      </c>
      <c r="BC3004">
        <v>-0.89</v>
      </c>
      <c r="BD3004">
        <v>-0.18</v>
      </c>
      <c r="BE3004">
        <v>0.89</v>
      </c>
      <c r="BF3004">
        <v>-0.15</v>
      </c>
      <c r="BG3004">
        <v>1.34</v>
      </c>
      <c r="BH3004">
        <v>0.63</v>
      </c>
      <c r="BI3004">
        <v>20191106</v>
      </c>
      <c r="BJ3004">
        <v>20101102</v>
      </c>
      <c r="BK3004">
        <v>18.78</v>
      </c>
      <c r="BL3004" t="s">
        <v>116</v>
      </c>
      <c r="BM3004" t="s">
        <v>116</v>
      </c>
      <c r="BN3004">
        <v>676.91</v>
      </c>
      <c r="BO3004">
        <v>178.54</v>
      </c>
      <c r="BP3004">
        <v>25.67</v>
      </c>
      <c r="BQ3004">
        <v>69.83</v>
      </c>
      <c r="BR3004">
        <v>568.13</v>
      </c>
      <c r="BS3004">
        <v>52.04</v>
      </c>
      <c r="BT3004">
        <v>13.5</v>
      </c>
      <c r="BU3004">
        <v>441.88</v>
      </c>
      <c r="BV3004">
        <v>133.19999999999999</v>
      </c>
      <c r="BW3004">
        <v>261.41000000000003</v>
      </c>
      <c r="BX3004">
        <v>81.069999999999993</v>
      </c>
      <c r="BY3004">
        <v>733.79</v>
      </c>
      <c r="BZ3004">
        <v>673.48</v>
      </c>
      <c r="CA3004">
        <v>13.17</v>
      </c>
      <c r="CB3004">
        <v>1.22</v>
      </c>
      <c r="CC3004">
        <v>13.22</v>
      </c>
      <c r="CD3004">
        <v>10.3</v>
      </c>
      <c r="CE3004">
        <v>10.19</v>
      </c>
      <c r="CF3004">
        <v>8.6199999999999992</v>
      </c>
      <c r="CG3004">
        <v>60.21</v>
      </c>
      <c r="CH3004">
        <v>-27.11</v>
      </c>
      <c r="CI3004">
        <v>-29.49</v>
      </c>
      <c r="CJ3004">
        <v>27217</v>
      </c>
      <c r="CK3004">
        <v>22188</v>
      </c>
      <c r="CL3004" t="s">
        <v>13172</v>
      </c>
      <c r="CM3004">
        <v>32.049999999999997</v>
      </c>
      <c r="CN3004">
        <v>15.11</v>
      </c>
      <c r="CO3004">
        <v>1.62</v>
      </c>
      <c r="CP3004">
        <v>-9.4</v>
      </c>
      <c r="CQ3004">
        <v>0.35</v>
      </c>
      <c r="CR3004">
        <v>0.74</v>
      </c>
      <c r="CS3004" t="s">
        <v>9389</v>
      </c>
      <c r="CT3004">
        <v>8.3699999999999992</v>
      </c>
      <c r="CU3004">
        <v>8.3699999999999992</v>
      </c>
      <c r="CV3004">
        <v>4.32</v>
      </c>
      <c r="CW3004">
        <v>3.21</v>
      </c>
      <c r="CX3004">
        <v>-1.44</v>
      </c>
      <c r="CY3004">
        <v>26.38</v>
      </c>
      <c r="CZ3004" t="s">
        <v>201</v>
      </c>
      <c r="DA3004">
        <v>8.2200000000000006</v>
      </c>
      <c r="DB3004">
        <v>1.79</v>
      </c>
      <c r="DC3004">
        <v>1.39</v>
      </c>
      <c r="DD3004">
        <v>0.47</v>
      </c>
      <c r="DE3004">
        <v>26119</v>
      </c>
      <c r="DF3004">
        <v>600998</v>
      </c>
      <c r="DG3004" t="s">
        <v>116</v>
      </c>
      <c r="DH3004" t="s">
        <v>116</v>
      </c>
      <c r="DI3004" t="s">
        <v>116</v>
      </c>
    </row>
    <row r="3005" spans="1:113" x14ac:dyDescent="0.4">
      <c r="A3005" t="str">
        <f>"600999"</f>
        <v>600999</v>
      </c>
      <c r="B3005" t="s">
        <v>13173</v>
      </c>
      <c r="C3005">
        <v>-1.1299999999999999</v>
      </c>
      <c r="D3005">
        <v>17.53</v>
      </c>
      <c r="E3005">
        <v>-0.2</v>
      </c>
      <c r="F3005">
        <v>17.52</v>
      </c>
      <c r="G3005">
        <v>17.53</v>
      </c>
      <c r="H3005">
        <v>190542</v>
      </c>
      <c r="I3005">
        <v>900</v>
      </c>
      <c r="J3005">
        <v>0</v>
      </c>
      <c r="K3005">
        <v>0.33</v>
      </c>
      <c r="L3005">
        <v>17.8</v>
      </c>
      <c r="M3005">
        <v>18.02</v>
      </c>
      <c r="N3005">
        <v>17.5</v>
      </c>
      <c r="O3005">
        <v>17.73</v>
      </c>
      <c r="P3005">
        <v>18.260000000000002</v>
      </c>
      <c r="Q3005">
        <v>339013920</v>
      </c>
      <c r="R3005">
        <v>1.38</v>
      </c>
      <c r="S3005" t="s">
        <v>623</v>
      </c>
      <c r="T3005" t="s">
        <v>115</v>
      </c>
      <c r="U3005">
        <v>2.93</v>
      </c>
      <c r="V3005">
        <v>17.79</v>
      </c>
      <c r="W3005">
        <v>95249</v>
      </c>
      <c r="X3005">
        <v>95293</v>
      </c>
      <c r="Y3005">
        <v>1</v>
      </c>
      <c r="Z3005">
        <v>945</v>
      </c>
      <c r="AA3005">
        <v>139</v>
      </c>
      <c r="AB3005" t="s">
        <v>116</v>
      </c>
      <c r="AC3005">
        <v>1457800</v>
      </c>
      <c r="AD3005">
        <v>0</v>
      </c>
      <c r="AE3005" t="s">
        <v>116</v>
      </c>
      <c r="AF3005" t="s">
        <v>116</v>
      </c>
      <c r="AG3005">
        <v>57.19</v>
      </c>
      <c r="AH3005" t="s">
        <v>13174</v>
      </c>
      <c r="AI3005" t="s">
        <v>13174</v>
      </c>
      <c r="AJ3005">
        <v>-1.05</v>
      </c>
      <c r="AK3005">
        <v>3597</v>
      </c>
      <c r="AL3005">
        <v>53</v>
      </c>
      <c r="AM3005">
        <v>1E-4</v>
      </c>
      <c r="AN3005">
        <v>-1</v>
      </c>
      <c r="AO3005">
        <v>0.56000000000000005</v>
      </c>
      <c r="AP3005">
        <v>6.37</v>
      </c>
      <c r="AQ3005">
        <v>3.48</v>
      </c>
      <c r="AR3005">
        <v>33.450000000000003</v>
      </c>
      <c r="AS3005">
        <v>0.82</v>
      </c>
      <c r="AT3005" t="s">
        <v>13175</v>
      </c>
      <c r="AU3005">
        <v>19.010000000000002</v>
      </c>
      <c r="AV3005">
        <v>26.54</v>
      </c>
      <c r="AW3005">
        <v>1.34</v>
      </c>
      <c r="BA3005">
        <v>0.39</v>
      </c>
      <c r="BB3005">
        <v>1.64</v>
      </c>
      <c r="BC3005">
        <v>-1.3</v>
      </c>
      <c r="BD3005">
        <v>0.35</v>
      </c>
      <c r="BE3005">
        <v>-1.52</v>
      </c>
      <c r="BF3005">
        <v>-2.72</v>
      </c>
      <c r="BG3005">
        <v>0.17</v>
      </c>
      <c r="BH3005">
        <v>-1.48</v>
      </c>
      <c r="BI3005">
        <v>20191227</v>
      </c>
      <c r="BJ3005">
        <v>20091117</v>
      </c>
      <c r="BK3005">
        <v>66.989999999999995</v>
      </c>
      <c r="BL3005" t="s">
        <v>116</v>
      </c>
      <c r="BM3005">
        <v>9.8000000000000007</v>
      </c>
      <c r="BN3005">
        <v>3719.99</v>
      </c>
      <c r="BO3005">
        <v>834.17</v>
      </c>
      <c r="BP3005">
        <v>0.85</v>
      </c>
      <c r="BQ3005">
        <v>77.55</v>
      </c>
      <c r="BR3005">
        <v>0</v>
      </c>
      <c r="BS3005">
        <v>14.67</v>
      </c>
      <c r="BT3005">
        <v>4.42</v>
      </c>
      <c r="BU3005">
        <v>0</v>
      </c>
      <c r="BV3005">
        <v>0</v>
      </c>
      <c r="BW3005">
        <v>0</v>
      </c>
      <c r="BX3005">
        <v>275.33999999999997</v>
      </c>
      <c r="BY3005">
        <v>128.99</v>
      </c>
      <c r="BZ3005">
        <v>0</v>
      </c>
      <c r="CA3005">
        <v>59.06</v>
      </c>
      <c r="CB3005">
        <v>33.76</v>
      </c>
      <c r="CC3005">
        <v>58.86</v>
      </c>
      <c r="CD3005">
        <v>48.39</v>
      </c>
      <c r="CE3005">
        <v>48.24</v>
      </c>
      <c r="CF3005">
        <v>48.34</v>
      </c>
      <c r="CG3005">
        <v>194.89</v>
      </c>
      <c r="CH3005">
        <v>112.87</v>
      </c>
      <c r="CI3005">
        <v>165.44</v>
      </c>
      <c r="CJ3005">
        <v>105078</v>
      </c>
      <c r="CK3005">
        <v>22174</v>
      </c>
      <c r="CL3005" t="s">
        <v>13176</v>
      </c>
      <c r="CM3005">
        <v>57.03</v>
      </c>
      <c r="CN3005">
        <v>65.56</v>
      </c>
      <c r="CO3005">
        <v>1.72</v>
      </c>
      <c r="CP3005">
        <v>10.41</v>
      </c>
      <c r="CQ3005">
        <v>9.1</v>
      </c>
      <c r="CR3005">
        <v>1.51</v>
      </c>
      <c r="CS3005" t="s">
        <v>9624</v>
      </c>
      <c r="CT3005">
        <v>10.210000000000001</v>
      </c>
      <c r="CU3005">
        <v>10.210000000000001</v>
      </c>
      <c r="CV3005">
        <v>4.1100000000000003</v>
      </c>
      <c r="CW3005">
        <v>2.91</v>
      </c>
      <c r="CX3005">
        <v>1.68</v>
      </c>
      <c r="CY3005">
        <v>22.42</v>
      </c>
      <c r="CZ3005" t="s">
        <v>7424</v>
      </c>
      <c r="DA3005" t="s">
        <v>116</v>
      </c>
      <c r="DB3005">
        <v>45.79</v>
      </c>
      <c r="DC3005">
        <v>37.39</v>
      </c>
      <c r="DD3005">
        <v>0</v>
      </c>
      <c r="DE3005">
        <v>9058</v>
      </c>
      <c r="DF3005">
        <v>600999</v>
      </c>
      <c r="DG3005">
        <v>20190129</v>
      </c>
      <c r="DH3005">
        <v>14.47</v>
      </c>
      <c r="DI3005">
        <v>22.97</v>
      </c>
    </row>
    <row r="3006" spans="1:113" x14ac:dyDescent="0.4">
      <c r="A3006" t="str">
        <f>"601000"</f>
        <v>601000</v>
      </c>
      <c r="B3006" t="s">
        <v>13177</v>
      </c>
      <c r="C3006">
        <v>-0.39</v>
      </c>
      <c r="D3006">
        <v>2.54</v>
      </c>
      <c r="E3006">
        <v>-0.01</v>
      </c>
      <c r="F3006">
        <v>2.54</v>
      </c>
      <c r="G3006">
        <v>2.5499999999999998</v>
      </c>
      <c r="H3006">
        <v>262716</v>
      </c>
      <c r="I3006">
        <v>9634</v>
      </c>
      <c r="J3006">
        <v>0</v>
      </c>
      <c r="K3006">
        <v>0.44</v>
      </c>
      <c r="L3006">
        <v>2.5499999999999998</v>
      </c>
      <c r="M3006">
        <v>2.57</v>
      </c>
      <c r="N3006">
        <v>2.5299999999999998</v>
      </c>
      <c r="O3006">
        <v>2.5499999999999998</v>
      </c>
      <c r="P3006">
        <v>9.01</v>
      </c>
      <c r="Q3006">
        <v>67106796</v>
      </c>
      <c r="R3006">
        <v>1.55</v>
      </c>
      <c r="S3006" t="s">
        <v>515</v>
      </c>
      <c r="T3006" t="s">
        <v>608</v>
      </c>
      <c r="U3006">
        <v>1.57</v>
      </c>
      <c r="V3006">
        <v>2.5499999999999998</v>
      </c>
      <c r="W3006">
        <v>160873</v>
      </c>
      <c r="X3006">
        <v>101844</v>
      </c>
      <c r="Y3006">
        <v>1.58</v>
      </c>
      <c r="Z3006">
        <v>3929</v>
      </c>
      <c r="AA3006">
        <v>17031</v>
      </c>
      <c r="AB3006" t="s">
        <v>116</v>
      </c>
      <c r="AC3006">
        <v>973500</v>
      </c>
      <c r="AD3006">
        <v>0.01</v>
      </c>
      <c r="AE3006" t="s">
        <v>116</v>
      </c>
      <c r="AF3006" t="s">
        <v>116</v>
      </c>
      <c r="AG3006">
        <v>59.26</v>
      </c>
      <c r="AH3006" t="s">
        <v>13178</v>
      </c>
      <c r="AI3006" t="s">
        <v>13178</v>
      </c>
      <c r="AJ3006">
        <v>-0.32</v>
      </c>
      <c r="AK3006">
        <v>2091</v>
      </c>
      <c r="AL3006">
        <v>126</v>
      </c>
      <c r="AM3006">
        <v>2.0000000000000001E-4</v>
      </c>
      <c r="AN3006">
        <v>-1</v>
      </c>
      <c r="AO3006">
        <v>0</v>
      </c>
      <c r="AP3006">
        <v>0.4</v>
      </c>
      <c r="AQ3006">
        <v>2.0099999999999998</v>
      </c>
      <c r="AR3006">
        <v>9.9600000000000009</v>
      </c>
      <c r="AS3006">
        <v>0.94</v>
      </c>
      <c r="AT3006" t="s">
        <v>13179</v>
      </c>
      <c r="AU3006">
        <v>8.56</v>
      </c>
      <c r="AV3006">
        <v>9.35</v>
      </c>
      <c r="AW3006">
        <v>0.89</v>
      </c>
      <c r="BA3006">
        <v>0</v>
      </c>
      <c r="BB3006">
        <v>0.78</v>
      </c>
      <c r="BC3006">
        <v>-0.78</v>
      </c>
      <c r="BD3006">
        <v>0.17</v>
      </c>
      <c r="BE3006">
        <v>-0.39</v>
      </c>
      <c r="BF3006">
        <v>-1.17</v>
      </c>
      <c r="BG3006">
        <v>0.4</v>
      </c>
      <c r="BH3006">
        <v>-0.56000000000000005</v>
      </c>
      <c r="BI3006">
        <v>20191216</v>
      </c>
      <c r="BJ3006">
        <v>20100705</v>
      </c>
      <c r="BK3006">
        <v>59.26</v>
      </c>
      <c r="BL3006" t="s">
        <v>116</v>
      </c>
      <c r="BM3006" t="s">
        <v>116</v>
      </c>
      <c r="BN3006">
        <v>241.31</v>
      </c>
      <c r="BO3006">
        <v>166.11</v>
      </c>
      <c r="BP3006">
        <v>12.17</v>
      </c>
      <c r="BQ3006">
        <v>26.12</v>
      </c>
      <c r="BR3006">
        <v>65.31</v>
      </c>
      <c r="BS3006">
        <v>119.22</v>
      </c>
      <c r="BT3006">
        <v>19.03</v>
      </c>
      <c r="BU3006">
        <v>47.07</v>
      </c>
      <c r="BV3006">
        <v>2.72</v>
      </c>
      <c r="BW3006">
        <v>8.5500000000000007</v>
      </c>
      <c r="BX3006">
        <v>36.549999999999997</v>
      </c>
      <c r="BY3006">
        <v>85.3</v>
      </c>
      <c r="BZ3006">
        <v>68.650000000000006</v>
      </c>
      <c r="CA3006">
        <v>14.91</v>
      </c>
      <c r="CB3006">
        <v>3</v>
      </c>
      <c r="CC3006">
        <v>15.09</v>
      </c>
      <c r="CD3006">
        <v>12.11</v>
      </c>
      <c r="CE3006">
        <v>12.53</v>
      </c>
      <c r="CF3006">
        <v>12.58</v>
      </c>
      <c r="CG3006">
        <v>60.43</v>
      </c>
      <c r="CH3006">
        <v>2.5</v>
      </c>
      <c r="CI3006">
        <v>-6.42</v>
      </c>
      <c r="CJ3006">
        <v>120308</v>
      </c>
      <c r="CK3006">
        <v>23154</v>
      </c>
      <c r="CL3006" t="s">
        <v>11829</v>
      </c>
      <c r="CM3006">
        <v>13.34</v>
      </c>
      <c r="CN3006">
        <v>18.850000000000001</v>
      </c>
      <c r="CO3006">
        <v>0.91</v>
      </c>
      <c r="CP3006">
        <v>60.19</v>
      </c>
      <c r="CQ3006">
        <v>1.76</v>
      </c>
      <c r="CR3006">
        <v>2.76</v>
      </c>
      <c r="CS3006" t="s">
        <v>2744</v>
      </c>
      <c r="CT3006">
        <v>2.8</v>
      </c>
      <c r="CU3006">
        <v>0</v>
      </c>
      <c r="CV3006">
        <v>0.62</v>
      </c>
      <c r="CW3006">
        <v>1.02</v>
      </c>
      <c r="CX3006">
        <v>0.04</v>
      </c>
      <c r="CY3006">
        <v>68.84</v>
      </c>
      <c r="CZ3006" t="s">
        <v>13038</v>
      </c>
      <c r="DA3006">
        <v>19.52</v>
      </c>
      <c r="DB3006">
        <v>17.48</v>
      </c>
      <c r="DC3006">
        <v>14.69</v>
      </c>
      <c r="DD3006">
        <v>0.11</v>
      </c>
      <c r="DE3006">
        <v>4017</v>
      </c>
      <c r="DF3006">
        <v>601000</v>
      </c>
      <c r="DG3006" t="s">
        <v>116</v>
      </c>
      <c r="DH3006" t="s">
        <v>116</v>
      </c>
      <c r="DI3006" t="s">
        <v>116</v>
      </c>
    </row>
    <row r="3007" spans="1:113" x14ac:dyDescent="0.4">
      <c r="A3007" t="str">
        <f>"601001"</f>
        <v>601001</v>
      </c>
      <c r="B3007" t="s">
        <v>13180</v>
      </c>
      <c r="C3007">
        <v>0.47</v>
      </c>
      <c r="D3007">
        <v>4.29</v>
      </c>
      <c r="E3007">
        <v>0.02</v>
      </c>
      <c r="F3007">
        <v>4.28</v>
      </c>
      <c r="G3007">
        <v>4.29</v>
      </c>
      <c r="H3007">
        <v>186445</v>
      </c>
      <c r="I3007">
        <v>4614</v>
      </c>
      <c r="J3007">
        <v>-0.22</v>
      </c>
      <c r="K3007">
        <v>1.1100000000000001</v>
      </c>
      <c r="L3007">
        <v>4.28</v>
      </c>
      <c r="M3007">
        <v>4.4000000000000004</v>
      </c>
      <c r="N3007">
        <v>4.26</v>
      </c>
      <c r="O3007">
        <v>4.2699999999999996</v>
      </c>
      <c r="P3007">
        <v>7.95</v>
      </c>
      <c r="Q3007">
        <v>80701416</v>
      </c>
      <c r="R3007">
        <v>2.86</v>
      </c>
      <c r="S3007" t="s">
        <v>1121</v>
      </c>
      <c r="T3007" t="s">
        <v>675</v>
      </c>
      <c r="U3007">
        <v>3.28</v>
      </c>
      <c r="V3007">
        <v>4.33</v>
      </c>
      <c r="W3007">
        <v>84547</v>
      </c>
      <c r="X3007">
        <v>101898</v>
      </c>
      <c r="Y3007">
        <v>0.83</v>
      </c>
      <c r="Z3007">
        <v>1087</v>
      </c>
      <c r="AA3007">
        <v>1378</v>
      </c>
      <c r="AB3007" t="s">
        <v>116</v>
      </c>
      <c r="AC3007">
        <v>47900</v>
      </c>
      <c r="AD3007">
        <v>0</v>
      </c>
      <c r="AE3007" t="s">
        <v>116</v>
      </c>
      <c r="AF3007" t="s">
        <v>116</v>
      </c>
      <c r="AG3007">
        <v>16.739999999999998</v>
      </c>
      <c r="AH3007" t="s">
        <v>13181</v>
      </c>
      <c r="AI3007" t="s">
        <v>13181</v>
      </c>
      <c r="AJ3007">
        <v>0.55000000000000004</v>
      </c>
      <c r="AK3007">
        <v>1578</v>
      </c>
      <c r="AL3007">
        <v>118</v>
      </c>
      <c r="AM3007">
        <v>6.9999999999999999E-4</v>
      </c>
      <c r="AN3007">
        <v>2</v>
      </c>
      <c r="AO3007">
        <v>0.94</v>
      </c>
      <c r="AP3007">
        <v>2.39</v>
      </c>
      <c r="AQ3007">
        <v>1.42</v>
      </c>
      <c r="AR3007">
        <v>0.47</v>
      </c>
      <c r="AS3007">
        <v>2.62</v>
      </c>
      <c r="AT3007" t="s">
        <v>13182</v>
      </c>
      <c r="AU3007">
        <v>10.57</v>
      </c>
      <c r="AV3007">
        <v>10.88</v>
      </c>
      <c r="AW3007">
        <v>0.88</v>
      </c>
      <c r="BA3007">
        <v>0.23</v>
      </c>
      <c r="BB3007">
        <v>3.04</v>
      </c>
      <c r="BC3007">
        <v>-0.23</v>
      </c>
      <c r="BD3007">
        <v>1.37</v>
      </c>
      <c r="BE3007">
        <v>0.23</v>
      </c>
      <c r="BF3007">
        <v>-2.5</v>
      </c>
      <c r="BG3007">
        <v>0.7</v>
      </c>
      <c r="BH3007">
        <v>-0.9</v>
      </c>
      <c r="BI3007">
        <v>20191030</v>
      </c>
      <c r="BJ3007">
        <v>20060623</v>
      </c>
      <c r="BK3007">
        <v>16.739999999999998</v>
      </c>
      <c r="BL3007" t="s">
        <v>116</v>
      </c>
      <c r="BM3007" t="s">
        <v>116</v>
      </c>
      <c r="BN3007">
        <v>260.52</v>
      </c>
      <c r="BO3007">
        <v>64.290000000000006</v>
      </c>
      <c r="BP3007">
        <v>48.83</v>
      </c>
      <c r="BQ3007">
        <v>56.58</v>
      </c>
      <c r="BR3007">
        <v>96.28</v>
      </c>
      <c r="BS3007">
        <v>98.36</v>
      </c>
      <c r="BT3007">
        <v>30.81</v>
      </c>
      <c r="BU3007">
        <v>124.7</v>
      </c>
      <c r="BV3007">
        <v>4.21</v>
      </c>
      <c r="BW3007">
        <v>10.84</v>
      </c>
      <c r="BX3007">
        <v>2.42</v>
      </c>
      <c r="BY3007">
        <v>87.48</v>
      </c>
      <c r="BZ3007">
        <v>40.28</v>
      </c>
      <c r="CA3007">
        <v>17</v>
      </c>
      <c r="CB3007">
        <v>0.96</v>
      </c>
      <c r="CC3007">
        <v>16.93</v>
      </c>
      <c r="CD3007">
        <v>10.73</v>
      </c>
      <c r="CE3007">
        <v>6.77</v>
      </c>
      <c r="CF3007">
        <v>6.77</v>
      </c>
      <c r="CG3007">
        <v>22.94</v>
      </c>
      <c r="CH3007">
        <v>19.52</v>
      </c>
      <c r="CI3007">
        <v>6.38</v>
      </c>
      <c r="CJ3007">
        <v>86227</v>
      </c>
      <c r="CK3007">
        <v>8258</v>
      </c>
      <c r="CL3007" t="s">
        <v>3671</v>
      </c>
      <c r="CM3007">
        <v>2.95</v>
      </c>
      <c r="CN3007">
        <v>10.92</v>
      </c>
      <c r="CO3007">
        <v>1.1200000000000001</v>
      </c>
      <c r="CP3007">
        <v>3.68</v>
      </c>
      <c r="CQ3007">
        <v>0.82</v>
      </c>
      <c r="CR3007">
        <v>0</v>
      </c>
      <c r="CS3007" t="s">
        <v>3184</v>
      </c>
      <c r="CT3007">
        <v>3.84</v>
      </c>
      <c r="CU3007">
        <v>0</v>
      </c>
      <c r="CV3007">
        <v>0.14000000000000001</v>
      </c>
      <c r="CW3007">
        <v>1.37</v>
      </c>
      <c r="CX3007">
        <v>1.17</v>
      </c>
      <c r="CY3007">
        <v>24.68</v>
      </c>
      <c r="CZ3007" t="s">
        <v>13183</v>
      </c>
      <c r="DA3007">
        <v>53.95</v>
      </c>
      <c r="DB3007">
        <v>19.43</v>
      </c>
      <c r="DC3007">
        <v>7.74</v>
      </c>
      <c r="DD3007">
        <v>0</v>
      </c>
      <c r="DE3007">
        <v>5940</v>
      </c>
      <c r="DF3007">
        <v>601001</v>
      </c>
      <c r="DG3007" t="s">
        <v>116</v>
      </c>
      <c r="DH3007" t="s">
        <v>116</v>
      </c>
      <c r="DI3007" t="s">
        <v>116</v>
      </c>
    </row>
    <row r="3008" spans="1:113" x14ac:dyDescent="0.4">
      <c r="A3008" t="str">
        <f>"601002"</f>
        <v>601002</v>
      </c>
      <c r="B3008" t="s">
        <v>13184</v>
      </c>
      <c r="C3008">
        <v>-0.52</v>
      </c>
      <c r="D3008">
        <v>5.77</v>
      </c>
      <c r="E3008">
        <v>-0.03</v>
      </c>
      <c r="F3008">
        <v>5.76</v>
      </c>
      <c r="G3008">
        <v>5.77</v>
      </c>
      <c r="H3008">
        <v>77109</v>
      </c>
      <c r="I3008">
        <v>1535</v>
      </c>
      <c r="J3008">
        <v>-0.34</v>
      </c>
      <c r="K3008">
        <v>0.97</v>
      </c>
      <c r="L3008">
        <v>5.8</v>
      </c>
      <c r="M3008">
        <v>5.9</v>
      </c>
      <c r="N3008">
        <v>5.77</v>
      </c>
      <c r="O3008">
        <v>5.8</v>
      </c>
      <c r="P3008">
        <v>27.14</v>
      </c>
      <c r="Q3008">
        <v>44896568</v>
      </c>
      <c r="R3008">
        <v>1.52</v>
      </c>
      <c r="S3008" t="s">
        <v>996</v>
      </c>
      <c r="T3008" t="s">
        <v>590</v>
      </c>
      <c r="U3008">
        <v>2.2400000000000002</v>
      </c>
      <c r="V3008">
        <v>5.82</v>
      </c>
      <c r="W3008">
        <v>37834</v>
      </c>
      <c r="X3008">
        <v>39275</v>
      </c>
      <c r="Y3008">
        <v>0.96</v>
      </c>
      <c r="Z3008">
        <v>1260</v>
      </c>
      <c r="AA3008">
        <v>275</v>
      </c>
      <c r="AB3008" t="s">
        <v>116</v>
      </c>
      <c r="AC3008">
        <v>124700</v>
      </c>
      <c r="AD3008">
        <v>0</v>
      </c>
      <c r="AE3008" t="s">
        <v>116</v>
      </c>
      <c r="AF3008" t="s">
        <v>116</v>
      </c>
      <c r="AG3008">
        <v>7.93</v>
      </c>
      <c r="AH3008" t="s">
        <v>9731</v>
      </c>
      <c r="AI3008" t="s">
        <v>9731</v>
      </c>
      <c r="AJ3008">
        <v>-0.44</v>
      </c>
      <c r="AK3008">
        <v>1131</v>
      </c>
      <c r="AL3008">
        <v>68</v>
      </c>
      <c r="AM3008">
        <v>8.9999999999999998E-4</v>
      </c>
      <c r="AN3008">
        <v>-1</v>
      </c>
      <c r="AO3008">
        <v>0.17</v>
      </c>
      <c r="AP3008">
        <v>4.1500000000000004</v>
      </c>
      <c r="AQ3008">
        <v>-5.72</v>
      </c>
      <c r="AR3008">
        <v>7.85</v>
      </c>
      <c r="AS3008">
        <v>1.66</v>
      </c>
      <c r="AT3008" t="s">
        <v>12531</v>
      </c>
      <c r="AU3008">
        <v>24.77</v>
      </c>
      <c r="AV3008">
        <v>25.73</v>
      </c>
      <c r="AW3008">
        <v>1.3</v>
      </c>
      <c r="BA3008">
        <v>0</v>
      </c>
      <c r="BB3008">
        <v>1.72</v>
      </c>
      <c r="BC3008">
        <v>-0.52</v>
      </c>
      <c r="BD3008">
        <v>0.39</v>
      </c>
      <c r="BE3008">
        <v>-0.52</v>
      </c>
      <c r="BF3008">
        <v>-2.2000000000000002</v>
      </c>
      <c r="BG3008">
        <v>0</v>
      </c>
      <c r="BH3008">
        <v>-0.91</v>
      </c>
      <c r="BI3008">
        <v>20191029</v>
      </c>
      <c r="BJ3008">
        <v>20070126</v>
      </c>
      <c r="BK3008">
        <v>7.93</v>
      </c>
      <c r="BL3008" t="s">
        <v>116</v>
      </c>
      <c r="BM3008" t="s">
        <v>116</v>
      </c>
      <c r="BN3008">
        <v>44.31</v>
      </c>
      <c r="BO3008">
        <v>27.04</v>
      </c>
      <c r="BP3008">
        <v>2.4500000000000002</v>
      </c>
      <c r="BQ3008">
        <v>33.450000000000003</v>
      </c>
      <c r="BR3008">
        <v>29.71</v>
      </c>
      <c r="BS3008">
        <v>11.48</v>
      </c>
      <c r="BT3008">
        <v>1.02</v>
      </c>
      <c r="BU3008">
        <v>8.16</v>
      </c>
      <c r="BV3008">
        <v>15.49</v>
      </c>
      <c r="BW3008">
        <v>6.91</v>
      </c>
      <c r="BX3008">
        <v>11.01</v>
      </c>
      <c r="BY3008">
        <v>23.56</v>
      </c>
      <c r="BZ3008">
        <v>18.190000000000001</v>
      </c>
      <c r="CA3008">
        <v>1.66</v>
      </c>
      <c r="CB3008">
        <v>0.04</v>
      </c>
      <c r="CC3008">
        <v>1.67</v>
      </c>
      <c r="CD3008">
        <v>1.23</v>
      </c>
      <c r="CE3008">
        <v>1.26</v>
      </c>
      <c r="CF3008">
        <v>1.19</v>
      </c>
      <c r="CG3008">
        <v>6.08</v>
      </c>
      <c r="CH3008">
        <v>3.07</v>
      </c>
      <c r="CI3008">
        <v>0.49</v>
      </c>
      <c r="CJ3008">
        <v>74210</v>
      </c>
      <c r="CK3008">
        <v>6265</v>
      </c>
      <c r="CL3008" t="s">
        <v>2538</v>
      </c>
      <c r="CM3008">
        <v>5.75</v>
      </c>
      <c r="CN3008">
        <v>-3.78</v>
      </c>
      <c r="CO3008">
        <v>1.69</v>
      </c>
      <c r="CP3008">
        <v>14.89</v>
      </c>
      <c r="CQ3008">
        <v>1.94</v>
      </c>
      <c r="CR3008">
        <v>0</v>
      </c>
      <c r="CS3008" t="s">
        <v>13185</v>
      </c>
      <c r="CT3008">
        <v>3.41</v>
      </c>
      <c r="CU3008">
        <v>0</v>
      </c>
      <c r="CV3008">
        <v>1.39</v>
      </c>
      <c r="CW3008">
        <v>0.77</v>
      </c>
      <c r="CX3008">
        <v>0.39</v>
      </c>
      <c r="CY3008">
        <v>61.03</v>
      </c>
      <c r="CZ3008" t="s">
        <v>6765</v>
      </c>
      <c r="DA3008">
        <v>22.8</v>
      </c>
      <c r="DB3008">
        <v>7.05</v>
      </c>
      <c r="DC3008">
        <v>5.37</v>
      </c>
      <c r="DD3008">
        <v>0.82</v>
      </c>
      <c r="DE3008">
        <v>3475</v>
      </c>
      <c r="DF3008">
        <v>601002</v>
      </c>
      <c r="DG3008" t="s">
        <v>116</v>
      </c>
      <c r="DH3008" t="s">
        <v>116</v>
      </c>
      <c r="DI3008" t="s">
        <v>116</v>
      </c>
    </row>
    <row r="3009" spans="1:113" x14ac:dyDescent="0.4">
      <c r="A3009" t="str">
        <f>"601003"</f>
        <v>601003</v>
      </c>
      <c r="B3009" t="s">
        <v>13186</v>
      </c>
      <c r="C3009">
        <v>-0.18</v>
      </c>
      <c r="D3009">
        <v>5.49</v>
      </c>
      <c r="E3009">
        <v>-0.01</v>
      </c>
      <c r="F3009">
        <v>5.49</v>
      </c>
      <c r="G3009">
        <v>5.5</v>
      </c>
      <c r="H3009">
        <v>141281</v>
      </c>
      <c r="I3009">
        <v>735</v>
      </c>
      <c r="J3009">
        <v>0.18</v>
      </c>
      <c r="K3009">
        <v>0.55000000000000004</v>
      </c>
      <c r="L3009">
        <v>5.5</v>
      </c>
      <c r="M3009">
        <v>5.62</v>
      </c>
      <c r="N3009">
        <v>5.47</v>
      </c>
      <c r="O3009">
        <v>5.5</v>
      </c>
      <c r="P3009">
        <v>7.11</v>
      </c>
      <c r="Q3009">
        <v>78198352</v>
      </c>
      <c r="R3009">
        <v>1.39</v>
      </c>
      <c r="S3009" t="s">
        <v>1587</v>
      </c>
      <c r="T3009" t="s">
        <v>982</v>
      </c>
      <c r="U3009">
        <v>2.73</v>
      </c>
      <c r="V3009">
        <v>5.53</v>
      </c>
      <c r="W3009">
        <v>54738</v>
      </c>
      <c r="X3009">
        <v>86543</v>
      </c>
      <c r="Y3009">
        <v>0.63</v>
      </c>
      <c r="Z3009">
        <v>125</v>
      </c>
      <c r="AA3009">
        <v>228</v>
      </c>
      <c r="AB3009" t="s">
        <v>116</v>
      </c>
      <c r="AC3009">
        <v>277200</v>
      </c>
      <c r="AD3009">
        <v>0.01</v>
      </c>
      <c r="AE3009" t="s">
        <v>116</v>
      </c>
      <c r="AF3009" t="s">
        <v>116</v>
      </c>
      <c r="AG3009">
        <v>25.63</v>
      </c>
      <c r="AH3009" t="s">
        <v>13187</v>
      </c>
      <c r="AI3009" t="s">
        <v>13187</v>
      </c>
      <c r="AJ3009">
        <v>-0.11</v>
      </c>
      <c r="AK3009">
        <v>2347</v>
      </c>
      <c r="AL3009">
        <v>60</v>
      </c>
      <c r="AM3009">
        <v>2.0000000000000001E-4</v>
      </c>
      <c r="AN3009">
        <v>-1</v>
      </c>
      <c r="AO3009">
        <v>2.2400000000000002</v>
      </c>
      <c r="AP3009">
        <v>9.15</v>
      </c>
      <c r="AQ3009">
        <v>6.81</v>
      </c>
      <c r="AR3009">
        <v>-8.0399999999999991</v>
      </c>
      <c r="AS3009">
        <v>3.15</v>
      </c>
      <c r="AT3009" t="s">
        <v>8351</v>
      </c>
      <c r="AU3009">
        <v>4.96</v>
      </c>
      <c r="AV3009">
        <v>3.05</v>
      </c>
      <c r="AW3009">
        <v>0.87</v>
      </c>
      <c r="BA3009">
        <v>0</v>
      </c>
      <c r="BB3009">
        <v>2.1800000000000002</v>
      </c>
      <c r="BC3009">
        <v>-0.55000000000000004</v>
      </c>
      <c r="BD3009">
        <v>0.64</v>
      </c>
      <c r="BE3009">
        <v>-0.18</v>
      </c>
      <c r="BF3009">
        <v>-2.31</v>
      </c>
      <c r="BG3009">
        <v>0.37</v>
      </c>
      <c r="BH3009">
        <v>-0.82</v>
      </c>
      <c r="BI3009">
        <v>20191031</v>
      </c>
      <c r="BJ3009">
        <v>20070227</v>
      </c>
      <c r="BK3009">
        <v>25.63</v>
      </c>
      <c r="BL3009" t="s">
        <v>116</v>
      </c>
      <c r="BM3009" t="s">
        <v>116</v>
      </c>
      <c r="BN3009">
        <v>279.68</v>
      </c>
      <c r="BO3009">
        <v>104.78</v>
      </c>
      <c r="BP3009">
        <v>0</v>
      </c>
      <c r="BQ3009">
        <v>62.54</v>
      </c>
      <c r="BR3009">
        <v>186.65</v>
      </c>
      <c r="BS3009">
        <v>85.91</v>
      </c>
      <c r="BT3009">
        <v>7.0000000000000007E-2</v>
      </c>
      <c r="BU3009">
        <v>161.31</v>
      </c>
      <c r="BV3009">
        <v>61.4</v>
      </c>
      <c r="BW3009">
        <v>2.23</v>
      </c>
      <c r="BX3009">
        <v>2.08</v>
      </c>
      <c r="BY3009">
        <v>351.22</v>
      </c>
      <c r="BZ3009">
        <v>319.42</v>
      </c>
      <c r="CA3009">
        <v>17.059999999999999</v>
      </c>
      <c r="CB3009">
        <v>0</v>
      </c>
      <c r="CC3009">
        <v>17.11</v>
      </c>
      <c r="CD3009">
        <v>14.84</v>
      </c>
      <c r="CE3009">
        <v>14.84</v>
      </c>
      <c r="CF3009">
        <v>14.51</v>
      </c>
      <c r="CG3009">
        <v>60.04</v>
      </c>
      <c r="CH3009">
        <v>43.3</v>
      </c>
      <c r="CI3009">
        <v>10.75</v>
      </c>
      <c r="CJ3009">
        <v>59411</v>
      </c>
      <c r="CK3009">
        <v>7547</v>
      </c>
      <c r="CL3009" t="s">
        <v>7082</v>
      </c>
      <c r="CM3009">
        <v>-54.41</v>
      </c>
      <c r="CN3009">
        <v>1.94</v>
      </c>
      <c r="CO3009">
        <v>1.34</v>
      </c>
      <c r="CP3009">
        <v>3.25</v>
      </c>
      <c r="CQ3009">
        <v>0.4</v>
      </c>
      <c r="CR3009">
        <v>10.93</v>
      </c>
      <c r="CS3009" t="s">
        <v>1985</v>
      </c>
      <c r="CT3009">
        <v>4.09</v>
      </c>
      <c r="CU3009">
        <v>0</v>
      </c>
      <c r="CV3009">
        <v>0.08</v>
      </c>
      <c r="CW3009">
        <v>2.34</v>
      </c>
      <c r="CX3009">
        <v>1.69</v>
      </c>
      <c r="CY3009">
        <v>37.46</v>
      </c>
      <c r="CZ3009" t="s">
        <v>3775</v>
      </c>
      <c r="DA3009">
        <v>9.0500000000000007</v>
      </c>
      <c r="DB3009">
        <v>4.8600000000000003</v>
      </c>
      <c r="DC3009">
        <v>4.22</v>
      </c>
      <c r="DD3009">
        <v>10.11</v>
      </c>
      <c r="DE3009">
        <v>9753</v>
      </c>
      <c r="DF3009">
        <v>601003</v>
      </c>
      <c r="DG3009" t="s">
        <v>116</v>
      </c>
      <c r="DH3009" t="s">
        <v>116</v>
      </c>
      <c r="DI3009" t="s">
        <v>116</v>
      </c>
    </row>
    <row r="3010" spans="1:113" x14ac:dyDescent="0.4">
      <c r="A3010" t="str">
        <f>"601005"</f>
        <v>601005</v>
      </c>
      <c r="B3010" t="s">
        <v>13188</v>
      </c>
      <c r="C3010">
        <v>1.1299999999999999</v>
      </c>
      <c r="D3010">
        <v>1.79</v>
      </c>
      <c r="E3010">
        <v>0.02</v>
      </c>
      <c r="F3010">
        <v>1.79</v>
      </c>
      <c r="G3010">
        <v>1.8</v>
      </c>
      <c r="H3010">
        <v>241098</v>
      </c>
      <c r="I3010">
        <v>3361</v>
      </c>
      <c r="J3010">
        <v>0</v>
      </c>
      <c r="K3010">
        <v>0.28999999999999998</v>
      </c>
      <c r="L3010">
        <v>1.76</v>
      </c>
      <c r="M3010">
        <v>1.82</v>
      </c>
      <c r="N3010">
        <v>1.76</v>
      </c>
      <c r="O3010">
        <v>1.77</v>
      </c>
      <c r="P3010">
        <v>16.63</v>
      </c>
      <c r="Q3010">
        <v>43149368</v>
      </c>
      <c r="R3010">
        <v>1.4</v>
      </c>
      <c r="S3010" t="s">
        <v>1587</v>
      </c>
      <c r="T3010" t="s">
        <v>906</v>
      </c>
      <c r="U3010">
        <v>3.39</v>
      </c>
      <c r="V3010">
        <v>1.79</v>
      </c>
      <c r="W3010">
        <v>74677</v>
      </c>
      <c r="X3010">
        <v>166421</v>
      </c>
      <c r="Y3010">
        <v>0.45</v>
      </c>
      <c r="Z3010">
        <v>12594</v>
      </c>
      <c r="AA3010">
        <v>6122</v>
      </c>
      <c r="AB3010" t="s">
        <v>116</v>
      </c>
      <c r="AC3010">
        <v>909900</v>
      </c>
      <c r="AD3010">
        <v>0.01</v>
      </c>
      <c r="AE3010" t="s">
        <v>116</v>
      </c>
      <c r="AF3010" t="s">
        <v>116</v>
      </c>
      <c r="AG3010">
        <v>83.8</v>
      </c>
      <c r="AH3010" t="s">
        <v>13189</v>
      </c>
      <c r="AI3010" t="s">
        <v>13189</v>
      </c>
      <c r="AJ3010">
        <v>1.21</v>
      </c>
      <c r="AK3010">
        <v>1519</v>
      </c>
      <c r="AL3010">
        <v>159</v>
      </c>
      <c r="AM3010">
        <v>2.0000000000000001E-4</v>
      </c>
      <c r="AN3010">
        <v>2</v>
      </c>
      <c r="AO3010">
        <v>0.56999999999999995</v>
      </c>
      <c r="AP3010">
        <v>-3.24</v>
      </c>
      <c r="AQ3010">
        <v>-3.24</v>
      </c>
      <c r="AR3010">
        <v>-7.73</v>
      </c>
      <c r="AS3010">
        <v>0.38</v>
      </c>
      <c r="AT3010" t="s">
        <v>13190</v>
      </c>
      <c r="AU3010">
        <v>15.53</v>
      </c>
      <c r="AV3010">
        <v>8.93</v>
      </c>
      <c r="AW3010">
        <v>0.93</v>
      </c>
      <c r="BA3010">
        <v>-0.56000000000000005</v>
      </c>
      <c r="BB3010">
        <v>2.82</v>
      </c>
      <c r="BC3010">
        <v>-0.56000000000000005</v>
      </c>
      <c r="BD3010">
        <v>1.1100000000000001</v>
      </c>
      <c r="BE3010">
        <v>1.7</v>
      </c>
      <c r="BF3010">
        <v>-1.65</v>
      </c>
      <c r="BG3010">
        <v>1.7</v>
      </c>
      <c r="BH3010">
        <v>0.02</v>
      </c>
      <c r="BI3010">
        <v>20191028</v>
      </c>
      <c r="BJ3010">
        <v>20070228</v>
      </c>
      <c r="BK3010">
        <v>89.19</v>
      </c>
      <c r="BL3010" t="s">
        <v>116</v>
      </c>
      <c r="BM3010">
        <v>5.38</v>
      </c>
      <c r="BN3010">
        <v>267.37</v>
      </c>
      <c r="BO3010">
        <v>191.99</v>
      </c>
      <c r="BP3010">
        <v>0</v>
      </c>
      <c r="BQ3010">
        <v>28.19</v>
      </c>
      <c r="BR3010">
        <v>77.06</v>
      </c>
      <c r="BS3010">
        <v>164.23</v>
      </c>
      <c r="BT3010">
        <v>24.08</v>
      </c>
      <c r="BU3010">
        <v>44.67</v>
      </c>
      <c r="BV3010">
        <v>36.450000000000003</v>
      </c>
      <c r="BW3010">
        <v>0.63</v>
      </c>
      <c r="BX3010">
        <v>192.82</v>
      </c>
      <c r="BY3010">
        <v>172.84</v>
      </c>
      <c r="BZ3010">
        <v>158.32</v>
      </c>
      <c r="CA3010">
        <v>7.09</v>
      </c>
      <c r="CB3010">
        <v>0.08</v>
      </c>
      <c r="CC3010">
        <v>7.22</v>
      </c>
      <c r="CD3010">
        <v>7.2</v>
      </c>
      <c r="CE3010">
        <v>7.2</v>
      </c>
      <c r="CF3010">
        <v>6.89</v>
      </c>
      <c r="CG3010">
        <v>-95.7</v>
      </c>
      <c r="CH3010">
        <v>-9.06</v>
      </c>
      <c r="CI3010">
        <v>-11.96</v>
      </c>
      <c r="CJ3010">
        <v>138297</v>
      </c>
      <c r="CK3010">
        <v>45435</v>
      </c>
      <c r="CL3010" t="s">
        <v>6009</v>
      </c>
      <c r="CM3010">
        <v>-51.36</v>
      </c>
      <c r="CN3010">
        <v>-0.87</v>
      </c>
      <c r="CO3010">
        <v>0.83</v>
      </c>
      <c r="CP3010">
        <v>-17.61</v>
      </c>
      <c r="CQ3010">
        <v>0.92</v>
      </c>
      <c r="CR3010">
        <v>0</v>
      </c>
      <c r="CS3010" t="s">
        <v>1105</v>
      </c>
      <c r="CT3010">
        <v>2.15</v>
      </c>
      <c r="CU3010">
        <v>0</v>
      </c>
      <c r="CV3010">
        <v>2.16</v>
      </c>
      <c r="CW3010">
        <v>-1.07</v>
      </c>
      <c r="CX3010">
        <v>-0.1</v>
      </c>
      <c r="CY3010">
        <v>71.81</v>
      </c>
      <c r="CZ3010" t="s">
        <v>1389</v>
      </c>
      <c r="DA3010">
        <v>8.4</v>
      </c>
      <c r="DB3010">
        <v>4.0999999999999996</v>
      </c>
      <c r="DC3010">
        <v>4.17</v>
      </c>
      <c r="DD3010">
        <v>0</v>
      </c>
      <c r="DE3010">
        <v>6443</v>
      </c>
      <c r="DF3010">
        <v>601005</v>
      </c>
      <c r="DG3010" t="s">
        <v>116</v>
      </c>
      <c r="DH3010" t="s">
        <v>116</v>
      </c>
      <c r="DI3010" t="s">
        <v>116</v>
      </c>
    </row>
    <row r="3011" spans="1:113" x14ac:dyDescent="0.4">
      <c r="A3011" t="str">
        <f>"601006"</f>
        <v>601006</v>
      </c>
      <c r="B3011" t="s">
        <v>13191</v>
      </c>
      <c r="C3011">
        <v>-0.37</v>
      </c>
      <c r="D3011">
        <v>8.1</v>
      </c>
      <c r="E3011">
        <v>-0.03</v>
      </c>
      <c r="F3011">
        <v>8.1</v>
      </c>
      <c r="G3011">
        <v>8.11</v>
      </c>
      <c r="H3011">
        <v>160508</v>
      </c>
      <c r="I3011">
        <v>1972</v>
      </c>
      <c r="J3011">
        <v>-0.11</v>
      </c>
      <c r="K3011">
        <v>0.11</v>
      </c>
      <c r="L3011">
        <v>8.14</v>
      </c>
      <c r="M3011">
        <v>8.17</v>
      </c>
      <c r="N3011">
        <v>8.08</v>
      </c>
      <c r="O3011">
        <v>8.1300000000000008</v>
      </c>
      <c r="P3011">
        <v>7.47</v>
      </c>
      <c r="Q3011">
        <v>130229480</v>
      </c>
      <c r="R3011">
        <v>0.94</v>
      </c>
      <c r="S3011" t="s">
        <v>1146</v>
      </c>
      <c r="T3011" t="s">
        <v>675</v>
      </c>
      <c r="U3011">
        <v>1.1100000000000001</v>
      </c>
      <c r="V3011">
        <v>8.11</v>
      </c>
      <c r="W3011">
        <v>105795</v>
      </c>
      <c r="X3011">
        <v>54713</v>
      </c>
      <c r="Y3011">
        <v>1.93</v>
      </c>
      <c r="Z3011">
        <v>2271</v>
      </c>
      <c r="AA3011">
        <v>162</v>
      </c>
      <c r="AB3011" t="s">
        <v>116</v>
      </c>
      <c r="AC3011">
        <v>514400</v>
      </c>
      <c r="AD3011">
        <v>0</v>
      </c>
      <c r="AE3011" t="s">
        <v>116</v>
      </c>
      <c r="AF3011" t="s">
        <v>116</v>
      </c>
      <c r="AG3011">
        <v>148.66999999999999</v>
      </c>
      <c r="AH3011" t="s">
        <v>13192</v>
      </c>
      <c r="AI3011" t="s">
        <v>13192</v>
      </c>
      <c r="AJ3011">
        <v>-0.28999999999999998</v>
      </c>
      <c r="AK3011">
        <v>3895</v>
      </c>
      <c r="AL3011">
        <v>41</v>
      </c>
      <c r="AM3011">
        <v>0</v>
      </c>
      <c r="AN3011">
        <v>-1</v>
      </c>
      <c r="AO3011">
        <v>0.12</v>
      </c>
      <c r="AP3011">
        <v>2.14</v>
      </c>
      <c r="AQ3011">
        <v>6.44</v>
      </c>
      <c r="AR3011">
        <v>4.5199999999999996</v>
      </c>
      <c r="AS3011">
        <v>0.28999999999999998</v>
      </c>
      <c r="AT3011" t="s">
        <v>13193</v>
      </c>
      <c r="AU3011">
        <v>8.4700000000000006</v>
      </c>
      <c r="AV3011">
        <v>8.2799999999999994</v>
      </c>
      <c r="AW3011">
        <v>0.36</v>
      </c>
      <c r="BA3011">
        <v>0.12</v>
      </c>
      <c r="BB3011">
        <v>0.49</v>
      </c>
      <c r="BC3011">
        <v>-0.62</v>
      </c>
      <c r="BD3011">
        <v>-0.2</v>
      </c>
      <c r="BE3011">
        <v>-0.49</v>
      </c>
      <c r="BF3011">
        <v>-0.86</v>
      </c>
      <c r="BG3011">
        <v>0.25</v>
      </c>
      <c r="BH3011">
        <v>-0.17</v>
      </c>
      <c r="BI3011">
        <v>20191030</v>
      </c>
      <c r="BJ3011">
        <v>20060801</v>
      </c>
      <c r="BK3011">
        <v>148.66999999999999</v>
      </c>
      <c r="BL3011" t="s">
        <v>116</v>
      </c>
      <c r="BM3011" t="s">
        <v>116</v>
      </c>
      <c r="BN3011">
        <v>1479.82</v>
      </c>
      <c r="BO3011">
        <v>1114.07</v>
      </c>
      <c r="BP3011">
        <v>84.63</v>
      </c>
      <c r="BQ3011">
        <v>19</v>
      </c>
      <c r="BR3011">
        <v>310.12</v>
      </c>
      <c r="BS3011">
        <v>781.4</v>
      </c>
      <c r="BT3011">
        <v>86.71</v>
      </c>
      <c r="BU3011">
        <v>156.57</v>
      </c>
      <c r="BV3011">
        <v>14.85</v>
      </c>
      <c r="BW3011">
        <v>73.38</v>
      </c>
      <c r="BX3011">
        <v>238.98</v>
      </c>
      <c r="BY3011">
        <v>598.73</v>
      </c>
      <c r="BZ3011">
        <v>446.26</v>
      </c>
      <c r="CA3011">
        <v>168.56</v>
      </c>
      <c r="CB3011">
        <v>24.26</v>
      </c>
      <c r="CC3011">
        <v>168.23</v>
      </c>
      <c r="CD3011">
        <v>132.21</v>
      </c>
      <c r="CE3011">
        <v>120.88</v>
      </c>
      <c r="CF3011">
        <v>120.76</v>
      </c>
      <c r="CG3011">
        <v>588.02</v>
      </c>
      <c r="CH3011">
        <v>110.22</v>
      </c>
      <c r="CI3011">
        <v>-31.28</v>
      </c>
      <c r="CJ3011">
        <v>142270</v>
      </c>
      <c r="CK3011">
        <v>39467</v>
      </c>
      <c r="CL3011" t="s">
        <v>13194</v>
      </c>
      <c r="CM3011">
        <v>-2.57</v>
      </c>
      <c r="CN3011">
        <v>2.62</v>
      </c>
      <c r="CO3011">
        <v>1.08</v>
      </c>
      <c r="CP3011">
        <v>10.93</v>
      </c>
      <c r="CQ3011">
        <v>2.0099999999999998</v>
      </c>
      <c r="CR3011">
        <v>5.93</v>
      </c>
      <c r="CS3011" t="s">
        <v>6076</v>
      </c>
      <c r="CT3011">
        <v>7.49</v>
      </c>
      <c r="CU3011">
        <v>0</v>
      </c>
      <c r="CV3011">
        <v>1.61</v>
      </c>
      <c r="CW3011">
        <v>3.96</v>
      </c>
      <c r="CX3011">
        <v>0.74</v>
      </c>
      <c r="CY3011">
        <v>75.28</v>
      </c>
      <c r="CZ3011" t="s">
        <v>4913</v>
      </c>
      <c r="DA3011">
        <v>25.46</v>
      </c>
      <c r="DB3011">
        <v>28.15</v>
      </c>
      <c r="DC3011">
        <v>20.190000000000001</v>
      </c>
      <c r="DD3011">
        <v>0</v>
      </c>
      <c r="DE3011">
        <v>99173</v>
      </c>
      <c r="DF3011">
        <v>601006</v>
      </c>
      <c r="DG3011" t="s">
        <v>116</v>
      </c>
      <c r="DH3011" t="s">
        <v>116</v>
      </c>
      <c r="DI3011" t="s">
        <v>116</v>
      </c>
    </row>
    <row r="3012" spans="1:113" x14ac:dyDescent="0.4">
      <c r="A3012" t="str">
        <f>"601007"</f>
        <v>601007</v>
      </c>
      <c r="B3012" t="s">
        <v>13195</v>
      </c>
      <c r="C3012">
        <v>-0.11</v>
      </c>
      <c r="D3012">
        <v>9.2200000000000006</v>
      </c>
      <c r="E3012">
        <v>-0.01</v>
      </c>
      <c r="F3012">
        <v>9.2200000000000006</v>
      </c>
      <c r="G3012">
        <v>9.23</v>
      </c>
      <c r="H3012">
        <v>8395</v>
      </c>
      <c r="I3012">
        <v>166</v>
      </c>
      <c r="J3012">
        <v>0.11</v>
      </c>
      <c r="K3012">
        <v>0.28000000000000003</v>
      </c>
      <c r="L3012">
        <v>9.16</v>
      </c>
      <c r="M3012">
        <v>9.25</v>
      </c>
      <c r="N3012">
        <v>9.15</v>
      </c>
      <c r="O3012">
        <v>9.23</v>
      </c>
      <c r="P3012">
        <v>34.64</v>
      </c>
      <c r="Q3012">
        <v>7726335</v>
      </c>
      <c r="R3012">
        <v>0.81</v>
      </c>
      <c r="S3012" t="s">
        <v>156</v>
      </c>
      <c r="T3012" t="s">
        <v>323</v>
      </c>
      <c r="U3012">
        <v>1.08</v>
      </c>
      <c r="V3012">
        <v>9.1999999999999993</v>
      </c>
      <c r="W3012">
        <v>4441</v>
      </c>
      <c r="X3012">
        <v>3954</v>
      </c>
      <c r="Y3012">
        <v>1.1200000000000001</v>
      </c>
      <c r="Z3012">
        <v>129</v>
      </c>
      <c r="AA3012">
        <v>512</v>
      </c>
      <c r="AB3012" t="s">
        <v>116</v>
      </c>
      <c r="AC3012">
        <v>76900</v>
      </c>
      <c r="AD3012">
        <v>0</v>
      </c>
      <c r="AE3012" t="s">
        <v>116</v>
      </c>
      <c r="AF3012" t="s">
        <v>116</v>
      </c>
      <c r="AG3012">
        <v>3</v>
      </c>
      <c r="AH3012" t="s">
        <v>11705</v>
      </c>
      <c r="AI3012" t="s">
        <v>11705</v>
      </c>
      <c r="AJ3012">
        <v>-0.03</v>
      </c>
      <c r="AK3012">
        <v>358</v>
      </c>
      <c r="AL3012">
        <v>23</v>
      </c>
      <c r="AM3012">
        <v>8.0000000000000004E-4</v>
      </c>
      <c r="AN3012">
        <v>-1</v>
      </c>
      <c r="AO3012">
        <v>1.21</v>
      </c>
      <c r="AP3012">
        <v>4.8899999999999997</v>
      </c>
      <c r="AQ3012">
        <v>-4.95</v>
      </c>
      <c r="AR3012">
        <v>17.149999999999999</v>
      </c>
      <c r="AS3012">
        <v>0.48</v>
      </c>
      <c r="AT3012" t="s">
        <v>13196</v>
      </c>
      <c r="AU3012">
        <v>35.76</v>
      </c>
      <c r="AV3012">
        <v>35.729999999999997</v>
      </c>
      <c r="AW3012">
        <v>0.92</v>
      </c>
      <c r="BA3012">
        <v>-0.76</v>
      </c>
      <c r="BB3012">
        <v>0.22</v>
      </c>
      <c r="BC3012">
        <v>-0.87</v>
      </c>
      <c r="BD3012">
        <v>-0.28999999999999998</v>
      </c>
      <c r="BE3012">
        <v>0.66</v>
      </c>
      <c r="BF3012">
        <v>-0.32</v>
      </c>
      <c r="BG3012">
        <v>0.77</v>
      </c>
      <c r="BH3012">
        <v>0.18</v>
      </c>
      <c r="BI3012">
        <v>20191031</v>
      </c>
      <c r="BJ3012">
        <v>20070406</v>
      </c>
      <c r="BK3012">
        <v>3</v>
      </c>
      <c r="BL3012" t="s">
        <v>116</v>
      </c>
      <c r="BM3012" t="s">
        <v>116</v>
      </c>
      <c r="BN3012">
        <v>30.19</v>
      </c>
      <c r="BO3012">
        <v>14.72</v>
      </c>
      <c r="BP3012">
        <v>7.22</v>
      </c>
      <c r="BQ3012">
        <v>27.32</v>
      </c>
      <c r="BR3012">
        <v>10.17</v>
      </c>
      <c r="BS3012">
        <v>12.21</v>
      </c>
      <c r="BT3012">
        <v>3.68</v>
      </c>
      <c r="BU3012">
        <v>5.26</v>
      </c>
      <c r="BV3012">
        <v>3.57</v>
      </c>
      <c r="BW3012">
        <v>0.62</v>
      </c>
      <c r="BX3012">
        <v>4.04</v>
      </c>
      <c r="BY3012">
        <v>9.26</v>
      </c>
      <c r="BZ3012">
        <v>4.3099999999999996</v>
      </c>
      <c r="CA3012">
        <v>1.22</v>
      </c>
      <c r="CB3012">
        <v>0.02</v>
      </c>
      <c r="CC3012">
        <v>1.23</v>
      </c>
      <c r="CD3012">
        <v>0.91</v>
      </c>
      <c r="CE3012">
        <v>0.6</v>
      </c>
      <c r="CF3012">
        <v>0.54</v>
      </c>
      <c r="CG3012">
        <v>6.65</v>
      </c>
      <c r="CH3012">
        <v>1.0900000000000001</v>
      </c>
      <c r="CI3012">
        <v>-0.56000000000000005</v>
      </c>
      <c r="CJ3012">
        <v>15811</v>
      </c>
      <c r="CK3012">
        <v>11099</v>
      </c>
      <c r="CL3012" t="s">
        <v>13197</v>
      </c>
      <c r="CM3012">
        <v>-0.12</v>
      </c>
      <c r="CN3012">
        <v>17.670000000000002</v>
      </c>
      <c r="CO3012">
        <v>1.88</v>
      </c>
      <c r="CP3012">
        <v>25.31</v>
      </c>
      <c r="CQ3012">
        <v>2.99</v>
      </c>
      <c r="CR3012">
        <v>2.17</v>
      </c>
      <c r="CS3012" t="s">
        <v>541</v>
      </c>
      <c r="CT3012">
        <v>4.91</v>
      </c>
      <c r="CU3012">
        <v>0</v>
      </c>
      <c r="CV3012">
        <v>1.35</v>
      </c>
      <c r="CW3012">
        <v>2.2200000000000002</v>
      </c>
      <c r="CX3012">
        <v>0.36</v>
      </c>
      <c r="CY3012">
        <v>48.75</v>
      </c>
      <c r="CZ3012" t="s">
        <v>5723</v>
      </c>
      <c r="DA3012">
        <v>53.41</v>
      </c>
      <c r="DB3012">
        <v>13.15</v>
      </c>
      <c r="DC3012">
        <v>6.47</v>
      </c>
      <c r="DD3012">
        <v>0</v>
      </c>
      <c r="DE3012">
        <v>1374</v>
      </c>
      <c r="DF3012">
        <v>601007</v>
      </c>
      <c r="DG3012" t="s">
        <v>116</v>
      </c>
      <c r="DH3012" t="s">
        <v>116</v>
      </c>
      <c r="DI3012" t="s">
        <v>116</v>
      </c>
    </row>
    <row r="3013" spans="1:113" x14ac:dyDescent="0.4">
      <c r="A3013" t="str">
        <f>"601008"</f>
        <v>601008</v>
      </c>
      <c r="B3013" t="s">
        <v>13198</v>
      </c>
      <c r="C3013">
        <v>-0.26</v>
      </c>
      <c r="D3013">
        <v>3.83</v>
      </c>
      <c r="E3013">
        <v>-0.01</v>
      </c>
      <c r="F3013">
        <v>3.82</v>
      </c>
      <c r="G3013">
        <v>3.83</v>
      </c>
      <c r="H3013">
        <v>91764</v>
      </c>
      <c r="I3013">
        <v>667</v>
      </c>
      <c r="J3013">
        <v>0</v>
      </c>
      <c r="K3013">
        <v>0.9</v>
      </c>
      <c r="L3013">
        <v>3.85</v>
      </c>
      <c r="M3013">
        <v>3.88</v>
      </c>
      <c r="N3013">
        <v>3.82</v>
      </c>
      <c r="O3013">
        <v>3.84</v>
      </c>
      <c r="P3013">
        <v>372.31</v>
      </c>
      <c r="Q3013">
        <v>35335636</v>
      </c>
      <c r="R3013">
        <v>0.82</v>
      </c>
      <c r="S3013" t="s">
        <v>515</v>
      </c>
      <c r="T3013" t="s">
        <v>323</v>
      </c>
      <c r="U3013">
        <v>1.56</v>
      </c>
      <c r="V3013">
        <v>3.85</v>
      </c>
      <c r="W3013">
        <v>56587</v>
      </c>
      <c r="X3013">
        <v>35177</v>
      </c>
      <c r="Y3013">
        <v>1.61</v>
      </c>
      <c r="Z3013">
        <v>2612</v>
      </c>
      <c r="AA3013">
        <v>237</v>
      </c>
      <c r="AB3013" t="s">
        <v>116</v>
      </c>
      <c r="AC3013">
        <v>178600</v>
      </c>
      <c r="AD3013">
        <v>0.01</v>
      </c>
      <c r="AE3013" t="s">
        <v>116</v>
      </c>
      <c r="AF3013" t="s">
        <v>116</v>
      </c>
      <c r="AG3013">
        <v>10.15</v>
      </c>
      <c r="AH3013" t="s">
        <v>4467</v>
      </c>
      <c r="AI3013" t="s">
        <v>13199</v>
      </c>
      <c r="AJ3013">
        <v>-0.18</v>
      </c>
      <c r="AK3013">
        <v>1170</v>
      </c>
      <c r="AL3013">
        <v>78</v>
      </c>
      <c r="AM3013">
        <v>8.0000000000000004E-4</v>
      </c>
      <c r="AN3013">
        <v>-1</v>
      </c>
      <c r="AO3013">
        <v>-1.03</v>
      </c>
      <c r="AP3013">
        <v>3.51</v>
      </c>
      <c r="AQ3013">
        <v>-4.7300000000000004</v>
      </c>
      <c r="AR3013">
        <v>25.57</v>
      </c>
      <c r="AS3013">
        <v>1.76</v>
      </c>
      <c r="AT3013" t="s">
        <v>13200</v>
      </c>
      <c r="AU3013" t="s">
        <v>116</v>
      </c>
      <c r="AV3013">
        <v>1192.0999999999999</v>
      </c>
      <c r="AW3013">
        <v>1.37</v>
      </c>
      <c r="BA3013">
        <v>0.26</v>
      </c>
      <c r="BB3013">
        <v>1.04</v>
      </c>
      <c r="BC3013">
        <v>-0.52</v>
      </c>
      <c r="BD3013">
        <v>0.28000000000000003</v>
      </c>
      <c r="BE3013">
        <v>-0.52</v>
      </c>
      <c r="BF3013">
        <v>-1.29</v>
      </c>
      <c r="BG3013">
        <v>0.26</v>
      </c>
      <c r="BH3013">
        <v>-0.54</v>
      </c>
      <c r="BI3013">
        <v>20191121</v>
      </c>
      <c r="BJ3013">
        <v>20070426</v>
      </c>
      <c r="BK3013">
        <v>10.94</v>
      </c>
      <c r="BL3013" t="s">
        <v>116</v>
      </c>
      <c r="BM3013" t="s">
        <v>116</v>
      </c>
      <c r="BN3013">
        <v>95.92</v>
      </c>
      <c r="BO3013">
        <v>31.67</v>
      </c>
      <c r="BP3013">
        <v>10.84</v>
      </c>
      <c r="BQ3013">
        <v>55.69</v>
      </c>
      <c r="BR3013">
        <v>25.71</v>
      </c>
      <c r="BS3013">
        <v>47.59</v>
      </c>
      <c r="BT3013">
        <v>0.01</v>
      </c>
      <c r="BU3013">
        <v>41.36</v>
      </c>
      <c r="BV3013">
        <v>0.24</v>
      </c>
      <c r="BW3013">
        <v>1.98</v>
      </c>
      <c r="BX3013">
        <v>16.11</v>
      </c>
      <c r="BY3013">
        <v>10.199999999999999</v>
      </c>
      <c r="BZ3013">
        <v>7.36</v>
      </c>
      <c r="CA3013">
        <v>0.45</v>
      </c>
      <c r="CB3013">
        <v>0.36</v>
      </c>
      <c r="CC3013">
        <v>0.48</v>
      </c>
      <c r="CD3013">
        <v>0.28999999999999998</v>
      </c>
      <c r="CE3013">
        <v>0.08</v>
      </c>
      <c r="CF3013">
        <v>-0.12</v>
      </c>
      <c r="CG3013">
        <v>4.22</v>
      </c>
      <c r="CH3013">
        <v>2.63</v>
      </c>
      <c r="CI3013">
        <v>2.74</v>
      </c>
      <c r="CJ3013">
        <v>102677</v>
      </c>
      <c r="CK3013">
        <v>5073</v>
      </c>
      <c r="CL3013" t="s">
        <v>13201</v>
      </c>
      <c r="CM3013">
        <v>-34.979999999999997</v>
      </c>
      <c r="CN3013">
        <v>4.9000000000000004</v>
      </c>
      <c r="CO3013">
        <v>1.23</v>
      </c>
      <c r="CP3013">
        <v>15.95</v>
      </c>
      <c r="CQ3013">
        <v>4.1100000000000003</v>
      </c>
      <c r="CR3013">
        <v>0.24</v>
      </c>
      <c r="CS3013" t="s">
        <v>888</v>
      </c>
      <c r="CT3013">
        <v>3.12</v>
      </c>
      <c r="CU3013">
        <v>3.12</v>
      </c>
      <c r="CV3013">
        <v>1.47</v>
      </c>
      <c r="CW3013">
        <v>0.39</v>
      </c>
      <c r="CX3013">
        <v>0.24</v>
      </c>
      <c r="CY3013">
        <v>33.01</v>
      </c>
      <c r="CZ3013" t="s">
        <v>6969</v>
      </c>
      <c r="DA3013">
        <v>27.84</v>
      </c>
      <c r="DB3013">
        <v>4.38</v>
      </c>
      <c r="DC3013">
        <v>0.83</v>
      </c>
      <c r="DD3013">
        <v>0</v>
      </c>
      <c r="DE3013">
        <v>3600</v>
      </c>
      <c r="DF3013">
        <v>601008</v>
      </c>
      <c r="DG3013" t="s">
        <v>116</v>
      </c>
      <c r="DH3013" t="s">
        <v>116</v>
      </c>
      <c r="DI3013" t="s">
        <v>116</v>
      </c>
    </row>
    <row r="3014" spans="1:113" x14ac:dyDescent="0.4">
      <c r="A3014" t="str">
        <f>"601009"</f>
        <v>601009</v>
      </c>
      <c r="B3014" t="s">
        <v>13202</v>
      </c>
      <c r="C3014">
        <v>0.8</v>
      </c>
      <c r="D3014">
        <v>8.7799999999999994</v>
      </c>
      <c r="E3014">
        <v>7.0000000000000007E-2</v>
      </c>
      <c r="F3014">
        <v>8.7799999999999994</v>
      </c>
      <c r="G3014">
        <v>8.7899999999999991</v>
      </c>
      <c r="H3014">
        <v>649194</v>
      </c>
      <c r="I3014">
        <v>2717</v>
      </c>
      <c r="J3014">
        <v>-0.1</v>
      </c>
      <c r="K3014">
        <v>0.77</v>
      </c>
      <c r="L3014">
        <v>8.66</v>
      </c>
      <c r="M3014">
        <v>8.89</v>
      </c>
      <c r="N3014">
        <v>8.66</v>
      </c>
      <c r="O3014">
        <v>8.7100000000000009</v>
      </c>
      <c r="P3014">
        <v>5.65</v>
      </c>
      <c r="Q3014">
        <v>571764672</v>
      </c>
      <c r="R3014">
        <v>1.85</v>
      </c>
      <c r="S3014" t="s">
        <v>114</v>
      </c>
      <c r="T3014" t="s">
        <v>323</v>
      </c>
      <c r="U3014">
        <v>2.64</v>
      </c>
      <c r="V3014">
        <v>8.81</v>
      </c>
      <c r="W3014">
        <v>280499</v>
      </c>
      <c r="X3014">
        <v>368695</v>
      </c>
      <c r="Y3014">
        <v>0.76</v>
      </c>
      <c r="Z3014">
        <v>2486</v>
      </c>
      <c r="AA3014">
        <v>2247</v>
      </c>
      <c r="AB3014" t="s">
        <v>116</v>
      </c>
      <c r="AC3014">
        <v>5552801</v>
      </c>
      <c r="AD3014">
        <v>0.01</v>
      </c>
      <c r="AE3014" t="s">
        <v>116</v>
      </c>
      <c r="AF3014" t="s">
        <v>116</v>
      </c>
      <c r="AG3014">
        <v>84.82</v>
      </c>
      <c r="AH3014" t="s">
        <v>13203</v>
      </c>
      <c r="AI3014" t="s">
        <v>13203</v>
      </c>
      <c r="AJ3014">
        <v>0.88</v>
      </c>
      <c r="AK3014">
        <v>4089</v>
      </c>
      <c r="AL3014">
        <v>159</v>
      </c>
      <c r="AM3014">
        <v>2.0000000000000001E-4</v>
      </c>
      <c r="AN3014">
        <v>2</v>
      </c>
      <c r="AO3014">
        <v>1.03</v>
      </c>
      <c r="AP3014">
        <v>6.17</v>
      </c>
      <c r="AQ3014">
        <v>1.97</v>
      </c>
      <c r="AR3014">
        <v>44.69</v>
      </c>
      <c r="AS3014">
        <v>1.22</v>
      </c>
      <c r="AT3014" t="s">
        <v>13204</v>
      </c>
      <c r="AU3014">
        <v>6.01</v>
      </c>
      <c r="AV3014">
        <v>6.73</v>
      </c>
      <c r="AW3014">
        <v>1.1399999999999999</v>
      </c>
      <c r="BA3014">
        <v>-0.56999999999999995</v>
      </c>
      <c r="BB3014">
        <v>2.0699999999999998</v>
      </c>
      <c r="BC3014">
        <v>-0.56999999999999995</v>
      </c>
      <c r="BD3014">
        <v>1.1200000000000001</v>
      </c>
      <c r="BE3014">
        <v>1.39</v>
      </c>
      <c r="BF3014">
        <v>-1.24</v>
      </c>
      <c r="BG3014">
        <v>1.39</v>
      </c>
      <c r="BH3014">
        <v>-0.31</v>
      </c>
      <c r="BI3014">
        <v>20191031</v>
      </c>
      <c r="BJ3014">
        <v>20070719</v>
      </c>
      <c r="BK3014">
        <v>84.82</v>
      </c>
      <c r="BL3014" t="s">
        <v>116</v>
      </c>
      <c r="BM3014" t="s">
        <v>116</v>
      </c>
      <c r="BN3014">
        <v>13335.59</v>
      </c>
      <c r="BO3014">
        <v>844.64</v>
      </c>
      <c r="BP3014">
        <v>10.28</v>
      </c>
      <c r="BQ3014">
        <v>93.59</v>
      </c>
      <c r="BR3014">
        <v>0</v>
      </c>
      <c r="BS3014">
        <v>62.42</v>
      </c>
      <c r="BT3014">
        <v>3.78</v>
      </c>
      <c r="BU3014">
        <v>0</v>
      </c>
      <c r="BV3014">
        <v>0</v>
      </c>
      <c r="BW3014">
        <v>0</v>
      </c>
      <c r="BX3014">
        <v>132.41999999999999</v>
      </c>
      <c r="BY3014">
        <v>244.53</v>
      </c>
      <c r="BZ3014">
        <v>0</v>
      </c>
      <c r="CA3014">
        <v>119.91</v>
      </c>
      <c r="CB3014">
        <v>40.98</v>
      </c>
      <c r="CC3014">
        <v>119.61</v>
      </c>
      <c r="CD3014">
        <v>99.82</v>
      </c>
      <c r="CE3014">
        <v>98.89</v>
      </c>
      <c r="CF3014">
        <v>98.6</v>
      </c>
      <c r="CG3014">
        <v>332.61</v>
      </c>
      <c r="CH3014">
        <v>-155.16</v>
      </c>
      <c r="CI3014">
        <v>10.51</v>
      </c>
      <c r="CJ3014">
        <v>118474</v>
      </c>
      <c r="CK3014">
        <v>45014</v>
      </c>
      <c r="CL3014" t="s">
        <v>13205</v>
      </c>
      <c r="CM3014">
        <v>15.33</v>
      </c>
      <c r="CN3014">
        <v>21.1</v>
      </c>
      <c r="CO3014">
        <v>1</v>
      </c>
      <c r="CP3014">
        <v>-4.8</v>
      </c>
      <c r="CQ3014">
        <v>3.05</v>
      </c>
      <c r="CR3014">
        <v>4.46</v>
      </c>
      <c r="CS3014" t="s">
        <v>13206</v>
      </c>
      <c r="CT3014">
        <v>8.7899999999999991</v>
      </c>
      <c r="CU3014">
        <v>8.7899999999999991</v>
      </c>
      <c r="CV3014">
        <v>1.56</v>
      </c>
      <c r="CW3014">
        <v>3.92</v>
      </c>
      <c r="CX3014">
        <v>-1.83</v>
      </c>
      <c r="CY3014">
        <v>6.33</v>
      </c>
      <c r="CZ3014" t="s">
        <v>5550</v>
      </c>
      <c r="DA3014" t="s">
        <v>116</v>
      </c>
      <c r="DB3014">
        <v>49.04</v>
      </c>
      <c r="DC3014">
        <v>40.44</v>
      </c>
      <c r="DD3014">
        <v>0</v>
      </c>
      <c r="DE3014">
        <v>10848</v>
      </c>
      <c r="DF3014">
        <v>601009</v>
      </c>
      <c r="DG3014" t="s">
        <v>116</v>
      </c>
      <c r="DH3014" t="s">
        <v>116</v>
      </c>
      <c r="DI3014" t="s">
        <v>116</v>
      </c>
    </row>
    <row r="3015" spans="1:113" x14ac:dyDescent="0.4">
      <c r="A3015" t="str">
        <f>"601010"</f>
        <v>601010</v>
      </c>
      <c r="B3015" t="s">
        <v>13207</v>
      </c>
      <c r="C3015">
        <v>-1.29</v>
      </c>
      <c r="D3015">
        <v>3.05</v>
      </c>
      <c r="E3015">
        <v>-0.04</v>
      </c>
      <c r="F3015">
        <v>3.05</v>
      </c>
      <c r="G3015">
        <v>3.06</v>
      </c>
      <c r="H3015">
        <v>40868</v>
      </c>
      <c r="I3015">
        <v>400</v>
      </c>
      <c r="J3015">
        <v>-0.32</v>
      </c>
      <c r="K3015">
        <v>0.22</v>
      </c>
      <c r="L3015">
        <v>3.09</v>
      </c>
      <c r="M3015">
        <v>3.09</v>
      </c>
      <c r="N3015">
        <v>3.05</v>
      </c>
      <c r="O3015">
        <v>3.09</v>
      </c>
      <c r="P3015">
        <v>17.32</v>
      </c>
      <c r="Q3015">
        <v>12562158</v>
      </c>
      <c r="R3015">
        <v>1.17</v>
      </c>
      <c r="S3015" t="s">
        <v>2064</v>
      </c>
      <c r="T3015" t="s">
        <v>323</v>
      </c>
      <c r="U3015">
        <v>1.29</v>
      </c>
      <c r="V3015">
        <v>3.07</v>
      </c>
      <c r="W3015">
        <v>31576</v>
      </c>
      <c r="X3015">
        <v>9292</v>
      </c>
      <c r="Y3015">
        <v>3.4</v>
      </c>
      <c r="Z3015">
        <v>1107</v>
      </c>
      <c r="AA3015">
        <v>1479</v>
      </c>
      <c r="AB3015" t="s">
        <v>116</v>
      </c>
      <c r="AC3015">
        <v>30900</v>
      </c>
      <c r="AD3015">
        <v>0</v>
      </c>
      <c r="AE3015" t="s">
        <v>116</v>
      </c>
      <c r="AF3015" t="s">
        <v>116</v>
      </c>
      <c r="AG3015">
        <v>18.48</v>
      </c>
      <c r="AH3015" t="s">
        <v>13208</v>
      </c>
      <c r="AI3015" t="s">
        <v>13208</v>
      </c>
      <c r="AJ3015">
        <v>-1.22</v>
      </c>
      <c r="AK3015">
        <v>532</v>
      </c>
      <c r="AL3015">
        <v>77</v>
      </c>
      <c r="AM3015">
        <v>4.0000000000000002E-4</v>
      </c>
      <c r="AN3015">
        <v>-1</v>
      </c>
      <c r="AO3015">
        <v>-0.97</v>
      </c>
      <c r="AP3015">
        <v>3.74</v>
      </c>
      <c r="AQ3015">
        <v>-0.97</v>
      </c>
      <c r="AR3015">
        <v>6.64</v>
      </c>
      <c r="AS3015">
        <v>0.47</v>
      </c>
      <c r="AT3015" t="s">
        <v>539</v>
      </c>
      <c r="AU3015">
        <v>19.43</v>
      </c>
      <c r="AV3015">
        <v>23.26</v>
      </c>
      <c r="AW3015">
        <v>0.93</v>
      </c>
      <c r="BA3015">
        <v>0</v>
      </c>
      <c r="BB3015">
        <v>0</v>
      </c>
      <c r="BC3015">
        <v>-1.29</v>
      </c>
      <c r="BD3015">
        <v>-0.52</v>
      </c>
      <c r="BE3015">
        <v>-1.29</v>
      </c>
      <c r="BF3015">
        <v>-1.29</v>
      </c>
      <c r="BG3015">
        <v>0</v>
      </c>
      <c r="BH3015">
        <v>-0.77</v>
      </c>
      <c r="BI3015">
        <v>20191031</v>
      </c>
      <c r="BJ3015">
        <v>20110603</v>
      </c>
      <c r="BK3015">
        <v>18.48</v>
      </c>
      <c r="BL3015" t="s">
        <v>116</v>
      </c>
      <c r="BM3015" t="s">
        <v>116</v>
      </c>
      <c r="BN3015">
        <v>63.95</v>
      </c>
      <c r="BO3015">
        <v>46.8</v>
      </c>
      <c r="BP3015">
        <v>-0.1</v>
      </c>
      <c r="BQ3015">
        <v>26.97</v>
      </c>
      <c r="BR3015">
        <v>17.25</v>
      </c>
      <c r="BS3015">
        <v>32.299999999999997</v>
      </c>
      <c r="BT3015">
        <v>6.34</v>
      </c>
      <c r="BU3015">
        <v>16.77</v>
      </c>
      <c r="BV3015">
        <v>7.07</v>
      </c>
      <c r="BW3015">
        <v>0.2</v>
      </c>
      <c r="BX3015">
        <v>8.43</v>
      </c>
      <c r="BY3015">
        <v>44.81</v>
      </c>
      <c r="BZ3015">
        <v>35.869999999999997</v>
      </c>
      <c r="CA3015">
        <v>3.13</v>
      </c>
      <c r="CB3015">
        <v>0.11</v>
      </c>
      <c r="CC3015">
        <v>3.5</v>
      </c>
      <c r="CD3015">
        <v>2.44</v>
      </c>
      <c r="CE3015">
        <v>2.44</v>
      </c>
      <c r="CF3015">
        <v>2.0699999999999998</v>
      </c>
      <c r="CG3015">
        <v>15.63</v>
      </c>
      <c r="CH3015">
        <v>5.57</v>
      </c>
      <c r="CI3015">
        <v>-0.65</v>
      </c>
      <c r="CJ3015">
        <v>130220</v>
      </c>
      <c r="CK3015">
        <v>6719</v>
      </c>
      <c r="CL3015" t="s">
        <v>13209</v>
      </c>
      <c r="CM3015">
        <v>24.36</v>
      </c>
      <c r="CN3015">
        <v>-6.68</v>
      </c>
      <c r="CO3015">
        <v>1.2</v>
      </c>
      <c r="CP3015">
        <v>10.119999999999999</v>
      </c>
      <c r="CQ3015">
        <v>1.26</v>
      </c>
      <c r="CR3015">
        <v>1.31</v>
      </c>
      <c r="CS3015" t="s">
        <v>512</v>
      </c>
      <c r="CT3015">
        <v>2.5299999999999998</v>
      </c>
      <c r="CU3015">
        <v>0</v>
      </c>
      <c r="CV3015">
        <v>0.46</v>
      </c>
      <c r="CW3015">
        <v>0.85</v>
      </c>
      <c r="CX3015">
        <v>0.3</v>
      </c>
      <c r="CY3015">
        <v>73.180000000000007</v>
      </c>
      <c r="CZ3015" t="s">
        <v>12228</v>
      </c>
      <c r="DA3015">
        <v>19.96</v>
      </c>
      <c r="DB3015">
        <v>6.99</v>
      </c>
      <c r="DC3015">
        <v>5.45</v>
      </c>
      <c r="DD3015">
        <v>0</v>
      </c>
      <c r="DE3015">
        <v>4323</v>
      </c>
      <c r="DF3015">
        <v>601010</v>
      </c>
      <c r="DG3015" t="s">
        <v>116</v>
      </c>
      <c r="DH3015" t="s">
        <v>116</v>
      </c>
      <c r="DI3015" t="s">
        <v>116</v>
      </c>
    </row>
    <row r="3016" spans="1:113" x14ac:dyDescent="0.4">
      <c r="A3016" t="str">
        <f>"601011"</f>
        <v>601011</v>
      </c>
      <c r="B3016" t="s">
        <v>13210</v>
      </c>
      <c r="C3016">
        <v>1.1299999999999999</v>
      </c>
      <c r="D3016">
        <v>4.49</v>
      </c>
      <c r="E3016">
        <v>0.05</v>
      </c>
      <c r="F3016">
        <v>4.4800000000000004</v>
      </c>
      <c r="G3016">
        <v>4.5</v>
      </c>
      <c r="H3016">
        <v>492668</v>
      </c>
      <c r="I3016">
        <v>4237</v>
      </c>
      <c r="J3016">
        <v>0.22</v>
      </c>
      <c r="K3016">
        <v>3.07</v>
      </c>
      <c r="L3016">
        <v>4.46</v>
      </c>
      <c r="M3016">
        <v>4.63</v>
      </c>
      <c r="N3016">
        <v>4.4000000000000004</v>
      </c>
      <c r="O3016">
        <v>4.4400000000000004</v>
      </c>
      <c r="P3016">
        <v>79.400000000000006</v>
      </c>
      <c r="Q3016">
        <v>222212416</v>
      </c>
      <c r="R3016">
        <v>1.68</v>
      </c>
      <c r="S3016" t="s">
        <v>1927</v>
      </c>
      <c r="T3016" t="s">
        <v>1287</v>
      </c>
      <c r="U3016">
        <v>5.18</v>
      </c>
      <c r="V3016">
        <v>4.51</v>
      </c>
      <c r="W3016">
        <v>259037</v>
      </c>
      <c r="X3016">
        <v>233631</v>
      </c>
      <c r="Y3016">
        <v>1.1100000000000001</v>
      </c>
      <c r="Z3016">
        <v>2267</v>
      </c>
      <c r="AA3016">
        <v>2647</v>
      </c>
      <c r="AB3016" t="s">
        <v>116</v>
      </c>
      <c r="AC3016">
        <v>416100</v>
      </c>
      <c r="AD3016">
        <v>0.01</v>
      </c>
      <c r="AE3016" t="s">
        <v>116</v>
      </c>
      <c r="AF3016" t="s">
        <v>116</v>
      </c>
      <c r="AG3016">
        <v>16.05</v>
      </c>
      <c r="AH3016" t="s">
        <v>4157</v>
      </c>
      <c r="AI3016" t="s">
        <v>13211</v>
      </c>
      <c r="AJ3016">
        <v>1.2</v>
      </c>
      <c r="AK3016">
        <v>3080</v>
      </c>
      <c r="AL3016">
        <v>160</v>
      </c>
      <c r="AM3016">
        <v>1E-3</v>
      </c>
      <c r="AN3016">
        <v>2</v>
      </c>
      <c r="AO3016">
        <v>1.82</v>
      </c>
      <c r="AP3016">
        <v>7.42</v>
      </c>
      <c r="AQ3016">
        <v>-13.32</v>
      </c>
      <c r="AR3016">
        <v>-18.36</v>
      </c>
      <c r="AS3016">
        <v>4.9000000000000004</v>
      </c>
      <c r="AT3016" t="s">
        <v>2446</v>
      </c>
      <c r="AU3016">
        <v>53.72</v>
      </c>
      <c r="AV3016">
        <v>21.11</v>
      </c>
      <c r="AW3016">
        <v>1.07</v>
      </c>
      <c r="BA3016">
        <v>0.45</v>
      </c>
      <c r="BB3016">
        <v>4.28</v>
      </c>
      <c r="BC3016">
        <v>-0.9</v>
      </c>
      <c r="BD3016">
        <v>1.59</v>
      </c>
      <c r="BE3016">
        <v>0.67</v>
      </c>
      <c r="BF3016">
        <v>-3.02</v>
      </c>
      <c r="BG3016">
        <v>2.0499999999999998</v>
      </c>
      <c r="BH3016">
        <v>-0.46</v>
      </c>
      <c r="BI3016">
        <v>20191121</v>
      </c>
      <c r="BJ3016">
        <v>20110309</v>
      </c>
      <c r="BK3016">
        <v>16.11</v>
      </c>
      <c r="BL3016" t="s">
        <v>116</v>
      </c>
      <c r="BM3016" t="s">
        <v>116</v>
      </c>
      <c r="BN3016">
        <v>110.73</v>
      </c>
      <c r="BO3016">
        <v>61.68</v>
      </c>
      <c r="BP3016">
        <v>7.18</v>
      </c>
      <c r="BQ3016">
        <v>37.81</v>
      </c>
      <c r="BR3016">
        <v>22.8</v>
      </c>
      <c r="BS3016">
        <v>15.94</v>
      </c>
      <c r="BT3016">
        <v>7.26</v>
      </c>
      <c r="BU3016">
        <v>32.549999999999997</v>
      </c>
      <c r="BV3016">
        <v>13.74</v>
      </c>
      <c r="BW3016">
        <v>0.41</v>
      </c>
      <c r="BX3016">
        <v>32.6</v>
      </c>
      <c r="BY3016">
        <v>21.34</v>
      </c>
      <c r="BZ3016">
        <v>18.12</v>
      </c>
      <c r="CA3016">
        <v>0.68</v>
      </c>
      <c r="CB3016">
        <v>-0.05</v>
      </c>
      <c r="CC3016">
        <v>0.83</v>
      </c>
      <c r="CD3016">
        <v>0.67</v>
      </c>
      <c r="CE3016">
        <v>0.68</v>
      </c>
      <c r="CF3016">
        <v>0.39</v>
      </c>
      <c r="CG3016">
        <v>11.93</v>
      </c>
      <c r="CH3016">
        <v>3.53</v>
      </c>
      <c r="CI3016">
        <v>-0.85</v>
      </c>
      <c r="CJ3016">
        <v>111854</v>
      </c>
      <c r="CK3016">
        <v>8996</v>
      </c>
      <c r="CL3016" t="s">
        <v>992</v>
      </c>
      <c r="CM3016">
        <v>-75.27</v>
      </c>
      <c r="CN3016">
        <v>-18.059999999999999</v>
      </c>
      <c r="CO3016">
        <v>1.17</v>
      </c>
      <c r="CP3016">
        <v>20.48</v>
      </c>
      <c r="CQ3016">
        <v>3.39</v>
      </c>
      <c r="CR3016">
        <v>0</v>
      </c>
      <c r="CS3016" t="s">
        <v>145</v>
      </c>
      <c r="CT3016">
        <v>3.83</v>
      </c>
      <c r="CU3016">
        <v>0</v>
      </c>
      <c r="CV3016">
        <v>2.02</v>
      </c>
      <c r="CW3016">
        <v>0.74</v>
      </c>
      <c r="CX3016">
        <v>0.22</v>
      </c>
      <c r="CY3016">
        <v>55.71</v>
      </c>
      <c r="CZ3016" t="s">
        <v>6454</v>
      </c>
      <c r="DA3016">
        <v>15.09</v>
      </c>
      <c r="DB3016">
        <v>3.18</v>
      </c>
      <c r="DC3016">
        <v>3.2</v>
      </c>
      <c r="DD3016">
        <v>7.0000000000000007E-2</v>
      </c>
      <c r="DE3016">
        <v>4450</v>
      </c>
      <c r="DF3016">
        <v>601011</v>
      </c>
      <c r="DG3016" t="s">
        <v>116</v>
      </c>
      <c r="DH3016" t="s">
        <v>116</v>
      </c>
      <c r="DI3016" t="s">
        <v>116</v>
      </c>
    </row>
    <row r="3017" spans="1:113" x14ac:dyDescent="0.4">
      <c r="A3017" t="str">
        <f>"601012"</f>
        <v>601012</v>
      </c>
      <c r="B3017" t="s">
        <v>13212</v>
      </c>
      <c r="C3017">
        <v>-0.12</v>
      </c>
      <c r="D3017">
        <v>24.41</v>
      </c>
      <c r="E3017">
        <v>-0.03</v>
      </c>
      <c r="F3017">
        <v>24.4</v>
      </c>
      <c r="G3017">
        <v>24.41</v>
      </c>
      <c r="H3017">
        <v>375657</v>
      </c>
      <c r="I3017">
        <v>1298</v>
      </c>
      <c r="J3017">
        <v>0.08</v>
      </c>
      <c r="K3017">
        <v>1</v>
      </c>
      <c r="L3017">
        <v>24.3</v>
      </c>
      <c r="M3017">
        <v>24.75</v>
      </c>
      <c r="N3017">
        <v>24.05</v>
      </c>
      <c r="O3017">
        <v>24.44</v>
      </c>
      <c r="P3017">
        <v>19.82</v>
      </c>
      <c r="Q3017">
        <v>914607936</v>
      </c>
      <c r="R3017">
        <v>1.43</v>
      </c>
      <c r="S3017" t="s">
        <v>3507</v>
      </c>
      <c r="T3017" t="s">
        <v>913</v>
      </c>
      <c r="U3017">
        <v>2.86</v>
      </c>
      <c r="V3017">
        <v>24.35</v>
      </c>
      <c r="W3017">
        <v>148394</v>
      </c>
      <c r="X3017">
        <v>227263</v>
      </c>
      <c r="Y3017">
        <v>0.65</v>
      </c>
      <c r="Z3017">
        <v>20</v>
      </c>
      <c r="AA3017">
        <v>431</v>
      </c>
      <c r="AB3017" t="s">
        <v>116</v>
      </c>
      <c r="AC3017">
        <v>7526400</v>
      </c>
      <c r="AD3017">
        <v>0.01</v>
      </c>
      <c r="AE3017" t="s">
        <v>116</v>
      </c>
      <c r="AF3017" t="s">
        <v>116</v>
      </c>
      <c r="AG3017">
        <v>37.68</v>
      </c>
      <c r="AH3017" t="s">
        <v>13213</v>
      </c>
      <c r="AI3017" t="s">
        <v>13214</v>
      </c>
      <c r="AJ3017">
        <v>-0.05</v>
      </c>
      <c r="AK3017">
        <v>4448</v>
      </c>
      <c r="AL3017">
        <v>84</v>
      </c>
      <c r="AM3017">
        <v>2.0000000000000001E-4</v>
      </c>
      <c r="AN3017">
        <v>-2</v>
      </c>
      <c r="AO3017">
        <v>-0.03</v>
      </c>
      <c r="AP3017">
        <v>2.35</v>
      </c>
      <c r="AQ3017">
        <v>-7.78</v>
      </c>
      <c r="AR3017">
        <v>69.650000000000006</v>
      </c>
      <c r="AS3017">
        <v>1.63</v>
      </c>
      <c r="AT3017" t="s">
        <v>13215</v>
      </c>
      <c r="AU3017">
        <v>21.16</v>
      </c>
      <c r="AV3017">
        <v>36</v>
      </c>
      <c r="AW3017">
        <v>0.82</v>
      </c>
      <c r="BA3017">
        <v>-0.56999999999999995</v>
      </c>
      <c r="BB3017">
        <v>1.27</v>
      </c>
      <c r="BC3017">
        <v>-1.6</v>
      </c>
      <c r="BD3017">
        <v>-0.38</v>
      </c>
      <c r="BE3017">
        <v>0.45</v>
      </c>
      <c r="BF3017">
        <v>-1.37</v>
      </c>
      <c r="BG3017">
        <v>1.5</v>
      </c>
      <c r="BH3017">
        <v>0.26</v>
      </c>
      <c r="BI3017">
        <v>20191128</v>
      </c>
      <c r="BJ3017">
        <v>20120411</v>
      </c>
      <c r="BK3017">
        <v>37.72</v>
      </c>
      <c r="BL3017" t="s">
        <v>116</v>
      </c>
      <c r="BM3017" t="s">
        <v>116</v>
      </c>
      <c r="BN3017">
        <v>541.01</v>
      </c>
      <c r="BO3017">
        <v>257.93</v>
      </c>
      <c r="BP3017">
        <v>5.35</v>
      </c>
      <c r="BQ3017">
        <v>51.34</v>
      </c>
      <c r="BR3017">
        <v>346.94</v>
      </c>
      <c r="BS3017">
        <v>139.1</v>
      </c>
      <c r="BT3017">
        <v>2.3199999999999998</v>
      </c>
      <c r="BU3017">
        <v>215.6</v>
      </c>
      <c r="BV3017">
        <v>60</v>
      </c>
      <c r="BW3017">
        <v>38.5</v>
      </c>
      <c r="BX3017">
        <v>104.64</v>
      </c>
      <c r="BY3017">
        <v>226.93</v>
      </c>
      <c r="BZ3017">
        <v>164.24</v>
      </c>
      <c r="CA3017">
        <v>42.65</v>
      </c>
      <c r="CB3017">
        <v>2.63</v>
      </c>
      <c r="CC3017">
        <v>42.26</v>
      </c>
      <c r="CD3017">
        <v>36.86</v>
      </c>
      <c r="CE3017">
        <v>34.840000000000003</v>
      </c>
      <c r="CF3017">
        <v>34.11</v>
      </c>
      <c r="CG3017">
        <v>110.97</v>
      </c>
      <c r="CH3017">
        <v>40.14</v>
      </c>
      <c r="CI3017">
        <v>76.75</v>
      </c>
      <c r="CJ3017">
        <v>78270</v>
      </c>
      <c r="CK3017">
        <v>29449</v>
      </c>
      <c r="CL3017" t="s">
        <v>13216</v>
      </c>
      <c r="CM3017">
        <v>106.03</v>
      </c>
      <c r="CN3017">
        <v>54.68</v>
      </c>
      <c r="CO3017">
        <v>3.57</v>
      </c>
      <c r="CP3017">
        <v>22.94</v>
      </c>
      <c r="CQ3017">
        <v>4.0599999999999996</v>
      </c>
      <c r="CR3017">
        <v>0.39</v>
      </c>
      <c r="CS3017" t="s">
        <v>11460</v>
      </c>
      <c r="CT3017">
        <v>6.84</v>
      </c>
      <c r="CU3017">
        <v>0</v>
      </c>
      <c r="CV3017">
        <v>2.77</v>
      </c>
      <c r="CW3017">
        <v>2.94</v>
      </c>
      <c r="CX3017">
        <v>1.06</v>
      </c>
      <c r="CY3017">
        <v>47.68</v>
      </c>
      <c r="CZ3017" t="s">
        <v>13217</v>
      </c>
      <c r="DA3017">
        <v>27.63</v>
      </c>
      <c r="DB3017">
        <v>18.8</v>
      </c>
      <c r="DC3017">
        <v>15.35</v>
      </c>
      <c r="DD3017">
        <v>1.98</v>
      </c>
      <c r="DE3017">
        <v>21056</v>
      </c>
      <c r="DF3017">
        <v>601012</v>
      </c>
      <c r="DG3017" t="s">
        <v>116</v>
      </c>
      <c r="DH3017" t="s">
        <v>116</v>
      </c>
      <c r="DI3017" t="s">
        <v>116</v>
      </c>
    </row>
    <row r="3018" spans="1:113" x14ac:dyDescent="0.4">
      <c r="A3018" t="str">
        <f>"601015"</f>
        <v>601015</v>
      </c>
      <c r="B3018" t="s">
        <v>13218</v>
      </c>
      <c r="C3018">
        <v>0.32</v>
      </c>
      <c r="D3018">
        <v>3.1</v>
      </c>
      <c r="E3018">
        <v>0.01</v>
      </c>
      <c r="F3018">
        <v>3.1</v>
      </c>
      <c r="G3018">
        <v>3.11</v>
      </c>
      <c r="H3018">
        <v>120411</v>
      </c>
      <c r="I3018">
        <v>1184</v>
      </c>
      <c r="J3018">
        <v>0</v>
      </c>
      <c r="K3018">
        <v>0.83</v>
      </c>
      <c r="L3018">
        <v>3.09</v>
      </c>
      <c r="M3018">
        <v>3.17</v>
      </c>
      <c r="N3018">
        <v>3.08</v>
      </c>
      <c r="O3018">
        <v>3.09</v>
      </c>
      <c r="P3018">
        <v>282.48</v>
      </c>
      <c r="Q3018">
        <v>37546944</v>
      </c>
      <c r="R3018">
        <v>1.76</v>
      </c>
      <c r="S3018" t="s">
        <v>1927</v>
      </c>
      <c r="T3018" t="s">
        <v>913</v>
      </c>
      <c r="U3018">
        <v>2.91</v>
      </c>
      <c r="V3018">
        <v>3.12</v>
      </c>
      <c r="W3018">
        <v>55652</v>
      </c>
      <c r="X3018">
        <v>64759</v>
      </c>
      <c r="Y3018">
        <v>0.86</v>
      </c>
      <c r="Z3018">
        <v>159</v>
      </c>
      <c r="AA3018">
        <v>1202</v>
      </c>
      <c r="AB3018" t="s">
        <v>116</v>
      </c>
      <c r="AC3018">
        <v>83300</v>
      </c>
      <c r="AD3018">
        <v>0.01</v>
      </c>
      <c r="AE3018" t="s">
        <v>116</v>
      </c>
      <c r="AF3018" t="s">
        <v>116</v>
      </c>
      <c r="AG3018">
        <v>14.59</v>
      </c>
      <c r="AH3018" t="s">
        <v>13219</v>
      </c>
      <c r="AI3018" t="s">
        <v>13220</v>
      </c>
      <c r="AJ3018">
        <v>0.4</v>
      </c>
      <c r="AK3018">
        <v>1137</v>
      </c>
      <c r="AL3018">
        <v>106</v>
      </c>
      <c r="AM3018">
        <v>6.9999999999999999E-4</v>
      </c>
      <c r="AN3018">
        <v>2</v>
      </c>
      <c r="AO3018">
        <v>0.32</v>
      </c>
      <c r="AP3018">
        <v>2.31</v>
      </c>
      <c r="AQ3018">
        <v>-9.09</v>
      </c>
      <c r="AR3018">
        <v>-23.38</v>
      </c>
      <c r="AS3018">
        <v>2.6</v>
      </c>
      <c r="AT3018" t="s">
        <v>8836</v>
      </c>
      <c r="AU3018">
        <v>37.31</v>
      </c>
      <c r="AV3018">
        <v>15.53</v>
      </c>
      <c r="AW3018">
        <v>1.18</v>
      </c>
      <c r="BA3018">
        <v>0</v>
      </c>
      <c r="BB3018">
        <v>2.59</v>
      </c>
      <c r="BC3018">
        <v>-0.32</v>
      </c>
      <c r="BD3018">
        <v>0.91</v>
      </c>
      <c r="BE3018">
        <v>0.32</v>
      </c>
      <c r="BF3018">
        <v>-2.21</v>
      </c>
      <c r="BG3018">
        <v>0.65</v>
      </c>
      <c r="BH3018">
        <v>-0.59</v>
      </c>
      <c r="BI3018">
        <v>20191029</v>
      </c>
      <c r="BJ3018">
        <v>20141105</v>
      </c>
      <c r="BK3018">
        <v>16.3</v>
      </c>
      <c r="BL3018" t="s">
        <v>116</v>
      </c>
      <c r="BM3018" t="s">
        <v>116</v>
      </c>
      <c r="BN3018">
        <v>138.58000000000001</v>
      </c>
      <c r="BO3018">
        <v>56.22</v>
      </c>
      <c r="BP3018">
        <v>17.46</v>
      </c>
      <c r="BQ3018">
        <v>46.84</v>
      </c>
      <c r="BR3018">
        <v>45.74</v>
      </c>
      <c r="BS3018">
        <v>55.96</v>
      </c>
      <c r="BT3018">
        <v>6.15</v>
      </c>
      <c r="BU3018">
        <v>60.41</v>
      </c>
      <c r="BV3018">
        <v>7.52</v>
      </c>
      <c r="BW3018">
        <v>2.6</v>
      </c>
      <c r="BX3018">
        <v>25</v>
      </c>
      <c r="BY3018">
        <v>71.56</v>
      </c>
      <c r="BZ3018">
        <v>65.06</v>
      </c>
      <c r="CA3018">
        <v>0.69</v>
      </c>
      <c r="CB3018">
        <v>-0.22</v>
      </c>
      <c r="CC3018">
        <v>0.69</v>
      </c>
      <c r="CD3018">
        <v>0.46</v>
      </c>
      <c r="CE3018">
        <v>0.13</v>
      </c>
      <c r="CF3018">
        <v>0.06</v>
      </c>
      <c r="CG3018">
        <v>13.23</v>
      </c>
      <c r="CH3018">
        <v>5.78</v>
      </c>
      <c r="CI3018">
        <v>-9.16</v>
      </c>
      <c r="CJ3018">
        <v>45071</v>
      </c>
      <c r="CK3018">
        <v>10277</v>
      </c>
      <c r="CL3018" t="s">
        <v>9790</v>
      </c>
      <c r="CM3018">
        <v>-93.4</v>
      </c>
      <c r="CN3018">
        <v>-2.2999999999999998</v>
      </c>
      <c r="CO3018">
        <v>0.9</v>
      </c>
      <c r="CP3018">
        <v>8.74</v>
      </c>
      <c r="CQ3018">
        <v>0.71</v>
      </c>
      <c r="CR3018">
        <v>1.24</v>
      </c>
      <c r="CS3018" t="s">
        <v>571</v>
      </c>
      <c r="CT3018">
        <v>3.45</v>
      </c>
      <c r="CU3018">
        <v>0</v>
      </c>
      <c r="CV3018">
        <v>1.53</v>
      </c>
      <c r="CW3018">
        <v>0.81</v>
      </c>
      <c r="CX3018">
        <v>0.35</v>
      </c>
      <c r="CY3018">
        <v>40.57</v>
      </c>
      <c r="CZ3018" t="s">
        <v>4701</v>
      </c>
      <c r="DA3018">
        <v>9.09</v>
      </c>
      <c r="DB3018">
        <v>0.97</v>
      </c>
      <c r="DC3018">
        <v>0.19</v>
      </c>
      <c r="DD3018">
        <v>0.05</v>
      </c>
      <c r="DE3018">
        <v>5993</v>
      </c>
      <c r="DF3018">
        <v>601015</v>
      </c>
      <c r="DG3018" t="s">
        <v>116</v>
      </c>
      <c r="DH3018" t="s">
        <v>116</v>
      </c>
      <c r="DI3018" t="s">
        <v>116</v>
      </c>
    </row>
    <row r="3019" spans="1:113" x14ac:dyDescent="0.4">
      <c r="A3019" t="str">
        <f>"601016"</f>
        <v>601016</v>
      </c>
      <c r="B3019" t="s">
        <v>13221</v>
      </c>
      <c r="C3019">
        <v>0</v>
      </c>
      <c r="D3019">
        <v>2.36</v>
      </c>
      <c r="E3019">
        <v>0</v>
      </c>
      <c r="F3019">
        <v>2.36</v>
      </c>
      <c r="G3019">
        <v>2.37</v>
      </c>
      <c r="H3019">
        <v>173041</v>
      </c>
      <c r="I3019">
        <v>1037</v>
      </c>
      <c r="J3019">
        <v>0</v>
      </c>
      <c r="K3019">
        <v>0.42</v>
      </c>
      <c r="L3019">
        <v>2.36</v>
      </c>
      <c r="M3019">
        <v>2.4</v>
      </c>
      <c r="N3019">
        <v>2.36</v>
      </c>
      <c r="O3019">
        <v>2.36</v>
      </c>
      <c r="P3019">
        <v>17.329999999999998</v>
      </c>
      <c r="Q3019">
        <v>41125512</v>
      </c>
      <c r="R3019">
        <v>1.37</v>
      </c>
      <c r="S3019" t="s">
        <v>361</v>
      </c>
      <c r="T3019" t="s">
        <v>165</v>
      </c>
      <c r="U3019">
        <v>1.69</v>
      </c>
      <c r="V3019">
        <v>2.38</v>
      </c>
      <c r="W3019">
        <v>90065</v>
      </c>
      <c r="X3019">
        <v>82976</v>
      </c>
      <c r="Y3019">
        <v>1.0900000000000001</v>
      </c>
      <c r="Z3019">
        <v>10009</v>
      </c>
      <c r="AA3019">
        <v>4342</v>
      </c>
      <c r="AB3019" t="s">
        <v>116</v>
      </c>
      <c r="AC3019">
        <v>152200</v>
      </c>
      <c r="AD3019">
        <v>0</v>
      </c>
      <c r="AE3019" t="s">
        <v>116</v>
      </c>
      <c r="AF3019" t="s">
        <v>116</v>
      </c>
      <c r="AG3019">
        <v>41.56</v>
      </c>
      <c r="AH3019" t="s">
        <v>13222</v>
      </c>
      <c r="AI3019" t="s">
        <v>13222</v>
      </c>
      <c r="AJ3019">
        <v>0.08</v>
      </c>
      <c r="AK3019">
        <v>1796</v>
      </c>
      <c r="AL3019">
        <v>96</v>
      </c>
      <c r="AM3019">
        <v>2.0000000000000001E-4</v>
      </c>
      <c r="AN3019">
        <v>0</v>
      </c>
      <c r="AO3019">
        <v>-0.41</v>
      </c>
      <c r="AP3019">
        <v>3.06</v>
      </c>
      <c r="AQ3019">
        <v>-4.07</v>
      </c>
      <c r="AR3019">
        <v>3.8</v>
      </c>
      <c r="AS3019">
        <v>1.1200000000000001</v>
      </c>
      <c r="AT3019" t="s">
        <v>11066</v>
      </c>
      <c r="AU3019">
        <v>20.6</v>
      </c>
      <c r="AV3019">
        <v>19.04</v>
      </c>
      <c r="AW3019">
        <v>1.27</v>
      </c>
      <c r="BA3019">
        <v>0</v>
      </c>
      <c r="BB3019">
        <v>1.69</v>
      </c>
      <c r="BC3019">
        <v>0</v>
      </c>
      <c r="BD3019">
        <v>0.7</v>
      </c>
      <c r="BE3019">
        <v>0</v>
      </c>
      <c r="BF3019">
        <v>-1.67</v>
      </c>
      <c r="BG3019">
        <v>0</v>
      </c>
      <c r="BH3019">
        <v>-0.7</v>
      </c>
      <c r="BI3019">
        <v>20191029</v>
      </c>
      <c r="BJ3019">
        <v>20140929</v>
      </c>
      <c r="BK3019">
        <v>41.56</v>
      </c>
      <c r="BL3019" t="s">
        <v>116</v>
      </c>
      <c r="BM3019" t="s">
        <v>116</v>
      </c>
      <c r="BN3019">
        <v>226.71</v>
      </c>
      <c r="BO3019">
        <v>71.680000000000007</v>
      </c>
      <c r="BP3019">
        <v>7.16</v>
      </c>
      <c r="BQ3019">
        <v>65.23</v>
      </c>
      <c r="BR3019">
        <v>49.18</v>
      </c>
      <c r="BS3019">
        <v>144.99</v>
      </c>
      <c r="BT3019">
        <v>1.62</v>
      </c>
      <c r="BU3019">
        <v>24.81</v>
      </c>
      <c r="BV3019">
        <v>1.45</v>
      </c>
      <c r="BW3019">
        <v>24.88</v>
      </c>
      <c r="BX3019">
        <v>11.72</v>
      </c>
      <c r="BY3019">
        <v>17.95</v>
      </c>
      <c r="BZ3019">
        <v>8.68</v>
      </c>
      <c r="CA3019">
        <v>5.41</v>
      </c>
      <c r="CB3019">
        <v>0</v>
      </c>
      <c r="CC3019">
        <v>5.49</v>
      </c>
      <c r="CD3019">
        <v>4.78</v>
      </c>
      <c r="CE3019">
        <v>4.24</v>
      </c>
      <c r="CF3019">
        <v>4.03</v>
      </c>
      <c r="CG3019">
        <v>17.47</v>
      </c>
      <c r="CH3019">
        <v>9.64</v>
      </c>
      <c r="CI3019">
        <v>0.7</v>
      </c>
      <c r="CJ3019">
        <v>103965</v>
      </c>
      <c r="CK3019">
        <v>14897</v>
      </c>
      <c r="CL3019" t="s">
        <v>777</v>
      </c>
      <c r="CM3019">
        <v>-8.42</v>
      </c>
      <c r="CN3019">
        <v>-0.11</v>
      </c>
      <c r="CO3019">
        <v>1.37</v>
      </c>
      <c r="CP3019">
        <v>10.17</v>
      </c>
      <c r="CQ3019">
        <v>5.46</v>
      </c>
      <c r="CR3019">
        <v>1.97</v>
      </c>
      <c r="CS3019" t="s">
        <v>4514</v>
      </c>
      <c r="CT3019">
        <v>1.72</v>
      </c>
      <c r="CU3019">
        <v>0</v>
      </c>
      <c r="CV3019">
        <v>0.28000000000000003</v>
      </c>
      <c r="CW3019">
        <v>0.42</v>
      </c>
      <c r="CX3019">
        <v>0.23</v>
      </c>
      <c r="CY3019">
        <v>31.62</v>
      </c>
      <c r="CZ3019" t="s">
        <v>8650</v>
      </c>
      <c r="DA3019">
        <v>51.66</v>
      </c>
      <c r="DB3019">
        <v>30.11</v>
      </c>
      <c r="DC3019">
        <v>23.65</v>
      </c>
      <c r="DD3019">
        <v>0.02</v>
      </c>
      <c r="DE3019">
        <v>875</v>
      </c>
      <c r="DF3019">
        <v>601016</v>
      </c>
      <c r="DG3019" t="s">
        <v>116</v>
      </c>
      <c r="DH3019" t="s">
        <v>116</v>
      </c>
      <c r="DI3019" t="s">
        <v>116</v>
      </c>
    </row>
    <row r="3020" spans="1:113" x14ac:dyDescent="0.4">
      <c r="A3020" t="str">
        <f>"601018"</f>
        <v>601018</v>
      </c>
      <c r="B3020" t="s">
        <v>13223</v>
      </c>
      <c r="C3020">
        <v>0</v>
      </c>
      <c r="D3020">
        <v>3.76</v>
      </c>
      <c r="E3020">
        <v>0</v>
      </c>
      <c r="F3020">
        <v>3.76</v>
      </c>
      <c r="G3020">
        <v>3.77</v>
      </c>
      <c r="H3020">
        <v>138646</v>
      </c>
      <c r="I3020">
        <v>1803</v>
      </c>
      <c r="J3020">
        <v>-0.26</v>
      </c>
      <c r="K3020">
        <v>0.11</v>
      </c>
      <c r="L3020">
        <v>3.76</v>
      </c>
      <c r="M3020">
        <v>3.8</v>
      </c>
      <c r="N3020">
        <v>3.75</v>
      </c>
      <c r="O3020">
        <v>3.76</v>
      </c>
      <c r="P3020">
        <v>12.65</v>
      </c>
      <c r="Q3020">
        <v>52425264</v>
      </c>
      <c r="R3020">
        <v>1.26</v>
      </c>
      <c r="S3020" t="s">
        <v>515</v>
      </c>
      <c r="T3020" t="s">
        <v>590</v>
      </c>
      <c r="U3020">
        <v>1.33</v>
      </c>
      <c r="V3020">
        <v>3.78</v>
      </c>
      <c r="W3020">
        <v>59463</v>
      </c>
      <c r="X3020">
        <v>79183</v>
      </c>
      <c r="Y3020">
        <v>0.75</v>
      </c>
      <c r="Z3020">
        <v>4121</v>
      </c>
      <c r="AA3020">
        <v>1851</v>
      </c>
      <c r="AB3020" t="s">
        <v>116</v>
      </c>
      <c r="AC3020">
        <v>153800</v>
      </c>
      <c r="AD3020">
        <v>0</v>
      </c>
      <c r="AE3020" t="s">
        <v>116</v>
      </c>
      <c r="AF3020" t="s">
        <v>116</v>
      </c>
      <c r="AG3020">
        <v>128</v>
      </c>
      <c r="AH3020" t="s">
        <v>13224</v>
      </c>
      <c r="AI3020" t="s">
        <v>13225</v>
      </c>
      <c r="AJ3020">
        <v>0.08</v>
      </c>
      <c r="AK3020">
        <v>2211</v>
      </c>
      <c r="AL3020">
        <v>63</v>
      </c>
      <c r="AM3020">
        <v>0</v>
      </c>
      <c r="AN3020">
        <v>0</v>
      </c>
      <c r="AO3020">
        <v>0.8</v>
      </c>
      <c r="AP3020">
        <v>3.87</v>
      </c>
      <c r="AQ3020">
        <v>0.27</v>
      </c>
      <c r="AR3020">
        <v>15.8</v>
      </c>
      <c r="AS3020">
        <v>0.44</v>
      </c>
      <c r="AT3020" t="s">
        <v>13226</v>
      </c>
      <c r="AU3020">
        <v>14.54</v>
      </c>
      <c r="AV3020">
        <v>17.170000000000002</v>
      </c>
      <c r="AW3020">
        <v>1.22</v>
      </c>
      <c r="BA3020">
        <v>0</v>
      </c>
      <c r="BB3020">
        <v>1.06</v>
      </c>
      <c r="BC3020">
        <v>-0.27</v>
      </c>
      <c r="BD3020">
        <v>0.56000000000000005</v>
      </c>
      <c r="BE3020">
        <v>0</v>
      </c>
      <c r="BF3020">
        <v>-1.05</v>
      </c>
      <c r="BG3020">
        <v>0.27</v>
      </c>
      <c r="BH3020">
        <v>-0.56000000000000005</v>
      </c>
      <c r="BI3020">
        <v>20191030</v>
      </c>
      <c r="BJ3020">
        <v>20100928</v>
      </c>
      <c r="BK3020">
        <v>131.72999999999999</v>
      </c>
      <c r="BL3020" t="s">
        <v>116</v>
      </c>
      <c r="BM3020" t="s">
        <v>116</v>
      </c>
      <c r="BN3020">
        <v>724.64</v>
      </c>
      <c r="BO3020">
        <v>400.82</v>
      </c>
      <c r="BP3020">
        <v>36.4</v>
      </c>
      <c r="BQ3020">
        <v>39.659999999999997</v>
      </c>
      <c r="BR3020">
        <v>161.34</v>
      </c>
      <c r="BS3020">
        <v>307.31</v>
      </c>
      <c r="BT3020">
        <v>75.59</v>
      </c>
      <c r="BU3020">
        <v>208.23</v>
      </c>
      <c r="BV3020">
        <v>4.0599999999999996</v>
      </c>
      <c r="BW3020">
        <v>27.16</v>
      </c>
      <c r="BX3020">
        <v>86.08</v>
      </c>
      <c r="BY3020">
        <v>172.02</v>
      </c>
      <c r="BZ3020">
        <v>125.93</v>
      </c>
      <c r="CA3020">
        <v>41.01</v>
      </c>
      <c r="CB3020">
        <v>5.93</v>
      </c>
      <c r="CC3020">
        <v>42.2</v>
      </c>
      <c r="CD3020">
        <v>32.659999999999997</v>
      </c>
      <c r="CE3020">
        <v>29.37</v>
      </c>
      <c r="CF3020">
        <v>23.16</v>
      </c>
      <c r="CG3020">
        <v>153.76</v>
      </c>
      <c r="CH3020">
        <v>-3.72</v>
      </c>
      <c r="CI3020">
        <v>-32.31</v>
      </c>
      <c r="CJ3020">
        <v>201879</v>
      </c>
      <c r="CK3020">
        <v>15456</v>
      </c>
      <c r="CL3020" t="s">
        <v>1527</v>
      </c>
      <c r="CM3020">
        <v>21.67</v>
      </c>
      <c r="CN3020">
        <v>4.43</v>
      </c>
      <c r="CO3020">
        <v>1.24</v>
      </c>
      <c r="CP3020">
        <v>-133.29</v>
      </c>
      <c r="CQ3020">
        <v>2.88</v>
      </c>
      <c r="CR3020">
        <v>2.4700000000000002</v>
      </c>
      <c r="CS3020" t="s">
        <v>6089</v>
      </c>
      <c r="CT3020">
        <v>3.04</v>
      </c>
      <c r="CU3020">
        <v>0</v>
      </c>
      <c r="CV3020">
        <v>0.65</v>
      </c>
      <c r="CW3020">
        <v>1.17</v>
      </c>
      <c r="CX3020">
        <v>-0.03</v>
      </c>
      <c r="CY3020">
        <v>55.31</v>
      </c>
      <c r="CZ3020" t="s">
        <v>13227</v>
      </c>
      <c r="DA3020">
        <v>26.79</v>
      </c>
      <c r="DB3020">
        <v>23.84</v>
      </c>
      <c r="DC3020">
        <v>17.07</v>
      </c>
      <c r="DD3020">
        <v>0.28000000000000003</v>
      </c>
      <c r="DE3020">
        <v>16229</v>
      </c>
      <c r="DF3020">
        <v>601018</v>
      </c>
      <c r="DG3020" t="s">
        <v>116</v>
      </c>
      <c r="DH3020" t="s">
        <v>116</v>
      </c>
      <c r="DI3020" t="s">
        <v>116</v>
      </c>
    </row>
    <row r="3021" spans="1:113" x14ac:dyDescent="0.4">
      <c r="A3021" t="str">
        <f>"601019"</f>
        <v>601019</v>
      </c>
      <c r="B3021" t="s">
        <v>13228</v>
      </c>
      <c r="C3021">
        <v>-0.15</v>
      </c>
      <c r="D3021">
        <v>6.85</v>
      </c>
      <c r="E3021">
        <v>-0.01</v>
      </c>
      <c r="F3021">
        <v>6.85</v>
      </c>
      <c r="G3021">
        <v>6.86</v>
      </c>
      <c r="H3021">
        <v>49392</v>
      </c>
      <c r="I3021">
        <v>362</v>
      </c>
      <c r="J3021">
        <v>0</v>
      </c>
      <c r="K3021">
        <v>1.1599999999999999</v>
      </c>
      <c r="L3021">
        <v>6.86</v>
      </c>
      <c r="M3021">
        <v>6.97</v>
      </c>
      <c r="N3021">
        <v>6.84</v>
      </c>
      <c r="O3021">
        <v>6.86</v>
      </c>
      <c r="P3021">
        <v>9.83</v>
      </c>
      <c r="Q3021">
        <v>34097816</v>
      </c>
      <c r="R3021">
        <v>1.38</v>
      </c>
      <c r="S3021" t="s">
        <v>1902</v>
      </c>
      <c r="T3021" t="s">
        <v>645</v>
      </c>
      <c r="U3021">
        <v>1.9</v>
      </c>
      <c r="V3021">
        <v>6.9</v>
      </c>
      <c r="W3021">
        <v>25639</v>
      </c>
      <c r="X3021">
        <v>23753</v>
      </c>
      <c r="Y3021">
        <v>1.08</v>
      </c>
      <c r="Z3021">
        <v>161</v>
      </c>
      <c r="AA3021">
        <v>142</v>
      </c>
      <c r="AB3021" t="s">
        <v>116</v>
      </c>
      <c r="AC3021">
        <v>6900</v>
      </c>
      <c r="AD3021">
        <v>0</v>
      </c>
      <c r="AE3021" t="s">
        <v>116</v>
      </c>
      <c r="AF3021" t="s">
        <v>116</v>
      </c>
      <c r="AG3021">
        <v>4.2699999999999996</v>
      </c>
      <c r="AH3021" t="s">
        <v>5750</v>
      </c>
      <c r="AI3021" t="s">
        <v>13229</v>
      </c>
      <c r="AJ3021">
        <v>-7.0000000000000007E-2</v>
      </c>
      <c r="AK3021">
        <v>1667</v>
      </c>
      <c r="AL3021">
        <v>30</v>
      </c>
      <c r="AM3021">
        <v>6.9999999999999999E-4</v>
      </c>
      <c r="AN3021">
        <v>-1</v>
      </c>
      <c r="AO3021">
        <v>0</v>
      </c>
      <c r="AP3021">
        <v>2.39</v>
      </c>
      <c r="AQ3021">
        <v>-5.65</v>
      </c>
      <c r="AR3021">
        <v>-9.0299999999999994</v>
      </c>
      <c r="AS3021">
        <v>1.1599999999999999</v>
      </c>
      <c r="AT3021" t="s">
        <v>5750</v>
      </c>
      <c r="AU3021">
        <v>9.83</v>
      </c>
      <c r="AV3021">
        <v>9.6300000000000008</v>
      </c>
      <c r="AW3021">
        <v>1.08</v>
      </c>
      <c r="BA3021">
        <v>0</v>
      </c>
      <c r="BB3021">
        <v>1.6</v>
      </c>
      <c r="BC3021">
        <v>-0.28999999999999998</v>
      </c>
      <c r="BD3021">
        <v>0.63</v>
      </c>
      <c r="BE3021">
        <v>-0.15</v>
      </c>
      <c r="BF3021">
        <v>-1.72</v>
      </c>
      <c r="BG3021">
        <v>0.15</v>
      </c>
      <c r="BH3021">
        <v>-0.78</v>
      </c>
      <c r="BI3021">
        <v>20191031</v>
      </c>
      <c r="BJ3021">
        <v>20171122</v>
      </c>
      <c r="BK3021">
        <v>20.87</v>
      </c>
      <c r="BL3021" t="s">
        <v>116</v>
      </c>
      <c r="BM3021" t="s">
        <v>116</v>
      </c>
      <c r="BN3021">
        <v>153.06</v>
      </c>
      <c r="BO3021">
        <v>101.45</v>
      </c>
      <c r="BP3021">
        <v>0.05</v>
      </c>
      <c r="BQ3021">
        <v>33.69</v>
      </c>
      <c r="BR3021">
        <v>111.01</v>
      </c>
      <c r="BS3021">
        <v>20.25</v>
      </c>
      <c r="BT3021">
        <v>7.71</v>
      </c>
      <c r="BU3021">
        <v>38.35</v>
      </c>
      <c r="BV3021">
        <v>21.92</v>
      </c>
      <c r="BW3021">
        <v>19.78</v>
      </c>
      <c r="BX3021">
        <v>21.86</v>
      </c>
      <c r="BY3021">
        <v>62.61</v>
      </c>
      <c r="BZ3021">
        <v>39.950000000000003</v>
      </c>
      <c r="CA3021">
        <v>10.5</v>
      </c>
      <c r="CB3021">
        <v>0.87</v>
      </c>
      <c r="CC3021">
        <v>10.97</v>
      </c>
      <c r="CD3021">
        <v>10.95</v>
      </c>
      <c r="CE3021">
        <v>10.91</v>
      </c>
      <c r="CF3021">
        <v>9.1199999999999992</v>
      </c>
      <c r="CG3021">
        <v>56.45</v>
      </c>
      <c r="CH3021">
        <v>-0.63</v>
      </c>
      <c r="CI3021">
        <v>-9.99</v>
      </c>
      <c r="CJ3021">
        <v>61527</v>
      </c>
      <c r="CK3021">
        <v>6938</v>
      </c>
      <c r="CL3021" t="s">
        <v>1609</v>
      </c>
      <c r="CM3021">
        <v>-2.7</v>
      </c>
      <c r="CN3021">
        <v>-4.17</v>
      </c>
      <c r="CO3021">
        <v>1.41</v>
      </c>
      <c r="CP3021">
        <v>-228.71</v>
      </c>
      <c r="CQ3021">
        <v>2.2799999999999998</v>
      </c>
      <c r="CR3021">
        <v>4.2300000000000004</v>
      </c>
      <c r="CS3021" t="s">
        <v>2892</v>
      </c>
      <c r="CT3021">
        <v>4.8600000000000003</v>
      </c>
      <c r="CU3021">
        <v>0</v>
      </c>
      <c r="CV3021">
        <v>1.05</v>
      </c>
      <c r="CW3021">
        <v>2.71</v>
      </c>
      <c r="CX3021">
        <v>-0.03</v>
      </c>
      <c r="CY3021">
        <v>66.28</v>
      </c>
      <c r="CZ3021" t="s">
        <v>13230</v>
      </c>
      <c r="DA3021">
        <v>36.19</v>
      </c>
      <c r="DB3021">
        <v>16.78</v>
      </c>
      <c r="DC3021">
        <v>17.43</v>
      </c>
      <c r="DD3021">
        <v>0</v>
      </c>
      <c r="DE3021">
        <v>10239</v>
      </c>
      <c r="DF3021">
        <v>601019</v>
      </c>
      <c r="DG3021" t="s">
        <v>116</v>
      </c>
      <c r="DH3021" t="s">
        <v>116</v>
      </c>
      <c r="DI3021" t="s">
        <v>116</v>
      </c>
    </row>
    <row r="3022" spans="1:113" x14ac:dyDescent="0.4">
      <c r="A3022" t="str">
        <f>"601020"</f>
        <v>601020</v>
      </c>
      <c r="B3022" t="s">
        <v>13231</v>
      </c>
      <c r="C3022">
        <v>1.89</v>
      </c>
      <c r="D3022">
        <v>9.16</v>
      </c>
      <c r="E3022">
        <v>0.17</v>
      </c>
      <c r="F3022">
        <v>9.15</v>
      </c>
      <c r="G3022">
        <v>9.16</v>
      </c>
      <c r="H3022">
        <v>116902</v>
      </c>
      <c r="I3022">
        <v>1693</v>
      </c>
      <c r="J3022">
        <v>0</v>
      </c>
      <c r="K3022">
        <v>2.2400000000000002</v>
      </c>
      <c r="L3022">
        <v>8.99</v>
      </c>
      <c r="M3022">
        <v>9.3800000000000008</v>
      </c>
      <c r="N3022">
        <v>8.98</v>
      </c>
      <c r="O3022">
        <v>8.99</v>
      </c>
      <c r="P3022">
        <v>48.27</v>
      </c>
      <c r="Q3022">
        <v>107374680</v>
      </c>
      <c r="R3022">
        <v>2.41</v>
      </c>
      <c r="S3022" t="s">
        <v>441</v>
      </c>
      <c r="T3022" t="s">
        <v>2028</v>
      </c>
      <c r="U3022">
        <v>4.45</v>
      </c>
      <c r="V3022">
        <v>9.18</v>
      </c>
      <c r="W3022">
        <v>52867</v>
      </c>
      <c r="X3022">
        <v>64035</v>
      </c>
      <c r="Y3022">
        <v>0.83</v>
      </c>
      <c r="Z3022">
        <v>2022</v>
      </c>
      <c r="AA3022">
        <v>17</v>
      </c>
      <c r="AB3022" t="s">
        <v>116</v>
      </c>
      <c r="AC3022">
        <v>179800</v>
      </c>
      <c r="AD3022">
        <v>0.01</v>
      </c>
      <c r="AE3022" t="s">
        <v>116</v>
      </c>
      <c r="AF3022" t="s">
        <v>116</v>
      </c>
      <c r="AG3022">
        <v>5.23</v>
      </c>
      <c r="AH3022" t="s">
        <v>5117</v>
      </c>
      <c r="AI3022" t="s">
        <v>3779</v>
      </c>
      <c r="AJ3022">
        <v>1.97</v>
      </c>
      <c r="AK3022">
        <v>2077</v>
      </c>
      <c r="AL3022">
        <v>56</v>
      </c>
      <c r="AM3022">
        <v>1.1000000000000001E-3</v>
      </c>
      <c r="AN3022">
        <v>2</v>
      </c>
      <c r="AO3022">
        <v>2.35</v>
      </c>
      <c r="AP3022">
        <v>5.9</v>
      </c>
      <c r="AQ3022">
        <v>-0.87</v>
      </c>
      <c r="AR3022">
        <v>9.44</v>
      </c>
      <c r="AS3022">
        <v>6.63</v>
      </c>
      <c r="AT3022" t="s">
        <v>3816</v>
      </c>
      <c r="AU3022">
        <v>43.3</v>
      </c>
      <c r="AV3022">
        <v>21.45</v>
      </c>
      <c r="AW3022">
        <v>1.36</v>
      </c>
      <c r="BA3022">
        <v>0</v>
      </c>
      <c r="BB3022">
        <v>4.34</v>
      </c>
      <c r="BC3022">
        <v>-0.11</v>
      </c>
      <c r="BD3022">
        <v>2.17</v>
      </c>
      <c r="BE3022">
        <v>1.89</v>
      </c>
      <c r="BF3022">
        <v>-2.35</v>
      </c>
      <c r="BG3022">
        <v>2</v>
      </c>
      <c r="BH3022">
        <v>-0.28000000000000003</v>
      </c>
      <c r="BI3022">
        <v>20191028</v>
      </c>
      <c r="BJ3022">
        <v>20160316</v>
      </c>
      <c r="BK3022">
        <v>5.26</v>
      </c>
      <c r="BL3022" t="s">
        <v>116</v>
      </c>
      <c r="BM3022" t="s">
        <v>116</v>
      </c>
      <c r="BN3022">
        <v>44.61</v>
      </c>
      <c r="BO3022">
        <v>21.4</v>
      </c>
      <c r="BP3022">
        <v>6.4</v>
      </c>
      <c r="BQ3022">
        <v>37.68</v>
      </c>
      <c r="BR3022">
        <v>7.29</v>
      </c>
      <c r="BS3022">
        <v>7.84</v>
      </c>
      <c r="BT3022">
        <v>20.57</v>
      </c>
      <c r="BU3022">
        <v>7.12</v>
      </c>
      <c r="BV3022">
        <v>0.82</v>
      </c>
      <c r="BW3022">
        <v>4.1399999999999997</v>
      </c>
      <c r="BX3022">
        <v>5.01</v>
      </c>
      <c r="BY3022">
        <v>6.56</v>
      </c>
      <c r="BZ3022">
        <v>4.41</v>
      </c>
      <c r="CA3022">
        <v>0.59</v>
      </c>
      <c r="CB3022">
        <v>-0.02</v>
      </c>
      <c r="CC3022">
        <v>0.76</v>
      </c>
      <c r="CD3022">
        <v>0.64</v>
      </c>
      <c r="CE3022">
        <v>0.75</v>
      </c>
      <c r="CF3022">
        <v>0.61</v>
      </c>
      <c r="CG3022">
        <v>9.81</v>
      </c>
      <c r="CH3022">
        <v>-1.62</v>
      </c>
      <c r="CI3022">
        <v>-0.53</v>
      </c>
      <c r="CJ3022">
        <v>28531</v>
      </c>
      <c r="CK3022">
        <v>6185</v>
      </c>
      <c r="CL3022" t="s">
        <v>2880</v>
      </c>
      <c r="CM3022">
        <v>-60.23</v>
      </c>
      <c r="CN3022">
        <v>-24.31</v>
      </c>
      <c r="CO3022">
        <v>2.25</v>
      </c>
      <c r="CP3022">
        <v>-29.78</v>
      </c>
      <c r="CQ3022">
        <v>7.35</v>
      </c>
      <c r="CR3022">
        <v>0.98</v>
      </c>
      <c r="CS3022" t="s">
        <v>1388</v>
      </c>
      <c r="CT3022">
        <v>4.07</v>
      </c>
      <c r="CU3022">
        <v>0</v>
      </c>
      <c r="CV3022">
        <v>0.95</v>
      </c>
      <c r="CW3022">
        <v>1.87</v>
      </c>
      <c r="CX3022">
        <v>-0.31</v>
      </c>
      <c r="CY3022">
        <v>47.98</v>
      </c>
      <c r="CZ3022" t="s">
        <v>2783</v>
      </c>
      <c r="DA3022">
        <v>32.78</v>
      </c>
      <c r="DB3022">
        <v>9.0500000000000007</v>
      </c>
      <c r="DC3022">
        <v>11.42</v>
      </c>
      <c r="DD3022">
        <v>0</v>
      </c>
      <c r="DE3022">
        <v>412</v>
      </c>
      <c r="DF3022">
        <v>601020</v>
      </c>
      <c r="DG3022" t="s">
        <v>116</v>
      </c>
      <c r="DH3022" t="s">
        <v>116</v>
      </c>
      <c r="DI3022" t="s">
        <v>116</v>
      </c>
    </row>
    <row r="3023" spans="1:113" x14ac:dyDescent="0.4">
      <c r="A3023" t="str">
        <f>"601021"</f>
        <v>601021</v>
      </c>
      <c r="B3023" t="s">
        <v>13232</v>
      </c>
      <c r="C3023">
        <v>0.61</v>
      </c>
      <c r="D3023">
        <v>42.56</v>
      </c>
      <c r="E3023">
        <v>0.26</v>
      </c>
      <c r="F3023">
        <v>42.55</v>
      </c>
      <c r="G3023">
        <v>42.56</v>
      </c>
      <c r="H3023">
        <v>40937</v>
      </c>
      <c r="I3023">
        <v>246</v>
      </c>
      <c r="J3023">
        <v>0.12</v>
      </c>
      <c r="K3023">
        <v>0.45</v>
      </c>
      <c r="L3023">
        <v>42.4</v>
      </c>
      <c r="M3023">
        <v>42.92</v>
      </c>
      <c r="N3023">
        <v>42.2</v>
      </c>
      <c r="O3023">
        <v>42.3</v>
      </c>
      <c r="P3023">
        <v>17.03</v>
      </c>
      <c r="Q3023">
        <v>174295968</v>
      </c>
      <c r="R3023">
        <v>1.67</v>
      </c>
      <c r="S3023" t="s">
        <v>544</v>
      </c>
      <c r="T3023" t="s">
        <v>1653</v>
      </c>
      <c r="U3023">
        <v>1.7</v>
      </c>
      <c r="V3023">
        <v>42.58</v>
      </c>
      <c r="W3023">
        <v>16325</v>
      </c>
      <c r="X3023">
        <v>24612</v>
      </c>
      <c r="Y3023">
        <v>0.66</v>
      </c>
      <c r="Z3023">
        <v>2</v>
      </c>
      <c r="AA3023">
        <v>33</v>
      </c>
      <c r="AB3023" t="s">
        <v>116</v>
      </c>
      <c r="AC3023">
        <v>814100</v>
      </c>
      <c r="AD3023">
        <v>0.01</v>
      </c>
      <c r="AE3023" t="s">
        <v>116</v>
      </c>
      <c r="AF3023" t="s">
        <v>116</v>
      </c>
      <c r="AG3023">
        <v>9.16</v>
      </c>
      <c r="AH3023" t="s">
        <v>13233</v>
      </c>
      <c r="AI3023" t="s">
        <v>13234</v>
      </c>
      <c r="AJ3023">
        <v>0.69</v>
      </c>
      <c r="AK3023">
        <v>3069</v>
      </c>
      <c r="AL3023">
        <v>13</v>
      </c>
      <c r="AM3023">
        <v>1E-4</v>
      </c>
      <c r="AN3023">
        <v>2</v>
      </c>
      <c r="AO3023">
        <v>0.37</v>
      </c>
      <c r="AP3023">
        <v>5.63</v>
      </c>
      <c r="AQ3023">
        <v>-1.94</v>
      </c>
      <c r="AR3023">
        <v>34.64</v>
      </c>
      <c r="AS3023">
        <v>1.2</v>
      </c>
      <c r="AT3023" t="s">
        <v>13235</v>
      </c>
      <c r="AU3023">
        <v>21.56</v>
      </c>
      <c r="AV3023">
        <v>25.96</v>
      </c>
      <c r="AW3023">
        <v>0.66</v>
      </c>
      <c r="BA3023">
        <v>0.24</v>
      </c>
      <c r="BB3023">
        <v>1.47</v>
      </c>
      <c r="BC3023">
        <v>-0.24</v>
      </c>
      <c r="BD3023">
        <v>0.65</v>
      </c>
      <c r="BE3023">
        <v>0.38</v>
      </c>
      <c r="BF3023">
        <v>-0.84</v>
      </c>
      <c r="BG3023">
        <v>0.85</v>
      </c>
      <c r="BH3023">
        <v>-0.04</v>
      </c>
      <c r="BI3023">
        <v>20191227</v>
      </c>
      <c r="BJ3023">
        <v>20150121</v>
      </c>
      <c r="BK3023">
        <v>9.17</v>
      </c>
      <c r="BL3023" t="s">
        <v>116</v>
      </c>
      <c r="BM3023" t="s">
        <v>116</v>
      </c>
      <c r="BN3023">
        <v>293.91000000000003</v>
      </c>
      <c r="BO3023">
        <v>148.59</v>
      </c>
      <c r="BP3023">
        <v>0.04</v>
      </c>
      <c r="BQ3023">
        <v>49.43</v>
      </c>
      <c r="BR3023">
        <v>106.72</v>
      </c>
      <c r="BS3023">
        <v>106.65</v>
      </c>
      <c r="BT3023">
        <v>0.66</v>
      </c>
      <c r="BU3023">
        <v>93.35</v>
      </c>
      <c r="BV3023">
        <v>1.49</v>
      </c>
      <c r="BW3023">
        <v>1.03</v>
      </c>
      <c r="BX3023">
        <v>48.94</v>
      </c>
      <c r="BY3023">
        <v>115.64</v>
      </c>
      <c r="BZ3023">
        <v>95.08</v>
      </c>
      <c r="CA3023">
        <v>22.28</v>
      </c>
      <c r="CB3023">
        <v>0.13</v>
      </c>
      <c r="CC3023">
        <v>22.75</v>
      </c>
      <c r="CD3023">
        <v>17.170000000000002</v>
      </c>
      <c r="CE3023">
        <v>17.190000000000001</v>
      </c>
      <c r="CF3023">
        <v>15.87</v>
      </c>
      <c r="CG3023">
        <v>85.1</v>
      </c>
      <c r="CH3023">
        <v>31.99</v>
      </c>
      <c r="CI3023">
        <v>32.26</v>
      </c>
      <c r="CJ3023">
        <v>20134</v>
      </c>
      <c r="CK3023">
        <v>16888</v>
      </c>
      <c r="CL3023" t="s">
        <v>13236</v>
      </c>
      <c r="CM3023">
        <v>21.7</v>
      </c>
      <c r="CN3023">
        <v>13.61</v>
      </c>
      <c r="CO3023">
        <v>2.63</v>
      </c>
      <c r="CP3023">
        <v>12.2</v>
      </c>
      <c r="CQ3023">
        <v>3.37</v>
      </c>
      <c r="CR3023">
        <v>0.47</v>
      </c>
      <c r="CS3023" t="s">
        <v>13237</v>
      </c>
      <c r="CT3023">
        <v>16.21</v>
      </c>
      <c r="CU3023">
        <v>0</v>
      </c>
      <c r="CV3023">
        <v>5.34</v>
      </c>
      <c r="CW3023">
        <v>9.2799999999999994</v>
      </c>
      <c r="CX3023">
        <v>3.49</v>
      </c>
      <c r="CY3023">
        <v>50.56</v>
      </c>
      <c r="CZ3023" t="s">
        <v>13238</v>
      </c>
      <c r="DA3023">
        <v>17.78</v>
      </c>
      <c r="DB3023">
        <v>19.27</v>
      </c>
      <c r="DC3023">
        <v>14.86</v>
      </c>
      <c r="DD3023">
        <v>1.04</v>
      </c>
      <c r="DE3023">
        <v>7605</v>
      </c>
      <c r="DF3023">
        <v>601021</v>
      </c>
      <c r="DG3023" t="s">
        <v>116</v>
      </c>
      <c r="DH3023" t="s">
        <v>116</v>
      </c>
      <c r="DI3023" t="s">
        <v>116</v>
      </c>
    </row>
    <row r="3024" spans="1:113" x14ac:dyDescent="0.4">
      <c r="A3024" t="str">
        <f>"601028"</f>
        <v>601028</v>
      </c>
      <c r="B3024" t="s">
        <v>13239</v>
      </c>
      <c r="C3024">
        <v>1.37</v>
      </c>
      <c r="D3024">
        <v>5.18</v>
      </c>
      <c r="E3024">
        <v>7.0000000000000007E-2</v>
      </c>
      <c r="F3024">
        <v>5.18</v>
      </c>
      <c r="G3024">
        <v>5.19</v>
      </c>
      <c r="H3024">
        <v>28865</v>
      </c>
      <c r="I3024">
        <v>132</v>
      </c>
      <c r="J3024">
        <v>0</v>
      </c>
      <c r="K3024">
        <v>0.37</v>
      </c>
      <c r="L3024">
        <v>5.13</v>
      </c>
      <c r="M3024">
        <v>5.26</v>
      </c>
      <c r="N3024">
        <v>5.13</v>
      </c>
      <c r="O3024">
        <v>5.1100000000000003</v>
      </c>
      <c r="P3024" t="s">
        <v>116</v>
      </c>
      <c r="Q3024">
        <v>15021634</v>
      </c>
      <c r="R3024">
        <v>1.31</v>
      </c>
      <c r="S3024" t="s">
        <v>2118</v>
      </c>
      <c r="T3024" t="s">
        <v>323</v>
      </c>
      <c r="U3024">
        <v>2.54</v>
      </c>
      <c r="V3024">
        <v>5.2</v>
      </c>
      <c r="W3024">
        <v>12415</v>
      </c>
      <c r="X3024">
        <v>16450</v>
      </c>
      <c r="Y3024">
        <v>0.75</v>
      </c>
      <c r="Z3024">
        <v>53</v>
      </c>
      <c r="AA3024">
        <v>85</v>
      </c>
      <c r="AB3024" t="s">
        <v>116</v>
      </c>
      <c r="AC3024">
        <v>10300</v>
      </c>
      <c r="AD3024">
        <v>0</v>
      </c>
      <c r="AE3024" t="s">
        <v>116</v>
      </c>
      <c r="AF3024" t="s">
        <v>116</v>
      </c>
      <c r="AG3024">
        <v>7.83</v>
      </c>
      <c r="AH3024" t="s">
        <v>13240</v>
      </c>
      <c r="AI3024" t="s">
        <v>13240</v>
      </c>
      <c r="AJ3024">
        <v>1.45</v>
      </c>
      <c r="AK3024">
        <v>728</v>
      </c>
      <c r="AL3024">
        <v>40</v>
      </c>
      <c r="AM3024">
        <v>5.0000000000000001E-4</v>
      </c>
      <c r="AN3024">
        <v>2</v>
      </c>
      <c r="AO3024">
        <v>0.59</v>
      </c>
      <c r="AP3024">
        <v>-5.13</v>
      </c>
      <c r="AQ3024">
        <v>14.35</v>
      </c>
      <c r="AR3024">
        <v>10.92</v>
      </c>
      <c r="AS3024">
        <v>0.74</v>
      </c>
      <c r="AT3024" t="s">
        <v>894</v>
      </c>
      <c r="AU3024" t="s">
        <v>116</v>
      </c>
      <c r="AV3024">
        <v>185.38</v>
      </c>
      <c r="AW3024">
        <v>0.76</v>
      </c>
      <c r="BA3024">
        <v>0.39</v>
      </c>
      <c r="BB3024">
        <v>2.94</v>
      </c>
      <c r="BC3024">
        <v>0.39</v>
      </c>
      <c r="BD3024">
        <v>1.84</v>
      </c>
      <c r="BE3024">
        <v>0.97</v>
      </c>
      <c r="BF3024">
        <v>-1.52</v>
      </c>
      <c r="BG3024">
        <v>0.97</v>
      </c>
      <c r="BH3024">
        <v>-0.47</v>
      </c>
      <c r="BI3024">
        <v>20191031</v>
      </c>
      <c r="BJ3024">
        <v>20111107</v>
      </c>
      <c r="BK3024">
        <v>7.83</v>
      </c>
      <c r="BL3024" t="s">
        <v>116</v>
      </c>
      <c r="BM3024" t="s">
        <v>116</v>
      </c>
      <c r="BN3024">
        <v>21.19</v>
      </c>
      <c r="BO3024">
        <v>20.34</v>
      </c>
      <c r="BP3024">
        <v>0</v>
      </c>
      <c r="BQ3024">
        <v>4</v>
      </c>
      <c r="BR3024">
        <v>21.15</v>
      </c>
      <c r="BS3024">
        <v>0.03</v>
      </c>
      <c r="BT3024">
        <v>0</v>
      </c>
      <c r="BU3024">
        <v>0.82</v>
      </c>
      <c r="BV3024">
        <v>0.01</v>
      </c>
      <c r="BW3024">
        <v>0.57999999999999996</v>
      </c>
      <c r="BX3024">
        <v>8.66</v>
      </c>
      <c r="BY3024">
        <v>2.58</v>
      </c>
      <c r="BZ3024">
        <v>2.64</v>
      </c>
      <c r="CA3024">
        <v>-0.23</v>
      </c>
      <c r="CB3024">
        <v>0.14000000000000001</v>
      </c>
      <c r="CC3024">
        <v>-0.24</v>
      </c>
      <c r="CD3024">
        <v>-0.3</v>
      </c>
      <c r="CE3024">
        <v>-0.13</v>
      </c>
      <c r="CF3024">
        <v>-0.26</v>
      </c>
      <c r="CG3024">
        <v>2.61</v>
      </c>
      <c r="CH3024">
        <v>-1.43</v>
      </c>
      <c r="CI3024">
        <v>0.93</v>
      </c>
      <c r="CJ3024">
        <v>36991</v>
      </c>
      <c r="CK3024">
        <v>10583</v>
      </c>
      <c r="CL3024" t="s">
        <v>922</v>
      </c>
      <c r="CM3024">
        <v>-114.63</v>
      </c>
      <c r="CN3024">
        <v>-78.42</v>
      </c>
      <c r="CO3024">
        <v>1.99</v>
      </c>
      <c r="CP3024">
        <v>-28.29</v>
      </c>
      <c r="CQ3024">
        <v>15.7</v>
      </c>
      <c r="CR3024">
        <v>0</v>
      </c>
      <c r="CS3024" t="s">
        <v>4439</v>
      </c>
      <c r="CT3024">
        <v>2.6</v>
      </c>
      <c r="CU3024">
        <v>0</v>
      </c>
      <c r="CV3024">
        <v>1.1100000000000001</v>
      </c>
      <c r="CW3024">
        <v>0.33</v>
      </c>
      <c r="CX3024">
        <v>-0.18</v>
      </c>
      <c r="CY3024">
        <v>96</v>
      </c>
      <c r="CZ3024" t="s">
        <v>3845</v>
      </c>
      <c r="DA3024">
        <v>-2.19</v>
      </c>
      <c r="DB3024">
        <v>-8.82</v>
      </c>
      <c r="DC3024">
        <v>-4.92</v>
      </c>
      <c r="DD3024">
        <v>0.02</v>
      </c>
      <c r="DE3024">
        <v>342</v>
      </c>
      <c r="DF3024">
        <v>601028</v>
      </c>
      <c r="DG3024" t="s">
        <v>116</v>
      </c>
      <c r="DH3024" t="s">
        <v>116</v>
      </c>
      <c r="DI3024" t="s">
        <v>116</v>
      </c>
    </row>
    <row r="3025" spans="1:113" x14ac:dyDescent="0.4">
      <c r="A3025" t="str">
        <f>"601038"</f>
        <v>601038</v>
      </c>
      <c r="B3025" t="s">
        <v>13241</v>
      </c>
      <c r="C3025">
        <v>-0.15</v>
      </c>
      <c r="D3025">
        <v>6.88</v>
      </c>
      <c r="E3025">
        <v>-0.01</v>
      </c>
      <c r="F3025">
        <v>6.87</v>
      </c>
      <c r="G3025">
        <v>6.88</v>
      </c>
      <c r="H3025">
        <v>165195</v>
      </c>
      <c r="I3025">
        <v>3086</v>
      </c>
      <c r="J3025">
        <v>0.57999999999999996</v>
      </c>
      <c r="K3025">
        <v>2.78</v>
      </c>
      <c r="L3025">
        <v>6.86</v>
      </c>
      <c r="M3025">
        <v>7</v>
      </c>
      <c r="N3025">
        <v>6.78</v>
      </c>
      <c r="O3025">
        <v>6.89</v>
      </c>
      <c r="P3025">
        <v>72.489999999999995</v>
      </c>
      <c r="Q3025">
        <v>113774496</v>
      </c>
      <c r="R3025">
        <v>0.51</v>
      </c>
      <c r="S3025" t="s">
        <v>2298</v>
      </c>
      <c r="T3025" t="s">
        <v>652</v>
      </c>
      <c r="U3025">
        <v>3.19</v>
      </c>
      <c r="V3025">
        <v>6.89</v>
      </c>
      <c r="W3025">
        <v>91255</v>
      </c>
      <c r="X3025">
        <v>73940</v>
      </c>
      <c r="Y3025">
        <v>1.23</v>
      </c>
      <c r="Z3025">
        <v>278</v>
      </c>
      <c r="AA3025">
        <v>1209</v>
      </c>
      <c r="AB3025" t="s">
        <v>116</v>
      </c>
      <c r="AC3025">
        <v>391000</v>
      </c>
      <c r="AD3025">
        <v>0.03</v>
      </c>
      <c r="AE3025" t="s">
        <v>116</v>
      </c>
      <c r="AF3025" t="s">
        <v>116</v>
      </c>
      <c r="AG3025">
        <v>5.94</v>
      </c>
      <c r="AH3025" t="s">
        <v>5144</v>
      </c>
      <c r="AI3025" t="s">
        <v>5144</v>
      </c>
      <c r="AJ3025">
        <v>-7.0000000000000007E-2</v>
      </c>
      <c r="AK3025">
        <v>2497</v>
      </c>
      <c r="AL3025">
        <v>66</v>
      </c>
      <c r="AM3025">
        <v>1.1000000000000001E-3</v>
      </c>
      <c r="AN3025">
        <v>-4</v>
      </c>
      <c r="AO3025">
        <v>-6.02</v>
      </c>
      <c r="AP3025">
        <v>16.61</v>
      </c>
      <c r="AQ3025">
        <v>2.08</v>
      </c>
      <c r="AR3025">
        <v>41.56</v>
      </c>
      <c r="AS3025">
        <v>9.02</v>
      </c>
      <c r="AT3025" t="s">
        <v>9629</v>
      </c>
      <c r="AU3025" t="s">
        <v>116</v>
      </c>
      <c r="AV3025" t="s">
        <v>116</v>
      </c>
      <c r="AW3025">
        <v>1.34</v>
      </c>
      <c r="BA3025">
        <v>-0.44</v>
      </c>
      <c r="BB3025">
        <v>1.6</v>
      </c>
      <c r="BC3025">
        <v>-1.6</v>
      </c>
      <c r="BD3025">
        <v>-0.04</v>
      </c>
      <c r="BE3025">
        <v>0.28999999999999998</v>
      </c>
      <c r="BF3025">
        <v>-1.71</v>
      </c>
      <c r="BG3025">
        <v>1.47</v>
      </c>
      <c r="BH3025">
        <v>-0.11</v>
      </c>
      <c r="BI3025">
        <v>20191030</v>
      </c>
      <c r="BJ3025">
        <v>20120808</v>
      </c>
      <c r="BK3025">
        <v>9.86</v>
      </c>
      <c r="BL3025" t="s">
        <v>116</v>
      </c>
      <c r="BM3025">
        <v>3.92</v>
      </c>
      <c r="BN3025">
        <v>117.87</v>
      </c>
      <c r="BO3025">
        <v>40.78</v>
      </c>
      <c r="BP3025">
        <v>6.55</v>
      </c>
      <c r="BQ3025">
        <v>59.85</v>
      </c>
      <c r="BR3025">
        <v>66.540000000000006</v>
      </c>
      <c r="BS3025">
        <v>29.2</v>
      </c>
      <c r="BT3025">
        <v>8.1999999999999993</v>
      </c>
      <c r="BU3025">
        <v>65.55</v>
      </c>
      <c r="BV3025">
        <v>9.92</v>
      </c>
      <c r="BW3025">
        <v>10.42</v>
      </c>
      <c r="BX3025">
        <v>20.99</v>
      </c>
      <c r="BY3025">
        <v>51.24</v>
      </c>
      <c r="BZ3025">
        <v>43.7</v>
      </c>
      <c r="CA3025">
        <v>0.82</v>
      </c>
      <c r="CB3025">
        <v>0.56000000000000005</v>
      </c>
      <c r="CC3025">
        <v>1.07</v>
      </c>
      <c r="CD3025">
        <v>0.75</v>
      </c>
      <c r="CE3025">
        <v>0.7</v>
      </c>
      <c r="CF3025">
        <v>-0.34</v>
      </c>
      <c r="CG3025">
        <v>5.38</v>
      </c>
      <c r="CH3025">
        <v>1.22</v>
      </c>
      <c r="CI3025">
        <v>-6.4</v>
      </c>
      <c r="CJ3025">
        <v>38635</v>
      </c>
      <c r="CK3025">
        <v>4742</v>
      </c>
      <c r="CL3025" t="s">
        <v>3844</v>
      </c>
      <c r="CM3025">
        <v>117.68</v>
      </c>
      <c r="CN3025">
        <v>6.02</v>
      </c>
      <c r="CO3025">
        <v>1.66</v>
      </c>
      <c r="CP3025">
        <v>55.54</v>
      </c>
      <c r="CQ3025">
        <v>1.32</v>
      </c>
      <c r="CR3025">
        <v>0</v>
      </c>
      <c r="CS3025" t="s">
        <v>9070</v>
      </c>
      <c r="CT3025">
        <v>4.1399999999999997</v>
      </c>
      <c r="CU3025">
        <v>0</v>
      </c>
      <c r="CV3025">
        <v>2.13</v>
      </c>
      <c r="CW3025">
        <v>0.55000000000000004</v>
      </c>
      <c r="CX3025">
        <v>0.12</v>
      </c>
      <c r="CY3025">
        <v>34.590000000000003</v>
      </c>
      <c r="CZ3025" t="s">
        <v>13242</v>
      </c>
      <c r="DA3025">
        <v>14.72</v>
      </c>
      <c r="DB3025">
        <v>1.6</v>
      </c>
      <c r="DC3025">
        <v>1.37</v>
      </c>
      <c r="DD3025">
        <v>2.4300000000000002</v>
      </c>
      <c r="DE3025">
        <v>8488</v>
      </c>
      <c r="DF3025">
        <v>601038</v>
      </c>
      <c r="DG3025" t="s">
        <v>116</v>
      </c>
      <c r="DH3025" t="s">
        <v>116</v>
      </c>
      <c r="DI3025" t="s">
        <v>116</v>
      </c>
    </row>
    <row r="3026" spans="1:113" x14ac:dyDescent="0.4">
      <c r="A3026" t="str">
        <f>"601058"</f>
        <v>601058</v>
      </c>
      <c r="B3026" t="s">
        <v>13243</v>
      </c>
      <c r="C3026">
        <v>-1.56</v>
      </c>
      <c r="D3026">
        <v>4.41</v>
      </c>
      <c r="E3026">
        <v>-7.0000000000000007E-2</v>
      </c>
      <c r="F3026">
        <v>4.41</v>
      </c>
      <c r="G3026">
        <v>4.42</v>
      </c>
      <c r="H3026">
        <v>182143</v>
      </c>
      <c r="I3026">
        <v>2078</v>
      </c>
      <c r="J3026">
        <v>0</v>
      </c>
      <c r="K3026">
        <v>0.88</v>
      </c>
      <c r="L3026">
        <v>4.4800000000000004</v>
      </c>
      <c r="M3026">
        <v>4.5</v>
      </c>
      <c r="N3026">
        <v>4.4000000000000004</v>
      </c>
      <c r="O3026">
        <v>4.4800000000000004</v>
      </c>
      <c r="P3026">
        <v>9.39</v>
      </c>
      <c r="Q3026">
        <v>80893112</v>
      </c>
      <c r="R3026">
        <v>1.1100000000000001</v>
      </c>
      <c r="S3026" t="s">
        <v>293</v>
      </c>
      <c r="T3026" t="s">
        <v>645</v>
      </c>
      <c r="U3026">
        <v>2.23</v>
      </c>
      <c r="V3026">
        <v>4.4400000000000004</v>
      </c>
      <c r="W3026">
        <v>110513</v>
      </c>
      <c r="X3026">
        <v>71630</v>
      </c>
      <c r="Y3026">
        <v>1.54</v>
      </c>
      <c r="Z3026">
        <v>2389</v>
      </c>
      <c r="AA3026">
        <v>529</v>
      </c>
      <c r="AB3026" t="s">
        <v>116</v>
      </c>
      <c r="AC3026">
        <v>98900</v>
      </c>
      <c r="AD3026">
        <v>0</v>
      </c>
      <c r="AE3026" t="s">
        <v>116</v>
      </c>
      <c r="AF3026" t="s">
        <v>116</v>
      </c>
      <c r="AG3026">
        <v>20.78</v>
      </c>
      <c r="AH3026" t="s">
        <v>12876</v>
      </c>
      <c r="AI3026" t="s">
        <v>13244</v>
      </c>
      <c r="AJ3026">
        <v>-1.49</v>
      </c>
      <c r="AK3026">
        <v>3684</v>
      </c>
      <c r="AL3026">
        <v>49</v>
      </c>
      <c r="AM3026">
        <v>2.0000000000000001E-4</v>
      </c>
      <c r="AN3026">
        <v>-3</v>
      </c>
      <c r="AO3026">
        <v>-3.07</v>
      </c>
      <c r="AP3026">
        <v>0</v>
      </c>
      <c r="AQ3026">
        <v>7.04</v>
      </c>
      <c r="AR3026">
        <v>102.29</v>
      </c>
      <c r="AS3026">
        <v>1.2</v>
      </c>
      <c r="AT3026" t="s">
        <v>13245</v>
      </c>
      <c r="AU3026">
        <v>10.81</v>
      </c>
      <c r="AV3026">
        <v>17.82</v>
      </c>
      <c r="AW3026">
        <v>0.95</v>
      </c>
      <c r="BA3026">
        <v>0</v>
      </c>
      <c r="BB3026">
        <v>0.45</v>
      </c>
      <c r="BC3026">
        <v>-1.79</v>
      </c>
      <c r="BD3026">
        <v>-0.87</v>
      </c>
      <c r="BE3026">
        <v>-1.56</v>
      </c>
      <c r="BF3026">
        <v>-2</v>
      </c>
      <c r="BG3026">
        <v>0.23</v>
      </c>
      <c r="BH3026">
        <v>-0.7</v>
      </c>
      <c r="BI3026">
        <v>20191220</v>
      </c>
      <c r="BJ3026">
        <v>20110630</v>
      </c>
      <c r="BK3026">
        <v>27</v>
      </c>
      <c r="BL3026" t="s">
        <v>116</v>
      </c>
      <c r="BM3026" t="s">
        <v>116</v>
      </c>
      <c r="BN3026">
        <v>180.68</v>
      </c>
      <c r="BO3026">
        <v>69.540000000000006</v>
      </c>
      <c r="BP3026">
        <v>3.55</v>
      </c>
      <c r="BQ3026">
        <v>59.55</v>
      </c>
      <c r="BR3026">
        <v>87.03</v>
      </c>
      <c r="BS3026">
        <v>63.4</v>
      </c>
      <c r="BT3026">
        <v>5.8</v>
      </c>
      <c r="BU3026">
        <v>93.05</v>
      </c>
      <c r="BV3026">
        <v>20.27</v>
      </c>
      <c r="BW3026">
        <v>21.24</v>
      </c>
      <c r="BX3026">
        <v>17.12</v>
      </c>
      <c r="BY3026">
        <v>113.27</v>
      </c>
      <c r="BZ3026">
        <v>86.53</v>
      </c>
      <c r="CA3026">
        <v>11</v>
      </c>
      <c r="CB3026">
        <v>0.08</v>
      </c>
      <c r="CC3026">
        <v>10.91</v>
      </c>
      <c r="CD3026">
        <v>9.48</v>
      </c>
      <c r="CE3026">
        <v>9.51</v>
      </c>
      <c r="CF3026">
        <v>9.34</v>
      </c>
      <c r="CG3026">
        <v>26.48</v>
      </c>
      <c r="CH3026">
        <v>17.87</v>
      </c>
      <c r="CI3026">
        <v>5.29</v>
      </c>
      <c r="CJ3026">
        <v>48583</v>
      </c>
      <c r="CK3026">
        <v>31353</v>
      </c>
      <c r="CL3026" t="s">
        <v>13246</v>
      </c>
      <c r="CM3026">
        <v>83.84</v>
      </c>
      <c r="CN3026">
        <v>10.14</v>
      </c>
      <c r="CO3026">
        <v>1.71</v>
      </c>
      <c r="CP3026">
        <v>6.66</v>
      </c>
      <c r="CQ3026">
        <v>1.05</v>
      </c>
      <c r="CR3026">
        <v>1.1299999999999999</v>
      </c>
      <c r="CS3026" t="s">
        <v>8376</v>
      </c>
      <c r="CT3026">
        <v>2.58</v>
      </c>
      <c r="CU3026">
        <v>0</v>
      </c>
      <c r="CV3026">
        <v>0.63</v>
      </c>
      <c r="CW3026">
        <v>0.98</v>
      </c>
      <c r="CX3026">
        <v>0.66</v>
      </c>
      <c r="CY3026">
        <v>38.49</v>
      </c>
      <c r="CZ3026" t="s">
        <v>8932</v>
      </c>
      <c r="DA3026">
        <v>23.61</v>
      </c>
      <c r="DB3026">
        <v>9.7100000000000009</v>
      </c>
      <c r="DC3026">
        <v>8.39</v>
      </c>
      <c r="DD3026">
        <v>1.91</v>
      </c>
      <c r="DE3026">
        <v>10626</v>
      </c>
      <c r="DF3026">
        <v>601058</v>
      </c>
      <c r="DG3026" t="s">
        <v>116</v>
      </c>
      <c r="DH3026" t="s">
        <v>116</v>
      </c>
      <c r="DI3026" t="s">
        <v>116</v>
      </c>
    </row>
    <row r="3027" spans="1:113" x14ac:dyDescent="0.4">
      <c r="A3027" t="str">
        <f>"601066"</f>
        <v>601066</v>
      </c>
      <c r="B3027" t="s">
        <v>13247</v>
      </c>
      <c r="C3027">
        <v>-5.57</v>
      </c>
      <c r="D3027">
        <v>28.81</v>
      </c>
      <c r="E3027">
        <v>-1.7</v>
      </c>
      <c r="F3027">
        <v>28.81</v>
      </c>
      <c r="G3027">
        <v>28.82</v>
      </c>
      <c r="H3027">
        <v>1321334</v>
      </c>
      <c r="I3027">
        <v>14317</v>
      </c>
      <c r="J3027">
        <v>-0.57999999999999996</v>
      </c>
      <c r="K3027">
        <v>15.29</v>
      </c>
      <c r="L3027">
        <v>30</v>
      </c>
      <c r="M3027">
        <v>31.65</v>
      </c>
      <c r="N3027">
        <v>28.78</v>
      </c>
      <c r="O3027">
        <v>30.51</v>
      </c>
      <c r="P3027">
        <v>43.25</v>
      </c>
      <c r="Q3027">
        <v>3988694528</v>
      </c>
      <c r="R3027">
        <v>1.51</v>
      </c>
      <c r="S3027" t="s">
        <v>623</v>
      </c>
      <c r="T3027" t="s">
        <v>165</v>
      </c>
      <c r="U3027">
        <v>9.41</v>
      </c>
      <c r="V3027">
        <v>30.19</v>
      </c>
      <c r="W3027">
        <v>672929</v>
      </c>
      <c r="X3027">
        <v>648405</v>
      </c>
      <c r="Y3027">
        <v>1.04</v>
      </c>
      <c r="Z3027">
        <v>4364</v>
      </c>
      <c r="AA3027">
        <v>618</v>
      </c>
      <c r="AB3027" t="s">
        <v>116</v>
      </c>
      <c r="AC3027">
        <v>25593000</v>
      </c>
      <c r="AD3027">
        <v>0.18</v>
      </c>
      <c r="AE3027" t="s">
        <v>116</v>
      </c>
      <c r="AF3027" t="s">
        <v>116</v>
      </c>
      <c r="AG3027">
        <v>8.64</v>
      </c>
      <c r="AH3027" t="s">
        <v>13248</v>
      </c>
      <c r="AI3027" t="s">
        <v>13249</v>
      </c>
      <c r="AJ3027">
        <v>-5.5</v>
      </c>
      <c r="AK3027">
        <v>4797</v>
      </c>
      <c r="AL3027">
        <v>275</v>
      </c>
      <c r="AM3027">
        <v>3.2000000000000002E-3</v>
      </c>
      <c r="AN3027">
        <v>-1</v>
      </c>
      <c r="AO3027">
        <v>2.86</v>
      </c>
      <c r="AP3027">
        <v>28.67</v>
      </c>
      <c r="AQ3027">
        <v>25.26</v>
      </c>
      <c r="AR3027">
        <v>237.75</v>
      </c>
      <c r="AS3027">
        <v>27.48</v>
      </c>
      <c r="AT3027" t="s">
        <v>13250</v>
      </c>
      <c r="AU3027">
        <v>46.65</v>
      </c>
      <c r="AV3027">
        <v>71.349999999999994</v>
      </c>
      <c r="AW3027">
        <v>2.93</v>
      </c>
      <c r="BA3027">
        <v>-1.67</v>
      </c>
      <c r="BB3027">
        <v>3.74</v>
      </c>
      <c r="BC3027">
        <v>-5.67</v>
      </c>
      <c r="BD3027">
        <v>-1.06</v>
      </c>
      <c r="BE3027">
        <v>-3.97</v>
      </c>
      <c r="BF3027">
        <v>-8.9700000000000006</v>
      </c>
      <c r="BG3027">
        <v>0.1</v>
      </c>
      <c r="BH3027">
        <v>-4.51</v>
      </c>
      <c r="BI3027">
        <v>20191030</v>
      </c>
      <c r="BJ3027">
        <v>20180620</v>
      </c>
      <c r="BK3027">
        <v>76.459999999999994</v>
      </c>
      <c r="BL3027" t="s">
        <v>116</v>
      </c>
      <c r="BM3027">
        <v>12.61</v>
      </c>
      <c r="BN3027">
        <v>2466.19</v>
      </c>
      <c r="BO3027">
        <v>553.16999999999996</v>
      </c>
      <c r="BP3027">
        <v>3.2</v>
      </c>
      <c r="BQ3027">
        <v>77.44</v>
      </c>
      <c r="BR3027">
        <v>0</v>
      </c>
      <c r="BS3027">
        <v>4.59</v>
      </c>
      <c r="BT3027">
        <v>1.89</v>
      </c>
      <c r="BU3027">
        <v>0</v>
      </c>
      <c r="BV3027">
        <v>0</v>
      </c>
      <c r="BW3027">
        <v>0</v>
      </c>
      <c r="BX3027">
        <v>87.53</v>
      </c>
      <c r="BY3027">
        <v>96.97</v>
      </c>
      <c r="BZ3027">
        <v>0</v>
      </c>
      <c r="CA3027">
        <v>50.58</v>
      </c>
      <c r="CB3027">
        <v>19.59</v>
      </c>
      <c r="CC3027">
        <v>50.54</v>
      </c>
      <c r="CD3027">
        <v>38.479999999999997</v>
      </c>
      <c r="CE3027">
        <v>38.200000000000003</v>
      </c>
      <c r="CF3027">
        <v>38.119999999999997</v>
      </c>
      <c r="CG3027">
        <v>179.08</v>
      </c>
      <c r="CH3027">
        <v>152.25</v>
      </c>
      <c r="CI3027">
        <v>206.25</v>
      </c>
      <c r="CJ3027">
        <v>119141</v>
      </c>
      <c r="CK3027">
        <v>4036</v>
      </c>
      <c r="CL3027" t="s">
        <v>9752</v>
      </c>
      <c r="CM3027">
        <v>74.78</v>
      </c>
      <c r="CN3027">
        <v>24.14</v>
      </c>
      <c r="CO3027">
        <v>4.8600000000000003</v>
      </c>
      <c r="CP3027">
        <v>14.47</v>
      </c>
      <c r="CQ3027">
        <v>22.72</v>
      </c>
      <c r="CR3027">
        <v>0.62</v>
      </c>
      <c r="CS3027" t="s">
        <v>1744</v>
      </c>
      <c r="CT3027">
        <v>5.93</v>
      </c>
      <c r="CU3027">
        <v>5.93</v>
      </c>
      <c r="CV3027">
        <v>1.1399999999999999</v>
      </c>
      <c r="CW3027">
        <v>2.34</v>
      </c>
      <c r="CX3027">
        <v>1.99</v>
      </c>
      <c r="CY3027">
        <v>22.43</v>
      </c>
      <c r="CZ3027" t="s">
        <v>8437</v>
      </c>
      <c r="DA3027" t="s">
        <v>116</v>
      </c>
      <c r="DB3027">
        <v>52.16</v>
      </c>
      <c r="DC3027">
        <v>39.39</v>
      </c>
      <c r="DD3027">
        <v>0</v>
      </c>
      <c r="DE3027">
        <v>9185</v>
      </c>
      <c r="DF3027">
        <v>601066</v>
      </c>
      <c r="DG3027" t="s">
        <v>116</v>
      </c>
      <c r="DH3027" t="s">
        <v>116</v>
      </c>
      <c r="DI3027" t="s">
        <v>116</v>
      </c>
    </row>
    <row r="3028" spans="1:113" x14ac:dyDescent="0.4">
      <c r="A3028" t="str">
        <f>"601068"</f>
        <v>601068</v>
      </c>
      <c r="B3028" t="s">
        <v>13251</v>
      </c>
      <c r="C3028">
        <v>6.1</v>
      </c>
      <c r="D3028">
        <v>5.57</v>
      </c>
      <c r="E3028">
        <v>0.32</v>
      </c>
      <c r="F3028">
        <v>5.57</v>
      </c>
      <c r="G3028">
        <v>5.58</v>
      </c>
      <c r="H3028">
        <v>432467</v>
      </c>
      <c r="I3028">
        <v>4151</v>
      </c>
      <c r="J3028">
        <v>0.18</v>
      </c>
      <c r="K3028">
        <v>14.61</v>
      </c>
      <c r="L3028">
        <v>5.25</v>
      </c>
      <c r="M3028">
        <v>5.78</v>
      </c>
      <c r="N3028">
        <v>5.24</v>
      </c>
      <c r="O3028">
        <v>5.25</v>
      </c>
      <c r="P3028">
        <v>560.61</v>
      </c>
      <c r="Q3028">
        <v>243312016</v>
      </c>
      <c r="R3028">
        <v>7.07</v>
      </c>
      <c r="S3028" t="s">
        <v>181</v>
      </c>
      <c r="T3028" t="s">
        <v>165</v>
      </c>
      <c r="U3028">
        <v>10.29</v>
      </c>
      <c r="V3028">
        <v>5.63</v>
      </c>
      <c r="W3028">
        <v>282944</v>
      </c>
      <c r="X3028">
        <v>149523</v>
      </c>
      <c r="Y3028">
        <v>1.89</v>
      </c>
      <c r="Z3028">
        <v>619</v>
      </c>
      <c r="AA3028">
        <v>1430</v>
      </c>
      <c r="AB3028" t="s">
        <v>116</v>
      </c>
      <c r="AC3028">
        <v>107100</v>
      </c>
      <c r="AD3028">
        <v>0.01</v>
      </c>
      <c r="AE3028" t="s">
        <v>116</v>
      </c>
      <c r="AF3028" t="s">
        <v>116</v>
      </c>
      <c r="AG3028">
        <v>2.96</v>
      </c>
      <c r="AH3028" t="s">
        <v>13252</v>
      </c>
      <c r="AI3028" t="s">
        <v>13253</v>
      </c>
      <c r="AJ3028">
        <v>6.17</v>
      </c>
      <c r="AK3028">
        <v>2695</v>
      </c>
      <c r="AL3028">
        <v>160</v>
      </c>
      <c r="AM3028">
        <v>5.4000000000000003E-3</v>
      </c>
      <c r="AN3028">
        <v>1</v>
      </c>
      <c r="AO3028">
        <v>6.1</v>
      </c>
      <c r="AP3028">
        <v>6.7</v>
      </c>
      <c r="AQ3028">
        <v>-4.3</v>
      </c>
      <c r="AR3028">
        <v>7.55</v>
      </c>
      <c r="AS3028">
        <v>14.61</v>
      </c>
      <c r="AT3028" t="s">
        <v>13252</v>
      </c>
      <c r="AU3028">
        <v>220.03</v>
      </c>
      <c r="AV3028">
        <v>53.92</v>
      </c>
      <c r="AW3028">
        <v>1.0900000000000001</v>
      </c>
      <c r="BA3028">
        <v>0</v>
      </c>
      <c r="BB3028">
        <v>10.1</v>
      </c>
      <c r="BC3028">
        <v>-0.19</v>
      </c>
      <c r="BD3028">
        <v>7.16</v>
      </c>
      <c r="BE3028">
        <v>6.1</v>
      </c>
      <c r="BF3028">
        <v>-3.63</v>
      </c>
      <c r="BG3028">
        <v>6.3</v>
      </c>
      <c r="BH3028">
        <v>-1.07</v>
      </c>
      <c r="BI3028">
        <v>20191031</v>
      </c>
      <c r="BJ3028">
        <v>20180831</v>
      </c>
      <c r="BK3028">
        <v>29.59</v>
      </c>
      <c r="BL3028" t="s">
        <v>116</v>
      </c>
      <c r="BM3028">
        <v>3.99</v>
      </c>
      <c r="BN3028">
        <v>522.89</v>
      </c>
      <c r="BO3028">
        <v>93.94</v>
      </c>
      <c r="BP3028">
        <v>35.81</v>
      </c>
      <c r="BQ3028">
        <v>75.19</v>
      </c>
      <c r="BR3028">
        <v>424.32</v>
      </c>
      <c r="BS3028">
        <v>20.92</v>
      </c>
      <c r="BT3028">
        <v>10.32</v>
      </c>
      <c r="BU3028">
        <v>330.7</v>
      </c>
      <c r="BV3028">
        <v>39.4</v>
      </c>
      <c r="BW3028">
        <v>154.88</v>
      </c>
      <c r="BX3028">
        <v>12.69</v>
      </c>
      <c r="BY3028">
        <v>209.71</v>
      </c>
      <c r="BZ3028">
        <v>190.79</v>
      </c>
      <c r="CA3028">
        <v>2.54</v>
      </c>
      <c r="CB3028">
        <v>0.1</v>
      </c>
      <c r="CC3028">
        <v>2.36</v>
      </c>
      <c r="CD3028">
        <v>1.59</v>
      </c>
      <c r="CE3028">
        <v>0.22</v>
      </c>
      <c r="CF3028">
        <v>0.12</v>
      </c>
      <c r="CG3028">
        <v>41.24</v>
      </c>
      <c r="CH3028">
        <v>-8.06</v>
      </c>
      <c r="CI3028">
        <v>-14.15</v>
      </c>
      <c r="CJ3028">
        <v>54990</v>
      </c>
      <c r="CK3028">
        <v>5381</v>
      </c>
      <c r="CL3028" t="s">
        <v>2097</v>
      </c>
      <c r="CM3028">
        <v>-91.28</v>
      </c>
      <c r="CN3028">
        <v>-0.45</v>
      </c>
      <c r="CO3028">
        <v>1.85</v>
      </c>
      <c r="CP3028">
        <v>-20.45</v>
      </c>
      <c r="CQ3028">
        <v>0.79</v>
      </c>
      <c r="CR3028">
        <v>0.56000000000000005</v>
      </c>
      <c r="CS3028" t="s">
        <v>5809</v>
      </c>
      <c r="CT3028">
        <v>3.01</v>
      </c>
      <c r="CU3028">
        <v>3.01</v>
      </c>
      <c r="CV3028">
        <v>0.43</v>
      </c>
      <c r="CW3028">
        <v>1.39</v>
      </c>
      <c r="CX3028">
        <v>-0.27</v>
      </c>
      <c r="CY3028">
        <v>17.97</v>
      </c>
      <c r="CZ3028" t="s">
        <v>3701</v>
      </c>
      <c r="DA3028">
        <v>9.02</v>
      </c>
      <c r="DB3028">
        <v>1.21</v>
      </c>
      <c r="DC3028">
        <v>0.11</v>
      </c>
      <c r="DD3028">
        <v>2.99</v>
      </c>
      <c r="DE3028">
        <v>12954</v>
      </c>
      <c r="DF3028">
        <v>601068</v>
      </c>
      <c r="DG3028" t="s">
        <v>116</v>
      </c>
      <c r="DH3028" t="s">
        <v>116</v>
      </c>
      <c r="DI3028" t="s">
        <v>116</v>
      </c>
    </row>
    <row r="3029" spans="1:113" x14ac:dyDescent="0.4">
      <c r="A3029" t="str">
        <f>"601069"</f>
        <v>601069</v>
      </c>
      <c r="B3029" t="s">
        <v>13254</v>
      </c>
      <c r="C3029">
        <v>-0.13</v>
      </c>
      <c r="D3029">
        <v>15.16</v>
      </c>
      <c r="E3029">
        <v>-0.02</v>
      </c>
      <c r="F3029">
        <v>15.15</v>
      </c>
      <c r="G3029">
        <v>15.16</v>
      </c>
      <c r="H3029">
        <v>250398</v>
      </c>
      <c r="I3029">
        <v>2540</v>
      </c>
      <c r="J3029">
        <v>7.0000000000000007E-2</v>
      </c>
      <c r="K3029">
        <v>3.94</v>
      </c>
      <c r="L3029">
        <v>15.22</v>
      </c>
      <c r="M3029">
        <v>15.6</v>
      </c>
      <c r="N3029">
        <v>15.11</v>
      </c>
      <c r="O3029">
        <v>15.18</v>
      </c>
      <c r="P3029">
        <v>172.91</v>
      </c>
      <c r="Q3029">
        <v>384126304</v>
      </c>
      <c r="R3029">
        <v>1.35</v>
      </c>
      <c r="S3029" t="s">
        <v>871</v>
      </c>
      <c r="T3029" t="s">
        <v>616</v>
      </c>
      <c r="U3029">
        <v>3.23</v>
      </c>
      <c r="V3029">
        <v>15.34</v>
      </c>
      <c r="W3029">
        <v>117772</v>
      </c>
      <c r="X3029">
        <v>132626</v>
      </c>
      <c r="Y3029">
        <v>0.89</v>
      </c>
      <c r="Z3029">
        <v>443</v>
      </c>
      <c r="AA3029">
        <v>701</v>
      </c>
      <c r="AB3029" t="s">
        <v>116</v>
      </c>
      <c r="AC3029">
        <v>805100</v>
      </c>
      <c r="AD3029">
        <v>0.03</v>
      </c>
      <c r="AE3029" t="s">
        <v>116</v>
      </c>
      <c r="AF3029" t="s">
        <v>116</v>
      </c>
      <c r="AG3029">
        <v>6.36</v>
      </c>
      <c r="AH3029" t="s">
        <v>3992</v>
      </c>
      <c r="AI3029" t="s">
        <v>3992</v>
      </c>
      <c r="AJ3029">
        <v>-0.05</v>
      </c>
      <c r="AK3029">
        <v>4140</v>
      </c>
      <c r="AL3029">
        <v>60</v>
      </c>
      <c r="AM3029">
        <v>1E-3</v>
      </c>
      <c r="AN3029">
        <v>-5</v>
      </c>
      <c r="AO3029">
        <v>-0.4</v>
      </c>
      <c r="AP3029">
        <v>5.72</v>
      </c>
      <c r="AQ3029">
        <v>2.09</v>
      </c>
      <c r="AR3029">
        <v>2.02</v>
      </c>
      <c r="AS3029">
        <v>11.86</v>
      </c>
      <c r="AT3029" t="s">
        <v>3534</v>
      </c>
      <c r="AU3029">
        <v>113.77</v>
      </c>
      <c r="AV3029">
        <v>991.92</v>
      </c>
      <c r="AW3029">
        <v>0.45</v>
      </c>
      <c r="BA3029">
        <v>0.26</v>
      </c>
      <c r="BB3029">
        <v>2.77</v>
      </c>
      <c r="BC3029">
        <v>-0.46</v>
      </c>
      <c r="BD3029">
        <v>1.06</v>
      </c>
      <c r="BE3029">
        <v>-0.39</v>
      </c>
      <c r="BF3029">
        <v>-2.82</v>
      </c>
      <c r="BG3029">
        <v>0.33</v>
      </c>
      <c r="BH3029">
        <v>-1.19</v>
      </c>
      <c r="BI3029">
        <v>20191025</v>
      </c>
      <c r="BJ3029">
        <v>20150122</v>
      </c>
      <c r="BK3029">
        <v>6.36</v>
      </c>
      <c r="BL3029" t="s">
        <v>116</v>
      </c>
      <c r="BM3029" t="s">
        <v>116</v>
      </c>
      <c r="BN3029">
        <v>28.24</v>
      </c>
      <c r="BO3029">
        <v>17.149999999999999</v>
      </c>
      <c r="BP3029">
        <v>0</v>
      </c>
      <c r="BQ3029">
        <v>39.270000000000003</v>
      </c>
      <c r="BR3029">
        <v>10.17</v>
      </c>
      <c r="BS3029">
        <v>11.39</v>
      </c>
      <c r="BT3029">
        <v>1.55</v>
      </c>
      <c r="BU3029">
        <v>9.4</v>
      </c>
      <c r="BV3029">
        <v>7.21</v>
      </c>
      <c r="BW3029">
        <v>0.28999999999999998</v>
      </c>
      <c r="BX3029">
        <v>5.08</v>
      </c>
      <c r="BY3029">
        <v>24.4</v>
      </c>
      <c r="BZ3029">
        <v>21.82</v>
      </c>
      <c r="CA3029">
        <v>0.54</v>
      </c>
      <c r="CB3029">
        <v>-0.1</v>
      </c>
      <c r="CC3029">
        <v>0.52</v>
      </c>
      <c r="CD3029">
        <v>0.42</v>
      </c>
      <c r="CE3029">
        <v>0.42</v>
      </c>
      <c r="CF3029">
        <v>0.48</v>
      </c>
      <c r="CG3029">
        <v>4.91</v>
      </c>
      <c r="CH3029">
        <v>-2.5299999999999998</v>
      </c>
      <c r="CI3029">
        <v>-1.79</v>
      </c>
      <c r="CJ3029">
        <v>67378</v>
      </c>
      <c r="CK3029">
        <v>3133</v>
      </c>
      <c r="CL3029" t="s">
        <v>1609</v>
      </c>
      <c r="CM3029">
        <v>225.95</v>
      </c>
      <c r="CN3029">
        <v>363.81</v>
      </c>
      <c r="CO3029">
        <v>5.62</v>
      </c>
      <c r="CP3029">
        <v>-38.11</v>
      </c>
      <c r="CQ3029">
        <v>3.95</v>
      </c>
      <c r="CR3029">
        <v>7.0000000000000007E-2</v>
      </c>
      <c r="CS3029" t="s">
        <v>1522</v>
      </c>
      <c r="CT3029">
        <v>2.7</v>
      </c>
      <c r="CU3029">
        <v>0</v>
      </c>
      <c r="CV3029">
        <v>0.8</v>
      </c>
      <c r="CW3029">
        <v>0.77</v>
      </c>
      <c r="CX3029">
        <v>-0.4</v>
      </c>
      <c r="CY3029">
        <v>60.73</v>
      </c>
      <c r="CZ3029" t="s">
        <v>1323</v>
      </c>
      <c r="DA3029">
        <v>10.57</v>
      </c>
      <c r="DB3029">
        <v>2.23</v>
      </c>
      <c r="DC3029">
        <v>1.71</v>
      </c>
      <c r="DD3029">
        <v>0.01</v>
      </c>
      <c r="DE3029">
        <v>1705</v>
      </c>
      <c r="DF3029">
        <v>601069</v>
      </c>
      <c r="DG3029" t="s">
        <v>116</v>
      </c>
      <c r="DH3029" t="s">
        <v>116</v>
      </c>
      <c r="DI3029" t="s">
        <v>116</v>
      </c>
    </row>
    <row r="3030" spans="1:113" x14ac:dyDescent="0.4">
      <c r="A3030" t="str">
        <f>"601077"</f>
        <v>601077</v>
      </c>
      <c r="B3030" t="s">
        <v>13255</v>
      </c>
      <c r="C3030">
        <v>-0.15</v>
      </c>
      <c r="D3030">
        <v>6.72</v>
      </c>
      <c r="E3030">
        <v>-0.01</v>
      </c>
      <c r="F3030">
        <v>6.72</v>
      </c>
      <c r="G3030">
        <v>6.73</v>
      </c>
      <c r="H3030">
        <v>614129</v>
      </c>
      <c r="I3030">
        <v>5029</v>
      </c>
      <c r="J3030">
        <v>0.15</v>
      </c>
      <c r="K3030">
        <v>5.58</v>
      </c>
      <c r="L3030">
        <v>6.72</v>
      </c>
      <c r="M3030">
        <v>6.84</v>
      </c>
      <c r="N3030">
        <v>6.7</v>
      </c>
      <c r="O3030">
        <v>6.73</v>
      </c>
      <c r="P3030">
        <v>6.63</v>
      </c>
      <c r="Q3030">
        <v>415148096</v>
      </c>
      <c r="R3030">
        <v>1.04</v>
      </c>
      <c r="S3030" t="s">
        <v>114</v>
      </c>
      <c r="T3030" t="s">
        <v>906</v>
      </c>
      <c r="U3030">
        <v>2.08</v>
      </c>
      <c r="V3030">
        <v>6.76</v>
      </c>
      <c r="W3030">
        <v>318259</v>
      </c>
      <c r="X3030">
        <v>295870</v>
      </c>
      <c r="Y3030">
        <v>1.08</v>
      </c>
      <c r="Z3030">
        <v>5514</v>
      </c>
      <c r="AA3030">
        <v>5091</v>
      </c>
      <c r="AB3030" t="s">
        <v>116</v>
      </c>
      <c r="AC3030">
        <v>1705500</v>
      </c>
      <c r="AD3030">
        <v>0.02</v>
      </c>
      <c r="AE3030" t="s">
        <v>116</v>
      </c>
      <c r="AF3030" t="s">
        <v>116</v>
      </c>
      <c r="AG3030">
        <v>11</v>
      </c>
      <c r="AH3030" t="s">
        <v>7716</v>
      </c>
      <c r="AI3030" t="s">
        <v>13256</v>
      </c>
      <c r="AJ3030">
        <v>-7.0000000000000007E-2</v>
      </c>
      <c r="AK3030">
        <v>3810</v>
      </c>
      <c r="AL3030">
        <v>161</v>
      </c>
      <c r="AM3030">
        <v>1.5E-3</v>
      </c>
      <c r="AN3030">
        <v>-1</v>
      </c>
      <c r="AO3030">
        <v>-0.28999999999999998</v>
      </c>
      <c r="AP3030">
        <v>1.05</v>
      </c>
      <c r="AQ3030">
        <v>-8.6999999999999993</v>
      </c>
      <c r="AR3030">
        <v>-8.6999999999999993</v>
      </c>
      <c r="AS3030">
        <v>5.58</v>
      </c>
      <c r="AT3030" t="s">
        <v>7716</v>
      </c>
      <c r="AU3030">
        <v>7.37</v>
      </c>
      <c r="AV3030">
        <v>8.43</v>
      </c>
      <c r="AW3030">
        <v>0</v>
      </c>
      <c r="BA3030">
        <v>-0.15</v>
      </c>
      <c r="BB3030">
        <v>1.63</v>
      </c>
      <c r="BC3030">
        <v>-0.45</v>
      </c>
      <c r="BD3030">
        <v>0.45</v>
      </c>
      <c r="BE3030">
        <v>0</v>
      </c>
      <c r="BF3030">
        <v>-1.75</v>
      </c>
      <c r="BG3030">
        <v>0.3</v>
      </c>
      <c r="BH3030">
        <v>-0.59</v>
      </c>
      <c r="BI3030">
        <v>20191225</v>
      </c>
      <c r="BJ3030">
        <v>20191029</v>
      </c>
      <c r="BK3030">
        <v>113.57</v>
      </c>
      <c r="BL3030" t="s">
        <v>116</v>
      </c>
      <c r="BM3030">
        <v>25.13</v>
      </c>
      <c r="BN3030">
        <v>10341.92</v>
      </c>
      <c r="BO3030">
        <v>768.43</v>
      </c>
      <c r="BP3030">
        <v>15.28</v>
      </c>
      <c r="BQ3030">
        <v>92.42</v>
      </c>
      <c r="BR3030">
        <v>0</v>
      </c>
      <c r="BS3030">
        <v>46.02</v>
      </c>
      <c r="BT3030">
        <v>5.3</v>
      </c>
      <c r="BU3030">
        <v>0</v>
      </c>
      <c r="BV3030">
        <v>0</v>
      </c>
      <c r="BW3030">
        <v>0</v>
      </c>
      <c r="BX3030">
        <v>118.98</v>
      </c>
      <c r="BY3030">
        <v>199.91</v>
      </c>
      <c r="BZ3030">
        <v>0</v>
      </c>
      <c r="CA3030">
        <v>106.19</v>
      </c>
      <c r="CB3030">
        <v>7.15</v>
      </c>
      <c r="CC3030">
        <v>106.26</v>
      </c>
      <c r="CD3030">
        <v>87.95</v>
      </c>
      <c r="CE3030">
        <v>86.28</v>
      </c>
      <c r="CF3030">
        <v>78.34</v>
      </c>
      <c r="CG3030">
        <v>323.17</v>
      </c>
      <c r="CH3030">
        <v>333.77</v>
      </c>
      <c r="CI3030">
        <v>-37.29</v>
      </c>
      <c r="CJ3030">
        <v>419500</v>
      </c>
      <c r="CK3030">
        <v>2623</v>
      </c>
      <c r="CL3030" t="s">
        <v>13257</v>
      </c>
      <c r="CM3030">
        <v>0</v>
      </c>
      <c r="CN3030">
        <v>0</v>
      </c>
      <c r="CO3030">
        <v>0.88</v>
      </c>
      <c r="CP3030">
        <v>2.29</v>
      </c>
      <c r="CQ3030">
        <v>3.82</v>
      </c>
      <c r="CR3030">
        <v>0</v>
      </c>
      <c r="CS3030" t="s">
        <v>10012</v>
      </c>
      <c r="CT3030">
        <v>7.64</v>
      </c>
      <c r="CU3030">
        <v>7.64</v>
      </c>
      <c r="CV3030">
        <v>1.05</v>
      </c>
      <c r="CW3030">
        <v>2.85</v>
      </c>
      <c r="CX3030">
        <v>2.94</v>
      </c>
      <c r="CY3030">
        <v>7.43</v>
      </c>
      <c r="CZ3030" t="s">
        <v>12318</v>
      </c>
      <c r="DA3030" t="s">
        <v>116</v>
      </c>
      <c r="DB3030">
        <v>53.12</v>
      </c>
      <c r="DC3030">
        <v>43.16</v>
      </c>
      <c r="DD3030">
        <v>0</v>
      </c>
      <c r="DE3030">
        <v>15658</v>
      </c>
      <c r="DF3030">
        <v>601077</v>
      </c>
      <c r="DG3030" t="s">
        <v>116</v>
      </c>
      <c r="DH3030" t="s">
        <v>116</v>
      </c>
      <c r="DI3030" t="s">
        <v>116</v>
      </c>
    </row>
    <row r="3031" spans="1:113" x14ac:dyDescent="0.4">
      <c r="A3031" t="str">
        <f>"601086"</f>
        <v>601086</v>
      </c>
      <c r="B3031" t="s">
        <v>13258</v>
      </c>
      <c r="C3031">
        <v>1.22</v>
      </c>
      <c r="D3031">
        <v>4.96</v>
      </c>
      <c r="E3031">
        <v>0.06</v>
      </c>
      <c r="F3031">
        <v>4.96</v>
      </c>
      <c r="G3031">
        <v>4.97</v>
      </c>
      <c r="H3031">
        <v>67366</v>
      </c>
      <c r="I3031">
        <v>1899</v>
      </c>
      <c r="J3031">
        <v>-0.19</v>
      </c>
      <c r="K3031">
        <v>4.0599999999999996</v>
      </c>
      <c r="L3031">
        <v>4.9400000000000004</v>
      </c>
      <c r="M3031">
        <v>5.04</v>
      </c>
      <c r="N3031">
        <v>4.8899999999999997</v>
      </c>
      <c r="O3031">
        <v>4.9000000000000004</v>
      </c>
      <c r="P3031">
        <v>25.52</v>
      </c>
      <c r="Q3031">
        <v>33421244</v>
      </c>
      <c r="R3031">
        <v>1.51</v>
      </c>
      <c r="S3031" t="s">
        <v>746</v>
      </c>
      <c r="T3031" t="s">
        <v>1122</v>
      </c>
      <c r="U3031">
        <v>3.06</v>
      </c>
      <c r="V3031">
        <v>4.96</v>
      </c>
      <c r="W3031">
        <v>33653</v>
      </c>
      <c r="X3031">
        <v>33713</v>
      </c>
      <c r="Y3031">
        <v>1</v>
      </c>
      <c r="Z3031">
        <v>3611</v>
      </c>
      <c r="AA3031">
        <v>352</v>
      </c>
      <c r="AB3031" t="s">
        <v>116</v>
      </c>
      <c r="AC3031">
        <v>517700</v>
      </c>
      <c r="AD3031">
        <v>0.06</v>
      </c>
      <c r="AE3031" t="s">
        <v>116</v>
      </c>
      <c r="AF3031" t="s">
        <v>116</v>
      </c>
      <c r="AG3031">
        <v>1.66</v>
      </c>
      <c r="AH3031" t="s">
        <v>7241</v>
      </c>
      <c r="AI3031" t="s">
        <v>8970</v>
      </c>
      <c r="AJ3031">
        <v>1.3</v>
      </c>
      <c r="AK3031">
        <v>894</v>
      </c>
      <c r="AL3031">
        <v>75</v>
      </c>
      <c r="AM3031">
        <v>4.4999999999999997E-3</v>
      </c>
      <c r="AN3031">
        <v>2</v>
      </c>
      <c r="AO3031">
        <v>1.22</v>
      </c>
      <c r="AP3031">
        <v>10.220000000000001</v>
      </c>
      <c r="AQ3031">
        <v>1.43</v>
      </c>
      <c r="AR3031">
        <v>1.85</v>
      </c>
      <c r="AS3031">
        <v>4.0599999999999996</v>
      </c>
      <c r="AT3031" t="s">
        <v>7241</v>
      </c>
      <c r="AU3031">
        <v>26.84</v>
      </c>
      <c r="AV3031">
        <v>25.08</v>
      </c>
      <c r="AW3031">
        <v>1.23</v>
      </c>
      <c r="BA3031">
        <v>0.82</v>
      </c>
      <c r="BB3031">
        <v>2.86</v>
      </c>
      <c r="BC3031">
        <v>-0.2</v>
      </c>
      <c r="BD3031">
        <v>1.25</v>
      </c>
      <c r="BE3031">
        <v>0.4</v>
      </c>
      <c r="BF3031">
        <v>-1.59</v>
      </c>
      <c r="BG3031">
        <v>1.43</v>
      </c>
      <c r="BH3031">
        <v>-0.02</v>
      </c>
      <c r="BI3031">
        <v>20191203</v>
      </c>
      <c r="BJ3031">
        <v>20170929</v>
      </c>
      <c r="BK3031">
        <v>6.66</v>
      </c>
      <c r="BL3031" t="s">
        <v>116</v>
      </c>
      <c r="BM3031" t="s">
        <v>116</v>
      </c>
      <c r="BN3031">
        <v>27.84</v>
      </c>
      <c r="BO3031">
        <v>17.829999999999998</v>
      </c>
      <c r="BP3031">
        <v>0</v>
      </c>
      <c r="BQ3031">
        <v>35.979999999999997</v>
      </c>
      <c r="BR3031">
        <v>9.64</v>
      </c>
      <c r="BS3031">
        <v>9.32</v>
      </c>
      <c r="BT3031">
        <v>7.0000000000000007E-2</v>
      </c>
      <c r="BU3031">
        <v>8.44</v>
      </c>
      <c r="BV3031">
        <v>0.96</v>
      </c>
      <c r="BW3031">
        <v>0.05</v>
      </c>
      <c r="BX3031">
        <v>3.26</v>
      </c>
      <c r="BY3031">
        <v>20.69</v>
      </c>
      <c r="BZ3031">
        <v>17.34</v>
      </c>
      <c r="CA3031">
        <v>1.33</v>
      </c>
      <c r="CB3031">
        <v>0.03</v>
      </c>
      <c r="CC3031">
        <v>1.33</v>
      </c>
      <c r="CD3031">
        <v>0.97</v>
      </c>
      <c r="CE3031">
        <v>0.97</v>
      </c>
      <c r="CF3031">
        <v>0.91</v>
      </c>
      <c r="CG3031">
        <v>4.43</v>
      </c>
      <c r="CH3031">
        <v>1.1599999999999999</v>
      </c>
      <c r="CI3031">
        <v>-1.25</v>
      </c>
      <c r="CJ3031">
        <v>32643</v>
      </c>
      <c r="CK3031">
        <v>5085</v>
      </c>
      <c r="CL3031" t="s">
        <v>3955</v>
      </c>
      <c r="CM3031">
        <v>-8.14</v>
      </c>
      <c r="CN3031">
        <v>-4.26</v>
      </c>
      <c r="CO3031">
        <v>1.85</v>
      </c>
      <c r="CP3031">
        <v>28.43</v>
      </c>
      <c r="CQ3031">
        <v>1.6</v>
      </c>
      <c r="CR3031">
        <v>4.03</v>
      </c>
      <c r="CS3031" t="s">
        <v>4222</v>
      </c>
      <c r="CT3031">
        <v>2.68</v>
      </c>
      <c r="CU3031">
        <v>0</v>
      </c>
      <c r="CV3031">
        <v>0.49</v>
      </c>
      <c r="CW3031">
        <v>0.67</v>
      </c>
      <c r="CX3031">
        <v>0.17</v>
      </c>
      <c r="CY3031">
        <v>64.02</v>
      </c>
      <c r="CZ3031" t="s">
        <v>13259</v>
      </c>
      <c r="DA3031">
        <v>16.18</v>
      </c>
      <c r="DB3031">
        <v>6.42</v>
      </c>
      <c r="DC3031">
        <v>4.6900000000000004</v>
      </c>
      <c r="DD3031">
        <v>0</v>
      </c>
      <c r="DE3031">
        <v>1450</v>
      </c>
      <c r="DF3031">
        <v>601086</v>
      </c>
      <c r="DG3031" t="s">
        <v>116</v>
      </c>
      <c r="DH3031" t="s">
        <v>116</v>
      </c>
      <c r="DI3031" t="s">
        <v>116</v>
      </c>
    </row>
    <row r="3032" spans="1:113" x14ac:dyDescent="0.4">
      <c r="A3032" t="str">
        <f>"601088"</f>
        <v>601088</v>
      </c>
      <c r="B3032" t="s">
        <v>13260</v>
      </c>
      <c r="C3032">
        <v>0.73</v>
      </c>
      <c r="D3032">
        <v>17.82</v>
      </c>
      <c r="E3032">
        <v>0.13</v>
      </c>
      <c r="F3032">
        <v>17.809999999999999</v>
      </c>
      <c r="G3032">
        <v>17.82</v>
      </c>
      <c r="H3032">
        <v>485836</v>
      </c>
      <c r="I3032">
        <v>2266</v>
      </c>
      <c r="J3032">
        <v>-0.1</v>
      </c>
      <c r="K3032">
        <v>0.28999999999999998</v>
      </c>
      <c r="L3032">
        <v>17.690000000000001</v>
      </c>
      <c r="M3032">
        <v>18.03</v>
      </c>
      <c r="N3032">
        <v>17.649999999999999</v>
      </c>
      <c r="O3032">
        <v>17.690000000000001</v>
      </c>
      <c r="P3032">
        <v>7.17</v>
      </c>
      <c r="Q3032">
        <v>866742720</v>
      </c>
      <c r="R3032">
        <v>1.84</v>
      </c>
      <c r="S3032" t="s">
        <v>1121</v>
      </c>
      <c r="T3032" t="s">
        <v>165</v>
      </c>
      <c r="U3032">
        <v>2.15</v>
      </c>
      <c r="V3032">
        <v>17.84</v>
      </c>
      <c r="W3032">
        <v>206052</v>
      </c>
      <c r="X3032">
        <v>279784</v>
      </c>
      <c r="Y3032">
        <v>0.74</v>
      </c>
      <c r="Z3032">
        <v>196</v>
      </c>
      <c r="AA3032">
        <v>1797</v>
      </c>
      <c r="AB3032" t="s">
        <v>116</v>
      </c>
      <c r="AC3032">
        <v>2427100</v>
      </c>
      <c r="AD3032">
        <v>0.01</v>
      </c>
      <c r="AE3032" t="s">
        <v>116</v>
      </c>
      <c r="AF3032" t="s">
        <v>116</v>
      </c>
      <c r="AG3032">
        <v>164.91</v>
      </c>
      <c r="AH3032" t="s">
        <v>13261</v>
      </c>
      <c r="AI3032" t="s">
        <v>13261</v>
      </c>
      <c r="AJ3032">
        <v>0.81</v>
      </c>
      <c r="AK3032">
        <v>4380</v>
      </c>
      <c r="AL3032">
        <v>111</v>
      </c>
      <c r="AM3032">
        <v>1E-4</v>
      </c>
      <c r="AN3032">
        <v>2</v>
      </c>
      <c r="AO3032">
        <v>1.1299999999999999</v>
      </c>
      <c r="AP3032">
        <v>3.54</v>
      </c>
      <c r="AQ3032">
        <v>-4.6500000000000004</v>
      </c>
      <c r="AR3032">
        <v>4.33</v>
      </c>
      <c r="AS3032">
        <v>1.81</v>
      </c>
      <c r="AT3032" t="s">
        <v>13262</v>
      </c>
      <c r="AU3032">
        <v>7.76</v>
      </c>
      <c r="AV3032">
        <v>8.08</v>
      </c>
      <c r="AW3032">
        <v>0.71</v>
      </c>
      <c r="BA3032">
        <v>0</v>
      </c>
      <c r="BB3032">
        <v>1.92</v>
      </c>
      <c r="BC3032">
        <v>-0.23</v>
      </c>
      <c r="BD3032">
        <v>0.85</v>
      </c>
      <c r="BE3032">
        <v>0.73</v>
      </c>
      <c r="BF3032">
        <v>-1.1599999999999999</v>
      </c>
      <c r="BG3032">
        <v>0.96</v>
      </c>
      <c r="BH3032">
        <v>-0.11</v>
      </c>
      <c r="BI3032">
        <v>20191029</v>
      </c>
      <c r="BJ3032">
        <v>20071009</v>
      </c>
      <c r="BK3032">
        <v>198.9</v>
      </c>
      <c r="BL3032" t="s">
        <v>116</v>
      </c>
      <c r="BM3032">
        <v>33.99</v>
      </c>
      <c r="BN3032">
        <v>5608.58</v>
      </c>
      <c r="BO3032">
        <v>3469.11</v>
      </c>
      <c r="BP3032">
        <v>678.28</v>
      </c>
      <c r="BQ3032">
        <v>26.05</v>
      </c>
      <c r="BR3032">
        <v>1762.18</v>
      </c>
      <c r="BS3032">
        <v>2275.92</v>
      </c>
      <c r="BT3032">
        <v>361.29</v>
      </c>
      <c r="BU3032">
        <v>961.4</v>
      </c>
      <c r="BV3032">
        <v>132.09</v>
      </c>
      <c r="BW3032">
        <v>98.69</v>
      </c>
      <c r="BX3032">
        <v>747.2</v>
      </c>
      <c r="BY3032">
        <v>1778.49</v>
      </c>
      <c r="BZ3032">
        <v>1026.96</v>
      </c>
      <c r="CA3032">
        <v>549.03</v>
      </c>
      <c r="CB3032">
        <v>24.02</v>
      </c>
      <c r="CC3032">
        <v>550.53</v>
      </c>
      <c r="CD3032">
        <v>438.93</v>
      </c>
      <c r="CE3032">
        <v>370.88</v>
      </c>
      <c r="CF3032">
        <v>353.69</v>
      </c>
      <c r="CG3032">
        <v>2267.98</v>
      </c>
      <c r="CH3032">
        <v>567.57000000000005</v>
      </c>
      <c r="CI3032">
        <v>237.05</v>
      </c>
      <c r="CJ3032">
        <v>164571</v>
      </c>
      <c r="CK3032">
        <v>16275</v>
      </c>
      <c r="CL3032" t="s">
        <v>13263</v>
      </c>
      <c r="CM3032">
        <v>5.13</v>
      </c>
      <c r="CN3032">
        <v>-8.36</v>
      </c>
      <c r="CO3032">
        <v>1.02</v>
      </c>
      <c r="CP3032">
        <v>6.24</v>
      </c>
      <c r="CQ3032">
        <v>1.99</v>
      </c>
      <c r="CR3032">
        <v>4.9400000000000004</v>
      </c>
      <c r="CS3032" t="s">
        <v>13264</v>
      </c>
      <c r="CT3032">
        <v>17.440000000000001</v>
      </c>
      <c r="CU3032">
        <v>17.440000000000001</v>
      </c>
      <c r="CV3032">
        <v>3.76</v>
      </c>
      <c r="CW3032">
        <v>11.4</v>
      </c>
      <c r="CX3032">
        <v>2.85</v>
      </c>
      <c r="CY3032">
        <v>61.85</v>
      </c>
      <c r="CZ3032" t="s">
        <v>13265</v>
      </c>
      <c r="DA3032">
        <v>42.26</v>
      </c>
      <c r="DB3032">
        <v>30.87</v>
      </c>
      <c r="DC3032">
        <v>20.85</v>
      </c>
      <c r="DD3032">
        <v>2.59</v>
      </c>
      <c r="DE3032">
        <v>74996</v>
      </c>
      <c r="DF3032">
        <v>601088</v>
      </c>
      <c r="DG3032" t="s">
        <v>116</v>
      </c>
      <c r="DH3032" t="s">
        <v>116</v>
      </c>
      <c r="DI3032" t="s">
        <v>116</v>
      </c>
    </row>
    <row r="3033" spans="1:113" x14ac:dyDescent="0.4">
      <c r="A3033" t="str">
        <f>"601098"</f>
        <v>601098</v>
      </c>
      <c r="B3033" t="s">
        <v>13266</v>
      </c>
      <c r="C3033">
        <v>0.51</v>
      </c>
      <c r="D3033">
        <v>11.94</v>
      </c>
      <c r="E3033">
        <v>0.06</v>
      </c>
      <c r="F3033">
        <v>11.94</v>
      </c>
      <c r="G3033">
        <v>11.95</v>
      </c>
      <c r="H3033">
        <v>48297</v>
      </c>
      <c r="I3033">
        <v>324</v>
      </c>
      <c r="J3033">
        <v>-7.0000000000000007E-2</v>
      </c>
      <c r="K3033">
        <v>0.27</v>
      </c>
      <c r="L3033">
        <v>11.86</v>
      </c>
      <c r="M3033">
        <v>12.02</v>
      </c>
      <c r="N3033">
        <v>11.84</v>
      </c>
      <c r="O3033">
        <v>11.88</v>
      </c>
      <c r="P3033">
        <v>17.510000000000002</v>
      </c>
      <c r="Q3033">
        <v>57714316</v>
      </c>
      <c r="R3033">
        <v>0.94</v>
      </c>
      <c r="S3033" t="s">
        <v>1902</v>
      </c>
      <c r="T3033" t="s">
        <v>599</v>
      </c>
      <c r="U3033">
        <v>1.52</v>
      </c>
      <c r="V3033">
        <v>11.95</v>
      </c>
      <c r="W3033">
        <v>23604</v>
      </c>
      <c r="X3033">
        <v>24693</v>
      </c>
      <c r="Y3033">
        <v>0.96</v>
      </c>
      <c r="Z3033">
        <v>237</v>
      </c>
      <c r="AA3033">
        <v>211</v>
      </c>
      <c r="AB3033" t="s">
        <v>116</v>
      </c>
      <c r="AC3033">
        <v>231300</v>
      </c>
      <c r="AD3033">
        <v>0</v>
      </c>
      <c r="AE3033" t="s">
        <v>116</v>
      </c>
      <c r="AF3033" t="s">
        <v>116</v>
      </c>
      <c r="AG3033">
        <v>17.96</v>
      </c>
      <c r="AH3033" t="s">
        <v>13267</v>
      </c>
      <c r="AI3033" t="s">
        <v>13267</v>
      </c>
      <c r="AJ3033">
        <v>0.57999999999999996</v>
      </c>
      <c r="AK3033">
        <v>2619</v>
      </c>
      <c r="AL3033">
        <v>18</v>
      </c>
      <c r="AM3033">
        <v>1E-4</v>
      </c>
      <c r="AN3033">
        <v>2</v>
      </c>
      <c r="AO3033">
        <v>2.58</v>
      </c>
      <c r="AP3033">
        <v>3.11</v>
      </c>
      <c r="AQ3033">
        <v>-3.55</v>
      </c>
      <c r="AR3033">
        <v>0.42</v>
      </c>
      <c r="AS3033">
        <v>0.76</v>
      </c>
      <c r="AT3033" t="s">
        <v>13268</v>
      </c>
      <c r="AU3033">
        <v>16.670000000000002</v>
      </c>
      <c r="AV3033">
        <v>17.32</v>
      </c>
      <c r="AW3033">
        <v>0.89</v>
      </c>
      <c r="BA3033">
        <v>-0.17</v>
      </c>
      <c r="BB3033">
        <v>1.18</v>
      </c>
      <c r="BC3033">
        <v>-0.34</v>
      </c>
      <c r="BD3033">
        <v>0.59</v>
      </c>
      <c r="BE3033">
        <v>0.67</v>
      </c>
      <c r="BF3033">
        <v>-0.67</v>
      </c>
      <c r="BG3033">
        <v>0.84</v>
      </c>
      <c r="BH3033">
        <v>-0.08</v>
      </c>
      <c r="BI3033">
        <v>20191030</v>
      </c>
      <c r="BJ3033">
        <v>20101028</v>
      </c>
      <c r="BK3033">
        <v>17.96</v>
      </c>
      <c r="BL3033" t="s">
        <v>116</v>
      </c>
      <c r="BM3033" t="s">
        <v>116</v>
      </c>
      <c r="BN3033">
        <v>212.82</v>
      </c>
      <c r="BO3033">
        <v>133.07</v>
      </c>
      <c r="BP3033">
        <v>7.24</v>
      </c>
      <c r="BQ3033">
        <v>34.07</v>
      </c>
      <c r="BR3033">
        <v>180.21</v>
      </c>
      <c r="BS3033">
        <v>13.04</v>
      </c>
      <c r="BT3033">
        <v>10</v>
      </c>
      <c r="BU3033">
        <v>69.88</v>
      </c>
      <c r="BV3033">
        <v>19.8</v>
      </c>
      <c r="BW3033">
        <v>16.850000000000001</v>
      </c>
      <c r="BX3033">
        <v>44.2</v>
      </c>
      <c r="BY3033">
        <v>63.74</v>
      </c>
      <c r="BZ3033">
        <v>36.46</v>
      </c>
      <c r="CA3033">
        <v>10.1</v>
      </c>
      <c r="CB3033">
        <v>0.6</v>
      </c>
      <c r="CC3033">
        <v>10.11</v>
      </c>
      <c r="CD3033">
        <v>9.91</v>
      </c>
      <c r="CE3033">
        <v>9.18</v>
      </c>
      <c r="CF3033">
        <v>8.84</v>
      </c>
      <c r="CG3033">
        <v>60.43</v>
      </c>
      <c r="CH3033">
        <v>10.7</v>
      </c>
      <c r="CI3033">
        <v>-6.04</v>
      </c>
      <c r="CJ3033">
        <v>26252</v>
      </c>
      <c r="CK3033">
        <v>24155</v>
      </c>
      <c r="CL3033" t="s">
        <v>13269</v>
      </c>
      <c r="CM3033">
        <v>5.61</v>
      </c>
      <c r="CN3033">
        <v>4.34</v>
      </c>
      <c r="CO3033">
        <v>1.61</v>
      </c>
      <c r="CP3033">
        <v>20.05</v>
      </c>
      <c r="CQ3033">
        <v>3.36</v>
      </c>
      <c r="CR3033">
        <v>5.1100000000000003</v>
      </c>
      <c r="CS3033" t="s">
        <v>4464</v>
      </c>
      <c r="CT3033">
        <v>7.41</v>
      </c>
      <c r="CU3033">
        <v>0</v>
      </c>
      <c r="CV3033">
        <v>2.46</v>
      </c>
      <c r="CW3033">
        <v>3.36</v>
      </c>
      <c r="CX3033">
        <v>0.6</v>
      </c>
      <c r="CY3033">
        <v>62.53</v>
      </c>
      <c r="CZ3033" t="s">
        <v>6653</v>
      </c>
      <c r="DA3033">
        <v>42.8</v>
      </c>
      <c r="DB3033">
        <v>15.85</v>
      </c>
      <c r="DC3033">
        <v>14.41</v>
      </c>
      <c r="DD3033">
        <v>0.37</v>
      </c>
      <c r="DE3033">
        <v>13490</v>
      </c>
      <c r="DF3033">
        <v>601098</v>
      </c>
      <c r="DG3033" t="s">
        <v>116</v>
      </c>
      <c r="DH3033" t="s">
        <v>116</v>
      </c>
      <c r="DI3033" t="s">
        <v>116</v>
      </c>
    </row>
    <row r="3034" spans="1:113" x14ac:dyDescent="0.4">
      <c r="A3034" t="str">
        <f>"601099"</f>
        <v>601099</v>
      </c>
      <c r="B3034" t="s">
        <v>13270</v>
      </c>
      <c r="C3034">
        <v>-2.67</v>
      </c>
      <c r="D3034">
        <v>3.65</v>
      </c>
      <c r="E3034">
        <v>-0.1</v>
      </c>
      <c r="F3034">
        <v>3.64</v>
      </c>
      <c r="G3034">
        <v>3.65</v>
      </c>
      <c r="H3034">
        <v>1853187</v>
      </c>
      <c r="I3034">
        <v>28279</v>
      </c>
      <c r="J3034">
        <v>-0.26</v>
      </c>
      <c r="K3034">
        <v>2.72</v>
      </c>
      <c r="L3034">
        <v>3.72</v>
      </c>
      <c r="M3034">
        <v>3.79</v>
      </c>
      <c r="N3034">
        <v>3.64</v>
      </c>
      <c r="O3034">
        <v>3.75</v>
      </c>
      <c r="P3034">
        <v>46.57</v>
      </c>
      <c r="Q3034">
        <v>690946432</v>
      </c>
      <c r="R3034">
        <v>1.28</v>
      </c>
      <c r="S3034" t="s">
        <v>623</v>
      </c>
      <c r="T3034" t="s">
        <v>1043</v>
      </c>
      <c r="U3034">
        <v>4</v>
      </c>
      <c r="V3034">
        <v>3.73</v>
      </c>
      <c r="W3034">
        <v>1006191</v>
      </c>
      <c r="X3034">
        <v>846996</v>
      </c>
      <c r="Y3034">
        <v>1.19</v>
      </c>
      <c r="Z3034">
        <v>9045</v>
      </c>
      <c r="AA3034">
        <v>19524</v>
      </c>
      <c r="AB3034" t="s">
        <v>116</v>
      </c>
      <c r="AC3034">
        <v>4519100</v>
      </c>
      <c r="AD3034">
        <v>0.02</v>
      </c>
      <c r="AE3034" t="s">
        <v>116</v>
      </c>
      <c r="AF3034" t="s">
        <v>116</v>
      </c>
      <c r="AG3034">
        <v>68.16</v>
      </c>
      <c r="AH3034" t="s">
        <v>13271</v>
      </c>
      <c r="AI3034" t="s">
        <v>13271</v>
      </c>
      <c r="AJ3034">
        <v>-2.59</v>
      </c>
      <c r="AK3034">
        <v>4322</v>
      </c>
      <c r="AL3034">
        <v>429</v>
      </c>
      <c r="AM3034">
        <v>5.9999999999999995E-4</v>
      </c>
      <c r="AN3034">
        <v>-1</v>
      </c>
      <c r="AO3034">
        <v>0</v>
      </c>
      <c r="AP3034">
        <v>11.96</v>
      </c>
      <c r="AQ3034">
        <v>5.8</v>
      </c>
      <c r="AR3034">
        <v>46.59</v>
      </c>
      <c r="AS3034">
        <v>3.05</v>
      </c>
      <c r="AT3034" t="s">
        <v>13272</v>
      </c>
      <c r="AU3034" t="s">
        <v>116</v>
      </c>
      <c r="AV3034" t="s">
        <v>116</v>
      </c>
      <c r="AW3034">
        <v>1.77</v>
      </c>
      <c r="BA3034">
        <v>-0.8</v>
      </c>
      <c r="BB3034">
        <v>1.07</v>
      </c>
      <c r="BC3034">
        <v>-2.93</v>
      </c>
      <c r="BD3034">
        <v>-0.57999999999999996</v>
      </c>
      <c r="BE3034">
        <v>-1.88</v>
      </c>
      <c r="BF3034">
        <v>-3.69</v>
      </c>
      <c r="BG3034">
        <v>0.27</v>
      </c>
      <c r="BH3034">
        <v>-2.09</v>
      </c>
      <c r="BI3034">
        <v>20191030</v>
      </c>
      <c r="BJ3034">
        <v>20071228</v>
      </c>
      <c r="BK3034">
        <v>68.16</v>
      </c>
      <c r="BL3034" t="s">
        <v>116</v>
      </c>
      <c r="BM3034" t="s">
        <v>116</v>
      </c>
      <c r="BN3034">
        <v>333.94</v>
      </c>
      <c r="BO3034">
        <v>102.37</v>
      </c>
      <c r="BP3034">
        <v>3.21</v>
      </c>
      <c r="BQ3034">
        <v>68.39</v>
      </c>
      <c r="BR3034">
        <v>0</v>
      </c>
      <c r="BS3034">
        <v>2.54</v>
      </c>
      <c r="BT3034">
        <v>0.56000000000000005</v>
      </c>
      <c r="BU3034">
        <v>0</v>
      </c>
      <c r="BV3034">
        <v>0</v>
      </c>
      <c r="BW3034">
        <v>0</v>
      </c>
      <c r="BX3034">
        <v>27.98</v>
      </c>
      <c r="BY3034">
        <v>14.06</v>
      </c>
      <c r="BZ3034">
        <v>0</v>
      </c>
      <c r="CA3034">
        <v>5.84</v>
      </c>
      <c r="CB3034">
        <v>5.95</v>
      </c>
      <c r="CC3034">
        <v>5.86</v>
      </c>
      <c r="CD3034">
        <v>4.32</v>
      </c>
      <c r="CE3034">
        <v>4.01</v>
      </c>
      <c r="CF3034">
        <v>3.92</v>
      </c>
      <c r="CG3034">
        <v>-3.55</v>
      </c>
      <c r="CH3034">
        <v>38.56</v>
      </c>
      <c r="CI3034">
        <v>17.670000000000002</v>
      </c>
      <c r="CJ3034">
        <v>375724</v>
      </c>
      <c r="CK3034">
        <v>16162</v>
      </c>
      <c r="CL3034" t="s">
        <v>4126</v>
      </c>
      <c r="CM3034">
        <v>326.27999999999997</v>
      </c>
      <c r="CN3034">
        <v>118.05</v>
      </c>
      <c r="CO3034">
        <v>2.4300000000000002</v>
      </c>
      <c r="CP3034">
        <v>6.45</v>
      </c>
      <c r="CQ3034">
        <v>17.690000000000001</v>
      </c>
      <c r="CR3034">
        <v>0</v>
      </c>
      <c r="CS3034" t="s">
        <v>4234</v>
      </c>
      <c r="CT3034">
        <v>1.5</v>
      </c>
      <c r="CU3034">
        <v>0</v>
      </c>
      <c r="CV3034">
        <v>0.41</v>
      </c>
      <c r="CW3034">
        <v>-0.05</v>
      </c>
      <c r="CX3034">
        <v>0.56999999999999995</v>
      </c>
      <c r="CY3034">
        <v>30.65</v>
      </c>
      <c r="CZ3034" t="s">
        <v>2488</v>
      </c>
      <c r="DA3034" t="s">
        <v>116</v>
      </c>
      <c r="DB3034">
        <v>41.56</v>
      </c>
      <c r="DC3034">
        <v>28.5</v>
      </c>
      <c r="DD3034">
        <v>0</v>
      </c>
      <c r="DE3034">
        <v>1989</v>
      </c>
      <c r="DF3034">
        <v>601099</v>
      </c>
      <c r="DG3034" t="s">
        <v>116</v>
      </c>
      <c r="DH3034" t="s">
        <v>116</v>
      </c>
      <c r="DI3034" t="s">
        <v>116</v>
      </c>
    </row>
    <row r="3035" spans="1:113" x14ac:dyDescent="0.4">
      <c r="A3035" t="str">
        <f>"601100"</f>
        <v>601100</v>
      </c>
      <c r="B3035" t="s">
        <v>13273</v>
      </c>
      <c r="C3035">
        <v>1.63</v>
      </c>
      <c r="D3035">
        <v>49.8</v>
      </c>
      <c r="E3035">
        <v>0.8</v>
      </c>
      <c r="F3035">
        <v>49.7</v>
      </c>
      <c r="G3035">
        <v>49.8</v>
      </c>
      <c r="H3035">
        <v>29064</v>
      </c>
      <c r="I3035">
        <v>494</v>
      </c>
      <c r="J3035">
        <v>0</v>
      </c>
      <c r="K3035">
        <v>0.33</v>
      </c>
      <c r="L3035">
        <v>49.4</v>
      </c>
      <c r="M3035">
        <v>49.95</v>
      </c>
      <c r="N3035">
        <v>49.01</v>
      </c>
      <c r="O3035">
        <v>49</v>
      </c>
      <c r="P3035">
        <v>35.92</v>
      </c>
      <c r="Q3035">
        <v>143843712</v>
      </c>
      <c r="R3035">
        <v>1.05</v>
      </c>
      <c r="S3035" t="s">
        <v>598</v>
      </c>
      <c r="T3035" t="s">
        <v>323</v>
      </c>
      <c r="U3035">
        <v>1.92</v>
      </c>
      <c r="V3035">
        <v>49.49</v>
      </c>
      <c r="W3035">
        <v>14415</v>
      </c>
      <c r="X3035">
        <v>14649</v>
      </c>
      <c r="Y3035">
        <v>0.98</v>
      </c>
      <c r="Z3035">
        <v>4</v>
      </c>
      <c r="AA3035">
        <v>56</v>
      </c>
      <c r="AB3035" t="s">
        <v>116</v>
      </c>
      <c r="AC3035">
        <v>390300</v>
      </c>
      <c r="AD3035">
        <v>0</v>
      </c>
      <c r="AE3035" t="s">
        <v>116</v>
      </c>
      <c r="AF3035" t="s">
        <v>116</v>
      </c>
      <c r="AG3035">
        <v>8.82</v>
      </c>
      <c r="AH3035" t="s">
        <v>13274</v>
      </c>
      <c r="AI3035" t="s">
        <v>13274</v>
      </c>
      <c r="AJ3035">
        <v>1.71</v>
      </c>
      <c r="AK3035">
        <v>2805</v>
      </c>
      <c r="AL3035">
        <v>10</v>
      </c>
      <c r="AM3035">
        <v>1E-4</v>
      </c>
      <c r="AN3035">
        <v>1</v>
      </c>
      <c r="AO3035">
        <v>0.2</v>
      </c>
      <c r="AP3035">
        <v>14.17</v>
      </c>
      <c r="AQ3035">
        <v>27.37</v>
      </c>
      <c r="AR3035">
        <v>155.25</v>
      </c>
      <c r="AS3035">
        <v>1.1299999999999999</v>
      </c>
      <c r="AT3035" t="s">
        <v>13275</v>
      </c>
      <c r="AU3035">
        <v>42.46</v>
      </c>
      <c r="AV3035">
        <v>52.5</v>
      </c>
      <c r="AW3035">
        <v>0.72</v>
      </c>
      <c r="BA3035">
        <v>0.82</v>
      </c>
      <c r="BB3035">
        <v>1.94</v>
      </c>
      <c r="BC3035">
        <v>0.02</v>
      </c>
      <c r="BD3035">
        <v>1</v>
      </c>
      <c r="BE3035">
        <v>0.81</v>
      </c>
      <c r="BF3035">
        <v>-0.3</v>
      </c>
      <c r="BG3035">
        <v>1.61</v>
      </c>
      <c r="BH3035">
        <v>0.63</v>
      </c>
      <c r="BI3035">
        <v>20191030</v>
      </c>
      <c r="BJ3035">
        <v>20111028</v>
      </c>
      <c r="BK3035">
        <v>8.82</v>
      </c>
      <c r="BL3035" t="s">
        <v>116</v>
      </c>
      <c r="BM3035" t="s">
        <v>116</v>
      </c>
      <c r="BN3035">
        <v>80.400000000000006</v>
      </c>
      <c r="BO3035">
        <v>51.94</v>
      </c>
      <c r="BP3035">
        <v>0.3</v>
      </c>
      <c r="BQ3035">
        <v>35.020000000000003</v>
      </c>
      <c r="BR3035">
        <v>50.86</v>
      </c>
      <c r="BS3035">
        <v>22.26</v>
      </c>
      <c r="BT3035">
        <v>2.75</v>
      </c>
      <c r="BU3035">
        <v>19.53</v>
      </c>
      <c r="BV3035">
        <v>9.92</v>
      </c>
      <c r="BW3035">
        <v>6.58</v>
      </c>
      <c r="BX3035">
        <v>18.34</v>
      </c>
      <c r="BY3035">
        <v>38.340000000000003</v>
      </c>
      <c r="BZ3035">
        <v>24.33</v>
      </c>
      <c r="CA3035">
        <v>10.66</v>
      </c>
      <c r="CB3035">
        <v>0.08</v>
      </c>
      <c r="CC3035">
        <v>10.72</v>
      </c>
      <c r="CD3035">
        <v>9.19</v>
      </c>
      <c r="CE3035">
        <v>9.17</v>
      </c>
      <c r="CF3035">
        <v>8.19</v>
      </c>
      <c r="CG3035">
        <v>22.29</v>
      </c>
      <c r="CH3035">
        <v>11.73</v>
      </c>
      <c r="CI3035">
        <v>4.79</v>
      </c>
      <c r="CJ3035">
        <v>12230</v>
      </c>
      <c r="CK3035">
        <v>21107</v>
      </c>
      <c r="CL3035" t="s">
        <v>13276</v>
      </c>
      <c r="CM3035">
        <v>27.49</v>
      </c>
      <c r="CN3035">
        <v>21.32</v>
      </c>
      <c r="CO3035">
        <v>8.4600000000000009</v>
      </c>
      <c r="CP3035">
        <v>37.450000000000003</v>
      </c>
      <c r="CQ3035">
        <v>11.46</v>
      </c>
      <c r="CR3035">
        <v>0.6</v>
      </c>
      <c r="CS3035" t="s">
        <v>6106</v>
      </c>
      <c r="CT3035">
        <v>5.89</v>
      </c>
      <c r="CU3035">
        <v>0</v>
      </c>
      <c r="CV3035">
        <v>2.08</v>
      </c>
      <c r="CW3035">
        <v>2.5299999999999998</v>
      </c>
      <c r="CX3035">
        <v>1.33</v>
      </c>
      <c r="CY3035">
        <v>64.61</v>
      </c>
      <c r="CZ3035" t="s">
        <v>11689</v>
      </c>
      <c r="DA3035">
        <v>36.549999999999997</v>
      </c>
      <c r="DB3035">
        <v>27.8</v>
      </c>
      <c r="DC3035">
        <v>23.92</v>
      </c>
      <c r="DD3035">
        <v>1.78</v>
      </c>
      <c r="DE3035">
        <v>4103</v>
      </c>
      <c r="DF3035">
        <v>601100</v>
      </c>
      <c r="DG3035" t="s">
        <v>116</v>
      </c>
      <c r="DH3035" t="s">
        <v>116</v>
      </c>
      <c r="DI3035" t="s">
        <v>116</v>
      </c>
    </row>
    <row r="3036" spans="1:113" x14ac:dyDescent="0.4">
      <c r="A3036" t="str">
        <f>"601101"</f>
        <v>601101</v>
      </c>
      <c r="B3036" t="s">
        <v>13277</v>
      </c>
      <c r="C3036">
        <v>0</v>
      </c>
      <c r="D3036">
        <v>5.43</v>
      </c>
      <c r="E3036">
        <v>0</v>
      </c>
      <c r="F3036" t="s">
        <v>116</v>
      </c>
      <c r="G3036" t="s">
        <v>116</v>
      </c>
      <c r="H3036">
        <v>0</v>
      </c>
      <c r="I3036">
        <v>0</v>
      </c>
      <c r="J3036">
        <v>0</v>
      </c>
      <c r="K3036">
        <v>0</v>
      </c>
      <c r="L3036" t="s">
        <v>116</v>
      </c>
      <c r="M3036" t="s">
        <v>116</v>
      </c>
      <c r="N3036" t="s">
        <v>116</v>
      </c>
      <c r="O3036">
        <v>5.43</v>
      </c>
      <c r="P3036">
        <v>8.1199999999999992</v>
      </c>
      <c r="Q3036">
        <v>0</v>
      </c>
      <c r="R3036">
        <v>0</v>
      </c>
      <c r="S3036" t="s">
        <v>1121</v>
      </c>
      <c r="T3036" t="s">
        <v>165</v>
      </c>
      <c r="U3036">
        <v>0</v>
      </c>
      <c r="V3036">
        <v>5.43</v>
      </c>
      <c r="W3036">
        <v>0</v>
      </c>
      <c r="X3036">
        <v>0</v>
      </c>
      <c r="Y3036" t="s">
        <v>116</v>
      </c>
      <c r="Z3036">
        <v>0</v>
      </c>
      <c r="AA3036">
        <v>0</v>
      </c>
      <c r="AB3036" t="s">
        <v>116</v>
      </c>
      <c r="AC3036">
        <v>0</v>
      </c>
      <c r="AD3036" t="s">
        <v>116</v>
      </c>
      <c r="AE3036" t="s">
        <v>116</v>
      </c>
      <c r="AF3036" t="s">
        <v>116</v>
      </c>
      <c r="AG3036">
        <v>12</v>
      </c>
      <c r="AH3036" t="s">
        <v>7939</v>
      </c>
      <c r="AI3036" t="s">
        <v>7939</v>
      </c>
      <c r="AJ3036">
        <v>0.08</v>
      </c>
      <c r="AK3036">
        <v>1</v>
      </c>
      <c r="AL3036">
        <v>0</v>
      </c>
      <c r="AM3036">
        <v>0</v>
      </c>
      <c r="AN3036">
        <v>0</v>
      </c>
      <c r="AO3036">
        <v>1.1100000000000001</v>
      </c>
      <c r="AP3036">
        <v>3.82</v>
      </c>
      <c r="AQ3036">
        <v>-0.18</v>
      </c>
      <c r="AR3036">
        <v>-6.7</v>
      </c>
      <c r="AS3036" t="s">
        <v>116</v>
      </c>
      <c r="AT3036" t="s">
        <v>755</v>
      </c>
      <c r="AU3036" t="s">
        <v>116</v>
      </c>
      <c r="AV3036" t="s">
        <v>116</v>
      </c>
      <c r="AW3036">
        <v>1.03</v>
      </c>
      <c r="BA3036" t="s">
        <v>116</v>
      </c>
      <c r="BB3036" t="s">
        <v>116</v>
      </c>
      <c r="BC3036" t="s">
        <v>116</v>
      </c>
      <c r="BD3036">
        <v>0</v>
      </c>
      <c r="BE3036" t="s">
        <v>116</v>
      </c>
      <c r="BF3036" t="s">
        <v>116</v>
      </c>
      <c r="BG3036" t="s">
        <v>116</v>
      </c>
      <c r="BH3036">
        <v>0</v>
      </c>
      <c r="BI3036">
        <v>20191022</v>
      </c>
      <c r="BJ3036">
        <v>20100331</v>
      </c>
      <c r="BK3036">
        <v>12</v>
      </c>
      <c r="BL3036" t="s">
        <v>116</v>
      </c>
      <c r="BM3036" t="s">
        <v>116</v>
      </c>
      <c r="BN3036">
        <v>234.09</v>
      </c>
      <c r="BO3036">
        <v>85.25</v>
      </c>
      <c r="BP3036">
        <v>48.09</v>
      </c>
      <c r="BQ3036">
        <v>43.04</v>
      </c>
      <c r="BR3036">
        <v>56.77</v>
      </c>
      <c r="BS3036">
        <v>78.34</v>
      </c>
      <c r="BT3036">
        <v>78.42</v>
      </c>
      <c r="BU3036">
        <v>46.43</v>
      </c>
      <c r="BV3036">
        <v>2.4</v>
      </c>
      <c r="BW3036">
        <v>3.24</v>
      </c>
      <c r="BX3036">
        <v>33.22</v>
      </c>
      <c r="BY3036">
        <v>42.21</v>
      </c>
      <c r="BZ3036">
        <v>20.079999999999998</v>
      </c>
      <c r="CA3036">
        <v>8.77</v>
      </c>
      <c r="CB3036">
        <v>-0.01</v>
      </c>
      <c r="CC3036">
        <v>9.94</v>
      </c>
      <c r="CD3036">
        <v>7.65</v>
      </c>
      <c r="CE3036">
        <v>6.02</v>
      </c>
      <c r="CF3036">
        <v>4.92</v>
      </c>
      <c r="CG3036">
        <v>26.67</v>
      </c>
      <c r="CH3036">
        <v>16.36</v>
      </c>
      <c r="CI3036">
        <v>-1.93</v>
      </c>
      <c r="CJ3036">
        <v>43786</v>
      </c>
      <c r="CK3036">
        <v>10333</v>
      </c>
      <c r="CL3036" t="s">
        <v>3603</v>
      </c>
      <c r="CM3036">
        <v>-33.869999999999997</v>
      </c>
      <c r="CN3036">
        <v>-3.07</v>
      </c>
      <c r="CO3036">
        <v>0.76</v>
      </c>
      <c r="CP3036">
        <v>3.98</v>
      </c>
      <c r="CQ3036">
        <v>1.54</v>
      </c>
      <c r="CR3036">
        <v>3.5</v>
      </c>
      <c r="CS3036" t="s">
        <v>972</v>
      </c>
      <c r="CT3036">
        <v>7.1</v>
      </c>
      <c r="CU3036">
        <v>0</v>
      </c>
      <c r="CV3036">
        <v>2.77</v>
      </c>
      <c r="CW3036">
        <v>2.2200000000000002</v>
      </c>
      <c r="CX3036">
        <v>1.36</v>
      </c>
      <c r="CY3036">
        <v>36.42</v>
      </c>
      <c r="CZ3036" t="s">
        <v>7250</v>
      </c>
      <c r="DA3036">
        <v>52.42</v>
      </c>
      <c r="DB3036">
        <v>20.77</v>
      </c>
      <c r="DC3036">
        <v>14.26</v>
      </c>
      <c r="DD3036">
        <v>0.04</v>
      </c>
      <c r="DE3036">
        <v>7102</v>
      </c>
      <c r="DF3036">
        <v>601101</v>
      </c>
      <c r="DG3036" t="s">
        <v>116</v>
      </c>
      <c r="DH3036" t="s">
        <v>116</v>
      </c>
      <c r="DI3036" t="s">
        <v>116</v>
      </c>
    </row>
    <row r="3037" spans="1:113" x14ac:dyDescent="0.4">
      <c r="A3037" t="str">
        <f>"601106"</f>
        <v>601106</v>
      </c>
      <c r="B3037" t="s">
        <v>13278</v>
      </c>
      <c r="C3037">
        <v>0.35</v>
      </c>
      <c r="D3037">
        <v>2.87</v>
      </c>
      <c r="E3037">
        <v>0.01</v>
      </c>
      <c r="F3037">
        <v>2.86</v>
      </c>
      <c r="G3037">
        <v>2.87</v>
      </c>
      <c r="H3037">
        <v>129346</v>
      </c>
      <c r="I3037">
        <v>780</v>
      </c>
      <c r="J3037">
        <v>0</v>
      </c>
      <c r="K3037">
        <v>0.2</v>
      </c>
      <c r="L3037">
        <v>2.87</v>
      </c>
      <c r="M3037">
        <v>2.89</v>
      </c>
      <c r="N3037">
        <v>2.86</v>
      </c>
      <c r="O3037">
        <v>2.86</v>
      </c>
      <c r="P3037">
        <v>284.77</v>
      </c>
      <c r="Q3037">
        <v>37161996</v>
      </c>
      <c r="R3037">
        <v>0.99</v>
      </c>
      <c r="S3037" t="s">
        <v>598</v>
      </c>
      <c r="T3037" t="s">
        <v>1287</v>
      </c>
      <c r="U3037">
        <v>1.05</v>
      </c>
      <c r="V3037">
        <v>2.87</v>
      </c>
      <c r="W3037">
        <v>68945</v>
      </c>
      <c r="X3037">
        <v>60401</v>
      </c>
      <c r="Y3037">
        <v>1.1399999999999999</v>
      </c>
      <c r="Z3037">
        <v>10559</v>
      </c>
      <c r="AA3037">
        <v>4055</v>
      </c>
      <c r="AB3037" t="s">
        <v>116</v>
      </c>
      <c r="AC3037">
        <v>361600</v>
      </c>
      <c r="AD3037">
        <v>0.01</v>
      </c>
      <c r="AE3037" t="s">
        <v>116</v>
      </c>
      <c r="AF3037" t="s">
        <v>116</v>
      </c>
      <c r="AG3037">
        <v>65.38</v>
      </c>
      <c r="AH3037" t="s">
        <v>13279</v>
      </c>
      <c r="AI3037" t="s">
        <v>13280</v>
      </c>
      <c r="AJ3037">
        <v>0.43</v>
      </c>
      <c r="AK3037">
        <v>1594</v>
      </c>
      <c r="AL3037">
        <v>81</v>
      </c>
      <c r="AM3037">
        <v>1E-4</v>
      </c>
      <c r="AN3037">
        <v>2</v>
      </c>
      <c r="AO3037">
        <v>0.35</v>
      </c>
      <c r="AP3037">
        <v>2.5</v>
      </c>
      <c r="AQ3037">
        <v>-2.71</v>
      </c>
      <c r="AR3037">
        <v>7.49</v>
      </c>
      <c r="AS3037">
        <v>0.52</v>
      </c>
      <c r="AT3037" t="s">
        <v>13281</v>
      </c>
      <c r="AU3037">
        <v>253.39</v>
      </c>
      <c r="AV3037">
        <v>152.91999999999999</v>
      </c>
      <c r="AW3037">
        <v>1.03</v>
      </c>
      <c r="BA3037">
        <v>0.35</v>
      </c>
      <c r="BB3037">
        <v>1.05</v>
      </c>
      <c r="BC3037">
        <v>0</v>
      </c>
      <c r="BD3037">
        <v>0.46</v>
      </c>
      <c r="BE3037">
        <v>0</v>
      </c>
      <c r="BF3037">
        <v>-0.69</v>
      </c>
      <c r="BG3037">
        <v>0.35</v>
      </c>
      <c r="BH3037">
        <v>-0.11</v>
      </c>
      <c r="BI3037">
        <v>20191112</v>
      </c>
      <c r="BJ3037">
        <v>20100209</v>
      </c>
      <c r="BK3037">
        <v>68.58</v>
      </c>
      <c r="BL3037" t="s">
        <v>116</v>
      </c>
      <c r="BM3037" t="s">
        <v>116</v>
      </c>
      <c r="BN3037">
        <v>352.42</v>
      </c>
      <c r="BO3037">
        <v>109.87</v>
      </c>
      <c r="BP3037">
        <v>1.1399999999999999</v>
      </c>
      <c r="BQ3037">
        <v>68.5</v>
      </c>
      <c r="BR3037">
        <v>243.73</v>
      </c>
      <c r="BS3037">
        <v>66.73</v>
      </c>
      <c r="BT3037">
        <v>14.17</v>
      </c>
      <c r="BU3037">
        <v>185.8</v>
      </c>
      <c r="BV3037">
        <v>40.89</v>
      </c>
      <c r="BW3037">
        <v>94.94</v>
      </c>
      <c r="BX3037">
        <v>96.18</v>
      </c>
      <c r="BY3037">
        <v>86.64</v>
      </c>
      <c r="BZ3037">
        <v>76.5</v>
      </c>
      <c r="CA3037">
        <v>0.5</v>
      </c>
      <c r="CB3037">
        <v>0.01</v>
      </c>
      <c r="CC3037">
        <v>0.81</v>
      </c>
      <c r="CD3037">
        <v>0.51</v>
      </c>
      <c r="CE3037">
        <v>0.52</v>
      </c>
      <c r="CF3037">
        <v>-0.18</v>
      </c>
      <c r="CG3037">
        <v>-56.99</v>
      </c>
      <c r="CH3037">
        <v>-3.82</v>
      </c>
      <c r="CI3037">
        <v>-10</v>
      </c>
      <c r="CJ3037">
        <v>329037</v>
      </c>
      <c r="CK3037">
        <v>7529</v>
      </c>
      <c r="CL3037" t="s">
        <v>11363</v>
      </c>
      <c r="CM3037">
        <v>-49.61</v>
      </c>
      <c r="CN3037">
        <v>28.09</v>
      </c>
      <c r="CO3037">
        <v>1.79</v>
      </c>
      <c r="CP3037">
        <v>-51.57</v>
      </c>
      <c r="CQ3037">
        <v>2.27</v>
      </c>
      <c r="CR3037">
        <v>0</v>
      </c>
      <c r="CS3037" t="s">
        <v>571</v>
      </c>
      <c r="CT3037">
        <v>1.6</v>
      </c>
      <c r="CU3037">
        <v>0</v>
      </c>
      <c r="CV3037">
        <v>1.4</v>
      </c>
      <c r="CW3037">
        <v>-0.83</v>
      </c>
      <c r="CX3037">
        <v>-0.06</v>
      </c>
      <c r="CY3037">
        <v>31.18</v>
      </c>
      <c r="CZ3037" t="s">
        <v>4349</v>
      </c>
      <c r="DA3037">
        <v>11.7</v>
      </c>
      <c r="DB3037">
        <v>0.57999999999999996</v>
      </c>
      <c r="DC3037">
        <v>0.6</v>
      </c>
      <c r="DD3037">
        <v>1.54</v>
      </c>
      <c r="DE3037">
        <v>7858</v>
      </c>
      <c r="DF3037">
        <v>601106</v>
      </c>
      <c r="DG3037" t="s">
        <v>116</v>
      </c>
      <c r="DH3037" t="s">
        <v>116</v>
      </c>
      <c r="DI3037" t="s">
        <v>116</v>
      </c>
    </row>
    <row r="3038" spans="1:113" x14ac:dyDescent="0.4">
      <c r="A3038" t="str">
        <f>"601107"</f>
        <v>601107</v>
      </c>
      <c r="B3038" t="s">
        <v>13282</v>
      </c>
      <c r="C3038">
        <v>-0.78</v>
      </c>
      <c r="D3038">
        <v>3.84</v>
      </c>
      <c r="E3038">
        <v>-0.03</v>
      </c>
      <c r="F3038">
        <v>3.84</v>
      </c>
      <c r="G3038">
        <v>3.85</v>
      </c>
      <c r="H3038">
        <v>48696</v>
      </c>
      <c r="I3038">
        <v>2654</v>
      </c>
      <c r="J3038">
        <v>0.26</v>
      </c>
      <c r="K3038">
        <v>0.23</v>
      </c>
      <c r="L3038">
        <v>3.87</v>
      </c>
      <c r="M3038">
        <v>3.89</v>
      </c>
      <c r="N3038">
        <v>3.83</v>
      </c>
      <c r="O3038">
        <v>3.87</v>
      </c>
      <c r="P3038">
        <v>7.88</v>
      </c>
      <c r="Q3038">
        <v>18842060</v>
      </c>
      <c r="R3038">
        <v>1.17</v>
      </c>
      <c r="S3038" t="s">
        <v>809</v>
      </c>
      <c r="T3038" t="s">
        <v>582</v>
      </c>
      <c r="U3038">
        <v>1.55</v>
      </c>
      <c r="V3038">
        <v>3.87</v>
      </c>
      <c r="W3038">
        <v>25850</v>
      </c>
      <c r="X3038">
        <v>22846</v>
      </c>
      <c r="Y3038">
        <v>1.1299999999999999</v>
      </c>
      <c r="Z3038">
        <v>624</v>
      </c>
      <c r="AA3038">
        <v>2125</v>
      </c>
      <c r="AB3038" t="s">
        <v>116</v>
      </c>
      <c r="AC3038">
        <v>80500</v>
      </c>
      <c r="AD3038">
        <v>0</v>
      </c>
      <c r="AE3038" t="s">
        <v>116</v>
      </c>
      <c r="AF3038" t="s">
        <v>116</v>
      </c>
      <c r="AG3038">
        <v>21.63</v>
      </c>
      <c r="AH3038" t="s">
        <v>13283</v>
      </c>
      <c r="AI3038" t="s">
        <v>13283</v>
      </c>
      <c r="AJ3038">
        <v>-0.7</v>
      </c>
      <c r="AK3038">
        <v>606</v>
      </c>
      <c r="AL3038">
        <v>80</v>
      </c>
      <c r="AM3038">
        <v>4.0000000000000002E-4</v>
      </c>
      <c r="AN3038">
        <v>-1</v>
      </c>
      <c r="AO3038">
        <v>0.26</v>
      </c>
      <c r="AP3038">
        <v>-0.78</v>
      </c>
      <c r="AQ3038">
        <v>1.86</v>
      </c>
      <c r="AR3038">
        <v>13.61</v>
      </c>
      <c r="AS3038">
        <v>1.03</v>
      </c>
      <c r="AT3038" t="s">
        <v>9081</v>
      </c>
      <c r="AU3038">
        <v>11.14</v>
      </c>
      <c r="AV3038">
        <v>13.83</v>
      </c>
      <c r="AW3038">
        <v>1.29</v>
      </c>
      <c r="BA3038">
        <v>0</v>
      </c>
      <c r="BB3038">
        <v>0.52</v>
      </c>
      <c r="BC3038">
        <v>-1.03</v>
      </c>
      <c r="BD3038">
        <v>-0.02</v>
      </c>
      <c r="BE3038">
        <v>-0.78</v>
      </c>
      <c r="BF3038">
        <v>-1.29</v>
      </c>
      <c r="BG3038">
        <v>0.26</v>
      </c>
      <c r="BH3038">
        <v>-0.76</v>
      </c>
      <c r="BI3038">
        <v>20191031</v>
      </c>
      <c r="BJ3038">
        <v>20090727</v>
      </c>
      <c r="BK3038">
        <v>30.58</v>
      </c>
      <c r="BL3038" t="s">
        <v>116</v>
      </c>
      <c r="BM3038">
        <v>8.9499999999999993</v>
      </c>
      <c r="BN3038">
        <v>375.87</v>
      </c>
      <c r="BO3038">
        <v>153.12</v>
      </c>
      <c r="BP3038">
        <v>9.15</v>
      </c>
      <c r="BQ3038">
        <v>56.83</v>
      </c>
      <c r="BR3038">
        <v>85.96</v>
      </c>
      <c r="BS3038">
        <v>4.83</v>
      </c>
      <c r="BT3038">
        <v>249.37</v>
      </c>
      <c r="BU3038">
        <v>49.89</v>
      </c>
      <c r="BV3038">
        <v>20.69</v>
      </c>
      <c r="BW3038">
        <v>3.27</v>
      </c>
      <c r="BX3038">
        <v>18.54</v>
      </c>
      <c r="BY3038">
        <v>46.79</v>
      </c>
      <c r="BZ3038">
        <v>25.27</v>
      </c>
      <c r="CA3038">
        <v>14.42</v>
      </c>
      <c r="CB3038">
        <v>0.26</v>
      </c>
      <c r="CC3038">
        <v>14.49</v>
      </c>
      <c r="CD3038">
        <v>11.68</v>
      </c>
      <c r="CE3038">
        <v>11.17</v>
      </c>
      <c r="CF3038">
        <v>11.02</v>
      </c>
      <c r="CG3038">
        <v>49.83</v>
      </c>
      <c r="CH3038">
        <v>14.54</v>
      </c>
      <c r="CI3038">
        <v>2.44</v>
      </c>
      <c r="CJ3038">
        <v>60153</v>
      </c>
      <c r="CK3038">
        <v>7862</v>
      </c>
      <c r="CL3038" t="s">
        <v>12032</v>
      </c>
      <c r="CM3038">
        <v>22.5</v>
      </c>
      <c r="CN3038">
        <v>8.24</v>
      </c>
      <c r="CO3038">
        <v>0.77</v>
      </c>
      <c r="CP3038">
        <v>8.08</v>
      </c>
      <c r="CQ3038">
        <v>2.5099999999999998</v>
      </c>
      <c r="CR3038">
        <v>2.6</v>
      </c>
      <c r="CS3038" t="s">
        <v>13284</v>
      </c>
      <c r="CT3038">
        <v>5.01</v>
      </c>
      <c r="CU3038">
        <v>0</v>
      </c>
      <c r="CV3038">
        <v>0.61</v>
      </c>
      <c r="CW3038">
        <v>1.63</v>
      </c>
      <c r="CX3038">
        <v>0.48</v>
      </c>
      <c r="CY3038">
        <v>40.74</v>
      </c>
      <c r="CZ3038" t="s">
        <v>3359</v>
      </c>
      <c r="DA3038">
        <v>46</v>
      </c>
      <c r="DB3038">
        <v>30.82</v>
      </c>
      <c r="DC3038">
        <v>23.88</v>
      </c>
      <c r="DD3038">
        <v>0</v>
      </c>
      <c r="DE3038">
        <v>4462</v>
      </c>
      <c r="DF3038">
        <v>601107</v>
      </c>
      <c r="DG3038" t="s">
        <v>116</v>
      </c>
      <c r="DH3038" t="s">
        <v>116</v>
      </c>
      <c r="DI3038" t="s">
        <v>116</v>
      </c>
    </row>
    <row r="3039" spans="1:113" x14ac:dyDescent="0.4">
      <c r="A3039" t="str">
        <f>"601108"</f>
        <v>601108</v>
      </c>
      <c r="B3039" t="s">
        <v>13285</v>
      </c>
      <c r="C3039">
        <v>-5.27</v>
      </c>
      <c r="D3039">
        <v>10.78</v>
      </c>
      <c r="E3039">
        <v>-0.6</v>
      </c>
      <c r="F3039">
        <v>10.78</v>
      </c>
      <c r="G3039">
        <v>10.79</v>
      </c>
      <c r="H3039">
        <v>1749941</v>
      </c>
      <c r="I3039">
        <v>21665</v>
      </c>
      <c r="J3039">
        <v>-0.45</v>
      </c>
      <c r="K3039">
        <v>7.27</v>
      </c>
      <c r="L3039">
        <v>11.3</v>
      </c>
      <c r="M3039">
        <v>11.49</v>
      </c>
      <c r="N3039">
        <v>10.77</v>
      </c>
      <c r="O3039">
        <v>11.38</v>
      </c>
      <c r="P3039">
        <v>29.16</v>
      </c>
      <c r="Q3039">
        <v>1950478464</v>
      </c>
      <c r="R3039">
        <v>1.23</v>
      </c>
      <c r="S3039" t="s">
        <v>623</v>
      </c>
      <c r="T3039" t="s">
        <v>590</v>
      </c>
      <c r="U3039">
        <v>6.33</v>
      </c>
      <c r="V3039">
        <v>11.15</v>
      </c>
      <c r="W3039">
        <v>959683</v>
      </c>
      <c r="X3039">
        <v>790258</v>
      </c>
      <c r="Y3039">
        <v>1.21</v>
      </c>
      <c r="Z3039">
        <v>3280</v>
      </c>
      <c r="AA3039">
        <v>9238</v>
      </c>
      <c r="AB3039" t="s">
        <v>116</v>
      </c>
      <c r="AC3039">
        <v>11018600</v>
      </c>
      <c r="AD3039">
        <v>0.04</v>
      </c>
      <c r="AE3039" t="s">
        <v>116</v>
      </c>
      <c r="AF3039" t="s">
        <v>116</v>
      </c>
      <c r="AG3039">
        <v>24.07</v>
      </c>
      <c r="AH3039" t="s">
        <v>13286</v>
      </c>
      <c r="AI3039" t="s">
        <v>13287</v>
      </c>
      <c r="AJ3039">
        <v>-5.2</v>
      </c>
      <c r="AK3039">
        <v>4592</v>
      </c>
      <c r="AL3039">
        <v>381</v>
      </c>
      <c r="AM3039">
        <v>1.6000000000000001E-3</v>
      </c>
      <c r="AN3039">
        <v>-1</v>
      </c>
      <c r="AO3039">
        <v>-0.46</v>
      </c>
      <c r="AP3039">
        <v>13</v>
      </c>
      <c r="AQ3039">
        <v>3.45</v>
      </c>
      <c r="AR3039">
        <v>50.77</v>
      </c>
      <c r="AS3039">
        <v>7.27</v>
      </c>
      <c r="AT3039" t="s">
        <v>13286</v>
      </c>
      <c r="AU3039">
        <v>33.909999999999997</v>
      </c>
      <c r="AV3039">
        <v>47.25</v>
      </c>
      <c r="AW3039">
        <v>2.08</v>
      </c>
      <c r="BA3039">
        <v>-0.7</v>
      </c>
      <c r="BB3039">
        <v>0.97</v>
      </c>
      <c r="BC3039">
        <v>-5.36</v>
      </c>
      <c r="BD3039">
        <v>-2.06</v>
      </c>
      <c r="BE3039">
        <v>-4.5999999999999996</v>
      </c>
      <c r="BF3039">
        <v>-6.18</v>
      </c>
      <c r="BG3039">
        <v>0.09</v>
      </c>
      <c r="BH3039">
        <v>-3.22</v>
      </c>
      <c r="BI3039">
        <v>20191019</v>
      </c>
      <c r="BJ3039">
        <v>20171024</v>
      </c>
      <c r="BK3039">
        <v>35.89</v>
      </c>
      <c r="BL3039" t="s">
        <v>116</v>
      </c>
      <c r="BM3039" t="s">
        <v>116</v>
      </c>
      <c r="BN3039">
        <v>615.15</v>
      </c>
      <c r="BO3039">
        <v>204.63</v>
      </c>
      <c r="BP3039">
        <v>0.11</v>
      </c>
      <c r="BQ3039">
        <v>66.72</v>
      </c>
      <c r="BR3039">
        <v>0</v>
      </c>
      <c r="BS3039">
        <v>1.42</v>
      </c>
      <c r="BT3039">
        <v>3.12</v>
      </c>
      <c r="BU3039">
        <v>0</v>
      </c>
      <c r="BV3039">
        <v>0</v>
      </c>
      <c r="BW3039">
        <v>0</v>
      </c>
      <c r="BX3039">
        <v>82.64</v>
      </c>
      <c r="BY3039">
        <v>33.24</v>
      </c>
      <c r="BZ3039">
        <v>0</v>
      </c>
      <c r="CA3039">
        <v>11.92</v>
      </c>
      <c r="CB3039">
        <v>10.61</v>
      </c>
      <c r="CC3039">
        <v>11.84</v>
      </c>
      <c r="CD3039">
        <v>9.99</v>
      </c>
      <c r="CE3039">
        <v>9.9499999999999993</v>
      </c>
      <c r="CF3039">
        <v>9.8699999999999992</v>
      </c>
      <c r="CG3039">
        <v>48.87</v>
      </c>
      <c r="CH3039">
        <v>63.16</v>
      </c>
      <c r="CI3039">
        <v>31.41</v>
      </c>
      <c r="CJ3039">
        <v>147731</v>
      </c>
      <c r="CK3039">
        <v>16291</v>
      </c>
      <c r="CL3039" t="s">
        <v>13288</v>
      </c>
      <c r="CM3039">
        <v>47.89</v>
      </c>
      <c r="CN3039">
        <v>41.61</v>
      </c>
      <c r="CO3039">
        <v>1.94</v>
      </c>
      <c r="CP3039">
        <v>6.13</v>
      </c>
      <c r="CQ3039">
        <v>11.64</v>
      </c>
      <c r="CR3039">
        <v>0.65</v>
      </c>
      <c r="CS3039" t="s">
        <v>2326</v>
      </c>
      <c r="CT3039">
        <v>5.56</v>
      </c>
      <c r="CU3039">
        <v>5.56</v>
      </c>
      <c r="CV3039">
        <v>2.2999999999999998</v>
      </c>
      <c r="CW3039">
        <v>1.36</v>
      </c>
      <c r="CX3039">
        <v>1.76</v>
      </c>
      <c r="CY3039">
        <v>33.270000000000003</v>
      </c>
      <c r="CZ3039" t="s">
        <v>8717</v>
      </c>
      <c r="DA3039" t="s">
        <v>116</v>
      </c>
      <c r="DB3039">
        <v>35.869999999999997</v>
      </c>
      <c r="DC3039">
        <v>29.94</v>
      </c>
      <c r="DD3039">
        <v>0</v>
      </c>
      <c r="DE3039">
        <v>3061</v>
      </c>
      <c r="DF3039">
        <v>601108</v>
      </c>
      <c r="DG3039" t="s">
        <v>116</v>
      </c>
      <c r="DH3039" t="s">
        <v>116</v>
      </c>
      <c r="DI3039" t="s">
        <v>116</v>
      </c>
    </row>
    <row r="3040" spans="1:113" x14ac:dyDescent="0.4">
      <c r="A3040" t="str">
        <f>"601111"</f>
        <v>601111</v>
      </c>
      <c r="B3040" t="s">
        <v>13289</v>
      </c>
      <c r="C3040">
        <v>2.5099999999999998</v>
      </c>
      <c r="D3040">
        <v>9.39</v>
      </c>
      <c r="E3040">
        <v>0.23</v>
      </c>
      <c r="F3040">
        <v>9.3800000000000008</v>
      </c>
      <c r="G3040">
        <v>9.39</v>
      </c>
      <c r="H3040">
        <v>758663</v>
      </c>
      <c r="I3040">
        <v>4379</v>
      </c>
      <c r="J3040">
        <v>0</v>
      </c>
      <c r="K3040">
        <v>0.8</v>
      </c>
      <c r="L3040">
        <v>9.1300000000000008</v>
      </c>
      <c r="M3040">
        <v>9.5</v>
      </c>
      <c r="N3040">
        <v>9.1</v>
      </c>
      <c r="O3040">
        <v>9.16</v>
      </c>
      <c r="P3040">
        <v>15.13</v>
      </c>
      <c r="Q3040">
        <v>711125056</v>
      </c>
      <c r="R3040">
        <v>2.65</v>
      </c>
      <c r="S3040" t="s">
        <v>544</v>
      </c>
      <c r="T3040" t="s">
        <v>165</v>
      </c>
      <c r="U3040">
        <v>4.37</v>
      </c>
      <c r="V3040">
        <v>9.3699999999999992</v>
      </c>
      <c r="W3040">
        <v>306230</v>
      </c>
      <c r="X3040">
        <v>452434</v>
      </c>
      <c r="Y3040">
        <v>0.68</v>
      </c>
      <c r="Z3040">
        <v>881</v>
      </c>
      <c r="AA3040">
        <v>3646</v>
      </c>
      <c r="AB3040" t="s">
        <v>116</v>
      </c>
      <c r="AC3040">
        <v>854600</v>
      </c>
      <c r="AD3040">
        <v>0</v>
      </c>
      <c r="AE3040" t="s">
        <v>116</v>
      </c>
      <c r="AF3040" t="s">
        <v>116</v>
      </c>
      <c r="AG3040">
        <v>94.49</v>
      </c>
      <c r="AH3040" t="s">
        <v>13290</v>
      </c>
      <c r="AI3040" t="s">
        <v>13291</v>
      </c>
      <c r="AJ3040">
        <v>2.59</v>
      </c>
      <c r="AK3040">
        <v>4397</v>
      </c>
      <c r="AL3040">
        <v>173</v>
      </c>
      <c r="AM3040">
        <v>2.0000000000000001E-4</v>
      </c>
      <c r="AN3040">
        <v>3</v>
      </c>
      <c r="AO3040">
        <v>4.68</v>
      </c>
      <c r="AP3040">
        <v>11.12</v>
      </c>
      <c r="AQ3040">
        <v>14.51</v>
      </c>
      <c r="AR3040">
        <v>24.59</v>
      </c>
      <c r="AS3040">
        <v>2.83</v>
      </c>
      <c r="AT3040" t="s">
        <v>13292</v>
      </c>
      <c r="AU3040">
        <v>19.05</v>
      </c>
      <c r="AV3040">
        <v>18.59</v>
      </c>
      <c r="AW3040">
        <v>1.79</v>
      </c>
      <c r="BA3040">
        <v>-0.33</v>
      </c>
      <c r="BB3040">
        <v>3.71</v>
      </c>
      <c r="BC3040">
        <v>-0.66</v>
      </c>
      <c r="BD3040">
        <v>2.33</v>
      </c>
      <c r="BE3040">
        <v>2.85</v>
      </c>
      <c r="BF3040">
        <v>-1.1599999999999999</v>
      </c>
      <c r="BG3040">
        <v>3.19</v>
      </c>
      <c r="BH3040">
        <v>0.18</v>
      </c>
      <c r="BI3040">
        <v>20191031</v>
      </c>
      <c r="BJ3040">
        <v>20060818</v>
      </c>
      <c r="BK3040">
        <v>145.25</v>
      </c>
      <c r="BL3040" t="s">
        <v>116</v>
      </c>
      <c r="BM3040">
        <v>45.63</v>
      </c>
      <c r="BN3040">
        <v>2890.08</v>
      </c>
      <c r="BO3040">
        <v>938.49</v>
      </c>
      <c r="BP3040">
        <v>78.599999999999994</v>
      </c>
      <c r="BQ3040">
        <v>64.81</v>
      </c>
      <c r="BR3040">
        <v>246.29</v>
      </c>
      <c r="BS3040">
        <v>883.91</v>
      </c>
      <c r="BT3040">
        <v>37.44</v>
      </c>
      <c r="BU3040">
        <v>753.81</v>
      </c>
      <c r="BV3040">
        <v>25.1</v>
      </c>
      <c r="BW3040">
        <v>72.11</v>
      </c>
      <c r="BX3040">
        <v>262.70999999999998</v>
      </c>
      <c r="BY3040">
        <v>1030.77</v>
      </c>
      <c r="BZ3040">
        <v>832.28</v>
      </c>
      <c r="CA3040">
        <v>92.41</v>
      </c>
      <c r="CB3040">
        <v>9.81</v>
      </c>
      <c r="CC3040">
        <v>93.37</v>
      </c>
      <c r="CD3040">
        <v>76.03</v>
      </c>
      <c r="CE3040">
        <v>67.62</v>
      </c>
      <c r="CF3040">
        <v>65.569999999999993</v>
      </c>
      <c r="CG3040">
        <v>424.96</v>
      </c>
      <c r="CH3040">
        <v>301.02999999999997</v>
      </c>
      <c r="CI3040">
        <v>7.51</v>
      </c>
      <c r="CJ3040">
        <v>170901</v>
      </c>
      <c r="CK3040">
        <v>15666</v>
      </c>
      <c r="CL3040" t="s">
        <v>408</v>
      </c>
      <c r="CM3040">
        <v>-2.5299999999999998</v>
      </c>
      <c r="CN3040">
        <v>0.19</v>
      </c>
      <c r="CO3040">
        <v>1.45</v>
      </c>
      <c r="CP3040">
        <v>4.53</v>
      </c>
      <c r="CQ3040">
        <v>1.32</v>
      </c>
      <c r="CR3040">
        <v>1.1000000000000001</v>
      </c>
      <c r="CS3040" t="s">
        <v>1677</v>
      </c>
      <c r="CT3040">
        <v>6.46</v>
      </c>
      <c r="CU3040">
        <v>0</v>
      </c>
      <c r="CV3040">
        <v>1.81</v>
      </c>
      <c r="CW3040">
        <v>2.93</v>
      </c>
      <c r="CX3040">
        <v>2.0699999999999998</v>
      </c>
      <c r="CY3040">
        <v>32.47</v>
      </c>
      <c r="CZ3040" t="s">
        <v>7828</v>
      </c>
      <c r="DA3040">
        <v>19.260000000000002</v>
      </c>
      <c r="DB3040">
        <v>8.9700000000000006</v>
      </c>
      <c r="DC3040">
        <v>6.56</v>
      </c>
      <c r="DD3040">
        <v>1.36</v>
      </c>
      <c r="DE3040">
        <v>88160</v>
      </c>
      <c r="DF3040">
        <v>601111</v>
      </c>
      <c r="DG3040" t="s">
        <v>116</v>
      </c>
      <c r="DH3040" t="s">
        <v>116</v>
      </c>
      <c r="DI3040" t="s">
        <v>116</v>
      </c>
    </row>
    <row r="3041" spans="1:113" x14ac:dyDescent="0.4">
      <c r="A3041" t="str">
        <f>"601113"</f>
        <v>601113</v>
      </c>
      <c r="B3041" t="s">
        <v>13293</v>
      </c>
      <c r="C3041">
        <v>-5.12</v>
      </c>
      <c r="D3041">
        <v>3.52</v>
      </c>
      <c r="E3041">
        <v>-0.19</v>
      </c>
      <c r="F3041" t="s">
        <v>116</v>
      </c>
      <c r="G3041">
        <v>3.52</v>
      </c>
      <c r="H3041">
        <v>43160</v>
      </c>
      <c r="I3041">
        <v>47</v>
      </c>
      <c r="J3041">
        <v>0</v>
      </c>
      <c r="K3041">
        <v>0.48</v>
      </c>
      <c r="L3041">
        <v>3.52</v>
      </c>
      <c r="M3041">
        <v>3.52</v>
      </c>
      <c r="N3041">
        <v>3.52</v>
      </c>
      <c r="O3041">
        <v>3.71</v>
      </c>
      <c r="P3041">
        <v>11.62</v>
      </c>
      <c r="Q3041">
        <v>15192320</v>
      </c>
      <c r="R3041">
        <v>0.28000000000000003</v>
      </c>
      <c r="S3041" t="s">
        <v>630</v>
      </c>
      <c r="T3041" t="s">
        <v>590</v>
      </c>
      <c r="U3041">
        <v>0</v>
      </c>
      <c r="V3041">
        <v>3.52</v>
      </c>
      <c r="W3041">
        <v>7884</v>
      </c>
      <c r="X3041">
        <v>35276</v>
      </c>
      <c r="Y3041">
        <v>0.22</v>
      </c>
      <c r="Z3041">
        <v>0</v>
      </c>
      <c r="AA3041">
        <v>97914</v>
      </c>
      <c r="AB3041" t="s">
        <v>116</v>
      </c>
      <c r="AC3041">
        <v>5533401</v>
      </c>
      <c r="AD3041">
        <v>0.36</v>
      </c>
      <c r="AE3041">
        <v>2.27</v>
      </c>
      <c r="AF3041">
        <v>34465728</v>
      </c>
      <c r="AG3041">
        <v>9.08</v>
      </c>
      <c r="AH3041" t="s">
        <v>8616</v>
      </c>
      <c r="AI3041" t="s">
        <v>12220</v>
      </c>
      <c r="AJ3041">
        <v>-5.04</v>
      </c>
      <c r="AK3041">
        <v>392</v>
      </c>
      <c r="AL3041">
        <v>110</v>
      </c>
      <c r="AM3041">
        <v>1.1999999999999999E-3</v>
      </c>
      <c r="AN3041">
        <v>-3</v>
      </c>
      <c r="AO3041">
        <v>-9.0399999999999991</v>
      </c>
      <c r="AP3041">
        <v>-2.2200000000000002</v>
      </c>
      <c r="AQ3041">
        <v>-27.27</v>
      </c>
      <c r="AR3041">
        <v>-56.22</v>
      </c>
      <c r="AS3041">
        <v>0.98</v>
      </c>
      <c r="AT3041" t="s">
        <v>5420</v>
      </c>
      <c r="AU3041">
        <v>14.17</v>
      </c>
      <c r="AV3041">
        <v>15.39</v>
      </c>
      <c r="AW3041">
        <v>0.02</v>
      </c>
      <c r="BA3041">
        <v>-5.12</v>
      </c>
      <c r="BB3041">
        <v>-5.12</v>
      </c>
      <c r="BC3041">
        <v>-5.12</v>
      </c>
      <c r="BD3041">
        <v>-5.12</v>
      </c>
      <c r="BE3041">
        <v>0</v>
      </c>
      <c r="BF3041">
        <v>0</v>
      </c>
      <c r="BG3041">
        <v>0</v>
      </c>
      <c r="BH3041">
        <v>0</v>
      </c>
      <c r="BI3041">
        <v>20191031</v>
      </c>
      <c r="BJ3041">
        <v>20110509</v>
      </c>
      <c r="BK3041">
        <v>11.41</v>
      </c>
      <c r="BL3041" t="s">
        <v>116</v>
      </c>
      <c r="BM3041" t="s">
        <v>116</v>
      </c>
      <c r="BN3041">
        <v>92.78</v>
      </c>
      <c r="BO3041">
        <v>60.25</v>
      </c>
      <c r="BP3041">
        <v>1.1499999999999999</v>
      </c>
      <c r="BQ3041">
        <v>33.82</v>
      </c>
      <c r="BR3041">
        <v>45.41</v>
      </c>
      <c r="BS3041">
        <v>15.2</v>
      </c>
      <c r="BT3041">
        <v>1.89</v>
      </c>
      <c r="BU3041">
        <v>22.34</v>
      </c>
      <c r="BV3041">
        <v>11.91</v>
      </c>
      <c r="BW3041">
        <v>8.75</v>
      </c>
      <c r="BX3041">
        <v>39.61</v>
      </c>
      <c r="BY3041">
        <v>59.09</v>
      </c>
      <c r="BZ3041">
        <v>41.95</v>
      </c>
      <c r="CA3041">
        <v>2.97</v>
      </c>
      <c r="CB3041">
        <v>1.79</v>
      </c>
      <c r="CC3041">
        <v>2.99</v>
      </c>
      <c r="CD3041">
        <v>2.7</v>
      </c>
      <c r="CE3041">
        <v>2.59</v>
      </c>
      <c r="CF3041">
        <v>1.66</v>
      </c>
      <c r="CG3041">
        <v>8.39</v>
      </c>
      <c r="CH3041">
        <v>3.28</v>
      </c>
      <c r="CI3041">
        <v>-4.53</v>
      </c>
      <c r="CJ3041">
        <v>33244</v>
      </c>
      <c r="CK3041">
        <v>13204</v>
      </c>
      <c r="CL3041" t="s">
        <v>1688</v>
      </c>
      <c r="CM3041">
        <v>9.5299999999999994</v>
      </c>
      <c r="CN3041">
        <v>33.770000000000003</v>
      </c>
      <c r="CO3041">
        <v>0.67</v>
      </c>
      <c r="CP3041">
        <v>12.27</v>
      </c>
      <c r="CQ3041">
        <v>0.68</v>
      </c>
      <c r="CR3041">
        <v>2.02</v>
      </c>
      <c r="CS3041" t="s">
        <v>1244</v>
      </c>
      <c r="CT3041">
        <v>5.28</v>
      </c>
      <c r="CU3041">
        <v>0</v>
      </c>
      <c r="CV3041">
        <v>3.47</v>
      </c>
      <c r="CW3041">
        <v>0.74</v>
      </c>
      <c r="CX3041">
        <v>0.28999999999999998</v>
      </c>
      <c r="CY3041">
        <v>64.94</v>
      </c>
      <c r="CZ3041" t="s">
        <v>1644</v>
      </c>
      <c r="DA3041">
        <v>29.02</v>
      </c>
      <c r="DB3041">
        <v>5.03</v>
      </c>
      <c r="DC3041">
        <v>4.3899999999999997</v>
      </c>
      <c r="DD3041">
        <v>0.83</v>
      </c>
      <c r="DE3041">
        <v>4556</v>
      </c>
      <c r="DF3041">
        <v>601113</v>
      </c>
      <c r="DG3041" t="s">
        <v>116</v>
      </c>
      <c r="DH3041" t="s">
        <v>116</v>
      </c>
      <c r="DI3041" t="s">
        <v>116</v>
      </c>
    </row>
    <row r="3042" spans="1:113" x14ac:dyDescent="0.4">
      <c r="A3042" t="str">
        <f>"601116"</f>
        <v>601116</v>
      </c>
      <c r="B3042" t="s">
        <v>13294</v>
      </c>
      <c r="C3042">
        <v>-0.53</v>
      </c>
      <c r="D3042">
        <v>13.14</v>
      </c>
      <c r="E3042">
        <v>-7.0000000000000007E-2</v>
      </c>
      <c r="F3042">
        <v>13.13</v>
      </c>
      <c r="G3042">
        <v>13.14</v>
      </c>
      <c r="H3042">
        <v>26858</v>
      </c>
      <c r="I3042">
        <v>387</v>
      </c>
      <c r="J3042">
        <v>0.15</v>
      </c>
      <c r="K3042">
        <v>0.65</v>
      </c>
      <c r="L3042">
        <v>13.16</v>
      </c>
      <c r="M3042">
        <v>13.33</v>
      </c>
      <c r="N3042">
        <v>13.11</v>
      </c>
      <c r="O3042">
        <v>13.21</v>
      </c>
      <c r="P3042">
        <v>39.5</v>
      </c>
      <c r="Q3042">
        <v>35524616</v>
      </c>
      <c r="R3042">
        <v>1.24</v>
      </c>
      <c r="S3042" t="s">
        <v>2064</v>
      </c>
      <c r="T3042" t="s">
        <v>590</v>
      </c>
      <c r="U3042">
        <v>1.67</v>
      </c>
      <c r="V3042">
        <v>13.23</v>
      </c>
      <c r="W3042">
        <v>15806</v>
      </c>
      <c r="X3042">
        <v>11052</v>
      </c>
      <c r="Y3042">
        <v>1.43</v>
      </c>
      <c r="Z3042">
        <v>288</v>
      </c>
      <c r="AA3042">
        <v>133</v>
      </c>
      <c r="AB3042" t="s">
        <v>116</v>
      </c>
      <c r="AC3042">
        <v>342200</v>
      </c>
      <c r="AD3042">
        <v>0.01</v>
      </c>
      <c r="AE3042" t="s">
        <v>116</v>
      </c>
      <c r="AF3042" t="s">
        <v>116</v>
      </c>
      <c r="AG3042">
        <v>4.1100000000000003</v>
      </c>
      <c r="AH3042" t="s">
        <v>13295</v>
      </c>
      <c r="AI3042" t="s">
        <v>13296</v>
      </c>
      <c r="AJ3042">
        <v>-0.45</v>
      </c>
      <c r="AK3042">
        <v>1123</v>
      </c>
      <c r="AL3042">
        <v>24</v>
      </c>
      <c r="AM3042">
        <v>5.9999999999999995E-4</v>
      </c>
      <c r="AN3042">
        <v>-1</v>
      </c>
      <c r="AO3042">
        <v>-0.6</v>
      </c>
      <c r="AP3042">
        <v>-0.23</v>
      </c>
      <c r="AQ3042">
        <v>-8.81</v>
      </c>
      <c r="AR3042">
        <v>24.31</v>
      </c>
      <c r="AS3042">
        <v>1.24</v>
      </c>
      <c r="AT3042" t="s">
        <v>3726</v>
      </c>
      <c r="AU3042">
        <v>42.76</v>
      </c>
      <c r="AV3042">
        <v>64.48</v>
      </c>
      <c r="AW3042">
        <v>0.78</v>
      </c>
      <c r="BA3042">
        <v>-0.38</v>
      </c>
      <c r="BB3042">
        <v>0.91</v>
      </c>
      <c r="BC3042">
        <v>-0.76</v>
      </c>
      <c r="BD3042">
        <v>0.13</v>
      </c>
      <c r="BE3042">
        <v>-0.15</v>
      </c>
      <c r="BF3042">
        <v>-1.43</v>
      </c>
      <c r="BG3042">
        <v>0.23</v>
      </c>
      <c r="BH3042">
        <v>-0.66</v>
      </c>
      <c r="BI3042">
        <v>20191030</v>
      </c>
      <c r="BJ3042">
        <v>20110302</v>
      </c>
      <c r="BK3042">
        <v>5.48</v>
      </c>
      <c r="BL3042" t="s">
        <v>116</v>
      </c>
      <c r="BM3042" t="s">
        <v>116</v>
      </c>
      <c r="BN3042">
        <v>45</v>
      </c>
      <c r="BO3042">
        <v>31.44</v>
      </c>
      <c r="BP3042">
        <v>0</v>
      </c>
      <c r="BQ3042">
        <v>30.13</v>
      </c>
      <c r="BR3042">
        <v>32.57</v>
      </c>
      <c r="BS3042">
        <v>9.74</v>
      </c>
      <c r="BT3042">
        <v>0.97</v>
      </c>
      <c r="BU3042">
        <v>13.38</v>
      </c>
      <c r="BV3042">
        <v>2.76</v>
      </c>
      <c r="BW3042">
        <v>0.3</v>
      </c>
      <c r="BX3042">
        <v>19.89</v>
      </c>
      <c r="BY3042">
        <v>30.75</v>
      </c>
      <c r="BZ3042">
        <v>23.21</v>
      </c>
      <c r="CA3042">
        <v>1.74</v>
      </c>
      <c r="CB3042">
        <v>0.17</v>
      </c>
      <c r="CC3042">
        <v>1.74</v>
      </c>
      <c r="CD3042">
        <v>1.37</v>
      </c>
      <c r="CE3042">
        <v>1.37</v>
      </c>
      <c r="CF3042">
        <v>0.87</v>
      </c>
      <c r="CG3042">
        <v>4.83</v>
      </c>
      <c r="CH3042">
        <v>1.49</v>
      </c>
      <c r="CI3042">
        <v>0.69</v>
      </c>
      <c r="CJ3042">
        <v>30973</v>
      </c>
      <c r="CK3042">
        <v>6998</v>
      </c>
      <c r="CL3042" t="s">
        <v>10576</v>
      </c>
      <c r="CM3042">
        <v>70.92</v>
      </c>
      <c r="CN3042">
        <v>-2.12</v>
      </c>
      <c r="CO3042">
        <v>2.29</v>
      </c>
      <c r="CP3042">
        <v>48.44</v>
      </c>
      <c r="CQ3042">
        <v>2.34</v>
      </c>
      <c r="CR3042">
        <v>1.52</v>
      </c>
      <c r="CS3042" t="s">
        <v>8554</v>
      </c>
      <c r="CT3042">
        <v>5.74</v>
      </c>
      <c r="CU3042">
        <v>0</v>
      </c>
      <c r="CV3042">
        <v>3.63</v>
      </c>
      <c r="CW3042">
        <v>0.88</v>
      </c>
      <c r="CX3042">
        <v>0.27</v>
      </c>
      <c r="CY3042">
        <v>69.87</v>
      </c>
      <c r="CZ3042" t="s">
        <v>4391</v>
      </c>
      <c r="DA3042">
        <v>24.51</v>
      </c>
      <c r="DB3042">
        <v>5.65</v>
      </c>
      <c r="DC3042">
        <v>4.4400000000000004</v>
      </c>
      <c r="DD3042">
        <v>0</v>
      </c>
      <c r="DE3042">
        <v>4717</v>
      </c>
      <c r="DF3042">
        <v>601116</v>
      </c>
      <c r="DG3042" t="s">
        <v>116</v>
      </c>
      <c r="DH3042" t="s">
        <v>116</v>
      </c>
      <c r="DI3042" t="s">
        <v>116</v>
      </c>
    </row>
    <row r="3043" spans="1:113" x14ac:dyDescent="0.4">
      <c r="A3043" t="str">
        <f>"601117"</f>
        <v>601117</v>
      </c>
      <c r="B3043" t="s">
        <v>13297</v>
      </c>
      <c r="C3043">
        <v>-0.78</v>
      </c>
      <c r="D3043">
        <v>6.37</v>
      </c>
      <c r="E3043">
        <v>-0.05</v>
      </c>
      <c r="F3043">
        <v>6.37</v>
      </c>
      <c r="G3043">
        <v>6.38</v>
      </c>
      <c r="H3043">
        <v>199826</v>
      </c>
      <c r="I3043">
        <v>1941</v>
      </c>
      <c r="J3043">
        <v>-0.15</v>
      </c>
      <c r="K3043">
        <v>0.41</v>
      </c>
      <c r="L3043">
        <v>6.44</v>
      </c>
      <c r="M3043">
        <v>6.46</v>
      </c>
      <c r="N3043">
        <v>6.35</v>
      </c>
      <c r="O3043">
        <v>6.42</v>
      </c>
      <c r="P3043">
        <v>9.64</v>
      </c>
      <c r="Q3043">
        <v>127985512</v>
      </c>
      <c r="R3043">
        <v>1.17</v>
      </c>
      <c r="S3043" t="s">
        <v>181</v>
      </c>
      <c r="T3043" t="s">
        <v>165</v>
      </c>
      <c r="U3043">
        <v>1.71</v>
      </c>
      <c r="V3043">
        <v>6.4</v>
      </c>
      <c r="W3043">
        <v>115119</v>
      </c>
      <c r="X3043">
        <v>84707</v>
      </c>
      <c r="Y3043">
        <v>1.36</v>
      </c>
      <c r="Z3043">
        <v>183</v>
      </c>
      <c r="AA3043">
        <v>1378</v>
      </c>
      <c r="AB3043" t="s">
        <v>116</v>
      </c>
      <c r="AC3043">
        <v>346500</v>
      </c>
      <c r="AD3043">
        <v>0</v>
      </c>
      <c r="AE3043" t="s">
        <v>116</v>
      </c>
      <c r="AF3043" t="s">
        <v>116</v>
      </c>
      <c r="AG3043">
        <v>49.33</v>
      </c>
      <c r="AH3043" t="s">
        <v>13298</v>
      </c>
      <c r="AI3043" t="s">
        <v>13298</v>
      </c>
      <c r="AJ3043">
        <v>-0.7</v>
      </c>
      <c r="AK3043">
        <v>3305</v>
      </c>
      <c r="AL3043">
        <v>60</v>
      </c>
      <c r="AM3043">
        <v>1E-4</v>
      </c>
      <c r="AN3043">
        <v>-1</v>
      </c>
      <c r="AO3043">
        <v>0.31</v>
      </c>
      <c r="AP3043">
        <v>2.25</v>
      </c>
      <c r="AQ3043">
        <v>10.98</v>
      </c>
      <c r="AR3043">
        <v>21.52</v>
      </c>
      <c r="AS3043">
        <v>1</v>
      </c>
      <c r="AT3043" t="s">
        <v>13299</v>
      </c>
      <c r="AU3043">
        <v>11.42</v>
      </c>
      <c r="AV3043">
        <v>16.27</v>
      </c>
      <c r="AW3043">
        <v>1.1599999999999999</v>
      </c>
      <c r="BA3043">
        <v>0.31</v>
      </c>
      <c r="BB3043">
        <v>0.62</v>
      </c>
      <c r="BC3043">
        <v>-1.0900000000000001</v>
      </c>
      <c r="BD3043">
        <v>-0.24</v>
      </c>
      <c r="BE3043">
        <v>-1.0900000000000001</v>
      </c>
      <c r="BF3043">
        <v>-1.39</v>
      </c>
      <c r="BG3043">
        <v>0.31</v>
      </c>
      <c r="BH3043">
        <v>-0.54</v>
      </c>
      <c r="BI3043">
        <v>20191031</v>
      </c>
      <c r="BJ3043">
        <v>20100107</v>
      </c>
      <c r="BK3043">
        <v>49.33</v>
      </c>
      <c r="BL3043" t="s">
        <v>116</v>
      </c>
      <c r="BM3043" t="s">
        <v>116</v>
      </c>
      <c r="BN3043">
        <v>1083.48</v>
      </c>
      <c r="BO3043">
        <v>346.52</v>
      </c>
      <c r="BP3043">
        <v>21.74</v>
      </c>
      <c r="BQ3043">
        <v>66.010000000000005</v>
      </c>
      <c r="BR3043">
        <v>841.14</v>
      </c>
      <c r="BS3043">
        <v>93.14</v>
      </c>
      <c r="BT3043">
        <v>19.73</v>
      </c>
      <c r="BU3043">
        <v>646.89</v>
      </c>
      <c r="BV3043">
        <v>161.25</v>
      </c>
      <c r="BW3043">
        <v>192.85</v>
      </c>
      <c r="BX3043">
        <v>56.45</v>
      </c>
      <c r="BY3043">
        <v>629.29999999999995</v>
      </c>
      <c r="BZ3043">
        <v>557.09</v>
      </c>
      <c r="CA3043">
        <v>30.37</v>
      </c>
      <c r="CB3043">
        <v>0.55000000000000004</v>
      </c>
      <c r="CC3043">
        <v>30.72</v>
      </c>
      <c r="CD3043">
        <v>25.99</v>
      </c>
      <c r="CE3043">
        <v>24.46</v>
      </c>
      <c r="CF3043">
        <v>23.22</v>
      </c>
      <c r="CG3043">
        <v>207.18</v>
      </c>
      <c r="CH3043">
        <v>16.62</v>
      </c>
      <c r="CI3043">
        <v>-17.170000000000002</v>
      </c>
      <c r="CJ3043">
        <v>91699</v>
      </c>
      <c r="CK3043">
        <v>21900</v>
      </c>
      <c r="CL3043" t="s">
        <v>13300</v>
      </c>
      <c r="CM3043">
        <v>50.43</v>
      </c>
      <c r="CN3043">
        <v>17.36</v>
      </c>
      <c r="CO3043">
        <v>0.99</v>
      </c>
      <c r="CP3043">
        <v>18.91</v>
      </c>
      <c r="CQ3043">
        <v>0.5</v>
      </c>
      <c r="CR3043">
        <v>1.85</v>
      </c>
      <c r="CS3043" t="s">
        <v>13301</v>
      </c>
      <c r="CT3043">
        <v>6.42</v>
      </c>
      <c r="CU3043">
        <v>6.42</v>
      </c>
      <c r="CV3043">
        <v>1.1399999999999999</v>
      </c>
      <c r="CW3043">
        <v>4.2</v>
      </c>
      <c r="CX3043">
        <v>0.34</v>
      </c>
      <c r="CY3043">
        <v>31.98</v>
      </c>
      <c r="CZ3043" t="s">
        <v>7250</v>
      </c>
      <c r="DA3043">
        <v>11.47</v>
      </c>
      <c r="DB3043">
        <v>4.83</v>
      </c>
      <c r="DC3043">
        <v>3.89</v>
      </c>
      <c r="DD3043">
        <v>18.3</v>
      </c>
      <c r="DE3043">
        <v>41339</v>
      </c>
      <c r="DF3043">
        <v>601117</v>
      </c>
      <c r="DG3043" t="s">
        <v>116</v>
      </c>
      <c r="DH3043" t="s">
        <v>116</v>
      </c>
      <c r="DI3043" t="s">
        <v>116</v>
      </c>
    </row>
    <row r="3044" spans="1:113" x14ac:dyDescent="0.4">
      <c r="A3044" t="str">
        <f>"601118"</f>
        <v>601118</v>
      </c>
      <c r="B3044" t="s">
        <v>13302</v>
      </c>
      <c r="C3044">
        <v>0.62</v>
      </c>
      <c r="D3044">
        <v>4.88</v>
      </c>
      <c r="E3044">
        <v>0.03</v>
      </c>
      <c r="F3044">
        <v>4.88</v>
      </c>
      <c r="G3044">
        <v>4.8899999999999997</v>
      </c>
      <c r="H3044">
        <v>267324</v>
      </c>
      <c r="I3044">
        <v>8148</v>
      </c>
      <c r="J3044">
        <v>0.41</v>
      </c>
      <c r="K3044">
        <v>0.62</v>
      </c>
      <c r="L3044">
        <v>4.8600000000000003</v>
      </c>
      <c r="M3044">
        <v>4.9400000000000004</v>
      </c>
      <c r="N3044">
        <v>4.84</v>
      </c>
      <c r="O3044">
        <v>4.8499999999999996</v>
      </c>
      <c r="P3044">
        <v>170.1</v>
      </c>
      <c r="Q3044">
        <v>130775856</v>
      </c>
      <c r="R3044">
        <v>0.84</v>
      </c>
      <c r="S3044" t="s">
        <v>2541</v>
      </c>
      <c r="T3044" t="s">
        <v>851</v>
      </c>
      <c r="U3044">
        <v>2.06</v>
      </c>
      <c r="V3044">
        <v>4.8899999999999997</v>
      </c>
      <c r="W3044">
        <v>115790</v>
      </c>
      <c r="X3044">
        <v>151534</v>
      </c>
      <c r="Y3044">
        <v>0.76</v>
      </c>
      <c r="Z3044">
        <v>387</v>
      </c>
      <c r="AA3044">
        <v>1542</v>
      </c>
      <c r="AB3044" t="s">
        <v>116</v>
      </c>
      <c r="AC3044">
        <v>137100</v>
      </c>
      <c r="AD3044">
        <v>0</v>
      </c>
      <c r="AE3044" t="s">
        <v>116</v>
      </c>
      <c r="AF3044" t="s">
        <v>116</v>
      </c>
      <c r="AG3044">
        <v>42.79</v>
      </c>
      <c r="AH3044" t="s">
        <v>13303</v>
      </c>
      <c r="AI3044" t="s">
        <v>13303</v>
      </c>
      <c r="AJ3044">
        <v>0.7</v>
      </c>
      <c r="AK3044">
        <v>2745</v>
      </c>
      <c r="AL3044">
        <v>97</v>
      </c>
      <c r="AM3044">
        <v>2.0000000000000001E-4</v>
      </c>
      <c r="AN3044">
        <v>1</v>
      </c>
      <c r="AO3044">
        <v>-0.62</v>
      </c>
      <c r="AP3044">
        <v>6.32</v>
      </c>
      <c r="AQ3044">
        <v>8.1999999999999993</v>
      </c>
      <c r="AR3044">
        <v>8.9499999999999993</v>
      </c>
      <c r="AS3044">
        <v>1.75</v>
      </c>
      <c r="AT3044" t="s">
        <v>13304</v>
      </c>
      <c r="AU3044" t="s">
        <v>116</v>
      </c>
      <c r="AV3044">
        <v>91.34</v>
      </c>
      <c r="AW3044">
        <v>1.07</v>
      </c>
      <c r="BA3044">
        <v>0.21</v>
      </c>
      <c r="BB3044">
        <v>1.86</v>
      </c>
      <c r="BC3044">
        <v>-0.21</v>
      </c>
      <c r="BD3044">
        <v>0.87</v>
      </c>
      <c r="BE3044">
        <v>0.41</v>
      </c>
      <c r="BF3044">
        <v>-1.21</v>
      </c>
      <c r="BG3044">
        <v>0.83</v>
      </c>
      <c r="BH3044">
        <v>-0.25</v>
      </c>
      <c r="BI3044">
        <v>20191029</v>
      </c>
      <c r="BJ3044">
        <v>20110107</v>
      </c>
      <c r="BK3044">
        <v>42.79</v>
      </c>
      <c r="BL3044" t="s">
        <v>116</v>
      </c>
      <c r="BM3044" t="s">
        <v>116</v>
      </c>
      <c r="BN3044">
        <v>159.31</v>
      </c>
      <c r="BO3044">
        <v>97</v>
      </c>
      <c r="BP3044">
        <v>3.56</v>
      </c>
      <c r="BQ3044">
        <v>36.880000000000003</v>
      </c>
      <c r="BR3044">
        <v>62.63</v>
      </c>
      <c r="BS3044">
        <v>17.559999999999999</v>
      </c>
      <c r="BT3044">
        <v>3.16</v>
      </c>
      <c r="BU3044">
        <v>49.61</v>
      </c>
      <c r="BV3044">
        <v>17.79</v>
      </c>
      <c r="BW3044">
        <v>6.11</v>
      </c>
      <c r="BX3044">
        <v>50.71</v>
      </c>
      <c r="BY3044">
        <v>90.29</v>
      </c>
      <c r="BZ3044">
        <v>85.88</v>
      </c>
      <c r="CA3044">
        <v>0.33</v>
      </c>
      <c r="CB3044">
        <v>1.19</v>
      </c>
      <c r="CC3044">
        <v>1.1299999999999999</v>
      </c>
      <c r="CD3044">
        <v>0.84</v>
      </c>
      <c r="CE3044">
        <v>0.92</v>
      </c>
      <c r="CF3044">
        <v>-1.18</v>
      </c>
      <c r="CG3044">
        <v>-0.31</v>
      </c>
      <c r="CH3044">
        <v>1.98</v>
      </c>
      <c r="CI3044">
        <v>-7.41</v>
      </c>
      <c r="CJ3044">
        <v>107959</v>
      </c>
      <c r="CK3044">
        <v>14130</v>
      </c>
      <c r="CL3044" t="s">
        <v>12922</v>
      </c>
      <c r="CM3044">
        <v>-79.72</v>
      </c>
      <c r="CN3044">
        <v>-0.42</v>
      </c>
      <c r="CO3044">
        <v>2.15</v>
      </c>
      <c r="CP3044">
        <v>105.63</v>
      </c>
      <c r="CQ3044">
        <v>2.31</v>
      </c>
      <c r="CR3044">
        <v>0.23</v>
      </c>
      <c r="CS3044" t="s">
        <v>3988</v>
      </c>
      <c r="CT3044">
        <v>2.27</v>
      </c>
      <c r="CU3044">
        <v>0</v>
      </c>
      <c r="CV3044">
        <v>1.18</v>
      </c>
      <c r="CW3044">
        <v>-0.01</v>
      </c>
      <c r="CX3044">
        <v>0.05</v>
      </c>
      <c r="CY3044">
        <v>60.89</v>
      </c>
      <c r="CZ3044" t="s">
        <v>8971</v>
      </c>
      <c r="DA3044">
        <v>4.88</v>
      </c>
      <c r="DB3044">
        <v>0.37</v>
      </c>
      <c r="DC3044">
        <v>1.02</v>
      </c>
      <c r="DD3044">
        <v>0.18</v>
      </c>
      <c r="DE3044">
        <v>22377</v>
      </c>
      <c r="DF3044">
        <v>601118</v>
      </c>
      <c r="DG3044" t="s">
        <v>116</v>
      </c>
      <c r="DH3044" t="s">
        <v>116</v>
      </c>
      <c r="DI3044" t="s">
        <v>116</v>
      </c>
    </row>
    <row r="3045" spans="1:113" x14ac:dyDescent="0.4">
      <c r="A3045" t="str">
        <f>"601126"</f>
        <v>601126</v>
      </c>
      <c r="B3045" t="s">
        <v>13305</v>
      </c>
      <c r="C3045">
        <v>0.36</v>
      </c>
      <c r="D3045">
        <v>5.55</v>
      </c>
      <c r="E3045">
        <v>0.02</v>
      </c>
      <c r="F3045">
        <v>5.54</v>
      </c>
      <c r="G3045">
        <v>5.55</v>
      </c>
      <c r="H3045">
        <v>16927</v>
      </c>
      <c r="I3045">
        <v>413</v>
      </c>
      <c r="J3045">
        <v>0.18</v>
      </c>
      <c r="K3045">
        <v>0.21</v>
      </c>
      <c r="L3045">
        <v>5.53</v>
      </c>
      <c r="M3045">
        <v>5.6</v>
      </c>
      <c r="N3045">
        <v>5.52</v>
      </c>
      <c r="O3045">
        <v>5.53</v>
      </c>
      <c r="P3045">
        <v>28.62</v>
      </c>
      <c r="Q3045">
        <v>9418236</v>
      </c>
      <c r="R3045">
        <v>0.9</v>
      </c>
      <c r="S3045" t="s">
        <v>397</v>
      </c>
      <c r="T3045" t="s">
        <v>165</v>
      </c>
      <c r="U3045">
        <v>1.45</v>
      </c>
      <c r="V3045">
        <v>5.56</v>
      </c>
      <c r="W3045">
        <v>8076</v>
      </c>
      <c r="X3045">
        <v>8851</v>
      </c>
      <c r="Y3045">
        <v>0.91</v>
      </c>
      <c r="Z3045">
        <v>203</v>
      </c>
      <c r="AA3045">
        <v>158</v>
      </c>
      <c r="AB3045" t="s">
        <v>116</v>
      </c>
      <c r="AC3045">
        <v>1100</v>
      </c>
      <c r="AD3045">
        <v>0</v>
      </c>
      <c r="AE3045" t="s">
        <v>116</v>
      </c>
      <c r="AF3045" t="s">
        <v>116</v>
      </c>
      <c r="AG3045">
        <v>7.96</v>
      </c>
      <c r="AH3045" t="s">
        <v>13306</v>
      </c>
      <c r="AI3045" t="s">
        <v>13307</v>
      </c>
      <c r="AJ3045">
        <v>0.44</v>
      </c>
      <c r="AK3045">
        <v>565</v>
      </c>
      <c r="AL3045">
        <v>30</v>
      </c>
      <c r="AM3045">
        <v>4.0000000000000002E-4</v>
      </c>
      <c r="AN3045">
        <v>2</v>
      </c>
      <c r="AO3045">
        <v>0.91</v>
      </c>
      <c r="AP3045">
        <v>1.46</v>
      </c>
      <c r="AQ3045">
        <v>-3.98</v>
      </c>
      <c r="AR3045">
        <v>12.99</v>
      </c>
      <c r="AS3045">
        <v>0.41</v>
      </c>
      <c r="AT3045" t="s">
        <v>892</v>
      </c>
      <c r="AU3045">
        <v>23.64</v>
      </c>
      <c r="AV3045">
        <v>20.8</v>
      </c>
      <c r="AW3045">
        <v>1.1000000000000001</v>
      </c>
      <c r="BA3045">
        <v>0</v>
      </c>
      <c r="BB3045">
        <v>1.27</v>
      </c>
      <c r="BC3045">
        <v>-0.18</v>
      </c>
      <c r="BD3045">
        <v>0.62</v>
      </c>
      <c r="BE3045">
        <v>0.36</v>
      </c>
      <c r="BF3045">
        <v>-0.89</v>
      </c>
      <c r="BG3045">
        <v>0.54</v>
      </c>
      <c r="BH3045">
        <v>-0.25</v>
      </c>
      <c r="BI3045">
        <v>20191031</v>
      </c>
      <c r="BJ3045">
        <v>20101231</v>
      </c>
      <c r="BK3045">
        <v>8.1300000000000008</v>
      </c>
      <c r="BL3045" t="s">
        <v>116</v>
      </c>
      <c r="BM3045" t="s">
        <v>116</v>
      </c>
      <c r="BN3045">
        <v>53.78</v>
      </c>
      <c r="BO3045">
        <v>38.49</v>
      </c>
      <c r="BP3045">
        <v>-0.23</v>
      </c>
      <c r="BQ3045">
        <v>28.87</v>
      </c>
      <c r="BR3045">
        <v>42.15</v>
      </c>
      <c r="BS3045">
        <v>4.93</v>
      </c>
      <c r="BT3045">
        <v>2.33</v>
      </c>
      <c r="BU3045">
        <v>15.18</v>
      </c>
      <c r="BV3045">
        <v>10.19</v>
      </c>
      <c r="BW3045">
        <v>23.28</v>
      </c>
      <c r="BX3045">
        <v>14.08</v>
      </c>
      <c r="BY3045">
        <v>22.28</v>
      </c>
      <c r="BZ3045">
        <v>12.54</v>
      </c>
      <c r="CA3045">
        <v>1.4</v>
      </c>
      <c r="CB3045">
        <v>-7.0000000000000007E-2</v>
      </c>
      <c r="CC3045">
        <v>1.55</v>
      </c>
      <c r="CD3045">
        <v>1.1000000000000001</v>
      </c>
      <c r="CE3045">
        <v>1.18</v>
      </c>
      <c r="CF3045">
        <v>1.04</v>
      </c>
      <c r="CG3045">
        <v>15.18</v>
      </c>
      <c r="CH3045">
        <v>1.63</v>
      </c>
      <c r="CI3045">
        <v>-0.87</v>
      </c>
      <c r="CJ3045">
        <v>23333</v>
      </c>
      <c r="CK3045">
        <v>17907</v>
      </c>
      <c r="CL3045" t="s">
        <v>13308</v>
      </c>
      <c r="CM3045">
        <v>-18.079999999999998</v>
      </c>
      <c r="CN3045">
        <v>0.92</v>
      </c>
      <c r="CO3045">
        <v>1.17</v>
      </c>
      <c r="CP3045">
        <v>27.68</v>
      </c>
      <c r="CQ3045">
        <v>2.0299999999999998</v>
      </c>
      <c r="CR3045">
        <v>3.14</v>
      </c>
      <c r="CS3045" t="s">
        <v>4857</v>
      </c>
      <c r="CT3045">
        <v>4.7300000000000004</v>
      </c>
      <c r="CU3045">
        <v>0</v>
      </c>
      <c r="CV3045">
        <v>1.73</v>
      </c>
      <c r="CW3045">
        <v>1.87</v>
      </c>
      <c r="CX3045">
        <v>0.2</v>
      </c>
      <c r="CY3045">
        <v>71.56</v>
      </c>
      <c r="CZ3045" t="s">
        <v>8135</v>
      </c>
      <c r="DA3045">
        <v>43.68</v>
      </c>
      <c r="DB3045">
        <v>6.27</v>
      </c>
      <c r="DC3045">
        <v>5.31</v>
      </c>
      <c r="DD3045">
        <v>3.13</v>
      </c>
      <c r="DE3045">
        <v>3217</v>
      </c>
      <c r="DF3045">
        <v>601126</v>
      </c>
      <c r="DG3045" t="s">
        <v>116</v>
      </c>
      <c r="DH3045" t="s">
        <v>116</v>
      </c>
      <c r="DI3045" t="s">
        <v>116</v>
      </c>
    </row>
    <row r="3046" spans="1:113" x14ac:dyDescent="0.4">
      <c r="A3046" t="str">
        <f>"601127"</f>
        <v>601127</v>
      </c>
      <c r="B3046" t="s">
        <v>13309</v>
      </c>
      <c r="C3046">
        <v>-0.69</v>
      </c>
      <c r="D3046">
        <v>11.54</v>
      </c>
      <c r="E3046">
        <v>-0.08</v>
      </c>
      <c r="F3046">
        <v>11.54</v>
      </c>
      <c r="G3046">
        <v>11.55</v>
      </c>
      <c r="H3046">
        <v>25498</v>
      </c>
      <c r="I3046">
        <v>776</v>
      </c>
      <c r="J3046">
        <v>-0.25</v>
      </c>
      <c r="K3046">
        <v>0.27</v>
      </c>
      <c r="L3046">
        <v>11.61</v>
      </c>
      <c r="M3046">
        <v>11.64</v>
      </c>
      <c r="N3046">
        <v>11.53</v>
      </c>
      <c r="O3046">
        <v>11.62</v>
      </c>
      <c r="P3046" t="s">
        <v>116</v>
      </c>
      <c r="Q3046">
        <v>29569288</v>
      </c>
      <c r="R3046">
        <v>0.62</v>
      </c>
      <c r="S3046" t="s">
        <v>293</v>
      </c>
      <c r="T3046" t="s">
        <v>906</v>
      </c>
      <c r="U3046">
        <v>0.95</v>
      </c>
      <c r="V3046">
        <v>11.6</v>
      </c>
      <c r="W3046">
        <v>12791</v>
      </c>
      <c r="X3046">
        <v>12707</v>
      </c>
      <c r="Y3046">
        <v>1.01</v>
      </c>
      <c r="Z3046">
        <v>8</v>
      </c>
      <c r="AA3046">
        <v>40</v>
      </c>
      <c r="AB3046" t="s">
        <v>116</v>
      </c>
      <c r="AC3046">
        <v>11600</v>
      </c>
      <c r="AD3046">
        <v>0</v>
      </c>
      <c r="AE3046" t="s">
        <v>116</v>
      </c>
      <c r="AF3046" t="s">
        <v>116</v>
      </c>
      <c r="AG3046">
        <v>9.33</v>
      </c>
      <c r="AH3046" t="s">
        <v>13310</v>
      </c>
      <c r="AI3046" t="s">
        <v>13311</v>
      </c>
      <c r="AJ3046">
        <v>-0.61</v>
      </c>
      <c r="AK3046">
        <v>918</v>
      </c>
      <c r="AL3046">
        <v>28</v>
      </c>
      <c r="AM3046">
        <v>2.9999999999999997E-4</v>
      </c>
      <c r="AN3046">
        <v>-2</v>
      </c>
      <c r="AO3046">
        <v>-0.95</v>
      </c>
      <c r="AP3046">
        <v>-8.49</v>
      </c>
      <c r="AQ3046">
        <v>-8.99</v>
      </c>
      <c r="AR3046">
        <v>-32.36</v>
      </c>
      <c r="AS3046">
        <v>1.24</v>
      </c>
      <c r="AT3046" t="s">
        <v>13312</v>
      </c>
      <c r="AU3046" t="s">
        <v>116</v>
      </c>
      <c r="AV3046">
        <v>102.02</v>
      </c>
      <c r="AW3046">
        <v>0.5</v>
      </c>
      <c r="BA3046">
        <v>-0.09</v>
      </c>
      <c r="BB3046">
        <v>0.17</v>
      </c>
      <c r="BC3046">
        <v>-0.77</v>
      </c>
      <c r="BD3046">
        <v>-0.2</v>
      </c>
      <c r="BE3046">
        <v>-0.6</v>
      </c>
      <c r="BF3046">
        <v>-0.86</v>
      </c>
      <c r="BG3046">
        <v>0.09</v>
      </c>
      <c r="BH3046">
        <v>-0.49</v>
      </c>
      <c r="BI3046">
        <v>20191218</v>
      </c>
      <c r="BJ3046">
        <v>20160615</v>
      </c>
      <c r="BK3046">
        <v>9.4</v>
      </c>
      <c r="BL3046" t="s">
        <v>116</v>
      </c>
      <c r="BM3046" t="s">
        <v>116</v>
      </c>
      <c r="BN3046">
        <v>274.41000000000003</v>
      </c>
      <c r="BO3046">
        <v>51.89</v>
      </c>
      <c r="BP3046">
        <v>26.03</v>
      </c>
      <c r="BQ3046">
        <v>71.599999999999994</v>
      </c>
      <c r="BR3046">
        <v>119.84</v>
      </c>
      <c r="BS3046">
        <v>51.51</v>
      </c>
      <c r="BT3046">
        <v>20.02</v>
      </c>
      <c r="BU3046">
        <v>135</v>
      </c>
      <c r="BV3046">
        <v>16.22</v>
      </c>
      <c r="BW3046">
        <v>13.95</v>
      </c>
      <c r="BX3046">
        <v>22.14</v>
      </c>
      <c r="BY3046">
        <v>115.55</v>
      </c>
      <c r="BZ3046">
        <v>95.88</v>
      </c>
      <c r="CA3046">
        <v>-3.07</v>
      </c>
      <c r="CB3046">
        <v>-0.01</v>
      </c>
      <c r="CC3046">
        <v>-2.95</v>
      </c>
      <c r="CD3046">
        <v>-4.4000000000000004</v>
      </c>
      <c r="CE3046">
        <v>-4.21</v>
      </c>
      <c r="CF3046">
        <v>-6.01</v>
      </c>
      <c r="CG3046">
        <v>15.9</v>
      </c>
      <c r="CH3046">
        <v>1.55</v>
      </c>
      <c r="CI3046">
        <v>-1.98</v>
      </c>
      <c r="CJ3046">
        <v>31603</v>
      </c>
      <c r="CK3046">
        <v>6503</v>
      </c>
      <c r="CL3046" t="s">
        <v>5440</v>
      </c>
      <c r="CM3046">
        <v>-951.59</v>
      </c>
      <c r="CN3046">
        <v>-18.96</v>
      </c>
      <c r="CO3046">
        <v>2.2000000000000002</v>
      </c>
      <c r="CP3046">
        <v>69.95</v>
      </c>
      <c r="CQ3046">
        <v>0.94</v>
      </c>
      <c r="CR3046">
        <v>0.69</v>
      </c>
      <c r="CS3046" t="s">
        <v>12544</v>
      </c>
      <c r="CT3046">
        <v>5.26</v>
      </c>
      <c r="CU3046">
        <v>5.26</v>
      </c>
      <c r="CV3046">
        <v>2.36</v>
      </c>
      <c r="CW3046">
        <v>1.69</v>
      </c>
      <c r="CX3046">
        <v>0.16</v>
      </c>
      <c r="CY3046">
        <v>18.91</v>
      </c>
      <c r="CZ3046" t="s">
        <v>13313</v>
      </c>
      <c r="DA3046">
        <v>17.02</v>
      </c>
      <c r="DB3046">
        <v>-2.66</v>
      </c>
      <c r="DC3046">
        <v>-3.65</v>
      </c>
      <c r="DD3046">
        <v>2.9</v>
      </c>
      <c r="DE3046">
        <v>14710</v>
      </c>
      <c r="DF3046">
        <v>601127</v>
      </c>
      <c r="DG3046" t="s">
        <v>116</v>
      </c>
      <c r="DH3046" t="s">
        <v>116</v>
      </c>
      <c r="DI3046" t="s">
        <v>116</v>
      </c>
    </row>
    <row r="3047" spans="1:113" x14ac:dyDescent="0.4">
      <c r="A3047" t="str">
        <f>"601128"</f>
        <v>601128</v>
      </c>
      <c r="B3047" t="s">
        <v>13314</v>
      </c>
      <c r="C3047">
        <v>-1.02</v>
      </c>
      <c r="D3047">
        <v>8.76</v>
      </c>
      <c r="E3047">
        <v>-0.09</v>
      </c>
      <c r="F3047">
        <v>8.75</v>
      </c>
      <c r="G3047">
        <v>8.76</v>
      </c>
      <c r="H3047">
        <v>289054</v>
      </c>
      <c r="I3047">
        <v>3430</v>
      </c>
      <c r="J3047">
        <v>0</v>
      </c>
      <c r="K3047">
        <v>1.1200000000000001</v>
      </c>
      <c r="L3047">
        <v>8.86</v>
      </c>
      <c r="M3047">
        <v>8.9700000000000006</v>
      </c>
      <c r="N3047">
        <v>8.7200000000000006</v>
      </c>
      <c r="O3047">
        <v>8.85</v>
      </c>
      <c r="P3047">
        <v>13.14</v>
      </c>
      <c r="Q3047">
        <v>255572832</v>
      </c>
      <c r="R3047">
        <v>1.17</v>
      </c>
      <c r="S3047" t="s">
        <v>114</v>
      </c>
      <c r="T3047" t="s">
        <v>323</v>
      </c>
      <c r="U3047">
        <v>2.82</v>
      </c>
      <c r="V3047">
        <v>8.84</v>
      </c>
      <c r="W3047">
        <v>98516</v>
      </c>
      <c r="X3047">
        <v>190538</v>
      </c>
      <c r="Y3047">
        <v>0.52</v>
      </c>
      <c r="Z3047">
        <v>2305</v>
      </c>
      <c r="AA3047">
        <v>8419</v>
      </c>
      <c r="AB3047" t="s">
        <v>116</v>
      </c>
      <c r="AC3047">
        <v>492600</v>
      </c>
      <c r="AD3047">
        <v>0</v>
      </c>
      <c r="AE3047" t="s">
        <v>116</v>
      </c>
      <c r="AF3047" t="s">
        <v>116</v>
      </c>
      <c r="AG3047">
        <v>25.75</v>
      </c>
      <c r="AH3047" t="s">
        <v>13315</v>
      </c>
      <c r="AI3047" t="s">
        <v>13316</v>
      </c>
      <c r="AJ3047">
        <v>-0.94</v>
      </c>
      <c r="AK3047">
        <v>4046</v>
      </c>
      <c r="AL3047">
        <v>71</v>
      </c>
      <c r="AM3047">
        <v>2.9999999999999997E-4</v>
      </c>
      <c r="AN3047">
        <v>-3</v>
      </c>
      <c r="AO3047">
        <v>-2.2400000000000002</v>
      </c>
      <c r="AP3047">
        <v>8.42</v>
      </c>
      <c r="AQ3047">
        <v>13.62</v>
      </c>
      <c r="AR3047">
        <v>46.98</v>
      </c>
      <c r="AS3047">
        <v>1.24</v>
      </c>
      <c r="AT3047" t="s">
        <v>13317</v>
      </c>
      <c r="AU3047">
        <v>13.82</v>
      </c>
      <c r="AV3047">
        <v>16.16</v>
      </c>
      <c r="AW3047">
        <v>1.81</v>
      </c>
      <c r="BA3047">
        <v>0.11</v>
      </c>
      <c r="BB3047">
        <v>1.36</v>
      </c>
      <c r="BC3047">
        <v>-1.47</v>
      </c>
      <c r="BD3047">
        <v>-0.09</v>
      </c>
      <c r="BE3047">
        <v>-1.1299999999999999</v>
      </c>
      <c r="BF3047">
        <v>-2.34</v>
      </c>
      <c r="BG3047">
        <v>0.46</v>
      </c>
      <c r="BH3047">
        <v>-0.92</v>
      </c>
      <c r="BI3047">
        <v>20191026</v>
      </c>
      <c r="BJ3047">
        <v>20160930</v>
      </c>
      <c r="BK3047">
        <v>27.41</v>
      </c>
      <c r="BL3047" t="s">
        <v>116</v>
      </c>
      <c r="BM3047" t="s">
        <v>116</v>
      </c>
      <c r="BN3047">
        <v>1784.64</v>
      </c>
      <c r="BO3047">
        <v>161.94999999999999</v>
      </c>
      <c r="BP3047">
        <v>9.19</v>
      </c>
      <c r="BQ3047">
        <v>90.41</v>
      </c>
      <c r="BR3047">
        <v>0</v>
      </c>
      <c r="BS3047">
        <v>9.6199999999999992</v>
      </c>
      <c r="BT3047">
        <v>1.81</v>
      </c>
      <c r="BU3047">
        <v>0</v>
      </c>
      <c r="BV3047">
        <v>0</v>
      </c>
      <c r="BW3047">
        <v>0</v>
      </c>
      <c r="BX3047">
        <v>32.51</v>
      </c>
      <c r="BY3047">
        <v>47.87</v>
      </c>
      <c r="BZ3047">
        <v>0</v>
      </c>
      <c r="CA3047">
        <v>18.16</v>
      </c>
      <c r="CB3047">
        <v>3.18</v>
      </c>
      <c r="CC3047">
        <v>18.11</v>
      </c>
      <c r="CD3047">
        <v>14.67</v>
      </c>
      <c r="CE3047">
        <v>13.71</v>
      </c>
      <c r="CF3047">
        <v>13.73</v>
      </c>
      <c r="CG3047">
        <v>31.51</v>
      </c>
      <c r="CH3047">
        <v>79.569999999999993</v>
      </c>
      <c r="CI3047">
        <v>2.98</v>
      </c>
      <c r="CJ3047">
        <v>46605</v>
      </c>
      <c r="CK3047">
        <v>49956</v>
      </c>
      <c r="CL3047" t="s">
        <v>13318</v>
      </c>
      <c r="CM3047">
        <v>22.39</v>
      </c>
      <c r="CN3047">
        <v>11.86</v>
      </c>
      <c r="CO3047">
        <v>1.48</v>
      </c>
      <c r="CP3047">
        <v>3.02</v>
      </c>
      <c r="CQ3047">
        <v>5.0199999999999996</v>
      </c>
      <c r="CR3047">
        <v>2.0499999999999998</v>
      </c>
      <c r="CS3047" t="s">
        <v>2154</v>
      </c>
      <c r="CT3047">
        <v>5.91</v>
      </c>
      <c r="CU3047">
        <v>0</v>
      </c>
      <c r="CV3047">
        <v>1.19</v>
      </c>
      <c r="CW3047">
        <v>1.1499999999999999</v>
      </c>
      <c r="CX3047">
        <v>2.9</v>
      </c>
      <c r="CY3047">
        <v>9.07</v>
      </c>
      <c r="CZ3047" t="s">
        <v>13319</v>
      </c>
      <c r="DA3047" t="s">
        <v>116</v>
      </c>
      <c r="DB3047">
        <v>37.92</v>
      </c>
      <c r="DC3047">
        <v>28.63</v>
      </c>
      <c r="DD3047">
        <v>0</v>
      </c>
      <c r="DE3047">
        <v>5563</v>
      </c>
      <c r="DF3047">
        <v>601128</v>
      </c>
      <c r="DG3047" t="s">
        <v>116</v>
      </c>
      <c r="DH3047" t="s">
        <v>116</v>
      </c>
      <c r="DI3047" t="s">
        <v>116</v>
      </c>
    </row>
    <row r="3048" spans="1:113" x14ac:dyDescent="0.4">
      <c r="A3048" t="str">
        <f>"601137"</f>
        <v>601137</v>
      </c>
      <c r="B3048" t="s">
        <v>13320</v>
      </c>
      <c r="C3048">
        <v>0.45</v>
      </c>
      <c r="D3048">
        <v>11.16</v>
      </c>
      <c r="E3048">
        <v>0.05</v>
      </c>
      <c r="F3048">
        <v>11.15</v>
      </c>
      <c r="G3048">
        <v>11.16</v>
      </c>
      <c r="H3048">
        <v>119946</v>
      </c>
      <c r="I3048">
        <v>2346</v>
      </c>
      <c r="J3048">
        <v>0.36</v>
      </c>
      <c r="K3048">
        <v>1.95</v>
      </c>
      <c r="L3048">
        <v>11.09</v>
      </c>
      <c r="M3048">
        <v>11.4</v>
      </c>
      <c r="N3048">
        <v>10.89</v>
      </c>
      <c r="O3048">
        <v>11.11</v>
      </c>
      <c r="P3048">
        <v>17.39</v>
      </c>
      <c r="Q3048">
        <v>133803960</v>
      </c>
      <c r="R3048">
        <v>1.57</v>
      </c>
      <c r="S3048" t="s">
        <v>1517</v>
      </c>
      <c r="T3048" t="s">
        <v>590</v>
      </c>
      <c r="U3048">
        <v>4.59</v>
      </c>
      <c r="V3048">
        <v>11.16</v>
      </c>
      <c r="W3048">
        <v>64060</v>
      </c>
      <c r="X3048">
        <v>55886</v>
      </c>
      <c r="Y3048">
        <v>1.1499999999999999</v>
      </c>
      <c r="Z3048">
        <v>541</v>
      </c>
      <c r="AA3048">
        <v>264</v>
      </c>
      <c r="AB3048" t="s">
        <v>116</v>
      </c>
      <c r="AC3048">
        <v>1377400</v>
      </c>
      <c r="AD3048">
        <v>0.06</v>
      </c>
      <c r="AE3048" t="s">
        <v>116</v>
      </c>
      <c r="AF3048" t="s">
        <v>116</v>
      </c>
      <c r="AG3048">
        <v>6.15</v>
      </c>
      <c r="AH3048" t="s">
        <v>13321</v>
      </c>
      <c r="AI3048" t="s">
        <v>10683</v>
      </c>
      <c r="AJ3048">
        <v>0.53</v>
      </c>
      <c r="AK3048">
        <v>2422</v>
      </c>
      <c r="AL3048">
        <v>50</v>
      </c>
      <c r="AM3048">
        <v>8.0000000000000004E-4</v>
      </c>
      <c r="AN3048">
        <v>1</v>
      </c>
      <c r="AO3048">
        <v>4.79</v>
      </c>
      <c r="AP3048">
        <v>15.41</v>
      </c>
      <c r="AQ3048">
        <v>-1.41</v>
      </c>
      <c r="AR3048">
        <v>65.58</v>
      </c>
      <c r="AS3048">
        <v>5.53</v>
      </c>
      <c r="AT3048" t="s">
        <v>9039</v>
      </c>
      <c r="AU3048">
        <v>20.93</v>
      </c>
      <c r="AV3048">
        <v>22.4</v>
      </c>
      <c r="AW3048">
        <v>1.77</v>
      </c>
      <c r="BA3048">
        <v>-0.18</v>
      </c>
      <c r="BB3048">
        <v>2.61</v>
      </c>
      <c r="BC3048">
        <v>-1.98</v>
      </c>
      <c r="BD3048">
        <v>0.41</v>
      </c>
      <c r="BE3048">
        <v>0.63</v>
      </c>
      <c r="BF3048">
        <v>-2.11</v>
      </c>
      <c r="BG3048">
        <v>2.48</v>
      </c>
      <c r="BH3048">
        <v>0.04</v>
      </c>
      <c r="BI3048">
        <v>20191225</v>
      </c>
      <c r="BJ3048">
        <v>20110127</v>
      </c>
      <c r="BK3048">
        <v>6.85</v>
      </c>
      <c r="BL3048" t="s">
        <v>116</v>
      </c>
      <c r="BM3048" t="s">
        <v>116</v>
      </c>
      <c r="BN3048">
        <v>70.680000000000007</v>
      </c>
      <c r="BO3048">
        <v>36.57</v>
      </c>
      <c r="BP3048">
        <v>0</v>
      </c>
      <c r="BQ3048">
        <v>48.26</v>
      </c>
      <c r="BR3048">
        <v>34.54</v>
      </c>
      <c r="BS3048">
        <v>25.06</v>
      </c>
      <c r="BT3048">
        <v>3.09</v>
      </c>
      <c r="BU3048">
        <v>23.93</v>
      </c>
      <c r="BV3048">
        <v>17.54</v>
      </c>
      <c r="BW3048">
        <v>8.0299999999999994</v>
      </c>
      <c r="BX3048">
        <v>15.06</v>
      </c>
      <c r="BY3048">
        <v>52.87</v>
      </c>
      <c r="BZ3048">
        <v>43.98</v>
      </c>
      <c r="CA3048">
        <v>3.67</v>
      </c>
      <c r="CB3048">
        <v>0.02</v>
      </c>
      <c r="CC3048">
        <v>3.75</v>
      </c>
      <c r="CD3048">
        <v>3.35</v>
      </c>
      <c r="CE3048">
        <v>3.29</v>
      </c>
      <c r="CF3048">
        <v>2.73</v>
      </c>
      <c r="CG3048">
        <v>14.3</v>
      </c>
      <c r="CH3048">
        <v>1.63</v>
      </c>
      <c r="CI3048">
        <v>-3.84</v>
      </c>
      <c r="CJ3048">
        <v>19589</v>
      </c>
      <c r="CK3048">
        <v>11066</v>
      </c>
      <c r="CL3048" t="s">
        <v>13322</v>
      </c>
      <c r="CM3048">
        <v>7.82</v>
      </c>
      <c r="CN3048">
        <v>-2.81</v>
      </c>
      <c r="CO3048">
        <v>2.09</v>
      </c>
      <c r="CP3048">
        <v>46.88</v>
      </c>
      <c r="CQ3048">
        <v>1.44</v>
      </c>
      <c r="CR3048">
        <v>0.64</v>
      </c>
      <c r="CS3048" t="s">
        <v>13323</v>
      </c>
      <c r="CT3048">
        <v>5.34</v>
      </c>
      <c r="CU3048">
        <v>0</v>
      </c>
      <c r="CV3048">
        <v>2.2000000000000002</v>
      </c>
      <c r="CW3048">
        <v>2.09</v>
      </c>
      <c r="CX3048">
        <v>0.24</v>
      </c>
      <c r="CY3048">
        <v>51.74</v>
      </c>
      <c r="CZ3048" t="s">
        <v>6881</v>
      </c>
      <c r="DA3048">
        <v>16.809999999999999</v>
      </c>
      <c r="DB3048">
        <v>6.93</v>
      </c>
      <c r="DC3048">
        <v>6.23</v>
      </c>
      <c r="DD3048">
        <v>1.31</v>
      </c>
      <c r="DE3048">
        <v>3497</v>
      </c>
      <c r="DF3048">
        <v>601137</v>
      </c>
      <c r="DG3048" t="s">
        <v>116</v>
      </c>
      <c r="DH3048" t="s">
        <v>116</v>
      </c>
      <c r="DI3048" t="s">
        <v>116</v>
      </c>
    </row>
    <row r="3049" spans="1:113" x14ac:dyDescent="0.4">
      <c r="A3049" t="str">
        <f>"601138"</f>
        <v>601138</v>
      </c>
      <c r="B3049" t="s">
        <v>13324</v>
      </c>
      <c r="C3049">
        <v>-2.72</v>
      </c>
      <c r="D3049">
        <v>17.510000000000002</v>
      </c>
      <c r="E3049">
        <v>-0.49</v>
      </c>
      <c r="F3049">
        <v>17.5</v>
      </c>
      <c r="G3049">
        <v>17.510000000000002</v>
      </c>
      <c r="H3049">
        <v>503285</v>
      </c>
      <c r="I3049">
        <v>6272</v>
      </c>
      <c r="J3049">
        <v>-0.33</v>
      </c>
      <c r="K3049">
        <v>2.74</v>
      </c>
      <c r="L3049">
        <v>18.04</v>
      </c>
      <c r="M3049">
        <v>18.13</v>
      </c>
      <c r="N3049">
        <v>17.45</v>
      </c>
      <c r="O3049">
        <v>18</v>
      </c>
      <c r="P3049">
        <v>25.6</v>
      </c>
      <c r="Q3049">
        <v>893256000</v>
      </c>
      <c r="R3049">
        <v>1.0900000000000001</v>
      </c>
      <c r="S3049" t="s">
        <v>465</v>
      </c>
      <c r="T3049" t="s">
        <v>115</v>
      </c>
      <c r="U3049">
        <v>3.78</v>
      </c>
      <c r="V3049">
        <v>17.75</v>
      </c>
      <c r="W3049">
        <v>261323</v>
      </c>
      <c r="X3049">
        <v>241962</v>
      </c>
      <c r="Y3049">
        <v>1.08</v>
      </c>
      <c r="Z3049">
        <v>753</v>
      </c>
      <c r="AA3049">
        <v>2144</v>
      </c>
      <c r="AB3049" t="s">
        <v>116</v>
      </c>
      <c r="AC3049">
        <v>1993400</v>
      </c>
      <c r="AD3049">
        <v>0.01</v>
      </c>
      <c r="AE3049" t="s">
        <v>116</v>
      </c>
      <c r="AF3049" t="s">
        <v>116</v>
      </c>
      <c r="AG3049">
        <v>18.39</v>
      </c>
      <c r="AH3049" t="s">
        <v>13325</v>
      </c>
      <c r="AI3049" t="s">
        <v>13326</v>
      </c>
      <c r="AJ3049">
        <v>-2.65</v>
      </c>
      <c r="AK3049">
        <v>4454</v>
      </c>
      <c r="AL3049">
        <v>113</v>
      </c>
      <c r="AM3049">
        <v>5.9999999999999995E-4</v>
      </c>
      <c r="AN3049">
        <v>-2</v>
      </c>
      <c r="AO3049">
        <v>-2.0099999999999998</v>
      </c>
      <c r="AP3049">
        <v>5.0999999999999996</v>
      </c>
      <c r="AQ3049">
        <v>16.190000000000001</v>
      </c>
      <c r="AR3049">
        <v>52.78</v>
      </c>
      <c r="AS3049">
        <v>2.74</v>
      </c>
      <c r="AT3049" t="s">
        <v>13325</v>
      </c>
      <c r="AU3049">
        <v>20.059999999999999</v>
      </c>
      <c r="AV3049">
        <v>20.57</v>
      </c>
      <c r="AW3049">
        <v>1.1299999999999999</v>
      </c>
      <c r="BA3049">
        <v>0.22</v>
      </c>
      <c r="BB3049">
        <v>0.72</v>
      </c>
      <c r="BC3049">
        <v>-3.06</v>
      </c>
      <c r="BD3049">
        <v>-1.4</v>
      </c>
      <c r="BE3049">
        <v>-2.94</v>
      </c>
      <c r="BF3049">
        <v>-3.42</v>
      </c>
      <c r="BG3049">
        <v>0.34</v>
      </c>
      <c r="BH3049">
        <v>-1.32</v>
      </c>
      <c r="BI3049">
        <v>20191206</v>
      </c>
      <c r="BJ3049">
        <v>20180608</v>
      </c>
      <c r="BK3049">
        <v>198.55</v>
      </c>
      <c r="BL3049" t="s">
        <v>116</v>
      </c>
      <c r="BM3049" t="s">
        <v>116</v>
      </c>
      <c r="BN3049">
        <v>2041.49</v>
      </c>
      <c r="BO3049">
        <v>806.17</v>
      </c>
      <c r="BP3049">
        <v>0.5</v>
      </c>
      <c r="BQ3049">
        <v>60.49</v>
      </c>
      <c r="BR3049">
        <v>1943.1</v>
      </c>
      <c r="BS3049">
        <v>67.41</v>
      </c>
      <c r="BT3049">
        <v>2.02</v>
      </c>
      <c r="BU3049">
        <v>1231.6600000000001</v>
      </c>
      <c r="BV3049">
        <v>472.65</v>
      </c>
      <c r="BW3049">
        <v>836.95</v>
      </c>
      <c r="BX3049">
        <v>263.91000000000003</v>
      </c>
      <c r="BY3049">
        <v>2798.96</v>
      </c>
      <c r="BZ3049">
        <v>2590.9499999999998</v>
      </c>
      <c r="CA3049">
        <v>113.16</v>
      </c>
      <c r="CB3049">
        <v>0.12</v>
      </c>
      <c r="CC3049">
        <v>113.36</v>
      </c>
      <c r="CD3049">
        <v>101.85</v>
      </c>
      <c r="CE3049">
        <v>101.85</v>
      </c>
      <c r="CF3049">
        <v>95.38</v>
      </c>
      <c r="CG3049">
        <v>343.38</v>
      </c>
      <c r="CH3049">
        <v>28.39</v>
      </c>
      <c r="CI3049">
        <v>-4.84</v>
      </c>
      <c r="CJ3049">
        <v>241112</v>
      </c>
      <c r="CK3049">
        <v>7626</v>
      </c>
      <c r="CL3049" t="s">
        <v>9959</v>
      </c>
      <c r="CM3049">
        <v>4.3899999999999997</v>
      </c>
      <c r="CN3049">
        <v>-1.42</v>
      </c>
      <c r="CO3049">
        <v>4.3099999999999996</v>
      </c>
      <c r="CP3049">
        <v>122.45</v>
      </c>
      <c r="CQ3049">
        <v>1.24</v>
      </c>
      <c r="CR3049">
        <v>0.74</v>
      </c>
      <c r="CS3049" t="s">
        <v>4586</v>
      </c>
      <c r="CT3049">
        <v>4.0599999999999996</v>
      </c>
      <c r="CU3049">
        <v>0</v>
      </c>
      <c r="CV3049">
        <v>1.33</v>
      </c>
      <c r="CW3049">
        <v>1.73</v>
      </c>
      <c r="CX3049">
        <v>0.14000000000000001</v>
      </c>
      <c r="CY3049">
        <v>39.49</v>
      </c>
      <c r="CZ3049" t="s">
        <v>7259</v>
      </c>
      <c r="DA3049">
        <v>7.43</v>
      </c>
      <c r="DB3049">
        <v>4.04</v>
      </c>
      <c r="DC3049">
        <v>3.64</v>
      </c>
      <c r="DD3049">
        <v>65.930000000000007</v>
      </c>
      <c r="DE3049">
        <v>252196</v>
      </c>
      <c r="DF3049">
        <v>601138</v>
      </c>
      <c r="DG3049" t="s">
        <v>116</v>
      </c>
      <c r="DH3049" t="s">
        <v>116</v>
      </c>
      <c r="DI3049" t="s">
        <v>116</v>
      </c>
    </row>
    <row r="3050" spans="1:113" x14ac:dyDescent="0.4">
      <c r="A3050" t="str">
        <f>"601139"</f>
        <v>601139</v>
      </c>
      <c r="B3050" t="s">
        <v>13327</v>
      </c>
      <c r="C3050">
        <v>0.26</v>
      </c>
      <c r="D3050">
        <v>7.74</v>
      </c>
      <c r="E3050">
        <v>0.02</v>
      </c>
      <c r="F3050">
        <v>7.73</v>
      </c>
      <c r="G3050">
        <v>7.74</v>
      </c>
      <c r="H3050">
        <v>96592</v>
      </c>
      <c r="I3050">
        <v>1716</v>
      </c>
      <c r="J3050">
        <v>0.26</v>
      </c>
      <c r="K3050">
        <v>0.34</v>
      </c>
      <c r="L3050">
        <v>7.73</v>
      </c>
      <c r="M3050">
        <v>7.82</v>
      </c>
      <c r="N3050">
        <v>7.65</v>
      </c>
      <c r="O3050">
        <v>7.72</v>
      </c>
      <c r="P3050">
        <v>18.190000000000001</v>
      </c>
      <c r="Q3050">
        <v>74687272</v>
      </c>
      <c r="R3050">
        <v>0.67</v>
      </c>
      <c r="S3050" t="s">
        <v>690</v>
      </c>
      <c r="T3050" t="s">
        <v>115</v>
      </c>
      <c r="U3050">
        <v>2.2000000000000002</v>
      </c>
      <c r="V3050">
        <v>7.73</v>
      </c>
      <c r="W3050">
        <v>43665</v>
      </c>
      <c r="X3050">
        <v>52927</v>
      </c>
      <c r="Y3050">
        <v>0.83</v>
      </c>
      <c r="Z3050">
        <v>231</v>
      </c>
      <c r="AA3050">
        <v>1039</v>
      </c>
      <c r="AB3050" t="s">
        <v>116</v>
      </c>
      <c r="AC3050">
        <v>76500</v>
      </c>
      <c r="AD3050">
        <v>0</v>
      </c>
      <c r="AE3050" t="s">
        <v>116</v>
      </c>
      <c r="AF3050" t="s">
        <v>116</v>
      </c>
      <c r="AG3050">
        <v>28.66</v>
      </c>
      <c r="AH3050" t="s">
        <v>13328</v>
      </c>
      <c r="AI3050" t="s">
        <v>13329</v>
      </c>
      <c r="AJ3050">
        <v>0.34</v>
      </c>
      <c r="AK3050">
        <v>1963</v>
      </c>
      <c r="AL3050">
        <v>49</v>
      </c>
      <c r="AM3050">
        <v>2.0000000000000001E-4</v>
      </c>
      <c r="AN3050">
        <v>1</v>
      </c>
      <c r="AO3050">
        <v>-2.2799999999999998</v>
      </c>
      <c r="AP3050">
        <v>10.57</v>
      </c>
      <c r="AQ3050">
        <v>22.27</v>
      </c>
      <c r="AR3050">
        <v>48.28</v>
      </c>
      <c r="AS3050">
        <v>1.87</v>
      </c>
      <c r="AT3050" t="s">
        <v>13330</v>
      </c>
      <c r="AU3050">
        <v>20.13</v>
      </c>
      <c r="AV3050">
        <v>21.6</v>
      </c>
      <c r="AW3050">
        <v>1.06</v>
      </c>
      <c r="BA3050">
        <v>0.13</v>
      </c>
      <c r="BB3050">
        <v>1.3</v>
      </c>
      <c r="BC3050">
        <v>-0.91</v>
      </c>
      <c r="BD3050">
        <v>0.16</v>
      </c>
      <c r="BE3050">
        <v>0.13</v>
      </c>
      <c r="BF3050">
        <v>-1.02</v>
      </c>
      <c r="BG3050">
        <v>1.18</v>
      </c>
      <c r="BH3050">
        <v>0.1</v>
      </c>
      <c r="BI3050">
        <v>20191111</v>
      </c>
      <c r="BJ3050">
        <v>20091225</v>
      </c>
      <c r="BK3050">
        <v>28.77</v>
      </c>
      <c r="BL3050" t="s">
        <v>116</v>
      </c>
      <c r="BM3050" t="s">
        <v>116</v>
      </c>
      <c r="BN3050">
        <v>218.51</v>
      </c>
      <c r="BO3050">
        <v>110.65</v>
      </c>
      <c r="BP3050">
        <v>5.2</v>
      </c>
      <c r="BQ3050">
        <v>46.98</v>
      </c>
      <c r="BR3050">
        <v>51.79</v>
      </c>
      <c r="BS3050">
        <v>100.87</v>
      </c>
      <c r="BT3050">
        <v>8.58</v>
      </c>
      <c r="BU3050">
        <v>68.72</v>
      </c>
      <c r="BV3050">
        <v>5.0999999999999996</v>
      </c>
      <c r="BW3050">
        <v>6.31</v>
      </c>
      <c r="BX3050">
        <v>20.22</v>
      </c>
      <c r="BY3050">
        <v>100.01</v>
      </c>
      <c r="BZ3050">
        <v>78.34</v>
      </c>
      <c r="CA3050">
        <v>11.29</v>
      </c>
      <c r="CB3050">
        <v>1.38</v>
      </c>
      <c r="CC3050">
        <v>11.37</v>
      </c>
      <c r="CD3050">
        <v>9.59</v>
      </c>
      <c r="CE3050">
        <v>9.18</v>
      </c>
      <c r="CF3050">
        <v>8.89</v>
      </c>
      <c r="CG3050">
        <v>42.68</v>
      </c>
      <c r="CH3050">
        <v>18.239999999999998</v>
      </c>
      <c r="CI3050">
        <v>0.7</v>
      </c>
      <c r="CJ3050">
        <v>28103</v>
      </c>
      <c r="CK3050">
        <v>18360</v>
      </c>
      <c r="CL3050" t="s">
        <v>13331</v>
      </c>
      <c r="CM3050">
        <v>8.94</v>
      </c>
      <c r="CN3050">
        <v>6.25</v>
      </c>
      <c r="CO3050">
        <v>2.0099999999999998</v>
      </c>
      <c r="CP3050">
        <v>12.21</v>
      </c>
      <c r="CQ3050">
        <v>2.23</v>
      </c>
      <c r="CR3050">
        <v>1.94</v>
      </c>
      <c r="CS3050" t="s">
        <v>786</v>
      </c>
      <c r="CT3050">
        <v>3.85</v>
      </c>
      <c r="CU3050">
        <v>3.85</v>
      </c>
      <c r="CV3050">
        <v>0.7</v>
      </c>
      <c r="CW3050">
        <v>1.48</v>
      </c>
      <c r="CX3050">
        <v>0.63</v>
      </c>
      <c r="CY3050">
        <v>50.64</v>
      </c>
      <c r="CZ3050" t="s">
        <v>1062</v>
      </c>
      <c r="DA3050">
        <v>21.66</v>
      </c>
      <c r="DB3050">
        <v>11.29</v>
      </c>
      <c r="DC3050">
        <v>9.18</v>
      </c>
      <c r="DD3050">
        <v>1.49</v>
      </c>
      <c r="DE3050">
        <v>7117</v>
      </c>
      <c r="DF3050">
        <v>601139</v>
      </c>
      <c r="DG3050" t="s">
        <v>116</v>
      </c>
      <c r="DH3050" t="s">
        <v>116</v>
      </c>
      <c r="DI3050" t="s">
        <v>116</v>
      </c>
    </row>
    <row r="3051" spans="1:113" x14ac:dyDescent="0.4">
      <c r="A3051" t="str">
        <f>"601155"</f>
        <v>601155</v>
      </c>
      <c r="B3051" t="s">
        <v>13332</v>
      </c>
      <c r="C3051">
        <v>-0.74</v>
      </c>
      <c r="D3051">
        <v>37.4</v>
      </c>
      <c r="E3051">
        <v>-0.28000000000000003</v>
      </c>
      <c r="F3051">
        <v>37.4</v>
      </c>
      <c r="G3051">
        <v>37.42</v>
      </c>
      <c r="H3051">
        <v>102124</v>
      </c>
      <c r="I3051">
        <v>1968</v>
      </c>
      <c r="J3051">
        <v>0</v>
      </c>
      <c r="K3051">
        <v>0.45</v>
      </c>
      <c r="L3051">
        <v>37.68</v>
      </c>
      <c r="M3051">
        <v>38.08</v>
      </c>
      <c r="N3051">
        <v>37.33</v>
      </c>
      <c r="O3051">
        <v>37.68</v>
      </c>
      <c r="P3051">
        <v>16.96</v>
      </c>
      <c r="Q3051">
        <v>384813216</v>
      </c>
      <c r="R3051">
        <v>1.1000000000000001</v>
      </c>
      <c r="S3051" t="s">
        <v>148</v>
      </c>
      <c r="T3051" t="s">
        <v>323</v>
      </c>
      <c r="U3051">
        <v>1.99</v>
      </c>
      <c r="V3051">
        <v>37.68</v>
      </c>
      <c r="W3051">
        <v>49019</v>
      </c>
      <c r="X3051">
        <v>53106</v>
      </c>
      <c r="Y3051">
        <v>0.92</v>
      </c>
      <c r="Z3051">
        <v>292</v>
      </c>
      <c r="AA3051">
        <v>100</v>
      </c>
      <c r="AB3051" t="s">
        <v>116</v>
      </c>
      <c r="AC3051">
        <v>2876200</v>
      </c>
      <c r="AD3051">
        <v>0.01</v>
      </c>
      <c r="AE3051" t="s">
        <v>116</v>
      </c>
      <c r="AF3051" t="s">
        <v>116</v>
      </c>
      <c r="AG3051">
        <v>22.46</v>
      </c>
      <c r="AH3051" t="s">
        <v>13333</v>
      </c>
      <c r="AI3051" t="s">
        <v>13334</v>
      </c>
      <c r="AJ3051">
        <v>-0.67</v>
      </c>
      <c r="AK3051">
        <v>2920</v>
      </c>
      <c r="AL3051">
        <v>35</v>
      </c>
      <c r="AM3051">
        <v>2.0000000000000001E-4</v>
      </c>
      <c r="AN3051">
        <v>-1</v>
      </c>
      <c r="AO3051">
        <v>1.97</v>
      </c>
      <c r="AP3051">
        <v>14.55</v>
      </c>
      <c r="AQ3051">
        <v>36.549999999999997</v>
      </c>
      <c r="AR3051">
        <v>68.540000000000006</v>
      </c>
      <c r="AS3051">
        <v>1.4</v>
      </c>
      <c r="AT3051" t="s">
        <v>13335</v>
      </c>
      <c r="AU3051">
        <v>7.6</v>
      </c>
      <c r="AV3051">
        <v>8.0399999999999991</v>
      </c>
      <c r="AW3051">
        <v>0.94</v>
      </c>
      <c r="BA3051">
        <v>0</v>
      </c>
      <c r="BB3051">
        <v>1.06</v>
      </c>
      <c r="BC3051">
        <v>-0.93</v>
      </c>
      <c r="BD3051">
        <v>0</v>
      </c>
      <c r="BE3051">
        <v>-0.74</v>
      </c>
      <c r="BF3051">
        <v>-1.79</v>
      </c>
      <c r="BG3051">
        <v>0.19</v>
      </c>
      <c r="BH3051">
        <v>-0.75</v>
      </c>
      <c r="BI3051">
        <v>20191226</v>
      </c>
      <c r="BJ3051">
        <v>20151204</v>
      </c>
      <c r="BK3051">
        <v>22.57</v>
      </c>
      <c r="BL3051" t="s">
        <v>116</v>
      </c>
      <c r="BM3051" t="s">
        <v>116</v>
      </c>
      <c r="BN3051">
        <v>4529.42</v>
      </c>
      <c r="BO3051">
        <v>303.45</v>
      </c>
      <c r="BP3051">
        <v>239.74</v>
      </c>
      <c r="BQ3051">
        <v>88.01</v>
      </c>
      <c r="BR3051">
        <v>3702.05</v>
      </c>
      <c r="BS3051">
        <v>20.27</v>
      </c>
      <c r="BT3051">
        <v>5.31</v>
      </c>
      <c r="BU3051">
        <v>3421.6</v>
      </c>
      <c r="BV3051">
        <v>2365.37</v>
      </c>
      <c r="BW3051">
        <v>1.61</v>
      </c>
      <c r="BX3051">
        <v>26.44</v>
      </c>
      <c r="BY3051">
        <v>295.60000000000002</v>
      </c>
      <c r="BZ3051">
        <v>187.44</v>
      </c>
      <c r="CA3051">
        <v>53.61</v>
      </c>
      <c r="CB3051">
        <v>11.35</v>
      </c>
      <c r="CC3051">
        <v>54.16</v>
      </c>
      <c r="CD3051">
        <v>41.79</v>
      </c>
      <c r="CE3051">
        <v>37.32</v>
      </c>
      <c r="CF3051">
        <v>30.67</v>
      </c>
      <c r="CG3051">
        <v>243.14</v>
      </c>
      <c r="CH3051">
        <v>-7.41</v>
      </c>
      <c r="CI3051">
        <v>21.22</v>
      </c>
      <c r="CJ3051">
        <v>85275</v>
      </c>
      <c r="CK3051">
        <v>8567</v>
      </c>
      <c r="CL3051" t="s">
        <v>13336</v>
      </c>
      <c r="CM3051">
        <v>19.57</v>
      </c>
      <c r="CN3051">
        <v>19.22</v>
      </c>
      <c r="CO3051">
        <v>2.88</v>
      </c>
      <c r="CP3051">
        <v>-113.88</v>
      </c>
      <c r="CQ3051">
        <v>2.86</v>
      </c>
      <c r="CR3051">
        <v>3.99</v>
      </c>
      <c r="CS3051" t="s">
        <v>13337</v>
      </c>
      <c r="CT3051">
        <v>13</v>
      </c>
      <c r="CU3051">
        <v>13</v>
      </c>
      <c r="CV3051">
        <v>1.17</v>
      </c>
      <c r="CW3051">
        <v>10.77</v>
      </c>
      <c r="CX3051">
        <v>-0.33</v>
      </c>
      <c r="CY3051">
        <v>6.7</v>
      </c>
      <c r="CZ3051" t="s">
        <v>9517</v>
      </c>
      <c r="DA3051">
        <v>36.590000000000003</v>
      </c>
      <c r="DB3051">
        <v>18.14</v>
      </c>
      <c r="DC3051">
        <v>12.62</v>
      </c>
      <c r="DD3051">
        <v>0</v>
      </c>
      <c r="DE3051">
        <v>20653</v>
      </c>
      <c r="DF3051">
        <v>601155</v>
      </c>
      <c r="DG3051" t="s">
        <v>116</v>
      </c>
      <c r="DH3051" t="s">
        <v>116</v>
      </c>
      <c r="DI3051" t="s">
        <v>116</v>
      </c>
    </row>
    <row r="3052" spans="1:113" x14ac:dyDescent="0.4">
      <c r="A3052" t="str">
        <f>"601158"</f>
        <v>601158</v>
      </c>
      <c r="B3052" t="s">
        <v>13338</v>
      </c>
      <c r="C3052">
        <v>-0.72</v>
      </c>
      <c r="D3052">
        <v>5.53</v>
      </c>
      <c r="E3052">
        <v>-0.04</v>
      </c>
      <c r="F3052">
        <v>5.53</v>
      </c>
      <c r="G3052">
        <v>5.54</v>
      </c>
      <c r="H3052">
        <v>30274</v>
      </c>
      <c r="I3052">
        <v>7</v>
      </c>
      <c r="J3052">
        <v>-0.17</v>
      </c>
      <c r="K3052">
        <v>0.06</v>
      </c>
      <c r="L3052">
        <v>5.56</v>
      </c>
      <c r="M3052">
        <v>5.57</v>
      </c>
      <c r="N3052">
        <v>5.53</v>
      </c>
      <c r="O3052">
        <v>5.57</v>
      </c>
      <c r="P3052">
        <v>13.81</v>
      </c>
      <c r="Q3052">
        <v>16822178</v>
      </c>
      <c r="R3052">
        <v>0.99</v>
      </c>
      <c r="S3052" t="s">
        <v>1345</v>
      </c>
      <c r="T3052" t="s">
        <v>906</v>
      </c>
      <c r="U3052">
        <v>0.72</v>
      </c>
      <c r="V3052">
        <v>5.56</v>
      </c>
      <c r="W3052">
        <v>17832</v>
      </c>
      <c r="X3052">
        <v>12442</v>
      </c>
      <c r="Y3052">
        <v>1.43</v>
      </c>
      <c r="Z3052">
        <v>1339</v>
      </c>
      <c r="AA3052">
        <v>1079</v>
      </c>
      <c r="AB3052" t="s">
        <v>116</v>
      </c>
      <c r="AC3052">
        <v>269100</v>
      </c>
      <c r="AD3052">
        <v>0.01</v>
      </c>
      <c r="AE3052" t="s">
        <v>116</v>
      </c>
      <c r="AF3052" t="s">
        <v>116</v>
      </c>
      <c r="AG3052">
        <v>48</v>
      </c>
      <c r="AH3052" t="s">
        <v>13339</v>
      </c>
      <c r="AI3052" t="s">
        <v>13339</v>
      </c>
      <c r="AJ3052">
        <v>-0.64</v>
      </c>
      <c r="AK3052">
        <v>928</v>
      </c>
      <c r="AL3052">
        <v>33</v>
      </c>
      <c r="AM3052">
        <v>1E-4</v>
      </c>
      <c r="AN3052">
        <v>-1</v>
      </c>
      <c r="AO3052">
        <v>0</v>
      </c>
      <c r="AP3052">
        <v>0.55000000000000004</v>
      </c>
      <c r="AQ3052">
        <v>-2.12</v>
      </c>
      <c r="AR3052">
        <v>4.7300000000000004</v>
      </c>
      <c r="AS3052">
        <v>0.55000000000000004</v>
      </c>
      <c r="AT3052" t="s">
        <v>13340</v>
      </c>
      <c r="AU3052">
        <v>18.04</v>
      </c>
      <c r="AV3052">
        <v>18.670000000000002</v>
      </c>
      <c r="AW3052">
        <v>0.57999999999999996</v>
      </c>
      <c r="BA3052">
        <v>-0.18</v>
      </c>
      <c r="BB3052">
        <v>0</v>
      </c>
      <c r="BC3052">
        <v>-0.72</v>
      </c>
      <c r="BD3052">
        <v>-0.24</v>
      </c>
      <c r="BE3052">
        <v>-0.54</v>
      </c>
      <c r="BF3052">
        <v>-0.72</v>
      </c>
      <c r="BG3052">
        <v>0</v>
      </c>
      <c r="BH3052">
        <v>-0.48</v>
      </c>
      <c r="BI3052">
        <v>20191030</v>
      </c>
      <c r="BJ3052">
        <v>20100329</v>
      </c>
      <c r="BK3052">
        <v>48</v>
      </c>
      <c r="BL3052" t="s">
        <v>116</v>
      </c>
      <c r="BM3052" t="s">
        <v>116</v>
      </c>
      <c r="BN3052">
        <v>215.97</v>
      </c>
      <c r="BO3052">
        <v>147.47999999999999</v>
      </c>
      <c r="BP3052">
        <v>0.24</v>
      </c>
      <c r="BQ3052">
        <v>31.61</v>
      </c>
      <c r="BR3052">
        <v>56.41</v>
      </c>
      <c r="BS3052">
        <v>105.11</v>
      </c>
      <c r="BT3052">
        <v>14.17</v>
      </c>
      <c r="BU3052">
        <v>42.65</v>
      </c>
      <c r="BV3052">
        <v>5.33</v>
      </c>
      <c r="BW3052">
        <v>10.95</v>
      </c>
      <c r="BX3052">
        <v>46.15</v>
      </c>
      <c r="BY3052">
        <v>40.93</v>
      </c>
      <c r="BZ3052">
        <v>22.77</v>
      </c>
      <c r="CA3052">
        <v>15.03</v>
      </c>
      <c r="CB3052">
        <v>1.33</v>
      </c>
      <c r="CC3052">
        <v>15.45</v>
      </c>
      <c r="CD3052">
        <v>14.42</v>
      </c>
      <c r="CE3052">
        <v>14.42</v>
      </c>
      <c r="CF3052">
        <v>13.69</v>
      </c>
      <c r="CG3052">
        <v>33.69</v>
      </c>
      <c r="CH3052">
        <v>16.920000000000002</v>
      </c>
      <c r="CI3052">
        <v>-2.78</v>
      </c>
      <c r="CJ3052">
        <v>43217</v>
      </c>
      <c r="CK3052">
        <v>12704</v>
      </c>
      <c r="CL3052" t="s">
        <v>13341</v>
      </c>
      <c r="CM3052">
        <v>3.61</v>
      </c>
      <c r="CN3052">
        <v>13.27</v>
      </c>
      <c r="CO3052">
        <v>1.8</v>
      </c>
      <c r="CP3052">
        <v>15.69</v>
      </c>
      <c r="CQ3052">
        <v>6.49</v>
      </c>
      <c r="CR3052">
        <v>5.0599999999999996</v>
      </c>
      <c r="CS3052" t="s">
        <v>4088</v>
      </c>
      <c r="CT3052">
        <v>3.07</v>
      </c>
      <c r="CU3052">
        <v>0</v>
      </c>
      <c r="CV3052">
        <v>0.96</v>
      </c>
      <c r="CW3052">
        <v>0.7</v>
      </c>
      <c r="CX3052">
        <v>0.35</v>
      </c>
      <c r="CY3052">
        <v>68.290000000000006</v>
      </c>
      <c r="CZ3052" t="s">
        <v>13342</v>
      </c>
      <c r="DA3052">
        <v>44.37</v>
      </c>
      <c r="DB3052">
        <v>36.72</v>
      </c>
      <c r="DC3052">
        <v>35.229999999999997</v>
      </c>
      <c r="DD3052">
        <v>0.02</v>
      </c>
      <c r="DE3052">
        <v>5500</v>
      </c>
      <c r="DF3052">
        <v>601158</v>
      </c>
      <c r="DG3052" t="s">
        <v>116</v>
      </c>
      <c r="DH3052" t="s">
        <v>116</v>
      </c>
      <c r="DI3052" t="s">
        <v>116</v>
      </c>
    </row>
    <row r="3053" spans="1:113" x14ac:dyDescent="0.4">
      <c r="A3053" t="str">
        <f>"601162"</f>
        <v>601162</v>
      </c>
      <c r="B3053" t="s">
        <v>13343</v>
      </c>
      <c r="C3053">
        <v>-4.0999999999999996</v>
      </c>
      <c r="D3053">
        <v>6.79</v>
      </c>
      <c r="E3053">
        <v>-0.28999999999999998</v>
      </c>
      <c r="F3053">
        <v>6.78</v>
      </c>
      <c r="G3053">
        <v>6.79</v>
      </c>
      <c r="H3053">
        <v>1942419</v>
      </c>
      <c r="I3053">
        <v>15744</v>
      </c>
      <c r="J3053">
        <v>0.15</v>
      </c>
      <c r="K3053">
        <v>8.26</v>
      </c>
      <c r="L3053">
        <v>7</v>
      </c>
      <c r="M3053">
        <v>7.18</v>
      </c>
      <c r="N3053">
        <v>6.74</v>
      </c>
      <c r="O3053">
        <v>7.08</v>
      </c>
      <c r="P3053">
        <v>136.13</v>
      </c>
      <c r="Q3053">
        <v>1361615232</v>
      </c>
      <c r="R3053">
        <v>1.1499999999999999</v>
      </c>
      <c r="S3053" t="s">
        <v>623</v>
      </c>
      <c r="T3053" t="s">
        <v>774</v>
      </c>
      <c r="U3053">
        <v>6.21</v>
      </c>
      <c r="V3053">
        <v>7.01</v>
      </c>
      <c r="W3053">
        <v>1015350</v>
      </c>
      <c r="X3053">
        <v>927069</v>
      </c>
      <c r="Y3053">
        <v>1.1000000000000001</v>
      </c>
      <c r="Z3053">
        <v>8168</v>
      </c>
      <c r="AA3053">
        <v>8570</v>
      </c>
      <c r="AB3053" t="s">
        <v>116</v>
      </c>
      <c r="AC3053">
        <v>8753500</v>
      </c>
      <c r="AD3053">
        <v>0.06</v>
      </c>
      <c r="AE3053" t="s">
        <v>116</v>
      </c>
      <c r="AF3053" t="s">
        <v>116</v>
      </c>
      <c r="AG3053">
        <v>23.53</v>
      </c>
      <c r="AH3053" t="s">
        <v>13344</v>
      </c>
      <c r="AI3053" t="s">
        <v>13345</v>
      </c>
      <c r="AJ3053">
        <v>-4.0199999999999996</v>
      </c>
      <c r="AK3053">
        <v>4672</v>
      </c>
      <c r="AL3053">
        <v>416</v>
      </c>
      <c r="AM3053">
        <v>1.8E-3</v>
      </c>
      <c r="AN3053">
        <v>-1</v>
      </c>
      <c r="AO3053">
        <v>-1.45</v>
      </c>
      <c r="AP3053">
        <v>26.68</v>
      </c>
      <c r="AQ3053">
        <v>-22.22</v>
      </c>
      <c r="AR3053">
        <v>9.11</v>
      </c>
      <c r="AS3053">
        <v>8.75</v>
      </c>
      <c r="AT3053" t="s">
        <v>13346</v>
      </c>
      <c r="AU3053">
        <v>151.19999999999999</v>
      </c>
      <c r="AV3053">
        <v>116.14</v>
      </c>
      <c r="AW3053">
        <v>1.87</v>
      </c>
      <c r="BA3053">
        <v>-1.1299999999999999</v>
      </c>
      <c r="BB3053">
        <v>1.41</v>
      </c>
      <c r="BC3053">
        <v>-4.8</v>
      </c>
      <c r="BD3053">
        <v>-0.99</v>
      </c>
      <c r="BE3053">
        <v>-3</v>
      </c>
      <c r="BF3053">
        <v>-5.43</v>
      </c>
      <c r="BG3053">
        <v>0.74</v>
      </c>
      <c r="BH3053">
        <v>-3.11</v>
      </c>
      <c r="BI3053">
        <v>20191031</v>
      </c>
      <c r="BJ3053">
        <v>20181019</v>
      </c>
      <c r="BK3053">
        <v>51.8</v>
      </c>
      <c r="BL3053" t="s">
        <v>116</v>
      </c>
      <c r="BM3053" t="s">
        <v>116</v>
      </c>
      <c r="BN3053">
        <v>588.83000000000004</v>
      </c>
      <c r="BO3053">
        <v>120.57</v>
      </c>
      <c r="BP3053">
        <v>58.98</v>
      </c>
      <c r="BQ3053">
        <v>69.510000000000005</v>
      </c>
      <c r="BR3053">
        <v>0</v>
      </c>
      <c r="BS3053">
        <v>1.1499999999999999</v>
      </c>
      <c r="BT3053">
        <v>5.88</v>
      </c>
      <c r="BU3053">
        <v>0</v>
      </c>
      <c r="BV3053">
        <v>0</v>
      </c>
      <c r="BW3053">
        <v>0</v>
      </c>
      <c r="BX3053">
        <v>42.63</v>
      </c>
      <c r="BY3053">
        <v>24.62</v>
      </c>
      <c r="BZ3053">
        <v>0</v>
      </c>
      <c r="CA3053">
        <v>2.52</v>
      </c>
      <c r="CB3053">
        <v>9.3800000000000008</v>
      </c>
      <c r="CC3053">
        <v>3.05</v>
      </c>
      <c r="CD3053">
        <v>2.62</v>
      </c>
      <c r="CE3053">
        <v>1.94</v>
      </c>
      <c r="CF3053">
        <v>1.53</v>
      </c>
      <c r="CG3053">
        <v>20.09</v>
      </c>
      <c r="CH3053">
        <v>-4.51</v>
      </c>
      <c r="CI3053">
        <v>25.11</v>
      </c>
      <c r="CJ3053">
        <v>101887</v>
      </c>
      <c r="CK3053">
        <v>21777</v>
      </c>
      <c r="CL3053" t="s">
        <v>13347</v>
      </c>
      <c r="CM3053">
        <v>-26.6</v>
      </c>
      <c r="CN3053">
        <v>23.87</v>
      </c>
      <c r="CO3053">
        <v>2.92</v>
      </c>
      <c r="CP3053">
        <v>-78.03</v>
      </c>
      <c r="CQ3053">
        <v>14.28</v>
      </c>
      <c r="CR3053">
        <v>0.1</v>
      </c>
      <c r="CS3053" t="s">
        <v>6004</v>
      </c>
      <c r="CT3053">
        <v>2.33</v>
      </c>
      <c r="CU3053">
        <v>0</v>
      </c>
      <c r="CV3053">
        <v>0.82</v>
      </c>
      <c r="CW3053">
        <v>0.39</v>
      </c>
      <c r="CX3053">
        <v>-0.09</v>
      </c>
      <c r="CY3053">
        <v>20.48</v>
      </c>
      <c r="CZ3053" t="s">
        <v>951</v>
      </c>
      <c r="DA3053" t="s">
        <v>116</v>
      </c>
      <c r="DB3053">
        <v>10.24</v>
      </c>
      <c r="DC3053">
        <v>7.87</v>
      </c>
      <c r="DD3053">
        <v>0</v>
      </c>
      <c r="DE3053">
        <v>3125</v>
      </c>
      <c r="DF3053">
        <v>601162</v>
      </c>
      <c r="DG3053" t="s">
        <v>116</v>
      </c>
      <c r="DH3053" t="s">
        <v>116</v>
      </c>
      <c r="DI3053" t="s">
        <v>116</v>
      </c>
    </row>
    <row r="3054" spans="1:113" x14ac:dyDescent="0.4">
      <c r="A3054" t="str">
        <f>"601163"</f>
        <v>601163</v>
      </c>
      <c r="B3054" t="s">
        <v>13348</v>
      </c>
      <c r="C3054">
        <v>-0.74</v>
      </c>
      <c r="D3054">
        <v>14.75</v>
      </c>
      <c r="E3054">
        <v>-0.11</v>
      </c>
      <c r="F3054">
        <v>14.74</v>
      </c>
      <c r="G3054">
        <v>14.75</v>
      </c>
      <c r="H3054">
        <v>45742</v>
      </c>
      <c r="I3054">
        <v>630</v>
      </c>
      <c r="J3054">
        <v>0</v>
      </c>
      <c r="K3054">
        <v>0.56999999999999995</v>
      </c>
      <c r="L3054">
        <v>14.85</v>
      </c>
      <c r="M3054">
        <v>14.98</v>
      </c>
      <c r="N3054">
        <v>14.7</v>
      </c>
      <c r="O3054">
        <v>14.86</v>
      </c>
      <c r="P3054">
        <v>14.32</v>
      </c>
      <c r="Q3054">
        <v>67987648</v>
      </c>
      <c r="R3054">
        <v>0.91</v>
      </c>
      <c r="S3054" t="s">
        <v>293</v>
      </c>
      <c r="T3054" t="s">
        <v>645</v>
      </c>
      <c r="U3054">
        <v>1.88</v>
      </c>
      <c r="V3054">
        <v>14.86</v>
      </c>
      <c r="W3054">
        <v>26855</v>
      </c>
      <c r="X3054">
        <v>18887</v>
      </c>
      <c r="Y3054">
        <v>1.42</v>
      </c>
      <c r="Z3054">
        <v>20</v>
      </c>
      <c r="AA3054">
        <v>150</v>
      </c>
      <c r="AB3054" t="s">
        <v>116</v>
      </c>
      <c r="AC3054">
        <v>35600</v>
      </c>
      <c r="AD3054">
        <v>0</v>
      </c>
      <c r="AE3054" t="s">
        <v>116</v>
      </c>
      <c r="AF3054" t="s">
        <v>116</v>
      </c>
      <c r="AG3054">
        <v>8</v>
      </c>
      <c r="AH3054" t="s">
        <v>13349</v>
      </c>
      <c r="AI3054" t="s">
        <v>13349</v>
      </c>
      <c r="AJ3054">
        <v>-0.66</v>
      </c>
      <c r="AK3054">
        <v>2077</v>
      </c>
      <c r="AL3054">
        <v>22</v>
      </c>
      <c r="AM3054">
        <v>2.9999999999999997E-4</v>
      </c>
      <c r="AN3054">
        <v>-1</v>
      </c>
      <c r="AO3054">
        <v>0.41</v>
      </c>
      <c r="AP3054">
        <v>5.0599999999999996</v>
      </c>
      <c r="AQ3054">
        <v>11.15</v>
      </c>
      <c r="AR3054">
        <v>34.83</v>
      </c>
      <c r="AS3054">
        <v>1.91</v>
      </c>
      <c r="AT3054" t="s">
        <v>10008</v>
      </c>
      <c r="AU3054">
        <v>15.3</v>
      </c>
      <c r="AV3054">
        <v>24.43</v>
      </c>
      <c r="AW3054">
        <v>1.2</v>
      </c>
      <c r="BA3054">
        <v>-7.0000000000000007E-2</v>
      </c>
      <c r="BB3054">
        <v>0.81</v>
      </c>
      <c r="BC3054">
        <v>-1.08</v>
      </c>
      <c r="BD3054">
        <v>0.02</v>
      </c>
      <c r="BE3054">
        <v>-0.67</v>
      </c>
      <c r="BF3054">
        <v>-1.54</v>
      </c>
      <c r="BG3054">
        <v>0.34</v>
      </c>
      <c r="BH3054">
        <v>-0.76</v>
      </c>
      <c r="BI3054">
        <v>20191025</v>
      </c>
      <c r="BJ3054">
        <v>20160909</v>
      </c>
      <c r="BK3054">
        <v>8</v>
      </c>
      <c r="BL3054" t="s">
        <v>116</v>
      </c>
      <c r="BM3054" t="s">
        <v>116</v>
      </c>
      <c r="BN3054">
        <v>151.77000000000001</v>
      </c>
      <c r="BO3054">
        <v>98.27</v>
      </c>
      <c r="BP3054">
        <v>0.01</v>
      </c>
      <c r="BQ3054">
        <v>35.25</v>
      </c>
      <c r="BR3054">
        <v>89.54</v>
      </c>
      <c r="BS3054">
        <v>50.64</v>
      </c>
      <c r="BT3054">
        <v>4.5199999999999996</v>
      </c>
      <c r="BU3054">
        <v>46.42</v>
      </c>
      <c r="BV3054">
        <v>11.48</v>
      </c>
      <c r="BW3054">
        <v>7.95</v>
      </c>
      <c r="BX3054">
        <v>52.25</v>
      </c>
      <c r="BY3054">
        <v>59.02</v>
      </c>
      <c r="BZ3054">
        <v>45.97</v>
      </c>
      <c r="CA3054">
        <v>7.27</v>
      </c>
      <c r="CB3054">
        <v>0.3</v>
      </c>
      <c r="CC3054">
        <v>7.28</v>
      </c>
      <c r="CD3054">
        <v>6.18</v>
      </c>
      <c r="CE3054">
        <v>6.18</v>
      </c>
      <c r="CF3054">
        <v>5.08</v>
      </c>
      <c r="CG3054">
        <v>29.4</v>
      </c>
      <c r="CH3054">
        <v>8.86</v>
      </c>
      <c r="CI3054">
        <v>3.74</v>
      </c>
      <c r="CJ3054">
        <v>59768</v>
      </c>
      <c r="CK3054">
        <v>4016</v>
      </c>
      <c r="CL3054" t="s">
        <v>2237</v>
      </c>
      <c r="CM3054">
        <v>87.36</v>
      </c>
      <c r="CN3054">
        <v>6.61</v>
      </c>
      <c r="CO3054">
        <v>1.2</v>
      </c>
      <c r="CP3054">
        <v>13.32</v>
      </c>
      <c r="CQ3054">
        <v>2</v>
      </c>
      <c r="CR3054">
        <v>1.36</v>
      </c>
      <c r="CS3054" t="s">
        <v>13350</v>
      </c>
      <c r="CT3054">
        <v>12.28</v>
      </c>
      <c r="CU3054">
        <v>0</v>
      </c>
      <c r="CV3054">
        <v>6.53</v>
      </c>
      <c r="CW3054">
        <v>3.67</v>
      </c>
      <c r="CX3054">
        <v>1.1100000000000001</v>
      </c>
      <c r="CY3054">
        <v>64.75</v>
      </c>
      <c r="CZ3054" t="s">
        <v>7103</v>
      </c>
      <c r="DA3054">
        <v>22.12</v>
      </c>
      <c r="DB3054">
        <v>12.32</v>
      </c>
      <c r="DC3054">
        <v>10.47</v>
      </c>
      <c r="DD3054">
        <v>1.31</v>
      </c>
      <c r="DE3054">
        <v>5318</v>
      </c>
      <c r="DF3054">
        <v>601163</v>
      </c>
      <c r="DG3054" t="s">
        <v>116</v>
      </c>
      <c r="DH3054" t="s">
        <v>116</v>
      </c>
      <c r="DI3054" t="s">
        <v>116</v>
      </c>
    </row>
    <row r="3055" spans="1:113" x14ac:dyDescent="0.4">
      <c r="A3055" t="str">
        <f>"601166"</f>
        <v>601166</v>
      </c>
      <c r="B3055" t="s">
        <v>13351</v>
      </c>
      <c r="C3055">
        <v>0</v>
      </c>
      <c r="D3055">
        <v>19.96</v>
      </c>
      <c r="E3055">
        <v>0</v>
      </c>
      <c r="F3055">
        <v>19.96</v>
      </c>
      <c r="G3055">
        <v>19.97</v>
      </c>
      <c r="H3055">
        <v>673998</v>
      </c>
      <c r="I3055">
        <v>3571</v>
      </c>
      <c r="J3055">
        <v>-0.19</v>
      </c>
      <c r="K3055">
        <v>0.35</v>
      </c>
      <c r="L3055">
        <v>19.91</v>
      </c>
      <c r="M3055">
        <v>20.25</v>
      </c>
      <c r="N3055">
        <v>19.899999999999999</v>
      </c>
      <c r="O3055">
        <v>19.96</v>
      </c>
      <c r="P3055">
        <v>5.66</v>
      </c>
      <c r="Q3055">
        <v>1353494784</v>
      </c>
      <c r="R3055">
        <v>1.52</v>
      </c>
      <c r="S3055" t="s">
        <v>114</v>
      </c>
      <c r="T3055" t="s">
        <v>975</v>
      </c>
      <c r="U3055">
        <v>1.75</v>
      </c>
      <c r="V3055">
        <v>20.079999999999998</v>
      </c>
      <c r="W3055">
        <v>318159</v>
      </c>
      <c r="X3055">
        <v>355839</v>
      </c>
      <c r="Y3055">
        <v>0.89</v>
      </c>
      <c r="Z3055">
        <v>37</v>
      </c>
      <c r="AA3055">
        <v>107</v>
      </c>
      <c r="AB3055" t="s">
        <v>116</v>
      </c>
      <c r="AC3055">
        <v>4678200</v>
      </c>
      <c r="AD3055">
        <v>0</v>
      </c>
      <c r="AE3055" t="s">
        <v>116</v>
      </c>
      <c r="AF3055" t="s">
        <v>116</v>
      </c>
      <c r="AG3055">
        <v>190.52</v>
      </c>
      <c r="AH3055" t="s">
        <v>13352</v>
      </c>
      <c r="AI3055" t="s">
        <v>13353</v>
      </c>
      <c r="AJ3055">
        <v>0.08</v>
      </c>
      <c r="AK3055">
        <v>4420</v>
      </c>
      <c r="AL3055">
        <v>152</v>
      </c>
      <c r="AM3055">
        <v>1E-4</v>
      </c>
      <c r="AN3055">
        <v>0</v>
      </c>
      <c r="AO3055">
        <v>0.3</v>
      </c>
      <c r="AP3055">
        <v>5.66</v>
      </c>
      <c r="AQ3055">
        <v>12.83</v>
      </c>
      <c r="AR3055">
        <v>40.07</v>
      </c>
      <c r="AS3055">
        <v>0.53</v>
      </c>
      <c r="AT3055" t="s">
        <v>13354</v>
      </c>
      <c r="AU3055">
        <v>6.39</v>
      </c>
      <c r="AV3055">
        <v>6.84</v>
      </c>
      <c r="AW3055">
        <v>1.05</v>
      </c>
      <c r="BA3055">
        <v>-0.25</v>
      </c>
      <c r="BB3055">
        <v>1.45</v>
      </c>
      <c r="BC3055">
        <v>-0.3</v>
      </c>
      <c r="BD3055">
        <v>0.61</v>
      </c>
      <c r="BE3055">
        <v>0.25</v>
      </c>
      <c r="BF3055">
        <v>-1.43</v>
      </c>
      <c r="BG3055">
        <v>0.3</v>
      </c>
      <c r="BH3055">
        <v>-0.61</v>
      </c>
      <c r="BI3055">
        <v>20191030</v>
      </c>
      <c r="BJ3055">
        <v>20070205</v>
      </c>
      <c r="BK3055">
        <v>207.74</v>
      </c>
      <c r="BL3055" t="s">
        <v>116</v>
      </c>
      <c r="BM3055" t="s">
        <v>116</v>
      </c>
      <c r="BN3055">
        <v>69821</v>
      </c>
      <c r="BO3055">
        <v>5306.15</v>
      </c>
      <c r="BP3055">
        <v>80.62</v>
      </c>
      <c r="BQ3055">
        <v>92.28</v>
      </c>
      <c r="BR3055">
        <v>0</v>
      </c>
      <c r="BS3055">
        <v>179.32</v>
      </c>
      <c r="BT3055">
        <v>5.96</v>
      </c>
      <c r="BU3055">
        <v>0</v>
      </c>
      <c r="BV3055">
        <v>0</v>
      </c>
      <c r="BW3055">
        <v>0</v>
      </c>
      <c r="BX3055">
        <v>749.28</v>
      </c>
      <c r="BY3055">
        <v>1366.06</v>
      </c>
      <c r="BZ3055">
        <v>0</v>
      </c>
      <c r="CA3055">
        <v>616.46</v>
      </c>
      <c r="CB3055">
        <v>201.75</v>
      </c>
      <c r="CC3055">
        <v>618.23</v>
      </c>
      <c r="CD3055">
        <v>553.66999999999996</v>
      </c>
      <c r="CE3055">
        <v>549.1</v>
      </c>
      <c r="CF3055">
        <v>547.05999999999995</v>
      </c>
      <c r="CG3055">
        <v>2914.33</v>
      </c>
      <c r="CH3055">
        <v>-5395</v>
      </c>
      <c r="CI3055">
        <v>1431.61</v>
      </c>
      <c r="CJ3055">
        <v>239213</v>
      </c>
      <c r="CK3055">
        <v>53273</v>
      </c>
      <c r="CL3055" t="s">
        <v>13355</v>
      </c>
      <c r="CM3055">
        <v>8.52</v>
      </c>
      <c r="CN3055">
        <v>19.18</v>
      </c>
      <c r="CO3055">
        <v>0.87</v>
      </c>
      <c r="CP3055">
        <v>-0.77</v>
      </c>
      <c r="CQ3055">
        <v>3.04</v>
      </c>
      <c r="CR3055">
        <v>3.46</v>
      </c>
      <c r="CS3055" t="s">
        <v>13356</v>
      </c>
      <c r="CT3055">
        <v>22.85</v>
      </c>
      <c r="CU3055">
        <v>22.85</v>
      </c>
      <c r="CV3055">
        <v>3.61</v>
      </c>
      <c r="CW3055">
        <v>14.03</v>
      </c>
      <c r="CX3055">
        <v>-25.97</v>
      </c>
      <c r="CY3055">
        <v>7.6</v>
      </c>
      <c r="CZ3055" t="s">
        <v>1900</v>
      </c>
      <c r="DA3055" t="s">
        <v>116</v>
      </c>
      <c r="DB3055">
        <v>45.13</v>
      </c>
      <c r="DC3055">
        <v>40.200000000000003</v>
      </c>
      <c r="DD3055">
        <v>0</v>
      </c>
      <c r="DE3055">
        <v>63044</v>
      </c>
      <c r="DF3055">
        <v>601166</v>
      </c>
      <c r="DG3055" t="s">
        <v>116</v>
      </c>
      <c r="DH3055" t="s">
        <v>116</v>
      </c>
      <c r="DI3055" t="s">
        <v>116</v>
      </c>
    </row>
    <row r="3056" spans="1:113" x14ac:dyDescent="0.4">
      <c r="A3056" t="str">
        <f>"601168"</f>
        <v>601168</v>
      </c>
      <c r="B3056" t="s">
        <v>13357</v>
      </c>
      <c r="C3056">
        <v>10.02</v>
      </c>
      <c r="D3056">
        <v>6.59</v>
      </c>
      <c r="E3056">
        <v>0.6</v>
      </c>
      <c r="F3056">
        <v>6.59</v>
      </c>
      <c r="G3056" t="s">
        <v>116</v>
      </c>
      <c r="H3056">
        <v>1400553</v>
      </c>
      <c r="I3056">
        <v>3856</v>
      </c>
      <c r="J3056">
        <v>0</v>
      </c>
      <c r="K3056">
        <v>5.88</v>
      </c>
      <c r="L3056">
        <v>6.02</v>
      </c>
      <c r="M3056">
        <v>6.59</v>
      </c>
      <c r="N3056">
        <v>5.95</v>
      </c>
      <c r="O3056">
        <v>5.99</v>
      </c>
      <c r="P3056">
        <v>14.52</v>
      </c>
      <c r="Q3056">
        <v>902732032</v>
      </c>
      <c r="R3056">
        <v>5.46</v>
      </c>
      <c r="S3056" t="s">
        <v>1517</v>
      </c>
      <c r="T3056" t="s">
        <v>698</v>
      </c>
      <c r="U3056">
        <v>10.68</v>
      </c>
      <c r="V3056">
        <v>6.45</v>
      </c>
      <c r="W3056">
        <v>720390</v>
      </c>
      <c r="X3056">
        <v>680163</v>
      </c>
      <c r="Y3056">
        <v>1.06</v>
      </c>
      <c r="Z3056">
        <v>4468</v>
      </c>
      <c r="AA3056">
        <v>0</v>
      </c>
      <c r="AB3056" t="s">
        <v>116</v>
      </c>
      <c r="AC3056">
        <v>3618500</v>
      </c>
      <c r="AD3056">
        <v>0.04</v>
      </c>
      <c r="AE3056">
        <v>0</v>
      </c>
      <c r="AF3056">
        <v>2944412</v>
      </c>
      <c r="AG3056">
        <v>23.83</v>
      </c>
      <c r="AH3056" t="s">
        <v>13358</v>
      </c>
      <c r="AI3056" t="s">
        <v>13358</v>
      </c>
      <c r="AJ3056">
        <v>10.09</v>
      </c>
      <c r="AK3056">
        <v>4284</v>
      </c>
      <c r="AL3056">
        <v>327</v>
      </c>
      <c r="AM3056">
        <v>1.4E-3</v>
      </c>
      <c r="AN3056">
        <v>2</v>
      </c>
      <c r="AO3056">
        <v>13.62</v>
      </c>
      <c r="AP3056">
        <v>21.36</v>
      </c>
      <c r="AQ3056">
        <v>17.47</v>
      </c>
      <c r="AR3056">
        <v>13.23</v>
      </c>
      <c r="AS3056">
        <v>8.4</v>
      </c>
      <c r="AT3056" t="s">
        <v>13359</v>
      </c>
      <c r="AU3056" t="s">
        <v>116</v>
      </c>
      <c r="AV3056" t="s">
        <v>116</v>
      </c>
      <c r="AW3056">
        <v>1.02</v>
      </c>
      <c r="BA3056">
        <v>0.5</v>
      </c>
      <c r="BB3056">
        <v>10.02</v>
      </c>
      <c r="BC3056">
        <v>-0.67</v>
      </c>
      <c r="BD3056">
        <v>7.6</v>
      </c>
      <c r="BE3056">
        <v>9.4700000000000006</v>
      </c>
      <c r="BF3056">
        <v>0</v>
      </c>
      <c r="BG3056">
        <v>10.76</v>
      </c>
      <c r="BH3056">
        <v>2.41</v>
      </c>
      <c r="BI3056">
        <v>20191019</v>
      </c>
      <c r="BJ3056">
        <v>20070712</v>
      </c>
      <c r="BK3056">
        <v>23.83</v>
      </c>
      <c r="BL3056" t="s">
        <v>116</v>
      </c>
      <c r="BM3056" t="s">
        <v>116</v>
      </c>
      <c r="BN3056">
        <v>441.53</v>
      </c>
      <c r="BO3056">
        <v>97.76</v>
      </c>
      <c r="BP3056">
        <v>42.55</v>
      </c>
      <c r="BQ3056">
        <v>68.22</v>
      </c>
      <c r="BR3056">
        <v>181.23</v>
      </c>
      <c r="BS3056">
        <v>129.77000000000001</v>
      </c>
      <c r="BT3056">
        <v>54.62</v>
      </c>
      <c r="BU3056">
        <v>171.76</v>
      </c>
      <c r="BV3056">
        <v>32.78</v>
      </c>
      <c r="BW3056">
        <v>1.96</v>
      </c>
      <c r="BX3056">
        <v>53.28</v>
      </c>
      <c r="BY3056">
        <v>223.09</v>
      </c>
      <c r="BZ3056">
        <v>194.27</v>
      </c>
      <c r="CA3056">
        <v>12.61</v>
      </c>
      <c r="CB3056">
        <v>-1.06</v>
      </c>
      <c r="CC3056">
        <v>12.76</v>
      </c>
      <c r="CD3056">
        <v>10.41</v>
      </c>
      <c r="CE3056">
        <v>8.11</v>
      </c>
      <c r="CF3056">
        <v>7.7</v>
      </c>
      <c r="CG3056">
        <v>12.96</v>
      </c>
      <c r="CH3056">
        <v>17.84</v>
      </c>
      <c r="CI3056">
        <v>24.19</v>
      </c>
      <c r="CJ3056">
        <v>167717</v>
      </c>
      <c r="CK3056">
        <v>9947</v>
      </c>
      <c r="CL3056" t="s">
        <v>415</v>
      </c>
      <c r="CM3056">
        <v>19.350000000000001</v>
      </c>
      <c r="CN3056">
        <v>9.65</v>
      </c>
      <c r="CO3056">
        <v>1.61</v>
      </c>
      <c r="CP3056">
        <v>8.8000000000000007</v>
      </c>
      <c r="CQ3056">
        <v>0.7</v>
      </c>
      <c r="CR3056">
        <v>0</v>
      </c>
      <c r="CS3056" t="s">
        <v>299</v>
      </c>
      <c r="CT3056">
        <v>4.0999999999999996</v>
      </c>
      <c r="CU3056">
        <v>0</v>
      </c>
      <c r="CV3056">
        <v>2.2400000000000002</v>
      </c>
      <c r="CW3056">
        <v>0.54</v>
      </c>
      <c r="CX3056">
        <v>0.75</v>
      </c>
      <c r="CY3056">
        <v>22.14</v>
      </c>
      <c r="CZ3056" t="s">
        <v>1062</v>
      </c>
      <c r="DA3056">
        <v>12.92</v>
      </c>
      <c r="DB3056">
        <v>5.65</v>
      </c>
      <c r="DC3056">
        <v>3.64</v>
      </c>
      <c r="DD3056">
        <v>0.57999999999999996</v>
      </c>
      <c r="DE3056">
        <v>6497</v>
      </c>
      <c r="DF3056">
        <v>601168</v>
      </c>
      <c r="DG3056" t="s">
        <v>116</v>
      </c>
      <c r="DH3056" t="s">
        <v>116</v>
      </c>
      <c r="DI3056" t="s">
        <v>116</v>
      </c>
    </row>
    <row r="3057" spans="1:113" x14ac:dyDescent="0.4">
      <c r="A3057" t="str">
        <f>"601169"</f>
        <v>601169</v>
      </c>
      <c r="B3057" t="s">
        <v>13360</v>
      </c>
      <c r="C3057">
        <v>-0.18</v>
      </c>
      <c r="D3057">
        <v>5.63</v>
      </c>
      <c r="E3057">
        <v>-0.01</v>
      </c>
      <c r="F3057">
        <v>5.63</v>
      </c>
      <c r="G3057">
        <v>5.64</v>
      </c>
      <c r="H3057">
        <v>499767</v>
      </c>
      <c r="I3057">
        <v>4039</v>
      </c>
      <c r="J3057">
        <v>0</v>
      </c>
      <c r="K3057">
        <v>0.27</v>
      </c>
      <c r="L3057">
        <v>5.64</v>
      </c>
      <c r="M3057">
        <v>5.68</v>
      </c>
      <c r="N3057">
        <v>5.62</v>
      </c>
      <c r="O3057">
        <v>5.64</v>
      </c>
      <c r="P3057">
        <v>4.9400000000000004</v>
      </c>
      <c r="Q3057">
        <v>282422656</v>
      </c>
      <c r="R3057">
        <v>1.24</v>
      </c>
      <c r="S3057" t="s">
        <v>114</v>
      </c>
      <c r="T3057" t="s">
        <v>165</v>
      </c>
      <c r="U3057">
        <v>1.06</v>
      </c>
      <c r="V3057">
        <v>5.65</v>
      </c>
      <c r="W3057">
        <v>287505</v>
      </c>
      <c r="X3057">
        <v>212263</v>
      </c>
      <c r="Y3057">
        <v>1.35</v>
      </c>
      <c r="Z3057">
        <v>17487</v>
      </c>
      <c r="AA3057">
        <v>4035</v>
      </c>
      <c r="AB3057" t="s">
        <v>116</v>
      </c>
      <c r="AC3057">
        <v>3587600</v>
      </c>
      <c r="AD3057">
        <v>0</v>
      </c>
      <c r="AE3057" t="s">
        <v>116</v>
      </c>
      <c r="AF3057" t="s">
        <v>116</v>
      </c>
      <c r="AG3057">
        <v>182.48</v>
      </c>
      <c r="AH3057" t="s">
        <v>13361</v>
      </c>
      <c r="AI3057" t="s">
        <v>13362</v>
      </c>
      <c r="AJ3057">
        <v>-0.1</v>
      </c>
      <c r="AK3057">
        <v>3376</v>
      </c>
      <c r="AL3057">
        <v>148</v>
      </c>
      <c r="AM3057">
        <v>1E-4</v>
      </c>
      <c r="AN3057">
        <v>-1</v>
      </c>
      <c r="AO3057">
        <v>-0.01</v>
      </c>
      <c r="AP3057">
        <v>1.26</v>
      </c>
      <c r="AQ3057">
        <v>4.45</v>
      </c>
      <c r="AR3057">
        <v>5.75</v>
      </c>
      <c r="AS3057">
        <v>0.38</v>
      </c>
      <c r="AT3057" t="s">
        <v>13363</v>
      </c>
      <c r="AU3057">
        <v>5.55</v>
      </c>
      <c r="AV3057">
        <v>5.95</v>
      </c>
      <c r="AW3057">
        <v>0.79</v>
      </c>
      <c r="BA3057">
        <v>0</v>
      </c>
      <c r="BB3057">
        <v>0.71</v>
      </c>
      <c r="BC3057">
        <v>-0.35</v>
      </c>
      <c r="BD3057">
        <v>0.2</v>
      </c>
      <c r="BE3057">
        <v>-0.18</v>
      </c>
      <c r="BF3057">
        <v>-0.88</v>
      </c>
      <c r="BG3057">
        <v>0.18</v>
      </c>
      <c r="BH3057">
        <v>-0.37</v>
      </c>
      <c r="BI3057">
        <v>20191030</v>
      </c>
      <c r="BJ3057">
        <v>20070919</v>
      </c>
      <c r="BK3057">
        <v>211.43</v>
      </c>
      <c r="BL3057" t="s">
        <v>116</v>
      </c>
      <c r="BM3057" t="s">
        <v>116</v>
      </c>
      <c r="BN3057">
        <v>26802.67</v>
      </c>
      <c r="BO3057">
        <v>2035.21</v>
      </c>
      <c r="BP3057">
        <v>18.100000000000001</v>
      </c>
      <c r="BQ3057">
        <v>92.34</v>
      </c>
      <c r="BR3057">
        <v>0</v>
      </c>
      <c r="BS3057">
        <v>165.37</v>
      </c>
      <c r="BT3057">
        <v>5.44</v>
      </c>
      <c r="BU3057">
        <v>0</v>
      </c>
      <c r="BV3057">
        <v>0</v>
      </c>
      <c r="BW3057">
        <v>0</v>
      </c>
      <c r="BX3057">
        <v>438.85</v>
      </c>
      <c r="BY3057">
        <v>481.2</v>
      </c>
      <c r="BZ3057">
        <v>0</v>
      </c>
      <c r="CA3057">
        <v>0</v>
      </c>
      <c r="CB3057">
        <v>0</v>
      </c>
      <c r="CC3057">
        <v>0</v>
      </c>
      <c r="CD3057">
        <v>35.950000000000003</v>
      </c>
      <c r="CE3057">
        <v>180.85</v>
      </c>
      <c r="CF3057">
        <v>182.89</v>
      </c>
      <c r="CG3057">
        <v>712.87</v>
      </c>
      <c r="CH3057">
        <v>248.94</v>
      </c>
      <c r="CI3057">
        <v>131.4</v>
      </c>
      <c r="CJ3057">
        <v>195950</v>
      </c>
      <c r="CK3057">
        <v>67464</v>
      </c>
      <c r="CL3057" t="s">
        <v>13364</v>
      </c>
      <c r="CM3057">
        <v>8.77</v>
      </c>
      <c r="CN3057">
        <v>17.03</v>
      </c>
      <c r="CO3057">
        <v>0.64</v>
      </c>
      <c r="CP3057">
        <v>4.78</v>
      </c>
      <c r="CQ3057">
        <v>2.4700000000000002</v>
      </c>
      <c r="CR3057">
        <v>5.08</v>
      </c>
      <c r="CS3057" t="s">
        <v>9188</v>
      </c>
      <c r="CT3057">
        <v>8.7799999999999994</v>
      </c>
      <c r="CU3057">
        <v>8.7799999999999994</v>
      </c>
      <c r="CV3057">
        <v>2.08</v>
      </c>
      <c r="CW3057">
        <v>3.37</v>
      </c>
      <c r="CX3057">
        <v>1.18</v>
      </c>
      <c r="CY3057">
        <v>7.59</v>
      </c>
      <c r="CZ3057" t="s">
        <v>2208</v>
      </c>
      <c r="DA3057" t="s">
        <v>116</v>
      </c>
      <c r="DB3057">
        <v>0</v>
      </c>
      <c r="DC3057">
        <v>37.58</v>
      </c>
      <c r="DD3057">
        <v>0</v>
      </c>
      <c r="DE3057">
        <v>14760</v>
      </c>
      <c r="DF3057">
        <v>601169</v>
      </c>
      <c r="DG3057" t="s">
        <v>116</v>
      </c>
      <c r="DH3057" t="s">
        <v>116</v>
      </c>
      <c r="DI3057" t="s">
        <v>116</v>
      </c>
    </row>
    <row r="3058" spans="1:113" x14ac:dyDescent="0.4">
      <c r="A3058" t="str">
        <f>"601177"</f>
        <v>601177</v>
      </c>
      <c r="B3058" t="s">
        <v>13365</v>
      </c>
      <c r="C3058">
        <v>-0.54</v>
      </c>
      <c r="D3058">
        <v>9.17</v>
      </c>
      <c r="E3058">
        <v>-0.05</v>
      </c>
      <c r="F3058">
        <v>9.17</v>
      </c>
      <c r="G3058">
        <v>9.18</v>
      </c>
      <c r="H3058">
        <v>10696</v>
      </c>
      <c r="I3058">
        <v>40</v>
      </c>
      <c r="J3058">
        <v>0.11</v>
      </c>
      <c r="K3058">
        <v>0.27</v>
      </c>
      <c r="L3058">
        <v>9.2200000000000006</v>
      </c>
      <c r="M3058">
        <v>9.23</v>
      </c>
      <c r="N3058">
        <v>9.15</v>
      </c>
      <c r="O3058">
        <v>9.2200000000000006</v>
      </c>
      <c r="P3058">
        <v>196.21</v>
      </c>
      <c r="Q3058">
        <v>9828968</v>
      </c>
      <c r="R3058">
        <v>0.97</v>
      </c>
      <c r="S3058" t="s">
        <v>996</v>
      </c>
      <c r="T3058" t="s">
        <v>590</v>
      </c>
      <c r="U3058">
        <v>0.87</v>
      </c>
      <c r="V3058">
        <v>9.19</v>
      </c>
      <c r="W3058">
        <v>7221</v>
      </c>
      <c r="X3058">
        <v>3475</v>
      </c>
      <c r="Y3058">
        <v>2.08</v>
      </c>
      <c r="Z3058">
        <v>122</v>
      </c>
      <c r="AA3058">
        <v>43</v>
      </c>
      <c r="AB3058" t="s">
        <v>116</v>
      </c>
      <c r="AC3058">
        <v>35000</v>
      </c>
      <c r="AD3058">
        <v>0</v>
      </c>
      <c r="AE3058" t="s">
        <v>116</v>
      </c>
      <c r="AF3058" t="s">
        <v>116</v>
      </c>
      <c r="AG3058">
        <v>4</v>
      </c>
      <c r="AH3058" t="s">
        <v>2360</v>
      </c>
      <c r="AI3058" t="s">
        <v>2360</v>
      </c>
      <c r="AJ3058">
        <v>-0.47</v>
      </c>
      <c r="AK3058">
        <v>499</v>
      </c>
      <c r="AL3058">
        <v>21</v>
      </c>
      <c r="AM3058">
        <v>5.0000000000000001E-4</v>
      </c>
      <c r="AN3058">
        <v>-2</v>
      </c>
      <c r="AO3058">
        <v>-0.43</v>
      </c>
      <c r="AP3058">
        <v>-0.33</v>
      </c>
      <c r="AQ3058">
        <v>-7.37</v>
      </c>
      <c r="AR3058">
        <v>2.34</v>
      </c>
      <c r="AS3058">
        <v>0.55000000000000004</v>
      </c>
      <c r="AT3058" t="s">
        <v>1668</v>
      </c>
      <c r="AU3058">
        <v>210.87</v>
      </c>
      <c r="AV3058">
        <v>252.9</v>
      </c>
      <c r="AW3058">
        <v>1.02</v>
      </c>
      <c r="BA3058">
        <v>0</v>
      </c>
      <c r="BB3058">
        <v>0.11</v>
      </c>
      <c r="BC3058">
        <v>-0.76</v>
      </c>
      <c r="BD3058">
        <v>-0.33</v>
      </c>
      <c r="BE3058">
        <v>-0.54</v>
      </c>
      <c r="BF3058">
        <v>-0.65</v>
      </c>
      <c r="BG3058">
        <v>0.22</v>
      </c>
      <c r="BH3058">
        <v>-0.21</v>
      </c>
      <c r="BI3058">
        <v>20191025</v>
      </c>
      <c r="BJ3058">
        <v>20101011</v>
      </c>
      <c r="BK3058">
        <v>4</v>
      </c>
      <c r="BL3058" t="s">
        <v>116</v>
      </c>
      <c r="BM3058" t="s">
        <v>116</v>
      </c>
      <c r="BN3058">
        <v>38.19</v>
      </c>
      <c r="BO3058">
        <v>16.43</v>
      </c>
      <c r="BP3058">
        <v>1.48</v>
      </c>
      <c r="BQ3058">
        <v>53.1</v>
      </c>
      <c r="BR3058">
        <v>16.41</v>
      </c>
      <c r="BS3058">
        <v>10.62</v>
      </c>
      <c r="BT3058">
        <v>1.79</v>
      </c>
      <c r="BU3058">
        <v>18.37</v>
      </c>
      <c r="BV3058">
        <v>8.5299999999999994</v>
      </c>
      <c r="BW3058">
        <v>4.5</v>
      </c>
      <c r="BX3058">
        <v>8.61</v>
      </c>
      <c r="BY3058">
        <v>12.13</v>
      </c>
      <c r="BZ3058">
        <v>9.19</v>
      </c>
      <c r="CA3058">
        <v>0.24</v>
      </c>
      <c r="CB3058">
        <v>0.6</v>
      </c>
      <c r="CC3058">
        <v>0.24</v>
      </c>
      <c r="CD3058">
        <v>0.23</v>
      </c>
      <c r="CE3058">
        <v>0.14000000000000001</v>
      </c>
      <c r="CF3058">
        <v>-0.06</v>
      </c>
      <c r="CG3058">
        <v>3.18</v>
      </c>
      <c r="CH3058">
        <v>0.74</v>
      </c>
      <c r="CI3058">
        <v>-0.38</v>
      </c>
      <c r="CJ3058">
        <v>14891</v>
      </c>
      <c r="CK3058">
        <v>13162</v>
      </c>
      <c r="CL3058" t="s">
        <v>13366</v>
      </c>
      <c r="CM3058">
        <v>25.98</v>
      </c>
      <c r="CN3058">
        <v>-1.59</v>
      </c>
      <c r="CO3058">
        <v>2.23</v>
      </c>
      <c r="CP3058">
        <v>49.64</v>
      </c>
      <c r="CQ3058">
        <v>3.02</v>
      </c>
      <c r="CR3058">
        <v>0.22</v>
      </c>
      <c r="CS3058" t="s">
        <v>958</v>
      </c>
      <c r="CT3058">
        <v>4.1100000000000003</v>
      </c>
      <c r="CU3058">
        <v>0</v>
      </c>
      <c r="CV3058">
        <v>2.15</v>
      </c>
      <c r="CW3058">
        <v>0.79</v>
      </c>
      <c r="CX3058">
        <v>0.18</v>
      </c>
      <c r="CY3058">
        <v>43.02</v>
      </c>
      <c r="CZ3058" t="s">
        <v>13367</v>
      </c>
      <c r="DA3058">
        <v>24.23</v>
      </c>
      <c r="DB3058">
        <v>1.99</v>
      </c>
      <c r="DC3058">
        <v>1.1599999999999999</v>
      </c>
      <c r="DD3058">
        <v>0.64</v>
      </c>
      <c r="DE3058">
        <v>3106</v>
      </c>
      <c r="DF3058">
        <v>601177</v>
      </c>
      <c r="DG3058" t="s">
        <v>116</v>
      </c>
      <c r="DH3058" t="s">
        <v>116</v>
      </c>
      <c r="DI3058" t="s">
        <v>116</v>
      </c>
    </row>
    <row r="3059" spans="1:113" x14ac:dyDescent="0.4">
      <c r="A3059" t="str">
        <f>"601179"</f>
        <v>601179</v>
      </c>
      <c r="B3059" t="s">
        <v>13368</v>
      </c>
      <c r="C3059">
        <v>1.4</v>
      </c>
      <c r="D3059">
        <v>3.62</v>
      </c>
      <c r="E3059">
        <v>0.05</v>
      </c>
      <c r="F3059">
        <v>3.61</v>
      </c>
      <c r="G3059">
        <v>3.62</v>
      </c>
      <c r="H3059">
        <v>73164</v>
      </c>
      <c r="I3059">
        <v>802</v>
      </c>
      <c r="J3059">
        <v>-0.27</v>
      </c>
      <c r="K3059">
        <v>0.14000000000000001</v>
      </c>
      <c r="L3059">
        <v>3.57</v>
      </c>
      <c r="M3059">
        <v>3.64</v>
      </c>
      <c r="N3059">
        <v>3.56</v>
      </c>
      <c r="O3059">
        <v>3.57</v>
      </c>
      <c r="P3059">
        <v>47.86</v>
      </c>
      <c r="Q3059">
        <v>26458832</v>
      </c>
      <c r="R3059">
        <v>1.07</v>
      </c>
      <c r="S3059" t="s">
        <v>397</v>
      </c>
      <c r="T3059" t="s">
        <v>913</v>
      </c>
      <c r="U3059">
        <v>2.2400000000000002</v>
      </c>
      <c r="V3059">
        <v>3.62</v>
      </c>
      <c r="W3059">
        <v>26807</v>
      </c>
      <c r="X3059">
        <v>46357</v>
      </c>
      <c r="Y3059">
        <v>0.57999999999999996</v>
      </c>
      <c r="Z3059">
        <v>1239</v>
      </c>
      <c r="AA3059">
        <v>177</v>
      </c>
      <c r="AB3059" t="s">
        <v>116</v>
      </c>
      <c r="AC3059">
        <v>61000</v>
      </c>
      <c r="AD3059">
        <v>0</v>
      </c>
      <c r="AE3059" t="s">
        <v>116</v>
      </c>
      <c r="AF3059" t="s">
        <v>116</v>
      </c>
      <c r="AG3059">
        <v>51.26</v>
      </c>
      <c r="AH3059" t="s">
        <v>13369</v>
      </c>
      <c r="AI3059" t="s">
        <v>13369</v>
      </c>
      <c r="AJ3059">
        <v>1.48</v>
      </c>
      <c r="AK3059">
        <v>1731</v>
      </c>
      <c r="AL3059">
        <v>42</v>
      </c>
      <c r="AM3059">
        <v>1E-4</v>
      </c>
      <c r="AN3059">
        <v>2</v>
      </c>
      <c r="AO3059">
        <v>1.98</v>
      </c>
      <c r="AP3059">
        <v>1.97</v>
      </c>
      <c r="AQ3059">
        <v>4.62</v>
      </c>
      <c r="AR3059">
        <v>8.84</v>
      </c>
      <c r="AS3059">
        <v>0.43</v>
      </c>
      <c r="AT3059" t="s">
        <v>13370</v>
      </c>
      <c r="AU3059">
        <v>30.48</v>
      </c>
      <c r="AV3059">
        <v>32.6</v>
      </c>
      <c r="AW3059">
        <v>0.75</v>
      </c>
      <c r="BA3059">
        <v>0</v>
      </c>
      <c r="BB3059">
        <v>1.96</v>
      </c>
      <c r="BC3059">
        <v>-0.28000000000000003</v>
      </c>
      <c r="BD3059">
        <v>1.3</v>
      </c>
      <c r="BE3059">
        <v>1.4</v>
      </c>
      <c r="BF3059">
        <v>-0.55000000000000004</v>
      </c>
      <c r="BG3059">
        <v>1.69</v>
      </c>
      <c r="BH3059">
        <v>0.1</v>
      </c>
      <c r="BI3059">
        <v>20191031</v>
      </c>
      <c r="BJ3059">
        <v>20100128</v>
      </c>
      <c r="BK3059">
        <v>51.26</v>
      </c>
      <c r="BL3059" t="s">
        <v>116</v>
      </c>
      <c r="BM3059" t="s">
        <v>116</v>
      </c>
      <c r="BN3059">
        <v>358.78</v>
      </c>
      <c r="BO3059">
        <v>197.21</v>
      </c>
      <c r="BP3059">
        <v>10.5</v>
      </c>
      <c r="BQ3059">
        <v>42.11</v>
      </c>
      <c r="BR3059">
        <v>270.05</v>
      </c>
      <c r="BS3059">
        <v>48.72</v>
      </c>
      <c r="BT3059">
        <v>19.09</v>
      </c>
      <c r="BU3059">
        <v>134.51</v>
      </c>
      <c r="BV3059">
        <v>47.35</v>
      </c>
      <c r="BW3059">
        <v>110.6</v>
      </c>
      <c r="BX3059">
        <v>115.65</v>
      </c>
      <c r="BY3059">
        <v>95.72</v>
      </c>
      <c r="BZ3059">
        <v>75.75</v>
      </c>
      <c r="CA3059">
        <v>3.34</v>
      </c>
      <c r="CB3059">
        <v>0.14000000000000001</v>
      </c>
      <c r="CC3059">
        <v>3.58</v>
      </c>
      <c r="CD3059">
        <v>2.81</v>
      </c>
      <c r="CE3059">
        <v>2.91</v>
      </c>
      <c r="CF3059">
        <v>2.06</v>
      </c>
      <c r="CG3059">
        <v>24.99</v>
      </c>
      <c r="CH3059">
        <v>-8.6300000000000008</v>
      </c>
      <c r="CI3059">
        <v>-33.47</v>
      </c>
      <c r="CJ3059">
        <v>136713</v>
      </c>
      <c r="CK3059">
        <v>12403</v>
      </c>
      <c r="CL3059" t="s">
        <v>12751</v>
      </c>
      <c r="CM3059">
        <v>15.72</v>
      </c>
      <c r="CN3059">
        <v>15.86</v>
      </c>
      <c r="CO3059">
        <v>0.94</v>
      </c>
      <c r="CP3059">
        <v>-21.5</v>
      </c>
      <c r="CQ3059">
        <v>1.94</v>
      </c>
      <c r="CR3059">
        <v>0.94</v>
      </c>
      <c r="CS3059" t="s">
        <v>2039</v>
      </c>
      <c r="CT3059">
        <v>3.85</v>
      </c>
      <c r="CU3059">
        <v>0</v>
      </c>
      <c r="CV3059">
        <v>2.2599999999999998</v>
      </c>
      <c r="CW3059">
        <v>0.49</v>
      </c>
      <c r="CX3059">
        <v>-0.17</v>
      </c>
      <c r="CY3059">
        <v>54.97</v>
      </c>
      <c r="CZ3059" t="s">
        <v>6053</v>
      </c>
      <c r="DA3059">
        <v>20.86</v>
      </c>
      <c r="DB3059">
        <v>3.48</v>
      </c>
      <c r="DC3059">
        <v>3.04</v>
      </c>
      <c r="DD3059">
        <v>3.52</v>
      </c>
      <c r="DE3059">
        <v>14537</v>
      </c>
      <c r="DF3059">
        <v>601179</v>
      </c>
      <c r="DG3059" t="s">
        <v>116</v>
      </c>
      <c r="DH3059" t="s">
        <v>116</v>
      </c>
      <c r="DI3059" t="s">
        <v>116</v>
      </c>
    </row>
    <row r="3060" spans="1:113" x14ac:dyDescent="0.4">
      <c r="A3060" t="str">
        <f>"601186"</f>
        <v>601186</v>
      </c>
      <c r="B3060" t="s">
        <v>13371</v>
      </c>
      <c r="C3060">
        <v>-0.5</v>
      </c>
      <c r="D3060">
        <v>9.9700000000000006</v>
      </c>
      <c r="E3060">
        <v>-0.05</v>
      </c>
      <c r="F3060">
        <v>9.9700000000000006</v>
      </c>
      <c r="G3060">
        <v>9.98</v>
      </c>
      <c r="H3060">
        <v>416084</v>
      </c>
      <c r="I3060">
        <v>3246</v>
      </c>
      <c r="J3060">
        <v>0.1</v>
      </c>
      <c r="K3060">
        <v>0.36</v>
      </c>
      <c r="L3060">
        <v>10.02</v>
      </c>
      <c r="M3060">
        <v>10.09</v>
      </c>
      <c r="N3060">
        <v>9.9499999999999993</v>
      </c>
      <c r="O3060">
        <v>10.02</v>
      </c>
      <c r="P3060">
        <v>6.91</v>
      </c>
      <c r="Q3060">
        <v>417117024</v>
      </c>
      <c r="R3060">
        <v>1.1299999999999999</v>
      </c>
      <c r="S3060" t="s">
        <v>181</v>
      </c>
      <c r="T3060" t="s">
        <v>165</v>
      </c>
      <c r="U3060">
        <v>1.4</v>
      </c>
      <c r="V3060">
        <v>10.02</v>
      </c>
      <c r="W3060">
        <v>248149</v>
      </c>
      <c r="X3060">
        <v>167935</v>
      </c>
      <c r="Y3060">
        <v>1.48</v>
      </c>
      <c r="Z3060">
        <v>1015</v>
      </c>
      <c r="AA3060">
        <v>2293</v>
      </c>
      <c r="AB3060" t="s">
        <v>116</v>
      </c>
      <c r="AC3060">
        <v>1519900</v>
      </c>
      <c r="AD3060">
        <v>0</v>
      </c>
      <c r="AE3060" t="s">
        <v>116</v>
      </c>
      <c r="AF3060" t="s">
        <v>116</v>
      </c>
      <c r="AG3060">
        <v>115.03</v>
      </c>
      <c r="AH3060" t="s">
        <v>13372</v>
      </c>
      <c r="AI3060" t="s">
        <v>13372</v>
      </c>
      <c r="AJ3060">
        <v>-0.42</v>
      </c>
      <c r="AK3060">
        <v>3924</v>
      </c>
      <c r="AL3060">
        <v>106</v>
      </c>
      <c r="AM3060">
        <v>1E-4</v>
      </c>
      <c r="AN3060">
        <v>-1</v>
      </c>
      <c r="AO3060">
        <v>0.5</v>
      </c>
      <c r="AP3060">
        <v>3.1</v>
      </c>
      <c r="AQ3060">
        <v>4.29</v>
      </c>
      <c r="AR3060">
        <v>-6.47</v>
      </c>
      <c r="AS3060">
        <v>0.91</v>
      </c>
      <c r="AT3060" t="s">
        <v>13373</v>
      </c>
      <c r="AU3060">
        <v>6.78</v>
      </c>
      <c r="AV3060">
        <v>7.55</v>
      </c>
      <c r="AW3060">
        <v>1.2</v>
      </c>
      <c r="BA3060">
        <v>0</v>
      </c>
      <c r="BB3060">
        <v>0.7</v>
      </c>
      <c r="BC3060">
        <v>-0.7</v>
      </c>
      <c r="BD3060">
        <v>0.05</v>
      </c>
      <c r="BE3060">
        <v>-0.5</v>
      </c>
      <c r="BF3060">
        <v>-1.19</v>
      </c>
      <c r="BG3060">
        <v>0.2</v>
      </c>
      <c r="BH3060">
        <v>-0.55000000000000004</v>
      </c>
      <c r="BI3060">
        <v>20191031</v>
      </c>
      <c r="BJ3060">
        <v>20080310</v>
      </c>
      <c r="BK3060">
        <v>135.80000000000001</v>
      </c>
      <c r="BL3060" t="s">
        <v>116</v>
      </c>
      <c r="BM3060">
        <v>20.76</v>
      </c>
      <c r="BN3060">
        <v>10284.25</v>
      </c>
      <c r="BO3060">
        <v>1836.2</v>
      </c>
      <c r="BP3060">
        <v>382.3</v>
      </c>
      <c r="BQ3060">
        <v>78.430000000000007</v>
      </c>
      <c r="BR3060">
        <v>7293.44</v>
      </c>
      <c r="BS3060">
        <v>493.79</v>
      </c>
      <c r="BT3060">
        <v>586.33000000000004</v>
      </c>
      <c r="BU3060">
        <v>6654.12</v>
      </c>
      <c r="BV3060">
        <v>2000.03</v>
      </c>
      <c r="BW3060">
        <v>1164.28</v>
      </c>
      <c r="BX3060">
        <v>404.31</v>
      </c>
      <c r="BY3060">
        <v>5613.57</v>
      </c>
      <c r="BZ3060">
        <v>5065.62</v>
      </c>
      <c r="CA3060">
        <v>202.41</v>
      </c>
      <c r="CB3060">
        <v>-0.39</v>
      </c>
      <c r="CC3060">
        <v>204.18</v>
      </c>
      <c r="CD3060">
        <v>163.84</v>
      </c>
      <c r="CE3060">
        <v>146.88999999999999</v>
      </c>
      <c r="CF3060">
        <v>136.36000000000001</v>
      </c>
      <c r="CG3060">
        <v>1037.3599999999999</v>
      </c>
      <c r="CH3060">
        <v>-199.42</v>
      </c>
      <c r="CI3060">
        <v>-217.11</v>
      </c>
      <c r="CJ3060">
        <v>307727</v>
      </c>
      <c r="CK3060">
        <v>14820</v>
      </c>
      <c r="CL3060" t="s">
        <v>13374</v>
      </c>
      <c r="CM3060">
        <v>16.149999999999999</v>
      </c>
      <c r="CN3060">
        <v>14.59</v>
      </c>
      <c r="CO3060">
        <v>0.84</v>
      </c>
      <c r="CP3060">
        <v>-6.79</v>
      </c>
      <c r="CQ3060">
        <v>0.24</v>
      </c>
      <c r="CR3060">
        <v>2.11</v>
      </c>
      <c r="CS3060" t="s">
        <v>6106</v>
      </c>
      <c r="CT3060">
        <v>11.86</v>
      </c>
      <c r="CU3060">
        <v>11.86</v>
      </c>
      <c r="CV3060">
        <v>2.98</v>
      </c>
      <c r="CW3060">
        <v>7.64</v>
      </c>
      <c r="CX3060">
        <v>-1.47</v>
      </c>
      <c r="CY3060">
        <v>17.850000000000001</v>
      </c>
      <c r="CZ3060" t="s">
        <v>1946</v>
      </c>
      <c r="DA3060">
        <v>9.76</v>
      </c>
      <c r="DB3060">
        <v>3.61</v>
      </c>
      <c r="DC3060">
        <v>2.62</v>
      </c>
      <c r="DD3060">
        <v>115.06</v>
      </c>
      <c r="DE3060">
        <v>295862</v>
      </c>
      <c r="DF3060">
        <v>601186</v>
      </c>
      <c r="DG3060" t="s">
        <v>116</v>
      </c>
      <c r="DH3060" t="s">
        <v>116</v>
      </c>
      <c r="DI3060" t="s">
        <v>116</v>
      </c>
    </row>
    <row r="3061" spans="1:113" x14ac:dyDescent="0.4">
      <c r="A3061" t="str">
        <f>"601188"</f>
        <v>601188</v>
      </c>
      <c r="B3061" t="s">
        <v>13375</v>
      </c>
      <c r="C3061">
        <v>0</v>
      </c>
      <c r="D3061">
        <v>3.01</v>
      </c>
      <c r="E3061">
        <v>0</v>
      </c>
      <c r="F3061">
        <v>3.01</v>
      </c>
      <c r="G3061">
        <v>3.02</v>
      </c>
      <c r="H3061">
        <v>32348</v>
      </c>
      <c r="I3061">
        <v>163</v>
      </c>
      <c r="J3061">
        <v>0</v>
      </c>
      <c r="K3061">
        <v>0.25</v>
      </c>
      <c r="L3061">
        <v>3.01</v>
      </c>
      <c r="M3061">
        <v>3.02</v>
      </c>
      <c r="N3061">
        <v>3</v>
      </c>
      <c r="O3061">
        <v>3.01</v>
      </c>
      <c r="P3061">
        <v>10.44</v>
      </c>
      <c r="Q3061">
        <v>9733594</v>
      </c>
      <c r="R3061">
        <v>1.3</v>
      </c>
      <c r="S3061" t="s">
        <v>809</v>
      </c>
      <c r="T3061" t="s">
        <v>1287</v>
      </c>
      <c r="U3061">
        <v>0.66</v>
      </c>
      <c r="V3061">
        <v>3.01</v>
      </c>
      <c r="W3061">
        <v>19789</v>
      </c>
      <c r="X3061">
        <v>12559</v>
      </c>
      <c r="Y3061">
        <v>1.58</v>
      </c>
      <c r="Z3061">
        <v>477</v>
      </c>
      <c r="AA3061">
        <v>5581</v>
      </c>
      <c r="AB3061" t="s">
        <v>116</v>
      </c>
      <c r="AC3061">
        <v>138800</v>
      </c>
      <c r="AD3061">
        <v>0.01</v>
      </c>
      <c r="AE3061" t="s">
        <v>116</v>
      </c>
      <c r="AF3061" t="s">
        <v>116</v>
      </c>
      <c r="AG3061">
        <v>13.16</v>
      </c>
      <c r="AH3061" t="s">
        <v>13376</v>
      </c>
      <c r="AI3061" t="s">
        <v>13376</v>
      </c>
      <c r="AJ3061">
        <v>0.08</v>
      </c>
      <c r="AK3061">
        <v>464</v>
      </c>
      <c r="AL3061">
        <v>70</v>
      </c>
      <c r="AM3061">
        <v>5.0000000000000001E-4</v>
      </c>
      <c r="AN3061">
        <v>0</v>
      </c>
      <c r="AO3061">
        <v>0.67</v>
      </c>
      <c r="AP3061">
        <v>2.73</v>
      </c>
      <c r="AQ3061">
        <v>-1.63</v>
      </c>
      <c r="AR3061">
        <v>4.12</v>
      </c>
      <c r="AS3061">
        <v>0.81</v>
      </c>
      <c r="AT3061" t="s">
        <v>13377</v>
      </c>
      <c r="AU3061">
        <v>11.57</v>
      </c>
      <c r="AV3061">
        <v>13.12</v>
      </c>
      <c r="AW3061">
        <v>0.81</v>
      </c>
      <c r="BA3061">
        <v>0</v>
      </c>
      <c r="BB3061">
        <v>0.33</v>
      </c>
      <c r="BC3061">
        <v>-0.33</v>
      </c>
      <c r="BD3061">
        <v>-0.03</v>
      </c>
      <c r="BE3061">
        <v>0</v>
      </c>
      <c r="BF3061">
        <v>-0.33</v>
      </c>
      <c r="BG3061">
        <v>0.33</v>
      </c>
      <c r="BH3061">
        <v>0.03</v>
      </c>
      <c r="BI3061">
        <v>20191030</v>
      </c>
      <c r="BJ3061">
        <v>20100319</v>
      </c>
      <c r="BK3061">
        <v>13.16</v>
      </c>
      <c r="BL3061" t="s">
        <v>116</v>
      </c>
      <c r="BM3061" t="s">
        <v>116</v>
      </c>
      <c r="BN3061">
        <v>53.92</v>
      </c>
      <c r="BO3061">
        <v>44.14</v>
      </c>
      <c r="BP3061">
        <v>1.08</v>
      </c>
      <c r="BQ3061">
        <v>16.149999999999999</v>
      </c>
      <c r="BR3061">
        <v>25.83</v>
      </c>
      <c r="BS3061">
        <v>13.34</v>
      </c>
      <c r="BT3061">
        <v>0.17</v>
      </c>
      <c r="BU3061">
        <v>8.68</v>
      </c>
      <c r="BV3061">
        <v>8.1300000000000008</v>
      </c>
      <c r="BW3061">
        <v>0.05</v>
      </c>
      <c r="BX3061">
        <v>12.22</v>
      </c>
      <c r="BY3061">
        <v>5.25</v>
      </c>
      <c r="BZ3061">
        <v>2.2599999999999998</v>
      </c>
      <c r="CA3061">
        <v>3.72</v>
      </c>
      <c r="CB3061">
        <v>0.97</v>
      </c>
      <c r="CC3061">
        <v>3.69</v>
      </c>
      <c r="CD3061">
        <v>3.05</v>
      </c>
      <c r="CE3061">
        <v>2.85</v>
      </c>
      <c r="CF3061">
        <v>2.81</v>
      </c>
      <c r="CG3061">
        <v>16.55</v>
      </c>
      <c r="CH3061">
        <v>4.92</v>
      </c>
      <c r="CI3061">
        <v>2.56</v>
      </c>
      <c r="CJ3061">
        <v>51763</v>
      </c>
      <c r="CK3061">
        <v>7673</v>
      </c>
      <c r="CL3061" t="s">
        <v>12615</v>
      </c>
      <c r="CM3061">
        <v>16.54</v>
      </c>
      <c r="CN3061">
        <v>-5.03</v>
      </c>
      <c r="CO3061">
        <v>0.9</v>
      </c>
      <c r="CP3061">
        <v>8.0500000000000007</v>
      </c>
      <c r="CQ3061">
        <v>7.54</v>
      </c>
      <c r="CR3061">
        <v>2.29</v>
      </c>
      <c r="CS3061" t="s">
        <v>13378</v>
      </c>
      <c r="CT3061">
        <v>3.35</v>
      </c>
      <c r="CU3061">
        <v>0</v>
      </c>
      <c r="CV3061">
        <v>0.93</v>
      </c>
      <c r="CW3061">
        <v>1.26</v>
      </c>
      <c r="CX3061">
        <v>0.37</v>
      </c>
      <c r="CY3061">
        <v>81.86</v>
      </c>
      <c r="CZ3061" t="s">
        <v>2734</v>
      </c>
      <c r="DA3061">
        <v>56.99</v>
      </c>
      <c r="DB3061">
        <v>70.77</v>
      </c>
      <c r="DC3061">
        <v>54.19</v>
      </c>
      <c r="DD3061">
        <v>0</v>
      </c>
      <c r="DE3061">
        <v>735</v>
      </c>
      <c r="DF3061">
        <v>601188</v>
      </c>
      <c r="DG3061" t="s">
        <v>116</v>
      </c>
      <c r="DH3061" t="s">
        <v>116</v>
      </c>
      <c r="DI3061" t="s">
        <v>116</v>
      </c>
    </row>
    <row r="3062" spans="1:113" x14ac:dyDescent="0.4">
      <c r="A3062" t="str">
        <f>"601198"</f>
        <v>601198</v>
      </c>
      <c r="B3062" t="s">
        <v>13379</v>
      </c>
      <c r="C3062">
        <v>-4.57</v>
      </c>
      <c r="D3062">
        <v>12.33</v>
      </c>
      <c r="E3062">
        <v>-0.59</v>
      </c>
      <c r="F3062">
        <v>12.33</v>
      </c>
      <c r="G3062">
        <v>12.34</v>
      </c>
      <c r="H3062">
        <v>652733</v>
      </c>
      <c r="I3062">
        <v>7360</v>
      </c>
      <c r="J3062">
        <v>0.08</v>
      </c>
      <c r="K3062">
        <v>2.37</v>
      </c>
      <c r="L3062">
        <v>12.8</v>
      </c>
      <c r="M3062">
        <v>12.96</v>
      </c>
      <c r="N3062">
        <v>12.28</v>
      </c>
      <c r="O3062">
        <v>12.92</v>
      </c>
      <c r="P3062">
        <v>23.03</v>
      </c>
      <c r="Q3062">
        <v>827486784</v>
      </c>
      <c r="R3062">
        <v>1.03</v>
      </c>
      <c r="S3062" t="s">
        <v>623</v>
      </c>
      <c r="T3062" t="s">
        <v>165</v>
      </c>
      <c r="U3062">
        <v>5.26</v>
      </c>
      <c r="V3062">
        <v>12.68</v>
      </c>
      <c r="W3062">
        <v>351404</v>
      </c>
      <c r="X3062">
        <v>301329</v>
      </c>
      <c r="Y3062">
        <v>1.17</v>
      </c>
      <c r="Z3062">
        <v>1648</v>
      </c>
      <c r="AA3062">
        <v>170</v>
      </c>
      <c r="AB3062" t="s">
        <v>116</v>
      </c>
      <c r="AC3062">
        <v>11212800</v>
      </c>
      <c r="AD3062">
        <v>7.0000000000000007E-2</v>
      </c>
      <c r="AE3062" t="s">
        <v>116</v>
      </c>
      <c r="AF3062" t="s">
        <v>116</v>
      </c>
      <c r="AG3062">
        <v>27.58</v>
      </c>
      <c r="AH3062" t="s">
        <v>13380</v>
      </c>
      <c r="AI3062" t="s">
        <v>13380</v>
      </c>
      <c r="AJ3062">
        <v>-4.49</v>
      </c>
      <c r="AK3062">
        <v>4243</v>
      </c>
      <c r="AL3062">
        <v>154</v>
      </c>
      <c r="AM3062">
        <v>5.9999999999999995E-4</v>
      </c>
      <c r="AN3062">
        <v>-1</v>
      </c>
      <c r="AO3062">
        <v>1.9</v>
      </c>
      <c r="AP3062">
        <v>13.85</v>
      </c>
      <c r="AQ3062">
        <v>10.48</v>
      </c>
      <c r="AR3062">
        <v>30.48</v>
      </c>
      <c r="AS3062">
        <v>5.01</v>
      </c>
      <c r="AT3062" t="s">
        <v>13381</v>
      </c>
      <c r="AU3062">
        <v>25.43</v>
      </c>
      <c r="AV3062">
        <v>33.729999999999997</v>
      </c>
      <c r="AW3062">
        <v>1.86</v>
      </c>
      <c r="BA3062">
        <v>-0.93</v>
      </c>
      <c r="BB3062">
        <v>0.31</v>
      </c>
      <c r="BC3062">
        <v>-4.95</v>
      </c>
      <c r="BD3062">
        <v>-1.88</v>
      </c>
      <c r="BE3062">
        <v>-3.67</v>
      </c>
      <c r="BF3062">
        <v>-4.8600000000000003</v>
      </c>
      <c r="BG3062">
        <v>0.41</v>
      </c>
      <c r="BH3062">
        <v>-2.69</v>
      </c>
      <c r="BI3062">
        <v>20191030</v>
      </c>
      <c r="BJ3062">
        <v>20150226</v>
      </c>
      <c r="BK3062">
        <v>27.58</v>
      </c>
      <c r="BL3062" t="s">
        <v>116</v>
      </c>
      <c r="BM3062" t="s">
        <v>116</v>
      </c>
      <c r="BN3062">
        <v>861.37</v>
      </c>
      <c r="BO3062">
        <v>202.06</v>
      </c>
      <c r="BP3062">
        <v>0.37</v>
      </c>
      <c r="BQ3062">
        <v>76.5</v>
      </c>
      <c r="BR3062">
        <v>0</v>
      </c>
      <c r="BS3062">
        <v>1.59</v>
      </c>
      <c r="BT3062">
        <v>0.18</v>
      </c>
      <c r="BU3062">
        <v>0</v>
      </c>
      <c r="BV3062">
        <v>0</v>
      </c>
      <c r="BW3062">
        <v>0</v>
      </c>
      <c r="BX3062">
        <v>97.62</v>
      </c>
      <c r="BY3062">
        <v>28.11</v>
      </c>
      <c r="BZ3062">
        <v>0</v>
      </c>
      <c r="CA3062">
        <v>12.56</v>
      </c>
      <c r="CB3062">
        <v>1.8</v>
      </c>
      <c r="CC3062">
        <v>13.29</v>
      </c>
      <c r="CD3062">
        <v>11.08</v>
      </c>
      <c r="CE3062">
        <v>11.07</v>
      </c>
      <c r="CF3062">
        <v>10.51</v>
      </c>
      <c r="CG3062">
        <v>40.78</v>
      </c>
      <c r="CH3062">
        <v>40.81</v>
      </c>
      <c r="CI3062">
        <v>43.16</v>
      </c>
      <c r="CJ3062">
        <v>102910</v>
      </c>
      <c r="CK3062">
        <v>12665</v>
      </c>
      <c r="CL3062" t="s">
        <v>13382</v>
      </c>
      <c r="CM3062">
        <v>42.26</v>
      </c>
      <c r="CN3062">
        <v>27.42</v>
      </c>
      <c r="CO3062">
        <v>1.67</v>
      </c>
      <c r="CP3062">
        <v>8.33</v>
      </c>
      <c r="CQ3062">
        <v>12.1</v>
      </c>
      <c r="CR3062">
        <v>0.89</v>
      </c>
      <c r="CS3062" t="s">
        <v>2937</v>
      </c>
      <c r="CT3062">
        <v>7.39</v>
      </c>
      <c r="CU3062">
        <v>7.39</v>
      </c>
      <c r="CV3062">
        <v>3.54</v>
      </c>
      <c r="CW3062">
        <v>1.48</v>
      </c>
      <c r="CX3062">
        <v>1.48</v>
      </c>
      <c r="CY3062">
        <v>23.46</v>
      </c>
      <c r="CZ3062" t="s">
        <v>13383</v>
      </c>
      <c r="DA3062" t="s">
        <v>116</v>
      </c>
      <c r="DB3062">
        <v>44.69</v>
      </c>
      <c r="DC3062">
        <v>39.4</v>
      </c>
      <c r="DD3062">
        <v>0</v>
      </c>
      <c r="DE3062">
        <v>2922</v>
      </c>
      <c r="DF3062">
        <v>601198</v>
      </c>
      <c r="DG3062" t="s">
        <v>116</v>
      </c>
      <c r="DH3062" t="s">
        <v>116</v>
      </c>
      <c r="DI3062" t="s">
        <v>116</v>
      </c>
    </row>
    <row r="3063" spans="1:113" x14ac:dyDescent="0.4">
      <c r="A3063" t="str">
        <f>"601199"</f>
        <v>601199</v>
      </c>
      <c r="B3063" t="s">
        <v>13384</v>
      </c>
      <c r="C3063">
        <v>-0.53</v>
      </c>
      <c r="D3063">
        <v>3.74</v>
      </c>
      <c r="E3063">
        <v>-0.02</v>
      </c>
      <c r="F3063">
        <v>3.74</v>
      </c>
      <c r="G3063">
        <v>3.75</v>
      </c>
      <c r="H3063">
        <v>21969</v>
      </c>
      <c r="I3063">
        <v>230</v>
      </c>
      <c r="J3063">
        <v>-0.26</v>
      </c>
      <c r="K3063">
        <v>0.23</v>
      </c>
      <c r="L3063">
        <v>3.76</v>
      </c>
      <c r="M3063">
        <v>3.79</v>
      </c>
      <c r="N3063">
        <v>3.74</v>
      </c>
      <c r="O3063">
        <v>3.76</v>
      </c>
      <c r="P3063">
        <v>14.6</v>
      </c>
      <c r="Q3063">
        <v>8271386</v>
      </c>
      <c r="R3063">
        <v>1.17</v>
      </c>
      <c r="S3063" t="s">
        <v>1345</v>
      </c>
      <c r="T3063" t="s">
        <v>323</v>
      </c>
      <c r="U3063">
        <v>1.33</v>
      </c>
      <c r="V3063">
        <v>3.77</v>
      </c>
      <c r="W3063">
        <v>11972</v>
      </c>
      <c r="X3063">
        <v>9997</v>
      </c>
      <c r="Y3063">
        <v>1.2</v>
      </c>
      <c r="Z3063">
        <v>1001</v>
      </c>
      <c r="AA3063">
        <v>959</v>
      </c>
      <c r="AB3063" t="s">
        <v>116</v>
      </c>
      <c r="AC3063">
        <v>20700</v>
      </c>
      <c r="AD3063">
        <v>0</v>
      </c>
      <c r="AE3063" t="s">
        <v>116</v>
      </c>
      <c r="AF3063" t="s">
        <v>116</v>
      </c>
      <c r="AG3063">
        <v>9.35</v>
      </c>
      <c r="AH3063" t="s">
        <v>2521</v>
      </c>
      <c r="AI3063" t="s">
        <v>2521</v>
      </c>
      <c r="AJ3063">
        <v>-0.46</v>
      </c>
      <c r="AK3063">
        <v>458</v>
      </c>
      <c r="AL3063">
        <v>48</v>
      </c>
      <c r="AM3063">
        <v>5.0000000000000001E-4</v>
      </c>
      <c r="AN3063">
        <v>-1</v>
      </c>
      <c r="AO3063">
        <v>-0.27</v>
      </c>
      <c r="AP3063">
        <v>2.4700000000000002</v>
      </c>
      <c r="AQ3063">
        <v>-1.32</v>
      </c>
      <c r="AR3063">
        <v>7.16</v>
      </c>
      <c r="AS3063">
        <v>0.66</v>
      </c>
      <c r="AT3063" t="s">
        <v>7553</v>
      </c>
      <c r="AU3063">
        <v>15.2</v>
      </c>
      <c r="AV3063">
        <v>17.95</v>
      </c>
      <c r="AW3063">
        <v>0.72</v>
      </c>
      <c r="BA3063">
        <v>0</v>
      </c>
      <c r="BB3063">
        <v>0.8</v>
      </c>
      <c r="BC3063">
        <v>-0.53</v>
      </c>
      <c r="BD3063">
        <v>0.13</v>
      </c>
      <c r="BE3063">
        <v>-0.53</v>
      </c>
      <c r="BF3063">
        <v>-1.32</v>
      </c>
      <c r="BG3063">
        <v>0</v>
      </c>
      <c r="BH3063">
        <v>-0.67</v>
      </c>
      <c r="BI3063">
        <v>20191025</v>
      </c>
      <c r="BJ3063">
        <v>20110317</v>
      </c>
      <c r="BK3063">
        <v>9.35</v>
      </c>
      <c r="BL3063" t="s">
        <v>116</v>
      </c>
      <c r="BM3063" t="s">
        <v>116</v>
      </c>
      <c r="BN3063">
        <v>48.92</v>
      </c>
      <c r="BO3063">
        <v>28.47</v>
      </c>
      <c r="BP3063">
        <v>0.61</v>
      </c>
      <c r="BQ3063">
        <v>40.549999999999997</v>
      </c>
      <c r="BR3063">
        <v>16.239999999999998</v>
      </c>
      <c r="BS3063">
        <v>26.14</v>
      </c>
      <c r="BT3063">
        <v>2.5099999999999998</v>
      </c>
      <c r="BU3063">
        <v>11.46</v>
      </c>
      <c r="BV3063">
        <v>0.32</v>
      </c>
      <c r="BW3063">
        <v>1.69</v>
      </c>
      <c r="BX3063">
        <v>3.92</v>
      </c>
      <c r="BY3063">
        <v>7.08</v>
      </c>
      <c r="BZ3063">
        <v>3.26</v>
      </c>
      <c r="CA3063">
        <v>2.38</v>
      </c>
      <c r="CB3063">
        <v>0.18</v>
      </c>
      <c r="CC3063">
        <v>2.37</v>
      </c>
      <c r="CD3063">
        <v>1.8</v>
      </c>
      <c r="CE3063">
        <v>1.8</v>
      </c>
      <c r="CF3063">
        <v>1.74</v>
      </c>
      <c r="CG3063">
        <v>12.99</v>
      </c>
      <c r="CH3063">
        <v>4.03</v>
      </c>
      <c r="CI3063">
        <v>1.37</v>
      </c>
      <c r="CJ3063">
        <v>36368</v>
      </c>
      <c r="CK3063">
        <v>9186</v>
      </c>
      <c r="CL3063" t="s">
        <v>2181</v>
      </c>
      <c r="CM3063">
        <v>24.42</v>
      </c>
      <c r="CN3063">
        <v>8.3800000000000008</v>
      </c>
      <c r="CO3063">
        <v>1.23</v>
      </c>
      <c r="CP3063">
        <v>8.69</v>
      </c>
      <c r="CQ3063">
        <v>4.9400000000000004</v>
      </c>
      <c r="CR3063">
        <v>1.87</v>
      </c>
      <c r="CS3063" t="s">
        <v>1099</v>
      </c>
      <c r="CT3063">
        <v>3.04</v>
      </c>
      <c r="CU3063">
        <v>0</v>
      </c>
      <c r="CV3063">
        <v>0.42</v>
      </c>
      <c r="CW3063">
        <v>1.39</v>
      </c>
      <c r="CX3063">
        <v>0.43</v>
      </c>
      <c r="CY3063">
        <v>58.2</v>
      </c>
      <c r="CZ3063" t="s">
        <v>2691</v>
      </c>
      <c r="DA3063">
        <v>53.9</v>
      </c>
      <c r="DB3063">
        <v>33.659999999999997</v>
      </c>
      <c r="DC3063">
        <v>25.39</v>
      </c>
      <c r="DD3063">
        <v>0.01</v>
      </c>
      <c r="DE3063">
        <v>1003</v>
      </c>
      <c r="DF3063">
        <v>601199</v>
      </c>
      <c r="DG3063" t="s">
        <v>116</v>
      </c>
      <c r="DH3063" t="s">
        <v>116</v>
      </c>
      <c r="DI3063" t="s">
        <v>116</v>
      </c>
    </row>
    <row r="3064" spans="1:113" x14ac:dyDescent="0.4">
      <c r="A3064" t="str">
        <f>"601200"</f>
        <v>601200</v>
      </c>
      <c r="B3064" t="s">
        <v>13385</v>
      </c>
      <c r="C3064">
        <v>0.18</v>
      </c>
      <c r="D3064">
        <v>11.05</v>
      </c>
      <c r="E3064">
        <v>0.02</v>
      </c>
      <c r="F3064">
        <v>11.04</v>
      </c>
      <c r="G3064">
        <v>11.05</v>
      </c>
      <c r="H3064">
        <v>59281</v>
      </c>
      <c r="I3064">
        <v>139</v>
      </c>
      <c r="J3064">
        <v>0.18</v>
      </c>
      <c r="K3064">
        <v>0.68</v>
      </c>
      <c r="L3064">
        <v>11.01</v>
      </c>
      <c r="M3064">
        <v>11.12</v>
      </c>
      <c r="N3064">
        <v>10.99</v>
      </c>
      <c r="O3064">
        <v>11.03</v>
      </c>
      <c r="P3064">
        <v>17.16</v>
      </c>
      <c r="Q3064">
        <v>65529048</v>
      </c>
      <c r="R3064">
        <v>0.95</v>
      </c>
      <c r="S3064" t="s">
        <v>140</v>
      </c>
      <c r="T3064" t="s">
        <v>1653</v>
      </c>
      <c r="U3064">
        <v>1.18</v>
      </c>
      <c r="V3064">
        <v>11.05</v>
      </c>
      <c r="W3064">
        <v>30138</v>
      </c>
      <c r="X3064">
        <v>29143</v>
      </c>
      <c r="Y3064">
        <v>1.03</v>
      </c>
      <c r="Z3064">
        <v>390</v>
      </c>
      <c r="AA3064">
        <v>209</v>
      </c>
      <c r="AB3064" t="s">
        <v>116</v>
      </c>
      <c r="AC3064">
        <v>98000</v>
      </c>
      <c r="AD3064">
        <v>0</v>
      </c>
      <c r="AE3064" t="s">
        <v>116</v>
      </c>
      <c r="AF3064" t="s">
        <v>116</v>
      </c>
      <c r="AG3064">
        <v>8.74</v>
      </c>
      <c r="AH3064" t="s">
        <v>13386</v>
      </c>
      <c r="AI3064" t="s">
        <v>13387</v>
      </c>
      <c r="AJ3064">
        <v>0.26</v>
      </c>
      <c r="AK3064">
        <v>2022</v>
      </c>
      <c r="AL3064">
        <v>29</v>
      </c>
      <c r="AM3064">
        <v>2.9999999999999997E-4</v>
      </c>
      <c r="AN3064">
        <v>2</v>
      </c>
      <c r="AO3064">
        <v>0.82</v>
      </c>
      <c r="AP3064">
        <v>1.75</v>
      </c>
      <c r="AQ3064">
        <v>0.91</v>
      </c>
      <c r="AR3064">
        <v>8.9499999999999993</v>
      </c>
      <c r="AS3064">
        <v>1.39</v>
      </c>
      <c r="AT3064" t="s">
        <v>1903</v>
      </c>
      <c r="AU3064">
        <v>19.399999999999999</v>
      </c>
      <c r="AV3064">
        <v>17.46</v>
      </c>
      <c r="AW3064">
        <v>0.86</v>
      </c>
      <c r="BA3064">
        <v>-0.18</v>
      </c>
      <c r="BB3064">
        <v>0.82</v>
      </c>
      <c r="BC3064">
        <v>-0.36</v>
      </c>
      <c r="BD3064">
        <v>0.22</v>
      </c>
      <c r="BE3064">
        <v>0.36</v>
      </c>
      <c r="BF3064">
        <v>-0.63</v>
      </c>
      <c r="BG3064">
        <v>0.55000000000000004</v>
      </c>
      <c r="BH3064">
        <v>-0.04</v>
      </c>
      <c r="BI3064">
        <v>20191031</v>
      </c>
      <c r="BJ3064">
        <v>20170331</v>
      </c>
      <c r="BK3064">
        <v>9.1300000000000008</v>
      </c>
      <c r="BL3064" t="s">
        <v>116</v>
      </c>
      <c r="BM3064" t="s">
        <v>116</v>
      </c>
      <c r="BN3064">
        <v>184.69</v>
      </c>
      <c r="BO3064">
        <v>66.44</v>
      </c>
      <c r="BP3064">
        <v>16.41</v>
      </c>
      <c r="BQ3064">
        <v>55.14</v>
      </c>
      <c r="BR3064">
        <v>36.979999999999997</v>
      </c>
      <c r="BS3064">
        <v>3.31</v>
      </c>
      <c r="BT3064">
        <v>50.24</v>
      </c>
      <c r="BU3064">
        <v>38.93</v>
      </c>
      <c r="BV3064">
        <v>2.8</v>
      </c>
      <c r="BW3064">
        <v>10.02</v>
      </c>
      <c r="BX3064">
        <v>20.78</v>
      </c>
      <c r="BY3064">
        <v>21.77</v>
      </c>
      <c r="BZ3064">
        <v>13.3</v>
      </c>
      <c r="CA3064">
        <v>6.06</v>
      </c>
      <c r="CB3064">
        <v>0.03</v>
      </c>
      <c r="CC3064">
        <v>6.09</v>
      </c>
      <c r="CD3064">
        <v>5.19</v>
      </c>
      <c r="CE3064">
        <v>4.41</v>
      </c>
      <c r="CF3064">
        <v>4.32</v>
      </c>
      <c r="CG3064">
        <v>31.27</v>
      </c>
      <c r="CH3064">
        <v>8.48</v>
      </c>
      <c r="CI3064">
        <v>7.26</v>
      </c>
      <c r="CJ3064">
        <v>101193</v>
      </c>
      <c r="CK3064">
        <v>4218</v>
      </c>
      <c r="CL3064" t="s">
        <v>547</v>
      </c>
      <c r="CM3064">
        <v>-11.54</v>
      </c>
      <c r="CN3064">
        <v>18.68</v>
      </c>
      <c r="CO3064">
        <v>1.6</v>
      </c>
      <c r="CP3064">
        <v>11.89</v>
      </c>
      <c r="CQ3064">
        <v>4.6399999999999997</v>
      </c>
      <c r="CR3064">
        <v>0.59</v>
      </c>
      <c r="CS3064" t="s">
        <v>13388</v>
      </c>
      <c r="CT3064">
        <v>6.9</v>
      </c>
      <c r="CU3064">
        <v>6.9</v>
      </c>
      <c r="CV3064">
        <v>2.2799999999999998</v>
      </c>
      <c r="CW3064">
        <v>3.42</v>
      </c>
      <c r="CX3064">
        <v>0.93</v>
      </c>
      <c r="CY3064">
        <v>35.979999999999997</v>
      </c>
      <c r="CZ3064" t="s">
        <v>13389</v>
      </c>
      <c r="DA3064">
        <v>38.94</v>
      </c>
      <c r="DB3064">
        <v>27.82</v>
      </c>
      <c r="DC3064">
        <v>20.260000000000002</v>
      </c>
      <c r="DD3064">
        <v>0.2</v>
      </c>
      <c r="DE3064">
        <v>2034</v>
      </c>
      <c r="DF3064">
        <v>601200</v>
      </c>
      <c r="DG3064" t="s">
        <v>116</v>
      </c>
      <c r="DH3064" t="s">
        <v>116</v>
      </c>
      <c r="DI3064" t="s">
        <v>116</v>
      </c>
    </row>
    <row r="3065" spans="1:113" x14ac:dyDescent="0.4">
      <c r="A3065" t="str">
        <f>"601208"</f>
        <v>601208</v>
      </c>
      <c r="B3065" t="s">
        <v>13390</v>
      </c>
      <c r="C3065">
        <v>-1.22</v>
      </c>
      <c r="D3065">
        <v>4.8499999999999996</v>
      </c>
      <c r="E3065">
        <v>-0.06</v>
      </c>
      <c r="F3065">
        <v>4.8499999999999996</v>
      </c>
      <c r="G3065">
        <v>4.87</v>
      </c>
      <c r="H3065">
        <v>31019</v>
      </c>
      <c r="I3065">
        <v>345</v>
      </c>
      <c r="J3065">
        <v>-0.2</v>
      </c>
      <c r="K3065">
        <v>0.5</v>
      </c>
      <c r="L3065">
        <v>4.91</v>
      </c>
      <c r="M3065">
        <v>4.95</v>
      </c>
      <c r="N3065">
        <v>4.8499999999999996</v>
      </c>
      <c r="O3065">
        <v>4.91</v>
      </c>
      <c r="P3065">
        <v>55.87</v>
      </c>
      <c r="Q3065">
        <v>15177751</v>
      </c>
      <c r="R3065">
        <v>0.8</v>
      </c>
      <c r="S3065" t="s">
        <v>891</v>
      </c>
      <c r="T3065" t="s">
        <v>582</v>
      </c>
      <c r="U3065">
        <v>2.04</v>
      </c>
      <c r="V3065">
        <v>4.8899999999999997</v>
      </c>
      <c r="W3065">
        <v>19021</v>
      </c>
      <c r="X3065">
        <v>11998</v>
      </c>
      <c r="Y3065">
        <v>1.59</v>
      </c>
      <c r="Z3065">
        <v>481</v>
      </c>
      <c r="AA3065">
        <v>978</v>
      </c>
      <c r="AB3065" t="s">
        <v>116</v>
      </c>
      <c r="AC3065">
        <v>0</v>
      </c>
      <c r="AD3065">
        <v>0</v>
      </c>
      <c r="AE3065" t="s">
        <v>116</v>
      </c>
      <c r="AF3065" t="s">
        <v>116</v>
      </c>
      <c r="AG3065">
        <v>6.27</v>
      </c>
      <c r="AH3065" t="s">
        <v>584</v>
      </c>
      <c r="AI3065" t="s">
        <v>584</v>
      </c>
      <c r="AJ3065">
        <v>-1.1499999999999999</v>
      </c>
      <c r="AK3065">
        <v>660</v>
      </c>
      <c r="AL3065">
        <v>47</v>
      </c>
      <c r="AM3065">
        <v>8.0000000000000004E-4</v>
      </c>
      <c r="AN3065">
        <v>-1</v>
      </c>
      <c r="AO3065">
        <v>2.11</v>
      </c>
      <c r="AP3065">
        <v>6.13</v>
      </c>
      <c r="AQ3065">
        <v>1.89</v>
      </c>
      <c r="AR3065">
        <v>31.61</v>
      </c>
      <c r="AS3065">
        <v>0.66</v>
      </c>
      <c r="AT3065" t="s">
        <v>13391</v>
      </c>
      <c r="AU3065">
        <v>67.28</v>
      </c>
      <c r="AV3065">
        <v>94.51</v>
      </c>
      <c r="AW3065">
        <v>1.1299999999999999</v>
      </c>
      <c r="BA3065">
        <v>0</v>
      </c>
      <c r="BB3065">
        <v>0.81</v>
      </c>
      <c r="BC3065">
        <v>-1.22</v>
      </c>
      <c r="BD3065">
        <v>-0.35</v>
      </c>
      <c r="BE3065">
        <v>-1.22</v>
      </c>
      <c r="BF3065">
        <v>-2.02</v>
      </c>
      <c r="BG3065">
        <v>0</v>
      </c>
      <c r="BH3065">
        <v>-0.88</v>
      </c>
      <c r="BI3065">
        <v>20191031</v>
      </c>
      <c r="BJ3065">
        <v>20110520</v>
      </c>
      <c r="BK3065">
        <v>6.27</v>
      </c>
      <c r="BL3065" t="s">
        <v>116</v>
      </c>
      <c r="BM3065" t="s">
        <v>116</v>
      </c>
      <c r="BN3065">
        <v>30.33</v>
      </c>
      <c r="BO3065">
        <v>23.05</v>
      </c>
      <c r="BP3065">
        <v>0.14000000000000001</v>
      </c>
      <c r="BQ3065">
        <v>23.53</v>
      </c>
      <c r="BR3065">
        <v>9.8000000000000007</v>
      </c>
      <c r="BS3065">
        <v>13.29</v>
      </c>
      <c r="BT3065">
        <v>1.56</v>
      </c>
      <c r="BU3065">
        <v>5.23</v>
      </c>
      <c r="BV3065">
        <v>2.25</v>
      </c>
      <c r="BW3065">
        <v>3.41</v>
      </c>
      <c r="BX3065">
        <v>12.61</v>
      </c>
      <c r="BY3065">
        <v>12.92</v>
      </c>
      <c r="BZ3065">
        <v>10.28</v>
      </c>
      <c r="CA3065">
        <v>0.41</v>
      </c>
      <c r="CB3065">
        <v>0.14000000000000001</v>
      </c>
      <c r="CC3065">
        <v>0.42</v>
      </c>
      <c r="CD3065">
        <v>0.4</v>
      </c>
      <c r="CE3065">
        <v>0.41</v>
      </c>
      <c r="CF3065">
        <v>0.28000000000000003</v>
      </c>
      <c r="CG3065">
        <v>4.25</v>
      </c>
      <c r="CH3065">
        <v>0.39</v>
      </c>
      <c r="CI3065">
        <v>-0.44</v>
      </c>
      <c r="CJ3065">
        <v>39996</v>
      </c>
      <c r="CK3065">
        <v>11717</v>
      </c>
      <c r="CL3065" t="s">
        <v>6080</v>
      </c>
      <c r="CM3065">
        <v>46.87</v>
      </c>
      <c r="CN3065">
        <v>3.25</v>
      </c>
      <c r="CO3065">
        <v>1.32</v>
      </c>
      <c r="CP3065">
        <v>77.92</v>
      </c>
      <c r="CQ3065">
        <v>2.35</v>
      </c>
      <c r="CR3065">
        <v>0.3</v>
      </c>
      <c r="CS3065" t="s">
        <v>2638</v>
      </c>
      <c r="CT3065">
        <v>3.68</v>
      </c>
      <c r="CU3065">
        <v>0</v>
      </c>
      <c r="CV3065">
        <v>2.0099999999999998</v>
      </c>
      <c r="CW3065">
        <v>0.68</v>
      </c>
      <c r="CX3065">
        <v>0.06</v>
      </c>
      <c r="CY3065">
        <v>75.989999999999995</v>
      </c>
      <c r="CZ3065" t="s">
        <v>7638</v>
      </c>
      <c r="DA3065">
        <v>20.41</v>
      </c>
      <c r="DB3065">
        <v>3.19</v>
      </c>
      <c r="DC3065">
        <v>3.16</v>
      </c>
      <c r="DD3065">
        <v>0.69</v>
      </c>
      <c r="DE3065">
        <v>1598</v>
      </c>
      <c r="DF3065">
        <v>601208</v>
      </c>
      <c r="DG3065" t="s">
        <v>116</v>
      </c>
      <c r="DH3065" t="s">
        <v>116</v>
      </c>
      <c r="DI3065" t="s">
        <v>116</v>
      </c>
    </row>
    <row r="3066" spans="1:113" x14ac:dyDescent="0.4">
      <c r="A3066" t="str">
        <f>"601211"</f>
        <v>601211</v>
      </c>
      <c r="B3066" t="s">
        <v>13392</v>
      </c>
      <c r="C3066">
        <v>-1</v>
      </c>
      <c r="D3066">
        <v>17.760000000000002</v>
      </c>
      <c r="E3066">
        <v>-0.18</v>
      </c>
      <c r="F3066">
        <v>17.760000000000002</v>
      </c>
      <c r="G3066">
        <v>17.77</v>
      </c>
      <c r="H3066">
        <v>361109</v>
      </c>
      <c r="I3066">
        <v>2422</v>
      </c>
      <c r="J3066">
        <v>-0.21</v>
      </c>
      <c r="K3066">
        <v>0.48</v>
      </c>
      <c r="L3066">
        <v>17.93</v>
      </c>
      <c r="M3066">
        <v>18.18</v>
      </c>
      <c r="N3066">
        <v>17.760000000000002</v>
      </c>
      <c r="O3066">
        <v>17.940000000000001</v>
      </c>
      <c r="P3066">
        <v>18.13</v>
      </c>
      <c r="Q3066">
        <v>650265664</v>
      </c>
      <c r="R3066">
        <v>1.29</v>
      </c>
      <c r="S3066" t="s">
        <v>623</v>
      </c>
      <c r="T3066" t="s">
        <v>1653</v>
      </c>
      <c r="U3066">
        <v>2.34</v>
      </c>
      <c r="V3066">
        <v>18.010000000000002</v>
      </c>
      <c r="W3066">
        <v>180746</v>
      </c>
      <c r="X3066">
        <v>180364</v>
      </c>
      <c r="Y3066">
        <v>1</v>
      </c>
      <c r="Z3066">
        <v>164</v>
      </c>
      <c r="AA3066">
        <v>582</v>
      </c>
      <c r="AB3066" t="s">
        <v>116</v>
      </c>
      <c r="AC3066">
        <v>4740700</v>
      </c>
      <c r="AD3066">
        <v>0.01</v>
      </c>
      <c r="AE3066" t="s">
        <v>116</v>
      </c>
      <c r="AF3066" t="s">
        <v>116</v>
      </c>
      <c r="AG3066">
        <v>75.16</v>
      </c>
      <c r="AH3066" t="s">
        <v>13393</v>
      </c>
      <c r="AI3066" t="s">
        <v>13393</v>
      </c>
      <c r="AJ3066">
        <v>-0.93</v>
      </c>
      <c r="AK3066">
        <v>3846</v>
      </c>
      <c r="AL3066">
        <v>94</v>
      </c>
      <c r="AM3066">
        <v>1E-4</v>
      </c>
      <c r="AN3066">
        <v>-1</v>
      </c>
      <c r="AO3066">
        <v>0.11</v>
      </c>
      <c r="AP3066">
        <v>6.28</v>
      </c>
      <c r="AQ3066">
        <v>-1.72</v>
      </c>
      <c r="AR3066">
        <v>18.05</v>
      </c>
      <c r="AS3066">
        <v>0.84</v>
      </c>
      <c r="AT3066" t="s">
        <v>13394</v>
      </c>
      <c r="AU3066">
        <v>20.43</v>
      </c>
      <c r="AV3066">
        <v>23.58</v>
      </c>
      <c r="AW3066">
        <v>1.55</v>
      </c>
      <c r="BA3066">
        <v>-0.06</v>
      </c>
      <c r="BB3066">
        <v>1.34</v>
      </c>
      <c r="BC3066">
        <v>-1</v>
      </c>
      <c r="BD3066">
        <v>0.38</v>
      </c>
      <c r="BE3066">
        <v>-0.95</v>
      </c>
      <c r="BF3066">
        <v>-2.31</v>
      </c>
      <c r="BG3066">
        <v>0</v>
      </c>
      <c r="BH3066">
        <v>-1.38</v>
      </c>
      <c r="BI3066">
        <v>20191031</v>
      </c>
      <c r="BJ3066">
        <v>20150626</v>
      </c>
      <c r="BK3066">
        <v>89.08</v>
      </c>
      <c r="BL3066" t="s">
        <v>116</v>
      </c>
      <c r="BM3066">
        <v>13.92</v>
      </c>
      <c r="BN3066">
        <v>5370.36</v>
      </c>
      <c r="BO3066">
        <v>1352.19</v>
      </c>
      <c r="BP3066">
        <v>85.67</v>
      </c>
      <c r="BQ3066">
        <v>73.23</v>
      </c>
      <c r="BR3066">
        <v>0</v>
      </c>
      <c r="BS3066">
        <v>34.119999999999997</v>
      </c>
      <c r="BT3066">
        <v>22.97</v>
      </c>
      <c r="BU3066">
        <v>0</v>
      </c>
      <c r="BV3066">
        <v>0</v>
      </c>
      <c r="BW3066">
        <v>0</v>
      </c>
      <c r="BX3066">
        <v>461.43</v>
      </c>
      <c r="BY3066">
        <v>205.93</v>
      </c>
      <c r="BZ3066">
        <v>0</v>
      </c>
      <c r="CA3066">
        <v>89.12</v>
      </c>
      <c r="CB3066">
        <v>49.04</v>
      </c>
      <c r="CC3066">
        <v>89.1</v>
      </c>
      <c r="CD3066">
        <v>69.3</v>
      </c>
      <c r="CE3066">
        <v>65.459999999999994</v>
      </c>
      <c r="CF3066">
        <v>61.33</v>
      </c>
      <c r="CG3066">
        <v>411.96</v>
      </c>
      <c r="CH3066">
        <v>264.37</v>
      </c>
      <c r="CI3066">
        <v>230.73</v>
      </c>
      <c r="CJ3066">
        <v>170461</v>
      </c>
      <c r="CK3066">
        <v>25364</v>
      </c>
      <c r="CL3066" t="s">
        <v>13395</v>
      </c>
      <c r="CM3066">
        <v>18.760000000000002</v>
      </c>
      <c r="CN3066">
        <v>22.67</v>
      </c>
      <c r="CO3066">
        <v>1.33</v>
      </c>
      <c r="CP3066">
        <v>5.98</v>
      </c>
      <c r="CQ3066">
        <v>7.68</v>
      </c>
      <c r="CR3066">
        <v>1.55</v>
      </c>
      <c r="CS3066" t="s">
        <v>8941</v>
      </c>
      <c r="CT3066">
        <v>13.37</v>
      </c>
      <c r="CU3066">
        <v>13.37</v>
      </c>
      <c r="CV3066">
        <v>5.18</v>
      </c>
      <c r="CW3066">
        <v>4.62</v>
      </c>
      <c r="CX3066">
        <v>2.97</v>
      </c>
      <c r="CY3066">
        <v>25.18</v>
      </c>
      <c r="CZ3066" t="s">
        <v>6298</v>
      </c>
      <c r="DA3066" t="s">
        <v>116</v>
      </c>
      <c r="DB3066">
        <v>43.28</v>
      </c>
      <c r="DC3066">
        <v>31.79</v>
      </c>
      <c r="DD3066">
        <v>0</v>
      </c>
      <c r="DE3066">
        <v>15236</v>
      </c>
      <c r="DF3066">
        <v>601211</v>
      </c>
      <c r="DG3066" t="s">
        <v>116</v>
      </c>
      <c r="DH3066" t="s">
        <v>116</v>
      </c>
      <c r="DI3066" t="s">
        <v>116</v>
      </c>
    </row>
    <row r="3067" spans="1:113" x14ac:dyDescent="0.4">
      <c r="A3067" t="str">
        <f>"601212"</f>
        <v>601212</v>
      </c>
      <c r="B3067" t="s">
        <v>13396</v>
      </c>
      <c r="C3067">
        <v>0.28000000000000003</v>
      </c>
      <c r="D3067">
        <v>3.63</v>
      </c>
      <c r="E3067">
        <v>0.01</v>
      </c>
      <c r="F3067">
        <v>3.63</v>
      </c>
      <c r="G3067">
        <v>3.64</v>
      </c>
      <c r="H3067">
        <v>553171</v>
      </c>
      <c r="I3067">
        <v>4459</v>
      </c>
      <c r="J3067">
        <v>-0.26</v>
      </c>
      <c r="K3067">
        <v>2.82</v>
      </c>
      <c r="L3067">
        <v>3.62</v>
      </c>
      <c r="M3067">
        <v>3.79</v>
      </c>
      <c r="N3067">
        <v>3.6</v>
      </c>
      <c r="O3067">
        <v>3.62</v>
      </c>
      <c r="P3067">
        <v>2561.0700000000002</v>
      </c>
      <c r="Q3067">
        <v>203634592</v>
      </c>
      <c r="R3067">
        <v>1.97</v>
      </c>
      <c r="S3067" t="s">
        <v>1517</v>
      </c>
      <c r="T3067" t="s">
        <v>1122</v>
      </c>
      <c r="U3067">
        <v>5.25</v>
      </c>
      <c r="V3067">
        <v>3.68</v>
      </c>
      <c r="W3067">
        <v>236666</v>
      </c>
      <c r="X3067">
        <v>316505</v>
      </c>
      <c r="Y3067">
        <v>0.75</v>
      </c>
      <c r="Z3067">
        <v>1544</v>
      </c>
      <c r="AA3067">
        <v>1858</v>
      </c>
      <c r="AB3067" t="s">
        <v>116</v>
      </c>
      <c r="AC3067">
        <v>705500</v>
      </c>
      <c r="AD3067">
        <v>0.02</v>
      </c>
      <c r="AE3067" t="s">
        <v>116</v>
      </c>
      <c r="AF3067" t="s">
        <v>116</v>
      </c>
      <c r="AG3067">
        <v>19.649999999999999</v>
      </c>
      <c r="AH3067" t="s">
        <v>1910</v>
      </c>
      <c r="AI3067" t="s">
        <v>13397</v>
      </c>
      <c r="AJ3067">
        <v>0.35</v>
      </c>
      <c r="AK3067">
        <v>3539</v>
      </c>
      <c r="AL3067">
        <v>156</v>
      </c>
      <c r="AM3067">
        <v>8.0000000000000004E-4</v>
      </c>
      <c r="AN3067">
        <v>4</v>
      </c>
      <c r="AO3067">
        <v>3.42</v>
      </c>
      <c r="AP3067">
        <v>8.36</v>
      </c>
      <c r="AQ3067">
        <v>-10.15</v>
      </c>
      <c r="AR3067">
        <v>23.05</v>
      </c>
      <c r="AS3067">
        <v>4.8099999999999996</v>
      </c>
      <c r="AT3067" t="s">
        <v>4694</v>
      </c>
      <c r="AU3067">
        <v>96.09</v>
      </c>
      <c r="AV3067">
        <v>1037.78</v>
      </c>
      <c r="AW3067">
        <v>1.25</v>
      </c>
      <c r="BA3067">
        <v>0</v>
      </c>
      <c r="BB3067">
        <v>4.7</v>
      </c>
      <c r="BC3067">
        <v>-0.55000000000000004</v>
      </c>
      <c r="BD3067">
        <v>1.69</v>
      </c>
      <c r="BE3067">
        <v>0.28000000000000003</v>
      </c>
      <c r="BF3067">
        <v>-4.22</v>
      </c>
      <c r="BG3067">
        <v>0.83</v>
      </c>
      <c r="BH3067">
        <v>-1.41</v>
      </c>
      <c r="BI3067">
        <v>20191031</v>
      </c>
      <c r="BJ3067">
        <v>20170215</v>
      </c>
      <c r="BK3067">
        <v>74.05</v>
      </c>
      <c r="BL3067" t="s">
        <v>116</v>
      </c>
      <c r="BM3067" t="s">
        <v>116</v>
      </c>
      <c r="BN3067">
        <v>473.74</v>
      </c>
      <c r="BO3067">
        <v>120.5</v>
      </c>
      <c r="BP3067">
        <v>25.4</v>
      </c>
      <c r="BQ3067">
        <v>69.2</v>
      </c>
      <c r="BR3067">
        <v>217.59</v>
      </c>
      <c r="BS3067">
        <v>70.03</v>
      </c>
      <c r="BT3067">
        <v>62.14</v>
      </c>
      <c r="BU3067">
        <v>225.63</v>
      </c>
      <c r="BV3067">
        <v>110.2</v>
      </c>
      <c r="BW3067">
        <v>6.69</v>
      </c>
      <c r="BX3067">
        <v>35.47</v>
      </c>
      <c r="BY3067">
        <v>416.52</v>
      </c>
      <c r="BZ3067">
        <v>393.91</v>
      </c>
      <c r="CA3067">
        <v>2.2400000000000002</v>
      </c>
      <c r="CB3067">
        <v>-2.04</v>
      </c>
      <c r="CC3067">
        <v>2.1800000000000002</v>
      </c>
      <c r="CD3067">
        <v>0.72</v>
      </c>
      <c r="CE3067">
        <v>0.08</v>
      </c>
      <c r="CF3067">
        <v>-0.22</v>
      </c>
      <c r="CG3067">
        <v>28.58</v>
      </c>
      <c r="CH3067">
        <v>20.25</v>
      </c>
      <c r="CI3067">
        <v>-6.34</v>
      </c>
      <c r="CJ3067">
        <v>163545</v>
      </c>
      <c r="CK3067">
        <v>7037</v>
      </c>
      <c r="CL3067" t="s">
        <v>1236</v>
      </c>
      <c r="CM3067">
        <v>103.2</v>
      </c>
      <c r="CN3067">
        <v>2.1800000000000002</v>
      </c>
      <c r="CO3067">
        <v>2.23</v>
      </c>
      <c r="CP3067">
        <v>13.27</v>
      </c>
      <c r="CQ3067">
        <v>0.65</v>
      </c>
      <c r="CR3067">
        <v>0</v>
      </c>
      <c r="CS3067" t="s">
        <v>4302</v>
      </c>
      <c r="CT3067">
        <v>1.63</v>
      </c>
      <c r="CU3067">
        <v>0</v>
      </c>
      <c r="CV3067">
        <v>0.48</v>
      </c>
      <c r="CW3067">
        <v>0.39</v>
      </c>
      <c r="CX3067">
        <v>0.27</v>
      </c>
      <c r="CY3067">
        <v>25.44</v>
      </c>
      <c r="CZ3067" t="s">
        <v>3893</v>
      </c>
      <c r="DA3067">
        <v>5.43</v>
      </c>
      <c r="DB3067">
        <v>0.54</v>
      </c>
      <c r="DC3067">
        <v>0.02</v>
      </c>
      <c r="DD3067">
        <v>0.11</v>
      </c>
      <c r="DE3067">
        <v>14550</v>
      </c>
      <c r="DF3067">
        <v>601212</v>
      </c>
      <c r="DG3067" t="s">
        <v>116</v>
      </c>
      <c r="DH3067" t="s">
        <v>116</v>
      </c>
      <c r="DI3067" t="s">
        <v>116</v>
      </c>
    </row>
    <row r="3068" spans="1:113" x14ac:dyDescent="0.4">
      <c r="A3068" t="str">
        <f>"601216"</f>
        <v>601216</v>
      </c>
      <c r="B3068" t="s">
        <v>13398</v>
      </c>
      <c r="C3068">
        <v>-0.33</v>
      </c>
      <c r="D3068">
        <v>3.06</v>
      </c>
      <c r="E3068">
        <v>-0.01</v>
      </c>
      <c r="F3068">
        <v>3.06</v>
      </c>
      <c r="G3068">
        <v>3.07</v>
      </c>
      <c r="H3068">
        <v>448626</v>
      </c>
      <c r="I3068">
        <v>581</v>
      </c>
      <c r="J3068">
        <v>0</v>
      </c>
      <c r="K3068">
        <v>0.53</v>
      </c>
      <c r="L3068">
        <v>3.06</v>
      </c>
      <c r="M3068">
        <v>3.11</v>
      </c>
      <c r="N3068">
        <v>3.05</v>
      </c>
      <c r="O3068">
        <v>3.07</v>
      </c>
      <c r="P3068">
        <v>9.99</v>
      </c>
      <c r="Q3068">
        <v>138399952</v>
      </c>
      <c r="R3068">
        <v>1.57</v>
      </c>
      <c r="S3068" t="s">
        <v>891</v>
      </c>
      <c r="T3068" t="s">
        <v>796</v>
      </c>
      <c r="U3068">
        <v>1.95</v>
      </c>
      <c r="V3068">
        <v>3.08</v>
      </c>
      <c r="W3068">
        <v>176100</v>
      </c>
      <c r="X3068">
        <v>272526</v>
      </c>
      <c r="Y3068">
        <v>0.65</v>
      </c>
      <c r="Z3068">
        <v>6354</v>
      </c>
      <c r="AA3068">
        <v>8727</v>
      </c>
      <c r="AB3068" t="s">
        <v>116</v>
      </c>
      <c r="AC3068">
        <v>477700</v>
      </c>
      <c r="AD3068">
        <v>0.01</v>
      </c>
      <c r="AE3068" t="s">
        <v>116</v>
      </c>
      <c r="AF3068" t="s">
        <v>116</v>
      </c>
      <c r="AG3068">
        <v>84.38</v>
      </c>
      <c r="AH3068" t="s">
        <v>13399</v>
      </c>
      <c r="AI3068" t="s">
        <v>13399</v>
      </c>
      <c r="AJ3068">
        <v>-0.25</v>
      </c>
      <c r="AK3068">
        <v>2256</v>
      </c>
      <c r="AL3068">
        <v>199</v>
      </c>
      <c r="AM3068">
        <v>2.0000000000000001E-4</v>
      </c>
      <c r="AN3068">
        <v>-1</v>
      </c>
      <c r="AO3068">
        <v>0</v>
      </c>
      <c r="AP3068">
        <v>1.32</v>
      </c>
      <c r="AQ3068">
        <v>0.99</v>
      </c>
      <c r="AR3068">
        <v>16.79</v>
      </c>
      <c r="AS3068">
        <v>1.48</v>
      </c>
      <c r="AT3068" t="s">
        <v>13400</v>
      </c>
      <c r="AU3068">
        <v>10.96</v>
      </c>
      <c r="AV3068">
        <v>11.3</v>
      </c>
      <c r="AW3068">
        <v>1.31</v>
      </c>
      <c r="BA3068">
        <v>-0.33</v>
      </c>
      <c r="BB3068">
        <v>1.3</v>
      </c>
      <c r="BC3068">
        <v>-0.65</v>
      </c>
      <c r="BD3068">
        <v>0.49</v>
      </c>
      <c r="BE3068">
        <v>0</v>
      </c>
      <c r="BF3068">
        <v>-1.61</v>
      </c>
      <c r="BG3068">
        <v>0.33</v>
      </c>
      <c r="BH3068">
        <v>-0.81</v>
      </c>
      <c r="BI3068">
        <v>20191030</v>
      </c>
      <c r="BJ3068">
        <v>20110222</v>
      </c>
      <c r="BK3068">
        <v>84.38</v>
      </c>
      <c r="BL3068" t="s">
        <v>116</v>
      </c>
      <c r="BM3068" t="s">
        <v>116</v>
      </c>
      <c r="BN3068">
        <v>281.98</v>
      </c>
      <c r="BO3068">
        <v>184.96</v>
      </c>
      <c r="BP3068">
        <v>1.81</v>
      </c>
      <c r="BQ3068">
        <v>33.76</v>
      </c>
      <c r="BR3068">
        <v>25.94</v>
      </c>
      <c r="BS3068">
        <v>62.07</v>
      </c>
      <c r="BT3068">
        <v>5.43</v>
      </c>
      <c r="BU3068">
        <v>51.04</v>
      </c>
      <c r="BV3068">
        <v>5.42</v>
      </c>
      <c r="BW3068">
        <v>0.64</v>
      </c>
      <c r="BX3068">
        <v>2.75</v>
      </c>
      <c r="BY3068">
        <v>63.96</v>
      </c>
      <c r="BZ3068">
        <v>36.64</v>
      </c>
      <c r="CA3068">
        <v>21.91</v>
      </c>
      <c r="CB3068">
        <v>4.7699999999999996</v>
      </c>
      <c r="CC3068">
        <v>21.56</v>
      </c>
      <c r="CD3068">
        <v>19.27</v>
      </c>
      <c r="CE3068">
        <v>19.39</v>
      </c>
      <c r="CF3068">
        <v>17.28</v>
      </c>
      <c r="CG3068">
        <v>88.76</v>
      </c>
      <c r="CH3068">
        <v>16.73</v>
      </c>
      <c r="CI3068">
        <v>1.06</v>
      </c>
      <c r="CJ3068">
        <v>123216</v>
      </c>
      <c r="CK3068">
        <v>24649</v>
      </c>
      <c r="CL3068" t="s">
        <v>13401</v>
      </c>
      <c r="CM3068">
        <v>3.78</v>
      </c>
      <c r="CN3068">
        <v>1.54</v>
      </c>
      <c r="CO3068">
        <v>1.4</v>
      </c>
      <c r="CP3068">
        <v>15.43</v>
      </c>
      <c r="CQ3068">
        <v>4.04</v>
      </c>
      <c r="CR3068">
        <v>0</v>
      </c>
      <c r="CS3068" t="s">
        <v>3753</v>
      </c>
      <c r="CT3068">
        <v>2.19</v>
      </c>
      <c r="CU3068">
        <v>0</v>
      </c>
      <c r="CV3068">
        <v>0.03</v>
      </c>
      <c r="CW3068">
        <v>1.05</v>
      </c>
      <c r="CX3068">
        <v>0.2</v>
      </c>
      <c r="CY3068">
        <v>65.59</v>
      </c>
      <c r="CZ3068" t="s">
        <v>13402</v>
      </c>
      <c r="DA3068">
        <v>42.71</v>
      </c>
      <c r="DB3068">
        <v>34.26</v>
      </c>
      <c r="DC3068">
        <v>30.32</v>
      </c>
      <c r="DD3068">
        <v>1.36</v>
      </c>
      <c r="DE3068">
        <v>4783</v>
      </c>
      <c r="DF3068">
        <v>601216</v>
      </c>
      <c r="DG3068" t="s">
        <v>116</v>
      </c>
      <c r="DH3068" t="s">
        <v>116</v>
      </c>
      <c r="DI3068" t="s">
        <v>116</v>
      </c>
    </row>
    <row r="3069" spans="1:113" x14ac:dyDescent="0.4">
      <c r="A3069" t="str">
        <f>"601218"</f>
        <v>601218</v>
      </c>
      <c r="B3069" t="s">
        <v>13403</v>
      </c>
      <c r="C3069">
        <v>0.36</v>
      </c>
      <c r="D3069">
        <v>2.82</v>
      </c>
      <c r="E3069">
        <v>0.01</v>
      </c>
      <c r="F3069">
        <v>2.81</v>
      </c>
      <c r="G3069">
        <v>2.82</v>
      </c>
      <c r="H3069">
        <v>96977</v>
      </c>
      <c r="I3069">
        <v>661</v>
      </c>
      <c r="J3069">
        <v>0.36</v>
      </c>
      <c r="K3069">
        <v>0.99</v>
      </c>
      <c r="L3069">
        <v>2.81</v>
      </c>
      <c r="M3069">
        <v>2.87</v>
      </c>
      <c r="N3069">
        <v>2.8</v>
      </c>
      <c r="O3069">
        <v>2.81</v>
      </c>
      <c r="P3069">
        <v>59.82</v>
      </c>
      <c r="Q3069">
        <v>27502184</v>
      </c>
      <c r="R3069">
        <v>1.94</v>
      </c>
      <c r="S3069" t="s">
        <v>996</v>
      </c>
      <c r="T3069" t="s">
        <v>323</v>
      </c>
      <c r="U3069">
        <v>2.4900000000000002</v>
      </c>
      <c r="V3069">
        <v>2.84</v>
      </c>
      <c r="W3069">
        <v>45438</v>
      </c>
      <c r="X3069">
        <v>51539</v>
      </c>
      <c r="Y3069">
        <v>0.88</v>
      </c>
      <c r="Z3069">
        <v>2664</v>
      </c>
      <c r="AA3069">
        <v>1708</v>
      </c>
      <c r="AB3069" t="s">
        <v>116</v>
      </c>
      <c r="AC3069">
        <v>6500</v>
      </c>
      <c r="AD3069">
        <v>0</v>
      </c>
      <c r="AE3069" t="s">
        <v>116</v>
      </c>
      <c r="AF3069" t="s">
        <v>116</v>
      </c>
      <c r="AG3069">
        <v>9.77</v>
      </c>
      <c r="AH3069" t="s">
        <v>13404</v>
      </c>
      <c r="AI3069" t="s">
        <v>13405</v>
      </c>
      <c r="AJ3069">
        <v>0.43</v>
      </c>
      <c r="AK3069">
        <v>788</v>
      </c>
      <c r="AL3069">
        <v>123</v>
      </c>
      <c r="AM3069">
        <v>1.2999999999999999E-3</v>
      </c>
      <c r="AN3069">
        <v>1</v>
      </c>
      <c r="AO3069">
        <v>1.0900000000000001</v>
      </c>
      <c r="AP3069">
        <v>1.08</v>
      </c>
      <c r="AQ3069">
        <v>2.92</v>
      </c>
      <c r="AR3069">
        <v>24.23</v>
      </c>
      <c r="AS3069">
        <v>1.58</v>
      </c>
      <c r="AT3069" t="s">
        <v>6871</v>
      </c>
      <c r="AU3069">
        <v>44.58</v>
      </c>
      <c r="AV3069" t="s">
        <v>116</v>
      </c>
      <c r="AW3069">
        <v>1.04</v>
      </c>
      <c r="BA3069">
        <v>0</v>
      </c>
      <c r="BB3069">
        <v>2.14</v>
      </c>
      <c r="BC3069">
        <v>-0.36</v>
      </c>
      <c r="BD3069">
        <v>0.92</v>
      </c>
      <c r="BE3069">
        <v>0.36</v>
      </c>
      <c r="BF3069">
        <v>-1.74</v>
      </c>
      <c r="BG3069">
        <v>0.71</v>
      </c>
      <c r="BH3069">
        <v>-0.56999999999999995</v>
      </c>
      <c r="BI3069">
        <v>20191028</v>
      </c>
      <c r="BJ3069">
        <v>20110506</v>
      </c>
      <c r="BK3069">
        <v>9.92</v>
      </c>
      <c r="BL3069" t="s">
        <v>116</v>
      </c>
      <c r="BM3069" t="s">
        <v>116</v>
      </c>
      <c r="BN3069">
        <v>44.44</v>
      </c>
      <c r="BO3069">
        <v>24.68</v>
      </c>
      <c r="BP3069">
        <v>0.1</v>
      </c>
      <c r="BQ3069">
        <v>44.23</v>
      </c>
      <c r="BR3069">
        <v>23.97</v>
      </c>
      <c r="BS3069">
        <v>16.2</v>
      </c>
      <c r="BT3069">
        <v>1.92</v>
      </c>
      <c r="BU3069">
        <v>14.99</v>
      </c>
      <c r="BV3069">
        <v>4.87</v>
      </c>
      <c r="BW3069">
        <v>5.92</v>
      </c>
      <c r="BX3069">
        <v>5.67</v>
      </c>
      <c r="BY3069">
        <v>10.119999999999999</v>
      </c>
      <c r="BZ3069">
        <v>7.93</v>
      </c>
      <c r="CA3069">
        <v>0.32</v>
      </c>
      <c r="CB3069">
        <v>0</v>
      </c>
      <c r="CC3069">
        <v>0.28999999999999998</v>
      </c>
      <c r="CD3069">
        <v>0.34</v>
      </c>
      <c r="CE3069">
        <v>0.35</v>
      </c>
      <c r="CF3069">
        <v>0.37</v>
      </c>
      <c r="CG3069">
        <v>8.06</v>
      </c>
      <c r="CH3069">
        <v>0.61</v>
      </c>
      <c r="CI3069">
        <v>-1.1000000000000001</v>
      </c>
      <c r="CJ3069">
        <v>52439</v>
      </c>
      <c r="CK3069">
        <v>11737</v>
      </c>
      <c r="CL3069" t="s">
        <v>13406</v>
      </c>
      <c r="CM3069">
        <v>140.34</v>
      </c>
      <c r="CN3069">
        <v>8.11</v>
      </c>
      <c r="CO3069">
        <v>1.1299999999999999</v>
      </c>
      <c r="CP3069">
        <v>45.74</v>
      </c>
      <c r="CQ3069">
        <v>2.76</v>
      </c>
      <c r="CR3069">
        <v>0</v>
      </c>
      <c r="CS3069" t="s">
        <v>958</v>
      </c>
      <c r="CT3069">
        <v>2.4900000000000002</v>
      </c>
      <c r="CU3069">
        <v>0</v>
      </c>
      <c r="CV3069">
        <v>0.56999999999999995</v>
      </c>
      <c r="CW3069">
        <v>0.81</v>
      </c>
      <c r="CX3069">
        <v>0.06</v>
      </c>
      <c r="CY3069">
        <v>55.54</v>
      </c>
      <c r="CZ3069" t="s">
        <v>7970</v>
      </c>
      <c r="DA3069">
        <v>21.61</v>
      </c>
      <c r="DB3069">
        <v>3.13</v>
      </c>
      <c r="DC3069">
        <v>3.47</v>
      </c>
      <c r="DD3069">
        <v>0.35</v>
      </c>
      <c r="DE3069">
        <v>790</v>
      </c>
      <c r="DF3069">
        <v>601218</v>
      </c>
      <c r="DG3069" t="s">
        <v>116</v>
      </c>
      <c r="DH3069" t="s">
        <v>116</v>
      </c>
      <c r="DI3069" t="s">
        <v>116</v>
      </c>
    </row>
    <row r="3070" spans="1:113" x14ac:dyDescent="0.4">
      <c r="A3070" t="str">
        <f>"601222"</f>
        <v>601222</v>
      </c>
      <c r="B3070" t="s">
        <v>13407</v>
      </c>
      <c r="C3070">
        <v>-0.63</v>
      </c>
      <c r="D3070">
        <v>4.71</v>
      </c>
      <c r="E3070">
        <v>-0.03</v>
      </c>
      <c r="F3070">
        <v>4.71</v>
      </c>
      <c r="G3070">
        <v>4.72</v>
      </c>
      <c r="H3070">
        <v>154728</v>
      </c>
      <c r="I3070">
        <v>501</v>
      </c>
      <c r="J3070">
        <v>0</v>
      </c>
      <c r="K3070">
        <v>0.88</v>
      </c>
      <c r="L3070">
        <v>4.74</v>
      </c>
      <c r="M3070">
        <v>4.7699999999999996</v>
      </c>
      <c r="N3070">
        <v>4.6900000000000004</v>
      </c>
      <c r="O3070">
        <v>4.74</v>
      </c>
      <c r="P3070">
        <v>9.0500000000000007</v>
      </c>
      <c r="Q3070">
        <v>73227552</v>
      </c>
      <c r="R3070">
        <v>1.37</v>
      </c>
      <c r="S3070" t="s">
        <v>2977</v>
      </c>
      <c r="T3070" t="s">
        <v>323</v>
      </c>
      <c r="U3070">
        <v>1.69</v>
      </c>
      <c r="V3070">
        <v>4.7300000000000004</v>
      </c>
      <c r="W3070">
        <v>92800</v>
      </c>
      <c r="X3070">
        <v>61928</v>
      </c>
      <c r="Y3070">
        <v>1.5</v>
      </c>
      <c r="Z3070">
        <v>2635</v>
      </c>
      <c r="AA3070">
        <v>434</v>
      </c>
      <c r="AB3070" t="s">
        <v>116</v>
      </c>
      <c r="AC3070">
        <v>53600</v>
      </c>
      <c r="AD3070">
        <v>0</v>
      </c>
      <c r="AE3070" t="s">
        <v>116</v>
      </c>
      <c r="AF3070" t="s">
        <v>116</v>
      </c>
      <c r="AG3070">
        <v>17.489999999999998</v>
      </c>
      <c r="AH3070" t="s">
        <v>13408</v>
      </c>
      <c r="AI3070" t="s">
        <v>13409</v>
      </c>
      <c r="AJ3070">
        <v>-0.56000000000000005</v>
      </c>
      <c r="AK3070">
        <v>1986</v>
      </c>
      <c r="AL3070">
        <v>78</v>
      </c>
      <c r="AM3070">
        <v>4.0000000000000002E-4</v>
      </c>
      <c r="AN3070">
        <v>-1</v>
      </c>
      <c r="AO3070">
        <v>0.86</v>
      </c>
      <c r="AP3070">
        <v>7.29</v>
      </c>
      <c r="AQ3070">
        <v>-1.05</v>
      </c>
      <c r="AR3070">
        <v>0.96</v>
      </c>
      <c r="AS3070">
        <v>1.5</v>
      </c>
      <c r="AT3070" t="s">
        <v>13410</v>
      </c>
      <c r="AU3070">
        <v>10.35</v>
      </c>
      <c r="AV3070">
        <v>10.89</v>
      </c>
      <c r="AW3070">
        <v>1.51</v>
      </c>
      <c r="BA3070">
        <v>0</v>
      </c>
      <c r="BB3070">
        <v>0.63</v>
      </c>
      <c r="BC3070">
        <v>-1.05</v>
      </c>
      <c r="BD3070">
        <v>-0.15</v>
      </c>
      <c r="BE3070">
        <v>-0.63</v>
      </c>
      <c r="BF3070">
        <v>-1.26</v>
      </c>
      <c r="BG3070">
        <v>0.43</v>
      </c>
      <c r="BH3070">
        <v>-0.48</v>
      </c>
      <c r="BI3070">
        <v>20191022</v>
      </c>
      <c r="BJ3070">
        <v>20110808</v>
      </c>
      <c r="BK3070">
        <v>17.579999999999998</v>
      </c>
      <c r="BL3070" t="s">
        <v>116</v>
      </c>
      <c r="BM3070" t="s">
        <v>116</v>
      </c>
      <c r="BN3070">
        <v>179.58</v>
      </c>
      <c r="BO3070">
        <v>103.12</v>
      </c>
      <c r="BP3070">
        <v>0.25</v>
      </c>
      <c r="BQ3070">
        <v>42.44</v>
      </c>
      <c r="BR3070">
        <v>79.099999999999994</v>
      </c>
      <c r="BS3070">
        <v>89.23</v>
      </c>
      <c r="BT3070">
        <v>1.21</v>
      </c>
      <c r="BU3070">
        <v>27.16</v>
      </c>
      <c r="BV3070">
        <v>8.42</v>
      </c>
      <c r="BW3070">
        <v>30.94</v>
      </c>
      <c r="BX3070">
        <v>47.33</v>
      </c>
      <c r="BY3070">
        <v>25.46</v>
      </c>
      <c r="BZ3070">
        <v>13.23</v>
      </c>
      <c r="CA3070">
        <v>7.61</v>
      </c>
      <c r="CB3070">
        <v>0.5</v>
      </c>
      <c r="CC3070">
        <v>7.47</v>
      </c>
      <c r="CD3070">
        <v>6.88</v>
      </c>
      <c r="CE3070">
        <v>6.86</v>
      </c>
      <c r="CF3070">
        <v>6.79</v>
      </c>
      <c r="CG3070">
        <v>30.85</v>
      </c>
      <c r="CH3070">
        <v>1.97</v>
      </c>
      <c r="CI3070">
        <v>-5.4</v>
      </c>
      <c r="CJ3070">
        <v>51938</v>
      </c>
      <c r="CK3070">
        <v>19901</v>
      </c>
      <c r="CL3070" t="s">
        <v>971</v>
      </c>
      <c r="CM3070">
        <v>6.03</v>
      </c>
      <c r="CN3070">
        <v>-7.23</v>
      </c>
      <c r="CO3070">
        <v>0.86</v>
      </c>
      <c r="CP3070">
        <v>42.12</v>
      </c>
      <c r="CQ3070">
        <v>3.25</v>
      </c>
      <c r="CR3070">
        <v>3.67</v>
      </c>
      <c r="CS3070" t="s">
        <v>6158</v>
      </c>
      <c r="CT3070">
        <v>5.5</v>
      </c>
      <c r="CU3070">
        <v>5.5</v>
      </c>
      <c r="CV3070">
        <v>2.69</v>
      </c>
      <c r="CW3070">
        <v>1.76</v>
      </c>
      <c r="CX3070">
        <v>0.11</v>
      </c>
      <c r="CY3070">
        <v>57.42</v>
      </c>
      <c r="CZ3070" t="s">
        <v>1907</v>
      </c>
      <c r="DA3070">
        <v>48.02</v>
      </c>
      <c r="DB3070">
        <v>29.91</v>
      </c>
      <c r="DC3070">
        <v>26.95</v>
      </c>
      <c r="DD3070">
        <v>0.88</v>
      </c>
      <c r="DE3070">
        <v>3886</v>
      </c>
      <c r="DF3070">
        <v>601222</v>
      </c>
      <c r="DG3070" t="s">
        <v>116</v>
      </c>
      <c r="DH3070" t="s">
        <v>116</v>
      </c>
      <c r="DI3070" t="s">
        <v>116</v>
      </c>
    </row>
    <row r="3071" spans="1:113" x14ac:dyDescent="0.4">
      <c r="A3071" t="str">
        <f>"601225"</f>
        <v>601225</v>
      </c>
      <c r="B3071" t="s">
        <v>13411</v>
      </c>
      <c r="C3071">
        <v>1.1399999999999999</v>
      </c>
      <c r="D3071">
        <v>8.9</v>
      </c>
      <c r="E3071">
        <v>0.1</v>
      </c>
      <c r="F3071">
        <v>8.89</v>
      </c>
      <c r="G3071">
        <v>8.9</v>
      </c>
      <c r="H3071">
        <v>255611</v>
      </c>
      <c r="I3071">
        <v>2243</v>
      </c>
      <c r="J3071">
        <v>0.11</v>
      </c>
      <c r="K3071">
        <v>0.26</v>
      </c>
      <c r="L3071">
        <v>8.8000000000000007</v>
      </c>
      <c r="M3071">
        <v>8.9499999999999993</v>
      </c>
      <c r="N3071">
        <v>8.76</v>
      </c>
      <c r="O3071">
        <v>8.8000000000000007</v>
      </c>
      <c r="P3071">
        <v>7.35</v>
      </c>
      <c r="Q3071">
        <v>226691296</v>
      </c>
      <c r="R3071">
        <v>1.93</v>
      </c>
      <c r="S3071" t="s">
        <v>1121</v>
      </c>
      <c r="T3071" t="s">
        <v>913</v>
      </c>
      <c r="U3071">
        <v>2.16</v>
      </c>
      <c r="V3071">
        <v>8.8699999999999992</v>
      </c>
      <c r="W3071">
        <v>85723</v>
      </c>
      <c r="X3071">
        <v>169888</v>
      </c>
      <c r="Y3071">
        <v>0.5</v>
      </c>
      <c r="Z3071">
        <v>458</v>
      </c>
      <c r="AA3071">
        <v>206</v>
      </c>
      <c r="AB3071" t="s">
        <v>116</v>
      </c>
      <c r="AC3071">
        <v>101200</v>
      </c>
      <c r="AD3071">
        <v>0</v>
      </c>
      <c r="AE3071" t="s">
        <v>116</v>
      </c>
      <c r="AF3071" t="s">
        <v>116</v>
      </c>
      <c r="AG3071">
        <v>100</v>
      </c>
      <c r="AH3071" t="s">
        <v>13412</v>
      </c>
      <c r="AI3071" t="s">
        <v>13412</v>
      </c>
      <c r="AJ3071">
        <v>1.21</v>
      </c>
      <c r="AK3071">
        <v>3585</v>
      </c>
      <c r="AL3071">
        <v>71</v>
      </c>
      <c r="AM3071">
        <v>1E-4</v>
      </c>
      <c r="AN3071">
        <v>2</v>
      </c>
      <c r="AO3071">
        <v>1.72</v>
      </c>
      <c r="AP3071">
        <v>4.95</v>
      </c>
      <c r="AQ3071">
        <v>1.37</v>
      </c>
      <c r="AR3071">
        <v>25.18</v>
      </c>
      <c r="AS3071">
        <v>0.69</v>
      </c>
      <c r="AT3071" t="s">
        <v>13413</v>
      </c>
      <c r="AU3071">
        <v>7.94</v>
      </c>
      <c r="AV3071">
        <v>8.1</v>
      </c>
      <c r="AW3071">
        <v>1.2</v>
      </c>
      <c r="BA3071">
        <v>0</v>
      </c>
      <c r="BB3071">
        <v>1.7</v>
      </c>
      <c r="BC3071">
        <v>-0.45</v>
      </c>
      <c r="BD3071">
        <v>0.78</v>
      </c>
      <c r="BE3071">
        <v>1.1399999999999999</v>
      </c>
      <c r="BF3071">
        <v>-0.56000000000000005</v>
      </c>
      <c r="BG3071">
        <v>1.6</v>
      </c>
      <c r="BH3071">
        <v>0.36</v>
      </c>
      <c r="BI3071">
        <v>20191031</v>
      </c>
      <c r="BJ3071">
        <v>20140128</v>
      </c>
      <c r="BK3071">
        <v>100</v>
      </c>
      <c r="BL3071" t="s">
        <v>116</v>
      </c>
      <c r="BM3071" t="s">
        <v>116</v>
      </c>
      <c r="BN3071">
        <v>1245.5999999999999</v>
      </c>
      <c r="BO3071">
        <v>563.91999999999996</v>
      </c>
      <c r="BP3071">
        <v>197.15</v>
      </c>
      <c r="BQ3071">
        <v>38.9</v>
      </c>
      <c r="BR3071">
        <v>331.87</v>
      </c>
      <c r="BS3071">
        <v>387.37</v>
      </c>
      <c r="BT3071">
        <v>218.68</v>
      </c>
      <c r="BU3071">
        <v>252.6</v>
      </c>
      <c r="BV3071">
        <v>11.33</v>
      </c>
      <c r="BW3071">
        <v>41.58</v>
      </c>
      <c r="BX3071">
        <v>73.95</v>
      </c>
      <c r="BY3071">
        <v>507.55</v>
      </c>
      <c r="BZ3071">
        <v>285.66000000000003</v>
      </c>
      <c r="CA3071">
        <v>151.94999999999999</v>
      </c>
      <c r="CB3071">
        <v>11.94</v>
      </c>
      <c r="CC3071">
        <v>151.71</v>
      </c>
      <c r="CD3071">
        <v>131.22999999999999</v>
      </c>
      <c r="CE3071">
        <v>90.83</v>
      </c>
      <c r="CF3071">
        <v>89.19</v>
      </c>
      <c r="CG3071">
        <v>356.05</v>
      </c>
      <c r="CH3071">
        <v>156.02000000000001</v>
      </c>
      <c r="CI3071">
        <v>42.01</v>
      </c>
      <c r="CJ3071">
        <v>46193</v>
      </c>
      <c r="CK3071">
        <v>79799</v>
      </c>
      <c r="CL3071" t="s">
        <v>13414</v>
      </c>
      <c r="CM3071">
        <v>2.4700000000000002</v>
      </c>
      <c r="CN3071">
        <v>23.4</v>
      </c>
      <c r="CO3071">
        <v>1.58</v>
      </c>
      <c r="CP3071">
        <v>5.7</v>
      </c>
      <c r="CQ3071">
        <v>1.75</v>
      </c>
      <c r="CR3071">
        <v>3.59</v>
      </c>
      <c r="CS3071" t="s">
        <v>10546</v>
      </c>
      <c r="CT3071">
        <v>5.64</v>
      </c>
      <c r="CU3071">
        <v>0</v>
      </c>
      <c r="CV3071">
        <v>0.74</v>
      </c>
      <c r="CW3071">
        <v>3.56</v>
      </c>
      <c r="CX3071">
        <v>1.56</v>
      </c>
      <c r="CY3071">
        <v>45.27</v>
      </c>
      <c r="CZ3071" t="s">
        <v>13415</v>
      </c>
      <c r="DA3071">
        <v>43.72</v>
      </c>
      <c r="DB3071">
        <v>29.94</v>
      </c>
      <c r="DC3071">
        <v>17.899999999999999</v>
      </c>
      <c r="DD3071">
        <v>0.04</v>
      </c>
      <c r="DE3071">
        <v>29619</v>
      </c>
      <c r="DF3071">
        <v>601225</v>
      </c>
      <c r="DG3071" t="s">
        <v>116</v>
      </c>
      <c r="DH3071" t="s">
        <v>116</v>
      </c>
      <c r="DI3071" t="s">
        <v>116</v>
      </c>
    </row>
    <row r="3072" spans="1:113" x14ac:dyDescent="0.4">
      <c r="A3072" t="str">
        <f>"601226"</f>
        <v>601226</v>
      </c>
      <c r="B3072" t="s">
        <v>13416</v>
      </c>
      <c r="C3072">
        <v>0</v>
      </c>
      <c r="D3072">
        <v>4.2</v>
      </c>
      <c r="E3072">
        <v>0</v>
      </c>
      <c r="F3072">
        <v>4.1900000000000004</v>
      </c>
      <c r="G3072">
        <v>4.2</v>
      </c>
      <c r="H3072">
        <v>33084</v>
      </c>
      <c r="I3072">
        <v>254</v>
      </c>
      <c r="J3072">
        <v>0</v>
      </c>
      <c r="K3072">
        <v>0.28999999999999998</v>
      </c>
      <c r="L3072">
        <v>4.1900000000000004</v>
      </c>
      <c r="M3072">
        <v>4.25</v>
      </c>
      <c r="N3072">
        <v>4.1900000000000004</v>
      </c>
      <c r="O3072">
        <v>4.2</v>
      </c>
      <c r="P3072">
        <v>64.08</v>
      </c>
      <c r="Q3072">
        <v>13995432</v>
      </c>
      <c r="R3072">
        <v>1.57</v>
      </c>
      <c r="S3072" t="s">
        <v>682</v>
      </c>
      <c r="T3072" t="s">
        <v>165</v>
      </c>
      <c r="U3072">
        <v>1.43</v>
      </c>
      <c r="V3072">
        <v>4.2300000000000004</v>
      </c>
      <c r="W3072">
        <v>18030</v>
      </c>
      <c r="X3072">
        <v>15054</v>
      </c>
      <c r="Y3072">
        <v>1.2</v>
      </c>
      <c r="Z3072">
        <v>807</v>
      </c>
      <c r="AA3072">
        <v>148</v>
      </c>
      <c r="AB3072" t="s">
        <v>116</v>
      </c>
      <c r="AC3072">
        <v>10100</v>
      </c>
      <c r="AD3072">
        <v>0</v>
      </c>
      <c r="AE3072" t="s">
        <v>116</v>
      </c>
      <c r="AF3072" t="s">
        <v>116</v>
      </c>
      <c r="AG3072">
        <v>11.55</v>
      </c>
      <c r="AH3072" t="s">
        <v>13417</v>
      </c>
      <c r="AI3072" t="s">
        <v>13417</v>
      </c>
      <c r="AJ3072">
        <v>0.08</v>
      </c>
      <c r="AK3072">
        <v>522</v>
      </c>
      <c r="AL3072">
        <v>63</v>
      </c>
      <c r="AM3072">
        <v>5.0000000000000001E-4</v>
      </c>
      <c r="AN3072">
        <v>0</v>
      </c>
      <c r="AO3072">
        <v>0.24</v>
      </c>
      <c r="AP3072">
        <v>5.26</v>
      </c>
      <c r="AQ3072">
        <v>1.94</v>
      </c>
      <c r="AR3072">
        <v>14.29</v>
      </c>
      <c r="AS3072">
        <v>0.78</v>
      </c>
      <c r="AT3072" t="s">
        <v>5425</v>
      </c>
      <c r="AU3072">
        <v>72.510000000000005</v>
      </c>
      <c r="AV3072">
        <v>85.04</v>
      </c>
      <c r="AW3072">
        <v>1.28</v>
      </c>
      <c r="BA3072">
        <v>-0.24</v>
      </c>
      <c r="BB3072">
        <v>1.19</v>
      </c>
      <c r="BC3072">
        <v>-0.24</v>
      </c>
      <c r="BD3072">
        <v>0.72</v>
      </c>
      <c r="BE3072">
        <v>0.24</v>
      </c>
      <c r="BF3072">
        <v>-1.18</v>
      </c>
      <c r="BG3072">
        <v>0.24</v>
      </c>
      <c r="BH3072">
        <v>-0.72</v>
      </c>
      <c r="BI3072">
        <v>20191030</v>
      </c>
      <c r="BJ3072">
        <v>20141211</v>
      </c>
      <c r="BK3072">
        <v>11.55</v>
      </c>
      <c r="BL3072" t="s">
        <v>116</v>
      </c>
      <c r="BM3072" t="s">
        <v>116</v>
      </c>
      <c r="BN3072">
        <v>88.03</v>
      </c>
      <c r="BO3072">
        <v>36</v>
      </c>
      <c r="BP3072">
        <v>0.28999999999999998</v>
      </c>
      <c r="BQ3072">
        <v>58.78</v>
      </c>
      <c r="BR3072">
        <v>75.89</v>
      </c>
      <c r="BS3072">
        <v>8.66</v>
      </c>
      <c r="BT3072">
        <v>2.83</v>
      </c>
      <c r="BU3072">
        <v>51.31</v>
      </c>
      <c r="BV3072">
        <v>21.58</v>
      </c>
      <c r="BW3072">
        <v>26.43</v>
      </c>
      <c r="BX3072">
        <v>12.2</v>
      </c>
      <c r="BY3072">
        <v>47.3</v>
      </c>
      <c r="BZ3072">
        <v>42.55</v>
      </c>
      <c r="CA3072">
        <v>0.48</v>
      </c>
      <c r="CB3072">
        <v>0.11</v>
      </c>
      <c r="CC3072">
        <v>0.47</v>
      </c>
      <c r="CD3072">
        <v>0.56999999999999995</v>
      </c>
      <c r="CE3072">
        <v>0.56999999999999995</v>
      </c>
      <c r="CF3072">
        <v>0.4</v>
      </c>
      <c r="CG3072">
        <v>10.67</v>
      </c>
      <c r="CH3072">
        <v>1.45</v>
      </c>
      <c r="CI3072">
        <v>1.43</v>
      </c>
      <c r="CJ3072">
        <v>40877</v>
      </c>
      <c r="CK3072">
        <v>10419</v>
      </c>
      <c r="CL3072" t="s">
        <v>1807</v>
      </c>
      <c r="CM3072">
        <v>21.01</v>
      </c>
      <c r="CN3072">
        <v>10.9</v>
      </c>
      <c r="CO3072">
        <v>1.35</v>
      </c>
      <c r="CP3072">
        <v>33.520000000000003</v>
      </c>
      <c r="CQ3072">
        <v>1.03</v>
      </c>
      <c r="CR3072">
        <v>0.36</v>
      </c>
      <c r="CS3072" t="s">
        <v>5719</v>
      </c>
      <c r="CT3072">
        <v>3.12</v>
      </c>
      <c r="CU3072">
        <v>0</v>
      </c>
      <c r="CV3072">
        <v>1.06</v>
      </c>
      <c r="CW3072">
        <v>0.92</v>
      </c>
      <c r="CX3072">
        <v>0.13</v>
      </c>
      <c r="CY3072">
        <v>40.89</v>
      </c>
      <c r="CZ3072" t="s">
        <v>5084</v>
      </c>
      <c r="DA3072">
        <v>10.039999999999999</v>
      </c>
      <c r="DB3072">
        <v>1.02</v>
      </c>
      <c r="DC3072">
        <v>1.2</v>
      </c>
      <c r="DD3072">
        <v>1.06</v>
      </c>
      <c r="DE3072">
        <v>2572</v>
      </c>
      <c r="DF3072">
        <v>601226</v>
      </c>
      <c r="DG3072" t="s">
        <v>116</v>
      </c>
      <c r="DH3072" t="s">
        <v>116</v>
      </c>
      <c r="DI3072" t="s">
        <v>116</v>
      </c>
    </row>
    <row r="3073" spans="1:113" x14ac:dyDescent="0.4">
      <c r="A3073" t="str">
        <f>"601228"</f>
        <v>601228</v>
      </c>
      <c r="B3073" t="s">
        <v>13418</v>
      </c>
      <c r="C3073">
        <v>0.53</v>
      </c>
      <c r="D3073">
        <v>3.81</v>
      </c>
      <c r="E3073">
        <v>0.02</v>
      </c>
      <c r="F3073">
        <v>3.8</v>
      </c>
      <c r="G3073">
        <v>3.81</v>
      </c>
      <c r="H3073">
        <v>78541</v>
      </c>
      <c r="I3073">
        <v>545</v>
      </c>
      <c r="J3073">
        <v>0</v>
      </c>
      <c r="K3073">
        <v>0.54</v>
      </c>
      <c r="L3073">
        <v>3.8</v>
      </c>
      <c r="M3073">
        <v>3.82</v>
      </c>
      <c r="N3073">
        <v>3.77</v>
      </c>
      <c r="O3073">
        <v>3.79</v>
      </c>
      <c r="P3073">
        <v>24.02</v>
      </c>
      <c r="Q3073">
        <v>29798996</v>
      </c>
      <c r="R3073">
        <v>1.43</v>
      </c>
      <c r="S3073" t="s">
        <v>515</v>
      </c>
      <c r="T3073" t="s">
        <v>551</v>
      </c>
      <c r="U3073">
        <v>1.32</v>
      </c>
      <c r="V3073">
        <v>3.79</v>
      </c>
      <c r="W3073">
        <v>45481</v>
      </c>
      <c r="X3073">
        <v>33060</v>
      </c>
      <c r="Y3073">
        <v>1.38</v>
      </c>
      <c r="Z3073">
        <v>2830</v>
      </c>
      <c r="AA3073">
        <v>3464</v>
      </c>
      <c r="AB3073" t="s">
        <v>116</v>
      </c>
      <c r="AC3073">
        <v>186600</v>
      </c>
      <c r="AD3073">
        <v>0</v>
      </c>
      <c r="AE3073" t="s">
        <v>116</v>
      </c>
      <c r="AF3073" t="s">
        <v>116</v>
      </c>
      <c r="AG3073">
        <v>14.43</v>
      </c>
      <c r="AH3073" t="s">
        <v>13419</v>
      </c>
      <c r="AI3073" t="s">
        <v>13420</v>
      </c>
      <c r="AJ3073">
        <v>0.6</v>
      </c>
      <c r="AK3073">
        <v>1194</v>
      </c>
      <c r="AL3073">
        <v>66</v>
      </c>
      <c r="AM3073">
        <v>5.0000000000000001E-4</v>
      </c>
      <c r="AN3073">
        <v>2</v>
      </c>
      <c r="AO3073">
        <v>0</v>
      </c>
      <c r="AP3073">
        <v>1.87</v>
      </c>
      <c r="AQ3073">
        <v>0</v>
      </c>
      <c r="AR3073">
        <v>-2.93</v>
      </c>
      <c r="AS3073">
        <v>0.54</v>
      </c>
      <c r="AT3073" t="s">
        <v>13419</v>
      </c>
      <c r="AU3073">
        <v>31.98</v>
      </c>
      <c r="AV3073">
        <v>32.83</v>
      </c>
      <c r="AW3073">
        <v>0.81</v>
      </c>
      <c r="BA3073">
        <v>0.26</v>
      </c>
      <c r="BB3073">
        <v>0.79</v>
      </c>
      <c r="BC3073">
        <v>-0.53</v>
      </c>
      <c r="BD3073">
        <v>0.11</v>
      </c>
      <c r="BE3073">
        <v>0.26</v>
      </c>
      <c r="BF3073">
        <v>-0.26</v>
      </c>
      <c r="BG3073">
        <v>1.06</v>
      </c>
      <c r="BH3073">
        <v>0.42</v>
      </c>
      <c r="BI3073">
        <v>20191031</v>
      </c>
      <c r="BJ3073">
        <v>20170329</v>
      </c>
      <c r="BK3073">
        <v>61.93</v>
      </c>
      <c r="BL3073" t="s">
        <v>116</v>
      </c>
      <c r="BM3073" t="s">
        <v>116</v>
      </c>
      <c r="BN3073">
        <v>279.39999999999998</v>
      </c>
      <c r="BO3073">
        <v>131.11000000000001</v>
      </c>
      <c r="BP3073">
        <v>26.44</v>
      </c>
      <c r="BQ3073">
        <v>43.61</v>
      </c>
      <c r="BR3073">
        <v>48.18</v>
      </c>
      <c r="BS3073">
        <v>123.73</v>
      </c>
      <c r="BT3073">
        <v>46.46</v>
      </c>
      <c r="BU3073">
        <v>46.32</v>
      </c>
      <c r="BV3073">
        <v>7.85</v>
      </c>
      <c r="BW3073">
        <v>11.07</v>
      </c>
      <c r="BX3073">
        <v>18.61</v>
      </c>
      <c r="BY3073">
        <v>76.86</v>
      </c>
      <c r="BZ3073">
        <v>58.85</v>
      </c>
      <c r="CA3073">
        <v>11.06</v>
      </c>
      <c r="CB3073">
        <v>0.87</v>
      </c>
      <c r="CC3073">
        <v>11.33</v>
      </c>
      <c r="CD3073">
        <v>8.85</v>
      </c>
      <c r="CE3073">
        <v>7.37</v>
      </c>
      <c r="CF3073">
        <v>6.22</v>
      </c>
      <c r="CG3073">
        <v>45.33</v>
      </c>
      <c r="CH3073">
        <v>23.43</v>
      </c>
      <c r="CI3073">
        <v>5.54</v>
      </c>
      <c r="CJ3073">
        <v>112111</v>
      </c>
      <c r="CK3073">
        <v>12873</v>
      </c>
      <c r="CL3073" t="s">
        <v>867</v>
      </c>
      <c r="CM3073">
        <v>2.66</v>
      </c>
      <c r="CN3073">
        <v>13.96</v>
      </c>
      <c r="CO3073">
        <v>1.8</v>
      </c>
      <c r="CP3073">
        <v>10.07</v>
      </c>
      <c r="CQ3073">
        <v>3.07</v>
      </c>
      <c r="CR3073">
        <v>0.92</v>
      </c>
      <c r="CS3073" t="s">
        <v>5567</v>
      </c>
      <c r="CT3073">
        <v>2.12</v>
      </c>
      <c r="CU3073">
        <v>0</v>
      </c>
      <c r="CV3073">
        <v>0.3</v>
      </c>
      <c r="CW3073">
        <v>0.73</v>
      </c>
      <c r="CX3073">
        <v>0.38</v>
      </c>
      <c r="CY3073">
        <v>46.93</v>
      </c>
      <c r="CZ3073" t="s">
        <v>6974</v>
      </c>
      <c r="DA3073">
        <v>23.43</v>
      </c>
      <c r="DB3073">
        <v>14.39</v>
      </c>
      <c r="DC3073">
        <v>9.59</v>
      </c>
      <c r="DD3073">
        <v>0.12</v>
      </c>
      <c r="DE3073">
        <v>9240</v>
      </c>
      <c r="DF3073">
        <v>601228</v>
      </c>
      <c r="DG3073" t="s">
        <v>116</v>
      </c>
      <c r="DH3073" t="s">
        <v>116</v>
      </c>
      <c r="DI3073" t="s">
        <v>116</v>
      </c>
    </row>
    <row r="3074" spans="1:113" x14ac:dyDescent="0.4">
      <c r="A3074" t="str">
        <f>"601229"</f>
        <v>601229</v>
      </c>
      <c r="B3074" t="s">
        <v>13421</v>
      </c>
      <c r="C3074">
        <v>0</v>
      </c>
      <c r="D3074">
        <v>9.4600000000000009</v>
      </c>
      <c r="E3074">
        <v>0</v>
      </c>
      <c r="F3074">
        <v>9.4600000000000009</v>
      </c>
      <c r="G3074">
        <v>9.4700000000000006</v>
      </c>
      <c r="H3074">
        <v>213379</v>
      </c>
      <c r="I3074">
        <v>1054</v>
      </c>
      <c r="J3074">
        <v>0</v>
      </c>
      <c r="K3074">
        <v>0.16</v>
      </c>
      <c r="L3074">
        <v>9.4499999999999993</v>
      </c>
      <c r="M3074">
        <v>9.5399999999999991</v>
      </c>
      <c r="N3074">
        <v>9.4499999999999993</v>
      </c>
      <c r="O3074">
        <v>9.4600000000000009</v>
      </c>
      <c r="P3074">
        <v>6.16</v>
      </c>
      <c r="Q3074">
        <v>202474480</v>
      </c>
      <c r="R3074">
        <v>0.99</v>
      </c>
      <c r="S3074" t="s">
        <v>114</v>
      </c>
      <c r="T3074" t="s">
        <v>1653</v>
      </c>
      <c r="U3074">
        <v>0.95</v>
      </c>
      <c r="V3074">
        <v>9.49</v>
      </c>
      <c r="W3074">
        <v>101223</v>
      </c>
      <c r="X3074">
        <v>112156</v>
      </c>
      <c r="Y3074">
        <v>0.9</v>
      </c>
      <c r="Z3074">
        <v>177</v>
      </c>
      <c r="AA3074">
        <v>2348</v>
      </c>
      <c r="AB3074" t="s">
        <v>116</v>
      </c>
      <c r="AC3074">
        <v>1166100</v>
      </c>
      <c r="AD3074">
        <v>0</v>
      </c>
      <c r="AE3074" t="s">
        <v>116</v>
      </c>
      <c r="AF3074" t="s">
        <v>116</v>
      </c>
      <c r="AG3074">
        <v>132.62</v>
      </c>
      <c r="AH3074" t="s">
        <v>13422</v>
      </c>
      <c r="AI3074" t="s">
        <v>13423</v>
      </c>
      <c r="AJ3074">
        <v>0.08</v>
      </c>
      <c r="AK3074">
        <v>3238</v>
      </c>
      <c r="AL3074">
        <v>66</v>
      </c>
      <c r="AM3074">
        <v>0</v>
      </c>
      <c r="AN3074">
        <v>0</v>
      </c>
      <c r="AO3074">
        <v>-0.11</v>
      </c>
      <c r="AP3074">
        <v>2.94</v>
      </c>
      <c r="AQ3074">
        <v>0.85</v>
      </c>
      <c r="AR3074">
        <v>14.51</v>
      </c>
      <c r="AS3074">
        <v>0.24</v>
      </c>
      <c r="AT3074" t="s">
        <v>13424</v>
      </c>
      <c r="AU3074">
        <v>6.68</v>
      </c>
      <c r="AV3074">
        <v>7.45</v>
      </c>
      <c r="AW3074">
        <v>0.77</v>
      </c>
      <c r="BA3074">
        <v>-0.11</v>
      </c>
      <c r="BB3074">
        <v>0.85</v>
      </c>
      <c r="BC3074">
        <v>-0.11</v>
      </c>
      <c r="BD3074">
        <v>0.31</v>
      </c>
      <c r="BE3074">
        <v>0.11</v>
      </c>
      <c r="BF3074">
        <v>-0.84</v>
      </c>
      <c r="BG3074">
        <v>0.11</v>
      </c>
      <c r="BH3074">
        <v>-0.31</v>
      </c>
      <c r="BI3074">
        <v>20191115</v>
      </c>
      <c r="BJ3074">
        <v>20161116</v>
      </c>
      <c r="BK3074">
        <v>142.07</v>
      </c>
      <c r="BL3074" t="s">
        <v>116</v>
      </c>
      <c r="BM3074" t="s">
        <v>116</v>
      </c>
      <c r="BN3074">
        <v>21875.59</v>
      </c>
      <c r="BO3074">
        <v>1732.84</v>
      </c>
      <c r="BP3074">
        <v>5.2</v>
      </c>
      <c r="BQ3074">
        <v>92.05</v>
      </c>
      <c r="BR3074">
        <v>0</v>
      </c>
      <c r="BS3074">
        <v>55.68</v>
      </c>
      <c r="BT3074">
        <v>7.29</v>
      </c>
      <c r="BU3074">
        <v>0</v>
      </c>
      <c r="BV3074">
        <v>0</v>
      </c>
      <c r="BW3074">
        <v>0</v>
      </c>
      <c r="BX3074">
        <v>220.53</v>
      </c>
      <c r="BY3074">
        <v>378.81</v>
      </c>
      <c r="BZ3074">
        <v>0</v>
      </c>
      <c r="CA3074">
        <v>182.97</v>
      </c>
      <c r="CB3074">
        <v>85.79</v>
      </c>
      <c r="CC3074">
        <v>184.36</v>
      </c>
      <c r="CD3074">
        <v>163.96</v>
      </c>
      <c r="CE3074">
        <v>163.59</v>
      </c>
      <c r="CF3074">
        <v>162.25</v>
      </c>
      <c r="CG3074">
        <v>490.41</v>
      </c>
      <c r="CH3074">
        <v>-125.47</v>
      </c>
      <c r="CI3074">
        <v>-316.85000000000002</v>
      </c>
      <c r="CJ3074">
        <v>132786</v>
      </c>
      <c r="CK3074">
        <v>67731</v>
      </c>
      <c r="CL3074" t="s">
        <v>13425</v>
      </c>
      <c r="CM3074">
        <v>14.59</v>
      </c>
      <c r="CN3074">
        <v>19.760000000000002</v>
      </c>
      <c r="CO3074">
        <v>0.88</v>
      </c>
      <c r="CP3074">
        <v>-10.71</v>
      </c>
      <c r="CQ3074">
        <v>3.55</v>
      </c>
      <c r="CR3074">
        <v>3.66</v>
      </c>
      <c r="CS3074" t="s">
        <v>3679</v>
      </c>
      <c r="CT3074">
        <v>10.79</v>
      </c>
      <c r="CU3074">
        <v>10.79</v>
      </c>
      <c r="CV3074">
        <v>1.55</v>
      </c>
      <c r="CW3074">
        <v>3.45</v>
      </c>
      <c r="CX3074">
        <v>-0.88</v>
      </c>
      <c r="CY3074">
        <v>7.92</v>
      </c>
      <c r="CZ3074" t="s">
        <v>8501</v>
      </c>
      <c r="DA3074" t="s">
        <v>116</v>
      </c>
      <c r="DB3074">
        <v>48.3</v>
      </c>
      <c r="DC3074">
        <v>43.19</v>
      </c>
      <c r="DD3074">
        <v>0</v>
      </c>
      <c r="DE3074">
        <v>10459</v>
      </c>
      <c r="DF3074">
        <v>601229</v>
      </c>
      <c r="DG3074" t="s">
        <v>116</v>
      </c>
      <c r="DH3074" t="s">
        <v>116</v>
      </c>
      <c r="DI3074" t="s">
        <v>116</v>
      </c>
    </row>
    <row r="3075" spans="1:113" x14ac:dyDescent="0.4">
      <c r="A3075" t="str">
        <f>"601231"</f>
        <v>601231</v>
      </c>
      <c r="B3075" t="s">
        <v>13426</v>
      </c>
      <c r="C3075">
        <v>-4.88</v>
      </c>
      <c r="D3075">
        <v>19.5</v>
      </c>
      <c r="E3075">
        <v>-1</v>
      </c>
      <c r="F3075">
        <v>19.5</v>
      </c>
      <c r="G3075">
        <v>19.510000000000002</v>
      </c>
      <c r="H3075">
        <v>462849</v>
      </c>
      <c r="I3075">
        <v>13979</v>
      </c>
      <c r="J3075">
        <v>-1.06</v>
      </c>
      <c r="K3075">
        <v>2.13</v>
      </c>
      <c r="L3075">
        <v>20.6</v>
      </c>
      <c r="M3075">
        <v>20.8</v>
      </c>
      <c r="N3075">
        <v>19.5</v>
      </c>
      <c r="O3075">
        <v>20.5</v>
      </c>
      <c r="P3075">
        <v>36.97</v>
      </c>
      <c r="Q3075">
        <v>932920704</v>
      </c>
      <c r="R3075">
        <v>0.73</v>
      </c>
      <c r="S3075" t="s">
        <v>233</v>
      </c>
      <c r="T3075" t="s">
        <v>1653</v>
      </c>
      <c r="U3075">
        <v>6.34</v>
      </c>
      <c r="V3075">
        <v>20.16</v>
      </c>
      <c r="W3075">
        <v>276737</v>
      </c>
      <c r="X3075">
        <v>186113</v>
      </c>
      <c r="Y3075">
        <v>1.49</v>
      </c>
      <c r="Z3075">
        <v>1839</v>
      </c>
      <c r="AA3075">
        <v>592</v>
      </c>
      <c r="AB3075" t="s">
        <v>116</v>
      </c>
      <c r="AC3075">
        <v>14844399</v>
      </c>
      <c r="AD3075">
        <v>0.15</v>
      </c>
      <c r="AE3075" t="s">
        <v>116</v>
      </c>
      <c r="AF3075" t="s">
        <v>116</v>
      </c>
      <c r="AG3075">
        <v>21.76</v>
      </c>
      <c r="AH3075" t="s">
        <v>13427</v>
      </c>
      <c r="AI3075" t="s">
        <v>13427</v>
      </c>
      <c r="AJ3075">
        <v>-4.8</v>
      </c>
      <c r="AK3075">
        <v>4502</v>
      </c>
      <c r="AL3075">
        <v>103</v>
      </c>
      <c r="AM3075">
        <v>5.0000000000000001E-4</v>
      </c>
      <c r="AN3075">
        <v>-1</v>
      </c>
      <c r="AO3075">
        <v>-4.5</v>
      </c>
      <c r="AP3075">
        <v>20.82</v>
      </c>
      <c r="AQ3075">
        <v>21.34</v>
      </c>
      <c r="AR3075">
        <v>120.69</v>
      </c>
      <c r="AS3075">
        <v>9.76</v>
      </c>
      <c r="AT3075" t="s">
        <v>13428</v>
      </c>
      <c r="AU3075">
        <v>33.590000000000003</v>
      </c>
      <c r="AV3075">
        <v>35.97</v>
      </c>
      <c r="AW3075">
        <v>2.02</v>
      </c>
      <c r="BA3075">
        <v>0.49</v>
      </c>
      <c r="BB3075">
        <v>1.46</v>
      </c>
      <c r="BC3075">
        <v>-4.88</v>
      </c>
      <c r="BD3075">
        <v>-1.68</v>
      </c>
      <c r="BE3075">
        <v>-5.34</v>
      </c>
      <c r="BF3075">
        <v>-6.25</v>
      </c>
      <c r="BG3075">
        <v>0</v>
      </c>
      <c r="BH3075">
        <v>-3.2</v>
      </c>
      <c r="BI3075">
        <v>20191213</v>
      </c>
      <c r="BJ3075">
        <v>20120220</v>
      </c>
      <c r="BK3075">
        <v>21.76</v>
      </c>
      <c r="BL3075" t="s">
        <v>116</v>
      </c>
      <c r="BM3075" t="s">
        <v>116</v>
      </c>
      <c r="BN3075">
        <v>217.3</v>
      </c>
      <c r="BO3075">
        <v>98.05</v>
      </c>
      <c r="BP3075">
        <v>0</v>
      </c>
      <c r="BQ3075">
        <v>54.88</v>
      </c>
      <c r="BR3075">
        <v>182.16</v>
      </c>
      <c r="BS3075">
        <v>15.42</v>
      </c>
      <c r="BT3075">
        <v>0.94</v>
      </c>
      <c r="BU3075">
        <v>112.17</v>
      </c>
      <c r="BV3075">
        <v>50.87</v>
      </c>
      <c r="BW3075">
        <v>77.900000000000006</v>
      </c>
      <c r="BX3075">
        <v>16.670000000000002</v>
      </c>
      <c r="BY3075">
        <v>259.70999999999998</v>
      </c>
      <c r="BZ3075">
        <v>233.99</v>
      </c>
      <c r="CA3075">
        <v>9.58</v>
      </c>
      <c r="CB3075">
        <v>0.83</v>
      </c>
      <c r="CC3075">
        <v>9.65</v>
      </c>
      <c r="CD3075">
        <v>8.61</v>
      </c>
      <c r="CE3075">
        <v>8.61</v>
      </c>
      <c r="CF3075">
        <v>7.16</v>
      </c>
      <c r="CG3075">
        <v>57.61</v>
      </c>
      <c r="CH3075">
        <v>3.42</v>
      </c>
      <c r="CI3075">
        <v>-1.1100000000000001</v>
      </c>
      <c r="CJ3075">
        <v>29824</v>
      </c>
      <c r="CK3075">
        <v>15896</v>
      </c>
      <c r="CL3075" t="s">
        <v>13429</v>
      </c>
      <c r="CM3075">
        <v>10.76</v>
      </c>
      <c r="CN3075">
        <v>17.27</v>
      </c>
      <c r="CO3075">
        <v>4.33</v>
      </c>
      <c r="CP3075">
        <v>123.9</v>
      </c>
      <c r="CQ3075">
        <v>1.63</v>
      </c>
      <c r="CR3075">
        <v>0.84</v>
      </c>
      <c r="CS3075" t="s">
        <v>5370</v>
      </c>
      <c r="CT3075">
        <v>4.51</v>
      </c>
      <c r="CU3075">
        <v>0</v>
      </c>
      <c r="CV3075">
        <v>0.77</v>
      </c>
      <c r="CW3075">
        <v>2.65</v>
      </c>
      <c r="CX3075">
        <v>0.16</v>
      </c>
      <c r="CY3075">
        <v>45.12</v>
      </c>
      <c r="CZ3075" t="s">
        <v>4937</v>
      </c>
      <c r="DA3075">
        <v>9.9</v>
      </c>
      <c r="DB3075">
        <v>3.69</v>
      </c>
      <c r="DC3075">
        <v>3.31</v>
      </c>
      <c r="DD3075">
        <v>9.5299999999999994</v>
      </c>
      <c r="DE3075">
        <v>18567</v>
      </c>
      <c r="DF3075">
        <v>601231</v>
      </c>
      <c r="DG3075" t="s">
        <v>116</v>
      </c>
      <c r="DH3075" t="s">
        <v>116</v>
      </c>
      <c r="DI3075" t="s">
        <v>116</v>
      </c>
    </row>
    <row r="3076" spans="1:113" x14ac:dyDescent="0.4">
      <c r="A3076" t="str">
        <f>"601233"</f>
        <v>601233</v>
      </c>
      <c r="B3076" t="s">
        <v>13430</v>
      </c>
      <c r="C3076">
        <v>1.59</v>
      </c>
      <c r="D3076">
        <v>14.05</v>
      </c>
      <c r="E3076">
        <v>0.22</v>
      </c>
      <c r="F3076">
        <v>14.05</v>
      </c>
      <c r="G3076">
        <v>14.06</v>
      </c>
      <c r="H3076">
        <v>331905</v>
      </c>
      <c r="I3076">
        <v>5076</v>
      </c>
      <c r="J3076">
        <v>-0.06</v>
      </c>
      <c r="K3076">
        <v>1.8</v>
      </c>
      <c r="L3076">
        <v>13.84</v>
      </c>
      <c r="M3076">
        <v>14.34</v>
      </c>
      <c r="N3076">
        <v>13.74</v>
      </c>
      <c r="O3076">
        <v>13.83</v>
      </c>
      <c r="P3076">
        <v>7.95</v>
      </c>
      <c r="Q3076">
        <v>466801440</v>
      </c>
      <c r="R3076">
        <v>2.1</v>
      </c>
      <c r="S3076" t="s">
        <v>630</v>
      </c>
      <c r="T3076" t="s">
        <v>590</v>
      </c>
      <c r="U3076">
        <v>4.34</v>
      </c>
      <c r="V3076">
        <v>14.06</v>
      </c>
      <c r="W3076">
        <v>155346</v>
      </c>
      <c r="X3076">
        <v>176559</v>
      </c>
      <c r="Y3076">
        <v>0.88</v>
      </c>
      <c r="Z3076">
        <v>929</v>
      </c>
      <c r="AA3076">
        <v>228</v>
      </c>
      <c r="AB3076" t="s">
        <v>116</v>
      </c>
      <c r="AC3076">
        <v>347400</v>
      </c>
      <c r="AD3076">
        <v>0</v>
      </c>
      <c r="AE3076" t="s">
        <v>116</v>
      </c>
      <c r="AF3076" t="s">
        <v>116</v>
      </c>
      <c r="AG3076">
        <v>18.48</v>
      </c>
      <c r="AH3076" t="s">
        <v>13431</v>
      </c>
      <c r="AI3076" t="s">
        <v>13431</v>
      </c>
      <c r="AJ3076">
        <v>1.67</v>
      </c>
      <c r="AK3076">
        <v>3995</v>
      </c>
      <c r="AL3076">
        <v>83</v>
      </c>
      <c r="AM3076">
        <v>4.0000000000000002E-4</v>
      </c>
      <c r="AN3076">
        <v>2</v>
      </c>
      <c r="AO3076">
        <v>2.71</v>
      </c>
      <c r="AP3076">
        <v>9.77</v>
      </c>
      <c r="AQ3076">
        <v>11.86</v>
      </c>
      <c r="AR3076">
        <v>45.75</v>
      </c>
      <c r="AS3076">
        <v>3.16</v>
      </c>
      <c r="AT3076" t="s">
        <v>13432</v>
      </c>
      <c r="AU3076">
        <v>12.56</v>
      </c>
      <c r="AV3076">
        <v>12.25</v>
      </c>
      <c r="AW3076">
        <v>0.95</v>
      </c>
      <c r="BA3076">
        <v>7.0000000000000007E-2</v>
      </c>
      <c r="BB3076">
        <v>3.69</v>
      </c>
      <c r="BC3076">
        <v>-0.65</v>
      </c>
      <c r="BD3076">
        <v>1.69</v>
      </c>
      <c r="BE3076">
        <v>1.52</v>
      </c>
      <c r="BF3076">
        <v>-2.02</v>
      </c>
      <c r="BG3076">
        <v>2.2599999999999998</v>
      </c>
      <c r="BH3076">
        <v>-0.1</v>
      </c>
      <c r="BI3076">
        <v>20191026</v>
      </c>
      <c r="BJ3076">
        <v>20110518</v>
      </c>
      <c r="BK3076">
        <v>18.48</v>
      </c>
      <c r="BL3076" t="s">
        <v>116</v>
      </c>
      <c r="BM3076" t="s">
        <v>116</v>
      </c>
      <c r="BN3076">
        <v>390.44</v>
      </c>
      <c r="BO3076">
        <v>185.7</v>
      </c>
      <c r="BP3076">
        <v>0.67</v>
      </c>
      <c r="BQ3076">
        <v>52.27</v>
      </c>
      <c r="BR3076">
        <v>139.97</v>
      </c>
      <c r="BS3076">
        <v>160.27000000000001</v>
      </c>
      <c r="BT3076">
        <v>11.27</v>
      </c>
      <c r="BU3076">
        <v>165.88</v>
      </c>
      <c r="BV3076">
        <v>25.63</v>
      </c>
      <c r="BW3076">
        <v>3.15</v>
      </c>
      <c r="BX3076">
        <v>62.26</v>
      </c>
      <c r="BY3076">
        <v>372.4</v>
      </c>
      <c r="BZ3076">
        <v>323.18</v>
      </c>
      <c r="CA3076">
        <v>32.01</v>
      </c>
      <c r="CB3076">
        <v>0.31</v>
      </c>
      <c r="CC3076">
        <v>32.270000000000003</v>
      </c>
      <c r="CD3076">
        <v>24.58</v>
      </c>
      <c r="CE3076">
        <v>24.51</v>
      </c>
      <c r="CF3076">
        <v>23.64</v>
      </c>
      <c r="CG3076">
        <v>90.53</v>
      </c>
      <c r="CH3076">
        <v>57.16</v>
      </c>
      <c r="CI3076">
        <v>24.63</v>
      </c>
      <c r="CJ3076">
        <v>50241</v>
      </c>
      <c r="CK3076">
        <v>20922</v>
      </c>
      <c r="CL3076" t="s">
        <v>13433</v>
      </c>
      <c r="CM3076">
        <v>-2.1</v>
      </c>
      <c r="CN3076">
        <v>20.66</v>
      </c>
      <c r="CO3076">
        <v>1.45</v>
      </c>
      <c r="CP3076">
        <v>4.54</v>
      </c>
      <c r="CQ3076">
        <v>0.7</v>
      </c>
      <c r="CR3076">
        <v>0.84</v>
      </c>
      <c r="CS3076" t="s">
        <v>10883</v>
      </c>
      <c r="CT3076">
        <v>9.68</v>
      </c>
      <c r="CU3076">
        <v>9.68</v>
      </c>
      <c r="CV3076">
        <v>3.37</v>
      </c>
      <c r="CW3076">
        <v>4.9000000000000004</v>
      </c>
      <c r="CX3076">
        <v>3.09</v>
      </c>
      <c r="CY3076">
        <v>47.56</v>
      </c>
      <c r="CZ3076" t="s">
        <v>13434</v>
      </c>
      <c r="DA3076">
        <v>13.22</v>
      </c>
      <c r="DB3076">
        <v>8.6</v>
      </c>
      <c r="DC3076">
        <v>6.58</v>
      </c>
      <c r="DD3076">
        <v>8.16</v>
      </c>
      <c r="DE3076">
        <v>17463</v>
      </c>
      <c r="DF3076">
        <v>601233</v>
      </c>
      <c r="DG3076" t="s">
        <v>116</v>
      </c>
      <c r="DH3076" t="s">
        <v>116</v>
      </c>
      <c r="DI3076" t="s">
        <v>116</v>
      </c>
    </row>
    <row r="3077" spans="1:113" x14ac:dyDescent="0.4">
      <c r="A3077" t="str">
        <f>"601236"</f>
        <v>601236</v>
      </c>
      <c r="B3077" t="s">
        <v>13435</v>
      </c>
      <c r="C3077">
        <v>-4.5</v>
      </c>
      <c r="D3077">
        <v>16.57</v>
      </c>
      <c r="E3077">
        <v>-0.78</v>
      </c>
      <c r="F3077">
        <v>16.559999999999999</v>
      </c>
      <c r="G3077">
        <v>16.57</v>
      </c>
      <c r="H3077">
        <v>692148</v>
      </c>
      <c r="I3077">
        <v>9133</v>
      </c>
      <c r="J3077">
        <v>-0.23</v>
      </c>
      <c r="K3077">
        <v>19.02</v>
      </c>
      <c r="L3077">
        <v>17.149999999999999</v>
      </c>
      <c r="M3077">
        <v>17.600000000000001</v>
      </c>
      <c r="N3077">
        <v>16.5</v>
      </c>
      <c r="O3077">
        <v>17.350000000000001</v>
      </c>
      <c r="P3077">
        <v>85.24</v>
      </c>
      <c r="Q3077">
        <v>1183112704</v>
      </c>
      <c r="R3077">
        <v>1.1599999999999999</v>
      </c>
      <c r="S3077" t="s">
        <v>623</v>
      </c>
      <c r="T3077" t="s">
        <v>1043</v>
      </c>
      <c r="U3077">
        <v>6.34</v>
      </c>
      <c r="V3077">
        <v>17.09</v>
      </c>
      <c r="W3077">
        <v>372607</v>
      </c>
      <c r="X3077">
        <v>319542</v>
      </c>
      <c r="Y3077">
        <v>1.17</v>
      </c>
      <c r="Z3077">
        <v>406</v>
      </c>
      <c r="AA3077">
        <v>3202</v>
      </c>
      <c r="AB3077" t="s">
        <v>116</v>
      </c>
      <c r="AC3077">
        <v>6429500</v>
      </c>
      <c r="AD3077">
        <v>0.1</v>
      </c>
      <c r="AE3077" t="s">
        <v>116</v>
      </c>
      <c r="AF3077" t="s">
        <v>116</v>
      </c>
      <c r="AG3077">
        <v>3.64</v>
      </c>
      <c r="AH3077" t="s">
        <v>4054</v>
      </c>
      <c r="AI3077" t="s">
        <v>13436</v>
      </c>
      <c r="AJ3077">
        <v>-4.42</v>
      </c>
      <c r="AK3077">
        <v>4662</v>
      </c>
      <c r="AL3077">
        <v>148</v>
      </c>
      <c r="AM3077">
        <v>4.1000000000000003E-3</v>
      </c>
      <c r="AN3077">
        <v>-1</v>
      </c>
      <c r="AO3077">
        <v>1.34</v>
      </c>
      <c r="AP3077">
        <v>12.49</v>
      </c>
      <c r="AQ3077">
        <v>5.27</v>
      </c>
      <c r="AR3077">
        <v>378.9</v>
      </c>
      <c r="AS3077">
        <v>19.02</v>
      </c>
      <c r="AT3077" t="s">
        <v>4054</v>
      </c>
      <c r="AU3077">
        <v>88.6</v>
      </c>
      <c r="AV3077">
        <v>155.79</v>
      </c>
      <c r="AW3077">
        <v>2.99</v>
      </c>
      <c r="BA3077">
        <v>-1.1499999999999999</v>
      </c>
      <c r="BB3077">
        <v>1.44</v>
      </c>
      <c r="BC3077">
        <v>-4.9000000000000004</v>
      </c>
      <c r="BD3077">
        <v>-1.48</v>
      </c>
      <c r="BE3077">
        <v>-3.38</v>
      </c>
      <c r="BF3077">
        <v>-5.85</v>
      </c>
      <c r="BG3077">
        <v>0.42</v>
      </c>
      <c r="BH3077">
        <v>-3.02</v>
      </c>
      <c r="BI3077">
        <v>20191030</v>
      </c>
      <c r="BJ3077">
        <v>20190705</v>
      </c>
      <c r="BK3077">
        <v>36.33</v>
      </c>
      <c r="BL3077" t="s">
        <v>116</v>
      </c>
      <c r="BM3077" t="s">
        <v>116</v>
      </c>
      <c r="BN3077">
        <v>408.34</v>
      </c>
      <c r="BO3077">
        <v>130.71</v>
      </c>
      <c r="BP3077">
        <v>2.4</v>
      </c>
      <c r="BQ3077">
        <v>67.400000000000006</v>
      </c>
      <c r="BR3077">
        <v>0</v>
      </c>
      <c r="BS3077">
        <v>0.91</v>
      </c>
      <c r="BT3077">
        <v>0.81</v>
      </c>
      <c r="BU3077">
        <v>0</v>
      </c>
      <c r="BV3077">
        <v>0</v>
      </c>
      <c r="BW3077">
        <v>0</v>
      </c>
      <c r="BX3077">
        <v>55.32</v>
      </c>
      <c r="BY3077">
        <v>12.9</v>
      </c>
      <c r="BZ3077">
        <v>0</v>
      </c>
      <c r="CA3077">
        <v>7.11</v>
      </c>
      <c r="CB3077">
        <v>8.65</v>
      </c>
      <c r="CC3077">
        <v>7.1</v>
      </c>
      <c r="CD3077">
        <v>5.38</v>
      </c>
      <c r="CE3077">
        <v>5.3</v>
      </c>
      <c r="CF3077">
        <v>5.29</v>
      </c>
      <c r="CG3077">
        <v>21.36</v>
      </c>
      <c r="CH3077">
        <v>-39.67</v>
      </c>
      <c r="CI3077">
        <v>16.11</v>
      </c>
      <c r="CJ3077">
        <v>109994</v>
      </c>
      <c r="CK3077">
        <v>3309</v>
      </c>
      <c r="CL3077" t="s">
        <v>922</v>
      </c>
      <c r="CM3077">
        <v>0</v>
      </c>
      <c r="CN3077">
        <v>0</v>
      </c>
      <c r="CO3077">
        <v>4.6100000000000003</v>
      </c>
      <c r="CP3077">
        <v>-15.18</v>
      </c>
      <c r="CQ3077">
        <v>46.68</v>
      </c>
      <c r="CR3077">
        <v>0</v>
      </c>
      <c r="CS3077" t="s">
        <v>7859</v>
      </c>
      <c r="CT3077">
        <v>3.6</v>
      </c>
      <c r="CU3077">
        <v>0</v>
      </c>
      <c r="CV3077">
        <v>1.52</v>
      </c>
      <c r="CW3077">
        <v>0.59</v>
      </c>
      <c r="CX3077">
        <v>-1.0900000000000001</v>
      </c>
      <c r="CY3077">
        <v>32.01</v>
      </c>
      <c r="CZ3077" t="s">
        <v>5468</v>
      </c>
      <c r="DA3077" t="s">
        <v>116</v>
      </c>
      <c r="DB3077">
        <v>55.14</v>
      </c>
      <c r="DC3077">
        <v>41.07</v>
      </c>
      <c r="DD3077">
        <v>0</v>
      </c>
      <c r="DE3077">
        <v>1115</v>
      </c>
      <c r="DF3077">
        <v>601236</v>
      </c>
      <c r="DG3077" t="s">
        <v>116</v>
      </c>
      <c r="DH3077" t="s">
        <v>116</v>
      </c>
      <c r="DI3077" t="s">
        <v>116</v>
      </c>
    </row>
    <row r="3078" spans="1:113" x14ac:dyDescent="0.4">
      <c r="A3078" t="str">
        <f>"601238"</f>
        <v>601238</v>
      </c>
      <c r="B3078" t="s">
        <v>13437</v>
      </c>
      <c r="C3078">
        <v>-0.52</v>
      </c>
      <c r="D3078">
        <v>11.56</v>
      </c>
      <c r="E3078">
        <v>-0.06</v>
      </c>
      <c r="F3078">
        <v>11.55</v>
      </c>
      <c r="G3078">
        <v>11.56</v>
      </c>
      <c r="H3078">
        <v>123608</v>
      </c>
      <c r="I3078">
        <v>1815</v>
      </c>
      <c r="J3078">
        <v>0.17</v>
      </c>
      <c r="K3078">
        <v>0.2</v>
      </c>
      <c r="L3078">
        <v>11.64</v>
      </c>
      <c r="M3078">
        <v>11.76</v>
      </c>
      <c r="N3078">
        <v>11.51</v>
      </c>
      <c r="O3078">
        <v>11.62</v>
      </c>
      <c r="P3078">
        <v>14.01</v>
      </c>
      <c r="Q3078">
        <v>143482784</v>
      </c>
      <c r="R3078">
        <v>1.1599999999999999</v>
      </c>
      <c r="S3078" t="s">
        <v>1108</v>
      </c>
      <c r="T3078" t="s">
        <v>551</v>
      </c>
      <c r="U3078">
        <v>2.15</v>
      </c>
      <c r="V3078">
        <v>11.61</v>
      </c>
      <c r="W3078">
        <v>56369</v>
      </c>
      <c r="X3078">
        <v>67239</v>
      </c>
      <c r="Y3078">
        <v>0.84</v>
      </c>
      <c r="Z3078">
        <v>243</v>
      </c>
      <c r="AA3078">
        <v>946</v>
      </c>
      <c r="AB3078" t="s">
        <v>116</v>
      </c>
      <c r="AC3078">
        <v>827800</v>
      </c>
      <c r="AD3078">
        <v>0.01</v>
      </c>
      <c r="AE3078" t="s">
        <v>116</v>
      </c>
      <c r="AF3078" t="s">
        <v>116</v>
      </c>
      <c r="AG3078">
        <v>60.84</v>
      </c>
      <c r="AH3078" t="s">
        <v>13438</v>
      </c>
      <c r="AI3078" t="s">
        <v>13439</v>
      </c>
      <c r="AJ3078">
        <v>-0.44</v>
      </c>
      <c r="AK3078">
        <v>2714</v>
      </c>
      <c r="AL3078">
        <v>46</v>
      </c>
      <c r="AM3078">
        <v>1E-4</v>
      </c>
      <c r="AN3078">
        <v>-1</v>
      </c>
      <c r="AO3078">
        <v>2.39</v>
      </c>
      <c r="AP3078">
        <v>-2.12</v>
      </c>
      <c r="AQ3078">
        <v>-5.79</v>
      </c>
      <c r="AR3078">
        <v>16.059999999999999</v>
      </c>
      <c r="AS3078">
        <v>2.11</v>
      </c>
      <c r="AT3078" t="s">
        <v>13440</v>
      </c>
      <c r="AU3078">
        <v>16.04</v>
      </c>
      <c r="AV3078">
        <v>10.85</v>
      </c>
      <c r="AW3078">
        <v>0.96</v>
      </c>
      <c r="BA3078">
        <v>0.17</v>
      </c>
      <c r="BB3078">
        <v>1.2</v>
      </c>
      <c r="BC3078">
        <v>-0.95</v>
      </c>
      <c r="BD3078">
        <v>-0.1</v>
      </c>
      <c r="BE3078">
        <v>-0.69</v>
      </c>
      <c r="BF3078">
        <v>-1.7</v>
      </c>
      <c r="BG3078">
        <v>0.43</v>
      </c>
      <c r="BH3078">
        <v>-0.41</v>
      </c>
      <c r="BI3078">
        <v>20191030</v>
      </c>
      <c r="BJ3078">
        <v>20120329</v>
      </c>
      <c r="BK3078">
        <v>102.38</v>
      </c>
      <c r="BL3078" t="s">
        <v>116</v>
      </c>
      <c r="BM3078">
        <v>30.99</v>
      </c>
      <c r="BN3078">
        <v>1256.6500000000001</v>
      </c>
      <c r="BO3078">
        <v>795.13</v>
      </c>
      <c r="BP3078">
        <v>24.87</v>
      </c>
      <c r="BQ3078">
        <v>34.75</v>
      </c>
      <c r="BR3078">
        <v>473</v>
      </c>
      <c r="BS3078">
        <v>170.53</v>
      </c>
      <c r="BT3078">
        <v>107.69</v>
      </c>
      <c r="BU3078">
        <v>307.52999999999997</v>
      </c>
      <c r="BV3078">
        <v>58.16</v>
      </c>
      <c r="BW3078">
        <v>40.67</v>
      </c>
      <c r="BX3078">
        <v>224</v>
      </c>
      <c r="BY3078">
        <v>426.84</v>
      </c>
      <c r="BZ3078">
        <v>393.44</v>
      </c>
      <c r="CA3078">
        <v>58.84</v>
      </c>
      <c r="CB3078">
        <v>75.09</v>
      </c>
      <c r="CC3078">
        <v>63.9</v>
      </c>
      <c r="CD3078">
        <v>64.209999999999994</v>
      </c>
      <c r="CE3078">
        <v>63.35</v>
      </c>
      <c r="CF3078">
        <v>43.61</v>
      </c>
      <c r="CG3078">
        <v>422.01</v>
      </c>
      <c r="CH3078">
        <v>-91.11</v>
      </c>
      <c r="CI3078">
        <v>-133.03</v>
      </c>
      <c r="CJ3078">
        <v>33927</v>
      </c>
      <c r="CK3078">
        <v>17249</v>
      </c>
      <c r="CL3078" t="s">
        <v>13441</v>
      </c>
      <c r="CM3078">
        <v>-35.75</v>
      </c>
      <c r="CN3078">
        <v>-19.190000000000001</v>
      </c>
      <c r="CO3078">
        <v>1.49</v>
      </c>
      <c r="CP3078">
        <v>-12.99</v>
      </c>
      <c r="CQ3078">
        <v>2.77</v>
      </c>
      <c r="CR3078">
        <v>2.85</v>
      </c>
      <c r="CS3078" t="s">
        <v>13442</v>
      </c>
      <c r="CT3078">
        <v>7.74</v>
      </c>
      <c r="CU3078">
        <v>7.74</v>
      </c>
      <c r="CV3078">
        <v>2.19</v>
      </c>
      <c r="CW3078">
        <v>4.12</v>
      </c>
      <c r="CX3078">
        <v>-0.89</v>
      </c>
      <c r="CY3078">
        <v>63.27</v>
      </c>
      <c r="CZ3078" t="s">
        <v>2685</v>
      </c>
      <c r="DA3078">
        <v>7.82</v>
      </c>
      <c r="DB3078">
        <v>13.79</v>
      </c>
      <c r="DC3078">
        <v>14.84</v>
      </c>
      <c r="DD3078">
        <v>11.25</v>
      </c>
      <c r="DE3078">
        <v>94856</v>
      </c>
      <c r="DF3078">
        <v>601238</v>
      </c>
      <c r="DG3078" t="s">
        <v>116</v>
      </c>
      <c r="DH3078" t="s">
        <v>116</v>
      </c>
      <c r="DI3078" t="s">
        <v>116</v>
      </c>
    </row>
    <row r="3079" spans="1:113" x14ac:dyDescent="0.4">
      <c r="A3079" t="str">
        <f>"601258"</f>
        <v>601258</v>
      </c>
      <c r="B3079" t="s">
        <v>13443</v>
      </c>
      <c r="C3079">
        <v>0</v>
      </c>
      <c r="D3079">
        <v>1.46</v>
      </c>
      <c r="E3079">
        <v>0</v>
      </c>
      <c r="F3079" t="s">
        <v>116</v>
      </c>
      <c r="G3079" t="s">
        <v>116</v>
      </c>
      <c r="H3079">
        <v>0</v>
      </c>
      <c r="I3079">
        <v>0</v>
      </c>
      <c r="J3079">
        <v>0</v>
      </c>
      <c r="K3079">
        <v>0</v>
      </c>
      <c r="L3079" t="s">
        <v>116</v>
      </c>
      <c r="M3079" t="s">
        <v>116</v>
      </c>
      <c r="N3079" t="s">
        <v>116</v>
      </c>
      <c r="O3079">
        <v>1.46</v>
      </c>
      <c r="P3079" t="s">
        <v>116</v>
      </c>
      <c r="Q3079">
        <v>0</v>
      </c>
      <c r="R3079">
        <v>0</v>
      </c>
      <c r="S3079" t="s">
        <v>256</v>
      </c>
      <c r="T3079" t="s">
        <v>608</v>
      </c>
      <c r="U3079">
        <v>0</v>
      </c>
      <c r="V3079">
        <v>1.46</v>
      </c>
      <c r="W3079">
        <v>0</v>
      </c>
      <c r="X3079">
        <v>0</v>
      </c>
      <c r="Y3079" t="s">
        <v>116</v>
      </c>
      <c r="Z3079">
        <v>0</v>
      </c>
      <c r="AA3079">
        <v>0</v>
      </c>
      <c r="AB3079" t="s">
        <v>116</v>
      </c>
      <c r="AC3079">
        <v>0</v>
      </c>
      <c r="AD3079" t="s">
        <v>116</v>
      </c>
      <c r="AE3079" t="s">
        <v>116</v>
      </c>
      <c r="AF3079" t="s">
        <v>116</v>
      </c>
      <c r="AG3079">
        <v>65.38</v>
      </c>
      <c r="AH3079" t="s">
        <v>13444</v>
      </c>
      <c r="AI3079" t="s">
        <v>13445</v>
      </c>
      <c r="AJ3079">
        <v>0.08</v>
      </c>
      <c r="AK3079">
        <v>1</v>
      </c>
      <c r="AL3079">
        <v>0</v>
      </c>
      <c r="AM3079">
        <v>0</v>
      </c>
      <c r="AN3079">
        <v>0</v>
      </c>
      <c r="AO3079">
        <v>6.57</v>
      </c>
      <c r="AP3079">
        <v>15.87</v>
      </c>
      <c r="AQ3079">
        <v>22.69</v>
      </c>
      <c r="AR3079">
        <v>4.29</v>
      </c>
      <c r="AS3079" t="s">
        <v>116</v>
      </c>
      <c r="AT3079" t="s">
        <v>13446</v>
      </c>
      <c r="AU3079" t="s">
        <v>116</v>
      </c>
      <c r="AV3079" t="s">
        <v>116</v>
      </c>
      <c r="AW3079">
        <v>0.52</v>
      </c>
      <c r="BA3079" t="s">
        <v>116</v>
      </c>
      <c r="BB3079" t="s">
        <v>116</v>
      </c>
      <c r="BC3079" t="s">
        <v>116</v>
      </c>
      <c r="BD3079">
        <v>0</v>
      </c>
      <c r="BE3079" t="s">
        <v>116</v>
      </c>
      <c r="BF3079" t="s">
        <v>116</v>
      </c>
      <c r="BG3079" t="s">
        <v>116</v>
      </c>
      <c r="BH3079">
        <v>0</v>
      </c>
      <c r="BI3079">
        <v>20191227</v>
      </c>
      <c r="BJ3079">
        <v>20110428</v>
      </c>
      <c r="BK3079">
        <v>102.27</v>
      </c>
      <c r="BL3079" t="s">
        <v>116</v>
      </c>
      <c r="BM3079" t="s">
        <v>116</v>
      </c>
      <c r="BN3079">
        <v>285.13</v>
      </c>
      <c r="BO3079">
        <v>44.27</v>
      </c>
      <c r="BP3079">
        <v>0.59</v>
      </c>
      <c r="BQ3079">
        <v>84.27</v>
      </c>
      <c r="BR3079">
        <v>140.02000000000001</v>
      </c>
      <c r="BS3079">
        <v>73.87</v>
      </c>
      <c r="BT3079">
        <v>42.12</v>
      </c>
      <c r="BU3079">
        <v>207.7</v>
      </c>
      <c r="BV3079">
        <v>31.83</v>
      </c>
      <c r="BW3079">
        <v>7.11</v>
      </c>
      <c r="BX3079">
        <v>35.479999999999997</v>
      </c>
      <c r="BY3079">
        <v>161.1</v>
      </c>
      <c r="BZ3079">
        <v>150.75</v>
      </c>
      <c r="CA3079">
        <v>-20.03</v>
      </c>
      <c r="CB3079">
        <v>0.55000000000000004</v>
      </c>
      <c r="CC3079">
        <v>-20.170000000000002</v>
      </c>
      <c r="CD3079">
        <v>-20.77</v>
      </c>
      <c r="CE3079">
        <v>-20.71</v>
      </c>
      <c r="CF3079">
        <v>-20.91</v>
      </c>
      <c r="CG3079">
        <v>-60</v>
      </c>
      <c r="CH3079">
        <v>-35.840000000000003</v>
      </c>
      <c r="CI3079">
        <v>-29.31</v>
      </c>
      <c r="CJ3079">
        <v>326824</v>
      </c>
      <c r="CK3079">
        <v>14716</v>
      </c>
      <c r="CL3079" t="s">
        <v>6612</v>
      </c>
      <c r="CM3079">
        <v>-783.9</v>
      </c>
      <c r="CN3079">
        <v>-56.44</v>
      </c>
      <c r="CO3079">
        <v>3.37</v>
      </c>
      <c r="CP3079">
        <v>-4.17</v>
      </c>
      <c r="CQ3079">
        <v>0.93</v>
      </c>
      <c r="CR3079">
        <v>0</v>
      </c>
      <c r="CS3079" t="s">
        <v>13447</v>
      </c>
      <c r="CT3079">
        <v>0.43</v>
      </c>
      <c r="CU3079">
        <v>0</v>
      </c>
      <c r="CV3079">
        <v>0.35</v>
      </c>
      <c r="CW3079">
        <v>-0.59</v>
      </c>
      <c r="CX3079">
        <v>-0.35</v>
      </c>
      <c r="CY3079">
        <v>15.53</v>
      </c>
      <c r="CZ3079" t="s">
        <v>13448</v>
      </c>
      <c r="DA3079">
        <v>6.42</v>
      </c>
      <c r="DB3079">
        <v>-12.43</v>
      </c>
      <c r="DC3079">
        <v>-12.85</v>
      </c>
      <c r="DD3079">
        <v>0</v>
      </c>
      <c r="DE3079">
        <v>18094</v>
      </c>
      <c r="DF3079">
        <v>601258</v>
      </c>
      <c r="DG3079" t="s">
        <v>116</v>
      </c>
      <c r="DH3079" t="s">
        <v>116</v>
      </c>
      <c r="DI3079" t="s">
        <v>116</v>
      </c>
    </row>
    <row r="3080" spans="1:113" x14ac:dyDescent="0.4">
      <c r="A3080" t="str">
        <f>"601288"</f>
        <v>601288</v>
      </c>
      <c r="B3080" t="s">
        <v>13449</v>
      </c>
      <c r="C3080">
        <v>0.54</v>
      </c>
      <c r="D3080">
        <v>3.73</v>
      </c>
      <c r="E3080">
        <v>0.02</v>
      </c>
      <c r="F3080">
        <v>3.73</v>
      </c>
      <c r="G3080">
        <v>3.74</v>
      </c>
      <c r="H3080">
        <v>2160090</v>
      </c>
      <c r="I3080">
        <v>24276</v>
      </c>
      <c r="J3080">
        <v>-0.26</v>
      </c>
      <c r="K3080">
        <v>7.0000000000000007E-2</v>
      </c>
      <c r="L3080">
        <v>3.7</v>
      </c>
      <c r="M3080">
        <v>3.75</v>
      </c>
      <c r="N3080">
        <v>3.7</v>
      </c>
      <c r="O3080">
        <v>3.71</v>
      </c>
      <c r="P3080">
        <v>5.42</v>
      </c>
      <c r="Q3080">
        <v>805405632</v>
      </c>
      <c r="R3080">
        <v>1.75</v>
      </c>
      <c r="S3080" t="s">
        <v>114</v>
      </c>
      <c r="T3080" t="s">
        <v>165</v>
      </c>
      <c r="U3080">
        <v>1.35</v>
      </c>
      <c r="V3080">
        <v>3.73</v>
      </c>
      <c r="W3080">
        <v>1056767</v>
      </c>
      <c r="X3080">
        <v>1103323</v>
      </c>
      <c r="Y3080">
        <v>0.96</v>
      </c>
      <c r="Z3080">
        <v>78065</v>
      </c>
      <c r="AA3080">
        <v>85448</v>
      </c>
      <c r="AB3080" t="s">
        <v>116</v>
      </c>
      <c r="AC3080">
        <v>6279300</v>
      </c>
      <c r="AD3080">
        <v>0</v>
      </c>
      <c r="AE3080" t="s">
        <v>116</v>
      </c>
      <c r="AF3080" t="s">
        <v>116</v>
      </c>
      <c r="AG3080">
        <v>2940.55</v>
      </c>
      <c r="AH3080" t="s">
        <v>13450</v>
      </c>
      <c r="AI3080" t="s">
        <v>13451</v>
      </c>
      <c r="AJ3080">
        <v>0.62</v>
      </c>
      <c r="AK3080">
        <v>4228</v>
      </c>
      <c r="AL3080">
        <v>511</v>
      </c>
      <c r="AM3080">
        <v>0</v>
      </c>
      <c r="AN3080">
        <v>2</v>
      </c>
      <c r="AO3080">
        <v>1.36</v>
      </c>
      <c r="AP3080">
        <v>3.04</v>
      </c>
      <c r="AQ3080">
        <v>6.88</v>
      </c>
      <c r="AR3080">
        <v>8.8699999999999992</v>
      </c>
      <c r="AS3080">
        <v>0.61</v>
      </c>
      <c r="AT3080" t="s">
        <v>13452</v>
      </c>
      <c r="AU3080">
        <v>6.16</v>
      </c>
      <c r="AV3080">
        <v>6.44</v>
      </c>
      <c r="AW3080">
        <v>0.5</v>
      </c>
      <c r="BA3080">
        <v>-0.27</v>
      </c>
      <c r="BB3080">
        <v>1.08</v>
      </c>
      <c r="BC3080">
        <v>-0.27</v>
      </c>
      <c r="BD3080">
        <v>0.5</v>
      </c>
      <c r="BE3080">
        <v>0.81</v>
      </c>
      <c r="BF3080">
        <v>-0.53</v>
      </c>
      <c r="BG3080">
        <v>0.81</v>
      </c>
      <c r="BH3080">
        <v>0.04</v>
      </c>
      <c r="BI3080">
        <v>20191106</v>
      </c>
      <c r="BJ3080">
        <v>20100715</v>
      </c>
      <c r="BK3080">
        <v>3499.83</v>
      </c>
      <c r="BL3080" t="s">
        <v>116</v>
      </c>
      <c r="BM3080">
        <v>307.39</v>
      </c>
      <c r="BN3080">
        <v>248709.61</v>
      </c>
      <c r="BO3080">
        <v>19176.490000000002</v>
      </c>
      <c r="BP3080">
        <v>58.11</v>
      </c>
      <c r="BQ3080">
        <v>92.27</v>
      </c>
      <c r="BR3080">
        <v>0</v>
      </c>
      <c r="BS3080">
        <v>1469.08</v>
      </c>
      <c r="BT3080">
        <v>228.42</v>
      </c>
      <c r="BU3080">
        <v>0</v>
      </c>
      <c r="BV3080">
        <v>0</v>
      </c>
      <c r="BW3080">
        <v>0</v>
      </c>
      <c r="BX3080">
        <v>1735.56</v>
      </c>
      <c r="BY3080">
        <v>4749.8100000000004</v>
      </c>
      <c r="BZ3080">
        <v>0</v>
      </c>
      <c r="CA3080">
        <v>2166.9299999999998</v>
      </c>
      <c r="CB3080">
        <v>99.63</v>
      </c>
      <c r="CC3080">
        <v>2173.2199999999998</v>
      </c>
      <c r="CD3080">
        <v>1817.91</v>
      </c>
      <c r="CE3080">
        <v>1806.71</v>
      </c>
      <c r="CF3080">
        <v>1802.56</v>
      </c>
      <c r="CG3080">
        <v>7326.08</v>
      </c>
      <c r="CH3080">
        <v>1021.37</v>
      </c>
      <c r="CI3080">
        <v>1035.3900000000001</v>
      </c>
      <c r="CJ3080">
        <v>439368</v>
      </c>
      <c r="CK3080">
        <v>80645</v>
      </c>
      <c r="CL3080" t="s">
        <v>13453</v>
      </c>
      <c r="CM3080">
        <v>5.28</v>
      </c>
      <c r="CN3080">
        <v>3.83</v>
      </c>
      <c r="CO3080">
        <v>0.76</v>
      </c>
      <c r="CP3080">
        <v>12.78</v>
      </c>
      <c r="CQ3080">
        <v>2.75</v>
      </c>
      <c r="CR3080">
        <v>4.66</v>
      </c>
      <c r="CS3080" t="s">
        <v>6070</v>
      </c>
      <c r="CT3080">
        <v>4.91</v>
      </c>
      <c r="CU3080">
        <v>4.91</v>
      </c>
      <c r="CV3080">
        <v>0.5</v>
      </c>
      <c r="CW3080">
        <v>2.09</v>
      </c>
      <c r="CX3080">
        <v>0.28999999999999998</v>
      </c>
      <c r="CY3080">
        <v>7.71</v>
      </c>
      <c r="CZ3080" t="s">
        <v>13454</v>
      </c>
      <c r="DA3080" t="s">
        <v>116</v>
      </c>
      <c r="DB3080">
        <v>45.62</v>
      </c>
      <c r="DC3080">
        <v>38.04</v>
      </c>
      <c r="DD3080">
        <v>0</v>
      </c>
      <c r="DE3080">
        <v>473691</v>
      </c>
      <c r="DF3080">
        <v>601288</v>
      </c>
      <c r="DG3080" t="s">
        <v>116</v>
      </c>
      <c r="DH3080" t="s">
        <v>116</v>
      </c>
      <c r="DI3080" t="s">
        <v>116</v>
      </c>
    </row>
    <row r="3081" spans="1:113" x14ac:dyDescent="0.4">
      <c r="A3081" t="str">
        <f>"601298"</f>
        <v>601298</v>
      </c>
      <c r="B3081" t="s">
        <v>13455</v>
      </c>
      <c r="C3081">
        <v>-0.88</v>
      </c>
      <c r="D3081">
        <v>6.74</v>
      </c>
      <c r="E3081">
        <v>-0.06</v>
      </c>
      <c r="F3081">
        <v>6.73</v>
      </c>
      <c r="G3081">
        <v>6.74</v>
      </c>
      <c r="H3081">
        <v>91621</v>
      </c>
      <c r="I3081">
        <v>1199</v>
      </c>
      <c r="J3081">
        <v>-0.14000000000000001</v>
      </c>
      <c r="K3081">
        <v>2.02</v>
      </c>
      <c r="L3081">
        <v>6.82</v>
      </c>
      <c r="M3081">
        <v>6.82</v>
      </c>
      <c r="N3081">
        <v>6.73</v>
      </c>
      <c r="O3081">
        <v>6.8</v>
      </c>
      <c r="P3081">
        <v>11.14</v>
      </c>
      <c r="Q3081">
        <v>62197612</v>
      </c>
      <c r="R3081">
        <v>0.86</v>
      </c>
      <c r="S3081" t="s">
        <v>515</v>
      </c>
      <c r="T3081" t="s">
        <v>645</v>
      </c>
      <c r="U3081">
        <v>1.32</v>
      </c>
      <c r="V3081">
        <v>6.79</v>
      </c>
      <c r="W3081">
        <v>53549</v>
      </c>
      <c r="X3081">
        <v>38072</v>
      </c>
      <c r="Y3081">
        <v>1.41</v>
      </c>
      <c r="Z3081">
        <v>3507</v>
      </c>
      <c r="AA3081">
        <v>964</v>
      </c>
      <c r="AB3081" t="s">
        <v>116</v>
      </c>
      <c r="AC3081">
        <v>89300</v>
      </c>
      <c r="AD3081">
        <v>0</v>
      </c>
      <c r="AE3081" t="s">
        <v>116</v>
      </c>
      <c r="AF3081" t="s">
        <v>116</v>
      </c>
      <c r="AG3081">
        <v>4.54</v>
      </c>
      <c r="AH3081" t="s">
        <v>9538</v>
      </c>
      <c r="AI3081" t="s">
        <v>13456</v>
      </c>
      <c r="AJ3081">
        <v>-0.81</v>
      </c>
      <c r="AK3081">
        <v>2180</v>
      </c>
      <c r="AL3081">
        <v>42</v>
      </c>
      <c r="AM3081">
        <v>8.9999999999999998E-4</v>
      </c>
      <c r="AN3081">
        <v>-1</v>
      </c>
      <c r="AO3081">
        <v>-1.46</v>
      </c>
      <c r="AP3081">
        <v>3.53</v>
      </c>
      <c r="AQ3081">
        <v>-10.130000000000001</v>
      </c>
      <c r="AR3081">
        <v>59.33</v>
      </c>
      <c r="AS3081">
        <v>2.02</v>
      </c>
      <c r="AT3081" t="s">
        <v>9538</v>
      </c>
      <c r="AU3081">
        <v>11.84</v>
      </c>
      <c r="AV3081">
        <v>12.17</v>
      </c>
      <c r="AW3081">
        <v>1.29</v>
      </c>
      <c r="BA3081">
        <v>0.28999999999999998</v>
      </c>
      <c r="BB3081">
        <v>0.28999999999999998</v>
      </c>
      <c r="BC3081">
        <v>-1.03</v>
      </c>
      <c r="BD3081">
        <v>-0.17</v>
      </c>
      <c r="BE3081">
        <v>-1.17</v>
      </c>
      <c r="BF3081">
        <v>-1.17</v>
      </c>
      <c r="BG3081">
        <v>0.15</v>
      </c>
      <c r="BH3081">
        <v>-0.71</v>
      </c>
      <c r="BI3081">
        <v>20191030</v>
      </c>
      <c r="BJ3081">
        <v>20190121</v>
      </c>
      <c r="BK3081">
        <v>64.91</v>
      </c>
      <c r="BL3081" t="s">
        <v>116</v>
      </c>
      <c r="BM3081">
        <v>10.99</v>
      </c>
      <c r="BN3081">
        <v>520.15</v>
      </c>
      <c r="BO3081">
        <v>295.39</v>
      </c>
      <c r="BP3081">
        <v>26.64</v>
      </c>
      <c r="BQ3081">
        <v>38.090000000000003</v>
      </c>
      <c r="BR3081">
        <v>210.97</v>
      </c>
      <c r="BS3081">
        <v>132.06</v>
      </c>
      <c r="BT3081">
        <v>19.829999999999998</v>
      </c>
      <c r="BU3081">
        <v>115.71</v>
      </c>
      <c r="BV3081">
        <v>1.92</v>
      </c>
      <c r="BW3081">
        <v>24.87</v>
      </c>
      <c r="BX3081">
        <v>123.15</v>
      </c>
      <c r="BY3081">
        <v>89.43</v>
      </c>
      <c r="BZ3081">
        <v>58.88</v>
      </c>
      <c r="CA3081">
        <v>39.549999999999997</v>
      </c>
      <c r="CB3081">
        <v>11.04</v>
      </c>
      <c r="CC3081">
        <v>39.72</v>
      </c>
      <c r="CD3081">
        <v>32.18</v>
      </c>
      <c r="CE3081">
        <v>29.45</v>
      </c>
      <c r="CF3081">
        <v>28.53</v>
      </c>
      <c r="CG3081">
        <v>92.23</v>
      </c>
      <c r="CH3081">
        <v>15.93</v>
      </c>
      <c r="CI3081">
        <v>2.94</v>
      </c>
      <c r="CJ3081">
        <v>92071</v>
      </c>
      <c r="CK3081">
        <v>4935</v>
      </c>
      <c r="CL3081" t="s">
        <v>2908</v>
      </c>
      <c r="CM3081">
        <v>3.53</v>
      </c>
      <c r="CN3081">
        <v>3.76</v>
      </c>
      <c r="CO3081">
        <v>1.48</v>
      </c>
      <c r="CP3081">
        <v>27.47</v>
      </c>
      <c r="CQ3081">
        <v>4.8899999999999997</v>
      </c>
      <c r="CR3081">
        <v>5.63</v>
      </c>
      <c r="CS3081" t="s">
        <v>672</v>
      </c>
      <c r="CT3081">
        <v>4.55</v>
      </c>
      <c r="CU3081">
        <v>0</v>
      </c>
      <c r="CV3081">
        <v>1.9</v>
      </c>
      <c r="CW3081">
        <v>1.42</v>
      </c>
      <c r="CX3081">
        <v>0.25</v>
      </c>
      <c r="CY3081">
        <v>56.79</v>
      </c>
      <c r="CZ3081" t="s">
        <v>3271</v>
      </c>
      <c r="DA3081">
        <v>34.17</v>
      </c>
      <c r="DB3081">
        <v>44.22</v>
      </c>
      <c r="DC3081">
        <v>32.93</v>
      </c>
      <c r="DD3081">
        <v>0.14000000000000001</v>
      </c>
      <c r="DE3081">
        <v>8611</v>
      </c>
      <c r="DF3081">
        <v>601298</v>
      </c>
      <c r="DG3081" t="s">
        <v>116</v>
      </c>
      <c r="DH3081" t="s">
        <v>116</v>
      </c>
      <c r="DI3081" t="s">
        <v>116</v>
      </c>
    </row>
    <row r="3082" spans="1:113" x14ac:dyDescent="0.4">
      <c r="A3082" t="str">
        <f>"601311"</f>
        <v>601311</v>
      </c>
      <c r="B3082" t="s">
        <v>13457</v>
      </c>
      <c r="C3082">
        <v>-2.76</v>
      </c>
      <c r="D3082">
        <v>9.52</v>
      </c>
      <c r="E3082">
        <v>-0.27</v>
      </c>
      <c r="F3082">
        <v>9.52</v>
      </c>
      <c r="G3082">
        <v>9.5299999999999994</v>
      </c>
      <c r="H3082">
        <v>239686</v>
      </c>
      <c r="I3082">
        <v>2715</v>
      </c>
      <c r="J3082">
        <v>0</v>
      </c>
      <c r="K3082">
        <v>2.77</v>
      </c>
      <c r="L3082">
        <v>9.6999999999999993</v>
      </c>
      <c r="M3082">
        <v>9.75</v>
      </c>
      <c r="N3082">
        <v>9.5</v>
      </c>
      <c r="O3082">
        <v>9.7899999999999991</v>
      </c>
      <c r="P3082">
        <v>14.67</v>
      </c>
      <c r="Q3082">
        <v>230803616</v>
      </c>
      <c r="R3082">
        <v>1.28</v>
      </c>
      <c r="S3082" t="s">
        <v>397</v>
      </c>
      <c r="T3082" t="s">
        <v>774</v>
      </c>
      <c r="U3082">
        <v>2.5499999999999998</v>
      </c>
      <c r="V3082">
        <v>9.6300000000000008</v>
      </c>
      <c r="W3082">
        <v>145458</v>
      </c>
      <c r="X3082">
        <v>94229</v>
      </c>
      <c r="Y3082">
        <v>1.54</v>
      </c>
      <c r="Z3082">
        <v>25</v>
      </c>
      <c r="AA3082">
        <v>669</v>
      </c>
      <c r="AB3082" t="s">
        <v>116</v>
      </c>
      <c r="AC3082">
        <v>2414300</v>
      </c>
      <c r="AD3082">
        <v>0.06</v>
      </c>
      <c r="AE3082" t="s">
        <v>116</v>
      </c>
      <c r="AF3082" t="s">
        <v>116</v>
      </c>
      <c r="AG3082">
        <v>8.64</v>
      </c>
      <c r="AH3082" t="s">
        <v>13458</v>
      </c>
      <c r="AI3082" t="s">
        <v>13458</v>
      </c>
      <c r="AJ3082">
        <v>-2.68</v>
      </c>
      <c r="AK3082">
        <v>3278</v>
      </c>
      <c r="AL3082">
        <v>73</v>
      </c>
      <c r="AM3082">
        <v>8.0000000000000004E-4</v>
      </c>
      <c r="AN3082">
        <v>-1</v>
      </c>
      <c r="AO3082">
        <v>-1.24</v>
      </c>
      <c r="AP3082">
        <v>5.66</v>
      </c>
      <c r="AQ3082">
        <v>2.81</v>
      </c>
      <c r="AR3082">
        <v>9.68</v>
      </c>
      <c r="AS3082">
        <v>5.44</v>
      </c>
      <c r="AT3082" t="s">
        <v>13459</v>
      </c>
      <c r="AU3082">
        <v>13.53</v>
      </c>
      <c r="AV3082">
        <v>14.7</v>
      </c>
      <c r="AW3082">
        <v>1.51</v>
      </c>
      <c r="BA3082">
        <v>-0.92</v>
      </c>
      <c r="BB3082">
        <v>-0.41</v>
      </c>
      <c r="BC3082">
        <v>-2.96</v>
      </c>
      <c r="BD3082">
        <v>-1.64</v>
      </c>
      <c r="BE3082">
        <v>-1.86</v>
      </c>
      <c r="BF3082">
        <v>-2.36</v>
      </c>
      <c r="BG3082">
        <v>0.21</v>
      </c>
      <c r="BH3082">
        <v>-1.1200000000000001</v>
      </c>
      <c r="BI3082">
        <v>20191025</v>
      </c>
      <c r="BJ3082">
        <v>20110602</v>
      </c>
      <c r="BK3082">
        <v>8.64</v>
      </c>
      <c r="BL3082" t="s">
        <v>116</v>
      </c>
      <c r="BM3082" t="s">
        <v>116</v>
      </c>
      <c r="BN3082">
        <v>116.68</v>
      </c>
      <c r="BO3082">
        <v>63.31</v>
      </c>
      <c r="BP3082">
        <v>3.87</v>
      </c>
      <c r="BQ3082">
        <v>42.43</v>
      </c>
      <c r="BR3082">
        <v>57.6</v>
      </c>
      <c r="BS3082">
        <v>25.03</v>
      </c>
      <c r="BT3082">
        <v>4.4400000000000004</v>
      </c>
      <c r="BU3082">
        <v>29.22</v>
      </c>
      <c r="BV3082">
        <v>16.32</v>
      </c>
      <c r="BW3082">
        <v>12.29</v>
      </c>
      <c r="BX3082">
        <v>12.33</v>
      </c>
      <c r="BY3082">
        <v>66.510000000000005</v>
      </c>
      <c r="BZ3082">
        <v>54.89</v>
      </c>
      <c r="CA3082">
        <v>5.05</v>
      </c>
      <c r="CB3082">
        <v>0.18</v>
      </c>
      <c r="CC3082">
        <v>5</v>
      </c>
      <c r="CD3082">
        <v>4.3099999999999996</v>
      </c>
      <c r="CE3082">
        <v>4.2</v>
      </c>
      <c r="CF3082">
        <v>3.45</v>
      </c>
      <c r="CG3082">
        <v>38.4</v>
      </c>
      <c r="CH3082">
        <v>5.72</v>
      </c>
      <c r="CI3082">
        <v>5.65</v>
      </c>
      <c r="CJ3082">
        <v>51746</v>
      </c>
      <c r="CK3082">
        <v>8512</v>
      </c>
      <c r="CL3082" t="s">
        <v>1468</v>
      </c>
      <c r="CM3082">
        <v>13.04</v>
      </c>
      <c r="CN3082">
        <v>1.35</v>
      </c>
      <c r="CO3082">
        <v>1.32</v>
      </c>
      <c r="CP3082">
        <v>14.38</v>
      </c>
      <c r="CQ3082">
        <v>1.24</v>
      </c>
      <c r="CR3082">
        <v>1.57</v>
      </c>
      <c r="CS3082" t="s">
        <v>2974</v>
      </c>
      <c r="CT3082">
        <v>7.21</v>
      </c>
      <c r="CU3082">
        <v>7.21</v>
      </c>
      <c r="CV3082">
        <v>1.43</v>
      </c>
      <c r="CW3082">
        <v>4.45</v>
      </c>
      <c r="CX3082">
        <v>0.66</v>
      </c>
      <c r="CY3082">
        <v>54.26</v>
      </c>
      <c r="CZ3082" t="s">
        <v>13389</v>
      </c>
      <c r="DA3082">
        <v>17.47</v>
      </c>
      <c r="DB3082">
        <v>7.59</v>
      </c>
      <c r="DC3082">
        <v>6.32</v>
      </c>
      <c r="DD3082">
        <v>0.61</v>
      </c>
      <c r="DE3082">
        <v>6175</v>
      </c>
      <c r="DF3082">
        <v>601311</v>
      </c>
      <c r="DG3082" t="s">
        <v>116</v>
      </c>
      <c r="DH3082" t="s">
        <v>116</v>
      </c>
      <c r="DI3082" t="s">
        <v>116</v>
      </c>
    </row>
    <row r="3083" spans="1:113" x14ac:dyDescent="0.4">
      <c r="A3083" t="str">
        <f>"601318"</f>
        <v>601318</v>
      </c>
      <c r="B3083" t="s">
        <v>13460</v>
      </c>
      <c r="C3083">
        <v>0.34</v>
      </c>
      <c r="D3083">
        <v>84.72</v>
      </c>
      <c r="E3083">
        <v>0.28999999999999998</v>
      </c>
      <c r="F3083">
        <v>84.71</v>
      </c>
      <c r="G3083">
        <v>84.72</v>
      </c>
      <c r="H3083">
        <v>492829</v>
      </c>
      <c r="I3083">
        <v>3456</v>
      </c>
      <c r="J3083">
        <v>0.04</v>
      </c>
      <c r="K3083">
        <v>0.45</v>
      </c>
      <c r="L3083">
        <v>84.44</v>
      </c>
      <c r="M3083">
        <v>85.66</v>
      </c>
      <c r="N3083">
        <v>84.42</v>
      </c>
      <c r="O3083">
        <v>84.43</v>
      </c>
      <c r="P3083">
        <v>8.9600000000000009</v>
      </c>
      <c r="Q3083">
        <v>4188069120</v>
      </c>
      <c r="R3083">
        <v>1.44</v>
      </c>
      <c r="S3083" t="s">
        <v>1496</v>
      </c>
      <c r="T3083" t="s">
        <v>115</v>
      </c>
      <c r="U3083">
        <v>1.47</v>
      </c>
      <c r="V3083">
        <v>84.98</v>
      </c>
      <c r="W3083">
        <v>238933</v>
      </c>
      <c r="X3083">
        <v>253898</v>
      </c>
      <c r="Y3083">
        <v>0.94</v>
      </c>
      <c r="Z3083">
        <v>231</v>
      </c>
      <c r="AA3083">
        <v>1354</v>
      </c>
      <c r="AB3083" t="s">
        <v>116</v>
      </c>
      <c r="AC3083">
        <v>31158500</v>
      </c>
      <c r="AD3083">
        <v>0</v>
      </c>
      <c r="AE3083" t="s">
        <v>116</v>
      </c>
      <c r="AF3083" t="s">
        <v>116</v>
      </c>
      <c r="AG3083">
        <v>108.33</v>
      </c>
      <c r="AH3083" t="s">
        <v>13461</v>
      </c>
      <c r="AI3083" t="s">
        <v>13461</v>
      </c>
      <c r="AJ3083">
        <v>0.42</v>
      </c>
      <c r="AK3083">
        <v>4755</v>
      </c>
      <c r="AL3083">
        <v>104</v>
      </c>
      <c r="AM3083">
        <v>1E-4</v>
      </c>
      <c r="AN3083">
        <v>2</v>
      </c>
      <c r="AO3083">
        <v>0.31</v>
      </c>
      <c r="AP3083">
        <v>1.32</v>
      </c>
      <c r="AQ3083">
        <v>-4.05</v>
      </c>
      <c r="AR3083">
        <v>56.17</v>
      </c>
      <c r="AS3083">
        <v>0.5</v>
      </c>
      <c r="AT3083" t="s">
        <v>13462</v>
      </c>
      <c r="AU3083">
        <v>9.83</v>
      </c>
      <c r="AV3083">
        <v>14.42</v>
      </c>
      <c r="AW3083">
        <v>0.97</v>
      </c>
      <c r="BA3083">
        <v>0.01</v>
      </c>
      <c r="BB3083">
        <v>1.46</v>
      </c>
      <c r="BC3083">
        <v>-0.01</v>
      </c>
      <c r="BD3083">
        <v>0.65</v>
      </c>
      <c r="BE3083">
        <v>0.33</v>
      </c>
      <c r="BF3083">
        <v>-1.1000000000000001</v>
      </c>
      <c r="BG3083">
        <v>0.36</v>
      </c>
      <c r="BH3083">
        <v>-0.31</v>
      </c>
      <c r="BI3083">
        <v>20191203</v>
      </c>
      <c r="BJ3083">
        <v>20070301</v>
      </c>
      <c r="BK3083">
        <v>182.8</v>
      </c>
      <c r="BL3083" t="s">
        <v>116</v>
      </c>
      <c r="BM3083">
        <v>74.48</v>
      </c>
      <c r="BN3083">
        <v>77869.63</v>
      </c>
      <c r="BO3083">
        <v>6411.97</v>
      </c>
      <c r="BP3083">
        <v>1535.31</v>
      </c>
      <c r="BQ3083">
        <v>89.79</v>
      </c>
      <c r="BR3083">
        <v>0</v>
      </c>
      <c r="BS3083">
        <v>443.41</v>
      </c>
      <c r="BT3083">
        <v>282.54000000000002</v>
      </c>
      <c r="BU3083">
        <v>0</v>
      </c>
      <c r="BV3083">
        <v>0</v>
      </c>
      <c r="BW3083">
        <v>0</v>
      </c>
      <c r="BX3083">
        <v>1272.1400000000001</v>
      </c>
      <c r="BY3083">
        <v>8927.51</v>
      </c>
      <c r="BZ3083">
        <v>0</v>
      </c>
      <c r="CA3083">
        <v>1611.23</v>
      </c>
      <c r="CB3083">
        <v>633.29999999999995</v>
      </c>
      <c r="CC3083">
        <v>1609.01</v>
      </c>
      <c r="CD3083">
        <v>1417.48</v>
      </c>
      <c r="CE3083">
        <v>1295.67</v>
      </c>
      <c r="CF3083">
        <v>1193.8699999999999</v>
      </c>
      <c r="CG3083">
        <v>4292.97</v>
      </c>
      <c r="CH3083">
        <v>3308.88</v>
      </c>
      <c r="CI3083">
        <v>168.95</v>
      </c>
      <c r="CJ3083">
        <v>547729</v>
      </c>
      <c r="CK3083">
        <v>18020</v>
      </c>
      <c r="CL3083" t="s">
        <v>13463</v>
      </c>
      <c r="CM3083">
        <v>63.19</v>
      </c>
      <c r="CN3083">
        <v>18.96</v>
      </c>
      <c r="CO3083">
        <v>2.42</v>
      </c>
      <c r="CP3083">
        <v>4.68</v>
      </c>
      <c r="CQ3083">
        <v>1.73</v>
      </c>
      <c r="CR3083">
        <v>2.1800000000000002</v>
      </c>
      <c r="CS3083" t="s">
        <v>1617</v>
      </c>
      <c r="CT3083">
        <v>35.08</v>
      </c>
      <c r="CU3083">
        <v>0</v>
      </c>
      <c r="CV3083">
        <v>6.96</v>
      </c>
      <c r="CW3083">
        <v>23.48</v>
      </c>
      <c r="CX3083">
        <v>18.100000000000001</v>
      </c>
      <c r="CY3083">
        <v>8.23</v>
      </c>
      <c r="CZ3083" t="s">
        <v>13464</v>
      </c>
      <c r="DA3083" t="s">
        <v>116</v>
      </c>
      <c r="DB3083">
        <v>18.05</v>
      </c>
      <c r="DC3083">
        <v>14.51</v>
      </c>
      <c r="DD3083">
        <v>0</v>
      </c>
      <c r="DE3083">
        <v>376900</v>
      </c>
      <c r="DF3083">
        <v>601318</v>
      </c>
      <c r="DG3083" t="s">
        <v>116</v>
      </c>
      <c r="DH3083" t="s">
        <v>116</v>
      </c>
      <c r="DI3083" t="s">
        <v>116</v>
      </c>
    </row>
    <row r="3084" spans="1:113" x14ac:dyDescent="0.4">
      <c r="A3084" t="str">
        <f>"601319"</f>
        <v>601319</v>
      </c>
      <c r="B3084" t="s">
        <v>13465</v>
      </c>
      <c r="C3084">
        <v>0</v>
      </c>
      <c r="D3084">
        <v>7.43</v>
      </c>
      <c r="E3084">
        <v>0</v>
      </c>
      <c r="F3084">
        <v>7.43</v>
      </c>
      <c r="G3084">
        <v>7.44</v>
      </c>
      <c r="H3084">
        <v>954902</v>
      </c>
      <c r="I3084">
        <v>5293</v>
      </c>
      <c r="J3084">
        <v>0</v>
      </c>
      <c r="K3084">
        <v>1.7</v>
      </c>
      <c r="L3084">
        <v>7.43</v>
      </c>
      <c r="M3084">
        <v>7.67</v>
      </c>
      <c r="N3084">
        <v>7.41</v>
      </c>
      <c r="O3084">
        <v>7.43</v>
      </c>
      <c r="P3084">
        <v>11.53</v>
      </c>
      <c r="Q3084">
        <v>719298304</v>
      </c>
      <c r="R3084">
        <v>1.37</v>
      </c>
      <c r="S3084" t="s">
        <v>1496</v>
      </c>
      <c r="T3084" t="s">
        <v>165</v>
      </c>
      <c r="U3084">
        <v>3.5</v>
      </c>
      <c r="V3084">
        <v>7.53</v>
      </c>
      <c r="W3084">
        <v>515477</v>
      </c>
      <c r="X3084">
        <v>439425</v>
      </c>
      <c r="Y3084">
        <v>1.17</v>
      </c>
      <c r="Z3084">
        <v>343</v>
      </c>
      <c r="AA3084">
        <v>1527</v>
      </c>
      <c r="AB3084" t="s">
        <v>116</v>
      </c>
      <c r="AC3084">
        <v>3322700</v>
      </c>
      <c r="AD3084">
        <v>0.02</v>
      </c>
      <c r="AE3084" t="s">
        <v>116</v>
      </c>
      <c r="AF3084" t="s">
        <v>116</v>
      </c>
      <c r="AG3084">
        <v>56.02</v>
      </c>
      <c r="AH3084" t="s">
        <v>13466</v>
      </c>
      <c r="AI3084" t="s">
        <v>13467</v>
      </c>
      <c r="AJ3084">
        <v>0.08</v>
      </c>
      <c r="AK3084">
        <v>4412</v>
      </c>
      <c r="AL3084">
        <v>216</v>
      </c>
      <c r="AM3084">
        <v>4.0000000000000002E-4</v>
      </c>
      <c r="AN3084">
        <v>0</v>
      </c>
      <c r="AO3084">
        <v>0.54</v>
      </c>
      <c r="AP3084">
        <v>12.75</v>
      </c>
      <c r="AQ3084">
        <v>-14.5</v>
      </c>
      <c r="AR3084">
        <v>39.29</v>
      </c>
      <c r="AS3084">
        <v>5.31</v>
      </c>
      <c r="AT3084" t="s">
        <v>13468</v>
      </c>
      <c r="AU3084">
        <v>14.48</v>
      </c>
      <c r="AV3084">
        <v>24.43</v>
      </c>
      <c r="AW3084">
        <v>1.74</v>
      </c>
      <c r="BA3084">
        <v>0</v>
      </c>
      <c r="BB3084">
        <v>3.23</v>
      </c>
      <c r="BC3084">
        <v>-0.27</v>
      </c>
      <c r="BD3084">
        <v>1.38</v>
      </c>
      <c r="BE3084">
        <v>0</v>
      </c>
      <c r="BF3084">
        <v>-3.13</v>
      </c>
      <c r="BG3084">
        <v>0.27</v>
      </c>
      <c r="BH3084">
        <v>-1.38</v>
      </c>
      <c r="BI3084">
        <v>20191115</v>
      </c>
      <c r="BJ3084">
        <v>20181116</v>
      </c>
      <c r="BK3084">
        <v>442.24</v>
      </c>
      <c r="BL3084" t="s">
        <v>116</v>
      </c>
      <c r="BM3084">
        <v>87.26</v>
      </c>
      <c r="BN3084">
        <v>11537.09</v>
      </c>
      <c r="BO3084">
        <v>1792.95</v>
      </c>
      <c r="BP3084">
        <v>620.4</v>
      </c>
      <c r="BQ3084">
        <v>79.08</v>
      </c>
      <c r="BR3084">
        <v>0</v>
      </c>
      <c r="BS3084">
        <v>246.9</v>
      </c>
      <c r="BT3084">
        <v>59.83</v>
      </c>
      <c r="BU3084">
        <v>0</v>
      </c>
      <c r="BV3084">
        <v>0</v>
      </c>
      <c r="BW3084">
        <v>0</v>
      </c>
      <c r="BX3084">
        <v>74.930000000000007</v>
      </c>
      <c r="BY3084">
        <v>4237.59</v>
      </c>
      <c r="BZ3084">
        <v>0</v>
      </c>
      <c r="CA3084">
        <v>286.04000000000002</v>
      </c>
      <c r="CB3084">
        <v>369.15</v>
      </c>
      <c r="CC3084">
        <v>286.64</v>
      </c>
      <c r="CD3084">
        <v>299.31</v>
      </c>
      <c r="CE3084">
        <v>213.68</v>
      </c>
      <c r="CF3084">
        <v>179.08</v>
      </c>
      <c r="CG3084">
        <v>949.1</v>
      </c>
      <c r="CH3084">
        <v>163.69</v>
      </c>
      <c r="CI3084">
        <v>99.16</v>
      </c>
      <c r="CJ3084">
        <v>217891</v>
      </c>
      <c r="CK3084">
        <v>8261</v>
      </c>
      <c r="CL3084" t="s">
        <v>8085</v>
      </c>
      <c r="CM3084">
        <v>76.33</v>
      </c>
      <c r="CN3084">
        <v>7.45</v>
      </c>
      <c r="CO3084">
        <v>1.83</v>
      </c>
      <c r="CP3084">
        <v>20.07</v>
      </c>
      <c r="CQ3084">
        <v>0.78</v>
      </c>
      <c r="CR3084">
        <v>0.62</v>
      </c>
      <c r="CS3084" t="s">
        <v>13388</v>
      </c>
      <c r="CT3084">
        <v>4.05</v>
      </c>
      <c r="CU3084">
        <v>0</v>
      </c>
      <c r="CV3084">
        <v>0.17</v>
      </c>
      <c r="CW3084">
        <v>2.15</v>
      </c>
      <c r="CX3084">
        <v>0.37</v>
      </c>
      <c r="CY3084">
        <v>15.54</v>
      </c>
      <c r="CZ3084" t="s">
        <v>10494</v>
      </c>
      <c r="DA3084" t="s">
        <v>116</v>
      </c>
      <c r="DB3084">
        <v>6.75</v>
      </c>
      <c r="DC3084">
        <v>5.04</v>
      </c>
      <c r="DD3084">
        <v>0</v>
      </c>
      <c r="DE3084">
        <v>198457</v>
      </c>
      <c r="DF3084">
        <v>601319</v>
      </c>
      <c r="DG3084" t="s">
        <v>116</v>
      </c>
      <c r="DH3084" t="s">
        <v>116</v>
      </c>
      <c r="DI3084" t="s">
        <v>116</v>
      </c>
    </row>
    <row r="3085" spans="1:113" x14ac:dyDescent="0.4">
      <c r="A3085" t="str">
        <f>"601326"</f>
        <v>601326</v>
      </c>
      <c r="B3085" t="s">
        <v>13469</v>
      </c>
      <c r="C3085">
        <v>0</v>
      </c>
      <c r="D3085">
        <v>3.13</v>
      </c>
      <c r="E3085">
        <v>0</v>
      </c>
      <c r="F3085">
        <v>3.12</v>
      </c>
      <c r="G3085">
        <v>3.13</v>
      </c>
      <c r="H3085">
        <v>53769</v>
      </c>
      <c r="I3085">
        <v>269</v>
      </c>
      <c r="J3085">
        <v>0.32</v>
      </c>
      <c r="K3085">
        <v>0.33</v>
      </c>
      <c r="L3085">
        <v>3.12</v>
      </c>
      <c r="M3085">
        <v>3.16</v>
      </c>
      <c r="N3085">
        <v>3.12</v>
      </c>
      <c r="O3085">
        <v>3.13</v>
      </c>
      <c r="P3085">
        <v>15.26</v>
      </c>
      <c r="Q3085">
        <v>16886336</v>
      </c>
      <c r="R3085">
        <v>1</v>
      </c>
      <c r="S3085" t="s">
        <v>515</v>
      </c>
      <c r="T3085" t="s">
        <v>608</v>
      </c>
      <c r="U3085">
        <v>1.28</v>
      </c>
      <c r="V3085">
        <v>3.14</v>
      </c>
      <c r="W3085">
        <v>29897</v>
      </c>
      <c r="X3085">
        <v>23872</v>
      </c>
      <c r="Y3085">
        <v>1.25</v>
      </c>
      <c r="Z3085">
        <v>2578</v>
      </c>
      <c r="AA3085">
        <v>508</v>
      </c>
      <c r="AB3085" t="s">
        <v>116</v>
      </c>
      <c r="AC3085">
        <v>0</v>
      </c>
      <c r="AD3085">
        <v>0</v>
      </c>
      <c r="AE3085" t="s">
        <v>116</v>
      </c>
      <c r="AF3085" t="s">
        <v>116</v>
      </c>
      <c r="AG3085">
        <v>16.53</v>
      </c>
      <c r="AH3085" t="s">
        <v>13470</v>
      </c>
      <c r="AI3085" t="s">
        <v>2811</v>
      </c>
      <c r="AJ3085">
        <v>0.08</v>
      </c>
      <c r="AK3085">
        <v>1662</v>
      </c>
      <c r="AL3085">
        <v>32</v>
      </c>
      <c r="AM3085">
        <v>2.0000000000000001E-4</v>
      </c>
      <c r="AN3085">
        <v>0</v>
      </c>
      <c r="AO3085">
        <v>-0.32</v>
      </c>
      <c r="AP3085">
        <v>0.97</v>
      </c>
      <c r="AQ3085">
        <v>0</v>
      </c>
      <c r="AR3085">
        <v>2.19</v>
      </c>
      <c r="AS3085">
        <v>0.52</v>
      </c>
      <c r="AT3085" t="s">
        <v>13471</v>
      </c>
      <c r="AU3085">
        <v>23.98</v>
      </c>
      <c r="AV3085">
        <v>21.58</v>
      </c>
      <c r="AW3085">
        <v>1.1200000000000001</v>
      </c>
      <c r="BA3085">
        <v>-0.32</v>
      </c>
      <c r="BB3085">
        <v>0.96</v>
      </c>
      <c r="BC3085">
        <v>-0.32</v>
      </c>
      <c r="BD3085">
        <v>0.34</v>
      </c>
      <c r="BE3085">
        <v>0.32</v>
      </c>
      <c r="BF3085">
        <v>-0.95</v>
      </c>
      <c r="BG3085">
        <v>0.32</v>
      </c>
      <c r="BH3085">
        <v>-0.34</v>
      </c>
      <c r="BI3085">
        <v>20191029</v>
      </c>
      <c r="BJ3085">
        <v>20170816</v>
      </c>
      <c r="BK3085">
        <v>55.87</v>
      </c>
      <c r="BL3085" t="s">
        <v>116</v>
      </c>
      <c r="BM3085">
        <v>8.3000000000000007</v>
      </c>
      <c r="BN3085">
        <v>260.04000000000002</v>
      </c>
      <c r="BO3085">
        <v>143.72</v>
      </c>
      <c r="BP3085">
        <v>10.28</v>
      </c>
      <c r="BQ3085">
        <v>40.78</v>
      </c>
      <c r="BR3085">
        <v>40.03</v>
      </c>
      <c r="BS3085">
        <v>146.56</v>
      </c>
      <c r="BT3085">
        <v>23.77</v>
      </c>
      <c r="BU3085">
        <v>38.21</v>
      </c>
      <c r="BV3085">
        <v>2.0499999999999998</v>
      </c>
      <c r="BW3085">
        <v>0.91</v>
      </c>
      <c r="BX3085">
        <v>52.08</v>
      </c>
      <c r="BY3085">
        <v>50.26</v>
      </c>
      <c r="BZ3085">
        <v>28.08</v>
      </c>
      <c r="CA3085">
        <v>11.05</v>
      </c>
      <c r="CB3085">
        <v>1.54</v>
      </c>
      <c r="CC3085">
        <v>11.09</v>
      </c>
      <c r="CD3085">
        <v>8.02</v>
      </c>
      <c r="CE3085">
        <v>8.6</v>
      </c>
      <c r="CF3085">
        <v>8.2100000000000009</v>
      </c>
      <c r="CG3085">
        <v>22.19</v>
      </c>
      <c r="CH3085">
        <v>22.3</v>
      </c>
      <c r="CI3085">
        <v>8.7200000000000006</v>
      </c>
      <c r="CJ3085">
        <v>94026</v>
      </c>
      <c r="CK3085">
        <v>10973</v>
      </c>
      <c r="CL3085" t="s">
        <v>1521</v>
      </c>
      <c r="CM3085">
        <v>-8.59</v>
      </c>
      <c r="CN3085">
        <v>-3.85</v>
      </c>
      <c r="CO3085">
        <v>1.22</v>
      </c>
      <c r="CP3085">
        <v>7.84</v>
      </c>
      <c r="CQ3085">
        <v>3.48</v>
      </c>
      <c r="CR3085">
        <v>2.46</v>
      </c>
      <c r="CS3085" t="s">
        <v>4635</v>
      </c>
      <c r="CT3085">
        <v>2.57</v>
      </c>
      <c r="CU3085">
        <v>0</v>
      </c>
      <c r="CV3085">
        <v>0.93</v>
      </c>
      <c r="CW3085">
        <v>0.4</v>
      </c>
      <c r="CX3085">
        <v>0.4</v>
      </c>
      <c r="CY3085">
        <v>55.27</v>
      </c>
      <c r="CZ3085" t="s">
        <v>8344</v>
      </c>
      <c r="DA3085">
        <v>44.12</v>
      </c>
      <c r="DB3085">
        <v>21.99</v>
      </c>
      <c r="DC3085">
        <v>17.11</v>
      </c>
      <c r="DD3085">
        <v>0.06</v>
      </c>
      <c r="DE3085">
        <v>11674</v>
      </c>
      <c r="DF3085">
        <v>601326</v>
      </c>
      <c r="DG3085" t="s">
        <v>116</v>
      </c>
      <c r="DH3085" t="s">
        <v>116</v>
      </c>
      <c r="DI3085" t="s">
        <v>116</v>
      </c>
    </row>
    <row r="3086" spans="1:113" x14ac:dyDescent="0.4">
      <c r="A3086" t="str">
        <f>"601328"</f>
        <v>601328</v>
      </c>
      <c r="B3086" t="s">
        <v>13472</v>
      </c>
      <c r="C3086">
        <v>0.36</v>
      </c>
      <c r="D3086">
        <v>5.62</v>
      </c>
      <c r="E3086">
        <v>0.02</v>
      </c>
      <c r="F3086">
        <v>5.61</v>
      </c>
      <c r="G3086">
        <v>5.62</v>
      </c>
      <c r="H3086">
        <v>908791</v>
      </c>
      <c r="I3086">
        <v>4461</v>
      </c>
      <c r="J3086">
        <v>-0.17</v>
      </c>
      <c r="K3086">
        <v>0.23</v>
      </c>
      <c r="L3086">
        <v>5.6</v>
      </c>
      <c r="M3086">
        <v>5.65</v>
      </c>
      <c r="N3086">
        <v>5.59</v>
      </c>
      <c r="O3086">
        <v>5.6</v>
      </c>
      <c r="P3086">
        <v>5.2</v>
      </c>
      <c r="Q3086">
        <v>511119168</v>
      </c>
      <c r="R3086">
        <v>1.65</v>
      </c>
      <c r="S3086" t="s">
        <v>114</v>
      </c>
      <c r="T3086" t="s">
        <v>1653</v>
      </c>
      <c r="U3086">
        <v>1.07</v>
      </c>
      <c r="V3086">
        <v>5.62</v>
      </c>
      <c r="W3086">
        <v>364131</v>
      </c>
      <c r="X3086">
        <v>544660</v>
      </c>
      <c r="Y3086">
        <v>0.67</v>
      </c>
      <c r="Z3086">
        <v>32779</v>
      </c>
      <c r="AA3086">
        <v>2456</v>
      </c>
      <c r="AB3086" t="s">
        <v>116</v>
      </c>
      <c r="AC3086">
        <v>2725600</v>
      </c>
      <c r="AD3086">
        <v>0</v>
      </c>
      <c r="AE3086" t="s">
        <v>116</v>
      </c>
      <c r="AF3086" t="s">
        <v>116</v>
      </c>
      <c r="AG3086">
        <v>392.51</v>
      </c>
      <c r="AH3086" t="s">
        <v>13473</v>
      </c>
      <c r="AI3086" t="s">
        <v>13473</v>
      </c>
      <c r="AJ3086">
        <v>0.43</v>
      </c>
      <c r="AK3086">
        <v>4180</v>
      </c>
      <c r="AL3086">
        <v>217</v>
      </c>
      <c r="AM3086">
        <v>1E-4</v>
      </c>
      <c r="AN3086">
        <v>2</v>
      </c>
      <c r="AO3086">
        <v>0.72</v>
      </c>
      <c r="AP3086">
        <v>2</v>
      </c>
      <c r="AQ3086">
        <v>2.37</v>
      </c>
      <c r="AR3086">
        <v>2.37</v>
      </c>
      <c r="AS3086">
        <v>0.38</v>
      </c>
      <c r="AT3086" t="s">
        <v>13474</v>
      </c>
      <c r="AU3086">
        <v>5.46</v>
      </c>
      <c r="AV3086">
        <v>5.67</v>
      </c>
      <c r="AW3086">
        <v>0.64</v>
      </c>
      <c r="BA3086">
        <v>0</v>
      </c>
      <c r="BB3086">
        <v>0.89</v>
      </c>
      <c r="BC3086">
        <v>-0.18</v>
      </c>
      <c r="BD3086">
        <v>0.43</v>
      </c>
      <c r="BE3086">
        <v>0.36</v>
      </c>
      <c r="BF3086">
        <v>-0.53</v>
      </c>
      <c r="BG3086">
        <v>0.54</v>
      </c>
      <c r="BH3086">
        <v>-7.0000000000000007E-2</v>
      </c>
      <c r="BI3086">
        <v>20191026</v>
      </c>
      <c r="BJ3086">
        <v>20070515</v>
      </c>
      <c r="BK3086">
        <v>742.63</v>
      </c>
      <c r="BL3086" t="s">
        <v>116</v>
      </c>
      <c r="BM3086">
        <v>350.12</v>
      </c>
      <c r="BN3086">
        <v>99328.79</v>
      </c>
      <c r="BO3086">
        <v>7753.37</v>
      </c>
      <c r="BP3086">
        <v>74.87</v>
      </c>
      <c r="BQ3086">
        <v>92.12</v>
      </c>
      <c r="BR3086">
        <v>0</v>
      </c>
      <c r="BS3086">
        <v>1662.94</v>
      </c>
      <c r="BT3086">
        <v>30.82</v>
      </c>
      <c r="BU3086">
        <v>0</v>
      </c>
      <c r="BV3086">
        <v>0</v>
      </c>
      <c r="BW3086">
        <v>0</v>
      </c>
      <c r="BX3086">
        <v>1136.6300000000001</v>
      </c>
      <c r="BY3086">
        <v>1762.93</v>
      </c>
      <c r="BZ3086">
        <v>0</v>
      </c>
      <c r="CA3086">
        <v>690.56</v>
      </c>
      <c r="CB3086">
        <v>109.36</v>
      </c>
      <c r="CC3086">
        <v>689.86</v>
      </c>
      <c r="CD3086">
        <v>607.26</v>
      </c>
      <c r="CE3086">
        <v>601.47</v>
      </c>
      <c r="CF3086">
        <v>599.51</v>
      </c>
      <c r="CG3086">
        <v>1606.64</v>
      </c>
      <c r="CH3086">
        <v>638.66</v>
      </c>
      <c r="CI3086">
        <v>-102.96</v>
      </c>
      <c r="CJ3086">
        <v>358617</v>
      </c>
      <c r="CK3086">
        <v>67209</v>
      </c>
      <c r="CL3086" t="s">
        <v>13475</v>
      </c>
      <c r="CM3086">
        <v>4.96</v>
      </c>
      <c r="CN3086">
        <v>11.7</v>
      </c>
      <c r="CO3086">
        <v>0.62</v>
      </c>
      <c r="CP3086">
        <v>6.53</v>
      </c>
      <c r="CQ3086">
        <v>2.37</v>
      </c>
      <c r="CR3086">
        <v>5.34</v>
      </c>
      <c r="CS3086" t="s">
        <v>9924</v>
      </c>
      <c r="CT3086">
        <v>9.1</v>
      </c>
      <c r="CU3086">
        <v>9.1</v>
      </c>
      <c r="CV3086">
        <v>1.53</v>
      </c>
      <c r="CW3086">
        <v>2.16</v>
      </c>
      <c r="CX3086">
        <v>0.86</v>
      </c>
      <c r="CY3086">
        <v>7.81</v>
      </c>
      <c r="CZ3086" t="s">
        <v>7026</v>
      </c>
      <c r="DA3086" t="s">
        <v>116</v>
      </c>
      <c r="DB3086">
        <v>39.17</v>
      </c>
      <c r="DC3086">
        <v>34.119999999999997</v>
      </c>
      <c r="DD3086">
        <v>0</v>
      </c>
      <c r="DE3086">
        <v>86425</v>
      </c>
      <c r="DF3086">
        <v>601328</v>
      </c>
      <c r="DG3086" t="s">
        <v>116</v>
      </c>
      <c r="DH3086" t="s">
        <v>116</v>
      </c>
      <c r="DI3086" t="s">
        <v>116</v>
      </c>
    </row>
    <row r="3087" spans="1:113" x14ac:dyDescent="0.4">
      <c r="A3087" t="str">
        <f>"601330"</f>
        <v>601330</v>
      </c>
      <c r="B3087" t="s">
        <v>13476</v>
      </c>
      <c r="C3087">
        <v>-2.39</v>
      </c>
      <c r="D3087">
        <v>10.61</v>
      </c>
      <c r="E3087">
        <v>-0.26</v>
      </c>
      <c r="F3087">
        <v>10.61</v>
      </c>
      <c r="G3087">
        <v>10.62</v>
      </c>
      <c r="H3087">
        <v>116808</v>
      </c>
      <c r="I3087">
        <v>1461</v>
      </c>
      <c r="J3087">
        <v>0.19</v>
      </c>
      <c r="K3087">
        <v>4.57</v>
      </c>
      <c r="L3087">
        <v>10.9</v>
      </c>
      <c r="M3087">
        <v>10.95</v>
      </c>
      <c r="N3087">
        <v>10.58</v>
      </c>
      <c r="O3087">
        <v>10.87</v>
      </c>
      <c r="P3087">
        <v>28.6</v>
      </c>
      <c r="Q3087">
        <v>125636280</v>
      </c>
      <c r="R3087">
        <v>0.96</v>
      </c>
      <c r="S3087" t="s">
        <v>140</v>
      </c>
      <c r="T3087" t="s">
        <v>115</v>
      </c>
      <c r="U3087">
        <v>3.4</v>
      </c>
      <c r="V3087">
        <v>10.76</v>
      </c>
      <c r="W3087">
        <v>73996</v>
      </c>
      <c r="X3087">
        <v>42812</v>
      </c>
      <c r="Y3087">
        <v>1.73</v>
      </c>
      <c r="Z3087">
        <v>794</v>
      </c>
      <c r="AA3087">
        <v>386</v>
      </c>
      <c r="AB3087" t="s">
        <v>116</v>
      </c>
      <c r="AC3087">
        <v>187500</v>
      </c>
      <c r="AD3087">
        <v>0.01</v>
      </c>
      <c r="AE3087" t="s">
        <v>116</v>
      </c>
      <c r="AF3087" t="s">
        <v>116</v>
      </c>
      <c r="AG3087">
        <v>2.56</v>
      </c>
      <c r="AH3087" t="s">
        <v>9046</v>
      </c>
      <c r="AI3087" t="s">
        <v>13477</v>
      </c>
      <c r="AJ3087">
        <v>-2.3199999999999998</v>
      </c>
      <c r="AK3087">
        <v>2717</v>
      </c>
      <c r="AL3087">
        <v>43</v>
      </c>
      <c r="AM3087">
        <v>1.6999999999999999E-3</v>
      </c>
      <c r="AN3087">
        <v>-1</v>
      </c>
      <c r="AO3087">
        <v>-0.28000000000000003</v>
      </c>
      <c r="AP3087">
        <v>1.73</v>
      </c>
      <c r="AQ3087">
        <v>-8.06</v>
      </c>
      <c r="AR3087">
        <v>-14.09</v>
      </c>
      <c r="AS3087">
        <v>4.57</v>
      </c>
      <c r="AT3087" t="s">
        <v>9046</v>
      </c>
      <c r="AU3087">
        <v>37.799999999999997</v>
      </c>
      <c r="AV3087">
        <v>45.17</v>
      </c>
      <c r="AW3087">
        <v>1.1200000000000001</v>
      </c>
      <c r="BA3087">
        <v>0.28000000000000003</v>
      </c>
      <c r="BB3087">
        <v>0.74</v>
      </c>
      <c r="BC3087">
        <v>-2.67</v>
      </c>
      <c r="BD3087">
        <v>-1.05</v>
      </c>
      <c r="BE3087">
        <v>-2.66</v>
      </c>
      <c r="BF3087">
        <v>-3.11</v>
      </c>
      <c r="BG3087">
        <v>0.28000000000000003</v>
      </c>
      <c r="BH3087">
        <v>-1.34</v>
      </c>
      <c r="BI3087">
        <v>20191031</v>
      </c>
      <c r="BJ3087">
        <v>20180611</v>
      </c>
      <c r="BK3087">
        <v>11.61</v>
      </c>
      <c r="BL3087" t="s">
        <v>116</v>
      </c>
      <c r="BM3087">
        <v>4.04</v>
      </c>
      <c r="BN3087">
        <v>127.9</v>
      </c>
      <c r="BO3087">
        <v>32.03</v>
      </c>
      <c r="BP3087">
        <v>1.45</v>
      </c>
      <c r="BQ3087">
        <v>73.819999999999993</v>
      </c>
      <c r="BR3087">
        <v>15.39</v>
      </c>
      <c r="BS3087">
        <v>0.5</v>
      </c>
      <c r="BT3087">
        <v>57.45</v>
      </c>
      <c r="BU3087">
        <v>41.45</v>
      </c>
      <c r="BV3087">
        <v>0.27</v>
      </c>
      <c r="BW3087">
        <v>3.86</v>
      </c>
      <c r="BX3087">
        <v>8.59</v>
      </c>
      <c r="BY3087">
        <v>12.53</v>
      </c>
      <c r="BZ3087">
        <v>5.75</v>
      </c>
      <c r="CA3087">
        <v>3.69</v>
      </c>
      <c r="CB3087">
        <v>0.01</v>
      </c>
      <c r="CC3087">
        <v>3.7</v>
      </c>
      <c r="CD3087">
        <v>3.25</v>
      </c>
      <c r="CE3087">
        <v>3.23</v>
      </c>
      <c r="CF3087">
        <v>3</v>
      </c>
      <c r="CG3087">
        <v>11.2</v>
      </c>
      <c r="CH3087">
        <v>-0.61</v>
      </c>
      <c r="CI3087">
        <v>-1.82</v>
      </c>
      <c r="CJ3087">
        <v>50671</v>
      </c>
      <c r="CK3087">
        <v>5045</v>
      </c>
      <c r="CL3087" t="s">
        <v>4525</v>
      </c>
      <c r="CM3087">
        <v>19.690000000000001</v>
      </c>
      <c r="CN3087">
        <v>52.28</v>
      </c>
      <c r="CO3087">
        <v>3.85</v>
      </c>
      <c r="CP3087">
        <v>-201.48</v>
      </c>
      <c r="CQ3087">
        <v>9.83</v>
      </c>
      <c r="CR3087">
        <v>0.94</v>
      </c>
      <c r="CS3087" t="s">
        <v>11275</v>
      </c>
      <c r="CT3087">
        <v>2.76</v>
      </c>
      <c r="CU3087">
        <v>0</v>
      </c>
      <c r="CV3087">
        <v>0.74</v>
      </c>
      <c r="CW3087">
        <v>0.96</v>
      </c>
      <c r="CX3087">
        <v>-0.05</v>
      </c>
      <c r="CY3087">
        <v>25.04</v>
      </c>
      <c r="CZ3087" t="s">
        <v>779</v>
      </c>
      <c r="DA3087">
        <v>54.12</v>
      </c>
      <c r="DB3087">
        <v>29.42</v>
      </c>
      <c r="DC3087">
        <v>25.79</v>
      </c>
      <c r="DD3087">
        <v>0.06</v>
      </c>
      <c r="DE3087">
        <v>1970</v>
      </c>
      <c r="DF3087">
        <v>601330</v>
      </c>
      <c r="DG3087" t="s">
        <v>116</v>
      </c>
      <c r="DH3087" t="s">
        <v>116</v>
      </c>
      <c r="DI3087" t="s">
        <v>116</v>
      </c>
    </row>
    <row r="3088" spans="1:113" x14ac:dyDescent="0.4">
      <c r="A3088" t="str">
        <f>"601333"</f>
        <v>601333</v>
      </c>
      <c r="B3088" t="s">
        <v>13478</v>
      </c>
      <c r="C3088">
        <v>0.33</v>
      </c>
      <c r="D3088">
        <v>3.04</v>
      </c>
      <c r="E3088">
        <v>0.01</v>
      </c>
      <c r="F3088">
        <v>3.03</v>
      </c>
      <c r="G3088">
        <v>3.04</v>
      </c>
      <c r="H3088">
        <v>205692</v>
      </c>
      <c r="I3088">
        <v>3118</v>
      </c>
      <c r="J3088">
        <v>0</v>
      </c>
      <c r="K3088">
        <v>0.36</v>
      </c>
      <c r="L3088">
        <v>3.04</v>
      </c>
      <c r="M3088">
        <v>3.05</v>
      </c>
      <c r="N3088">
        <v>3.02</v>
      </c>
      <c r="O3088">
        <v>3.03</v>
      </c>
      <c r="P3088">
        <v>18.46</v>
      </c>
      <c r="Q3088">
        <v>62511336</v>
      </c>
      <c r="R3088">
        <v>1.32</v>
      </c>
      <c r="S3088" t="s">
        <v>1146</v>
      </c>
      <c r="T3088" t="s">
        <v>115</v>
      </c>
      <c r="U3088">
        <v>0.99</v>
      </c>
      <c r="V3088">
        <v>3.04</v>
      </c>
      <c r="W3088">
        <v>102548</v>
      </c>
      <c r="X3088">
        <v>103144</v>
      </c>
      <c r="Y3088">
        <v>0.99</v>
      </c>
      <c r="Z3088">
        <v>11846</v>
      </c>
      <c r="AA3088">
        <v>1699</v>
      </c>
      <c r="AB3088" t="s">
        <v>116</v>
      </c>
      <c r="AC3088">
        <v>360500</v>
      </c>
      <c r="AD3088">
        <v>0</v>
      </c>
      <c r="AE3088" t="s">
        <v>116</v>
      </c>
      <c r="AF3088" t="s">
        <v>116</v>
      </c>
      <c r="AG3088">
        <v>56.52</v>
      </c>
      <c r="AH3088" t="s">
        <v>13479</v>
      </c>
      <c r="AI3088" t="s">
        <v>13479</v>
      </c>
      <c r="AJ3088">
        <v>0.41</v>
      </c>
      <c r="AK3088">
        <v>1602</v>
      </c>
      <c r="AL3088">
        <v>128</v>
      </c>
      <c r="AM3088">
        <v>2.0000000000000001E-4</v>
      </c>
      <c r="AN3088">
        <v>2</v>
      </c>
      <c r="AO3088">
        <v>0.33</v>
      </c>
      <c r="AP3088">
        <v>2.7</v>
      </c>
      <c r="AQ3088">
        <v>-1.3</v>
      </c>
      <c r="AR3088">
        <v>-1.94</v>
      </c>
      <c r="AS3088">
        <v>0.68</v>
      </c>
      <c r="AT3088" t="s">
        <v>13480</v>
      </c>
      <c r="AU3088">
        <v>30.98</v>
      </c>
      <c r="AV3088">
        <v>27.46</v>
      </c>
      <c r="AW3088">
        <v>0.78</v>
      </c>
      <c r="BA3088">
        <v>0.33</v>
      </c>
      <c r="BB3088">
        <v>0.66</v>
      </c>
      <c r="BC3088">
        <v>-0.33</v>
      </c>
      <c r="BD3088">
        <v>0.3</v>
      </c>
      <c r="BE3088">
        <v>0</v>
      </c>
      <c r="BF3088">
        <v>-0.33</v>
      </c>
      <c r="BG3088">
        <v>0.66</v>
      </c>
      <c r="BH3088">
        <v>0.03</v>
      </c>
      <c r="BI3088">
        <v>20191030</v>
      </c>
      <c r="BJ3088">
        <v>20061222</v>
      </c>
      <c r="BK3088">
        <v>70.84</v>
      </c>
      <c r="BL3088" t="s">
        <v>116</v>
      </c>
      <c r="BM3088">
        <v>14.31</v>
      </c>
      <c r="BN3088">
        <v>365.64</v>
      </c>
      <c r="BO3088">
        <v>293.02</v>
      </c>
      <c r="BP3088">
        <v>-0.36</v>
      </c>
      <c r="BQ3088">
        <v>19.96</v>
      </c>
      <c r="BR3088">
        <v>65.67</v>
      </c>
      <c r="BS3088">
        <v>231.99</v>
      </c>
      <c r="BT3088">
        <v>18.86</v>
      </c>
      <c r="BU3088">
        <v>60.05</v>
      </c>
      <c r="BV3088">
        <v>2.88</v>
      </c>
      <c r="BW3088">
        <v>41.88</v>
      </c>
      <c r="BX3088">
        <v>115.63</v>
      </c>
      <c r="BY3088">
        <v>156.13</v>
      </c>
      <c r="BZ3088">
        <v>141.38999999999999</v>
      </c>
      <c r="CA3088">
        <v>11.85</v>
      </c>
      <c r="CB3088">
        <v>-0.06</v>
      </c>
      <c r="CC3088">
        <v>11.76</v>
      </c>
      <c r="CD3088">
        <v>8.75</v>
      </c>
      <c r="CE3088">
        <v>8.75</v>
      </c>
      <c r="CF3088">
        <v>8.77</v>
      </c>
      <c r="CG3088">
        <v>74.680000000000007</v>
      </c>
      <c r="CH3088">
        <v>22.05</v>
      </c>
      <c r="CI3088">
        <v>1.07</v>
      </c>
      <c r="CJ3088">
        <v>222811</v>
      </c>
      <c r="CK3088">
        <v>13567</v>
      </c>
      <c r="CL3088" t="s">
        <v>3250</v>
      </c>
      <c r="CM3088">
        <v>-9.23</v>
      </c>
      <c r="CN3088">
        <v>7.07</v>
      </c>
      <c r="CO3088">
        <v>0.73</v>
      </c>
      <c r="CP3088">
        <v>9.77</v>
      </c>
      <c r="CQ3088">
        <v>1.38</v>
      </c>
      <c r="CR3088">
        <v>1.97</v>
      </c>
      <c r="CS3088" t="s">
        <v>1605</v>
      </c>
      <c r="CT3088">
        <v>4.1399999999999997</v>
      </c>
      <c r="CU3088">
        <v>0</v>
      </c>
      <c r="CV3088">
        <v>1.63</v>
      </c>
      <c r="CW3088">
        <v>1.05</v>
      </c>
      <c r="CX3088">
        <v>0.31</v>
      </c>
      <c r="CY3088">
        <v>80.14</v>
      </c>
      <c r="CZ3088" t="s">
        <v>5079</v>
      </c>
      <c r="DA3088">
        <v>9.44</v>
      </c>
      <c r="DB3088">
        <v>7.59</v>
      </c>
      <c r="DC3088">
        <v>5.6</v>
      </c>
      <c r="DD3088">
        <v>0</v>
      </c>
      <c r="DE3088">
        <v>42738</v>
      </c>
      <c r="DF3088">
        <v>601333</v>
      </c>
      <c r="DG3088" t="s">
        <v>116</v>
      </c>
      <c r="DH3088" t="s">
        <v>116</v>
      </c>
      <c r="DI3088" t="s">
        <v>116</v>
      </c>
    </row>
    <row r="3089" spans="1:113" x14ac:dyDescent="0.4">
      <c r="A3089" t="str">
        <f>"601336"</f>
        <v>601336</v>
      </c>
      <c r="B3089" t="s">
        <v>13481</v>
      </c>
      <c r="C3089">
        <v>0.23</v>
      </c>
      <c r="D3089">
        <v>47.61</v>
      </c>
      <c r="E3089">
        <v>0.11</v>
      </c>
      <c r="F3089">
        <v>47.61</v>
      </c>
      <c r="G3089">
        <v>47.62</v>
      </c>
      <c r="H3089">
        <v>144619</v>
      </c>
      <c r="I3089">
        <v>1372</v>
      </c>
      <c r="J3089">
        <v>-0.05</v>
      </c>
      <c r="K3089">
        <v>0.69</v>
      </c>
      <c r="L3089">
        <v>47.49</v>
      </c>
      <c r="M3089">
        <v>48.56</v>
      </c>
      <c r="N3089">
        <v>47.4</v>
      </c>
      <c r="O3089">
        <v>47.5</v>
      </c>
      <c r="P3089">
        <v>8.57</v>
      </c>
      <c r="Q3089">
        <v>694402368</v>
      </c>
      <c r="R3089">
        <v>1.58</v>
      </c>
      <c r="S3089" t="s">
        <v>1496</v>
      </c>
      <c r="T3089" t="s">
        <v>165</v>
      </c>
      <c r="U3089">
        <v>2.44</v>
      </c>
      <c r="V3089">
        <v>48.02</v>
      </c>
      <c r="W3089">
        <v>66196</v>
      </c>
      <c r="X3089">
        <v>78423</v>
      </c>
      <c r="Y3089">
        <v>0.84</v>
      </c>
      <c r="Z3089">
        <v>23</v>
      </c>
      <c r="AA3089">
        <v>345</v>
      </c>
      <c r="AB3089" t="s">
        <v>116</v>
      </c>
      <c r="AC3089">
        <v>1989800</v>
      </c>
      <c r="AD3089">
        <v>0.01</v>
      </c>
      <c r="AE3089" t="s">
        <v>116</v>
      </c>
      <c r="AF3089" t="s">
        <v>116</v>
      </c>
      <c r="AG3089">
        <v>20.85</v>
      </c>
      <c r="AH3089" t="s">
        <v>13482</v>
      </c>
      <c r="AI3089" t="s">
        <v>13482</v>
      </c>
      <c r="AJ3089">
        <v>0.31</v>
      </c>
      <c r="AK3089">
        <v>4022</v>
      </c>
      <c r="AL3089">
        <v>36</v>
      </c>
      <c r="AM3089">
        <v>2.0000000000000001E-4</v>
      </c>
      <c r="AN3089">
        <v>4</v>
      </c>
      <c r="AO3089">
        <v>0.9</v>
      </c>
      <c r="AP3089">
        <v>6.94</v>
      </c>
      <c r="AQ3089">
        <v>-3.62</v>
      </c>
      <c r="AR3089">
        <v>14.81</v>
      </c>
      <c r="AS3089">
        <v>2.06</v>
      </c>
      <c r="AT3089" t="s">
        <v>13483</v>
      </c>
      <c r="AU3089">
        <v>11.23</v>
      </c>
      <c r="AV3089">
        <v>18.75</v>
      </c>
      <c r="AW3089">
        <v>1.39</v>
      </c>
      <c r="BA3089">
        <v>-0.02</v>
      </c>
      <c r="BB3089">
        <v>2.23</v>
      </c>
      <c r="BC3089">
        <v>-0.21</v>
      </c>
      <c r="BD3089">
        <v>1.0900000000000001</v>
      </c>
      <c r="BE3089">
        <v>0.25</v>
      </c>
      <c r="BF3089">
        <v>-1.96</v>
      </c>
      <c r="BG3089">
        <v>0.44</v>
      </c>
      <c r="BH3089">
        <v>-0.85</v>
      </c>
      <c r="BI3089">
        <v>20191118</v>
      </c>
      <c r="BJ3089">
        <v>20111216</v>
      </c>
      <c r="BK3089">
        <v>31.2</v>
      </c>
      <c r="BL3089" t="s">
        <v>116</v>
      </c>
      <c r="BM3089">
        <v>10.34</v>
      </c>
      <c r="BN3089">
        <v>8220.83</v>
      </c>
      <c r="BO3089">
        <v>797.98</v>
      </c>
      <c r="BP3089">
        <v>0.1</v>
      </c>
      <c r="BQ3089">
        <v>90.29</v>
      </c>
      <c r="BR3089">
        <v>0</v>
      </c>
      <c r="BS3089">
        <v>89.88</v>
      </c>
      <c r="BT3089">
        <v>35.83</v>
      </c>
      <c r="BU3089">
        <v>0</v>
      </c>
      <c r="BV3089">
        <v>0</v>
      </c>
      <c r="BW3089">
        <v>0</v>
      </c>
      <c r="BX3089">
        <v>238.58</v>
      </c>
      <c r="BY3089">
        <v>1328.42</v>
      </c>
      <c r="BZ3089">
        <v>0</v>
      </c>
      <c r="CA3089">
        <v>123.48</v>
      </c>
      <c r="CB3089">
        <v>263.82</v>
      </c>
      <c r="CC3089">
        <v>123.21</v>
      </c>
      <c r="CD3089">
        <v>130.04</v>
      </c>
      <c r="CE3089">
        <v>130.03</v>
      </c>
      <c r="CF3089">
        <v>111.78</v>
      </c>
      <c r="CG3089">
        <v>412.27</v>
      </c>
      <c r="CH3089">
        <v>280.88</v>
      </c>
      <c r="CI3089">
        <v>60.98</v>
      </c>
      <c r="CJ3089">
        <v>85274</v>
      </c>
      <c r="CK3089">
        <v>8238</v>
      </c>
      <c r="CL3089" t="s">
        <v>13484</v>
      </c>
      <c r="CM3089">
        <v>68.83</v>
      </c>
      <c r="CN3089">
        <v>7.57</v>
      </c>
      <c r="CO3089">
        <v>1.86</v>
      </c>
      <c r="CP3089">
        <v>5.29</v>
      </c>
      <c r="CQ3089">
        <v>1.1200000000000001</v>
      </c>
      <c r="CR3089">
        <v>1.62</v>
      </c>
      <c r="CS3089" t="s">
        <v>13485</v>
      </c>
      <c r="CT3089">
        <v>25.58</v>
      </c>
      <c r="CU3089">
        <v>0</v>
      </c>
      <c r="CV3089">
        <v>7.65</v>
      </c>
      <c r="CW3089">
        <v>13.22</v>
      </c>
      <c r="CX3089">
        <v>9</v>
      </c>
      <c r="CY3089">
        <v>9.7100000000000009</v>
      </c>
      <c r="CZ3089" t="s">
        <v>2698</v>
      </c>
      <c r="DA3089" t="s">
        <v>116</v>
      </c>
      <c r="DB3089">
        <v>9.3000000000000007</v>
      </c>
      <c r="DC3089">
        <v>9.7899999999999991</v>
      </c>
      <c r="DD3089">
        <v>0</v>
      </c>
      <c r="DE3089">
        <v>38542</v>
      </c>
      <c r="DF3089">
        <v>601336</v>
      </c>
      <c r="DG3089" t="s">
        <v>116</v>
      </c>
      <c r="DH3089" t="s">
        <v>116</v>
      </c>
      <c r="DI3089" t="s">
        <v>116</v>
      </c>
    </row>
    <row r="3090" spans="1:113" x14ac:dyDescent="0.4">
      <c r="A3090" t="str">
        <f>"601339"</f>
        <v>601339</v>
      </c>
      <c r="B3090" t="s">
        <v>13486</v>
      </c>
      <c r="C3090">
        <v>0.77</v>
      </c>
      <c r="D3090">
        <v>3.94</v>
      </c>
      <c r="E3090">
        <v>0.03</v>
      </c>
      <c r="F3090">
        <v>3.93</v>
      </c>
      <c r="G3090">
        <v>3.94</v>
      </c>
      <c r="H3090">
        <v>69192</v>
      </c>
      <c r="I3090">
        <v>2527</v>
      </c>
      <c r="J3090">
        <v>0.25</v>
      </c>
      <c r="K3090">
        <v>0.46</v>
      </c>
      <c r="L3090">
        <v>3.92</v>
      </c>
      <c r="M3090">
        <v>3.98</v>
      </c>
      <c r="N3090">
        <v>3.91</v>
      </c>
      <c r="O3090">
        <v>3.91</v>
      </c>
      <c r="P3090">
        <v>14.95</v>
      </c>
      <c r="Q3090">
        <v>27324470</v>
      </c>
      <c r="R3090">
        <v>1.52</v>
      </c>
      <c r="S3090" t="s">
        <v>1420</v>
      </c>
      <c r="T3090" t="s">
        <v>590</v>
      </c>
      <c r="U3090">
        <v>1.79</v>
      </c>
      <c r="V3090">
        <v>3.95</v>
      </c>
      <c r="W3090">
        <v>31357</v>
      </c>
      <c r="X3090">
        <v>37835</v>
      </c>
      <c r="Y3090">
        <v>0.83</v>
      </c>
      <c r="Z3090">
        <v>25</v>
      </c>
      <c r="AA3090">
        <v>754</v>
      </c>
      <c r="AB3090" t="s">
        <v>116</v>
      </c>
      <c r="AC3090">
        <v>114900</v>
      </c>
      <c r="AD3090">
        <v>0.01</v>
      </c>
      <c r="AE3090" t="s">
        <v>116</v>
      </c>
      <c r="AF3090" t="s">
        <v>116</v>
      </c>
      <c r="AG3090">
        <v>15</v>
      </c>
      <c r="AH3090" t="s">
        <v>13487</v>
      </c>
      <c r="AI3090" t="s">
        <v>13487</v>
      </c>
      <c r="AJ3090">
        <v>0.84</v>
      </c>
      <c r="AK3090">
        <v>700</v>
      </c>
      <c r="AL3090">
        <v>99</v>
      </c>
      <c r="AM3090">
        <v>6.9999999999999999E-4</v>
      </c>
      <c r="AN3090">
        <v>2</v>
      </c>
      <c r="AO3090">
        <v>1.02</v>
      </c>
      <c r="AP3090">
        <v>1.29</v>
      </c>
      <c r="AQ3090">
        <v>1.29</v>
      </c>
      <c r="AR3090">
        <v>-27.6</v>
      </c>
      <c r="AS3090">
        <v>1.79</v>
      </c>
      <c r="AT3090" t="s">
        <v>2150</v>
      </c>
      <c r="AU3090">
        <v>21.98</v>
      </c>
      <c r="AV3090">
        <v>13.51</v>
      </c>
      <c r="AW3090">
        <v>0.33</v>
      </c>
      <c r="BA3090">
        <v>0.26</v>
      </c>
      <c r="BB3090">
        <v>1.79</v>
      </c>
      <c r="BC3090">
        <v>0</v>
      </c>
      <c r="BD3090">
        <v>1</v>
      </c>
      <c r="BE3090">
        <v>0.51</v>
      </c>
      <c r="BF3090">
        <v>-1.01</v>
      </c>
      <c r="BG3090">
        <v>0.77</v>
      </c>
      <c r="BH3090">
        <v>-0.23</v>
      </c>
      <c r="BI3090">
        <v>20191029</v>
      </c>
      <c r="BJ3090">
        <v>20120612</v>
      </c>
      <c r="BK3090">
        <v>15</v>
      </c>
      <c r="BL3090" t="s">
        <v>116</v>
      </c>
      <c r="BM3090" t="s">
        <v>116</v>
      </c>
      <c r="BN3090">
        <v>143.47999999999999</v>
      </c>
      <c r="BO3090">
        <v>80.09</v>
      </c>
      <c r="BP3090">
        <v>0</v>
      </c>
      <c r="BQ3090">
        <v>44.18</v>
      </c>
      <c r="BR3090">
        <v>67.010000000000005</v>
      </c>
      <c r="BS3090">
        <v>43.17</v>
      </c>
      <c r="BT3090">
        <v>5.64</v>
      </c>
      <c r="BU3090">
        <v>49.34</v>
      </c>
      <c r="BV3090">
        <v>47.11</v>
      </c>
      <c r="BW3090">
        <v>4.8600000000000003</v>
      </c>
      <c r="BX3090">
        <v>23.58</v>
      </c>
      <c r="BY3090">
        <v>45.69</v>
      </c>
      <c r="BZ3090">
        <v>37.799999999999997</v>
      </c>
      <c r="CA3090">
        <v>3.18</v>
      </c>
      <c r="CB3090">
        <v>-0.03</v>
      </c>
      <c r="CC3090">
        <v>3.34</v>
      </c>
      <c r="CD3090">
        <v>2.97</v>
      </c>
      <c r="CE3090">
        <v>2.97</v>
      </c>
      <c r="CF3090">
        <v>3.25</v>
      </c>
      <c r="CG3090">
        <v>35.119999999999997</v>
      </c>
      <c r="CH3090">
        <v>2.19</v>
      </c>
      <c r="CI3090">
        <v>-1.74</v>
      </c>
      <c r="CJ3090">
        <v>34670</v>
      </c>
      <c r="CK3090">
        <v>11131</v>
      </c>
      <c r="CL3090" t="s">
        <v>2055</v>
      </c>
      <c r="CM3090">
        <v>-36.26</v>
      </c>
      <c r="CN3090">
        <v>0.24</v>
      </c>
      <c r="CO3090">
        <v>0.74</v>
      </c>
      <c r="CP3090">
        <v>27.03</v>
      </c>
      <c r="CQ3090">
        <v>1.29</v>
      </c>
      <c r="CR3090">
        <v>2.23</v>
      </c>
      <c r="CS3090" t="s">
        <v>729</v>
      </c>
      <c r="CT3090">
        <v>5.34</v>
      </c>
      <c r="CU3090">
        <v>0</v>
      </c>
      <c r="CV3090">
        <v>1.57</v>
      </c>
      <c r="CW3090">
        <v>2.34</v>
      </c>
      <c r="CX3090">
        <v>0.15</v>
      </c>
      <c r="CY3090">
        <v>55.82</v>
      </c>
      <c r="CZ3090" t="s">
        <v>4308</v>
      </c>
      <c r="DA3090">
        <v>17.28</v>
      </c>
      <c r="DB3090">
        <v>6.96</v>
      </c>
      <c r="DC3090">
        <v>6.49</v>
      </c>
      <c r="DD3090">
        <v>1.17</v>
      </c>
      <c r="DE3090">
        <v>18507</v>
      </c>
      <c r="DF3090">
        <v>601339</v>
      </c>
      <c r="DG3090" t="s">
        <v>116</v>
      </c>
      <c r="DH3090" t="s">
        <v>116</v>
      </c>
      <c r="DI3090" t="s">
        <v>116</v>
      </c>
    </row>
    <row r="3091" spans="1:113" x14ac:dyDescent="0.4">
      <c r="A3091" t="str">
        <f>"601360"</f>
        <v>601360</v>
      </c>
      <c r="B3091" t="s">
        <v>13488</v>
      </c>
      <c r="C3091">
        <v>0.21</v>
      </c>
      <c r="D3091">
        <v>23.79</v>
      </c>
      <c r="E3091">
        <v>0.05</v>
      </c>
      <c r="F3091">
        <v>23.79</v>
      </c>
      <c r="G3091">
        <v>23.8</v>
      </c>
      <c r="H3091">
        <v>323963</v>
      </c>
      <c r="I3091">
        <v>3892</v>
      </c>
      <c r="J3091">
        <v>0.25</v>
      </c>
      <c r="K3091">
        <v>8.16</v>
      </c>
      <c r="L3091">
        <v>24</v>
      </c>
      <c r="M3091">
        <v>24.55</v>
      </c>
      <c r="N3091">
        <v>23.53</v>
      </c>
      <c r="O3091">
        <v>23.74</v>
      </c>
      <c r="P3091">
        <v>23.32</v>
      </c>
      <c r="Q3091">
        <v>775785024</v>
      </c>
      <c r="R3091">
        <v>2.82</v>
      </c>
      <c r="S3091" t="s">
        <v>1384</v>
      </c>
      <c r="T3091" t="s">
        <v>1035</v>
      </c>
      <c r="U3091">
        <v>4.3</v>
      </c>
      <c r="V3091">
        <v>23.95</v>
      </c>
      <c r="W3091">
        <v>159395</v>
      </c>
      <c r="X3091">
        <v>164568</v>
      </c>
      <c r="Y3091">
        <v>0.97</v>
      </c>
      <c r="Z3091">
        <v>351</v>
      </c>
      <c r="AA3091">
        <v>355</v>
      </c>
      <c r="AB3091" t="s">
        <v>116</v>
      </c>
      <c r="AC3091">
        <v>18357600</v>
      </c>
      <c r="AD3091">
        <v>0.19</v>
      </c>
      <c r="AE3091" t="s">
        <v>116</v>
      </c>
      <c r="AF3091" t="s">
        <v>116</v>
      </c>
      <c r="AG3091">
        <v>3.97</v>
      </c>
      <c r="AH3091" t="s">
        <v>13489</v>
      </c>
      <c r="AI3091" t="s">
        <v>13490</v>
      </c>
      <c r="AJ3091">
        <v>0.28999999999999998</v>
      </c>
      <c r="AK3091">
        <v>4234</v>
      </c>
      <c r="AL3091">
        <v>77</v>
      </c>
      <c r="AM3091">
        <v>1.9E-3</v>
      </c>
      <c r="AN3091">
        <v>4</v>
      </c>
      <c r="AO3091">
        <v>10.91</v>
      </c>
      <c r="AP3091">
        <v>14.71</v>
      </c>
      <c r="AQ3091">
        <v>0.51</v>
      </c>
      <c r="AR3091">
        <v>17.09</v>
      </c>
      <c r="AS3091">
        <v>8.16</v>
      </c>
      <c r="AT3091" t="s">
        <v>13489</v>
      </c>
      <c r="AU3091">
        <v>25.97</v>
      </c>
      <c r="AV3091">
        <v>45.52</v>
      </c>
      <c r="AW3091">
        <v>2.39</v>
      </c>
      <c r="BA3091">
        <v>1.1000000000000001</v>
      </c>
      <c r="BB3091">
        <v>3.41</v>
      </c>
      <c r="BC3091">
        <v>-0.88</v>
      </c>
      <c r="BD3091">
        <v>0.87</v>
      </c>
      <c r="BE3091">
        <v>-0.87</v>
      </c>
      <c r="BF3091">
        <v>-3.1</v>
      </c>
      <c r="BG3091">
        <v>1.1000000000000001</v>
      </c>
      <c r="BH3091">
        <v>-0.66</v>
      </c>
      <c r="BI3091">
        <v>20191031</v>
      </c>
      <c r="BJ3091">
        <v>20120116</v>
      </c>
      <c r="BK3091">
        <v>67.64</v>
      </c>
      <c r="BL3091" t="s">
        <v>116</v>
      </c>
      <c r="BM3091" t="s">
        <v>116</v>
      </c>
      <c r="BN3091">
        <v>330.96</v>
      </c>
      <c r="BO3091">
        <v>278.58999999999997</v>
      </c>
      <c r="BP3091">
        <v>0.11</v>
      </c>
      <c r="BQ3091">
        <v>15.79</v>
      </c>
      <c r="BR3091">
        <v>235.49</v>
      </c>
      <c r="BS3091">
        <v>4.4400000000000004</v>
      </c>
      <c r="BT3091">
        <v>3.19</v>
      </c>
      <c r="BU3091">
        <v>50.1</v>
      </c>
      <c r="BV3091">
        <v>1.43</v>
      </c>
      <c r="BW3091">
        <v>22.73</v>
      </c>
      <c r="BX3091">
        <v>58.91</v>
      </c>
      <c r="BY3091">
        <v>95.22</v>
      </c>
      <c r="BZ3091">
        <v>33.26</v>
      </c>
      <c r="CA3091">
        <v>62.52</v>
      </c>
      <c r="CB3091">
        <v>31.06</v>
      </c>
      <c r="CC3091">
        <v>62.75</v>
      </c>
      <c r="CD3091">
        <v>51.65</v>
      </c>
      <c r="CE3091">
        <v>51.76</v>
      </c>
      <c r="CF3091">
        <v>25.86</v>
      </c>
      <c r="CG3091">
        <v>125.98</v>
      </c>
      <c r="CH3091">
        <v>18.55</v>
      </c>
      <c r="CI3091">
        <v>-21.66</v>
      </c>
      <c r="CJ3091">
        <v>57220</v>
      </c>
      <c r="CK3091">
        <v>6941</v>
      </c>
      <c r="CL3091" t="s">
        <v>13491</v>
      </c>
      <c r="CM3091">
        <v>105.74</v>
      </c>
      <c r="CN3091">
        <v>0.77</v>
      </c>
      <c r="CO3091">
        <v>5.78</v>
      </c>
      <c r="CP3091">
        <v>86.75</v>
      </c>
      <c r="CQ3091">
        <v>16.899999999999999</v>
      </c>
      <c r="CR3091">
        <v>0.22</v>
      </c>
      <c r="CS3091" t="s">
        <v>7452</v>
      </c>
      <c r="CT3091">
        <v>4.12</v>
      </c>
      <c r="CU3091">
        <v>0</v>
      </c>
      <c r="CV3091">
        <v>0.87</v>
      </c>
      <c r="CW3091">
        <v>1.86</v>
      </c>
      <c r="CX3091">
        <v>0.27</v>
      </c>
      <c r="CY3091">
        <v>84.18</v>
      </c>
      <c r="CZ3091" t="s">
        <v>11107</v>
      </c>
      <c r="DA3091">
        <v>65.069999999999993</v>
      </c>
      <c r="DB3091">
        <v>65.66</v>
      </c>
      <c r="DC3091">
        <v>54.36</v>
      </c>
      <c r="DD3091">
        <v>17.899999999999999</v>
      </c>
      <c r="DE3091">
        <v>5419</v>
      </c>
      <c r="DF3091">
        <v>601360</v>
      </c>
      <c r="DG3091" t="s">
        <v>116</v>
      </c>
      <c r="DH3091" t="s">
        <v>116</v>
      </c>
      <c r="DI3091" t="s">
        <v>116</v>
      </c>
    </row>
    <row r="3092" spans="1:113" x14ac:dyDescent="0.4">
      <c r="A3092" t="str">
        <f>"601366"</f>
        <v>601366</v>
      </c>
      <c r="B3092" t="s">
        <v>13492</v>
      </c>
      <c r="C3092">
        <v>0.36</v>
      </c>
      <c r="D3092">
        <v>5.58</v>
      </c>
      <c r="E3092">
        <v>0.02</v>
      </c>
      <c r="F3092">
        <v>5.57</v>
      </c>
      <c r="G3092">
        <v>5.58</v>
      </c>
      <c r="H3092">
        <v>39925</v>
      </c>
      <c r="I3092">
        <v>350</v>
      </c>
      <c r="J3092">
        <v>0</v>
      </c>
      <c r="K3092">
        <v>0.84</v>
      </c>
      <c r="L3092">
        <v>5.56</v>
      </c>
      <c r="M3092">
        <v>5.62</v>
      </c>
      <c r="N3092">
        <v>5.56</v>
      </c>
      <c r="O3092">
        <v>5.56</v>
      </c>
      <c r="P3092">
        <v>16.72</v>
      </c>
      <c r="Q3092">
        <v>22357784</v>
      </c>
      <c r="R3092">
        <v>1.2</v>
      </c>
      <c r="S3092" t="s">
        <v>746</v>
      </c>
      <c r="T3092" t="s">
        <v>645</v>
      </c>
      <c r="U3092">
        <v>1.08</v>
      </c>
      <c r="V3092">
        <v>5.6</v>
      </c>
      <c r="W3092">
        <v>19501</v>
      </c>
      <c r="X3092">
        <v>20424</v>
      </c>
      <c r="Y3092">
        <v>0.95</v>
      </c>
      <c r="Z3092">
        <v>1114</v>
      </c>
      <c r="AA3092">
        <v>818</v>
      </c>
      <c r="AB3092" t="s">
        <v>116</v>
      </c>
      <c r="AC3092">
        <v>16100</v>
      </c>
      <c r="AD3092">
        <v>0</v>
      </c>
      <c r="AE3092" t="s">
        <v>116</v>
      </c>
      <c r="AF3092" t="s">
        <v>116</v>
      </c>
      <c r="AG3092">
        <v>4.75</v>
      </c>
      <c r="AH3092" t="s">
        <v>8106</v>
      </c>
      <c r="AI3092" t="s">
        <v>13493</v>
      </c>
      <c r="AJ3092">
        <v>0.44</v>
      </c>
      <c r="AK3092">
        <v>740</v>
      </c>
      <c r="AL3092">
        <v>54</v>
      </c>
      <c r="AM3092">
        <v>1.1000000000000001E-3</v>
      </c>
      <c r="AN3092">
        <v>2</v>
      </c>
      <c r="AO3092">
        <v>0.18</v>
      </c>
      <c r="AP3092">
        <v>3.91</v>
      </c>
      <c r="AQ3092">
        <v>-2.4500000000000002</v>
      </c>
      <c r="AR3092">
        <v>-11.15</v>
      </c>
      <c r="AS3092">
        <v>0.84</v>
      </c>
      <c r="AT3092" t="s">
        <v>8106</v>
      </c>
      <c r="AU3092">
        <v>39.909999999999997</v>
      </c>
      <c r="AV3092">
        <v>23.76</v>
      </c>
      <c r="AW3092">
        <v>1.08</v>
      </c>
      <c r="BA3092">
        <v>0</v>
      </c>
      <c r="BB3092">
        <v>1.08</v>
      </c>
      <c r="BC3092">
        <v>0</v>
      </c>
      <c r="BD3092">
        <v>0.72</v>
      </c>
      <c r="BE3092">
        <v>0.36</v>
      </c>
      <c r="BF3092">
        <v>-0.71</v>
      </c>
      <c r="BG3092">
        <v>0.36</v>
      </c>
      <c r="BH3092">
        <v>-0.36</v>
      </c>
      <c r="BI3092">
        <v>20191018</v>
      </c>
      <c r="BJ3092">
        <v>20170412</v>
      </c>
      <c r="BK3092">
        <v>8.61</v>
      </c>
      <c r="BL3092" t="s">
        <v>116</v>
      </c>
      <c r="BM3092" t="s">
        <v>116</v>
      </c>
      <c r="BN3092">
        <v>116.41</v>
      </c>
      <c r="BO3092">
        <v>46.13</v>
      </c>
      <c r="BP3092">
        <v>0.05</v>
      </c>
      <c r="BQ3092">
        <v>60.33</v>
      </c>
      <c r="BR3092">
        <v>38.29</v>
      </c>
      <c r="BS3092">
        <v>52.23</v>
      </c>
      <c r="BT3092">
        <v>11.25</v>
      </c>
      <c r="BU3092">
        <v>63.29</v>
      </c>
      <c r="BV3092">
        <v>18.47</v>
      </c>
      <c r="BW3092">
        <v>2.16</v>
      </c>
      <c r="BX3092">
        <v>17.66</v>
      </c>
      <c r="BY3092">
        <v>93.99</v>
      </c>
      <c r="BZ3092">
        <v>71.930000000000007</v>
      </c>
      <c r="CA3092">
        <v>3.05</v>
      </c>
      <c r="CB3092">
        <v>0.01</v>
      </c>
      <c r="CC3092">
        <v>3.49</v>
      </c>
      <c r="CD3092">
        <v>2.15</v>
      </c>
      <c r="CE3092">
        <v>2.15</v>
      </c>
      <c r="CF3092">
        <v>1.71</v>
      </c>
      <c r="CG3092">
        <v>16.36</v>
      </c>
      <c r="CH3092">
        <v>3.43</v>
      </c>
      <c r="CI3092">
        <v>-12.26</v>
      </c>
      <c r="CJ3092">
        <v>48803</v>
      </c>
      <c r="CK3092">
        <v>9734</v>
      </c>
      <c r="CL3092" t="s">
        <v>1208</v>
      </c>
      <c r="CM3092">
        <v>-27.52</v>
      </c>
      <c r="CN3092">
        <v>13.29</v>
      </c>
      <c r="CO3092">
        <v>1.04</v>
      </c>
      <c r="CP3092">
        <v>14.02</v>
      </c>
      <c r="CQ3092">
        <v>0.51</v>
      </c>
      <c r="CR3092">
        <v>3.58</v>
      </c>
      <c r="CS3092" t="s">
        <v>3553</v>
      </c>
      <c r="CT3092">
        <v>5.36</v>
      </c>
      <c r="CU3092">
        <v>0</v>
      </c>
      <c r="CV3092">
        <v>2.0499999999999998</v>
      </c>
      <c r="CW3092">
        <v>1.9</v>
      </c>
      <c r="CX3092">
        <v>0.4</v>
      </c>
      <c r="CY3092">
        <v>39.619999999999997</v>
      </c>
      <c r="CZ3092" t="s">
        <v>6765</v>
      </c>
      <c r="DA3092">
        <v>23.47</v>
      </c>
      <c r="DB3092">
        <v>3.24</v>
      </c>
      <c r="DC3092">
        <v>2.29</v>
      </c>
      <c r="DD3092">
        <v>0</v>
      </c>
      <c r="DE3092">
        <v>10234</v>
      </c>
      <c r="DF3092">
        <v>601366</v>
      </c>
      <c r="DG3092" t="s">
        <v>116</v>
      </c>
      <c r="DH3092" t="s">
        <v>116</v>
      </c>
      <c r="DI3092" t="s">
        <v>116</v>
      </c>
    </row>
    <row r="3093" spans="1:113" x14ac:dyDescent="0.4">
      <c r="A3093" t="str">
        <f>"601368"</f>
        <v>601368</v>
      </c>
      <c r="B3093" t="s">
        <v>13494</v>
      </c>
      <c r="C3093">
        <v>0.52</v>
      </c>
      <c r="D3093">
        <v>5.81</v>
      </c>
      <c r="E3093">
        <v>0.03</v>
      </c>
      <c r="F3093">
        <v>5.81</v>
      </c>
      <c r="G3093">
        <v>5.82</v>
      </c>
      <c r="H3093">
        <v>22011</v>
      </c>
      <c r="I3093">
        <v>293</v>
      </c>
      <c r="J3093">
        <v>0</v>
      </c>
      <c r="K3093">
        <v>0.3</v>
      </c>
      <c r="L3093">
        <v>5.76</v>
      </c>
      <c r="M3093">
        <v>5.86</v>
      </c>
      <c r="N3093">
        <v>5.76</v>
      </c>
      <c r="O3093">
        <v>5.78</v>
      </c>
      <c r="P3093">
        <v>18.96</v>
      </c>
      <c r="Q3093">
        <v>12826195</v>
      </c>
      <c r="R3093">
        <v>2.35</v>
      </c>
      <c r="S3093" t="s">
        <v>1345</v>
      </c>
      <c r="T3093" t="s">
        <v>982</v>
      </c>
      <c r="U3093">
        <v>1.73</v>
      </c>
      <c r="V3093">
        <v>5.83</v>
      </c>
      <c r="W3093">
        <v>9788</v>
      </c>
      <c r="X3093">
        <v>12223</v>
      </c>
      <c r="Y3093">
        <v>0.8</v>
      </c>
      <c r="Z3093">
        <v>251</v>
      </c>
      <c r="AA3093">
        <v>153</v>
      </c>
      <c r="AB3093" t="s">
        <v>116</v>
      </c>
      <c r="AC3093">
        <v>0</v>
      </c>
      <c r="AD3093">
        <v>0</v>
      </c>
      <c r="AE3093" t="s">
        <v>116</v>
      </c>
      <c r="AF3093" t="s">
        <v>116</v>
      </c>
      <c r="AG3093">
        <v>7.36</v>
      </c>
      <c r="AH3093" t="s">
        <v>11823</v>
      </c>
      <c r="AI3093" t="s">
        <v>13495</v>
      </c>
      <c r="AJ3093">
        <v>0.6</v>
      </c>
      <c r="AK3093">
        <v>669</v>
      </c>
      <c r="AL3093">
        <v>33</v>
      </c>
      <c r="AM3093">
        <v>4.0000000000000002E-4</v>
      </c>
      <c r="AN3093">
        <v>2</v>
      </c>
      <c r="AO3093">
        <v>1.04</v>
      </c>
      <c r="AP3093">
        <v>3.94</v>
      </c>
      <c r="AQ3093">
        <v>-0.51</v>
      </c>
      <c r="AR3093">
        <v>2.36</v>
      </c>
      <c r="AS3093">
        <v>0.71</v>
      </c>
      <c r="AT3093" t="s">
        <v>2531</v>
      </c>
      <c r="AU3093">
        <v>19.670000000000002</v>
      </c>
      <c r="AV3093">
        <v>18.37</v>
      </c>
      <c r="AW3093">
        <v>0.78</v>
      </c>
      <c r="BA3093">
        <v>-0.35</v>
      </c>
      <c r="BB3093">
        <v>1.38</v>
      </c>
      <c r="BC3093">
        <v>-0.35</v>
      </c>
      <c r="BD3093">
        <v>0.81</v>
      </c>
      <c r="BE3093">
        <v>0.87</v>
      </c>
      <c r="BF3093">
        <v>-0.85</v>
      </c>
      <c r="BG3093">
        <v>0.87</v>
      </c>
      <c r="BH3093">
        <v>-0.3</v>
      </c>
      <c r="BI3093">
        <v>20191026</v>
      </c>
      <c r="BJ3093">
        <v>20150612</v>
      </c>
      <c r="BK3093">
        <v>8.83</v>
      </c>
      <c r="BL3093" t="s">
        <v>116</v>
      </c>
      <c r="BM3093" t="s">
        <v>116</v>
      </c>
      <c r="BN3093">
        <v>121.57</v>
      </c>
      <c r="BO3093">
        <v>41.37</v>
      </c>
      <c r="BP3093">
        <v>0</v>
      </c>
      <c r="BQ3093">
        <v>65.97</v>
      </c>
      <c r="BR3093">
        <v>26.55</v>
      </c>
      <c r="BS3093">
        <v>50.31</v>
      </c>
      <c r="BT3093">
        <v>5.87</v>
      </c>
      <c r="BU3093">
        <v>23.06</v>
      </c>
      <c r="BV3093">
        <v>0.87</v>
      </c>
      <c r="BW3093">
        <v>1.8</v>
      </c>
      <c r="BX3093">
        <v>15.24</v>
      </c>
      <c r="BY3093">
        <v>11.1</v>
      </c>
      <c r="BZ3093">
        <v>6.61</v>
      </c>
      <c r="CA3093">
        <v>2.41</v>
      </c>
      <c r="CB3093">
        <v>0</v>
      </c>
      <c r="CC3093">
        <v>2.42</v>
      </c>
      <c r="CD3093">
        <v>2.0299999999999998</v>
      </c>
      <c r="CE3093">
        <v>2.0299999999999998</v>
      </c>
      <c r="CF3093">
        <v>1.86</v>
      </c>
      <c r="CG3093">
        <v>14.78</v>
      </c>
      <c r="CH3093">
        <v>5.84</v>
      </c>
      <c r="CI3093">
        <v>11.22</v>
      </c>
      <c r="CJ3093">
        <v>38838</v>
      </c>
      <c r="CK3093">
        <v>7935</v>
      </c>
      <c r="CL3093" t="s">
        <v>1438</v>
      </c>
      <c r="CM3093">
        <v>-8.31</v>
      </c>
      <c r="CN3093">
        <v>11.19</v>
      </c>
      <c r="CO3093">
        <v>1.24</v>
      </c>
      <c r="CP3093">
        <v>8.7899999999999991</v>
      </c>
      <c r="CQ3093">
        <v>4.62</v>
      </c>
      <c r="CR3093">
        <v>1.64</v>
      </c>
      <c r="CS3093" t="s">
        <v>4342</v>
      </c>
      <c r="CT3093">
        <v>4.6900000000000004</v>
      </c>
      <c r="CU3093">
        <v>0</v>
      </c>
      <c r="CV3093">
        <v>1.73</v>
      </c>
      <c r="CW3093">
        <v>1.67</v>
      </c>
      <c r="CX3093">
        <v>0.66</v>
      </c>
      <c r="CY3093">
        <v>34.03</v>
      </c>
      <c r="CZ3093" t="s">
        <v>13496</v>
      </c>
      <c r="DA3093">
        <v>40.47</v>
      </c>
      <c r="DB3093">
        <v>21.74</v>
      </c>
      <c r="DC3093">
        <v>18.29</v>
      </c>
      <c r="DD3093">
        <v>0</v>
      </c>
      <c r="DE3093">
        <v>1509</v>
      </c>
      <c r="DF3093">
        <v>601368</v>
      </c>
      <c r="DG3093" t="s">
        <v>116</v>
      </c>
      <c r="DH3093" t="s">
        <v>116</v>
      </c>
      <c r="DI3093" t="s">
        <v>116</v>
      </c>
    </row>
    <row r="3094" spans="1:113" x14ac:dyDescent="0.4">
      <c r="A3094" t="str">
        <f>"601369"</f>
        <v>601369</v>
      </c>
      <c r="B3094" t="s">
        <v>13497</v>
      </c>
      <c r="C3094">
        <v>-0.92</v>
      </c>
      <c r="D3094">
        <v>6.48</v>
      </c>
      <c r="E3094">
        <v>-0.06</v>
      </c>
      <c r="F3094">
        <v>6.48</v>
      </c>
      <c r="G3094">
        <v>6.5</v>
      </c>
      <c r="H3094">
        <v>35582</v>
      </c>
      <c r="I3094">
        <v>593</v>
      </c>
      <c r="J3094">
        <v>-0.45</v>
      </c>
      <c r="K3094">
        <v>0.22</v>
      </c>
      <c r="L3094">
        <v>6.55</v>
      </c>
      <c r="M3094">
        <v>6.57</v>
      </c>
      <c r="N3094">
        <v>6.48</v>
      </c>
      <c r="O3094">
        <v>6.54</v>
      </c>
      <c r="P3094">
        <v>16.72</v>
      </c>
      <c r="Q3094">
        <v>23251604</v>
      </c>
      <c r="R3094">
        <v>0.95</v>
      </c>
      <c r="S3094" t="s">
        <v>996</v>
      </c>
      <c r="T3094" t="s">
        <v>913</v>
      </c>
      <c r="U3094">
        <v>1.38</v>
      </c>
      <c r="V3094">
        <v>6.53</v>
      </c>
      <c r="W3094">
        <v>20422</v>
      </c>
      <c r="X3094">
        <v>15160</v>
      </c>
      <c r="Y3094">
        <v>1.35</v>
      </c>
      <c r="Z3094">
        <v>218</v>
      </c>
      <c r="AA3094">
        <v>272</v>
      </c>
      <c r="AB3094" t="s">
        <v>116</v>
      </c>
      <c r="AC3094">
        <v>49800</v>
      </c>
      <c r="AD3094">
        <v>0</v>
      </c>
      <c r="AE3094" t="s">
        <v>116</v>
      </c>
      <c r="AF3094" t="s">
        <v>116</v>
      </c>
      <c r="AG3094">
        <v>16.39</v>
      </c>
      <c r="AH3094" t="s">
        <v>13498</v>
      </c>
      <c r="AI3094" t="s">
        <v>13499</v>
      </c>
      <c r="AJ3094">
        <v>-0.84</v>
      </c>
      <c r="AK3094">
        <v>810</v>
      </c>
      <c r="AL3094">
        <v>44</v>
      </c>
      <c r="AM3094">
        <v>2.9999999999999997E-4</v>
      </c>
      <c r="AN3094">
        <v>-1</v>
      </c>
      <c r="AO3094">
        <v>0</v>
      </c>
      <c r="AP3094">
        <v>2.86</v>
      </c>
      <c r="AQ3094">
        <v>-4.71</v>
      </c>
      <c r="AR3094">
        <v>10.77</v>
      </c>
      <c r="AS3094">
        <v>0.62</v>
      </c>
      <c r="AT3094" t="s">
        <v>5138</v>
      </c>
      <c r="AU3094">
        <v>23.4</v>
      </c>
      <c r="AV3094">
        <v>31.05</v>
      </c>
      <c r="AW3094">
        <v>1.25</v>
      </c>
      <c r="BA3094">
        <v>0.15</v>
      </c>
      <c r="BB3094">
        <v>0.46</v>
      </c>
      <c r="BC3094">
        <v>-0.92</v>
      </c>
      <c r="BD3094">
        <v>-0.08</v>
      </c>
      <c r="BE3094">
        <v>-1.07</v>
      </c>
      <c r="BF3094">
        <v>-1.37</v>
      </c>
      <c r="BG3094">
        <v>0</v>
      </c>
      <c r="BH3094">
        <v>-0.84</v>
      </c>
      <c r="BI3094">
        <v>20191029</v>
      </c>
      <c r="BJ3094">
        <v>20100428</v>
      </c>
      <c r="BK3094">
        <v>16.78</v>
      </c>
      <c r="BL3094" t="s">
        <v>116</v>
      </c>
      <c r="BM3094" t="s">
        <v>116</v>
      </c>
      <c r="BN3094">
        <v>185.43</v>
      </c>
      <c r="BO3094">
        <v>66.849999999999994</v>
      </c>
      <c r="BP3094">
        <v>3.27</v>
      </c>
      <c r="BQ3094">
        <v>62.19</v>
      </c>
      <c r="BR3094">
        <v>158.27000000000001</v>
      </c>
      <c r="BS3094">
        <v>16.41</v>
      </c>
      <c r="BT3094">
        <v>2.1800000000000002</v>
      </c>
      <c r="BU3094">
        <v>108.85</v>
      </c>
      <c r="BV3094">
        <v>23.55</v>
      </c>
      <c r="BW3094">
        <v>28.46</v>
      </c>
      <c r="BX3094">
        <v>19.739999999999998</v>
      </c>
      <c r="BY3094">
        <v>52.68</v>
      </c>
      <c r="BZ3094">
        <v>40.520000000000003</v>
      </c>
      <c r="CA3094">
        <v>6.5</v>
      </c>
      <c r="CB3094">
        <v>2.2599999999999998</v>
      </c>
      <c r="CC3094">
        <v>6.54</v>
      </c>
      <c r="CD3094">
        <v>5.33</v>
      </c>
      <c r="CE3094">
        <v>4.88</v>
      </c>
      <c r="CF3094">
        <v>2.92</v>
      </c>
      <c r="CG3094">
        <v>17.64</v>
      </c>
      <c r="CH3094">
        <v>7.69</v>
      </c>
      <c r="CI3094">
        <v>21.65</v>
      </c>
      <c r="CJ3094">
        <v>27408</v>
      </c>
      <c r="CK3094">
        <v>20996</v>
      </c>
      <c r="CL3094" t="s">
        <v>13092</v>
      </c>
      <c r="CM3094">
        <v>30.67</v>
      </c>
      <c r="CN3094">
        <v>47.83</v>
      </c>
      <c r="CO3094">
        <v>1.63</v>
      </c>
      <c r="CP3094">
        <v>14.15</v>
      </c>
      <c r="CQ3094">
        <v>2.06</v>
      </c>
      <c r="CR3094">
        <v>3.08</v>
      </c>
      <c r="CS3094" t="s">
        <v>8343</v>
      </c>
      <c r="CT3094">
        <v>3.98</v>
      </c>
      <c r="CU3094">
        <v>0</v>
      </c>
      <c r="CV3094">
        <v>1.18</v>
      </c>
      <c r="CW3094">
        <v>1.05</v>
      </c>
      <c r="CX3094">
        <v>0.46</v>
      </c>
      <c r="CY3094">
        <v>36.049999999999997</v>
      </c>
      <c r="CZ3094" t="s">
        <v>3359</v>
      </c>
      <c r="DA3094">
        <v>23.09</v>
      </c>
      <c r="DB3094">
        <v>12.33</v>
      </c>
      <c r="DC3094">
        <v>9.26</v>
      </c>
      <c r="DD3094">
        <v>1.94</v>
      </c>
      <c r="DE3094">
        <v>2921</v>
      </c>
      <c r="DF3094">
        <v>601369</v>
      </c>
      <c r="DG3094" t="s">
        <v>116</v>
      </c>
      <c r="DH3094" t="s">
        <v>116</v>
      </c>
      <c r="DI3094" t="s">
        <v>116</v>
      </c>
    </row>
    <row r="3095" spans="1:113" x14ac:dyDescent="0.4">
      <c r="A3095" t="str">
        <f>"601375"</f>
        <v>601375</v>
      </c>
      <c r="B3095" t="s">
        <v>13500</v>
      </c>
      <c r="C3095">
        <v>-2.2599999999999998</v>
      </c>
      <c r="D3095">
        <v>5.19</v>
      </c>
      <c r="E3095">
        <v>-0.12</v>
      </c>
      <c r="F3095">
        <v>5.18</v>
      </c>
      <c r="G3095">
        <v>5.19</v>
      </c>
      <c r="H3095">
        <v>716069</v>
      </c>
      <c r="I3095">
        <v>7751</v>
      </c>
      <c r="J3095">
        <v>-0.18</v>
      </c>
      <c r="K3095">
        <v>3.97</v>
      </c>
      <c r="L3095">
        <v>5.3</v>
      </c>
      <c r="M3095">
        <v>5.45</v>
      </c>
      <c r="N3095">
        <v>5.18</v>
      </c>
      <c r="O3095">
        <v>5.31</v>
      </c>
      <c r="P3095">
        <v>51.85</v>
      </c>
      <c r="Q3095">
        <v>381460864</v>
      </c>
      <c r="R3095">
        <v>1.32</v>
      </c>
      <c r="S3095" t="s">
        <v>623</v>
      </c>
      <c r="T3095" t="s">
        <v>652</v>
      </c>
      <c r="U3095">
        <v>5.08</v>
      </c>
      <c r="V3095">
        <v>5.33</v>
      </c>
      <c r="W3095">
        <v>375395</v>
      </c>
      <c r="X3095">
        <v>340673</v>
      </c>
      <c r="Y3095">
        <v>1.1000000000000001</v>
      </c>
      <c r="Z3095">
        <v>5117</v>
      </c>
      <c r="AA3095">
        <v>379</v>
      </c>
      <c r="AB3095" t="s">
        <v>116</v>
      </c>
      <c r="AC3095">
        <v>2669100</v>
      </c>
      <c r="AD3095">
        <v>0.04</v>
      </c>
      <c r="AE3095" t="s">
        <v>116</v>
      </c>
      <c r="AF3095" t="s">
        <v>116</v>
      </c>
      <c r="AG3095">
        <v>18.03</v>
      </c>
      <c r="AH3095" t="s">
        <v>13501</v>
      </c>
      <c r="AI3095" t="s">
        <v>13502</v>
      </c>
      <c r="AJ3095">
        <v>-2.1800000000000002</v>
      </c>
      <c r="AK3095">
        <v>3726</v>
      </c>
      <c r="AL3095">
        <v>192</v>
      </c>
      <c r="AM3095">
        <v>1.1000000000000001E-3</v>
      </c>
      <c r="AN3095">
        <v>-1</v>
      </c>
      <c r="AO3095">
        <v>0</v>
      </c>
      <c r="AP3095">
        <v>11.85</v>
      </c>
      <c r="AQ3095">
        <v>3.39</v>
      </c>
      <c r="AR3095">
        <v>22.41</v>
      </c>
      <c r="AS3095">
        <v>5.68</v>
      </c>
      <c r="AT3095" t="s">
        <v>6456</v>
      </c>
      <c r="AU3095">
        <v>91.11</v>
      </c>
      <c r="AV3095">
        <v>305.23</v>
      </c>
      <c r="AW3095">
        <v>1.93</v>
      </c>
      <c r="BA3095">
        <v>-0.19</v>
      </c>
      <c r="BB3095">
        <v>2.64</v>
      </c>
      <c r="BC3095">
        <v>-2.4500000000000002</v>
      </c>
      <c r="BD3095">
        <v>0.32</v>
      </c>
      <c r="BE3095">
        <v>-2.08</v>
      </c>
      <c r="BF3095">
        <v>-4.7699999999999996</v>
      </c>
      <c r="BG3095">
        <v>0.19</v>
      </c>
      <c r="BH3095">
        <v>-2.58</v>
      </c>
      <c r="BI3095">
        <v>20191118</v>
      </c>
      <c r="BJ3095">
        <v>20170103</v>
      </c>
      <c r="BK3095">
        <v>38.69</v>
      </c>
      <c r="BL3095" t="s">
        <v>116</v>
      </c>
      <c r="BM3095">
        <v>11.95</v>
      </c>
      <c r="BN3095">
        <v>446.55</v>
      </c>
      <c r="BO3095">
        <v>99.95</v>
      </c>
      <c r="BP3095">
        <v>8.65</v>
      </c>
      <c r="BQ3095">
        <v>75.680000000000007</v>
      </c>
      <c r="BR3095">
        <v>0</v>
      </c>
      <c r="BS3095">
        <v>1.83</v>
      </c>
      <c r="BT3095">
        <v>1.49</v>
      </c>
      <c r="BU3095">
        <v>0</v>
      </c>
      <c r="BV3095">
        <v>0</v>
      </c>
      <c r="BW3095">
        <v>0</v>
      </c>
      <c r="BX3095">
        <v>34.950000000000003</v>
      </c>
      <c r="BY3095">
        <v>19.850000000000001</v>
      </c>
      <c r="BZ3095">
        <v>0</v>
      </c>
      <c r="CA3095">
        <v>4.13</v>
      </c>
      <c r="CB3095">
        <v>7.03</v>
      </c>
      <c r="CC3095">
        <v>4.18</v>
      </c>
      <c r="CD3095">
        <v>3.27</v>
      </c>
      <c r="CE3095">
        <v>2.9</v>
      </c>
      <c r="CF3095">
        <v>2.66</v>
      </c>
      <c r="CG3095">
        <v>5.29</v>
      </c>
      <c r="CH3095">
        <v>24.8</v>
      </c>
      <c r="CI3095">
        <v>7.53</v>
      </c>
      <c r="CJ3095">
        <v>126927</v>
      </c>
      <c r="CK3095">
        <v>9930</v>
      </c>
      <c r="CL3095" t="s">
        <v>3704</v>
      </c>
      <c r="CM3095">
        <v>113.81</v>
      </c>
      <c r="CN3095">
        <v>56.36</v>
      </c>
      <c r="CO3095">
        <v>2.0099999999999998</v>
      </c>
      <c r="CP3095">
        <v>8.1</v>
      </c>
      <c r="CQ3095">
        <v>10.11</v>
      </c>
      <c r="CR3095">
        <v>0.39</v>
      </c>
      <c r="CS3095" t="s">
        <v>3695</v>
      </c>
      <c r="CT3095">
        <v>2.58</v>
      </c>
      <c r="CU3095">
        <v>0</v>
      </c>
      <c r="CV3095">
        <v>0.9</v>
      </c>
      <c r="CW3095">
        <v>0.14000000000000001</v>
      </c>
      <c r="CX3095">
        <v>0.64</v>
      </c>
      <c r="CY3095">
        <v>22.38</v>
      </c>
      <c r="CZ3095" t="s">
        <v>4968</v>
      </c>
      <c r="DA3095" t="s">
        <v>116</v>
      </c>
      <c r="DB3095">
        <v>20.81</v>
      </c>
      <c r="DC3095">
        <v>14.63</v>
      </c>
      <c r="DD3095">
        <v>0</v>
      </c>
      <c r="DE3095">
        <v>2837</v>
      </c>
      <c r="DF3095">
        <v>601375</v>
      </c>
      <c r="DG3095" t="s">
        <v>116</v>
      </c>
      <c r="DH3095" t="s">
        <v>116</v>
      </c>
      <c r="DI3095" t="s">
        <v>116</v>
      </c>
    </row>
    <row r="3096" spans="1:113" x14ac:dyDescent="0.4">
      <c r="A3096" t="str">
        <f>"601377"</f>
        <v>601377</v>
      </c>
      <c r="B3096" t="s">
        <v>13503</v>
      </c>
      <c r="C3096">
        <v>-3.38</v>
      </c>
      <c r="D3096">
        <v>6.87</v>
      </c>
      <c r="E3096">
        <v>-0.24</v>
      </c>
      <c r="F3096">
        <v>6.86</v>
      </c>
      <c r="G3096">
        <v>6.87</v>
      </c>
      <c r="H3096">
        <v>1110572</v>
      </c>
      <c r="I3096">
        <v>12532</v>
      </c>
      <c r="J3096">
        <v>-0.14000000000000001</v>
      </c>
      <c r="K3096">
        <v>1.66</v>
      </c>
      <c r="L3096">
        <v>7.05</v>
      </c>
      <c r="M3096">
        <v>7.11</v>
      </c>
      <c r="N3096">
        <v>6.86</v>
      </c>
      <c r="O3096">
        <v>7.11</v>
      </c>
      <c r="P3096">
        <v>19.68</v>
      </c>
      <c r="Q3096">
        <v>776778048</v>
      </c>
      <c r="R3096">
        <v>1.17</v>
      </c>
      <c r="S3096" t="s">
        <v>623</v>
      </c>
      <c r="T3096" t="s">
        <v>975</v>
      </c>
      <c r="U3096">
        <v>3.52</v>
      </c>
      <c r="V3096">
        <v>6.99</v>
      </c>
      <c r="W3096">
        <v>665367</v>
      </c>
      <c r="X3096">
        <v>445205</v>
      </c>
      <c r="Y3096">
        <v>1.49</v>
      </c>
      <c r="Z3096">
        <v>4664</v>
      </c>
      <c r="AA3096">
        <v>490</v>
      </c>
      <c r="AB3096" t="s">
        <v>116</v>
      </c>
      <c r="AC3096">
        <v>3406600</v>
      </c>
      <c r="AD3096">
        <v>0.01</v>
      </c>
      <c r="AE3096" t="s">
        <v>116</v>
      </c>
      <c r="AF3096" t="s">
        <v>116</v>
      </c>
      <c r="AG3096">
        <v>66.97</v>
      </c>
      <c r="AH3096" t="s">
        <v>13504</v>
      </c>
      <c r="AI3096" t="s">
        <v>13504</v>
      </c>
      <c r="AJ3096">
        <v>-3.3</v>
      </c>
      <c r="AK3096">
        <v>4328</v>
      </c>
      <c r="AL3096">
        <v>257</v>
      </c>
      <c r="AM3096">
        <v>4.0000000000000002E-4</v>
      </c>
      <c r="AN3096">
        <v>-1</v>
      </c>
      <c r="AO3096">
        <v>1.92</v>
      </c>
      <c r="AP3096">
        <v>10.99</v>
      </c>
      <c r="AQ3096">
        <v>7.68</v>
      </c>
      <c r="AR3096">
        <v>49.67</v>
      </c>
      <c r="AS3096">
        <v>2.37</v>
      </c>
      <c r="AT3096" t="s">
        <v>13505</v>
      </c>
      <c r="AU3096">
        <v>39.61</v>
      </c>
      <c r="AV3096">
        <v>339.91</v>
      </c>
      <c r="AW3096">
        <v>1.57</v>
      </c>
      <c r="BA3096">
        <v>-0.84</v>
      </c>
      <c r="BB3096">
        <v>0</v>
      </c>
      <c r="BC3096">
        <v>-3.52</v>
      </c>
      <c r="BD3096">
        <v>-1.63</v>
      </c>
      <c r="BE3096">
        <v>-2.5499999999999998</v>
      </c>
      <c r="BF3096">
        <v>-3.38</v>
      </c>
      <c r="BG3096">
        <v>0.15</v>
      </c>
      <c r="BH3096">
        <v>-1.75</v>
      </c>
      <c r="BI3096">
        <v>20191118</v>
      </c>
      <c r="BJ3096">
        <v>20101013</v>
      </c>
      <c r="BK3096">
        <v>66.97</v>
      </c>
      <c r="BL3096" t="s">
        <v>116</v>
      </c>
      <c r="BM3096" t="s">
        <v>116</v>
      </c>
      <c r="BN3096">
        <v>1581.7</v>
      </c>
      <c r="BO3096">
        <v>344.07</v>
      </c>
      <c r="BP3096">
        <v>30.78</v>
      </c>
      <c r="BQ3096">
        <v>76.3</v>
      </c>
      <c r="BR3096">
        <v>0</v>
      </c>
      <c r="BS3096">
        <v>6.13</v>
      </c>
      <c r="BT3096">
        <v>1.21</v>
      </c>
      <c r="BU3096">
        <v>0</v>
      </c>
      <c r="BV3096">
        <v>0</v>
      </c>
      <c r="BW3096">
        <v>0</v>
      </c>
      <c r="BX3096">
        <v>143.74</v>
      </c>
      <c r="BY3096">
        <v>108.14</v>
      </c>
      <c r="BZ3096">
        <v>0</v>
      </c>
      <c r="CA3096">
        <v>27.28</v>
      </c>
      <c r="CB3096">
        <v>19.73</v>
      </c>
      <c r="CC3096">
        <v>27.18</v>
      </c>
      <c r="CD3096">
        <v>20.9</v>
      </c>
      <c r="CE3096">
        <v>17.53</v>
      </c>
      <c r="CF3096">
        <v>16.510000000000002</v>
      </c>
      <c r="CG3096">
        <v>75.849999999999994</v>
      </c>
      <c r="CH3096">
        <v>255</v>
      </c>
      <c r="CI3096">
        <v>139.41</v>
      </c>
      <c r="CJ3096">
        <v>234486</v>
      </c>
      <c r="CK3096">
        <v>19976</v>
      </c>
      <c r="CL3096" t="s">
        <v>312</v>
      </c>
      <c r="CM3096">
        <v>141.19</v>
      </c>
      <c r="CN3096">
        <v>136.25</v>
      </c>
      <c r="CO3096">
        <v>1.34</v>
      </c>
      <c r="CP3096">
        <v>1.8</v>
      </c>
      <c r="CQ3096">
        <v>4.25</v>
      </c>
      <c r="CR3096">
        <v>0.73</v>
      </c>
      <c r="CS3096" t="s">
        <v>3228</v>
      </c>
      <c r="CT3096">
        <v>5.14</v>
      </c>
      <c r="CU3096">
        <v>0</v>
      </c>
      <c r="CV3096">
        <v>2.15</v>
      </c>
      <c r="CW3096">
        <v>1.1299999999999999</v>
      </c>
      <c r="CX3096">
        <v>3.81</v>
      </c>
      <c r="CY3096">
        <v>21.75</v>
      </c>
      <c r="CZ3096" t="s">
        <v>5208</v>
      </c>
      <c r="DA3096" t="s">
        <v>116</v>
      </c>
      <c r="DB3096">
        <v>25.22</v>
      </c>
      <c r="DC3096">
        <v>16.21</v>
      </c>
      <c r="DD3096">
        <v>0</v>
      </c>
      <c r="DE3096">
        <v>6869</v>
      </c>
      <c r="DF3096">
        <v>601377</v>
      </c>
      <c r="DG3096" t="s">
        <v>116</v>
      </c>
      <c r="DH3096" t="s">
        <v>116</v>
      </c>
      <c r="DI3096" t="s">
        <v>116</v>
      </c>
    </row>
    <row r="3097" spans="1:113" x14ac:dyDescent="0.4">
      <c r="A3097" t="str">
        <f>"601388"</f>
        <v>601388</v>
      </c>
      <c r="B3097" t="s">
        <v>13506</v>
      </c>
      <c r="C3097">
        <v>2.16</v>
      </c>
      <c r="D3097">
        <v>1.89</v>
      </c>
      <c r="E3097">
        <v>0.04</v>
      </c>
      <c r="F3097">
        <v>1.88</v>
      </c>
      <c r="G3097">
        <v>1.89</v>
      </c>
      <c r="H3097">
        <v>481504</v>
      </c>
      <c r="I3097">
        <v>3074</v>
      </c>
      <c r="J3097">
        <v>0.53</v>
      </c>
      <c r="K3097">
        <v>2.38</v>
      </c>
      <c r="L3097">
        <v>1.85</v>
      </c>
      <c r="M3097">
        <v>1.96</v>
      </c>
      <c r="N3097">
        <v>1.85</v>
      </c>
      <c r="O3097">
        <v>1.85</v>
      </c>
      <c r="P3097">
        <v>60.9</v>
      </c>
      <c r="Q3097">
        <v>91472136</v>
      </c>
      <c r="R3097">
        <v>3.51</v>
      </c>
      <c r="S3097" t="s">
        <v>1428</v>
      </c>
      <c r="T3097" t="s">
        <v>323</v>
      </c>
      <c r="U3097">
        <v>5.95</v>
      </c>
      <c r="V3097">
        <v>1.9</v>
      </c>
      <c r="W3097">
        <v>193808</v>
      </c>
      <c r="X3097">
        <v>287696</v>
      </c>
      <c r="Y3097">
        <v>0.67</v>
      </c>
      <c r="Z3097">
        <v>3196</v>
      </c>
      <c r="AA3097">
        <v>6474</v>
      </c>
      <c r="AB3097" t="s">
        <v>116</v>
      </c>
      <c r="AC3097">
        <v>330800</v>
      </c>
      <c r="AD3097">
        <v>0.01</v>
      </c>
      <c r="AE3097" t="s">
        <v>116</v>
      </c>
      <c r="AF3097" t="s">
        <v>116</v>
      </c>
      <c r="AG3097">
        <v>20.25</v>
      </c>
      <c r="AH3097" t="s">
        <v>6311</v>
      </c>
      <c r="AI3097" t="s">
        <v>6311</v>
      </c>
      <c r="AJ3097">
        <v>2.2400000000000002</v>
      </c>
      <c r="AK3097">
        <v>1948</v>
      </c>
      <c r="AL3097">
        <v>247</v>
      </c>
      <c r="AM3097">
        <v>1.1999999999999999E-3</v>
      </c>
      <c r="AN3097">
        <v>1</v>
      </c>
      <c r="AO3097">
        <v>1.07</v>
      </c>
      <c r="AP3097">
        <v>5.59</v>
      </c>
      <c r="AQ3097">
        <v>2.16</v>
      </c>
      <c r="AR3097">
        <v>-1.56</v>
      </c>
      <c r="AS3097">
        <v>3.95</v>
      </c>
      <c r="AT3097" t="s">
        <v>13507</v>
      </c>
      <c r="AU3097">
        <v>57.5</v>
      </c>
      <c r="AV3097">
        <v>39.25</v>
      </c>
      <c r="AW3097">
        <v>1.08</v>
      </c>
      <c r="BA3097">
        <v>0</v>
      </c>
      <c r="BB3097">
        <v>5.95</v>
      </c>
      <c r="BC3097">
        <v>0</v>
      </c>
      <c r="BD3097">
        <v>2.69</v>
      </c>
      <c r="BE3097">
        <v>2.16</v>
      </c>
      <c r="BF3097">
        <v>-3.57</v>
      </c>
      <c r="BG3097">
        <v>2.16</v>
      </c>
      <c r="BH3097">
        <v>-0.53</v>
      </c>
      <c r="BI3097">
        <v>20191030</v>
      </c>
      <c r="BJ3097">
        <v>20120423</v>
      </c>
      <c r="BK3097">
        <v>20.25</v>
      </c>
      <c r="BL3097" t="s">
        <v>116</v>
      </c>
      <c r="BM3097" t="s">
        <v>116</v>
      </c>
      <c r="BN3097">
        <v>48.55</v>
      </c>
      <c r="BO3097">
        <v>26.56</v>
      </c>
      <c r="BP3097">
        <v>0</v>
      </c>
      <c r="BQ3097">
        <v>45.3</v>
      </c>
      <c r="BR3097">
        <v>32.5</v>
      </c>
      <c r="BS3097">
        <v>12.14</v>
      </c>
      <c r="BT3097">
        <v>0.64</v>
      </c>
      <c r="BU3097">
        <v>17.66</v>
      </c>
      <c r="BV3097">
        <v>13.65</v>
      </c>
      <c r="BW3097">
        <v>6.09</v>
      </c>
      <c r="BX3097">
        <v>1.22</v>
      </c>
      <c r="BY3097">
        <v>40.42</v>
      </c>
      <c r="BZ3097">
        <v>36.369999999999997</v>
      </c>
      <c r="CA3097">
        <v>0.69</v>
      </c>
      <c r="CB3097">
        <v>0.13</v>
      </c>
      <c r="CC3097">
        <v>0.65</v>
      </c>
      <c r="CD3097">
        <v>0.47</v>
      </c>
      <c r="CE3097">
        <v>0.47</v>
      </c>
      <c r="CF3097">
        <v>0.41</v>
      </c>
      <c r="CG3097">
        <v>5.1100000000000003</v>
      </c>
      <c r="CH3097">
        <v>5.41</v>
      </c>
      <c r="CI3097">
        <v>3.02</v>
      </c>
      <c r="CJ3097">
        <v>80721</v>
      </c>
      <c r="CK3097">
        <v>15093</v>
      </c>
      <c r="CL3097" t="s">
        <v>2000</v>
      </c>
      <c r="CM3097">
        <v>-39.630000000000003</v>
      </c>
      <c r="CN3097">
        <v>-15.19</v>
      </c>
      <c r="CO3097">
        <v>1.44</v>
      </c>
      <c r="CP3097">
        <v>7.07</v>
      </c>
      <c r="CQ3097">
        <v>0.95</v>
      </c>
      <c r="CR3097">
        <v>0.53</v>
      </c>
      <c r="CS3097" t="s">
        <v>1432</v>
      </c>
      <c r="CT3097">
        <v>1.31</v>
      </c>
      <c r="CU3097">
        <v>0</v>
      </c>
      <c r="CV3097">
        <v>0.06</v>
      </c>
      <c r="CW3097">
        <v>0.25</v>
      </c>
      <c r="CX3097">
        <v>0.27</v>
      </c>
      <c r="CY3097">
        <v>54.7</v>
      </c>
      <c r="CZ3097" t="s">
        <v>4893</v>
      </c>
      <c r="DA3097">
        <v>10.029999999999999</v>
      </c>
      <c r="DB3097">
        <v>1.7</v>
      </c>
      <c r="DC3097">
        <v>1.17</v>
      </c>
      <c r="DD3097">
        <v>0.02</v>
      </c>
      <c r="DE3097">
        <v>1852</v>
      </c>
      <c r="DF3097">
        <v>601388</v>
      </c>
      <c r="DG3097" t="s">
        <v>116</v>
      </c>
      <c r="DH3097" t="s">
        <v>116</v>
      </c>
      <c r="DI3097" t="s">
        <v>116</v>
      </c>
    </row>
    <row r="3098" spans="1:113" x14ac:dyDescent="0.4">
      <c r="A3098" t="str">
        <f>"601390"</f>
        <v>601390</v>
      </c>
      <c r="B3098" t="s">
        <v>13508</v>
      </c>
      <c r="C3098">
        <v>-0.51</v>
      </c>
      <c r="D3098">
        <v>5.86</v>
      </c>
      <c r="E3098">
        <v>-0.03</v>
      </c>
      <c r="F3098">
        <v>5.86</v>
      </c>
      <c r="G3098">
        <v>5.87</v>
      </c>
      <c r="H3098">
        <v>278937</v>
      </c>
      <c r="I3098">
        <v>5987</v>
      </c>
      <c r="J3098">
        <v>-0.16</v>
      </c>
      <c r="K3098">
        <v>0.15</v>
      </c>
      <c r="L3098">
        <v>5.88</v>
      </c>
      <c r="M3098">
        <v>5.93</v>
      </c>
      <c r="N3098">
        <v>5.86</v>
      </c>
      <c r="O3098">
        <v>5.89</v>
      </c>
      <c r="P3098">
        <v>6.98</v>
      </c>
      <c r="Q3098">
        <v>164609632</v>
      </c>
      <c r="R3098">
        <v>1.28</v>
      </c>
      <c r="S3098" t="s">
        <v>181</v>
      </c>
      <c r="T3098" t="s">
        <v>165</v>
      </c>
      <c r="U3098">
        <v>1.19</v>
      </c>
      <c r="V3098">
        <v>5.9</v>
      </c>
      <c r="W3098">
        <v>136794</v>
      </c>
      <c r="X3098">
        <v>142143</v>
      </c>
      <c r="Y3098">
        <v>0.96</v>
      </c>
      <c r="Z3098">
        <v>546</v>
      </c>
      <c r="AA3098">
        <v>11275</v>
      </c>
      <c r="AB3098" t="s">
        <v>116</v>
      </c>
      <c r="AC3098">
        <v>1535900</v>
      </c>
      <c r="AD3098">
        <v>0</v>
      </c>
      <c r="AE3098" t="s">
        <v>116</v>
      </c>
      <c r="AF3098" t="s">
        <v>116</v>
      </c>
      <c r="AG3098">
        <v>186.37</v>
      </c>
      <c r="AH3098" t="s">
        <v>13509</v>
      </c>
      <c r="AI3098" t="s">
        <v>13510</v>
      </c>
      <c r="AJ3098">
        <v>-0.43</v>
      </c>
      <c r="AK3098">
        <v>3499</v>
      </c>
      <c r="AL3098">
        <v>80</v>
      </c>
      <c r="AM3098">
        <v>0</v>
      </c>
      <c r="AN3098">
        <v>-1</v>
      </c>
      <c r="AO3098">
        <v>0.52</v>
      </c>
      <c r="AP3098">
        <v>3.72</v>
      </c>
      <c r="AQ3098">
        <v>-2.5</v>
      </c>
      <c r="AR3098">
        <v>-14.6</v>
      </c>
      <c r="AS3098">
        <v>0.39</v>
      </c>
      <c r="AT3098" t="s">
        <v>13511</v>
      </c>
      <c r="AU3098">
        <v>7.33</v>
      </c>
      <c r="AV3098">
        <v>8.3699999999999992</v>
      </c>
      <c r="AW3098">
        <v>1.05</v>
      </c>
      <c r="BA3098">
        <v>-0.17</v>
      </c>
      <c r="BB3098">
        <v>0.68</v>
      </c>
      <c r="BC3098">
        <v>-0.51</v>
      </c>
      <c r="BD3098">
        <v>0.19</v>
      </c>
      <c r="BE3098">
        <v>-0.34</v>
      </c>
      <c r="BF3098">
        <v>-1.18</v>
      </c>
      <c r="BG3098">
        <v>0</v>
      </c>
      <c r="BH3098">
        <v>-0.7</v>
      </c>
      <c r="BI3098">
        <v>20191031</v>
      </c>
      <c r="BJ3098">
        <v>20071203</v>
      </c>
      <c r="BK3098">
        <v>245.71</v>
      </c>
      <c r="BL3098" t="s">
        <v>116</v>
      </c>
      <c r="BM3098">
        <v>42.07</v>
      </c>
      <c r="BN3098">
        <v>10291.48</v>
      </c>
      <c r="BO3098">
        <v>2106.21</v>
      </c>
      <c r="BP3098">
        <v>232.1</v>
      </c>
      <c r="BQ3098">
        <v>77.28</v>
      </c>
      <c r="BR3098">
        <v>6984.66</v>
      </c>
      <c r="BS3098">
        <v>588.54</v>
      </c>
      <c r="BT3098">
        <v>675</v>
      </c>
      <c r="BU3098">
        <v>6574.74</v>
      </c>
      <c r="BV3098">
        <v>2146.59</v>
      </c>
      <c r="BW3098">
        <v>1182.1099999999999</v>
      </c>
      <c r="BX3098">
        <v>552.17999999999995</v>
      </c>
      <c r="BY3098">
        <v>5701.81</v>
      </c>
      <c r="BZ3098">
        <v>5142.53</v>
      </c>
      <c r="CA3098">
        <v>208.38</v>
      </c>
      <c r="CB3098">
        <v>10.89</v>
      </c>
      <c r="CC3098">
        <v>209.49</v>
      </c>
      <c r="CD3098">
        <v>167.22</v>
      </c>
      <c r="CE3098">
        <v>154.78</v>
      </c>
      <c r="CF3098">
        <v>147.63</v>
      </c>
      <c r="CG3098">
        <v>912.59</v>
      </c>
      <c r="CH3098">
        <v>-409.16</v>
      </c>
      <c r="CI3098">
        <v>-185.02</v>
      </c>
      <c r="CJ3098">
        <v>628567</v>
      </c>
      <c r="CK3098">
        <v>11459</v>
      </c>
      <c r="CL3098" t="s">
        <v>5715</v>
      </c>
      <c r="CM3098">
        <v>18.649999999999999</v>
      </c>
      <c r="CN3098">
        <v>15.56</v>
      </c>
      <c r="CO3098">
        <v>0.79</v>
      </c>
      <c r="CP3098">
        <v>-3.52</v>
      </c>
      <c r="CQ3098">
        <v>0.25</v>
      </c>
      <c r="CR3098">
        <v>2.0299999999999998</v>
      </c>
      <c r="CS3098" t="s">
        <v>3167</v>
      </c>
      <c r="CT3098">
        <v>7.39</v>
      </c>
      <c r="CU3098">
        <v>7.39</v>
      </c>
      <c r="CV3098">
        <v>2.25</v>
      </c>
      <c r="CW3098">
        <v>3.71</v>
      </c>
      <c r="CX3098">
        <v>-1.67</v>
      </c>
      <c r="CY3098">
        <v>20.47</v>
      </c>
      <c r="CZ3098" t="s">
        <v>13512</v>
      </c>
      <c r="DA3098">
        <v>9.81</v>
      </c>
      <c r="DB3098">
        <v>3.65</v>
      </c>
      <c r="DC3098">
        <v>2.71</v>
      </c>
      <c r="DD3098">
        <v>104.7</v>
      </c>
      <c r="DE3098">
        <v>282256</v>
      </c>
      <c r="DF3098">
        <v>601390</v>
      </c>
      <c r="DG3098" t="s">
        <v>116</v>
      </c>
      <c r="DH3098" t="s">
        <v>116</v>
      </c>
      <c r="DI3098" t="s">
        <v>116</v>
      </c>
    </row>
    <row r="3099" spans="1:113" x14ac:dyDescent="0.4">
      <c r="A3099" t="str">
        <f>"601398"</f>
        <v>601398</v>
      </c>
      <c r="B3099" t="s">
        <v>13513</v>
      </c>
      <c r="C3099">
        <v>0.68</v>
      </c>
      <c r="D3099">
        <v>5.9</v>
      </c>
      <c r="E3099">
        <v>0.04</v>
      </c>
      <c r="F3099">
        <v>5.9</v>
      </c>
      <c r="G3099">
        <v>5.91</v>
      </c>
      <c r="H3099">
        <v>1303194</v>
      </c>
      <c r="I3099">
        <v>19194</v>
      </c>
      <c r="J3099">
        <v>0</v>
      </c>
      <c r="K3099">
        <v>0.05</v>
      </c>
      <c r="L3099">
        <v>5.85</v>
      </c>
      <c r="M3099">
        <v>5.94</v>
      </c>
      <c r="N3099">
        <v>5.85</v>
      </c>
      <c r="O3099">
        <v>5.86</v>
      </c>
      <c r="P3099">
        <v>6.27</v>
      </c>
      <c r="Q3099">
        <v>769054272</v>
      </c>
      <c r="R3099">
        <v>1.37</v>
      </c>
      <c r="S3099" t="s">
        <v>114</v>
      </c>
      <c r="T3099" t="s">
        <v>165</v>
      </c>
      <c r="U3099">
        <v>1.54</v>
      </c>
      <c r="V3099">
        <v>5.9</v>
      </c>
      <c r="W3099">
        <v>712339</v>
      </c>
      <c r="X3099">
        <v>590855</v>
      </c>
      <c r="Y3099">
        <v>1.21</v>
      </c>
      <c r="Z3099">
        <v>455</v>
      </c>
      <c r="AA3099">
        <v>38499</v>
      </c>
      <c r="AB3099" t="s">
        <v>116</v>
      </c>
      <c r="AC3099">
        <v>3699800</v>
      </c>
      <c r="AD3099">
        <v>0</v>
      </c>
      <c r="AE3099" t="s">
        <v>116</v>
      </c>
      <c r="AF3099" t="s">
        <v>116</v>
      </c>
      <c r="AG3099">
        <v>2696.12</v>
      </c>
      <c r="AH3099" t="s">
        <v>13514</v>
      </c>
      <c r="AI3099" t="s">
        <v>13514</v>
      </c>
      <c r="AJ3099">
        <v>0.76</v>
      </c>
      <c r="AK3099">
        <v>4526</v>
      </c>
      <c r="AL3099">
        <v>288</v>
      </c>
      <c r="AM3099">
        <v>0</v>
      </c>
      <c r="AN3099">
        <v>2</v>
      </c>
      <c r="AO3099">
        <v>0.68</v>
      </c>
      <c r="AP3099">
        <v>1.9</v>
      </c>
      <c r="AQ3099">
        <v>6.5</v>
      </c>
      <c r="AR3099">
        <v>17.079999999999998</v>
      </c>
      <c r="AS3099">
        <v>0.6</v>
      </c>
      <c r="AT3099" t="s">
        <v>13515</v>
      </c>
      <c r="AU3099">
        <v>6.79</v>
      </c>
      <c r="AV3099">
        <v>7.06</v>
      </c>
      <c r="AW3099">
        <v>0.59</v>
      </c>
      <c r="BA3099">
        <v>-0.17</v>
      </c>
      <c r="BB3099">
        <v>1.37</v>
      </c>
      <c r="BC3099">
        <v>-0.17</v>
      </c>
      <c r="BD3099">
        <v>0.7</v>
      </c>
      <c r="BE3099">
        <v>0.85</v>
      </c>
      <c r="BF3099">
        <v>-0.67</v>
      </c>
      <c r="BG3099">
        <v>0.85</v>
      </c>
      <c r="BH3099">
        <v>-0.02</v>
      </c>
      <c r="BI3099">
        <v>20191106</v>
      </c>
      <c r="BJ3099">
        <v>20061027</v>
      </c>
      <c r="BK3099">
        <v>3564.06</v>
      </c>
      <c r="BL3099" t="s">
        <v>116</v>
      </c>
      <c r="BM3099">
        <v>867.94</v>
      </c>
      <c r="BN3099">
        <v>304263.81</v>
      </c>
      <c r="BO3099">
        <v>26548.959999999999</v>
      </c>
      <c r="BP3099">
        <v>157.32</v>
      </c>
      <c r="BQ3099">
        <v>91.22</v>
      </c>
      <c r="BR3099">
        <v>0</v>
      </c>
      <c r="BS3099">
        <v>2480.7199999999998</v>
      </c>
      <c r="BT3099">
        <v>0</v>
      </c>
      <c r="BU3099">
        <v>0</v>
      </c>
      <c r="BV3099">
        <v>0</v>
      </c>
      <c r="BW3099">
        <v>0</v>
      </c>
      <c r="BX3099">
        <v>1519.68</v>
      </c>
      <c r="BY3099">
        <v>6469.42</v>
      </c>
      <c r="BZ3099">
        <v>0</v>
      </c>
      <c r="CA3099">
        <v>3120.98</v>
      </c>
      <c r="CB3099">
        <v>10.91</v>
      </c>
      <c r="CC3099">
        <v>3131.54</v>
      </c>
      <c r="CD3099">
        <v>2526.88</v>
      </c>
      <c r="CE3099">
        <v>2517.12</v>
      </c>
      <c r="CF3099">
        <v>2505.08</v>
      </c>
      <c r="CG3099">
        <v>13682.47</v>
      </c>
      <c r="CH3099">
        <v>13752.07</v>
      </c>
      <c r="CI3099">
        <v>8991.02</v>
      </c>
      <c r="CJ3099">
        <v>565553</v>
      </c>
      <c r="CK3099">
        <v>38129</v>
      </c>
      <c r="CL3099" t="s">
        <v>13516</v>
      </c>
      <c r="CM3099">
        <v>5.04</v>
      </c>
      <c r="CN3099">
        <v>12.11</v>
      </c>
      <c r="CO3099">
        <v>0.87</v>
      </c>
      <c r="CP3099">
        <v>1.53</v>
      </c>
      <c r="CQ3099">
        <v>3.25</v>
      </c>
      <c r="CR3099">
        <v>4.25</v>
      </c>
      <c r="CS3099" t="s">
        <v>11537</v>
      </c>
      <c r="CT3099">
        <v>6.79</v>
      </c>
      <c r="CU3099">
        <v>6.79</v>
      </c>
      <c r="CV3099">
        <v>0.43</v>
      </c>
      <c r="CW3099">
        <v>3.84</v>
      </c>
      <c r="CX3099">
        <v>3.86</v>
      </c>
      <c r="CY3099">
        <v>8.73</v>
      </c>
      <c r="CZ3099" t="s">
        <v>10237</v>
      </c>
      <c r="DA3099" t="s">
        <v>116</v>
      </c>
      <c r="DB3099">
        <v>48.24</v>
      </c>
      <c r="DC3099">
        <v>38.909999999999997</v>
      </c>
      <c r="DD3099">
        <v>0</v>
      </c>
      <c r="DE3099">
        <v>439150</v>
      </c>
      <c r="DF3099">
        <v>601398</v>
      </c>
      <c r="DG3099" t="s">
        <v>116</v>
      </c>
      <c r="DH3099" t="s">
        <v>116</v>
      </c>
      <c r="DI3099" t="s">
        <v>116</v>
      </c>
    </row>
    <row r="3100" spans="1:113" x14ac:dyDescent="0.4">
      <c r="A3100" t="str">
        <f>"601500"</f>
        <v>601500</v>
      </c>
      <c r="B3100" t="s">
        <v>13517</v>
      </c>
      <c r="C3100">
        <v>-0.16</v>
      </c>
      <c r="D3100">
        <v>6.35</v>
      </c>
      <c r="E3100">
        <v>-0.01</v>
      </c>
      <c r="F3100">
        <v>6.34</v>
      </c>
      <c r="G3100">
        <v>6.35</v>
      </c>
      <c r="H3100">
        <v>16297</v>
      </c>
      <c r="I3100">
        <v>51</v>
      </c>
      <c r="J3100">
        <v>0</v>
      </c>
      <c r="K3100">
        <v>0.22</v>
      </c>
      <c r="L3100">
        <v>6.36</v>
      </c>
      <c r="M3100">
        <v>6.44</v>
      </c>
      <c r="N3100">
        <v>6.3</v>
      </c>
      <c r="O3100">
        <v>6.36</v>
      </c>
      <c r="P3100">
        <v>44.24</v>
      </c>
      <c r="Q3100">
        <v>10394257</v>
      </c>
      <c r="R3100">
        <v>1.06</v>
      </c>
      <c r="S3100" t="s">
        <v>293</v>
      </c>
      <c r="T3100" t="s">
        <v>323</v>
      </c>
      <c r="U3100">
        <v>2.2000000000000002</v>
      </c>
      <c r="V3100">
        <v>6.38</v>
      </c>
      <c r="W3100">
        <v>8661</v>
      </c>
      <c r="X3100">
        <v>7636</v>
      </c>
      <c r="Y3100">
        <v>1.1299999999999999</v>
      </c>
      <c r="Z3100">
        <v>139</v>
      </c>
      <c r="AA3100">
        <v>31</v>
      </c>
      <c r="AB3100" t="s">
        <v>116</v>
      </c>
      <c r="AC3100">
        <v>0</v>
      </c>
      <c r="AD3100">
        <v>0</v>
      </c>
      <c r="AE3100" t="s">
        <v>116</v>
      </c>
      <c r="AF3100" t="s">
        <v>116</v>
      </c>
      <c r="AG3100">
        <v>7.27</v>
      </c>
      <c r="AH3100" t="s">
        <v>3932</v>
      </c>
      <c r="AI3100" t="s">
        <v>4462</v>
      </c>
      <c r="AJ3100">
        <v>-0.08</v>
      </c>
      <c r="AK3100">
        <v>614</v>
      </c>
      <c r="AL3100">
        <v>27</v>
      </c>
      <c r="AM3100">
        <v>4.0000000000000002E-4</v>
      </c>
      <c r="AN3100">
        <v>-1</v>
      </c>
      <c r="AO3100">
        <v>0.15</v>
      </c>
      <c r="AP3100">
        <v>8.92</v>
      </c>
      <c r="AQ3100">
        <v>1.44</v>
      </c>
      <c r="AR3100">
        <v>-2.46</v>
      </c>
      <c r="AS3100">
        <v>0.93</v>
      </c>
      <c r="AT3100" t="s">
        <v>13518</v>
      </c>
      <c r="AU3100">
        <v>44.3</v>
      </c>
      <c r="AV3100">
        <v>37.380000000000003</v>
      </c>
      <c r="AW3100">
        <v>0.93</v>
      </c>
      <c r="BA3100">
        <v>0</v>
      </c>
      <c r="BB3100">
        <v>1.26</v>
      </c>
      <c r="BC3100">
        <v>-0.94</v>
      </c>
      <c r="BD3100">
        <v>0.28000000000000003</v>
      </c>
      <c r="BE3100">
        <v>-0.16</v>
      </c>
      <c r="BF3100">
        <v>-1.4</v>
      </c>
      <c r="BG3100">
        <v>0.79</v>
      </c>
      <c r="BH3100">
        <v>-0.44</v>
      </c>
      <c r="BI3100">
        <v>20191030</v>
      </c>
      <c r="BJ3100">
        <v>20160919</v>
      </c>
      <c r="BK3100">
        <v>8.7200000000000006</v>
      </c>
      <c r="BL3100" t="s">
        <v>116</v>
      </c>
      <c r="BM3100" t="s">
        <v>116</v>
      </c>
      <c r="BN3100">
        <v>66.209999999999994</v>
      </c>
      <c r="BO3100">
        <v>36.450000000000003</v>
      </c>
      <c r="BP3100">
        <v>0</v>
      </c>
      <c r="BQ3100">
        <v>44.95</v>
      </c>
      <c r="BR3100">
        <v>28.53</v>
      </c>
      <c r="BS3100">
        <v>12.58</v>
      </c>
      <c r="BT3100">
        <v>2.2799999999999998</v>
      </c>
      <c r="BU3100">
        <v>24.29</v>
      </c>
      <c r="BV3100">
        <v>9.9600000000000009</v>
      </c>
      <c r="BW3100">
        <v>4.8099999999999996</v>
      </c>
      <c r="BX3100">
        <v>15.2</v>
      </c>
      <c r="BY3100">
        <v>26.1</v>
      </c>
      <c r="BZ3100">
        <v>21.75</v>
      </c>
      <c r="CA3100">
        <v>1.04</v>
      </c>
      <c r="CB3100">
        <v>0.03</v>
      </c>
      <c r="CC3100">
        <v>1.07</v>
      </c>
      <c r="CD3100">
        <v>0.94</v>
      </c>
      <c r="CE3100">
        <v>0.94</v>
      </c>
      <c r="CF3100">
        <v>0.91</v>
      </c>
      <c r="CG3100">
        <v>10.7</v>
      </c>
      <c r="CH3100">
        <v>-1.2</v>
      </c>
      <c r="CI3100">
        <v>4.79</v>
      </c>
      <c r="CJ3100">
        <v>44877</v>
      </c>
      <c r="CK3100">
        <v>3898</v>
      </c>
      <c r="CL3100" t="s">
        <v>11850</v>
      </c>
      <c r="CM3100">
        <v>-19.760000000000002</v>
      </c>
      <c r="CN3100">
        <v>-13.38</v>
      </c>
      <c r="CO3100">
        <v>1.52</v>
      </c>
      <c r="CP3100">
        <v>-46.19</v>
      </c>
      <c r="CQ3100">
        <v>2.12</v>
      </c>
      <c r="CR3100">
        <v>1.26</v>
      </c>
      <c r="CS3100" t="s">
        <v>424</v>
      </c>
      <c r="CT3100">
        <v>4.18</v>
      </c>
      <c r="CU3100">
        <v>0</v>
      </c>
      <c r="CV3100">
        <v>1.74</v>
      </c>
      <c r="CW3100">
        <v>1.23</v>
      </c>
      <c r="CX3100">
        <v>-0.14000000000000001</v>
      </c>
      <c r="CY3100">
        <v>55.05</v>
      </c>
      <c r="CZ3100" t="s">
        <v>2621</v>
      </c>
      <c r="DA3100">
        <v>16.64</v>
      </c>
      <c r="DB3100">
        <v>4</v>
      </c>
      <c r="DC3100">
        <v>3.6</v>
      </c>
      <c r="DD3100">
        <v>0.93</v>
      </c>
      <c r="DE3100">
        <v>3984</v>
      </c>
      <c r="DF3100">
        <v>601500</v>
      </c>
      <c r="DG3100" t="s">
        <v>116</v>
      </c>
      <c r="DH3100" t="s">
        <v>116</v>
      </c>
      <c r="DI3100" t="s">
        <v>116</v>
      </c>
    </row>
    <row r="3101" spans="1:113" x14ac:dyDescent="0.4">
      <c r="A3101" t="str">
        <f>"601512"</f>
        <v>601512</v>
      </c>
      <c r="B3101" t="s">
        <v>13519</v>
      </c>
      <c r="C3101">
        <v>-0.83</v>
      </c>
      <c r="D3101">
        <v>14.42</v>
      </c>
      <c r="E3101">
        <v>-0.12</v>
      </c>
      <c r="F3101">
        <v>14.41</v>
      </c>
      <c r="G3101">
        <v>14.42</v>
      </c>
      <c r="H3101">
        <v>301146</v>
      </c>
      <c r="I3101">
        <v>3704</v>
      </c>
      <c r="J3101">
        <v>0.14000000000000001</v>
      </c>
      <c r="K3101">
        <v>20.09</v>
      </c>
      <c r="L3101">
        <v>14.53</v>
      </c>
      <c r="M3101">
        <v>14.83</v>
      </c>
      <c r="N3101">
        <v>14.24</v>
      </c>
      <c r="O3101">
        <v>14.54</v>
      </c>
      <c r="P3101">
        <v>15.32</v>
      </c>
      <c r="Q3101">
        <v>437287584</v>
      </c>
      <c r="R3101">
        <v>0.84</v>
      </c>
      <c r="S3101" t="s">
        <v>1503</v>
      </c>
      <c r="T3101" t="s">
        <v>323</v>
      </c>
      <c r="U3101">
        <v>4.0599999999999996</v>
      </c>
      <c r="V3101">
        <v>14.52</v>
      </c>
      <c r="W3101">
        <v>158918</v>
      </c>
      <c r="X3101">
        <v>142229</v>
      </c>
      <c r="Y3101">
        <v>1.1200000000000001</v>
      </c>
      <c r="Z3101">
        <v>302</v>
      </c>
      <c r="AA3101">
        <v>898</v>
      </c>
      <c r="AB3101" t="s">
        <v>116</v>
      </c>
      <c r="AC3101">
        <v>3616100</v>
      </c>
      <c r="AD3101">
        <v>0.17</v>
      </c>
      <c r="AE3101" t="s">
        <v>116</v>
      </c>
      <c r="AF3101" t="s">
        <v>116</v>
      </c>
      <c r="AG3101">
        <v>1.5</v>
      </c>
      <c r="AH3101" t="s">
        <v>8532</v>
      </c>
      <c r="AI3101" t="s">
        <v>13520</v>
      </c>
      <c r="AJ3101">
        <v>-0.75</v>
      </c>
      <c r="AK3101">
        <v>4058</v>
      </c>
      <c r="AL3101">
        <v>74</v>
      </c>
      <c r="AM3101">
        <v>5.0000000000000001E-3</v>
      </c>
      <c r="AN3101">
        <v>-3</v>
      </c>
      <c r="AO3101">
        <v>-9.76</v>
      </c>
      <c r="AP3101">
        <v>49.12</v>
      </c>
      <c r="AQ3101">
        <v>49.12</v>
      </c>
      <c r="AR3101">
        <v>49.12</v>
      </c>
      <c r="AS3101">
        <v>20.09</v>
      </c>
      <c r="AT3101" t="s">
        <v>8532</v>
      </c>
      <c r="AU3101">
        <v>17.04</v>
      </c>
      <c r="AV3101">
        <v>22.1</v>
      </c>
      <c r="AW3101">
        <v>0</v>
      </c>
      <c r="BA3101">
        <v>-7.0000000000000007E-2</v>
      </c>
      <c r="BB3101">
        <v>1.99</v>
      </c>
      <c r="BC3101">
        <v>-2.06</v>
      </c>
      <c r="BD3101">
        <v>-0.13</v>
      </c>
      <c r="BE3101">
        <v>-0.76</v>
      </c>
      <c r="BF3101">
        <v>-2.76</v>
      </c>
      <c r="BG3101">
        <v>1.26</v>
      </c>
      <c r="BH3101">
        <v>-0.69</v>
      </c>
      <c r="BI3101">
        <v>20191219</v>
      </c>
      <c r="BJ3101">
        <v>20191220</v>
      </c>
      <c r="BK3101">
        <v>14.99</v>
      </c>
      <c r="BL3101" t="s">
        <v>116</v>
      </c>
      <c r="BM3101" t="s">
        <v>116</v>
      </c>
      <c r="BN3101">
        <v>214.62</v>
      </c>
      <c r="BO3101">
        <v>87.49</v>
      </c>
      <c r="BP3101">
        <v>35.200000000000003</v>
      </c>
      <c r="BQ3101">
        <v>42.84</v>
      </c>
      <c r="BR3101">
        <v>119.45</v>
      </c>
      <c r="BS3101">
        <v>11.99</v>
      </c>
      <c r="BT3101">
        <v>1.61</v>
      </c>
      <c r="BU3101">
        <v>67.819999999999993</v>
      </c>
      <c r="BV3101">
        <v>58.2</v>
      </c>
      <c r="BW3101">
        <v>3.04</v>
      </c>
      <c r="BX3101">
        <v>0.22</v>
      </c>
      <c r="BY3101">
        <v>45.31</v>
      </c>
      <c r="BZ3101">
        <v>27.01</v>
      </c>
      <c r="CA3101">
        <v>18.07</v>
      </c>
      <c r="CB3101">
        <v>7.22</v>
      </c>
      <c r="CC3101">
        <v>18.079999999999998</v>
      </c>
      <c r="CD3101">
        <v>15.01</v>
      </c>
      <c r="CE3101">
        <v>10.58</v>
      </c>
      <c r="CF3101">
        <v>7.1</v>
      </c>
      <c r="CG3101">
        <v>69.78</v>
      </c>
      <c r="CH3101">
        <v>-7.45</v>
      </c>
      <c r="CI3101">
        <v>14.3</v>
      </c>
      <c r="CJ3101">
        <v>141209</v>
      </c>
      <c r="CK3101">
        <v>1061</v>
      </c>
      <c r="CL3101" t="s">
        <v>13521</v>
      </c>
      <c r="CM3101">
        <v>0</v>
      </c>
      <c r="CN3101">
        <v>0</v>
      </c>
      <c r="CO3101">
        <v>2.14</v>
      </c>
      <c r="CP3101">
        <v>-29.02</v>
      </c>
      <c r="CQ3101">
        <v>4.7699999999999996</v>
      </c>
      <c r="CR3101">
        <v>0</v>
      </c>
      <c r="CS3101" t="s">
        <v>11537</v>
      </c>
      <c r="CT3101">
        <v>6.75</v>
      </c>
      <c r="CU3101">
        <v>6.75</v>
      </c>
      <c r="CV3101">
        <v>0.01</v>
      </c>
      <c r="CW3101">
        <v>4.66</v>
      </c>
      <c r="CX3101">
        <v>-0.5</v>
      </c>
      <c r="CY3101">
        <v>40.76</v>
      </c>
      <c r="CZ3101" t="s">
        <v>13522</v>
      </c>
      <c r="DA3101">
        <v>40.39</v>
      </c>
      <c r="DB3101">
        <v>39.89</v>
      </c>
      <c r="DC3101">
        <v>23.35</v>
      </c>
      <c r="DD3101">
        <v>0</v>
      </c>
      <c r="DE3101">
        <v>1848</v>
      </c>
      <c r="DF3101">
        <v>601512</v>
      </c>
      <c r="DG3101" t="s">
        <v>116</v>
      </c>
      <c r="DH3101" t="s">
        <v>116</v>
      </c>
      <c r="DI3101" t="s">
        <v>116</v>
      </c>
    </row>
    <row r="3102" spans="1:113" x14ac:dyDescent="0.4">
      <c r="A3102" t="str">
        <f>"601515"</f>
        <v>601515</v>
      </c>
      <c r="B3102" t="s">
        <v>13523</v>
      </c>
      <c r="C3102">
        <v>0.3</v>
      </c>
      <c r="D3102">
        <v>6.65</v>
      </c>
      <c r="E3102">
        <v>0.02</v>
      </c>
      <c r="F3102">
        <v>6.64</v>
      </c>
      <c r="G3102">
        <v>6.65</v>
      </c>
      <c r="H3102">
        <v>46168</v>
      </c>
      <c r="I3102">
        <v>1510</v>
      </c>
      <c r="J3102">
        <v>0.3</v>
      </c>
      <c r="K3102">
        <v>0.35</v>
      </c>
      <c r="L3102">
        <v>6.66</v>
      </c>
      <c r="M3102">
        <v>6.66</v>
      </c>
      <c r="N3102">
        <v>6.59</v>
      </c>
      <c r="O3102">
        <v>6.63</v>
      </c>
      <c r="P3102">
        <v>13.46</v>
      </c>
      <c r="Q3102">
        <v>30610568</v>
      </c>
      <c r="R3102">
        <v>0.84</v>
      </c>
      <c r="S3102" t="s">
        <v>345</v>
      </c>
      <c r="T3102" t="s">
        <v>551</v>
      </c>
      <c r="U3102">
        <v>1.06</v>
      </c>
      <c r="V3102">
        <v>6.63</v>
      </c>
      <c r="W3102">
        <v>25893</v>
      </c>
      <c r="X3102">
        <v>20275</v>
      </c>
      <c r="Y3102">
        <v>1.28</v>
      </c>
      <c r="Z3102">
        <v>319</v>
      </c>
      <c r="AA3102">
        <v>116</v>
      </c>
      <c r="AB3102" t="s">
        <v>116</v>
      </c>
      <c r="AC3102">
        <v>362300</v>
      </c>
      <c r="AD3102">
        <v>0.01</v>
      </c>
      <c r="AE3102" t="s">
        <v>116</v>
      </c>
      <c r="AF3102" t="s">
        <v>116</v>
      </c>
      <c r="AG3102">
        <v>13.34</v>
      </c>
      <c r="AH3102" t="s">
        <v>10174</v>
      </c>
      <c r="AI3102" t="s">
        <v>10174</v>
      </c>
      <c r="AJ3102">
        <v>0.38</v>
      </c>
      <c r="AK3102">
        <v>1109</v>
      </c>
      <c r="AL3102">
        <v>42</v>
      </c>
      <c r="AM3102">
        <v>2.9999999999999997E-4</v>
      </c>
      <c r="AN3102">
        <v>1</v>
      </c>
      <c r="AO3102">
        <v>-0.74</v>
      </c>
      <c r="AP3102">
        <v>3.26</v>
      </c>
      <c r="AQ3102">
        <v>-4.18</v>
      </c>
      <c r="AR3102">
        <v>20.91</v>
      </c>
      <c r="AS3102">
        <v>1.23</v>
      </c>
      <c r="AT3102" t="s">
        <v>13524</v>
      </c>
      <c r="AU3102">
        <v>11.82</v>
      </c>
      <c r="AV3102">
        <v>11.86</v>
      </c>
      <c r="AW3102">
        <v>1.1200000000000001</v>
      </c>
      <c r="BA3102">
        <v>0.45</v>
      </c>
      <c r="BB3102">
        <v>0.45</v>
      </c>
      <c r="BC3102">
        <v>-0.6</v>
      </c>
      <c r="BD3102">
        <v>0</v>
      </c>
      <c r="BE3102">
        <v>-0.15</v>
      </c>
      <c r="BF3102">
        <v>-0.15</v>
      </c>
      <c r="BG3102">
        <v>0.91</v>
      </c>
      <c r="BH3102">
        <v>0.3</v>
      </c>
      <c r="BI3102">
        <v>20191031</v>
      </c>
      <c r="BJ3102">
        <v>20120216</v>
      </c>
      <c r="BK3102">
        <v>13.34</v>
      </c>
      <c r="BL3102" t="s">
        <v>116</v>
      </c>
      <c r="BM3102" t="s">
        <v>116</v>
      </c>
      <c r="BN3102">
        <v>61.71</v>
      </c>
      <c r="BO3102">
        <v>40.97</v>
      </c>
      <c r="BP3102">
        <v>2.2799999999999998</v>
      </c>
      <c r="BQ3102">
        <v>29.9</v>
      </c>
      <c r="BR3102">
        <v>29.6</v>
      </c>
      <c r="BS3102">
        <v>13.22</v>
      </c>
      <c r="BT3102">
        <v>3.62</v>
      </c>
      <c r="BU3102">
        <v>15.53</v>
      </c>
      <c r="BV3102">
        <v>6.49</v>
      </c>
      <c r="BW3102">
        <v>10.19</v>
      </c>
      <c r="BX3102">
        <v>0</v>
      </c>
      <c r="BY3102">
        <v>23.58</v>
      </c>
      <c r="BZ3102">
        <v>14.1</v>
      </c>
      <c r="CA3102">
        <v>5.92</v>
      </c>
      <c r="CB3102">
        <v>0.7</v>
      </c>
      <c r="CC3102">
        <v>5.91</v>
      </c>
      <c r="CD3102">
        <v>5</v>
      </c>
      <c r="CE3102">
        <v>4.95</v>
      </c>
      <c r="CF3102">
        <v>4.92</v>
      </c>
      <c r="CG3102">
        <v>23.25</v>
      </c>
      <c r="CH3102">
        <v>3.68</v>
      </c>
      <c r="CI3102">
        <v>-0.44</v>
      </c>
      <c r="CJ3102">
        <v>33274</v>
      </c>
      <c r="CK3102">
        <v>11265</v>
      </c>
      <c r="CL3102" t="s">
        <v>9503</v>
      </c>
      <c r="CM3102">
        <v>0.57999999999999996</v>
      </c>
      <c r="CN3102">
        <v>0.75</v>
      </c>
      <c r="CO3102">
        <v>2.17</v>
      </c>
      <c r="CP3102">
        <v>24.08</v>
      </c>
      <c r="CQ3102">
        <v>3.76</v>
      </c>
      <c r="CR3102">
        <v>6.27</v>
      </c>
      <c r="CS3102" t="s">
        <v>1749</v>
      </c>
      <c r="CT3102">
        <v>3.07</v>
      </c>
      <c r="CU3102">
        <v>0</v>
      </c>
      <c r="CV3102">
        <v>0</v>
      </c>
      <c r="CW3102">
        <v>1.74</v>
      </c>
      <c r="CX3102">
        <v>0.28000000000000003</v>
      </c>
      <c r="CY3102">
        <v>66.400000000000006</v>
      </c>
      <c r="CZ3102" t="s">
        <v>13525</v>
      </c>
      <c r="DA3102">
        <v>40.21</v>
      </c>
      <c r="DB3102">
        <v>25.11</v>
      </c>
      <c r="DC3102">
        <v>20.97</v>
      </c>
      <c r="DD3102">
        <v>1.04</v>
      </c>
      <c r="DE3102">
        <v>3000</v>
      </c>
      <c r="DF3102">
        <v>601515</v>
      </c>
      <c r="DG3102" t="s">
        <v>116</v>
      </c>
      <c r="DH3102" t="s">
        <v>116</v>
      </c>
      <c r="DI3102" t="s">
        <v>116</v>
      </c>
    </row>
    <row r="3103" spans="1:113" x14ac:dyDescent="0.4">
      <c r="A3103" t="str">
        <f>"601518"</f>
        <v>601518</v>
      </c>
      <c r="B3103" t="s">
        <v>13526</v>
      </c>
      <c r="C3103">
        <v>0.38</v>
      </c>
      <c r="D3103">
        <v>2.62</v>
      </c>
      <c r="E3103">
        <v>0.01</v>
      </c>
      <c r="F3103">
        <v>2.61</v>
      </c>
      <c r="G3103">
        <v>2.62</v>
      </c>
      <c r="H3103">
        <v>24438</v>
      </c>
      <c r="I3103">
        <v>48</v>
      </c>
      <c r="J3103">
        <v>0.38</v>
      </c>
      <c r="K3103">
        <v>0.2</v>
      </c>
      <c r="L3103">
        <v>2.61</v>
      </c>
      <c r="M3103">
        <v>2.63</v>
      </c>
      <c r="N3103">
        <v>2.6</v>
      </c>
      <c r="O3103">
        <v>2.61</v>
      </c>
      <c r="P3103">
        <v>18.79</v>
      </c>
      <c r="Q3103">
        <v>6399102</v>
      </c>
      <c r="R3103">
        <v>1.0900000000000001</v>
      </c>
      <c r="S3103" t="s">
        <v>809</v>
      </c>
      <c r="T3103" t="s">
        <v>294</v>
      </c>
      <c r="U3103">
        <v>1.1499999999999999</v>
      </c>
      <c r="V3103">
        <v>2.62</v>
      </c>
      <c r="W3103">
        <v>11601</v>
      </c>
      <c r="X3103">
        <v>12837</v>
      </c>
      <c r="Y3103">
        <v>0.9</v>
      </c>
      <c r="Z3103">
        <v>1415</v>
      </c>
      <c r="AA3103">
        <v>1050</v>
      </c>
      <c r="AB3103" t="s">
        <v>116</v>
      </c>
      <c r="AC3103">
        <v>0</v>
      </c>
      <c r="AD3103">
        <v>0</v>
      </c>
      <c r="AE3103" t="s">
        <v>116</v>
      </c>
      <c r="AF3103" t="s">
        <v>116</v>
      </c>
      <c r="AG3103">
        <v>12.13</v>
      </c>
      <c r="AH3103" t="s">
        <v>10956</v>
      </c>
      <c r="AI3103" t="s">
        <v>13527</v>
      </c>
      <c r="AJ3103">
        <v>0.46</v>
      </c>
      <c r="AK3103">
        <v>295</v>
      </c>
      <c r="AL3103">
        <v>83</v>
      </c>
      <c r="AM3103">
        <v>6.9999999999999999E-4</v>
      </c>
      <c r="AN3103">
        <v>2</v>
      </c>
      <c r="AO3103">
        <v>0.37</v>
      </c>
      <c r="AP3103">
        <v>3.15</v>
      </c>
      <c r="AQ3103">
        <v>-1.5</v>
      </c>
      <c r="AR3103">
        <v>2.2999999999999998</v>
      </c>
      <c r="AS3103">
        <v>0.56999999999999995</v>
      </c>
      <c r="AT3103" t="s">
        <v>10289</v>
      </c>
      <c r="AU3103">
        <v>20.21</v>
      </c>
      <c r="AV3103">
        <v>14.52</v>
      </c>
      <c r="AW3103">
        <v>0.88</v>
      </c>
      <c r="BA3103">
        <v>0</v>
      </c>
      <c r="BB3103">
        <v>0.77</v>
      </c>
      <c r="BC3103">
        <v>-0.38</v>
      </c>
      <c r="BD3103">
        <v>0.33</v>
      </c>
      <c r="BE3103">
        <v>0.38</v>
      </c>
      <c r="BF3103">
        <v>-0.38</v>
      </c>
      <c r="BG3103">
        <v>0.77</v>
      </c>
      <c r="BH3103">
        <v>0.06</v>
      </c>
      <c r="BI3103">
        <v>20191026</v>
      </c>
      <c r="BJ3103">
        <v>20100319</v>
      </c>
      <c r="BK3103">
        <v>13.5</v>
      </c>
      <c r="BL3103" t="s">
        <v>116</v>
      </c>
      <c r="BM3103" t="s">
        <v>116</v>
      </c>
      <c r="BN3103">
        <v>66.11</v>
      </c>
      <c r="BO3103">
        <v>36.090000000000003</v>
      </c>
      <c r="BP3103">
        <v>3.26</v>
      </c>
      <c r="BQ3103">
        <v>40.479999999999997</v>
      </c>
      <c r="BR3103">
        <v>10.06</v>
      </c>
      <c r="BS3103">
        <v>55.39</v>
      </c>
      <c r="BT3103">
        <v>0.14000000000000001</v>
      </c>
      <c r="BU3103">
        <v>5.23</v>
      </c>
      <c r="BV3103">
        <v>0.01</v>
      </c>
      <c r="BW3103">
        <v>0</v>
      </c>
      <c r="BX3103">
        <v>6.26</v>
      </c>
      <c r="BY3103">
        <v>5.47</v>
      </c>
      <c r="BZ3103">
        <v>2.23</v>
      </c>
      <c r="CA3103">
        <v>1.88</v>
      </c>
      <c r="CB3103">
        <v>0</v>
      </c>
      <c r="CC3103">
        <v>1.88</v>
      </c>
      <c r="CD3103">
        <v>1.39</v>
      </c>
      <c r="CE3103">
        <v>1.41</v>
      </c>
      <c r="CF3103">
        <v>1.42</v>
      </c>
      <c r="CG3103">
        <v>14.24</v>
      </c>
      <c r="CH3103">
        <v>3.35</v>
      </c>
      <c r="CI3103">
        <v>4.8600000000000003</v>
      </c>
      <c r="CJ3103">
        <v>59988</v>
      </c>
      <c r="CK3103">
        <v>7114</v>
      </c>
      <c r="CL3103" t="s">
        <v>6585</v>
      </c>
      <c r="CM3103">
        <v>-32.72</v>
      </c>
      <c r="CN3103">
        <v>-12.2</v>
      </c>
      <c r="CO3103">
        <v>0.98</v>
      </c>
      <c r="CP3103">
        <v>10.55</v>
      </c>
      <c r="CQ3103">
        <v>6.47</v>
      </c>
      <c r="CR3103">
        <v>0.73</v>
      </c>
      <c r="CS3103" t="s">
        <v>4800</v>
      </c>
      <c r="CT3103">
        <v>2.67</v>
      </c>
      <c r="CU3103">
        <v>0</v>
      </c>
      <c r="CV3103">
        <v>0.46</v>
      </c>
      <c r="CW3103">
        <v>1.05</v>
      </c>
      <c r="CX3103">
        <v>0.25</v>
      </c>
      <c r="CY3103">
        <v>54.59</v>
      </c>
      <c r="CZ3103" t="s">
        <v>2488</v>
      </c>
      <c r="DA3103">
        <v>59.24</v>
      </c>
      <c r="DB3103">
        <v>34.43</v>
      </c>
      <c r="DC3103">
        <v>25.82</v>
      </c>
      <c r="DD3103">
        <v>0</v>
      </c>
      <c r="DE3103">
        <v>971</v>
      </c>
      <c r="DF3103">
        <v>601518</v>
      </c>
      <c r="DG3103" t="s">
        <v>116</v>
      </c>
      <c r="DH3103" t="s">
        <v>116</v>
      </c>
      <c r="DI3103" t="s">
        <v>116</v>
      </c>
    </row>
    <row r="3104" spans="1:113" x14ac:dyDescent="0.4">
      <c r="A3104" t="str">
        <f>"601519"</f>
        <v>601519</v>
      </c>
      <c r="B3104" t="s">
        <v>13528</v>
      </c>
      <c r="C3104">
        <v>-3.32</v>
      </c>
      <c r="D3104">
        <v>7.87</v>
      </c>
      <c r="E3104">
        <v>-0.27</v>
      </c>
      <c r="F3104">
        <v>7.87</v>
      </c>
      <c r="G3104">
        <v>7.88</v>
      </c>
      <c r="H3104">
        <v>768065</v>
      </c>
      <c r="I3104">
        <v>5404</v>
      </c>
      <c r="J3104">
        <v>0</v>
      </c>
      <c r="K3104">
        <v>3.86</v>
      </c>
      <c r="L3104">
        <v>8.14</v>
      </c>
      <c r="M3104">
        <v>8.27</v>
      </c>
      <c r="N3104">
        <v>7.85</v>
      </c>
      <c r="O3104">
        <v>8.14</v>
      </c>
      <c r="P3104" t="s">
        <v>116</v>
      </c>
      <c r="Q3104">
        <v>621065344</v>
      </c>
      <c r="R3104">
        <v>1.1399999999999999</v>
      </c>
      <c r="S3104" t="s">
        <v>607</v>
      </c>
      <c r="T3104" t="s">
        <v>1653</v>
      </c>
      <c r="U3104">
        <v>5.16</v>
      </c>
      <c r="V3104">
        <v>8.09</v>
      </c>
      <c r="W3104">
        <v>388778</v>
      </c>
      <c r="X3104">
        <v>379288</v>
      </c>
      <c r="Y3104">
        <v>1.03</v>
      </c>
      <c r="Z3104">
        <v>4215</v>
      </c>
      <c r="AA3104">
        <v>1232</v>
      </c>
      <c r="AB3104" t="s">
        <v>116</v>
      </c>
      <c r="AC3104">
        <v>4050500</v>
      </c>
      <c r="AD3104">
        <v>0.06</v>
      </c>
      <c r="AE3104" t="s">
        <v>116</v>
      </c>
      <c r="AF3104" t="s">
        <v>116</v>
      </c>
      <c r="AG3104">
        <v>19.88</v>
      </c>
      <c r="AH3104" t="s">
        <v>13529</v>
      </c>
      <c r="AI3104" t="s">
        <v>13529</v>
      </c>
      <c r="AJ3104">
        <v>-3.24</v>
      </c>
      <c r="AK3104">
        <v>4275</v>
      </c>
      <c r="AL3104">
        <v>180</v>
      </c>
      <c r="AM3104">
        <v>8.9999999999999998E-4</v>
      </c>
      <c r="AN3104">
        <v>-1</v>
      </c>
      <c r="AO3104">
        <v>-1.38</v>
      </c>
      <c r="AP3104">
        <v>13.73</v>
      </c>
      <c r="AQ3104">
        <v>-13.89</v>
      </c>
      <c r="AR3104">
        <v>135.63</v>
      </c>
      <c r="AS3104">
        <v>9.8699999999999992</v>
      </c>
      <c r="AT3104" t="s">
        <v>13530</v>
      </c>
      <c r="AU3104">
        <v>252.37</v>
      </c>
      <c r="AV3104">
        <v>144.43</v>
      </c>
      <c r="AW3104">
        <v>2.73</v>
      </c>
      <c r="BA3104">
        <v>0</v>
      </c>
      <c r="BB3104">
        <v>1.6</v>
      </c>
      <c r="BC3104">
        <v>-3.56</v>
      </c>
      <c r="BD3104">
        <v>-0.66</v>
      </c>
      <c r="BE3104">
        <v>-3.32</v>
      </c>
      <c r="BF3104">
        <v>-4.84</v>
      </c>
      <c r="BG3104">
        <v>0.25</v>
      </c>
      <c r="BH3104">
        <v>-2.65</v>
      </c>
      <c r="BI3104">
        <v>20191031</v>
      </c>
      <c r="BJ3104">
        <v>20110128</v>
      </c>
      <c r="BK3104">
        <v>19.88</v>
      </c>
      <c r="BL3104" t="s">
        <v>116</v>
      </c>
      <c r="BM3104" t="s">
        <v>116</v>
      </c>
      <c r="BN3104">
        <v>19.54</v>
      </c>
      <c r="BO3104">
        <v>13.66</v>
      </c>
      <c r="BP3104">
        <v>0</v>
      </c>
      <c r="BQ3104">
        <v>30.08</v>
      </c>
      <c r="BR3104">
        <v>12.62</v>
      </c>
      <c r="BS3104">
        <v>0.22</v>
      </c>
      <c r="BT3104">
        <v>0.12</v>
      </c>
      <c r="BU3104">
        <v>3.06</v>
      </c>
      <c r="BV3104">
        <v>0</v>
      </c>
      <c r="BW3104">
        <v>0.83</v>
      </c>
      <c r="BX3104">
        <v>11.45</v>
      </c>
      <c r="BY3104">
        <v>4.46</v>
      </c>
      <c r="BZ3104">
        <v>1.87</v>
      </c>
      <c r="CA3104">
        <v>0.28999999999999998</v>
      </c>
      <c r="CB3104">
        <v>0.02</v>
      </c>
      <c r="CC3104">
        <v>-0.76</v>
      </c>
      <c r="CD3104">
        <v>-0.85</v>
      </c>
      <c r="CE3104">
        <v>-0.85</v>
      </c>
      <c r="CF3104">
        <v>0.14000000000000001</v>
      </c>
      <c r="CG3104">
        <v>-18.489999999999998</v>
      </c>
      <c r="CH3104">
        <v>-0.59</v>
      </c>
      <c r="CI3104">
        <v>-0.53</v>
      </c>
      <c r="CJ3104">
        <v>202432</v>
      </c>
      <c r="CK3104">
        <v>3846</v>
      </c>
      <c r="CL3104" t="s">
        <v>11244</v>
      </c>
      <c r="CM3104">
        <v>-119.33</v>
      </c>
      <c r="CN3104">
        <v>6.88</v>
      </c>
      <c r="CO3104">
        <v>11.45</v>
      </c>
      <c r="CP3104">
        <v>-266.83999999999997</v>
      </c>
      <c r="CQ3104">
        <v>35.06</v>
      </c>
      <c r="CR3104">
        <v>0</v>
      </c>
      <c r="CS3104" t="s">
        <v>3399</v>
      </c>
      <c r="CT3104">
        <v>0.69</v>
      </c>
      <c r="CU3104">
        <v>0</v>
      </c>
      <c r="CV3104">
        <v>0.57999999999999996</v>
      </c>
      <c r="CW3104">
        <v>-0.93</v>
      </c>
      <c r="CX3104">
        <v>-0.03</v>
      </c>
      <c r="CY3104">
        <v>69.92</v>
      </c>
      <c r="CZ3104" t="s">
        <v>13531</v>
      </c>
      <c r="DA3104">
        <v>58.11</v>
      </c>
      <c r="DB3104">
        <v>6.58</v>
      </c>
      <c r="DC3104">
        <v>-19.09</v>
      </c>
      <c r="DD3104">
        <v>0.76</v>
      </c>
      <c r="DE3104">
        <v>885</v>
      </c>
      <c r="DF3104">
        <v>601519</v>
      </c>
      <c r="DG3104" t="s">
        <v>116</v>
      </c>
      <c r="DH3104" t="s">
        <v>116</v>
      </c>
      <c r="DI3104" t="s">
        <v>116</v>
      </c>
    </row>
    <row r="3105" spans="1:113" x14ac:dyDescent="0.4">
      <c r="A3105" t="str">
        <f>"601555"</f>
        <v>601555</v>
      </c>
      <c r="B3105" t="s">
        <v>13532</v>
      </c>
      <c r="C3105">
        <v>-3.43</v>
      </c>
      <c r="D3105">
        <v>9.56</v>
      </c>
      <c r="E3105">
        <v>-0.34</v>
      </c>
      <c r="F3105">
        <v>9.5500000000000007</v>
      </c>
      <c r="G3105">
        <v>9.56</v>
      </c>
      <c r="H3105">
        <v>740699</v>
      </c>
      <c r="I3105">
        <v>8195</v>
      </c>
      <c r="J3105">
        <v>0</v>
      </c>
      <c r="K3105">
        <v>2.4700000000000002</v>
      </c>
      <c r="L3105">
        <v>9.8800000000000008</v>
      </c>
      <c r="M3105">
        <v>10</v>
      </c>
      <c r="N3105">
        <v>9.5299999999999994</v>
      </c>
      <c r="O3105">
        <v>9.9</v>
      </c>
      <c r="P3105">
        <v>23.23</v>
      </c>
      <c r="Q3105">
        <v>727286528</v>
      </c>
      <c r="R3105">
        <v>1.05</v>
      </c>
      <c r="S3105" t="s">
        <v>623</v>
      </c>
      <c r="T3105" t="s">
        <v>323</v>
      </c>
      <c r="U3105">
        <v>4.75</v>
      </c>
      <c r="V3105">
        <v>9.82</v>
      </c>
      <c r="W3105">
        <v>392718</v>
      </c>
      <c r="X3105">
        <v>347981</v>
      </c>
      <c r="Y3105">
        <v>1.1299999999999999</v>
      </c>
      <c r="Z3105">
        <v>4121</v>
      </c>
      <c r="AA3105">
        <v>3123</v>
      </c>
      <c r="AB3105" t="s">
        <v>116</v>
      </c>
      <c r="AC3105">
        <v>3937200</v>
      </c>
      <c r="AD3105">
        <v>0.02</v>
      </c>
      <c r="AE3105" t="s">
        <v>116</v>
      </c>
      <c r="AF3105" t="s">
        <v>116</v>
      </c>
      <c r="AG3105">
        <v>30</v>
      </c>
      <c r="AH3105" t="s">
        <v>13533</v>
      </c>
      <c r="AI3105" t="s">
        <v>13533</v>
      </c>
      <c r="AJ3105">
        <v>-3.36</v>
      </c>
      <c r="AK3105">
        <v>4200</v>
      </c>
      <c r="AL3105">
        <v>176</v>
      </c>
      <c r="AM3105">
        <v>5.9999999999999995E-4</v>
      </c>
      <c r="AN3105">
        <v>-1</v>
      </c>
      <c r="AO3105">
        <v>0.32</v>
      </c>
      <c r="AP3105">
        <v>12.08</v>
      </c>
      <c r="AQ3105">
        <v>0.74</v>
      </c>
      <c r="AR3105">
        <v>44.63</v>
      </c>
      <c r="AS3105">
        <v>3.4</v>
      </c>
      <c r="AT3105" t="s">
        <v>13534</v>
      </c>
      <c r="AU3105">
        <v>26.26</v>
      </c>
      <c r="AV3105">
        <v>80.02</v>
      </c>
      <c r="AW3105">
        <v>1.78</v>
      </c>
      <c r="BA3105">
        <v>-0.2</v>
      </c>
      <c r="BB3105">
        <v>1.01</v>
      </c>
      <c r="BC3105">
        <v>-3.74</v>
      </c>
      <c r="BD3105">
        <v>-0.82</v>
      </c>
      <c r="BE3105">
        <v>-3.24</v>
      </c>
      <c r="BF3105">
        <v>-4.4000000000000004</v>
      </c>
      <c r="BG3105">
        <v>0.31</v>
      </c>
      <c r="BH3105">
        <v>-2.62</v>
      </c>
      <c r="BI3105">
        <v>20191118</v>
      </c>
      <c r="BJ3105">
        <v>20111212</v>
      </c>
      <c r="BK3105">
        <v>30</v>
      </c>
      <c r="BL3105" t="s">
        <v>116</v>
      </c>
      <c r="BM3105" t="s">
        <v>116</v>
      </c>
      <c r="BN3105">
        <v>975.88</v>
      </c>
      <c r="BO3105">
        <v>207.2</v>
      </c>
      <c r="BP3105">
        <v>3.43</v>
      </c>
      <c r="BQ3105">
        <v>78.42</v>
      </c>
      <c r="BR3105">
        <v>0</v>
      </c>
      <c r="BS3105">
        <v>6.38</v>
      </c>
      <c r="BT3105">
        <v>1.72</v>
      </c>
      <c r="BU3105">
        <v>0</v>
      </c>
      <c r="BV3105">
        <v>0</v>
      </c>
      <c r="BW3105">
        <v>0</v>
      </c>
      <c r="BX3105">
        <v>117.65</v>
      </c>
      <c r="BY3105">
        <v>38.93</v>
      </c>
      <c r="BZ3105">
        <v>0</v>
      </c>
      <c r="CA3105">
        <v>12.53</v>
      </c>
      <c r="CB3105">
        <v>11.08</v>
      </c>
      <c r="CC3105">
        <v>12.51</v>
      </c>
      <c r="CD3105">
        <v>9.27</v>
      </c>
      <c r="CE3105">
        <v>9.26</v>
      </c>
      <c r="CF3105">
        <v>9.23</v>
      </c>
      <c r="CG3105">
        <v>32.42</v>
      </c>
      <c r="CH3105">
        <v>-13.96</v>
      </c>
      <c r="CI3105">
        <v>47.8</v>
      </c>
      <c r="CJ3105">
        <v>106605</v>
      </c>
      <c r="CK3105">
        <v>20419</v>
      </c>
      <c r="CL3105" t="s">
        <v>6317</v>
      </c>
      <c r="CM3105">
        <v>382.23</v>
      </c>
      <c r="CN3105">
        <v>54.55</v>
      </c>
      <c r="CO3105">
        <v>1.38</v>
      </c>
      <c r="CP3105">
        <v>-20.55</v>
      </c>
      <c r="CQ3105">
        <v>7.37</v>
      </c>
      <c r="CR3105">
        <v>0.94</v>
      </c>
      <c r="CS3105" t="s">
        <v>5378</v>
      </c>
      <c r="CT3105">
        <v>6.91</v>
      </c>
      <c r="CU3105">
        <v>0</v>
      </c>
      <c r="CV3105">
        <v>3.92</v>
      </c>
      <c r="CW3105">
        <v>1.08</v>
      </c>
      <c r="CX3105">
        <v>-0.47</v>
      </c>
      <c r="CY3105">
        <v>21.23</v>
      </c>
      <c r="CZ3105" t="s">
        <v>7704</v>
      </c>
      <c r="DA3105" t="s">
        <v>116</v>
      </c>
      <c r="DB3105">
        <v>32.19</v>
      </c>
      <c r="DC3105">
        <v>23.78</v>
      </c>
      <c r="DD3105">
        <v>0</v>
      </c>
      <c r="DE3105">
        <v>2747</v>
      </c>
      <c r="DF3105">
        <v>601555</v>
      </c>
      <c r="DG3105" t="s">
        <v>116</v>
      </c>
      <c r="DH3105" t="s">
        <v>116</v>
      </c>
      <c r="DI3105" t="s">
        <v>116</v>
      </c>
    </row>
    <row r="3106" spans="1:113" x14ac:dyDescent="0.4">
      <c r="A3106" t="str">
        <f>"601558"</f>
        <v>601558</v>
      </c>
      <c r="B3106" t="s">
        <v>13535</v>
      </c>
      <c r="C3106">
        <v>0</v>
      </c>
      <c r="D3106">
        <v>1.1100000000000001</v>
      </c>
      <c r="E3106">
        <v>0</v>
      </c>
      <c r="F3106">
        <v>1.1100000000000001</v>
      </c>
      <c r="G3106">
        <v>1.1200000000000001</v>
      </c>
      <c r="H3106">
        <v>470305</v>
      </c>
      <c r="I3106">
        <v>4376</v>
      </c>
      <c r="J3106">
        <v>0</v>
      </c>
      <c r="K3106">
        <v>0.78</v>
      </c>
      <c r="L3106">
        <v>1.1100000000000001</v>
      </c>
      <c r="M3106">
        <v>1.1499999999999999</v>
      </c>
      <c r="N3106">
        <v>1.1000000000000001</v>
      </c>
      <c r="O3106">
        <v>1.1100000000000001</v>
      </c>
      <c r="P3106" t="s">
        <v>116</v>
      </c>
      <c r="Q3106">
        <v>52825088</v>
      </c>
      <c r="R3106">
        <v>0.8</v>
      </c>
      <c r="S3106" t="s">
        <v>397</v>
      </c>
      <c r="T3106" t="s">
        <v>165</v>
      </c>
      <c r="U3106">
        <v>4.5</v>
      </c>
      <c r="V3106">
        <v>1.1200000000000001</v>
      </c>
      <c r="W3106">
        <v>236752</v>
      </c>
      <c r="X3106">
        <v>233553</v>
      </c>
      <c r="Y3106">
        <v>1.01</v>
      </c>
      <c r="Z3106">
        <v>39447</v>
      </c>
      <c r="AA3106">
        <v>31399</v>
      </c>
      <c r="AB3106" t="s">
        <v>116</v>
      </c>
      <c r="AC3106">
        <v>198100</v>
      </c>
      <c r="AD3106">
        <v>0</v>
      </c>
      <c r="AE3106" t="s">
        <v>116</v>
      </c>
      <c r="AF3106" t="s">
        <v>116</v>
      </c>
      <c r="AG3106">
        <v>60.31</v>
      </c>
      <c r="AH3106" t="s">
        <v>13536</v>
      </c>
      <c r="AI3106" t="s">
        <v>13536</v>
      </c>
      <c r="AJ3106">
        <v>0.08</v>
      </c>
      <c r="AK3106">
        <v>1473</v>
      </c>
      <c r="AL3106">
        <v>319</v>
      </c>
      <c r="AM3106">
        <v>5.0000000000000001E-4</v>
      </c>
      <c r="AN3106">
        <v>0</v>
      </c>
      <c r="AO3106">
        <v>-0.89</v>
      </c>
      <c r="AP3106">
        <v>5.71</v>
      </c>
      <c r="AQ3106">
        <v>0</v>
      </c>
      <c r="AR3106">
        <v>0</v>
      </c>
      <c r="AS3106">
        <v>1.02</v>
      </c>
      <c r="AT3106" t="s">
        <v>7779</v>
      </c>
      <c r="AU3106">
        <v>40.96</v>
      </c>
      <c r="AV3106">
        <v>36.25</v>
      </c>
      <c r="AW3106">
        <v>0.51</v>
      </c>
      <c r="BA3106">
        <v>0</v>
      </c>
      <c r="BB3106">
        <v>3.6</v>
      </c>
      <c r="BC3106">
        <v>-0.9</v>
      </c>
      <c r="BD3106">
        <v>1.19</v>
      </c>
      <c r="BE3106">
        <v>0</v>
      </c>
      <c r="BF3106">
        <v>-3.48</v>
      </c>
      <c r="BG3106">
        <v>0.91</v>
      </c>
      <c r="BH3106">
        <v>-1.19</v>
      </c>
      <c r="BI3106">
        <v>20191205</v>
      </c>
      <c r="BJ3106">
        <v>20110113</v>
      </c>
      <c r="BK3106">
        <v>60.31</v>
      </c>
      <c r="BL3106" t="s">
        <v>116</v>
      </c>
      <c r="BM3106" t="s">
        <v>116</v>
      </c>
      <c r="BN3106">
        <v>57.23</v>
      </c>
      <c r="BO3106">
        <v>14.62</v>
      </c>
      <c r="BP3106">
        <v>-1.02</v>
      </c>
      <c r="BQ3106">
        <v>76.239999999999995</v>
      </c>
      <c r="BR3106">
        <v>35.549999999999997</v>
      </c>
      <c r="BS3106">
        <v>11.23</v>
      </c>
      <c r="BT3106">
        <v>1.1200000000000001</v>
      </c>
      <c r="BU3106">
        <v>27.24</v>
      </c>
      <c r="BV3106">
        <v>11.76</v>
      </c>
      <c r="BW3106">
        <v>12.97</v>
      </c>
      <c r="BX3106">
        <v>53.33</v>
      </c>
      <c r="BY3106">
        <v>2.3199999999999998</v>
      </c>
      <c r="BZ3106">
        <v>1.27</v>
      </c>
      <c r="CA3106">
        <v>-1.19</v>
      </c>
      <c r="CB3106">
        <v>0.16</v>
      </c>
      <c r="CC3106">
        <v>-0.16</v>
      </c>
      <c r="CD3106">
        <v>-0.18</v>
      </c>
      <c r="CE3106">
        <v>-0.19</v>
      </c>
      <c r="CF3106">
        <v>-1.26</v>
      </c>
      <c r="CG3106">
        <v>-103.89</v>
      </c>
      <c r="CH3106">
        <v>-2.08</v>
      </c>
      <c r="CI3106">
        <v>-2.56</v>
      </c>
      <c r="CJ3106">
        <v>202644</v>
      </c>
      <c r="CK3106">
        <v>22774</v>
      </c>
      <c r="CL3106" t="s">
        <v>1156</v>
      </c>
      <c r="CM3106">
        <v>-1078.73</v>
      </c>
      <c r="CN3106">
        <v>-39.36</v>
      </c>
      <c r="CO3106">
        <v>4.58</v>
      </c>
      <c r="CP3106">
        <v>-32.130000000000003</v>
      </c>
      <c r="CQ3106">
        <v>28.88</v>
      </c>
      <c r="CR3106">
        <v>0</v>
      </c>
      <c r="CS3106" t="s">
        <v>12522</v>
      </c>
      <c r="CT3106">
        <v>0.24</v>
      </c>
      <c r="CU3106">
        <v>0</v>
      </c>
      <c r="CV3106">
        <v>0.88</v>
      </c>
      <c r="CW3106">
        <v>-1.72</v>
      </c>
      <c r="CX3106">
        <v>-0.03</v>
      </c>
      <c r="CY3106">
        <v>25.54</v>
      </c>
      <c r="CZ3106" t="s">
        <v>2795</v>
      </c>
      <c r="DA3106">
        <v>45.41</v>
      </c>
      <c r="DB3106">
        <v>-51.44</v>
      </c>
      <c r="DC3106">
        <v>-8.3000000000000007</v>
      </c>
      <c r="DD3106">
        <v>0.24</v>
      </c>
      <c r="DE3106">
        <v>1181</v>
      </c>
      <c r="DF3106">
        <v>601558</v>
      </c>
      <c r="DG3106" t="s">
        <v>116</v>
      </c>
      <c r="DH3106" t="s">
        <v>116</v>
      </c>
      <c r="DI3106" t="s">
        <v>116</v>
      </c>
    </row>
    <row r="3107" spans="1:113" x14ac:dyDescent="0.4">
      <c r="A3107" t="str">
        <f>"601566"</f>
        <v>601566</v>
      </c>
      <c r="B3107" t="s">
        <v>13537</v>
      </c>
      <c r="C3107">
        <v>-0.62</v>
      </c>
      <c r="D3107">
        <v>11.27</v>
      </c>
      <c r="E3107">
        <v>-7.0000000000000007E-2</v>
      </c>
      <c r="F3107">
        <v>11.27</v>
      </c>
      <c r="G3107">
        <v>11.29</v>
      </c>
      <c r="H3107">
        <v>23500</v>
      </c>
      <c r="I3107">
        <v>329</v>
      </c>
      <c r="J3107">
        <v>-0.08</v>
      </c>
      <c r="K3107">
        <v>0.41</v>
      </c>
      <c r="L3107">
        <v>11.36</v>
      </c>
      <c r="M3107">
        <v>11.43</v>
      </c>
      <c r="N3107">
        <v>11.27</v>
      </c>
      <c r="O3107">
        <v>11.34</v>
      </c>
      <c r="P3107">
        <v>12.76</v>
      </c>
      <c r="Q3107">
        <v>26657924</v>
      </c>
      <c r="R3107">
        <v>1.55</v>
      </c>
      <c r="S3107" t="s">
        <v>3070</v>
      </c>
      <c r="T3107" t="s">
        <v>975</v>
      </c>
      <c r="U3107">
        <v>1.41</v>
      </c>
      <c r="V3107">
        <v>11.34</v>
      </c>
      <c r="W3107">
        <v>13841</v>
      </c>
      <c r="X3107">
        <v>9659</v>
      </c>
      <c r="Y3107">
        <v>1.43</v>
      </c>
      <c r="Z3107">
        <v>36</v>
      </c>
      <c r="AA3107">
        <v>199</v>
      </c>
      <c r="AB3107" t="s">
        <v>116</v>
      </c>
      <c r="AC3107">
        <v>5700</v>
      </c>
      <c r="AD3107">
        <v>0</v>
      </c>
      <c r="AE3107" t="s">
        <v>116</v>
      </c>
      <c r="AF3107" t="s">
        <v>116</v>
      </c>
      <c r="AG3107">
        <v>5.75</v>
      </c>
      <c r="AH3107" t="s">
        <v>13538</v>
      </c>
      <c r="AI3107" t="s">
        <v>13538</v>
      </c>
      <c r="AJ3107">
        <v>-0.54</v>
      </c>
      <c r="AK3107">
        <v>1110</v>
      </c>
      <c r="AL3107">
        <v>21</v>
      </c>
      <c r="AM3107">
        <v>4.0000000000000002E-4</v>
      </c>
      <c r="AN3107">
        <v>-1</v>
      </c>
      <c r="AO3107">
        <v>-0.18</v>
      </c>
      <c r="AP3107">
        <v>1.99</v>
      </c>
      <c r="AQ3107">
        <v>0.63</v>
      </c>
      <c r="AR3107">
        <v>-8</v>
      </c>
      <c r="AS3107">
        <v>1.53</v>
      </c>
      <c r="AT3107" t="s">
        <v>2618</v>
      </c>
      <c r="AU3107">
        <v>11.47</v>
      </c>
      <c r="AV3107">
        <v>12.14</v>
      </c>
      <c r="AW3107">
        <v>0.44</v>
      </c>
      <c r="BA3107">
        <v>0.18</v>
      </c>
      <c r="BB3107">
        <v>0.79</v>
      </c>
      <c r="BC3107">
        <v>-0.62</v>
      </c>
      <c r="BD3107">
        <v>0.03</v>
      </c>
      <c r="BE3107">
        <v>-0.79</v>
      </c>
      <c r="BF3107">
        <v>-1.4</v>
      </c>
      <c r="BG3107">
        <v>0</v>
      </c>
      <c r="BH3107">
        <v>-0.65</v>
      </c>
      <c r="BI3107">
        <v>20191025</v>
      </c>
      <c r="BJ3107">
        <v>20110530</v>
      </c>
      <c r="BK3107">
        <v>5.75</v>
      </c>
      <c r="BL3107" t="s">
        <v>116</v>
      </c>
      <c r="BM3107" t="s">
        <v>116</v>
      </c>
      <c r="BN3107">
        <v>58.35</v>
      </c>
      <c r="BO3107">
        <v>42.91</v>
      </c>
      <c r="BP3107">
        <v>-0.06</v>
      </c>
      <c r="BQ3107">
        <v>26.55</v>
      </c>
      <c r="BR3107">
        <v>24.51</v>
      </c>
      <c r="BS3107">
        <v>5.18</v>
      </c>
      <c r="BT3107">
        <v>1.24</v>
      </c>
      <c r="BU3107">
        <v>15.19</v>
      </c>
      <c r="BV3107">
        <v>9.18</v>
      </c>
      <c r="BW3107">
        <v>1.36</v>
      </c>
      <c r="BX3107">
        <v>25.76</v>
      </c>
      <c r="BY3107">
        <v>20.25</v>
      </c>
      <c r="BZ3107">
        <v>8.74</v>
      </c>
      <c r="CA3107">
        <v>4.63</v>
      </c>
      <c r="CB3107">
        <v>2.5299999999999998</v>
      </c>
      <c r="CC3107">
        <v>4.6399999999999997</v>
      </c>
      <c r="CD3107">
        <v>3.72</v>
      </c>
      <c r="CE3107">
        <v>3.81</v>
      </c>
      <c r="CF3107">
        <v>2.31</v>
      </c>
      <c r="CG3107">
        <v>7.59</v>
      </c>
      <c r="CH3107">
        <v>0.84</v>
      </c>
      <c r="CI3107">
        <v>-1.8</v>
      </c>
      <c r="CJ3107">
        <v>20100</v>
      </c>
      <c r="CK3107">
        <v>7630</v>
      </c>
      <c r="CL3107" t="s">
        <v>13099</v>
      </c>
      <c r="CM3107">
        <v>8.8800000000000008</v>
      </c>
      <c r="CN3107">
        <v>5.37</v>
      </c>
      <c r="CO3107">
        <v>1.51</v>
      </c>
      <c r="CP3107">
        <v>77.2</v>
      </c>
      <c r="CQ3107">
        <v>3.2</v>
      </c>
      <c r="CR3107">
        <v>8.8699999999999992</v>
      </c>
      <c r="CS3107" t="s">
        <v>4046</v>
      </c>
      <c r="CT3107">
        <v>7.47</v>
      </c>
      <c r="CU3107">
        <v>0</v>
      </c>
      <c r="CV3107">
        <v>4.4800000000000004</v>
      </c>
      <c r="CW3107">
        <v>1.32</v>
      </c>
      <c r="CX3107">
        <v>0.15</v>
      </c>
      <c r="CY3107">
        <v>73.55</v>
      </c>
      <c r="CZ3107" t="s">
        <v>10072</v>
      </c>
      <c r="DA3107">
        <v>56.85</v>
      </c>
      <c r="DB3107">
        <v>22.85</v>
      </c>
      <c r="DC3107">
        <v>18.8</v>
      </c>
      <c r="DD3107">
        <v>0.33</v>
      </c>
      <c r="DE3107">
        <v>7930</v>
      </c>
      <c r="DF3107">
        <v>601566</v>
      </c>
      <c r="DG3107" t="s">
        <v>116</v>
      </c>
      <c r="DH3107" t="s">
        <v>116</v>
      </c>
      <c r="DI3107" t="s">
        <v>116</v>
      </c>
    </row>
    <row r="3108" spans="1:113" x14ac:dyDescent="0.4">
      <c r="A3108" t="str">
        <f>"601567"</f>
        <v>601567</v>
      </c>
      <c r="B3108" t="s">
        <v>13539</v>
      </c>
      <c r="C3108">
        <v>-0.55000000000000004</v>
      </c>
      <c r="D3108">
        <v>7.24</v>
      </c>
      <c r="E3108">
        <v>-0.04</v>
      </c>
      <c r="F3108">
        <v>7.23</v>
      </c>
      <c r="G3108">
        <v>7.24</v>
      </c>
      <c r="H3108">
        <v>68306</v>
      </c>
      <c r="I3108">
        <v>400</v>
      </c>
      <c r="J3108">
        <v>0.14000000000000001</v>
      </c>
      <c r="K3108">
        <v>0.49</v>
      </c>
      <c r="L3108">
        <v>7.3</v>
      </c>
      <c r="M3108">
        <v>7.36</v>
      </c>
      <c r="N3108">
        <v>7.23</v>
      </c>
      <c r="O3108">
        <v>7.28</v>
      </c>
      <c r="P3108">
        <v>9.39</v>
      </c>
      <c r="Q3108">
        <v>49754236</v>
      </c>
      <c r="R3108">
        <v>1.31</v>
      </c>
      <c r="S3108" t="s">
        <v>2977</v>
      </c>
      <c r="T3108" t="s">
        <v>590</v>
      </c>
      <c r="U3108">
        <v>1.79</v>
      </c>
      <c r="V3108">
        <v>7.28</v>
      </c>
      <c r="W3108">
        <v>41120</v>
      </c>
      <c r="X3108">
        <v>27186</v>
      </c>
      <c r="Y3108">
        <v>1.51</v>
      </c>
      <c r="Z3108">
        <v>688</v>
      </c>
      <c r="AA3108">
        <v>270</v>
      </c>
      <c r="AB3108" t="s">
        <v>116</v>
      </c>
      <c r="AC3108">
        <v>124100</v>
      </c>
      <c r="AD3108">
        <v>0</v>
      </c>
      <c r="AE3108" t="s">
        <v>116</v>
      </c>
      <c r="AF3108" t="s">
        <v>116</v>
      </c>
      <c r="AG3108">
        <v>13.87</v>
      </c>
      <c r="AH3108" t="s">
        <v>13540</v>
      </c>
      <c r="AI3108" t="s">
        <v>13540</v>
      </c>
      <c r="AJ3108">
        <v>-0.47</v>
      </c>
      <c r="AK3108">
        <v>1554</v>
      </c>
      <c r="AL3108">
        <v>44</v>
      </c>
      <c r="AM3108">
        <v>2.9999999999999997E-4</v>
      </c>
      <c r="AN3108">
        <v>-1</v>
      </c>
      <c r="AO3108">
        <v>2.84</v>
      </c>
      <c r="AP3108">
        <v>8.5500000000000007</v>
      </c>
      <c r="AQ3108">
        <v>5.85</v>
      </c>
      <c r="AR3108">
        <v>35.83</v>
      </c>
      <c r="AS3108">
        <v>1.1399999999999999</v>
      </c>
      <c r="AT3108" t="s">
        <v>9414</v>
      </c>
      <c r="AU3108">
        <v>11.22</v>
      </c>
      <c r="AV3108">
        <v>19.760000000000002</v>
      </c>
      <c r="AW3108">
        <v>0.91</v>
      </c>
      <c r="BA3108">
        <v>0.27</v>
      </c>
      <c r="BB3108">
        <v>1.1000000000000001</v>
      </c>
      <c r="BC3108">
        <v>-0.69</v>
      </c>
      <c r="BD3108">
        <v>0.06</v>
      </c>
      <c r="BE3108">
        <v>-0.82</v>
      </c>
      <c r="BF3108">
        <v>-1.63</v>
      </c>
      <c r="BG3108">
        <v>0.14000000000000001</v>
      </c>
      <c r="BH3108">
        <v>-0.6</v>
      </c>
      <c r="BI3108">
        <v>20191029</v>
      </c>
      <c r="BJ3108">
        <v>20110615</v>
      </c>
      <c r="BK3108">
        <v>13.87</v>
      </c>
      <c r="BL3108" t="s">
        <v>116</v>
      </c>
      <c r="BM3108" t="s">
        <v>116</v>
      </c>
      <c r="BN3108">
        <v>137.6</v>
      </c>
      <c r="BO3108">
        <v>77.98</v>
      </c>
      <c r="BP3108">
        <v>0.42</v>
      </c>
      <c r="BQ3108">
        <v>43.03</v>
      </c>
      <c r="BR3108">
        <v>68.23</v>
      </c>
      <c r="BS3108">
        <v>12.54</v>
      </c>
      <c r="BT3108">
        <v>4.18</v>
      </c>
      <c r="BU3108">
        <v>48.23</v>
      </c>
      <c r="BV3108">
        <v>5.88</v>
      </c>
      <c r="BW3108">
        <v>21.95</v>
      </c>
      <c r="BX3108">
        <v>30.58</v>
      </c>
      <c r="BY3108">
        <v>48.64</v>
      </c>
      <c r="BZ3108">
        <v>33.79</v>
      </c>
      <c r="CA3108">
        <v>9.43</v>
      </c>
      <c r="CB3108">
        <v>3.6</v>
      </c>
      <c r="CC3108">
        <v>9.49</v>
      </c>
      <c r="CD3108">
        <v>8.11</v>
      </c>
      <c r="CE3108">
        <v>8.02</v>
      </c>
      <c r="CF3108">
        <v>5.21</v>
      </c>
      <c r="CG3108">
        <v>30.71</v>
      </c>
      <c r="CH3108">
        <v>0.4</v>
      </c>
      <c r="CI3108">
        <v>-4.2</v>
      </c>
      <c r="CJ3108">
        <v>29638</v>
      </c>
      <c r="CK3108">
        <v>20303</v>
      </c>
      <c r="CL3108" t="s">
        <v>11002</v>
      </c>
      <c r="CM3108">
        <v>93.05</v>
      </c>
      <c r="CN3108">
        <v>15.54</v>
      </c>
      <c r="CO3108">
        <v>1.29</v>
      </c>
      <c r="CP3108">
        <v>251.1</v>
      </c>
      <c r="CQ3108">
        <v>2.06</v>
      </c>
      <c r="CR3108">
        <v>4.1399999999999997</v>
      </c>
      <c r="CS3108" t="s">
        <v>11694</v>
      </c>
      <c r="CT3108">
        <v>5.62</v>
      </c>
      <c r="CU3108">
        <v>0</v>
      </c>
      <c r="CV3108">
        <v>2.21</v>
      </c>
      <c r="CW3108">
        <v>2.21</v>
      </c>
      <c r="CX3108">
        <v>0.03</v>
      </c>
      <c r="CY3108">
        <v>56.67</v>
      </c>
      <c r="CZ3108" t="s">
        <v>13541</v>
      </c>
      <c r="DA3108">
        <v>30.53</v>
      </c>
      <c r="DB3108">
        <v>19.38</v>
      </c>
      <c r="DC3108">
        <v>16.48</v>
      </c>
      <c r="DD3108">
        <v>2.3199999999999998</v>
      </c>
      <c r="DE3108">
        <v>5822</v>
      </c>
      <c r="DF3108">
        <v>601567</v>
      </c>
      <c r="DG3108" t="s">
        <v>116</v>
      </c>
      <c r="DH3108" t="s">
        <v>116</v>
      </c>
      <c r="DI3108" t="s">
        <v>116</v>
      </c>
    </row>
    <row r="3109" spans="1:113" x14ac:dyDescent="0.4">
      <c r="A3109" t="str">
        <f>"601577"</f>
        <v>601577</v>
      </c>
      <c r="B3109" t="s">
        <v>13542</v>
      </c>
      <c r="C3109">
        <v>-0.44</v>
      </c>
      <c r="D3109">
        <v>8.9600000000000009</v>
      </c>
      <c r="E3109">
        <v>-0.04</v>
      </c>
      <c r="F3109">
        <v>8.9600000000000009</v>
      </c>
      <c r="G3109">
        <v>8.9700000000000006</v>
      </c>
      <c r="H3109">
        <v>162047</v>
      </c>
      <c r="I3109">
        <v>826</v>
      </c>
      <c r="J3109">
        <v>-0.1</v>
      </c>
      <c r="K3109">
        <v>1.63</v>
      </c>
      <c r="L3109">
        <v>9.0299999999999994</v>
      </c>
      <c r="M3109">
        <v>9.1199999999999992</v>
      </c>
      <c r="N3109">
        <v>8.9499999999999993</v>
      </c>
      <c r="O3109">
        <v>9</v>
      </c>
      <c r="P3109">
        <v>5.54</v>
      </c>
      <c r="Q3109">
        <v>146412224</v>
      </c>
      <c r="R3109">
        <v>1.22</v>
      </c>
      <c r="S3109" t="s">
        <v>114</v>
      </c>
      <c r="T3109" t="s">
        <v>599</v>
      </c>
      <c r="U3109">
        <v>1.89</v>
      </c>
      <c r="V3109">
        <v>9.0399999999999991</v>
      </c>
      <c r="W3109">
        <v>82930</v>
      </c>
      <c r="X3109">
        <v>79117</v>
      </c>
      <c r="Y3109">
        <v>1.05</v>
      </c>
      <c r="Z3109">
        <v>39</v>
      </c>
      <c r="AA3109">
        <v>132</v>
      </c>
      <c r="AB3109" t="s">
        <v>116</v>
      </c>
      <c r="AC3109">
        <v>511100</v>
      </c>
      <c r="AD3109">
        <v>0.01</v>
      </c>
      <c r="AE3109" t="s">
        <v>116</v>
      </c>
      <c r="AF3109" t="s">
        <v>116</v>
      </c>
      <c r="AG3109">
        <v>9.9499999999999993</v>
      </c>
      <c r="AH3109" t="s">
        <v>13543</v>
      </c>
      <c r="AI3109" t="s">
        <v>13544</v>
      </c>
      <c r="AJ3109">
        <v>-0.37</v>
      </c>
      <c r="AK3109">
        <v>2487</v>
      </c>
      <c r="AL3109">
        <v>65</v>
      </c>
      <c r="AM3109">
        <v>6.9999999999999999E-4</v>
      </c>
      <c r="AN3109">
        <v>-1</v>
      </c>
      <c r="AO3109">
        <v>0.79</v>
      </c>
      <c r="AP3109">
        <v>4.67</v>
      </c>
      <c r="AQ3109">
        <v>2.52</v>
      </c>
      <c r="AR3109">
        <v>8.74</v>
      </c>
      <c r="AS3109">
        <v>1.63</v>
      </c>
      <c r="AT3109" t="s">
        <v>13543</v>
      </c>
      <c r="AU3109">
        <v>6.26</v>
      </c>
      <c r="AV3109">
        <v>6.85</v>
      </c>
      <c r="AW3109">
        <v>1.31</v>
      </c>
      <c r="BA3109">
        <v>0.33</v>
      </c>
      <c r="BB3109">
        <v>1.33</v>
      </c>
      <c r="BC3109">
        <v>-0.56000000000000005</v>
      </c>
      <c r="BD3109">
        <v>0.39</v>
      </c>
      <c r="BE3109">
        <v>-0.78</v>
      </c>
      <c r="BF3109">
        <v>-1.75</v>
      </c>
      <c r="BG3109">
        <v>0.11</v>
      </c>
      <c r="BH3109">
        <v>-0.84</v>
      </c>
      <c r="BI3109">
        <v>20191030</v>
      </c>
      <c r="BJ3109">
        <v>20180926</v>
      </c>
      <c r="BK3109">
        <v>34.22</v>
      </c>
      <c r="BL3109" t="s">
        <v>116</v>
      </c>
      <c r="BM3109" t="s">
        <v>116</v>
      </c>
      <c r="BN3109">
        <v>5919.13</v>
      </c>
      <c r="BO3109">
        <v>336.75</v>
      </c>
      <c r="BP3109">
        <v>11.11</v>
      </c>
      <c r="BQ3109">
        <v>94.12</v>
      </c>
      <c r="BR3109">
        <v>0</v>
      </c>
      <c r="BS3109">
        <v>15.03</v>
      </c>
      <c r="BT3109">
        <v>4.2300000000000004</v>
      </c>
      <c r="BU3109">
        <v>0</v>
      </c>
      <c r="BV3109">
        <v>0</v>
      </c>
      <c r="BW3109">
        <v>0</v>
      </c>
      <c r="BX3109">
        <v>59</v>
      </c>
      <c r="BY3109">
        <v>124.02</v>
      </c>
      <c r="BZ3109">
        <v>0</v>
      </c>
      <c r="CA3109">
        <v>52.89</v>
      </c>
      <c r="CB3109">
        <v>15.73</v>
      </c>
      <c r="CC3109">
        <v>52.81</v>
      </c>
      <c r="CD3109">
        <v>42.36</v>
      </c>
      <c r="CE3109">
        <v>41.48</v>
      </c>
      <c r="CF3109">
        <v>41.45</v>
      </c>
      <c r="CG3109">
        <v>155.65</v>
      </c>
      <c r="CH3109">
        <v>-142.30000000000001</v>
      </c>
      <c r="CI3109">
        <v>-3.14</v>
      </c>
      <c r="CJ3109">
        <v>65512</v>
      </c>
      <c r="CK3109">
        <v>15193</v>
      </c>
      <c r="CL3109" t="s">
        <v>13092</v>
      </c>
      <c r="CM3109">
        <v>11.23</v>
      </c>
      <c r="CN3109">
        <v>22</v>
      </c>
      <c r="CO3109">
        <v>0.91</v>
      </c>
      <c r="CP3109">
        <v>-2.15</v>
      </c>
      <c r="CQ3109">
        <v>2.4700000000000002</v>
      </c>
      <c r="CR3109">
        <v>3.12</v>
      </c>
      <c r="CS3109" t="s">
        <v>13545</v>
      </c>
      <c r="CT3109">
        <v>9.84</v>
      </c>
      <c r="CU3109">
        <v>0</v>
      </c>
      <c r="CV3109">
        <v>1.72</v>
      </c>
      <c r="CW3109">
        <v>4.55</v>
      </c>
      <c r="CX3109">
        <v>-4.16</v>
      </c>
      <c r="CY3109">
        <v>5.69</v>
      </c>
      <c r="CZ3109" t="s">
        <v>291</v>
      </c>
      <c r="DA3109" t="s">
        <v>116</v>
      </c>
      <c r="DB3109">
        <v>42.64</v>
      </c>
      <c r="DC3109">
        <v>33.450000000000003</v>
      </c>
      <c r="DD3109">
        <v>0</v>
      </c>
      <c r="DE3109">
        <v>7135</v>
      </c>
      <c r="DF3109">
        <v>601577</v>
      </c>
      <c r="DG3109" t="s">
        <v>116</v>
      </c>
      <c r="DH3109" t="s">
        <v>116</v>
      </c>
      <c r="DI3109" t="s">
        <v>116</v>
      </c>
    </row>
    <row r="3110" spans="1:113" x14ac:dyDescent="0.4">
      <c r="A3110" t="str">
        <f>"601579"</f>
        <v>601579</v>
      </c>
      <c r="B3110" t="s">
        <v>13546</v>
      </c>
      <c r="C3110">
        <v>-0.24</v>
      </c>
      <c r="D3110">
        <v>8.43</v>
      </c>
      <c r="E3110">
        <v>-0.02</v>
      </c>
      <c r="F3110">
        <v>8.43</v>
      </c>
      <c r="G3110">
        <v>8.44</v>
      </c>
      <c r="H3110">
        <v>10291</v>
      </c>
      <c r="I3110">
        <v>30</v>
      </c>
      <c r="J3110">
        <v>0</v>
      </c>
      <c r="K3110">
        <v>0.21</v>
      </c>
      <c r="L3110">
        <v>8.4600000000000009</v>
      </c>
      <c r="M3110">
        <v>8.56</v>
      </c>
      <c r="N3110">
        <v>8.42</v>
      </c>
      <c r="O3110">
        <v>8.4499999999999993</v>
      </c>
      <c r="P3110">
        <v>38.5</v>
      </c>
      <c r="Q3110">
        <v>8727817</v>
      </c>
      <c r="R3110">
        <v>1.3</v>
      </c>
      <c r="S3110" t="s">
        <v>2477</v>
      </c>
      <c r="T3110" t="s">
        <v>590</v>
      </c>
      <c r="U3110">
        <v>1.66</v>
      </c>
      <c r="V3110">
        <v>8.48</v>
      </c>
      <c r="W3110">
        <v>4689</v>
      </c>
      <c r="X3110">
        <v>5602</v>
      </c>
      <c r="Y3110">
        <v>0.84</v>
      </c>
      <c r="Z3110">
        <v>49</v>
      </c>
      <c r="AA3110">
        <v>75</v>
      </c>
      <c r="AB3110" t="s">
        <v>116</v>
      </c>
      <c r="AC3110">
        <v>0</v>
      </c>
      <c r="AD3110">
        <v>0</v>
      </c>
      <c r="AE3110" t="s">
        <v>116</v>
      </c>
      <c r="AF3110" t="s">
        <v>116</v>
      </c>
      <c r="AG3110">
        <v>4.97</v>
      </c>
      <c r="AH3110" t="s">
        <v>13459</v>
      </c>
      <c r="AI3110" t="s">
        <v>13459</v>
      </c>
      <c r="AJ3110">
        <v>-0.16</v>
      </c>
      <c r="AK3110">
        <v>427</v>
      </c>
      <c r="AL3110">
        <v>24</v>
      </c>
      <c r="AM3110">
        <v>5.0000000000000001E-4</v>
      </c>
      <c r="AN3110">
        <v>-1</v>
      </c>
      <c r="AO3110">
        <v>0</v>
      </c>
      <c r="AP3110">
        <v>-0.24</v>
      </c>
      <c r="AQ3110">
        <v>-3.44</v>
      </c>
      <c r="AR3110">
        <v>-3.99</v>
      </c>
      <c r="AS3110">
        <v>0.51</v>
      </c>
      <c r="AT3110" t="s">
        <v>5369</v>
      </c>
      <c r="AU3110">
        <v>26.03</v>
      </c>
      <c r="AV3110">
        <v>23.58</v>
      </c>
      <c r="AW3110">
        <v>0.86</v>
      </c>
      <c r="BA3110">
        <v>0.12</v>
      </c>
      <c r="BB3110">
        <v>1.3</v>
      </c>
      <c r="BC3110">
        <v>-0.36</v>
      </c>
      <c r="BD3110">
        <v>0.37</v>
      </c>
      <c r="BE3110">
        <v>-0.35</v>
      </c>
      <c r="BF3110">
        <v>-1.52</v>
      </c>
      <c r="BG3110">
        <v>0.12</v>
      </c>
      <c r="BH3110">
        <v>-0.6</v>
      </c>
      <c r="BI3110">
        <v>20191029</v>
      </c>
      <c r="BJ3110">
        <v>20140825</v>
      </c>
      <c r="BK3110">
        <v>4.97</v>
      </c>
      <c r="BL3110" t="s">
        <v>116</v>
      </c>
      <c r="BM3110" t="s">
        <v>116</v>
      </c>
      <c r="BN3110">
        <v>44</v>
      </c>
      <c r="BO3110">
        <v>31.62</v>
      </c>
      <c r="BP3110">
        <v>0.24</v>
      </c>
      <c r="BQ3110">
        <v>27.58</v>
      </c>
      <c r="BR3110">
        <v>18.37</v>
      </c>
      <c r="BS3110">
        <v>12.39</v>
      </c>
      <c r="BT3110">
        <v>5.23</v>
      </c>
      <c r="BU3110">
        <v>8.58</v>
      </c>
      <c r="BV3110">
        <v>11.61</v>
      </c>
      <c r="BW3110">
        <v>2.09</v>
      </c>
      <c r="BX3110">
        <v>17.420000000000002</v>
      </c>
      <c r="BY3110">
        <v>7.61</v>
      </c>
      <c r="BZ3110">
        <v>4.55</v>
      </c>
      <c r="CA3110">
        <v>1.1399999999999999</v>
      </c>
      <c r="CB3110">
        <v>0</v>
      </c>
      <c r="CC3110">
        <v>1.1599999999999999</v>
      </c>
      <c r="CD3110">
        <v>0.83</v>
      </c>
      <c r="CE3110">
        <v>0.82</v>
      </c>
      <c r="CF3110">
        <v>0.69</v>
      </c>
      <c r="CG3110">
        <v>8.2200000000000006</v>
      </c>
      <c r="CH3110">
        <v>0.36</v>
      </c>
      <c r="CI3110">
        <v>-2.4300000000000002</v>
      </c>
      <c r="CJ3110">
        <v>17579</v>
      </c>
      <c r="CK3110">
        <v>11455</v>
      </c>
      <c r="CL3110" t="s">
        <v>13547</v>
      </c>
      <c r="CM3110">
        <v>-17.02</v>
      </c>
      <c r="CN3110">
        <v>-2.8</v>
      </c>
      <c r="CO3110">
        <v>1.33</v>
      </c>
      <c r="CP3110">
        <v>117.21</v>
      </c>
      <c r="CQ3110">
        <v>5.51</v>
      </c>
      <c r="CR3110">
        <v>1.3</v>
      </c>
      <c r="CS3110" t="s">
        <v>1514</v>
      </c>
      <c r="CT3110">
        <v>6.36</v>
      </c>
      <c r="CU3110">
        <v>0</v>
      </c>
      <c r="CV3110">
        <v>3.5</v>
      </c>
      <c r="CW3110">
        <v>1.65</v>
      </c>
      <c r="CX3110">
        <v>7.0000000000000007E-2</v>
      </c>
      <c r="CY3110">
        <v>71.87</v>
      </c>
      <c r="CZ3110" t="s">
        <v>2621</v>
      </c>
      <c r="DA3110">
        <v>40.159999999999997</v>
      </c>
      <c r="DB3110">
        <v>15.01</v>
      </c>
      <c r="DC3110">
        <v>10.74</v>
      </c>
      <c r="DD3110">
        <v>0.1</v>
      </c>
      <c r="DE3110">
        <v>1471</v>
      </c>
      <c r="DF3110">
        <v>601579</v>
      </c>
      <c r="DG3110" t="s">
        <v>116</v>
      </c>
      <c r="DH3110" t="s">
        <v>116</v>
      </c>
      <c r="DI3110" t="s">
        <v>116</v>
      </c>
    </row>
    <row r="3111" spans="1:113" x14ac:dyDescent="0.4">
      <c r="A3111" t="str">
        <f>"601588"</f>
        <v>601588</v>
      </c>
      <c r="B3111" t="s">
        <v>13548</v>
      </c>
      <c r="C3111">
        <v>-0.31</v>
      </c>
      <c r="D3111">
        <v>3.17</v>
      </c>
      <c r="E3111">
        <v>-0.01</v>
      </c>
      <c r="F3111">
        <v>3.16</v>
      </c>
      <c r="G3111">
        <v>3.17</v>
      </c>
      <c r="H3111">
        <v>127585</v>
      </c>
      <c r="I3111">
        <v>470</v>
      </c>
      <c r="J3111">
        <v>0</v>
      </c>
      <c r="K3111">
        <v>0.48</v>
      </c>
      <c r="L3111">
        <v>3.18</v>
      </c>
      <c r="M3111">
        <v>3.22</v>
      </c>
      <c r="N3111">
        <v>3.15</v>
      </c>
      <c r="O3111">
        <v>3.18</v>
      </c>
      <c r="P3111">
        <v>6.14</v>
      </c>
      <c r="Q3111">
        <v>40684676</v>
      </c>
      <c r="R3111">
        <v>1.62</v>
      </c>
      <c r="S3111" t="s">
        <v>148</v>
      </c>
      <c r="T3111" t="s">
        <v>165</v>
      </c>
      <c r="U3111">
        <v>2.2000000000000002</v>
      </c>
      <c r="V3111">
        <v>3.19</v>
      </c>
      <c r="W3111">
        <v>69742</v>
      </c>
      <c r="X3111">
        <v>57843</v>
      </c>
      <c r="Y3111">
        <v>1.21</v>
      </c>
      <c r="Z3111">
        <v>1103</v>
      </c>
      <c r="AA3111">
        <v>379</v>
      </c>
      <c r="AB3111" t="s">
        <v>116</v>
      </c>
      <c r="AC3111">
        <v>236300</v>
      </c>
      <c r="AD3111">
        <v>0.01</v>
      </c>
      <c r="AE3111" t="s">
        <v>116</v>
      </c>
      <c r="AF3111" t="s">
        <v>116</v>
      </c>
      <c r="AG3111">
        <v>26.6</v>
      </c>
      <c r="AH3111" t="s">
        <v>13549</v>
      </c>
      <c r="AI3111" t="s">
        <v>13549</v>
      </c>
      <c r="AJ3111">
        <v>-0.24</v>
      </c>
      <c r="AK3111">
        <v>885</v>
      </c>
      <c r="AL3111">
        <v>144</v>
      </c>
      <c r="AM3111">
        <v>5.0000000000000001E-4</v>
      </c>
      <c r="AN3111">
        <v>-1</v>
      </c>
      <c r="AO3111">
        <v>0.32</v>
      </c>
      <c r="AP3111">
        <v>4.28</v>
      </c>
      <c r="AQ3111">
        <v>-4.2300000000000004</v>
      </c>
      <c r="AR3111">
        <v>22.39</v>
      </c>
      <c r="AS3111">
        <v>0.93</v>
      </c>
      <c r="AT3111" t="s">
        <v>8462</v>
      </c>
      <c r="AU3111">
        <v>8.15</v>
      </c>
      <c r="AV3111">
        <v>8.9700000000000006</v>
      </c>
      <c r="AW3111">
        <v>1.43</v>
      </c>
      <c r="BA3111">
        <v>0</v>
      </c>
      <c r="BB3111">
        <v>1.26</v>
      </c>
      <c r="BC3111">
        <v>-0.94</v>
      </c>
      <c r="BD3111">
        <v>0.28000000000000003</v>
      </c>
      <c r="BE3111">
        <v>-0.31</v>
      </c>
      <c r="BF3111">
        <v>-1.55</v>
      </c>
      <c r="BG3111">
        <v>0.63</v>
      </c>
      <c r="BH3111">
        <v>-0.59</v>
      </c>
      <c r="BI3111">
        <v>20191030</v>
      </c>
      <c r="BJ3111">
        <v>20061016</v>
      </c>
      <c r="BK3111">
        <v>33.67</v>
      </c>
      <c r="BL3111" t="s">
        <v>116</v>
      </c>
      <c r="BM3111">
        <v>7.07</v>
      </c>
      <c r="BN3111">
        <v>997.55</v>
      </c>
      <c r="BO3111">
        <v>170.16</v>
      </c>
      <c r="BP3111">
        <v>27.84</v>
      </c>
      <c r="BQ3111">
        <v>80.150000000000006</v>
      </c>
      <c r="BR3111">
        <v>907.63</v>
      </c>
      <c r="BS3111">
        <v>24.18</v>
      </c>
      <c r="BT3111">
        <v>0.1</v>
      </c>
      <c r="BU3111">
        <v>513.91</v>
      </c>
      <c r="BV3111">
        <v>663.59</v>
      </c>
      <c r="BW3111">
        <v>1.24</v>
      </c>
      <c r="BX3111">
        <v>36.49</v>
      </c>
      <c r="BY3111">
        <v>100.72</v>
      </c>
      <c r="BZ3111">
        <v>57.37</v>
      </c>
      <c r="CA3111">
        <v>20.36</v>
      </c>
      <c r="CB3111">
        <v>0.37</v>
      </c>
      <c r="CC3111">
        <v>20.440000000000001</v>
      </c>
      <c r="CD3111">
        <v>15.02</v>
      </c>
      <c r="CE3111">
        <v>13.04</v>
      </c>
      <c r="CF3111">
        <v>12.95</v>
      </c>
      <c r="CG3111">
        <v>64.45</v>
      </c>
      <c r="CH3111">
        <v>8.24</v>
      </c>
      <c r="CI3111">
        <v>34.46</v>
      </c>
      <c r="CJ3111">
        <v>161342</v>
      </c>
      <c r="CK3111">
        <v>8514</v>
      </c>
      <c r="CL3111" t="s">
        <v>1416</v>
      </c>
      <c r="CM3111">
        <v>10.09</v>
      </c>
      <c r="CN3111">
        <v>-6.53</v>
      </c>
      <c r="CO3111">
        <v>0.74</v>
      </c>
      <c r="CP3111">
        <v>12.96</v>
      </c>
      <c r="CQ3111">
        <v>1.06</v>
      </c>
      <c r="CR3111">
        <v>3.79</v>
      </c>
      <c r="CS3111" t="s">
        <v>7175</v>
      </c>
      <c r="CT3111">
        <v>4.28</v>
      </c>
      <c r="CU3111">
        <v>4.28</v>
      </c>
      <c r="CV3111">
        <v>1.08</v>
      </c>
      <c r="CW3111">
        <v>1.91</v>
      </c>
      <c r="CX3111">
        <v>0.24</v>
      </c>
      <c r="CY3111">
        <v>17.059999999999999</v>
      </c>
      <c r="CZ3111" t="s">
        <v>1245</v>
      </c>
      <c r="DA3111">
        <v>43.04</v>
      </c>
      <c r="DB3111">
        <v>20.21</v>
      </c>
      <c r="DC3111">
        <v>12.95</v>
      </c>
      <c r="DD3111">
        <v>0</v>
      </c>
      <c r="DE3111">
        <v>5167</v>
      </c>
      <c r="DF3111">
        <v>601588</v>
      </c>
      <c r="DG3111" t="s">
        <v>116</v>
      </c>
      <c r="DH3111" t="s">
        <v>116</v>
      </c>
      <c r="DI3111" t="s">
        <v>116</v>
      </c>
    </row>
    <row r="3112" spans="1:113" x14ac:dyDescent="0.4">
      <c r="A3112" t="str">
        <f>"601595"</f>
        <v>601595</v>
      </c>
      <c r="B3112" t="s">
        <v>13550</v>
      </c>
      <c r="C3112">
        <v>0</v>
      </c>
      <c r="D3112">
        <v>14.77</v>
      </c>
      <c r="E3112">
        <v>0</v>
      </c>
      <c r="F3112">
        <v>14.77</v>
      </c>
      <c r="G3112">
        <v>14.78</v>
      </c>
      <c r="H3112">
        <v>33124</v>
      </c>
      <c r="I3112">
        <v>337</v>
      </c>
      <c r="J3112">
        <v>7.0000000000000007E-2</v>
      </c>
      <c r="K3112">
        <v>0.89</v>
      </c>
      <c r="L3112">
        <v>14.77</v>
      </c>
      <c r="M3112">
        <v>15.05</v>
      </c>
      <c r="N3112">
        <v>14.73</v>
      </c>
      <c r="O3112">
        <v>14.77</v>
      </c>
      <c r="P3112">
        <v>33.869999999999997</v>
      </c>
      <c r="Q3112">
        <v>49371040</v>
      </c>
      <c r="R3112">
        <v>0.86</v>
      </c>
      <c r="S3112" t="s">
        <v>589</v>
      </c>
      <c r="T3112" t="s">
        <v>1653</v>
      </c>
      <c r="U3112">
        <v>2.17</v>
      </c>
      <c r="V3112">
        <v>14.9</v>
      </c>
      <c r="W3112">
        <v>16173</v>
      </c>
      <c r="X3112">
        <v>16951</v>
      </c>
      <c r="Y3112">
        <v>0.95</v>
      </c>
      <c r="Z3112">
        <v>82</v>
      </c>
      <c r="AA3112">
        <v>10</v>
      </c>
      <c r="AB3112" t="s">
        <v>116</v>
      </c>
      <c r="AC3112">
        <v>5900</v>
      </c>
      <c r="AD3112">
        <v>0</v>
      </c>
      <c r="AE3112" t="s">
        <v>116</v>
      </c>
      <c r="AF3112" t="s">
        <v>116</v>
      </c>
      <c r="AG3112">
        <v>3.74</v>
      </c>
      <c r="AH3112" t="s">
        <v>5393</v>
      </c>
      <c r="AI3112" t="s">
        <v>5393</v>
      </c>
      <c r="AJ3112">
        <v>0.08</v>
      </c>
      <c r="AK3112">
        <v>1585</v>
      </c>
      <c r="AL3112">
        <v>21</v>
      </c>
      <c r="AM3112">
        <v>5.9999999999999995E-4</v>
      </c>
      <c r="AN3112">
        <v>0</v>
      </c>
      <c r="AO3112">
        <v>0.61</v>
      </c>
      <c r="AP3112">
        <v>10.97</v>
      </c>
      <c r="AQ3112">
        <v>-30</v>
      </c>
      <c r="AR3112">
        <v>23.08</v>
      </c>
      <c r="AS3112">
        <v>2.88</v>
      </c>
      <c r="AT3112" t="s">
        <v>9795</v>
      </c>
      <c r="AU3112">
        <v>21.53</v>
      </c>
      <c r="AV3112">
        <v>23.48</v>
      </c>
      <c r="AW3112">
        <v>1.45</v>
      </c>
      <c r="BA3112">
        <v>0</v>
      </c>
      <c r="BB3112">
        <v>1.9</v>
      </c>
      <c r="BC3112">
        <v>-0.27</v>
      </c>
      <c r="BD3112">
        <v>0.91</v>
      </c>
      <c r="BE3112">
        <v>0</v>
      </c>
      <c r="BF3112">
        <v>-1.86</v>
      </c>
      <c r="BG3112">
        <v>0.27</v>
      </c>
      <c r="BH3112">
        <v>-0.91</v>
      </c>
      <c r="BI3112">
        <v>20191030</v>
      </c>
      <c r="BJ3112">
        <v>20160817</v>
      </c>
      <c r="BK3112">
        <v>3.74</v>
      </c>
      <c r="BL3112" t="s">
        <v>116</v>
      </c>
      <c r="BM3112" t="s">
        <v>116</v>
      </c>
      <c r="BN3112">
        <v>31.2</v>
      </c>
      <c r="BO3112">
        <v>23.57</v>
      </c>
      <c r="BP3112">
        <v>0.51</v>
      </c>
      <c r="BQ3112">
        <v>22.83</v>
      </c>
      <c r="BR3112">
        <v>18.399999999999999</v>
      </c>
      <c r="BS3112">
        <v>2.4300000000000002</v>
      </c>
      <c r="BT3112">
        <v>0.48</v>
      </c>
      <c r="BU3112">
        <v>6.19</v>
      </c>
      <c r="BV3112">
        <v>0.06</v>
      </c>
      <c r="BW3112">
        <v>2.21</v>
      </c>
      <c r="BX3112">
        <v>8.3000000000000007</v>
      </c>
      <c r="BY3112">
        <v>8.06</v>
      </c>
      <c r="BZ3112">
        <v>6.67</v>
      </c>
      <c r="CA3112">
        <v>1.35</v>
      </c>
      <c r="CB3112">
        <v>0.42</v>
      </c>
      <c r="CC3112">
        <v>1.35</v>
      </c>
      <c r="CD3112">
        <v>1.17</v>
      </c>
      <c r="CE3112">
        <v>1.22</v>
      </c>
      <c r="CF3112">
        <v>0.99</v>
      </c>
      <c r="CG3112">
        <v>9.34</v>
      </c>
      <c r="CH3112">
        <v>-0.18</v>
      </c>
      <c r="CI3112">
        <v>-1.45</v>
      </c>
      <c r="CJ3112">
        <v>36051</v>
      </c>
      <c r="CK3112">
        <v>3189</v>
      </c>
      <c r="CL3112" t="s">
        <v>7271</v>
      </c>
      <c r="CM3112">
        <v>21.05</v>
      </c>
      <c r="CN3112">
        <v>-2.16</v>
      </c>
      <c r="CO3112">
        <v>2.34</v>
      </c>
      <c r="CP3112">
        <v>-299.87</v>
      </c>
      <c r="CQ3112">
        <v>6.84</v>
      </c>
      <c r="CR3112">
        <v>1.56</v>
      </c>
      <c r="CS3112" t="s">
        <v>2122</v>
      </c>
      <c r="CT3112">
        <v>6.31</v>
      </c>
      <c r="CU3112">
        <v>0</v>
      </c>
      <c r="CV3112">
        <v>2.2200000000000002</v>
      </c>
      <c r="CW3112">
        <v>2.5</v>
      </c>
      <c r="CX3112">
        <v>-0.05</v>
      </c>
      <c r="CY3112">
        <v>75.53</v>
      </c>
      <c r="CZ3112" t="s">
        <v>9778</v>
      </c>
      <c r="DA3112">
        <v>17.27</v>
      </c>
      <c r="DB3112">
        <v>16.739999999999998</v>
      </c>
      <c r="DC3112">
        <v>15.15</v>
      </c>
      <c r="DD3112">
        <v>0</v>
      </c>
      <c r="DE3112">
        <v>1293</v>
      </c>
      <c r="DF3112">
        <v>601595</v>
      </c>
      <c r="DG3112" t="s">
        <v>116</v>
      </c>
      <c r="DH3112" t="s">
        <v>116</v>
      </c>
      <c r="DI3112" t="s">
        <v>116</v>
      </c>
    </row>
    <row r="3113" spans="1:113" x14ac:dyDescent="0.4">
      <c r="A3113" t="str">
        <f>"601598"</f>
        <v>601598</v>
      </c>
      <c r="B3113" t="s">
        <v>13551</v>
      </c>
      <c r="C3113">
        <v>0</v>
      </c>
      <c r="D3113">
        <v>4.2</v>
      </c>
      <c r="E3113">
        <v>0</v>
      </c>
      <c r="F3113">
        <v>4.2</v>
      </c>
      <c r="G3113">
        <v>4.21</v>
      </c>
      <c r="H3113">
        <v>168695</v>
      </c>
      <c r="I3113">
        <v>4013</v>
      </c>
      <c r="J3113">
        <v>0</v>
      </c>
      <c r="K3113">
        <v>1.25</v>
      </c>
      <c r="L3113">
        <v>4.2</v>
      </c>
      <c r="M3113">
        <v>4.26</v>
      </c>
      <c r="N3113">
        <v>4.1900000000000004</v>
      </c>
      <c r="O3113">
        <v>4.2</v>
      </c>
      <c r="P3113">
        <v>11.01</v>
      </c>
      <c r="Q3113">
        <v>71211304</v>
      </c>
      <c r="R3113">
        <v>1.17</v>
      </c>
      <c r="S3113" t="s">
        <v>3113</v>
      </c>
      <c r="T3113" t="s">
        <v>165</v>
      </c>
      <c r="U3113">
        <v>1.67</v>
      </c>
      <c r="V3113">
        <v>4.22</v>
      </c>
      <c r="W3113">
        <v>80615</v>
      </c>
      <c r="X3113">
        <v>88080</v>
      </c>
      <c r="Y3113">
        <v>0.92</v>
      </c>
      <c r="Z3113">
        <v>5288</v>
      </c>
      <c r="AA3113">
        <v>1019</v>
      </c>
      <c r="AB3113" t="s">
        <v>116</v>
      </c>
      <c r="AC3113">
        <v>107100</v>
      </c>
      <c r="AD3113">
        <v>0</v>
      </c>
      <c r="AE3113" t="s">
        <v>116</v>
      </c>
      <c r="AF3113" t="s">
        <v>116</v>
      </c>
      <c r="AG3113">
        <v>13.52</v>
      </c>
      <c r="AH3113" t="s">
        <v>13552</v>
      </c>
      <c r="AI3113" t="s">
        <v>13553</v>
      </c>
      <c r="AJ3113">
        <v>0.08</v>
      </c>
      <c r="AK3113">
        <v>1785</v>
      </c>
      <c r="AL3113">
        <v>95</v>
      </c>
      <c r="AM3113">
        <v>6.9999999999999999E-4</v>
      </c>
      <c r="AN3113">
        <v>0</v>
      </c>
      <c r="AO3113">
        <v>0</v>
      </c>
      <c r="AP3113">
        <v>2.19</v>
      </c>
      <c r="AQ3113">
        <v>0.72</v>
      </c>
      <c r="AR3113">
        <v>-17.809999999999999</v>
      </c>
      <c r="AS3113">
        <v>1.41</v>
      </c>
      <c r="AT3113" t="s">
        <v>12794</v>
      </c>
      <c r="AU3113">
        <v>10.78</v>
      </c>
      <c r="AV3113">
        <v>11.49</v>
      </c>
      <c r="AW3113">
        <v>1.1599999999999999</v>
      </c>
      <c r="BA3113">
        <v>0</v>
      </c>
      <c r="BB3113">
        <v>1.43</v>
      </c>
      <c r="BC3113">
        <v>-0.24</v>
      </c>
      <c r="BD3113">
        <v>0.51</v>
      </c>
      <c r="BE3113">
        <v>0</v>
      </c>
      <c r="BF3113">
        <v>-1.41</v>
      </c>
      <c r="BG3113">
        <v>0.24</v>
      </c>
      <c r="BH3113">
        <v>-0.51</v>
      </c>
      <c r="BI3113">
        <v>20191030</v>
      </c>
      <c r="BJ3113">
        <v>20190118</v>
      </c>
      <c r="BK3113">
        <v>74.010000000000005</v>
      </c>
      <c r="BL3113" t="s">
        <v>116</v>
      </c>
      <c r="BM3113">
        <v>21.45</v>
      </c>
      <c r="BN3113">
        <v>601.46</v>
      </c>
      <c r="BO3113">
        <v>277.43</v>
      </c>
      <c r="BP3113">
        <v>14.25</v>
      </c>
      <c r="BQ3113">
        <v>51.5</v>
      </c>
      <c r="BR3113">
        <v>278.95</v>
      </c>
      <c r="BS3113">
        <v>121.99</v>
      </c>
      <c r="BT3113">
        <v>51.3</v>
      </c>
      <c r="BU3113">
        <v>180.6</v>
      </c>
      <c r="BV3113">
        <v>1.3</v>
      </c>
      <c r="BW3113">
        <v>124.75</v>
      </c>
      <c r="BX3113">
        <v>61.01</v>
      </c>
      <c r="BY3113">
        <v>558.54999999999995</v>
      </c>
      <c r="BZ3113">
        <v>525.59</v>
      </c>
      <c r="CA3113">
        <v>25.9</v>
      </c>
      <c r="CB3113">
        <v>9.65</v>
      </c>
      <c r="CC3113">
        <v>26.2</v>
      </c>
      <c r="CD3113">
        <v>22.15</v>
      </c>
      <c r="CE3113">
        <v>21.17</v>
      </c>
      <c r="CF3113">
        <v>18.510000000000002</v>
      </c>
      <c r="CG3113">
        <v>135.72</v>
      </c>
      <c r="CH3113">
        <v>-1.71</v>
      </c>
      <c r="CI3113">
        <v>-56.8</v>
      </c>
      <c r="CJ3113">
        <v>85065</v>
      </c>
      <c r="CK3113">
        <v>14033</v>
      </c>
      <c r="CL3113" t="s">
        <v>2673</v>
      </c>
      <c r="CM3113">
        <v>9.25</v>
      </c>
      <c r="CN3113">
        <v>0.2</v>
      </c>
      <c r="CO3113">
        <v>1.1200000000000001</v>
      </c>
      <c r="CP3113">
        <v>-182.02</v>
      </c>
      <c r="CQ3113">
        <v>0.56000000000000005</v>
      </c>
      <c r="CR3113">
        <v>3.1</v>
      </c>
      <c r="CS3113" t="s">
        <v>3995</v>
      </c>
      <c r="CT3113">
        <v>3.75</v>
      </c>
      <c r="CU3113">
        <v>0</v>
      </c>
      <c r="CV3113">
        <v>0.82</v>
      </c>
      <c r="CW3113">
        <v>1.83</v>
      </c>
      <c r="CX3113">
        <v>-0.02</v>
      </c>
      <c r="CY3113">
        <v>46.13</v>
      </c>
      <c r="CZ3113" t="s">
        <v>7551</v>
      </c>
      <c r="DA3113">
        <v>5.9</v>
      </c>
      <c r="DB3113">
        <v>4.6399999999999997</v>
      </c>
      <c r="DC3113">
        <v>3.79</v>
      </c>
      <c r="DD3113">
        <v>0.23</v>
      </c>
      <c r="DE3113">
        <v>36441</v>
      </c>
      <c r="DF3113">
        <v>601598</v>
      </c>
      <c r="DG3113" t="s">
        <v>116</v>
      </c>
      <c r="DH3113" t="s">
        <v>116</v>
      </c>
      <c r="DI3113" t="s">
        <v>116</v>
      </c>
    </row>
    <row r="3114" spans="1:113" x14ac:dyDescent="0.4">
      <c r="A3114" t="str">
        <f>"601599"</f>
        <v>601599</v>
      </c>
      <c r="B3114" t="s">
        <v>13554</v>
      </c>
      <c r="C3114">
        <v>-2.64</v>
      </c>
      <c r="D3114">
        <v>3.32</v>
      </c>
      <c r="E3114">
        <v>-0.09</v>
      </c>
      <c r="F3114">
        <v>3.32</v>
      </c>
      <c r="G3114">
        <v>3.33</v>
      </c>
      <c r="H3114">
        <v>171732</v>
      </c>
      <c r="I3114">
        <v>4500</v>
      </c>
      <c r="J3114">
        <v>-0.59</v>
      </c>
      <c r="K3114">
        <v>1.92</v>
      </c>
      <c r="L3114">
        <v>3.41</v>
      </c>
      <c r="M3114">
        <v>3.44</v>
      </c>
      <c r="N3114">
        <v>3.32</v>
      </c>
      <c r="O3114">
        <v>3.41</v>
      </c>
      <c r="P3114">
        <v>25.85</v>
      </c>
      <c r="Q3114">
        <v>58115956</v>
      </c>
      <c r="R3114">
        <v>0.75</v>
      </c>
      <c r="S3114" t="s">
        <v>589</v>
      </c>
      <c r="T3114" t="s">
        <v>323</v>
      </c>
      <c r="U3114">
        <v>3.52</v>
      </c>
      <c r="V3114">
        <v>3.38</v>
      </c>
      <c r="W3114">
        <v>112689</v>
      </c>
      <c r="X3114">
        <v>59043</v>
      </c>
      <c r="Y3114">
        <v>1.91</v>
      </c>
      <c r="Z3114">
        <v>1248</v>
      </c>
      <c r="AA3114">
        <v>546</v>
      </c>
      <c r="AB3114" t="s">
        <v>116</v>
      </c>
      <c r="AC3114">
        <v>276900</v>
      </c>
      <c r="AD3114">
        <v>0.01</v>
      </c>
      <c r="AE3114" t="s">
        <v>116</v>
      </c>
      <c r="AF3114" t="s">
        <v>116</v>
      </c>
      <c r="AG3114">
        <v>8.93</v>
      </c>
      <c r="AH3114" t="s">
        <v>7731</v>
      </c>
      <c r="AI3114" t="s">
        <v>7731</v>
      </c>
      <c r="AJ3114">
        <v>-2.56</v>
      </c>
      <c r="AK3114">
        <v>1466</v>
      </c>
      <c r="AL3114">
        <v>117</v>
      </c>
      <c r="AM3114">
        <v>1.2999999999999999E-3</v>
      </c>
      <c r="AN3114">
        <v>-1</v>
      </c>
      <c r="AO3114">
        <v>-5.14</v>
      </c>
      <c r="AP3114">
        <v>1.53</v>
      </c>
      <c r="AQ3114">
        <v>12.54</v>
      </c>
      <c r="AR3114">
        <v>7.17</v>
      </c>
      <c r="AS3114">
        <v>2.86</v>
      </c>
      <c r="AT3114" t="s">
        <v>10271</v>
      </c>
      <c r="AU3114">
        <v>38.36</v>
      </c>
      <c r="AV3114">
        <v>52.84</v>
      </c>
      <c r="AW3114">
        <v>1.78</v>
      </c>
      <c r="BA3114">
        <v>0</v>
      </c>
      <c r="BB3114">
        <v>0.88</v>
      </c>
      <c r="BC3114">
        <v>-2.64</v>
      </c>
      <c r="BD3114">
        <v>-0.76</v>
      </c>
      <c r="BE3114">
        <v>-2.64</v>
      </c>
      <c r="BF3114">
        <v>-3.49</v>
      </c>
      <c r="BG3114">
        <v>0</v>
      </c>
      <c r="BH3114">
        <v>-1.88</v>
      </c>
      <c r="BI3114">
        <v>20191029</v>
      </c>
      <c r="BJ3114">
        <v>20110527</v>
      </c>
      <c r="BK3114">
        <v>8.93</v>
      </c>
      <c r="BL3114" t="s">
        <v>116</v>
      </c>
      <c r="BM3114" t="s">
        <v>116</v>
      </c>
      <c r="BN3114">
        <v>64.790000000000006</v>
      </c>
      <c r="BO3114">
        <v>26.22</v>
      </c>
      <c r="BP3114">
        <v>0.75</v>
      </c>
      <c r="BQ3114">
        <v>58.38</v>
      </c>
      <c r="BR3114">
        <v>45.49</v>
      </c>
      <c r="BS3114">
        <v>8.83</v>
      </c>
      <c r="BT3114">
        <v>0.83</v>
      </c>
      <c r="BU3114">
        <v>35.08</v>
      </c>
      <c r="BV3114">
        <v>13.06</v>
      </c>
      <c r="BW3114">
        <v>21.73</v>
      </c>
      <c r="BX3114">
        <v>9.69</v>
      </c>
      <c r="BY3114">
        <v>25.19</v>
      </c>
      <c r="BZ3114">
        <v>20.48</v>
      </c>
      <c r="CA3114">
        <v>1.35</v>
      </c>
      <c r="CB3114">
        <v>0.26</v>
      </c>
      <c r="CC3114">
        <v>1.39</v>
      </c>
      <c r="CD3114">
        <v>0.97</v>
      </c>
      <c r="CE3114">
        <v>0.86</v>
      </c>
      <c r="CF3114">
        <v>0.68</v>
      </c>
      <c r="CG3114">
        <v>6.88</v>
      </c>
      <c r="CH3114">
        <v>4.8</v>
      </c>
      <c r="CI3114">
        <v>-0.21</v>
      </c>
      <c r="CJ3114">
        <v>34574</v>
      </c>
      <c r="CK3114">
        <v>17350</v>
      </c>
      <c r="CL3114" t="s">
        <v>2690</v>
      </c>
      <c r="CM3114">
        <v>32.659999999999997</v>
      </c>
      <c r="CN3114">
        <v>-18.14</v>
      </c>
      <c r="CO3114">
        <v>1.1299999999999999</v>
      </c>
      <c r="CP3114">
        <v>6.17</v>
      </c>
      <c r="CQ3114">
        <v>1.18</v>
      </c>
      <c r="CR3114">
        <v>0.66</v>
      </c>
      <c r="CS3114" t="s">
        <v>2025</v>
      </c>
      <c r="CT3114">
        <v>2.94</v>
      </c>
      <c r="CU3114">
        <v>0</v>
      </c>
      <c r="CV3114">
        <v>1.0900000000000001</v>
      </c>
      <c r="CW3114">
        <v>0.77</v>
      </c>
      <c r="CX3114">
        <v>0.54</v>
      </c>
      <c r="CY3114">
        <v>40.47</v>
      </c>
      <c r="CZ3114" t="s">
        <v>8325</v>
      </c>
      <c r="DA3114">
        <v>18.72</v>
      </c>
      <c r="DB3114">
        <v>5.36</v>
      </c>
      <c r="DC3114">
        <v>3.41</v>
      </c>
      <c r="DD3114">
        <v>0.15</v>
      </c>
      <c r="DE3114">
        <v>4335</v>
      </c>
      <c r="DF3114">
        <v>601599</v>
      </c>
      <c r="DG3114" t="s">
        <v>116</v>
      </c>
      <c r="DH3114" t="s">
        <v>116</v>
      </c>
      <c r="DI3114" t="s">
        <v>116</v>
      </c>
    </row>
    <row r="3115" spans="1:113" x14ac:dyDescent="0.4">
      <c r="A3115" t="str">
        <f>"601600"</f>
        <v>601600</v>
      </c>
      <c r="B3115" t="s">
        <v>13555</v>
      </c>
      <c r="C3115">
        <v>3.55</v>
      </c>
      <c r="D3115">
        <v>3.5</v>
      </c>
      <c r="E3115">
        <v>0.12</v>
      </c>
      <c r="F3115">
        <v>3.49</v>
      </c>
      <c r="G3115">
        <v>3.5</v>
      </c>
      <c r="H3115">
        <v>1772683</v>
      </c>
      <c r="I3115">
        <v>10684</v>
      </c>
      <c r="J3115">
        <v>0.28999999999999998</v>
      </c>
      <c r="K3115">
        <v>1.62</v>
      </c>
      <c r="L3115">
        <v>3.39</v>
      </c>
      <c r="M3115">
        <v>3.58</v>
      </c>
      <c r="N3115">
        <v>3.38</v>
      </c>
      <c r="O3115">
        <v>3.38</v>
      </c>
      <c r="P3115">
        <v>55.28</v>
      </c>
      <c r="Q3115">
        <v>618116608</v>
      </c>
      <c r="R3115">
        <v>3.05</v>
      </c>
      <c r="S3115" t="s">
        <v>1428</v>
      </c>
      <c r="T3115" t="s">
        <v>165</v>
      </c>
      <c r="U3115">
        <v>5.92</v>
      </c>
      <c r="V3115">
        <v>3.49</v>
      </c>
      <c r="W3115">
        <v>669627</v>
      </c>
      <c r="X3115">
        <v>1103056</v>
      </c>
      <c r="Y3115">
        <v>0.61</v>
      </c>
      <c r="Z3115">
        <v>4478</v>
      </c>
      <c r="AA3115">
        <v>30803</v>
      </c>
      <c r="AB3115" t="s">
        <v>116</v>
      </c>
      <c r="AC3115">
        <v>981700</v>
      </c>
      <c r="AD3115">
        <v>0.01</v>
      </c>
      <c r="AE3115" t="s">
        <v>116</v>
      </c>
      <c r="AF3115" t="s">
        <v>116</v>
      </c>
      <c r="AG3115">
        <v>109.6</v>
      </c>
      <c r="AH3115" t="s">
        <v>13556</v>
      </c>
      <c r="AI3115" t="s">
        <v>13557</v>
      </c>
      <c r="AJ3115">
        <v>3.63</v>
      </c>
      <c r="AK3115">
        <v>4304</v>
      </c>
      <c r="AL3115">
        <v>412</v>
      </c>
      <c r="AM3115">
        <v>4.0000000000000002E-4</v>
      </c>
      <c r="AN3115">
        <v>2</v>
      </c>
      <c r="AO3115">
        <v>2.64</v>
      </c>
      <c r="AP3115">
        <v>6.71</v>
      </c>
      <c r="AQ3115">
        <v>-1.1299999999999999</v>
      </c>
      <c r="AR3115">
        <v>-1.41</v>
      </c>
      <c r="AS3115">
        <v>3.13</v>
      </c>
      <c r="AT3115" t="s">
        <v>13558</v>
      </c>
      <c r="AU3115">
        <v>273.36</v>
      </c>
      <c r="AV3115">
        <v>68.459999999999994</v>
      </c>
      <c r="AW3115">
        <v>1.25</v>
      </c>
      <c r="BA3115">
        <v>0.3</v>
      </c>
      <c r="BB3115">
        <v>5.92</v>
      </c>
      <c r="BC3115">
        <v>0</v>
      </c>
      <c r="BD3115">
        <v>3.16</v>
      </c>
      <c r="BE3115">
        <v>3.24</v>
      </c>
      <c r="BF3115">
        <v>-2.23</v>
      </c>
      <c r="BG3115">
        <v>3.55</v>
      </c>
      <c r="BH3115">
        <v>0.39</v>
      </c>
      <c r="BI3115">
        <v>20191030</v>
      </c>
      <c r="BJ3115">
        <v>20070430</v>
      </c>
      <c r="BK3115">
        <v>170.23</v>
      </c>
      <c r="BL3115" t="s">
        <v>116</v>
      </c>
      <c r="BM3115">
        <v>39.44</v>
      </c>
      <c r="BN3115">
        <v>2070.96</v>
      </c>
      <c r="BO3115">
        <v>531.35</v>
      </c>
      <c r="BP3115">
        <v>165.71</v>
      </c>
      <c r="BQ3115">
        <v>66.34</v>
      </c>
      <c r="BR3115">
        <v>567.91999999999996</v>
      </c>
      <c r="BS3115">
        <v>882.6</v>
      </c>
      <c r="BT3115">
        <v>144.75</v>
      </c>
      <c r="BU3115">
        <v>732.55</v>
      </c>
      <c r="BV3115">
        <v>211.88</v>
      </c>
      <c r="BW3115">
        <v>65.19</v>
      </c>
      <c r="BX3115">
        <v>279.91000000000003</v>
      </c>
      <c r="BY3115">
        <v>1457.09</v>
      </c>
      <c r="BZ3115">
        <v>1350.21</v>
      </c>
      <c r="CA3115">
        <v>21.91</v>
      </c>
      <c r="CB3115">
        <v>6.73</v>
      </c>
      <c r="CC3115">
        <v>20.51</v>
      </c>
      <c r="CD3115">
        <v>14.6</v>
      </c>
      <c r="CE3115">
        <v>8.08</v>
      </c>
      <c r="CF3115">
        <v>0.93</v>
      </c>
      <c r="CG3115">
        <v>-19.55</v>
      </c>
      <c r="CH3115">
        <v>81.05</v>
      </c>
      <c r="CI3115">
        <v>-95.75</v>
      </c>
      <c r="CJ3115">
        <v>457986</v>
      </c>
      <c r="CK3115">
        <v>12383</v>
      </c>
      <c r="CL3115" t="s">
        <v>5695</v>
      </c>
      <c r="CM3115">
        <v>-44.66</v>
      </c>
      <c r="CN3115">
        <v>15.91</v>
      </c>
      <c r="CO3115">
        <v>1.21</v>
      </c>
      <c r="CP3115">
        <v>7.35</v>
      </c>
      <c r="CQ3115">
        <v>0.41</v>
      </c>
      <c r="CR3115">
        <v>0</v>
      </c>
      <c r="CS3115" t="s">
        <v>778</v>
      </c>
      <c r="CT3115">
        <v>2.89</v>
      </c>
      <c r="CU3115">
        <v>2.89</v>
      </c>
      <c r="CV3115">
        <v>1.64</v>
      </c>
      <c r="CW3115">
        <v>-0.11</v>
      </c>
      <c r="CX3115">
        <v>0.48</v>
      </c>
      <c r="CY3115">
        <v>25.66</v>
      </c>
      <c r="CZ3115" t="s">
        <v>1382</v>
      </c>
      <c r="DA3115">
        <v>7.33</v>
      </c>
      <c r="DB3115">
        <v>1.5</v>
      </c>
      <c r="DC3115">
        <v>0.55000000000000004</v>
      </c>
      <c r="DD3115">
        <v>4.26</v>
      </c>
      <c r="DE3115">
        <v>65211</v>
      </c>
      <c r="DF3115">
        <v>601600</v>
      </c>
      <c r="DG3115" t="s">
        <v>116</v>
      </c>
      <c r="DH3115" t="s">
        <v>116</v>
      </c>
      <c r="DI3115" t="s">
        <v>116</v>
      </c>
    </row>
    <row r="3116" spans="1:113" x14ac:dyDescent="0.4">
      <c r="A3116" t="str">
        <f>"601601"</f>
        <v>601601</v>
      </c>
      <c r="B3116" t="s">
        <v>13559</v>
      </c>
      <c r="C3116">
        <v>-0.73</v>
      </c>
      <c r="D3116">
        <v>36.78</v>
      </c>
      <c r="E3116">
        <v>-0.27</v>
      </c>
      <c r="F3116">
        <v>36.78</v>
      </c>
      <c r="G3116">
        <v>36.79</v>
      </c>
      <c r="H3116">
        <v>195839</v>
      </c>
      <c r="I3116">
        <v>845</v>
      </c>
      <c r="J3116">
        <v>-0.04</v>
      </c>
      <c r="K3116">
        <v>0.31</v>
      </c>
      <c r="L3116">
        <v>36.909999999999997</v>
      </c>
      <c r="M3116">
        <v>37.57</v>
      </c>
      <c r="N3116">
        <v>36.69</v>
      </c>
      <c r="O3116">
        <v>37.049999999999997</v>
      </c>
      <c r="P3116">
        <v>10.91</v>
      </c>
      <c r="Q3116">
        <v>726364352</v>
      </c>
      <c r="R3116">
        <v>1.46</v>
      </c>
      <c r="S3116" t="s">
        <v>1496</v>
      </c>
      <c r="T3116" t="s">
        <v>1653</v>
      </c>
      <c r="U3116">
        <v>2.38</v>
      </c>
      <c r="V3116">
        <v>37.090000000000003</v>
      </c>
      <c r="W3116">
        <v>90667</v>
      </c>
      <c r="X3116">
        <v>105172</v>
      </c>
      <c r="Y3116">
        <v>0.86</v>
      </c>
      <c r="Z3116">
        <v>489</v>
      </c>
      <c r="AA3116">
        <v>6</v>
      </c>
      <c r="AB3116" t="s">
        <v>116</v>
      </c>
      <c r="AC3116">
        <v>2758600</v>
      </c>
      <c r="AD3116">
        <v>0</v>
      </c>
      <c r="AE3116" t="s">
        <v>116</v>
      </c>
      <c r="AF3116" t="s">
        <v>116</v>
      </c>
      <c r="AG3116">
        <v>62.87</v>
      </c>
      <c r="AH3116" t="s">
        <v>13560</v>
      </c>
      <c r="AI3116" t="s">
        <v>13560</v>
      </c>
      <c r="AJ3116">
        <v>-0.65</v>
      </c>
      <c r="AK3116">
        <v>3922</v>
      </c>
      <c r="AL3116">
        <v>50</v>
      </c>
      <c r="AM3116">
        <v>1E-4</v>
      </c>
      <c r="AN3116">
        <v>-1</v>
      </c>
      <c r="AO3116">
        <v>-0.38</v>
      </c>
      <c r="AP3116">
        <v>7.39</v>
      </c>
      <c r="AQ3116">
        <v>3.31</v>
      </c>
      <c r="AR3116">
        <v>34.090000000000003</v>
      </c>
      <c r="AS3116">
        <v>0.73</v>
      </c>
      <c r="AT3116" t="s">
        <v>13561</v>
      </c>
      <c r="AU3116">
        <v>11.81</v>
      </c>
      <c r="AV3116">
        <v>18.5</v>
      </c>
      <c r="AW3116">
        <v>1.32</v>
      </c>
      <c r="BA3116">
        <v>-0.38</v>
      </c>
      <c r="BB3116">
        <v>1.4</v>
      </c>
      <c r="BC3116">
        <v>-0.97</v>
      </c>
      <c r="BD3116">
        <v>0.11</v>
      </c>
      <c r="BE3116">
        <v>-0.35</v>
      </c>
      <c r="BF3116">
        <v>-2.1</v>
      </c>
      <c r="BG3116">
        <v>0.25</v>
      </c>
      <c r="BH3116">
        <v>-0.84</v>
      </c>
      <c r="BI3116">
        <v>20191031</v>
      </c>
      <c r="BJ3116">
        <v>20071225</v>
      </c>
      <c r="BK3116">
        <v>90.62</v>
      </c>
      <c r="BL3116" t="s">
        <v>116</v>
      </c>
      <c r="BM3116">
        <v>27.75</v>
      </c>
      <c r="BN3116">
        <v>14933.71</v>
      </c>
      <c r="BO3116">
        <v>1702.33</v>
      </c>
      <c r="BP3116">
        <v>47</v>
      </c>
      <c r="BQ3116">
        <v>88.29</v>
      </c>
      <c r="BR3116">
        <v>0</v>
      </c>
      <c r="BS3116">
        <v>152.68</v>
      </c>
      <c r="BT3116">
        <v>31.44</v>
      </c>
      <c r="BU3116">
        <v>0</v>
      </c>
      <c r="BV3116">
        <v>0</v>
      </c>
      <c r="BW3116">
        <v>0</v>
      </c>
      <c r="BX3116">
        <v>666.44</v>
      </c>
      <c r="BY3116">
        <v>3112.26</v>
      </c>
      <c r="BZ3116">
        <v>0</v>
      </c>
      <c r="CA3116">
        <v>229.93</v>
      </c>
      <c r="CB3116">
        <v>495.15</v>
      </c>
      <c r="CC3116">
        <v>229.45</v>
      </c>
      <c r="CD3116">
        <v>233.92</v>
      </c>
      <c r="CE3116">
        <v>229.14</v>
      </c>
      <c r="CF3116">
        <v>180.78</v>
      </c>
      <c r="CG3116">
        <v>684.2</v>
      </c>
      <c r="CH3116">
        <v>892.97</v>
      </c>
      <c r="CI3116">
        <v>-37.44</v>
      </c>
      <c r="CJ3116">
        <v>109647</v>
      </c>
      <c r="CK3116">
        <v>24635</v>
      </c>
      <c r="CL3116" t="s">
        <v>13562</v>
      </c>
      <c r="CM3116">
        <v>80.209999999999994</v>
      </c>
      <c r="CN3116">
        <v>7.39</v>
      </c>
      <c r="CO3116">
        <v>1.96</v>
      </c>
      <c r="CP3116">
        <v>3.73</v>
      </c>
      <c r="CQ3116">
        <v>1.07</v>
      </c>
      <c r="CR3116">
        <v>2.72</v>
      </c>
      <c r="CS3116" t="s">
        <v>13563</v>
      </c>
      <c r="CT3116">
        <v>18.79</v>
      </c>
      <c r="CU3116">
        <v>18.79</v>
      </c>
      <c r="CV3116">
        <v>7.35</v>
      </c>
      <c r="CW3116">
        <v>7.55</v>
      </c>
      <c r="CX3116">
        <v>9.85</v>
      </c>
      <c r="CY3116">
        <v>11.4</v>
      </c>
      <c r="CZ3116" t="s">
        <v>13564</v>
      </c>
      <c r="DA3116" t="s">
        <v>116</v>
      </c>
      <c r="DB3116">
        <v>7.39</v>
      </c>
      <c r="DC3116">
        <v>7.36</v>
      </c>
      <c r="DD3116">
        <v>0</v>
      </c>
      <c r="DE3116">
        <v>107741</v>
      </c>
      <c r="DF3116">
        <v>601601</v>
      </c>
      <c r="DG3116" t="s">
        <v>116</v>
      </c>
      <c r="DH3116" t="s">
        <v>116</v>
      </c>
      <c r="DI3116" t="s">
        <v>116</v>
      </c>
    </row>
    <row r="3117" spans="1:113" x14ac:dyDescent="0.4">
      <c r="A3117" t="str">
        <f>"601606"</f>
        <v>601606</v>
      </c>
      <c r="B3117" t="s">
        <v>13565</v>
      </c>
      <c r="C3117">
        <v>-0.37</v>
      </c>
      <c r="D3117">
        <v>10.74</v>
      </c>
      <c r="E3117">
        <v>-0.04</v>
      </c>
      <c r="F3117">
        <v>10.74</v>
      </c>
      <c r="G3117">
        <v>10.75</v>
      </c>
      <c r="H3117">
        <v>94868</v>
      </c>
      <c r="I3117">
        <v>1072</v>
      </c>
      <c r="J3117">
        <v>0.09</v>
      </c>
      <c r="K3117">
        <v>3.19</v>
      </c>
      <c r="L3117">
        <v>10.79</v>
      </c>
      <c r="M3117">
        <v>10.88</v>
      </c>
      <c r="N3117">
        <v>10.69</v>
      </c>
      <c r="O3117">
        <v>10.78</v>
      </c>
      <c r="P3117">
        <v>1511.08</v>
      </c>
      <c r="Q3117">
        <v>102553104</v>
      </c>
      <c r="R3117">
        <v>1.1499999999999999</v>
      </c>
      <c r="S3117" t="s">
        <v>682</v>
      </c>
      <c r="T3117" t="s">
        <v>575</v>
      </c>
      <c r="U3117">
        <v>1.76</v>
      </c>
      <c r="V3117">
        <v>10.81</v>
      </c>
      <c r="W3117">
        <v>43700</v>
      </c>
      <c r="X3117">
        <v>51168</v>
      </c>
      <c r="Y3117">
        <v>0.85</v>
      </c>
      <c r="Z3117">
        <v>136</v>
      </c>
      <c r="AA3117">
        <v>235</v>
      </c>
      <c r="AB3117" t="s">
        <v>116</v>
      </c>
      <c r="AC3117">
        <v>917200</v>
      </c>
      <c r="AD3117">
        <v>0.04</v>
      </c>
      <c r="AE3117" t="s">
        <v>116</v>
      </c>
      <c r="AF3117" t="s">
        <v>116</v>
      </c>
      <c r="AG3117">
        <v>2.98</v>
      </c>
      <c r="AH3117" t="s">
        <v>6705</v>
      </c>
      <c r="AI3117" t="s">
        <v>13566</v>
      </c>
      <c r="AJ3117">
        <v>-0.28999999999999998</v>
      </c>
      <c r="AK3117">
        <v>2387</v>
      </c>
      <c r="AL3117">
        <v>40</v>
      </c>
      <c r="AM3117">
        <v>1.2999999999999999E-3</v>
      </c>
      <c r="AN3117">
        <v>-6</v>
      </c>
      <c r="AO3117">
        <v>-4.1900000000000004</v>
      </c>
      <c r="AP3117">
        <v>-2.0099999999999998</v>
      </c>
      <c r="AQ3117">
        <v>-20.97</v>
      </c>
      <c r="AR3117">
        <v>-10.63</v>
      </c>
      <c r="AS3117">
        <v>4.8</v>
      </c>
      <c r="AT3117" t="s">
        <v>1874</v>
      </c>
      <c r="AU3117">
        <v>125.68</v>
      </c>
      <c r="AV3117">
        <v>79.37</v>
      </c>
      <c r="AW3117">
        <v>0.99</v>
      </c>
      <c r="BA3117">
        <v>0.09</v>
      </c>
      <c r="BB3117">
        <v>0.93</v>
      </c>
      <c r="BC3117">
        <v>-0.83</v>
      </c>
      <c r="BD3117">
        <v>0.28000000000000003</v>
      </c>
      <c r="BE3117">
        <v>-0.46</v>
      </c>
      <c r="BF3117">
        <v>-1.29</v>
      </c>
      <c r="BG3117">
        <v>0.47</v>
      </c>
      <c r="BH3117">
        <v>-0.65</v>
      </c>
      <c r="BI3117">
        <v>20191029</v>
      </c>
      <c r="BJ3117">
        <v>20180806</v>
      </c>
      <c r="BK3117">
        <v>7.24</v>
      </c>
      <c r="BL3117" t="s">
        <v>116</v>
      </c>
      <c r="BM3117" t="s">
        <v>116</v>
      </c>
      <c r="BN3117">
        <v>35.15</v>
      </c>
      <c r="BO3117">
        <v>21.88</v>
      </c>
      <c r="BP3117">
        <v>0.12</v>
      </c>
      <c r="BQ3117">
        <v>37.39</v>
      </c>
      <c r="BR3117">
        <v>20.56</v>
      </c>
      <c r="BS3117">
        <v>9.43</v>
      </c>
      <c r="BT3117">
        <v>2.33</v>
      </c>
      <c r="BU3117">
        <v>8.8800000000000008</v>
      </c>
      <c r="BV3117">
        <v>6.94</v>
      </c>
      <c r="BW3117">
        <v>6.39</v>
      </c>
      <c r="BX3117">
        <v>6.4</v>
      </c>
      <c r="BY3117">
        <v>7.71</v>
      </c>
      <c r="BZ3117">
        <v>5.4</v>
      </c>
      <c r="CA3117">
        <v>0.06</v>
      </c>
      <c r="CB3117">
        <v>0.04</v>
      </c>
      <c r="CC3117">
        <v>0.08</v>
      </c>
      <c r="CD3117">
        <v>0.04</v>
      </c>
      <c r="CE3117">
        <v>0.04</v>
      </c>
      <c r="CF3117">
        <v>-0.03</v>
      </c>
      <c r="CG3117">
        <v>7.32</v>
      </c>
      <c r="CH3117">
        <v>1.19</v>
      </c>
      <c r="CI3117">
        <v>-4.63</v>
      </c>
      <c r="CJ3117">
        <v>55837</v>
      </c>
      <c r="CK3117">
        <v>3542</v>
      </c>
      <c r="CL3117" t="s">
        <v>1800</v>
      </c>
      <c r="CM3117">
        <v>-90.34</v>
      </c>
      <c r="CN3117">
        <v>-16.329999999999998</v>
      </c>
      <c r="CO3117">
        <v>3.55</v>
      </c>
      <c r="CP3117">
        <v>65.56</v>
      </c>
      <c r="CQ3117">
        <v>10.09</v>
      </c>
      <c r="CR3117">
        <v>0.39</v>
      </c>
      <c r="CS3117" t="s">
        <v>1701</v>
      </c>
      <c r="CT3117">
        <v>3.02</v>
      </c>
      <c r="CU3117">
        <v>0</v>
      </c>
      <c r="CV3117">
        <v>0.88</v>
      </c>
      <c r="CW3117">
        <v>1.01</v>
      </c>
      <c r="CX3117">
        <v>0.16</v>
      </c>
      <c r="CY3117">
        <v>62.25</v>
      </c>
      <c r="CZ3117" t="s">
        <v>1138</v>
      </c>
      <c r="DA3117">
        <v>30.04</v>
      </c>
      <c r="DB3117">
        <v>0.82</v>
      </c>
      <c r="DC3117">
        <v>0.5</v>
      </c>
      <c r="DD3117">
        <v>0.73</v>
      </c>
      <c r="DE3117">
        <v>4026</v>
      </c>
      <c r="DF3117">
        <v>601606</v>
      </c>
      <c r="DG3117" t="s">
        <v>116</v>
      </c>
      <c r="DH3117" t="s">
        <v>116</v>
      </c>
      <c r="DI3117" t="s">
        <v>116</v>
      </c>
    </row>
    <row r="3118" spans="1:113" x14ac:dyDescent="0.4">
      <c r="A3118" t="str">
        <f>"601607"</f>
        <v>601607</v>
      </c>
      <c r="B3118" t="s">
        <v>13567</v>
      </c>
      <c r="C3118">
        <v>-0.11</v>
      </c>
      <c r="D3118">
        <v>17.89</v>
      </c>
      <c r="E3118">
        <v>-0.02</v>
      </c>
      <c r="F3118">
        <v>17.89</v>
      </c>
      <c r="G3118">
        <v>17.899999999999999</v>
      </c>
      <c r="H3118">
        <v>70260</v>
      </c>
      <c r="I3118">
        <v>543</v>
      </c>
      <c r="J3118">
        <v>0</v>
      </c>
      <c r="K3118">
        <v>0.37</v>
      </c>
      <c r="L3118">
        <v>17.91</v>
      </c>
      <c r="M3118">
        <v>18.059999999999999</v>
      </c>
      <c r="N3118">
        <v>17.86</v>
      </c>
      <c r="O3118">
        <v>17.91</v>
      </c>
      <c r="P3118">
        <v>11.22</v>
      </c>
      <c r="Q3118">
        <v>126194376</v>
      </c>
      <c r="R3118">
        <v>1.07</v>
      </c>
      <c r="S3118" t="s">
        <v>278</v>
      </c>
      <c r="T3118" t="s">
        <v>1653</v>
      </c>
      <c r="U3118">
        <v>1.1200000000000001</v>
      </c>
      <c r="V3118">
        <v>17.96</v>
      </c>
      <c r="W3118">
        <v>26636</v>
      </c>
      <c r="X3118">
        <v>43624</v>
      </c>
      <c r="Y3118">
        <v>0.61</v>
      </c>
      <c r="Z3118">
        <v>308</v>
      </c>
      <c r="AA3118">
        <v>408</v>
      </c>
      <c r="AB3118" t="s">
        <v>116</v>
      </c>
      <c r="AC3118">
        <v>517600</v>
      </c>
      <c r="AD3118">
        <v>0</v>
      </c>
      <c r="AE3118" t="s">
        <v>116</v>
      </c>
      <c r="AF3118" t="s">
        <v>116</v>
      </c>
      <c r="AG3118">
        <v>19.23</v>
      </c>
      <c r="AH3118" t="s">
        <v>13568</v>
      </c>
      <c r="AI3118" t="s">
        <v>13569</v>
      </c>
      <c r="AJ3118">
        <v>-0.03</v>
      </c>
      <c r="AK3118">
        <v>3746</v>
      </c>
      <c r="AL3118">
        <v>19</v>
      </c>
      <c r="AM3118">
        <v>1E-4</v>
      </c>
      <c r="AN3118">
        <v>-1</v>
      </c>
      <c r="AO3118">
        <v>0</v>
      </c>
      <c r="AP3118">
        <v>0.56000000000000005</v>
      </c>
      <c r="AQ3118">
        <v>-1.97</v>
      </c>
      <c r="AR3118">
        <v>7.84</v>
      </c>
      <c r="AS3118">
        <v>0.71</v>
      </c>
      <c r="AT3118" t="s">
        <v>13570</v>
      </c>
      <c r="AU3118">
        <v>13.01</v>
      </c>
      <c r="AV3118">
        <v>13.1</v>
      </c>
      <c r="AW3118">
        <v>0.93</v>
      </c>
      <c r="BA3118">
        <v>0</v>
      </c>
      <c r="BB3118">
        <v>0.84</v>
      </c>
      <c r="BC3118">
        <v>-0.28000000000000003</v>
      </c>
      <c r="BD3118">
        <v>0.28999999999999998</v>
      </c>
      <c r="BE3118">
        <v>-0.11</v>
      </c>
      <c r="BF3118">
        <v>-0.94</v>
      </c>
      <c r="BG3118">
        <v>0.17</v>
      </c>
      <c r="BH3118">
        <v>-0.4</v>
      </c>
      <c r="BI3118">
        <v>20191031</v>
      </c>
      <c r="BJ3118">
        <v>19940324</v>
      </c>
      <c r="BK3118">
        <v>28.42</v>
      </c>
      <c r="BL3118" t="s">
        <v>116</v>
      </c>
      <c r="BM3118">
        <v>9.19</v>
      </c>
      <c r="BN3118">
        <v>1356.49</v>
      </c>
      <c r="BO3118">
        <v>409.28</v>
      </c>
      <c r="BP3118">
        <v>78.45</v>
      </c>
      <c r="BQ3118">
        <v>64.040000000000006</v>
      </c>
      <c r="BR3118">
        <v>990.93</v>
      </c>
      <c r="BS3118">
        <v>89.8</v>
      </c>
      <c r="BT3118">
        <v>39.04</v>
      </c>
      <c r="BU3118">
        <v>745.94</v>
      </c>
      <c r="BV3118">
        <v>242.33</v>
      </c>
      <c r="BW3118">
        <v>503.35</v>
      </c>
      <c r="BX3118">
        <v>158.44</v>
      </c>
      <c r="BY3118">
        <v>1406.17</v>
      </c>
      <c r="BZ3118">
        <v>1209.4100000000001</v>
      </c>
      <c r="CA3118">
        <v>49.35</v>
      </c>
      <c r="CB3118">
        <v>8.01</v>
      </c>
      <c r="CC3118">
        <v>50.05</v>
      </c>
      <c r="CD3118">
        <v>40.44</v>
      </c>
      <c r="CE3118">
        <v>33.99</v>
      </c>
      <c r="CF3118">
        <v>30.7</v>
      </c>
      <c r="CG3118">
        <v>215.03</v>
      </c>
      <c r="CH3118">
        <v>29.32</v>
      </c>
      <c r="CI3118">
        <v>-22.65</v>
      </c>
      <c r="CJ3118">
        <v>83573</v>
      </c>
      <c r="CK3118">
        <v>11776</v>
      </c>
      <c r="CL3118" t="s">
        <v>13571</v>
      </c>
      <c r="CM3118">
        <v>0.8</v>
      </c>
      <c r="CN3118">
        <v>19.57</v>
      </c>
      <c r="CO3118">
        <v>1.24</v>
      </c>
      <c r="CP3118">
        <v>17.34</v>
      </c>
      <c r="CQ3118">
        <v>0.36</v>
      </c>
      <c r="CR3118">
        <v>2.29</v>
      </c>
      <c r="CS3118" t="s">
        <v>13572</v>
      </c>
      <c r="CT3118">
        <v>14.4</v>
      </c>
      <c r="CU3118">
        <v>0</v>
      </c>
      <c r="CV3118">
        <v>5.57</v>
      </c>
      <c r="CW3118">
        <v>7.57</v>
      </c>
      <c r="CX3118">
        <v>1.03</v>
      </c>
      <c r="CY3118">
        <v>30.17</v>
      </c>
      <c r="CZ3118" t="s">
        <v>1062</v>
      </c>
      <c r="DA3118">
        <v>13.99</v>
      </c>
      <c r="DB3118">
        <v>3.51</v>
      </c>
      <c r="DC3118">
        <v>2.42</v>
      </c>
      <c r="DD3118">
        <v>8.6</v>
      </c>
      <c r="DE3118">
        <v>47590</v>
      </c>
      <c r="DF3118">
        <v>601607</v>
      </c>
      <c r="DG3118" t="s">
        <v>116</v>
      </c>
      <c r="DH3118" t="s">
        <v>116</v>
      </c>
      <c r="DI3118" t="s">
        <v>116</v>
      </c>
    </row>
    <row r="3119" spans="1:113" x14ac:dyDescent="0.4">
      <c r="A3119" t="str">
        <f>"601608"</f>
        <v>601608</v>
      </c>
      <c r="B3119" t="s">
        <v>13573</v>
      </c>
      <c r="C3119">
        <v>0.82</v>
      </c>
      <c r="D3119">
        <v>3.68</v>
      </c>
      <c r="E3119">
        <v>0.03</v>
      </c>
      <c r="F3119">
        <v>3.67</v>
      </c>
      <c r="G3119">
        <v>3.68</v>
      </c>
      <c r="H3119">
        <v>181384</v>
      </c>
      <c r="I3119">
        <v>1708</v>
      </c>
      <c r="J3119">
        <v>-0.26</v>
      </c>
      <c r="K3119">
        <v>0.42</v>
      </c>
      <c r="L3119">
        <v>3.64</v>
      </c>
      <c r="M3119">
        <v>3.75</v>
      </c>
      <c r="N3119">
        <v>3.64</v>
      </c>
      <c r="O3119">
        <v>3.65</v>
      </c>
      <c r="P3119">
        <v>121.85</v>
      </c>
      <c r="Q3119">
        <v>67248064</v>
      </c>
      <c r="R3119">
        <v>1.31</v>
      </c>
      <c r="S3119" t="s">
        <v>682</v>
      </c>
      <c r="T3119" t="s">
        <v>652</v>
      </c>
      <c r="U3119">
        <v>3.01</v>
      </c>
      <c r="V3119">
        <v>3.71</v>
      </c>
      <c r="W3119">
        <v>80161</v>
      </c>
      <c r="X3119">
        <v>101223</v>
      </c>
      <c r="Y3119">
        <v>0.79</v>
      </c>
      <c r="Z3119">
        <v>1851</v>
      </c>
      <c r="AA3119">
        <v>300</v>
      </c>
      <c r="AB3119" t="s">
        <v>116</v>
      </c>
      <c r="AC3119">
        <v>160900</v>
      </c>
      <c r="AD3119">
        <v>0</v>
      </c>
      <c r="AE3119" t="s">
        <v>116</v>
      </c>
      <c r="AF3119" t="s">
        <v>116</v>
      </c>
      <c r="AG3119">
        <v>43.39</v>
      </c>
      <c r="AH3119" t="s">
        <v>13574</v>
      </c>
      <c r="AI3119" t="s">
        <v>13574</v>
      </c>
      <c r="AJ3119">
        <v>0.9</v>
      </c>
      <c r="AK3119">
        <v>1788</v>
      </c>
      <c r="AL3119">
        <v>101</v>
      </c>
      <c r="AM3119">
        <v>2.0000000000000001E-4</v>
      </c>
      <c r="AN3119">
        <v>2</v>
      </c>
      <c r="AO3119">
        <v>-0.28000000000000003</v>
      </c>
      <c r="AP3119">
        <v>3.37</v>
      </c>
      <c r="AQ3119">
        <v>-4.91</v>
      </c>
      <c r="AR3119">
        <v>41.71</v>
      </c>
      <c r="AS3119">
        <v>1.28</v>
      </c>
      <c r="AT3119" t="s">
        <v>13575</v>
      </c>
      <c r="AU3119">
        <v>119.45</v>
      </c>
      <c r="AV3119">
        <v>150.41999999999999</v>
      </c>
      <c r="AW3119">
        <v>1.41</v>
      </c>
      <c r="BA3119">
        <v>-0.27</v>
      </c>
      <c r="BB3119">
        <v>2.74</v>
      </c>
      <c r="BC3119">
        <v>-0.27</v>
      </c>
      <c r="BD3119">
        <v>1.58</v>
      </c>
      <c r="BE3119">
        <v>1.1000000000000001</v>
      </c>
      <c r="BF3119">
        <v>-1.87</v>
      </c>
      <c r="BG3119">
        <v>1.1000000000000001</v>
      </c>
      <c r="BH3119">
        <v>-0.75</v>
      </c>
      <c r="BI3119">
        <v>20191025</v>
      </c>
      <c r="BJ3119">
        <v>20120706</v>
      </c>
      <c r="BK3119">
        <v>43.39</v>
      </c>
      <c r="BL3119" t="s">
        <v>116</v>
      </c>
      <c r="BM3119" t="s">
        <v>116</v>
      </c>
      <c r="BN3119">
        <v>202.14</v>
      </c>
      <c r="BO3119">
        <v>72.42</v>
      </c>
      <c r="BP3119">
        <v>2.13</v>
      </c>
      <c r="BQ3119">
        <v>63.12</v>
      </c>
      <c r="BR3119">
        <v>117.26</v>
      </c>
      <c r="BS3119">
        <v>34.83</v>
      </c>
      <c r="BT3119">
        <v>10.56</v>
      </c>
      <c r="BU3119">
        <v>110.6</v>
      </c>
      <c r="BV3119">
        <v>41.6</v>
      </c>
      <c r="BW3119">
        <v>24.49</v>
      </c>
      <c r="BX3119">
        <v>21.01</v>
      </c>
      <c r="BY3119">
        <v>36.590000000000003</v>
      </c>
      <c r="BZ3119">
        <v>27.03</v>
      </c>
      <c r="CA3119">
        <v>1.42</v>
      </c>
      <c r="CB3119">
        <v>0.56999999999999995</v>
      </c>
      <c r="CC3119">
        <v>1.56</v>
      </c>
      <c r="CD3119">
        <v>1.1100000000000001</v>
      </c>
      <c r="CE3119">
        <v>0.98</v>
      </c>
      <c r="CF3119">
        <v>0.02</v>
      </c>
      <c r="CG3119">
        <v>0.89</v>
      </c>
      <c r="CH3119">
        <v>1.69</v>
      </c>
      <c r="CI3119">
        <v>-4.71</v>
      </c>
      <c r="CJ3119">
        <v>127479</v>
      </c>
      <c r="CK3119">
        <v>11140</v>
      </c>
      <c r="CL3119" t="s">
        <v>950</v>
      </c>
      <c r="CM3119">
        <v>38.909999999999997</v>
      </c>
      <c r="CN3119">
        <v>2.39</v>
      </c>
      <c r="CO3119">
        <v>2.2000000000000002</v>
      </c>
      <c r="CP3119">
        <v>94.56</v>
      </c>
      <c r="CQ3119">
        <v>4.3600000000000003</v>
      </c>
      <c r="CR3119">
        <v>0.08</v>
      </c>
      <c r="CS3119" t="s">
        <v>1432</v>
      </c>
      <c r="CT3119">
        <v>1.67</v>
      </c>
      <c r="CU3119">
        <v>0</v>
      </c>
      <c r="CV3119">
        <v>0.48</v>
      </c>
      <c r="CW3119">
        <v>0.02</v>
      </c>
      <c r="CX3119">
        <v>0.04</v>
      </c>
      <c r="CY3119">
        <v>35.83</v>
      </c>
      <c r="CZ3119" t="s">
        <v>8883</v>
      </c>
      <c r="DA3119">
        <v>26.12</v>
      </c>
      <c r="DB3119">
        <v>3.87</v>
      </c>
      <c r="DC3119">
        <v>2.69</v>
      </c>
      <c r="DD3119">
        <v>2.68</v>
      </c>
      <c r="DE3119">
        <v>7873</v>
      </c>
      <c r="DF3119">
        <v>601608</v>
      </c>
      <c r="DG3119" t="s">
        <v>116</v>
      </c>
      <c r="DH3119" t="s">
        <v>116</v>
      </c>
      <c r="DI3119" t="s">
        <v>116</v>
      </c>
    </row>
    <row r="3120" spans="1:113" x14ac:dyDescent="0.4">
      <c r="A3120" t="str">
        <f>"601611"</f>
        <v>601611</v>
      </c>
      <c r="B3120" t="s">
        <v>13576</v>
      </c>
      <c r="C3120">
        <v>0</v>
      </c>
      <c r="D3120">
        <v>7.03</v>
      </c>
      <c r="E3120">
        <v>0</v>
      </c>
      <c r="F3120">
        <v>7.03</v>
      </c>
      <c r="G3120">
        <v>7.04</v>
      </c>
      <c r="H3120">
        <v>57288</v>
      </c>
      <c r="I3120">
        <v>634</v>
      </c>
      <c r="J3120">
        <v>0</v>
      </c>
      <c r="K3120">
        <v>0.22</v>
      </c>
      <c r="L3120">
        <v>7.04</v>
      </c>
      <c r="M3120">
        <v>7.09</v>
      </c>
      <c r="N3120">
        <v>7.02</v>
      </c>
      <c r="O3120">
        <v>7.03</v>
      </c>
      <c r="P3120">
        <v>15.53</v>
      </c>
      <c r="Q3120">
        <v>40460316</v>
      </c>
      <c r="R3120">
        <v>1</v>
      </c>
      <c r="S3120" t="s">
        <v>181</v>
      </c>
      <c r="T3120" t="s">
        <v>1653</v>
      </c>
      <c r="U3120">
        <v>1</v>
      </c>
      <c r="V3120">
        <v>7.06</v>
      </c>
      <c r="W3120">
        <v>31162</v>
      </c>
      <c r="X3120">
        <v>26126</v>
      </c>
      <c r="Y3120">
        <v>1.19</v>
      </c>
      <c r="Z3120">
        <v>78</v>
      </c>
      <c r="AA3120">
        <v>841</v>
      </c>
      <c r="AB3120" t="s">
        <v>116</v>
      </c>
      <c r="AC3120">
        <v>139400</v>
      </c>
      <c r="AD3120">
        <v>0</v>
      </c>
      <c r="AE3120" t="s">
        <v>116</v>
      </c>
      <c r="AF3120" t="s">
        <v>116</v>
      </c>
      <c r="AG3120">
        <v>26.25</v>
      </c>
      <c r="AH3120" t="s">
        <v>13577</v>
      </c>
      <c r="AI3120" t="s">
        <v>13577</v>
      </c>
      <c r="AJ3120">
        <v>0.08</v>
      </c>
      <c r="AK3120">
        <v>1528</v>
      </c>
      <c r="AL3120">
        <v>37</v>
      </c>
      <c r="AM3120">
        <v>1E-4</v>
      </c>
      <c r="AN3120">
        <v>0</v>
      </c>
      <c r="AO3120">
        <v>-0.14000000000000001</v>
      </c>
      <c r="AP3120">
        <v>0.72</v>
      </c>
      <c r="AQ3120">
        <v>1.88</v>
      </c>
      <c r="AR3120">
        <v>8.59</v>
      </c>
      <c r="AS3120">
        <v>0.83</v>
      </c>
      <c r="AT3120" t="s">
        <v>4208</v>
      </c>
      <c r="AU3120">
        <v>14.47</v>
      </c>
      <c r="AV3120">
        <v>19.21</v>
      </c>
      <c r="AW3120">
        <v>0.86</v>
      </c>
      <c r="BA3120">
        <v>0.14000000000000001</v>
      </c>
      <c r="BB3120">
        <v>0.85</v>
      </c>
      <c r="BC3120">
        <v>-0.14000000000000001</v>
      </c>
      <c r="BD3120">
        <v>0.46</v>
      </c>
      <c r="BE3120">
        <v>-0.14000000000000001</v>
      </c>
      <c r="BF3120">
        <v>-0.85</v>
      </c>
      <c r="BG3120">
        <v>0.14000000000000001</v>
      </c>
      <c r="BH3120">
        <v>-0.46</v>
      </c>
      <c r="BI3120">
        <v>20191030</v>
      </c>
      <c r="BJ3120">
        <v>20160606</v>
      </c>
      <c r="BK3120">
        <v>26.25</v>
      </c>
      <c r="BL3120" t="s">
        <v>116</v>
      </c>
      <c r="BM3120" t="s">
        <v>116</v>
      </c>
      <c r="BN3120">
        <v>1204.3900000000001</v>
      </c>
      <c r="BO3120">
        <v>151.26</v>
      </c>
      <c r="BP3120">
        <v>29.74</v>
      </c>
      <c r="BQ3120">
        <v>84.97</v>
      </c>
      <c r="BR3120">
        <v>852.4</v>
      </c>
      <c r="BS3120">
        <v>35.54</v>
      </c>
      <c r="BT3120">
        <v>25.82</v>
      </c>
      <c r="BU3120">
        <v>815.88</v>
      </c>
      <c r="BV3120">
        <v>349.05</v>
      </c>
      <c r="BW3120">
        <v>214.44</v>
      </c>
      <c r="BX3120">
        <v>11.92</v>
      </c>
      <c r="BY3120">
        <v>447.72</v>
      </c>
      <c r="BZ3120">
        <v>407.31</v>
      </c>
      <c r="CA3120">
        <v>13.48</v>
      </c>
      <c r="CB3120">
        <v>0.67</v>
      </c>
      <c r="CC3120">
        <v>13.91</v>
      </c>
      <c r="CD3120">
        <v>10.37</v>
      </c>
      <c r="CE3120">
        <v>8.91</v>
      </c>
      <c r="CF3120">
        <v>7.34</v>
      </c>
      <c r="CG3120">
        <v>53.39</v>
      </c>
      <c r="CH3120">
        <v>-91.13</v>
      </c>
      <c r="CI3120">
        <v>31.28</v>
      </c>
      <c r="CJ3120">
        <v>112805</v>
      </c>
      <c r="CK3120">
        <v>6153</v>
      </c>
      <c r="CL3120" t="s">
        <v>5695</v>
      </c>
      <c r="CM3120">
        <v>54.4</v>
      </c>
      <c r="CN3120">
        <v>23.6</v>
      </c>
      <c r="CO3120">
        <v>1.93</v>
      </c>
      <c r="CP3120">
        <v>-2.02</v>
      </c>
      <c r="CQ3120">
        <v>0.41</v>
      </c>
      <c r="CR3120">
        <v>0.8</v>
      </c>
      <c r="CS3120" t="s">
        <v>1696</v>
      </c>
      <c r="CT3120">
        <v>3.64</v>
      </c>
      <c r="CU3120">
        <v>3.64</v>
      </c>
      <c r="CV3120">
        <v>0.45</v>
      </c>
      <c r="CW3120">
        <v>2.0299999999999998</v>
      </c>
      <c r="CX3120">
        <v>-3.47</v>
      </c>
      <c r="CY3120">
        <v>12.56</v>
      </c>
      <c r="CZ3120" t="s">
        <v>3911</v>
      </c>
      <c r="DA3120">
        <v>9.02</v>
      </c>
      <c r="DB3120">
        <v>3.01</v>
      </c>
      <c r="DC3120">
        <v>1.99</v>
      </c>
      <c r="DD3120">
        <v>5.21</v>
      </c>
      <c r="DE3120">
        <v>31066</v>
      </c>
      <c r="DF3120">
        <v>601611</v>
      </c>
      <c r="DG3120" t="s">
        <v>116</v>
      </c>
      <c r="DH3120" t="s">
        <v>116</v>
      </c>
      <c r="DI3120" t="s">
        <v>116</v>
      </c>
    </row>
    <row r="3121" spans="1:113" x14ac:dyDescent="0.4">
      <c r="A3121" t="str">
        <f>"601615"</f>
        <v>601615</v>
      </c>
      <c r="B3121" t="s">
        <v>13578</v>
      </c>
      <c r="C3121">
        <v>-2.08</v>
      </c>
      <c r="D3121">
        <v>12.24</v>
      </c>
      <c r="E3121">
        <v>-0.26</v>
      </c>
      <c r="F3121">
        <v>12.24</v>
      </c>
      <c r="G3121">
        <v>12.25</v>
      </c>
      <c r="H3121">
        <v>114476</v>
      </c>
      <c r="I3121">
        <v>1325</v>
      </c>
      <c r="J3121">
        <v>0</v>
      </c>
      <c r="K3121">
        <v>4.1500000000000004</v>
      </c>
      <c r="L3121">
        <v>12.55</v>
      </c>
      <c r="M3121">
        <v>12.63</v>
      </c>
      <c r="N3121">
        <v>12.22</v>
      </c>
      <c r="O3121">
        <v>12.5</v>
      </c>
      <c r="P3121">
        <v>24.66</v>
      </c>
      <c r="Q3121">
        <v>141857552</v>
      </c>
      <c r="R3121">
        <v>0.67</v>
      </c>
      <c r="S3121" t="s">
        <v>996</v>
      </c>
      <c r="T3121" t="s">
        <v>551</v>
      </c>
      <c r="U3121">
        <v>3.28</v>
      </c>
      <c r="V3121">
        <v>12.39</v>
      </c>
      <c r="W3121">
        <v>71542</v>
      </c>
      <c r="X3121">
        <v>42934</v>
      </c>
      <c r="Y3121">
        <v>1.67</v>
      </c>
      <c r="Z3121">
        <v>1494</v>
      </c>
      <c r="AA3121">
        <v>272</v>
      </c>
      <c r="AB3121" t="s">
        <v>116</v>
      </c>
      <c r="AC3121">
        <v>116700</v>
      </c>
      <c r="AD3121">
        <v>0</v>
      </c>
      <c r="AE3121" t="s">
        <v>116</v>
      </c>
      <c r="AF3121" t="s">
        <v>116</v>
      </c>
      <c r="AG3121">
        <v>2.76</v>
      </c>
      <c r="AH3121" t="s">
        <v>6742</v>
      </c>
      <c r="AI3121" t="s">
        <v>13579</v>
      </c>
      <c r="AJ3121">
        <v>-2</v>
      </c>
      <c r="AK3121">
        <v>3055</v>
      </c>
      <c r="AL3121">
        <v>37</v>
      </c>
      <c r="AM3121">
        <v>1.4E-3</v>
      </c>
      <c r="AN3121">
        <v>-2</v>
      </c>
      <c r="AO3121">
        <v>-0.98</v>
      </c>
      <c r="AP3121">
        <v>7.65</v>
      </c>
      <c r="AQ3121">
        <v>2.09</v>
      </c>
      <c r="AR3121">
        <v>160.87</v>
      </c>
      <c r="AS3121">
        <v>4.1500000000000004</v>
      </c>
      <c r="AT3121" t="s">
        <v>6742</v>
      </c>
      <c r="AU3121">
        <v>24.8</v>
      </c>
      <c r="AV3121">
        <v>39.65</v>
      </c>
      <c r="AW3121">
        <v>1.18</v>
      </c>
      <c r="BA3121">
        <v>0.4</v>
      </c>
      <c r="BB3121">
        <v>1.04</v>
      </c>
      <c r="BC3121">
        <v>-2.2400000000000002</v>
      </c>
      <c r="BD3121">
        <v>-0.86</v>
      </c>
      <c r="BE3121">
        <v>-2.4700000000000002</v>
      </c>
      <c r="BF3121">
        <v>-3.09</v>
      </c>
      <c r="BG3121">
        <v>0.16</v>
      </c>
      <c r="BH3121">
        <v>-1.22</v>
      </c>
      <c r="BI3121">
        <v>20191030</v>
      </c>
      <c r="BJ3121">
        <v>20190123</v>
      </c>
      <c r="BK3121">
        <v>13.8</v>
      </c>
      <c r="BL3121" t="s">
        <v>116</v>
      </c>
      <c r="BM3121" t="s">
        <v>116</v>
      </c>
      <c r="BN3121">
        <v>286.19</v>
      </c>
      <c r="BO3121">
        <v>61.3</v>
      </c>
      <c r="BP3121">
        <v>4.0599999999999996</v>
      </c>
      <c r="BQ3121">
        <v>77.16</v>
      </c>
      <c r="BR3121">
        <v>166.83</v>
      </c>
      <c r="BS3121">
        <v>52.62</v>
      </c>
      <c r="BT3121">
        <v>9.42</v>
      </c>
      <c r="BU3121">
        <v>142.54</v>
      </c>
      <c r="BV3121">
        <v>24.34</v>
      </c>
      <c r="BW3121">
        <v>64.81</v>
      </c>
      <c r="BX3121">
        <v>35.83</v>
      </c>
      <c r="BY3121">
        <v>72.099999999999994</v>
      </c>
      <c r="BZ3121">
        <v>55.69</v>
      </c>
      <c r="CA3121">
        <v>5.26</v>
      </c>
      <c r="CB3121">
        <v>3</v>
      </c>
      <c r="CC3121">
        <v>5.44</v>
      </c>
      <c r="CD3121">
        <v>4.95</v>
      </c>
      <c r="CE3121">
        <v>5.14</v>
      </c>
      <c r="CF3121">
        <v>4.47</v>
      </c>
      <c r="CG3121">
        <v>10.86</v>
      </c>
      <c r="CH3121">
        <v>9.2899999999999991</v>
      </c>
      <c r="CI3121">
        <v>24.18</v>
      </c>
      <c r="CJ3121">
        <v>57898</v>
      </c>
      <c r="CK3121">
        <v>4765</v>
      </c>
      <c r="CL3121" t="s">
        <v>4109</v>
      </c>
      <c r="CM3121">
        <v>98.59</v>
      </c>
      <c r="CN3121">
        <v>58.87</v>
      </c>
      <c r="CO3121">
        <v>2.75</v>
      </c>
      <c r="CP3121">
        <v>18.18</v>
      </c>
      <c r="CQ3121">
        <v>2.34</v>
      </c>
      <c r="CR3121">
        <v>0.47</v>
      </c>
      <c r="CS3121" t="s">
        <v>8566</v>
      </c>
      <c r="CT3121">
        <v>4.4400000000000004</v>
      </c>
      <c r="CU3121">
        <v>0</v>
      </c>
      <c r="CV3121">
        <v>2.6</v>
      </c>
      <c r="CW3121">
        <v>0.79</v>
      </c>
      <c r="CX3121">
        <v>0.67</v>
      </c>
      <c r="CY3121">
        <v>21.42</v>
      </c>
      <c r="CZ3121" t="s">
        <v>9131</v>
      </c>
      <c r="DA3121">
        <v>22.76</v>
      </c>
      <c r="DB3121">
        <v>7.3</v>
      </c>
      <c r="DC3121">
        <v>7.12</v>
      </c>
      <c r="DD3121">
        <v>2.15</v>
      </c>
      <c r="DE3121">
        <v>5475</v>
      </c>
      <c r="DF3121">
        <v>601615</v>
      </c>
      <c r="DG3121" t="s">
        <v>116</v>
      </c>
      <c r="DH3121" t="s">
        <v>116</v>
      </c>
      <c r="DI3121" t="s">
        <v>116</v>
      </c>
    </row>
    <row r="3122" spans="1:113" x14ac:dyDescent="0.4">
      <c r="A3122" t="str">
        <f>"601616"</f>
        <v>601616</v>
      </c>
      <c r="B3122" t="s">
        <v>13580</v>
      </c>
      <c r="C3122">
        <v>-0.66</v>
      </c>
      <c r="D3122">
        <v>3.03</v>
      </c>
      <c r="E3122">
        <v>-0.02</v>
      </c>
      <c r="F3122">
        <v>3.03</v>
      </c>
      <c r="G3122">
        <v>3.04</v>
      </c>
      <c r="H3122">
        <v>72681</v>
      </c>
      <c r="I3122">
        <v>948</v>
      </c>
      <c r="J3122">
        <v>-0.32</v>
      </c>
      <c r="K3122">
        <v>0.78</v>
      </c>
      <c r="L3122">
        <v>3.05</v>
      </c>
      <c r="M3122">
        <v>3.08</v>
      </c>
      <c r="N3122">
        <v>3.03</v>
      </c>
      <c r="O3122">
        <v>3.05</v>
      </c>
      <c r="P3122">
        <v>59.57</v>
      </c>
      <c r="Q3122">
        <v>22206972</v>
      </c>
      <c r="R3122">
        <v>0.98</v>
      </c>
      <c r="S3122" t="s">
        <v>397</v>
      </c>
      <c r="T3122" t="s">
        <v>1653</v>
      </c>
      <c r="U3122">
        <v>1.64</v>
      </c>
      <c r="V3122">
        <v>3.06</v>
      </c>
      <c r="W3122">
        <v>43614</v>
      </c>
      <c r="X3122">
        <v>29067</v>
      </c>
      <c r="Y3122">
        <v>1.5</v>
      </c>
      <c r="Z3122">
        <v>200</v>
      </c>
      <c r="AA3122">
        <v>510</v>
      </c>
      <c r="AB3122" t="s">
        <v>116</v>
      </c>
      <c r="AC3122">
        <v>0</v>
      </c>
      <c r="AD3122">
        <v>0</v>
      </c>
      <c r="AE3122" t="s">
        <v>116</v>
      </c>
      <c r="AF3122" t="s">
        <v>116</v>
      </c>
      <c r="AG3122">
        <v>9.36</v>
      </c>
      <c r="AH3122" t="s">
        <v>9450</v>
      </c>
      <c r="AI3122" t="s">
        <v>9450</v>
      </c>
      <c r="AJ3122">
        <v>-0.57999999999999996</v>
      </c>
      <c r="AK3122">
        <v>784</v>
      </c>
      <c r="AL3122">
        <v>93</v>
      </c>
      <c r="AM3122">
        <v>1E-3</v>
      </c>
      <c r="AN3122">
        <v>-1</v>
      </c>
      <c r="AO3122">
        <v>-1.31</v>
      </c>
      <c r="AP3122">
        <v>2.71</v>
      </c>
      <c r="AQ3122">
        <v>-6.19</v>
      </c>
      <c r="AR3122">
        <v>-3.19</v>
      </c>
      <c r="AS3122">
        <v>1.04</v>
      </c>
      <c r="AT3122" t="s">
        <v>13581</v>
      </c>
      <c r="AU3122" t="s">
        <v>116</v>
      </c>
      <c r="AV3122">
        <v>22.75</v>
      </c>
      <c r="AW3122">
        <v>1.1299999999999999</v>
      </c>
      <c r="BA3122">
        <v>0</v>
      </c>
      <c r="BB3122">
        <v>0.98</v>
      </c>
      <c r="BC3122">
        <v>-0.66</v>
      </c>
      <c r="BD3122">
        <v>0.18</v>
      </c>
      <c r="BE3122">
        <v>-0.66</v>
      </c>
      <c r="BF3122">
        <v>-1.62</v>
      </c>
      <c r="BG3122">
        <v>0</v>
      </c>
      <c r="BH3122">
        <v>-0.83</v>
      </c>
      <c r="BI3122">
        <v>20191029</v>
      </c>
      <c r="BJ3122">
        <v>20110201</v>
      </c>
      <c r="BK3122">
        <v>9.36</v>
      </c>
      <c r="BL3122" t="s">
        <v>116</v>
      </c>
      <c r="BM3122" t="s">
        <v>116</v>
      </c>
      <c r="BN3122">
        <v>28.77</v>
      </c>
      <c r="BO3122">
        <v>24.69</v>
      </c>
      <c r="BP3122">
        <v>0.64</v>
      </c>
      <c r="BQ3122">
        <v>12</v>
      </c>
      <c r="BR3122">
        <v>19.12</v>
      </c>
      <c r="BS3122">
        <v>1.54</v>
      </c>
      <c r="BT3122">
        <v>0.91</v>
      </c>
      <c r="BU3122">
        <v>3.35</v>
      </c>
      <c r="BV3122">
        <v>1.22</v>
      </c>
      <c r="BW3122">
        <v>2.76</v>
      </c>
      <c r="BX3122">
        <v>13.51</v>
      </c>
      <c r="BY3122">
        <v>4.45</v>
      </c>
      <c r="BZ3122">
        <v>3.25</v>
      </c>
      <c r="CA3122">
        <v>0.43</v>
      </c>
      <c r="CB3122">
        <v>0.54</v>
      </c>
      <c r="CC3122">
        <v>0.45</v>
      </c>
      <c r="CD3122">
        <v>0.4</v>
      </c>
      <c r="CE3122">
        <v>0.36</v>
      </c>
      <c r="CF3122">
        <v>0.27</v>
      </c>
      <c r="CG3122">
        <v>0.7</v>
      </c>
      <c r="CH3122">
        <v>0.97</v>
      </c>
      <c r="CI3122">
        <v>-1.6</v>
      </c>
      <c r="CJ3122">
        <v>61285</v>
      </c>
      <c r="CK3122">
        <v>11373</v>
      </c>
      <c r="CL3122" t="s">
        <v>5041</v>
      </c>
      <c r="CM3122">
        <v>-81.239999999999995</v>
      </c>
      <c r="CN3122">
        <v>-0.72</v>
      </c>
      <c r="CO3122">
        <v>1.1499999999999999</v>
      </c>
      <c r="CP3122">
        <v>29.28</v>
      </c>
      <c r="CQ3122">
        <v>6.37</v>
      </c>
      <c r="CR3122">
        <v>1.32</v>
      </c>
      <c r="CS3122" t="s">
        <v>2865</v>
      </c>
      <c r="CT3122">
        <v>2.64</v>
      </c>
      <c r="CU3122">
        <v>0</v>
      </c>
      <c r="CV3122">
        <v>1.44</v>
      </c>
      <c r="CW3122">
        <v>7.0000000000000007E-2</v>
      </c>
      <c r="CX3122">
        <v>0.1</v>
      </c>
      <c r="CY3122">
        <v>85.79</v>
      </c>
      <c r="CZ3122" t="s">
        <v>2866</v>
      </c>
      <c r="DA3122">
        <v>27.03</v>
      </c>
      <c r="DB3122">
        <v>9.6199999999999992</v>
      </c>
      <c r="DC3122">
        <v>8.02</v>
      </c>
      <c r="DD3122">
        <v>0.18</v>
      </c>
      <c r="DE3122">
        <v>641</v>
      </c>
      <c r="DF3122">
        <v>601616</v>
      </c>
      <c r="DG3122" t="s">
        <v>116</v>
      </c>
      <c r="DH3122" t="s">
        <v>116</v>
      </c>
      <c r="DI3122" t="s">
        <v>116</v>
      </c>
    </row>
    <row r="3123" spans="1:113" x14ac:dyDescent="0.4">
      <c r="A3123" t="str">
        <f>"601618"</f>
        <v>601618</v>
      </c>
      <c r="B3123" t="s">
        <v>13582</v>
      </c>
      <c r="C3123">
        <v>0.73</v>
      </c>
      <c r="D3123">
        <v>2.76</v>
      </c>
      <c r="E3123">
        <v>0.02</v>
      </c>
      <c r="F3123">
        <v>2.76</v>
      </c>
      <c r="G3123">
        <v>2.77</v>
      </c>
      <c r="H3123">
        <v>668958</v>
      </c>
      <c r="I3123">
        <v>4660</v>
      </c>
      <c r="J3123">
        <v>0</v>
      </c>
      <c r="K3123">
        <v>0.37</v>
      </c>
      <c r="L3123">
        <v>2.74</v>
      </c>
      <c r="M3123">
        <v>2.8</v>
      </c>
      <c r="N3123">
        <v>2.73</v>
      </c>
      <c r="O3123">
        <v>2.74</v>
      </c>
      <c r="P3123">
        <v>10.63</v>
      </c>
      <c r="Q3123">
        <v>184966992</v>
      </c>
      <c r="R3123">
        <v>2.35</v>
      </c>
      <c r="S3123" t="s">
        <v>181</v>
      </c>
      <c r="T3123" t="s">
        <v>165</v>
      </c>
      <c r="U3123">
        <v>2.5499999999999998</v>
      </c>
      <c r="V3123">
        <v>2.77</v>
      </c>
      <c r="W3123">
        <v>237317</v>
      </c>
      <c r="X3123">
        <v>431641</v>
      </c>
      <c r="Y3123">
        <v>0.55000000000000004</v>
      </c>
      <c r="Z3123">
        <v>10069</v>
      </c>
      <c r="AA3123">
        <v>20185</v>
      </c>
      <c r="AB3123" t="s">
        <v>116</v>
      </c>
      <c r="AC3123">
        <v>203900</v>
      </c>
      <c r="AD3123">
        <v>0</v>
      </c>
      <c r="AE3123" t="s">
        <v>116</v>
      </c>
      <c r="AF3123" t="s">
        <v>116</v>
      </c>
      <c r="AG3123">
        <v>178.53</v>
      </c>
      <c r="AH3123" t="s">
        <v>13583</v>
      </c>
      <c r="AI3123" t="s">
        <v>13583</v>
      </c>
      <c r="AJ3123">
        <v>0.81</v>
      </c>
      <c r="AK3123">
        <v>3197</v>
      </c>
      <c r="AL3123">
        <v>209</v>
      </c>
      <c r="AM3123">
        <v>1E-4</v>
      </c>
      <c r="AN3123">
        <v>2</v>
      </c>
      <c r="AO3123">
        <v>1.1000000000000001</v>
      </c>
      <c r="AP3123">
        <v>2.99</v>
      </c>
      <c r="AQ3123">
        <v>-1.78</v>
      </c>
      <c r="AR3123">
        <v>-9.2100000000000009</v>
      </c>
      <c r="AS3123">
        <v>1.05</v>
      </c>
      <c r="AT3123" t="s">
        <v>13584</v>
      </c>
      <c r="AU3123">
        <v>8.61</v>
      </c>
      <c r="AV3123">
        <v>8.98</v>
      </c>
      <c r="AW3123">
        <v>0.98</v>
      </c>
      <c r="BA3123">
        <v>0</v>
      </c>
      <c r="BB3123">
        <v>2.19</v>
      </c>
      <c r="BC3123">
        <v>-0.36</v>
      </c>
      <c r="BD3123">
        <v>0.91</v>
      </c>
      <c r="BE3123">
        <v>0.73</v>
      </c>
      <c r="BF3123">
        <v>-1.43</v>
      </c>
      <c r="BG3123">
        <v>1.1000000000000001</v>
      </c>
      <c r="BH3123">
        <v>-0.18</v>
      </c>
      <c r="BI3123">
        <v>20191106</v>
      </c>
      <c r="BJ3123">
        <v>20090921</v>
      </c>
      <c r="BK3123">
        <v>207.24</v>
      </c>
      <c r="BL3123" t="s">
        <v>116</v>
      </c>
      <c r="BM3123">
        <v>28.71</v>
      </c>
      <c r="BN3123">
        <v>4572.21</v>
      </c>
      <c r="BO3123">
        <v>942.32</v>
      </c>
      <c r="BP3123">
        <v>195.79</v>
      </c>
      <c r="BQ3123">
        <v>75.11</v>
      </c>
      <c r="BR3123">
        <v>3520.58</v>
      </c>
      <c r="BS3123">
        <v>260.92</v>
      </c>
      <c r="BT3123">
        <v>153.52000000000001</v>
      </c>
      <c r="BU3123">
        <v>3068.73</v>
      </c>
      <c r="BV3123">
        <v>572.33000000000004</v>
      </c>
      <c r="BW3123">
        <v>689.43</v>
      </c>
      <c r="BX3123">
        <v>224.75</v>
      </c>
      <c r="BY3123">
        <v>2280.85</v>
      </c>
      <c r="BZ3123">
        <v>2007.08</v>
      </c>
      <c r="CA3123">
        <v>63.79</v>
      </c>
      <c r="CB3123">
        <v>-1.35</v>
      </c>
      <c r="CC3123">
        <v>64.89</v>
      </c>
      <c r="CD3123">
        <v>49.29</v>
      </c>
      <c r="CE3123">
        <v>40.35</v>
      </c>
      <c r="CF3123">
        <v>37.24</v>
      </c>
      <c r="CG3123">
        <v>260.07</v>
      </c>
      <c r="CH3123">
        <v>-106.35</v>
      </c>
      <c r="CI3123">
        <v>-69.7</v>
      </c>
      <c r="CJ3123">
        <v>420159</v>
      </c>
      <c r="CK3123">
        <v>15103</v>
      </c>
      <c r="CL3123" t="s">
        <v>1314</v>
      </c>
      <c r="CM3123">
        <v>7.15</v>
      </c>
      <c r="CN3123">
        <v>25.87</v>
      </c>
      <c r="CO3123">
        <v>0.81</v>
      </c>
      <c r="CP3123">
        <v>-5.38</v>
      </c>
      <c r="CQ3123">
        <v>0.25</v>
      </c>
      <c r="CR3123">
        <v>2.54</v>
      </c>
      <c r="CS3123" t="s">
        <v>3110</v>
      </c>
      <c r="CT3123">
        <v>3.39</v>
      </c>
      <c r="CU3123">
        <v>3.39</v>
      </c>
      <c r="CV3123">
        <v>1.08</v>
      </c>
      <c r="CW3123">
        <v>1.25</v>
      </c>
      <c r="CX3123">
        <v>-0.51</v>
      </c>
      <c r="CY3123">
        <v>20.61</v>
      </c>
      <c r="CZ3123" t="s">
        <v>7184</v>
      </c>
      <c r="DA3123">
        <v>12</v>
      </c>
      <c r="DB3123">
        <v>2.8</v>
      </c>
      <c r="DC3123">
        <v>1.77</v>
      </c>
      <c r="DD3123">
        <v>59.58</v>
      </c>
      <c r="DE3123">
        <v>96646</v>
      </c>
      <c r="DF3123">
        <v>601618</v>
      </c>
      <c r="DG3123" t="s">
        <v>116</v>
      </c>
      <c r="DH3123" t="s">
        <v>116</v>
      </c>
      <c r="DI3123" t="s">
        <v>116</v>
      </c>
    </row>
    <row r="3124" spans="1:113" x14ac:dyDescent="0.4">
      <c r="A3124" t="str">
        <f>"601619"</f>
        <v>601619</v>
      </c>
      <c r="B3124" t="s">
        <v>13585</v>
      </c>
      <c r="C3124">
        <v>-1.04</v>
      </c>
      <c r="D3124">
        <v>3.79</v>
      </c>
      <c r="E3124">
        <v>-0.04</v>
      </c>
      <c r="F3124">
        <v>3.79</v>
      </c>
      <c r="G3124">
        <v>3.8</v>
      </c>
      <c r="H3124">
        <v>62520</v>
      </c>
      <c r="I3124">
        <v>272</v>
      </c>
      <c r="J3124">
        <v>0</v>
      </c>
      <c r="K3124">
        <v>1.24</v>
      </c>
      <c r="L3124">
        <v>3.82</v>
      </c>
      <c r="M3124">
        <v>3.85</v>
      </c>
      <c r="N3124">
        <v>3.78</v>
      </c>
      <c r="O3124">
        <v>3.83</v>
      </c>
      <c r="P3124">
        <v>25.12</v>
      </c>
      <c r="Q3124">
        <v>23871832</v>
      </c>
      <c r="R3124">
        <v>1.1100000000000001</v>
      </c>
      <c r="S3124" t="s">
        <v>361</v>
      </c>
      <c r="T3124" t="s">
        <v>1147</v>
      </c>
      <c r="U3124">
        <v>1.83</v>
      </c>
      <c r="V3124">
        <v>3.82</v>
      </c>
      <c r="W3124">
        <v>35546</v>
      </c>
      <c r="X3124">
        <v>26974</v>
      </c>
      <c r="Y3124">
        <v>1.32</v>
      </c>
      <c r="Z3124">
        <v>499</v>
      </c>
      <c r="AA3124">
        <v>863</v>
      </c>
      <c r="AB3124" t="s">
        <v>116</v>
      </c>
      <c r="AC3124">
        <v>12200</v>
      </c>
      <c r="AD3124">
        <v>0</v>
      </c>
      <c r="AE3124" t="s">
        <v>116</v>
      </c>
      <c r="AF3124" t="s">
        <v>116</v>
      </c>
      <c r="AG3124">
        <v>5.04</v>
      </c>
      <c r="AH3124" t="s">
        <v>8024</v>
      </c>
      <c r="AI3124" t="s">
        <v>10666</v>
      </c>
      <c r="AJ3124">
        <v>-0.97</v>
      </c>
      <c r="AK3124">
        <v>917</v>
      </c>
      <c r="AL3124">
        <v>68</v>
      </c>
      <c r="AM3124">
        <v>1.4E-3</v>
      </c>
      <c r="AN3124">
        <v>-1</v>
      </c>
      <c r="AO3124">
        <v>-0.78</v>
      </c>
      <c r="AP3124">
        <v>0.8</v>
      </c>
      <c r="AQ3124">
        <v>-6.88</v>
      </c>
      <c r="AR3124">
        <v>-17.72</v>
      </c>
      <c r="AS3124">
        <v>2.02</v>
      </c>
      <c r="AT3124" t="s">
        <v>769</v>
      </c>
      <c r="AU3124">
        <v>30.56</v>
      </c>
      <c r="AV3124">
        <v>29.19</v>
      </c>
      <c r="AW3124">
        <v>1.19</v>
      </c>
      <c r="BA3124">
        <v>-0.26</v>
      </c>
      <c r="BB3124">
        <v>0.52</v>
      </c>
      <c r="BC3124">
        <v>-1.31</v>
      </c>
      <c r="BD3124">
        <v>-0.31</v>
      </c>
      <c r="BE3124">
        <v>-0.79</v>
      </c>
      <c r="BF3124">
        <v>-1.56</v>
      </c>
      <c r="BG3124">
        <v>0.26</v>
      </c>
      <c r="BH3124">
        <v>-0.74</v>
      </c>
      <c r="BI3124">
        <v>20191219</v>
      </c>
      <c r="BJ3124">
        <v>20170720</v>
      </c>
      <c r="BK3124">
        <v>20.74</v>
      </c>
      <c r="BL3124" t="s">
        <v>116</v>
      </c>
      <c r="BM3124" t="s">
        <v>116</v>
      </c>
      <c r="BN3124">
        <v>88.79</v>
      </c>
      <c r="BO3124">
        <v>27.96</v>
      </c>
      <c r="BP3124">
        <v>0</v>
      </c>
      <c r="BQ3124">
        <v>68.510000000000005</v>
      </c>
      <c r="BR3124">
        <v>19.36</v>
      </c>
      <c r="BS3124">
        <v>65.55</v>
      </c>
      <c r="BT3124">
        <v>0.91</v>
      </c>
      <c r="BU3124">
        <v>12.14</v>
      </c>
      <c r="BV3124">
        <v>0</v>
      </c>
      <c r="BW3124">
        <v>15.08</v>
      </c>
      <c r="BX3124">
        <v>1.93</v>
      </c>
      <c r="BY3124">
        <v>8.39</v>
      </c>
      <c r="BZ3124">
        <v>3.5</v>
      </c>
      <c r="CA3124">
        <v>2.48</v>
      </c>
      <c r="CB3124">
        <v>0</v>
      </c>
      <c r="CC3124">
        <v>2.48</v>
      </c>
      <c r="CD3124">
        <v>2.35</v>
      </c>
      <c r="CE3124">
        <v>2.35</v>
      </c>
      <c r="CF3124">
        <v>2.35</v>
      </c>
      <c r="CG3124">
        <v>6.39</v>
      </c>
      <c r="CH3124">
        <v>4</v>
      </c>
      <c r="CI3124">
        <v>-2.35</v>
      </c>
      <c r="CJ3124">
        <v>60795</v>
      </c>
      <c r="CK3124">
        <v>5080</v>
      </c>
      <c r="CL3124" t="s">
        <v>13586</v>
      </c>
      <c r="CM3124">
        <v>-4.8899999999999997</v>
      </c>
      <c r="CN3124">
        <v>0.85</v>
      </c>
      <c r="CO3124">
        <v>2.62</v>
      </c>
      <c r="CP3124">
        <v>19.670000000000002</v>
      </c>
      <c r="CQ3124">
        <v>9.3699999999999992</v>
      </c>
      <c r="CR3124">
        <v>1.08</v>
      </c>
      <c r="CS3124" t="s">
        <v>505</v>
      </c>
      <c r="CT3124">
        <v>1.45</v>
      </c>
      <c r="CU3124">
        <v>1.45</v>
      </c>
      <c r="CV3124">
        <v>0.09</v>
      </c>
      <c r="CW3124">
        <v>0.31</v>
      </c>
      <c r="CX3124">
        <v>0.19</v>
      </c>
      <c r="CY3124">
        <v>31.49</v>
      </c>
      <c r="CZ3124" t="s">
        <v>6173</v>
      </c>
      <c r="DA3124">
        <v>58.33</v>
      </c>
      <c r="DB3124">
        <v>29.53</v>
      </c>
      <c r="DC3124">
        <v>27.97</v>
      </c>
      <c r="DD3124">
        <v>0</v>
      </c>
      <c r="DE3124">
        <v>98</v>
      </c>
      <c r="DF3124">
        <v>601619</v>
      </c>
      <c r="DG3124" t="s">
        <v>116</v>
      </c>
      <c r="DH3124" t="s">
        <v>116</v>
      </c>
      <c r="DI3124" t="s">
        <v>116</v>
      </c>
    </row>
    <row r="3125" spans="1:113" x14ac:dyDescent="0.4">
      <c r="A3125" t="str">
        <f>"601628"</f>
        <v>601628</v>
      </c>
      <c r="B3125" t="s">
        <v>13587</v>
      </c>
      <c r="C3125">
        <v>-0.97</v>
      </c>
      <c r="D3125">
        <v>33.799999999999997</v>
      </c>
      <c r="E3125">
        <v>-0.33</v>
      </c>
      <c r="F3125">
        <v>33.799999999999997</v>
      </c>
      <c r="G3125">
        <v>33.81</v>
      </c>
      <c r="H3125">
        <v>122757</v>
      </c>
      <c r="I3125">
        <v>1321</v>
      </c>
      <c r="J3125">
        <v>-0.08</v>
      </c>
      <c r="K3125">
        <v>0.06</v>
      </c>
      <c r="L3125">
        <v>33.93</v>
      </c>
      <c r="M3125">
        <v>34.479999999999997</v>
      </c>
      <c r="N3125">
        <v>33.799999999999997</v>
      </c>
      <c r="O3125">
        <v>34.130000000000003</v>
      </c>
      <c r="P3125">
        <v>12.42</v>
      </c>
      <c r="Q3125">
        <v>419145952</v>
      </c>
      <c r="R3125">
        <v>1.2</v>
      </c>
      <c r="S3125" t="s">
        <v>1496</v>
      </c>
      <c r="T3125" t="s">
        <v>165</v>
      </c>
      <c r="U3125">
        <v>1.99</v>
      </c>
      <c r="V3125">
        <v>34.14</v>
      </c>
      <c r="W3125">
        <v>62421</v>
      </c>
      <c r="X3125">
        <v>60336</v>
      </c>
      <c r="Y3125">
        <v>1.03</v>
      </c>
      <c r="Z3125">
        <v>431</v>
      </c>
      <c r="AA3125">
        <v>580</v>
      </c>
      <c r="AB3125" t="s">
        <v>116</v>
      </c>
      <c r="AC3125">
        <v>1245200</v>
      </c>
      <c r="AD3125">
        <v>0</v>
      </c>
      <c r="AE3125" t="s">
        <v>116</v>
      </c>
      <c r="AF3125" t="s">
        <v>116</v>
      </c>
      <c r="AG3125">
        <v>208.24</v>
      </c>
      <c r="AH3125" t="s">
        <v>13588</v>
      </c>
      <c r="AI3125" t="s">
        <v>13588</v>
      </c>
      <c r="AJ3125">
        <v>-0.89</v>
      </c>
      <c r="AK3125">
        <v>3858</v>
      </c>
      <c r="AL3125">
        <v>32</v>
      </c>
      <c r="AM3125">
        <v>0</v>
      </c>
      <c r="AN3125">
        <v>-1</v>
      </c>
      <c r="AO3125">
        <v>0.9</v>
      </c>
      <c r="AP3125">
        <v>3.02</v>
      </c>
      <c r="AQ3125">
        <v>20.46</v>
      </c>
      <c r="AR3125">
        <v>67.08</v>
      </c>
      <c r="AS3125">
        <v>0.82</v>
      </c>
      <c r="AT3125" t="s">
        <v>13589</v>
      </c>
      <c r="AU3125">
        <v>19.41</v>
      </c>
      <c r="AV3125">
        <v>83.84</v>
      </c>
      <c r="AW3125">
        <v>1.1100000000000001</v>
      </c>
      <c r="BA3125">
        <v>-0.59</v>
      </c>
      <c r="BB3125">
        <v>1.03</v>
      </c>
      <c r="BC3125">
        <v>-0.97</v>
      </c>
      <c r="BD3125">
        <v>0.04</v>
      </c>
      <c r="BE3125">
        <v>-0.38</v>
      </c>
      <c r="BF3125">
        <v>-1.97</v>
      </c>
      <c r="BG3125">
        <v>0</v>
      </c>
      <c r="BH3125">
        <v>-1.01</v>
      </c>
      <c r="BI3125">
        <v>20191030</v>
      </c>
      <c r="BJ3125">
        <v>20070109</v>
      </c>
      <c r="BK3125">
        <v>282.64999999999998</v>
      </c>
      <c r="BL3125" t="s">
        <v>116</v>
      </c>
      <c r="BM3125">
        <v>74.41</v>
      </c>
      <c r="BN3125">
        <v>36090.78</v>
      </c>
      <c r="BO3125">
        <v>3887.54</v>
      </c>
      <c r="BP3125">
        <v>53.96</v>
      </c>
      <c r="BQ3125">
        <v>89.08</v>
      </c>
      <c r="BR3125">
        <v>0</v>
      </c>
      <c r="BS3125">
        <v>320.85000000000002</v>
      </c>
      <c r="BT3125">
        <v>79.7</v>
      </c>
      <c r="BU3125">
        <v>0</v>
      </c>
      <c r="BV3125">
        <v>0</v>
      </c>
      <c r="BW3125">
        <v>0</v>
      </c>
      <c r="BX3125">
        <v>548.63</v>
      </c>
      <c r="BY3125">
        <v>6240.24</v>
      </c>
      <c r="BZ3125">
        <v>0</v>
      </c>
      <c r="CA3125">
        <v>620.71</v>
      </c>
      <c r="CB3125">
        <v>1262.3900000000001</v>
      </c>
      <c r="CC3125">
        <v>619.57000000000005</v>
      </c>
      <c r="CD3125">
        <v>582.58000000000004</v>
      </c>
      <c r="CE3125">
        <v>577.02</v>
      </c>
      <c r="CF3125">
        <v>526.07000000000005</v>
      </c>
      <c r="CG3125">
        <v>1817.36</v>
      </c>
      <c r="CH3125">
        <v>2073.8000000000002</v>
      </c>
      <c r="CI3125">
        <v>99.92</v>
      </c>
      <c r="CJ3125">
        <v>146458</v>
      </c>
      <c r="CK3125">
        <v>10242</v>
      </c>
      <c r="CL3125" t="s">
        <v>13590</v>
      </c>
      <c r="CM3125">
        <v>190.41</v>
      </c>
      <c r="CN3125">
        <v>15.35</v>
      </c>
      <c r="CO3125">
        <v>2.5099999999999998</v>
      </c>
      <c r="CP3125">
        <v>4.6100000000000003</v>
      </c>
      <c r="CQ3125">
        <v>1.53</v>
      </c>
      <c r="CR3125">
        <v>0.47</v>
      </c>
      <c r="CS3125" t="s">
        <v>13591</v>
      </c>
      <c r="CT3125">
        <v>13.48</v>
      </c>
      <c r="CU3125">
        <v>13.48</v>
      </c>
      <c r="CV3125">
        <v>1.94</v>
      </c>
      <c r="CW3125">
        <v>6.43</v>
      </c>
      <c r="CX3125">
        <v>7.34</v>
      </c>
      <c r="CY3125">
        <v>10.77</v>
      </c>
      <c r="CZ3125" t="s">
        <v>13592</v>
      </c>
      <c r="DA3125" t="s">
        <v>116</v>
      </c>
      <c r="DB3125">
        <v>9.9499999999999993</v>
      </c>
      <c r="DC3125">
        <v>9.25</v>
      </c>
      <c r="DD3125">
        <v>0</v>
      </c>
      <c r="DE3125">
        <v>101272</v>
      </c>
      <c r="DF3125">
        <v>601628</v>
      </c>
      <c r="DG3125" t="s">
        <v>116</v>
      </c>
      <c r="DH3125" t="s">
        <v>116</v>
      </c>
      <c r="DI3125" t="s">
        <v>116</v>
      </c>
    </row>
    <row r="3126" spans="1:113" x14ac:dyDescent="0.4">
      <c r="A3126" t="str">
        <f>"601633"</f>
        <v>601633</v>
      </c>
      <c r="B3126" t="s">
        <v>13593</v>
      </c>
      <c r="C3126">
        <v>-0.23</v>
      </c>
      <c r="D3126">
        <v>8.76</v>
      </c>
      <c r="E3126">
        <v>-0.02</v>
      </c>
      <c r="F3126">
        <v>8.75</v>
      </c>
      <c r="G3126">
        <v>8.76</v>
      </c>
      <c r="H3126">
        <v>133286</v>
      </c>
      <c r="I3126">
        <v>834</v>
      </c>
      <c r="J3126">
        <v>0.11</v>
      </c>
      <c r="K3126">
        <v>0.22</v>
      </c>
      <c r="L3126">
        <v>8.7799999999999994</v>
      </c>
      <c r="M3126">
        <v>8.8699999999999992</v>
      </c>
      <c r="N3126">
        <v>8.73</v>
      </c>
      <c r="O3126">
        <v>8.7799999999999994</v>
      </c>
      <c r="P3126">
        <v>20.55</v>
      </c>
      <c r="Q3126">
        <v>117147792</v>
      </c>
      <c r="R3126">
        <v>1.1299999999999999</v>
      </c>
      <c r="S3126" t="s">
        <v>1108</v>
      </c>
      <c r="T3126" t="s">
        <v>608</v>
      </c>
      <c r="U3126">
        <v>1.59</v>
      </c>
      <c r="V3126">
        <v>8.7899999999999991</v>
      </c>
      <c r="W3126">
        <v>74941</v>
      </c>
      <c r="X3126">
        <v>58345</v>
      </c>
      <c r="Y3126">
        <v>1.28</v>
      </c>
      <c r="Z3126">
        <v>928</v>
      </c>
      <c r="AA3126">
        <v>277</v>
      </c>
      <c r="AB3126" t="s">
        <v>116</v>
      </c>
      <c r="AC3126">
        <v>315200</v>
      </c>
      <c r="AD3126">
        <v>0</v>
      </c>
      <c r="AE3126" t="s">
        <v>116</v>
      </c>
      <c r="AF3126" t="s">
        <v>116</v>
      </c>
      <c r="AG3126">
        <v>60.28</v>
      </c>
      <c r="AH3126" t="s">
        <v>13594</v>
      </c>
      <c r="AI3126" t="s">
        <v>13594</v>
      </c>
      <c r="AJ3126">
        <v>-0.15</v>
      </c>
      <c r="AK3126">
        <v>3633</v>
      </c>
      <c r="AL3126">
        <v>37</v>
      </c>
      <c r="AM3126">
        <v>1E-4</v>
      </c>
      <c r="AN3126">
        <v>-2</v>
      </c>
      <c r="AO3126">
        <v>0.22</v>
      </c>
      <c r="AP3126">
        <v>-6.01</v>
      </c>
      <c r="AQ3126">
        <v>12.89</v>
      </c>
      <c r="AR3126">
        <v>64.97</v>
      </c>
      <c r="AS3126">
        <v>1.46</v>
      </c>
      <c r="AT3126" t="s">
        <v>13595</v>
      </c>
      <c r="AU3126">
        <v>19.05</v>
      </c>
      <c r="AV3126">
        <v>15.35</v>
      </c>
      <c r="AW3126">
        <v>1.1000000000000001</v>
      </c>
      <c r="BA3126">
        <v>0</v>
      </c>
      <c r="BB3126">
        <v>1.03</v>
      </c>
      <c r="BC3126">
        <v>-0.56999999999999995</v>
      </c>
      <c r="BD3126">
        <v>0.1</v>
      </c>
      <c r="BE3126">
        <v>-0.23</v>
      </c>
      <c r="BF3126">
        <v>-1.24</v>
      </c>
      <c r="BG3126">
        <v>0.34</v>
      </c>
      <c r="BH3126">
        <v>-0.33</v>
      </c>
      <c r="BI3126">
        <v>20191026</v>
      </c>
      <c r="BJ3126">
        <v>20110928</v>
      </c>
      <c r="BK3126">
        <v>91.27</v>
      </c>
      <c r="BL3126" t="s">
        <v>116</v>
      </c>
      <c r="BM3126">
        <v>31</v>
      </c>
      <c r="BN3126">
        <v>988.61</v>
      </c>
      <c r="BO3126">
        <v>529.91999999999996</v>
      </c>
      <c r="BP3126">
        <v>0</v>
      </c>
      <c r="BQ3126">
        <v>46.4</v>
      </c>
      <c r="BR3126">
        <v>555.30999999999995</v>
      </c>
      <c r="BS3126">
        <v>303.06</v>
      </c>
      <c r="BT3126">
        <v>39.42</v>
      </c>
      <c r="BU3126">
        <v>387.25</v>
      </c>
      <c r="BV3126">
        <v>66.33</v>
      </c>
      <c r="BW3126">
        <v>27.39</v>
      </c>
      <c r="BX3126">
        <v>14.11</v>
      </c>
      <c r="BY3126">
        <v>615</v>
      </c>
      <c r="BZ3126">
        <v>520.79999999999995</v>
      </c>
      <c r="CA3126">
        <v>33.799999999999997</v>
      </c>
      <c r="CB3126">
        <v>0.38</v>
      </c>
      <c r="CC3126">
        <v>35.85</v>
      </c>
      <c r="CD3126">
        <v>29.51</v>
      </c>
      <c r="CE3126">
        <v>29.17</v>
      </c>
      <c r="CF3126">
        <v>25.89</v>
      </c>
      <c r="CG3126">
        <v>370.99</v>
      </c>
      <c r="CH3126">
        <v>99.06</v>
      </c>
      <c r="CI3126">
        <v>22.23</v>
      </c>
      <c r="CJ3126">
        <v>80589</v>
      </c>
      <c r="CK3126">
        <v>11326</v>
      </c>
      <c r="CL3126" t="s">
        <v>11300</v>
      </c>
      <c r="CM3126">
        <v>-25.7</v>
      </c>
      <c r="CN3126">
        <v>-6.13</v>
      </c>
      <c r="CO3126">
        <v>1.51</v>
      </c>
      <c r="CP3126">
        <v>8.07</v>
      </c>
      <c r="CQ3126">
        <v>1.3</v>
      </c>
      <c r="CR3126">
        <v>3.31</v>
      </c>
      <c r="CS3126" t="s">
        <v>3311</v>
      </c>
      <c r="CT3126">
        <v>5.81</v>
      </c>
      <c r="CU3126">
        <v>0</v>
      </c>
      <c r="CV3126">
        <v>0.15</v>
      </c>
      <c r="CW3126">
        <v>4.0599999999999996</v>
      </c>
      <c r="CX3126">
        <v>1.0900000000000001</v>
      </c>
      <c r="CY3126">
        <v>53.6</v>
      </c>
      <c r="CZ3126" t="s">
        <v>12719</v>
      </c>
      <c r="DA3126">
        <v>15.32</v>
      </c>
      <c r="DB3126">
        <v>5.5</v>
      </c>
      <c r="DC3126">
        <v>4.74</v>
      </c>
      <c r="DD3126">
        <v>14.74</v>
      </c>
      <c r="DE3126">
        <v>63455</v>
      </c>
      <c r="DF3126">
        <v>601633</v>
      </c>
      <c r="DG3126" t="s">
        <v>116</v>
      </c>
      <c r="DH3126" t="s">
        <v>116</v>
      </c>
      <c r="DI3126" t="s">
        <v>116</v>
      </c>
    </row>
    <row r="3127" spans="1:113" x14ac:dyDescent="0.4">
      <c r="A3127" t="str">
        <f>"601636"</f>
        <v>601636</v>
      </c>
      <c r="B3127" t="s">
        <v>13596</v>
      </c>
      <c r="C3127">
        <v>5.5</v>
      </c>
      <c r="D3127">
        <v>4.99</v>
      </c>
      <c r="E3127">
        <v>0.26</v>
      </c>
      <c r="F3127">
        <v>4.9800000000000004</v>
      </c>
      <c r="G3127">
        <v>4.99</v>
      </c>
      <c r="H3127">
        <v>949176</v>
      </c>
      <c r="I3127">
        <v>9140</v>
      </c>
      <c r="J3127">
        <v>0.2</v>
      </c>
      <c r="K3127">
        <v>3.57</v>
      </c>
      <c r="L3127">
        <v>4.71</v>
      </c>
      <c r="M3127">
        <v>5.0599999999999996</v>
      </c>
      <c r="N3127">
        <v>4.71</v>
      </c>
      <c r="O3127">
        <v>4.7300000000000004</v>
      </c>
      <c r="P3127">
        <v>10.85</v>
      </c>
      <c r="Q3127">
        <v>468788608</v>
      </c>
      <c r="R3127">
        <v>4</v>
      </c>
      <c r="S3127" t="s">
        <v>195</v>
      </c>
      <c r="T3127" t="s">
        <v>599</v>
      </c>
      <c r="U3127">
        <v>7.4</v>
      </c>
      <c r="V3127">
        <v>4.9400000000000004</v>
      </c>
      <c r="W3127">
        <v>440358</v>
      </c>
      <c r="X3127">
        <v>508818</v>
      </c>
      <c r="Y3127">
        <v>0.87</v>
      </c>
      <c r="Z3127">
        <v>571</v>
      </c>
      <c r="AA3127">
        <v>5323</v>
      </c>
      <c r="AB3127" t="s">
        <v>116</v>
      </c>
      <c r="AC3127">
        <v>321700</v>
      </c>
      <c r="AD3127">
        <v>0</v>
      </c>
      <c r="AE3127" t="s">
        <v>116</v>
      </c>
      <c r="AF3127" t="s">
        <v>116</v>
      </c>
      <c r="AG3127">
        <v>26.57</v>
      </c>
      <c r="AH3127" t="s">
        <v>13597</v>
      </c>
      <c r="AI3127" t="s">
        <v>13598</v>
      </c>
      <c r="AJ3127">
        <v>5.57</v>
      </c>
      <c r="AK3127">
        <v>4038</v>
      </c>
      <c r="AL3127">
        <v>235</v>
      </c>
      <c r="AM3127">
        <v>8.9999999999999998E-4</v>
      </c>
      <c r="AN3127">
        <v>2</v>
      </c>
      <c r="AO3127">
        <v>6.86</v>
      </c>
      <c r="AP3127">
        <v>13.15</v>
      </c>
      <c r="AQ3127">
        <v>39.39</v>
      </c>
      <c r="AR3127">
        <v>42.57</v>
      </c>
      <c r="AS3127">
        <v>6.48</v>
      </c>
      <c r="AT3127" t="s">
        <v>13599</v>
      </c>
      <c r="AU3127">
        <v>11.41</v>
      </c>
      <c r="AV3127">
        <v>11.11</v>
      </c>
      <c r="AW3127">
        <v>1.2</v>
      </c>
      <c r="BA3127">
        <v>-0.42</v>
      </c>
      <c r="BB3127">
        <v>6.98</v>
      </c>
      <c r="BC3127">
        <v>-0.42</v>
      </c>
      <c r="BD3127">
        <v>4.42</v>
      </c>
      <c r="BE3127">
        <v>5.94</v>
      </c>
      <c r="BF3127">
        <v>-1.38</v>
      </c>
      <c r="BG3127">
        <v>5.94</v>
      </c>
      <c r="BH3127">
        <v>1.08</v>
      </c>
      <c r="BI3127">
        <v>20191216</v>
      </c>
      <c r="BJ3127">
        <v>20110812</v>
      </c>
      <c r="BK3127">
        <v>26.88</v>
      </c>
      <c r="BL3127" t="s">
        <v>116</v>
      </c>
      <c r="BM3127" t="s">
        <v>116</v>
      </c>
      <c r="BN3127">
        <v>131.26</v>
      </c>
      <c r="BO3127">
        <v>77.87</v>
      </c>
      <c r="BP3127">
        <v>7.0000000000000007E-2</v>
      </c>
      <c r="BQ3127">
        <v>40.619999999999997</v>
      </c>
      <c r="BR3127">
        <v>24.49</v>
      </c>
      <c r="BS3127">
        <v>84.87</v>
      </c>
      <c r="BT3127">
        <v>8.4600000000000009</v>
      </c>
      <c r="BU3127">
        <v>34.15</v>
      </c>
      <c r="BV3127">
        <v>10.65</v>
      </c>
      <c r="BW3127">
        <v>1.46</v>
      </c>
      <c r="BX3127">
        <v>19.3</v>
      </c>
      <c r="BY3127">
        <v>65.319999999999993</v>
      </c>
      <c r="BZ3127">
        <v>46.94</v>
      </c>
      <c r="CA3127">
        <v>10.89</v>
      </c>
      <c r="CB3127">
        <v>0.02</v>
      </c>
      <c r="CC3127">
        <v>10.91</v>
      </c>
      <c r="CD3127">
        <v>9.27</v>
      </c>
      <c r="CE3127">
        <v>9.27</v>
      </c>
      <c r="CF3127">
        <v>8.52</v>
      </c>
      <c r="CG3127">
        <v>29.66</v>
      </c>
      <c r="CH3127">
        <v>10.23</v>
      </c>
      <c r="CI3127">
        <v>-1.27</v>
      </c>
      <c r="CJ3127">
        <v>67018</v>
      </c>
      <c r="CK3127">
        <v>21848</v>
      </c>
      <c r="CL3127" t="s">
        <v>9597</v>
      </c>
      <c r="CM3127">
        <v>-3.33</v>
      </c>
      <c r="CN3127">
        <v>7.76</v>
      </c>
      <c r="CO3127">
        <v>1.72</v>
      </c>
      <c r="CP3127">
        <v>13.12</v>
      </c>
      <c r="CQ3127">
        <v>2.0499999999999998</v>
      </c>
      <c r="CR3127">
        <v>5.9</v>
      </c>
      <c r="CS3127" t="s">
        <v>7376</v>
      </c>
      <c r="CT3127">
        <v>2.9</v>
      </c>
      <c r="CU3127">
        <v>0</v>
      </c>
      <c r="CV3127">
        <v>0.72</v>
      </c>
      <c r="CW3127">
        <v>1.1000000000000001</v>
      </c>
      <c r="CX3127">
        <v>0.38</v>
      </c>
      <c r="CY3127">
        <v>59.33</v>
      </c>
      <c r="CZ3127" t="s">
        <v>13600</v>
      </c>
      <c r="DA3127">
        <v>28.14</v>
      </c>
      <c r="DB3127">
        <v>16.670000000000002</v>
      </c>
      <c r="DC3127">
        <v>14.2</v>
      </c>
      <c r="DD3127">
        <v>2.79</v>
      </c>
      <c r="DE3127">
        <v>6968</v>
      </c>
      <c r="DF3127">
        <v>601636</v>
      </c>
      <c r="DG3127" t="s">
        <v>116</v>
      </c>
      <c r="DH3127" t="s">
        <v>116</v>
      </c>
      <c r="DI3127" t="s">
        <v>116</v>
      </c>
    </row>
    <row r="3128" spans="1:113" x14ac:dyDescent="0.4">
      <c r="A3128" t="str">
        <f>"601658"</f>
        <v>601658</v>
      </c>
      <c r="B3128" t="s">
        <v>13601</v>
      </c>
      <c r="C3128">
        <v>0.88</v>
      </c>
      <c r="D3128">
        <v>5.74</v>
      </c>
      <c r="E3128">
        <v>0.05</v>
      </c>
      <c r="F3128">
        <v>5.73</v>
      </c>
      <c r="G3128">
        <v>5.74</v>
      </c>
      <c r="H3128">
        <v>1309059</v>
      </c>
      <c r="I3128">
        <v>10303</v>
      </c>
      <c r="J3128">
        <v>0.35</v>
      </c>
      <c r="K3128">
        <v>4.4000000000000004</v>
      </c>
      <c r="L3128">
        <v>5.68</v>
      </c>
      <c r="M3128">
        <v>5.76</v>
      </c>
      <c r="N3128">
        <v>5.67</v>
      </c>
      <c r="O3128">
        <v>5.69</v>
      </c>
      <c r="P3128">
        <v>6.9</v>
      </c>
      <c r="Q3128">
        <v>749825088</v>
      </c>
      <c r="R3128">
        <v>0.87</v>
      </c>
      <c r="S3128" t="s">
        <v>114</v>
      </c>
      <c r="T3128" t="s">
        <v>165</v>
      </c>
      <c r="U3128">
        <v>1.58</v>
      </c>
      <c r="V3128">
        <v>5.73</v>
      </c>
      <c r="W3128">
        <v>812354</v>
      </c>
      <c r="X3128">
        <v>496705</v>
      </c>
      <c r="Y3128">
        <v>1.64</v>
      </c>
      <c r="Z3128">
        <v>1131</v>
      </c>
      <c r="AA3128">
        <v>8910</v>
      </c>
      <c r="AB3128" t="s">
        <v>116</v>
      </c>
      <c r="AC3128">
        <v>3093300</v>
      </c>
      <c r="AD3128">
        <v>0.02</v>
      </c>
      <c r="AE3128" t="s">
        <v>116</v>
      </c>
      <c r="AF3128" t="s">
        <v>116</v>
      </c>
      <c r="AG3128">
        <v>29.74</v>
      </c>
      <c r="AH3128" t="s">
        <v>13602</v>
      </c>
      <c r="AI3128" t="s">
        <v>13603</v>
      </c>
      <c r="AJ3128">
        <v>0.96</v>
      </c>
      <c r="AK3128">
        <v>4329</v>
      </c>
      <c r="AL3128">
        <v>302</v>
      </c>
      <c r="AM3128">
        <v>1E-3</v>
      </c>
      <c r="AN3128">
        <v>1</v>
      </c>
      <c r="AO3128">
        <v>-1.04</v>
      </c>
      <c r="AP3128">
        <v>4.3600000000000003</v>
      </c>
      <c r="AQ3128">
        <v>4.3600000000000003</v>
      </c>
      <c r="AR3128">
        <v>4.3600000000000003</v>
      </c>
      <c r="AS3128">
        <v>4.4000000000000004</v>
      </c>
      <c r="AT3128" t="s">
        <v>13602</v>
      </c>
      <c r="AU3128">
        <v>8.26</v>
      </c>
      <c r="AV3128">
        <v>9.4600000000000009</v>
      </c>
      <c r="AW3128">
        <v>0</v>
      </c>
      <c r="BA3128">
        <v>-0.18</v>
      </c>
      <c r="BB3128">
        <v>1.23</v>
      </c>
      <c r="BC3128">
        <v>-0.35</v>
      </c>
      <c r="BD3128">
        <v>0.67</v>
      </c>
      <c r="BE3128">
        <v>1.06</v>
      </c>
      <c r="BF3128">
        <v>-0.35</v>
      </c>
      <c r="BG3128">
        <v>1.23</v>
      </c>
      <c r="BH3128">
        <v>0.21</v>
      </c>
      <c r="BI3128">
        <v>20191212</v>
      </c>
      <c r="BJ3128">
        <v>20191210</v>
      </c>
      <c r="BK3128">
        <v>869.79</v>
      </c>
      <c r="BL3128" t="s">
        <v>116</v>
      </c>
      <c r="BM3128">
        <v>198.56</v>
      </c>
      <c r="BN3128">
        <v>101105.24</v>
      </c>
      <c r="BO3128">
        <v>5106.3</v>
      </c>
      <c r="BP3128">
        <v>9.65</v>
      </c>
      <c r="BQ3128">
        <v>94.94</v>
      </c>
      <c r="BR3128">
        <v>0</v>
      </c>
      <c r="BS3128">
        <v>448.25</v>
      </c>
      <c r="BT3128">
        <v>34.78</v>
      </c>
      <c r="BU3128">
        <v>0</v>
      </c>
      <c r="BV3128">
        <v>0</v>
      </c>
      <c r="BW3128">
        <v>0</v>
      </c>
      <c r="BX3128">
        <v>746.48</v>
      </c>
      <c r="BY3128">
        <v>2103.65</v>
      </c>
      <c r="BZ3128">
        <v>0</v>
      </c>
      <c r="CA3128">
        <v>576.91999999999996</v>
      </c>
      <c r="CB3128">
        <v>107.77</v>
      </c>
      <c r="CC3128">
        <v>589.46</v>
      </c>
      <c r="CD3128">
        <v>543.44000000000005</v>
      </c>
      <c r="CE3128">
        <v>542.88</v>
      </c>
      <c r="CF3128">
        <v>531.53</v>
      </c>
      <c r="CG3128">
        <v>1690.24</v>
      </c>
      <c r="CH3128">
        <v>865.7</v>
      </c>
      <c r="CI3128">
        <v>-1103.3399999999999</v>
      </c>
      <c r="CJ3128">
        <v>1600042</v>
      </c>
      <c r="CK3128">
        <v>1859</v>
      </c>
      <c r="CL3128" t="s">
        <v>13604</v>
      </c>
      <c r="CM3128">
        <v>0</v>
      </c>
      <c r="CN3128">
        <v>0</v>
      </c>
      <c r="CO3128">
        <v>1.01</v>
      </c>
      <c r="CP3128">
        <v>5.77</v>
      </c>
      <c r="CQ3128">
        <v>2.37</v>
      </c>
      <c r="CR3128">
        <v>0</v>
      </c>
      <c r="CS3128" t="s">
        <v>2710</v>
      </c>
      <c r="CT3128">
        <v>5.69</v>
      </c>
      <c r="CU3128">
        <v>5.69</v>
      </c>
      <c r="CV3128">
        <v>0.86</v>
      </c>
      <c r="CW3128">
        <v>1.94</v>
      </c>
      <c r="CX3128">
        <v>1</v>
      </c>
      <c r="CY3128">
        <v>5.05</v>
      </c>
      <c r="CZ3128" t="s">
        <v>13605</v>
      </c>
      <c r="DA3128" t="s">
        <v>116</v>
      </c>
      <c r="DB3128">
        <v>27.42</v>
      </c>
      <c r="DC3128">
        <v>25.81</v>
      </c>
      <c r="DD3128">
        <v>0</v>
      </c>
      <c r="DE3128">
        <v>168315</v>
      </c>
      <c r="DF3128">
        <v>601658</v>
      </c>
      <c r="DG3128" t="s">
        <v>116</v>
      </c>
      <c r="DH3128" t="s">
        <v>116</v>
      </c>
      <c r="DI3128" t="s">
        <v>116</v>
      </c>
    </row>
    <row r="3129" spans="1:113" x14ac:dyDescent="0.4">
      <c r="A3129" t="str">
        <f>"601666"</f>
        <v>601666</v>
      </c>
      <c r="B3129" t="s">
        <v>13606</v>
      </c>
      <c r="C3129">
        <v>0.52</v>
      </c>
      <c r="D3129">
        <v>3.88</v>
      </c>
      <c r="E3129">
        <v>0.02</v>
      </c>
      <c r="F3129">
        <v>3.88</v>
      </c>
      <c r="G3129">
        <v>3.89</v>
      </c>
      <c r="H3129">
        <v>241879</v>
      </c>
      <c r="I3129">
        <v>1668</v>
      </c>
      <c r="J3129">
        <v>0</v>
      </c>
      <c r="K3129">
        <v>1.02</v>
      </c>
      <c r="L3129">
        <v>3.86</v>
      </c>
      <c r="M3129">
        <v>3.95</v>
      </c>
      <c r="N3129">
        <v>3.85</v>
      </c>
      <c r="O3129">
        <v>3.86</v>
      </c>
      <c r="P3129">
        <v>7.74</v>
      </c>
      <c r="Q3129">
        <v>94279344</v>
      </c>
      <c r="R3129">
        <v>2.2799999999999998</v>
      </c>
      <c r="S3129" t="s">
        <v>1121</v>
      </c>
      <c r="T3129" t="s">
        <v>652</v>
      </c>
      <c r="U3129">
        <v>2.59</v>
      </c>
      <c r="V3129">
        <v>3.9</v>
      </c>
      <c r="W3129">
        <v>125404</v>
      </c>
      <c r="X3129">
        <v>116475</v>
      </c>
      <c r="Y3129">
        <v>1.08</v>
      </c>
      <c r="Z3129">
        <v>464</v>
      </c>
      <c r="AA3129">
        <v>3009</v>
      </c>
      <c r="AB3129" t="s">
        <v>116</v>
      </c>
      <c r="AC3129">
        <v>212300</v>
      </c>
      <c r="AD3129">
        <v>0.01</v>
      </c>
      <c r="AE3129" t="s">
        <v>116</v>
      </c>
      <c r="AF3129" t="s">
        <v>116</v>
      </c>
      <c r="AG3129">
        <v>23.61</v>
      </c>
      <c r="AH3129" t="s">
        <v>13607</v>
      </c>
      <c r="AI3129" t="s">
        <v>13607</v>
      </c>
      <c r="AJ3129">
        <v>0.59</v>
      </c>
      <c r="AK3129">
        <v>1684</v>
      </c>
      <c r="AL3129">
        <v>144</v>
      </c>
      <c r="AM3129">
        <v>5.9999999999999995E-4</v>
      </c>
      <c r="AN3129">
        <v>2</v>
      </c>
      <c r="AO3129">
        <v>0.78</v>
      </c>
      <c r="AP3129">
        <v>1.31</v>
      </c>
      <c r="AQ3129">
        <v>1.84</v>
      </c>
      <c r="AR3129">
        <v>10.23</v>
      </c>
      <c r="AS3129">
        <v>2.2400000000000002</v>
      </c>
      <c r="AT3129" t="s">
        <v>13199</v>
      </c>
      <c r="AU3129">
        <v>8.5399999999999991</v>
      </c>
      <c r="AV3129">
        <v>12.81</v>
      </c>
      <c r="AW3129">
        <v>0.94</v>
      </c>
      <c r="BA3129">
        <v>0</v>
      </c>
      <c r="BB3129">
        <v>2.33</v>
      </c>
      <c r="BC3129">
        <v>-0.26</v>
      </c>
      <c r="BD3129">
        <v>0.98</v>
      </c>
      <c r="BE3129">
        <v>0.52</v>
      </c>
      <c r="BF3129">
        <v>-1.77</v>
      </c>
      <c r="BG3129">
        <v>0.78</v>
      </c>
      <c r="BH3129">
        <v>-0.46</v>
      </c>
      <c r="BI3129">
        <v>20191026</v>
      </c>
      <c r="BJ3129">
        <v>20061123</v>
      </c>
      <c r="BK3129">
        <v>23.61</v>
      </c>
      <c r="BL3129" t="s">
        <v>116</v>
      </c>
      <c r="BM3129" t="s">
        <v>116</v>
      </c>
      <c r="BN3129">
        <v>531.55999999999995</v>
      </c>
      <c r="BO3129">
        <v>139.02000000000001</v>
      </c>
      <c r="BP3129">
        <v>20.64</v>
      </c>
      <c r="BQ3129">
        <v>69.959999999999994</v>
      </c>
      <c r="BR3129">
        <v>189.46</v>
      </c>
      <c r="BS3129">
        <v>285.86</v>
      </c>
      <c r="BT3129">
        <v>8.01</v>
      </c>
      <c r="BU3129">
        <v>232.49</v>
      </c>
      <c r="BV3129">
        <v>16.52</v>
      </c>
      <c r="BW3129">
        <v>12.74</v>
      </c>
      <c r="BX3129">
        <v>30.7</v>
      </c>
      <c r="BY3129">
        <v>178.61</v>
      </c>
      <c r="BZ3129">
        <v>143.1</v>
      </c>
      <c r="CA3129">
        <v>13.05</v>
      </c>
      <c r="CB3129">
        <v>0.56000000000000005</v>
      </c>
      <c r="CC3129">
        <v>13.33</v>
      </c>
      <c r="CD3129">
        <v>10.199999999999999</v>
      </c>
      <c r="CE3129">
        <v>8.8699999999999992</v>
      </c>
      <c r="CF3129">
        <v>8.66</v>
      </c>
      <c r="CG3129">
        <v>65.349999999999994</v>
      </c>
      <c r="CH3129">
        <v>20.53</v>
      </c>
      <c r="CI3129">
        <v>-12.29</v>
      </c>
      <c r="CJ3129">
        <v>87140</v>
      </c>
      <c r="CK3129">
        <v>12390</v>
      </c>
      <c r="CL3129" t="s">
        <v>2532</v>
      </c>
      <c r="CM3129">
        <v>67.37</v>
      </c>
      <c r="CN3129">
        <v>18.649999999999999</v>
      </c>
      <c r="CO3129">
        <v>0.66</v>
      </c>
      <c r="CP3129">
        <v>4.46</v>
      </c>
      <c r="CQ3129">
        <v>0.51</v>
      </c>
      <c r="CR3129">
        <v>0</v>
      </c>
      <c r="CS3129" t="s">
        <v>1074</v>
      </c>
      <c r="CT3129">
        <v>5.89</v>
      </c>
      <c r="CU3129">
        <v>0</v>
      </c>
      <c r="CV3129">
        <v>1.3</v>
      </c>
      <c r="CW3129">
        <v>2.77</v>
      </c>
      <c r="CX3129">
        <v>0.87</v>
      </c>
      <c r="CY3129">
        <v>26.15</v>
      </c>
      <c r="CZ3129" t="s">
        <v>1549</v>
      </c>
      <c r="DA3129">
        <v>19.88</v>
      </c>
      <c r="DB3129">
        <v>7.31</v>
      </c>
      <c r="DC3129">
        <v>4.97</v>
      </c>
      <c r="DD3129">
        <v>2.58</v>
      </c>
      <c r="DE3129">
        <v>88656</v>
      </c>
      <c r="DF3129">
        <v>601666</v>
      </c>
      <c r="DG3129" t="s">
        <v>116</v>
      </c>
      <c r="DH3129" t="s">
        <v>116</v>
      </c>
      <c r="DI3129" t="s">
        <v>116</v>
      </c>
    </row>
    <row r="3130" spans="1:113" x14ac:dyDescent="0.4">
      <c r="A3130" t="str">
        <f>"601668"</f>
        <v>601668</v>
      </c>
      <c r="B3130" t="s">
        <v>13608</v>
      </c>
      <c r="C3130">
        <v>-0.18</v>
      </c>
      <c r="D3130">
        <v>5.49</v>
      </c>
      <c r="E3130">
        <v>-0.01</v>
      </c>
      <c r="F3130">
        <v>5.49</v>
      </c>
      <c r="G3130">
        <v>5.5</v>
      </c>
      <c r="H3130">
        <v>1462731</v>
      </c>
      <c r="I3130">
        <v>8166</v>
      </c>
      <c r="J3130">
        <v>-0.17</v>
      </c>
      <c r="K3130">
        <v>0.36</v>
      </c>
      <c r="L3130">
        <v>5.52</v>
      </c>
      <c r="M3130">
        <v>5.57</v>
      </c>
      <c r="N3130">
        <v>5.48</v>
      </c>
      <c r="O3130">
        <v>5.5</v>
      </c>
      <c r="P3130">
        <v>5.76</v>
      </c>
      <c r="Q3130">
        <v>808298560</v>
      </c>
      <c r="R3130">
        <v>1.33</v>
      </c>
      <c r="S3130" t="s">
        <v>181</v>
      </c>
      <c r="T3130" t="s">
        <v>165</v>
      </c>
      <c r="U3130">
        <v>1.64</v>
      </c>
      <c r="V3130">
        <v>5.53</v>
      </c>
      <c r="W3130">
        <v>789610</v>
      </c>
      <c r="X3130">
        <v>673124</v>
      </c>
      <c r="Y3130">
        <v>1.17</v>
      </c>
      <c r="Z3130">
        <v>293</v>
      </c>
      <c r="AA3130">
        <v>26427</v>
      </c>
      <c r="AB3130" t="s">
        <v>116</v>
      </c>
      <c r="AC3130">
        <v>9415600</v>
      </c>
      <c r="AD3130">
        <v>0.01</v>
      </c>
      <c r="AE3130" t="s">
        <v>116</v>
      </c>
      <c r="AF3130" t="s">
        <v>116</v>
      </c>
      <c r="AG3130">
        <v>411.41</v>
      </c>
      <c r="AH3130" t="s">
        <v>13609</v>
      </c>
      <c r="AI3130" t="s">
        <v>13610</v>
      </c>
      <c r="AJ3130">
        <v>-0.11</v>
      </c>
      <c r="AK3130">
        <v>4459</v>
      </c>
      <c r="AL3130">
        <v>328</v>
      </c>
      <c r="AM3130">
        <v>1E-4</v>
      </c>
      <c r="AN3130">
        <v>-1</v>
      </c>
      <c r="AO3130">
        <v>2.81</v>
      </c>
      <c r="AP3130">
        <v>7.44</v>
      </c>
      <c r="AQ3130">
        <v>0.37</v>
      </c>
      <c r="AR3130">
        <v>-0.76</v>
      </c>
      <c r="AS3130">
        <v>1.05</v>
      </c>
      <c r="AT3130" t="s">
        <v>13611</v>
      </c>
      <c r="AU3130">
        <v>5.63</v>
      </c>
      <c r="AV3130">
        <v>6.03</v>
      </c>
      <c r="AW3130">
        <v>1.17</v>
      </c>
      <c r="BA3130">
        <v>0.36</v>
      </c>
      <c r="BB3130">
        <v>1.27</v>
      </c>
      <c r="BC3130">
        <v>-0.36</v>
      </c>
      <c r="BD3130">
        <v>0.47</v>
      </c>
      <c r="BE3130">
        <v>-0.54</v>
      </c>
      <c r="BF3130">
        <v>-1.44</v>
      </c>
      <c r="BG3130">
        <v>0.18</v>
      </c>
      <c r="BH3130">
        <v>-0.65</v>
      </c>
      <c r="BI3130">
        <v>20191118</v>
      </c>
      <c r="BJ3130">
        <v>20090729</v>
      </c>
      <c r="BK3130">
        <v>419.76</v>
      </c>
      <c r="BL3130" t="s">
        <v>116</v>
      </c>
      <c r="BM3130" t="s">
        <v>116</v>
      </c>
      <c r="BN3130">
        <v>19446.439999999999</v>
      </c>
      <c r="BO3130">
        <v>2647.34</v>
      </c>
      <c r="BP3130">
        <v>2015.42</v>
      </c>
      <c r="BQ3130">
        <v>76.02</v>
      </c>
      <c r="BR3130">
        <v>13818.05</v>
      </c>
      <c r="BS3130">
        <v>355.46</v>
      </c>
      <c r="BT3130">
        <v>125</v>
      </c>
      <c r="BU3130">
        <v>10743.87</v>
      </c>
      <c r="BV3130">
        <v>5638.91</v>
      </c>
      <c r="BW3130">
        <v>1562.28</v>
      </c>
      <c r="BX3130">
        <v>118.12</v>
      </c>
      <c r="BY3130">
        <v>9735.99</v>
      </c>
      <c r="BZ3130">
        <v>8720.2099999999991</v>
      </c>
      <c r="CA3130">
        <v>565.65</v>
      </c>
      <c r="CB3130">
        <v>32.39</v>
      </c>
      <c r="CC3130">
        <v>569.66999999999996</v>
      </c>
      <c r="CD3130">
        <v>440.54</v>
      </c>
      <c r="CE3130">
        <v>299.8</v>
      </c>
      <c r="CF3130">
        <v>281.11</v>
      </c>
      <c r="CG3130">
        <v>1877.75</v>
      </c>
      <c r="CH3130">
        <v>-1066.75</v>
      </c>
      <c r="CI3130">
        <v>-900.72</v>
      </c>
      <c r="CJ3130">
        <v>505452</v>
      </c>
      <c r="CK3130">
        <v>27509</v>
      </c>
      <c r="CL3130" t="s">
        <v>13612</v>
      </c>
      <c r="CM3130">
        <v>9.82</v>
      </c>
      <c r="CN3130">
        <v>15.83</v>
      </c>
      <c r="CO3130">
        <v>0.94</v>
      </c>
      <c r="CP3130">
        <v>-2.16</v>
      </c>
      <c r="CQ3130">
        <v>0.24</v>
      </c>
      <c r="CR3130">
        <v>3.06</v>
      </c>
      <c r="CS3130" t="s">
        <v>1945</v>
      </c>
      <c r="CT3130">
        <v>5.81</v>
      </c>
      <c r="CU3130">
        <v>5.81</v>
      </c>
      <c r="CV3130">
        <v>0.28000000000000003</v>
      </c>
      <c r="CW3130">
        <v>4.47</v>
      </c>
      <c r="CX3130">
        <v>-2.54</v>
      </c>
      <c r="CY3130">
        <v>13.61</v>
      </c>
      <c r="CZ3130" t="s">
        <v>5147</v>
      </c>
      <c r="DA3130">
        <v>10.43</v>
      </c>
      <c r="DB3130">
        <v>5.81</v>
      </c>
      <c r="DC3130">
        <v>3.08</v>
      </c>
      <c r="DD3130">
        <v>57.75</v>
      </c>
      <c r="DE3130">
        <v>302827</v>
      </c>
      <c r="DF3130">
        <v>601668</v>
      </c>
      <c r="DG3130" t="s">
        <v>116</v>
      </c>
      <c r="DH3130" t="s">
        <v>116</v>
      </c>
      <c r="DI3130" t="s">
        <v>116</v>
      </c>
    </row>
    <row r="3131" spans="1:113" x14ac:dyDescent="0.4">
      <c r="A3131" t="str">
        <f>"601669"</f>
        <v>601669</v>
      </c>
      <c r="B3131" t="s">
        <v>13613</v>
      </c>
      <c r="C3131">
        <v>0</v>
      </c>
      <c r="D3131">
        <v>4.13</v>
      </c>
      <c r="E3131">
        <v>0</v>
      </c>
      <c r="F3131">
        <v>4.13</v>
      </c>
      <c r="G3131">
        <v>4.1399999999999997</v>
      </c>
      <c r="H3131">
        <v>534277</v>
      </c>
      <c r="I3131">
        <v>4194</v>
      </c>
      <c r="J3131">
        <v>0</v>
      </c>
      <c r="K3131">
        <v>0.48</v>
      </c>
      <c r="L3131">
        <v>4.13</v>
      </c>
      <c r="M3131">
        <v>4.1900000000000004</v>
      </c>
      <c r="N3131">
        <v>4.12</v>
      </c>
      <c r="O3131">
        <v>4.13</v>
      </c>
      <c r="P3131">
        <v>8.15</v>
      </c>
      <c r="Q3131">
        <v>221858832</v>
      </c>
      <c r="R3131">
        <v>1.53</v>
      </c>
      <c r="S3131" t="s">
        <v>181</v>
      </c>
      <c r="T3131" t="s">
        <v>165</v>
      </c>
      <c r="U3131">
        <v>1.69</v>
      </c>
      <c r="V3131">
        <v>4.1500000000000004</v>
      </c>
      <c r="W3131">
        <v>271536</v>
      </c>
      <c r="X3131">
        <v>262741</v>
      </c>
      <c r="Y3131">
        <v>1.03</v>
      </c>
      <c r="Z3131">
        <v>2045</v>
      </c>
      <c r="AA3131">
        <v>3253</v>
      </c>
      <c r="AB3131" t="s">
        <v>116</v>
      </c>
      <c r="AC3131">
        <v>534800</v>
      </c>
      <c r="AD3131">
        <v>0</v>
      </c>
      <c r="AE3131" t="s">
        <v>116</v>
      </c>
      <c r="AF3131" t="s">
        <v>116</v>
      </c>
      <c r="AG3131">
        <v>111.44</v>
      </c>
      <c r="AH3131" t="s">
        <v>13614</v>
      </c>
      <c r="AI3131" t="s">
        <v>13615</v>
      </c>
      <c r="AJ3131">
        <v>0.08</v>
      </c>
      <c r="AK3131">
        <v>3698</v>
      </c>
      <c r="AL3131">
        <v>144</v>
      </c>
      <c r="AM3131">
        <v>1E-4</v>
      </c>
      <c r="AN3131">
        <v>0</v>
      </c>
      <c r="AO3131">
        <v>-0.01</v>
      </c>
      <c r="AP3131">
        <v>1.23</v>
      </c>
      <c r="AQ3131">
        <v>-11.56</v>
      </c>
      <c r="AR3131">
        <v>-13.28</v>
      </c>
      <c r="AS3131">
        <v>0.84</v>
      </c>
      <c r="AT3131" t="s">
        <v>13616</v>
      </c>
      <c r="AU3131">
        <v>8.4700000000000006</v>
      </c>
      <c r="AV3131">
        <v>8.2100000000000009</v>
      </c>
      <c r="AW3131">
        <v>0.94</v>
      </c>
      <c r="BA3131">
        <v>0</v>
      </c>
      <c r="BB3131">
        <v>1.45</v>
      </c>
      <c r="BC3131">
        <v>-0.24</v>
      </c>
      <c r="BD3131">
        <v>0.54</v>
      </c>
      <c r="BE3131">
        <v>0</v>
      </c>
      <c r="BF3131">
        <v>-1.43</v>
      </c>
      <c r="BG3131">
        <v>0.24</v>
      </c>
      <c r="BH3131">
        <v>-0.54</v>
      </c>
      <c r="BI3131">
        <v>20191030</v>
      </c>
      <c r="BJ3131">
        <v>20111018</v>
      </c>
      <c r="BK3131">
        <v>152.99</v>
      </c>
      <c r="BL3131" t="s">
        <v>116</v>
      </c>
      <c r="BM3131" t="s">
        <v>116</v>
      </c>
      <c r="BN3131">
        <v>8118.75</v>
      </c>
      <c r="BO3131">
        <v>896.04</v>
      </c>
      <c r="BP3131">
        <v>694.93</v>
      </c>
      <c r="BQ3131">
        <v>80.400000000000006</v>
      </c>
      <c r="BR3131">
        <v>3942.41</v>
      </c>
      <c r="BS3131">
        <v>986.95</v>
      </c>
      <c r="BT3131">
        <v>1647.14</v>
      </c>
      <c r="BU3131">
        <v>3761.17</v>
      </c>
      <c r="BV3131">
        <v>1661.81</v>
      </c>
      <c r="BW3131">
        <v>579.03</v>
      </c>
      <c r="BX3131">
        <v>248.39</v>
      </c>
      <c r="BY3131">
        <v>2309.98</v>
      </c>
      <c r="BZ3131">
        <v>1982.12</v>
      </c>
      <c r="CA3131">
        <v>100.88</v>
      </c>
      <c r="CB3131">
        <v>6.02</v>
      </c>
      <c r="CC3131">
        <v>102.57</v>
      </c>
      <c r="CD3131">
        <v>79.84</v>
      </c>
      <c r="CE3131">
        <v>58.18</v>
      </c>
      <c r="CF3131">
        <v>51.5</v>
      </c>
      <c r="CG3131">
        <v>421.72</v>
      </c>
      <c r="CH3131">
        <v>-120.69</v>
      </c>
      <c r="CI3131">
        <v>0.47</v>
      </c>
      <c r="CJ3131">
        <v>264798</v>
      </c>
      <c r="CK3131">
        <v>24068</v>
      </c>
      <c r="CL3131" t="s">
        <v>13308</v>
      </c>
      <c r="CM3131">
        <v>-3.85</v>
      </c>
      <c r="CN3131">
        <v>18.18</v>
      </c>
      <c r="CO3131">
        <v>0.76</v>
      </c>
      <c r="CP3131">
        <v>-5.24</v>
      </c>
      <c r="CQ3131">
        <v>0.27</v>
      </c>
      <c r="CR3131">
        <v>2.34</v>
      </c>
      <c r="CS3131" t="s">
        <v>793</v>
      </c>
      <c r="CT3131">
        <v>5.47</v>
      </c>
      <c r="CU3131">
        <v>5.47</v>
      </c>
      <c r="CV3131">
        <v>1.62</v>
      </c>
      <c r="CW3131">
        <v>2.76</v>
      </c>
      <c r="CX3131">
        <v>-0.79</v>
      </c>
      <c r="CY3131">
        <v>11.04</v>
      </c>
      <c r="CZ3131" t="s">
        <v>9820</v>
      </c>
      <c r="DA3131">
        <v>14.19</v>
      </c>
      <c r="DB3131">
        <v>4.37</v>
      </c>
      <c r="DC3131">
        <v>2.52</v>
      </c>
      <c r="DD3131">
        <v>55.91</v>
      </c>
      <c r="DE3131">
        <v>132266</v>
      </c>
      <c r="DF3131">
        <v>601669</v>
      </c>
      <c r="DG3131" t="s">
        <v>116</v>
      </c>
      <c r="DH3131" t="s">
        <v>116</v>
      </c>
      <c r="DI3131" t="s">
        <v>116</v>
      </c>
    </row>
    <row r="3132" spans="1:113" x14ac:dyDescent="0.4">
      <c r="A3132" t="str">
        <f>"601677"</f>
        <v>601677</v>
      </c>
      <c r="B3132" t="s">
        <v>13617</v>
      </c>
      <c r="C3132">
        <v>-0.18</v>
      </c>
      <c r="D3132">
        <v>11.16</v>
      </c>
      <c r="E3132">
        <v>-0.02</v>
      </c>
      <c r="F3132">
        <v>11.15</v>
      </c>
      <c r="G3132">
        <v>11.16</v>
      </c>
      <c r="H3132">
        <v>57404</v>
      </c>
      <c r="I3132">
        <v>442</v>
      </c>
      <c r="J3132">
        <v>-0.08</v>
      </c>
      <c r="K3132">
        <v>1</v>
      </c>
      <c r="L3132">
        <v>11.28</v>
      </c>
      <c r="M3132">
        <v>11.34</v>
      </c>
      <c r="N3132">
        <v>11.13</v>
      </c>
      <c r="O3132">
        <v>11.18</v>
      </c>
      <c r="P3132">
        <v>7.37</v>
      </c>
      <c r="Q3132">
        <v>64470904</v>
      </c>
      <c r="R3132">
        <v>1.1499999999999999</v>
      </c>
      <c r="S3132" t="s">
        <v>1428</v>
      </c>
      <c r="T3132" t="s">
        <v>652</v>
      </c>
      <c r="U3132">
        <v>1.88</v>
      </c>
      <c r="V3132">
        <v>11.23</v>
      </c>
      <c r="W3132">
        <v>28760</v>
      </c>
      <c r="X3132">
        <v>28644</v>
      </c>
      <c r="Y3132">
        <v>1</v>
      </c>
      <c r="Z3132">
        <v>393</v>
      </c>
      <c r="AA3132">
        <v>354</v>
      </c>
      <c r="AB3132" t="s">
        <v>116</v>
      </c>
      <c r="AC3132">
        <v>432000</v>
      </c>
      <c r="AD3132">
        <v>0.01</v>
      </c>
      <c r="AE3132" t="s">
        <v>116</v>
      </c>
      <c r="AF3132" t="s">
        <v>116</v>
      </c>
      <c r="AG3132">
        <v>5.75</v>
      </c>
      <c r="AH3132" t="s">
        <v>10654</v>
      </c>
      <c r="AI3132" t="s">
        <v>13618</v>
      </c>
      <c r="AJ3132">
        <v>-0.1</v>
      </c>
      <c r="AK3132">
        <v>2411</v>
      </c>
      <c r="AL3132">
        <v>24</v>
      </c>
      <c r="AM3132">
        <v>4.0000000000000002E-4</v>
      </c>
      <c r="AN3132">
        <v>-1</v>
      </c>
      <c r="AO3132">
        <v>1.91</v>
      </c>
      <c r="AP3132">
        <v>3.81</v>
      </c>
      <c r="AQ3132">
        <v>3.91</v>
      </c>
      <c r="AR3132">
        <v>29.92</v>
      </c>
      <c r="AS3132">
        <v>1.34</v>
      </c>
      <c r="AT3132" t="s">
        <v>6748</v>
      </c>
      <c r="AU3132">
        <v>8.57</v>
      </c>
      <c r="AV3132">
        <v>13.88</v>
      </c>
      <c r="AW3132">
        <v>1.29</v>
      </c>
      <c r="BA3132">
        <v>0.89</v>
      </c>
      <c r="BB3132">
        <v>1.43</v>
      </c>
      <c r="BC3132">
        <v>-0.45</v>
      </c>
      <c r="BD3132">
        <v>0.46</v>
      </c>
      <c r="BE3132">
        <v>-1.06</v>
      </c>
      <c r="BF3132">
        <v>-1.59</v>
      </c>
      <c r="BG3132">
        <v>0.27</v>
      </c>
      <c r="BH3132">
        <v>-0.64</v>
      </c>
      <c r="BI3132">
        <v>20191030</v>
      </c>
      <c r="BJ3132">
        <v>20110919</v>
      </c>
      <c r="BK3132">
        <v>6.16</v>
      </c>
      <c r="BL3132" t="s">
        <v>116</v>
      </c>
      <c r="BM3132" t="s">
        <v>116</v>
      </c>
      <c r="BN3132">
        <v>111.22</v>
      </c>
      <c r="BO3132">
        <v>70.3</v>
      </c>
      <c r="BP3132">
        <v>2.15</v>
      </c>
      <c r="BQ3132">
        <v>34.86</v>
      </c>
      <c r="BR3132">
        <v>74.23</v>
      </c>
      <c r="BS3132">
        <v>23.33</v>
      </c>
      <c r="BT3132">
        <v>1.6</v>
      </c>
      <c r="BU3132">
        <v>22.2</v>
      </c>
      <c r="BV3132">
        <v>19.97</v>
      </c>
      <c r="BW3132">
        <v>11.28</v>
      </c>
      <c r="BX3132">
        <v>38.56</v>
      </c>
      <c r="BY3132">
        <v>104.68</v>
      </c>
      <c r="BZ3132">
        <v>92.14</v>
      </c>
      <c r="CA3132">
        <v>9.82</v>
      </c>
      <c r="CB3132">
        <v>0.11</v>
      </c>
      <c r="CC3132">
        <v>9.8000000000000007</v>
      </c>
      <c r="CD3132">
        <v>7.59</v>
      </c>
      <c r="CE3132">
        <v>7</v>
      </c>
      <c r="CF3132">
        <v>4.62</v>
      </c>
      <c r="CG3132">
        <v>23.84</v>
      </c>
      <c r="CH3132">
        <v>-5.19</v>
      </c>
      <c r="CI3132">
        <v>-2.93</v>
      </c>
      <c r="CJ3132">
        <v>19710</v>
      </c>
      <c r="CK3132">
        <v>21671</v>
      </c>
      <c r="CL3132" t="s">
        <v>12560</v>
      </c>
      <c r="CM3132">
        <v>77.900000000000006</v>
      </c>
      <c r="CN3132">
        <v>6.6</v>
      </c>
      <c r="CO3132">
        <v>0.98</v>
      </c>
      <c r="CP3132">
        <v>-13.24</v>
      </c>
      <c r="CQ3132">
        <v>0.66</v>
      </c>
      <c r="CR3132">
        <v>1.67</v>
      </c>
      <c r="CS3132" t="s">
        <v>13619</v>
      </c>
      <c r="CT3132">
        <v>11.44</v>
      </c>
      <c r="CU3132">
        <v>11.44</v>
      </c>
      <c r="CV3132">
        <v>6.26</v>
      </c>
      <c r="CW3132">
        <v>3.87</v>
      </c>
      <c r="CX3132">
        <v>-0.84</v>
      </c>
      <c r="CY3132">
        <v>63.21</v>
      </c>
      <c r="CZ3132" t="s">
        <v>8788</v>
      </c>
      <c r="DA3132">
        <v>11.98</v>
      </c>
      <c r="DB3132">
        <v>9.3800000000000008</v>
      </c>
      <c r="DC3132">
        <v>6.69</v>
      </c>
      <c r="DD3132">
        <v>2.4300000000000002</v>
      </c>
      <c r="DE3132">
        <v>4124</v>
      </c>
      <c r="DF3132">
        <v>601677</v>
      </c>
      <c r="DG3132" t="s">
        <v>116</v>
      </c>
      <c r="DH3132" t="s">
        <v>116</v>
      </c>
      <c r="DI3132" t="s">
        <v>116</v>
      </c>
    </row>
    <row r="3133" spans="1:113" x14ac:dyDescent="0.4">
      <c r="A3133" t="str">
        <f>"601678"</f>
        <v>601678</v>
      </c>
      <c r="B3133" t="s">
        <v>13620</v>
      </c>
      <c r="C3133">
        <v>-2.4700000000000002</v>
      </c>
      <c r="D3133">
        <v>5.13</v>
      </c>
      <c r="E3133">
        <v>-0.13</v>
      </c>
      <c r="F3133">
        <v>5.13</v>
      </c>
      <c r="G3133">
        <v>5.14</v>
      </c>
      <c r="H3133">
        <v>181101</v>
      </c>
      <c r="I3133">
        <v>881</v>
      </c>
      <c r="J3133">
        <v>0.2</v>
      </c>
      <c r="K3133">
        <v>1.17</v>
      </c>
      <c r="L3133">
        <v>5.22</v>
      </c>
      <c r="M3133">
        <v>5.23</v>
      </c>
      <c r="N3133">
        <v>5.1100000000000003</v>
      </c>
      <c r="O3133">
        <v>5.26</v>
      </c>
      <c r="P3133">
        <v>17.21</v>
      </c>
      <c r="Q3133">
        <v>93753112</v>
      </c>
      <c r="R3133">
        <v>1.37</v>
      </c>
      <c r="S3133" t="s">
        <v>891</v>
      </c>
      <c r="T3133" t="s">
        <v>645</v>
      </c>
      <c r="U3133">
        <v>2.2799999999999998</v>
      </c>
      <c r="V3133">
        <v>5.18</v>
      </c>
      <c r="W3133">
        <v>114283</v>
      </c>
      <c r="X3133">
        <v>66818</v>
      </c>
      <c r="Y3133">
        <v>1.71</v>
      </c>
      <c r="Z3133">
        <v>573</v>
      </c>
      <c r="AA3133">
        <v>4626</v>
      </c>
      <c r="AB3133" t="s">
        <v>116</v>
      </c>
      <c r="AC3133">
        <v>493300</v>
      </c>
      <c r="AD3133">
        <v>0.01</v>
      </c>
      <c r="AE3133" t="s">
        <v>116</v>
      </c>
      <c r="AF3133" t="s">
        <v>116</v>
      </c>
      <c r="AG3133">
        <v>15.44</v>
      </c>
      <c r="AH3133" t="s">
        <v>9138</v>
      </c>
      <c r="AI3133" t="s">
        <v>9138</v>
      </c>
      <c r="AJ3133">
        <v>-2.39</v>
      </c>
      <c r="AK3133">
        <v>2304</v>
      </c>
      <c r="AL3133">
        <v>79</v>
      </c>
      <c r="AM3133">
        <v>5.0000000000000001E-4</v>
      </c>
      <c r="AN3133">
        <v>-1</v>
      </c>
      <c r="AO3133">
        <v>1.59</v>
      </c>
      <c r="AP3133">
        <v>8</v>
      </c>
      <c r="AQ3133">
        <v>-4.29</v>
      </c>
      <c r="AR3133">
        <v>26.04</v>
      </c>
      <c r="AS3133">
        <v>1.66</v>
      </c>
      <c r="AT3133" t="s">
        <v>13621</v>
      </c>
      <c r="AU3133">
        <v>20.51</v>
      </c>
      <c r="AV3133">
        <v>11.29</v>
      </c>
      <c r="AW3133">
        <v>1.17</v>
      </c>
      <c r="BA3133">
        <v>-0.76</v>
      </c>
      <c r="BB3133">
        <v>-0.56999999999999995</v>
      </c>
      <c r="BC3133">
        <v>-2.85</v>
      </c>
      <c r="BD3133">
        <v>-1.58</v>
      </c>
      <c r="BE3133">
        <v>-1.72</v>
      </c>
      <c r="BF3133">
        <v>-1.91</v>
      </c>
      <c r="BG3133">
        <v>0.39</v>
      </c>
      <c r="BH3133">
        <v>-0.89</v>
      </c>
      <c r="BI3133">
        <v>20191028</v>
      </c>
      <c r="BJ3133">
        <v>20100223</v>
      </c>
      <c r="BK3133">
        <v>15.44</v>
      </c>
      <c r="BL3133" t="s">
        <v>116</v>
      </c>
      <c r="BM3133" t="s">
        <v>116</v>
      </c>
      <c r="BN3133">
        <v>105.94</v>
      </c>
      <c r="BO3133">
        <v>62.49</v>
      </c>
      <c r="BP3133">
        <v>0.66</v>
      </c>
      <c r="BQ3133">
        <v>40.380000000000003</v>
      </c>
      <c r="BR3133">
        <v>21.7</v>
      </c>
      <c r="BS3133">
        <v>51.47</v>
      </c>
      <c r="BT3133">
        <v>7.38</v>
      </c>
      <c r="BU3133">
        <v>29.25</v>
      </c>
      <c r="BV3133">
        <v>2.84</v>
      </c>
      <c r="BW3133">
        <v>1.42</v>
      </c>
      <c r="BX3133">
        <v>9.14</v>
      </c>
      <c r="BY3133">
        <v>45.87</v>
      </c>
      <c r="BZ3133">
        <v>34.94</v>
      </c>
      <c r="CA3133">
        <v>4.5999999999999996</v>
      </c>
      <c r="CB3133">
        <v>0.22</v>
      </c>
      <c r="CC3133">
        <v>4.68</v>
      </c>
      <c r="CD3133">
        <v>3.55</v>
      </c>
      <c r="CE3133">
        <v>3.45</v>
      </c>
      <c r="CF3133">
        <v>3.27</v>
      </c>
      <c r="CG3133">
        <v>32.01</v>
      </c>
      <c r="CH3133">
        <v>7.19</v>
      </c>
      <c r="CI3133">
        <v>-3.39</v>
      </c>
      <c r="CJ3133">
        <v>50494</v>
      </c>
      <c r="CK3133">
        <v>21587</v>
      </c>
      <c r="CL3133" t="s">
        <v>5118</v>
      </c>
      <c r="CM3133">
        <v>-47.75</v>
      </c>
      <c r="CN3133">
        <v>-10.83</v>
      </c>
      <c r="CO3133">
        <v>1.27</v>
      </c>
      <c r="CP3133">
        <v>11.02</v>
      </c>
      <c r="CQ3133">
        <v>1.73</v>
      </c>
      <c r="CR3133">
        <v>2.92</v>
      </c>
      <c r="CS3133" t="s">
        <v>6486</v>
      </c>
      <c r="CT3133">
        <v>4.05</v>
      </c>
      <c r="CU3133">
        <v>0</v>
      </c>
      <c r="CV3133">
        <v>0.59</v>
      </c>
      <c r="CW3133">
        <v>2.0699999999999998</v>
      </c>
      <c r="CX3133">
        <v>0.47</v>
      </c>
      <c r="CY3133">
        <v>58.99</v>
      </c>
      <c r="CZ3133" t="s">
        <v>4338</v>
      </c>
      <c r="DA3133">
        <v>23.82</v>
      </c>
      <c r="DB3133">
        <v>10.02</v>
      </c>
      <c r="DC3133">
        <v>7.53</v>
      </c>
      <c r="DD3133">
        <v>0.09</v>
      </c>
      <c r="DE3133">
        <v>3354</v>
      </c>
      <c r="DF3133">
        <v>601678</v>
      </c>
      <c r="DG3133" t="s">
        <v>116</v>
      </c>
      <c r="DH3133" t="s">
        <v>116</v>
      </c>
      <c r="DI3133" t="s">
        <v>116</v>
      </c>
    </row>
    <row r="3134" spans="1:113" x14ac:dyDescent="0.4">
      <c r="A3134" t="str">
        <f>"601688"</f>
        <v>601688</v>
      </c>
      <c r="B3134" t="s">
        <v>13622</v>
      </c>
      <c r="C3134">
        <v>-0.46</v>
      </c>
      <c r="D3134">
        <v>19.440000000000001</v>
      </c>
      <c r="E3134">
        <v>-0.09</v>
      </c>
      <c r="F3134">
        <v>19.440000000000001</v>
      </c>
      <c r="G3134">
        <v>19.45</v>
      </c>
      <c r="H3134">
        <v>1549088</v>
      </c>
      <c r="I3134">
        <v>8735</v>
      </c>
      <c r="J3134">
        <v>-0.04</v>
      </c>
      <c r="K3134">
        <v>2.11</v>
      </c>
      <c r="L3134">
        <v>19.62</v>
      </c>
      <c r="M3134">
        <v>20.11</v>
      </c>
      <c r="N3134">
        <v>19.350000000000001</v>
      </c>
      <c r="O3134">
        <v>19.53</v>
      </c>
      <c r="P3134">
        <v>20.55</v>
      </c>
      <c r="Q3134">
        <v>3074390016</v>
      </c>
      <c r="R3134">
        <v>1.93</v>
      </c>
      <c r="S3134" t="s">
        <v>623</v>
      </c>
      <c r="T3134" t="s">
        <v>323</v>
      </c>
      <c r="U3134">
        <v>3.89</v>
      </c>
      <c r="V3134">
        <v>19.850000000000001</v>
      </c>
      <c r="W3134">
        <v>793659</v>
      </c>
      <c r="X3134">
        <v>755430</v>
      </c>
      <c r="Y3134">
        <v>1.05</v>
      </c>
      <c r="Z3134">
        <v>1149</v>
      </c>
      <c r="AA3134">
        <v>3698</v>
      </c>
      <c r="AB3134" t="s">
        <v>116</v>
      </c>
      <c r="AC3134">
        <v>16301500</v>
      </c>
      <c r="AD3134">
        <v>0.02</v>
      </c>
      <c r="AE3134" t="s">
        <v>116</v>
      </c>
      <c r="AF3134" t="s">
        <v>116</v>
      </c>
      <c r="AG3134">
        <v>73.58</v>
      </c>
      <c r="AH3134" t="s">
        <v>13623</v>
      </c>
      <c r="AI3134" t="s">
        <v>13623</v>
      </c>
      <c r="AJ3134">
        <v>-0.38</v>
      </c>
      <c r="AK3134">
        <v>4749</v>
      </c>
      <c r="AL3134">
        <v>326</v>
      </c>
      <c r="AM3134">
        <v>4.0000000000000002E-4</v>
      </c>
      <c r="AN3134">
        <v>-1</v>
      </c>
      <c r="AO3134">
        <v>1.04</v>
      </c>
      <c r="AP3134">
        <v>14.56</v>
      </c>
      <c r="AQ3134">
        <v>0.56999999999999995</v>
      </c>
      <c r="AR3134">
        <v>22.26</v>
      </c>
      <c r="AS3134">
        <v>3.47</v>
      </c>
      <c r="AT3134" t="s">
        <v>13624</v>
      </c>
      <c r="AU3134">
        <v>25.23</v>
      </c>
      <c r="AV3134">
        <v>35.06</v>
      </c>
      <c r="AW3134">
        <v>1.38</v>
      </c>
      <c r="BA3134">
        <v>0.46</v>
      </c>
      <c r="BB3134">
        <v>2.97</v>
      </c>
      <c r="BC3134">
        <v>-0.92</v>
      </c>
      <c r="BD3134">
        <v>1.62</v>
      </c>
      <c r="BE3134">
        <v>-0.92</v>
      </c>
      <c r="BF3134">
        <v>-3.33</v>
      </c>
      <c r="BG3134">
        <v>0.47</v>
      </c>
      <c r="BH3134">
        <v>-2.08</v>
      </c>
      <c r="BI3134">
        <v>20191102</v>
      </c>
      <c r="BJ3134">
        <v>20100226</v>
      </c>
      <c r="BK3134">
        <v>90.77</v>
      </c>
      <c r="BL3134" t="s">
        <v>116</v>
      </c>
      <c r="BM3134">
        <v>17.190000000000001</v>
      </c>
      <c r="BN3134">
        <v>5104.5</v>
      </c>
      <c r="BO3134">
        <v>1199.46</v>
      </c>
      <c r="BP3134">
        <v>31.05</v>
      </c>
      <c r="BQ3134">
        <v>75.89</v>
      </c>
      <c r="BR3134">
        <v>0</v>
      </c>
      <c r="BS3134">
        <v>35.909999999999997</v>
      </c>
      <c r="BT3134">
        <v>56.86</v>
      </c>
      <c r="BU3134">
        <v>0</v>
      </c>
      <c r="BV3134">
        <v>0</v>
      </c>
      <c r="BW3134">
        <v>0</v>
      </c>
      <c r="BX3134">
        <v>702.35</v>
      </c>
      <c r="BY3134">
        <v>177.5</v>
      </c>
      <c r="BZ3134">
        <v>0</v>
      </c>
      <c r="CA3134">
        <v>84.49</v>
      </c>
      <c r="CB3134">
        <v>59.22</v>
      </c>
      <c r="CC3134">
        <v>84.48</v>
      </c>
      <c r="CD3134">
        <v>64.88</v>
      </c>
      <c r="CE3134">
        <v>64.41</v>
      </c>
      <c r="CF3134">
        <v>63.03</v>
      </c>
      <c r="CG3134">
        <v>228.74</v>
      </c>
      <c r="CH3134">
        <v>89.45</v>
      </c>
      <c r="CI3134">
        <v>351.29</v>
      </c>
      <c r="CJ3134">
        <v>234824</v>
      </c>
      <c r="CK3134">
        <v>19024</v>
      </c>
      <c r="CL3134" t="s">
        <v>13625</v>
      </c>
      <c r="CM3134">
        <v>43.77</v>
      </c>
      <c r="CN3134">
        <v>41.78</v>
      </c>
      <c r="CO3134">
        <v>1.47</v>
      </c>
      <c r="CP3134">
        <v>19.73</v>
      </c>
      <c r="CQ3134">
        <v>9.94</v>
      </c>
      <c r="CR3134">
        <v>1.54</v>
      </c>
      <c r="CS3134" t="s">
        <v>5125</v>
      </c>
      <c r="CT3134">
        <v>13.21</v>
      </c>
      <c r="CU3134">
        <v>0</v>
      </c>
      <c r="CV3134">
        <v>7.74</v>
      </c>
      <c r="CW3134">
        <v>2.52</v>
      </c>
      <c r="CX3134">
        <v>0.99</v>
      </c>
      <c r="CY3134">
        <v>23.5</v>
      </c>
      <c r="CZ3134" t="s">
        <v>10059</v>
      </c>
      <c r="DA3134" t="s">
        <v>116</v>
      </c>
      <c r="DB3134">
        <v>47.6</v>
      </c>
      <c r="DC3134">
        <v>36.29</v>
      </c>
      <c r="DD3134">
        <v>0</v>
      </c>
      <c r="DE3134">
        <v>9731</v>
      </c>
      <c r="DF3134">
        <v>601688</v>
      </c>
      <c r="DG3134" t="s">
        <v>116</v>
      </c>
      <c r="DH3134" t="s">
        <v>116</v>
      </c>
      <c r="DI3134" t="s">
        <v>116</v>
      </c>
    </row>
    <row r="3135" spans="1:113" x14ac:dyDescent="0.4">
      <c r="A3135" t="str">
        <f>"601689"</f>
        <v>601689</v>
      </c>
      <c r="B3135" t="s">
        <v>13626</v>
      </c>
      <c r="C3135">
        <v>-6.08</v>
      </c>
      <c r="D3135">
        <v>16.98</v>
      </c>
      <c r="E3135">
        <v>-1.1000000000000001</v>
      </c>
      <c r="F3135">
        <v>16.97</v>
      </c>
      <c r="G3135">
        <v>16.98</v>
      </c>
      <c r="H3135">
        <v>230990</v>
      </c>
      <c r="I3135">
        <v>1694</v>
      </c>
      <c r="J3135">
        <v>-0.05</v>
      </c>
      <c r="K3135">
        <v>2.2000000000000002</v>
      </c>
      <c r="L3135">
        <v>18.170000000000002</v>
      </c>
      <c r="M3135">
        <v>18.23</v>
      </c>
      <c r="N3135">
        <v>16.78</v>
      </c>
      <c r="O3135">
        <v>18.079999999999998</v>
      </c>
      <c r="P3135">
        <v>39.82</v>
      </c>
      <c r="Q3135">
        <v>400157568</v>
      </c>
      <c r="R3135">
        <v>2.2200000000000002</v>
      </c>
      <c r="S3135" t="s">
        <v>293</v>
      </c>
      <c r="T3135" t="s">
        <v>590</v>
      </c>
      <c r="U3135">
        <v>8.02</v>
      </c>
      <c r="V3135">
        <v>17.32</v>
      </c>
      <c r="W3135">
        <v>124143</v>
      </c>
      <c r="X3135">
        <v>106850</v>
      </c>
      <c r="Y3135">
        <v>1.1599999999999999</v>
      </c>
      <c r="Z3135">
        <v>70</v>
      </c>
      <c r="AA3135">
        <v>5</v>
      </c>
      <c r="AB3135" t="s">
        <v>116</v>
      </c>
      <c r="AC3135">
        <v>581400</v>
      </c>
      <c r="AD3135">
        <v>0.01</v>
      </c>
      <c r="AE3135" t="s">
        <v>116</v>
      </c>
      <c r="AF3135" t="s">
        <v>116</v>
      </c>
      <c r="AG3135">
        <v>10.48</v>
      </c>
      <c r="AH3135" t="s">
        <v>13627</v>
      </c>
      <c r="AI3135" t="s">
        <v>13628</v>
      </c>
      <c r="AJ3135">
        <v>-6.01</v>
      </c>
      <c r="AK3135">
        <v>3962</v>
      </c>
      <c r="AL3135">
        <v>58</v>
      </c>
      <c r="AM3135">
        <v>5.9999999999999995E-4</v>
      </c>
      <c r="AN3135">
        <v>-2</v>
      </c>
      <c r="AO3135">
        <v>-6.18</v>
      </c>
      <c r="AP3135">
        <v>21.2</v>
      </c>
      <c r="AQ3135">
        <v>48.43</v>
      </c>
      <c r="AR3135">
        <v>71.36</v>
      </c>
      <c r="AS3135">
        <v>6.61</v>
      </c>
      <c r="AT3135" t="s">
        <v>13629</v>
      </c>
      <c r="AU3135">
        <v>37.83</v>
      </c>
      <c r="AV3135">
        <v>23.78</v>
      </c>
      <c r="AW3135">
        <v>1.9</v>
      </c>
      <c r="BA3135">
        <v>0.5</v>
      </c>
      <c r="BB3135">
        <v>0.83</v>
      </c>
      <c r="BC3135">
        <v>-7.19</v>
      </c>
      <c r="BD3135">
        <v>-4.18</v>
      </c>
      <c r="BE3135">
        <v>-6.55</v>
      </c>
      <c r="BF3135">
        <v>-6.86</v>
      </c>
      <c r="BG3135">
        <v>1.19</v>
      </c>
      <c r="BH3135">
        <v>-1.9</v>
      </c>
      <c r="BI3135">
        <v>20191028</v>
      </c>
      <c r="BJ3135">
        <v>20150319</v>
      </c>
      <c r="BK3135">
        <v>10.55</v>
      </c>
      <c r="BL3135" t="s">
        <v>116</v>
      </c>
      <c r="BM3135" t="s">
        <v>116</v>
      </c>
      <c r="BN3135">
        <v>107.25</v>
      </c>
      <c r="BO3135">
        <v>72.56</v>
      </c>
      <c r="BP3135">
        <v>0.28999999999999998</v>
      </c>
      <c r="BQ3135">
        <v>32.08</v>
      </c>
      <c r="BR3135">
        <v>50.57</v>
      </c>
      <c r="BS3135">
        <v>35.58</v>
      </c>
      <c r="BT3135">
        <v>6.19</v>
      </c>
      <c r="BU3135">
        <v>30.45</v>
      </c>
      <c r="BV3135">
        <v>11.4</v>
      </c>
      <c r="BW3135">
        <v>11.45</v>
      </c>
      <c r="BX3135">
        <v>34.090000000000003</v>
      </c>
      <c r="BY3135">
        <v>37.659999999999997</v>
      </c>
      <c r="BZ3135">
        <v>27.81</v>
      </c>
      <c r="CA3135">
        <v>4.07</v>
      </c>
      <c r="CB3135">
        <v>0.32</v>
      </c>
      <c r="CC3135">
        <v>4.08</v>
      </c>
      <c r="CD3135">
        <v>3.41</v>
      </c>
      <c r="CE3135">
        <v>3.37</v>
      </c>
      <c r="CF3135">
        <v>3.15</v>
      </c>
      <c r="CG3135">
        <v>24.31</v>
      </c>
      <c r="CH3135">
        <v>7.74</v>
      </c>
      <c r="CI3135">
        <v>-1.52</v>
      </c>
      <c r="CJ3135">
        <v>28025</v>
      </c>
      <c r="CK3135">
        <v>12465</v>
      </c>
      <c r="CL3135" t="s">
        <v>13630</v>
      </c>
      <c r="CM3135">
        <v>-45.33</v>
      </c>
      <c r="CN3135">
        <v>-15.5</v>
      </c>
      <c r="CO3135">
        <v>2.4700000000000002</v>
      </c>
      <c r="CP3135">
        <v>23.15</v>
      </c>
      <c r="CQ3135">
        <v>4.76</v>
      </c>
      <c r="CR3135">
        <v>1.67</v>
      </c>
      <c r="CS3135" t="s">
        <v>3311</v>
      </c>
      <c r="CT3135">
        <v>6.88</v>
      </c>
      <c r="CU3135">
        <v>0</v>
      </c>
      <c r="CV3135">
        <v>3.23</v>
      </c>
      <c r="CW3135">
        <v>2.2999999999999998</v>
      </c>
      <c r="CX3135">
        <v>0.73</v>
      </c>
      <c r="CY3135">
        <v>67.650000000000006</v>
      </c>
      <c r="CZ3135" t="s">
        <v>5340</v>
      </c>
      <c r="DA3135">
        <v>26.15</v>
      </c>
      <c r="DB3135">
        <v>10.81</v>
      </c>
      <c r="DC3135">
        <v>8.9600000000000009</v>
      </c>
      <c r="DD3135">
        <v>2.36</v>
      </c>
      <c r="DE3135">
        <v>7758</v>
      </c>
      <c r="DF3135">
        <v>601689</v>
      </c>
      <c r="DG3135" t="s">
        <v>116</v>
      </c>
      <c r="DH3135" t="s">
        <v>116</v>
      </c>
      <c r="DI3135" t="s">
        <v>116</v>
      </c>
    </row>
    <row r="3136" spans="1:113" x14ac:dyDescent="0.4">
      <c r="A3136" t="str">
        <f>"601698"</f>
        <v>601698</v>
      </c>
      <c r="B3136" t="s">
        <v>13631</v>
      </c>
      <c r="C3136">
        <v>1.07</v>
      </c>
      <c r="D3136">
        <v>11.38</v>
      </c>
      <c r="E3136">
        <v>0.12</v>
      </c>
      <c r="F3136">
        <v>11.37</v>
      </c>
      <c r="G3136">
        <v>11.38</v>
      </c>
      <c r="H3136">
        <v>319092</v>
      </c>
      <c r="I3136">
        <v>3966</v>
      </c>
      <c r="J3136">
        <v>0.09</v>
      </c>
      <c r="K3136">
        <v>7.98</v>
      </c>
      <c r="L3136">
        <v>11.3</v>
      </c>
      <c r="M3136">
        <v>11.62</v>
      </c>
      <c r="N3136">
        <v>11.23</v>
      </c>
      <c r="O3136">
        <v>11.26</v>
      </c>
      <c r="P3136">
        <v>111.51</v>
      </c>
      <c r="Q3136">
        <v>365786784</v>
      </c>
      <c r="R3136">
        <v>1.43</v>
      </c>
      <c r="S3136" t="s">
        <v>3586</v>
      </c>
      <c r="T3136" t="s">
        <v>165</v>
      </c>
      <c r="U3136">
        <v>3.46</v>
      </c>
      <c r="V3136">
        <v>11.46</v>
      </c>
      <c r="W3136">
        <v>156458</v>
      </c>
      <c r="X3136">
        <v>162634</v>
      </c>
      <c r="Y3136">
        <v>0.96</v>
      </c>
      <c r="Z3136">
        <v>968</v>
      </c>
      <c r="AA3136">
        <v>172</v>
      </c>
      <c r="AB3136" t="s">
        <v>116</v>
      </c>
      <c r="AC3136">
        <v>1035100</v>
      </c>
      <c r="AD3136">
        <v>0.02</v>
      </c>
      <c r="AE3136" t="s">
        <v>116</v>
      </c>
      <c r="AF3136" t="s">
        <v>116</v>
      </c>
      <c r="AG3136">
        <v>4</v>
      </c>
      <c r="AH3136" t="s">
        <v>13632</v>
      </c>
      <c r="AI3136" t="s">
        <v>13633</v>
      </c>
      <c r="AJ3136">
        <v>1.1399999999999999</v>
      </c>
      <c r="AK3136">
        <v>4133</v>
      </c>
      <c r="AL3136">
        <v>77</v>
      </c>
      <c r="AM3136">
        <v>1.9E-3</v>
      </c>
      <c r="AN3136">
        <v>1</v>
      </c>
      <c r="AO3136">
        <v>2.25</v>
      </c>
      <c r="AP3136">
        <v>13.91</v>
      </c>
      <c r="AQ3136">
        <v>-5.87</v>
      </c>
      <c r="AR3136">
        <v>318.38</v>
      </c>
      <c r="AS3136">
        <v>7.98</v>
      </c>
      <c r="AT3136" t="s">
        <v>13632</v>
      </c>
      <c r="AU3136">
        <v>95.98</v>
      </c>
      <c r="AV3136">
        <v>108.83</v>
      </c>
      <c r="AW3136">
        <v>2.2400000000000002</v>
      </c>
      <c r="BA3136">
        <v>0.36</v>
      </c>
      <c r="BB3136">
        <v>3.2</v>
      </c>
      <c r="BC3136">
        <v>-0.27</v>
      </c>
      <c r="BD3136">
        <v>1.81</v>
      </c>
      <c r="BE3136">
        <v>0.71</v>
      </c>
      <c r="BF3136">
        <v>-2.0699999999999998</v>
      </c>
      <c r="BG3136">
        <v>1.34</v>
      </c>
      <c r="BH3136">
        <v>-0.74</v>
      </c>
      <c r="BI3136">
        <v>20191030</v>
      </c>
      <c r="BJ3136">
        <v>20190628</v>
      </c>
      <c r="BK3136">
        <v>40</v>
      </c>
      <c r="BL3136" t="s">
        <v>116</v>
      </c>
      <c r="BM3136" t="s">
        <v>116</v>
      </c>
      <c r="BN3136">
        <v>191.6</v>
      </c>
      <c r="BO3136">
        <v>112.03</v>
      </c>
      <c r="BP3136">
        <v>39.869999999999997</v>
      </c>
      <c r="BQ3136">
        <v>20.72</v>
      </c>
      <c r="BR3136">
        <v>46.58</v>
      </c>
      <c r="BS3136">
        <v>97.62</v>
      </c>
      <c r="BT3136">
        <v>14.08</v>
      </c>
      <c r="BU3136">
        <v>29.54</v>
      </c>
      <c r="BV3136">
        <v>0.18</v>
      </c>
      <c r="BW3136">
        <v>6.77</v>
      </c>
      <c r="BX3136">
        <v>58.75</v>
      </c>
      <c r="BY3136">
        <v>19.32</v>
      </c>
      <c r="BZ3136">
        <v>12.03</v>
      </c>
      <c r="CA3136">
        <v>5.24</v>
      </c>
      <c r="CB3136">
        <v>-7.0000000000000007E-2</v>
      </c>
      <c r="CC3136">
        <v>5.64</v>
      </c>
      <c r="CD3136">
        <v>4.8499999999999996</v>
      </c>
      <c r="CE3136">
        <v>3.06</v>
      </c>
      <c r="CF3136">
        <v>2.95</v>
      </c>
      <c r="CG3136">
        <v>10.51</v>
      </c>
      <c r="CH3136">
        <v>11.51</v>
      </c>
      <c r="CI3136">
        <v>9.32</v>
      </c>
      <c r="CJ3136">
        <v>128007</v>
      </c>
      <c r="CK3136">
        <v>3125</v>
      </c>
      <c r="CL3136" t="s">
        <v>7570</v>
      </c>
      <c r="CM3136">
        <v>0</v>
      </c>
      <c r="CN3136">
        <v>0</v>
      </c>
      <c r="CO3136">
        <v>4.0599999999999996</v>
      </c>
      <c r="CP3136">
        <v>39.549999999999997</v>
      </c>
      <c r="CQ3136">
        <v>23.56</v>
      </c>
      <c r="CR3136">
        <v>0</v>
      </c>
      <c r="CS3136" t="s">
        <v>2516</v>
      </c>
      <c r="CT3136">
        <v>2.8</v>
      </c>
      <c r="CU3136">
        <v>0</v>
      </c>
      <c r="CV3136">
        <v>1.47</v>
      </c>
      <c r="CW3136">
        <v>0.26</v>
      </c>
      <c r="CX3136">
        <v>0.28999999999999998</v>
      </c>
      <c r="CY3136">
        <v>58.47</v>
      </c>
      <c r="CZ3136" t="s">
        <v>5525</v>
      </c>
      <c r="DA3136">
        <v>37.74</v>
      </c>
      <c r="DB3136">
        <v>27.12</v>
      </c>
      <c r="DC3136">
        <v>15.85</v>
      </c>
      <c r="DD3136">
        <v>0.33</v>
      </c>
      <c r="DE3136">
        <v>502</v>
      </c>
      <c r="DF3136">
        <v>601698</v>
      </c>
      <c r="DG3136" t="s">
        <v>116</v>
      </c>
      <c r="DH3136" t="s">
        <v>116</v>
      </c>
      <c r="DI3136" t="s">
        <v>116</v>
      </c>
    </row>
    <row r="3137" spans="1:113" x14ac:dyDescent="0.4">
      <c r="A3137" t="str">
        <f>"601699"</f>
        <v>601699</v>
      </c>
      <c r="B3137" t="s">
        <v>13634</v>
      </c>
      <c r="C3137">
        <v>0.85</v>
      </c>
      <c r="D3137">
        <v>7.09</v>
      </c>
      <c r="E3137">
        <v>0.06</v>
      </c>
      <c r="F3137">
        <v>7.09</v>
      </c>
      <c r="G3137">
        <v>7.1</v>
      </c>
      <c r="H3137">
        <v>193062</v>
      </c>
      <c r="I3137">
        <v>1999</v>
      </c>
      <c r="J3137">
        <v>0</v>
      </c>
      <c r="K3137">
        <v>0.65</v>
      </c>
      <c r="L3137">
        <v>7.03</v>
      </c>
      <c r="M3137">
        <v>7.22</v>
      </c>
      <c r="N3137">
        <v>7.02</v>
      </c>
      <c r="O3137">
        <v>7.03</v>
      </c>
      <c r="P3137">
        <v>7.53</v>
      </c>
      <c r="Q3137">
        <v>137414288</v>
      </c>
      <c r="R3137">
        <v>2.0299999999999998</v>
      </c>
      <c r="S3137" t="s">
        <v>1121</v>
      </c>
      <c r="T3137" t="s">
        <v>675</v>
      </c>
      <c r="U3137">
        <v>2.84</v>
      </c>
      <c r="V3137">
        <v>7.12</v>
      </c>
      <c r="W3137">
        <v>80300</v>
      </c>
      <c r="X3137">
        <v>112762</v>
      </c>
      <c r="Y3137">
        <v>0.71</v>
      </c>
      <c r="Z3137">
        <v>6</v>
      </c>
      <c r="AA3137">
        <v>798</v>
      </c>
      <c r="AB3137" t="s">
        <v>116</v>
      </c>
      <c r="AC3137">
        <v>113500</v>
      </c>
      <c r="AD3137">
        <v>0</v>
      </c>
      <c r="AE3137" t="s">
        <v>116</v>
      </c>
      <c r="AF3137" t="s">
        <v>116</v>
      </c>
      <c r="AG3137">
        <v>29.91</v>
      </c>
      <c r="AH3137" t="s">
        <v>13635</v>
      </c>
      <c r="AI3137" t="s">
        <v>13635</v>
      </c>
      <c r="AJ3137">
        <v>0.93</v>
      </c>
      <c r="AK3137">
        <v>2512</v>
      </c>
      <c r="AL3137">
        <v>77</v>
      </c>
      <c r="AM3137">
        <v>2.9999999999999997E-4</v>
      </c>
      <c r="AN3137">
        <v>2</v>
      </c>
      <c r="AO3137">
        <v>0.71</v>
      </c>
      <c r="AP3137">
        <v>2.46</v>
      </c>
      <c r="AQ3137">
        <v>-3.27</v>
      </c>
      <c r="AR3137">
        <v>10.92</v>
      </c>
      <c r="AS3137">
        <v>1.75</v>
      </c>
      <c r="AT3137" t="s">
        <v>13636</v>
      </c>
      <c r="AU3137">
        <v>8.33</v>
      </c>
      <c r="AV3137">
        <v>7.96</v>
      </c>
      <c r="AW3137">
        <v>1</v>
      </c>
      <c r="BA3137">
        <v>0</v>
      </c>
      <c r="BB3137">
        <v>2.7</v>
      </c>
      <c r="BC3137">
        <v>-0.14000000000000001</v>
      </c>
      <c r="BD3137">
        <v>1.25</v>
      </c>
      <c r="BE3137">
        <v>0.85</v>
      </c>
      <c r="BF3137">
        <v>-1.8</v>
      </c>
      <c r="BG3137">
        <v>1</v>
      </c>
      <c r="BH3137">
        <v>-0.39</v>
      </c>
      <c r="BI3137">
        <v>20191113</v>
      </c>
      <c r="BJ3137">
        <v>20060922</v>
      </c>
      <c r="BK3137">
        <v>29.91</v>
      </c>
      <c r="BL3137" t="s">
        <v>116</v>
      </c>
      <c r="BM3137" t="s">
        <v>116</v>
      </c>
      <c r="BN3137">
        <v>674.14</v>
      </c>
      <c r="BO3137">
        <v>261.77999999999997</v>
      </c>
      <c r="BP3137">
        <v>-12.92</v>
      </c>
      <c r="BQ3137">
        <v>63.08</v>
      </c>
      <c r="BR3137">
        <v>313.5</v>
      </c>
      <c r="BS3137">
        <v>217.04</v>
      </c>
      <c r="BT3137">
        <v>76.8</v>
      </c>
      <c r="BU3137">
        <v>336.8</v>
      </c>
      <c r="BV3137">
        <v>12.55</v>
      </c>
      <c r="BW3137">
        <v>61.37</v>
      </c>
      <c r="BX3137">
        <v>15.88</v>
      </c>
      <c r="BY3137">
        <v>174.1</v>
      </c>
      <c r="BZ3137">
        <v>105.95</v>
      </c>
      <c r="CA3137">
        <v>29.6</v>
      </c>
      <c r="CB3137">
        <v>0.75</v>
      </c>
      <c r="CC3137">
        <v>29.42</v>
      </c>
      <c r="CD3137">
        <v>21.45</v>
      </c>
      <c r="CE3137">
        <v>21.13</v>
      </c>
      <c r="CF3137">
        <v>20.94</v>
      </c>
      <c r="CG3137">
        <v>144.46</v>
      </c>
      <c r="CH3137">
        <v>46.27</v>
      </c>
      <c r="CI3137">
        <v>1.1599999999999999</v>
      </c>
      <c r="CJ3137">
        <v>75918</v>
      </c>
      <c r="CK3137">
        <v>14560</v>
      </c>
      <c r="CL3137" t="s">
        <v>3323</v>
      </c>
      <c r="CM3137">
        <v>-5.23</v>
      </c>
      <c r="CN3137">
        <v>0.52</v>
      </c>
      <c r="CO3137">
        <v>0.81</v>
      </c>
      <c r="CP3137">
        <v>4.58</v>
      </c>
      <c r="CQ3137">
        <v>1.22</v>
      </c>
      <c r="CR3137">
        <v>3.78</v>
      </c>
      <c r="CS3137" t="s">
        <v>11537</v>
      </c>
      <c r="CT3137">
        <v>8.75</v>
      </c>
      <c r="CU3137">
        <v>0</v>
      </c>
      <c r="CV3137">
        <v>0.53</v>
      </c>
      <c r="CW3137">
        <v>4.83</v>
      </c>
      <c r="CX3137">
        <v>1.55</v>
      </c>
      <c r="CY3137">
        <v>38.83</v>
      </c>
      <c r="CZ3137" t="s">
        <v>13637</v>
      </c>
      <c r="DA3137">
        <v>39.14</v>
      </c>
      <c r="DB3137">
        <v>17</v>
      </c>
      <c r="DC3137">
        <v>12.13</v>
      </c>
      <c r="DD3137">
        <v>4.7699999999999996</v>
      </c>
      <c r="DE3137">
        <v>34078</v>
      </c>
      <c r="DF3137">
        <v>601699</v>
      </c>
      <c r="DG3137" t="s">
        <v>116</v>
      </c>
      <c r="DH3137" t="s">
        <v>116</v>
      </c>
      <c r="DI3137" t="s">
        <v>116</v>
      </c>
    </row>
    <row r="3138" spans="1:113" x14ac:dyDescent="0.4">
      <c r="A3138" t="str">
        <f>"601700"</f>
        <v>601700</v>
      </c>
      <c r="B3138" t="s">
        <v>13638</v>
      </c>
      <c r="C3138">
        <v>-3.12</v>
      </c>
      <c r="D3138">
        <v>6.52</v>
      </c>
      <c r="E3138">
        <v>-0.21</v>
      </c>
      <c r="F3138">
        <v>6.51</v>
      </c>
      <c r="G3138">
        <v>6.52</v>
      </c>
      <c r="H3138">
        <v>667473</v>
      </c>
      <c r="I3138">
        <v>11615</v>
      </c>
      <c r="J3138">
        <v>-1.05</v>
      </c>
      <c r="K3138">
        <v>5.89</v>
      </c>
      <c r="L3138">
        <v>6.67</v>
      </c>
      <c r="M3138">
        <v>6.97</v>
      </c>
      <c r="N3138">
        <v>6.51</v>
      </c>
      <c r="O3138">
        <v>6.73</v>
      </c>
      <c r="P3138">
        <v>38.18</v>
      </c>
      <c r="Q3138">
        <v>447792160</v>
      </c>
      <c r="R3138">
        <v>0.73</v>
      </c>
      <c r="S3138" t="s">
        <v>397</v>
      </c>
      <c r="T3138" t="s">
        <v>323</v>
      </c>
      <c r="U3138">
        <v>6.84</v>
      </c>
      <c r="V3138">
        <v>6.71</v>
      </c>
      <c r="W3138">
        <v>364102</v>
      </c>
      <c r="X3138">
        <v>303371</v>
      </c>
      <c r="Y3138">
        <v>1.2</v>
      </c>
      <c r="Z3138">
        <v>1813</v>
      </c>
      <c r="AA3138">
        <v>2366</v>
      </c>
      <c r="AB3138" t="s">
        <v>116</v>
      </c>
      <c r="AC3138">
        <v>3447700</v>
      </c>
      <c r="AD3138">
        <v>0.1</v>
      </c>
      <c r="AE3138" t="s">
        <v>116</v>
      </c>
      <c r="AF3138" t="s">
        <v>116</v>
      </c>
      <c r="AG3138">
        <v>11.33</v>
      </c>
      <c r="AH3138" t="s">
        <v>13639</v>
      </c>
      <c r="AI3138" t="s">
        <v>13639</v>
      </c>
      <c r="AJ3138">
        <v>-3.04</v>
      </c>
      <c r="AK3138">
        <v>4073</v>
      </c>
      <c r="AL3138">
        <v>164</v>
      </c>
      <c r="AM3138">
        <v>1.4E-3</v>
      </c>
      <c r="AN3138">
        <v>-1</v>
      </c>
      <c r="AO3138">
        <v>-0.45</v>
      </c>
      <c r="AP3138">
        <v>27.59</v>
      </c>
      <c r="AQ3138">
        <v>18.760000000000002</v>
      </c>
      <c r="AR3138">
        <v>79.12</v>
      </c>
      <c r="AS3138">
        <v>13.34</v>
      </c>
      <c r="AT3138" t="s">
        <v>13640</v>
      </c>
      <c r="AU3138">
        <v>54.17</v>
      </c>
      <c r="AV3138">
        <v>236.62</v>
      </c>
      <c r="AW3138">
        <v>2.29</v>
      </c>
      <c r="BA3138">
        <v>-0.89</v>
      </c>
      <c r="BB3138">
        <v>3.57</v>
      </c>
      <c r="BC3138">
        <v>-3.27</v>
      </c>
      <c r="BD3138">
        <v>-0.32</v>
      </c>
      <c r="BE3138">
        <v>-2.25</v>
      </c>
      <c r="BF3138">
        <v>-6.46</v>
      </c>
      <c r="BG3138">
        <v>0.15</v>
      </c>
      <c r="BH3138">
        <v>-2.8</v>
      </c>
      <c r="BI3138">
        <v>20191210</v>
      </c>
      <c r="BJ3138">
        <v>20110118</v>
      </c>
      <c r="BK3138">
        <v>11.33</v>
      </c>
      <c r="BL3138" t="s">
        <v>116</v>
      </c>
      <c r="BM3138" t="s">
        <v>116</v>
      </c>
      <c r="BN3138">
        <v>51.25</v>
      </c>
      <c r="BO3138">
        <v>27.9</v>
      </c>
      <c r="BP3138">
        <v>0.12</v>
      </c>
      <c r="BQ3138">
        <v>45.33</v>
      </c>
      <c r="BR3138">
        <v>37.97</v>
      </c>
      <c r="BS3138">
        <v>4.28</v>
      </c>
      <c r="BT3138">
        <v>1.1100000000000001</v>
      </c>
      <c r="BU3138">
        <v>23.2</v>
      </c>
      <c r="BV3138">
        <v>11.28</v>
      </c>
      <c r="BW3138">
        <v>10.67</v>
      </c>
      <c r="BX3138">
        <v>12.19</v>
      </c>
      <c r="BY3138">
        <v>19.91</v>
      </c>
      <c r="BZ3138">
        <v>16.600000000000001</v>
      </c>
      <c r="CA3138">
        <v>1.52</v>
      </c>
      <c r="CB3138">
        <v>0.57999999999999996</v>
      </c>
      <c r="CC3138">
        <v>1.57</v>
      </c>
      <c r="CD3138">
        <v>1.46</v>
      </c>
      <c r="CE3138">
        <v>1.45</v>
      </c>
      <c r="CF3138">
        <v>0.69</v>
      </c>
      <c r="CG3138">
        <v>3.2</v>
      </c>
      <c r="CH3138">
        <v>1.1499999999999999</v>
      </c>
      <c r="CI3138">
        <v>2.58</v>
      </c>
      <c r="CJ3138">
        <v>98143</v>
      </c>
      <c r="CK3138">
        <v>5097</v>
      </c>
      <c r="CL3138" t="s">
        <v>3451</v>
      </c>
      <c r="CM3138">
        <v>262.95</v>
      </c>
      <c r="CN3138">
        <v>10.36</v>
      </c>
      <c r="CO3138">
        <v>2.65</v>
      </c>
      <c r="CP3138">
        <v>64.14</v>
      </c>
      <c r="CQ3138">
        <v>3.71</v>
      </c>
      <c r="CR3138">
        <v>2.76</v>
      </c>
      <c r="CS3138" t="s">
        <v>5140</v>
      </c>
      <c r="CT3138">
        <v>2.46</v>
      </c>
      <c r="CU3138">
        <v>0</v>
      </c>
      <c r="CV3138">
        <v>1.08</v>
      </c>
      <c r="CW3138">
        <v>0.28000000000000003</v>
      </c>
      <c r="CX3138">
        <v>0.1</v>
      </c>
      <c r="CY3138">
        <v>54.43</v>
      </c>
      <c r="CZ3138" t="s">
        <v>3669</v>
      </c>
      <c r="DA3138">
        <v>16.63</v>
      </c>
      <c r="DB3138">
        <v>7.63</v>
      </c>
      <c r="DC3138">
        <v>7.29</v>
      </c>
      <c r="DD3138">
        <v>0.11</v>
      </c>
      <c r="DE3138">
        <v>1045</v>
      </c>
      <c r="DF3138">
        <v>601700</v>
      </c>
      <c r="DG3138" t="s">
        <v>116</v>
      </c>
      <c r="DH3138" t="s">
        <v>116</v>
      </c>
      <c r="DI3138" t="s">
        <v>116</v>
      </c>
    </row>
    <row r="3139" spans="1:113" x14ac:dyDescent="0.4">
      <c r="A3139" t="str">
        <f>"601717"</f>
        <v>601717</v>
      </c>
      <c r="B3139" t="s">
        <v>13641</v>
      </c>
      <c r="C3139">
        <v>-0.16</v>
      </c>
      <c r="D3139">
        <v>6.3</v>
      </c>
      <c r="E3139">
        <v>-0.01</v>
      </c>
      <c r="F3139">
        <v>6.29</v>
      </c>
      <c r="G3139">
        <v>6.3</v>
      </c>
      <c r="H3139">
        <v>145336</v>
      </c>
      <c r="I3139">
        <v>946</v>
      </c>
      <c r="J3139">
        <v>0.16</v>
      </c>
      <c r="K3139">
        <v>0.98</v>
      </c>
      <c r="L3139">
        <v>6.31</v>
      </c>
      <c r="M3139">
        <v>6.38</v>
      </c>
      <c r="N3139">
        <v>6.29</v>
      </c>
      <c r="O3139">
        <v>6.31</v>
      </c>
      <c r="P3139">
        <v>7.73</v>
      </c>
      <c r="Q3139">
        <v>92223472</v>
      </c>
      <c r="R3139">
        <v>1.1100000000000001</v>
      </c>
      <c r="S3139" t="s">
        <v>293</v>
      </c>
      <c r="T3139" t="s">
        <v>652</v>
      </c>
      <c r="U3139">
        <v>1.43</v>
      </c>
      <c r="V3139">
        <v>6.35</v>
      </c>
      <c r="W3139">
        <v>65812</v>
      </c>
      <c r="X3139">
        <v>79524</v>
      </c>
      <c r="Y3139">
        <v>0.83</v>
      </c>
      <c r="Z3139">
        <v>1502</v>
      </c>
      <c r="AA3139">
        <v>934</v>
      </c>
      <c r="AB3139" t="s">
        <v>116</v>
      </c>
      <c r="AC3139">
        <v>245500</v>
      </c>
      <c r="AD3139">
        <v>0</v>
      </c>
      <c r="AE3139" t="s">
        <v>116</v>
      </c>
      <c r="AF3139" t="s">
        <v>116</v>
      </c>
      <c r="AG3139">
        <v>14.83</v>
      </c>
      <c r="AH3139" t="s">
        <v>8061</v>
      </c>
      <c r="AI3139" t="s">
        <v>13642</v>
      </c>
      <c r="AJ3139">
        <v>-0.08</v>
      </c>
      <c r="AK3139">
        <v>2469</v>
      </c>
      <c r="AL3139">
        <v>59</v>
      </c>
      <c r="AM3139">
        <v>4.0000000000000002E-4</v>
      </c>
      <c r="AN3139">
        <v>-1</v>
      </c>
      <c r="AO3139">
        <v>-0.63</v>
      </c>
      <c r="AP3139">
        <v>1.94</v>
      </c>
      <c r="AQ3139">
        <v>1.1200000000000001</v>
      </c>
      <c r="AR3139">
        <v>16.989999999999998</v>
      </c>
      <c r="AS3139">
        <v>1.51</v>
      </c>
      <c r="AT3139" t="s">
        <v>13643</v>
      </c>
      <c r="AU3139">
        <v>9.0500000000000007</v>
      </c>
      <c r="AV3139">
        <v>13.11</v>
      </c>
      <c r="AW3139">
        <v>1.0900000000000001</v>
      </c>
      <c r="BA3139">
        <v>0</v>
      </c>
      <c r="BB3139">
        <v>1.1100000000000001</v>
      </c>
      <c r="BC3139">
        <v>-0.32</v>
      </c>
      <c r="BD3139">
        <v>0.56000000000000005</v>
      </c>
      <c r="BE3139">
        <v>-0.16</v>
      </c>
      <c r="BF3139">
        <v>-1.25</v>
      </c>
      <c r="BG3139">
        <v>0.16</v>
      </c>
      <c r="BH3139">
        <v>-0.72</v>
      </c>
      <c r="BI3139">
        <v>20191031</v>
      </c>
      <c r="BJ3139">
        <v>20100803</v>
      </c>
      <c r="BK3139">
        <v>17.32</v>
      </c>
      <c r="BL3139" t="s">
        <v>116</v>
      </c>
      <c r="BM3139">
        <v>2.4300000000000002</v>
      </c>
      <c r="BN3139">
        <v>289.20999999999998</v>
      </c>
      <c r="BO3139">
        <v>122.44</v>
      </c>
      <c r="BP3139">
        <v>8.76</v>
      </c>
      <c r="BQ3139">
        <v>54.63</v>
      </c>
      <c r="BR3139">
        <v>189.76</v>
      </c>
      <c r="BS3139">
        <v>40.47</v>
      </c>
      <c r="BT3139">
        <v>14.71</v>
      </c>
      <c r="BU3139">
        <v>118.33</v>
      </c>
      <c r="BV3139">
        <v>38.229999999999997</v>
      </c>
      <c r="BW3139">
        <v>50.6</v>
      </c>
      <c r="BX3139">
        <v>42.97</v>
      </c>
      <c r="BY3139">
        <v>189.1</v>
      </c>
      <c r="BZ3139">
        <v>150.87</v>
      </c>
      <c r="CA3139">
        <v>13.93</v>
      </c>
      <c r="CB3139">
        <v>-0.42</v>
      </c>
      <c r="CC3139">
        <v>14.08</v>
      </c>
      <c r="CD3139">
        <v>11.33</v>
      </c>
      <c r="CE3139">
        <v>10.6</v>
      </c>
      <c r="CF3139">
        <v>8.7100000000000009</v>
      </c>
      <c r="CG3139">
        <v>56.67</v>
      </c>
      <c r="CH3139">
        <v>18.96</v>
      </c>
      <c r="CI3139">
        <v>-2.2599999999999998</v>
      </c>
      <c r="CJ3139">
        <v>65931</v>
      </c>
      <c r="CK3139">
        <v>14592</v>
      </c>
      <c r="CL3139" t="s">
        <v>13644</v>
      </c>
      <c r="CM3139">
        <v>54.63</v>
      </c>
      <c r="CN3139">
        <v>-1.19</v>
      </c>
      <c r="CO3139">
        <v>0.89</v>
      </c>
      <c r="CP3139">
        <v>5.76</v>
      </c>
      <c r="CQ3139">
        <v>0.57999999999999996</v>
      </c>
      <c r="CR3139">
        <v>2.2999999999999998</v>
      </c>
      <c r="CS3139" t="s">
        <v>11871</v>
      </c>
      <c r="CT3139">
        <v>7.07</v>
      </c>
      <c r="CU3139">
        <v>0</v>
      </c>
      <c r="CV3139">
        <v>2.48</v>
      </c>
      <c r="CW3139">
        <v>3.27</v>
      </c>
      <c r="CX3139">
        <v>1.0900000000000001</v>
      </c>
      <c r="CY3139">
        <v>42.34</v>
      </c>
      <c r="CZ3139" t="s">
        <v>10257</v>
      </c>
      <c r="DA3139">
        <v>20.22</v>
      </c>
      <c r="DB3139">
        <v>7.37</v>
      </c>
      <c r="DC3139">
        <v>5.6</v>
      </c>
      <c r="DD3139">
        <v>8.06</v>
      </c>
      <c r="DE3139">
        <v>17914</v>
      </c>
      <c r="DF3139">
        <v>601717</v>
      </c>
      <c r="DG3139" t="s">
        <v>116</v>
      </c>
      <c r="DH3139" t="s">
        <v>116</v>
      </c>
      <c r="DI3139" t="s">
        <v>116</v>
      </c>
    </row>
    <row r="3140" spans="1:113" x14ac:dyDescent="0.4">
      <c r="A3140" t="str">
        <f>"601718"</f>
        <v>601718</v>
      </c>
      <c r="B3140" t="s">
        <v>13645</v>
      </c>
      <c r="C3140">
        <v>-0.31</v>
      </c>
      <c r="D3140">
        <v>3.18</v>
      </c>
      <c r="E3140">
        <v>-0.01</v>
      </c>
      <c r="F3140">
        <v>3.18</v>
      </c>
      <c r="G3140">
        <v>3.19</v>
      </c>
      <c r="H3140">
        <v>161074</v>
      </c>
      <c r="I3140">
        <v>6881</v>
      </c>
      <c r="J3140">
        <v>-0.3</v>
      </c>
      <c r="K3140">
        <v>0.37</v>
      </c>
      <c r="L3140">
        <v>3.19</v>
      </c>
      <c r="M3140">
        <v>3.23</v>
      </c>
      <c r="N3140">
        <v>3.18</v>
      </c>
      <c r="O3140">
        <v>3.19</v>
      </c>
      <c r="P3140">
        <v>239.12</v>
      </c>
      <c r="Q3140">
        <v>51616264</v>
      </c>
      <c r="R3140">
        <v>1.19</v>
      </c>
      <c r="S3140" t="s">
        <v>3070</v>
      </c>
      <c r="T3140" t="s">
        <v>165</v>
      </c>
      <c r="U3140">
        <v>1.57</v>
      </c>
      <c r="V3140">
        <v>3.2</v>
      </c>
      <c r="W3140">
        <v>79420</v>
      </c>
      <c r="X3140">
        <v>81654</v>
      </c>
      <c r="Y3140">
        <v>0.97</v>
      </c>
      <c r="Z3140">
        <v>1494</v>
      </c>
      <c r="AA3140">
        <v>2284</v>
      </c>
      <c r="AB3140" t="s">
        <v>116</v>
      </c>
      <c r="AC3140">
        <v>1432600</v>
      </c>
      <c r="AD3140">
        <v>0.02</v>
      </c>
      <c r="AE3140" t="s">
        <v>116</v>
      </c>
      <c r="AF3140" t="s">
        <v>116</v>
      </c>
      <c r="AG3140">
        <v>43.92</v>
      </c>
      <c r="AH3140" t="s">
        <v>13646</v>
      </c>
      <c r="AI3140" t="s">
        <v>13646</v>
      </c>
      <c r="AJ3140">
        <v>-0.24</v>
      </c>
      <c r="AK3140">
        <v>1756</v>
      </c>
      <c r="AL3140">
        <v>92</v>
      </c>
      <c r="AM3140">
        <v>2.0000000000000001E-4</v>
      </c>
      <c r="AN3140">
        <v>-1</v>
      </c>
      <c r="AO3140">
        <v>-0.31</v>
      </c>
      <c r="AP3140">
        <v>0.32</v>
      </c>
      <c r="AQ3140">
        <v>-13.11</v>
      </c>
      <c r="AR3140">
        <v>-4.79</v>
      </c>
      <c r="AS3140">
        <v>0.8</v>
      </c>
      <c r="AT3140" t="s">
        <v>363</v>
      </c>
      <c r="AU3140" t="s">
        <v>116</v>
      </c>
      <c r="AV3140" t="s">
        <v>116</v>
      </c>
      <c r="AW3140">
        <v>1.25</v>
      </c>
      <c r="BA3140">
        <v>0</v>
      </c>
      <c r="BB3140">
        <v>1.25</v>
      </c>
      <c r="BC3140">
        <v>-0.31</v>
      </c>
      <c r="BD3140">
        <v>0.46</v>
      </c>
      <c r="BE3140">
        <v>-0.31</v>
      </c>
      <c r="BF3140">
        <v>-1.55</v>
      </c>
      <c r="BG3140">
        <v>0</v>
      </c>
      <c r="BH3140">
        <v>-0.77</v>
      </c>
      <c r="BI3140">
        <v>20191211</v>
      </c>
      <c r="BJ3140">
        <v>20100816</v>
      </c>
      <c r="BK3140">
        <v>43.92</v>
      </c>
      <c r="BL3140" t="s">
        <v>116</v>
      </c>
      <c r="BM3140" t="s">
        <v>116</v>
      </c>
      <c r="BN3140">
        <v>318.86</v>
      </c>
      <c r="BO3140">
        <v>179.66</v>
      </c>
      <c r="BP3140">
        <v>1.76</v>
      </c>
      <c r="BQ3140">
        <v>43.1</v>
      </c>
      <c r="BR3140">
        <v>179.93</v>
      </c>
      <c r="BS3140">
        <v>40.5</v>
      </c>
      <c r="BT3140">
        <v>42.91</v>
      </c>
      <c r="BU3140">
        <v>71.150000000000006</v>
      </c>
      <c r="BV3140">
        <v>60.18</v>
      </c>
      <c r="BW3140">
        <v>37.93</v>
      </c>
      <c r="BX3140">
        <v>80.48</v>
      </c>
      <c r="BY3140">
        <v>149.96</v>
      </c>
      <c r="BZ3140">
        <v>136.65</v>
      </c>
      <c r="CA3140">
        <v>0.89</v>
      </c>
      <c r="CB3140">
        <v>0.6</v>
      </c>
      <c r="CC3140">
        <v>1.05</v>
      </c>
      <c r="CD3140">
        <v>0.52</v>
      </c>
      <c r="CE3140">
        <v>0.44</v>
      </c>
      <c r="CF3140">
        <v>-0.72</v>
      </c>
      <c r="CG3140">
        <v>53.27</v>
      </c>
      <c r="CH3140">
        <v>-6.86</v>
      </c>
      <c r="CI3140">
        <v>13.19</v>
      </c>
      <c r="CJ3140">
        <v>138045</v>
      </c>
      <c r="CK3140">
        <v>14632</v>
      </c>
      <c r="CL3140" t="s">
        <v>1688</v>
      </c>
      <c r="CM3140">
        <v>-74.290000000000006</v>
      </c>
      <c r="CN3140">
        <v>-9.23</v>
      </c>
      <c r="CO3140">
        <v>0.78</v>
      </c>
      <c r="CP3140">
        <v>-20.350000000000001</v>
      </c>
      <c r="CQ3140">
        <v>0.93</v>
      </c>
      <c r="CR3140">
        <v>0.31</v>
      </c>
      <c r="CS3140" t="s">
        <v>888</v>
      </c>
      <c r="CT3140">
        <v>4.09</v>
      </c>
      <c r="CU3140">
        <v>0</v>
      </c>
      <c r="CV3140">
        <v>1.83</v>
      </c>
      <c r="CW3140">
        <v>1.21</v>
      </c>
      <c r="CX3140">
        <v>-0.16</v>
      </c>
      <c r="CY3140">
        <v>56.34</v>
      </c>
      <c r="CZ3140" t="s">
        <v>4701</v>
      </c>
      <c r="DA3140">
        <v>8.8699999999999992</v>
      </c>
      <c r="DB3140">
        <v>0.59</v>
      </c>
      <c r="DC3140">
        <v>0.28999999999999998</v>
      </c>
      <c r="DD3140">
        <v>1.94</v>
      </c>
      <c r="DE3140">
        <v>26642</v>
      </c>
      <c r="DF3140">
        <v>601718</v>
      </c>
      <c r="DG3140" t="s">
        <v>116</v>
      </c>
      <c r="DH3140" t="s">
        <v>116</v>
      </c>
      <c r="DI3140" t="s">
        <v>116</v>
      </c>
    </row>
    <row r="3141" spans="1:113" x14ac:dyDescent="0.4">
      <c r="A3141" t="str">
        <f>"601727"</f>
        <v>601727</v>
      </c>
      <c r="B3141" t="s">
        <v>13647</v>
      </c>
      <c r="C3141">
        <v>-0.61</v>
      </c>
      <c r="D3141">
        <v>4.8899999999999997</v>
      </c>
      <c r="E3141">
        <v>-0.03</v>
      </c>
      <c r="F3141">
        <v>4.88</v>
      </c>
      <c r="G3141">
        <v>4.8899999999999997</v>
      </c>
      <c r="H3141">
        <v>147907</v>
      </c>
      <c r="I3141">
        <v>757</v>
      </c>
      <c r="J3141">
        <v>-0.19</v>
      </c>
      <c r="K3141">
        <v>0.14000000000000001</v>
      </c>
      <c r="L3141">
        <v>4.92</v>
      </c>
      <c r="M3141">
        <v>4.9400000000000004</v>
      </c>
      <c r="N3141">
        <v>4.88</v>
      </c>
      <c r="O3141">
        <v>4.92</v>
      </c>
      <c r="P3141">
        <v>25.12</v>
      </c>
      <c r="Q3141">
        <v>72714512</v>
      </c>
      <c r="R3141">
        <v>1.21</v>
      </c>
      <c r="S3141" t="s">
        <v>397</v>
      </c>
      <c r="T3141" t="s">
        <v>1653</v>
      </c>
      <c r="U3141">
        <v>1.22</v>
      </c>
      <c r="V3141">
        <v>4.92</v>
      </c>
      <c r="W3141">
        <v>77586</v>
      </c>
      <c r="X3141">
        <v>70321</v>
      </c>
      <c r="Y3141">
        <v>1.1000000000000001</v>
      </c>
      <c r="Z3141">
        <v>4846</v>
      </c>
      <c r="AA3141">
        <v>2640</v>
      </c>
      <c r="AB3141" t="s">
        <v>116</v>
      </c>
      <c r="AC3141">
        <v>231700</v>
      </c>
      <c r="AD3141">
        <v>0</v>
      </c>
      <c r="AE3141" t="s">
        <v>116</v>
      </c>
      <c r="AF3141" t="s">
        <v>116</v>
      </c>
      <c r="AG3141">
        <v>102.84</v>
      </c>
      <c r="AH3141" t="s">
        <v>13648</v>
      </c>
      <c r="AI3141" t="s">
        <v>13649</v>
      </c>
      <c r="AJ3141">
        <v>-0.53</v>
      </c>
      <c r="AK3141">
        <v>2131</v>
      </c>
      <c r="AL3141">
        <v>69</v>
      </c>
      <c r="AM3141">
        <v>1E-4</v>
      </c>
      <c r="AN3141">
        <v>-1</v>
      </c>
      <c r="AO3141">
        <v>0.2</v>
      </c>
      <c r="AP3141">
        <v>4.49</v>
      </c>
      <c r="AQ3141">
        <v>-2.59</v>
      </c>
      <c r="AR3141">
        <v>0.23</v>
      </c>
      <c r="AS3141">
        <v>0.45</v>
      </c>
      <c r="AT3141" t="s">
        <v>13650</v>
      </c>
      <c r="AU3141">
        <v>24.22</v>
      </c>
      <c r="AV3141">
        <v>24.56</v>
      </c>
      <c r="AW3141">
        <v>1.05</v>
      </c>
      <c r="BA3141">
        <v>0</v>
      </c>
      <c r="BB3141">
        <v>0.41</v>
      </c>
      <c r="BC3141">
        <v>-0.81</v>
      </c>
      <c r="BD3141">
        <v>-0.08</v>
      </c>
      <c r="BE3141">
        <v>-0.61</v>
      </c>
      <c r="BF3141">
        <v>-1.01</v>
      </c>
      <c r="BG3141">
        <v>0.2</v>
      </c>
      <c r="BH3141">
        <v>-0.53</v>
      </c>
      <c r="BI3141">
        <v>20191030</v>
      </c>
      <c r="BJ3141">
        <v>20081205</v>
      </c>
      <c r="BK3141">
        <v>151.52000000000001</v>
      </c>
      <c r="BL3141" t="s">
        <v>116</v>
      </c>
      <c r="BM3141">
        <v>29.73</v>
      </c>
      <c r="BN3141">
        <v>2637.94</v>
      </c>
      <c r="BO3141">
        <v>616.17999999999995</v>
      </c>
      <c r="BP3141">
        <v>271.55</v>
      </c>
      <c r="BQ3141">
        <v>66.349999999999994</v>
      </c>
      <c r="BR3141">
        <v>1874.31</v>
      </c>
      <c r="BS3141">
        <v>161.15</v>
      </c>
      <c r="BT3141">
        <v>89.46</v>
      </c>
      <c r="BU3141">
        <v>1499.66</v>
      </c>
      <c r="BV3141">
        <v>322.07</v>
      </c>
      <c r="BW3141">
        <v>318.76</v>
      </c>
      <c r="BX3141">
        <v>196.92</v>
      </c>
      <c r="BY3141">
        <v>745.76</v>
      </c>
      <c r="BZ3141">
        <v>608.45000000000005</v>
      </c>
      <c r="CA3141">
        <v>43.44</v>
      </c>
      <c r="CB3141">
        <v>9.52</v>
      </c>
      <c r="CC3141">
        <v>44.21</v>
      </c>
      <c r="CD3141">
        <v>37.35</v>
      </c>
      <c r="CE3141">
        <v>22.12</v>
      </c>
      <c r="CF3141">
        <v>15.1</v>
      </c>
      <c r="CG3141">
        <v>219.83</v>
      </c>
      <c r="CH3141">
        <v>-154.94999999999999</v>
      </c>
      <c r="CI3141">
        <v>-49.47</v>
      </c>
      <c r="CJ3141">
        <v>305867</v>
      </c>
      <c r="CK3141">
        <v>10834</v>
      </c>
      <c r="CL3141" t="s">
        <v>8000</v>
      </c>
      <c r="CM3141">
        <v>1.97</v>
      </c>
      <c r="CN3141">
        <v>6.68</v>
      </c>
      <c r="CO3141">
        <v>1.2</v>
      </c>
      <c r="CP3141">
        <v>-4.78</v>
      </c>
      <c r="CQ3141">
        <v>0.99</v>
      </c>
      <c r="CR3141">
        <v>1.26</v>
      </c>
      <c r="CS3141" t="s">
        <v>4222</v>
      </c>
      <c r="CT3141">
        <v>4.07</v>
      </c>
      <c r="CU3141">
        <v>0</v>
      </c>
      <c r="CV3141">
        <v>1.3</v>
      </c>
      <c r="CW3141">
        <v>1.45</v>
      </c>
      <c r="CX3141">
        <v>-1.02</v>
      </c>
      <c r="CY3141">
        <v>23.36</v>
      </c>
      <c r="CZ3141" t="s">
        <v>1210</v>
      </c>
      <c r="DA3141">
        <v>18.41</v>
      </c>
      <c r="DB3141">
        <v>5.82</v>
      </c>
      <c r="DC3141">
        <v>2.97</v>
      </c>
      <c r="DD3141">
        <v>23.78</v>
      </c>
      <c r="DE3141">
        <v>30870</v>
      </c>
      <c r="DF3141">
        <v>601727</v>
      </c>
      <c r="DG3141" t="s">
        <v>116</v>
      </c>
      <c r="DH3141" t="s">
        <v>116</v>
      </c>
      <c r="DI3141" t="s">
        <v>116</v>
      </c>
    </row>
    <row r="3142" spans="1:113" x14ac:dyDescent="0.4">
      <c r="A3142" t="str">
        <f>"601766"</f>
        <v>601766</v>
      </c>
      <c r="B3142" t="s">
        <v>13651</v>
      </c>
      <c r="C3142">
        <v>0.28999999999999998</v>
      </c>
      <c r="D3142">
        <v>7.02</v>
      </c>
      <c r="E3142">
        <v>0.02</v>
      </c>
      <c r="F3142">
        <v>7.01</v>
      </c>
      <c r="G3142">
        <v>7.02</v>
      </c>
      <c r="H3142">
        <v>454977</v>
      </c>
      <c r="I3142">
        <v>3608</v>
      </c>
      <c r="J3142">
        <v>0</v>
      </c>
      <c r="K3142">
        <v>0.2</v>
      </c>
      <c r="L3142">
        <v>7</v>
      </c>
      <c r="M3142">
        <v>7.07</v>
      </c>
      <c r="N3142">
        <v>7</v>
      </c>
      <c r="O3142">
        <v>7</v>
      </c>
      <c r="P3142">
        <v>17.96</v>
      </c>
      <c r="Q3142">
        <v>319955552</v>
      </c>
      <c r="R3142">
        <v>1.45</v>
      </c>
      <c r="S3142" t="s">
        <v>164</v>
      </c>
      <c r="T3142" t="s">
        <v>165</v>
      </c>
      <c r="U3142">
        <v>1</v>
      </c>
      <c r="V3142">
        <v>7.03</v>
      </c>
      <c r="W3142">
        <v>207907</v>
      </c>
      <c r="X3142">
        <v>247070</v>
      </c>
      <c r="Y3142">
        <v>0.84</v>
      </c>
      <c r="Z3142">
        <v>3012</v>
      </c>
      <c r="AA3142">
        <v>3414</v>
      </c>
      <c r="AB3142" t="s">
        <v>116</v>
      </c>
      <c r="AC3142">
        <v>2036400</v>
      </c>
      <c r="AD3142">
        <v>0</v>
      </c>
      <c r="AE3142" t="s">
        <v>116</v>
      </c>
      <c r="AF3142" t="s">
        <v>116</v>
      </c>
      <c r="AG3142">
        <v>229.18</v>
      </c>
      <c r="AH3142" t="s">
        <v>13652</v>
      </c>
      <c r="AI3142" t="s">
        <v>13653</v>
      </c>
      <c r="AJ3142">
        <v>0.36</v>
      </c>
      <c r="AK3142">
        <v>3951</v>
      </c>
      <c r="AL3142">
        <v>115</v>
      </c>
      <c r="AM3142">
        <v>1E-4</v>
      </c>
      <c r="AN3142">
        <v>2</v>
      </c>
      <c r="AO3142">
        <v>0.28999999999999998</v>
      </c>
      <c r="AP3142">
        <v>0.72</v>
      </c>
      <c r="AQ3142">
        <v>-4.62</v>
      </c>
      <c r="AR3142">
        <v>-20.86</v>
      </c>
      <c r="AS3142">
        <v>0.49</v>
      </c>
      <c r="AT3142" t="s">
        <v>13654</v>
      </c>
      <c r="AU3142">
        <v>16.53</v>
      </c>
      <c r="AV3142">
        <v>17.82</v>
      </c>
      <c r="AW3142">
        <v>0.84</v>
      </c>
      <c r="BA3142">
        <v>0</v>
      </c>
      <c r="BB3142">
        <v>1</v>
      </c>
      <c r="BC3142">
        <v>0</v>
      </c>
      <c r="BD3142">
        <v>0.46</v>
      </c>
      <c r="BE3142">
        <v>0.28999999999999998</v>
      </c>
      <c r="BF3142">
        <v>-0.71</v>
      </c>
      <c r="BG3142">
        <v>0.28999999999999998</v>
      </c>
      <c r="BH3142">
        <v>-0.18</v>
      </c>
      <c r="BI3142">
        <v>20191031</v>
      </c>
      <c r="BJ3142">
        <v>20080818</v>
      </c>
      <c r="BK3142">
        <v>286.99</v>
      </c>
      <c r="BL3142" t="s">
        <v>116</v>
      </c>
      <c r="BM3142">
        <v>43.71</v>
      </c>
      <c r="BN3142">
        <v>4116.4399999999996</v>
      </c>
      <c r="BO3142">
        <v>1324.81</v>
      </c>
      <c r="BP3142">
        <v>227.34</v>
      </c>
      <c r="BQ3142">
        <v>62.29</v>
      </c>
      <c r="BR3142">
        <v>2784.43</v>
      </c>
      <c r="BS3142">
        <v>566.4</v>
      </c>
      <c r="BT3142">
        <v>163.22</v>
      </c>
      <c r="BU3142">
        <v>2327.5100000000002</v>
      </c>
      <c r="BV3142">
        <v>747.25</v>
      </c>
      <c r="BW3142">
        <v>902.72</v>
      </c>
      <c r="BX3142">
        <v>406.14</v>
      </c>
      <c r="BY3142">
        <v>1545.2</v>
      </c>
      <c r="BZ3142">
        <v>1196.78</v>
      </c>
      <c r="CA3142">
        <v>113.43</v>
      </c>
      <c r="CB3142">
        <v>3.13</v>
      </c>
      <c r="CC3142">
        <v>116.11</v>
      </c>
      <c r="CD3142">
        <v>96.66</v>
      </c>
      <c r="CE3142">
        <v>84.13</v>
      </c>
      <c r="CF3142">
        <v>77.16</v>
      </c>
      <c r="CG3142">
        <v>601.49</v>
      </c>
      <c r="CH3142">
        <v>-55.35</v>
      </c>
      <c r="CI3142">
        <v>-58.03</v>
      </c>
      <c r="CJ3142">
        <v>804617</v>
      </c>
      <c r="CK3142">
        <v>11426</v>
      </c>
      <c r="CL3142" t="s">
        <v>6920</v>
      </c>
      <c r="CM3142">
        <v>11.76</v>
      </c>
      <c r="CN3142">
        <v>14.15</v>
      </c>
      <c r="CO3142">
        <v>1.52</v>
      </c>
      <c r="CP3142">
        <v>-36.4</v>
      </c>
      <c r="CQ3142">
        <v>1.3</v>
      </c>
      <c r="CR3142">
        <v>2.14</v>
      </c>
      <c r="CS3142" t="s">
        <v>2418</v>
      </c>
      <c r="CT3142">
        <v>4.62</v>
      </c>
      <c r="CU3142">
        <v>0</v>
      </c>
      <c r="CV3142">
        <v>1.42</v>
      </c>
      <c r="CW3142">
        <v>2.1</v>
      </c>
      <c r="CX3142">
        <v>-0.19</v>
      </c>
      <c r="CY3142">
        <v>32.18</v>
      </c>
      <c r="CZ3142" t="s">
        <v>7890</v>
      </c>
      <c r="DA3142">
        <v>22.55</v>
      </c>
      <c r="DB3142">
        <v>7.34</v>
      </c>
      <c r="DC3142">
        <v>5.44</v>
      </c>
      <c r="DD3142">
        <v>71.44</v>
      </c>
      <c r="DE3142">
        <v>160242</v>
      </c>
      <c r="DF3142">
        <v>601766</v>
      </c>
      <c r="DG3142" t="s">
        <v>116</v>
      </c>
      <c r="DH3142" t="s">
        <v>116</v>
      </c>
      <c r="DI3142" t="s">
        <v>116</v>
      </c>
    </row>
    <row r="3143" spans="1:113" x14ac:dyDescent="0.4">
      <c r="A3143" t="str">
        <f>"601777"</f>
        <v>601777</v>
      </c>
      <c r="B3143" t="s">
        <v>13655</v>
      </c>
      <c r="C3143">
        <v>9.9</v>
      </c>
      <c r="D3143">
        <v>3.22</v>
      </c>
      <c r="E3143">
        <v>0.28999999999999998</v>
      </c>
      <c r="F3143">
        <v>3.22</v>
      </c>
      <c r="G3143" t="s">
        <v>116</v>
      </c>
      <c r="H3143">
        <v>608224</v>
      </c>
      <c r="I3143">
        <v>1123</v>
      </c>
      <c r="J3143">
        <v>0</v>
      </c>
      <c r="K3143">
        <v>4.7300000000000004</v>
      </c>
      <c r="L3143">
        <v>2.93</v>
      </c>
      <c r="M3143">
        <v>3.22</v>
      </c>
      <c r="N3143">
        <v>2.93</v>
      </c>
      <c r="O3143">
        <v>2.93</v>
      </c>
      <c r="P3143" t="s">
        <v>116</v>
      </c>
      <c r="Q3143">
        <v>189198832</v>
      </c>
      <c r="R3143">
        <v>2.58</v>
      </c>
      <c r="S3143" t="s">
        <v>2657</v>
      </c>
      <c r="T3143" t="s">
        <v>906</v>
      </c>
      <c r="U3143">
        <v>9.9</v>
      </c>
      <c r="V3143">
        <v>3.11</v>
      </c>
      <c r="W3143">
        <v>360144</v>
      </c>
      <c r="X3143">
        <v>248081</v>
      </c>
      <c r="Y3143">
        <v>1.45</v>
      </c>
      <c r="Z3143">
        <v>142400</v>
      </c>
      <c r="AA3143">
        <v>0</v>
      </c>
      <c r="AB3143" t="s">
        <v>116</v>
      </c>
      <c r="AC3143">
        <v>310900</v>
      </c>
      <c r="AD3143">
        <v>0.02</v>
      </c>
      <c r="AE3143">
        <v>0.23</v>
      </c>
      <c r="AF3143">
        <v>45852800</v>
      </c>
      <c r="AG3143">
        <v>12.86</v>
      </c>
      <c r="AH3143" t="s">
        <v>8603</v>
      </c>
      <c r="AI3143" t="s">
        <v>13656</v>
      </c>
      <c r="AJ3143">
        <v>9.9700000000000006</v>
      </c>
      <c r="AK3143">
        <v>2394</v>
      </c>
      <c r="AL3143">
        <v>254</v>
      </c>
      <c r="AM3143">
        <v>2E-3</v>
      </c>
      <c r="AN3143">
        <v>4</v>
      </c>
      <c r="AO3143">
        <v>11.8</v>
      </c>
      <c r="AP3143">
        <v>12.59</v>
      </c>
      <c r="AQ3143">
        <v>-9.3000000000000007</v>
      </c>
      <c r="AR3143">
        <v>-15.49</v>
      </c>
      <c r="AS3143">
        <v>9.11</v>
      </c>
      <c r="AT3143" t="s">
        <v>12651</v>
      </c>
      <c r="AU3143" t="s">
        <v>116</v>
      </c>
      <c r="AV3143">
        <v>16.72</v>
      </c>
      <c r="AW3143">
        <v>1.36</v>
      </c>
      <c r="BA3143">
        <v>0</v>
      </c>
      <c r="BB3143">
        <v>9.9</v>
      </c>
      <c r="BC3143">
        <v>0</v>
      </c>
      <c r="BD3143">
        <v>6.17</v>
      </c>
      <c r="BE3143">
        <v>9.9</v>
      </c>
      <c r="BF3143">
        <v>0</v>
      </c>
      <c r="BG3143">
        <v>9.9</v>
      </c>
      <c r="BH3143">
        <v>3.73</v>
      </c>
      <c r="BI3143">
        <v>20191206</v>
      </c>
      <c r="BJ3143">
        <v>20101125</v>
      </c>
      <c r="BK3143">
        <v>13.14</v>
      </c>
      <c r="BL3143" t="s">
        <v>116</v>
      </c>
      <c r="BM3143" t="s">
        <v>116</v>
      </c>
      <c r="BN3143">
        <v>227.86</v>
      </c>
      <c r="BO3143">
        <v>48.28</v>
      </c>
      <c r="BP3143">
        <v>0.94</v>
      </c>
      <c r="BQ3143">
        <v>78.400000000000006</v>
      </c>
      <c r="BR3143">
        <v>86.41</v>
      </c>
      <c r="BS3143">
        <v>58.19</v>
      </c>
      <c r="BT3143">
        <v>13.41</v>
      </c>
      <c r="BU3143">
        <v>168.94</v>
      </c>
      <c r="BV3143">
        <v>13.8</v>
      </c>
      <c r="BW3143">
        <v>20.68</v>
      </c>
      <c r="BX3143">
        <v>50.96</v>
      </c>
      <c r="BY3143">
        <v>66.86</v>
      </c>
      <c r="BZ3143">
        <v>63.67</v>
      </c>
      <c r="CA3143">
        <v>-30.75</v>
      </c>
      <c r="CB3143">
        <v>2.98</v>
      </c>
      <c r="CC3143">
        <v>-31.23</v>
      </c>
      <c r="CD3143">
        <v>-26.39</v>
      </c>
      <c r="CE3143">
        <v>-26.33</v>
      </c>
      <c r="CF3143">
        <v>-25.02</v>
      </c>
      <c r="CG3143">
        <v>-10.6</v>
      </c>
      <c r="CH3143">
        <v>-7.82</v>
      </c>
      <c r="CI3143">
        <v>0.71</v>
      </c>
      <c r="CJ3143">
        <v>73632</v>
      </c>
      <c r="CK3143">
        <v>9062</v>
      </c>
      <c r="CL3143" t="s">
        <v>8798</v>
      </c>
      <c r="CM3143">
        <v>-2064.56</v>
      </c>
      <c r="CN3143">
        <v>-19.52</v>
      </c>
      <c r="CO3143">
        <v>0.88</v>
      </c>
      <c r="CP3143">
        <v>-5.41</v>
      </c>
      <c r="CQ3143">
        <v>0.63</v>
      </c>
      <c r="CR3143">
        <v>0</v>
      </c>
      <c r="CS3143" t="s">
        <v>13657</v>
      </c>
      <c r="CT3143">
        <v>3.68</v>
      </c>
      <c r="CU3143">
        <v>0</v>
      </c>
      <c r="CV3143">
        <v>3.88</v>
      </c>
      <c r="CW3143">
        <v>-0.81</v>
      </c>
      <c r="CX3143">
        <v>-0.59</v>
      </c>
      <c r="CY3143">
        <v>21.19</v>
      </c>
      <c r="CZ3143" t="s">
        <v>13658</v>
      </c>
      <c r="DA3143">
        <v>4.78</v>
      </c>
      <c r="DB3143">
        <v>-45.99</v>
      </c>
      <c r="DC3143">
        <v>-39.380000000000003</v>
      </c>
      <c r="DD3143">
        <v>2.0499999999999998</v>
      </c>
      <c r="DE3143">
        <v>9134</v>
      </c>
      <c r="DF3143">
        <v>601777</v>
      </c>
      <c r="DG3143" t="s">
        <v>116</v>
      </c>
      <c r="DH3143" t="s">
        <v>116</v>
      </c>
      <c r="DI3143" t="s">
        <v>116</v>
      </c>
    </row>
    <row r="3144" spans="1:113" x14ac:dyDescent="0.4">
      <c r="A3144" t="str">
        <f>"601788"</f>
        <v>601788</v>
      </c>
      <c r="B3144" t="s">
        <v>13659</v>
      </c>
      <c r="C3144">
        <v>-1.1100000000000001</v>
      </c>
      <c r="D3144">
        <v>12.43</v>
      </c>
      <c r="E3144">
        <v>-0.14000000000000001</v>
      </c>
      <c r="F3144">
        <v>12.42</v>
      </c>
      <c r="G3144">
        <v>12.43</v>
      </c>
      <c r="H3144">
        <v>372947</v>
      </c>
      <c r="I3144">
        <v>1199</v>
      </c>
      <c r="J3144">
        <v>0.16</v>
      </c>
      <c r="K3144">
        <v>0.95</v>
      </c>
      <c r="L3144">
        <v>12.6</v>
      </c>
      <c r="M3144">
        <v>12.85</v>
      </c>
      <c r="N3144">
        <v>12.36</v>
      </c>
      <c r="O3144">
        <v>12.57</v>
      </c>
      <c r="P3144">
        <v>18.96</v>
      </c>
      <c r="Q3144">
        <v>471624160</v>
      </c>
      <c r="R3144">
        <v>1.4</v>
      </c>
      <c r="S3144" t="s">
        <v>623</v>
      </c>
      <c r="T3144" t="s">
        <v>1653</v>
      </c>
      <c r="U3144">
        <v>3.9</v>
      </c>
      <c r="V3144">
        <v>12.65</v>
      </c>
      <c r="W3144">
        <v>194874</v>
      </c>
      <c r="X3144">
        <v>178073</v>
      </c>
      <c r="Y3144">
        <v>1.0900000000000001</v>
      </c>
      <c r="Z3144">
        <v>423</v>
      </c>
      <c r="AA3144">
        <v>928</v>
      </c>
      <c r="AB3144" t="s">
        <v>116</v>
      </c>
      <c r="AC3144">
        <v>2930400</v>
      </c>
      <c r="AD3144">
        <v>0.01</v>
      </c>
      <c r="AE3144" t="s">
        <v>116</v>
      </c>
      <c r="AF3144" t="s">
        <v>116</v>
      </c>
      <c r="AG3144">
        <v>39.07</v>
      </c>
      <c r="AH3144" t="s">
        <v>13660</v>
      </c>
      <c r="AI3144" t="s">
        <v>13660</v>
      </c>
      <c r="AJ3144">
        <v>-1.04</v>
      </c>
      <c r="AK3144">
        <v>4068</v>
      </c>
      <c r="AL3144">
        <v>92</v>
      </c>
      <c r="AM3144">
        <v>2.0000000000000001E-4</v>
      </c>
      <c r="AN3144">
        <v>-1</v>
      </c>
      <c r="AO3144">
        <v>0.09</v>
      </c>
      <c r="AP3144">
        <v>10.88</v>
      </c>
      <c r="AQ3144">
        <v>6.42</v>
      </c>
      <c r="AR3144">
        <v>43.37</v>
      </c>
      <c r="AS3144">
        <v>2.16</v>
      </c>
      <c r="AT3144" t="s">
        <v>13661</v>
      </c>
      <c r="AU3144">
        <v>48.01</v>
      </c>
      <c r="AV3144">
        <v>554.69000000000005</v>
      </c>
      <c r="AW3144">
        <v>1.76</v>
      </c>
      <c r="BA3144">
        <v>0.24</v>
      </c>
      <c r="BB3144">
        <v>2.23</v>
      </c>
      <c r="BC3144">
        <v>-1.67</v>
      </c>
      <c r="BD3144">
        <v>0.6</v>
      </c>
      <c r="BE3144">
        <v>-1.35</v>
      </c>
      <c r="BF3144">
        <v>-3.27</v>
      </c>
      <c r="BG3144">
        <v>0.56999999999999995</v>
      </c>
      <c r="BH3144">
        <v>-1.72</v>
      </c>
      <c r="BI3144">
        <v>20191203</v>
      </c>
      <c r="BJ3144">
        <v>20090818</v>
      </c>
      <c r="BK3144">
        <v>46.11</v>
      </c>
      <c r="BL3144" t="s">
        <v>116</v>
      </c>
      <c r="BM3144">
        <v>7.04</v>
      </c>
      <c r="BN3144">
        <v>2056.71</v>
      </c>
      <c r="BO3144">
        <v>492.21</v>
      </c>
      <c r="BP3144">
        <v>15.94</v>
      </c>
      <c r="BQ3144">
        <v>75.290000000000006</v>
      </c>
      <c r="BR3144">
        <v>0</v>
      </c>
      <c r="BS3144">
        <v>8.4499999999999993</v>
      </c>
      <c r="BT3144">
        <v>3.32</v>
      </c>
      <c r="BU3144">
        <v>0</v>
      </c>
      <c r="BV3144">
        <v>0</v>
      </c>
      <c r="BW3144">
        <v>0</v>
      </c>
      <c r="BX3144">
        <v>233</v>
      </c>
      <c r="BY3144">
        <v>84.53</v>
      </c>
      <c r="BZ3144">
        <v>0</v>
      </c>
      <c r="CA3144">
        <v>34.26</v>
      </c>
      <c r="CB3144">
        <v>13.8</v>
      </c>
      <c r="CC3144">
        <v>31.03</v>
      </c>
      <c r="CD3144">
        <v>23.67</v>
      </c>
      <c r="CE3144">
        <v>22.67</v>
      </c>
      <c r="CF3144">
        <v>24.11</v>
      </c>
      <c r="CG3144">
        <v>118.85</v>
      </c>
      <c r="CH3144">
        <v>404.25</v>
      </c>
      <c r="CI3144">
        <v>207.17</v>
      </c>
      <c r="CJ3144">
        <v>105003</v>
      </c>
      <c r="CK3144">
        <v>16451</v>
      </c>
      <c r="CL3144" t="s">
        <v>9371</v>
      </c>
      <c r="CM3144">
        <v>92.66</v>
      </c>
      <c r="CN3144">
        <v>44.52</v>
      </c>
      <c r="CO3144">
        <v>1.1599999999999999</v>
      </c>
      <c r="CP3144">
        <v>1.42</v>
      </c>
      <c r="CQ3144">
        <v>6.78</v>
      </c>
      <c r="CR3144">
        <v>0.8</v>
      </c>
      <c r="CS3144" t="s">
        <v>2546</v>
      </c>
      <c r="CT3144">
        <v>10.68</v>
      </c>
      <c r="CU3144">
        <v>0</v>
      </c>
      <c r="CV3144">
        <v>5.05</v>
      </c>
      <c r="CW3144">
        <v>2.58</v>
      </c>
      <c r="CX3144">
        <v>8.77</v>
      </c>
      <c r="CY3144">
        <v>23.93</v>
      </c>
      <c r="CZ3144" t="s">
        <v>4384</v>
      </c>
      <c r="DA3144" t="s">
        <v>116</v>
      </c>
      <c r="DB3144">
        <v>40.53</v>
      </c>
      <c r="DC3144">
        <v>26.82</v>
      </c>
      <c r="DD3144">
        <v>0</v>
      </c>
      <c r="DE3144">
        <v>9004</v>
      </c>
      <c r="DF3144">
        <v>601788</v>
      </c>
      <c r="DG3144" t="s">
        <v>116</v>
      </c>
      <c r="DH3144" t="s">
        <v>116</v>
      </c>
      <c r="DI3144" t="s">
        <v>116</v>
      </c>
    </row>
    <row r="3145" spans="1:113" x14ac:dyDescent="0.4">
      <c r="A3145" t="str">
        <f>"601789"</f>
        <v>601789</v>
      </c>
      <c r="B3145" t="s">
        <v>13662</v>
      </c>
      <c r="C3145">
        <v>-1.07</v>
      </c>
      <c r="D3145">
        <v>3.69</v>
      </c>
      <c r="E3145">
        <v>-0.04</v>
      </c>
      <c r="F3145">
        <v>3.69</v>
      </c>
      <c r="G3145">
        <v>3.7</v>
      </c>
      <c r="H3145">
        <v>57883</v>
      </c>
      <c r="I3145">
        <v>1841</v>
      </c>
      <c r="J3145">
        <v>-0.26</v>
      </c>
      <c r="K3145">
        <v>0.59</v>
      </c>
      <c r="L3145">
        <v>3.73</v>
      </c>
      <c r="M3145">
        <v>3.75</v>
      </c>
      <c r="N3145">
        <v>3.69</v>
      </c>
      <c r="O3145">
        <v>3.73</v>
      </c>
      <c r="P3145">
        <v>17.23</v>
      </c>
      <c r="Q3145">
        <v>21596216</v>
      </c>
      <c r="R3145">
        <v>1.1000000000000001</v>
      </c>
      <c r="S3145" t="s">
        <v>181</v>
      </c>
      <c r="T3145" t="s">
        <v>590</v>
      </c>
      <c r="U3145">
        <v>1.61</v>
      </c>
      <c r="V3145">
        <v>3.73</v>
      </c>
      <c r="W3145">
        <v>31615</v>
      </c>
      <c r="X3145">
        <v>26268</v>
      </c>
      <c r="Y3145">
        <v>1.2</v>
      </c>
      <c r="Z3145">
        <v>729</v>
      </c>
      <c r="AA3145">
        <v>608</v>
      </c>
      <c r="AB3145" t="s">
        <v>116</v>
      </c>
      <c r="AC3145">
        <v>82100</v>
      </c>
      <c r="AD3145">
        <v>0</v>
      </c>
      <c r="AE3145" t="s">
        <v>116</v>
      </c>
      <c r="AF3145" t="s">
        <v>116</v>
      </c>
      <c r="AG3145">
        <v>9.76</v>
      </c>
      <c r="AH3145" t="s">
        <v>8973</v>
      </c>
      <c r="AI3145" t="s">
        <v>8973</v>
      </c>
      <c r="AJ3145">
        <v>-1</v>
      </c>
      <c r="AK3145">
        <v>775</v>
      </c>
      <c r="AL3145">
        <v>75</v>
      </c>
      <c r="AM3145">
        <v>8.0000000000000004E-4</v>
      </c>
      <c r="AN3145">
        <v>-1</v>
      </c>
      <c r="AO3145">
        <v>-0.81</v>
      </c>
      <c r="AP3145">
        <v>2.5</v>
      </c>
      <c r="AQ3145">
        <v>2.79</v>
      </c>
      <c r="AR3145">
        <v>21.78</v>
      </c>
      <c r="AS3145">
        <v>1.05</v>
      </c>
      <c r="AT3145" t="s">
        <v>13663</v>
      </c>
      <c r="AU3145">
        <v>16.059999999999999</v>
      </c>
      <c r="AV3145">
        <v>16.41</v>
      </c>
      <c r="AW3145">
        <v>1.1200000000000001</v>
      </c>
      <c r="BA3145">
        <v>0</v>
      </c>
      <c r="BB3145">
        <v>0.54</v>
      </c>
      <c r="BC3145">
        <v>-1.07</v>
      </c>
      <c r="BD3145">
        <v>0.03</v>
      </c>
      <c r="BE3145">
        <v>-1.07</v>
      </c>
      <c r="BF3145">
        <v>-1.6</v>
      </c>
      <c r="BG3145">
        <v>0</v>
      </c>
      <c r="BH3145">
        <v>-1.1000000000000001</v>
      </c>
      <c r="BI3145">
        <v>20191029</v>
      </c>
      <c r="BJ3145">
        <v>20110816</v>
      </c>
      <c r="BK3145">
        <v>9.76</v>
      </c>
      <c r="BL3145" t="s">
        <v>116</v>
      </c>
      <c r="BM3145" t="s">
        <v>116</v>
      </c>
      <c r="BN3145">
        <v>154.12</v>
      </c>
      <c r="BO3145">
        <v>28.14</v>
      </c>
      <c r="BP3145">
        <v>3.46</v>
      </c>
      <c r="BQ3145">
        <v>79.489999999999995</v>
      </c>
      <c r="BR3145">
        <v>130.05000000000001</v>
      </c>
      <c r="BS3145">
        <v>10.199999999999999</v>
      </c>
      <c r="BT3145">
        <v>3.02</v>
      </c>
      <c r="BU3145">
        <v>122.24</v>
      </c>
      <c r="BV3145">
        <v>46.12</v>
      </c>
      <c r="BW3145">
        <v>39.53</v>
      </c>
      <c r="BX3145">
        <v>5.15</v>
      </c>
      <c r="BY3145">
        <v>125.41</v>
      </c>
      <c r="BZ3145">
        <v>116.35</v>
      </c>
      <c r="CA3145">
        <v>2.27</v>
      </c>
      <c r="CB3145">
        <v>0.02</v>
      </c>
      <c r="CC3145">
        <v>2.34</v>
      </c>
      <c r="CD3145">
        <v>1.66</v>
      </c>
      <c r="CE3145">
        <v>1.57</v>
      </c>
      <c r="CF3145">
        <v>1.37</v>
      </c>
      <c r="CG3145">
        <v>12.2</v>
      </c>
      <c r="CH3145">
        <v>-3.21</v>
      </c>
      <c r="CI3145">
        <v>1.79</v>
      </c>
      <c r="CJ3145">
        <v>43577</v>
      </c>
      <c r="CK3145">
        <v>12649</v>
      </c>
      <c r="CL3145" t="s">
        <v>3109</v>
      </c>
      <c r="CM3145">
        <v>3.06</v>
      </c>
      <c r="CN3145">
        <v>15.36</v>
      </c>
      <c r="CO3145">
        <v>1.28</v>
      </c>
      <c r="CP3145">
        <v>-11.21</v>
      </c>
      <c r="CQ3145">
        <v>0.28999999999999998</v>
      </c>
      <c r="CR3145">
        <v>1.9</v>
      </c>
      <c r="CS3145" t="s">
        <v>6361</v>
      </c>
      <c r="CT3145">
        <v>2.88</v>
      </c>
      <c r="CU3145">
        <v>0</v>
      </c>
      <c r="CV3145">
        <v>0.53</v>
      </c>
      <c r="CW3145">
        <v>1.25</v>
      </c>
      <c r="CX3145">
        <v>-0.33</v>
      </c>
      <c r="CY3145">
        <v>18.260000000000002</v>
      </c>
      <c r="CZ3145" t="s">
        <v>13664</v>
      </c>
      <c r="DA3145">
        <v>7.23</v>
      </c>
      <c r="DB3145">
        <v>1.81</v>
      </c>
      <c r="DC3145">
        <v>1.25</v>
      </c>
      <c r="DD3145">
        <v>1.32</v>
      </c>
      <c r="DE3145">
        <v>4250</v>
      </c>
      <c r="DF3145">
        <v>601789</v>
      </c>
      <c r="DG3145" t="s">
        <v>116</v>
      </c>
      <c r="DH3145" t="s">
        <v>116</v>
      </c>
      <c r="DI3145" t="s">
        <v>116</v>
      </c>
    </row>
    <row r="3146" spans="1:113" x14ac:dyDescent="0.4">
      <c r="A3146" t="str">
        <f>"601798"</f>
        <v>601798</v>
      </c>
      <c r="B3146" t="s">
        <v>13665</v>
      </c>
      <c r="C3146">
        <v>0.32</v>
      </c>
      <c r="D3146">
        <v>6.27</v>
      </c>
      <c r="E3146">
        <v>0.02</v>
      </c>
      <c r="F3146">
        <v>6.26</v>
      </c>
      <c r="G3146">
        <v>6.27</v>
      </c>
      <c r="H3146">
        <v>14953</v>
      </c>
      <c r="I3146">
        <v>507</v>
      </c>
      <c r="J3146">
        <v>-0.15</v>
      </c>
      <c r="K3146">
        <v>0.42</v>
      </c>
      <c r="L3146">
        <v>6.26</v>
      </c>
      <c r="M3146">
        <v>6.34</v>
      </c>
      <c r="N3146">
        <v>6.2</v>
      </c>
      <c r="O3146">
        <v>6.25</v>
      </c>
      <c r="P3146" t="s">
        <v>116</v>
      </c>
      <c r="Q3146">
        <v>9379764</v>
      </c>
      <c r="R3146">
        <v>1.78</v>
      </c>
      <c r="S3146" t="s">
        <v>2426</v>
      </c>
      <c r="T3146" t="s">
        <v>1122</v>
      </c>
      <c r="U3146">
        <v>2.2400000000000002</v>
      </c>
      <c r="V3146">
        <v>6.27</v>
      </c>
      <c r="W3146">
        <v>6811</v>
      </c>
      <c r="X3146">
        <v>8142</v>
      </c>
      <c r="Y3146">
        <v>0.84</v>
      </c>
      <c r="Z3146">
        <v>660</v>
      </c>
      <c r="AA3146">
        <v>664</v>
      </c>
      <c r="AB3146" t="s">
        <v>116</v>
      </c>
      <c r="AC3146">
        <v>0</v>
      </c>
      <c r="AD3146">
        <v>0</v>
      </c>
      <c r="AE3146" t="s">
        <v>116</v>
      </c>
      <c r="AF3146" t="s">
        <v>116</v>
      </c>
      <c r="AG3146">
        <v>3.55</v>
      </c>
      <c r="AH3146" t="s">
        <v>6782</v>
      </c>
      <c r="AI3146" t="s">
        <v>6782</v>
      </c>
      <c r="AJ3146">
        <v>0.4</v>
      </c>
      <c r="AK3146">
        <v>243</v>
      </c>
      <c r="AL3146">
        <v>62</v>
      </c>
      <c r="AM3146">
        <v>1.6999999999999999E-3</v>
      </c>
      <c r="AN3146">
        <v>1</v>
      </c>
      <c r="AO3146">
        <v>-0.16</v>
      </c>
      <c r="AP3146">
        <v>2.62</v>
      </c>
      <c r="AQ3146">
        <v>-3.09</v>
      </c>
      <c r="AR3146">
        <v>27.44</v>
      </c>
      <c r="AS3146">
        <v>1.26</v>
      </c>
      <c r="AT3146" t="s">
        <v>13666</v>
      </c>
      <c r="AU3146">
        <v>14.94</v>
      </c>
      <c r="AV3146">
        <v>35.32</v>
      </c>
      <c r="AW3146">
        <v>0.56999999999999995</v>
      </c>
      <c r="BA3146">
        <v>0.16</v>
      </c>
      <c r="BB3146">
        <v>1.44</v>
      </c>
      <c r="BC3146">
        <v>-0.8</v>
      </c>
      <c r="BD3146">
        <v>0.37</v>
      </c>
      <c r="BE3146">
        <v>0.16</v>
      </c>
      <c r="BF3146">
        <v>-1.1000000000000001</v>
      </c>
      <c r="BG3146">
        <v>1.1299999999999999</v>
      </c>
      <c r="BH3146">
        <v>-0.05</v>
      </c>
      <c r="BI3146">
        <v>20191030</v>
      </c>
      <c r="BJ3146">
        <v>20110622</v>
      </c>
      <c r="BK3146">
        <v>3.55</v>
      </c>
      <c r="BL3146" t="s">
        <v>116</v>
      </c>
      <c r="BM3146" t="s">
        <v>116</v>
      </c>
      <c r="BN3146">
        <v>33.1</v>
      </c>
      <c r="BO3146">
        <v>17.96</v>
      </c>
      <c r="BP3146">
        <v>0.02</v>
      </c>
      <c r="BQ3146">
        <v>45.69</v>
      </c>
      <c r="BR3146">
        <v>20.93</v>
      </c>
      <c r="BS3146">
        <v>7.99</v>
      </c>
      <c r="BT3146">
        <v>1.1399999999999999</v>
      </c>
      <c r="BU3146">
        <v>13.82</v>
      </c>
      <c r="BV3146">
        <v>5.89</v>
      </c>
      <c r="BW3146">
        <v>6.43</v>
      </c>
      <c r="BX3146">
        <v>9.9700000000000006</v>
      </c>
      <c r="BY3146">
        <v>6.11</v>
      </c>
      <c r="BZ3146">
        <v>4.68</v>
      </c>
      <c r="CA3146">
        <v>-0.1</v>
      </c>
      <c r="CB3146">
        <v>-7.0000000000000007E-2</v>
      </c>
      <c r="CC3146">
        <v>-0.12</v>
      </c>
      <c r="CD3146">
        <v>-0.12</v>
      </c>
      <c r="CE3146">
        <v>-0.05</v>
      </c>
      <c r="CF3146">
        <v>-0.13</v>
      </c>
      <c r="CG3146">
        <v>3.84</v>
      </c>
      <c r="CH3146">
        <v>-1.83</v>
      </c>
      <c r="CI3146">
        <v>-1.34</v>
      </c>
      <c r="CJ3146">
        <v>11981</v>
      </c>
      <c r="CK3146">
        <v>9908</v>
      </c>
      <c r="CL3146" t="s">
        <v>6652</v>
      </c>
      <c r="CM3146">
        <v>94.2</v>
      </c>
      <c r="CN3146">
        <v>69.680000000000007</v>
      </c>
      <c r="CO3146">
        <v>1.24</v>
      </c>
      <c r="CP3146">
        <v>-12.16</v>
      </c>
      <c r="CQ3146">
        <v>3.64</v>
      </c>
      <c r="CR3146">
        <v>0</v>
      </c>
      <c r="CS3146" t="s">
        <v>1189</v>
      </c>
      <c r="CT3146">
        <v>5.0599999999999996</v>
      </c>
      <c r="CU3146">
        <v>0</v>
      </c>
      <c r="CV3146">
        <v>2.81</v>
      </c>
      <c r="CW3146">
        <v>1.08</v>
      </c>
      <c r="CX3146">
        <v>-0.52</v>
      </c>
      <c r="CY3146">
        <v>54.25</v>
      </c>
      <c r="CZ3146" t="s">
        <v>1190</v>
      </c>
      <c r="DA3146">
        <v>23.31</v>
      </c>
      <c r="DB3146">
        <v>-1.59</v>
      </c>
      <c r="DC3146">
        <v>-0.86</v>
      </c>
      <c r="DD3146">
        <v>0.55000000000000004</v>
      </c>
      <c r="DE3146">
        <v>1197</v>
      </c>
      <c r="DF3146">
        <v>601798</v>
      </c>
      <c r="DG3146" t="s">
        <v>116</v>
      </c>
      <c r="DH3146" t="s">
        <v>116</v>
      </c>
      <c r="DI3146" t="s">
        <v>116</v>
      </c>
    </row>
    <row r="3147" spans="1:113" x14ac:dyDescent="0.4">
      <c r="A3147" t="str">
        <f>"601799"</f>
        <v>601799</v>
      </c>
      <c r="B3147" t="s">
        <v>13667</v>
      </c>
      <c r="C3147">
        <v>0.08</v>
      </c>
      <c r="D3147">
        <v>91.6</v>
      </c>
      <c r="E3147">
        <v>7.0000000000000007E-2</v>
      </c>
      <c r="F3147">
        <v>91.53</v>
      </c>
      <c r="G3147">
        <v>91.6</v>
      </c>
      <c r="H3147">
        <v>5564</v>
      </c>
      <c r="I3147">
        <v>51</v>
      </c>
      <c r="J3147">
        <v>0</v>
      </c>
      <c r="K3147">
        <v>0.2</v>
      </c>
      <c r="L3147">
        <v>91</v>
      </c>
      <c r="M3147">
        <v>92.8</v>
      </c>
      <c r="N3147">
        <v>90.5</v>
      </c>
      <c r="O3147">
        <v>91.53</v>
      </c>
      <c r="P3147">
        <v>35.700000000000003</v>
      </c>
      <c r="Q3147">
        <v>50980992</v>
      </c>
      <c r="R3147">
        <v>0.61</v>
      </c>
      <c r="S3147" t="s">
        <v>293</v>
      </c>
      <c r="T3147" t="s">
        <v>323</v>
      </c>
      <c r="U3147">
        <v>2.5099999999999998</v>
      </c>
      <c r="V3147">
        <v>91.63</v>
      </c>
      <c r="W3147">
        <v>2975</v>
      </c>
      <c r="X3147">
        <v>2589</v>
      </c>
      <c r="Y3147">
        <v>1.1499999999999999</v>
      </c>
      <c r="Z3147">
        <v>6</v>
      </c>
      <c r="AA3147">
        <v>12</v>
      </c>
      <c r="AB3147" t="s">
        <v>116</v>
      </c>
      <c r="AC3147">
        <v>163800</v>
      </c>
      <c r="AD3147">
        <v>0</v>
      </c>
      <c r="AE3147" t="s">
        <v>116</v>
      </c>
      <c r="AF3147" t="s">
        <v>116</v>
      </c>
      <c r="AG3147">
        <v>2.76</v>
      </c>
      <c r="AH3147" t="s">
        <v>13668</v>
      </c>
      <c r="AI3147" t="s">
        <v>13668</v>
      </c>
      <c r="AJ3147">
        <v>0.15</v>
      </c>
      <c r="AK3147">
        <v>1486</v>
      </c>
      <c r="AL3147">
        <v>4</v>
      </c>
      <c r="AM3147">
        <v>1E-4</v>
      </c>
      <c r="AN3147">
        <v>1</v>
      </c>
      <c r="AO3147">
        <v>-0.49</v>
      </c>
      <c r="AP3147">
        <v>9.0500000000000007</v>
      </c>
      <c r="AQ3147">
        <v>18.22</v>
      </c>
      <c r="AR3147">
        <v>96.95</v>
      </c>
      <c r="AS3147">
        <v>0.47</v>
      </c>
      <c r="AT3147" t="s">
        <v>13669</v>
      </c>
      <c r="AU3147">
        <v>36</v>
      </c>
      <c r="AV3147">
        <v>41.43</v>
      </c>
      <c r="AW3147">
        <v>0.23</v>
      </c>
      <c r="BA3147">
        <v>-0.57999999999999996</v>
      </c>
      <c r="BB3147">
        <v>1.39</v>
      </c>
      <c r="BC3147">
        <v>-1.1299999999999999</v>
      </c>
      <c r="BD3147">
        <v>0.11</v>
      </c>
      <c r="BE3147">
        <v>0.66</v>
      </c>
      <c r="BF3147">
        <v>-1.29</v>
      </c>
      <c r="BG3147">
        <v>1.22</v>
      </c>
      <c r="BH3147">
        <v>-0.03</v>
      </c>
      <c r="BI3147">
        <v>20191026</v>
      </c>
      <c r="BJ3147">
        <v>20110201</v>
      </c>
      <c r="BK3147">
        <v>2.76</v>
      </c>
      <c r="BL3147" t="s">
        <v>116</v>
      </c>
      <c r="BM3147" t="s">
        <v>116</v>
      </c>
      <c r="BN3147">
        <v>78.12</v>
      </c>
      <c r="BO3147">
        <v>46.27</v>
      </c>
      <c r="BP3147">
        <v>0</v>
      </c>
      <c r="BQ3147">
        <v>40.770000000000003</v>
      </c>
      <c r="BR3147">
        <v>58.84</v>
      </c>
      <c r="BS3147">
        <v>11.67</v>
      </c>
      <c r="BT3147">
        <v>3.64</v>
      </c>
      <c r="BU3147">
        <v>29.45</v>
      </c>
      <c r="BV3147">
        <v>12.99</v>
      </c>
      <c r="BW3147">
        <v>8.9700000000000006</v>
      </c>
      <c r="BX3147">
        <v>26.59</v>
      </c>
      <c r="BY3147">
        <v>41.05</v>
      </c>
      <c r="BZ3147">
        <v>31.31</v>
      </c>
      <c r="CA3147">
        <v>6.16</v>
      </c>
      <c r="CB3147">
        <v>-0.01</v>
      </c>
      <c r="CC3147">
        <v>6.16</v>
      </c>
      <c r="CD3147">
        <v>5.31</v>
      </c>
      <c r="CE3147">
        <v>5.31</v>
      </c>
      <c r="CF3147">
        <v>4.96</v>
      </c>
      <c r="CG3147">
        <v>15.11</v>
      </c>
      <c r="CH3147">
        <v>5.7</v>
      </c>
      <c r="CI3147">
        <v>-0.57999999999999996</v>
      </c>
      <c r="CJ3147">
        <v>5296</v>
      </c>
      <c r="CK3147">
        <v>22361</v>
      </c>
      <c r="CL3147" t="s">
        <v>13670</v>
      </c>
      <c r="CM3147">
        <v>20.96</v>
      </c>
      <c r="CN3147">
        <v>10.220000000000001</v>
      </c>
      <c r="CO3147">
        <v>5.47</v>
      </c>
      <c r="CP3147">
        <v>44.36</v>
      </c>
      <c r="CQ3147">
        <v>6.16</v>
      </c>
      <c r="CR3147">
        <v>1.08</v>
      </c>
      <c r="CS3147" t="s">
        <v>13671</v>
      </c>
      <c r="CT3147">
        <v>16.760000000000002</v>
      </c>
      <c r="CU3147">
        <v>0</v>
      </c>
      <c r="CV3147">
        <v>9.6300000000000008</v>
      </c>
      <c r="CW3147">
        <v>5.47</v>
      </c>
      <c r="CX3147">
        <v>2.0699999999999998</v>
      </c>
      <c r="CY3147">
        <v>59.23</v>
      </c>
      <c r="CZ3147" t="s">
        <v>2860</v>
      </c>
      <c r="DA3147">
        <v>23.72</v>
      </c>
      <c r="DB3147">
        <v>15.02</v>
      </c>
      <c r="DC3147">
        <v>12.94</v>
      </c>
      <c r="DD3147">
        <v>1.5</v>
      </c>
      <c r="DE3147">
        <v>5642</v>
      </c>
      <c r="DF3147">
        <v>601799</v>
      </c>
      <c r="DG3147" t="s">
        <v>116</v>
      </c>
      <c r="DH3147" t="s">
        <v>116</v>
      </c>
      <c r="DI3147" t="s">
        <v>116</v>
      </c>
    </row>
    <row r="3148" spans="1:113" x14ac:dyDescent="0.4">
      <c r="A3148" t="str">
        <f>"601800"</f>
        <v>601800</v>
      </c>
      <c r="B3148" t="s">
        <v>13672</v>
      </c>
      <c r="C3148">
        <v>-1.03</v>
      </c>
      <c r="D3148">
        <v>8.65</v>
      </c>
      <c r="E3148">
        <v>-0.09</v>
      </c>
      <c r="F3148">
        <v>8.64</v>
      </c>
      <c r="G3148">
        <v>8.65</v>
      </c>
      <c r="H3148">
        <v>410570</v>
      </c>
      <c r="I3148">
        <v>21727</v>
      </c>
      <c r="J3148">
        <v>-0.56000000000000005</v>
      </c>
      <c r="K3148">
        <v>0.35</v>
      </c>
      <c r="L3148">
        <v>8.76</v>
      </c>
      <c r="M3148">
        <v>8.83</v>
      </c>
      <c r="N3148">
        <v>8.65</v>
      </c>
      <c r="O3148">
        <v>8.74</v>
      </c>
      <c r="P3148">
        <v>7.87</v>
      </c>
      <c r="Q3148">
        <v>359594304</v>
      </c>
      <c r="R3148">
        <v>1.21</v>
      </c>
      <c r="S3148" t="s">
        <v>181</v>
      </c>
      <c r="T3148" t="s">
        <v>165</v>
      </c>
      <c r="U3148">
        <v>2.06</v>
      </c>
      <c r="V3148">
        <v>8.76</v>
      </c>
      <c r="W3148">
        <v>225560</v>
      </c>
      <c r="X3148">
        <v>185010</v>
      </c>
      <c r="Y3148">
        <v>1.22</v>
      </c>
      <c r="Z3148">
        <v>1311</v>
      </c>
      <c r="AA3148">
        <v>2369</v>
      </c>
      <c r="AB3148" t="s">
        <v>116</v>
      </c>
      <c r="AC3148">
        <v>767400</v>
      </c>
      <c r="AD3148">
        <v>0</v>
      </c>
      <c r="AE3148" t="s">
        <v>116</v>
      </c>
      <c r="AF3148" t="s">
        <v>116</v>
      </c>
      <c r="AG3148">
        <v>117.47</v>
      </c>
      <c r="AH3148" t="s">
        <v>13673</v>
      </c>
      <c r="AI3148" t="s">
        <v>13673</v>
      </c>
      <c r="AJ3148">
        <v>-0.95</v>
      </c>
      <c r="AK3148">
        <v>3534</v>
      </c>
      <c r="AL3148">
        <v>116</v>
      </c>
      <c r="AM3148">
        <v>1E-4</v>
      </c>
      <c r="AN3148">
        <v>-1</v>
      </c>
      <c r="AO3148">
        <v>-1.26</v>
      </c>
      <c r="AP3148">
        <v>-3.89</v>
      </c>
      <c r="AQ3148">
        <v>-14.69</v>
      </c>
      <c r="AR3148">
        <v>-21.57</v>
      </c>
      <c r="AS3148">
        <v>1.79</v>
      </c>
      <c r="AT3148" t="s">
        <v>13674</v>
      </c>
      <c r="AU3148">
        <v>6.94</v>
      </c>
      <c r="AV3148">
        <v>7.11</v>
      </c>
      <c r="AW3148">
        <v>1.28</v>
      </c>
      <c r="BA3148">
        <v>0.23</v>
      </c>
      <c r="BB3148">
        <v>1.03</v>
      </c>
      <c r="BC3148">
        <v>-1.03</v>
      </c>
      <c r="BD3148">
        <v>0.21</v>
      </c>
      <c r="BE3148">
        <v>-1.26</v>
      </c>
      <c r="BF3148">
        <v>-2.04</v>
      </c>
      <c r="BG3148">
        <v>0</v>
      </c>
      <c r="BH3148">
        <v>-1.24</v>
      </c>
      <c r="BI3148">
        <v>20191031</v>
      </c>
      <c r="BJ3148">
        <v>20120309</v>
      </c>
      <c r="BK3148">
        <v>161.75</v>
      </c>
      <c r="BL3148" t="s">
        <v>116</v>
      </c>
      <c r="BM3148">
        <v>44.27</v>
      </c>
      <c r="BN3148">
        <v>10686.39</v>
      </c>
      <c r="BO3148">
        <v>2133.1</v>
      </c>
      <c r="BP3148">
        <v>542.67999999999995</v>
      </c>
      <c r="BQ3148">
        <v>74.959999999999994</v>
      </c>
      <c r="BR3148">
        <v>5279.92</v>
      </c>
      <c r="BS3148">
        <v>459.24</v>
      </c>
      <c r="BT3148">
        <v>2124.9</v>
      </c>
      <c r="BU3148">
        <v>5102.97</v>
      </c>
      <c r="BV3148">
        <v>588.88</v>
      </c>
      <c r="BW3148">
        <v>898.05</v>
      </c>
      <c r="BX3148">
        <v>279.32</v>
      </c>
      <c r="BY3148">
        <v>3746.89</v>
      </c>
      <c r="BZ3148">
        <v>3303.93</v>
      </c>
      <c r="CA3148">
        <v>172.15</v>
      </c>
      <c r="CB3148">
        <v>18.18</v>
      </c>
      <c r="CC3148">
        <v>173.78</v>
      </c>
      <c r="CD3148">
        <v>142.25</v>
      </c>
      <c r="CE3148">
        <v>133.41</v>
      </c>
      <c r="CF3148">
        <v>119.3</v>
      </c>
      <c r="CG3148">
        <v>1214.3</v>
      </c>
      <c r="CH3148">
        <v>-382.25</v>
      </c>
      <c r="CI3148">
        <v>-154.06</v>
      </c>
      <c r="CJ3148">
        <v>145485</v>
      </c>
      <c r="CK3148">
        <v>15808</v>
      </c>
      <c r="CL3148" t="s">
        <v>13675</v>
      </c>
      <c r="CM3148">
        <v>3.73</v>
      </c>
      <c r="CN3148">
        <v>14.04</v>
      </c>
      <c r="CO3148">
        <v>0.74</v>
      </c>
      <c r="CP3148">
        <v>-3.66</v>
      </c>
      <c r="CQ3148">
        <v>0.37</v>
      </c>
      <c r="CR3148">
        <v>2.67</v>
      </c>
      <c r="CS3148" t="s">
        <v>10012</v>
      </c>
      <c r="CT3148">
        <v>11.68</v>
      </c>
      <c r="CU3148">
        <v>11.68</v>
      </c>
      <c r="CV3148">
        <v>1.73</v>
      </c>
      <c r="CW3148">
        <v>7.51</v>
      </c>
      <c r="CX3148">
        <v>-2.36</v>
      </c>
      <c r="CY3148">
        <v>19.96</v>
      </c>
      <c r="CZ3148" t="s">
        <v>9315</v>
      </c>
      <c r="DA3148">
        <v>11.82</v>
      </c>
      <c r="DB3148">
        <v>4.59</v>
      </c>
      <c r="DC3148">
        <v>3.56</v>
      </c>
      <c r="DD3148">
        <v>98.03</v>
      </c>
      <c r="DE3148">
        <v>135813</v>
      </c>
      <c r="DF3148">
        <v>601800</v>
      </c>
      <c r="DG3148" t="s">
        <v>116</v>
      </c>
      <c r="DH3148" t="s">
        <v>116</v>
      </c>
      <c r="DI3148" t="s">
        <v>116</v>
      </c>
    </row>
    <row r="3149" spans="1:113" x14ac:dyDescent="0.4">
      <c r="A3149" t="str">
        <f>"601801"</f>
        <v>601801</v>
      </c>
      <c r="B3149" t="s">
        <v>13676</v>
      </c>
      <c r="C3149">
        <v>-0.18</v>
      </c>
      <c r="D3149">
        <v>5.41</v>
      </c>
      <c r="E3149">
        <v>-0.01</v>
      </c>
      <c r="F3149">
        <v>5.41</v>
      </c>
      <c r="G3149">
        <v>5.42</v>
      </c>
      <c r="H3149">
        <v>48570</v>
      </c>
      <c r="I3149">
        <v>162</v>
      </c>
      <c r="J3149">
        <v>0</v>
      </c>
      <c r="K3149">
        <v>0.24</v>
      </c>
      <c r="L3149">
        <v>5.43</v>
      </c>
      <c r="M3149">
        <v>5.51</v>
      </c>
      <c r="N3149">
        <v>5.41</v>
      </c>
      <c r="O3149">
        <v>5.42</v>
      </c>
      <c r="P3149">
        <v>13.21</v>
      </c>
      <c r="Q3149">
        <v>26547282</v>
      </c>
      <c r="R3149">
        <v>1.1399999999999999</v>
      </c>
      <c r="S3149" t="s">
        <v>1902</v>
      </c>
      <c r="T3149" t="s">
        <v>575</v>
      </c>
      <c r="U3149">
        <v>1.85</v>
      </c>
      <c r="V3149">
        <v>5.47</v>
      </c>
      <c r="W3149">
        <v>22086</v>
      </c>
      <c r="X3149">
        <v>26484</v>
      </c>
      <c r="Y3149">
        <v>0.83</v>
      </c>
      <c r="Z3149">
        <v>229</v>
      </c>
      <c r="AA3149">
        <v>94</v>
      </c>
      <c r="AB3149" t="s">
        <v>116</v>
      </c>
      <c r="AC3149">
        <v>36400</v>
      </c>
      <c r="AD3149">
        <v>0</v>
      </c>
      <c r="AE3149" t="s">
        <v>116</v>
      </c>
      <c r="AF3149" t="s">
        <v>116</v>
      </c>
      <c r="AG3149">
        <v>19.89</v>
      </c>
      <c r="AH3149" t="s">
        <v>13677</v>
      </c>
      <c r="AI3149" t="s">
        <v>13677</v>
      </c>
      <c r="AJ3149">
        <v>-0.11</v>
      </c>
      <c r="AK3149">
        <v>1529</v>
      </c>
      <c r="AL3149">
        <v>32</v>
      </c>
      <c r="AM3149">
        <v>2.0000000000000001E-4</v>
      </c>
      <c r="AN3149">
        <v>-1</v>
      </c>
      <c r="AO3149">
        <v>0.94</v>
      </c>
      <c r="AP3149">
        <v>5.66</v>
      </c>
      <c r="AQ3149">
        <v>-3.05</v>
      </c>
      <c r="AR3149">
        <v>-16.829999999999998</v>
      </c>
      <c r="AS3149">
        <v>1.05</v>
      </c>
      <c r="AT3149" t="s">
        <v>9176</v>
      </c>
      <c r="AU3149">
        <v>17.78</v>
      </c>
      <c r="AV3149">
        <v>9.9</v>
      </c>
      <c r="AW3149">
        <v>1.2</v>
      </c>
      <c r="BA3149">
        <v>0.18</v>
      </c>
      <c r="BB3149">
        <v>1.66</v>
      </c>
      <c r="BC3149">
        <v>-0.18</v>
      </c>
      <c r="BD3149">
        <v>0.84</v>
      </c>
      <c r="BE3149">
        <v>-0.37</v>
      </c>
      <c r="BF3149">
        <v>-1.81</v>
      </c>
      <c r="BG3149">
        <v>0</v>
      </c>
      <c r="BH3149">
        <v>-1.03</v>
      </c>
      <c r="BI3149">
        <v>20191030</v>
      </c>
      <c r="BJ3149">
        <v>20100118</v>
      </c>
      <c r="BK3149">
        <v>19.89</v>
      </c>
      <c r="BL3149" t="s">
        <v>116</v>
      </c>
      <c r="BM3149" t="s">
        <v>116</v>
      </c>
      <c r="BN3149">
        <v>142.69</v>
      </c>
      <c r="BO3149">
        <v>102.22</v>
      </c>
      <c r="BP3149">
        <v>2.68</v>
      </c>
      <c r="BQ3149">
        <v>26.48</v>
      </c>
      <c r="BR3149">
        <v>109.03</v>
      </c>
      <c r="BS3149">
        <v>3.67</v>
      </c>
      <c r="BT3149">
        <v>2.64</v>
      </c>
      <c r="BU3149">
        <v>36.630000000000003</v>
      </c>
      <c r="BV3149">
        <v>13.47</v>
      </c>
      <c r="BW3149">
        <v>19.91</v>
      </c>
      <c r="BX3149">
        <v>24.21</v>
      </c>
      <c r="BY3149">
        <v>67.819999999999993</v>
      </c>
      <c r="BZ3149">
        <v>53.1</v>
      </c>
      <c r="CA3149">
        <v>6.42</v>
      </c>
      <c r="CB3149">
        <v>-0.04</v>
      </c>
      <c r="CC3149">
        <v>6.36</v>
      </c>
      <c r="CD3149">
        <v>6.23</v>
      </c>
      <c r="CE3149">
        <v>6.11</v>
      </c>
      <c r="CF3149">
        <v>5.5</v>
      </c>
      <c r="CG3149">
        <v>48.18</v>
      </c>
      <c r="CH3149">
        <v>5.44</v>
      </c>
      <c r="CI3149">
        <v>4.6500000000000004</v>
      </c>
      <c r="CJ3149">
        <v>28084</v>
      </c>
      <c r="CK3149">
        <v>16438</v>
      </c>
      <c r="CL3149" t="s">
        <v>10982</v>
      </c>
      <c r="CM3149">
        <v>-44.08</v>
      </c>
      <c r="CN3149">
        <v>-8.9600000000000009</v>
      </c>
      <c r="CO3149">
        <v>1.05</v>
      </c>
      <c r="CP3149">
        <v>19.79</v>
      </c>
      <c r="CQ3149">
        <v>1.59</v>
      </c>
      <c r="CR3149">
        <v>3.23</v>
      </c>
      <c r="CS3149" t="s">
        <v>1726</v>
      </c>
      <c r="CT3149">
        <v>5.14</v>
      </c>
      <c r="CU3149">
        <v>0</v>
      </c>
      <c r="CV3149">
        <v>1.22</v>
      </c>
      <c r="CW3149">
        <v>2.42</v>
      </c>
      <c r="CX3149">
        <v>0.27</v>
      </c>
      <c r="CY3149">
        <v>71.64</v>
      </c>
      <c r="CZ3149" t="s">
        <v>8344</v>
      </c>
      <c r="DA3149">
        <v>21.71</v>
      </c>
      <c r="DB3149">
        <v>9.4600000000000009</v>
      </c>
      <c r="DC3149">
        <v>9.01</v>
      </c>
      <c r="DD3149">
        <v>7.0000000000000007E-2</v>
      </c>
      <c r="DE3149">
        <v>6187</v>
      </c>
      <c r="DF3149">
        <v>601801</v>
      </c>
      <c r="DG3149" t="s">
        <v>116</v>
      </c>
      <c r="DH3149" t="s">
        <v>116</v>
      </c>
      <c r="DI3149" t="s">
        <v>116</v>
      </c>
    </row>
    <row r="3150" spans="1:113" x14ac:dyDescent="0.4">
      <c r="A3150" t="str">
        <f>"601808"</f>
        <v>601808</v>
      </c>
      <c r="B3150" t="s">
        <v>13678</v>
      </c>
      <c r="C3150">
        <v>-1.0900000000000001</v>
      </c>
      <c r="D3150">
        <v>19</v>
      </c>
      <c r="E3150">
        <v>-0.21</v>
      </c>
      <c r="F3150">
        <v>18.989999999999998</v>
      </c>
      <c r="G3150">
        <v>19</v>
      </c>
      <c r="H3150">
        <v>62528</v>
      </c>
      <c r="I3150">
        <v>753</v>
      </c>
      <c r="J3150">
        <v>0.21</v>
      </c>
      <c r="K3150">
        <v>0.21</v>
      </c>
      <c r="L3150">
        <v>19.2</v>
      </c>
      <c r="M3150">
        <v>19.38</v>
      </c>
      <c r="N3150">
        <v>18.93</v>
      </c>
      <c r="O3150">
        <v>19.21</v>
      </c>
      <c r="P3150">
        <v>32.090000000000003</v>
      </c>
      <c r="Q3150">
        <v>119498304</v>
      </c>
      <c r="R3150">
        <v>0.72</v>
      </c>
      <c r="S3150" t="s">
        <v>4171</v>
      </c>
      <c r="T3150" t="s">
        <v>1035</v>
      </c>
      <c r="U3150">
        <v>2.34</v>
      </c>
      <c r="V3150">
        <v>19.11</v>
      </c>
      <c r="W3150">
        <v>34627</v>
      </c>
      <c r="X3150">
        <v>27901</v>
      </c>
      <c r="Y3150">
        <v>1.24</v>
      </c>
      <c r="Z3150">
        <v>43</v>
      </c>
      <c r="AA3150">
        <v>127</v>
      </c>
      <c r="AB3150" t="s">
        <v>116</v>
      </c>
      <c r="AC3150">
        <v>199500</v>
      </c>
      <c r="AD3150">
        <v>0</v>
      </c>
      <c r="AE3150" t="s">
        <v>116</v>
      </c>
      <c r="AF3150" t="s">
        <v>116</v>
      </c>
      <c r="AG3150">
        <v>29.6</v>
      </c>
      <c r="AH3150" t="s">
        <v>13679</v>
      </c>
      <c r="AI3150" t="s">
        <v>13679</v>
      </c>
      <c r="AJ3150">
        <v>-1.02</v>
      </c>
      <c r="AK3150">
        <v>3554</v>
      </c>
      <c r="AL3150">
        <v>18</v>
      </c>
      <c r="AM3150">
        <v>1E-4</v>
      </c>
      <c r="AN3150">
        <v>-1</v>
      </c>
      <c r="AO3150">
        <v>3.32</v>
      </c>
      <c r="AP3150">
        <v>13.91</v>
      </c>
      <c r="AQ3150">
        <v>54.72</v>
      </c>
      <c r="AR3150">
        <v>124.32</v>
      </c>
      <c r="AS3150">
        <v>1.1399999999999999</v>
      </c>
      <c r="AT3150" t="s">
        <v>13680</v>
      </c>
      <c r="AU3150">
        <v>36.76</v>
      </c>
      <c r="AV3150">
        <v>1280.47</v>
      </c>
      <c r="AW3150">
        <v>1.1599999999999999</v>
      </c>
      <c r="BA3150">
        <v>-0.05</v>
      </c>
      <c r="BB3150">
        <v>0.88</v>
      </c>
      <c r="BC3150">
        <v>-1.46</v>
      </c>
      <c r="BD3150">
        <v>-0.51</v>
      </c>
      <c r="BE3150">
        <v>-1.04</v>
      </c>
      <c r="BF3150">
        <v>-1.96</v>
      </c>
      <c r="BG3150">
        <v>0.37</v>
      </c>
      <c r="BH3150">
        <v>-0.57999999999999996</v>
      </c>
      <c r="BI3150">
        <v>20191031</v>
      </c>
      <c r="BJ3150">
        <v>20070928</v>
      </c>
      <c r="BK3150">
        <v>47.72</v>
      </c>
      <c r="BL3150" t="s">
        <v>116</v>
      </c>
      <c r="BM3150">
        <v>18.11</v>
      </c>
      <c r="BN3150">
        <v>774.38</v>
      </c>
      <c r="BO3150">
        <v>364.15</v>
      </c>
      <c r="BP3150">
        <v>1.72</v>
      </c>
      <c r="BQ3150">
        <v>52.75</v>
      </c>
      <c r="BR3150">
        <v>241.92</v>
      </c>
      <c r="BS3150">
        <v>476.92</v>
      </c>
      <c r="BT3150">
        <v>3.14</v>
      </c>
      <c r="BU3150">
        <v>212.56</v>
      </c>
      <c r="BV3150">
        <v>18.84</v>
      </c>
      <c r="BW3150">
        <v>138.63999999999999</v>
      </c>
      <c r="BX3150">
        <v>123.66</v>
      </c>
      <c r="BY3150">
        <v>213.35</v>
      </c>
      <c r="BZ3150">
        <v>172.93</v>
      </c>
      <c r="CA3150">
        <v>28.53</v>
      </c>
      <c r="CB3150">
        <v>4</v>
      </c>
      <c r="CC3150">
        <v>28.07</v>
      </c>
      <c r="CD3150">
        <v>21.38</v>
      </c>
      <c r="CE3150">
        <v>21.19</v>
      </c>
      <c r="CF3150">
        <v>18.899999999999999</v>
      </c>
      <c r="CG3150">
        <v>168.13</v>
      </c>
      <c r="CH3150">
        <v>11.34</v>
      </c>
      <c r="CI3150">
        <v>25.69</v>
      </c>
      <c r="CJ3150">
        <v>58059</v>
      </c>
      <c r="CK3150">
        <v>9467</v>
      </c>
      <c r="CL3150" t="s">
        <v>13681</v>
      </c>
      <c r="CM3150">
        <v>865.56</v>
      </c>
      <c r="CN3150">
        <v>55.52</v>
      </c>
      <c r="CO3150">
        <v>2.4900000000000002</v>
      </c>
      <c r="CP3150">
        <v>79.97</v>
      </c>
      <c r="CQ3150">
        <v>4.25</v>
      </c>
      <c r="CR3150">
        <v>0.37</v>
      </c>
      <c r="CS3150" t="s">
        <v>13682</v>
      </c>
      <c r="CT3150">
        <v>7.63</v>
      </c>
      <c r="CU3150">
        <v>0</v>
      </c>
      <c r="CV3150">
        <v>2.59</v>
      </c>
      <c r="CW3150">
        <v>3.52</v>
      </c>
      <c r="CX3150">
        <v>0.24</v>
      </c>
      <c r="CY3150">
        <v>47.02</v>
      </c>
      <c r="CZ3150" t="s">
        <v>9745</v>
      </c>
      <c r="DA3150">
        <v>18.940000000000001</v>
      </c>
      <c r="DB3150">
        <v>13.37</v>
      </c>
      <c r="DC3150">
        <v>9.93</v>
      </c>
      <c r="DD3150">
        <v>4.68</v>
      </c>
      <c r="DE3150">
        <v>14587</v>
      </c>
      <c r="DF3150">
        <v>601808</v>
      </c>
      <c r="DG3150" t="s">
        <v>116</v>
      </c>
      <c r="DH3150" t="s">
        <v>116</v>
      </c>
      <c r="DI3150" t="s">
        <v>116</v>
      </c>
    </row>
    <row r="3151" spans="1:113" x14ac:dyDescent="0.4">
      <c r="A3151" t="str">
        <f>"601811"</f>
        <v>601811</v>
      </c>
      <c r="B3151" t="s">
        <v>13683</v>
      </c>
      <c r="C3151">
        <v>-0.08</v>
      </c>
      <c r="D3151">
        <v>12.76</v>
      </c>
      <c r="E3151">
        <v>-0.01</v>
      </c>
      <c r="F3151">
        <v>12.76</v>
      </c>
      <c r="G3151">
        <v>12.77</v>
      </c>
      <c r="H3151">
        <v>22089</v>
      </c>
      <c r="I3151">
        <v>135</v>
      </c>
      <c r="J3151">
        <v>0.24</v>
      </c>
      <c r="K3151">
        <v>0.28000000000000003</v>
      </c>
      <c r="L3151">
        <v>12.84</v>
      </c>
      <c r="M3151">
        <v>13</v>
      </c>
      <c r="N3151">
        <v>12.73</v>
      </c>
      <c r="O3151">
        <v>12.77</v>
      </c>
      <c r="P3151">
        <v>15.81</v>
      </c>
      <c r="Q3151">
        <v>28426132</v>
      </c>
      <c r="R3151">
        <v>0.99</v>
      </c>
      <c r="S3151" t="s">
        <v>1902</v>
      </c>
      <c r="T3151" t="s">
        <v>582</v>
      </c>
      <c r="U3151">
        <v>2.11</v>
      </c>
      <c r="V3151">
        <v>12.87</v>
      </c>
      <c r="W3151">
        <v>10169</v>
      </c>
      <c r="X3151">
        <v>11920</v>
      </c>
      <c r="Y3151">
        <v>0.85</v>
      </c>
      <c r="Z3151">
        <v>368</v>
      </c>
      <c r="AA3151">
        <v>43</v>
      </c>
      <c r="AB3151" t="s">
        <v>116</v>
      </c>
      <c r="AC3151">
        <v>310700</v>
      </c>
      <c r="AD3151">
        <v>0.01</v>
      </c>
      <c r="AE3151" t="s">
        <v>116</v>
      </c>
      <c r="AF3151" t="s">
        <v>116</v>
      </c>
      <c r="AG3151">
        <v>7.92</v>
      </c>
      <c r="AH3151" t="s">
        <v>356</v>
      </c>
      <c r="AI3151" t="s">
        <v>356</v>
      </c>
      <c r="AJ3151">
        <v>0</v>
      </c>
      <c r="AK3151">
        <v>1797</v>
      </c>
      <c r="AL3151">
        <v>12</v>
      </c>
      <c r="AM3151">
        <v>2.0000000000000001E-4</v>
      </c>
      <c r="AN3151">
        <v>-3</v>
      </c>
      <c r="AO3151">
        <v>-1.47</v>
      </c>
      <c r="AP3151">
        <v>5.0199999999999996</v>
      </c>
      <c r="AQ3151">
        <v>-9.1199999999999992</v>
      </c>
      <c r="AR3151">
        <v>41.62</v>
      </c>
      <c r="AS3151">
        <v>1.1100000000000001</v>
      </c>
      <c r="AT3151" t="s">
        <v>9449</v>
      </c>
      <c r="AU3151">
        <v>14.58</v>
      </c>
      <c r="AV3151">
        <v>16.89</v>
      </c>
      <c r="AW3151">
        <v>1.89</v>
      </c>
      <c r="BA3151">
        <v>0.55000000000000004</v>
      </c>
      <c r="BB3151">
        <v>1.8</v>
      </c>
      <c r="BC3151">
        <v>-0.31</v>
      </c>
      <c r="BD3151">
        <v>0.77</v>
      </c>
      <c r="BE3151">
        <v>-0.62</v>
      </c>
      <c r="BF3151">
        <v>-1.85</v>
      </c>
      <c r="BG3151">
        <v>0.24</v>
      </c>
      <c r="BH3151">
        <v>-0.85</v>
      </c>
      <c r="BI3151">
        <v>20191030</v>
      </c>
      <c r="BJ3151">
        <v>20160808</v>
      </c>
      <c r="BK3151">
        <v>12.34</v>
      </c>
      <c r="BL3151" t="s">
        <v>116</v>
      </c>
      <c r="BM3151">
        <v>4.42</v>
      </c>
      <c r="BN3151">
        <v>147.87</v>
      </c>
      <c r="BO3151">
        <v>87.36</v>
      </c>
      <c r="BP3151">
        <v>-0.81</v>
      </c>
      <c r="BQ3151">
        <v>41.47</v>
      </c>
      <c r="BR3151">
        <v>89.12</v>
      </c>
      <c r="BS3151">
        <v>13.23</v>
      </c>
      <c r="BT3151">
        <v>3.58</v>
      </c>
      <c r="BU3151">
        <v>57.59</v>
      </c>
      <c r="BV3151">
        <v>24.3</v>
      </c>
      <c r="BW3151">
        <v>17.079999999999998</v>
      </c>
      <c r="BX3151">
        <v>25.73</v>
      </c>
      <c r="BY3151">
        <v>58.28</v>
      </c>
      <c r="BZ3151">
        <v>36.07</v>
      </c>
      <c r="CA3151">
        <v>7.77</v>
      </c>
      <c r="CB3151">
        <v>1.59</v>
      </c>
      <c r="CC3151">
        <v>7.57</v>
      </c>
      <c r="CD3151">
        <v>7.39</v>
      </c>
      <c r="CE3151">
        <v>7.47</v>
      </c>
      <c r="CF3151">
        <v>7.13</v>
      </c>
      <c r="CG3151">
        <v>33.18</v>
      </c>
      <c r="CH3151">
        <v>9.59</v>
      </c>
      <c r="CI3151">
        <v>16.39</v>
      </c>
      <c r="CJ3151">
        <v>23243</v>
      </c>
      <c r="CK3151">
        <v>8566</v>
      </c>
      <c r="CL3151" t="s">
        <v>555</v>
      </c>
      <c r="CM3151">
        <v>24.56</v>
      </c>
      <c r="CN3151">
        <v>6.38</v>
      </c>
      <c r="CO3151">
        <v>1.8</v>
      </c>
      <c r="CP3151">
        <v>16.420000000000002</v>
      </c>
      <c r="CQ3151">
        <v>2.7</v>
      </c>
      <c r="CR3151">
        <v>2.35</v>
      </c>
      <c r="CS3151" t="s">
        <v>13684</v>
      </c>
      <c r="CT3151">
        <v>7.08</v>
      </c>
      <c r="CU3151">
        <v>0</v>
      </c>
      <c r="CV3151">
        <v>2.08</v>
      </c>
      <c r="CW3151">
        <v>2.69</v>
      </c>
      <c r="CX3151">
        <v>0.78</v>
      </c>
      <c r="CY3151">
        <v>59.08</v>
      </c>
      <c r="CZ3151" t="s">
        <v>10408</v>
      </c>
      <c r="DA3151">
        <v>38.119999999999997</v>
      </c>
      <c r="DB3151">
        <v>13.32</v>
      </c>
      <c r="DC3151">
        <v>12.82</v>
      </c>
      <c r="DD3151">
        <v>0.02</v>
      </c>
      <c r="DE3151">
        <v>7724</v>
      </c>
      <c r="DF3151">
        <v>601811</v>
      </c>
      <c r="DG3151" t="s">
        <v>116</v>
      </c>
      <c r="DH3151" t="s">
        <v>116</v>
      </c>
      <c r="DI3151" t="s">
        <v>116</v>
      </c>
    </row>
    <row r="3152" spans="1:113" x14ac:dyDescent="0.4">
      <c r="A3152" t="str">
        <f>"601818"</f>
        <v>601818</v>
      </c>
      <c r="B3152" t="s">
        <v>13685</v>
      </c>
      <c r="C3152">
        <v>0.23</v>
      </c>
      <c r="D3152">
        <v>4.4400000000000004</v>
      </c>
      <c r="E3152">
        <v>0.01</v>
      </c>
      <c r="F3152">
        <v>4.43</v>
      </c>
      <c r="G3152">
        <v>4.4400000000000004</v>
      </c>
      <c r="H3152">
        <v>788002</v>
      </c>
      <c r="I3152">
        <v>3629</v>
      </c>
      <c r="J3152">
        <v>0</v>
      </c>
      <c r="K3152">
        <v>0.2</v>
      </c>
      <c r="L3152">
        <v>4.41</v>
      </c>
      <c r="M3152">
        <v>4.5</v>
      </c>
      <c r="N3152">
        <v>4.41</v>
      </c>
      <c r="O3152">
        <v>4.43</v>
      </c>
      <c r="P3152">
        <v>5.57</v>
      </c>
      <c r="Q3152">
        <v>350994976</v>
      </c>
      <c r="R3152">
        <v>1.0900000000000001</v>
      </c>
      <c r="S3152" t="s">
        <v>114</v>
      </c>
      <c r="T3152" t="s">
        <v>165</v>
      </c>
      <c r="U3152">
        <v>2.0299999999999998</v>
      </c>
      <c r="V3152">
        <v>4.45</v>
      </c>
      <c r="W3152">
        <v>308033</v>
      </c>
      <c r="X3152">
        <v>479969</v>
      </c>
      <c r="Y3152">
        <v>0.64</v>
      </c>
      <c r="Z3152">
        <v>11762</v>
      </c>
      <c r="AA3152">
        <v>6466</v>
      </c>
      <c r="AB3152" t="s">
        <v>116</v>
      </c>
      <c r="AC3152">
        <v>1181900</v>
      </c>
      <c r="AD3152">
        <v>0</v>
      </c>
      <c r="AE3152" t="s">
        <v>116</v>
      </c>
      <c r="AF3152" t="s">
        <v>116</v>
      </c>
      <c r="AG3152">
        <v>398.11</v>
      </c>
      <c r="AH3152" t="s">
        <v>13686</v>
      </c>
      <c r="AI3152" t="s">
        <v>13686</v>
      </c>
      <c r="AJ3152">
        <v>0.3</v>
      </c>
      <c r="AK3152">
        <v>3945</v>
      </c>
      <c r="AL3152">
        <v>200</v>
      </c>
      <c r="AM3152">
        <v>1E-4</v>
      </c>
      <c r="AN3152">
        <v>2</v>
      </c>
      <c r="AO3152">
        <v>1.37</v>
      </c>
      <c r="AP3152">
        <v>7.51</v>
      </c>
      <c r="AQ3152">
        <v>10.45</v>
      </c>
      <c r="AR3152">
        <v>25.46</v>
      </c>
      <c r="AS3152">
        <v>0.51</v>
      </c>
      <c r="AT3152" t="s">
        <v>13687</v>
      </c>
      <c r="AU3152">
        <v>6.25</v>
      </c>
      <c r="AV3152">
        <v>6.92</v>
      </c>
      <c r="AW3152">
        <v>1.7</v>
      </c>
      <c r="BA3152">
        <v>-0.45</v>
      </c>
      <c r="BB3152">
        <v>1.58</v>
      </c>
      <c r="BC3152">
        <v>-0.45</v>
      </c>
      <c r="BD3152">
        <v>0.55000000000000004</v>
      </c>
      <c r="BE3152">
        <v>0.68</v>
      </c>
      <c r="BF3152">
        <v>-1.33</v>
      </c>
      <c r="BG3152">
        <v>0.68</v>
      </c>
      <c r="BH3152">
        <v>-0.32</v>
      </c>
      <c r="BI3152">
        <v>20191031</v>
      </c>
      <c r="BJ3152">
        <v>20100818</v>
      </c>
      <c r="BK3152">
        <v>524.89</v>
      </c>
      <c r="BL3152" t="s">
        <v>116</v>
      </c>
      <c r="BM3152">
        <v>126.79</v>
      </c>
      <c r="BN3152">
        <v>47232.47</v>
      </c>
      <c r="BO3152">
        <v>3792.68</v>
      </c>
      <c r="BP3152">
        <v>10.51</v>
      </c>
      <c r="BQ3152">
        <v>91.95</v>
      </c>
      <c r="BR3152">
        <v>0</v>
      </c>
      <c r="BS3152">
        <v>189.04</v>
      </c>
      <c r="BT3152">
        <v>13.37</v>
      </c>
      <c r="BU3152">
        <v>0</v>
      </c>
      <c r="BV3152">
        <v>0</v>
      </c>
      <c r="BW3152">
        <v>0</v>
      </c>
      <c r="BX3152">
        <v>535.33000000000004</v>
      </c>
      <c r="BY3152">
        <v>1002.21</v>
      </c>
      <c r="BZ3152">
        <v>0</v>
      </c>
      <c r="CA3152">
        <v>373.03</v>
      </c>
      <c r="CB3152">
        <v>60.21</v>
      </c>
      <c r="CC3152">
        <v>373.35</v>
      </c>
      <c r="CD3152">
        <v>314.66000000000003</v>
      </c>
      <c r="CE3152">
        <v>313.99</v>
      </c>
      <c r="CF3152">
        <v>313.5</v>
      </c>
      <c r="CG3152">
        <v>1217.93</v>
      </c>
      <c r="CH3152">
        <v>-88.42</v>
      </c>
      <c r="CI3152">
        <v>-417.82</v>
      </c>
      <c r="CJ3152">
        <v>190827</v>
      </c>
      <c r="CK3152">
        <v>80587</v>
      </c>
      <c r="CL3152" t="s">
        <v>13688</v>
      </c>
      <c r="CM3152">
        <v>13.11</v>
      </c>
      <c r="CN3152">
        <v>23.19</v>
      </c>
      <c r="CO3152">
        <v>0.74</v>
      </c>
      <c r="CP3152">
        <v>-26.36</v>
      </c>
      <c r="CQ3152">
        <v>2.33</v>
      </c>
      <c r="CR3152">
        <v>3.63</v>
      </c>
      <c r="CS3152" t="s">
        <v>723</v>
      </c>
      <c r="CT3152">
        <v>5.99</v>
      </c>
      <c r="CU3152">
        <v>5.99</v>
      </c>
      <c r="CV3152">
        <v>1.02</v>
      </c>
      <c r="CW3152">
        <v>2.3199999999999998</v>
      </c>
      <c r="CX3152">
        <v>-0.17</v>
      </c>
      <c r="CY3152">
        <v>8.0299999999999994</v>
      </c>
      <c r="CZ3152" t="s">
        <v>724</v>
      </c>
      <c r="DA3152" t="s">
        <v>116</v>
      </c>
      <c r="DB3152">
        <v>37.22</v>
      </c>
      <c r="DC3152">
        <v>31.33</v>
      </c>
      <c r="DD3152">
        <v>0</v>
      </c>
      <c r="DE3152">
        <v>44473</v>
      </c>
      <c r="DF3152">
        <v>601818</v>
      </c>
      <c r="DG3152" t="s">
        <v>116</v>
      </c>
      <c r="DH3152" t="s">
        <v>116</v>
      </c>
      <c r="DI3152" t="s">
        <v>116</v>
      </c>
    </row>
    <row r="3153" spans="1:113" x14ac:dyDescent="0.4">
      <c r="A3153" t="str">
        <f>"601828"</f>
        <v>601828</v>
      </c>
      <c r="B3153" t="s">
        <v>13689</v>
      </c>
      <c r="C3153">
        <v>1.74</v>
      </c>
      <c r="D3153">
        <v>11.1</v>
      </c>
      <c r="E3153">
        <v>0.19</v>
      </c>
      <c r="F3153">
        <v>11.08</v>
      </c>
      <c r="G3153">
        <v>11.1</v>
      </c>
      <c r="H3153">
        <v>92041</v>
      </c>
      <c r="I3153">
        <v>3946</v>
      </c>
      <c r="J3153">
        <v>1.56</v>
      </c>
      <c r="K3153">
        <v>2.33</v>
      </c>
      <c r="L3153">
        <v>10.96</v>
      </c>
      <c r="M3153">
        <v>11.12</v>
      </c>
      <c r="N3153">
        <v>10.91</v>
      </c>
      <c r="O3153">
        <v>10.91</v>
      </c>
      <c r="P3153">
        <v>7.81</v>
      </c>
      <c r="Q3153">
        <v>101496136</v>
      </c>
      <c r="R3153">
        <v>2.4</v>
      </c>
      <c r="S3153" t="s">
        <v>225</v>
      </c>
      <c r="T3153" t="s">
        <v>1653</v>
      </c>
      <c r="U3153">
        <v>1.92</v>
      </c>
      <c r="V3153">
        <v>11.03</v>
      </c>
      <c r="W3153">
        <v>45159</v>
      </c>
      <c r="X3153">
        <v>46882</v>
      </c>
      <c r="Y3153">
        <v>0.96</v>
      </c>
      <c r="Z3153">
        <v>50</v>
      </c>
      <c r="AA3153">
        <v>633</v>
      </c>
      <c r="AB3153" t="s">
        <v>116</v>
      </c>
      <c r="AC3153">
        <v>576500</v>
      </c>
      <c r="AD3153">
        <v>0.01</v>
      </c>
      <c r="AE3153" t="s">
        <v>116</v>
      </c>
      <c r="AF3153" t="s">
        <v>116</v>
      </c>
      <c r="AG3153">
        <v>3.96</v>
      </c>
      <c r="AH3153" t="s">
        <v>5114</v>
      </c>
      <c r="AI3153" t="s">
        <v>13690</v>
      </c>
      <c r="AJ3153">
        <v>1.82</v>
      </c>
      <c r="AK3153">
        <v>1994</v>
      </c>
      <c r="AL3153">
        <v>46</v>
      </c>
      <c r="AM3153">
        <v>1.1999999999999999E-3</v>
      </c>
      <c r="AN3153">
        <v>2</v>
      </c>
      <c r="AO3153">
        <v>2.02</v>
      </c>
      <c r="AP3153">
        <v>3.84</v>
      </c>
      <c r="AQ3153">
        <v>-3.06</v>
      </c>
      <c r="AR3153">
        <v>3.06</v>
      </c>
      <c r="AS3153">
        <v>2.44</v>
      </c>
      <c r="AT3153" t="s">
        <v>13459</v>
      </c>
      <c r="AU3153">
        <v>9.61</v>
      </c>
      <c r="AV3153">
        <v>8.8000000000000007</v>
      </c>
      <c r="AW3153">
        <v>1.0900000000000001</v>
      </c>
      <c r="BA3153">
        <v>0.46</v>
      </c>
      <c r="BB3153">
        <v>1.92</v>
      </c>
      <c r="BC3153">
        <v>0</v>
      </c>
      <c r="BD3153">
        <v>1.07</v>
      </c>
      <c r="BE3153">
        <v>1.28</v>
      </c>
      <c r="BF3153">
        <v>-0.18</v>
      </c>
      <c r="BG3153">
        <v>1.74</v>
      </c>
      <c r="BH3153">
        <v>0.67</v>
      </c>
      <c r="BI3153">
        <v>20191108</v>
      </c>
      <c r="BJ3153">
        <v>20180117</v>
      </c>
      <c r="BK3153">
        <v>35.5</v>
      </c>
      <c r="BL3153" t="s">
        <v>116</v>
      </c>
      <c r="BM3153">
        <v>6.74</v>
      </c>
      <c r="BN3153">
        <v>1220.1199999999999</v>
      </c>
      <c r="BO3153">
        <v>445.61</v>
      </c>
      <c r="BP3153">
        <v>34.22</v>
      </c>
      <c r="BQ3153">
        <v>60.67</v>
      </c>
      <c r="BR3153">
        <v>157.81</v>
      </c>
      <c r="BS3153">
        <v>2.33</v>
      </c>
      <c r="BT3153">
        <v>4.47</v>
      </c>
      <c r="BU3153">
        <v>248.08</v>
      </c>
      <c r="BV3153">
        <v>3.19</v>
      </c>
      <c r="BW3153">
        <v>20.67</v>
      </c>
      <c r="BX3153">
        <v>42.15</v>
      </c>
      <c r="BY3153">
        <v>118.24</v>
      </c>
      <c r="BZ3153">
        <v>38.93</v>
      </c>
      <c r="CA3153">
        <v>50.59</v>
      </c>
      <c r="CB3153">
        <v>4.67</v>
      </c>
      <c r="CC3153">
        <v>50.65</v>
      </c>
      <c r="CD3153">
        <v>40.51</v>
      </c>
      <c r="CE3153">
        <v>37.83</v>
      </c>
      <c r="CF3153">
        <v>23.12</v>
      </c>
      <c r="CG3153">
        <v>336.45</v>
      </c>
      <c r="CH3153">
        <v>29.25</v>
      </c>
      <c r="CI3153">
        <v>-0.43</v>
      </c>
      <c r="CJ3153">
        <v>75602</v>
      </c>
      <c r="CK3153">
        <v>4996</v>
      </c>
      <c r="CL3153" t="s">
        <v>937</v>
      </c>
      <c r="CM3153">
        <v>-9.06</v>
      </c>
      <c r="CN3153">
        <v>18.34</v>
      </c>
      <c r="CO3153">
        <v>0.88</v>
      </c>
      <c r="CP3153">
        <v>13.47</v>
      </c>
      <c r="CQ3153">
        <v>3.33</v>
      </c>
      <c r="CR3153">
        <v>2.4300000000000002</v>
      </c>
      <c r="CS3153" t="s">
        <v>13691</v>
      </c>
      <c r="CT3153">
        <v>12.55</v>
      </c>
      <c r="CU3153">
        <v>0</v>
      </c>
      <c r="CV3153">
        <v>1.19</v>
      </c>
      <c r="CW3153">
        <v>9.48</v>
      </c>
      <c r="CX3153">
        <v>0.82</v>
      </c>
      <c r="CY3153">
        <v>36.520000000000003</v>
      </c>
      <c r="CZ3153" t="s">
        <v>13692</v>
      </c>
      <c r="DA3153">
        <v>67.069999999999993</v>
      </c>
      <c r="DB3153">
        <v>42.78</v>
      </c>
      <c r="DC3153">
        <v>32</v>
      </c>
      <c r="DD3153">
        <v>0.28999999999999998</v>
      </c>
      <c r="DE3153">
        <v>24339</v>
      </c>
      <c r="DF3153">
        <v>601828</v>
      </c>
      <c r="DG3153" t="s">
        <v>116</v>
      </c>
      <c r="DH3153" t="s">
        <v>116</v>
      </c>
      <c r="DI3153" t="s">
        <v>116</v>
      </c>
    </row>
    <row r="3154" spans="1:113" x14ac:dyDescent="0.4">
      <c r="A3154" t="str">
        <f>"601838"</f>
        <v>601838</v>
      </c>
      <c r="B3154" t="s">
        <v>13693</v>
      </c>
      <c r="C3154">
        <v>0.9</v>
      </c>
      <c r="D3154">
        <v>8.98</v>
      </c>
      <c r="E3154">
        <v>0.08</v>
      </c>
      <c r="F3154">
        <v>8.9700000000000006</v>
      </c>
      <c r="G3154">
        <v>8.98</v>
      </c>
      <c r="H3154">
        <v>286993</v>
      </c>
      <c r="I3154">
        <v>1294</v>
      </c>
      <c r="J3154">
        <v>0.11</v>
      </c>
      <c r="K3154">
        <v>1.52</v>
      </c>
      <c r="L3154">
        <v>8.89</v>
      </c>
      <c r="M3154">
        <v>9.08</v>
      </c>
      <c r="N3154">
        <v>8.8800000000000008</v>
      </c>
      <c r="O3154">
        <v>8.9</v>
      </c>
      <c r="P3154">
        <v>6.07</v>
      </c>
      <c r="Q3154">
        <v>257981584</v>
      </c>
      <c r="R3154">
        <v>1.82</v>
      </c>
      <c r="S3154" t="s">
        <v>114</v>
      </c>
      <c r="T3154" t="s">
        <v>582</v>
      </c>
      <c r="U3154">
        <v>2.25</v>
      </c>
      <c r="V3154">
        <v>8.99</v>
      </c>
      <c r="W3154">
        <v>126264</v>
      </c>
      <c r="X3154">
        <v>160729</v>
      </c>
      <c r="Y3154">
        <v>0.79</v>
      </c>
      <c r="Z3154">
        <v>981</v>
      </c>
      <c r="AA3154">
        <v>185</v>
      </c>
      <c r="AB3154" t="s">
        <v>116</v>
      </c>
      <c r="AC3154">
        <v>1361100</v>
      </c>
      <c r="AD3154">
        <v>0.01</v>
      </c>
      <c r="AE3154" t="s">
        <v>116</v>
      </c>
      <c r="AF3154" t="s">
        <v>116</v>
      </c>
      <c r="AG3154">
        <v>18.940000000000001</v>
      </c>
      <c r="AH3154" t="s">
        <v>13694</v>
      </c>
      <c r="AI3154" t="s">
        <v>13695</v>
      </c>
      <c r="AJ3154">
        <v>0.98</v>
      </c>
      <c r="AK3154">
        <v>3401</v>
      </c>
      <c r="AL3154">
        <v>84</v>
      </c>
      <c r="AM3154">
        <v>4.0000000000000002E-4</v>
      </c>
      <c r="AN3154">
        <v>2</v>
      </c>
      <c r="AO3154">
        <v>1.93</v>
      </c>
      <c r="AP3154">
        <v>5.15</v>
      </c>
      <c r="AQ3154">
        <v>8.98</v>
      </c>
      <c r="AR3154">
        <v>16.62</v>
      </c>
      <c r="AS3154">
        <v>1.75</v>
      </c>
      <c r="AT3154" t="s">
        <v>13696</v>
      </c>
      <c r="AU3154">
        <v>6.17</v>
      </c>
      <c r="AV3154">
        <v>6.98</v>
      </c>
      <c r="AW3154">
        <v>1.24</v>
      </c>
      <c r="BA3154">
        <v>-0.11</v>
      </c>
      <c r="BB3154">
        <v>2.02</v>
      </c>
      <c r="BC3154">
        <v>-0.22</v>
      </c>
      <c r="BD3154">
        <v>1</v>
      </c>
      <c r="BE3154">
        <v>1.01</v>
      </c>
      <c r="BF3154">
        <v>-1.1000000000000001</v>
      </c>
      <c r="BG3154">
        <v>1.1299999999999999</v>
      </c>
      <c r="BH3154">
        <v>-0.1</v>
      </c>
      <c r="BI3154">
        <v>20191226</v>
      </c>
      <c r="BJ3154">
        <v>20180131</v>
      </c>
      <c r="BK3154">
        <v>36.119999999999997</v>
      </c>
      <c r="BL3154" t="s">
        <v>116</v>
      </c>
      <c r="BM3154" t="s">
        <v>116</v>
      </c>
      <c r="BN3154">
        <v>5431.24</v>
      </c>
      <c r="BO3154">
        <v>339.54</v>
      </c>
      <c r="BP3154">
        <v>0.8</v>
      </c>
      <c r="BQ3154">
        <v>93.73</v>
      </c>
      <c r="BR3154">
        <v>0</v>
      </c>
      <c r="BS3154">
        <v>9.41</v>
      </c>
      <c r="BT3154">
        <v>0.38</v>
      </c>
      <c r="BU3154">
        <v>0</v>
      </c>
      <c r="BV3154">
        <v>0</v>
      </c>
      <c r="BW3154">
        <v>0</v>
      </c>
      <c r="BX3154">
        <v>61.56</v>
      </c>
      <c r="BY3154">
        <v>93.02</v>
      </c>
      <c r="BZ3154">
        <v>0</v>
      </c>
      <c r="CA3154">
        <v>44.39</v>
      </c>
      <c r="CB3154">
        <v>14.35</v>
      </c>
      <c r="CC3154">
        <v>44.31</v>
      </c>
      <c r="CD3154">
        <v>40.11</v>
      </c>
      <c r="CE3154">
        <v>40.07</v>
      </c>
      <c r="CF3154">
        <v>40.11</v>
      </c>
      <c r="CG3154">
        <v>154.26</v>
      </c>
      <c r="CH3154">
        <v>-178.13</v>
      </c>
      <c r="CI3154">
        <v>-156.58000000000001</v>
      </c>
      <c r="CJ3154">
        <v>80065</v>
      </c>
      <c r="CK3154">
        <v>20507</v>
      </c>
      <c r="CL3154" t="s">
        <v>7498</v>
      </c>
      <c r="CM3154">
        <v>18.010000000000002</v>
      </c>
      <c r="CN3154">
        <v>10.5</v>
      </c>
      <c r="CO3154">
        <v>0.96</v>
      </c>
      <c r="CP3154">
        <v>-1.82</v>
      </c>
      <c r="CQ3154">
        <v>3.49</v>
      </c>
      <c r="CR3154">
        <v>3.9</v>
      </c>
      <c r="CS3154" t="s">
        <v>13697</v>
      </c>
      <c r="CT3154">
        <v>9.4</v>
      </c>
      <c r="CU3154">
        <v>0</v>
      </c>
      <c r="CV3154">
        <v>1.7</v>
      </c>
      <c r="CW3154">
        <v>4.2699999999999996</v>
      </c>
      <c r="CX3154">
        <v>-4.93</v>
      </c>
      <c r="CY3154">
        <v>6.25</v>
      </c>
      <c r="CZ3154" t="s">
        <v>6550</v>
      </c>
      <c r="DA3154" t="s">
        <v>116</v>
      </c>
      <c r="DB3154">
        <v>47.72</v>
      </c>
      <c r="DC3154">
        <v>43.08</v>
      </c>
      <c r="DD3154">
        <v>0</v>
      </c>
      <c r="DE3154">
        <v>5529</v>
      </c>
      <c r="DF3154">
        <v>601838</v>
      </c>
      <c r="DG3154" t="s">
        <v>116</v>
      </c>
      <c r="DH3154" t="s">
        <v>116</v>
      </c>
      <c r="DI3154" t="s">
        <v>116</v>
      </c>
    </row>
    <row r="3155" spans="1:113" x14ac:dyDescent="0.4">
      <c r="A3155" t="str">
        <f>"601857"</f>
        <v>601857</v>
      </c>
      <c r="B3155" t="s">
        <v>13698</v>
      </c>
      <c r="C3155">
        <v>0.87</v>
      </c>
      <c r="D3155">
        <v>5.78</v>
      </c>
      <c r="E3155">
        <v>0.05</v>
      </c>
      <c r="F3155">
        <v>5.78</v>
      </c>
      <c r="G3155">
        <v>5.79</v>
      </c>
      <c r="H3155">
        <v>655237</v>
      </c>
      <c r="I3155">
        <v>10762</v>
      </c>
      <c r="J3155">
        <v>-0.16</v>
      </c>
      <c r="K3155">
        <v>0.04</v>
      </c>
      <c r="L3155">
        <v>5.73</v>
      </c>
      <c r="M3155">
        <v>5.83</v>
      </c>
      <c r="N3155">
        <v>5.73</v>
      </c>
      <c r="O3155">
        <v>5.73</v>
      </c>
      <c r="P3155">
        <v>21.28</v>
      </c>
      <c r="Q3155">
        <v>378993120</v>
      </c>
      <c r="R3155">
        <v>1.89</v>
      </c>
      <c r="S3155" t="s">
        <v>4171</v>
      </c>
      <c r="T3155" t="s">
        <v>165</v>
      </c>
      <c r="U3155">
        <v>1.75</v>
      </c>
      <c r="V3155">
        <v>5.78</v>
      </c>
      <c r="W3155">
        <v>280122</v>
      </c>
      <c r="X3155">
        <v>375115</v>
      </c>
      <c r="Y3155">
        <v>0.75</v>
      </c>
      <c r="Z3155">
        <v>5484</v>
      </c>
      <c r="AA3155">
        <v>12880</v>
      </c>
      <c r="AB3155" t="s">
        <v>116</v>
      </c>
      <c r="AC3155">
        <v>1302400</v>
      </c>
      <c r="AD3155">
        <v>0</v>
      </c>
      <c r="AE3155" t="s">
        <v>116</v>
      </c>
      <c r="AF3155" t="s">
        <v>116</v>
      </c>
      <c r="AG3155">
        <v>1619.22</v>
      </c>
      <c r="AH3155" t="s">
        <v>13699</v>
      </c>
      <c r="AI3155" t="s">
        <v>13699</v>
      </c>
      <c r="AJ3155">
        <v>0.95</v>
      </c>
      <c r="AK3155">
        <v>3800</v>
      </c>
      <c r="AL3155">
        <v>172</v>
      </c>
      <c r="AM3155">
        <v>0</v>
      </c>
      <c r="AN3155">
        <v>2</v>
      </c>
      <c r="AO3155">
        <v>0.87</v>
      </c>
      <c r="AP3155">
        <v>3.4</v>
      </c>
      <c r="AQ3155">
        <v>-5.4</v>
      </c>
      <c r="AR3155">
        <v>-17.93</v>
      </c>
      <c r="AS3155">
        <v>0.45</v>
      </c>
      <c r="AT3155" t="s">
        <v>13700</v>
      </c>
      <c r="AU3155">
        <v>25.67</v>
      </c>
      <c r="AV3155">
        <v>20.12</v>
      </c>
      <c r="AW3155">
        <v>0.72</v>
      </c>
      <c r="BA3155">
        <v>0</v>
      </c>
      <c r="BB3155">
        <v>1.75</v>
      </c>
      <c r="BC3155">
        <v>0</v>
      </c>
      <c r="BD3155">
        <v>0.94</v>
      </c>
      <c r="BE3155">
        <v>0.87</v>
      </c>
      <c r="BF3155">
        <v>-0.86</v>
      </c>
      <c r="BG3155">
        <v>0.87</v>
      </c>
      <c r="BH3155">
        <v>-7.0000000000000007E-2</v>
      </c>
      <c r="BI3155">
        <v>20191031</v>
      </c>
      <c r="BJ3155">
        <v>20071105</v>
      </c>
      <c r="BK3155">
        <v>1830.21</v>
      </c>
      <c r="BL3155" t="s">
        <v>116</v>
      </c>
      <c r="BM3155">
        <v>210.99</v>
      </c>
      <c r="BN3155">
        <v>27012.13</v>
      </c>
      <c r="BO3155">
        <v>12255.38</v>
      </c>
      <c r="BP3155">
        <v>2073.63</v>
      </c>
      <c r="BQ3155">
        <v>46.95</v>
      </c>
      <c r="BR3155">
        <v>5207.8999999999996</v>
      </c>
      <c r="BS3155">
        <v>6740.06</v>
      </c>
      <c r="BT3155">
        <v>791.02</v>
      </c>
      <c r="BU3155">
        <v>6485.02</v>
      </c>
      <c r="BV3155">
        <v>1679.73</v>
      </c>
      <c r="BW3155">
        <v>776.89</v>
      </c>
      <c r="BX3155">
        <v>1273</v>
      </c>
      <c r="BY3155">
        <v>18144.02</v>
      </c>
      <c r="BZ3155">
        <v>14461.06</v>
      </c>
      <c r="CA3155">
        <v>883.79</v>
      </c>
      <c r="CB3155">
        <v>71.23</v>
      </c>
      <c r="CC3155">
        <v>827.62</v>
      </c>
      <c r="CD3155">
        <v>535.37</v>
      </c>
      <c r="CE3155">
        <v>372.82</v>
      </c>
      <c r="CF3155">
        <v>406.58</v>
      </c>
      <c r="CG3155">
        <v>7327.67</v>
      </c>
      <c r="CH3155">
        <v>2393.96</v>
      </c>
      <c r="CI3155">
        <v>228.54</v>
      </c>
      <c r="CJ3155">
        <v>610397</v>
      </c>
      <c r="CK3155">
        <v>23722</v>
      </c>
      <c r="CL3155" t="s">
        <v>13701</v>
      </c>
      <c r="CM3155">
        <v>-23.38</v>
      </c>
      <c r="CN3155">
        <v>5.08</v>
      </c>
      <c r="CO3155">
        <v>0.86</v>
      </c>
      <c r="CP3155">
        <v>4.42</v>
      </c>
      <c r="CQ3155">
        <v>0.57999999999999996</v>
      </c>
      <c r="CR3155">
        <v>2.9</v>
      </c>
      <c r="CS3155" t="s">
        <v>923</v>
      </c>
      <c r="CT3155">
        <v>6.7</v>
      </c>
      <c r="CU3155">
        <v>0</v>
      </c>
      <c r="CV3155">
        <v>0.7</v>
      </c>
      <c r="CW3155">
        <v>4</v>
      </c>
      <c r="CX3155">
        <v>1.31</v>
      </c>
      <c r="CY3155">
        <v>45.37</v>
      </c>
      <c r="CZ3155" t="s">
        <v>4824</v>
      </c>
      <c r="DA3155">
        <v>20.3</v>
      </c>
      <c r="DB3155">
        <v>4.87</v>
      </c>
      <c r="DC3155">
        <v>2.0499999999999998</v>
      </c>
      <c r="DD3155">
        <v>105.41</v>
      </c>
      <c r="DE3155">
        <v>469120</v>
      </c>
      <c r="DF3155">
        <v>601857</v>
      </c>
      <c r="DG3155" t="s">
        <v>116</v>
      </c>
      <c r="DH3155" t="s">
        <v>116</v>
      </c>
      <c r="DI3155" t="s">
        <v>116</v>
      </c>
    </row>
    <row r="3156" spans="1:113" x14ac:dyDescent="0.4">
      <c r="A3156" t="str">
        <f>"601858"</f>
        <v>601858</v>
      </c>
      <c r="B3156" t="s">
        <v>13702</v>
      </c>
      <c r="C3156">
        <v>-0.55000000000000004</v>
      </c>
      <c r="D3156">
        <v>10.89</v>
      </c>
      <c r="E3156">
        <v>-0.06</v>
      </c>
      <c r="F3156">
        <v>10.89</v>
      </c>
      <c r="G3156">
        <v>10.9</v>
      </c>
      <c r="H3156">
        <v>36871</v>
      </c>
      <c r="I3156">
        <v>184</v>
      </c>
      <c r="J3156">
        <v>0</v>
      </c>
      <c r="K3156">
        <v>1.94</v>
      </c>
      <c r="L3156">
        <v>10.94</v>
      </c>
      <c r="M3156">
        <v>11.05</v>
      </c>
      <c r="N3156">
        <v>10.86</v>
      </c>
      <c r="O3156">
        <v>10.95</v>
      </c>
      <c r="P3156">
        <v>28.52</v>
      </c>
      <c r="Q3156">
        <v>40451304</v>
      </c>
      <c r="R3156">
        <v>1.02</v>
      </c>
      <c r="S3156" t="s">
        <v>1902</v>
      </c>
      <c r="T3156" t="s">
        <v>165</v>
      </c>
      <c r="U3156">
        <v>1.74</v>
      </c>
      <c r="V3156">
        <v>10.97</v>
      </c>
      <c r="W3156">
        <v>19490</v>
      </c>
      <c r="X3156">
        <v>17381</v>
      </c>
      <c r="Y3156">
        <v>1.1200000000000001</v>
      </c>
      <c r="Z3156">
        <v>13</v>
      </c>
      <c r="AA3156">
        <v>60</v>
      </c>
      <c r="AB3156" t="s">
        <v>116</v>
      </c>
      <c r="AC3156">
        <v>85300</v>
      </c>
      <c r="AD3156">
        <v>0</v>
      </c>
      <c r="AE3156" t="s">
        <v>116</v>
      </c>
      <c r="AF3156" t="s">
        <v>116</v>
      </c>
      <c r="AG3156">
        <v>1.91</v>
      </c>
      <c r="AH3156" t="s">
        <v>8485</v>
      </c>
      <c r="AI3156" t="s">
        <v>13703</v>
      </c>
      <c r="AJ3156">
        <v>-0.47</v>
      </c>
      <c r="AK3156">
        <v>1432</v>
      </c>
      <c r="AL3156">
        <v>26</v>
      </c>
      <c r="AM3156">
        <v>1.4E-3</v>
      </c>
      <c r="AN3156">
        <v>-1</v>
      </c>
      <c r="AO3156">
        <v>-0.46</v>
      </c>
      <c r="AP3156">
        <v>0.09</v>
      </c>
      <c r="AQ3156">
        <v>-4.3099999999999996</v>
      </c>
      <c r="AR3156">
        <v>26.16</v>
      </c>
      <c r="AS3156">
        <v>1.94</v>
      </c>
      <c r="AT3156" t="s">
        <v>8485</v>
      </c>
      <c r="AU3156">
        <v>18.690000000000001</v>
      </c>
      <c r="AV3156">
        <v>20.28</v>
      </c>
      <c r="AW3156">
        <v>1.02</v>
      </c>
      <c r="BA3156">
        <v>-0.09</v>
      </c>
      <c r="BB3156">
        <v>0.91</v>
      </c>
      <c r="BC3156">
        <v>-0.82</v>
      </c>
      <c r="BD3156">
        <v>0.19</v>
      </c>
      <c r="BE3156">
        <v>-0.46</v>
      </c>
      <c r="BF3156">
        <v>-1.45</v>
      </c>
      <c r="BG3156">
        <v>0.28000000000000003</v>
      </c>
      <c r="BH3156">
        <v>-0.74</v>
      </c>
      <c r="BI3156">
        <v>20191030</v>
      </c>
      <c r="BJ3156">
        <v>20170118</v>
      </c>
      <c r="BK3156">
        <v>7.91</v>
      </c>
      <c r="BL3156" t="s">
        <v>116</v>
      </c>
      <c r="BM3156" t="s">
        <v>116</v>
      </c>
      <c r="BN3156">
        <v>51.6</v>
      </c>
      <c r="BO3156">
        <v>36.74</v>
      </c>
      <c r="BP3156">
        <v>0.28000000000000003</v>
      </c>
      <c r="BQ3156">
        <v>28.26</v>
      </c>
      <c r="BR3156">
        <v>45.81</v>
      </c>
      <c r="BS3156">
        <v>2.37</v>
      </c>
      <c r="BT3156">
        <v>0.71</v>
      </c>
      <c r="BU3156">
        <v>13.05</v>
      </c>
      <c r="BV3156">
        <v>6.99</v>
      </c>
      <c r="BW3156">
        <v>1.97</v>
      </c>
      <c r="BX3156">
        <v>7.84</v>
      </c>
      <c r="BY3156">
        <v>16.28</v>
      </c>
      <c r="BZ3156">
        <v>11.84</v>
      </c>
      <c r="CA3156">
        <v>2.12</v>
      </c>
      <c r="CB3156">
        <v>0.09</v>
      </c>
      <c r="CC3156">
        <v>2.2200000000000002</v>
      </c>
      <c r="CD3156">
        <v>2.2000000000000002</v>
      </c>
      <c r="CE3156">
        <v>2.2599999999999998</v>
      </c>
      <c r="CF3156">
        <v>2.0699999999999998</v>
      </c>
      <c r="CG3156">
        <v>19.09</v>
      </c>
      <c r="CH3156">
        <v>-14.81</v>
      </c>
      <c r="CI3156">
        <v>-15.88</v>
      </c>
      <c r="CJ3156">
        <v>30183</v>
      </c>
      <c r="CK3156">
        <v>6311</v>
      </c>
      <c r="CL3156" t="s">
        <v>7147</v>
      </c>
      <c r="CM3156">
        <v>19.03</v>
      </c>
      <c r="CN3156">
        <v>16.55</v>
      </c>
      <c r="CO3156">
        <v>2.34</v>
      </c>
      <c r="CP3156">
        <v>-5.81</v>
      </c>
      <c r="CQ3156">
        <v>5.29</v>
      </c>
      <c r="CR3156">
        <v>0.99</v>
      </c>
      <c r="CS3156" t="s">
        <v>230</v>
      </c>
      <c r="CT3156">
        <v>4.6500000000000004</v>
      </c>
      <c r="CU3156">
        <v>0</v>
      </c>
      <c r="CV3156">
        <v>0.99</v>
      </c>
      <c r="CW3156">
        <v>2.41</v>
      </c>
      <c r="CX3156">
        <v>-1.87</v>
      </c>
      <c r="CY3156">
        <v>71.2</v>
      </c>
      <c r="CZ3156" t="s">
        <v>314</v>
      </c>
      <c r="DA3156">
        <v>27.26</v>
      </c>
      <c r="DB3156">
        <v>13.02</v>
      </c>
      <c r="DC3156">
        <v>13.91</v>
      </c>
      <c r="DD3156">
        <v>0.03</v>
      </c>
      <c r="DE3156">
        <v>1393</v>
      </c>
      <c r="DF3156">
        <v>601858</v>
      </c>
      <c r="DG3156" t="s">
        <v>116</v>
      </c>
      <c r="DH3156" t="s">
        <v>116</v>
      </c>
      <c r="DI3156" t="s">
        <v>116</v>
      </c>
    </row>
    <row r="3157" spans="1:113" x14ac:dyDescent="0.4">
      <c r="A3157" t="str">
        <f>"601860"</f>
        <v>601860</v>
      </c>
      <c r="B3157" t="s">
        <v>13704</v>
      </c>
      <c r="C3157">
        <v>-1.39</v>
      </c>
      <c r="D3157">
        <v>5.68</v>
      </c>
      <c r="E3157">
        <v>-0.08</v>
      </c>
      <c r="F3157">
        <v>5.67</v>
      </c>
      <c r="G3157">
        <v>5.68</v>
      </c>
      <c r="H3157">
        <v>389662</v>
      </c>
      <c r="I3157">
        <v>2857</v>
      </c>
      <c r="J3157">
        <v>0.53</v>
      </c>
      <c r="K3157">
        <v>10.64</v>
      </c>
      <c r="L3157">
        <v>5.7</v>
      </c>
      <c r="M3157">
        <v>5.94</v>
      </c>
      <c r="N3157">
        <v>5.63</v>
      </c>
      <c r="O3157">
        <v>5.76</v>
      </c>
      <c r="P3157">
        <v>13.71</v>
      </c>
      <c r="Q3157">
        <v>224244640</v>
      </c>
      <c r="R3157">
        <v>1.22</v>
      </c>
      <c r="S3157" t="s">
        <v>114</v>
      </c>
      <c r="T3157" t="s">
        <v>323</v>
      </c>
      <c r="U3157">
        <v>5.38</v>
      </c>
      <c r="V3157">
        <v>5.75</v>
      </c>
      <c r="W3157">
        <v>201709</v>
      </c>
      <c r="X3157">
        <v>187953</v>
      </c>
      <c r="Y3157">
        <v>1.07</v>
      </c>
      <c r="Z3157">
        <v>402</v>
      </c>
      <c r="AA3157">
        <v>224</v>
      </c>
      <c r="AB3157" t="s">
        <v>116</v>
      </c>
      <c r="AC3157">
        <v>939100</v>
      </c>
      <c r="AD3157">
        <v>0.05</v>
      </c>
      <c r="AE3157" t="s">
        <v>116</v>
      </c>
      <c r="AF3157" t="s">
        <v>116</v>
      </c>
      <c r="AG3157">
        <v>3.66</v>
      </c>
      <c r="AH3157" t="s">
        <v>7706</v>
      </c>
      <c r="AI3157" t="s">
        <v>13705</v>
      </c>
      <c r="AJ3157">
        <v>-1.31</v>
      </c>
      <c r="AK3157">
        <v>3353</v>
      </c>
      <c r="AL3157">
        <v>116</v>
      </c>
      <c r="AM3157">
        <v>3.2000000000000002E-3</v>
      </c>
      <c r="AN3157">
        <v>-1</v>
      </c>
      <c r="AO3157">
        <v>0.35</v>
      </c>
      <c r="AP3157">
        <v>-8.68</v>
      </c>
      <c r="AQ3157">
        <v>-11.11</v>
      </c>
      <c r="AR3157">
        <v>86.84</v>
      </c>
      <c r="AS3157">
        <v>10.64</v>
      </c>
      <c r="AT3157" t="s">
        <v>7706</v>
      </c>
      <c r="AU3157">
        <v>14.81</v>
      </c>
      <c r="AV3157">
        <v>16.59</v>
      </c>
      <c r="AW3157">
        <v>2.33</v>
      </c>
      <c r="BA3157">
        <v>-1.04</v>
      </c>
      <c r="BB3157">
        <v>3.13</v>
      </c>
      <c r="BC3157">
        <v>-2.2599999999999998</v>
      </c>
      <c r="BD3157">
        <v>-0.09</v>
      </c>
      <c r="BE3157">
        <v>-0.35</v>
      </c>
      <c r="BF3157">
        <v>-4.38</v>
      </c>
      <c r="BG3157">
        <v>0.89</v>
      </c>
      <c r="BH3157">
        <v>-1.3</v>
      </c>
      <c r="BI3157">
        <v>20191023</v>
      </c>
      <c r="BJ3157">
        <v>20190103</v>
      </c>
      <c r="BK3157">
        <v>36.61</v>
      </c>
      <c r="BL3157" t="s">
        <v>116</v>
      </c>
      <c r="BM3157" t="s">
        <v>116</v>
      </c>
      <c r="BN3157">
        <v>2000.04</v>
      </c>
      <c r="BO3157">
        <v>133.76</v>
      </c>
      <c r="BP3157">
        <v>0</v>
      </c>
      <c r="BQ3157">
        <v>93.31</v>
      </c>
      <c r="BR3157">
        <v>0</v>
      </c>
      <c r="BS3157">
        <v>14.62</v>
      </c>
      <c r="BT3157">
        <v>1.39</v>
      </c>
      <c r="BU3157">
        <v>0</v>
      </c>
      <c r="BV3157">
        <v>0</v>
      </c>
      <c r="BW3157">
        <v>0</v>
      </c>
      <c r="BX3157">
        <v>29.77</v>
      </c>
      <c r="BY3157">
        <v>35.83</v>
      </c>
      <c r="BZ3157">
        <v>0</v>
      </c>
      <c r="CA3157">
        <v>13.52</v>
      </c>
      <c r="CB3157">
        <v>2.54</v>
      </c>
      <c r="CC3157">
        <v>13.49</v>
      </c>
      <c r="CD3157">
        <v>11.38</v>
      </c>
      <c r="CE3157">
        <v>11.38</v>
      </c>
      <c r="CF3157">
        <v>11.15</v>
      </c>
      <c r="CG3157">
        <v>21.47</v>
      </c>
      <c r="CH3157">
        <v>148.72</v>
      </c>
      <c r="CI3157">
        <v>36.130000000000003</v>
      </c>
      <c r="CJ3157">
        <v>81811</v>
      </c>
      <c r="CK3157">
        <v>4475</v>
      </c>
      <c r="CL3157" t="s">
        <v>13706</v>
      </c>
      <c r="CM3157">
        <v>15.22</v>
      </c>
      <c r="CN3157">
        <v>22.22</v>
      </c>
      <c r="CO3157">
        <v>1.55</v>
      </c>
      <c r="CP3157">
        <v>1.4</v>
      </c>
      <c r="CQ3157">
        <v>5.8</v>
      </c>
      <c r="CR3157">
        <v>1.76</v>
      </c>
      <c r="CS3157" t="s">
        <v>13707</v>
      </c>
      <c r="CT3157">
        <v>3.65</v>
      </c>
      <c r="CU3157">
        <v>0</v>
      </c>
      <c r="CV3157">
        <v>0.81</v>
      </c>
      <c r="CW3157">
        <v>0.59</v>
      </c>
      <c r="CX3157">
        <v>4.0599999999999996</v>
      </c>
      <c r="CY3157">
        <v>6.69</v>
      </c>
      <c r="CZ3157" t="s">
        <v>12564</v>
      </c>
      <c r="DA3157" t="s">
        <v>116</v>
      </c>
      <c r="DB3157">
        <v>37.729999999999997</v>
      </c>
      <c r="DC3157">
        <v>31.75</v>
      </c>
      <c r="DD3157">
        <v>0</v>
      </c>
      <c r="DE3157">
        <v>2272</v>
      </c>
      <c r="DF3157">
        <v>601860</v>
      </c>
      <c r="DG3157" t="s">
        <v>116</v>
      </c>
      <c r="DH3157" t="s">
        <v>116</v>
      </c>
      <c r="DI3157" t="s">
        <v>116</v>
      </c>
    </row>
    <row r="3158" spans="1:113" x14ac:dyDescent="0.4">
      <c r="A3158" t="str">
        <f>"601865"</f>
        <v>601865</v>
      </c>
      <c r="B3158" t="s">
        <v>13708</v>
      </c>
      <c r="C3158">
        <v>1.0900000000000001</v>
      </c>
      <c r="D3158">
        <v>12.03</v>
      </c>
      <c r="E3158">
        <v>0.13</v>
      </c>
      <c r="F3158">
        <v>12.03</v>
      </c>
      <c r="G3158">
        <v>12.04</v>
      </c>
      <c r="H3158">
        <v>339100</v>
      </c>
      <c r="I3158">
        <v>4374</v>
      </c>
      <c r="J3158">
        <v>0.08</v>
      </c>
      <c r="K3158">
        <v>22.61</v>
      </c>
      <c r="L3158">
        <v>11.97</v>
      </c>
      <c r="M3158">
        <v>12.92</v>
      </c>
      <c r="N3158">
        <v>11.73</v>
      </c>
      <c r="O3158">
        <v>11.9</v>
      </c>
      <c r="P3158">
        <v>34.67</v>
      </c>
      <c r="Q3158">
        <v>415317152</v>
      </c>
      <c r="R3158">
        <v>1.42</v>
      </c>
      <c r="S3158" t="s">
        <v>195</v>
      </c>
      <c r="T3158" t="s">
        <v>590</v>
      </c>
      <c r="U3158">
        <v>10</v>
      </c>
      <c r="V3158">
        <v>12.25</v>
      </c>
      <c r="W3158">
        <v>154530</v>
      </c>
      <c r="X3158">
        <v>184570</v>
      </c>
      <c r="Y3158">
        <v>0.84</v>
      </c>
      <c r="Z3158">
        <v>2176</v>
      </c>
      <c r="AA3158">
        <v>9</v>
      </c>
      <c r="AB3158" t="s">
        <v>116</v>
      </c>
      <c r="AC3158">
        <v>3480900</v>
      </c>
      <c r="AD3158">
        <v>0.19</v>
      </c>
      <c r="AE3158" t="s">
        <v>116</v>
      </c>
      <c r="AF3158" t="s">
        <v>116</v>
      </c>
      <c r="AG3158">
        <v>1.5</v>
      </c>
      <c r="AH3158" t="s">
        <v>13709</v>
      </c>
      <c r="AI3158" t="s">
        <v>8039</v>
      </c>
      <c r="AJ3158">
        <v>1.17</v>
      </c>
      <c r="AK3158">
        <v>4159</v>
      </c>
      <c r="AL3158">
        <v>82</v>
      </c>
      <c r="AM3158">
        <v>5.4000000000000003E-3</v>
      </c>
      <c r="AN3158">
        <v>4</v>
      </c>
      <c r="AO3158">
        <v>13.49</v>
      </c>
      <c r="AP3158">
        <v>23.73</v>
      </c>
      <c r="AQ3158">
        <v>13.46</v>
      </c>
      <c r="AR3158">
        <v>523.96</v>
      </c>
      <c r="AS3158">
        <v>22.61</v>
      </c>
      <c r="AT3158" t="s">
        <v>13710</v>
      </c>
      <c r="AU3158">
        <v>37.54</v>
      </c>
      <c r="AV3158">
        <v>57.59</v>
      </c>
      <c r="AW3158">
        <v>1.59</v>
      </c>
      <c r="BA3158">
        <v>0.59</v>
      </c>
      <c r="BB3158">
        <v>8.57</v>
      </c>
      <c r="BC3158">
        <v>-1.43</v>
      </c>
      <c r="BD3158">
        <v>2.92</v>
      </c>
      <c r="BE3158">
        <v>0.5</v>
      </c>
      <c r="BF3158">
        <v>-6.89</v>
      </c>
      <c r="BG3158">
        <v>2.56</v>
      </c>
      <c r="BH3158">
        <v>-1.83</v>
      </c>
      <c r="BI3158">
        <v>20191025</v>
      </c>
      <c r="BJ3158">
        <v>20190215</v>
      </c>
      <c r="BK3158">
        <v>19.5</v>
      </c>
      <c r="BL3158" t="s">
        <v>116</v>
      </c>
      <c r="BM3158">
        <v>4.5</v>
      </c>
      <c r="BN3158">
        <v>85.4</v>
      </c>
      <c r="BO3158">
        <v>43.61</v>
      </c>
      <c r="BP3158">
        <v>0</v>
      </c>
      <c r="BQ3158">
        <v>48.93</v>
      </c>
      <c r="BR3158">
        <v>39.79</v>
      </c>
      <c r="BS3158">
        <v>30.8</v>
      </c>
      <c r="BT3158">
        <v>6</v>
      </c>
      <c r="BU3158">
        <v>38.49</v>
      </c>
      <c r="BV3158">
        <v>4.8</v>
      </c>
      <c r="BW3158">
        <v>10.88</v>
      </c>
      <c r="BX3158">
        <v>8.39</v>
      </c>
      <c r="BY3158">
        <v>33.81</v>
      </c>
      <c r="BZ3158">
        <v>23.61</v>
      </c>
      <c r="CA3158">
        <v>6.02</v>
      </c>
      <c r="CB3158">
        <v>0.08</v>
      </c>
      <c r="CC3158">
        <v>6.15</v>
      </c>
      <c r="CD3158">
        <v>5.08</v>
      </c>
      <c r="CE3158">
        <v>5.08</v>
      </c>
      <c r="CF3158">
        <v>4.7699999999999996</v>
      </c>
      <c r="CG3158">
        <v>28.43</v>
      </c>
      <c r="CH3158">
        <v>2.15</v>
      </c>
      <c r="CI3158">
        <v>-2.25</v>
      </c>
      <c r="CJ3158">
        <v>36738</v>
      </c>
      <c r="CK3158">
        <v>4083</v>
      </c>
      <c r="CL3158" t="s">
        <v>185</v>
      </c>
      <c r="CM3158">
        <v>75.08</v>
      </c>
      <c r="CN3158">
        <v>49.71</v>
      </c>
      <c r="CO3158">
        <v>5.38</v>
      </c>
      <c r="CP3158">
        <v>108.96</v>
      </c>
      <c r="CQ3158">
        <v>6.94</v>
      </c>
      <c r="CR3158">
        <v>0.46</v>
      </c>
      <c r="CS3158" t="s">
        <v>4342</v>
      </c>
      <c r="CT3158">
        <v>2.2400000000000002</v>
      </c>
      <c r="CU3158">
        <v>0</v>
      </c>
      <c r="CV3158">
        <v>0.43</v>
      </c>
      <c r="CW3158">
        <v>1.46</v>
      </c>
      <c r="CX3158">
        <v>0.11</v>
      </c>
      <c r="CY3158">
        <v>51.07</v>
      </c>
      <c r="CZ3158" t="s">
        <v>2893</v>
      </c>
      <c r="DA3158">
        <v>30.17</v>
      </c>
      <c r="DB3158">
        <v>17.82</v>
      </c>
      <c r="DC3158">
        <v>15.01</v>
      </c>
      <c r="DD3158">
        <v>1.42</v>
      </c>
      <c r="DE3158">
        <v>2769</v>
      </c>
      <c r="DF3158">
        <v>601865</v>
      </c>
      <c r="DG3158" t="s">
        <v>116</v>
      </c>
      <c r="DH3158" t="s">
        <v>116</v>
      </c>
      <c r="DI3158" t="s">
        <v>116</v>
      </c>
    </row>
    <row r="3159" spans="1:113" x14ac:dyDescent="0.4">
      <c r="A3159" t="str">
        <f>"601866"</f>
        <v>601866</v>
      </c>
      <c r="B3159" t="s">
        <v>13711</v>
      </c>
      <c r="C3159">
        <v>0</v>
      </c>
      <c r="D3159">
        <v>2.54</v>
      </c>
      <c r="E3159">
        <v>0</v>
      </c>
      <c r="F3159">
        <v>2.54</v>
      </c>
      <c r="G3159">
        <v>2.5499999999999998</v>
      </c>
      <c r="H3159">
        <v>209910</v>
      </c>
      <c r="I3159">
        <v>1751</v>
      </c>
      <c r="J3159">
        <v>-0.38</v>
      </c>
      <c r="K3159">
        <v>0.26</v>
      </c>
      <c r="L3159">
        <v>2.5299999999999998</v>
      </c>
      <c r="M3159">
        <v>2.57</v>
      </c>
      <c r="N3159">
        <v>2.5299999999999998</v>
      </c>
      <c r="O3159">
        <v>2.54</v>
      </c>
      <c r="P3159">
        <v>17.13</v>
      </c>
      <c r="Q3159">
        <v>53577516</v>
      </c>
      <c r="R3159">
        <v>1.4</v>
      </c>
      <c r="S3159" t="s">
        <v>940</v>
      </c>
      <c r="T3159" t="s">
        <v>1653</v>
      </c>
      <c r="U3159">
        <v>1.57</v>
      </c>
      <c r="V3159">
        <v>2.5499999999999998</v>
      </c>
      <c r="W3159">
        <v>87014</v>
      </c>
      <c r="X3159">
        <v>122896</v>
      </c>
      <c r="Y3159">
        <v>0.71</v>
      </c>
      <c r="Z3159">
        <v>4778</v>
      </c>
      <c r="AA3159">
        <v>4933</v>
      </c>
      <c r="AB3159" t="s">
        <v>116</v>
      </c>
      <c r="AC3159">
        <v>177100</v>
      </c>
      <c r="AD3159">
        <v>0</v>
      </c>
      <c r="AE3159" t="s">
        <v>116</v>
      </c>
      <c r="AF3159" t="s">
        <v>116</v>
      </c>
      <c r="AG3159">
        <v>79.319999999999993</v>
      </c>
      <c r="AH3159" t="s">
        <v>13712</v>
      </c>
      <c r="AI3159" t="s">
        <v>13712</v>
      </c>
      <c r="AJ3159">
        <v>0.08</v>
      </c>
      <c r="AK3159">
        <v>1751</v>
      </c>
      <c r="AL3159">
        <v>120</v>
      </c>
      <c r="AM3159">
        <v>2.0000000000000001E-4</v>
      </c>
      <c r="AN3159">
        <v>0</v>
      </c>
      <c r="AO3159">
        <v>0.79</v>
      </c>
      <c r="AP3159">
        <v>1.6</v>
      </c>
      <c r="AQ3159">
        <v>-1.17</v>
      </c>
      <c r="AR3159">
        <v>13.04</v>
      </c>
      <c r="AS3159">
        <v>0.6</v>
      </c>
      <c r="AT3159" t="s">
        <v>8303</v>
      </c>
      <c r="AU3159">
        <v>15.75</v>
      </c>
      <c r="AV3159">
        <v>21.27</v>
      </c>
      <c r="AW3159">
        <v>1.17</v>
      </c>
      <c r="BA3159">
        <v>-0.39</v>
      </c>
      <c r="BB3159">
        <v>1.18</v>
      </c>
      <c r="BC3159">
        <v>-0.39</v>
      </c>
      <c r="BD3159">
        <v>0.49</v>
      </c>
      <c r="BE3159">
        <v>0.4</v>
      </c>
      <c r="BF3159">
        <v>-1.17</v>
      </c>
      <c r="BG3159">
        <v>0.4</v>
      </c>
      <c r="BH3159">
        <v>-0.49</v>
      </c>
      <c r="BI3159">
        <v>20191031</v>
      </c>
      <c r="BJ3159">
        <v>20071212</v>
      </c>
      <c r="BK3159">
        <v>116.08</v>
      </c>
      <c r="BL3159" t="s">
        <v>116</v>
      </c>
      <c r="BM3159">
        <v>36.76</v>
      </c>
      <c r="BN3159">
        <v>1458.8</v>
      </c>
      <c r="BO3159">
        <v>237.42</v>
      </c>
      <c r="BP3159">
        <v>0</v>
      </c>
      <c r="BQ3159">
        <v>83.72</v>
      </c>
      <c r="BR3159">
        <v>316.18</v>
      </c>
      <c r="BS3159">
        <v>570.61</v>
      </c>
      <c r="BT3159">
        <v>1.35</v>
      </c>
      <c r="BU3159">
        <v>534.30999999999995</v>
      </c>
      <c r="BV3159">
        <v>10.19</v>
      </c>
      <c r="BW3159">
        <v>16.12</v>
      </c>
      <c r="BX3159">
        <v>3.21</v>
      </c>
      <c r="BY3159">
        <v>101.83</v>
      </c>
      <c r="BZ3159">
        <v>77.23</v>
      </c>
      <c r="CA3159">
        <v>14.05</v>
      </c>
      <c r="CB3159">
        <v>16.78</v>
      </c>
      <c r="CC3159">
        <v>14.02</v>
      </c>
      <c r="CD3159">
        <v>12.91</v>
      </c>
      <c r="CE3159">
        <v>12.91</v>
      </c>
      <c r="CF3159">
        <v>11.52</v>
      </c>
      <c r="CG3159">
        <v>64.260000000000005</v>
      </c>
      <c r="CH3159">
        <v>43.32</v>
      </c>
      <c r="CI3159">
        <v>-22.79</v>
      </c>
      <c r="CJ3159">
        <v>337663</v>
      </c>
      <c r="CK3159">
        <v>10429</v>
      </c>
      <c r="CL3159" t="s">
        <v>13713</v>
      </c>
      <c r="CM3159">
        <v>60.28</v>
      </c>
      <c r="CN3159">
        <v>-22.36</v>
      </c>
      <c r="CO3159">
        <v>1.76</v>
      </c>
      <c r="CP3159">
        <v>6.81</v>
      </c>
      <c r="CQ3159">
        <v>2.9</v>
      </c>
      <c r="CR3159">
        <v>1.29</v>
      </c>
      <c r="CS3159" t="s">
        <v>4424</v>
      </c>
      <c r="CT3159">
        <v>1.44</v>
      </c>
      <c r="CU3159">
        <v>1.44</v>
      </c>
      <c r="CV3159">
        <v>0.03</v>
      </c>
      <c r="CW3159">
        <v>0.55000000000000004</v>
      </c>
      <c r="CX3159">
        <v>0.37</v>
      </c>
      <c r="CY3159">
        <v>16.28</v>
      </c>
      <c r="CZ3159" t="s">
        <v>11638</v>
      </c>
      <c r="DA3159">
        <v>24.15</v>
      </c>
      <c r="DB3159">
        <v>13.8</v>
      </c>
      <c r="DC3159">
        <v>12.68</v>
      </c>
      <c r="DD3159">
        <v>0</v>
      </c>
      <c r="DE3159">
        <v>8082</v>
      </c>
      <c r="DF3159">
        <v>601866</v>
      </c>
      <c r="DG3159" t="s">
        <v>116</v>
      </c>
      <c r="DH3159" t="s">
        <v>116</v>
      </c>
      <c r="DI3159" t="s">
        <v>116</v>
      </c>
    </row>
    <row r="3160" spans="1:113" x14ac:dyDescent="0.4">
      <c r="A3160" t="str">
        <f>"601869"</f>
        <v>601869</v>
      </c>
      <c r="B3160" t="s">
        <v>13714</v>
      </c>
      <c r="C3160">
        <v>0.99</v>
      </c>
      <c r="D3160">
        <v>32.68</v>
      </c>
      <c r="E3160">
        <v>0.32</v>
      </c>
      <c r="F3160">
        <v>32.67</v>
      </c>
      <c r="G3160">
        <v>32.68</v>
      </c>
      <c r="H3160">
        <v>32044</v>
      </c>
      <c r="I3160">
        <v>263</v>
      </c>
      <c r="J3160">
        <v>0.06</v>
      </c>
      <c r="K3160">
        <v>3.01</v>
      </c>
      <c r="L3160">
        <v>32.4</v>
      </c>
      <c r="M3160">
        <v>32.97</v>
      </c>
      <c r="N3160">
        <v>32.380000000000003</v>
      </c>
      <c r="O3160">
        <v>32.36</v>
      </c>
      <c r="P3160">
        <v>28.44</v>
      </c>
      <c r="Q3160">
        <v>104976144</v>
      </c>
      <c r="R3160">
        <v>1.96</v>
      </c>
      <c r="S3160" t="s">
        <v>465</v>
      </c>
      <c r="T3160" t="s">
        <v>774</v>
      </c>
      <c r="U3160">
        <v>1.82</v>
      </c>
      <c r="V3160">
        <v>32.76</v>
      </c>
      <c r="W3160">
        <v>15766</v>
      </c>
      <c r="X3160">
        <v>16278</v>
      </c>
      <c r="Y3160">
        <v>0.97</v>
      </c>
      <c r="Z3160">
        <v>152</v>
      </c>
      <c r="AA3160">
        <v>96</v>
      </c>
      <c r="AB3160" t="s">
        <v>116</v>
      </c>
      <c r="AC3160">
        <v>25900</v>
      </c>
      <c r="AD3160">
        <v>0</v>
      </c>
      <c r="AE3160" t="s">
        <v>116</v>
      </c>
      <c r="AF3160" t="s">
        <v>116</v>
      </c>
      <c r="AG3160">
        <v>1.07</v>
      </c>
      <c r="AH3160" t="s">
        <v>13715</v>
      </c>
      <c r="AI3160" t="s">
        <v>11327</v>
      </c>
      <c r="AJ3160">
        <v>1.07</v>
      </c>
      <c r="AK3160">
        <v>2389</v>
      </c>
      <c r="AL3160">
        <v>13</v>
      </c>
      <c r="AM3160">
        <v>1.2999999999999999E-3</v>
      </c>
      <c r="AN3160">
        <v>2</v>
      </c>
      <c r="AO3160">
        <v>1.27</v>
      </c>
      <c r="AP3160">
        <v>3.81</v>
      </c>
      <c r="AQ3160">
        <v>-2.42</v>
      </c>
      <c r="AR3160">
        <v>-17.309999999999999</v>
      </c>
      <c r="AS3160">
        <v>3.01</v>
      </c>
      <c r="AT3160" t="s">
        <v>13715</v>
      </c>
      <c r="AU3160">
        <v>27.36</v>
      </c>
      <c r="AV3160">
        <v>16.63</v>
      </c>
      <c r="AW3160">
        <v>1.1100000000000001</v>
      </c>
      <c r="BA3160">
        <v>0.12</v>
      </c>
      <c r="BB3160">
        <v>1.89</v>
      </c>
      <c r="BC3160">
        <v>0.06</v>
      </c>
      <c r="BD3160">
        <v>1.24</v>
      </c>
      <c r="BE3160">
        <v>0.86</v>
      </c>
      <c r="BF3160">
        <v>-0.88</v>
      </c>
      <c r="BG3160">
        <v>0.93</v>
      </c>
      <c r="BH3160">
        <v>-0.25</v>
      </c>
      <c r="BI3160">
        <v>20191031</v>
      </c>
      <c r="BJ3160">
        <v>20180720</v>
      </c>
      <c r="BK3160">
        <v>7.58</v>
      </c>
      <c r="BL3160" t="s">
        <v>116</v>
      </c>
      <c r="BM3160">
        <v>3.52</v>
      </c>
      <c r="BN3160">
        <v>137.01</v>
      </c>
      <c r="BO3160">
        <v>86.48</v>
      </c>
      <c r="BP3160">
        <v>1.57</v>
      </c>
      <c r="BQ3160">
        <v>35.74</v>
      </c>
      <c r="BR3160">
        <v>79.67</v>
      </c>
      <c r="BS3160">
        <v>30.58</v>
      </c>
      <c r="BT3160">
        <v>3.18</v>
      </c>
      <c r="BU3160">
        <v>43.88</v>
      </c>
      <c r="BV3160">
        <v>16.68</v>
      </c>
      <c r="BW3160">
        <v>33.92</v>
      </c>
      <c r="BX3160">
        <v>33.659999999999997</v>
      </c>
      <c r="BY3160">
        <v>52.16</v>
      </c>
      <c r="BZ3160">
        <v>39.590000000000003</v>
      </c>
      <c r="CA3160">
        <v>7.28</v>
      </c>
      <c r="CB3160">
        <v>1.02</v>
      </c>
      <c r="CC3160">
        <v>7.29</v>
      </c>
      <c r="CD3160">
        <v>6.38</v>
      </c>
      <c r="CE3160">
        <v>6.53</v>
      </c>
      <c r="CF3160">
        <v>4.78</v>
      </c>
      <c r="CG3160">
        <v>39.020000000000003</v>
      </c>
      <c r="CH3160">
        <v>2.36</v>
      </c>
      <c r="CI3160">
        <v>-6.32</v>
      </c>
      <c r="CJ3160">
        <v>36973</v>
      </c>
      <c r="CK3160">
        <v>2882</v>
      </c>
      <c r="CL3160" t="s">
        <v>4093</v>
      </c>
      <c r="CM3160">
        <v>-47.2</v>
      </c>
      <c r="CN3160">
        <v>-38.81</v>
      </c>
      <c r="CO3160">
        <v>2.86</v>
      </c>
      <c r="CP3160">
        <v>104.83</v>
      </c>
      <c r="CQ3160">
        <v>4.75</v>
      </c>
      <c r="CR3160">
        <v>0.76</v>
      </c>
      <c r="CS3160" t="s">
        <v>13716</v>
      </c>
      <c r="CT3160">
        <v>11.41</v>
      </c>
      <c r="CU3160">
        <v>0</v>
      </c>
      <c r="CV3160">
        <v>4.4400000000000004</v>
      </c>
      <c r="CW3160">
        <v>5.15</v>
      </c>
      <c r="CX3160">
        <v>0.31</v>
      </c>
      <c r="CY3160">
        <v>63.12</v>
      </c>
      <c r="CZ3160" t="s">
        <v>2183</v>
      </c>
      <c r="DA3160">
        <v>24.12</v>
      </c>
      <c r="DB3160">
        <v>13.96</v>
      </c>
      <c r="DC3160">
        <v>12.52</v>
      </c>
      <c r="DD3160">
        <v>2.34</v>
      </c>
      <c r="DE3160">
        <v>3108</v>
      </c>
      <c r="DF3160">
        <v>601869</v>
      </c>
      <c r="DG3160" t="s">
        <v>116</v>
      </c>
      <c r="DH3160" t="s">
        <v>116</v>
      </c>
      <c r="DI3160" t="s">
        <v>116</v>
      </c>
    </row>
    <row r="3161" spans="1:113" x14ac:dyDescent="0.4">
      <c r="A3161" t="str">
        <f>"601872"</f>
        <v>601872</v>
      </c>
      <c r="B3161" t="s">
        <v>13717</v>
      </c>
      <c r="C3161">
        <v>-1.8</v>
      </c>
      <c r="D3161">
        <v>7.64</v>
      </c>
      <c r="E3161">
        <v>-0.14000000000000001</v>
      </c>
      <c r="F3161">
        <v>7.64</v>
      </c>
      <c r="G3161">
        <v>7.65</v>
      </c>
      <c r="H3161">
        <v>977071</v>
      </c>
      <c r="I3161">
        <v>11190</v>
      </c>
      <c r="J3161">
        <v>0.39</v>
      </c>
      <c r="K3161">
        <v>1.84</v>
      </c>
      <c r="L3161">
        <v>7.79</v>
      </c>
      <c r="M3161">
        <v>7.96</v>
      </c>
      <c r="N3161">
        <v>7.57</v>
      </c>
      <c r="O3161">
        <v>7.78</v>
      </c>
      <c r="P3161">
        <v>48.11</v>
      </c>
      <c r="Q3161">
        <v>756097024</v>
      </c>
      <c r="R3161">
        <v>0.81</v>
      </c>
      <c r="S3161" t="s">
        <v>940</v>
      </c>
      <c r="T3161" t="s">
        <v>1653</v>
      </c>
      <c r="U3161">
        <v>5.01</v>
      </c>
      <c r="V3161">
        <v>7.74</v>
      </c>
      <c r="W3161">
        <v>547409</v>
      </c>
      <c r="X3161">
        <v>429662</v>
      </c>
      <c r="Y3161">
        <v>1.27</v>
      </c>
      <c r="Z3161">
        <v>516</v>
      </c>
      <c r="AA3161">
        <v>1430</v>
      </c>
      <c r="AB3161" t="s">
        <v>116</v>
      </c>
      <c r="AC3161">
        <v>12303900</v>
      </c>
      <c r="AD3161">
        <v>0.09</v>
      </c>
      <c r="AE3161" t="s">
        <v>116</v>
      </c>
      <c r="AF3161" t="s">
        <v>116</v>
      </c>
      <c r="AG3161">
        <v>52.99</v>
      </c>
      <c r="AH3161" t="s">
        <v>13718</v>
      </c>
      <c r="AI3161" t="s">
        <v>13719</v>
      </c>
      <c r="AJ3161">
        <v>-1.72</v>
      </c>
      <c r="AK3161">
        <v>4381</v>
      </c>
      <c r="AL3161">
        <v>223</v>
      </c>
      <c r="AM3161">
        <v>4.0000000000000002E-4</v>
      </c>
      <c r="AN3161">
        <v>-1</v>
      </c>
      <c r="AO3161">
        <v>6.41</v>
      </c>
      <c r="AP3161">
        <v>28.62</v>
      </c>
      <c r="AQ3161">
        <v>59.5</v>
      </c>
      <c r="AR3161">
        <v>110.35</v>
      </c>
      <c r="AS3161">
        <v>5.34</v>
      </c>
      <c r="AT3161" t="s">
        <v>728</v>
      </c>
      <c r="AU3161">
        <v>31.97</v>
      </c>
      <c r="AV3161">
        <v>39.72</v>
      </c>
      <c r="AW3161">
        <v>2.11</v>
      </c>
      <c r="BA3161">
        <v>0.13</v>
      </c>
      <c r="BB3161">
        <v>2.31</v>
      </c>
      <c r="BC3161">
        <v>-2.7</v>
      </c>
      <c r="BD3161">
        <v>-0.53</v>
      </c>
      <c r="BE3161">
        <v>-1.93</v>
      </c>
      <c r="BF3161">
        <v>-4.0199999999999996</v>
      </c>
      <c r="BG3161">
        <v>0.92</v>
      </c>
      <c r="BH3161">
        <v>-1.26</v>
      </c>
      <c r="BI3161">
        <v>20191030</v>
      </c>
      <c r="BJ3161">
        <v>20061201</v>
      </c>
      <c r="BK3161">
        <v>60.67</v>
      </c>
      <c r="BL3161" t="s">
        <v>116</v>
      </c>
      <c r="BM3161" t="s">
        <v>116</v>
      </c>
      <c r="BN3161">
        <v>532.08000000000004</v>
      </c>
      <c r="BO3161">
        <v>211.87</v>
      </c>
      <c r="BP3161">
        <v>0.78</v>
      </c>
      <c r="BQ3161">
        <v>60.03</v>
      </c>
      <c r="BR3161">
        <v>93.7</v>
      </c>
      <c r="BS3161">
        <v>404.49</v>
      </c>
      <c r="BT3161">
        <v>4.79</v>
      </c>
      <c r="BU3161">
        <v>156.22</v>
      </c>
      <c r="BV3161">
        <v>9.41</v>
      </c>
      <c r="BW3161">
        <v>21.44</v>
      </c>
      <c r="BX3161">
        <v>98.12</v>
      </c>
      <c r="BY3161">
        <v>98.07</v>
      </c>
      <c r="BZ3161">
        <v>82.27</v>
      </c>
      <c r="CA3161">
        <v>7.72</v>
      </c>
      <c r="CB3161">
        <v>2.5499999999999998</v>
      </c>
      <c r="CC3161">
        <v>7.76</v>
      </c>
      <c r="CD3161">
        <v>7.36</v>
      </c>
      <c r="CE3161">
        <v>7.23</v>
      </c>
      <c r="CF3161">
        <v>6.82</v>
      </c>
      <c r="CG3161">
        <v>47.14</v>
      </c>
      <c r="CH3161">
        <v>31.04</v>
      </c>
      <c r="CI3161">
        <v>-2.7</v>
      </c>
      <c r="CJ3161">
        <v>144030</v>
      </c>
      <c r="CK3161">
        <v>12696</v>
      </c>
      <c r="CL3161" t="s">
        <v>10763</v>
      </c>
      <c r="CM3161">
        <v>64.25</v>
      </c>
      <c r="CN3161">
        <v>33.99</v>
      </c>
      <c r="CO3161">
        <v>2.19</v>
      </c>
      <c r="CP3161">
        <v>14.93</v>
      </c>
      <c r="CQ3161">
        <v>4.7300000000000004</v>
      </c>
      <c r="CR3161">
        <v>0.76</v>
      </c>
      <c r="CS3161" t="s">
        <v>5567</v>
      </c>
      <c r="CT3161">
        <v>3.49</v>
      </c>
      <c r="CU3161">
        <v>0</v>
      </c>
      <c r="CV3161">
        <v>1.62</v>
      </c>
      <c r="CW3161">
        <v>0.78</v>
      </c>
      <c r="CX3161">
        <v>0.51</v>
      </c>
      <c r="CY3161">
        <v>39.82</v>
      </c>
      <c r="CZ3161" t="s">
        <v>730</v>
      </c>
      <c r="DA3161">
        <v>16.12</v>
      </c>
      <c r="DB3161">
        <v>7.87</v>
      </c>
      <c r="DC3161">
        <v>7.37</v>
      </c>
      <c r="DD3161">
        <v>0.03</v>
      </c>
      <c r="DE3161">
        <v>4558</v>
      </c>
      <c r="DF3161">
        <v>601872</v>
      </c>
      <c r="DG3161" t="s">
        <v>116</v>
      </c>
      <c r="DH3161" t="s">
        <v>116</v>
      </c>
      <c r="DI3161" t="s">
        <v>116</v>
      </c>
    </row>
    <row r="3162" spans="1:113" x14ac:dyDescent="0.4">
      <c r="A3162" t="str">
        <f>"601877"</f>
        <v>601877</v>
      </c>
      <c r="B3162" t="s">
        <v>13720</v>
      </c>
      <c r="C3162">
        <v>-1.03</v>
      </c>
      <c r="D3162">
        <v>25.95</v>
      </c>
      <c r="E3162">
        <v>-0.27</v>
      </c>
      <c r="F3162">
        <v>25.95</v>
      </c>
      <c r="G3162">
        <v>25.96</v>
      </c>
      <c r="H3162">
        <v>85066</v>
      </c>
      <c r="I3162">
        <v>580</v>
      </c>
      <c r="J3162">
        <v>-7.0000000000000007E-2</v>
      </c>
      <c r="K3162">
        <v>0.4</v>
      </c>
      <c r="L3162">
        <v>26.22</v>
      </c>
      <c r="M3162">
        <v>26.29</v>
      </c>
      <c r="N3162">
        <v>25.81</v>
      </c>
      <c r="O3162">
        <v>26.22</v>
      </c>
      <c r="P3162">
        <v>14.62</v>
      </c>
      <c r="Q3162">
        <v>220666832</v>
      </c>
      <c r="R3162">
        <v>0.83</v>
      </c>
      <c r="S3162" t="s">
        <v>397</v>
      </c>
      <c r="T3162" t="s">
        <v>590</v>
      </c>
      <c r="U3162">
        <v>1.83</v>
      </c>
      <c r="V3162">
        <v>25.94</v>
      </c>
      <c r="W3162">
        <v>41853</v>
      </c>
      <c r="X3162">
        <v>43213</v>
      </c>
      <c r="Y3162">
        <v>0.97</v>
      </c>
      <c r="Z3162">
        <v>94</v>
      </c>
      <c r="AA3162">
        <v>1</v>
      </c>
      <c r="AB3162" t="s">
        <v>116</v>
      </c>
      <c r="AC3162">
        <v>242300</v>
      </c>
      <c r="AD3162">
        <v>0</v>
      </c>
      <c r="AE3162" t="s">
        <v>116</v>
      </c>
      <c r="AF3162" t="s">
        <v>116</v>
      </c>
      <c r="AG3162">
        <v>21.51</v>
      </c>
      <c r="AH3162" t="s">
        <v>13721</v>
      </c>
      <c r="AI3162" t="s">
        <v>13722</v>
      </c>
      <c r="AJ3162">
        <v>-0.95</v>
      </c>
      <c r="AK3162">
        <v>2995</v>
      </c>
      <c r="AL3162">
        <v>28</v>
      </c>
      <c r="AM3162">
        <v>1E-4</v>
      </c>
      <c r="AN3162">
        <v>-1</v>
      </c>
      <c r="AO3162">
        <v>0.12</v>
      </c>
      <c r="AP3162">
        <v>8.67</v>
      </c>
      <c r="AQ3162">
        <v>17.899999999999999</v>
      </c>
      <c r="AR3162">
        <v>9.77</v>
      </c>
      <c r="AS3162">
        <v>0.89</v>
      </c>
      <c r="AT3162" t="s">
        <v>13723</v>
      </c>
      <c r="AU3162">
        <v>15.23</v>
      </c>
      <c r="AV3162">
        <v>15.54</v>
      </c>
      <c r="AW3162">
        <v>1.02</v>
      </c>
      <c r="BA3162">
        <v>0</v>
      </c>
      <c r="BB3162">
        <v>0.27</v>
      </c>
      <c r="BC3162">
        <v>-1.56</v>
      </c>
      <c r="BD3162">
        <v>-1.06</v>
      </c>
      <c r="BE3162">
        <v>-1.03</v>
      </c>
      <c r="BF3162">
        <v>-1.29</v>
      </c>
      <c r="BG3162">
        <v>0.54</v>
      </c>
      <c r="BH3162">
        <v>0.04</v>
      </c>
      <c r="BI3162">
        <v>20191227</v>
      </c>
      <c r="BJ3162">
        <v>20100121</v>
      </c>
      <c r="BK3162">
        <v>21.51</v>
      </c>
      <c r="BL3162" t="s">
        <v>116</v>
      </c>
      <c r="BM3162" t="s">
        <v>116</v>
      </c>
      <c r="BN3162">
        <v>538.74</v>
      </c>
      <c r="BO3162">
        <v>233.27</v>
      </c>
      <c r="BP3162">
        <v>6.71</v>
      </c>
      <c r="BQ3162">
        <v>55.45</v>
      </c>
      <c r="BR3162">
        <v>271.31</v>
      </c>
      <c r="BS3162">
        <v>186.29</v>
      </c>
      <c r="BT3162">
        <v>3.69</v>
      </c>
      <c r="BU3162">
        <v>198.87</v>
      </c>
      <c r="BV3162">
        <v>42.03</v>
      </c>
      <c r="BW3162">
        <v>88.8</v>
      </c>
      <c r="BX3162">
        <v>110.61</v>
      </c>
      <c r="BY3162">
        <v>224.77</v>
      </c>
      <c r="BZ3162">
        <v>158.66999999999999</v>
      </c>
      <c r="CA3162">
        <v>34.409999999999997</v>
      </c>
      <c r="CB3162">
        <v>2.38</v>
      </c>
      <c r="CC3162">
        <v>34.47</v>
      </c>
      <c r="CD3162">
        <v>29.93</v>
      </c>
      <c r="CE3162">
        <v>28.64</v>
      </c>
      <c r="CF3162">
        <v>27.99</v>
      </c>
      <c r="CG3162">
        <v>91.29</v>
      </c>
      <c r="CH3162">
        <v>29.55</v>
      </c>
      <c r="CI3162">
        <v>-1.51</v>
      </c>
      <c r="CJ3162">
        <v>36378</v>
      </c>
      <c r="CK3162">
        <v>26373</v>
      </c>
      <c r="CL3162" t="s">
        <v>13724</v>
      </c>
      <c r="CM3162">
        <v>2.65</v>
      </c>
      <c r="CN3162">
        <v>17.62</v>
      </c>
      <c r="CO3162">
        <v>2.39</v>
      </c>
      <c r="CP3162">
        <v>18.89</v>
      </c>
      <c r="CQ3162">
        <v>2.48</v>
      </c>
      <c r="CR3162">
        <v>2.31</v>
      </c>
      <c r="CS3162" t="s">
        <v>13725</v>
      </c>
      <c r="CT3162">
        <v>10.84</v>
      </c>
      <c r="CU3162">
        <v>0</v>
      </c>
      <c r="CV3162">
        <v>5.14</v>
      </c>
      <c r="CW3162">
        <v>4.24</v>
      </c>
      <c r="CX3162">
        <v>1.37</v>
      </c>
      <c r="CY3162">
        <v>43.3</v>
      </c>
      <c r="CZ3162" t="s">
        <v>9942</v>
      </c>
      <c r="DA3162">
        <v>29.41</v>
      </c>
      <c r="DB3162">
        <v>15.31</v>
      </c>
      <c r="DC3162">
        <v>12.74</v>
      </c>
      <c r="DD3162">
        <v>6.45</v>
      </c>
      <c r="DE3162">
        <v>20310</v>
      </c>
      <c r="DF3162">
        <v>601877</v>
      </c>
      <c r="DG3162" t="s">
        <v>116</v>
      </c>
      <c r="DH3162" t="s">
        <v>116</v>
      </c>
      <c r="DI3162" t="s">
        <v>116</v>
      </c>
    </row>
    <row r="3163" spans="1:113" x14ac:dyDescent="0.4">
      <c r="A3163" t="str">
        <f>"601878"</f>
        <v>601878</v>
      </c>
      <c r="B3163" t="s">
        <v>13726</v>
      </c>
      <c r="C3163">
        <v>-7.04</v>
      </c>
      <c r="D3163">
        <v>11.09</v>
      </c>
      <c r="E3163">
        <v>-0.84</v>
      </c>
      <c r="F3163">
        <v>11.09</v>
      </c>
      <c r="G3163">
        <v>11.1</v>
      </c>
      <c r="H3163">
        <v>1742848</v>
      </c>
      <c r="I3163">
        <v>18405</v>
      </c>
      <c r="J3163">
        <v>-0.17</v>
      </c>
      <c r="K3163">
        <v>14.42</v>
      </c>
      <c r="L3163">
        <v>11.7</v>
      </c>
      <c r="M3163">
        <v>12</v>
      </c>
      <c r="N3163">
        <v>11.09</v>
      </c>
      <c r="O3163">
        <v>11.93</v>
      </c>
      <c r="P3163">
        <v>39.11</v>
      </c>
      <c r="Q3163">
        <v>2020028288</v>
      </c>
      <c r="R3163">
        <v>1.1499999999999999</v>
      </c>
      <c r="S3163" t="s">
        <v>623</v>
      </c>
      <c r="T3163" t="s">
        <v>590</v>
      </c>
      <c r="U3163">
        <v>7.63</v>
      </c>
      <c r="V3163">
        <v>11.59</v>
      </c>
      <c r="W3163">
        <v>902875</v>
      </c>
      <c r="X3163">
        <v>839974</v>
      </c>
      <c r="Y3163">
        <v>1.07</v>
      </c>
      <c r="Z3163">
        <v>3774</v>
      </c>
      <c r="AA3163">
        <v>1475</v>
      </c>
      <c r="AB3163" t="s">
        <v>116</v>
      </c>
      <c r="AC3163">
        <v>20193800</v>
      </c>
      <c r="AD3163">
        <v>0.14000000000000001</v>
      </c>
      <c r="AE3163" t="s">
        <v>116</v>
      </c>
      <c r="AF3163" t="s">
        <v>116</v>
      </c>
      <c r="AG3163">
        <v>12.09</v>
      </c>
      <c r="AH3163" t="s">
        <v>13727</v>
      </c>
      <c r="AI3163" t="s">
        <v>13728</v>
      </c>
      <c r="AJ3163">
        <v>-6.96</v>
      </c>
      <c r="AK3163">
        <v>4659</v>
      </c>
      <c r="AL3163">
        <v>374</v>
      </c>
      <c r="AM3163">
        <v>3.0999999999999999E-3</v>
      </c>
      <c r="AN3163">
        <v>-1</v>
      </c>
      <c r="AO3163">
        <v>3.74</v>
      </c>
      <c r="AP3163">
        <v>32.5</v>
      </c>
      <c r="AQ3163">
        <v>24.47</v>
      </c>
      <c r="AR3163">
        <v>54.24</v>
      </c>
      <c r="AS3163">
        <v>14.42</v>
      </c>
      <c r="AT3163" t="s">
        <v>13727</v>
      </c>
      <c r="AU3163">
        <v>41.82</v>
      </c>
      <c r="AV3163">
        <v>50.16</v>
      </c>
      <c r="AW3163">
        <v>2.41</v>
      </c>
      <c r="BA3163">
        <v>-1.93</v>
      </c>
      <c r="BB3163">
        <v>0.59</v>
      </c>
      <c r="BC3163">
        <v>-7.04</v>
      </c>
      <c r="BD3163">
        <v>-2.85</v>
      </c>
      <c r="BE3163">
        <v>-5.21</v>
      </c>
      <c r="BF3163">
        <v>-7.58</v>
      </c>
      <c r="BG3163">
        <v>0</v>
      </c>
      <c r="BH3163">
        <v>-4.1900000000000004</v>
      </c>
      <c r="BI3163">
        <v>20191029</v>
      </c>
      <c r="BJ3163">
        <v>20170626</v>
      </c>
      <c r="BK3163">
        <v>33.33</v>
      </c>
      <c r="BL3163" t="s">
        <v>116</v>
      </c>
      <c r="BM3163" t="s">
        <v>116</v>
      </c>
      <c r="BN3163">
        <v>712.35</v>
      </c>
      <c r="BO3163">
        <v>146.78</v>
      </c>
      <c r="BP3163">
        <v>0</v>
      </c>
      <c r="BQ3163">
        <v>79.39</v>
      </c>
      <c r="BR3163">
        <v>0</v>
      </c>
      <c r="BS3163">
        <v>8.8800000000000008</v>
      </c>
      <c r="BT3163">
        <v>0.75</v>
      </c>
      <c r="BU3163">
        <v>0</v>
      </c>
      <c r="BV3163">
        <v>0</v>
      </c>
      <c r="BW3163">
        <v>0</v>
      </c>
      <c r="BX3163">
        <v>39.81</v>
      </c>
      <c r="BY3163">
        <v>41.08</v>
      </c>
      <c r="BZ3163">
        <v>0</v>
      </c>
      <c r="CA3163">
        <v>9.5</v>
      </c>
      <c r="CB3163">
        <v>8.81</v>
      </c>
      <c r="CC3163">
        <v>9.49</v>
      </c>
      <c r="CD3163">
        <v>7.09</v>
      </c>
      <c r="CE3163">
        <v>7.09</v>
      </c>
      <c r="CF3163">
        <v>6.98</v>
      </c>
      <c r="CG3163">
        <v>47.42</v>
      </c>
      <c r="CH3163">
        <v>20.52</v>
      </c>
      <c r="CI3163">
        <v>74.64</v>
      </c>
      <c r="CJ3163">
        <v>109553</v>
      </c>
      <c r="CK3163">
        <v>11031</v>
      </c>
      <c r="CL3163" t="s">
        <v>5485</v>
      </c>
      <c r="CM3163">
        <v>26.16</v>
      </c>
      <c r="CN3163">
        <v>57.2</v>
      </c>
      <c r="CO3163">
        <v>2.62</v>
      </c>
      <c r="CP3163">
        <v>18.02</v>
      </c>
      <c r="CQ3163">
        <v>9</v>
      </c>
      <c r="CR3163">
        <v>0.63</v>
      </c>
      <c r="CS3163" t="s">
        <v>3294</v>
      </c>
      <c r="CT3163">
        <v>4.24</v>
      </c>
      <c r="CU3163">
        <v>4.24</v>
      </c>
      <c r="CV3163">
        <v>1.19</v>
      </c>
      <c r="CW3163">
        <v>1.42</v>
      </c>
      <c r="CX3163">
        <v>0.62</v>
      </c>
      <c r="CY3163">
        <v>20.61</v>
      </c>
      <c r="CZ3163" t="s">
        <v>9617</v>
      </c>
      <c r="DA3163" t="s">
        <v>116</v>
      </c>
      <c r="DB3163">
        <v>23.13</v>
      </c>
      <c r="DC3163">
        <v>17.260000000000002</v>
      </c>
      <c r="DD3163">
        <v>0</v>
      </c>
      <c r="DE3163">
        <v>3323</v>
      </c>
      <c r="DF3163">
        <v>601878</v>
      </c>
      <c r="DG3163" t="s">
        <v>116</v>
      </c>
      <c r="DH3163" t="s">
        <v>116</v>
      </c>
      <c r="DI3163" t="s">
        <v>116</v>
      </c>
    </row>
    <row r="3164" spans="1:113" x14ac:dyDescent="0.4">
      <c r="A3164" t="str">
        <f>"601880"</f>
        <v>601880</v>
      </c>
      <c r="B3164" t="s">
        <v>13729</v>
      </c>
      <c r="C3164">
        <v>0</v>
      </c>
      <c r="D3164">
        <v>2.0099999999999998</v>
      </c>
      <c r="E3164">
        <v>0</v>
      </c>
      <c r="F3164">
        <v>2.0099999999999998</v>
      </c>
      <c r="G3164">
        <v>2.02</v>
      </c>
      <c r="H3164">
        <v>206542</v>
      </c>
      <c r="I3164">
        <v>786</v>
      </c>
      <c r="J3164">
        <v>0</v>
      </c>
      <c r="K3164">
        <v>0.27</v>
      </c>
      <c r="L3164">
        <v>2.0099999999999998</v>
      </c>
      <c r="M3164">
        <v>2.0299999999999998</v>
      </c>
      <c r="N3164">
        <v>2</v>
      </c>
      <c r="O3164">
        <v>2.0099999999999998</v>
      </c>
      <c r="P3164">
        <v>35.94</v>
      </c>
      <c r="Q3164">
        <v>41642504</v>
      </c>
      <c r="R3164">
        <v>1.19</v>
      </c>
      <c r="S3164" t="s">
        <v>515</v>
      </c>
      <c r="T3164" t="s">
        <v>434</v>
      </c>
      <c r="U3164">
        <v>1.49</v>
      </c>
      <c r="V3164">
        <v>2.02</v>
      </c>
      <c r="W3164">
        <v>78355</v>
      </c>
      <c r="X3164">
        <v>128187</v>
      </c>
      <c r="Y3164">
        <v>0.61</v>
      </c>
      <c r="Z3164">
        <v>31779</v>
      </c>
      <c r="AA3164">
        <v>9645</v>
      </c>
      <c r="AB3164" t="s">
        <v>116</v>
      </c>
      <c r="AC3164">
        <v>203600</v>
      </c>
      <c r="AD3164">
        <v>0</v>
      </c>
      <c r="AE3164" t="s">
        <v>116</v>
      </c>
      <c r="AF3164" t="s">
        <v>116</v>
      </c>
      <c r="AG3164">
        <v>77.36</v>
      </c>
      <c r="AH3164" t="s">
        <v>13730</v>
      </c>
      <c r="AI3164" t="s">
        <v>13730</v>
      </c>
      <c r="AJ3164">
        <v>0.08</v>
      </c>
      <c r="AK3164">
        <v>1551</v>
      </c>
      <c r="AL3164">
        <v>133</v>
      </c>
      <c r="AM3164">
        <v>2.0000000000000001E-4</v>
      </c>
      <c r="AN3164">
        <v>0</v>
      </c>
      <c r="AO3164">
        <v>-0.99</v>
      </c>
      <c r="AP3164">
        <v>0.5</v>
      </c>
      <c r="AQ3164">
        <v>1.01</v>
      </c>
      <c r="AR3164">
        <v>9.7799999999999994</v>
      </c>
      <c r="AS3164">
        <v>0.88</v>
      </c>
      <c r="AT3164" t="s">
        <v>5336</v>
      </c>
      <c r="AU3164">
        <v>41.65</v>
      </c>
      <c r="AV3164">
        <v>49.53</v>
      </c>
      <c r="AW3164">
        <v>0.84</v>
      </c>
      <c r="BA3164">
        <v>0</v>
      </c>
      <c r="BB3164">
        <v>1</v>
      </c>
      <c r="BC3164">
        <v>-0.5</v>
      </c>
      <c r="BD3164">
        <v>0.31</v>
      </c>
      <c r="BE3164">
        <v>0</v>
      </c>
      <c r="BF3164">
        <v>-0.99</v>
      </c>
      <c r="BG3164">
        <v>0.5</v>
      </c>
      <c r="BH3164">
        <v>-0.31</v>
      </c>
      <c r="BI3164">
        <v>20191030</v>
      </c>
      <c r="BJ3164">
        <v>20101206</v>
      </c>
      <c r="BK3164">
        <v>128.94999999999999</v>
      </c>
      <c r="BL3164" t="s">
        <v>116</v>
      </c>
      <c r="BM3164">
        <v>51.59</v>
      </c>
      <c r="BN3164">
        <v>349.87</v>
      </c>
      <c r="BO3164">
        <v>186.08</v>
      </c>
      <c r="BP3164">
        <v>26.96</v>
      </c>
      <c r="BQ3164">
        <v>39.11</v>
      </c>
      <c r="BR3164">
        <v>64.75</v>
      </c>
      <c r="BS3164">
        <v>165.95</v>
      </c>
      <c r="BT3164">
        <v>16.77</v>
      </c>
      <c r="BU3164">
        <v>23.65</v>
      </c>
      <c r="BV3164">
        <v>1.18</v>
      </c>
      <c r="BW3164">
        <v>15.66</v>
      </c>
      <c r="BX3164">
        <v>29.39</v>
      </c>
      <c r="BY3164">
        <v>49.04</v>
      </c>
      <c r="BZ3164">
        <v>34.81</v>
      </c>
      <c r="CA3164">
        <v>8.33</v>
      </c>
      <c r="CB3164">
        <v>2.76</v>
      </c>
      <c r="CC3164">
        <v>8.66</v>
      </c>
      <c r="CD3164">
        <v>6.53</v>
      </c>
      <c r="CE3164">
        <v>5.41</v>
      </c>
      <c r="CF3164">
        <v>4.8499999999999996</v>
      </c>
      <c r="CG3164">
        <v>18.309999999999999</v>
      </c>
      <c r="CH3164">
        <v>9.25</v>
      </c>
      <c r="CI3164">
        <v>-31.17</v>
      </c>
      <c r="CJ3164">
        <v>180885</v>
      </c>
      <c r="CK3164">
        <v>13032</v>
      </c>
      <c r="CL3164" t="s">
        <v>6829</v>
      </c>
      <c r="CM3164">
        <v>22.38</v>
      </c>
      <c r="CN3164">
        <v>-8.57</v>
      </c>
      <c r="CO3164">
        <v>1.39</v>
      </c>
      <c r="CP3164">
        <v>28.02</v>
      </c>
      <c r="CQ3164">
        <v>5.28</v>
      </c>
      <c r="CR3164">
        <v>0.95</v>
      </c>
      <c r="CS3164" t="s">
        <v>145</v>
      </c>
      <c r="CT3164">
        <v>1.44</v>
      </c>
      <c r="CU3164">
        <v>0</v>
      </c>
      <c r="CV3164">
        <v>0.23</v>
      </c>
      <c r="CW3164">
        <v>0.14000000000000001</v>
      </c>
      <c r="CX3164">
        <v>7.0000000000000007E-2</v>
      </c>
      <c r="CY3164">
        <v>53.18</v>
      </c>
      <c r="CZ3164" t="s">
        <v>4968</v>
      </c>
      <c r="DA3164">
        <v>29.01</v>
      </c>
      <c r="DB3164">
        <v>16.98</v>
      </c>
      <c r="DC3164">
        <v>11.03</v>
      </c>
      <c r="DD3164">
        <v>0.11</v>
      </c>
      <c r="DE3164">
        <v>6819</v>
      </c>
      <c r="DF3164">
        <v>601880</v>
      </c>
      <c r="DG3164" t="s">
        <v>116</v>
      </c>
      <c r="DH3164" t="s">
        <v>116</v>
      </c>
      <c r="DI3164" t="s">
        <v>116</v>
      </c>
    </row>
    <row r="3165" spans="1:113" x14ac:dyDescent="0.4">
      <c r="A3165" t="str">
        <f>"601881"</f>
        <v>601881</v>
      </c>
      <c r="B3165" t="s">
        <v>13731</v>
      </c>
      <c r="C3165">
        <v>-3.25</v>
      </c>
      <c r="D3165">
        <v>11.01</v>
      </c>
      <c r="E3165">
        <v>-0.37</v>
      </c>
      <c r="F3165">
        <v>11</v>
      </c>
      <c r="G3165">
        <v>11.01</v>
      </c>
      <c r="H3165">
        <v>675871</v>
      </c>
      <c r="I3165">
        <v>6543</v>
      </c>
      <c r="J3165">
        <v>0</v>
      </c>
      <c r="K3165">
        <v>5.5</v>
      </c>
      <c r="L3165">
        <v>11.29</v>
      </c>
      <c r="M3165">
        <v>11.52</v>
      </c>
      <c r="N3165">
        <v>10.96</v>
      </c>
      <c r="O3165">
        <v>11.38</v>
      </c>
      <c r="P3165">
        <v>21.68</v>
      </c>
      <c r="Q3165">
        <v>761456000</v>
      </c>
      <c r="R3165">
        <v>1.22</v>
      </c>
      <c r="S3165" t="s">
        <v>623</v>
      </c>
      <c r="T3165" t="s">
        <v>165</v>
      </c>
      <c r="U3165">
        <v>4.92</v>
      </c>
      <c r="V3165">
        <v>11.27</v>
      </c>
      <c r="W3165">
        <v>366911</v>
      </c>
      <c r="X3165">
        <v>308960</v>
      </c>
      <c r="Y3165">
        <v>1.19</v>
      </c>
      <c r="Z3165">
        <v>3183</v>
      </c>
      <c r="AA3165">
        <v>175</v>
      </c>
      <c r="AB3165" t="s">
        <v>116</v>
      </c>
      <c r="AC3165">
        <v>2225300</v>
      </c>
      <c r="AD3165">
        <v>0.02</v>
      </c>
      <c r="AE3165" t="s">
        <v>116</v>
      </c>
      <c r="AF3165" t="s">
        <v>116</v>
      </c>
      <c r="AG3165">
        <v>12.29</v>
      </c>
      <c r="AH3165" t="s">
        <v>13732</v>
      </c>
      <c r="AI3165" t="s">
        <v>13733</v>
      </c>
      <c r="AJ3165">
        <v>-3.17</v>
      </c>
      <c r="AK3165">
        <v>4293</v>
      </c>
      <c r="AL3165">
        <v>157</v>
      </c>
      <c r="AM3165">
        <v>1.2999999999999999E-3</v>
      </c>
      <c r="AN3165">
        <v>-1</v>
      </c>
      <c r="AO3165">
        <v>-3.07</v>
      </c>
      <c r="AP3165">
        <v>7.1</v>
      </c>
      <c r="AQ3165">
        <v>-1.34</v>
      </c>
      <c r="AR3165">
        <v>63.6</v>
      </c>
      <c r="AS3165">
        <v>5.5</v>
      </c>
      <c r="AT3165" t="s">
        <v>13732</v>
      </c>
      <c r="AU3165">
        <v>22.88</v>
      </c>
      <c r="AV3165">
        <v>38.659999999999997</v>
      </c>
      <c r="AW3165">
        <v>1.85</v>
      </c>
      <c r="BA3165">
        <v>-0.79</v>
      </c>
      <c r="BB3165">
        <v>1.23</v>
      </c>
      <c r="BC3165">
        <v>-3.69</v>
      </c>
      <c r="BD3165">
        <v>-1</v>
      </c>
      <c r="BE3165">
        <v>-2.48</v>
      </c>
      <c r="BF3165">
        <v>-4.43</v>
      </c>
      <c r="BG3165">
        <v>0.46</v>
      </c>
      <c r="BH3165">
        <v>-2.25</v>
      </c>
      <c r="BI3165">
        <v>20191118</v>
      </c>
      <c r="BJ3165">
        <v>20170123</v>
      </c>
      <c r="BK3165">
        <v>101.37</v>
      </c>
      <c r="BL3165" t="s">
        <v>116</v>
      </c>
      <c r="BM3165">
        <v>36.909999999999997</v>
      </c>
      <c r="BN3165">
        <v>3041.34</v>
      </c>
      <c r="BO3165">
        <v>694.94</v>
      </c>
      <c r="BP3165">
        <v>10.32</v>
      </c>
      <c r="BQ3165">
        <v>76.81</v>
      </c>
      <c r="BR3165">
        <v>0</v>
      </c>
      <c r="BS3165">
        <v>2.71</v>
      </c>
      <c r="BT3165">
        <v>4.92</v>
      </c>
      <c r="BU3165">
        <v>0</v>
      </c>
      <c r="BV3165">
        <v>0</v>
      </c>
      <c r="BW3165">
        <v>0</v>
      </c>
      <c r="BX3165">
        <v>250.23</v>
      </c>
      <c r="BY3165">
        <v>120.44</v>
      </c>
      <c r="BZ3165">
        <v>0</v>
      </c>
      <c r="CA3165">
        <v>51.43</v>
      </c>
      <c r="CB3165">
        <v>17.07</v>
      </c>
      <c r="CC3165">
        <v>51.2</v>
      </c>
      <c r="CD3165">
        <v>38.79</v>
      </c>
      <c r="CE3165">
        <v>38.6</v>
      </c>
      <c r="CF3165">
        <v>38.68</v>
      </c>
      <c r="CG3165">
        <v>190.28</v>
      </c>
      <c r="CH3165">
        <v>303.24</v>
      </c>
      <c r="CI3165">
        <v>203.82</v>
      </c>
      <c r="CJ3165">
        <v>111223</v>
      </c>
      <c r="CK3165">
        <v>11046</v>
      </c>
      <c r="CL3165" t="s">
        <v>401</v>
      </c>
      <c r="CM3165">
        <v>106.46</v>
      </c>
      <c r="CN3165">
        <v>90.31</v>
      </c>
      <c r="CO3165">
        <v>1.61</v>
      </c>
      <c r="CP3165">
        <v>3.68</v>
      </c>
      <c r="CQ3165">
        <v>9.27</v>
      </c>
      <c r="CR3165">
        <v>0.82</v>
      </c>
      <c r="CS3165" t="s">
        <v>13734</v>
      </c>
      <c r="CT3165">
        <v>6.86</v>
      </c>
      <c r="CU3165">
        <v>0</v>
      </c>
      <c r="CV3165">
        <v>2.4700000000000002</v>
      </c>
      <c r="CW3165">
        <v>1.88</v>
      </c>
      <c r="CX3165">
        <v>2.99</v>
      </c>
      <c r="CY3165">
        <v>22.85</v>
      </c>
      <c r="CZ3165" t="s">
        <v>1986</v>
      </c>
      <c r="DA3165" t="s">
        <v>116</v>
      </c>
      <c r="DB3165">
        <v>42.71</v>
      </c>
      <c r="DC3165">
        <v>32.049999999999997</v>
      </c>
      <c r="DD3165">
        <v>0</v>
      </c>
      <c r="DE3165">
        <v>9681</v>
      </c>
      <c r="DF3165">
        <v>601881</v>
      </c>
      <c r="DG3165" t="s">
        <v>116</v>
      </c>
      <c r="DH3165" t="s">
        <v>116</v>
      </c>
      <c r="DI3165" t="s">
        <v>116</v>
      </c>
    </row>
    <row r="3166" spans="1:113" x14ac:dyDescent="0.4">
      <c r="A3166" t="str">
        <f>"601882"</f>
        <v>601882</v>
      </c>
      <c r="B3166" t="s">
        <v>13735</v>
      </c>
      <c r="C3166">
        <v>-0.69</v>
      </c>
      <c r="D3166">
        <v>7.2</v>
      </c>
      <c r="E3166">
        <v>-0.05</v>
      </c>
      <c r="F3166">
        <v>7.2</v>
      </c>
      <c r="G3166">
        <v>7.21</v>
      </c>
      <c r="H3166">
        <v>7601</v>
      </c>
      <c r="I3166">
        <v>68</v>
      </c>
      <c r="J3166">
        <v>0.28000000000000003</v>
      </c>
      <c r="K3166">
        <v>0.15</v>
      </c>
      <c r="L3166">
        <v>7.3</v>
      </c>
      <c r="M3166">
        <v>7.33</v>
      </c>
      <c r="N3166">
        <v>7.16</v>
      </c>
      <c r="O3166">
        <v>7.25</v>
      </c>
      <c r="P3166">
        <v>54.66</v>
      </c>
      <c r="Q3166">
        <v>5502469</v>
      </c>
      <c r="R3166">
        <v>0.93</v>
      </c>
      <c r="S3166" t="s">
        <v>712</v>
      </c>
      <c r="T3166" t="s">
        <v>590</v>
      </c>
      <c r="U3166">
        <v>2.34</v>
      </c>
      <c r="V3166">
        <v>7.24</v>
      </c>
      <c r="W3166">
        <v>5622</v>
      </c>
      <c r="X3166">
        <v>1979</v>
      </c>
      <c r="Y3166">
        <v>2.84</v>
      </c>
      <c r="Z3166">
        <v>57</v>
      </c>
      <c r="AA3166">
        <v>125</v>
      </c>
      <c r="AB3166" t="s">
        <v>116</v>
      </c>
      <c r="AC3166">
        <v>39400</v>
      </c>
      <c r="AD3166">
        <v>0</v>
      </c>
      <c r="AE3166" t="s">
        <v>116</v>
      </c>
      <c r="AF3166" t="s">
        <v>116</v>
      </c>
      <c r="AG3166">
        <v>5.22</v>
      </c>
      <c r="AH3166" t="s">
        <v>4351</v>
      </c>
      <c r="AI3166" t="s">
        <v>4351</v>
      </c>
      <c r="AJ3166">
        <v>-0.61</v>
      </c>
      <c r="AK3166">
        <v>391</v>
      </c>
      <c r="AL3166">
        <v>19</v>
      </c>
      <c r="AM3166">
        <v>4.0000000000000002E-4</v>
      </c>
      <c r="AN3166">
        <v>-2</v>
      </c>
      <c r="AO3166">
        <v>-0.42</v>
      </c>
      <c r="AP3166">
        <v>2.42</v>
      </c>
      <c r="AQ3166">
        <v>-15.59</v>
      </c>
      <c r="AR3166">
        <v>3.15</v>
      </c>
      <c r="AS3166">
        <v>0.6</v>
      </c>
      <c r="AT3166" t="s">
        <v>4139</v>
      </c>
      <c r="AU3166">
        <v>52.83</v>
      </c>
      <c r="AV3166">
        <v>37.03</v>
      </c>
      <c r="AW3166">
        <v>1.1499999999999999</v>
      </c>
      <c r="BA3166">
        <v>0.69</v>
      </c>
      <c r="BB3166">
        <v>1.1000000000000001</v>
      </c>
      <c r="BC3166">
        <v>-1.24</v>
      </c>
      <c r="BD3166">
        <v>-0.15</v>
      </c>
      <c r="BE3166">
        <v>-1.37</v>
      </c>
      <c r="BF3166">
        <v>-1.77</v>
      </c>
      <c r="BG3166">
        <v>0.56000000000000005</v>
      </c>
      <c r="BH3166">
        <v>-0.54</v>
      </c>
      <c r="BI3166">
        <v>20191106</v>
      </c>
      <c r="BJ3166">
        <v>20161107</v>
      </c>
      <c r="BK3166">
        <v>5.22</v>
      </c>
      <c r="BL3166" t="s">
        <v>116</v>
      </c>
      <c r="BM3166" t="s">
        <v>116</v>
      </c>
      <c r="BN3166">
        <v>21.57</v>
      </c>
      <c r="BO3166">
        <v>12.59</v>
      </c>
      <c r="BP3166">
        <v>0</v>
      </c>
      <c r="BQ3166">
        <v>41.62</v>
      </c>
      <c r="BR3166">
        <v>14.09</v>
      </c>
      <c r="BS3166">
        <v>6.36</v>
      </c>
      <c r="BT3166">
        <v>0.75</v>
      </c>
      <c r="BU3166">
        <v>8.0500000000000007</v>
      </c>
      <c r="BV3166">
        <v>6.22</v>
      </c>
      <c r="BW3166">
        <v>0.72</v>
      </c>
      <c r="BX3166">
        <v>2.9</v>
      </c>
      <c r="BY3166">
        <v>8.2200000000000006</v>
      </c>
      <c r="BZ3166">
        <v>6.48</v>
      </c>
      <c r="CA3166">
        <v>0.43</v>
      </c>
      <c r="CB3166">
        <v>0.03</v>
      </c>
      <c r="CC3166">
        <v>0.62</v>
      </c>
      <c r="CD3166">
        <v>0.52</v>
      </c>
      <c r="CE3166">
        <v>0.52</v>
      </c>
      <c r="CF3166">
        <v>0.33</v>
      </c>
      <c r="CG3166">
        <v>3.93</v>
      </c>
      <c r="CH3166">
        <v>1.87</v>
      </c>
      <c r="CI3166">
        <v>0.33</v>
      </c>
      <c r="CJ3166">
        <v>18287</v>
      </c>
      <c r="CK3166">
        <v>6887</v>
      </c>
      <c r="CL3166" t="s">
        <v>1463</v>
      </c>
      <c r="CM3166">
        <v>-37.06</v>
      </c>
      <c r="CN3166">
        <v>-18.489999999999998</v>
      </c>
      <c r="CO3166">
        <v>2.98</v>
      </c>
      <c r="CP3166">
        <v>20.07</v>
      </c>
      <c r="CQ3166">
        <v>4.57</v>
      </c>
      <c r="CR3166">
        <v>0.83</v>
      </c>
      <c r="CS3166" t="s">
        <v>4902</v>
      </c>
      <c r="CT3166">
        <v>2.41</v>
      </c>
      <c r="CU3166">
        <v>0</v>
      </c>
      <c r="CV3166">
        <v>0.56000000000000005</v>
      </c>
      <c r="CW3166">
        <v>0.75</v>
      </c>
      <c r="CX3166">
        <v>0.36</v>
      </c>
      <c r="CY3166">
        <v>58.38</v>
      </c>
      <c r="CZ3166" t="s">
        <v>1396</v>
      </c>
      <c r="DA3166">
        <v>21.21</v>
      </c>
      <c r="DB3166">
        <v>5.24</v>
      </c>
      <c r="DC3166">
        <v>6.27</v>
      </c>
      <c r="DD3166">
        <v>0.45</v>
      </c>
      <c r="DE3166">
        <v>1479</v>
      </c>
      <c r="DF3166">
        <v>601882</v>
      </c>
      <c r="DG3166" t="s">
        <v>116</v>
      </c>
      <c r="DH3166" t="s">
        <v>116</v>
      </c>
      <c r="DI3166" t="s">
        <v>116</v>
      </c>
    </row>
    <row r="3167" spans="1:113" x14ac:dyDescent="0.4">
      <c r="A3167" t="str">
        <f>"601886"</f>
        <v>601886</v>
      </c>
      <c r="B3167" t="s">
        <v>13736</v>
      </c>
      <c r="C3167">
        <v>-0.69</v>
      </c>
      <c r="D3167">
        <v>7.2</v>
      </c>
      <c r="E3167">
        <v>-0.05</v>
      </c>
      <c r="F3167">
        <v>7.2</v>
      </c>
      <c r="G3167">
        <v>7.21</v>
      </c>
      <c r="H3167">
        <v>54568</v>
      </c>
      <c r="I3167">
        <v>623</v>
      </c>
      <c r="J3167">
        <v>0</v>
      </c>
      <c r="K3167">
        <v>0.47</v>
      </c>
      <c r="L3167">
        <v>7.28</v>
      </c>
      <c r="M3167">
        <v>7.31</v>
      </c>
      <c r="N3167">
        <v>7.2</v>
      </c>
      <c r="O3167">
        <v>7.25</v>
      </c>
      <c r="P3167">
        <v>13.38</v>
      </c>
      <c r="Q3167">
        <v>39605536</v>
      </c>
      <c r="R3167">
        <v>0.71</v>
      </c>
      <c r="S3167" t="s">
        <v>3331</v>
      </c>
      <c r="T3167" t="s">
        <v>165</v>
      </c>
      <c r="U3167">
        <v>1.52</v>
      </c>
      <c r="V3167">
        <v>7.26</v>
      </c>
      <c r="W3167">
        <v>33000</v>
      </c>
      <c r="X3167">
        <v>21568</v>
      </c>
      <c r="Y3167">
        <v>1.53</v>
      </c>
      <c r="Z3167">
        <v>508</v>
      </c>
      <c r="AA3167">
        <v>2179</v>
      </c>
      <c r="AB3167" t="s">
        <v>116</v>
      </c>
      <c r="AC3167">
        <v>329800</v>
      </c>
      <c r="AD3167">
        <v>0.01</v>
      </c>
      <c r="AE3167" t="s">
        <v>116</v>
      </c>
      <c r="AF3167" t="s">
        <v>116</v>
      </c>
      <c r="AG3167">
        <v>11.54</v>
      </c>
      <c r="AH3167" t="s">
        <v>13737</v>
      </c>
      <c r="AI3167" t="s">
        <v>13737</v>
      </c>
      <c r="AJ3167">
        <v>-0.61</v>
      </c>
      <c r="AK3167">
        <v>978</v>
      </c>
      <c r="AL3167">
        <v>56</v>
      </c>
      <c r="AM3167">
        <v>5.0000000000000001E-4</v>
      </c>
      <c r="AN3167">
        <v>-1</v>
      </c>
      <c r="AO3167">
        <v>-1.51</v>
      </c>
      <c r="AP3167">
        <v>-4.6399999999999997</v>
      </c>
      <c r="AQ3167">
        <v>-3.49</v>
      </c>
      <c r="AR3167">
        <v>0.14000000000000001</v>
      </c>
      <c r="AS3167">
        <v>1.39</v>
      </c>
      <c r="AT3167" t="s">
        <v>13738</v>
      </c>
      <c r="AU3167">
        <v>13.15</v>
      </c>
      <c r="AV3167">
        <v>13.65</v>
      </c>
      <c r="AW3167">
        <v>0.81</v>
      </c>
      <c r="BA3167">
        <v>0.41</v>
      </c>
      <c r="BB3167">
        <v>0.83</v>
      </c>
      <c r="BC3167">
        <v>-0.69</v>
      </c>
      <c r="BD3167">
        <v>0.11</v>
      </c>
      <c r="BE3167">
        <v>-1.1000000000000001</v>
      </c>
      <c r="BF3167">
        <v>-1.5</v>
      </c>
      <c r="BG3167">
        <v>0</v>
      </c>
      <c r="BH3167">
        <v>-0.8</v>
      </c>
      <c r="BI3167">
        <v>20191212</v>
      </c>
      <c r="BJ3167">
        <v>20110818</v>
      </c>
      <c r="BK3167">
        <v>11.54</v>
      </c>
      <c r="BL3167" t="s">
        <v>116</v>
      </c>
      <c r="BM3167" t="s">
        <v>116</v>
      </c>
      <c r="BN3167">
        <v>276.99</v>
      </c>
      <c r="BO3167">
        <v>81.22</v>
      </c>
      <c r="BP3167">
        <v>12.44</v>
      </c>
      <c r="BQ3167">
        <v>66.19</v>
      </c>
      <c r="BR3167">
        <v>216.91</v>
      </c>
      <c r="BS3167">
        <v>10.59</v>
      </c>
      <c r="BT3167">
        <v>7.99</v>
      </c>
      <c r="BU3167">
        <v>173.71</v>
      </c>
      <c r="BV3167">
        <v>24.89</v>
      </c>
      <c r="BW3167">
        <v>125.79</v>
      </c>
      <c r="BX3167">
        <v>40.46</v>
      </c>
      <c r="BY3167">
        <v>123.98</v>
      </c>
      <c r="BZ3167">
        <v>102.84</v>
      </c>
      <c r="CA3167">
        <v>7.14</v>
      </c>
      <c r="CB3167">
        <v>0.45</v>
      </c>
      <c r="CC3167">
        <v>6.68</v>
      </c>
      <c r="CD3167">
        <v>5.67</v>
      </c>
      <c r="CE3167">
        <v>4.66</v>
      </c>
      <c r="CF3167">
        <v>4.84</v>
      </c>
      <c r="CG3167">
        <v>27.43</v>
      </c>
      <c r="CH3167">
        <v>-12.72</v>
      </c>
      <c r="CI3167">
        <v>-14.76</v>
      </c>
      <c r="CJ3167">
        <v>23111</v>
      </c>
      <c r="CK3167">
        <v>17003</v>
      </c>
      <c r="CL3167" t="s">
        <v>1984</v>
      </c>
      <c r="CM3167">
        <v>5.27</v>
      </c>
      <c r="CN3167">
        <v>12</v>
      </c>
      <c r="CO3167">
        <v>1.02</v>
      </c>
      <c r="CP3167">
        <v>-6.53</v>
      </c>
      <c r="CQ3167">
        <v>0.67</v>
      </c>
      <c r="CR3167">
        <v>4.09</v>
      </c>
      <c r="CS3167" t="s">
        <v>13024</v>
      </c>
      <c r="CT3167">
        <v>7.04</v>
      </c>
      <c r="CU3167">
        <v>0</v>
      </c>
      <c r="CV3167">
        <v>3.51</v>
      </c>
      <c r="CW3167">
        <v>2.38</v>
      </c>
      <c r="CX3167">
        <v>-1.1000000000000001</v>
      </c>
      <c r="CY3167">
        <v>29.32</v>
      </c>
      <c r="CZ3167" t="s">
        <v>513</v>
      </c>
      <c r="DA3167">
        <v>17.05</v>
      </c>
      <c r="DB3167">
        <v>5.76</v>
      </c>
      <c r="DC3167">
        <v>3.76</v>
      </c>
      <c r="DD3167">
        <v>3.06</v>
      </c>
      <c r="DE3167">
        <v>7734</v>
      </c>
      <c r="DF3167">
        <v>601886</v>
      </c>
      <c r="DG3167" t="s">
        <v>116</v>
      </c>
      <c r="DH3167" t="s">
        <v>116</v>
      </c>
      <c r="DI3167" t="s">
        <v>116</v>
      </c>
    </row>
    <row r="3168" spans="1:113" x14ac:dyDescent="0.4">
      <c r="A3168" t="str">
        <f>"601888"</f>
        <v>601888</v>
      </c>
      <c r="B3168" t="s">
        <v>13739</v>
      </c>
      <c r="C3168">
        <v>-0.05</v>
      </c>
      <c r="D3168">
        <v>88.12</v>
      </c>
      <c r="E3168">
        <v>-0.04</v>
      </c>
      <c r="F3168">
        <v>88.12</v>
      </c>
      <c r="G3168">
        <v>88.13</v>
      </c>
      <c r="H3168">
        <v>60131</v>
      </c>
      <c r="I3168">
        <v>378</v>
      </c>
      <c r="J3168">
        <v>-7.0000000000000007E-2</v>
      </c>
      <c r="K3168">
        <v>0.31</v>
      </c>
      <c r="L3168">
        <v>88.57</v>
      </c>
      <c r="M3168">
        <v>89.77</v>
      </c>
      <c r="N3168">
        <v>88</v>
      </c>
      <c r="O3168">
        <v>88.16</v>
      </c>
      <c r="P3168">
        <v>30.76</v>
      </c>
      <c r="Q3168">
        <v>534452288</v>
      </c>
      <c r="R3168">
        <v>0.88</v>
      </c>
      <c r="S3168" t="s">
        <v>1412</v>
      </c>
      <c r="T3168" t="s">
        <v>165</v>
      </c>
      <c r="U3168">
        <v>2.0099999999999998</v>
      </c>
      <c r="V3168">
        <v>88.88</v>
      </c>
      <c r="W3168">
        <v>25251</v>
      </c>
      <c r="X3168">
        <v>34880</v>
      </c>
      <c r="Y3168">
        <v>0.72</v>
      </c>
      <c r="Z3168">
        <v>180</v>
      </c>
      <c r="AA3168">
        <v>11</v>
      </c>
      <c r="AB3168" t="s">
        <v>116</v>
      </c>
      <c r="AC3168">
        <v>3923700</v>
      </c>
      <c r="AD3168">
        <v>0</v>
      </c>
      <c r="AE3168" t="s">
        <v>116</v>
      </c>
      <c r="AF3168" t="s">
        <v>116</v>
      </c>
      <c r="AG3168">
        <v>19.52</v>
      </c>
      <c r="AH3168" t="s">
        <v>13740</v>
      </c>
      <c r="AI3168" t="s">
        <v>13740</v>
      </c>
      <c r="AJ3168">
        <v>0.03</v>
      </c>
      <c r="AK3168">
        <v>3736</v>
      </c>
      <c r="AL3168">
        <v>16</v>
      </c>
      <c r="AM3168">
        <v>1E-4</v>
      </c>
      <c r="AN3168">
        <v>-1</v>
      </c>
      <c r="AO3168">
        <v>1.04</v>
      </c>
      <c r="AP3168">
        <v>5.16</v>
      </c>
      <c r="AQ3168">
        <v>-5.26</v>
      </c>
      <c r="AR3168">
        <v>47.73</v>
      </c>
      <c r="AS3168">
        <v>0.66</v>
      </c>
      <c r="AT3168" t="s">
        <v>13741</v>
      </c>
      <c r="AU3168">
        <v>37.520000000000003</v>
      </c>
      <c r="AV3168">
        <v>55.59</v>
      </c>
      <c r="AW3168">
        <v>0.68</v>
      </c>
      <c r="BA3168">
        <v>0.47</v>
      </c>
      <c r="BB3168">
        <v>1.83</v>
      </c>
      <c r="BC3168">
        <v>-0.18</v>
      </c>
      <c r="BD3168">
        <v>0.82</v>
      </c>
      <c r="BE3168">
        <v>-0.51</v>
      </c>
      <c r="BF3168">
        <v>-1.84</v>
      </c>
      <c r="BG3168">
        <v>0.14000000000000001</v>
      </c>
      <c r="BH3168">
        <v>-0.86</v>
      </c>
      <c r="BI3168">
        <v>20191030</v>
      </c>
      <c r="BJ3168">
        <v>20091015</v>
      </c>
      <c r="BK3168">
        <v>19.52</v>
      </c>
      <c r="BL3168" t="s">
        <v>116</v>
      </c>
      <c r="BM3168" t="s">
        <v>116</v>
      </c>
      <c r="BN3168">
        <v>291.94</v>
      </c>
      <c r="BO3168">
        <v>194.78</v>
      </c>
      <c r="BP3168">
        <v>28.01</v>
      </c>
      <c r="BQ3168">
        <v>23.69</v>
      </c>
      <c r="BR3168">
        <v>212.93</v>
      </c>
      <c r="BS3168">
        <v>16.62</v>
      </c>
      <c r="BT3168">
        <v>27.04</v>
      </c>
      <c r="BU3168">
        <v>65.88</v>
      </c>
      <c r="BV3168">
        <v>69.03</v>
      </c>
      <c r="BW3168">
        <v>6.46</v>
      </c>
      <c r="BX3168">
        <v>38.44</v>
      </c>
      <c r="BY3168">
        <v>355.84</v>
      </c>
      <c r="BZ3168">
        <v>173.8</v>
      </c>
      <c r="CA3168">
        <v>64.150000000000006</v>
      </c>
      <c r="CB3168">
        <v>9.51</v>
      </c>
      <c r="CC3168">
        <v>64.69</v>
      </c>
      <c r="CD3168">
        <v>49.29</v>
      </c>
      <c r="CE3168">
        <v>41.96</v>
      </c>
      <c r="CF3168">
        <v>34.17</v>
      </c>
      <c r="CG3168">
        <v>127.56</v>
      </c>
      <c r="CH3168">
        <v>35.89</v>
      </c>
      <c r="CI3168">
        <v>10.27</v>
      </c>
      <c r="CJ3168">
        <v>37914</v>
      </c>
      <c r="CK3168">
        <v>24050</v>
      </c>
      <c r="CL3168" t="s">
        <v>13742</v>
      </c>
      <c r="CM3168">
        <v>55.09</v>
      </c>
      <c r="CN3168">
        <v>4.3499999999999996</v>
      </c>
      <c r="CO3168">
        <v>8.83</v>
      </c>
      <c r="CP3168">
        <v>47.95</v>
      </c>
      <c r="CQ3168">
        <v>4.84</v>
      </c>
      <c r="CR3168">
        <v>0.62</v>
      </c>
      <c r="CS3168" t="s">
        <v>13743</v>
      </c>
      <c r="CT3168">
        <v>9.98</v>
      </c>
      <c r="CU3168">
        <v>0</v>
      </c>
      <c r="CV3168">
        <v>1.97</v>
      </c>
      <c r="CW3168">
        <v>6.53</v>
      </c>
      <c r="CX3168">
        <v>1.84</v>
      </c>
      <c r="CY3168">
        <v>66.72</v>
      </c>
      <c r="CZ3168" t="s">
        <v>13744</v>
      </c>
      <c r="DA3168">
        <v>51.16</v>
      </c>
      <c r="DB3168">
        <v>18.03</v>
      </c>
      <c r="DC3168">
        <v>11.79</v>
      </c>
      <c r="DD3168">
        <v>0</v>
      </c>
      <c r="DE3168">
        <v>18051</v>
      </c>
      <c r="DF3168">
        <v>601888</v>
      </c>
      <c r="DG3168" t="s">
        <v>116</v>
      </c>
      <c r="DH3168" t="s">
        <v>116</v>
      </c>
      <c r="DI3168" t="s">
        <v>116</v>
      </c>
    </row>
    <row r="3169" spans="1:113" x14ac:dyDescent="0.4">
      <c r="A3169" t="str">
        <f>"601890"</f>
        <v>601890</v>
      </c>
      <c r="B3169" t="s">
        <v>13745</v>
      </c>
      <c r="C3169">
        <v>0.18</v>
      </c>
      <c r="D3169">
        <v>5.66</v>
      </c>
      <c r="E3169">
        <v>0.01</v>
      </c>
      <c r="F3169">
        <v>5.66</v>
      </c>
      <c r="G3169">
        <v>5.67</v>
      </c>
      <c r="H3169">
        <v>102168</v>
      </c>
      <c r="I3169">
        <v>970</v>
      </c>
      <c r="J3169">
        <v>0</v>
      </c>
      <c r="K3169">
        <v>1.06</v>
      </c>
      <c r="L3169">
        <v>5.65</v>
      </c>
      <c r="M3169">
        <v>5.72</v>
      </c>
      <c r="N3169">
        <v>5.65</v>
      </c>
      <c r="O3169">
        <v>5.65</v>
      </c>
      <c r="P3169">
        <v>58.26</v>
      </c>
      <c r="Q3169">
        <v>58148608</v>
      </c>
      <c r="R3169">
        <v>1.3</v>
      </c>
      <c r="S3169" t="s">
        <v>7623</v>
      </c>
      <c r="T3169" t="s">
        <v>323</v>
      </c>
      <c r="U3169">
        <v>1.24</v>
      </c>
      <c r="V3169">
        <v>5.69</v>
      </c>
      <c r="W3169">
        <v>51110</v>
      </c>
      <c r="X3169">
        <v>51058</v>
      </c>
      <c r="Y3169">
        <v>1</v>
      </c>
      <c r="Z3169">
        <v>706</v>
      </c>
      <c r="AA3169">
        <v>756</v>
      </c>
      <c r="AB3169" t="s">
        <v>116</v>
      </c>
      <c r="AC3169">
        <v>28300</v>
      </c>
      <c r="AD3169">
        <v>0</v>
      </c>
      <c r="AE3169" t="s">
        <v>116</v>
      </c>
      <c r="AF3169" t="s">
        <v>116</v>
      </c>
      <c r="AG3169">
        <v>9.59</v>
      </c>
      <c r="AH3169" t="s">
        <v>11914</v>
      </c>
      <c r="AI3169" t="s">
        <v>11914</v>
      </c>
      <c r="AJ3169">
        <v>0.25</v>
      </c>
      <c r="AK3169">
        <v>1787</v>
      </c>
      <c r="AL3169">
        <v>57</v>
      </c>
      <c r="AM3169">
        <v>5.9999999999999995E-4</v>
      </c>
      <c r="AN3169">
        <v>2</v>
      </c>
      <c r="AO3169">
        <v>0.19</v>
      </c>
      <c r="AP3169">
        <v>3.66</v>
      </c>
      <c r="AQ3169">
        <v>-4.55</v>
      </c>
      <c r="AR3169">
        <v>60.8</v>
      </c>
      <c r="AS3169">
        <v>1.7</v>
      </c>
      <c r="AT3169" t="s">
        <v>12216</v>
      </c>
      <c r="AU3169">
        <v>90.03</v>
      </c>
      <c r="AV3169" t="s">
        <v>116</v>
      </c>
      <c r="AW3169">
        <v>1.1499999999999999</v>
      </c>
      <c r="BA3169">
        <v>0</v>
      </c>
      <c r="BB3169">
        <v>1.24</v>
      </c>
      <c r="BC3169">
        <v>0</v>
      </c>
      <c r="BD3169">
        <v>0.73</v>
      </c>
      <c r="BE3169">
        <v>0.18</v>
      </c>
      <c r="BF3169">
        <v>-1.05</v>
      </c>
      <c r="BG3169">
        <v>0.18</v>
      </c>
      <c r="BH3169">
        <v>-0.56000000000000005</v>
      </c>
      <c r="BI3169">
        <v>20191031</v>
      </c>
      <c r="BJ3169">
        <v>20101228</v>
      </c>
      <c r="BK3169">
        <v>9.59</v>
      </c>
      <c r="BL3169" t="s">
        <v>116</v>
      </c>
      <c r="BM3169" t="s">
        <v>116</v>
      </c>
      <c r="BN3169">
        <v>39.56</v>
      </c>
      <c r="BO3169">
        <v>29.75</v>
      </c>
      <c r="BP3169">
        <v>0.92</v>
      </c>
      <c r="BQ3169">
        <v>22.45</v>
      </c>
      <c r="BR3169">
        <v>30.73</v>
      </c>
      <c r="BS3169">
        <v>5.91</v>
      </c>
      <c r="BT3169">
        <v>1.54</v>
      </c>
      <c r="BU3169">
        <v>5</v>
      </c>
      <c r="BV3169">
        <v>6.79</v>
      </c>
      <c r="BW3169">
        <v>4.1100000000000003</v>
      </c>
      <c r="BX3169">
        <v>13.85</v>
      </c>
      <c r="BY3169">
        <v>9.57</v>
      </c>
      <c r="BZ3169">
        <v>7.11</v>
      </c>
      <c r="CA3169">
        <v>0.81</v>
      </c>
      <c r="CB3169">
        <v>0.26</v>
      </c>
      <c r="CC3169">
        <v>0.83</v>
      </c>
      <c r="CD3169">
        <v>0.7</v>
      </c>
      <c r="CE3169">
        <v>0.7</v>
      </c>
      <c r="CF3169">
        <v>0.47</v>
      </c>
      <c r="CG3169">
        <v>5.56</v>
      </c>
      <c r="CH3169">
        <v>-0.01</v>
      </c>
      <c r="CI3169">
        <v>0.48</v>
      </c>
      <c r="CJ3169">
        <v>144236</v>
      </c>
      <c r="CK3169">
        <v>4160</v>
      </c>
      <c r="CL3169" t="s">
        <v>13746</v>
      </c>
      <c r="CM3169">
        <v>1471.78</v>
      </c>
      <c r="CN3169">
        <v>27.15</v>
      </c>
      <c r="CO3169">
        <v>1.83</v>
      </c>
      <c r="CP3169">
        <v>-6653.03</v>
      </c>
      <c r="CQ3169">
        <v>5.67</v>
      </c>
      <c r="CR3169">
        <v>0</v>
      </c>
      <c r="CS3169" t="s">
        <v>1012</v>
      </c>
      <c r="CT3169">
        <v>3.1</v>
      </c>
      <c r="CU3169">
        <v>0</v>
      </c>
      <c r="CV3169">
        <v>1.44</v>
      </c>
      <c r="CW3169">
        <v>0.57999999999999996</v>
      </c>
      <c r="CX3169">
        <v>0</v>
      </c>
      <c r="CY3169">
        <v>75.209999999999994</v>
      </c>
      <c r="CZ3169" t="s">
        <v>13747</v>
      </c>
      <c r="DA3169">
        <v>25.75</v>
      </c>
      <c r="DB3169">
        <v>8.49</v>
      </c>
      <c r="DC3169">
        <v>7.3</v>
      </c>
      <c r="DD3169">
        <v>0.41</v>
      </c>
      <c r="DE3169">
        <v>1707</v>
      </c>
      <c r="DF3169">
        <v>601890</v>
      </c>
      <c r="DG3169" t="s">
        <v>116</v>
      </c>
      <c r="DH3169" t="s">
        <v>116</v>
      </c>
      <c r="DI3169" t="s">
        <v>116</v>
      </c>
    </row>
    <row r="3170" spans="1:113" x14ac:dyDescent="0.4">
      <c r="A3170" t="str">
        <f>"601898"</f>
        <v>601898</v>
      </c>
      <c r="B3170" t="s">
        <v>13748</v>
      </c>
      <c r="C3170">
        <v>0.82</v>
      </c>
      <c r="D3170">
        <v>4.9000000000000004</v>
      </c>
      <c r="E3170">
        <v>0.04</v>
      </c>
      <c r="F3170">
        <v>4.9000000000000004</v>
      </c>
      <c r="G3170">
        <v>4.91</v>
      </c>
      <c r="H3170">
        <v>243785</v>
      </c>
      <c r="I3170">
        <v>1442</v>
      </c>
      <c r="J3170">
        <v>-0.19</v>
      </c>
      <c r="K3170">
        <v>0.27</v>
      </c>
      <c r="L3170">
        <v>4.84</v>
      </c>
      <c r="M3170">
        <v>4.9800000000000004</v>
      </c>
      <c r="N3170">
        <v>4.83</v>
      </c>
      <c r="O3170">
        <v>4.8600000000000003</v>
      </c>
      <c r="P3170">
        <v>8.4600000000000009</v>
      </c>
      <c r="Q3170">
        <v>119940240</v>
      </c>
      <c r="R3170">
        <v>2.5</v>
      </c>
      <c r="S3170" t="s">
        <v>1121</v>
      </c>
      <c r="T3170" t="s">
        <v>165</v>
      </c>
      <c r="U3170">
        <v>3.09</v>
      </c>
      <c r="V3170">
        <v>4.92</v>
      </c>
      <c r="W3170">
        <v>83344</v>
      </c>
      <c r="X3170">
        <v>160441</v>
      </c>
      <c r="Y3170">
        <v>0.52</v>
      </c>
      <c r="Z3170">
        <v>1339</v>
      </c>
      <c r="AA3170">
        <v>824</v>
      </c>
      <c r="AB3170" t="s">
        <v>116</v>
      </c>
      <c r="AC3170">
        <v>244900</v>
      </c>
      <c r="AD3170">
        <v>0</v>
      </c>
      <c r="AE3170" t="s">
        <v>116</v>
      </c>
      <c r="AF3170" t="s">
        <v>116</v>
      </c>
      <c r="AG3170">
        <v>91.52</v>
      </c>
      <c r="AH3170" t="s">
        <v>13749</v>
      </c>
      <c r="AI3170" t="s">
        <v>13749</v>
      </c>
      <c r="AJ3170">
        <v>0.9</v>
      </c>
      <c r="AK3170">
        <v>3278</v>
      </c>
      <c r="AL3170">
        <v>74</v>
      </c>
      <c r="AM3170">
        <v>1E-4</v>
      </c>
      <c r="AN3170">
        <v>2</v>
      </c>
      <c r="AO3170">
        <v>0.2</v>
      </c>
      <c r="AP3170">
        <v>0.41</v>
      </c>
      <c r="AQ3170">
        <v>2.5099999999999998</v>
      </c>
      <c r="AR3170">
        <v>7.17</v>
      </c>
      <c r="AS3170">
        <v>1.58</v>
      </c>
      <c r="AT3170" t="s">
        <v>13750</v>
      </c>
      <c r="AU3170">
        <v>12.66</v>
      </c>
      <c r="AV3170">
        <v>18.920000000000002</v>
      </c>
      <c r="AW3170">
        <v>0.9</v>
      </c>
      <c r="BA3170">
        <v>-0.41</v>
      </c>
      <c r="BB3170">
        <v>2.4700000000000002</v>
      </c>
      <c r="BC3170">
        <v>-0.62</v>
      </c>
      <c r="BD3170">
        <v>1.23</v>
      </c>
      <c r="BE3170">
        <v>1.24</v>
      </c>
      <c r="BF3170">
        <v>-1.61</v>
      </c>
      <c r="BG3170">
        <v>1.45</v>
      </c>
      <c r="BH3170">
        <v>-0.41</v>
      </c>
      <c r="BI3170">
        <v>20191029</v>
      </c>
      <c r="BJ3170">
        <v>20080201</v>
      </c>
      <c r="BK3170">
        <v>132.59</v>
      </c>
      <c r="BL3170" t="s">
        <v>116</v>
      </c>
      <c r="BM3170">
        <v>41.07</v>
      </c>
      <c r="BN3170">
        <v>2766.79</v>
      </c>
      <c r="BO3170">
        <v>976.21</v>
      </c>
      <c r="BP3170">
        <v>215.7</v>
      </c>
      <c r="BQ3170">
        <v>56.92</v>
      </c>
      <c r="BR3170">
        <v>635.6</v>
      </c>
      <c r="BS3170">
        <v>1106.8699999999999</v>
      </c>
      <c r="BT3170">
        <v>440.06</v>
      </c>
      <c r="BU3170">
        <v>866.75</v>
      </c>
      <c r="BV3170">
        <v>75.84</v>
      </c>
      <c r="BW3170">
        <v>87.05</v>
      </c>
      <c r="BX3170">
        <v>389.18</v>
      </c>
      <c r="BY3170">
        <v>942.39</v>
      </c>
      <c r="BZ3170">
        <v>651.57000000000005</v>
      </c>
      <c r="CA3170">
        <v>114.69</v>
      </c>
      <c r="CB3170">
        <v>20.29</v>
      </c>
      <c r="CC3170">
        <v>116.61</v>
      </c>
      <c r="CD3170">
        <v>87.63</v>
      </c>
      <c r="CE3170">
        <v>57.61</v>
      </c>
      <c r="CF3170">
        <v>55.72</v>
      </c>
      <c r="CG3170">
        <v>369.76</v>
      </c>
      <c r="CH3170">
        <v>169.06</v>
      </c>
      <c r="CI3170">
        <v>66.11</v>
      </c>
      <c r="CJ3170">
        <v>153317</v>
      </c>
      <c r="CK3170">
        <v>10089</v>
      </c>
      <c r="CL3170" t="s">
        <v>6728</v>
      </c>
      <c r="CM3170">
        <v>41.76</v>
      </c>
      <c r="CN3170">
        <v>22.17</v>
      </c>
      <c r="CO3170">
        <v>0.67</v>
      </c>
      <c r="CP3170">
        <v>3.84</v>
      </c>
      <c r="CQ3170">
        <v>0.69</v>
      </c>
      <c r="CR3170">
        <v>1.59</v>
      </c>
      <c r="CS3170" t="s">
        <v>13751</v>
      </c>
      <c r="CT3170">
        <v>7.36</v>
      </c>
      <c r="CU3170">
        <v>0</v>
      </c>
      <c r="CV3170">
        <v>2.94</v>
      </c>
      <c r="CW3170">
        <v>2.79</v>
      </c>
      <c r="CX3170">
        <v>1.28</v>
      </c>
      <c r="CY3170">
        <v>35.28</v>
      </c>
      <c r="CZ3170" t="s">
        <v>3138</v>
      </c>
      <c r="DA3170">
        <v>30.86</v>
      </c>
      <c r="DB3170">
        <v>12.17</v>
      </c>
      <c r="DC3170">
        <v>6.11</v>
      </c>
      <c r="DD3170">
        <v>1.56</v>
      </c>
      <c r="DE3170">
        <v>42194</v>
      </c>
      <c r="DF3170">
        <v>601898</v>
      </c>
      <c r="DG3170" t="s">
        <v>116</v>
      </c>
      <c r="DH3170" t="s">
        <v>116</v>
      </c>
      <c r="DI3170" t="s">
        <v>116</v>
      </c>
    </row>
    <row r="3171" spans="1:113" x14ac:dyDescent="0.4">
      <c r="A3171" t="str">
        <f>"601899"</f>
        <v>601899</v>
      </c>
      <c r="B3171" t="s">
        <v>13752</v>
      </c>
      <c r="C3171">
        <v>6.44</v>
      </c>
      <c r="D3171">
        <v>4.46</v>
      </c>
      <c r="E3171">
        <v>0.27</v>
      </c>
      <c r="F3171">
        <v>4.45</v>
      </c>
      <c r="G3171">
        <v>4.46</v>
      </c>
      <c r="H3171">
        <v>4768127</v>
      </c>
      <c r="I3171">
        <v>23881</v>
      </c>
      <c r="J3171">
        <v>0</v>
      </c>
      <c r="K3171">
        <v>2.48</v>
      </c>
      <c r="L3171">
        <v>4.1900000000000004</v>
      </c>
      <c r="M3171">
        <v>4.6100000000000003</v>
      </c>
      <c r="N3171">
        <v>4.1900000000000004</v>
      </c>
      <c r="O3171">
        <v>4.1900000000000004</v>
      </c>
      <c r="P3171">
        <v>28.24</v>
      </c>
      <c r="Q3171">
        <v>2114576128</v>
      </c>
      <c r="R3171">
        <v>2.68</v>
      </c>
      <c r="S3171" t="s">
        <v>871</v>
      </c>
      <c r="T3171" t="s">
        <v>975</v>
      </c>
      <c r="U3171">
        <v>10.02</v>
      </c>
      <c r="V3171">
        <v>4.43</v>
      </c>
      <c r="W3171">
        <v>2122492</v>
      </c>
      <c r="X3171">
        <v>2645635</v>
      </c>
      <c r="Y3171">
        <v>0.8</v>
      </c>
      <c r="Z3171">
        <v>29564</v>
      </c>
      <c r="AA3171">
        <v>1510</v>
      </c>
      <c r="AB3171" t="s">
        <v>116</v>
      </c>
      <c r="AC3171">
        <v>2560500</v>
      </c>
      <c r="AD3171">
        <v>0</v>
      </c>
      <c r="AE3171" t="s">
        <v>116</v>
      </c>
      <c r="AF3171" t="s">
        <v>116</v>
      </c>
      <c r="AG3171">
        <v>192.22</v>
      </c>
      <c r="AH3171" t="s">
        <v>13753</v>
      </c>
      <c r="AI3171" t="s">
        <v>13754</v>
      </c>
      <c r="AJ3171">
        <v>6.52</v>
      </c>
      <c r="AK3171">
        <v>4711</v>
      </c>
      <c r="AL3171">
        <v>1012</v>
      </c>
      <c r="AM3171">
        <v>5.0000000000000001E-4</v>
      </c>
      <c r="AN3171">
        <v>4</v>
      </c>
      <c r="AO3171">
        <v>8.26</v>
      </c>
      <c r="AP3171">
        <v>25.28</v>
      </c>
      <c r="AQ3171">
        <v>35.56</v>
      </c>
      <c r="AR3171">
        <v>37.65</v>
      </c>
      <c r="AS3171">
        <v>3.52</v>
      </c>
      <c r="AT3171" t="s">
        <v>13755</v>
      </c>
      <c r="AU3171">
        <v>30.2</v>
      </c>
      <c r="AV3171">
        <v>27.65</v>
      </c>
      <c r="AW3171">
        <v>0.93</v>
      </c>
      <c r="BA3171">
        <v>0</v>
      </c>
      <c r="BB3171">
        <v>10.02</v>
      </c>
      <c r="BC3171">
        <v>0</v>
      </c>
      <c r="BD3171">
        <v>5.84</v>
      </c>
      <c r="BE3171">
        <v>6.44</v>
      </c>
      <c r="BF3171">
        <v>-3.25</v>
      </c>
      <c r="BG3171">
        <v>6.44</v>
      </c>
      <c r="BH3171">
        <v>0.6</v>
      </c>
      <c r="BI3171">
        <v>20191128</v>
      </c>
      <c r="BJ3171">
        <v>20080425</v>
      </c>
      <c r="BK3171">
        <v>253.77</v>
      </c>
      <c r="BL3171" t="s">
        <v>116</v>
      </c>
      <c r="BM3171">
        <v>57.37</v>
      </c>
      <c r="BN3171">
        <v>1175.4000000000001</v>
      </c>
      <c r="BO3171">
        <v>416.43</v>
      </c>
      <c r="BP3171">
        <v>60.79</v>
      </c>
      <c r="BQ3171">
        <v>59.4</v>
      </c>
      <c r="BR3171">
        <v>296.23</v>
      </c>
      <c r="BS3171">
        <v>355.6</v>
      </c>
      <c r="BT3171">
        <v>223.86</v>
      </c>
      <c r="BU3171">
        <v>368.25</v>
      </c>
      <c r="BV3171">
        <v>145.72999999999999</v>
      </c>
      <c r="BW3171">
        <v>10.01</v>
      </c>
      <c r="BX3171">
        <v>109.86</v>
      </c>
      <c r="BY3171">
        <v>1016.27</v>
      </c>
      <c r="BZ3171">
        <v>901.02</v>
      </c>
      <c r="CA3171">
        <v>50.7</v>
      </c>
      <c r="CB3171">
        <v>0.9</v>
      </c>
      <c r="CC3171">
        <v>48.62</v>
      </c>
      <c r="CD3171">
        <v>35.75</v>
      </c>
      <c r="CE3171">
        <v>30.06</v>
      </c>
      <c r="CF3171">
        <v>27.53</v>
      </c>
      <c r="CG3171">
        <v>229.61</v>
      </c>
      <c r="CH3171">
        <v>60.57</v>
      </c>
      <c r="CI3171">
        <v>-35.78</v>
      </c>
      <c r="CJ3171">
        <v>676158</v>
      </c>
      <c r="CK3171">
        <v>20040</v>
      </c>
      <c r="CL3171" t="s">
        <v>8723</v>
      </c>
      <c r="CM3171">
        <v>-10.34</v>
      </c>
      <c r="CN3171">
        <v>33.42</v>
      </c>
      <c r="CO3171">
        <v>2.8</v>
      </c>
      <c r="CP3171">
        <v>18.690000000000001</v>
      </c>
      <c r="CQ3171">
        <v>1.1100000000000001</v>
      </c>
      <c r="CR3171">
        <v>2.0299999999999998</v>
      </c>
      <c r="CS3171" t="s">
        <v>2655</v>
      </c>
      <c r="CT3171">
        <v>1.59</v>
      </c>
      <c r="CU3171">
        <v>1.59</v>
      </c>
      <c r="CV3171">
        <v>0.43</v>
      </c>
      <c r="CW3171">
        <v>0.9</v>
      </c>
      <c r="CX3171">
        <v>0.24</v>
      </c>
      <c r="CY3171">
        <v>35.43</v>
      </c>
      <c r="CZ3171" t="s">
        <v>13756</v>
      </c>
      <c r="DA3171">
        <v>11.34</v>
      </c>
      <c r="DB3171">
        <v>4.99</v>
      </c>
      <c r="DC3171">
        <v>2.96</v>
      </c>
      <c r="DD3171">
        <v>2.81</v>
      </c>
      <c r="DE3171">
        <v>19226</v>
      </c>
      <c r="DF3171">
        <v>601899</v>
      </c>
      <c r="DG3171" t="s">
        <v>116</v>
      </c>
      <c r="DH3171" t="s">
        <v>116</v>
      </c>
      <c r="DI3171" t="s">
        <v>116</v>
      </c>
    </row>
    <row r="3172" spans="1:113" x14ac:dyDescent="0.4">
      <c r="A3172" t="str">
        <f>"601900"</f>
        <v>601900</v>
      </c>
      <c r="B3172" t="s">
        <v>13757</v>
      </c>
      <c r="C3172">
        <v>0</v>
      </c>
      <c r="D3172">
        <v>9.15</v>
      </c>
      <c r="E3172">
        <v>0</v>
      </c>
      <c r="F3172">
        <v>9.14</v>
      </c>
      <c r="G3172">
        <v>9.15</v>
      </c>
      <c r="H3172">
        <v>25060</v>
      </c>
      <c r="I3172">
        <v>321</v>
      </c>
      <c r="J3172">
        <v>0.11</v>
      </c>
      <c r="K3172">
        <v>0.28000000000000003</v>
      </c>
      <c r="L3172">
        <v>9.16</v>
      </c>
      <c r="M3172">
        <v>9.24</v>
      </c>
      <c r="N3172">
        <v>9.1</v>
      </c>
      <c r="O3172">
        <v>9.15</v>
      </c>
      <c r="P3172">
        <v>10.119999999999999</v>
      </c>
      <c r="Q3172">
        <v>22955176</v>
      </c>
      <c r="R3172">
        <v>0.96</v>
      </c>
      <c r="S3172" t="s">
        <v>1902</v>
      </c>
      <c r="T3172" t="s">
        <v>551</v>
      </c>
      <c r="U3172">
        <v>1.53</v>
      </c>
      <c r="V3172">
        <v>9.16</v>
      </c>
      <c r="W3172">
        <v>12002</v>
      </c>
      <c r="X3172">
        <v>13058</v>
      </c>
      <c r="Y3172">
        <v>0.92</v>
      </c>
      <c r="Z3172">
        <v>132</v>
      </c>
      <c r="AA3172">
        <v>127</v>
      </c>
      <c r="AB3172" t="s">
        <v>116</v>
      </c>
      <c r="AC3172">
        <v>47600</v>
      </c>
      <c r="AD3172">
        <v>0</v>
      </c>
      <c r="AE3172" t="s">
        <v>116</v>
      </c>
      <c r="AF3172" t="s">
        <v>116</v>
      </c>
      <c r="AG3172">
        <v>8.89</v>
      </c>
      <c r="AH3172" t="s">
        <v>13758</v>
      </c>
      <c r="AI3172" t="s">
        <v>13759</v>
      </c>
      <c r="AJ3172">
        <v>0.08</v>
      </c>
      <c r="AK3172">
        <v>964</v>
      </c>
      <c r="AL3172">
        <v>26</v>
      </c>
      <c r="AM3172">
        <v>2.9999999999999997E-4</v>
      </c>
      <c r="AN3172">
        <v>0</v>
      </c>
      <c r="AO3172">
        <v>0.66</v>
      </c>
      <c r="AP3172">
        <v>4.57</v>
      </c>
      <c r="AQ3172">
        <v>5.41</v>
      </c>
      <c r="AR3172">
        <v>11.59</v>
      </c>
      <c r="AS3172">
        <v>0.95</v>
      </c>
      <c r="AT3172" t="s">
        <v>749</v>
      </c>
      <c r="AU3172">
        <v>10.52</v>
      </c>
      <c r="AV3172">
        <v>12.51</v>
      </c>
      <c r="AW3172">
        <v>0.76</v>
      </c>
      <c r="BA3172">
        <v>0.11</v>
      </c>
      <c r="BB3172">
        <v>0.98</v>
      </c>
      <c r="BC3172">
        <v>-0.55000000000000004</v>
      </c>
      <c r="BD3172">
        <v>0.11</v>
      </c>
      <c r="BE3172">
        <v>-0.11</v>
      </c>
      <c r="BF3172">
        <v>-0.97</v>
      </c>
      <c r="BG3172">
        <v>0.55000000000000004</v>
      </c>
      <c r="BH3172">
        <v>-0.11</v>
      </c>
      <c r="BI3172">
        <v>20191030</v>
      </c>
      <c r="BJ3172">
        <v>20160215</v>
      </c>
      <c r="BK3172">
        <v>8.9600000000000009</v>
      </c>
      <c r="BL3172" t="s">
        <v>116</v>
      </c>
      <c r="BM3172" t="s">
        <v>116</v>
      </c>
      <c r="BN3172">
        <v>109.12</v>
      </c>
      <c r="BO3172">
        <v>58.85</v>
      </c>
      <c r="BP3172">
        <v>0.54</v>
      </c>
      <c r="BQ3172">
        <v>45.57</v>
      </c>
      <c r="BR3172">
        <v>50.21</v>
      </c>
      <c r="BS3172">
        <v>6.55</v>
      </c>
      <c r="BT3172">
        <v>31</v>
      </c>
      <c r="BU3172">
        <v>42.35</v>
      </c>
      <c r="BV3172">
        <v>13.32</v>
      </c>
      <c r="BW3172">
        <v>19.02</v>
      </c>
      <c r="BX3172">
        <v>17.82</v>
      </c>
      <c r="BY3172">
        <v>47.34</v>
      </c>
      <c r="BZ3172">
        <v>33.07</v>
      </c>
      <c r="CA3172">
        <v>6.14</v>
      </c>
      <c r="CB3172">
        <v>0.31</v>
      </c>
      <c r="CC3172">
        <v>6.12</v>
      </c>
      <c r="CD3172">
        <v>6.1</v>
      </c>
      <c r="CE3172">
        <v>6.08</v>
      </c>
      <c r="CF3172">
        <v>4.37</v>
      </c>
      <c r="CG3172">
        <v>30.43</v>
      </c>
      <c r="CH3172">
        <v>1.84</v>
      </c>
      <c r="CI3172">
        <v>-3.08</v>
      </c>
      <c r="CJ3172">
        <v>31021</v>
      </c>
      <c r="CK3172">
        <v>8468</v>
      </c>
      <c r="CL3172" t="s">
        <v>7918</v>
      </c>
      <c r="CM3172">
        <v>25.67</v>
      </c>
      <c r="CN3172">
        <v>17.920000000000002</v>
      </c>
      <c r="CO3172">
        <v>1.39</v>
      </c>
      <c r="CP3172">
        <v>44.53</v>
      </c>
      <c r="CQ3172">
        <v>1.73</v>
      </c>
      <c r="CR3172">
        <v>2.4</v>
      </c>
      <c r="CS3172" t="s">
        <v>13760</v>
      </c>
      <c r="CT3172">
        <v>6.57</v>
      </c>
      <c r="CU3172">
        <v>0</v>
      </c>
      <c r="CV3172">
        <v>1.99</v>
      </c>
      <c r="CW3172">
        <v>3.4</v>
      </c>
      <c r="CX3172">
        <v>0.21</v>
      </c>
      <c r="CY3172">
        <v>53.93</v>
      </c>
      <c r="CZ3172" t="s">
        <v>9563</v>
      </c>
      <c r="DA3172">
        <v>30.14</v>
      </c>
      <c r="DB3172">
        <v>12.97</v>
      </c>
      <c r="DC3172">
        <v>12.83</v>
      </c>
      <c r="DD3172">
        <v>0</v>
      </c>
      <c r="DE3172">
        <v>5171</v>
      </c>
      <c r="DF3172">
        <v>601900</v>
      </c>
      <c r="DG3172" t="s">
        <v>116</v>
      </c>
      <c r="DH3172" t="s">
        <v>116</v>
      </c>
      <c r="DI3172" t="s">
        <v>116</v>
      </c>
    </row>
    <row r="3173" spans="1:113" x14ac:dyDescent="0.4">
      <c r="A3173" t="str">
        <f>"601901"</f>
        <v>601901</v>
      </c>
      <c r="B3173" t="s">
        <v>13761</v>
      </c>
      <c r="C3173">
        <v>-5.35</v>
      </c>
      <c r="D3173">
        <v>7.79</v>
      </c>
      <c r="E3173">
        <v>-0.44</v>
      </c>
      <c r="F3173">
        <v>7.79</v>
      </c>
      <c r="G3173">
        <v>7.8</v>
      </c>
      <c r="H3173">
        <v>1313428</v>
      </c>
      <c r="I3173">
        <v>13091</v>
      </c>
      <c r="J3173">
        <v>-0.37</v>
      </c>
      <c r="K3173">
        <v>1.6</v>
      </c>
      <c r="L3173">
        <v>8.11</v>
      </c>
      <c r="M3173">
        <v>8.32</v>
      </c>
      <c r="N3173">
        <v>7.77</v>
      </c>
      <c r="O3173">
        <v>8.23</v>
      </c>
      <c r="P3173">
        <v>44.74</v>
      </c>
      <c r="Q3173">
        <v>1059286464</v>
      </c>
      <c r="R3173">
        <v>0.86</v>
      </c>
      <c r="S3173" t="s">
        <v>623</v>
      </c>
      <c r="T3173" t="s">
        <v>599</v>
      </c>
      <c r="U3173">
        <v>6.68</v>
      </c>
      <c r="V3173">
        <v>8.07</v>
      </c>
      <c r="W3173">
        <v>679567</v>
      </c>
      <c r="X3173">
        <v>633861</v>
      </c>
      <c r="Y3173">
        <v>1.07</v>
      </c>
      <c r="Z3173">
        <v>733</v>
      </c>
      <c r="AA3173">
        <v>856</v>
      </c>
      <c r="AB3173" t="s">
        <v>116</v>
      </c>
      <c r="AC3173">
        <v>12995500</v>
      </c>
      <c r="AD3173">
        <v>0.04</v>
      </c>
      <c r="AE3173" t="s">
        <v>116</v>
      </c>
      <c r="AF3173" t="s">
        <v>116</v>
      </c>
      <c r="AG3173">
        <v>82.32</v>
      </c>
      <c r="AH3173" t="s">
        <v>13762</v>
      </c>
      <c r="AI3173" t="s">
        <v>13762</v>
      </c>
      <c r="AJ3173">
        <v>-5.27</v>
      </c>
      <c r="AK3173">
        <v>4541</v>
      </c>
      <c r="AL3173">
        <v>289</v>
      </c>
      <c r="AM3173">
        <v>4.0000000000000002E-4</v>
      </c>
      <c r="AN3173">
        <v>-1</v>
      </c>
      <c r="AO3173">
        <v>-1.77</v>
      </c>
      <c r="AP3173">
        <v>16.440000000000001</v>
      </c>
      <c r="AQ3173">
        <v>11.6</v>
      </c>
      <c r="AR3173">
        <v>47.43</v>
      </c>
      <c r="AS3173">
        <v>3.27</v>
      </c>
      <c r="AT3173" t="s">
        <v>13763</v>
      </c>
      <c r="AU3173">
        <v>50.03</v>
      </c>
      <c r="AV3173">
        <v>96.96</v>
      </c>
      <c r="AW3173">
        <v>0.79</v>
      </c>
      <c r="BA3173">
        <v>-1.46</v>
      </c>
      <c r="BB3173">
        <v>1.0900000000000001</v>
      </c>
      <c r="BC3173">
        <v>-5.59</v>
      </c>
      <c r="BD3173">
        <v>-2</v>
      </c>
      <c r="BE3173">
        <v>-3.95</v>
      </c>
      <c r="BF3173">
        <v>-6.37</v>
      </c>
      <c r="BG3173">
        <v>0.26</v>
      </c>
      <c r="BH3173">
        <v>-3.34</v>
      </c>
      <c r="BI3173">
        <v>20191118</v>
      </c>
      <c r="BJ3173">
        <v>20110810</v>
      </c>
      <c r="BK3173">
        <v>82.32</v>
      </c>
      <c r="BL3173" t="s">
        <v>116</v>
      </c>
      <c r="BM3173" t="s">
        <v>116</v>
      </c>
      <c r="BN3173">
        <v>1416.22</v>
      </c>
      <c r="BO3173">
        <v>386.57</v>
      </c>
      <c r="BP3173">
        <v>9.6</v>
      </c>
      <c r="BQ3173">
        <v>72.03</v>
      </c>
      <c r="BR3173">
        <v>0</v>
      </c>
      <c r="BS3173">
        <v>5.14</v>
      </c>
      <c r="BT3173">
        <v>1.95</v>
      </c>
      <c r="BU3173">
        <v>0</v>
      </c>
      <c r="BV3173">
        <v>0</v>
      </c>
      <c r="BW3173">
        <v>0</v>
      </c>
      <c r="BX3173">
        <v>163.76</v>
      </c>
      <c r="BY3173">
        <v>49.67</v>
      </c>
      <c r="BZ3173">
        <v>0</v>
      </c>
      <c r="CA3173">
        <v>11.97</v>
      </c>
      <c r="CB3173">
        <v>12.84</v>
      </c>
      <c r="CC3173">
        <v>11.88</v>
      </c>
      <c r="CD3173">
        <v>10.59</v>
      </c>
      <c r="CE3173">
        <v>10.75</v>
      </c>
      <c r="CF3173">
        <v>10.74</v>
      </c>
      <c r="CG3173">
        <v>88.13</v>
      </c>
      <c r="CH3173">
        <v>181.2</v>
      </c>
      <c r="CI3173">
        <v>60.25</v>
      </c>
      <c r="CJ3173">
        <v>196537</v>
      </c>
      <c r="CK3173">
        <v>20458</v>
      </c>
      <c r="CL3173" t="s">
        <v>11744</v>
      </c>
      <c r="CM3173">
        <v>136.47999999999999</v>
      </c>
      <c r="CN3173">
        <v>33.950000000000003</v>
      </c>
      <c r="CO3173">
        <v>1.66</v>
      </c>
      <c r="CP3173">
        <v>3.54</v>
      </c>
      <c r="CQ3173">
        <v>12.91</v>
      </c>
      <c r="CR3173">
        <v>0.33</v>
      </c>
      <c r="CS3173" t="s">
        <v>5815</v>
      </c>
      <c r="CT3173">
        <v>4.7</v>
      </c>
      <c r="CU3173">
        <v>0</v>
      </c>
      <c r="CV3173">
        <v>1.99</v>
      </c>
      <c r="CW3173">
        <v>1.07</v>
      </c>
      <c r="CX3173">
        <v>2.2000000000000002</v>
      </c>
      <c r="CY3173">
        <v>27.3</v>
      </c>
      <c r="CZ3173" t="s">
        <v>5991</v>
      </c>
      <c r="DA3173" t="s">
        <v>116</v>
      </c>
      <c r="DB3173">
        <v>24.1</v>
      </c>
      <c r="DC3173">
        <v>21.64</v>
      </c>
      <c r="DD3173">
        <v>0</v>
      </c>
      <c r="DE3173">
        <v>8590</v>
      </c>
      <c r="DF3173">
        <v>601901</v>
      </c>
      <c r="DG3173" t="s">
        <v>116</v>
      </c>
      <c r="DH3173" t="s">
        <v>116</v>
      </c>
      <c r="DI3173" t="s">
        <v>116</v>
      </c>
    </row>
    <row r="3174" spans="1:113" x14ac:dyDescent="0.4">
      <c r="A3174" t="str">
        <f>"601908"</f>
        <v>601908</v>
      </c>
      <c r="B3174" t="s">
        <v>13764</v>
      </c>
      <c r="C3174">
        <v>0.33</v>
      </c>
      <c r="D3174">
        <v>3.03</v>
      </c>
      <c r="E3174">
        <v>0.01</v>
      </c>
      <c r="F3174">
        <v>3.02</v>
      </c>
      <c r="G3174">
        <v>3.03</v>
      </c>
      <c r="H3174">
        <v>105197</v>
      </c>
      <c r="I3174">
        <v>1316</v>
      </c>
      <c r="J3174">
        <v>0.33</v>
      </c>
      <c r="K3174">
        <v>0.53</v>
      </c>
      <c r="L3174">
        <v>3.01</v>
      </c>
      <c r="M3174">
        <v>3.05</v>
      </c>
      <c r="N3174">
        <v>3</v>
      </c>
      <c r="O3174">
        <v>3.02</v>
      </c>
      <c r="P3174">
        <v>27.09</v>
      </c>
      <c r="Q3174">
        <v>31868836</v>
      </c>
      <c r="R3174">
        <v>1.47</v>
      </c>
      <c r="S3174" t="s">
        <v>361</v>
      </c>
      <c r="T3174" t="s">
        <v>165</v>
      </c>
      <c r="U3174">
        <v>1.66</v>
      </c>
      <c r="V3174">
        <v>3.03</v>
      </c>
      <c r="W3174">
        <v>41367</v>
      </c>
      <c r="X3174">
        <v>63830</v>
      </c>
      <c r="Y3174">
        <v>0.65</v>
      </c>
      <c r="Z3174">
        <v>3914</v>
      </c>
      <c r="AA3174">
        <v>3619</v>
      </c>
      <c r="AB3174" t="s">
        <v>116</v>
      </c>
      <c r="AC3174">
        <v>121300</v>
      </c>
      <c r="AD3174">
        <v>0</v>
      </c>
      <c r="AE3174" t="s">
        <v>116</v>
      </c>
      <c r="AF3174" t="s">
        <v>116</v>
      </c>
      <c r="AG3174">
        <v>19.93</v>
      </c>
      <c r="AH3174" t="s">
        <v>2348</v>
      </c>
      <c r="AI3174" t="s">
        <v>2348</v>
      </c>
      <c r="AJ3174">
        <v>0.41</v>
      </c>
      <c r="AK3174">
        <v>1067</v>
      </c>
      <c r="AL3174">
        <v>99</v>
      </c>
      <c r="AM3174">
        <v>5.0000000000000001E-4</v>
      </c>
      <c r="AN3174">
        <v>4</v>
      </c>
      <c r="AO3174">
        <v>2.02</v>
      </c>
      <c r="AP3174">
        <v>5.94</v>
      </c>
      <c r="AQ3174">
        <v>-0.66</v>
      </c>
      <c r="AR3174">
        <v>-1.62</v>
      </c>
      <c r="AS3174">
        <v>1.19</v>
      </c>
      <c r="AT3174" t="s">
        <v>873</v>
      </c>
      <c r="AU3174">
        <v>43.29</v>
      </c>
      <c r="AV3174">
        <v>13.36</v>
      </c>
      <c r="AW3174">
        <v>1.1499999999999999</v>
      </c>
      <c r="BA3174">
        <v>-0.33</v>
      </c>
      <c r="BB3174">
        <v>0.99</v>
      </c>
      <c r="BC3174">
        <v>-0.66</v>
      </c>
      <c r="BD3174">
        <v>0.31</v>
      </c>
      <c r="BE3174">
        <v>0.66</v>
      </c>
      <c r="BF3174">
        <v>-0.66</v>
      </c>
      <c r="BG3174">
        <v>1</v>
      </c>
      <c r="BH3174">
        <v>0.02</v>
      </c>
      <c r="BI3174">
        <v>20191121</v>
      </c>
      <c r="BJ3174">
        <v>20110908</v>
      </c>
      <c r="BK3174">
        <v>19.93</v>
      </c>
      <c r="BL3174" t="s">
        <v>116</v>
      </c>
      <c r="BM3174" t="s">
        <v>116</v>
      </c>
      <c r="BN3174">
        <v>167.28</v>
      </c>
      <c r="BO3174">
        <v>69.23</v>
      </c>
      <c r="BP3174">
        <v>0.99</v>
      </c>
      <c r="BQ3174">
        <v>58.02</v>
      </c>
      <c r="BR3174">
        <v>50.13</v>
      </c>
      <c r="BS3174">
        <v>82.95</v>
      </c>
      <c r="BT3174">
        <v>1.91</v>
      </c>
      <c r="BU3174">
        <v>58.91</v>
      </c>
      <c r="BV3174">
        <v>8.41</v>
      </c>
      <c r="BW3174">
        <v>18.18</v>
      </c>
      <c r="BX3174">
        <v>28.99</v>
      </c>
      <c r="BY3174">
        <v>14.91</v>
      </c>
      <c r="BZ3174">
        <v>8.77</v>
      </c>
      <c r="CA3174">
        <v>1.96</v>
      </c>
      <c r="CB3174">
        <v>0.1</v>
      </c>
      <c r="CC3174">
        <v>2.0099999999999998</v>
      </c>
      <c r="CD3174">
        <v>1.71</v>
      </c>
      <c r="CE3174">
        <v>1.67</v>
      </c>
      <c r="CF3174">
        <v>1.49</v>
      </c>
      <c r="CG3174">
        <v>18.97</v>
      </c>
      <c r="CH3174">
        <v>3.27</v>
      </c>
      <c r="CI3174">
        <v>1.22</v>
      </c>
      <c r="CJ3174">
        <v>46307</v>
      </c>
      <c r="CK3174">
        <v>19069</v>
      </c>
      <c r="CL3174" t="s">
        <v>3650</v>
      </c>
      <c r="CM3174">
        <v>-65.150000000000006</v>
      </c>
      <c r="CN3174">
        <v>-11.44</v>
      </c>
      <c r="CO3174">
        <v>0.87</v>
      </c>
      <c r="CP3174">
        <v>18.48</v>
      </c>
      <c r="CQ3174">
        <v>4.05</v>
      </c>
      <c r="CR3174">
        <v>2.31</v>
      </c>
      <c r="CS3174" t="s">
        <v>3917</v>
      </c>
      <c r="CT3174">
        <v>3.47</v>
      </c>
      <c r="CU3174">
        <v>0</v>
      </c>
      <c r="CV3174">
        <v>1.45</v>
      </c>
      <c r="CW3174">
        <v>0.95</v>
      </c>
      <c r="CX3174">
        <v>0.16</v>
      </c>
      <c r="CY3174">
        <v>41.39</v>
      </c>
      <c r="CZ3174" t="s">
        <v>9128</v>
      </c>
      <c r="DA3174">
        <v>41.15</v>
      </c>
      <c r="DB3174">
        <v>13.16</v>
      </c>
      <c r="DC3174">
        <v>11.21</v>
      </c>
      <c r="DD3174">
        <v>0.35</v>
      </c>
      <c r="DE3174">
        <v>1553</v>
      </c>
      <c r="DF3174">
        <v>601908</v>
      </c>
      <c r="DG3174" t="s">
        <v>116</v>
      </c>
      <c r="DH3174" t="s">
        <v>116</v>
      </c>
      <c r="DI3174" t="s">
        <v>116</v>
      </c>
    </row>
    <row r="3175" spans="1:113" x14ac:dyDescent="0.4">
      <c r="A3175" t="str">
        <f>"601916"</f>
        <v>601916</v>
      </c>
      <c r="B3175" t="s">
        <v>13765</v>
      </c>
      <c r="C3175">
        <v>0</v>
      </c>
      <c r="D3175">
        <v>4.79</v>
      </c>
      <c r="E3175">
        <v>0</v>
      </c>
      <c r="F3175">
        <v>4.78</v>
      </c>
      <c r="G3175">
        <v>4.79</v>
      </c>
      <c r="H3175">
        <v>1388636</v>
      </c>
      <c r="I3175">
        <v>9171</v>
      </c>
      <c r="J3175">
        <v>0</v>
      </c>
      <c r="K3175">
        <v>6.72</v>
      </c>
      <c r="L3175">
        <v>4.78</v>
      </c>
      <c r="M3175">
        <v>4.8499999999999996</v>
      </c>
      <c r="N3175">
        <v>4.7699999999999996</v>
      </c>
      <c r="O3175">
        <v>4.79</v>
      </c>
      <c r="P3175">
        <v>6.8</v>
      </c>
      <c r="Q3175">
        <v>667423744</v>
      </c>
      <c r="R3175">
        <v>0.98</v>
      </c>
      <c r="S3175" t="s">
        <v>114</v>
      </c>
      <c r="T3175" t="s">
        <v>590</v>
      </c>
      <c r="U3175">
        <v>1.67</v>
      </c>
      <c r="V3175">
        <v>4.8099999999999996</v>
      </c>
      <c r="W3175">
        <v>762911</v>
      </c>
      <c r="X3175">
        <v>625725</v>
      </c>
      <c r="Y3175">
        <v>1.22</v>
      </c>
      <c r="Z3175">
        <v>5900</v>
      </c>
      <c r="AA3175">
        <v>20863</v>
      </c>
      <c r="AB3175" t="s">
        <v>116</v>
      </c>
      <c r="AC3175">
        <v>1757600</v>
      </c>
      <c r="AD3175">
        <v>0.02</v>
      </c>
      <c r="AE3175" t="s">
        <v>116</v>
      </c>
      <c r="AF3175" t="s">
        <v>116</v>
      </c>
      <c r="AG3175">
        <v>20.68</v>
      </c>
      <c r="AH3175" t="s">
        <v>316</v>
      </c>
      <c r="AI3175" t="s">
        <v>13766</v>
      </c>
      <c r="AJ3175">
        <v>0.08</v>
      </c>
      <c r="AK3175">
        <v>4396</v>
      </c>
      <c r="AL3175">
        <v>316</v>
      </c>
      <c r="AM3175">
        <v>1.5E-3</v>
      </c>
      <c r="AN3175">
        <v>0</v>
      </c>
      <c r="AO3175">
        <v>0.21</v>
      </c>
      <c r="AP3175">
        <v>1.91</v>
      </c>
      <c r="AQ3175">
        <v>-3.04</v>
      </c>
      <c r="AR3175">
        <v>-3.04</v>
      </c>
      <c r="AS3175">
        <v>6.72</v>
      </c>
      <c r="AT3175" t="s">
        <v>316</v>
      </c>
      <c r="AU3175">
        <v>7.92</v>
      </c>
      <c r="AV3175">
        <v>8.8699999999999992</v>
      </c>
      <c r="AW3175">
        <v>0</v>
      </c>
      <c r="BA3175">
        <v>-0.21</v>
      </c>
      <c r="BB3175">
        <v>1.25</v>
      </c>
      <c r="BC3175">
        <v>-0.42</v>
      </c>
      <c r="BD3175">
        <v>0.34</v>
      </c>
      <c r="BE3175">
        <v>0.21</v>
      </c>
      <c r="BF3175">
        <v>-1.24</v>
      </c>
      <c r="BG3175">
        <v>0.42</v>
      </c>
      <c r="BH3175">
        <v>-0.34</v>
      </c>
      <c r="BI3175">
        <v>20191126</v>
      </c>
      <c r="BJ3175">
        <v>20191126</v>
      </c>
      <c r="BK3175">
        <v>212.69</v>
      </c>
      <c r="BL3175" t="s">
        <v>116</v>
      </c>
      <c r="BM3175">
        <v>45.54</v>
      </c>
      <c r="BN3175">
        <v>17204.830000000002</v>
      </c>
      <c r="BO3175">
        <v>1124.46</v>
      </c>
      <c r="BP3175">
        <v>17.32</v>
      </c>
      <c r="BQ3175">
        <v>93.36</v>
      </c>
      <c r="BR3175">
        <v>0</v>
      </c>
      <c r="BS3175">
        <v>120.99</v>
      </c>
      <c r="BT3175">
        <v>10.02</v>
      </c>
      <c r="BU3175">
        <v>0</v>
      </c>
      <c r="BV3175">
        <v>0</v>
      </c>
      <c r="BW3175">
        <v>0</v>
      </c>
      <c r="BX3175">
        <v>221.3</v>
      </c>
      <c r="BY3175">
        <v>344.03</v>
      </c>
      <c r="BZ3175">
        <v>0</v>
      </c>
      <c r="CA3175">
        <v>129.09</v>
      </c>
      <c r="CB3175">
        <v>73.28</v>
      </c>
      <c r="CC3175">
        <v>129.13999999999999</v>
      </c>
      <c r="CD3175">
        <v>114.08</v>
      </c>
      <c r="CE3175">
        <v>112.39</v>
      </c>
      <c r="CF3175">
        <v>111.79</v>
      </c>
      <c r="CG3175">
        <v>285.69</v>
      </c>
      <c r="CH3175">
        <v>147.16999999999999</v>
      </c>
      <c r="CI3175">
        <v>0.14000000000000001</v>
      </c>
      <c r="CJ3175">
        <v>0</v>
      </c>
      <c r="CK3175" t="s">
        <v>116</v>
      </c>
      <c r="CL3175" t="s">
        <v>116</v>
      </c>
      <c r="CM3175">
        <v>0</v>
      </c>
      <c r="CN3175">
        <v>0</v>
      </c>
      <c r="CO3175">
        <v>0.93</v>
      </c>
      <c r="CP3175">
        <v>6.92</v>
      </c>
      <c r="CQ3175">
        <v>2.96</v>
      </c>
      <c r="CR3175">
        <v>0</v>
      </c>
      <c r="CS3175" t="s">
        <v>12249</v>
      </c>
      <c r="CT3175">
        <v>5.17</v>
      </c>
      <c r="CU3175">
        <v>5.17</v>
      </c>
      <c r="CV3175">
        <v>1.04</v>
      </c>
      <c r="CW3175">
        <v>1.34</v>
      </c>
      <c r="CX3175">
        <v>0.69</v>
      </c>
      <c r="CY3175">
        <v>6.54</v>
      </c>
      <c r="CZ3175" t="s">
        <v>10001</v>
      </c>
      <c r="DA3175" t="s">
        <v>116</v>
      </c>
      <c r="DB3175">
        <v>37.520000000000003</v>
      </c>
      <c r="DC3175">
        <v>32.67</v>
      </c>
      <c r="DD3175">
        <v>0</v>
      </c>
      <c r="DE3175">
        <v>13243</v>
      </c>
      <c r="DF3175">
        <v>601916</v>
      </c>
      <c r="DG3175" t="s">
        <v>116</v>
      </c>
      <c r="DH3175" t="s">
        <v>116</v>
      </c>
      <c r="DI3175" t="s">
        <v>116</v>
      </c>
    </row>
    <row r="3176" spans="1:113" x14ac:dyDescent="0.4">
      <c r="A3176" t="str">
        <f>"601918"</f>
        <v>601918</v>
      </c>
      <c r="B3176" t="s">
        <v>13767</v>
      </c>
      <c r="C3176">
        <v>0.3</v>
      </c>
      <c r="D3176">
        <v>3.38</v>
      </c>
      <c r="E3176">
        <v>0.01</v>
      </c>
      <c r="F3176">
        <v>3.38</v>
      </c>
      <c r="G3176">
        <v>3.39</v>
      </c>
      <c r="H3176">
        <v>261080</v>
      </c>
      <c r="I3176">
        <v>1666</v>
      </c>
      <c r="J3176">
        <v>-0.28000000000000003</v>
      </c>
      <c r="K3176">
        <v>1.01</v>
      </c>
      <c r="L3176">
        <v>3.38</v>
      </c>
      <c r="M3176">
        <v>3.45</v>
      </c>
      <c r="N3176">
        <v>3.35</v>
      </c>
      <c r="O3176">
        <v>3.37</v>
      </c>
      <c r="P3176">
        <v>3.39</v>
      </c>
      <c r="Q3176">
        <v>88617056</v>
      </c>
      <c r="R3176">
        <v>1.59</v>
      </c>
      <c r="S3176" t="s">
        <v>1121</v>
      </c>
      <c r="T3176" t="s">
        <v>575</v>
      </c>
      <c r="U3176">
        <v>2.97</v>
      </c>
      <c r="V3176">
        <v>3.39</v>
      </c>
      <c r="W3176">
        <v>122286</v>
      </c>
      <c r="X3176">
        <v>138794</v>
      </c>
      <c r="Y3176">
        <v>0.88</v>
      </c>
      <c r="Z3176">
        <v>5641</v>
      </c>
      <c r="AA3176">
        <v>3512</v>
      </c>
      <c r="AB3176" t="s">
        <v>116</v>
      </c>
      <c r="AC3176">
        <v>175100</v>
      </c>
      <c r="AD3176">
        <v>0</v>
      </c>
      <c r="AE3176" t="s">
        <v>116</v>
      </c>
      <c r="AF3176" t="s">
        <v>116</v>
      </c>
      <c r="AG3176">
        <v>25.91</v>
      </c>
      <c r="AH3176" t="s">
        <v>13768</v>
      </c>
      <c r="AI3176" t="s">
        <v>13768</v>
      </c>
      <c r="AJ3176">
        <v>0.37</v>
      </c>
      <c r="AK3176">
        <v>1926</v>
      </c>
      <c r="AL3176">
        <v>136</v>
      </c>
      <c r="AM3176">
        <v>5.0000000000000001E-4</v>
      </c>
      <c r="AN3176">
        <v>2</v>
      </c>
      <c r="AO3176">
        <v>-0.28999999999999998</v>
      </c>
      <c r="AP3176">
        <v>0</v>
      </c>
      <c r="AQ3176">
        <v>16.149999999999999</v>
      </c>
      <c r="AR3176">
        <v>12.67</v>
      </c>
      <c r="AS3176">
        <v>1.84</v>
      </c>
      <c r="AT3176" t="s">
        <v>13769</v>
      </c>
      <c r="AU3176">
        <v>6.79</v>
      </c>
      <c r="AV3176">
        <v>33.51</v>
      </c>
      <c r="AW3176">
        <v>1.08</v>
      </c>
      <c r="BA3176">
        <v>0.3</v>
      </c>
      <c r="BB3176">
        <v>2.37</v>
      </c>
      <c r="BC3176">
        <v>-0.59</v>
      </c>
      <c r="BD3176">
        <v>0.72</v>
      </c>
      <c r="BE3176">
        <v>0</v>
      </c>
      <c r="BF3176">
        <v>-2.0299999999999998</v>
      </c>
      <c r="BG3176">
        <v>0.9</v>
      </c>
      <c r="BH3176">
        <v>-0.42</v>
      </c>
      <c r="BI3176">
        <v>20191031</v>
      </c>
      <c r="BJ3176">
        <v>20071219</v>
      </c>
      <c r="BK3176">
        <v>25.91</v>
      </c>
      <c r="BL3176" t="s">
        <v>116</v>
      </c>
      <c r="BM3176" t="s">
        <v>116</v>
      </c>
      <c r="BN3176">
        <v>301.57</v>
      </c>
      <c r="BO3176">
        <v>73.44</v>
      </c>
      <c r="BP3176">
        <v>7.08</v>
      </c>
      <c r="BQ3176">
        <v>73.3</v>
      </c>
      <c r="BR3176">
        <v>29.11</v>
      </c>
      <c r="BS3176">
        <v>144.31</v>
      </c>
      <c r="BT3176">
        <v>16.55</v>
      </c>
      <c r="BU3176">
        <v>96.63</v>
      </c>
      <c r="BV3176">
        <v>2.2999999999999998</v>
      </c>
      <c r="BW3176">
        <v>5.07</v>
      </c>
      <c r="BX3176">
        <v>19.29</v>
      </c>
      <c r="BY3176">
        <v>71.66</v>
      </c>
      <c r="BZ3176">
        <v>41.69</v>
      </c>
      <c r="CA3176">
        <v>16.63</v>
      </c>
      <c r="CB3176">
        <v>0.25</v>
      </c>
      <c r="CC3176">
        <v>25.29</v>
      </c>
      <c r="CD3176">
        <v>20.88</v>
      </c>
      <c r="CE3176">
        <v>19.36</v>
      </c>
      <c r="CF3176">
        <v>10.84</v>
      </c>
      <c r="CG3176">
        <v>13.25</v>
      </c>
      <c r="CH3176">
        <v>31.56</v>
      </c>
      <c r="CI3176">
        <v>9.16</v>
      </c>
      <c r="CJ3176">
        <v>159563</v>
      </c>
      <c r="CK3176">
        <v>8916</v>
      </c>
      <c r="CL3176" t="s">
        <v>11604</v>
      </c>
      <c r="CM3176">
        <v>113.28</v>
      </c>
      <c r="CN3176">
        <v>6.33</v>
      </c>
      <c r="CO3176">
        <v>1.19</v>
      </c>
      <c r="CP3176">
        <v>2.77</v>
      </c>
      <c r="CQ3176">
        <v>1.22</v>
      </c>
      <c r="CR3176">
        <v>0.3</v>
      </c>
      <c r="CS3176" t="s">
        <v>10477</v>
      </c>
      <c r="CT3176">
        <v>2.83</v>
      </c>
      <c r="CU3176">
        <v>0</v>
      </c>
      <c r="CV3176">
        <v>0.74</v>
      </c>
      <c r="CW3176">
        <v>0.51</v>
      </c>
      <c r="CX3176">
        <v>1.22</v>
      </c>
      <c r="CY3176">
        <v>24.35</v>
      </c>
      <c r="CZ3176" t="s">
        <v>13770</v>
      </c>
      <c r="DA3176">
        <v>41.82</v>
      </c>
      <c r="DB3176">
        <v>23.21</v>
      </c>
      <c r="DC3176">
        <v>27.02</v>
      </c>
      <c r="DD3176">
        <v>0</v>
      </c>
      <c r="DE3176">
        <v>16313</v>
      </c>
      <c r="DF3176">
        <v>601918</v>
      </c>
      <c r="DG3176" t="s">
        <v>116</v>
      </c>
      <c r="DH3176" t="s">
        <v>116</v>
      </c>
      <c r="DI3176" t="s">
        <v>116</v>
      </c>
    </row>
    <row r="3177" spans="1:113" x14ac:dyDescent="0.4">
      <c r="A3177" t="str">
        <f>"601919"</f>
        <v>601919</v>
      </c>
      <c r="B3177" t="s">
        <v>13771</v>
      </c>
      <c r="C3177">
        <v>-1.88</v>
      </c>
      <c r="D3177">
        <v>5.23</v>
      </c>
      <c r="E3177">
        <v>-0.1</v>
      </c>
      <c r="F3177">
        <v>5.22</v>
      </c>
      <c r="G3177">
        <v>5.23</v>
      </c>
      <c r="H3177">
        <v>332499</v>
      </c>
      <c r="I3177">
        <v>1492</v>
      </c>
      <c r="J3177">
        <v>0</v>
      </c>
      <c r="K3177">
        <v>0.44</v>
      </c>
      <c r="L3177">
        <v>5.32</v>
      </c>
      <c r="M3177">
        <v>5.37</v>
      </c>
      <c r="N3177">
        <v>5.22</v>
      </c>
      <c r="O3177">
        <v>5.33</v>
      </c>
      <c r="P3177">
        <v>22.72</v>
      </c>
      <c r="Q3177">
        <v>175725136</v>
      </c>
      <c r="R3177">
        <v>1.52</v>
      </c>
      <c r="S3177" t="s">
        <v>940</v>
      </c>
      <c r="T3177" t="s">
        <v>1035</v>
      </c>
      <c r="U3177">
        <v>2.81</v>
      </c>
      <c r="V3177">
        <v>5.28</v>
      </c>
      <c r="W3177">
        <v>179095</v>
      </c>
      <c r="X3177">
        <v>153404</v>
      </c>
      <c r="Y3177">
        <v>1.17</v>
      </c>
      <c r="Z3177">
        <v>6463</v>
      </c>
      <c r="AA3177">
        <v>3214</v>
      </c>
      <c r="AB3177" t="s">
        <v>116</v>
      </c>
      <c r="AC3177">
        <v>1547600</v>
      </c>
      <c r="AD3177">
        <v>0.01</v>
      </c>
      <c r="AE3177" t="s">
        <v>116</v>
      </c>
      <c r="AF3177" t="s">
        <v>116</v>
      </c>
      <c r="AG3177">
        <v>76.36</v>
      </c>
      <c r="AH3177" t="s">
        <v>13772</v>
      </c>
      <c r="AI3177" t="s">
        <v>13773</v>
      </c>
      <c r="AJ3177">
        <v>-1.8</v>
      </c>
      <c r="AK3177">
        <v>3125</v>
      </c>
      <c r="AL3177">
        <v>106</v>
      </c>
      <c r="AM3177">
        <v>1E-4</v>
      </c>
      <c r="AN3177">
        <v>-1</v>
      </c>
      <c r="AO3177">
        <v>2.35</v>
      </c>
      <c r="AP3177">
        <v>10.57</v>
      </c>
      <c r="AQ3177">
        <v>4.5999999999999996</v>
      </c>
      <c r="AR3177">
        <v>29.46</v>
      </c>
      <c r="AS3177">
        <v>1.08</v>
      </c>
      <c r="AT3177" t="s">
        <v>13774</v>
      </c>
      <c r="AU3177">
        <v>25.82</v>
      </c>
      <c r="AV3177">
        <v>52.13</v>
      </c>
      <c r="AW3177">
        <v>1.85</v>
      </c>
      <c r="BA3177">
        <v>-0.19</v>
      </c>
      <c r="BB3177">
        <v>0.75</v>
      </c>
      <c r="BC3177">
        <v>-2.06</v>
      </c>
      <c r="BD3177">
        <v>-0.84</v>
      </c>
      <c r="BE3177">
        <v>-1.69</v>
      </c>
      <c r="BF3177">
        <v>-2.61</v>
      </c>
      <c r="BG3177">
        <v>0.19</v>
      </c>
      <c r="BH3177">
        <v>-1.03</v>
      </c>
      <c r="BI3177">
        <v>20191031</v>
      </c>
      <c r="BJ3177">
        <v>20070626</v>
      </c>
      <c r="BK3177">
        <v>122.6</v>
      </c>
      <c r="BL3177" t="s">
        <v>116</v>
      </c>
      <c r="BM3177">
        <v>25.81</v>
      </c>
      <c r="BN3177">
        <v>2643.05</v>
      </c>
      <c r="BO3177">
        <v>308.05</v>
      </c>
      <c r="BP3177">
        <v>337.29</v>
      </c>
      <c r="BQ3177">
        <v>75.58</v>
      </c>
      <c r="BR3177">
        <v>708.9</v>
      </c>
      <c r="BS3177">
        <v>1020.51</v>
      </c>
      <c r="BT3177">
        <v>80.42</v>
      </c>
      <c r="BU3177">
        <v>739.69</v>
      </c>
      <c r="BV3177">
        <v>37.33</v>
      </c>
      <c r="BW3177">
        <v>96.04</v>
      </c>
      <c r="BX3177">
        <v>333.31</v>
      </c>
      <c r="BY3177">
        <v>1116.17</v>
      </c>
      <c r="BZ3177">
        <v>994.21</v>
      </c>
      <c r="CA3177">
        <v>41.25</v>
      </c>
      <c r="CB3177">
        <v>19.39</v>
      </c>
      <c r="CC3177">
        <v>40.9</v>
      </c>
      <c r="CD3177">
        <v>35.24</v>
      </c>
      <c r="CE3177">
        <v>21.16</v>
      </c>
      <c r="CF3177">
        <v>18.89</v>
      </c>
      <c r="CG3177">
        <v>-149.11000000000001</v>
      </c>
      <c r="CH3177">
        <v>150.02000000000001</v>
      </c>
      <c r="CI3177">
        <v>25.69</v>
      </c>
      <c r="CJ3177">
        <v>264652</v>
      </c>
      <c r="CK3177">
        <v>11631</v>
      </c>
      <c r="CL3177" t="s">
        <v>13775</v>
      </c>
      <c r="CM3177">
        <v>145.34</v>
      </c>
      <c r="CN3177">
        <v>35.9</v>
      </c>
      <c r="CO3177">
        <v>2.08</v>
      </c>
      <c r="CP3177">
        <v>4.2699999999999996</v>
      </c>
      <c r="CQ3177">
        <v>0.56999999999999995</v>
      </c>
      <c r="CR3177">
        <v>0</v>
      </c>
      <c r="CS3177" t="s">
        <v>1971</v>
      </c>
      <c r="CT3177">
        <v>2.5099999999999998</v>
      </c>
      <c r="CU3177">
        <v>0</v>
      </c>
      <c r="CV3177">
        <v>2.72</v>
      </c>
      <c r="CW3177">
        <v>-1.22</v>
      </c>
      <c r="CX3177">
        <v>1.22</v>
      </c>
      <c r="CY3177">
        <v>11.65</v>
      </c>
      <c r="CZ3177" t="s">
        <v>11382</v>
      </c>
      <c r="DA3177">
        <v>10.93</v>
      </c>
      <c r="DB3177">
        <v>3.7</v>
      </c>
      <c r="DC3177">
        <v>1.9</v>
      </c>
      <c r="DD3177">
        <v>0.04</v>
      </c>
      <c r="DE3177">
        <v>26852</v>
      </c>
      <c r="DF3177">
        <v>601919</v>
      </c>
      <c r="DG3177" t="s">
        <v>116</v>
      </c>
      <c r="DH3177" t="s">
        <v>116</v>
      </c>
      <c r="DI3177" t="s">
        <v>116</v>
      </c>
    </row>
    <row r="3178" spans="1:113" x14ac:dyDescent="0.4">
      <c r="A3178" t="str">
        <f>"601928"</f>
        <v>601928</v>
      </c>
      <c r="B3178" t="s">
        <v>13776</v>
      </c>
      <c r="C3178">
        <v>-0.66</v>
      </c>
      <c r="D3178">
        <v>7.49</v>
      </c>
      <c r="E3178">
        <v>-0.05</v>
      </c>
      <c r="F3178">
        <v>7.49</v>
      </c>
      <c r="G3178">
        <v>7.5</v>
      </c>
      <c r="H3178">
        <v>78375</v>
      </c>
      <c r="I3178">
        <v>125</v>
      </c>
      <c r="J3178">
        <v>-0.12</v>
      </c>
      <c r="K3178">
        <v>0.31</v>
      </c>
      <c r="L3178">
        <v>7.54</v>
      </c>
      <c r="M3178">
        <v>7.64</v>
      </c>
      <c r="N3178">
        <v>7.48</v>
      </c>
      <c r="O3178">
        <v>7.54</v>
      </c>
      <c r="P3178">
        <v>12.56</v>
      </c>
      <c r="Q3178">
        <v>59278972</v>
      </c>
      <c r="R3178">
        <v>1.05</v>
      </c>
      <c r="S3178" t="s">
        <v>1902</v>
      </c>
      <c r="T3178" t="s">
        <v>323</v>
      </c>
      <c r="U3178">
        <v>2.12</v>
      </c>
      <c r="V3178">
        <v>7.56</v>
      </c>
      <c r="W3178">
        <v>37636</v>
      </c>
      <c r="X3178">
        <v>40739</v>
      </c>
      <c r="Y3178">
        <v>0.92</v>
      </c>
      <c r="Z3178">
        <v>1174</v>
      </c>
      <c r="AA3178">
        <v>406</v>
      </c>
      <c r="AB3178" t="s">
        <v>116</v>
      </c>
      <c r="AC3178">
        <v>411700</v>
      </c>
      <c r="AD3178">
        <v>0.01</v>
      </c>
      <c r="AE3178" t="s">
        <v>116</v>
      </c>
      <c r="AF3178" t="s">
        <v>116</v>
      </c>
      <c r="AG3178">
        <v>25.45</v>
      </c>
      <c r="AH3178" t="s">
        <v>13777</v>
      </c>
      <c r="AI3178" t="s">
        <v>13777</v>
      </c>
      <c r="AJ3178">
        <v>-0.59</v>
      </c>
      <c r="AK3178">
        <v>1890</v>
      </c>
      <c r="AL3178">
        <v>41</v>
      </c>
      <c r="AM3178">
        <v>2.0000000000000001E-4</v>
      </c>
      <c r="AN3178">
        <v>-1</v>
      </c>
      <c r="AO3178">
        <v>0.4</v>
      </c>
      <c r="AP3178">
        <v>4.76</v>
      </c>
      <c r="AQ3178">
        <v>-11.67</v>
      </c>
      <c r="AR3178">
        <v>-1.96</v>
      </c>
      <c r="AS3178">
        <v>1.1299999999999999</v>
      </c>
      <c r="AT3178" t="s">
        <v>9322</v>
      </c>
      <c r="AU3178">
        <v>14.02</v>
      </c>
      <c r="AV3178">
        <v>14.39</v>
      </c>
      <c r="AW3178">
        <v>1.52</v>
      </c>
      <c r="BA3178">
        <v>0</v>
      </c>
      <c r="BB3178">
        <v>1.33</v>
      </c>
      <c r="BC3178">
        <v>-0.8</v>
      </c>
      <c r="BD3178">
        <v>0.31</v>
      </c>
      <c r="BE3178">
        <v>-0.66</v>
      </c>
      <c r="BF3178">
        <v>-1.96</v>
      </c>
      <c r="BG3178">
        <v>0.13</v>
      </c>
      <c r="BH3178">
        <v>-0.98</v>
      </c>
      <c r="BI3178">
        <v>20191030</v>
      </c>
      <c r="BJ3178">
        <v>20111130</v>
      </c>
      <c r="BK3178">
        <v>25.45</v>
      </c>
      <c r="BL3178" t="s">
        <v>116</v>
      </c>
      <c r="BM3178" t="s">
        <v>116</v>
      </c>
      <c r="BN3178">
        <v>234.36</v>
      </c>
      <c r="BO3178">
        <v>137.21</v>
      </c>
      <c r="BP3178">
        <v>5.9</v>
      </c>
      <c r="BQ3178">
        <v>38.94</v>
      </c>
      <c r="BR3178">
        <v>151.72</v>
      </c>
      <c r="BS3178">
        <v>35.36</v>
      </c>
      <c r="BT3178">
        <v>10.07</v>
      </c>
      <c r="BU3178">
        <v>80.16</v>
      </c>
      <c r="BV3178">
        <v>33.479999999999997</v>
      </c>
      <c r="BW3178">
        <v>10.46</v>
      </c>
      <c r="BX3178">
        <v>28.52</v>
      </c>
      <c r="BY3178">
        <v>86.6</v>
      </c>
      <c r="BZ3178">
        <v>53.8</v>
      </c>
      <c r="CA3178">
        <v>11.61</v>
      </c>
      <c r="CB3178">
        <v>0.36</v>
      </c>
      <c r="CC3178">
        <v>11.84</v>
      </c>
      <c r="CD3178">
        <v>11.64</v>
      </c>
      <c r="CE3178">
        <v>11.38</v>
      </c>
      <c r="CF3178">
        <v>10.55</v>
      </c>
      <c r="CG3178">
        <v>64.290000000000006</v>
      </c>
      <c r="CH3178">
        <v>12.98</v>
      </c>
      <c r="CI3178">
        <v>-4.25</v>
      </c>
      <c r="CJ3178">
        <v>51785</v>
      </c>
      <c r="CK3178">
        <v>13365</v>
      </c>
      <c r="CL3178" t="s">
        <v>13778</v>
      </c>
      <c r="CM3178">
        <v>3.14</v>
      </c>
      <c r="CN3178">
        <v>10.23</v>
      </c>
      <c r="CO3178">
        <v>1.39</v>
      </c>
      <c r="CP3178">
        <v>14.69</v>
      </c>
      <c r="CQ3178">
        <v>2.2000000000000002</v>
      </c>
      <c r="CR3178">
        <v>4.01</v>
      </c>
      <c r="CS3178" t="s">
        <v>4446</v>
      </c>
      <c r="CT3178">
        <v>5.39</v>
      </c>
      <c r="CU3178">
        <v>0</v>
      </c>
      <c r="CV3178">
        <v>1.1200000000000001</v>
      </c>
      <c r="CW3178">
        <v>2.5299999999999998</v>
      </c>
      <c r="CX3178">
        <v>0.51</v>
      </c>
      <c r="CY3178">
        <v>58.55</v>
      </c>
      <c r="CZ3178" t="s">
        <v>1062</v>
      </c>
      <c r="DA3178">
        <v>37.869999999999997</v>
      </c>
      <c r="DB3178">
        <v>13.41</v>
      </c>
      <c r="DC3178">
        <v>13.14</v>
      </c>
      <c r="DD3178">
        <v>0.17</v>
      </c>
      <c r="DE3178">
        <v>6557</v>
      </c>
      <c r="DF3178">
        <v>601928</v>
      </c>
      <c r="DG3178" t="s">
        <v>116</v>
      </c>
      <c r="DH3178" t="s">
        <v>116</v>
      </c>
      <c r="DI3178" t="s">
        <v>116</v>
      </c>
    </row>
    <row r="3179" spans="1:113" x14ac:dyDescent="0.4">
      <c r="A3179" t="str">
        <f>"601929"</f>
        <v>601929</v>
      </c>
      <c r="B3179" t="s">
        <v>13779</v>
      </c>
      <c r="C3179">
        <v>0</v>
      </c>
      <c r="D3179">
        <v>2.12</v>
      </c>
      <c r="E3179">
        <v>0</v>
      </c>
      <c r="F3179">
        <v>2.11</v>
      </c>
      <c r="G3179">
        <v>2.12</v>
      </c>
      <c r="H3179">
        <v>138241</v>
      </c>
      <c r="I3179">
        <v>1063</v>
      </c>
      <c r="J3179">
        <v>0</v>
      </c>
      <c r="K3179">
        <v>0.44</v>
      </c>
      <c r="L3179">
        <v>2.12</v>
      </c>
      <c r="M3179">
        <v>2.15</v>
      </c>
      <c r="N3179">
        <v>2.11</v>
      </c>
      <c r="O3179">
        <v>2.12</v>
      </c>
      <c r="P3179">
        <v>45.34</v>
      </c>
      <c r="Q3179">
        <v>29489544</v>
      </c>
      <c r="R3179">
        <v>0.84</v>
      </c>
      <c r="S3179" t="s">
        <v>589</v>
      </c>
      <c r="T3179" t="s">
        <v>294</v>
      </c>
      <c r="U3179">
        <v>1.89</v>
      </c>
      <c r="V3179">
        <v>2.13</v>
      </c>
      <c r="W3179">
        <v>76360</v>
      </c>
      <c r="X3179">
        <v>61881</v>
      </c>
      <c r="Y3179">
        <v>1.23</v>
      </c>
      <c r="Z3179">
        <v>4635</v>
      </c>
      <c r="AA3179">
        <v>1248</v>
      </c>
      <c r="AB3179" t="s">
        <v>116</v>
      </c>
      <c r="AC3179">
        <v>137000</v>
      </c>
      <c r="AD3179">
        <v>0</v>
      </c>
      <c r="AE3179" t="s">
        <v>116</v>
      </c>
      <c r="AF3179" t="s">
        <v>116</v>
      </c>
      <c r="AG3179">
        <v>31.11</v>
      </c>
      <c r="AH3179" t="s">
        <v>13780</v>
      </c>
      <c r="AI3179" t="s">
        <v>13780</v>
      </c>
      <c r="AJ3179">
        <v>0.08</v>
      </c>
      <c r="AK3179">
        <v>980</v>
      </c>
      <c r="AL3179">
        <v>141</v>
      </c>
      <c r="AM3179">
        <v>5.0000000000000001E-4</v>
      </c>
      <c r="AN3179">
        <v>0</v>
      </c>
      <c r="AO3179">
        <v>0.95</v>
      </c>
      <c r="AP3179">
        <v>4.95</v>
      </c>
      <c r="AQ3179">
        <v>-1.4</v>
      </c>
      <c r="AR3179">
        <v>3.77</v>
      </c>
      <c r="AS3179">
        <v>0.68</v>
      </c>
      <c r="AT3179" t="s">
        <v>13781</v>
      </c>
      <c r="AU3179">
        <v>28.1</v>
      </c>
      <c r="AV3179">
        <v>21.66</v>
      </c>
      <c r="AW3179">
        <v>1.56</v>
      </c>
      <c r="BA3179">
        <v>0</v>
      </c>
      <c r="BB3179">
        <v>1.42</v>
      </c>
      <c r="BC3179">
        <v>-0.47</v>
      </c>
      <c r="BD3179">
        <v>0.62</v>
      </c>
      <c r="BE3179">
        <v>0</v>
      </c>
      <c r="BF3179">
        <v>-1.4</v>
      </c>
      <c r="BG3179">
        <v>0.47</v>
      </c>
      <c r="BH3179">
        <v>-0.62</v>
      </c>
      <c r="BI3179">
        <v>20191028</v>
      </c>
      <c r="BJ3179">
        <v>20120223</v>
      </c>
      <c r="BK3179">
        <v>31.11</v>
      </c>
      <c r="BL3179" t="s">
        <v>116</v>
      </c>
      <c r="BM3179" t="s">
        <v>116</v>
      </c>
      <c r="BN3179">
        <v>140.74</v>
      </c>
      <c r="BO3179">
        <v>70.55</v>
      </c>
      <c r="BP3179">
        <v>0.57999999999999996</v>
      </c>
      <c r="BQ3179">
        <v>49.46</v>
      </c>
      <c r="BR3179">
        <v>29.27</v>
      </c>
      <c r="BS3179">
        <v>48.65</v>
      </c>
      <c r="BT3179">
        <v>1.58</v>
      </c>
      <c r="BU3179">
        <v>30.31</v>
      </c>
      <c r="BV3179">
        <v>9.07</v>
      </c>
      <c r="BW3179">
        <v>2.58</v>
      </c>
      <c r="BX3179">
        <v>8.99</v>
      </c>
      <c r="BY3179">
        <v>13.9</v>
      </c>
      <c r="BZ3179">
        <v>8.48</v>
      </c>
      <c r="CA3179">
        <v>1.1499999999999999</v>
      </c>
      <c r="CB3179">
        <v>0.33</v>
      </c>
      <c r="CC3179">
        <v>1.1599999999999999</v>
      </c>
      <c r="CD3179">
        <v>1.1299999999999999</v>
      </c>
      <c r="CE3179">
        <v>1.0900000000000001</v>
      </c>
      <c r="CF3179">
        <v>0.84</v>
      </c>
      <c r="CG3179">
        <v>16.12</v>
      </c>
      <c r="CH3179">
        <v>0.52</v>
      </c>
      <c r="CI3179">
        <v>4.1900000000000004</v>
      </c>
      <c r="CJ3179">
        <v>88127</v>
      </c>
      <c r="CK3179">
        <v>23020</v>
      </c>
      <c r="CL3179" t="s">
        <v>3689</v>
      </c>
      <c r="CM3179">
        <v>-39</v>
      </c>
      <c r="CN3179">
        <v>-1.97</v>
      </c>
      <c r="CO3179">
        <v>0.98</v>
      </c>
      <c r="CP3179">
        <v>126.51</v>
      </c>
      <c r="CQ3179">
        <v>4.74</v>
      </c>
      <c r="CR3179">
        <v>0.33</v>
      </c>
      <c r="CS3179" t="s">
        <v>958</v>
      </c>
      <c r="CT3179">
        <v>2.16</v>
      </c>
      <c r="CU3179">
        <v>2.16</v>
      </c>
      <c r="CV3179">
        <v>0.28999999999999998</v>
      </c>
      <c r="CW3179">
        <v>0.52</v>
      </c>
      <c r="CX3179">
        <v>0.02</v>
      </c>
      <c r="CY3179">
        <v>50.13</v>
      </c>
      <c r="CZ3179" t="s">
        <v>7916</v>
      </c>
      <c r="DA3179">
        <v>39.020000000000003</v>
      </c>
      <c r="DB3179">
        <v>8.25</v>
      </c>
      <c r="DC3179">
        <v>7.85</v>
      </c>
      <c r="DD3179">
        <v>0.51</v>
      </c>
      <c r="DE3179">
        <v>7219</v>
      </c>
      <c r="DF3179">
        <v>601929</v>
      </c>
      <c r="DG3179" t="s">
        <v>116</v>
      </c>
      <c r="DH3179" t="s">
        <v>116</v>
      </c>
      <c r="DI3179" t="s">
        <v>116</v>
      </c>
    </row>
    <row r="3180" spans="1:113" x14ac:dyDescent="0.4">
      <c r="A3180" t="str">
        <f>"601933"</f>
        <v>601933</v>
      </c>
      <c r="B3180" t="s">
        <v>13782</v>
      </c>
      <c r="C3180">
        <v>-1.93</v>
      </c>
      <c r="D3180">
        <v>7.62</v>
      </c>
      <c r="E3180">
        <v>-0.15</v>
      </c>
      <c r="F3180">
        <v>7.62</v>
      </c>
      <c r="G3180">
        <v>7.63</v>
      </c>
      <c r="H3180">
        <v>768244</v>
      </c>
      <c r="I3180">
        <v>7159</v>
      </c>
      <c r="J3180">
        <v>-0.25</v>
      </c>
      <c r="K3180">
        <v>0.81</v>
      </c>
      <c r="L3180">
        <v>7.75</v>
      </c>
      <c r="M3180">
        <v>7.76</v>
      </c>
      <c r="N3180">
        <v>7.62</v>
      </c>
      <c r="O3180">
        <v>7.77</v>
      </c>
      <c r="P3180">
        <v>35.549999999999997</v>
      </c>
      <c r="Q3180">
        <v>590258816</v>
      </c>
      <c r="R3180">
        <v>1.08</v>
      </c>
      <c r="S3180" t="s">
        <v>2064</v>
      </c>
      <c r="T3180" t="s">
        <v>975</v>
      </c>
      <c r="U3180">
        <v>1.8</v>
      </c>
      <c r="V3180">
        <v>7.68</v>
      </c>
      <c r="W3180">
        <v>411289</v>
      </c>
      <c r="X3180">
        <v>356955</v>
      </c>
      <c r="Y3180">
        <v>1.1499999999999999</v>
      </c>
      <c r="Z3180">
        <v>30131</v>
      </c>
      <c r="AA3180">
        <v>3832</v>
      </c>
      <c r="AB3180" t="s">
        <v>116</v>
      </c>
      <c r="AC3180">
        <v>1316700</v>
      </c>
      <c r="AD3180">
        <v>0</v>
      </c>
      <c r="AE3180" t="s">
        <v>116</v>
      </c>
      <c r="AF3180" t="s">
        <v>116</v>
      </c>
      <c r="AG3180">
        <v>94.68</v>
      </c>
      <c r="AH3180" t="s">
        <v>13783</v>
      </c>
      <c r="AI3180" t="s">
        <v>13784</v>
      </c>
      <c r="AJ3180">
        <v>-1.85</v>
      </c>
      <c r="AK3180">
        <v>4053</v>
      </c>
      <c r="AL3180">
        <v>190</v>
      </c>
      <c r="AM3180">
        <v>2.0000000000000001E-4</v>
      </c>
      <c r="AN3180">
        <v>-3</v>
      </c>
      <c r="AO3180">
        <v>-3.79</v>
      </c>
      <c r="AP3180">
        <v>2.56</v>
      </c>
      <c r="AQ3180">
        <v>-14.96</v>
      </c>
      <c r="AR3180">
        <v>-1.8</v>
      </c>
      <c r="AS3180">
        <v>2.0099999999999998</v>
      </c>
      <c r="AT3180" t="s">
        <v>13785</v>
      </c>
      <c r="AU3180">
        <v>36.450000000000003</v>
      </c>
      <c r="AV3180">
        <v>49.26</v>
      </c>
      <c r="AW3180">
        <v>0.76</v>
      </c>
      <c r="BA3180">
        <v>-0.26</v>
      </c>
      <c r="BB3180">
        <v>-0.13</v>
      </c>
      <c r="BC3180">
        <v>-1.93</v>
      </c>
      <c r="BD3180">
        <v>-1.1200000000000001</v>
      </c>
      <c r="BE3180">
        <v>-1.68</v>
      </c>
      <c r="BF3180">
        <v>-1.8</v>
      </c>
      <c r="BG3180">
        <v>0</v>
      </c>
      <c r="BH3180">
        <v>-0.81</v>
      </c>
      <c r="BI3180">
        <v>20191209</v>
      </c>
      <c r="BJ3180">
        <v>20101215</v>
      </c>
      <c r="BK3180">
        <v>95.7</v>
      </c>
      <c r="BL3180" t="s">
        <v>116</v>
      </c>
      <c r="BM3180" t="s">
        <v>116</v>
      </c>
      <c r="BN3180">
        <v>452.41</v>
      </c>
      <c r="BO3180">
        <v>205.06</v>
      </c>
      <c r="BP3180">
        <v>2.13</v>
      </c>
      <c r="BQ3180">
        <v>54.2</v>
      </c>
      <c r="BR3180">
        <v>248.02</v>
      </c>
      <c r="BS3180">
        <v>46.27</v>
      </c>
      <c r="BT3180">
        <v>7.29</v>
      </c>
      <c r="BU3180">
        <v>241.77</v>
      </c>
      <c r="BV3180">
        <v>77.760000000000005</v>
      </c>
      <c r="BW3180">
        <v>32.630000000000003</v>
      </c>
      <c r="BX3180">
        <v>76.239999999999995</v>
      </c>
      <c r="BY3180">
        <v>635.42999999999995</v>
      </c>
      <c r="BZ3180">
        <v>496.39</v>
      </c>
      <c r="CA3180">
        <v>16.64</v>
      </c>
      <c r="CB3180">
        <v>-0.21</v>
      </c>
      <c r="CC3180">
        <v>18.09</v>
      </c>
      <c r="CD3180">
        <v>14.9</v>
      </c>
      <c r="CE3180">
        <v>15.38</v>
      </c>
      <c r="CF3180">
        <v>12.69</v>
      </c>
      <c r="CG3180">
        <v>36.979999999999997</v>
      </c>
      <c r="CH3180">
        <v>22.83</v>
      </c>
      <c r="CI3180">
        <v>13.6</v>
      </c>
      <c r="CJ3180">
        <v>122448</v>
      </c>
      <c r="CK3180">
        <v>31291</v>
      </c>
      <c r="CL3180" t="s">
        <v>13786</v>
      </c>
      <c r="CM3180">
        <v>51.14</v>
      </c>
      <c r="CN3180">
        <v>20.59</v>
      </c>
      <c r="CO3180">
        <v>3.56</v>
      </c>
      <c r="CP3180">
        <v>31.94</v>
      </c>
      <c r="CQ3180">
        <v>1.1499999999999999</v>
      </c>
      <c r="CR3180">
        <v>1.44</v>
      </c>
      <c r="CS3180" t="s">
        <v>6361</v>
      </c>
      <c r="CT3180">
        <v>2.14</v>
      </c>
      <c r="CU3180">
        <v>0</v>
      </c>
      <c r="CV3180">
        <v>0.8</v>
      </c>
      <c r="CW3180">
        <v>0.39</v>
      </c>
      <c r="CX3180">
        <v>0.24</v>
      </c>
      <c r="CY3180">
        <v>45.32</v>
      </c>
      <c r="CZ3180" t="s">
        <v>13787</v>
      </c>
      <c r="DA3180">
        <v>21.88</v>
      </c>
      <c r="DB3180">
        <v>2.62</v>
      </c>
      <c r="DC3180">
        <v>2.42</v>
      </c>
      <c r="DD3180">
        <v>0</v>
      </c>
      <c r="DE3180">
        <v>92047</v>
      </c>
      <c r="DF3180">
        <v>601933</v>
      </c>
      <c r="DG3180" t="s">
        <v>116</v>
      </c>
      <c r="DH3180" t="s">
        <v>116</v>
      </c>
      <c r="DI3180" t="s">
        <v>116</v>
      </c>
    </row>
    <row r="3181" spans="1:113" x14ac:dyDescent="0.4">
      <c r="A3181" t="str">
        <f>"601939"</f>
        <v>601939</v>
      </c>
      <c r="B3181" t="s">
        <v>13788</v>
      </c>
      <c r="C3181">
        <v>0.28000000000000003</v>
      </c>
      <c r="D3181">
        <v>7.25</v>
      </c>
      <c r="E3181">
        <v>0.02</v>
      </c>
      <c r="F3181">
        <v>7.24</v>
      </c>
      <c r="G3181">
        <v>7.25</v>
      </c>
      <c r="H3181">
        <v>757775</v>
      </c>
      <c r="I3181">
        <v>7351</v>
      </c>
      <c r="J3181">
        <v>0</v>
      </c>
      <c r="K3181">
        <v>0.79</v>
      </c>
      <c r="L3181">
        <v>7.22</v>
      </c>
      <c r="M3181">
        <v>7.27</v>
      </c>
      <c r="N3181">
        <v>7.19</v>
      </c>
      <c r="O3181">
        <v>7.23</v>
      </c>
      <c r="P3181">
        <v>6.03</v>
      </c>
      <c r="Q3181">
        <v>549192128</v>
      </c>
      <c r="R3181">
        <v>1.54</v>
      </c>
      <c r="S3181" t="s">
        <v>114</v>
      </c>
      <c r="T3181" t="s">
        <v>165</v>
      </c>
      <c r="U3181">
        <v>1.1100000000000001</v>
      </c>
      <c r="V3181">
        <v>7.25</v>
      </c>
      <c r="W3181">
        <v>327423</v>
      </c>
      <c r="X3181">
        <v>430353</v>
      </c>
      <c r="Y3181">
        <v>0.76</v>
      </c>
      <c r="Z3181">
        <v>4094</v>
      </c>
      <c r="AA3181">
        <v>11848</v>
      </c>
      <c r="AB3181" t="s">
        <v>116</v>
      </c>
      <c r="AC3181">
        <v>837400</v>
      </c>
      <c r="AD3181">
        <v>0</v>
      </c>
      <c r="AE3181" t="s">
        <v>116</v>
      </c>
      <c r="AF3181" t="s">
        <v>116</v>
      </c>
      <c r="AG3181">
        <v>95.94</v>
      </c>
      <c r="AH3181" t="s">
        <v>13789</v>
      </c>
      <c r="AI3181" t="s">
        <v>13789</v>
      </c>
      <c r="AJ3181">
        <v>0.35</v>
      </c>
      <c r="AK3181">
        <v>4342</v>
      </c>
      <c r="AL3181">
        <v>175</v>
      </c>
      <c r="AM3181">
        <v>2.0000000000000001E-4</v>
      </c>
      <c r="AN3181">
        <v>2</v>
      </c>
      <c r="AO3181">
        <v>0.84</v>
      </c>
      <c r="AP3181">
        <v>2.11</v>
      </c>
      <c r="AQ3181">
        <v>2.5499999999999998</v>
      </c>
      <c r="AR3181">
        <v>19.559999999999999</v>
      </c>
      <c r="AS3181">
        <v>0.85</v>
      </c>
      <c r="AT3181" t="s">
        <v>13790</v>
      </c>
      <c r="AU3181">
        <v>6.82</v>
      </c>
      <c r="AV3181">
        <v>7.12</v>
      </c>
      <c r="AW3181">
        <v>0.61</v>
      </c>
      <c r="BA3181">
        <v>-0.14000000000000001</v>
      </c>
      <c r="BB3181">
        <v>0.55000000000000004</v>
      </c>
      <c r="BC3181">
        <v>-0.55000000000000004</v>
      </c>
      <c r="BD3181">
        <v>0.24</v>
      </c>
      <c r="BE3181">
        <v>0.42</v>
      </c>
      <c r="BF3181">
        <v>-0.28000000000000003</v>
      </c>
      <c r="BG3181">
        <v>0.83</v>
      </c>
      <c r="BH3181">
        <v>0.04</v>
      </c>
      <c r="BI3181">
        <v>20191031</v>
      </c>
      <c r="BJ3181">
        <v>20070925</v>
      </c>
      <c r="BK3181">
        <v>2500.11</v>
      </c>
      <c r="BL3181" t="s">
        <v>116</v>
      </c>
      <c r="BM3181">
        <v>2404.17</v>
      </c>
      <c r="BN3181">
        <v>245177.3</v>
      </c>
      <c r="BO3181">
        <v>21360.34</v>
      </c>
      <c r="BP3181">
        <v>169.32</v>
      </c>
      <c r="BQ3181">
        <v>91.22</v>
      </c>
      <c r="BR3181">
        <v>0</v>
      </c>
      <c r="BS3181">
        <v>1657.27</v>
      </c>
      <c r="BT3181">
        <v>35.42</v>
      </c>
      <c r="BU3181">
        <v>0</v>
      </c>
      <c r="BV3181">
        <v>0</v>
      </c>
      <c r="BW3181">
        <v>0</v>
      </c>
      <c r="BX3181">
        <v>1345.37</v>
      </c>
      <c r="BY3181">
        <v>5396.35</v>
      </c>
      <c r="BZ3181">
        <v>0</v>
      </c>
      <c r="CA3181">
        <v>2781.33</v>
      </c>
      <c r="CB3181">
        <v>150.07</v>
      </c>
      <c r="CC3181">
        <v>2781.24</v>
      </c>
      <c r="CD3181">
        <v>2273.8200000000002</v>
      </c>
      <c r="CE3181">
        <v>2253.44</v>
      </c>
      <c r="CF3181">
        <v>2252.5500000000002</v>
      </c>
      <c r="CG3181">
        <v>11393.8</v>
      </c>
      <c r="CH3181">
        <v>1779.39</v>
      </c>
      <c r="CI3181">
        <v>-2232.6799999999998</v>
      </c>
      <c r="CJ3181">
        <v>350336</v>
      </c>
      <c r="CK3181">
        <v>25407</v>
      </c>
      <c r="CL3181" t="s">
        <v>7498</v>
      </c>
      <c r="CM3181">
        <v>5.25</v>
      </c>
      <c r="CN3181">
        <v>7.92</v>
      </c>
      <c r="CO3181">
        <v>0.87</v>
      </c>
      <c r="CP3181">
        <v>10.19</v>
      </c>
      <c r="CQ3181">
        <v>3.36</v>
      </c>
      <c r="CR3181">
        <v>4.22</v>
      </c>
      <c r="CS3181" t="s">
        <v>8482</v>
      </c>
      <c r="CT3181">
        <v>8.2899999999999991</v>
      </c>
      <c r="CU3181">
        <v>8.2899999999999991</v>
      </c>
      <c r="CV3181">
        <v>0.54</v>
      </c>
      <c r="CW3181">
        <v>4.5599999999999996</v>
      </c>
      <c r="CX3181">
        <v>0.71</v>
      </c>
      <c r="CY3181">
        <v>8.7100000000000009</v>
      </c>
      <c r="CZ3181" t="s">
        <v>3616</v>
      </c>
      <c r="DA3181" t="s">
        <v>116</v>
      </c>
      <c r="DB3181">
        <v>51.54</v>
      </c>
      <c r="DC3181">
        <v>41.76</v>
      </c>
      <c r="DD3181">
        <v>0</v>
      </c>
      <c r="DE3181">
        <v>340404</v>
      </c>
      <c r="DF3181">
        <v>601939</v>
      </c>
      <c r="DG3181" t="s">
        <v>116</v>
      </c>
      <c r="DH3181" t="s">
        <v>116</v>
      </c>
      <c r="DI3181" t="s">
        <v>116</v>
      </c>
    </row>
    <row r="3182" spans="1:113" x14ac:dyDescent="0.4">
      <c r="A3182" t="str">
        <f>"601949"</f>
        <v>601949</v>
      </c>
      <c r="B3182" t="s">
        <v>13791</v>
      </c>
      <c r="C3182">
        <v>-0.32</v>
      </c>
      <c r="D3182">
        <v>6.23</v>
      </c>
      <c r="E3182">
        <v>-0.02</v>
      </c>
      <c r="F3182">
        <v>6.23</v>
      </c>
      <c r="G3182">
        <v>6.24</v>
      </c>
      <c r="H3182">
        <v>102981</v>
      </c>
      <c r="I3182">
        <v>1652</v>
      </c>
      <c r="J3182">
        <v>0.16</v>
      </c>
      <c r="K3182">
        <v>2.57</v>
      </c>
      <c r="L3182">
        <v>6.26</v>
      </c>
      <c r="M3182">
        <v>6.36</v>
      </c>
      <c r="N3182">
        <v>6.2</v>
      </c>
      <c r="O3182">
        <v>6.25</v>
      </c>
      <c r="P3182">
        <v>23.77</v>
      </c>
      <c r="Q3182">
        <v>64774160</v>
      </c>
      <c r="R3182">
        <v>1.17</v>
      </c>
      <c r="S3182" t="s">
        <v>1902</v>
      </c>
      <c r="T3182" t="s">
        <v>165</v>
      </c>
      <c r="U3182">
        <v>2.56</v>
      </c>
      <c r="V3182">
        <v>6.29</v>
      </c>
      <c r="W3182">
        <v>56921</v>
      </c>
      <c r="X3182">
        <v>46060</v>
      </c>
      <c r="Y3182">
        <v>1.24</v>
      </c>
      <c r="Z3182">
        <v>1993</v>
      </c>
      <c r="AA3182">
        <v>99</v>
      </c>
      <c r="AB3182" t="s">
        <v>116</v>
      </c>
      <c r="AC3182">
        <v>73900</v>
      </c>
      <c r="AD3182">
        <v>0</v>
      </c>
      <c r="AE3182" t="s">
        <v>116</v>
      </c>
      <c r="AF3182" t="s">
        <v>116</v>
      </c>
      <c r="AG3182">
        <v>4.01</v>
      </c>
      <c r="AH3182" t="s">
        <v>13792</v>
      </c>
      <c r="AI3182" t="s">
        <v>13793</v>
      </c>
      <c r="AJ3182">
        <v>-0.24</v>
      </c>
      <c r="AK3182">
        <v>2145</v>
      </c>
      <c r="AL3182">
        <v>48</v>
      </c>
      <c r="AM3182">
        <v>1.1999999999999999E-3</v>
      </c>
      <c r="AN3182">
        <v>-1</v>
      </c>
      <c r="AO3182">
        <v>0.48</v>
      </c>
      <c r="AP3182">
        <v>8.92</v>
      </c>
      <c r="AQ3182">
        <v>-5.61</v>
      </c>
      <c r="AR3182">
        <v>45.22</v>
      </c>
      <c r="AS3182">
        <v>2.57</v>
      </c>
      <c r="AT3182" t="s">
        <v>13792</v>
      </c>
      <c r="AU3182">
        <v>15.66</v>
      </c>
      <c r="AV3182">
        <v>18.88</v>
      </c>
      <c r="AW3182">
        <v>1.47</v>
      </c>
      <c r="BA3182">
        <v>0.16</v>
      </c>
      <c r="BB3182">
        <v>1.76</v>
      </c>
      <c r="BC3182">
        <v>-0.8</v>
      </c>
      <c r="BD3182">
        <v>0.64</v>
      </c>
      <c r="BE3182">
        <v>-0.48</v>
      </c>
      <c r="BF3182">
        <v>-2.04</v>
      </c>
      <c r="BG3182">
        <v>0.48</v>
      </c>
      <c r="BH3182">
        <v>-0.96</v>
      </c>
      <c r="BI3182">
        <v>20191030</v>
      </c>
      <c r="BJ3182">
        <v>20170821</v>
      </c>
      <c r="BK3182">
        <v>18.23</v>
      </c>
      <c r="BL3182" t="s">
        <v>116</v>
      </c>
      <c r="BM3182" t="s">
        <v>116</v>
      </c>
      <c r="BN3182">
        <v>126.9</v>
      </c>
      <c r="BO3182">
        <v>63.21</v>
      </c>
      <c r="BP3182">
        <v>9.73</v>
      </c>
      <c r="BQ3182">
        <v>42.52</v>
      </c>
      <c r="BR3182">
        <v>99.7</v>
      </c>
      <c r="BS3182">
        <v>10.52</v>
      </c>
      <c r="BT3182">
        <v>6.89</v>
      </c>
      <c r="BU3182">
        <v>35.56</v>
      </c>
      <c r="BV3182">
        <v>31.57</v>
      </c>
      <c r="BW3182">
        <v>9.69</v>
      </c>
      <c r="BX3182">
        <v>11.69</v>
      </c>
      <c r="BY3182">
        <v>39.57</v>
      </c>
      <c r="BZ3182">
        <v>27.69</v>
      </c>
      <c r="CA3182">
        <v>3.88</v>
      </c>
      <c r="CB3182">
        <v>0.1</v>
      </c>
      <c r="CC3182">
        <v>3.93</v>
      </c>
      <c r="CD3182">
        <v>3.75</v>
      </c>
      <c r="CE3182">
        <v>3.58</v>
      </c>
      <c r="CF3182">
        <v>2.71</v>
      </c>
      <c r="CG3182">
        <v>33.340000000000003</v>
      </c>
      <c r="CH3182">
        <v>-0.08</v>
      </c>
      <c r="CI3182">
        <v>-2.91</v>
      </c>
      <c r="CJ3182">
        <v>60133</v>
      </c>
      <c r="CK3182">
        <v>6669</v>
      </c>
      <c r="CL3182" t="s">
        <v>4837</v>
      </c>
      <c r="CM3182">
        <v>52.58</v>
      </c>
      <c r="CN3182">
        <v>21.96</v>
      </c>
      <c r="CO3182">
        <v>1.8</v>
      </c>
      <c r="CP3182">
        <v>-1356.5</v>
      </c>
      <c r="CQ3182">
        <v>2.87</v>
      </c>
      <c r="CR3182">
        <v>1.61</v>
      </c>
      <c r="CS3182" t="s">
        <v>4390</v>
      </c>
      <c r="CT3182">
        <v>3.47</v>
      </c>
      <c r="CU3182">
        <v>0</v>
      </c>
      <c r="CV3182">
        <v>0.64</v>
      </c>
      <c r="CW3182">
        <v>1.83</v>
      </c>
      <c r="CX3182">
        <v>0</v>
      </c>
      <c r="CY3182">
        <v>49.81</v>
      </c>
      <c r="CZ3182" t="s">
        <v>4881</v>
      </c>
      <c r="DA3182">
        <v>30.02</v>
      </c>
      <c r="DB3182">
        <v>9.8000000000000007</v>
      </c>
      <c r="DC3182">
        <v>9.0500000000000007</v>
      </c>
      <c r="DD3182">
        <v>0.2</v>
      </c>
      <c r="DE3182">
        <v>4033</v>
      </c>
      <c r="DF3182">
        <v>601949</v>
      </c>
      <c r="DG3182" t="s">
        <v>116</v>
      </c>
      <c r="DH3182" t="s">
        <v>116</v>
      </c>
      <c r="DI3182" t="s">
        <v>116</v>
      </c>
    </row>
    <row r="3183" spans="1:113" x14ac:dyDescent="0.4">
      <c r="A3183" t="str">
        <f>"601952"</f>
        <v>601952</v>
      </c>
      <c r="B3183" t="s">
        <v>13794</v>
      </c>
      <c r="C3183">
        <v>-0.15</v>
      </c>
      <c r="D3183">
        <v>6.83</v>
      </c>
      <c r="E3183">
        <v>-0.01</v>
      </c>
      <c r="F3183">
        <v>6.82</v>
      </c>
      <c r="G3183">
        <v>6.83</v>
      </c>
      <c r="H3183">
        <v>129615</v>
      </c>
      <c r="I3183">
        <v>1074</v>
      </c>
      <c r="J3183">
        <v>0</v>
      </c>
      <c r="K3183">
        <v>3.17</v>
      </c>
      <c r="L3183">
        <v>6.81</v>
      </c>
      <c r="M3183">
        <v>6.9</v>
      </c>
      <c r="N3183">
        <v>6.79</v>
      </c>
      <c r="O3183">
        <v>6.84</v>
      </c>
      <c r="P3183">
        <v>18.239999999999998</v>
      </c>
      <c r="Q3183">
        <v>88682608</v>
      </c>
      <c r="R3183">
        <v>0.8</v>
      </c>
      <c r="S3183" t="s">
        <v>1871</v>
      </c>
      <c r="T3183" t="s">
        <v>323</v>
      </c>
      <c r="U3183">
        <v>1.61</v>
      </c>
      <c r="V3183">
        <v>6.84</v>
      </c>
      <c r="W3183">
        <v>67230</v>
      </c>
      <c r="X3183">
        <v>62385</v>
      </c>
      <c r="Y3183">
        <v>1.08</v>
      </c>
      <c r="Z3183">
        <v>1118</v>
      </c>
      <c r="AA3183">
        <v>651</v>
      </c>
      <c r="AB3183" t="s">
        <v>116</v>
      </c>
      <c r="AC3183">
        <v>422200</v>
      </c>
      <c r="AD3183">
        <v>0.02</v>
      </c>
      <c r="AE3183" t="s">
        <v>116</v>
      </c>
      <c r="AF3183" t="s">
        <v>116</v>
      </c>
      <c r="AG3183">
        <v>4.09</v>
      </c>
      <c r="AH3183" t="s">
        <v>2054</v>
      </c>
      <c r="AI3183" t="s">
        <v>13795</v>
      </c>
      <c r="AJ3183">
        <v>-7.0000000000000007E-2</v>
      </c>
      <c r="AK3183">
        <v>1795</v>
      </c>
      <c r="AL3183">
        <v>72</v>
      </c>
      <c r="AM3183">
        <v>1.8E-3</v>
      </c>
      <c r="AN3183">
        <v>-1</v>
      </c>
      <c r="AO3183">
        <v>-0.73</v>
      </c>
      <c r="AP3183">
        <v>3.48</v>
      </c>
      <c r="AQ3183">
        <v>2.86</v>
      </c>
      <c r="AR3183">
        <v>6.22</v>
      </c>
      <c r="AS3183">
        <v>3.27</v>
      </c>
      <c r="AT3183" t="s">
        <v>5170</v>
      </c>
      <c r="AU3183">
        <v>17.190000000000001</v>
      </c>
      <c r="AV3183">
        <v>15.55</v>
      </c>
      <c r="AW3183">
        <v>0.65</v>
      </c>
      <c r="BA3183">
        <v>-0.44</v>
      </c>
      <c r="BB3183">
        <v>0.88</v>
      </c>
      <c r="BC3183">
        <v>-0.73</v>
      </c>
      <c r="BD3183">
        <v>0.03</v>
      </c>
      <c r="BE3183">
        <v>0.28999999999999998</v>
      </c>
      <c r="BF3183">
        <v>-1.01</v>
      </c>
      <c r="BG3183">
        <v>0.59</v>
      </c>
      <c r="BH3183">
        <v>-0.18</v>
      </c>
      <c r="BI3183">
        <v>20191029</v>
      </c>
      <c r="BJ3183">
        <v>20170515</v>
      </c>
      <c r="BK3183">
        <v>13.78</v>
      </c>
      <c r="BL3183" t="s">
        <v>116</v>
      </c>
      <c r="BM3183" t="s">
        <v>116</v>
      </c>
      <c r="BN3183">
        <v>76.819999999999993</v>
      </c>
      <c r="BO3183">
        <v>57.06</v>
      </c>
      <c r="BP3183">
        <v>3.49</v>
      </c>
      <c r="BQ3183">
        <v>21.19</v>
      </c>
      <c r="BR3183">
        <v>57.84</v>
      </c>
      <c r="BS3183">
        <v>14.32</v>
      </c>
      <c r="BT3183">
        <v>1.94</v>
      </c>
      <c r="BU3183">
        <v>14.06</v>
      </c>
      <c r="BV3183">
        <v>27.62</v>
      </c>
      <c r="BW3183">
        <v>3.46</v>
      </c>
      <c r="BX3183">
        <v>19.96</v>
      </c>
      <c r="BY3183">
        <v>51.7</v>
      </c>
      <c r="BZ3183">
        <v>45.28</v>
      </c>
      <c r="CA3183">
        <v>4.33</v>
      </c>
      <c r="CB3183">
        <v>0.48</v>
      </c>
      <c r="CC3183">
        <v>4.3099999999999996</v>
      </c>
      <c r="CD3183">
        <v>4.0199999999999996</v>
      </c>
      <c r="CE3183">
        <v>3.87</v>
      </c>
      <c r="CF3183">
        <v>3.19</v>
      </c>
      <c r="CG3183">
        <v>20.62</v>
      </c>
      <c r="CH3183">
        <v>-0.4</v>
      </c>
      <c r="CI3183">
        <v>-4.46</v>
      </c>
      <c r="CJ3183">
        <v>59500</v>
      </c>
      <c r="CK3183">
        <v>6655</v>
      </c>
      <c r="CL3183" t="s">
        <v>4962</v>
      </c>
      <c r="CM3183">
        <v>-13.04</v>
      </c>
      <c r="CN3183">
        <v>60.4</v>
      </c>
      <c r="CO3183">
        <v>1.65</v>
      </c>
      <c r="CP3183">
        <v>-235.8</v>
      </c>
      <c r="CQ3183">
        <v>1.82</v>
      </c>
      <c r="CR3183">
        <v>2.93</v>
      </c>
      <c r="CS3183" t="s">
        <v>5168</v>
      </c>
      <c r="CT3183">
        <v>4.1399999999999997</v>
      </c>
      <c r="CU3183">
        <v>0</v>
      </c>
      <c r="CV3183">
        <v>1.45</v>
      </c>
      <c r="CW3183">
        <v>1.5</v>
      </c>
      <c r="CX3183">
        <v>-0.03</v>
      </c>
      <c r="CY3183">
        <v>74.27</v>
      </c>
      <c r="CZ3183" t="s">
        <v>12527</v>
      </c>
      <c r="DA3183">
        <v>12.42</v>
      </c>
      <c r="DB3183">
        <v>8.3699999999999992</v>
      </c>
      <c r="DC3183">
        <v>7.49</v>
      </c>
      <c r="DD3183">
        <v>0.19</v>
      </c>
      <c r="DE3183">
        <v>11172</v>
      </c>
      <c r="DF3183">
        <v>601952</v>
      </c>
      <c r="DG3183" t="s">
        <v>116</v>
      </c>
      <c r="DH3183" t="s">
        <v>116</v>
      </c>
      <c r="DI3183" t="s">
        <v>116</v>
      </c>
    </row>
    <row r="3184" spans="1:113" x14ac:dyDescent="0.4">
      <c r="A3184" t="str">
        <f>"601958"</f>
        <v>601958</v>
      </c>
      <c r="B3184" t="s">
        <v>13796</v>
      </c>
      <c r="C3184">
        <v>2.44</v>
      </c>
      <c r="D3184">
        <v>7.97</v>
      </c>
      <c r="E3184">
        <v>0.19</v>
      </c>
      <c r="F3184">
        <v>7.96</v>
      </c>
      <c r="G3184">
        <v>7.97</v>
      </c>
      <c r="H3184">
        <v>305144</v>
      </c>
      <c r="I3184">
        <v>2308</v>
      </c>
      <c r="J3184">
        <v>0.25</v>
      </c>
      <c r="K3184">
        <v>0.95</v>
      </c>
      <c r="L3184">
        <v>7.77</v>
      </c>
      <c r="M3184">
        <v>8.1999999999999993</v>
      </c>
      <c r="N3184">
        <v>7.75</v>
      </c>
      <c r="O3184">
        <v>7.78</v>
      </c>
      <c r="P3184">
        <v>43.21</v>
      </c>
      <c r="Q3184">
        <v>243639584</v>
      </c>
      <c r="R3184">
        <v>1.68</v>
      </c>
      <c r="S3184" t="s">
        <v>1509</v>
      </c>
      <c r="T3184" t="s">
        <v>913</v>
      </c>
      <c r="U3184">
        <v>5.78</v>
      </c>
      <c r="V3184">
        <v>7.98</v>
      </c>
      <c r="W3184">
        <v>130351</v>
      </c>
      <c r="X3184">
        <v>174793</v>
      </c>
      <c r="Y3184">
        <v>0.75</v>
      </c>
      <c r="Z3184">
        <v>13</v>
      </c>
      <c r="AA3184">
        <v>1232</v>
      </c>
      <c r="AB3184" t="s">
        <v>116</v>
      </c>
      <c r="AC3184">
        <v>594400</v>
      </c>
      <c r="AD3184">
        <v>0.01</v>
      </c>
      <c r="AE3184" t="s">
        <v>116</v>
      </c>
      <c r="AF3184" t="s">
        <v>116</v>
      </c>
      <c r="AG3184">
        <v>32.270000000000003</v>
      </c>
      <c r="AH3184" t="s">
        <v>13797</v>
      </c>
      <c r="AI3184" t="s">
        <v>13797</v>
      </c>
      <c r="AJ3184">
        <v>2.52</v>
      </c>
      <c r="AK3184">
        <v>3680</v>
      </c>
      <c r="AL3184">
        <v>83</v>
      </c>
      <c r="AM3184">
        <v>2.9999999999999997E-4</v>
      </c>
      <c r="AN3184">
        <v>2</v>
      </c>
      <c r="AO3184">
        <v>1.1399999999999999</v>
      </c>
      <c r="AP3184">
        <v>11</v>
      </c>
      <c r="AQ3184">
        <v>9.7799999999999994</v>
      </c>
      <c r="AR3184">
        <v>37.89</v>
      </c>
      <c r="AS3184">
        <v>3.78</v>
      </c>
      <c r="AT3184" t="s">
        <v>13798</v>
      </c>
      <c r="AU3184">
        <v>42.8</v>
      </c>
      <c r="AV3184">
        <v>67.430000000000007</v>
      </c>
      <c r="AW3184">
        <v>0.7</v>
      </c>
      <c r="BA3184">
        <v>-0.13</v>
      </c>
      <c r="BB3184">
        <v>5.4</v>
      </c>
      <c r="BC3184">
        <v>-0.39</v>
      </c>
      <c r="BD3184">
        <v>2.63</v>
      </c>
      <c r="BE3184">
        <v>2.57</v>
      </c>
      <c r="BF3184">
        <v>-2.8</v>
      </c>
      <c r="BG3184">
        <v>2.84</v>
      </c>
      <c r="BH3184">
        <v>-0.19</v>
      </c>
      <c r="BI3184">
        <v>20191025</v>
      </c>
      <c r="BJ3184">
        <v>20080417</v>
      </c>
      <c r="BK3184">
        <v>32.270000000000003</v>
      </c>
      <c r="BL3184" t="s">
        <v>116</v>
      </c>
      <c r="BM3184" t="s">
        <v>116</v>
      </c>
      <c r="BN3184">
        <v>153.61000000000001</v>
      </c>
      <c r="BO3184">
        <v>131.91999999999999</v>
      </c>
      <c r="BP3184">
        <v>4.16</v>
      </c>
      <c r="BQ3184">
        <v>11.42</v>
      </c>
      <c r="BR3184">
        <v>53.2</v>
      </c>
      <c r="BS3184">
        <v>46.39</v>
      </c>
      <c r="BT3184">
        <v>17.440000000000001</v>
      </c>
      <c r="BU3184">
        <v>11.48</v>
      </c>
      <c r="BV3184">
        <v>6.51</v>
      </c>
      <c r="BW3184">
        <v>5.35</v>
      </c>
      <c r="BX3184">
        <v>67.53</v>
      </c>
      <c r="BY3184">
        <v>67.23</v>
      </c>
      <c r="BZ3184">
        <v>53.12</v>
      </c>
      <c r="CA3184">
        <v>6.55</v>
      </c>
      <c r="CB3184">
        <v>0.02</v>
      </c>
      <c r="CC3184">
        <v>6.53</v>
      </c>
      <c r="CD3184">
        <v>5.26</v>
      </c>
      <c r="CE3184">
        <v>4.46</v>
      </c>
      <c r="CF3184">
        <v>4.26</v>
      </c>
      <c r="CG3184">
        <v>22.67</v>
      </c>
      <c r="CH3184">
        <v>8.6199999999999992</v>
      </c>
      <c r="CI3184">
        <v>2.21</v>
      </c>
      <c r="CJ3184">
        <v>87025</v>
      </c>
      <c r="CK3184">
        <v>9275</v>
      </c>
      <c r="CL3184" t="s">
        <v>2018</v>
      </c>
      <c r="CM3184">
        <v>96.71</v>
      </c>
      <c r="CN3184">
        <v>3.71</v>
      </c>
      <c r="CO3184">
        <v>1.95</v>
      </c>
      <c r="CP3184">
        <v>29.82</v>
      </c>
      <c r="CQ3184">
        <v>3.83</v>
      </c>
      <c r="CR3184">
        <v>1.76</v>
      </c>
      <c r="CS3184" t="s">
        <v>2019</v>
      </c>
      <c r="CT3184">
        <v>4.09</v>
      </c>
      <c r="CU3184">
        <v>0</v>
      </c>
      <c r="CV3184">
        <v>2.09</v>
      </c>
      <c r="CW3184">
        <v>0.7</v>
      </c>
      <c r="CX3184">
        <v>0.27</v>
      </c>
      <c r="CY3184">
        <v>85.88</v>
      </c>
      <c r="CZ3184" t="s">
        <v>3229</v>
      </c>
      <c r="DA3184">
        <v>20.98</v>
      </c>
      <c r="DB3184">
        <v>9.74</v>
      </c>
      <c r="DC3184">
        <v>6.64</v>
      </c>
      <c r="DD3184">
        <v>1.61</v>
      </c>
      <c r="DE3184">
        <v>5501</v>
      </c>
      <c r="DF3184">
        <v>601958</v>
      </c>
      <c r="DG3184" t="s">
        <v>116</v>
      </c>
      <c r="DH3184" t="s">
        <v>116</v>
      </c>
      <c r="DI3184" t="s">
        <v>116</v>
      </c>
    </row>
    <row r="3185" spans="1:113" x14ac:dyDescent="0.4">
      <c r="A3185" t="str">
        <f>"601965"</f>
        <v>601965</v>
      </c>
      <c r="B3185" t="s">
        <v>13799</v>
      </c>
      <c r="C3185">
        <v>4.3099999999999996</v>
      </c>
      <c r="D3185">
        <v>8.23</v>
      </c>
      <c r="E3185">
        <v>0.34</v>
      </c>
      <c r="F3185">
        <v>8.2200000000000006</v>
      </c>
      <c r="G3185">
        <v>8.23</v>
      </c>
      <c r="H3185">
        <v>109829</v>
      </c>
      <c r="I3185">
        <v>2488</v>
      </c>
      <c r="J3185">
        <v>0.61</v>
      </c>
      <c r="K3185">
        <v>1.1399999999999999</v>
      </c>
      <c r="L3185">
        <v>7.87</v>
      </c>
      <c r="M3185">
        <v>8.39</v>
      </c>
      <c r="N3185">
        <v>7.82</v>
      </c>
      <c r="O3185">
        <v>7.89</v>
      </c>
      <c r="P3185">
        <v>20.88</v>
      </c>
      <c r="Q3185">
        <v>90012104</v>
      </c>
      <c r="R3185">
        <v>3.39</v>
      </c>
      <c r="S3185" t="s">
        <v>256</v>
      </c>
      <c r="T3185" t="s">
        <v>906</v>
      </c>
      <c r="U3185">
        <v>7.22</v>
      </c>
      <c r="V3185">
        <v>8.1999999999999993</v>
      </c>
      <c r="W3185">
        <v>44554</v>
      </c>
      <c r="X3185">
        <v>65275</v>
      </c>
      <c r="Y3185">
        <v>0.68</v>
      </c>
      <c r="Z3185">
        <v>545</v>
      </c>
      <c r="AA3185">
        <v>373</v>
      </c>
      <c r="AB3185" t="s">
        <v>116</v>
      </c>
      <c r="AC3185">
        <v>121200</v>
      </c>
      <c r="AD3185">
        <v>0</v>
      </c>
      <c r="AE3185" t="s">
        <v>116</v>
      </c>
      <c r="AF3185" t="s">
        <v>116</v>
      </c>
      <c r="AG3185">
        <v>9.61</v>
      </c>
      <c r="AH3185" t="s">
        <v>13800</v>
      </c>
      <c r="AI3185" t="s">
        <v>5212</v>
      </c>
      <c r="AJ3185">
        <v>4.3899999999999997</v>
      </c>
      <c r="AK3185">
        <v>2228</v>
      </c>
      <c r="AL3185">
        <v>49</v>
      </c>
      <c r="AM3185">
        <v>5.0000000000000001E-4</v>
      </c>
      <c r="AN3185">
        <v>4</v>
      </c>
      <c r="AO3185">
        <v>7.43</v>
      </c>
      <c r="AP3185">
        <v>15.75</v>
      </c>
      <c r="AQ3185">
        <v>11.97</v>
      </c>
      <c r="AR3185">
        <v>20.5</v>
      </c>
      <c r="AS3185">
        <v>3.36</v>
      </c>
      <c r="AT3185" t="s">
        <v>13801</v>
      </c>
      <c r="AU3185">
        <v>18.46</v>
      </c>
      <c r="AV3185">
        <v>19.8</v>
      </c>
      <c r="AW3185">
        <v>0.97</v>
      </c>
      <c r="BA3185">
        <v>-0.25</v>
      </c>
      <c r="BB3185">
        <v>6.34</v>
      </c>
      <c r="BC3185">
        <v>-0.89</v>
      </c>
      <c r="BD3185">
        <v>3.87</v>
      </c>
      <c r="BE3185">
        <v>4.57</v>
      </c>
      <c r="BF3185">
        <v>-1.91</v>
      </c>
      <c r="BG3185">
        <v>5.24</v>
      </c>
      <c r="BH3185">
        <v>0.44</v>
      </c>
      <c r="BI3185">
        <v>20191029</v>
      </c>
      <c r="BJ3185">
        <v>20120611</v>
      </c>
      <c r="BK3185">
        <v>9.6999999999999993</v>
      </c>
      <c r="BL3185" t="s">
        <v>116</v>
      </c>
      <c r="BM3185" t="s">
        <v>116</v>
      </c>
      <c r="BN3185">
        <v>56.77</v>
      </c>
      <c r="BO3185">
        <v>45.11</v>
      </c>
      <c r="BP3185">
        <v>0.17</v>
      </c>
      <c r="BQ3185">
        <v>20.239999999999998</v>
      </c>
      <c r="BR3185">
        <v>24.86</v>
      </c>
      <c r="BS3185">
        <v>19.37</v>
      </c>
      <c r="BT3185">
        <v>2.33</v>
      </c>
      <c r="BU3185">
        <v>9.86</v>
      </c>
      <c r="BV3185">
        <v>3.54</v>
      </c>
      <c r="BW3185">
        <v>4.4400000000000004</v>
      </c>
      <c r="BX3185">
        <v>14.62</v>
      </c>
      <c r="BY3185">
        <v>16.89</v>
      </c>
      <c r="BZ3185">
        <v>11.91</v>
      </c>
      <c r="CA3185">
        <v>3.38</v>
      </c>
      <c r="CB3185">
        <v>0.04</v>
      </c>
      <c r="CC3185">
        <v>3.4</v>
      </c>
      <c r="CD3185">
        <v>2.88</v>
      </c>
      <c r="CE3185">
        <v>2.87</v>
      </c>
      <c r="CF3185">
        <v>2.67</v>
      </c>
      <c r="CG3185">
        <v>18.79</v>
      </c>
      <c r="CH3185">
        <v>2.11</v>
      </c>
      <c r="CI3185">
        <v>-3.85</v>
      </c>
      <c r="CJ3185">
        <v>26574</v>
      </c>
      <c r="CK3185">
        <v>12285</v>
      </c>
      <c r="CL3185" t="s">
        <v>13802</v>
      </c>
      <c r="CM3185">
        <v>11.33</v>
      </c>
      <c r="CN3185">
        <v>-15.89</v>
      </c>
      <c r="CO3185">
        <v>1.77</v>
      </c>
      <c r="CP3185">
        <v>37.909999999999997</v>
      </c>
      <c r="CQ3185">
        <v>4.7300000000000004</v>
      </c>
      <c r="CR3185">
        <v>3.04</v>
      </c>
      <c r="CS3185" t="s">
        <v>3028</v>
      </c>
      <c r="CT3185">
        <v>4.6500000000000004</v>
      </c>
      <c r="CU3185">
        <v>0</v>
      </c>
      <c r="CV3185">
        <v>1.51</v>
      </c>
      <c r="CW3185">
        <v>1.94</v>
      </c>
      <c r="CX3185">
        <v>0.22</v>
      </c>
      <c r="CY3185">
        <v>79.459999999999994</v>
      </c>
      <c r="CZ3185" t="s">
        <v>12710</v>
      </c>
      <c r="DA3185">
        <v>29.46</v>
      </c>
      <c r="DB3185">
        <v>20.010000000000002</v>
      </c>
      <c r="DC3185">
        <v>16.98</v>
      </c>
      <c r="DD3185">
        <v>0.47</v>
      </c>
      <c r="DE3185">
        <v>1456</v>
      </c>
      <c r="DF3185">
        <v>601965</v>
      </c>
      <c r="DG3185" t="s">
        <v>116</v>
      </c>
      <c r="DH3185" t="s">
        <v>116</v>
      </c>
      <c r="DI3185" t="s">
        <v>116</v>
      </c>
    </row>
    <row r="3186" spans="1:113" x14ac:dyDescent="0.4">
      <c r="A3186" t="str">
        <f>"601966"</f>
        <v>601966</v>
      </c>
      <c r="B3186" t="s">
        <v>13803</v>
      </c>
      <c r="C3186">
        <v>-1.42</v>
      </c>
      <c r="D3186">
        <v>22.26</v>
      </c>
      <c r="E3186">
        <v>-0.32</v>
      </c>
      <c r="F3186">
        <v>22.26</v>
      </c>
      <c r="G3186">
        <v>22.27</v>
      </c>
      <c r="H3186">
        <v>57198</v>
      </c>
      <c r="I3186">
        <v>200</v>
      </c>
      <c r="J3186">
        <v>-0.17</v>
      </c>
      <c r="K3186">
        <v>0.48</v>
      </c>
      <c r="L3186">
        <v>22.65</v>
      </c>
      <c r="M3186">
        <v>22.82</v>
      </c>
      <c r="N3186">
        <v>22.22</v>
      </c>
      <c r="O3186">
        <v>22.58</v>
      </c>
      <c r="P3186">
        <v>16.5</v>
      </c>
      <c r="Q3186">
        <v>128075720</v>
      </c>
      <c r="R3186">
        <v>0.92</v>
      </c>
      <c r="S3186" t="s">
        <v>293</v>
      </c>
      <c r="T3186" t="s">
        <v>645</v>
      </c>
      <c r="U3186">
        <v>2.66</v>
      </c>
      <c r="V3186">
        <v>22.39</v>
      </c>
      <c r="W3186">
        <v>33595</v>
      </c>
      <c r="X3186">
        <v>23603</v>
      </c>
      <c r="Y3186">
        <v>1.42</v>
      </c>
      <c r="Z3186">
        <v>243</v>
      </c>
      <c r="AA3186">
        <v>5</v>
      </c>
      <c r="AB3186" t="s">
        <v>116</v>
      </c>
      <c r="AC3186">
        <v>79300</v>
      </c>
      <c r="AD3186">
        <v>0</v>
      </c>
      <c r="AE3186" t="s">
        <v>116</v>
      </c>
      <c r="AF3186" t="s">
        <v>116</v>
      </c>
      <c r="AG3186">
        <v>12</v>
      </c>
      <c r="AH3186" t="s">
        <v>13804</v>
      </c>
      <c r="AI3186" t="s">
        <v>13804</v>
      </c>
      <c r="AJ3186">
        <v>-1.34</v>
      </c>
      <c r="AK3186">
        <v>3406</v>
      </c>
      <c r="AL3186">
        <v>17</v>
      </c>
      <c r="AM3186">
        <v>1E-4</v>
      </c>
      <c r="AN3186">
        <v>-2</v>
      </c>
      <c r="AO3186">
        <v>-1.21</v>
      </c>
      <c r="AP3186">
        <v>8.48</v>
      </c>
      <c r="AQ3186">
        <v>7.85</v>
      </c>
      <c r="AR3186">
        <v>66.739999999999995</v>
      </c>
      <c r="AS3186">
        <v>1.45</v>
      </c>
      <c r="AT3186" t="s">
        <v>6919</v>
      </c>
      <c r="AU3186">
        <v>17.670000000000002</v>
      </c>
      <c r="AV3186">
        <v>22.61</v>
      </c>
      <c r="AW3186">
        <v>1.01</v>
      </c>
      <c r="BA3186">
        <v>0.31</v>
      </c>
      <c r="BB3186">
        <v>1.06</v>
      </c>
      <c r="BC3186">
        <v>-1.59</v>
      </c>
      <c r="BD3186">
        <v>-0.83</v>
      </c>
      <c r="BE3186">
        <v>-1.72</v>
      </c>
      <c r="BF3186">
        <v>-2.4500000000000002</v>
      </c>
      <c r="BG3186">
        <v>0.18</v>
      </c>
      <c r="BH3186">
        <v>-0.57999999999999996</v>
      </c>
      <c r="BI3186">
        <v>20191026</v>
      </c>
      <c r="BJ3186">
        <v>20160706</v>
      </c>
      <c r="BK3186">
        <v>12</v>
      </c>
      <c r="BL3186" t="s">
        <v>116</v>
      </c>
      <c r="BM3186" t="s">
        <v>116</v>
      </c>
      <c r="BN3186">
        <v>250.43</v>
      </c>
      <c r="BO3186">
        <v>105.75</v>
      </c>
      <c r="BP3186">
        <v>0.06</v>
      </c>
      <c r="BQ3186">
        <v>57.75</v>
      </c>
      <c r="BR3186">
        <v>95.01</v>
      </c>
      <c r="BS3186">
        <v>106.19</v>
      </c>
      <c r="BT3186">
        <v>7.69</v>
      </c>
      <c r="BU3186">
        <v>94.26</v>
      </c>
      <c r="BV3186">
        <v>26.84</v>
      </c>
      <c r="BW3186">
        <v>25.71</v>
      </c>
      <c r="BX3186">
        <v>26.66</v>
      </c>
      <c r="BY3186">
        <v>125.09</v>
      </c>
      <c r="BZ3186">
        <v>92.56</v>
      </c>
      <c r="CA3186">
        <v>12.68</v>
      </c>
      <c r="CB3186">
        <v>0.3</v>
      </c>
      <c r="CC3186">
        <v>12.81</v>
      </c>
      <c r="CD3186">
        <v>12.14</v>
      </c>
      <c r="CE3186">
        <v>12.14</v>
      </c>
      <c r="CF3186">
        <v>11.17</v>
      </c>
      <c r="CG3186">
        <v>61.35</v>
      </c>
      <c r="CH3186">
        <v>18.14</v>
      </c>
      <c r="CI3186">
        <v>-19.97</v>
      </c>
      <c r="CJ3186">
        <v>46324</v>
      </c>
      <c r="CK3186">
        <v>8514</v>
      </c>
      <c r="CL3186" t="s">
        <v>13805</v>
      </c>
      <c r="CM3186">
        <v>37.380000000000003</v>
      </c>
      <c r="CN3186">
        <v>13.26</v>
      </c>
      <c r="CO3186">
        <v>2.59</v>
      </c>
      <c r="CP3186">
        <v>14.72</v>
      </c>
      <c r="CQ3186">
        <v>2.14</v>
      </c>
      <c r="CR3186">
        <v>1.32</v>
      </c>
      <c r="CS3186" t="s">
        <v>13806</v>
      </c>
      <c r="CT3186">
        <v>8.59</v>
      </c>
      <c r="CU3186">
        <v>8.59</v>
      </c>
      <c r="CV3186">
        <v>2.2200000000000002</v>
      </c>
      <c r="CW3186">
        <v>5.1100000000000003</v>
      </c>
      <c r="CX3186">
        <v>1.51</v>
      </c>
      <c r="CY3186">
        <v>42.23</v>
      </c>
      <c r="CZ3186" t="s">
        <v>2860</v>
      </c>
      <c r="DA3186">
        <v>26</v>
      </c>
      <c r="DB3186">
        <v>10.130000000000001</v>
      </c>
      <c r="DC3186">
        <v>9.7100000000000009</v>
      </c>
      <c r="DD3186">
        <v>5.29</v>
      </c>
      <c r="DE3186">
        <v>15240</v>
      </c>
      <c r="DF3186">
        <v>601966</v>
      </c>
      <c r="DG3186" t="s">
        <v>116</v>
      </c>
      <c r="DH3186" t="s">
        <v>116</v>
      </c>
      <c r="DI3186" t="s">
        <v>116</v>
      </c>
    </row>
    <row r="3187" spans="1:113" x14ac:dyDescent="0.4">
      <c r="A3187" t="str">
        <f>"601968"</f>
        <v>601968</v>
      </c>
      <c r="B3187" t="s">
        <v>13807</v>
      </c>
      <c r="C3187">
        <v>-0.98</v>
      </c>
      <c r="D3187">
        <v>5.0599999999999996</v>
      </c>
      <c r="E3187">
        <v>-0.05</v>
      </c>
      <c r="F3187">
        <v>5.05</v>
      </c>
      <c r="G3187">
        <v>5.0599999999999996</v>
      </c>
      <c r="H3187">
        <v>30774</v>
      </c>
      <c r="I3187">
        <v>697</v>
      </c>
      <c r="J3187">
        <v>0.6</v>
      </c>
      <c r="K3187">
        <v>0.37</v>
      </c>
      <c r="L3187">
        <v>5.1100000000000003</v>
      </c>
      <c r="M3187">
        <v>5.16</v>
      </c>
      <c r="N3187">
        <v>5</v>
      </c>
      <c r="O3187">
        <v>5.1100000000000003</v>
      </c>
      <c r="P3187">
        <v>42.87</v>
      </c>
      <c r="Q3187">
        <v>15618033</v>
      </c>
      <c r="R3187">
        <v>1.56</v>
      </c>
      <c r="S3187" t="s">
        <v>345</v>
      </c>
      <c r="T3187" t="s">
        <v>1653</v>
      </c>
      <c r="U3187">
        <v>3.13</v>
      </c>
      <c r="V3187">
        <v>5.08</v>
      </c>
      <c r="W3187">
        <v>18879</v>
      </c>
      <c r="X3187">
        <v>11895</v>
      </c>
      <c r="Y3187">
        <v>1.59</v>
      </c>
      <c r="Z3187">
        <v>359</v>
      </c>
      <c r="AA3187">
        <v>42</v>
      </c>
      <c r="AB3187" t="s">
        <v>116</v>
      </c>
      <c r="AC3187">
        <v>5600</v>
      </c>
      <c r="AD3187">
        <v>0</v>
      </c>
      <c r="AE3187" t="s">
        <v>116</v>
      </c>
      <c r="AF3187" t="s">
        <v>116</v>
      </c>
      <c r="AG3187">
        <v>8.33</v>
      </c>
      <c r="AH3187" t="s">
        <v>762</v>
      </c>
      <c r="AI3187" t="s">
        <v>762</v>
      </c>
      <c r="AJ3187">
        <v>-0.9</v>
      </c>
      <c r="AK3187">
        <v>762</v>
      </c>
      <c r="AL3187">
        <v>40</v>
      </c>
      <c r="AM3187">
        <v>5.0000000000000001E-4</v>
      </c>
      <c r="AN3187">
        <v>-1</v>
      </c>
      <c r="AO3187">
        <v>-0.57999999999999996</v>
      </c>
      <c r="AP3187">
        <v>-6.3</v>
      </c>
      <c r="AQ3187">
        <v>11.95</v>
      </c>
      <c r="AR3187">
        <v>27.65</v>
      </c>
      <c r="AS3187">
        <v>0.92</v>
      </c>
      <c r="AT3187" t="s">
        <v>6924</v>
      </c>
      <c r="AU3187">
        <v>48.47</v>
      </c>
      <c r="AV3187">
        <v>100.66</v>
      </c>
      <c r="AW3187">
        <v>0.96</v>
      </c>
      <c r="BA3187">
        <v>0</v>
      </c>
      <c r="BB3187">
        <v>0.98</v>
      </c>
      <c r="BC3187">
        <v>-2.15</v>
      </c>
      <c r="BD3187">
        <v>-0.68</v>
      </c>
      <c r="BE3187">
        <v>-0.98</v>
      </c>
      <c r="BF3187">
        <v>-1.94</v>
      </c>
      <c r="BG3187">
        <v>1.2</v>
      </c>
      <c r="BH3187">
        <v>-0.3</v>
      </c>
      <c r="BI3187">
        <v>20191030</v>
      </c>
      <c r="BJ3187">
        <v>20150611</v>
      </c>
      <c r="BK3187">
        <v>8.33</v>
      </c>
      <c r="BL3187" t="s">
        <v>116</v>
      </c>
      <c r="BM3187" t="s">
        <v>116</v>
      </c>
      <c r="BN3187">
        <v>64.47</v>
      </c>
      <c r="BO3187">
        <v>22.65</v>
      </c>
      <c r="BP3187">
        <v>12.27</v>
      </c>
      <c r="BQ3187">
        <v>45.84</v>
      </c>
      <c r="BR3187">
        <v>33.32</v>
      </c>
      <c r="BS3187">
        <v>27.93</v>
      </c>
      <c r="BT3187">
        <v>1.74</v>
      </c>
      <c r="BU3187">
        <v>28.09</v>
      </c>
      <c r="BV3187">
        <v>6.83</v>
      </c>
      <c r="BW3187">
        <v>12.95</v>
      </c>
      <c r="BX3187">
        <v>9.01</v>
      </c>
      <c r="BY3187">
        <v>40.64</v>
      </c>
      <c r="BZ3187">
        <v>35.21</v>
      </c>
      <c r="CA3187">
        <v>1.21</v>
      </c>
      <c r="CB3187">
        <v>0.06</v>
      </c>
      <c r="CC3187">
        <v>1.23</v>
      </c>
      <c r="CD3187">
        <v>0.89</v>
      </c>
      <c r="CE3187">
        <v>0.74</v>
      </c>
      <c r="CF3187">
        <v>0.64</v>
      </c>
      <c r="CG3187">
        <v>4.5</v>
      </c>
      <c r="CH3187">
        <v>5.3</v>
      </c>
      <c r="CI3187">
        <v>7.14</v>
      </c>
      <c r="CJ3187">
        <v>56144</v>
      </c>
      <c r="CK3187">
        <v>5952</v>
      </c>
      <c r="CL3187" t="s">
        <v>11604</v>
      </c>
      <c r="CM3187">
        <v>157.34</v>
      </c>
      <c r="CN3187">
        <v>6.63</v>
      </c>
      <c r="CO3187">
        <v>1.86</v>
      </c>
      <c r="CP3187">
        <v>7.95</v>
      </c>
      <c r="CQ3187">
        <v>1.04</v>
      </c>
      <c r="CR3187">
        <v>0.51</v>
      </c>
      <c r="CS3187" t="s">
        <v>431</v>
      </c>
      <c r="CT3187">
        <v>2.72</v>
      </c>
      <c r="CU3187">
        <v>0</v>
      </c>
      <c r="CV3187">
        <v>1.08</v>
      </c>
      <c r="CW3187">
        <v>0.54</v>
      </c>
      <c r="CX3187">
        <v>0.64</v>
      </c>
      <c r="CY3187">
        <v>35.14</v>
      </c>
      <c r="CZ3187" t="s">
        <v>6350</v>
      </c>
      <c r="DA3187">
        <v>13.34</v>
      </c>
      <c r="DB3187">
        <v>2.97</v>
      </c>
      <c r="DC3187">
        <v>1.82</v>
      </c>
      <c r="DD3187">
        <v>0.68</v>
      </c>
      <c r="DE3187">
        <v>1258</v>
      </c>
      <c r="DF3187">
        <v>601968</v>
      </c>
      <c r="DG3187" t="s">
        <v>116</v>
      </c>
      <c r="DH3187" t="s">
        <v>116</v>
      </c>
      <c r="DI3187" t="s">
        <v>116</v>
      </c>
    </row>
    <row r="3188" spans="1:113" x14ac:dyDescent="0.4">
      <c r="A3188" t="str">
        <f>"601969"</f>
        <v>601969</v>
      </c>
      <c r="B3188" t="s">
        <v>13808</v>
      </c>
      <c r="C3188">
        <v>1.22</v>
      </c>
      <c r="D3188">
        <v>5.8</v>
      </c>
      <c r="E3188">
        <v>7.0000000000000007E-2</v>
      </c>
      <c r="F3188">
        <v>5.79</v>
      </c>
      <c r="G3188">
        <v>5.8</v>
      </c>
      <c r="H3188">
        <v>59377</v>
      </c>
      <c r="I3188">
        <v>673</v>
      </c>
      <c r="J3188">
        <v>0</v>
      </c>
      <c r="K3188">
        <v>0.3</v>
      </c>
      <c r="L3188">
        <v>5.75</v>
      </c>
      <c r="M3188">
        <v>5.85</v>
      </c>
      <c r="N3188">
        <v>5.7</v>
      </c>
      <c r="O3188">
        <v>5.73</v>
      </c>
      <c r="P3188">
        <v>76.349999999999994</v>
      </c>
      <c r="Q3188">
        <v>34398856</v>
      </c>
      <c r="R3188">
        <v>1.28</v>
      </c>
      <c r="S3188" t="s">
        <v>1587</v>
      </c>
      <c r="T3188" t="s">
        <v>851</v>
      </c>
      <c r="U3188">
        <v>2.62</v>
      </c>
      <c r="V3188">
        <v>5.79</v>
      </c>
      <c r="W3188">
        <v>27503</v>
      </c>
      <c r="X3188">
        <v>31874</v>
      </c>
      <c r="Y3188">
        <v>0.86</v>
      </c>
      <c r="Z3188">
        <v>260</v>
      </c>
      <c r="AA3188">
        <v>271</v>
      </c>
      <c r="AB3188" t="s">
        <v>116</v>
      </c>
      <c r="AC3188">
        <v>65000</v>
      </c>
      <c r="AD3188">
        <v>0</v>
      </c>
      <c r="AE3188" t="s">
        <v>116</v>
      </c>
      <c r="AF3188" t="s">
        <v>116</v>
      </c>
      <c r="AG3188">
        <v>19.55</v>
      </c>
      <c r="AH3188" t="s">
        <v>13809</v>
      </c>
      <c r="AI3188" t="s">
        <v>13809</v>
      </c>
      <c r="AJ3188">
        <v>1.3</v>
      </c>
      <c r="AK3188">
        <v>1460</v>
      </c>
      <c r="AL3188">
        <v>41</v>
      </c>
      <c r="AM3188">
        <v>2.0000000000000001E-4</v>
      </c>
      <c r="AN3188">
        <v>2</v>
      </c>
      <c r="AO3188">
        <v>1.75</v>
      </c>
      <c r="AP3188">
        <v>6.23</v>
      </c>
      <c r="AQ3188">
        <v>9.64</v>
      </c>
      <c r="AR3188">
        <v>29.46</v>
      </c>
      <c r="AS3188">
        <v>2.02</v>
      </c>
      <c r="AT3188" t="s">
        <v>13810</v>
      </c>
      <c r="AU3188" t="s">
        <v>116</v>
      </c>
      <c r="AV3188" t="s">
        <v>116</v>
      </c>
      <c r="AW3188">
        <v>1.01</v>
      </c>
      <c r="BA3188">
        <v>0.35</v>
      </c>
      <c r="BB3188">
        <v>2.09</v>
      </c>
      <c r="BC3188">
        <v>-0.52</v>
      </c>
      <c r="BD3188">
        <v>1.1100000000000001</v>
      </c>
      <c r="BE3188">
        <v>0.87</v>
      </c>
      <c r="BF3188">
        <v>-0.85</v>
      </c>
      <c r="BG3188">
        <v>1.75</v>
      </c>
      <c r="BH3188">
        <v>0.12</v>
      </c>
      <c r="BI3188">
        <v>20191030</v>
      </c>
      <c r="BJ3188">
        <v>20141209</v>
      </c>
      <c r="BK3188">
        <v>19.55</v>
      </c>
      <c r="BL3188" t="s">
        <v>116</v>
      </c>
      <c r="BM3188" t="s">
        <v>116</v>
      </c>
      <c r="BN3188">
        <v>86.33</v>
      </c>
      <c r="BO3188">
        <v>38.9</v>
      </c>
      <c r="BP3188">
        <v>12.05</v>
      </c>
      <c r="BQ3188">
        <v>40.99</v>
      </c>
      <c r="BR3188">
        <v>28.4</v>
      </c>
      <c r="BS3188">
        <v>20.46</v>
      </c>
      <c r="BT3188">
        <v>6.37</v>
      </c>
      <c r="BU3188">
        <v>25.74</v>
      </c>
      <c r="BV3188">
        <v>4.74</v>
      </c>
      <c r="BW3188">
        <v>1.54</v>
      </c>
      <c r="BX3188">
        <v>29.85</v>
      </c>
      <c r="BY3188">
        <v>30.52</v>
      </c>
      <c r="BZ3188">
        <v>24.14</v>
      </c>
      <c r="CA3188">
        <v>1.78</v>
      </c>
      <c r="CB3188">
        <v>-0.77</v>
      </c>
      <c r="CC3188">
        <v>1.78</v>
      </c>
      <c r="CD3188">
        <v>1.42</v>
      </c>
      <c r="CE3188">
        <v>1.1100000000000001</v>
      </c>
      <c r="CF3188">
        <v>1.35</v>
      </c>
      <c r="CG3188">
        <v>-18.809999999999999</v>
      </c>
      <c r="CH3188">
        <v>6.85</v>
      </c>
      <c r="CI3188">
        <v>-10.54</v>
      </c>
      <c r="CJ3188">
        <v>30243</v>
      </c>
      <c r="CK3188">
        <v>9701</v>
      </c>
      <c r="CL3188" t="s">
        <v>5610</v>
      </c>
      <c r="CM3188">
        <v>127.61</v>
      </c>
      <c r="CN3188">
        <v>57.63</v>
      </c>
      <c r="CO3188">
        <v>2.91</v>
      </c>
      <c r="CP3188">
        <v>16.559999999999999</v>
      </c>
      <c r="CQ3188">
        <v>3.72</v>
      </c>
      <c r="CR3188">
        <v>0</v>
      </c>
      <c r="CS3188" t="s">
        <v>2039</v>
      </c>
      <c r="CT3188">
        <v>1.99</v>
      </c>
      <c r="CU3188">
        <v>0</v>
      </c>
      <c r="CV3188">
        <v>1.53</v>
      </c>
      <c r="CW3188">
        <v>-0.96</v>
      </c>
      <c r="CX3188">
        <v>0.35</v>
      </c>
      <c r="CY3188">
        <v>45.06</v>
      </c>
      <c r="CZ3188" t="s">
        <v>4544</v>
      </c>
      <c r="DA3188">
        <v>20.91</v>
      </c>
      <c r="DB3188">
        <v>5.83</v>
      </c>
      <c r="DC3188">
        <v>3.65</v>
      </c>
      <c r="DD3188">
        <v>0.02</v>
      </c>
      <c r="DE3188">
        <v>3465</v>
      </c>
      <c r="DF3188">
        <v>601969</v>
      </c>
      <c r="DG3188" t="s">
        <v>116</v>
      </c>
      <c r="DH3188" t="s">
        <v>116</v>
      </c>
      <c r="DI3188" t="s">
        <v>116</v>
      </c>
    </row>
    <row r="3189" spans="1:113" x14ac:dyDescent="0.4">
      <c r="A3189" t="str">
        <f>"601975"</f>
        <v>601975</v>
      </c>
      <c r="B3189" t="s">
        <v>13811</v>
      </c>
      <c r="C3189">
        <v>-1.05</v>
      </c>
      <c r="D3189">
        <v>2.82</v>
      </c>
      <c r="E3189">
        <v>-0.03</v>
      </c>
      <c r="F3189">
        <v>2.81</v>
      </c>
      <c r="G3189">
        <v>2.82</v>
      </c>
      <c r="H3189">
        <v>326558</v>
      </c>
      <c r="I3189">
        <v>2422</v>
      </c>
      <c r="J3189">
        <v>0</v>
      </c>
      <c r="K3189">
        <v>1.72</v>
      </c>
      <c r="L3189">
        <v>2.84</v>
      </c>
      <c r="M3189">
        <v>2.85</v>
      </c>
      <c r="N3189">
        <v>2.81</v>
      </c>
      <c r="O3189">
        <v>2.85</v>
      </c>
      <c r="P3189">
        <v>19.95</v>
      </c>
      <c r="Q3189">
        <v>92349848</v>
      </c>
      <c r="R3189">
        <v>1.21</v>
      </c>
      <c r="S3189" t="s">
        <v>940</v>
      </c>
      <c r="T3189" t="s">
        <v>323</v>
      </c>
      <c r="U3189">
        <v>1.4</v>
      </c>
      <c r="V3189">
        <v>2.83</v>
      </c>
      <c r="W3189">
        <v>200454</v>
      </c>
      <c r="X3189">
        <v>126104</v>
      </c>
      <c r="Y3189">
        <v>1.59</v>
      </c>
      <c r="Z3189">
        <v>9800</v>
      </c>
      <c r="AA3189">
        <v>3516</v>
      </c>
      <c r="AB3189" t="s">
        <v>116</v>
      </c>
      <c r="AC3189">
        <v>345100</v>
      </c>
      <c r="AD3189">
        <v>0.01</v>
      </c>
      <c r="AE3189" t="s">
        <v>116</v>
      </c>
      <c r="AF3189" t="s">
        <v>116</v>
      </c>
      <c r="AG3189">
        <v>18.989999999999998</v>
      </c>
      <c r="AH3189" t="s">
        <v>11299</v>
      </c>
      <c r="AI3189" t="s">
        <v>13812</v>
      </c>
      <c r="AJ3189">
        <v>-0.98</v>
      </c>
      <c r="AK3189">
        <v>1854</v>
      </c>
      <c r="AL3189">
        <v>176</v>
      </c>
      <c r="AM3189">
        <v>8.9999999999999998E-4</v>
      </c>
      <c r="AN3189">
        <v>-1</v>
      </c>
      <c r="AO3189">
        <v>0</v>
      </c>
      <c r="AP3189">
        <v>2.5499999999999998</v>
      </c>
      <c r="AQ3189">
        <v>-3.42</v>
      </c>
      <c r="AR3189">
        <v>-53.39</v>
      </c>
      <c r="AS3189">
        <v>1.72</v>
      </c>
      <c r="AT3189" t="s">
        <v>11299</v>
      </c>
      <c r="AU3189">
        <v>21.07</v>
      </c>
      <c r="AV3189">
        <v>39.32</v>
      </c>
      <c r="AW3189">
        <v>1.34</v>
      </c>
      <c r="BA3189">
        <v>-0.35</v>
      </c>
      <c r="BB3189">
        <v>0</v>
      </c>
      <c r="BC3189">
        <v>-1.4</v>
      </c>
      <c r="BD3189">
        <v>-0.77</v>
      </c>
      <c r="BE3189">
        <v>-0.7</v>
      </c>
      <c r="BF3189">
        <v>-1.05</v>
      </c>
      <c r="BG3189">
        <v>0.36</v>
      </c>
      <c r="BH3189">
        <v>-0.28000000000000003</v>
      </c>
      <c r="BI3189">
        <v>20191023</v>
      </c>
      <c r="BJ3189">
        <v>20190108</v>
      </c>
      <c r="BK3189">
        <v>50.23</v>
      </c>
      <c r="BL3189" t="s">
        <v>116</v>
      </c>
      <c r="BM3189" t="s">
        <v>116</v>
      </c>
      <c r="BN3189">
        <v>79.2</v>
      </c>
      <c r="BO3189">
        <v>43.56</v>
      </c>
      <c r="BP3189">
        <v>1.1200000000000001</v>
      </c>
      <c r="BQ3189">
        <v>43.59</v>
      </c>
      <c r="BR3189">
        <v>14.68</v>
      </c>
      <c r="BS3189">
        <v>62.53</v>
      </c>
      <c r="BT3189">
        <v>0.03</v>
      </c>
      <c r="BU3189">
        <v>11.79</v>
      </c>
      <c r="BV3189">
        <v>1.96</v>
      </c>
      <c r="BW3189">
        <v>4.38</v>
      </c>
      <c r="BX3189">
        <v>40.53</v>
      </c>
      <c r="BY3189">
        <v>29.67</v>
      </c>
      <c r="BZ3189">
        <v>21.25</v>
      </c>
      <c r="CA3189">
        <v>6.52</v>
      </c>
      <c r="CB3189">
        <v>0</v>
      </c>
      <c r="CC3189">
        <v>6.57</v>
      </c>
      <c r="CD3189">
        <v>5.4</v>
      </c>
      <c r="CE3189">
        <v>5.32</v>
      </c>
      <c r="CF3189">
        <v>5.24</v>
      </c>
      <c r="CG3189">
        <v>-51.1</v>
      </c>
      <c r="CH3189">
        <v>6.66</v>
      </c>
      <c r="CI3189">
        <v>-1.22</v>
      </c>
      <c r="CJ3189">
        <v>152253</v>
      </c>
      <c r="CK3189">
        <v>12470</v>
      </c>
      <c r="CL3189" t="s">
        <v>777</v>
      </c>
      <c r="CM3189">
        <v>141.53</v>
      </c>
      <c r="CN3189">
        <v>19.149999999999999</v>
      </c>
      <c r="CO3189">
        <v>3.25</v>
      </c>
      <c r="CP3189">
        <v>21.27</v>
      </c>
      <c r="CQ3189">
        <v>4.7699999999999996</v>
      </c>
      <c r="CR3189">
        <v>0</v>
      </c>
      <c r="CS3189" t="s">
        <v>6630</v>
      </c>
      <c r="CT3189">
        <v>0.87</v>
      </c>
      <c r="CU3189">
        <v>0</v>
      </c>
      <c r="CV3189">
        <v>0.81</v>
      </c>
      <c r="CW3189">
        <v>-1.02</v>
      </c>
      <c r="CX3189">
        <v>0.13</v>
      </c>
      <c r="CY3189">
        <v>55</v>
      </c>
      <c r="CZ3189" t="s">
        <v>3622</v>
      </c>
      <c r="DA3189">
        <v>28.38</v>
      </c>
      <c r="DB3189">
        <v>21.98</v>
      </c>
      <c r="DC3189">
        <v>17.95</v>
      </c>
      <c r="DD3189">
        <v>0</v>
      </c>
      <c r="DE3189">
        <v>2166</v>
      </c>
      <c r="DF3189">
        <v>601975</v>
      </c>
      <c r="DG3189" t="s">
        <v>116</v>
      </c>
      <c r="DH3189" t="s">
        <v>116</v>
      </c>
      <c r="DI3189" t="s">
        <v>116</v>
      </c>
    </row>
    <row r="3190" spans="1:113" x14ac:dyDescent="0.4">
      <c r="A3190" t="str">
        <f>"601985"</f>
        <v>601985</v>
      </c>
      <c r="B3190" t="s">
        <v>13813</v>
      </c>
      <c r="C3190">
        <v>0.4</v>
      </c>
      <c r="D3190">
        <v>5.01</v>
      </c>
      <c r="E3190">
        <v>0.02</v>
      </c>
      <c r="F3190">
        <v>5.01</v>
      </c>
      <c r="G3190">
        <v>5.0199999999999996</v>
      </c>
      <c r="H3190">
        <v>208892</v>
      </c>
      <c r="I3190">
        <v>1607</v>
      </c>
      <c r="J3190">
        <v>-0.19</v>
      </c>
      <c r="K3190">
        <v>0.13</v>
      </c>
      <c r="L3190">
        <v>5</v>
      </c>
      <c r="M3190">
        <v>5.05</v>
      </c>
      <c r="N3190">
        <v>4.99</v>
      </c>
      <c r="O3190">
        <v>4.99</v>
      </c>
      <c r="P3190">
        <v>15.88</v>
      </c>
      <c r="Q3190">
        <v>104904552</v>
      </c>
      <c r="R3190">
        <v>1.07</v>
      </c>
      <c r="S3190" t="s">
        <v>361</v>
      </c>
      <c r="T3190" t="s">
        <v>165</v>
      </c>
      <c r="U3190">
        <v>1.2</v>
      </c>
      <c r="V3190">
        <v>5.0199999999999996</v>
      </c>
      <c r="W3190">
        <v>72308</v>
      </c>
      <c r="X3190">
        <v>136584</v>
      </c>
      <c r="Y3190">
        <v>0.53</v>
      </c>
      <c r="Z3190">
        <v>3894</v>
      </c>
      <c r="AA3190">
        <v>2290</v>
      </c>
      <c r="AB3190" t="s">
        <v>116</v>
      </c>
      <c r="AC3190">
        <v>300500</v>
      </c>
      <c r="AD3190">
        <v>0</v>
      </c>
      <c r="AE3190" t="s">
        <v>116</v>
      </c>
      <c r="AF3190" t="s">
        <v>116</v>
      </c>
      <c r="AG3190">
        <v>155.65</v>
      </c>
      <c r="AH3190" t="s">
        <v>13814</v>
      </c>
      <c r="AI3190" t="s">
        <v>13814</v>
      </c>
      <c r="AJ3190">
        <v>0.48</v>
      </c>
      <c r="AK3190">
        <v>3191</v>
      </c>
      <c r="AL3190">
        <v>65</v>
      </c>
      <c r="AM3190">
        <v>0</v>
      </c>
      <c r="AN3190">
        <v>2</v>
      </c>
      <c r="AO3190">
        <v>-1.19</v>
      </c>
      <c r="AP3190">
        <v>3.09</v>
      </c>
      <c r="AQ3190">
        <v>-6</v>
      </c>
      <c r="AR3190">
        <v>-2.72</v>
      </c>
      <c r="AS3190">
        <v>0.44</v>
      </c>
      <c r="AT3190" t="s">
        <v>5205</v>
      </c>
      <c r="AU3190">
        <v>16.88</v>
      </c>
      <c r="AV3190">
        <v>16.46</v>
      </c>
      <c r="AW3190">
        <v>0.78</v>
      </c>
      <c r="BA3190">
        <v>0.2</v>
      </c>
      <c r="BB3190">
        <v>1.2</v>
      </c>
      <c r="BC3190">
        <v>0</v>
      </c>
      <c r="BD3190">
        <v>0.64</v>
      </c>
      <c r="BE3190">
        <v>0.2</v>
      </c>
      <c r="BF3190">
        <v>-0.79</v>
      </c>
      <c r="BG3190">
        <v>0.4</v>
      </c>
      <c r="BH3190">
        <v>-0.24</v>
      </c>
      <c r="BI3190">
        <v>20191030</v>
      </c>
      <c r="BJ3190">
        <v>20150610</v>
      </c>
      <c r="BK3190">
        <v>155.65</v>
      </c>
      <c r="BL3190" t="s">
        <v>116</v>
      </c>
      <c r="BM3190" t="s">
        <v>116</v>
      </c>
      <c r="BN3190">
        <v>3433.33</v>
      </c>
      <c r="BO3190">
        <v>491.75</v>
      </c>
      <c r="BP3190">
        <v>389.19</v>
      </c>
      <c r="BQ3190">
        <v>74.34</v>
      </c>
      <c r="BR3190">
        <v>453.23</v>
      </c>
      <c r="BS3190">
        <v>2040.63</v>
      </c>
      <c r="BT3190">
        <v>6.15</v>
      </c>
      <c r="BU3190">
        <v>406.07</v>
      </c>
      <c r="BV3190">
        <v>166.66</v>
      </c>
      <c r="BW3190">
        <v>48.37</v>
      </c>
      <c r="BX3190">
        <v>126.86</v>
      </c>
      <c r="BY3190">
        <v>338.86</v>
      </c>
      <c r="BZ3190">
        <v>193.2</v>
      </c>
      <c r="CA3190">
        <v>82.33</v>
      </c>
      <c r="CB3190">
        <v>1.97</v>
      </c>
      <c r="CC3190">
        <v>81.78</v>
      </c>
      <c r="CD3190">
        <v>67.31</v>
      </c>
      <c r="CE3190">
        <v>36.840000000000003</v>
      </c>
      <c r="CF3190">
        <v>36.92</v>
      </c>
      <c r="CG3190">
        <v>167.05</v>
      </c>
      <c r="CH3190">
        <v>231.43</v>
      </c>
      <c r="CI3190">
        <v>81.680000000000007</v>
      </c>
      <c r="CJ3190">
        <v>445086</v>
      </c>
      <c r="CK3190">
        <v>10666</v>
      </c>
      <c r="CL3190" t="s">
        <v>757</v>
      </c>
      <c r="CM3190">
        <v>-3.05</v>
      </c>
      <c r="CN3190">
        <v>20.350000000000001</v>
      </c>
      <c r="CO3190">
        <v>1.62</v>
      </c>
      <c r="CP3190">
        <v>3.37</v>
      </c>
      <c r="CQ3190">
        <v>2.2999999999999998</v>
      </c>
      <c r="CR3190">
        <v>2.4</v>
      </c>
      <c r="CS3190" t="s">
        <v>2045</v>
      </c>
      <c r="CT3190">
        <v>3.09</v>
      </c>
      <c r="CU3190">
        <v>3.09</v>
      </c>
      <c r="CV3190">
        <v>0.82</v>
      </c>
      <c r="CW3190">
        <v>1.07</v>
      </c>
      <c r="CX3190">
        <v>1.49</v>
      </c>
      <c r="CY3190">
        <v>14.32</v>
      </c>
      <c r="CZ3190" t="s">
        <v>13815</v>
      </c>
      <c r="DA3190">
        <v>42.99</v>
      </c>
      <c r="DB3190">
        <v>24.3</v>
      </c>
      <c r="DC3190">
        <v>10.87</v>
      </c>
      <c r="DD3190">
        <v>3.4</v>
      </c>
      <c r="DE3190">
        <v>12687</v>
      </c>
      <c r="DF3190">
        <v>601985</v>
      </c>
      <c r="DG3190" t="s">
        <v>116</v>
      </c>
      <c r="DH3190" t="s">
        <v>116</v>
      </c>
      <c r="DI3190" t="s">
        <v>116</v>
      </c>
    </row>
    <row r="3191" spans="1:113" x14ac:dyDescent="0.4">
      <c r="A3191" t="str">
        <f>"601988"</f>
        <v>601988</v>
      </c>
      <c r="B3191" t="s">
        <v>13816</v>
      </c>
      <c r="C3191">
        <v>0.27</v>
      </c>
      <c r="D3191">
        <v>3.69</v>
      </c>
      <c r="E3191">
        <v>0.01</v>
      </c>
      <c r="F3191">
        <v>3.68</v>
      </c>
      <c r="G3191">
        <v>3.69</v>
      </c>
      <c r="H3191">
        <v>974041</v>
      </c>
      <c r="I3191">
        <v>11981</v>
      </c>
      <c r="J3191">
        <v>0.27</v>
      </c>
      <c r="K3191">
        <v>0.05</v>
      </c>
      <c r="L3191">
        <v>3.67</v>
      </c>
      <c r="M3191">
        <v>3.7</v>
      </c>
      <c r="N3191">
        <v>3.67</v>
      </c>
      <c r="O3191">
        <v>3.68</v>
      </c>
      <c r="P3191">
        <v>5.1100000000000003</v>
      </c>
      <c r="Q3191">
        <v>359291232</v>
      </c>
      <c r="R3191">
        <v>1.59</v>
      </c>
      <c r="S3191" t="s">
        <v>114</v>
      </c>
      <c r="T3191" t="s">
        <v>165</v>
      </c>
      <c r="U3191">
        <v>0.82</v>
      </c>
      <c r="V3191">
        <v>3.69</v>
      </c>
      <c r="W3191">
        <v>349666</v>
      </c>
      <c r="X3191">
        <v>624375</v>
      </c>
      <c r="Y3191">
        <v>0.56000000000000005</v>
      </c>
      <c r="Z3191">
        <v>108594</v>
      </c>
      <c r="AA3191">
        <v>12904</v>
      </c>
      <c r="AB3191" t="s">
        <v>116</v>
      </c>
      <c r="AC3191">
        <v>1573000</v>
      </c>
      <c r="AD3191">
        <v>0</v>
      </c>
      <c r="AE3191" t="s">
        <v>116</v>
      </c>
      <c r="AF3191" t="s">
        <v>116</v>
      </c>
      <c r="AG3191">
        <v>2107.66</v>
      </c>
      <c r="AH3191" t="s">
        <v>13817</v>
      </c>
      <c r="AI3191" t="s">
        <v>13817</v>
      </c>
      <c r="AJ3191">
        <v>0.35</v>
      </c>
      <c r="AK3191">
        <v>3714</v>
      </c>
      <c r="AL3191">
        <v>262</v>
      </c>
      <c r="AM3191">
        <v>0</v>
      </c>
      <c r="AN3191">
        <v>2</v>
      </c>
      <c r="AO3191">
        <v>0.55000000000000004</v>
      </c>
      <c r="AP3191">
        <v>1.65</v>
      </c>
      <c r="AQ3191">
        <v>2.5</v>
      </c>
      <c r="AR3191">
        <v>7.71</v>
      </c>
      <c r="AS3191">
        <v>0.44</v>
      </c>
      <c r="AT3191" t="s">
        <v>13818</v>
      </c>
      <c r="AU3191">
        <v>5.83</v>
      </c>
      <c r="AV3191">
        <v>6.03</v>
      </c>
      <c r="AW3191">
        <v>0.45</v>
      </c>
      <c r="BA3191">
        <v>-0.27</v>
      </c>
      <c r="BB3191">
        <v>0.54</v>
      </c>
      <c r="BC3191">
        <v>-0.27</v>
      </c>
      <c r="BD3191">
        <v>0.24</v>
      </c>
      <c r="BE3191">
        <v>0.54</v>
      </c>
      <c r="BF3191">
        <v>-0.27</v>
      </c>
      <c r="BG3191">
        <v>0.54</v>
      </c>
      <c r="BH3191">
        <v>0.04</v>
      </c>
      <c r="BI3191">
        <v>20191031</v>
      </c>
      <c r="BJ3191">
        <v>20060705</v>
      </c>
      <c r="BK3191">
        <v>2943.88</v>
      </c>
      <c r="BL3191" t="s">
        <v>116</v>
      </c>
      <c r="BM3191">
        <v>836.22</v>
      </c>
      <c r="BN3191">
        <v>226081.64</v>
      </c>
      <c r="BO3191">
        <v>18663.150000000001</v>
      </c>
      <c r="BP3191">
        <v>1214.1099999999999</v>
      </c>
      <c r="BQ3191">
        <v>91.21</v>
      </c>
      <c r="BR3191">
        <v>0</v>
      </c>
      <c r="BS3191">
        <v>2388.39</v>
      </c>
      <c r="BT3191">
        <v>192.11</v>
      </c>
      <c r="BU3191">
        <v>0</v>
      </c>
      <c r="BV3191">
        <v>0</v>
      </c>
      <c r="BW3191">
        <v>0</v>
      </c>
      <c r="BX3191">
        <v>1422.23</v>
      </c>
      <c r="BY3191">
        <v>4163.33</v>
      </c>
      <c r="BZ3191">
        <v>0</v>
      </c>
      <c r="CA3191">
        <v>2133.46</v>
      </c>
      <c r="CB3191">
        <v>211.21</v>
      </c>
      <c r="CC3191">
        <v>2144.31</v>
      </c>
      <c r="CD3191">
        <v>1712.46</v>
      </c>
      <c r="CE3191">
        <v>1595.79</v>
      </c>
      <c r="CF3191">
        <v>1587.05</v>
      </c>
      <c r="CG3191">
        <v>7841.81</v>
      </c>
      <c r="CH3191">
        <v>-5607.27</v>
      </c>
      <c r="CI3191">
        <v>-4504.8</v>
      </c>
      <c r="CJ3191">
        <v>713108</v>
      </c>
      <c r="CK3191">
        <v>31277</v>
      </c>
      <c r="CL3191" t="s">
        <v>3013</v>
      </c>
      <c r="CM3191">
        <v>4.1100000000000003</v>
      </c>
      <c r="CN3191">
        <v>10.69</v>
      </c>
      <c r="CO3191">
        <v>0.67</v>
      </c>
      <c r="CP3191">
        <v>-1.94</v>
      </c>
      <c r="CQ3191">
        <v>2.61</v>
      </c>
      <c r="CR3191">
        <v>3.57</v>
      </c>
      <c r="CS3191" t="s">
        <v>4586</v>
      </c>
      <c r="CT3191">
        <v>5.53</v>
      </c>
      <c r="CU3191">
        <v>5.53</v>
      </c>
      <c r="CV3191">
        <v>0.48</v>
      </c>
      <c r="CW3191">
        <v>2.66</v>
      </c>
      <c r="CX3191">
        <v>-1.9</v>
      </c>
      <c r="CY3191">
        <v>8.26</v>
      </c>
      <c r="CZ3191" t="s">
        <v>10408</v>
      </c>
      <c r="DA3191" t="s">
        <v>116</v>
      </c>
      <c r="DB3191">
        <v>51.24</v>
      </c>
      <c r="DC3191">
        <v>38.33</v>
      </c>
      <c r="DD3191">
        <v>0</v>
      </c>
      <c r="DE3191">
        <v>305823</v>
      </c>
      <c r="DF3191">
        <v>601988</v>
      </c>
      <c r="DG3191" t="s">
        <v>116</v>
      </c>
      <c r="DH3191" t="s">
        <v>116</v>
      </c>
      <c r="DI3191" t="s">
        <v>116</v>
      </c>
    </row>
    <row r="3192" spans="1:113" x14ac:dyDescent="0.4">
      <c r="A3192" t="str">
        <f>"601989"</f>
        <v>601989</v>
      </c>
      <c r="B3192" t="s">
        <v>13819</v>
      </c>
      <c r="C3192">
        <v>0.19</v>
      </c>
      <c r="D3192">
        <v>5.22</v>
      </c>
      <c r="E3192">
        <v>0.01</v>
      </c>
      <c r="F3192">
        <v>5.21</v>
      </c>
      <c r="G3192">
        <v>5.22</v>
      </c>
      <c r="H3192">
        <v>511923</v>
      </c>
      <c r="I3192">
        <v>3721</v>
      </c>
      <c r="J3192">
        <v>0</v>
      </c>
      <c r="K3192">
        <v>0.28000000000000003</v>
      </c>
      <c r="L3192">
        <v>5.19</v>
      </c>
      <c r="M3192">
        <v>5.26</v>
      </c>
      <c r="N3192">
        <v>5.19</v>
      </c>
      <c r="O3192">
        <v>5.21</v>
      </c>
      <c r="P3192">
        <v>73.06</v>
      </c>
      <c r="Q3192">
        <v>267637712</v>
      </c>
      <c r="R3192">
        <v>1.53</v>
      </c>
      <c r="S3192" t="s">
        <v>7623</v>
      </c>
      <c r="T3192" t="s">
        <v>165</v>
      </c>
      <c r="U3192">
        <v>1.34</v>
      </c>
      <c r="V3192">
        <v>5.23</v>
      </c>
      <c r="W3192">
        <v>274067</v>
      </c>
      <c r="X3192">
        <v>237856</v>
      </c>
      <c r="Y3192">
        <v>1.1499999999999999</v>
      </c>
      <c r="Z3192">
        <v>10834</v>
      </c>
      <c r="AA3192">
        <v>40</v>
      </c>
      <c r="AB3192" t="s">
        <v>116</v>
      </c>
      <c r="AC3192">
        <v>1738100</v>
      </c>
      <c r="AD3192">
        <v>0</v>
      </c>
      <c r="AE3192" t="s">
        <v>116</v>
      </c>
      <c r="AF3192" t="s">
        <v>116</v>
      </c>
      <c r="AG3192">
        <v>182.84</v>
      </c>
      <c r="AH3192" t="s">
        <v>13820</v>
      </c>
      <c r="AI3192" t="s">
        <v>13821</v>
      </c>
      <c r="AJ3192">
        <v>0.27</v>
      </c>
      <c r="AK3192">
        <v>3388</v>
      </c>
      <c r="AL3192">
        <v>151</v>
      </c>
      <c r="AM3192">
        <v>1E-4</v>
      </c>
      <c r="AN3192">
        <v>2</v>
      </c>
      <c r="AO3192">
        <v>0</v>
      </c>
      <c r="AP3192">
        <v>-1.1399999999999999</v>
      </c>
      <c r="AQ3192">
        <v>-5.61</v>
      </c>
      <c r="AR3192">
        <v>23.08</v>
      </c>
      <c r="AS3192">
        <v>0.6</v>
      </c>
      <c r="AT3192" t="s">
        <v>13822</v>
      </c>
      <c r="AU3192">
        <v>250.41</v>
      </c>
      <c r="AV3192">
        <v>176.92</v>
      </c>
      <c r="AW3192">
        <v>0.85</v>
      </c>
      <c r="BA3192">
        <v>-0.38</v>
      </c>
      <c r="BB3192">
        <v>0.96</v>
      </c>
      <c r="BC3192">
        <v>-0.38</v>
      </c>
      <c r="BD3192">
        <v>0.35</v>
      </c>
      <c r="BE3192">
        <v>0.57999999999999996</v>
      </c>
      <c r="BF3192">
        <v>-0.76</v>
      </c>
      <c r="BG3192">
        <v>0.57999999999999996</v>
      </c>
      <c r="BH3192">
        <v>-0.16</v>
      </c>
      <c r="BI3192">
        <v>20191227</v>
      </c>
      <c r="BJ3192">
        <v>20091216</v>
      </c>
      <c r="BK3192">
        <v>228.02</v>
      </c>
      <c r="BL3192" t="s">
        <v>116</v>
      </c>
      <c r="BM3192" t="s">
        <v>116</v>
      </c>
      <c r="BN3192">
        <v>1769.46</v>
      </c>
      <c r="BO3192">
        <v>842.63</v>
      </c>
      <c r="BP3192">
        <v>6.79</v>
      </c>
      <c r="BQ3192">
        <v>52</v>
      </c>
      <c r="BR3192">
        <v>1227.1400000000001</v>
      </c>
      <c r="BS3192">
        <v>295.02999999999997</v>
      </c>
      <c r="BT3192">
        <v>46.65</v>
      </c>
      <c r="BU3192">
        <v>658.88</v>
      </c>
      <c r="BV3192">
        <v>307.63</v>
      </c>
      <c r="BW3192">
        <v>105.67</v>
      </c>
      <c r="BX3192">
        <v>446.91</v>
      </c>
      <c r="BY3192">
        <v>242.12</v>
      </c>
      <c r="BZ3192">
        <v>219.76</v>
      </c>
      <c r="CA3192">
        <v>14</v>
      </c>
      <c r="CB3192">
        <v>11.7</v>
      </c>
      <c r="CC3192">
        <v>14.34</v>
      </c>
      <c r="CD3192">
        <v>12.19</v>
      </c>
      <c r="CE3192">
        <v>12.22</v>
      </c>
      <c r="CF3192">
        <v>0.08</v>
      </c>
      <c r="CG3192">
        <v>154.49</v>
      </c>
      <c r="CH3192">
        <v>-49.58</v>
      </c>
      <c r="CI3192">
        <v>-48.05</v>
      </c>
      <c r="CJ3192">
        <v>770620</v>
      </c>
      <c r="CK3192">
        <v>11008</v>
      </c>
      <c r="CL3192" t="s">
        <v>5867</v>
      </c>
      <c r="CM3192">
        <v>-13.91</v>
      </c>
      <c r="CN3192">
        <v>-19.55</v>
      </c>
      <c r="CO3192">
        <v>1.41</v>
      </c>
      <c r="CP3192">
        <v>-24.01</v>
      </c>
      <c r="CQ3192">
        <v>4.92</v>
      </c>
      <c r="CR3192">
        <v>0.17</v>
      </c>
      <c r="CS3192" t="s">
        <v>8882</v>
      </c>
      <c r="CT3192">
        <v>3.7</v>
      </c>
      <c r="CU3192">
        <v>0</v>
      </c>
      <c r="CV3192">
        <v>1.96</v>
      </c>
      <c r="CW3192">
        <v>0.68</v>
      </c>
      <c r="CX3192">
        <v>-0.22</v>
      </c>
      <c r="CY3192">
        <v>47.62</v>
      </c>
      <c r="CZ3192" t="s">
        <v>2866</v>
      </c>
      <c r="DA3192">
        <v>9.24</v>
      </c>
      <c r="DB3192">
        <v>5.78</v>
      </c>
      <c r="DC3192">
        <v>5.05</v>
      </c>
      <c r="DD3192">
        <v>3.98</v>
      </c>
      <c r="DE3192">
        <v>34973</v>
      </c>
      <c r="DF3192">
        <v>601989</v>
      </c>
      <c r="DG3192" t="s">
        <v>116</v>
      </c>
      <c r="DH3192" t="s">
        <v>116</v>
      </c>
      <c r="DI3192" t="s">
        <v>116</v>
      </c>
    </row>
    <row r="3193" spans="1:113" x14ac:dyDescent="0.4">
      <c r="A3193" t="str">
        <f>"601990"</f>
        <v>601990</v>
      </c>
      <c r="B3193" t="s">
        <v>13823</v>
      </c>
      <c r="C3193">
        <v>-0.87</v>
      </c>
      <c r="D3193">
        <v>12.6</v>
      </c>
      <c r="E3193">
        <v>-0.11</v>
      </c>
      <c r="F3193">
        <v>12.59</v>
      </c>
      <c r="G3193">
        <v>12.6</v>
      </c>
      <c r="H3193">
        <v>4682791</v>
      </c>
      <c r="I3193">
        <v>82618</v>
      </c>
      <c r="J3193">
        <v>-0.15</v>
      </c>
      <c r="K3193">
        <v>22.72</v>
      </c>
      <c r="L3193">
        <v>13.15</v>
      </c>
      <c r="M3193">
        <v>13.98</v>
      </c>
      <c r="N3193">
        <v>12.54</v>
      </c>
      <c r="O3193">
        <v>12.71</v>
      </c>
      <c r="P3193">
        <v>47.82</v>
      </c>
      <c r="Q3193">
        <v>6284500480</v>
      </c>
      <c r="R3193">
        <v>1.46</v>
      </c>
      <c r="S3193" t="s">
        <v>623</v>
      </c>
      <c r="T3193" t="s">
        <v>323</v>
      </c>
      <c r="U3193">
        <v>11.33</v>
      </c>
      <c r="V3193">
        <v>13.42</v>
      </c>
      <c r="W3193">
        <v>2238429</v>
      </c>
      <c r="X3193">
        <v>2444362</v>
      </c>
      <c r="Y3193">
        <v>0.92</v>
      </c>
      <c r="Z3193">
        <v>151</v>
      </c>
      <c r="AA3193">
        <v>5132</v>
      </c>
      <c r="AB3193" t="s">
        <v>116</v>
      </c>
      <c r="AC3193">
        <v>148909296</v>
      </c>
      <c r="AD3193">
        <v>0.81</v>
      </c>
      <c r="AE3193" t="s">
        <v>116</v>
      </c>
      <c r="AF3193" t="s">
        <v>116</v>
      </c>
      <c r="AG3193">
        <v>20.61</v>
      </c>
      <c r="AH3193" t="s">
        <v>13824</v>
      </c>
      <c r="AI3193" t="s">
        <v>13825</v>
      </c>
      <c r="AJ3193">
        <v>-0.79</v>
      </c>
      <c r="AK3193">
        <v>4736</v>
      </c>
      <c r="AL3193">
        <v>989</v>
      </c>
      <c r="AM3193">
        <v>4.7999999999999996E-3</v>
      </c>
      <c r="AN3193">
        <v>-1</v>
      </c>
      <c r="AO3193">
        <v>11</v>
      </c>
      <c r="AP3193">
        <v>64.28</v>
      </c>
      <c r="AQ3193">
        <v>44</v>
      </c>
      <c r="AR3193">
        <v>75.81</v>
      </c>
      <c r="AS3193">
        <v>33.58</v>
      </c>
      <c r="AT3193" t="s">
        <v>9391</v>
      </c>
      <c r="AU3193">
        <v>63.2</v>
      </c>
      <c r="AV3193">
        <v>179.33</v>
      </c>
      <c r="AW3193">
        <v>2.97</v>
      </c>
      <c r="BA3193">
        <v>3.46</v>
      </c>
      <c r="BB3193">
        <v>9.99</v>
      </c>
      <c r="BC3193">
        <v>-1.34</v>
      </c>
      <c r="BD3193">
        <v>5.59</v>
      </c>
      <c r="BE3193">
        <v>-4.18</v>
      </c>
      <c r="BF3193">
        <v>-9.8699999999999992</v>
      </c>
      <c r="BG3193">
        <v>0.48</v>
      </c>
      <c r="BH3193">
        <v>-6.45</v>
      </c>
      <c r="BI3193">
        <v>20191118</v>
      </c>
      <c r="BJ3193">
        <v>20180613</v>
      </c>
      <c r="BK3193">
        <v>32.99</v>
      </c>
      <c r="BL3193" t="s">
        <v>116</v>
      </c>
      <c r="BM3193" t="s">
        <v>116</v>
      </c>
      <c r="BN3193">
        <v>345.63</v>
      </c>
      <c r="BO3193">
        <v>110.07</v>
      </c>
      <c r="BP3193">
        <v>1.1100000000000001</v>
      </c>
      <c r="BQ3193">
        <v>67.83</v>
      </c>
      <c r="BR3193">
        <v>0</v>
      </c>
      <c r="BS3193">
        <v>9.31</v>
      </c>
      <c r="BT3193">
        <v>0.2</v>
      </c>
      <c r="BU3193">
        <v>0</v>
      </c>
      <c r="BV3193">
        <v>0</v>
      </c>
      <c r="BW3193">
        <v>0</v>
      </c>
      <c r="BX3193">
        <v>42.01</v>
      </c>
      <c r="BY3193">
        <v>16.600000000000001</v>
      </c>
      <c r="BZ3193">
        <v>0</v>
      </c>
      <c r="CA3193">
        <v>8.64</v>
      </c>
      <c r="CB3193">
        <v>1.69</v>
      </c>
      <c r="CC3193">
        <v>8.67</v>
      </c>
      <c r="CD3193">
        <v>6.56</v>
      </c>
      <c r="CE3193">
        <v>6.52</v>
      </c>
      <c r="CF3193">
        <v>6.5</v>
      </c>
      <c r="CG3193">
        <v>17.54</v>
      </c>
      <c r="CH3193">
        <v>1.1299999999999999</v>
      </c>
      <c r="CI3193">
        <v>30.13</v>
      </c>
      <c r="CJ3193">
        <v>104630</v>
      </c>
      <c r="CK3193">
        <v>13327</v>
      </c>
      <c r="CL3193" t="s">
        <v>13826</v>
      </c>
      <c r="CM3193">
        <v>188.44</v>
      </c>
      <c r="CN3193">
        <v>83.51</v>
      </c>
      <c r="CO3193">
        <v>3.78</v>
      </c>
      <c r="CP3193">
        <v>367.68</v>
      </c>
      <c r="CQ3193">
        <v>25.05</v>
      </c>
      <c r="CR3193">
        <v>0.66</v>
      </c>
      <c r="CS3193" t="s">
        <v>729</v>
      </c>
      <c r="CT3193">
        <v>3.34</v>
      </c>
      <c r="CU3193">
        <v>0</v>
      </c>
      <c r="CV3193">
        <v>1.27</v>
      </c>
      <c r="CW3193">
        <v>0.53</v>
      </c>
      <c r="CX3193">
        <v>0.03</v>
      </c>
      <c r="CY3193">
        <v>31.85</v>
      </c>
      <c r="CZ3193" t="s">
        <v>8650</v>
      </c>
      <c r="DA3193" t="s">
        <v>116</v>
      </c>
      <c r="DB3193">
        <v>52.08</v>
      </c>
      <c r="DC3193">
        <v>39.28</v>
      </c>
      <c r="DD3193">
        <v>0</v>
      </c>
      <c r="DE3193">
        <v>1838</v>
      </c>
      <c r="DF3193">
        <v>601990</v>
      </c>
      <c r="DG3193" t="s">
        <v>116</v>
      </c>
      <c r="DH3193" t="s">
        <v>116</v>
      </c>
      <c r="DI3193" t="s">
        <v>116</v>
      </c>
    </row>
    <row r="3194" spans="1:113" x14ac:dyDescent="0.4">
      <c r="A3194" t="str">
        <f>"601991"</f>
        <v>601991</v>
      </c>
      <c r="B3194" t="s">
        <v>13827</v>
      </c>
      <c r="C3194">
        <v>-0.41</v>
      </c>
      <c r="D3194">
        <v>2.4300000000000002</v>
      </c>
      <c r="E3194">
        <v>-0.01</v>
      </c>
      <c r="F3194">
        <v>2.4300000000000002</v>
      </c>
      <c r="G3194">
        <v>2.44</v>
      </c>
      <c r="H3194">
        <v>167477</v>
      </c>
      <c r="I3194">
        <v>2781</v>
      </c>
      <c r="J3194">
        <v>0</v>
      </c>
      <c r="K3194">
        <v>0.17</v>
      </c>
      <c r="L3194">
        <v>2.44</v>
      </c>
      <c r="M3194">
        <v>2.4700000000000002</v>
      </c>
      <c r="N3194">
        <v>2.4300000000000002</v>
      </c>
      <c r="O3194">
        <v>2.44</v>
      </c>
      <c r="P3194">
        <v>22.91</v>
      </c>
      <c r="Q3194">
        <v>41060704</v>
      </c>
      <c r="R3194">
        <v>1.58</v>
      </c>
      <c r="S3194" t="s">
        <v>271</v>
      </c>
      <c r="T3194" t="s">
        <v>165</v>
      </c>
      <c r="U3194">
        <v>1.64</v>
      </c>
      <c r="V3194">
        <v>2.4500000000000002</v>
      </c>
      <c r="W3194">
        <v>78395</v>
      </c>
      <c r="X3194">
        <v>89082</v>
      </c>
      <c r="Y3194">
        <v>0.88</v>
      </c>
      <c r="Z3194">
        <v>2453</v>
      </c>
      <c r="AA3194">
        <v>4920</v>
      </c>
      <c r="AB3194" t="s">
        <v>116</v>
      </c>
      <c r="AC3194">
        <v>103900</v>
      </c>
      <c r="AD3194">
        <v>0</v>
      </c>
      <c r="AE3194" t="s">
        <v>116</v>
      </c>
      <c r="AF3194" t="s">
        <v>116</v>
      </c>
      <c r="AG3194">
        <v>99.94</v>
      </c>
      <c r="AH3194" t="s">
        <v>13828</v>
      </c>
      <c r="AI3194" t="s">
        <v>13829</v>
      </c>
      <c r="AJ3194">
        <v>-0.33</v>
      </c>
      <c r="AK3194">
        <v>1177</v>
      </c>
      <c r="AL3194">
        <v>142</v>
      </c>
      <c r="AM3194">
        <v>1E-4</v>
      </c>
      <c r="AN3194">
        <v>-1</v>
      </c>
      <c r="AO3194">
        <v>0.41</v>
      </c>
      <c r="AP3194">
        <v>0.41</v>
      </c>
      <c r="AQ3194">
        <v>-10</v>
      </c>
      <c r="AR3194">
        <v>-20.329999999999998</v>
      </c>
      <c r="AS3194">
        <v>0.83</v>
      </c>
      <c r="AT3194" t="s">
        <v>8340</v>
      </c>
      <c r="AU3194">
        <v>47.57</v>
      </c>
      <c r="AV3194">
        <v>36.42</v>
      </c>
      <c r="AW3194">
        <v>1.01</v>
      </c>
      <c r="BA3194">
        <v>0</v>
      </c>
      <c r="BB3194">
        <v>1.23</v>
      </c>
      <c r="BC3194">
        <v>-0.41</v>
      </c>
      <c r="BD3194">
        <v>0.48</v>
      </c>
      <c r="BE3194">
        <v>-0.41</v>
      </c>
      <c r="BF3194">
        <v>-1.62</v>
      </c>
      <c r="BG3194">
        <v>0</v>
      </c>
      <c r="BH3194">
        <v>-0.89</v>
      </c>
      <c r="BI3194">
        <v>20191031</v>
      </c>
      <c r="BJ3194">
        <v>20061220</v>
      </c>
      <c r="BK3194">
        <v>185.07</v>
      </c>
      <c r="BL3194" t="s">
        <v>116</v>
      </c>
      <c r="BM3194">
        <v>61.11</v>
      </c>
      <c r="BN3194">
        <v>2821.87</v>
      </c>
      <c r="BO3194">
        <v>637.03</v>
      </c>
      <c r="BP3194">
        <v>168.32</v>
      </c>
      <c r="BQ3194">
        <v>71.459999999999994</v>
      </c>
      <c r="BR3194">
        <v>351.67</v>
      </c>
      <c r="BS3194">
        <v>1786.98</v>
      </c>
      <c r="BT3194">
        <v>39.74</v>
      </c>
      <c r="BU3194">
        <v>776.43</v>
      </c>
      <c r="BV3194">
        <v>40.26</v>
      </c>
      <c r="BW3194">
        <v>124.86</v>
      </c>
      <c r="BX3194">
        <v>71.38</v>
      </c>
      <c r="BY3194">
        <v>690.44</v>
      </c>
      <c r="BZ3194">
        <v>575.91</v>
      </c>
      <c r="CA3194">
        <v>45.78</v>
      </c>
      <c r="CB3194">
        <v>19.579999999999998</v>
      </c>
      <c r="CC3194">
        <v>41.49</v>
      </c>
      <c r="CD3194">
        <v>29.36</v>
      </c>
      <c r="CE3194">
        <v>14.72</v>
      </c>
      <c r="CF3194">
        <v>16.91</v>
      </c>
      <c r="CG3194">
        <v>13.43</v>
      </c>
      <c r="CH3194">
        <v>156.56</v>
      </c>
      <c r="CI3194">
        <v>-0.79</v>
      </c>
      <c r="CJ3194">
        <v>190450</v>
      </c>
      <c r="CK3194">
        <v>10588</v>
      </c>
      <c r="CL3194" t="s">
        <v>3987</v>
      </c>
      <c r="CM3194">
        <v>-16.420000000000002</v>
      </c>
      <c r="CN3194">
        <v>-0.08</v>
      </c>
      <c r="CO3194">
        <v>1.05</v>
      </c>
      <c r="CP3194">
        <v>2.87</v>
      </c>
      <c r="CQ3194">
        <v>0.65</v>
      </c>
      <c r="CR3194">
        <v>4.12</v>
      </c>
      <c r="CS3194" t="s">
        <v>484</v>
      </c>
      <c r="CT3194">
        <v>2.31</v>
      </c>
      <c r="CU3194">
        <v>2.31</v>
      </c>
      <c r="CV3194">
        <v>0.39</v>
      </c>
      <c r="CW3194">
        <v>7.0000000000000007E-2</v>
      </c>
      <c r="CX3194">
        <v>0.85</v>
      </c>
      <c r="CY3194">
        <v>22.57</v>
      </c>
      <c r="CZ3194" t="s">
        <v>10736</v>
      </c>
      <c r="DA3194">
        <v>16.59</v>
      </c>
      <c r="DB3194">
        <v>6.63</v>
      </c>
      <c r="DC3194">
        <v>2.13</v>
      </c>
      <c r="DD3194">
        <v>0</v>
      </c>
      <c r="DE3194">
        <v>33483</v>
      </c>
      <c r="DF3194">
        <v>601991</v>
      </c>
      <c r="DG3194" t="s">
        <v>116</v>
      </c>
      <c r="DH3194" t="s">
        <v>116</v>
      </c>
      <c r="DI3194" t="s">
        <v>116</v>
      </c>
    </row>
    <row r="3195" spans="1:113" x14ac:dyDescent="0.4">
      <c r="A3195" t="str">
        <f>"601992"</f>
        <v>601992</v>
      </c>
      <c r="B3195" t="s">
        <v>13830</v>
      </c>
      <c r="C3195">
        <v>-0.85</v>
      </c>
      <c r="D3195">
        <v>3.51</v>
      </c>
      <c r="E3195">
        <v>-0.03</v>
      </c>
      <c r="F3195">
        <v>3.51</v>
      </c>
      <c r="G3195">
        <v>3.52</v>
      </c>
      <c r="H3195">
        <v>458093</v>
      </c>
      <c r="I3195">
        <v>3852</v>
      </c>
      <c r="J3195">
        <v>-0.27</v>
      </c>
      <c r="K3195">
        <v>0.55000000000000004</v>
      </c>
      <c r="L3195">
        <v>3.54</v>
      </c>
      <c r="M3195">
        <v>3.58</v>
      </c>
      <c r="N3195">
        <v>3.5</v>
      </c>
      <c r="O3195">
        <v>3.54</v>
      </c>
      <c r="P3195">
        <v>7.56</v>
      </c>
      <c r="Q3195">
        <v>161839648</v>
      </c>
      <c r="R3195">
        <v>1.1499999999999999</v>
      </c>
      <c r="S3195" t="s">
        <v>660</v>
      </c>
      <c r="T3195" t="s">
        <v>165</v>
      </c>
      <c r="U3195">
        <v>2.2599999999999998</v>
      </c>
      <c r="V3195">
        <v>3.53</v>
      </c>
      <c r="W3195">
        <v>244629</v>
      </c>
      <c r="X3195">
        <v>213464</v>
      </c>
      <c r="Y3195">
        <v>1.1499999999999999</v>
      </c>
      <c r="Z3195">
        <v>10832</v>
      </c>
      <c r="AA3195">
        <v>7369</v>
      </c>
      <c r="AB3195" t="s">
        <v>116</v>
      </c>
      <c r="AC3195">
        <v>1955500</v>
      </c>
      <c r="AD3195">
        <v>0.02</v>
      </c>
      <c r="AE3195" t="s">
        <v>116</v>
      </c>
      <c r="AF3195" t="s">
        <v>116</v>
      </c>
      <c r="AG3195">
        <v>83.34</v>
      </c>
      <c r="AH3195" t="s">
        <v>13831</v>
      </c>
      <c r="AI3195" t="s">
        <v>13832</v>
      </c>
      <c r="AJ3195">
        <v>-0.77</v>
      </c>
      <c r="AK3195">
        <v>3176</v>
      </c>
      <c r="AL3195">
        <v>144</v>
      </c>
      <c r="AM3195">
        <v>2.0000000000000001E-4</v>
      </c>
      <c r="AN3195">
        <v>-1</v>
      </c>
      <c r="AO3195">
        <v>2.33</v>
      </c>
      <c r="AP3195">
        <v>7.34</v>
      </c>
      <c r="AQ3195">
        <v>6.04</v>
      </c>
      <c r="AR3195">
        <v>1.89</v>
      </c>
      <c r="AS3195">
        <v>1.31</v>
      </c>
      <c r="AT3195" t="s">
        <v>13833</v>
      </c>
      <c r="AU3195">
        <v>9.68</v>
      </c>
      <c r="AV3195">
        <v>11.49</v>
      </c>
      <c r="AW3195">
        <v>1.63</v>
      </c>
      <c r="BA3195">
        <v>0</v>
      </c>
      <c r="BB3195">
        <v>1.1299999999999999</v>
      </c>
      <c r="BC3195">
        <v>-1.1299999999999999</v>
      </c>
      <c r="BD3195">
        <v>-0.2</v>
      </c>
      <c r="BE3195">
        <v>-0.85</v>
      </c>
      <c r="BF3195">
        <v>-1.96</v>
      </c>
      <c r="BG3195">
        <v>0.28999999999999998</v>
      </c>
      <c r="BH3195">
        <v>-0.65</v>
      </c>
      <c r="BI3195">
        <v>20191030</v>
      </c>
      <c r="BJ3195">
        <v>20110301</v>
      </c>
      <c r="BK3195">
        <v>106.78</v>
      </c>
      <c r="BL3195" t="s">
        <v>116</v>
      </c>
      <c r="BM3195">
        <v>23.39</v>
      </c>
      <c r="BN3195">
        <v>2789.5</v>
      </c>
      <c r="BO3195">
        <v>605.85</v>
      </c>
      <c r="BP3195">
        <v>221.63</v>
      </c>
      <c r="BQ3195">
        <v>70.34</v>
      </c>
      <c r="BR3195">
        <v>1735.8</v>
      </c>
      <c r="BS3195">
        <v>432.4</v>
      </c>
      <c r="BT3195">
        <v>162.55000000000001</v>
      </c>
      <c r="BU3195">
        <v>1216</v>
      </c>
      <c r="BV3195">
        <v>1197.24</v>
      </c>
      <c r="BW3195">
        <v>87.78</v>
      </c>
      <c r="BX3195">
        <v>56.81</v>
      </c>
      <c r="BY3195">
        <v>673.64</v>
      </c>
      <c r="BZ3195">
        <v>490.39</v>
      </c>
      <c r="CA3195">
        <v>75.22</v>
      </c>
      <c r="CB3195">
        <v>3.94</v>
      </c>
      <c r="CC3195">
        <v>71.69</v>
      </c>
      <c r="CD3195">
        <v>53.14</v>
      </c>
      <c r="CE3195">
        <v>37.159999999999997</v>
      </c>
      <c r="CF3195">
        <v>31.23</v>
      </c>
      <c r="CG3195">
        <v>271.33999999999997</v>
      </c>
      <c r="CH3195">
        <v>42.3</v>
      </c>
      <c r="CI3195">
        <v>-22.62</v>
      </c>
      <c r="CJ3195">
        <v>164884</v>
      </c>
      <c r="CK3195">
        <v>21189</v>
      </c>
      <c r="CL3195" t="s">
        <v>10317</v>
      </c>
      <c r="CM3195">
        <v>19.75</v>
      </c>
      <c r="CN3195">
        <v>20.149999999999999</v>
      </c>
      <c r="CO3195">
        <v>0.82</v>
      </c>
      <c r="CP3195">
        <v>8.86</v>
      </c>
      <c r="CQ3195">
        <v>0.56000000000000005</v>
      </c>
      <c r="CR3195">
        <v>1.57</v>
      </c>
      <c r="CS3195" t="s">
        <v>2852</v>
      </c>
      <c r="CT3195">
        <v>4.2699999999999996</v>
      </c>
      <c r="CU3195">
        <v>4.2699999999999996</v>
      </c>
      <c r="CV3195">
        <v>0.53</v>
      </c>
      <c r="CW3195">
        <v>2.54</v>
      </c>
      <c r="CX3195">
        <v>0.4</v>
      </c>
      <c r="CY3195">
        <v>21.72</v>
      </c>
      <c r="CZ3195" t="s">
        <v>6189</v>
      </c>
      <c r="DA3195">
        <v>27.2</v>
      </c>
      <c r="DB3195">
        <v>11.17</v>
      </c>
      <c r="DC3195">
        <v>5.52</v>
      </c>
      <c r="DD3195">
        <v>2</v>
      </c>
      <c r="DE3195">
        <v>52498</v>
      </c>
      <c r="DF3195">
        <v>601992</v>
      </c>
      <c r="DG3195" t="s">
        <v>116</v>
      </c>
      <c r="DH3195" t="s">
        <v>116</v>
      </c>
      <c r="DI3195" t="s">
        <v>116</v>
      </c>
    </row>
    <row r="3196" spans="1:113" x14ac:dyDescent="0.4">
      <c r="A3196" t="str">
        <f>"601996"</f>
        <v>601996</v>
      </c>
      <c r="B3196" t="s">
        <v>13834</v>
      </c>
      <c r="C3196">
        <v>-0.36</v>
      </c>
      <c r="D3196">
        <v>2.79</v>
      </c>
      <c r="E3196">
        <v>-0.01</v>
      </c>
      <c r="F3196">
        <v>2.79</v>
      </c>
      <c r="G3196">
        <v>2.8</v>
      </c>
      <c r="H3196">
        <v>70670</v>
      </c>
      <c r="I3196">
        <v>49</v>
      </c>
      <c r="J3196">
        <v>-0.35</v>
      </c>
      <c r="K3196">
        <v>0.66</v>
      </c>
      <c r="L3196">
        <v>2.8</v>
      </c>
      <c r="M3196">
        <v>2.83</v>
      </c>
      <c r="N3196">
        <v>2.78</v>
      </c>
      <c r="O3196">
        <v>2.8</v>
      </c>
      <c r="P3196">
        <v>18.09</v>
      </c>
      <c r="Q3196">
        <v>19827716</v>
      </c>
      <c r="R3196">
        <v>1.1499999999999999</v>
      </c>
      <c r="S3196" t="s">
        <v>2640</v>
      </c>
      <c r="T3196" t="s">
        <v>982</v>
      </c>
      <c r="U3196">
        <v>1.79</v>
      </c>
      <c r="V3196">
        <v>2.81</v>
      </c>
      <c r="W3196">
        <v>18490</v>
      </c>
      <c r="X3196">
        <v>52180</v>
      </c>
      <c r="Y3196">
        <v>0.35</v>
      </c>
      <c r="Z3196">
        <v>3189</v>
      </c>
      <c r="AA3196">
        <v>1107</v>
      </c>
      <c r="AB3196" t="s">
        <v>116</v>
      </c>
      <c r="AC3196">
        <v>26600</v>
      </c>
      <c r="AD3196">
        <v>0</v>
      </c>
      <c r="AE3196" t="s">
        <v>116</v>
      </c>
      <c r="AF3196" t="s">
        <v>116</v>
      </c>
      <c r="AG3196">
        <v>10.76</v>
      </c>
      <c r="AH3196" t="s">
        <v>976</v>
      </c>
      <c r="AI3196" t="s">
        <v>1641</v>
      </c>
      <c r="AJ3196">
        <v>-0.28000000000000003</v>
      </c>
      <c r="AK3196">
        <v>807</v>
      </c>
      <c r="AL3196">
        <v>88</v>
      </c>
      <c r="AM3196">
        <v>8.0000000000000004E-4</v>
      </c>
      <c r="AN3196">
        <v>-2</v>
      </c>
      <c r="AO3196">
        <v>-0.72</v>
      </c>
      <c r="AP3196">
        <v>1.0900000000000001</v>
      </c>
      <c r="AQ3196">
        <v>-2.4500000000000002</v>
      </c>
      <c r="AR3196">
        <v>0.72</v>
      </c>
      <c r="AS3196">
        <v>1.1499999999999999</v>
      </c>
      <c r="AT3196" t="s">
        <v>13835</v>
      </c>
      <c r="AU3196">
        <v>19.829999999999998</v>
      </c>
      <c r="AV3196">
        <v>23.06</v>
      </c>
      <c r="AW3196">
        <v>1.18</v>
      </c>
      <c r="BA3196">
        <v>0</v>
      </c>
      <c r="BB3196">
        <v>1.07</v>
      </c>
      <c r="BC3196">
        <v>-0.71</v>
      </c>
      <c r="BD3196">
        <v>0.2</v>
      </c>
      <c r="BE3196">
        <v>-0.36</v>
      </c>
      <c r="BF3196">
        <v>-1.41</v>
      </c>
      <c r="BG3196">
        <v>0.36</v>
      </c>
      <c r="BH3196">
        <v>-0.56000000000000005</v>
      </c>
      <c r="BI3196">
        <v>20191029</v>
      </c>
      <c r="BJ3196">
        <v>20110929</v>
      </c>
      <c r="BK3196">
        <v>11.46</v>
      </c>
      <c r="BL3196" t="s">
        <v>116</v>
      </c>
      <c r="BM3196" t="s">
        <v>116</v>
      </c>
      <c r="BN3196">
        <v>37.729999999999997</v>
      </c>
      <c r="BO3196">
        <v>26.98</v>
      </c>
      <c r="BP3196">
        <v>0.23</v>
      </c>
      <c r="BQ3196">
        <v>27.9</v>
      </c>
      <c r="BR3196">
        <v>22.38</v>
      </c>
      <c r="BS3196">
        <v>11.02</v>
      </c>
      <c r="BT3196">
        <v>2.36</v>
      </c>
      <c r="BU3196">
        <v>5.64</v>
      </c>
      <c r="BV3196">
        <v>5.18</v>
      </c>
      <c r="BW3196">
        <v>2.69</v>
      </c>
      <c r="BX3196">
        <v>7.54</v>
      </c>
      <c r="BY3196">
        <v>14.28</v>
      </c>
      <c r="BZ3196">
        <v>11.02</v>
      </c>
      <c r="CA3196">
        <v>1.31</v>
      </c>
      <c r="CB3196">
        <v>0</v>
      </c>
      <c r="CC3196">
        <v>1.34</v>
      </c>
      <c r="CD3196">
        <v>1.31</v>
      </c>
      <c r="CE3196">
        <v>1.33</v>
      </c>
      <c r="CF3196">
        <v>1.29</v>
      </c>
      <c r="CG3196">
        <v>7.2</v>
      </c>
      <c r="CH3196">
        <v>0.18</v>
      </c>
      <c r="CI3196">
        <v>-1.21</v>
      </c>
      <c r="CJ3196">
        <v>27174</v>
      </c>
      <c r="CK3196">
        <v>22697</v>
      </c>
      <c r="CL3196" t="s">
        <v>3886</v>
      </c>
      <c r="CM3196">
        <v>20.52</v>
      </c>
      <c r="CN3196">
        <v>30.94</v>
      </c>
      <c r="CO3196">
        <v>1.19</v>
      </c>
      <c r="CP3196">
        <v>180.11</v>
      </c>
      <c r="CQ3196">
        <v>2.2400000000000002</v>
      </c>
      <c r="CR3196">
        <v>2.15</v>
      </c>
      <c r="CS3196" t="s">
        <v>1182</v>
      </c>
      <c r="CT3196">
        <v>2.35</v>
      </c>
      <c r="CU3196">
        <v>0</v>
      </c>
      <c r="CV3196">
        <v>0.66</v>
      </c>
      <c r="CW3196">
        <v>0.63</v>
      </c>
      <c r="CX3196">
        <v>0.02</v>
      </c>
      <c r="CY3196">
        <v>71.489999999999995</v>
      </c>
      <c r="CZ3196" t="s">
        <v>13496</v>
      </c>
      <c r="DA3196">
        <v>22.82</v>
      </c>
      <c r="DB3196">
        <v>9.19</v>
      </c>
      <c r="DC3196">
        <v>9.2799999999999994</v>
      </c>
      <c r="DD3196">
        <v>0.08</v>
      </c>
      <c r="DE3196">
        <v>1094</v>
      </c>
      <c r="DF3196">
        <v>601996</v>
      </c>
      <c r="DG3196" t="s">
        <v>116</v>
      </c>
      <c r="DH3196" t="s">
        <v>116</v>
      </c>
      <c r="DI3196" t="s">
        <v>116</v>
      </c>
    </row>
    <row r="3197" spans="1:113" x14ac:dyDescent="0.4">
      <c r="A3197" t="str">
        <f>"601997"</f>
        <v>601997</v>
      </c>
      <c r="B3197" t="s">
        <v>13836</v>
      </c>
      <c r="C3197">
        <v>0</v>
      </c>
      <c r="D3197">
        <v>9.5500000000000007</v>
      </c>
      <c r="E3197">
        <v>0</v>
      </c>
      <c r="F3197">
        <v>9.5500000000000007</v>
      </c>
      <c r="G3197">
        <v>9.56</v>
      </c>
      <c r="H3197">
        <v>139838</v>
      </c>
      <c r="I3197">
        <v>908</v>
      </c>
      <c r="J3197">
        <v>-0.09</v>
      </c>
      <c r="K3197">
        <v>0.46</v>
      </c>
      <c r="L3197">
        <v>9.5299999999999994</v>
      </c>
      <c r="M3197">
        <v>9.6999999999999993</v>
      </c>
      <c r="N3197">
        <v>9.52</v>
      </c>
      <c r="O3197">
        <v>9.5500000000000007</v>
      </c>
      <c r="P3197">
        <v>5.35</v>
      </c>
      <c r="Q3197">
        <v>134490848</v>
      </c>
      <c r="R3197">
        <v>1.1100000000000001</v>
      </c>
      <c r="S3197" t="s">
        <v>114</v>
      </c>
      <c r="T3197" t="s">
        <v>1056</v>
      </c>
      <c r="U3197">
        <v>1.88</v>
      </c>
      <c r="V3197">
        <v>9.6199999999999992</v>
      </c>
      <c r="W3197">
        <v>66355</v>
      </c>
      <c r="X3197">
        <v>73483</v>
      </c>
      <c r="Y3197">
        <v>0.9</v>
      </c>
      <c r="Z3197">
        <v>54</v>
      </c>
      <c r="AA3197">
        <v>276</v>
      </c>
      <c r="AB3197" t="s">
        <v>116</v>
      </c>
      <c r="AC3197">
        <v>195400</v>
      </c>
      <c r="AD3197">
        <v>0</v>
      </c>
      <c r="AE3197" t="s">
        <v>116</v>
      </c>
      <c r="AF3197" t="s">
        <v>116</v>
      </c>
      <c r="AG3197">
        <v>30.7</v>
      </c>
      <c r="AH3197" t="s">
        <v>13837</v>
      </c>
      <c r="AI3197" t="s">
        <v>13838</v>
      </c>
      <c r="AJ3197">
        <v>0.08</v>
      </c>
      <c r="AK3197">
        <v>2905</v>
      </c>
      <c r="AL3197">
        <v>48</v>
      </c>
      <c r="AM3197">
        <v>2.0000000000000001E-4</v>
      </c>
      <c r="AN3197">
        <v>0</v>
      </c>
      <c r="AO3197">
        <v>0.74</v>
      </c>
      <c r="AP3197">
        <v>3.69</v>
      </c>
      <c r="AQ3197">
        <v>11.44</v>
      </c>
      <c r="AR3197">
        <v>30.06</v>
      </c>
      <c r="AS3197">
        <v>0.57999999999999996</v>
      </c>
      <c r="AT3197" t="s">
        <v>13839</v>
      </c>
      <c r="AU3197">
        <v>5.38</v>
      </c>
      <c r="AV3197">
        <v>5.98</v>
      </c>
      <c r="AW3197">
        <v>1.19</v>
      </c>
      <c r="BA3197">
        <v>-0.21</v>
      </c>
      <c r="BB3197">
        <v>1.57</v>
      </c>
      <c r="BC3197">
        <v>-0.31</v>
      </c>
      <c r="BD3197">
        <v>0.71</v>
      </c>
      <c r="BE3197">
        <v>0.21</v>
      </c>
      <c r="BF3197">
        <v>-1.55</v>
      </c>
      <c r="BG3197">
        <v>0.32</v>
      </c>
      <c r="BH3197">
        <v>-0.71</v>
      </c>
      <c r="BI3197">
        <v>20191106</v>
      </c>
      <c r="BJ3197">
        <v>20160816</v>
      </c>
      <c r="BK3197">
        <v>32.18</v>
      </c>
      <c r="BL3197" t="s">
        <v>116</v>
      </c>
      <c r="BM3197" t="s">
        <v>116</v>
      </c>
      <c r="BN3197">
        <v>5527.18</v>
      </c>
      <c r="BO3197">
        <v>377.39</v>
      </c>
      <c r="BP3197">
        <v>12.31</v>
      </c>
      <c r="BQ3197">
        <v>92.95</v>
      </c>
      <c r="BR3197">
        <v>0</v>
      </c>
      <c r="BS3197">
        <v>40.4</v>
      </c>
      <c r="BT3197">
        <v>1.62</v>
      </c>
      <c r="BU3197">
        <v>0</v>
      </c>
      <c r="BV3197">
        <v>0</v>
      </c>
      <c r="BW3197">
        <v>0</v>
      </c>
      <c r="BX3197">
        <v>39.43</v>
      </c>
      <c r="BY3197">
        <v>108.2</v>
      </c>
      <c r="BZ3197">
        <v>0</v>
      </c>
      <c r="CA3197">
        <v>47.94</v>
      </c>
      <c r="CB3197">
        <v>12.21</v>
      </c>
      <c r="CC3197">
        <v>48</v>
      </c>
      <c r="CD3197">
        <v>44.22</v>
      </c>
      <c r="CE3197">
        <v>43.06</v>
      </c>
      <c r="CF3197">
        <v>42.91</v>
      </c>
      <c r="CG3197">
        <v>168.2</v>
      </c>
      <c r="CH3197">
        <v>73.650000000000006</v>
      </c>
      <c r="CI3197">
        <v>80.98</v>
      </c>
      <c r="CJ3197">
        <v>77002</v>
      </c>
      <c r="CK3197">
        <v>31264</v>
      </c>
      <c r="CL3197" t="s">
        <v>13840</v>
      </c>
      <c r="CM3197">
        <v>15.34</v>
      </c>
      <c r="CN3197">
        <v>18.579999999999998</v>
      </c>
      <c r="CO3197">
        <v>0.94</v>
      </c>
      <c r="CP3197">
        <v>4.17</v>
      </c>
      <c r="CQ3197">
        <v>2.84</v>
      </c>
      <c r="CR3197">
        <v>2.99</v>
      </c>
      <c r="CS3197" t="s">
        <v>13841</v>
      </c>
      <c r="CT3197">
        <v>10.18</v>
      </c>
      <c r="CU3197">
        <v>10.18</v>
      </c>
      <c r="CV3197">
        <v>1.23</v>
      </c>
      <c r="CW3197">
        <v>5.23</v>
      </c>
      <c r="CX3197">
        <v>2.29</v>
      </c>
      <c r="CY3197">
        <v>6.83</v>
      </c>
      <c r="CZ3197" t="s">
        <v>11003</v>
      </c>
      <c r="DA3197" t="s">
        <v>116</v>
      </c>
      <c r="DB3197">
        <v>44.31</v>
      </c>
      <c r="DC3197">
        <v>39.799999999999997</v>
      </c>
      <c r="DD3197">
        <v>0</v>
      </c>
      <c r="DE3197">
        <v>6462</v>
      </c>
      <c r="DF3197">
        <v>601997</v>
      </c>
      <c r="DG3197" t="s">
        <v>116</v>
      </c>
      <c r="DH3197" t="s">
        <v>116</v>
      </c>
      <c r="DI3197" t="s">
        <v>116</v>
      </c>
    </row>
    <row r="3198" spans="1:113" x14ac:dyDescent="0.4">
      <c r="A3198" t="str">
        <f>"601998"</f>
        <v>601998</v>
      </c>
      <c r="B3198" t="s">
        <v>13842</v>
      </c>
      <c r="C3198">
        <v>0.33</v>
      </c>
      <c r="D3198">
        <v>6.16</v>
      </c>
      <c r="E3198">
        <v>0.02</v>
      </c>
      <c r="F3198">
        <v>6.15</v>
      </c>
      <c r="G3198">
        <v>6.16</v>
      </c>
      <c r="H3198">
        <v>208266</v>
      </c>
      <c r="I3198">
        <v>668</v>
      </c>
      <c r="J3198">
        <v>0</v>
      </c>
      <c r="K3198">
        <v>7.0000000000000007E-2</v>
      </c>
      <c r="L3198">
        <v>6.14</v>
      </c>
      <c r="M3198">
        <v>6.21</v>
      </c>
      <c r="N3198">
        <v>6.12</v>
      </c>
      <c r="O3198">
        <v>6.14</v>
      </c>
      <c r="P3198">
        <v>5.55</v>
      </c>
      <c r="Q3198">
        <v>128543784</v>
      </c>
      <c r="R3198">
        <v>1.41</v>
      </c>
      <c r="S3198" t="s">
        <v>114</v>
      </c>
      <c r="T3198" t="s">
        <v>165</v>
      </c>
      <c r="U3198">
        <v>1.47</v>
      </c>
      <c r="V3198">
        <v>6.17</v>
      </c>
      <c r="W3198">
        <v>74305</v>
      </c>
      <c r="X3198">
        <v>133961</v>
      </c>
      <c r="Y3198">
        <v>0.55000000000000004</v>
      </c>
      <c r="Z3198">
        <v>2556</v>
      </c>
      <c r="AA3198">
        <v>1137</v>
      </c>
      <c r="AB3198" t="s">
        <v>116</v>
      </c>
      <c r="AC3198">
        <v>257300</v>
      </c>
      <c r="AD3198">
        <v>0</v>
      </c>
      <c r="AE3198" t="s">
        <v>116</v>
      </c>
      <c r="AF3198" t="s">
        <v>116</v>
      </c>
      <c r="AG3198">
        <v>319.05</v>
      </c>
      <c r="AH3198" t="s">
        <v>13843</v>
      </c>
      <c r="AI3198" t="s">
        <v>13844</v>
      </c>
      <c r="AJ3198">
        <v>0.4</v>
      </c>
      <c r="AK3198">
        <v>2887</v>
      </c>
      <c r="AL3198">
        <v>72</v>
      </c>
      <c r="AM3198">
        <v>0</v>
      </c>
      <c r="AN3198">
        <v>2</v>
      </c>
      <c r="AO3198">
        <v>0.5</v>
      </c>
      <c r="AP3198">
        <v>2.67</v>
      </c>
      <c r="AQ3198">
        <v>7.69</v>
      </c>
      <c r="AR3198">
        <v>18.010000000000002</v>
      </c>
      <c r="AS3198">
        <v>0.7</v>
      </c>
      <c r="AT3198" t="s">
        <v>13845</v>
      </c>
      <c r="AU3198">
        <v>6.22</v>
      </c>
      <c r="AV3198">
        <v>6.77</v>
      </c>
      <c r="AW3198">
        <v>0.89</v>
      </c>
      <c r="BA3198">
        <v>0</v>
      </c>
      <c r="BB3198">
        <v>1.1399999999999999</v>
      </c>
      <c r="BC3198">
        <v>-0.33</v>
      </c>
      <c r="BD3198">
        <v>0.52</v>
      </c>
      <c r="BE3198">
        <v>0.33</v>
      </c>
      <c r="BF3198">
        <v>-0.81</v>
      </c>
      <c r="BG3198">
        <v>0.65</v>
      </c>
      <c r="BH3198">
        <v>-0.2</v>
      </c>
      <c r="BI3198">
        <v>20191205</v>
      </c>
      <c r="BJ3198">
        <v>20070427</v>
      </c>
      <c r="BK3198">
        <v>489.35</v>
      </c>
      <c r="BL3198" t="s">
        <v>116</v>
      </c>
      <c r="BM3198">
        <v>148.82</v>
      </c>
      <c r="BN3198">
        <v>64619.1</v>
      </c>
      <c r="BO3198">
        <v>4708.08</v>
      </c>
      <c r="BP3198">
        <v>151.97</v>
      </c>
      <c r="BQ3198">
        <v>92.48</v>
      </c>
      <c r="BR3198">
        <v>0</v>
      </c>
      <c r="BS3198">
        <v>214.46</v>
      </c>
      <c r="BT3198">
        <v>27.14</v>
      </c>
      <c r="BU3198">
        <v>0</v>
      </c>
      <c r="BV3198">
        <v>0</v>
      </c>
      <c r="BW3198">
        <v>0</v>
      </c>
      <c r="BX3198">
        <v>589.77</v>
      </c>
      <c r="BY3198">
        <v>1423.87</v>
      </c>
      <c r="BZ3198">
        <v>0</v>
      </c>
      <c r="CA3198">
        <v>492.82</v>
      </c>
      <c r="CB3198">
        <v>91.52</v>
      </c>
      <c r="CC3198">
        <v>492.87</v>
      </c>
      <c r="CD3198">
        <v>415.44</v>
      </c>
      <c r="CE3198">
        <v>407.52</v>
      </c>
      <c r="CF3198">
        <v>407.21</v>
      </c>
      <c r="CG3198">
        <v>2079.87</v>
      </c>
      <c r="CH3198">
        <v>407.07</v>
      </c>
      <c r="CI3198">
        <v>-1478.08</v>
      </c>
      <c r="CJ3198">
        <v>176307</v>
      </c>
      <c r="CK3198">
        <v>16824</v>
      </c>
      <c r="CL3198" t="s">
        <v>7476</v>
      </c>
      <c r="CM3198">
        <v>10.74</v>
      </c>
      <c r="CN3198">
        <v>17.3</v>
      </c>
      <c r="CO3198">
        <v>0.69</v>
      </c>
      <c r="CP3198">
        <v>7.41</v>
      </c>
      <c r="CQ3198">
        <v>2.12</v>
      </c>
      <c r="CR3198">
        <v>3.73</v>
      </c>
      <c r="CS3198" t="s">
        <v>4013</v>
      </c>
      <c r="CT3198">
        <v>8.91</v>
      </c>
      <c r="CU3198">
        <v>8.91</v>
      </c>
      <c r="CV3198">
        <v>1.21</v>
      </c>
      <c r="CW3198">
        <v>4.25</v>
      </c>
      <c r="CX3198">
        <v>0.83</v>
      </c>
      <c r="CY3198">
        <v>7.29</v>
      </c>
      <c r="CZ3198" t="s">
        <v>13846</v>
      </c>
      <c r="DA3198" t="s">
        <v>116</v>
      </c>
      <c r="DB3198">
        <v>34.61</v>
      </c>
      <c r="DC3198">
        <v>28.62</v>
      </c>
      <c r="DD3198">
        <v>0</v>
      </c>
      <c r="DE3198">
        <v>55290</v>
      </c>
      <c r="DF3198">
        <v>601998</v>
      </c>
      <c r="DG3198" t="s">
        <v>116</v>
      </c>
      <c r="DH3198" t="s">
        <v>116</v>
      </c>
      <c r="DI3198" t="s">
        <v>116</v>
      </c>
    </row>
    <row r="3199" spans="1:113" x14ac:dyDescent="0.4">
      <c r="A3199" t="str">
        <f>"601999"</f>
        <v>601999</v>
      </c>
      <c r="B3199" t="s">
        <v>13847</v>
      </c>
      <c r="C3199">
        <v>-0.67</v>
      </c>
      <c r="D3199">
        <v>5.95</v>
      </c>
      <c r="E3199">
        <v>-0.04</v>
      </c>
      <c r="F3199">
        <v>5.94</v>
      </c>
      <c r="G3199">
        <v>5.95</v>
      </c>
      <c r="H3199">
        <v>60119</v>
      </c>
      <c r="I3199">
        <v>403</v>
      </c>
      <c r="J3199">
        <v>0</v>
      </c>
      <c r="K3199">
        <v>1.0900000000000001</v>
      </c>
      <c r="L3199">
        <v>5.98</v>
      </c>
      <c r="M3199">
        <v>6.18</v>
      </c>
      <c r="N3199">
        <v>5.91</v>
      </c>
      <c r="O3199">
        <v>5.99</v>
      </c>
      <c r="P3199">
        <v>24.48</v>
      </c>
      <c r="Q3199">
        <v>36459280</v>
      </c>
      <c r="R3199">
        <v>1.41</v>
      </c>
      <c r="S3199" t="s">
        <v>1902</v>
      </c>
      <c r="T3199" t="s">
        <v>434</v>
      </c>
      <c r="U3199">
        <v>4.51</v>
      </c>
      <c r="V3199">
        <v>6.06</v>
      </c>
      <c r="W3199">
        <v>31395</v>
      </c>
      <c r="X3199">
        <v>28724</v>
      </c>
      <c r="Y3199">
        <v>1.0900000000000001</v>
      </c>
      <c r="Z3199">
        <v>850</v>
      </c>
      <c r="AA3199">
        <v>278</v>
      </c>
      <c r="AB3199" t="s">
        <v>116</v>
      </c>
      <c r="AC3199">
        <v>29900</v>
      </c>
      <c r="AD3199">
        <v>0</v>
      </c>
      <c r="AE3199" t="s">
        <v>116</v>
      </c>
      <c r="AF3199" t="s">
        <v>116</v>
      </c>
      <c r="AG3199">
        <v>5.51</v>
      </c>
      <c r="AH3199" t="s">
        <v>8607</v>
      </c>
      <c r="AI3199" t="s">
        <v>8607</v>
      </c>
      <c r="AJ3199">
        <v>-0.59</v>
      </c>
      <c r="AK3199">
        <v>1100</v>
      </c>
      <c r="AL3199">
        <v>55</v>
      </c>
      <c r="AM3199">
        <v>1E-3</v>
      </c>
      <c r="AN3199">
        <v>-1</v>
      </c>
      <c r="AO3199">
        <v>-0.17</v>
      </c>
      <c r="AP3199">
        <v>13.33</v>
      </c>
      <c r="AQ3199">
        <v>5.5</v>
      </c>
      <c r="AR3199">
        <v>19.96</v>
      </c>
      <c r="AS3199">
        <v>3.47</v>
      </c>
      <c r="AT3199" t="s">
        <v>9520</v>
      </c>
      <c r="AU3199">
        <v>20.95</v>
      </c>
      <c r="AV3199">
        <v>18.489999999999998</v>
      </c>
      <c r="AW3199">
        <v>1.39</v>
      </c>
      <c r="BA3199">
        <v>-0.17</v>
      </c>
      <c r="BB3199">
        <v>3.17</v>
      </c>
      <c r="BC3199">
        <v>-1.34</v>
      </c>
      <c r="BD3199">
        <v>1.24</v>
      </c>
      <c r="BE3199">
        <v>-0.5</v>
      </c>
      <c r="BF3199">
        <v>-3.72</v>
      </c>
      <c r="BG3199">
        <v>0.68</v>
      </c>
      <c r="BH3199">
        <v>-1.91</v>
      </c>
      <c r="BI3199">
        <v>20191026</v>
      </c>
      <c r="BJ3199">
        <v>20071221</v>
      </c>
      <c r="BK3199">
        <v>5.51</v>
      </c>
      <c r="BL3199" t="s">
        <v>116</v>
      </c>
      <c r="BM3199" t="s">
        <v>116</v>
      </c>
      <c r="BN3199">
        <v>37.94</v>
      </c>
      <c r="BO3199">
        <v>22.27</v>
      </c>
      <c r="BP3199">
        <v>0.23</v>
      </c>
      <c r="BQ3199">
        <v>40.69</v>
      </c>
      <c r="BR3199">
        <v>22.88</v>
      </c>
      <c r="BS3199">
        <v>4.2300000000000004</v>
      </c>
      <c r="BT3199">
        <v>0.63</v>
      </c>
      <c r="BU3199">
        <v>14.62</v>
      </c>
      <c r="BV3199">
        <v>7.37</v>
      </c>
      <c r="BW3199">
        <v>7.84</v>
      </c>
      <c r="BX3199">
        <v>5.25</v>
      </c>
      <c r="BY3199">
        <v>19.41</v>
      </c>
      <c r="BZ3199">
        <v>15.42</v>
      </c>
      <c r="CA3199">
        <v>1.01</v>
      </c>
      <c r="CB3199">
        <v>0.03</v>
      </c>
      <c r="CC3199">
        <v>1.01</v>
      </c>
      <c r="CD3199">
        <v>1.01</v>
      </c>
      <c r="CE3199">
        <v>1</v>
      </c>
      <c r="CF3199">
        <v>0.62</v>
      </c>
      <c r="CG3199">
        <v>9.84</v>
      </c>
      <c r="CH3199">
        <v>-0.47</v>
      </c>
      <c r="CI3199">
        <v>1.66</v>
      </c>
      <c r="CJ3199">
        <v>29052</v>
      </c>
      <c r="CK3199">
        <v>5969</v>
      </c>
      <c r="CL3199" t="s">
        <v>10910</v>
      </c>
      <c r="CM3199">
        <v>-17.23</v>
      </c>
      <c r="CN3199">
        <v>12.88</v>
      </c>
      <c r="CO3199">
        <v>1.47</v>
      </c>
      <c r="CP3199">
        <v>-70.45</v>
      </c>
      <c r="CQ3199">
        <v>1.69</v>
      </c>
      <c r="CR3199">
        <v>1.85</v>
      </c>
      <c r="CS3199" t="s">
        <v>3393</v>
      </c>
      <c r="CT3199">
        <v>4.04</v>
      </c>
      <c r="CU3199">
        <v>0</v>
      </c>
      <c r="CV3199">
        <v>0.95</v>
      </c>
      <c r="CW3199">
        <v>1.79</v>
      </c>
      <c r="CX3199">
        <v>-0.08</v>
      </c>
      <c r="CY3199">
        <v>58.7</v>
      </c>
      <c r="CZ3199" t="s">
        <v>703</v>
      </c>
      <c r="DA3199">
        <v>20.57</v>
      </c>
      <c r="DB3199">
        <v>5.22</v>
      </c>
      <c r="DC3199">
        <v>5.17</v>
      </c>
      <c r="DD3199">
        <v>0</v>
      </c>
      <c r="DE3199">
        <v>2247</v>
      </c>
      <c r="DF3199">
        <v>601999</v>
      </c>
      <c r="DG3199" t="s">
        <v>116</v>
      </c>
      <c r="DH3199" t="s">
        <v>116</v>
      </c>
      <c r="DI3199" t="s">
        <v>116</v>
      </c>
    </row>
    <row r="3200" spans="1:113" x14ac:dyDescent="0.4">
      <c r="A3200" t="str">
        <f>"603000"</f>
        <v>603000</v>
      </c>
      <c r="B3200" t="s">
        <v>13848</v>
      </c>
      <c r="C3200">
        <v>-1.55</v>
      </c>
      <c r="D3200">
        <v>19.73</v>
      </c>
      <c r="E3200">
        <v>-0.31</v>
      </c>
      <c r="F3200">
        <v>19.73</v>
      </c>
      <c r="G3200">
        <v>19.739999999999998</v>
      </c>
      <c r="H3200">
        <v>194661</v>
      </c>
      <c r="I3200">
        <v>2681</v>
      </c>
      <c r="J3200">
        <v>0.15</v>
      </c>
      <c r="K3200">
        <v>1.76</v>
      </c>
      <c r="L3200">
        <v>20.2</v>
      </c>
      <c r="M3200">
        <v>20.48</v>
      </c>
      <c r="N3200">
        <v>19.5</v>
      </c>
      <c r="O3200">
        <v>20.04</v>
      </c>
      <c r="P3200">
        <v>174.67</v>
      </c>
      <c r="Q3200">
        <v>390775840</v>
      </c>
      <c r="R3200">
        <v>1.07</v>
      </c>
      <c r="S3200" t="s">
        <v>1384</v>
      </c>
      <c r="T3200" t="s">
        <v>165</v>
      </c>
      <c r="U3200">
        <v>4.8899999999999997</v>
      </c>
      <c r="V3200">
        <v>20.07</v>
      </c>
      <c r="W3200">
        <v>101762</v>
      </c>
      <c r="X3200">
        <v>92899</v>
      </c>
      <c r="Y3200">
        <v>1.1000000000000001</v>
      </c>
      <c r="Z3200">
        <v>803</v>
      </c>
      <c r="AA3200">
        <v>487</v>
      </c>
      <c r="AB3200" t="s">
        <v>116</v>
      </c>
      <c r="AC3200">
        <v>1379700</v>
      </c>
      <c r="AD3200">
        <v>0.01</v>
      </c>
      <c r="AE3200" t="s">
        <v>116</v>
      </c>
      <c r="AF3200" t="s">
        <v>116</v>
      </c>
      <c r="AG3200">
        <v>11.06</v>
      </c>
      <c r="AH3200" t="s">
        <v>13849</v>
      </c>
      <c r="AI3200" t="s">
        <v>13849</v>
      </c>
      <c r="AJ3200">
        <v>-1.47</v>
      </c>
      <c r="AK3200">
        <v>3802</v>
      </c>
      <c r="AL3200">
        <v>51</v>
      </c>
      <c r="AM3200">
        <v>5.0000000000000001E-4</v>
      </c>
      <c r="AN3200">
        <v>-1</v>
      </c>
      <c r="AO3200">
        <v>0.3</v>
      </c>
      <c r="AP3200">
        <v>6.19</v>
      </c>
      <c r="AQ3200">
        <v>-6.36</v>
      </c>
      <c r="AR3200">
        <v>175.17</v>
      </c>
      <c r="AS3200">
        <v>4.05</v>
      </c>
      <c r="AT3200" t="s">
        <v>13850</v>
      </c>
      <c r="AU3200">
        <v>90.97</v>
      </c>
      <c r="AV3200">
        <v>101.99</v>
      </c>
      <c r="AW3200">
        <v>1.94</v>
      </c>
      <c r="BA3200">
        <v>0.8</v>
      </c>
      <c r="BB3200">
        <v>2.2000000000000002</v>
      </c>
      <c r="BC3200">
        <v>-2.69</v>
      </c>
      <c r="BD3200">
        <v>0.17</v>
      </c>
      <c r="BE3200">
        <v>-2.33</v>
      </c>
      <c r="BF3200">
        <v>-3.66</v>
      </c>
      <c r="BG3200">
        <v>1.18</v>
      </c>
      <c r="BH3200">
        <v>-1.72</v>
      </c>
      <c r="BI3200">
        <v>20191031</v>
      </c>
      <c r="BJ3200">
        <v>20120427</v>
      </c>
      <c r="BK3200">
        <v>11.06</v>
      </c>
      <c r="BL3200" t="s">
        <v>116</v>
      </c>
      <c r="BM3200" t="s">
        <v>116</v>
      </c>
      <c r="BN3200">
        <v>42.68</v>
      </c>
      <c r="BO3200">
        <v>29.5</v>
      </c>
      <c r="BP3200">
        <v>2.8</v>
      </c>
      <c r="BQ3200">
        <v>24.34</v>
      </c>
      <c r="BR3200">
        <v>31.52</v>
      </c>
      <c r="BS3200">
        <v>3.46</v>
      </c>
      <c r="BT3200">
        <v>0.32</v>
      </c>
      <c r="BU3200">
        <v>10.17</v>
      </c>
      <c r="BV3200">
        <v>0.27</v>
      </c>
      <c r="BW3200">
        <v>5.16</v>
      </c>
      <c r="BX3200">
        <v>7.98</v>
      </c>
      <c r="BY3200">
        <v>12.17</v>
      </c>
      <c r="BZ3200">
        <v>6.68</v>
      </c>
      <c r="CA3200">
        <v>1.45</v>
      </c>
      <c r="CB3200">
        <v>0.39</v>
      </c>
      <c r="CC3200">
        <v>1.44</v>
      </c>
      <c r="CD3200">
        <v>1.24</v>
      </c>
      <c r="CE3200">
        <v>0.94</v>
      </c>
      <c r="CF3200">
        <v>0.83</v>
      </c>
      <c r="CG3200">
        <v>8.5</v>
      </c>
      <c r="CH3200">
        <v>2.21</v>
      </c>
      <c r="CI3200">
        <v>-1.88</v>
      </c>
      <c r="CJ3200">
        <v>95742</v>
      </c>
      <c r="CK3200">
        <v>5017</v>
      </c>
      <c r="CL3200" t="s">
        <v>10287</v>
      </c>
      <c r="CM3200">
        <v>38.24</v>
      </c>
      <c r="CN3200">
        <v>23.82</v>
      </c>
      <c r="CO3200">
        <v>7.39</v>
      </c>
      <c r="CP3200">
        <v>98.68</v>
      </c>
      <c r="CQ3200">
        <v>17.920000000000002</v>
      </c>
      <c r="CR3200">
        <v>0.66</v>
      </c>
      <c r="CS3200" t="s">
        <v>7256</v>
      </c>
      <c r="CT3200">
        <v>2.67</v>
      </c>
      <c r="CU3200">
        <v>0</v>
      </c>
      <c r="CV3200">
        <v>0.72</v>
      </c>
      <c r="CW3200">
        <v>0.77</v>
      </c>
      <c r="CX3200">
        <v>0.2</v>
      </c>
      <c r="CY3200">
        <v>69.12</v>
      </c>
      <c r="CZ3200" t="s">
        <v>10791</v>
      </c>
      <c r="DA3200">
        <v>45.17</v>
      </c>
      <c r="DB3200">
        <v>11.89</v>
      </c>
      <c r="DC3200">
        <v>7.69</v>
      </c>
      <c r="DD3200">
        <v>0.28000000000000003</v>
      </c>
      <c r="DE3200">
        <v>2843</v>
      </c>
      <c r="DF3200">
        <v>603000</v>
      </c>
      <c r="DG3200" t="s">
        <v>116</v>
      </c>
      <c r="DH3200" t="s">
        <v>116</v>
      </c>
      <c r="DI3200" t="s">
        <v>116</v>
      </c>
    </row>
    <row r="3201" spans="1:113" x14ac:dyDescent="0.4">
      <c r="A3201" t="str">
        <f>"603001"</f>
        <v>603001</v>
      </c>
      <c r="B3201" t="s">
        <v>13851</v>
      </c>
      <c r="C3201">
        <v>-0.11</v>
      </c>
      <c r="D3201">
        <v>8.9499999999999993</v>
      </c>
      <c r="E3201">
        <v>-0.01</v>
      </c>
      <c r="F3201">
        <v>8.94</v>
      </c>
      <c r="G3201">
        <v>8.9499999999999993</v>
      </c>
      <c r="H3201">
        <v>25085</v>
      </c>
      <c r="I3201">
        <v>46</v>
      </c>
      <c r="J3201">
        <v>0.11</v>
      </c>
      <c r="K3201">
        <v>0.63</v>
      </c>
      <c r="L3201">
        <v>8.94</v>
      </c>
      <c r="M3201">
        <v>9.09</v>
      </c>
      <c r="N3201">
        <v>8.92</v>
      </c>
      <c r="O3201">
        <v>8.9600000000000009</v>
      </c>
      <c r="P3201">
        <v>25.41</v>
      </c>
      <c r="Q3201">
        <v>22608252</v>
      </c>
      <c r="R3201">
        <v>2.0499999999999998</v>
      </c>
      <c r="S3201" t="s">
        <v>3070</v>
      </c>
      <c r="T3201" t="s">
        <v>590</v>
      </c>
      <c r="U3201">
        <v>1.9</v>
      </c>
      <c r="V3201">
        <v>9.01</v>
      </c>
      <c r="W3201">
        <v>12299</v>
      </c>
      <c r="X3201">
        <v>12786</v>
      </c>
      <c r="Y3201">
        <v>0.96</v>
      </c>
      <c r="Z3201">
        <v>2293</v>
      </c>
      <c r="AA3201">
        <v>134</v>
      </c>
      <c r="AB3201" t="s">
        <v>116</v>
      </c>
      <c r="AC3201">
        <v>21500</v>
      </c>
      <c r="AD3201">
        <v>0</v>
      </c>
      <c r="AE3201" t="s">
        <v>116</v>
      </c>
      <c r="AF3201" t="s">
        <v>116</v>
      </c>
      <c r="AG3201">
        <v>4.01</v>
      </c>
      <c r="AH3201" t="s">
        <v>5688</v>
      </c>
      <c r="AI3201" t="s">
        <v>5688</v>
      </c>
      <c r="AJ3201">
        <v>-0.03</v>
      </c>
      <c r="AK3201">
        <v>915</v>
      </c>
      <c r="AL3201">
        <v>27</v>
      </c>
      <c r="AM3201">
        <v>6.9999999999999999E-4</v>
      </c>
      <c r="AN3201">
        <v>-1</v>
      </c>
      <c r="AO3201">
        <v>1.35</v>
      </c>
      <c r="AP3201">
        <v>2.29</v>
      </c>
      <c r="AQ3201">
        <v>-14.6</v>
      </c>
      <c r="AR3201">
        <v>-8.77</v>
      </c>
      <c r="AS3201">
        <v>1.48</v>
      </c>
      <c r="AT3201" t="s">
        <v>10132</v>
      </c>
      <c r="AU3201">
        <v>50.76</v>
      </c>
      <c r="AV3201">
        <v>26.21</v>
      </c>
      <c r="AW3201">
        <v>1.31</v>
      </c>
      <c r="BA3201">
        <v>-0.22</v>
      </c>
      <c r="BB3201">
        <v>1.45</v>
      </c>
      <c r="BC3201">
        <v>-0.45</v>
      </c>
      <c r="BD3201">
        <v>0.59</v>
      </c>
      <c r="BE3201">
        <v>0.11</v>
      </c>
      <c r="BF3201">
        <v>-1.54</v>
      </c>
      <c r="BG3201">
        <v>0.34</v>
      </c>
      <c r="BH3201">
        <v>-0.7</v>
      </c>
      <c r="BI3201">
        <v>20191031</v>
      </c>
      <c r="BJ3201">
        <v>20120426</v>
      </c>
      <c r="BK3201">
        <v>4.01</v>
      </c>
      <c r="BL3201" t="s">
        <v>116</v>
      </c>
      <c r="BM3201" t="s">
        <v>116</v>
      </c>
      <c r="BN3201">
        <v>45.78</v>
      </c>
      <c r="BO3201">
        <v>38.6</v>
      </c>
      <c r="BP3201">
        <v>0.09</v>
      </c>
      <c r="BQ3201">
        <v>15.48</v>
      </c>
      <c r="BR3201">
        <v>30.26</v>
      </c>
      <c r="BS3201">
        <v>4.47</v>
      </c>
      <c r="BT3201">
        <v>2.13</v>
      </c>
      <c r="BU3201">
        <v>6.98</v>
      </c>
      <c r="BV3201">
        <v>8.49</v>
      </c>
      <c r="BW3201">
        <v>12.86</v>
      </c>
      <c r="BX3201">
        <v>19.3</v>
      </c>
      <c r="BY3201">
        <v>19.73</v>
      </c>
      <c r="BZ3201">
        <v>12.5</v>
      </c>
      <c r="CA3201">
        <v>1.35</v>
      </c>
      <c r="CB3201">
        <v>7.0000000000000007E-2</v>
      </c>
      <c r="CC3201">
        <v>1.42</v>
      </c>
      <c r="CD3201">
        <v>1.05</v>
      </c>
      <c r="CE3201">
        <v>1.06</v>
      </c>
      <c r="CF3201">
        <v>0.83</v>
      </c>
      <c r="CG3201">
        <v>14.88</v>
      </c>
      <c r="CH3201">
        <v>-2.35</v>
      </c>
      <c r="CI3201">
        <v>-1.94</v>
      </c>
      <c r="CJ3201">
        <v>16646</v>
      </c>
      <c r="CK3201">
        <v>10170</v>
      </c>
      <c r="CL3201" t="s">
        <v>7668</v>
      </c>
      <c r="CM3201">
        <v>-38.479999999999997</v>
      </c>
      <c r="CN3201">
        <v>-9.56</v>
      </c>
      <c r="CO3201">
        <v>0.93</v>
      </c>
      <c r="CP3201">
        <v>-15.27</v>
      </c>
      <c r="CQ3201">
        <v>1.82</v>
      </c>
      <c r="CR3201">
        <v>3.25</v>
      </c>
      <c r="CS3201" t="s">
        <v>2326</v>
      </c>
      <c r="CT3201">
        <v>9.6300000000000008</v>
      </c>
      <c r="CU3201">
        <v>0</v>
      </c>
      <c r="CV3201">
        <v>4.8099999999999996</v>
      </c>
      <c r="CW3201">
        <v>3.71</v>
      </c>
      <c r="CX3201">
        <v>-0.59</v>
      </c>
      <c r="CY3201">
        <v>84.32</v>
      </c>
      <c r="CZ3201" t="s">
        <v>13852</v>
      </c>
      <c r="DA3201">
        <v>36.619999999999997</v>
      </c>
      <c r="DB3201">
        <v>6.85</v>
      </c>
      <c r="DC3201">
        <v>5.37</v>
      </c>
      <c r="DD3201">
        <v>0.4</v>
      </c>
      <c r="DE3201">
        <v>6291</v>
      </c>
      <c r="DF3201">
        <v>603001</v>
      </c>
      <c r="DG3201" t="s">
        <v>116</v>
      </c>
      <c r="DH3201" t="s">
        <v>116</v>
      </c>
      <c r="DI3201" t="s">
        <v>116</v>
      </c>
    </row>
    <row r="3202" spans="1:113" x14ac:dyDescent="0.4">
      <c r="A3202" t="str">
        <f>"603002"</f>
        <v>603002</v>
      </c>
      <c r="B3202" t="s">
        <v>13853</v>
      </c>
      <c r="C3202">
        <v>0.69</v>
      </c>
      <c r="D3202">
        <v>4.37</v>
      </c>
      <c r="E3202">
        <v>0.03</v>
      </c>
      <c r="F3202">
        <v>4.37</v>
      </c>
      <c r="G3202">
        <v>4.38</v>
      </c>
      <c r="H3202">
        <v>154946</v>
      </c>
      <c r="I3202">
        <v>3560</v>
      </c>
      <c r="J3202">
        <v>0.23</v>
      </c>
      <c r="K3202">
        <v>2.52</v>
      </c>
      <c r="L3202">
        <v>4.41</v>
      </c>
      <c r="M3202">
        <v>4.49</v>
      </c>
      <c r="N3202">
        <v>4.28</v>
      </c>
      <c r="O3202">
        <v>4.34</v>
      </c>
      <c r="P3202">
        <v>44.74</v>
      </c>
      <c r="Q3202">
        <v>67802120</v>
      </c>
      <c r="R3202">
        <v>1.31</v>
      </c>
      <c r="S3202" t="s">
        <v>891</v>
      </c>
      <c r="T3202" t="s">
        <v>551</v>
      </c>
      <c r="U3202">
        <v>4.84</v>
      </c>
      <c r="V3202">
        <v>4.38</v>
      </c>
      <c r="W3202">
        <v>80046</v>
      </c>
      <c r="X3202">
        <v>74900</v>
      </c>
      <c r="Y3202">
        <v>1.07</v>
      </c>
      <c r="Z3202">
        <v>1667</v>
      </c>
      <c r="AA3202">
        <v>1350</v>
      </c>
      <c r="AB3202" t="s">
        <v>116</v>
      </c>
      <c r="AC3202">
        <v>1138700</v>
      </c>
      <c r="AD3202">
        <v>7.0000000000000007E-2</v>
      </c>
      <c r="AE3202" t="s">
        <v>116</v>
      </c>
      <c r="AF3202" t="s">
        <v>116</v>
      </c>
      <c r="AG3202">
        <v>6.14</v>
      </c>
      <c r="AH3202" t="s">
        <v>11518</v>
      </c>
      <c r="AI3202" t="s">
        <v>11518</v>
      </c>
      <c r="AJ3202">
        <v>0.77</v>
      </c>
      <c r="AK3202">
        <v>1824</v>
      </c>
      <c r="AL3202">
        <v>85</v>
      </c>
      <c r="AM3202">
        <v>1.4E-3</v>
      </c>
      <c r="AN3202">
        <v>4</v>
      </c>
      <c r="AO3202">
        <v>3.8</v>
      </c>
      <c r="AP3202">
        <v>12.63</v>
      </c>
      <c r="AQ3202">
        <v>12.05</v>
      </c>
      <c r="AR3202">
        <v>27.44</v>
      </c>
      <c r="AS3202">
        <v>4.3</v>
      </c>
      <c r="AT3202" t="s">
        <v>13854</v>
      </c>
      <c r="AU3202">
        <v>57.26</v>
      </c>
      <c r="AV3202">
        <v>53.69</v>
      </c>
      <c r="AW3202">
        <v>0.77</v>
      </c>
      <c r="BA3202">
        <v>1.61</v>
      </c>
      <c r="BB3202">
        <v>3.46</v>
      </c>
      <c r="BC3202">
        <v>-1.38</v>
      </c>
      <c r="BD3202">
        <v>0.83</v>
      </c>
      <c r="BE3202">
        <v>-0.91</v>
      </c>
      <c r="BF3202">
        <v>-2.67</v>
      </c>
      <c r="BG3202">
        <v>2.1</v>
      </c>
      <c r="BH3202">
        <v>-0.13</v>
      </c>
      <c r="BI3202">
        <v>20191029</v>
      </c>
      <c r="BJ3202">
        <v>20120518</v>
      </c>
      <c r="BK3202">
        <v>6.14</v>
      </c>
      <c r="BL3202" t="s">
        <v>116</v>
      </c>
      <c r="BM3202" t="s">
        <v>116</v>
      </c>
      <c r="BN3202">
        <v>17.600000000000001</v>
      </c>
      <c r="BO3202">
        <v>11.3</v>
      </c>
      <c r="BP3202">
        <v>0</v>
      </c>
      <c r="BQ3202">
        <v>35.799999999999997</v>
      </c>
      <c r="BR3202">
        <v>11.73</v>
      </c>
      <c r="BS3202">
        <v>5.54</v>
      </c>
      <c r="BT3202">
        <v>0.32</v>
      </c>
      <c r="BU3202">
        <v>5.91</v>
      </c>
      <c r="BV3202">
        <v>0.86</v>
      </c>
      <c r="BW3202">
        <v>3.92</v>
      </c>
      <c r="BX3202">
        <v>1.01</v>
      </c>
      <c r="BY3202">
        <v>12.04</v>
      </c>
      <c r="BZ3202">
        <v>10.72</v>
      </c>
      <c r="CA3202">
        <v>0.53</v>
      </c>
      <c r="CB3202">
        <v>0</v>
      </c>
      <c r="CC3202">
        <v>0.53</v>
      </c>
      <c r="CD3202">
        <v>0.45</v>
      </c>
      <c r="CE3202">
        <v>0.45</v>
      </c>
      <c r="CF3202">
        <v>0.38</v>
      </c>
      <c r="CG3202">
        <v>3.58</v>
      </c>
      <c r="CH3202">
        <v>-0.54</v>
      </c>
      <c r="CI3202">
        <v>-0.62</v>
      </c>
      <c r="CJ3202">
        <v>34950</v>
      </c>
      <c r="CK3202">
        <v>10321</v>
      </c>
      <c r="CL3202" t="s">
        <v>1283</v>
      </c>
      <c r="CM3202">
        <v>-6.47</v>
      </c>
      <c r="CN3202">
        <v>-9.4700000000000006</v>
      </c>
      <c r="CO3202">
        <v>2.38</v>
      </c>
      <c r="CP3202">
        <v>-49.6</v>
      </c>
      <c r="CQ3202">
        <v>2.23</v>
      </c>
      <c r="CR3202">
        <v>0.94</v>
      </c>
      <c r="CS3202" t="s">
        <v>1012</v>
      </c>
      <c r="CT3202">
        <v>1.84</v>
      </c>
      <c r="CU3202">
        <v>0</v>
      </c>
      <c r="CV3202">
        <v>0.16</v>
      </c>
      <c r="CW3202">
        <v>0.57999999999999996</v>
      </c>
      <c r="CX3202">
        <v>-0.09</v>
      </c>
      <c r="CY3202">
        <v>64.2</v>
      </c>
      <c r="CZ3202" t="s">
        <v>13855</v>
      </c>
      <c r="DA3202">
        <v>10.99</v>
      </c>
      <c r="DB3202">
        <v>4.4000000000000004</v>
      </c>
      <c r="DC3202">
        <v>3.74</v>
      </c>
      <c r="DD3202">
        <v>0.16</v>
      </c>
      <c r="DE3202">
        <v>332</v>
      </c>
      <c r="DF3202">
        <v>603002</v>
      </c>
      <c r="DG3202" t="s">
        <v>116</v>
      </c>
      <c r="DH3202" t="s">
        <v>116</v>
      </c>
      <c r="DI3202" t="s">
        <v>116</v>
      </c>
    </row>
    <row r="3203" spans="1:113" x14ac:dyDescent="0.4">
      <c r="A3203" t="str">
        <f>"603003"</f>
        <v>603003</v>
      </c>
      <c r="B3203" t="s">
        <v>13856</v>
      </c>
      <c r="C3203">
        <v>0</v>
      </c>
      <c r="D3203">
        <v>8.19</v>
      </c>
      <c r="E3203">
        <v>0</v>
      </c>
      <c r="F3203">
        <v>8.18</v>
      </c>
      <c r="G3203">
        <v>8.19</v>
      </c>
      <c r="H3203">
        <v>31165</v>
      </c>
      <c r="I3203">
        <v>652</v>
      </c>
      <c r="J3203">
        <v>0.74</v>
      </c>
      <c r="K3203">
        <v>0.75</v>
      </c>
      <c r="L3203">
        <v>8.1999999999999993</v>
      </c>
      <c r="M3203">
        <v>8.39</v>
      </c>
      <c r="N3203">
        <v>8.1300000000000008</v>
      </c>
      <c r="O3203">
        <v>8.19</v>
      </c>
      <c r="P3203" t="s">
        <v>116</v>
      </c>
      <c r="Q3203">
        <v>25639796</v>
      </c>
      <c r="R3203">
        <v>1.4</v>
      </c>
      <c r="S3203" t="s">
        <v>536</v>
      </c>
      <c r="T3203" t="s">
        <v>1653</v>
      </c>
      <c r="U3203">
        <v>3.17</v>
      </c>
      <c r="V3203">
        <v>8.23</v>
      </c>
      <c r="W3203">
        <v>17081</v>
      </c>
      <c r="X3203">
        <v>14084</v>
      </c>
      <c r="Y3203">
        <v>1.21</v>
      </c>
      <c r="Z3203">
        <v>25</v>
      </c>
      <c r="AA3203">
        <v>133</v>
      </c>
      <c r="AB3203" t="s">
        <v>116</v>
      </c>
      <c r="AC3203">
        <v>822500</v>
      </c>
      <c r="AD3203">
        <v>0.04</v>
      </c>
      <c r="AE3203" t="s">
        <v>116</v>
      </c>
      <c r="AF3203" t="s">
        <v>116</v>
      </c>
      <c r="AG3203">
        <v>4.17</v>
      </c>
      <c r="AH3203" t="s">
        <v>9513</v>
      </c>
      <c r="AI3203" t="s">
        <v>9513</v>
      </c>
      <c r="AJ3203">
        <v>0.08</v>
      </c>
      <c r="AK3203">
        <v>1071</v>
      </c>
      <c r="AL3203">
        <v>29</v>
      </c>
      <c r="AM3203">
        <v>6.9999999999999999E-4</v>
      </c>
      <c r="AN3203">
        <v>0</v>
      </c>
      <c r="AO3203">
        <v>2.5099999999999998</v>
      </c>
      <c r="AP3203">
        <v>0.86</v>
      </c>
      <c r="AQ3203">
        <v>-4.99</v>
      </c>
      <c r="AR3203">
        <v>21.69</v>
      </c>
      <c r="AS3203">
        <v>1.33</v>
      </c>
      <c r="AT3203" t="s">
        <v>8635</v>
      </c>
      <c r="AU3203" t="s">
        <v>116</v>
      </c>
      <c r="AV3203">
        <v>53.7</v>
      </c>
      <c r="AW3203">
        <v>0.83</v>
      </c>
      <c r="BA3203">
        <v>0.12</v>
      </c>
      <c r="BB3203">
        <v>2.44</v>
      </c>
      <c r="BC3203">
        <v>-0.73</v>
      </c>
      <c r="BD3203">
        <v>0.45</v>
      </c>
      <c r="BE3203">
        <v>-0.12</v>
      </c>
      <c r="BF3203">
        <v>-2.38</v>
      </c>
      <c r="BG3203">
        <v>0.74</v>
      </c>
      <c r="BH3203">
        <v>-0.45</v>
      </c>
      <c r="BI3203">
        <v>20191030</v>
      </c>
      <c r="BJ3203">
        <v>20120817</v>
      </c>
      <c r="BK3203">
        <v>4.17</v>
      </c>
      <c r="BL3203" t="s">
        <v>116</v>
      </c>
      <c r="BM3203" t="s">
        <v>116</v>
      </c>
      <c r="BN3203">
        <v>62.46</v>
      </c>
      <c r="BO3203">
        <v>38.67</v>
      </c>
      <c r="BP3203">
        <v>1.27</v>
      </c>
      <c r="BQ3203">
        <v>36.049999999999997</v>
      </c>
      <c r="BR3203">
        <v>44.8</v>
      </c>
      <c r="BS3203">
        <v>11.05</v>
      </c>
      <c r="BT3203">
        <v>3.56</v>
      </c>
      <c r="BU3203">
        <v>21.95</v>
      </c>
      <c r="BV3203">
        <v>4.0599999999999996</v>
      </c>
      <c r="BW3203">
        <v>12.24</v>
      </c>
      <c r="BX3203">
        <v>33.53</v>
      </c>
      <c r="BY3203">
        <v>104.15</v>
      </c>
      <c r="BZ3203">
        <v>103.56</v>
      </c>
      <c r="CA3203">
        <v>-0.31</v>
      </c>
      <c r="CB3203">
        <v>0.33</v>
      </c>
      <c r="CC3203">
        <v>-0.28999999999999998</v>
      </c>
      <c r="CD3203">
        <v>-0.31</v>
      </c>
      <c r="CE3203">
        <v>-0.3</v>
      </c>
      <c r="CF3203">
        <v>-0.59</v>
      </c>
      <c r="CG3203">
        <v>1.39</v>
      </c>
      <c r="CH3203">
        <v>-5.24</v>
      </c>
      <c r="CI3203">
        <v>-9.5500000000000007</v>
      </c>
      <c r="CJ3203">
        <v>15810</v>
      </c>
      <c r="CK3203">
        <v>14770</v>
      </c>
      <c r="CL3203" t="s">
        <v>10684</v>
      </c>
      <c r="CM3203">
        <v>-163.97</v>
      </c>
      <c r="CN3203">
        <v>-19.28</v>
      </c>
      <c r="CO3203">
        <v>0.88</v>
      </c>
      <c r="CP3203">
        <v>-6.5</v>
      </c>
      <c r="CQ3203">
        <v>0.33</v>
      </c>
      <c r="CR3203">
        <v>0</v>
      </c>
      <c r="CS3203" t="s">
        <v>7879</v>
      </c>
      <c r="CT3203">
        <v>9.2799999999999994</v>
      </c>
      <c r="CU3203">
        <v>0</v>
      </c>
      <c r="CV3203">
        <v>8.0500000000000007</v>
      </c>
      <c r="CW3203">
        <v>0.33</v>
      </c>
      <c r="CX3203">
        <v>-1.26</v>
      </c>
      <c r="CY3203">
        <v>61.92</v>
      </c>
      <c r="CZ3203" t="s">
        <v>13857</v>
      </c>
      <c r="DA3203">
        <v>0.56999999999999995</v>
      </c>
      <c r="DB3203">
        <v>-0.3</v>
      </c>
      <c r="DC3203">
        <v>-0.28999999999999998</v>
      </c>
      <c r="DD3203">
        <v>0</v>
      </c>
      <c r="DE3203">
        <v>135</v>
      </c>
      <c r="DF3203">
        <v>603003</v>
      </c>
      <c r="DG3203" t="s">
        <v>116</v>
      </c>
      <c r="DH3203" t="s">
        <v>116</v>
      </c>
      <c r="DI3203" t="s">
        <v>116</v>
      </c>
    </row>
    <row r="3204" spans="1:113" x14ac:dyDescent="0.4">
      <c r="A3204" t="str">
        <f>"603005"</f>
        <v>603005</v>
      </c>
      <c r="B3204" t="s">
        <v>13858</v>
      </c>
      <c r="C3204">
        <v>-3.1</v>
      </c>
      <c r="D3204">
        <v>42.2</v>
      </c>
      <c r="E3204">
        <v>-1.35</v>
      </c>
      <c r="F3204">
        <v>42.19</v>
      </c>
      <c r="G3204">
        <v>42.2</v>
      </c>
      <c r="H3204">
        <v>202214</v>
      </c>
      <c r="I3204">
        <v>3455</v>
      </c>
      <c r="J3204">
        <v>-0.72</v>
      </c>
      <c r="K3204">
        <v>8.8000000000000007</v>
      </c>
      <c r="L3204">
        <v>43.45</v>
      </c>
      <c r="M3204">
        <v>45.48</v>
      </c>
      <c r="N3204">
        <v>41.8</v>
      </c>
      <c r="O3204">
        <v>43.55</v>
      </c>
      <c r="P3204">
        <v>140.02000000000001</v>
      </c>
      <c r="Q3204">
        <v>882654912</v>
      </c>
      <c r="R3204">
        <v>0.93</v>
      </c>
      <c r="S3204" t="s">
        <v>3507</v>
      </c>
      <c r="T3204" t="s">
        <v>323</v>
      </c>
      <c r="U3204">
        <v>8.4499999999999993</v>
      </c>
      <c r="V3204">
        <v>43.65</v>
      </c>
      <c r="W3204">
        <v>108497</v>
      </c>
      <c r="X3204">
        <v>93717</v>
      </c>
      <c r="Y3204">
        <v>1.1599999999999999</v>
      </c>
      <c r="Z3204">
        <v>23</v>
      </c>
      <c r="AA3204">
        <v>662</v>
      </c>
      <c r="AB3204" t="s">
        <v>116</v>
      </c>
      <c r="AC3204">
        <v>6469700</v>
      </c>
      <c r="AD3204">
        <v>0.12</v>
      </c>
      <c r="AE3204" t="s">
        <v>116</v>
      </c>
      <c r="AF3204" t="s">
        <v>116</v>
      </c>
      <c r="AG3204">
        <v>2.2999999999999998</v>
      </c>
      <c r="AH3204" t="s">
        <v>13859</v>
      </c>
      <c r="AI3204" t="s">
        <v>13859</v>
      </c>
      <c r="AJ3204">
        <v>-3.02</v>
      </c>
      <c r="AK3204">
        <v>4386</v>
      </c>
      <c r="AL3204">
        <v>46</v>
      </c>
      <c r="AM3204">
        <v>2E-3</v>
      </c>
      <c r="AN3204">
        <v>-2</v>
      </c>
      <c r="AO3204">
        <v>0.71</v>
      </c>
      <c r="AP3204">
        <v>40.67</v>
      </c>
      <c r="AQ3204">
        <v>90.09</v>
      </c>
      <c r="AR3204">
        <v>158.1</v>
      </c>
      <c r="AS3204">
        <v>16.34</v>
      </c>
      <c r="AT3204" t="s">
        <v>13860</v>
      </c>
      <c r="AU3204">
        <v>104.63</v>
      </c>
      <c r="AV3204">
        <v>136.27000000000001</v>
      </c>
      <c r="AW3204">
        <v>1.77</v>
      </c>
      <c r="BA3204">
        <v>-0.23</v>
      </c>
      <c r="BB3204">
        <v>4.43</v>
      </c>
      <c r="BC3204">
        <v>-4.0199999999999996</v>
      </c>
      <c r="BD3204">
        <v>0.23</v>
      </c>
      <c r="BE3204">
        <v>-2.88</v>
      </c>
      <c r="BF3204">
        <v>-7.21</v>
      </c>
      <c r="BG3204">
        <v>0.96</v>
      </c>
      <c r="BH3204">
        <v>-3.33</v>
      </c>
      <c r="BI3204">
        <v>20191125</v>
      </c>
      <c r="BJ3204">
        <v>20140210</v>
      </c>
      <c r="BK3204">
        <v>2.2999999999999998</v>
      </c>
      <c r="BL3204" t="s">
        <v>116</v>
      </c>
      <c r="BM3204" t="s">
        <v>116</v>
      </c>
      <c r="BN3204">
        <v>22.22</v>
      </c>
      <c r="BO3204">
        <v>19.239999999999998</v>
      </c>
      <c r="BP3204">
        <v>0</v>
      </c>
      <c r="BQ3204">
        <v>13.39</v>
      </c>
      <c r="BR3204">
        <v>10.76</v>
      </c>
      <c r="BS3204">
        <v>8.19</v>
      </c>
      <c r="BT3204">
        <v>0.88</v>
      </c>
      <c r="BU3204">
        <v>1.35</v>
      </c>
      <c r="BV3204">
        <v>0.84</v>
      </c>
      <c r="BW3204">
        <v>0.79</v>
      </c>
      <c r="BX3204">
        <v>8.82</v>
      </c>
      <c r="BY3204">
        <v>3.41</v>
      </c>
      <c r="BZ3204">
        <v>2.14</v>
      </c>
      <c r="CA3204">
        <v>0.62</v>
      </c>
      <c r="CB3204">
        <v>0.01</v>
      </c>
      <c r="CC3204">
        <v>0.62</v>
      </c>
      <c r="CD3204">
        <v>0.52</v>
      </c>
      <c r="CE3204">
        <v>0.52</v>
      </c>
      <c r="CF3204">
        <v>0.2</v>
      </c>
      <c r="CG3204">
        <v>7.08</v>
      </c>
      <c r="CH3204">
        <v>0.83</v>
      </c>
      <c r="CI3204">
        <v>0.93</v>
      </c>
      <c r="CJ3204">
        <v>22449</v>
      </c>
      <c r="CK3204">
        <v>5512</v>
      </c>
      <c r="CL3204" t="s">
        <v>13861</v>
      </c>
      <c r="CM3204">
        <v>70.760000000000005</v>
      </c>
      <c r="CN3204">
        <v>-19.77</v>
      </c>
      <c r="CO3204">
        <v>5.04</v>
      </c>
      <c r="CP3204">
        <v>116.16</v>
      </c>
      <c r="CQ3204">
        <v>28.4</v>
      </c>
      <c r="CR3204">
        <v>0.17</v>
      </c>
      <c r="CS3204" t="s">
        <v>1244</v>
      </c>
      <c r="CT3204">
        <v>8.3800000000000008</v>
      </c>
      <c r="CU3204">
        <v>0</v>
      </c>
      <c r="CV3204">
        <v>3.84</v>
      </c>
      <c r="CW3204">
        <v>3.08</v>
      </c>
      <c r="CX3204">
        <v>0.36</v>
      </c>
      <c r="CY3204">
        <v>86.61</v>
      </c>
      <c r="CZ3204" t="s">
        <v>8688</v>
      </c>
      <c r="DA3204">
        <v>37.32</v>
      </c>
      <c r="DB3204">
        <v>18.100000000000001</v>
      </c>
      <c r="DC3204">
        <v>15.21</v>
      </c>
      <c r="DD3204">
        <v>0.91</v>
      </c>
      <c r="DE3204">
        <v>1079</v>
      </c>
      <c r="DF3204">
        <v>603005</v>
      </c>
      <c r="DG3204" t="s">
        <v>116</v>
      </c>
      <c r="DH3204" t="s">
        <v>116</v>
      </c>
      <c r="DI3204" t="s">
        <v>116</v>
      </c>
    </row>
    <row r="3205" spans="1:113" x14ac:dyDescent="0.4">
      <c r="A3205" t="str">
        <f>"603006"</f>
        <v>603006</v>
      </c>
      <c r="B3205" t="s">
        <v>13862</v>
      </c>
      <c r="C3205">
        <v>-4.1399999999999997</v>
      </c>
      <c r="D3205">
        <v>11.12</v>
      </c>
      <c r="E3205">
        <v>-0.48</v>
      </c>
      <c r="F3205">
        <v>11.12</v>
      </c>
      <c r="G3205">
        <v>11.13</v>
      </c>
      <c r="H3205">
        <v>46796</v>
      </c>
      <c r="I3205">
        <v>665</v>
      </c>
      <c r="J3205">
        <v>-0.26</v>
      </c>
      <c r="K3205">
        <v>2.4500000000000002</v>
      </c>
      <c r="L3205">
        <v>11.8</v>
      </c>
      <c r="M3205">
        <v>11.94</v>
      </c>
      <c r="N3205">
        <v>11.12</v>
      </c>
      <c r="O3205">
        <v>11.6</v>
      </c>
      <c r="P3205">
        <v>22.68</v>
      </c>
      <c r="Q3205">
        <v>53605144</v>
      </c>
      <c r="R3205">
        <v>1.29</v>
      </c>
      <c r="S3205" t="s">
        <v>293</v>
      </c>
      <c r="T3205" t="s">
        <v>1653</v>
      </c>
      <c r="U3205">
        <v>7.07</v>
      </c>
      <c r="V3205">
        <v>11.46</v>
      </c>
      <c r="W3205">
        <v>29873</v>
      </c>
      <c r="X3205">
        <v>16923</v>
      </c>
      <c r="Y3205">
        <v>1.77</v>
      </c>
      <c r="Z3205">
        <v>251</v>
      </c>
      <c r="AA3205">
        <v>107</v>
      </c>
      <c r="AB3205" t="s">
        <v>116</v>
      </c>
      <c r="AC3205">
        <v>1786500</v>
      </c>
      <c r="AD3205">
        <v>0.22</v>
      </c>
      <c r="AE3205" t="s">
        <v>116</v>
      </c>
      <c r="AF3205" t="s">
        <v>116</v>
      </c>
      <c r="AG3205">
        <v>1.91</v>
      </c>
      <c r="AH3205" t="s">
        <v>13863</v>
      </c>
      <c r="AI3205" t="s">
        <v>13863</v>
      </c>
      <c r="AJ3205">
        <v>-4.0599999999999996</v>
      </c>
      <c r="AK3205">
        <v>1568</v>
      </c>
      <c r="AL3205">
        <v>30</v>
      </c>
      <c r="AM3205">
        <v>1.6000000000000001E-3</v>
      </c>
      <c r="AN3205">
        <v>-1</v>
      </c>
      <c r="AO3205">
        <v>-1.24</v>
      </c>
      <c r="AP3205">
        <v>15.47</v>
      </c>
      <c r="AQ3205">
        <v>0.82</v>
      </c>
      <c r="AR3205">
        <v>21.13</v>
      </c>
      <c r="AS3205">
        <v>6.71</v>
      </c>
      <c r="AT3205" t="s">
        <v>9662</v>
      </c>
      <c r="AU3205">
        <v>20.2</v>
      </c>
      <c r="AV3205">
        <v>21.02</v>
      </c>
      <c r="AW3205">
        <v>0.89</v>
      </c>
      <c r="BA3205">
        <v>1.72</v>
      </c>
      <c r="BB3205">
        <v>2.93</v>
      </c>
      <c r="BC3205">
        <v>-4.1399999999999997</v>
      </c>
      <c r="BD3205">
        <v>-1.25</v>
      </c>
      <c r="BE3205">
        <v>-5.76</v>
      </c>
      <c r="BF3205">
        <v>-6.87</v>
      </c>
      <c r="BG3205">
        <v>0</v>
      </c>
      <c r="BH3205">
        <v>-2.89</v>
      </c>
      <c r="BI3205">
        <v>20191030</v>
      </c>
      <c r="BJ3205">
        <v>20140630</v>
      </c>
      <c r="BK3205">
        <v>1.91</v>
      </c>
      <c r="BL3205" t="s">
        <v>116</v>
      </c>
      <c r="BM3205" t="s">
        <v>116</v>
      </c>
      <c r="BN3205">
        <v>20.97</v>
      </c>
      <c r="BO3205">
        <v>11.03</v>
      </c>
      <c r="BP3205">
        <v>2.7</v>
      </c>
      <c r="BQ3205">
        <v>34.53</v>
      </c>
      <c r="BR3205">
        <v>11</v>
      </c>
      <c r="BS3205">
        <v>5</v>
      </c>
      <c r="BT3205">
        <v>1.3</v>
      </c>
      <c r="BU3205">
        <v>5.6</v>
      </c>
      <c r="BV3205">
        <v>3.35</v>
      </c>
      <c r="BW3205">
        <v>2.92</v>
      </c>
      <c r="BX3205">
        <v>1.49</v>
      </c>
      <c r="BY3205">
        <v>6.82</v>
      </c>
      <c r="BZ3205">
        <v>5.29</v>
      </c>
      <c r="CA3205">
        <v>0.97</v>
      </c>
      <c r="CB3205">
        <v>0.08</v>
      </c>
      <c r="CC3205">
        <v>0.97</v>
      </c>
      <c r="CD3205">
        <v>0.76</v>
      </c>
      <c r="CE3205">
        <v>0.7</v>
      </c>
      <c r="CF3205">
        <v>0.62</v>
      </c>
      <c r="CG3205">
        <v>7.05</v>
      </c>
      <c r="CH3205">
        <v>1.1100000000000001</v>
      </c>
      <c r="CI3205">
        <v>-0.25</v>
      </c>
      <c r="CJ3205">
        <v>12428</v>
      </c>
      <c r="CK3205">
        <v>5615</v>
      </c>
      <c r="CL3205" t="s">
        <v>7025</v>
      </c>
      <c r="CM3205">
        <v>6.23</v>
      </c>
      <c r="CN3205">
        <v>-3.98</v>
      </c>
      <c r="CO3205">
        <v>1.93</v>
      </c>
      <c r="CP3205">
        <v>19.170000000000002</v>
      </c>
      <c r="CQ3205">
        <v>3.12</v>
      </c>
      <c r="CR3205">
        <v>0</v>
      </c>
      <c r="CS3205" t="s">
        <v>3828</v>
      </c>
      <c r="CT3205">
        <v>5.77</v>
      </c>
      <c r="CU3205">
        <v>0</v>
      </c>
      <c r="CV3205">
        <v>0.78</v>
      </c>
      <c r="CW3205">
        <v>3.69</v>
      </c>
      <c r="CX3205">
        <v>0.57999999999999996</v>
      </c>
      <c r="CY3205">
        <v>52.61</v>
      </c>
      <c r="CZ3205" t="s">
        <v>1738</v>
      </c>
      <c r="DA3205">
        <v>22.5</v>
      </c>
      <c r="DB3205">
        <v>14.19</v>
      </c>
      <c r="DC3205">
        <v>10.3</v>
      </c>
      <c r="DD3205">
        <v>0.12</v>
      </c>
      <c r="DE3205">
        <v>1664</v>
      </c>
      <c r="DF3205">
        <v>603006</v>
      </c>
      <c r="DG3205" t="s">
        <v>116</v>
      </c>
      <c r="DH3205" t="s">
        <v>116</v>
      </c>
      <c r="DI3205" t="s">
        <v>116</v>
      </c>
    </row>
    <row r="3206" spans="1:113" x14ac:dyDescent="0.4">
      <c r="A3206" t="str">
        <f>"603007"</f>
        <v>603007</v>
      </c>
      <c r="B3206" t="s">
        <v>13864</v>
      </c>
      <c r="C3206">
        <v>-0.57999999999999996</v>
      </c>
      <c r="D3206">
        <v>6.82</v>
      </c>
      <c r="E3206">
        <v>-0.04</v>
      </c>
      <c r="F3206">
        <v>6.82</v>
      </c>
      <c r="G3206">
        <v>6.83</v>
      </c>
      <c r="H3206">
        <v>15574</v>
      </c>
      <c r="I3206">
        <v>232</v>
      </c>
      <c r="J3206">
        <v>-0.14000000000000001</v>
      </c>
      <c r="K3206">
        <v>0.47</v>
      </c>
      <c r="L3206">
        <v>6.86</v>
      </c>
      <c r="M3206">
        <v>6.91</v>
      </c>
      <c r="N3206">
        <v>6.8</v>
      </c>
      <c r="O3206">
        <v>6.86</v>
      </c>
      <c r="P3206">
        <v>22.41</v>
      </c>
      <c r="Q3206">
        <v>10675879</v>
      </c>
      <c r="R3206">
        <v>0.62</v>
      </c>
      <c r="S3206" t="s">
        <v>181</v>
      </c>
      <c r="T3206" t="s">
        <v>323</v>
      </c>
      <c r="U3206">
        <v>1.6</v>
      </c>
      <c r="V3206">
        <v>6.86</v>
      </c>
      <c r="W3206">
        <v>9063</v>
      </c>
      <c r="X3206">
        <v>6511</v>
      </c>
      <c r="Y3206">
        <v>1.39</v>
      </c>
      <c r="Z3206">
        <v>82</v>
      </c>
      <c r="AA3206">
        <v>81</v>
      </c>
      <c r="AB3206" t="s">
        <v>116</v>
      </c>
      <c r="AC3206">
        <v>0</v>
      </c>
      <c r="AD3206">
        <v>0</v>
      </c>
      <c r="AE3206" t="s">
        <v>116</v>
      </c>
      <c r="AF3206" t="s">
        <v>116</v>
      </c>
      <c r="AG3206">
        <v>3.33</v>
      </c>
      <c r="AH3206" t="s">
        <v>4003</v>
      </c>
      <c r="AI3206" t="s">
        <v>12521</v>
      </c>
      <c r="AJ3206">
        <v>-0.51</v>
      </c>
      <c r="AK3206">
        <v>589</v>
      </c>
      <c r="AL3206">
        <v>26</v>
      </c>
      <c r="AM3206">
        <v>8.0000000000000004E-4</v>
      </c>
      <c r="AN3206">
        <v>-1</v>
      </c>
      <c r="AO3206">
        <v>-0.44</v>
      </c>
      <c r="AP3206">
        <v>6.9</v>
      </c>
      <c r="AQ3206">
        <v>-4.88</v>
      </c>
      <c r="AR3206">
        <v>-13.78</v>
      </c>
      <c r="AS3206">
        <v>1.27</v>
      </c>
      <c r="AT3206" t="s">
        <v>13865</v>
      </c>
      <c r="AU3206">
        <v>29.21</v>
      </c>
      <c r="AV3206">
        <v>23.01</v>
      </c>
      <c r="AW3206">
        <v>1.42</v>
      </c>
      <c r="BA3206">
        <v>0</v>
      </c>
      <c r="BB3206">
        <v>0.73</v>
      </c>
      <c r="BC3206">
        <v>-0.87</v>
      </c>
      <c r="BD3206">
        <v>-7.0000000000000007E-2</v>
      </c>
      <c r="BE3206">
        <v>-0.57999999999999996</v>
      </c>
      <c r="BF3206">
        <v>-1.3</v>
      </c>
      <c r="BG3206">
        <v>0.28999999999999998</v>
      </c>
      <c r="BH3206">
        <v>-0.51</v>
      </c>
      <c r="BI3206">
        <v>20191125</v>
      </c>
      <c r="BJ3206">
        <v>20160826</v>
      </c>
      <c r="BK3206">
        <v>3.37</v>
      </c>
      <c r="BL3206" t="s">
        <v>116</v>
      </c>
      <c r="BM3206" t="s">
        <v>116</v>
      </c>
      <c r="BN3206">
        <v>36.549999999999997</v>
      </c>
      <c r="BO3206">
        <v>11.42</v>
      </c>
      <c r="BP3206">
        <v>1.02</v>
      </c>
      <c r="BQ3206">
        <v>65.98</v>
      </c>
      <c r="BR3206">
        <v>17.350000000000001</v>
      </c>
      <c r="BS3206">
        <v>0.57999999999999996</v>
      </c>
      <c r="BT3206">
        <v>0.38</v>
      </c>
      <c r="BU3206">
        <v>19.12</v>
      </c>
      <c r="BV3206">
        <v>8.1</v>
      </c>
      <c r="BW3206">
        <v>4.18</v>
      </c>
      <c r="BX3206">
        <v>2.02</v>
      </c>
      <c r="BY3206">
        <v>7.94</v>
      </c>
      <c r="BZ3206">
        <v>5.68</v>
      </c>
      <c r="CA3206">
        <v>0.98</v>
      </c>
      <c r="CB3206">
        <v>0.18</v>
      </c>
      <c r="CC3206">
        <v>0.99</v>
      </c>
      <c r="CD3206">
        <v>0.78</v>
      </c>
      <c r="CE3206">
        <v>0.77</v>
      </c>
      <c r="CF3206">
        <v>0.73</v>
      </c>
      <c r="CG3206">
        <v>5.62</v>
      </c>
      <c r="CH3206">
        <v>-2.16</v>
      </c>
      <c r="CI3206">
        <v>-1.68</v>
      </c>
      <c r="CJ3206">
        <v>18999</v>
      </c>
      <c r="CK3206">
        <v>6436</v>
      </c>
      <c r="CL3206" t="s">
        <v>2055</v>
      </c>
      <c r="CM3206">
        <v>-21.63</v>
      </c>
      <c r="CN3206">
        <v>-14.3</v>
      </c>
      <c r="CO3206">
        <v>2.0099999999999998</v>
      </c>
      <c r="CP3206">
        <v>-10.64</v>
      </c>
      <c r="CQ3206">
        <v>2.9</v>
      </c>
      <c r="CR3206">
        <v>0.44</v>
      </c>
      <c r="CS3206" t="s">
        <v>1244</v>
      </c>
      <c r="CT3206">
        <v>3.39</v>
      </c>
      <c r="CU3206">
        <v>0</v>
      </c>
      <c r="CV3206">
        <v>0.6</v>
      </c>
      <c r="CW3206">
        <v>1.67</v>
      </c>
      <c r="CX3206">
        <v>-0.64</v>
      </c>
      <c r="CY3206">
        <v>31.23</v>
      </c>
      <c r="CZ3206" t="s">
        <v>9535</v>
      </c>
      <c r="DA3206">
        <v>28.46</v>
      </c>
      <c r="DB3206">
        <v>12.3</v>
      </c>
      <c r="DC3206">
        <v>9.69</v>
      </c>
      <c r="DD3206">
        <v>0.31</v>
      </c>
      <c r="DE3206">
        <v>787</v>
      </c>
      <c r="DF3206">
        <v>603007</v>
      </c>
      <c r="DG3206" t="s">
        <v>116</v>
      </c>
      <c r="DH3206" t="s">
        <v>116</v>
      </c>
      <c r="DI3206" t="s">
        <v>116</v>
      </c>
    </row>
    <row r="3207" spans="1:113" x14ac:dyDescent="0.4">
      <c r="A3207" t="str">
        <f>"603008"</f>
        <v>603008</v>
      </c>
      <c r="B3207" t="s">
        <v>13866</v>
      </c>
      <c r="C3207">
        <v>-2.63</v>
      </c>
      <c r="D3207">
        <v>14.81</v>
      </c>
      <c r="E3207">
        <v>-0.4</v>
      </c>
      <c r="F3207">
        <v>14.8</v>
      </c>
      <c r="G3207">
        <v>14.81</v>
      </c>
      <c r="H3207">
        <v>41964</v>
      </c>
      <c r="I3207">
        <v>1147</v>
      </c>
      <c r="J3207">
        <v>7.0000000000000007E-2</v>
      </c>
      <c r="K3207">
        <v>1.08</v>
      </c>
      <c r="L3207">
        <v>15.3</v>
      </c>
      <c r="M3207">
        <v>15.32</v>
      </c>
      <c r="N3207">
        <v>14.77</v>
      </c>
      <c r="O3207">
        <v>15.21</v>
      </c>
      <c r="P3207">
        <v>15.11</v>
      </c>
      <c r="Q3207">
        <v>62838656</v>
      </c>
      <c r="R3207">
        <v>0.83</v>
      </c>
      <c r="S3207" t="s">
        <v>2640</v>
      </c>
      <c r="T3207" t="s">
        <v>590</v>
      </c>
      <c r="U3207">
        <v>3.62</v>
      </c>
      <c r="V3207">
        <v>14.97</v>
      </c>
      <c r="W3207">
        <v>23196</v>
      </c>
      <c r="X3207">
        <v>18768</v>
      </c>
      <c r="Y3207">
        <v>1.24</v>
      </c>
      <c r="Z3207">
        <v>14</v>
      </c>
      <c r="AA3207">
        <v>41</v>
      </c>
      <c r="AB3207" t="s">
        <v>116</v>
      </c>
      <c r="AC3207">
        <v>388600</v>
      </c>
      <c r="AD3207">
        <v>0.01</v>
      </c>
      <c r="AE3207" t="s">
        <v>116</v>
      </c>
      <c r="AF3207" t="s">
        <v>116</v>
      </c>
      <c r="AG3207">
        <v>3.87</v>
      </c>
      <c r="AH3207" t="s">
        <v>13867</v>
      </c>
      <c r="AI3207" t="s">
        <v>13868</v>
      </c>
      <c r="AJ3207">
        <v>-2.5499999999999998</v>
      </c>
      <c r="AK3207">
        <v>2554</v>
      </c>
      <c r="AL3207">
        <v>16</v>
      </c>
      <c r="AM3207">
        <v>4.0000000000000002E-4</v>
      </c>
      <c r="AN3207">
        <v>-1</v>
      </c>
      <c r="AO3207">
        <v>-1.92</v>
      </c>
      <c r="AP3207">
        <v>-3.52</v>
      </c>
      <c r="AQ3207">
        <v>18.29</v>
      </c>
      <c r="AR3207">
        <v>60.63</v>
      </c>
      <c r="AS3207">
        <v>1.58</v>
      </c>
      <c r="AT3207" t="s">
        <v>10074</v>
      </c>
      <c r="AU3207" t="s">
        <v>116</v>
      </c>
      <c r="AV3207" t="s">
        <v>116</v>
      </c>
      <c r="AW3207">
        <v>0.66</v>
      </c>
      <c r="BA3207">
        <v>0.59</v>
      </c>
      <c r="BB3207">
        <v>0.72</v>
      </c>
      <c r="BC3207">
        <v>-2.89</v>
      </c>
      <c r="BD3207">
        <v>-1.55</v>
      </c>
      <c r="BE3207">
        <v>-3.2</v>
      </c>
      <c r="BF3207">
        <v>-3.33</v>
      </c>
      <c r="BG3207">
        <v>0.27</v>
      </c>
      <c r="BH3207">
        <v>-1.08</v>
      </c>
      <c r="BI3207">
        <v>20191120</v>
      </c>
      <c r="BJ3207">
        <v>20120717</v>
      </c>
      <c r="BK3207">
        <v>3.91</v>
      </c>
      <c r="BL3207" t="s">
        <v>116</v>
      </c>
      <c r="BM3207" t="s">
        <v>116</v>
      </c>
      <c r="BN3207">
        <v>62.33</v>
      </c>
      <c r="BO3207">
        <v>25.83</v>
      </c>
      <c r="BP3207">
        <v>2.02</v>
      </c>
      <c r="BQ3207">
        <v>55.32</v>
      </c>
      <c r="BR3207">
        <v>34.799999999999997</v>
      </c>
      <c r="BS3207">
        <v>13.83</v>
      </c>
      <c r="BT3207">
        <v>2.2999999999999998</v>
      </c>
      <c r="BU3207">
        <v>32.31</v>
      </c>
      <c r="BV3207">
        <v>8.99</v>
      </c>
      <c r="BW3207">
        <v>11.32</v>
      </c>
      <c r="BX3207">
        <v>14.13</v>
      </c>
      <c r="BY3207">
        <v>33.51</v>
      </c>
      <c r="BZ3207">
        <v>21.76</v>
      </c>
      <c r="CA3207">
        <v>3.65</v>
      </c>
      <c r="CB3207">
        <v>-0.01</v>
      </c>
      <c r="CC3207">
        <v>3.66</v>
      </c>
      <c r="CD3207">
        <v>3.07</v>
      </c>
      <c r="CE3207">
        <v>2.87</v>
      </c>
      <c r="CF3207">
        <v>2.56</v>
      </c>
      <c r="CG3207">
        <v>7.2</v>
      </c>
      <c r="CH3207">
        <v>3.79</v>
      </c>
      <c r="CI3207">
        <v>-0.81</v>
      </c>
      <c r="CJ3207">
        <v>14403</v>
      </c>
      <c r="CK3207">
        <v>18457</v>
      </c>
      <c r="CL3207" t="s">
        <v>13869</v>
      </c>
      <c r="CM3207">
        <v>80.33</v>
      </c>
      <c r="CN3207">
        <v>13.06</v>
      </c>
      <c r="CO3207">
        <v>2.2400000000000002</v>
      </c>
      <c r="CP3207">
        <v>15.28</v>
      </c>
      <c r="CQ3207">
        <v>1.73</v>
      </c>
      <c r="CR3207">
        <v>0</v>
      </c>
      <c r="CS3207" t="s">
        <v>13870</v>
      </c>
      <c r="CT3207">
        <v>6.6</v>
      </c>
      <c r="CU3207">
        <v>6.6</v>
      </c>
      <c r="CV3207">
        <v>3.61</v>
      </c>
      <c r="CW3207">
        <v>1.84</v>
      </c>
      <c r="CX3207">
        <v>0.97</v>
      </c>
      <c r="CY3207">
        <v>41.44</v>
      </c>
      <c r="CZ3207" t="s">
        <v>11879</v>
      </c>
      <c r="DA3207">
        <v>35.08</v>
      </c>
      <c r="DB3207">
        <v>10.88</v>
      </c>
      <c r="DC3207">
        <v>8.58</v>
      </c>
      <c r="DD3207">
        <v>0.71</v>
      </c>
      <c r="DE3207">
        <v>7470</v>
      </c>
      <c r="DF3207">
        <v>603008</v>
      </c>
      <c r="DG3207" t="s">
        <v>116</v>
      </c>
      <c r="DH3207" t="s">
        <v>116</v>
      </c>
      <c r="DI3207" t="s">
        <v>116</v>
      </c>
    </row>
    <row r="3208" spans="1:113" x14ac:dyDescent="0.4">
      <c r="A3208" t="str">
        <f>"603009"</f>
        <v>603009</v>
      </c>
      <c r="B3208" t="s">
        <v>13871</v>
      </c>
      <c r="C3208">
        <v>-0.65</v>
      </c>
      <c r="D3208">
        <v>6.1</v>
      </c>
      <c r="E3208">
        <v>-0.04</v>
      </c>
      <c r="F3208">
        <v>6.1</v>
      </c>
      <c r="G3208">
        <v>6.11</v>
      </c>
      <c r="H3208">
        <v>39499</v>
      </c>
      <c r="I3208">
        <v>1895</v>
      </c>
      <c r="J3208">
        <v>-0.32</v>
      </c>
      <c r="K3208">
        <v>1.2</v>
      </c>
      <c r="L3208">
        <v>6.17</v>
      </c>
      <c r="M3208">
        <v>6.18</v>
      </c>
      <c r="N3208">
        <v>6.1</v>
      </c>
      <c r="O3208">
        <v>6.14</v>
      </c>
      <c r="P3208">
        <v>63.74</v>
      </c>
      <c r="Q3208">
        <v>24255772</v>
      </c>
      <c r="R3208">
        <v>0.86</v>
      </c>
      <c r="S3208" t="s">
        <v>293</v>
      </c>
      <c r="T3208" t="s">
        <v>1653</v>
      </c>
      <c r="U3208">
        <v>1.3</v>
      </c>
      <c r="V3208">
        <v>6.14</v>
      </c>
      <c r="W3208">
        <v>22934</v>
      </c>
      <c r="X3208">
        <v>16565</v>
      </c>
      <c r="Y3208">
        <v>1.38</v>
      </c>
      <c r="Z3208">
        <v>40</v>
      </c>
      <c r="AA3208">
        <v>175</v>
      </c>
      <c r="AB3208" t="s">
        <v>116</v>
      </c>
      <c r="AC3208">
        <v>45700</v>
      </c>
      <c r="AD3208">
        <v>0</v>
      </c>
      <c r="AE3208" t="s">
        <v>116</v>
      </c>
      <c r="AF3208" t="s">
        <v>116</v>
      </c>
      <c r="AG3208">
        <v>3.28</v>
      </c>
      <c r="AH3208" t="s">
        <v>5928</v>
      </c>
      <c r="AI3208" t="s">
        <v>13872</v>
      </c>
      <c r="AJ3208">
        <v>-0.56999999999999995</v>
      </c>
      <c r="AK3208">
        <v>919</v>
      </c>
      <c r="AL3208">
        <v>43</v>
      </c>
      <c r="AM3208">
        <v>1.2999999999999999E-3</v>
      </c>
      <c r="AN3208">
        <v>-1</v>
      </c>
      <c r="AO3208">
        <v>-0.65</v>
      </c>
      <c r="AP3208">
        <v>-14.57</v>
      </c>
      <c r="AQ3208">
        <v>-0.16</v>
      </c>
      <c r="AR3208">
        <v>6.22</v>
      </c>
      <c r="AS3208">
        <v>2.58</v>
      </c>
      <c r="AT3208" t="s">
        <v>11736</v>
      </c>
      <c r="AU3208">
        <v>70.91</v>
      </c>
      <c r="AV3208">
        <v>39</v>
      </c>
      <c r="AW3208">
        <v>0.36</v>
      </c>
      <c r="BA3208">
        <v>0.49</v>
      </c>
      <c r="BB3208">
        <v>0.65</v>
      </c>
      <c r="BC3208">
        <v>-0.65</v>
      </c>
      <c r="BD3208">
        <v>0.02</v>
      </c>
      <c r="BE3208">
        <v>-1.1299999999999999</v>
      </c>
      <c r="BF3208">
        <v>-1.29</v>
      </c>
      <c r="BG3208">
        <v>0</v>
      </c>
      <c r="BH3208">
        <v>-0.67</v>
      </c>
      <c r="BI3208">
        <v>20191128</v>
      </c>
      <c r="BJ3208">
        <v>20140718</v>
      </c>
      <c r="BK3208">
        <v>3.59</v>
      </c>
      <c r="BL3208" t="s">
        <v>116</v>
      </c>
      <c r="BM3208" t="s">
        <v>116</v>
      </c>
      <c r="BN3208">
        <v>31.03</v>
      </c>
      <c r="BO3208">
        <v>17.39</v>
      </c>
      <c r="BP3208">
        <v>0.77</v>
      </c>
      <c r="BQ3208">
        <v>41.45</v>
      </c>
      <c r="BR3208">
        <v>11.6</v>
      </c>
      <c r="BS3208">
        <v>8.58</v>
      </c>
      <c r="BT3208">
        <v>2.0699999999999998</v>
      </c>
      <c r="BU3208">
        <v>12.09</v>
      </c>
      <c r="BV3208">
        <v>3.97</v>
      </c>
      <c r="BW3208">
        <v>4.3899999999999997</v>
      </c>
      <c r="BX3208">
        <v>10.25</v>
      </c>
      <c r="BY3208">
        <v>9.11</v>
      </c>
      <c r="BZ3208">
        <v>7.09</v>
      </c>
      <c r="CA3208">
        <v>0.19</v>
      </c>
      <c r="CB3208">
        <v>0</v>
      </c>
      <c r="CC3208">
        <v>0.23</v>
      </c>
      <c r="CD3208">
        <v>0.21</v>
      </c>
      <c r="CE3208">
        <v>0.26</v>
      </c>
      <c r="CF3208">
        <v>0.21</v>
      </c>
      <c r="CG3208">
        <v>3.21</v>
      </c>
      <c r="CH3208">
        <v>0.62</v>
      </c>
      <c r="CI3208">
        <v>-0.55000000000000004</v>
      </c>
      <c r="CJ3208">
        <v>26203</v>
      </c>
      <c r="CK3208">
        <v>5841</v>
      </c>
      <c r="CL3208" t="s">
        <v>7570</v>
      </c>
      <c r="CM3208">
        <v>-49.51</v>
      </c>
      <c r="CN3208">
        <v>0.71</v>
      </c>
      <c r="CO3208">
        <v>1.26</v>
      </c>
      <c r="CP3208">
        <v>35.1</v>
      </c>
      <c r="CQ3208">
        <v>2.4</v>
      </c>
      <c r="CR3208">
        <v>0.77</v>
      </c>
      <c r="CS3208" t="s">
        <v>1303</v>
      </c>
      <c r="CT3208">
        <v>4.84</v>
      </c>
      <c r="CU3208">
        <v>0</v>
      </c>
      <c r="CV3208">
        <v>2.85</v>
      </c>
      <c r="CW3208">
        <v>0.9</v>
      </c>
      <c r="CX3208">
        <v>0.17</v>
      </c>
      <c r="CY3208">
        <v>56.06</v>
      </c>
      <c r="CZ3208" t="s">
        <v>8958</v>
      </c>
      <c r="DA3208">
        <v>22.22</v>
      </c>
      <c r="DB3208">
        <v>2.08</v>
      </c>
      <c r="DC3208">
        <v>2.83</v>
      </c>
      <c r="DD3208">
        <v>0.48</v>
      </c>
      <c r="DE3208">
        <v>1493</v>
      </c>
      <c r="DF3208">
        <v>603009</v>
      </c>
      <c r="DG3208" t="s">
        <v>116</v>
      </c>
      <c r="DH3208" t="s">
        <v>116</v>
      </c>
      <c r="DI3208" t="s">
        <v>116</v>
      </c>
    </row>
    <row r="3209" spans="1:113" x14ac:dyDescent="0.4">
      <c r="A3209" t="str">
        <f>"603010"</f>
        <v>603010</v>
      </c>
      <c r="B3209" t="s">
        <v>13873</v>
      </c>
      <c r="C3209">
        <v>-0.86</v>
      </c>
      <c r="D3209">
        <v>11.52</v>
      </c>
      <c r="E3209">
        <v>-0.1</v>
      </c>
      <c r="F3209">
        <v>11.5</v>
      </c>
      <c r="G3209">
        <v>11.52</v>
      </c>
      <c r="H3209">
        <v>43785</v>
      </c>
      <c r="I3209">
        <v>394</v>
      </c>
      <c r="J3209">
        <v>0.17</v>
      </c>
      <c r="K3209">
        <v>1.27</v>
      </c>
      <c r="L3209">
        <v>11.62</v>
      </c>
      <c r="M3209">
        <v>11.74</v>
      </c>
      <c r="N3209">
        <v>11.43</v>
      </c>
      <c r="O3209">
        <v>11.62</v>
      </c>
      <c r="P3209">
        <v>21.3</v>
      </c>
      <c r="Q3209">
        <v>50802432</v>
      </c>
      <c r="R3209">
        <v>1.1299999999999999</v>
      </c>
      <c r="S3209" t="s">
        <v>891</v>
      </c>
      <c r="T3209" t="s">
        <v>590</v>
      </c>
      <c r="U3209">
        <v>2.67</v>
      </c>
      <c r="V3209">
        <v>11.6</v>
      </c>
      <c r="W3209">
        <v>24313</v>
      </c>
      <c r="X3209">
        <v>19472</v>
      </c>
      <c r="Y3209">
        <v>1.25</v>
      </c>
      <c r="Z3209">
        <v>21</v>
      </c>
      <c r="AA3209">
        <v>100</v>
      </c>
      <c r="AB3209" t="s">
        <v>116</v>
      </c>
      <c r="AC3209">
        <v>170800</v>
      </c>
      <c r="AD3209">
        <v>0.01</v>
      </c>
      <c r="AE3209" t="s">
        <v>116</v>
      </c>
      <c r="AF3209" t="s">
        <v>116</v>
      </c>
      <c r="AG3209">
        <v>3.44</v>
      </c>
      <c r="AH3209" t="s">
        <v>1731</v>
      </c>
      <c r="AI3209" t="s">
        <v>264</v>
      </c>
      <c r="AJ3209">
        <v>-0.78</v>
      </c>
      <c r="AK3209">
        <v>1863</v>
      </c>
      <c r="AL3209">
        <v>24</v>
      </c>
      <c r="AM3209">
        <v>6.9999999999999999E-4</v>
      </c>
      <c r="AN3209">
        <v>-1</v>
      </c>
      <c r="AO3209">
        <v>3.69</v>
      </c>
      <c r="AP3209">
        <v>-2.12</v>
      </c>
      <c r="AQ3209">
        <v>-4.24</v>
      </c>
      <c r="AR3209">
        <v>16.03</v>
      </c>
      <c r="AS3209">
        <v>2.29</v>
      </c>
      <c r="AT3209" t="s">
        <v>1828</v>
      </c>
      <c r="AU3209">
        <v>35.58</v>
      </c>
      <c r="AV3209">
        <v>37.159999999999997</v>
      </c>
      <c r="AW3209">
        <v>0.76</v>
      </c>
      <c r="BA3209">
        <v>0</v>
      </c>
      <c r="BB3209">
        <v>1.03</v>
      </c>
      <c r="BC3209">
        <v>-1.64</v>
      </c>
      <c r="BD3209">
        <v>-0.15</v>
      </c>
      <c r="BE3209">
        <v>-0.86</v>
      </c>
      <c r="BF3209">
        <v>-1.87</v>
      </c>
      <c r="BG3209">
        <v>0.79</v>
      </c>
      <c r="BH3209">
        <v>-0.71</v>
      </c>
      <c r="BI3209">
        <v>20191206</v>
      </c>
      <c r="BJ3209">
        <v>20141010</v>
      </c>
      <c r="BK3209">
        <v>3.47</v>
      </c>
      <c r="BL3209" t="s">
        <v>116</v>
      </c>
      <c r="BM3209" t="s">
        <v>116</v>
      </c>
      <c r="BN3209">
        <v>21.41</v>
      </c>
      <c r="BO3209">
        <v>12.48</v>
      </c>
      <c r="BP3209">
        <v>-0.08</v>
      </c>
      <c r="BQ3209">
        <v>42.08</v>
      </c>
      <c r="BR3209">
        <v>9.4</v>
      </c>
      <c r="BS3209">
        <v>7.33</v>
      </c>
      <c r="BT3209">
        <v>0.89</v>
      </c>
      <c r="BU3209">
        <v>6.27</v>
      </c>
      <c r="BV3209">
        <v>2.73</v>
      </c>
      <c r="BW3209">
        <v>2.5299999999999998</v>
      </c>
      <c r="BX3209">
        <v>3.73</v>
      </c>
      <c r="BY3209">
        <v>14.17</v>
      </c>
      <c r="BZ3209">
        <v>10.7</v>
      </c>
      <c r="CA3209">
        <v>1.26</v>
      </c>
      <c r="CB3209">
        <v>-0.03</v>
      </c>
      <c r="CC3209">
        <v>1.5</v>
      </c>
      <c r="CD3209">
        <v>1.31</v>
      </c>
      <c r="CE3209">
        <v>1.41</v>
      </c>
      <c r="CF3209">
        <v>1.18</v>
      </c>
      <c r="CG3209">
        <v>4.8899999999999997</v>
      </c>
      <c r="CH3209">
        <v>1.23</v>
      </c>
      <c r="CI3209">
        <v>-0.57999999999999996</v>
      </c>
      <c r="CJ3209">
        <v>10642</v>
      </c>
      <c r="CK3209">
        <v>17936</v>
      </c>
      <c r="CL3209" t="s">
        <v>13874</v>
      </c>
      <c r="CM3209">
        <v>3.52</v>
      </c>
      <c r="CN3209">
        <v>24.66</v>
      </c>
      <c r="CO3209">
        <v>3.27</v>
      </c>
      <c r="CP3209">
        <v>32.39</v>
      </c>
      <c r="CQ3209">
        <v>2.82</v>
      </c>
      <c r="CR3209">
        <v>0.95</v>
      </c>
      <c r="CS3209" t="s">
        <v>4560</v>
      </c>
      <c r="CT3209">
        <v>3.52</v>
      </c>
      <c r="CU3209">
        <v>3.52</v>
      </c>
      <c r="CV3209">
        <v>1.08</v>
      </c>
      <c r="CW3209">
        <v>1.41</v>
      </c>
      <c r="CX3209">
        <v>0.36</v>
      </c>
      <c r="CY3209">
        <v>58.3</v>
      </c>
      <c r="CZ3209" t="s">
        <v>13875</v>
      </c>
      <c r="DA3209">
        <v>24.5</v>
      </c>
      <c r="DB3209">
        <v>8.8800000000000008</v>
      </c>
      <c r="DC3209">
        <v>9.93</v>
      </c>
      <c r="DD3209">
        <v>0.6</v>
      </c>
      <c r="DE3209">
        <v>874</v>
      </c>
      <c r="DF3209">
        <v>603010</v>
      </c>
      <c r="DG3209" t="s">
        <v>116</v>
      </c>
      <c r="DH3209" t="s">
        <v>116</v>
      </c>
      <c r="DI3209" t="s">
        <v>116</v>
      </c>
    </row>
    <row r="3210" spans="1:113" x14ac:dyDescent="0.4">
      <c r="A3210" t="str">
        <f>"603011"</f>
        <v>603011</v>
      </c>
      <c r="B3210" t="s">
        <v>13876</v>
      </c>
      <c r="C3210">
        <v>-1.57</v>
      </c>
      <c r="D3210">
        <v>5.03</v>
      </c>
      <c r="E3210">
        <v>-0.08</v>
      </c>
      <c r="F3210">
        <v>5.03</v>
      </c>
      <c r="G3210">
        <v>5.04</v>
      </c>
      <c r="H3210">
        <v>47895</v>
      </c>
      <c r="I3210">
        <v>1131</v>
      </c>
      <c r="J3210">
        <v>0.2</v>
      </c>
      <c r="K3210">
        <v>1.07</v>
      </c>
      <c r="L3210">
        <v>5.15</v>
      </c>
      <c r="M3210">
        <v>5.15</v>
      </c>
      <c r="N3210">
        <v>5.0199999999999996</v>
      </c>
      <c r="O3210">
        <v>5.1100000000000003</v>
      </c>
      <c r="P3210">
        <v>106.74</v>
      </c>
      <c r="Q3210">
        <v>24314508</v>
      </c>
      <c r="R3210">
        <v>0.73</v>
      </c>
      <c r="S3210" t="s">
        <v>712</v>
      </c>
      <c r="T3210" t="s">
        <v>575</v>
      </c>
      <c r="U3210">
        <v>2.54</v>
      </c>
      <c r="V3210">
        <v>5.08</v>
      </c>
      <c r="W3210">
        <v>31798</v>
      </c>
      <c r="X3210">
        <v>16097</v>
      </c>
      <c r="Y3210">
        <v>1.98</v>
      </c>
      <c r="Z3210">
        <v>92</v>
      </c>
      <c r="AA3210">
        <v>274</v>
      </c>
      <c r="AB3210" t="s">
        <v>116</v>
      </c>
      <c r="AC3210">
        <v>197200</v>
      </c>
      <c r="AD3210">
        <v>0.02</v>
      </c>
      <c r="AE3210" t="s">
        <v>116</v>
      </c>
      <c r="AF3210" t="s">
        <v>116</v>
      </c>
      <c r="AG3210">
        <v>4.49</v>
      </c>
      <c r="AH3210" t="s">
        <v>13877</v>
      </c>
      <c r="AI3210" t="s">
        <v>7969</v>
      </c>
      <c r="AJ3210">
        <v>-1.49</v>
      </c>
      <c r="AK3210">
        <v>1199</v>
      </c>
      <c r="AL3210">
        <v>40</v>
      </c>
      <c r="AM3210">
        <v>8.9999999999999998E-4</v>
      </c>
      <c r="AN3210">
        <v>-1</v>
      </c>
      <c r="AO3210">
        <v>-0.79</v>
      </c>
      <c r="AP3210">
        <v>4.79</v>
      </c>
      <c r="AQ3210">
        <v>-7.37</v>
      </c>
      <c r="AR3210">
        <v>18.63</v>
      </c>
      <c r="AS3210">
        <v>2.46</v>
      </c>
      <c r="AT3210" t="s">
        <v>13878</v>
      </c>
      <c r="AU3210">
        <v>77.83</v>
      </c>
      <c r="AV3210">
        <v>44.29</v>
      </c>
      <c r="AW3210">
        <v>1.54</v>
      </c>
      <c r="BA3210">
        <v>0.78</v>
      </c>
      <c r="BB3210">
        <v>0.78</v>
      </c>
      <c r="BC3210">
        <v>-1.76</v>
      </c>
      <c r="BD3210">
        <v>-0.65</v>
      </c>
      <c r="BE3210">
        <v>-2.33</v>
      </c>
      <c r="BF3210">
        <v>-2.33</v>
      </c>
      <c r="BG3210">
        <v>0.2</v>
      </c>
      <c r="BH3210">
        <v>-0.91</v>
      </c>
      <c r="BI3210">
        <v>20191030</v>
      </c>
      <c r="BJ3210">
        <v>20141107</v>
      </c>
      <c r="BK3210">
        <v>4.53</v>
      </c>
      <c r="BL3210" t="s">
        <v>116</v>
      </c>
      <c r="BM3210" t="s">
        <v>116</v>
      </c>
      <c r="BN3210">
        <v>23.29</v>
      </c>
      <c r="BO3210">
        <v>16.55</v>
      </c>
      <c r="BP3210">
        <v>0</v>
      </c>
      <c r="BQ3210">
        <v>28.97</v>
      </c>
      <c r="BR3210">
        <v>12.06</v>
      </c>
      <c r="BS3210">
        <v>3.71</v>
      </c>
      <c r="BT3210">
        <v>0.87</v>
      </c>
      <c r="BU3210">
        <v>6.07</v>
      </c>
      <c r="BV3210">
        <v>4.5599999999999996</v>
      </c>
      <c r="BW3210">
        <v>4.5199999999999996</v>
      </c>
      <c r="BX3210">
        <v>10.44</v>
      </c>
      <c r="BY3210">
        <v>5.0599999999999996</v>
      </c>
      <c r="BZ3210">
        <v>3.28</v>
      </c>
      <c r="CA3210">
        <v>0.19</v>
      </c>
      <c r="CB3210">
        <v>0.03</v>
      </c>
      <c r="CC3210">
        <v>0.19</v>
      </c>
      <c r="CD3210">
        <v>0.16</v>
      </c>
      <c r="CE3210">
        <v>0.16</v>
      </c>
      <c r="CF3210">
        <v>0.01</v>
      </c>
      <c r="CG3210">
        <v>2.12</v>
      </c>
      <c r="CH3210">
        <v>-0.1</v>
      </c>
      <c r="CI3210">
        <v>-0.86</v>
      </c>
      <c r="CJ3210">
        <v>26313</v>
      </c>
      <c r="CK3210">
        <v>7396</v>
      </c>
      <c r="CL3210" t="s">
        <v>1663</v>
      </c>
      <c r="CM3210">
        <v>-58.06</v>
      </c>
      <c r="CN3210">
        <v>-11.44</v>
      </c>
      <c r="CO3210">
        <v>1.38</v>
      </c>
      <c r="CP3210">
        <v>-232.11</v>
      </c>
      <c r="CQ3210">
        <v>4.51</v>
      </c>
      <c r="CR3210">
        <v>2.14</v>
      </c>
      <c r="CS3210" t="s">
        <v>958</v>
      </c>
      <c r="CT3210">
        <v>3.65</v>
      </c>
      <c r="CU3210">
        <v>0</v>
      </c>
      <c r="CV3210">
        <v>2.2999999999999998</v>
      </c>
      <c r="CW3210">
        <v>0.47</v>
      </c>
      <c r="CX3210">
        <v>-0.02</v>
      </c>
      <c r="CY3210">
        <v>71.040000000000006</v>
      </c>
      <c r="CZ3210" t="s">
        <v>7330</v>
      </c>
      <c r="DA3210">
        <v>35.119999999999997</v>
      </c>
      <c r="DB3210">
        <v>3.78</v>
      </c>
      <c r="DC3210">
        <v>3.17</v>
      </c>
      <c r="DD3210">
        <v>0.39</v>
      </c>
      <c r="DE3210">
        <v>1515</v>
      </c>
      <c r="DF3210">
        <v>603011</v>
      </c>
      <c r="DG3210" t="s">
        <v>116</v>
      </c>
      <c r="DH3210" t="s">
        <v>116</v>
      </c>
      <c r="DI3210" t="s">
        <v>116</v>
      </c>
    </row>
    <row r="3211" spans="1:113" x14ac:dyDescent="0.4">
      <c r="A3211" t="str">
        <f>"603012"</f>
        <v>603012</v>
      </c>
      <c r="B3211" t="s">
        <v>13879</v>
      </c>
      <c r="C3211">
        <v>-0.32</v>
      </c>
      <c r="D3211">
        <v>9.33</v>
      </c>
      <c r="E3211">
        <v>-0.03</v>
      </c>
      <c r="F3211">
        <v>9.33</v>
      </c>
      <c r="G3211">
        <v>9.34</v>
      </c>
      <c r="H3211">
        <v>342818</v>
      </c>
      <c r="I3211">
        <v>5451</v>
      </c>
      <c r="J3211">
        <v>0</v>
      </c>
      <c r="K3211">
        <v>5.39</v>
      </c>
      <c r="L3211">
        <v>9.36</v>
      </c>
      <c r="M3211">
        <v>9.49</v>
      </c>
      <c r="N3211">
        <v>9.3000000000000007</v>
      </c>
      <c r="O3211">
        <v>9.36</v>
      </c>
      <c r="P3211">
        <v>20.34</v>
      </c>
      <c r="Q3211">
        <v>321587328</v>
      </c>
      <c r="R3211">
        <v>0.9</v>
      </c>
      <c r="S3211" t="s">
        <v>682</v>
      </c>
      <c r="T3211" t="s">
        <v>1653</v>
      </c>
      <c r="U3211">
        <v>2.0299999999999998</v>
      </c>
      <c r="V3211">
        <v>9.3800000000000008</v>
      </c>
      <c r="W3211">
        <v>193139</v>
      </c>
      <c r="X3211">
        <v>149679</v>
      </c>
      <c r="Y3211">
        <v>1.29</v>
      </c>
      <c r="Z3211">
        <v>246</v>
      </c>
      <c r="AA3211">
        <v>1498</v>
      </c>
      <c r="AB3211" t="s">
        <v>116</v>
      </c>
      <c r="AC3211">
        <v>866700</v>
      </c>
      <c r="AD3211">
        <v>0.02</v>
      </c>
      <c r="AE3211" t="s">
        <v>116</v>
      </c>
      <c r="AF3211" t="s">
        <v>116</v>
      </c>
      <c r="AG3211">
        <v>6.37</v>
      </c>
      <c r="AH3211" t="s">
        <v>13880</v>
      </c>
      <c r="AI3211" t="s">
        <v>13880</v>
      </c>
      <c r="AJ3211">
        <v>-0.24</v>
      </c>
      <c r="AK3211">
        <v>3578</v>
      </c>
      <c r="AL3211">
        <v>96</v>
      </c>
      <c r="AM3211">
        <v>1.5E-3</v>
      </c>
      <c r="AN3211">
        <v>-3</v>
      </c>
      <c r="AO3211">
        <v>-1.17</v>
      </c>
      <c r="AP3211">
        <v>-45.88</v>
      </c>
      <c r="AQ3211">
        <v>-36.36</v>
      </c>
      <c r="AR3211">
        <v>16.920000000000002</v>
      </c>
      <c r="AS3211">
        <v>7.93</v>
      </c>
      <c r="AT3211" t="s">
        <v>11062</v>
      </c>
      <c r="AU3211">
        <v>22.85</v>
      </c>
      <c r="AV3211">
        <v>28.62</v>
      </c>
      <c r="AW3211">
        <v>0.61</v>
      </c>
      <c r="BA3211">
        <v>0</v>
      </c>
      <c r="BB3211">
        <v>1.39</v>
      </c>
      <c r="BC3211">
        <v>-0.64</v>
      </c>
      <c r="BD3211">
        <v>0.22</v>
      </c>
      <c r="BE3211">
        <v>-0.32</v>
      </c>
      <c r="BF3211">
        <v>-1.69</v>
      </c>
      <c r="BG3211">
        <v>0.32</v>
      </c>
      <c r="BH3211">
        <v>-0.54</v>
      </c>
      <c r="BI3211">
        <v>20191029</v>
      </c>
      <c r="BJ3211">
        <v>20150320</v>
      </c>
      <c r="BK3211">
        <v>6.37</v>
      </c>
      <c r="BL3211" t="s">
        <v>116</v>
      </c>
      <c r="BM3211" t="s">
        <v>116</v>
      </c>
      <c r="BN3211">
        <v>51.05</v>
      </c>
      <c r="BO3211">
        <v>25.13</v>
      </c>
      <c r="BP3211">
        <v>2.21</v>
      </c>
      <c r="BQ3211">
        <v>46.45</v>
      </c>
      <c r="BR3211">
        <v>37.67</v>
      </c>
      <c r="BS3211">
        <v>4.6100000000000003</v>
      </c>
      <c r="BT3211">
        <v>1.43</v>
      </c>
      <c r="BU3211">
        <v>21.18</v>
      </c>
      <c r="BV3211">
        <v>8.59</v>
      </c>
      <c r="BW3211">
        <v>15.57</v>
      </c>
      <c r="BX3211">
        <v>4.34</v>
      </c>
      <c r="BY3211">
        <v>15.8</v>
      </c>
      <c r="BZ3211">
        <v>9.2899999999999991</v>
      </c>
      <c r="CA3211">
        <v>2.73</v>
      </c>
      <c r="CB3211">
        <v>0.1</v>
      </c>
      <c r="CC3211">
        <v>2.86</v>
      </c>
      <c r="CD3211">
        <v>2.39</v>
      </c>
      <c r="CE3211">
        <v>2.19</v>
      </c>
      <c r="CF3211">
        <v>2</v>
      </c>
      <c r="CG3211">
        <v>13.02</v>
      </c>
      <c r="CH3211">
        <v>0.77</v>
      </c>
      <c r="CI3211">
        <v>0.62</v>
      </c>
      <c r="CJ3211">
        <v>19313</v>
      </c>
      <c r="CK3211">
        <v>22374</v>
      </c>
      <c r="CL3211" t="s">
        <v>13881</v>
      </c>
      <c r="CM3211">
        <v>31.44</v>
      </c>
      <c r="CN3211">
        <v>26.91</v>
      </c>
      <c r="CO3211">
        <v>2.36</v>
      </c>
      <c r="CP3211">
        <v>77.62</v>
      </c>
      <c r="CQ3211">
        <v>3.76</v>
      </c>
      <c r="CR3211">
        <v>0.54</v>
      </c>
      <c r="CS3211" t="s">
        <v>13882</v>
      </c>
      <c r="CT3211">
        <v>3.95</v>
      </c>
      <c r="CU3211">
        <v>0</v>
      </c>
      <c r="CV3211">
        <v>0.68</v>
      </c>
      <c r="CW3211">
        <v>2.04</v>
      </c>
      <c r="CX3211">
        <v>0.12</v>
      </c>
      <c r="CY3211">
        <v>49.22</v>
      </c>
      <c r="CZ3211" t="s">
        <v>3934</v>
      </c>
      <c r="DA3211">
        <v>41.16</v>
      </c>
      <c r="DB3211">
        <v>17.27</v>
      </c>
      <c r="DC3211">
        <v>13.86</v>
      </c>
      <c r="DD3211">
        <v>0.5</v>
      </c>
      <c r="DE3211">
        <v>1137</v>
      </c>
      <c r="DF3211">
        <v>603012</v>
      </c>
      <c r="DG3211" t="s">
        <v>116</v>
      </c>
      <c r="DH3211" t="s">
        <v>116</v>
      </c>
      <c r="DI3211" t="s">
        <v>116</v>
      </c>
    </row>
    <row r="3212" spans="1:113" x14ac:dyDescent="0.4">
      <c r="A3212" t="str">
        <f>"603013"</f>
        <v>603013</v>
      </c>
      <c r="B3212" t="s">
        <v>13883</v>
      </c>
      <c r="C3212">
        <v>-0.65</v>
      </c>
      <c r="D3212">
        <v>15.23</v>
      </c>
      <c r="E3212">
        <v>-0.1</v>
      </c>
      <c r="F3212">
        <v>15.23</v>
      </c>
      <c r="G3212">
        <v>15.24</v>
      </c>
      <c r="H3212">
        <v>33326</v>
      </c>
      <c r="I3212">
        <v>364</v>
      </c>
      <c r="J3212">
        <v>0.26</v>
      </c>
      <c r="K3212">
        <v>5.55</v>
      </c>
      <c r="L3212">
        <v>15.34</v>
      </c>
      <c r="M3212">
        <v>15.6</v>
      </c>
      <c r="N3212">
        <v>15.17</v>
      </c>
      <c r="O3212">
        <v>15.33</v>
      </c>
      <c r="P3212">
        <v>20.07</v>
      </c>
      <c r="Q3212">
        <v>51356124</v>
      </c>
      <c r="R3212">
        <v>0.94</v>
      </c>
      <c r="S3212" t="s">
        <v>293</v>
      </c>
      <c r="T3212" t="s">
        <v>323</v>
      </c>
      <c r="U3212">
        <v>2.8</v>
      </c>
      <c r="V3212">
        <v>15.41</v>
      </c>
      <c r="W3212">
        <v>18071</v>
      </c>
      <c r="X3212">
        <v>15255</v>
      </c>
      <c r="Y3212">
        <v>1.18</v>
      </c>
      <c r="Z3212">
        <v>101</v>
      </c>
      <c r="AA3212">
        <v>20</v>
      </c>
      <c r="AB3212" t="s">
        <v>116</v>
      </c>
      <c r="AC3212">
        <v>64400</v>
      </c>
      <c r="AD3212">
        <v>0.01</v>
      </c>
      <c r="AE3212" t="s">
        <v>116</v>
      </c>
      <c r="AF3212" t="s">
        <v>116</v>
      </c>
      <c r="AG3212">
        <v>0.6</v>
      </c>
      <c r="AH3212" t="s">
        <v>9698</v>
      </c>
      <c r="AI3212" t="s">
        <v>2230</v>
      </c>
      <c r="AJ3212">
        <v>-0.57999999999999996</v>
      </c>
      <c r="AK3212">
        <v>1789</v>
      </c>
      <c r="AL3212">
        <v>19</v>
      </c>
      <c r="AM3212">
        <v>3.0999999999999999E-3</v>
      </c>
      <c r="AN3212">
        <v>-1</v>
      </c>
      <c r="AO3212">
        <v>-1.62</v>
      </c>
      <c r="AP3212">
        <v>7.33</v>
      </c>
      <c r="AQ3212">
        <v>6.95</v>
      </c>
      <c r="AR3212">
        <v>-11.66</v>
      </c>
      <c r="AS3212">
        <v>5.55</v>
      </c>
      <c r="AT3212" t="s">
        <v>9698</v>
      </c>
      <c r="AU3212">
        <v>19.91</v>
      </c>
      <c r="AV3212">
        <v>23.29</v>
      </c>
      <c r="AW3212">
        <v>0.9</v>
      </c>
      <c r="BA3212">
        <v>7.0000000000000007E-2</v>
      </c>
      <c r="BB3212">
        <v>1.76</v>
      </c>
      <c r="BC3212">
        <v>-1.04</v>
      </c>
      <c r="BD3212">
        <v>0.52</v>
      </c>
      <c r="BE3212">
        <v>-0.72</v>
      </c>
      <c r="BF3212">
        <v>-2.37</v>
      </c>
      <c r="BG3212">
        <v>0.4</v>
      </c>
      <c r="BH3212">
        <v>-1.18</v>
      </c>
      <c r="BI3212">
        <v>20191024</v>
      </c>
      <c r="BJ3212">
        <v>20180509</v>
      </c>
      <c r="BK3212">
        <v>5.0999999999999996</v>
      </c>
      <c r="BL3212" t="s">
        <v>116</v>
      </c>
      <c r="BM3212" t="s">
        <v>116</v>
      </c>
      <c r="BN3212">
        <v>68.44</v>
      </c>
      <c r="BO3212">
        <v>31.47</v>
      </c>
      <c r="BP3212">
        <v>1.01</v>
      </c>
      <c r="BQ3212">
        <v>52.54</v>
      </c>
      <c r="BR3212">
        <v>41.77</v>
      </c>
      <c r="BS3212">
        <v>21.03</v>
      </c>
      <c r="BT3212">
        <v>1.9</v>
      </c>
      <c r="BU3212">
        <v>28.45</v>
      </c>
      <c r="BV3212">
        <v>15.98</v>
      </c>
      <c r="BW3212">
        <v>14.56</v>
      </c>
      <c r="BX3212">
        <v>7.13</v>
      </c>
      <c r="BY3212">
        <v>61.7</v>
      </c>
      <c r="BZ3212">
        <v>52.18</v>
      </c>
      <c r="CA3212">
        <v>3.7</v>
      </c>
      <c r="CB3212">
        <v>0.06</v>
      </c>
      <c r="CC3212">
        <v>3.7</v>
      </c>
      <c r="CD3212">
        <v>3.15</v>
      </c>
      <c r="CE3212">
        <v>2.9</v>
      </c>
      <c r="CF3212">
        <v>2.8</v>
      </c>
      <c r="CG3212">
        <v>16.63</v>
      </c>
      <c r="CH3212">
        <v>6.16</v>
      </c>
      <c r="CI3212">
        <v>0.88</v>
      </c>
      <c r="CJ3212">
        <v>21999</v>
      </c>
      <c r="CK3212">
        <v>2727</v>
      </c>
      <c r="CL3212" t="s">
        <v>4837</v>
      </c>
      <c r="CM3212">
        <v>24.26</v>
      </c>
      <c r="CN3212">
        <v>9.69</v>
      </c>
      <c r="CO3212">
        <v>2.4700000000000002</v>
      </c>
      <c r="CP3212">
        <v>12.61</v>
      </c>
      <c r="CQ3212">
        <v>1.26</v>
      </c>
      <c r="CR3212">
        <v>2.63</v>
      </c>
      <c r="CS3212" t="s">
        <v>11438</v>
      </c>
      <c r="CT3212">
        <v>6.17</v>
      </c>
      <c r="CU3212">
        <v>0</v>
      </c>
      <c r="CV3212">
        <v>1.4</v>
      </c>
      <c r="CW3212">
        <v>3.26</v>
      </c>
      <c r="CX3212">
        <v>1.21</v>
      </c>
      <c r="CY3212">
        <v>45.98</v>
      </c>
      <c r="CZ3212" t="s">
        <v>13884</v>
      </c>
      <c r="DA3212">
        <v>15.44</v>
      </c>
      <c r="DB3212">
        <v>5.99</v>
      </c>
      <c r="DC3212">
        <v>4.71</v>
      </c>
      <c r="DD3212">
        <v>1.76</v>
      </c>
      <c r="DE3212">
        <v>4419</v>
      </c>
      <c r="DF3212">
        <v>603013</v>
      </c>
      <c r="DG3212" t="s">
        <v>116</v>
      </c>
      <c r="DH3212" t="s">
        <v>116</v>
      </c>
      <c r="DI3212" t="s">
        <v>116</v>
      </c>
    </row>
    <row r="3213" spans="1:113" x14ac:dyDescent="0.4">
      <c r="A3213" t="str">
        <f>"603015"</f>
        <v>603015</v>
      </c>
      <c r="B3213" t="s">
        <v>13885</v>
      </c>
      <c r="C3213">
        <v>-1.38</v>
      </c>
      <c r="D3213">
        <v>6.44</v>
      </c>
      <c r="E3213">
        <v>-0.09</v>
      </c>
      <c r="F3213">
        <v>6.44</v>
      </c>
      <c r="G3213">
        <v>6.45</v>
      </c>
      <c r="H3213">
        <v>50972</v>
      </c>
      <c r="I3213">
        <v>682</v>
      </c>
      <c r="J3213">
        <v>-0.15</v>
      </c>
      <c r="K3213">
        <v>1.26</v>
      </c>
      <c r="L3213">
        <v>6.52</v>
      </c>
      <c r="M3213">
        <v>6.6</v>
      </c>
      <c r="N3213">
        <v>6.43</v>
      </c>
      <c r="O3213">
        <v>6.53</v>
      </c>
      <c r="P3213">
        <v>123.56</v>
      </c>
      <c r="Q3213">
        <v>33239304</v>
      </c>
      <c r="R3213">
        <v>0.55000000000000004</v>
      </c>
      <c r="S3213" t="s">
        <v>397</v>
      </c>
      <c r="T3213" t="s">
        <v>590</v>
      </c>
      <c r="U3213">
        <v>2.6</v>
      </c>
      <c r="V3213">
        <v>6.52</v>
      </c>
      <c r="W3213">
        <v>31376</v>
      </c>
      <c r="X3213">
        <v>19596</v>
      </c>
      <c r="Y3213">
        <v>1.6</v>
      </c>
      <c r="Z3213">
        <v>125</v>
      </c>
      <c r="AA3213">
        <v>477</v>
      </c>
      <c r="AB3213" t="s">
        <v>116</v>
      </c>
      <c r="AC3213">
        <v>136900</v>
      </c>
      <c r="AD3213">
        <v>0.01</v>
      </c>
      <c r="AE3213" t="s">
        <v>116</v>
      </c>
      <c r="AF3213" t="s">
        <v>116</v>
      </c>
      <c r="AG3213">
        <v>4.04</v>
      </c>
      <c r="AH3213" t="s">
        <v>7350</v>
      </c>
      <c r="AI3213" t="s">
        <v>4568</v>
      </c>
      <c r="AJ3213">
        <v>-1.3</v>
      </c>
      <c r="AK3213">
        <v>1178</v>
      </c>
      <c r="AL3213">
        <v>43</v>
      </c>
      <c r="AM3213">
        <v>1.1000000000000001E-3</v>
      </c>
      <c r="AN3213">
        <v>-4</v>
      </c>
      <c r="AO3213">
        <v>-4.3099999999999996</v>
      </c>
      <c r="AP3213">
        <v>8.9700000000000006</v>
      </c>
      <c r="AQ3213">
        <v>-7.47</v>
      </c>
      <c r="AR3213">
        <v>10.09</v>
      </c>
      <c r="AS3213">
        <v>3.05</v>
      </c>
      <c r="AT3213" t="s">
        <v>11189</v>
      </c>
      <c r="AU3213">
        <v>119.73</v>
      </c>
      <c r="AV3213">
        <v>44.58</v>
      </c>
      <c r="AW3213">
        <v>0.4</v>
      </c>
      <c r="BA3213">
        <v>-0.15</v>
      </c>
      <c r="BB3213">
        <v>1.07</v>
      </c>
      <c r="BC3213">
        <v>-1.53</v>
      </c>
      <c r="BD3213">
        <v>-0.14000000000000001</v>
      </c>
      <c r="BE3213">
        <v>-1.23</v>
      </c>
      <c r="BF3213">
        <v>-2.42</v>
      </c>
      <c r="BG3213">
        <v>0.16</v>
      </c>
      <c r="BH3213">
        <v>-1.24</v>
      </c>
      <c r="BI3213">
        <v>20191026</v>
      </c>
      <c r="BJ3213">
        <v>20150303</v>
      </c>
      <c r="BK3213">
        <v>4.07</v>
      </c>
      <c r="BL3213" t="s">
        <v>116</v>
      </c>
      <c r="BM3213" t="s">
        <v>116</v>
      </c>
      <c r="BN3213">
        <v>16.16</v>
      </c>
      <c r="BO3213">
        <v>11.95</v>
      </c>
      <c r="BP3213">
        <v>0.03</v>
      </c>
      <c r="BQ3213">
        <v>25.91</v>
      </c>
      <c r="BR3213">
        <v>10.48</v>
      </c>
      <c r="BS3213">
        <v>2.39</v>
      </c>
      <c r="BT3213">
        <v>2.29</v>
      </c>
      <c r="BU3213">
        <v>2.87</v>
      </c>
      <c r="BV3213">
        <v>2.9</v>
      </c>
      <c r="BW3213">
        <v>2.1</v>
      </c>
      <c r="BX3213">
        <v>4.78</v>
      </c>
      <c r="BY3213">
        <v>4.22</v>
      </c>
      <c r="BZ3213">
        <v>2.64</v>
      </c>
      <c r="CA3213">
        <v>0.15</v>
      </c>
      <c r="CB3213">
        <v>-0.01</v>
      </c>
      <c r="CC3213">
        <v>0.16</v>
      </c>
      <c r="CD3213">
        <v>0.1</v>
      </c>
      <c r="CE3213">
        <v>0.16</v>
      </c>
      <c r="CF3213">
        <v>7.0000000000000007E-2</v>
      </c>
      <c r="CG3213">
        <v>2.57</v>
      </c>
      <c r="CH3213">
        <v>0.85</v>
      </c>
      <c r="CI3213">
        <v>-1.28</v>
      </c>
      <c r="CJ3213">
        <v>25314</v>
      </c>
      <c r="CK3213">
        <v>6593</v>
      </c>
      <c r="CL3213" t="s">
        <v>1394</v>
      </c>
      <c r="CM3213">
        <v>-69.88</v>
      </c>
      <c r="CN3213">
        <v>-24.07</v>
      </c>
      <c r="CO3213">
        <v>2.19</v>
      </c>
      <c r="CP3213">
        <v>30.7</v>
      </c>
      <c r="CQ3213">
        <v>6.21</v>
      </c>
      <c r="CR3213">
        <v>1.86</v>
      </c>
      <c r="CS3213" t="s">
        <v>1887</v>
      </c>
      <c r="CT3213">
        <v>2.93</v>
      </c>
      <c r="CU3213">
        <v>0</v>
      </c>
      <c r="CV3213">
        <v>1.17</v>
      </c>
      <c r="CW3213">
        <v>0.63</v>
      </c>
      <c r="CX3213">
        <v>0.21</v>
      </c>
      <c r="CY3213">
        <v>73.930000000000007</v>
      </c>
      <c r="CZ3213" t="s">
        <v>3690</v>
      </c>
      <c r="DA3213">
        <v>37.57</v>
      </c>
      <c r="DB3213">
        <v>3.45</v>
      </c>
      <c r="DC3213">
        <v>3.77</v>
      </c>
      <c r="DD3213">
        <v>0.49</v>
      </c>
      <c r="DE3213">
        <v>752</v>
      </c>
      <c r="DF3213">
        <v>603015</v>
      </c>
      <c r="DG3213" t="s">
        <v>116</v>
      </c>
      <c r="DH3213" t="s">
        <v>116</v>
      </c>
      <c r="DI3213" t="s">
        <v>116</v>
      </c>
    </row>
    <row r="3214" spans="1:113" x14ac:dyDescent="0.4">
      <c r="A3214" t="str">
        <f>"603016"</f>
        <v>603016</v>
      </c>
      <c r="B3214" t="s">
        <v>13886</v>
      </c>
      <c r="C3214">
        <v>-0.2</v>
      </c>
      <c r="D3214">
        <v>14.94</v>
      </c>
      <c r="E3214">
        <v>-0.03</v>
      </c>
      <c r="F3214">
        <v>14.93</v>
      </c>
      <c r="G3214">
        <v>14.94</v>
      </c>
      <c r="H3214">
        <v>8808</v>
      </c>
      <c r="I3214">
        <v>442</v>
      </c>
      <c r="J3214">
        <v>0</v>
      </c>
      <c r="K3214">
        <v>0.59</v>
      </c>
      <c r="L3214">
        <v>14.99</v>
      </c>
      <c r="M3214">
        <v>14.99</v>
      </c>
      <c r="N3214">
        <v>14.81</v>
      </c>
      <c r="O3214">
        <v>14.97</v>
      </c>
      <c r="P3214">
        <v>35.630000000000003</v>
      </c>
      <c r="Q3214">
        <v>13117219</v>
      </c>
      <c r="R3214">
        <v>0.82</v>
      </c>
      <c r="S3214" t="s">
        <v>397</v>
      </c>
      <c r="T3214" t="s">
        <v>323</v>
      </c>
      <c r="U3214">
        <v>1.2</v>
      </c>
      <c r="V3214">
        <v>14.89</v>
      </c>
      <c r="W3214">
        <v>4546</v>
      </c>
      <c r="X3214">
        <v>4262</v>
      </c>
      <c r="Y3214">
        <v>1.07</v>
      </c>
      <c r="Z3214">
        <v>271</v>
      </c>
      <c r="AA3214">
        <v>9</v>
      </c>
      <c r="AB3214" t="s">
        <v>116</v>
      </c>
      <c r="AC3214">
        <v>36000</v>
      </c>
      <c r="AD3214">
        <v>0</v>
      </c>
      <c r="AE3214" t="s">
        <v>116</v>
      </c>
      <c r="AF3214" t="s">
        <v>116</v>
      </c>
      <c r="AG3214">
        <v>1.48</v>
      </c>
      <c r="AH3214" t="s">
        <v>13887</v>
      </c>
      <c r="AI3214" t="s">
        <v>13887</v>
      </c>
      <c r="AJ3214">
        <v>-0.12</v>
      </c>
      <c r="AK3214">
        <v>487</v>
      </c>
      <c r="AL3214">
        <v>18</v>
      </c>
      <c r="AM3214">
        <v>1.1999999999999999E-3</v>
      </c>
      <c r="AN3214">
        <v>-2</v>
      </c>
      <c r="AO3214">
        <v>-7.0000000000000007E-2</v>
      </c>
      <c r="AP3214">
        <v>12.33</v>
      </c>
      <c r="AQ3214">
        <v>-0.93</v>
      </c>
      <c r="AR3214">
        <v>-8.5</v>
      </c>
      <c r="AS3214">
        <v>1.7</v>
      </c>
      <c r="AT3214" t="s">
        <v>13888</v>
      </c>
      <c r="AU3214">
        <v>36.44</v>
      </c>
      <c r="AV3214">
        <v>36.130000000000003</v>
      </c>
      <c r="AW3214">
        <v>0.55000000000000004</v>
      </c>
      <c r="BA3214">
        <v>0.13</v>
      </c>
      <c r="BB3214">
        <v>0.13</v>
      </c>
      <c r="BC3214">
        <v>-1.07</v>
      </c>
      <c r="BD3214">
        <v>-0.51</v>
      </c>
      <c r="BE3214">
        <v>-0.33</v>
      </c>
      <c r="BF3214">
        <v>-0.33</v>
      </c>
      <c r="BG3214">
        <v>0.88</v>
      </c>
      <c r="BH3214">
        <v>0.31</v>
      </c>
      <c r="BI3214">
        <v>20191029</v>
      </c>
      <c r="BJ3214">
        <v>20160701</v>
      </c>
      <c r="BK3214">
        <v>1.48</v>
      </c>
      <c r="BL3214" t="s">
        <v>116</v>
      </c>
      <c r="BM3214" t="s">
        <v>116</v>
      </c>
      <c r="BN3214">
        <v>9.4499999999999993</v>
      </c>
      <c r="BO3214">
        <v>8.18</v>
      </c>
      <c r="BP3214">
        <v>0.24</v>
      </c>
      <c r="BQ3214">
        <v>10.93</v>
      </c>
      <c r="BR3214">
        <v>7.44</v>
      </c>
      <c r="BS3214">
        <v>1.31</v>
      </c>
      <c r="BT3214">
        <v>0.32</v>
      </c>
      <c r="BU3214">
        <v>1.03</v>
      </c>
      <c r="BV3214">
        <v>0.89</v>
      </c>
      <c r="BW3214">
        <v>1.26</v>
      </c>
      <c r="BX3214">
        <v>2.76</v>
      </c>
      <c r="BY3214">
        <v>3.32</v>
      </c>
      <c r="BZ3214">
        <v>2.04</v>
      </c>
      <c r="CA3214">
        <v>0.56999999999999995</v>
      </c>
      <c r="CB3214">
        <v>0.05</v>
      </c>
      <c r="CC3214">
        <v>0.56999999999999995</v>
      </c>
      <c r="CD3214">
        <v>0.48</v>
      </c>
      <c r="CE3214">
        <v>0.47</v>
      </c>
      <c r="CF3214">
        <v>0.4</v>
      </c>
      <c r="CG3214">
        <v>3.39</v>
      </c>
      <c r="CH3214">
        <v>0.49</v>
      </c>
      <c r="CI3214">
        <v>-0.26</v>
      </c>
      <c r="CJ3214">
        <v>15822</v>
      </c>
      <c r="CK3214">
        <v>3265</v>
      </c>
      <c r="CL3214" t="s">
        <v>3689</v>
      </c>
      <c r="CM3214">
        <v>-1.1100000000000001</v>
      </c>
      <c r="CN3214">
        <v>5.71</v>
      </c>
      <c r="CO3214">
        <v>2.71</v>
      </c>
      <c r="CP3214">
        <v>45.31</v>
      </c>
      <c r="CQ3214">
        <v>6.67</v>
      </c>
      <c r="CR3214">
        <v>2.4900000000000002</v>
      </c>
      <c r="CS3214" t="s">
        <v>8044</v>
      </c>
      <c r="CT3214">
        <v>5.52</v>
      </c>
      <c r="CU3214">
        <v>0</v>
      </c>
      <c r="CV3214">
        <v>1.86</v>
      </c>
      <c r="CW3214">
        <v>2.29</v>
      </c>
      <c r="CX3214">
        <v>0.33</v>
      </c>
      <c r="CY3214">
        <v>86.56</v>
      </c>
      <c r="CZ3214" t="s">
        <v>201</v>
      </c>
      <c r="DA3214">
        <v>38.51</v>
      </c>
      <c r="DB3214">
        <v>17.059999999999999</v>
      </c>
      <c r="DC3214">
        <v>14.05</v>
      </c>
      <c r="DD3214">
        <v>0.2</v>
      </c>
      <c r="DE3214">
        <v>1209</v>
      </c>
      <c r="DF3214">
        <v>603016</v>
      </c>
      <c r="DG3214" t="s">
        <v>116</v>
      </c>
      <c r="DH3214" t="s">
        <v>116</v>
      </c>
      <c r="DI3214" t="s">
        <v>116</v>
      </c>
    </row>
    <row r="3215" spans="1:113" x14ac:dyDescent="0.4">
      <c r="A3215" t="str">
        <f>"603017"</f>
        <v>603017</v>
      </c>
      <c r="B3215" t="s">
        <v>13889</v>
      </c>
      <c r="C3215">
        <v>0</v>
      </c>
      <c r="D3215">
        <v>10.4</v>
      </c>
      <c r="E3215">
        <v>0</v>
      </c>
      <c r="F3215">
        <v>10.4</v>
      </c>
      <c r="G3215">
        <v>10.41</v>
      </c>
      <c r="H3215">
        <v>11189</v>
      </c>
      <c r="I3215">
        <v>195</v>
      </c>
      <c r="J3215">
        <v>-0.18</v>
      </c>
      <c r="K3215">
        <v>0.41</v>
      </c>
      <c r="L3215">
        <v>10.4</v>
      </c>
      <c r="M3215">
        <v>10.49</v>
      </c>
      <c r="N3215">
        <v>10.37</v>
      </c>
      <c r="O3215">
        <v>10.4</v>
      </c>
      <c r="P3215">
        <v>16.2</v>
      </c>
      <c r="Q3215">
        <v>11667970</v>
      </c>
      <c r="R3215">
        <v>0.97</v>
      </c>
      <c r="S3215" t="s">
        <v>181</v>
      </c>
      <c r="T3215" t="s">
        <v>323</v>
      </c>
      <c r="U3215">
        <v>1.1499999999999999</v>
      </c>
      <c r="V3215">
        <v>10.43</v>
      </c>
      <c r="W3215">
        <v>6028</v>
      </c>
      <c r="X3215">
        <v>5161</v>
      </c>
      <c r="Y3215">
        <v>1.17</v>
      </c>
      <c r="Z3215">
        <v>12</v>
      </c>
      <c r="AA3215">
        <v>11</v>
      </c>
      <c r="AB3215" t="s">
        <v>116</v>
      </c>
      <c r="AC3215">
        <v>57200</v>
      </c>
      <c r="AD3215">
        <v>0</v>
      </c>
      <c r="AE3215" t="s">
        <v>116</v>
      </c>
      <c r="AF3215" t="s">
        <v>116</v>
      </c>
      <c r="AG3215">
        <v>2.7</v>
      </c>
      <c r="AH3215" t="s">
        <v>10718</v>
      </c>
      <c r="AI3215" t="s">
        <v>13890</v>
      </c>
      <c r="AJ3215">
        <v>0.08</v>
      </c>
      <c r="AK3215">
        <v>788</v>
      </c>
      <c r="AL3215">
        <v>14</v>
      </c>
      <c r="AM3215">
        <v>5.0000000000000001E-4</v>
      </c>
      <c r="AN3215">
        <v>0</v>
      </c>
      <c r="AO3215">
        <v>1.07</v>
      </c>
      <c r="AP3215">
        <v>4.42</v>
      </c>
      <c r="AQ3215">
        <v>-7.8</v>
      </c>
      <c r="AR3215">
        <v>8</v>
      </c>
      <c r="AS3215">
        <v>0.75</v>
      </c>
      <c r="AT3215" t="s">
        <v>1290</v>
      </c>
      <c r="AU3215">
        <v>15.39</v>
      </c>
      <c r="AV3215">
        <v>17.010000000000002</v>
      </c>
      <c r="AW3215">
        <v>1.2</v>
      </c>
      <c r="BA3215">
        <v>0</v>
      </c>
      <c r="BB3215">
        <v>0.87</v>
      </c>
      <c r="BC3215">
        <v>-0.28999999999999998</v>
      </c>
      <c r="BD3215">
        <v>0.27</v>
      </c>
      <c r="BE3215">
        <v>0</v>
      </c>
      <c r="BF3215">
        <v>-0.86</v>
      </c>
      <c r="BG3215">
        <v>0.28999999999999998</v>
      </c>
      <c r="BH3215">
        <v>-0.27</v>
      </c>
      <c r="BI3215">
        <v>20191029</v>
      </c>
      <c r="BJ3215">
        <v>20141231</v>
      </c>
      <c r="BK3215">
        <v>2.75</v>
      </c>
      <c r="BL3215" t="s">
        <v>116</v>
      </c>
      <c r="BM3215" t="s">
        <v>116</v>
      </c>
      <c r="BN3215">
        <v>31.29</v>
      </c>
      <c r="BO3215">
        <v>17.97</v>
      </c>
      <c r="BP3215">
        <v>0.47</v>
      </c>
      <c r="BQ3215">
        <v>41.06</v>
      </c>
      <c r="BR3215">
        <v>17.75</v>
      </c>
      <c r="BS3215">
        <v>3.63</v>
      </c>
      <c r="BT3215">
        <v>0.78</v>
      </c>
      <c r="BU3215">
        <v>12.68</v>
      </c>
      <c r="BV3215">
        <v>3.63</v>
      </c>
      <c r="BW3215">
        <v>7.53</v>
      </c>
      <c r="BX3215">
        <v>10.220000000000001</v>
      </c>
      <c r="BY3215">
        <v>11.65</v>
      </c>
      <c r="BZ3215">
        <v>8.67</v>
      </c>
      <c r="CA3215">
        <v>1.64</v>
      </c>
      <c r="CB3215">
        <v>0.06</v>
      </c>
      <c r="CC3215">
        <v>1.64</v>
      </c>
      <c r="CD3215">
        <v>1.38</v>
      </c>
      <c r="CE3215">
        <v>1.32</v>
      </c>
      <c r="CF3215">
        <v>1.18</v>
      </c>
      <c r="CG3215">
        <v>5.07</v>
      </c>
      <c r="CH3215">
        <v>-0.78</v>
      </c>
      <c r="CI3215">
        <v>-0.27</v>
      </c>
      <c r="CJ3215">
        <v>16658</v>
      </c>
      <c r="CK3215">
        <v>8928</v>
      </c>
      <c r="CL3215" t="s">
        <v>9516</v>
      </c>
      <c r="CM3215">
        <v>15.49</v>
      </c>
      <c r="CN3215">
        <v>10.56</v>
      </c>
      <c r="CO3215">
        <v>1.59</v>
      </c>
      <c r="CP3215">
        <v>-36.729999999999997</v>
      </c>
      <c r="CQ3215">
        <v>2.46</v>
      </c>
      <c r="CR3215">
        <v>2.86</v>
      </c>
      <c r="CS3215" t="s">
        <v>13323</v>
      </c>
      <c r="CT3215">
        <v>6.53</v>
      </c>
      <c r="CU3215">
        <v>0</v>
      </c>
      <c r="CV3215">
        <v>3.71</v>
      </c>
      <c r="CW3215">
        <v>1.84</v>
      </c>
      <c r="CX3215">
        <v>-0.28000000000000003</v>
      </c>
      <c r="CY3215">
        <v>57.42</v>
      </c>
      <c r="CZ3215" t="s">
        <v>5633</v>
      </c>
      <c r="DA3215">
        <v>25.63</v>
      </c>
      <c r="DB3215">
        <v>14.05</v>
      </c>
      <c r="DC3215">
        <v>11.37</v>
      </c>
      <c r="DD3215">
        <v>0.6</v>
      </c>
      <c r="DE3215">
        <v>3258</v>
      </c>
      <c r="DF3215">
        <v>603017</v>
      </c>
      <c r="DG3215" t="s">
        <v>116</v>
      </c>
      <c r="DH3215" t="s">
        <v>116</v>
      </c>
      <c r="DI3215" t="s">
        <v>116</v>
      </c>
    </row>
    <row r="3216" spans="1:113" x14ac:dyDescent="0.4">
      <c r="A3216" t="str">
        <f>"603018"</f>
        <v>603018</v>
      </c>
      <c r="B3216" t="s">
        <v>13891</v>
      </c>
      <c r="C3216">
        <v>0</v>
      </c>
      <c r="D3216">
        <v>10.14</v>
      </c>
      <c r="E3216">
        <v>0</v>
      </c>
      <c r="F3216">
        <v>10.130000000000001</v>
      </c>
      <c r="G3216">
        <v>10.14</v>
      </c>
      <c r="H3216">
        <v>29493</v>
      </c>
      <c r="I3216">
        <v>899</v>
      </c>
      <c r="J3216">
        <v>-0.19</v>
      </c>
      <c r="K3216">
        <v>0.64</v>
      </c>
      <c r="L3216">
        <v>10.16</v>
      </c>
      <c r="M3216">
        <v>10.210000000000001</v>
      </c>
      <c r="N3216">
        <v>10.130000000000001</v>
      </c>
      <c r="O3216">
        <v>10.14</v>
      </c>
      <c r="P3216">
        <v>12.1</v>
      </c>
      <c r="Q3216">
        <v>29978030</v>
      </c>
      <c r="R3216">
        <v>0.78</v>
      </c>
      <c r="S3216" t="s">
        <v>181</v>
      </c>
      <c r="T3216" t="s">
        <v>323</v>
      </c>
      <c r="U3216">
        <v>0.79</v>
      </c>
      <c r="V3216">
        <v>10.16</v>
      </c>
      <c r="W3216">
        <v>14725</v>
      </c>
      <c r="X3216">
        <v>14768</v>
      </c>
      <c r="Y3216">
        <v>1</v>
      </c>
      <c r="Z3216">
        <v>373</v>
      </c>
      <c r="AA3216">
        <v>31</v>
      </c>
      <c r="AB3216" t="s">
        <v>116</v>
      </c>
      <c r="AC3216">
        <v>94500</v>
      </c>
      <c r="AD3216">
        <v>0</v>
      </c>
      <c r="AE3216" t="s">
        <v>116</v>
      </c>
      <c r="AF3216" t="s">
        <v>116</v>
      </c>
      <c r="AG3216">
        <v>4.5999999999999996</v>
      </c>
      <c r="AH3216" t="s">
        <v>13892</v>
      </c>
      <c r="AI3216" t="s">
        <v>12562</v>
      </c>
      <c r="AJ3216">
        <v>0.08</v>
      </c>
      <c r="AK3216">
        <v>752</v>
      </c>
      <c r="AL3216">
        <v>39</v>
      </c>
      <c r="AM3216">
        <v>8.9999999999999998E-4</v>
      </c>
      <c r="AN3216">
        <v>0</v>
      </c>
      <c r="AO3216">
        <v>-1.07</v>
      </c>
      <c r="AP3216">
        <v>-0.1</v>
      </c>
      <c r="AQ3216">
        <v>-13.55</v>
      </c>
      <c r="AR3216">
        <v>-11.93</v>
      </c>
      <c r="AS3216">
        <v>0.64</v>
      </c>
      <c r="AT3216" t="s">
        <v>13892</v>
      </c>
      <c r="AU3216">
        <v>10.56</v>
      </c>
      <c r="AV3216">
        <v>11.89</v>
      </c>
      <c r="AW3216">
        <v>0.97</v>
      </c>
      <c r="BA3216">
        <v>0.2</v>
      </c>
      <c r="BB3216">
        <v>0.69</v>
      </c>
      <c r="BC3216">
        <v>-0.1</v>
      </c>
      <c r="BD3216">
        <v>0.24</v>
      </c>
      <c r="BE3216">
        <v>-0.2</v>
      </c>
      <c r="BF3216">
        <v>-0.69</v>
      </c>
      <c r="BG3216">
        <v>0.1</v>
      </c>
      <c r="BH3216">
        <v>-0.24</v>
      </c>
      <c r="BI3216">
        <v>20191026</v>
      </c>
      <c r="BJ3216">
        <v>20141013</v>
      </c>
      <c r="BK3216">
        <v>4.6399999999999997</v>
      </c>
      <c r="BL3216" t="s">
        <v>116</v>
      </c>
      <c r="BM3216" t="s">
        <v>116</v>
      </c>
      <c r="BN3216">
        <v>70.13</v>
      </c>
      <c r="BO3216">
        <v>26.43</v>
      </c>
      <c r="BP3216">
        <v>0.67</v>
      </c>
      <c r="BQ3216">
        <v>61.36</v>
      </c>
      <c r="BR3216">
        <v>59.35</v>
      </c>
      <c r="BS3216">
        <v>3.99</v>
      </c>
      <c r="BT3216">
        <v>0.51</v>
      </c>
      <c r="BU3216">
        <v>42.91</v>
      </c>
      <c r="BV3216">
        <v>6.35</v>
      </c>
      <c r="BW3216">
        <v>40.98</v>
      </c>
      <c r="BX3216">
        <v>6.68</v>
      </c>
      <c r="BY3216">
        <v>27.45</v>
      </c>
      <c r="BZ3216">
        <v>18.690000000000001</v>
      </c>
      <c r="CA3216">
        <v>3.5</v>
      </c>
      <c r="CB3216">
        <v>0.2</v>
      </c>
      <c r="CC3216">
        <v>3.5</v>
      </c>
      <c r="CD3216">
        <v>2.99</v>
      </c>
      <c r="CE3216">
        <v>2.92</v>
      </c>
      <c r="CF3216">
        <v>2.6</v>
      </c>
      <c r="CG3216">
        <v>14.42</v>
      </c>
      <c r="CH3216">
        <v>-3.53</v>
      </c>
      <c r="CI3216">
        <v>-4.0599999999999996</v>
      </c>
      <c r="CJ3216">
        <v>15754</v>
      </c>
      <c r="CK3216">
        <v>29197</v>
      </c>
      <c r="CL3216" t="s">
        <v>13893</v>
      </c>
      <c r="CM3216">
        <v>20.49</v>
      </c>
      <c r="CN3216">
        <v>4.07</v>
      </c>
      <c r="CO3216">
        <v>1.78</v>
      </c>
      <c r="CP3216">
        <v>-13.32</v>
      </c>
      <c r="CQ3216">
        <v>1.72</v>
      </c>
      <c r="CR3216">
        <v>2.5299999999999998</v>
      </c>
      <c r="CS3216" t="s">
        <v>4250</v>
      </c>
      <c r="CT3216">
        <v>5.69</v>
      </c>
      <c r="CU3216">
        <v>0</v>
      </c>
      <c r="CV3216">
        <v>1.44</v>
      </c>
      <c r="CW3216">
        <v>3.11</v>
      </c>
      <c r="CX3216">
        <v>-0.76</v>
      </c>
      <c r="CY3216">
        <v>37.69</v>
      </c>
      <c r="CZ3216" t="s">
        <v>13894</v>
      </c>
      <c r="DA3216">
        <v>31.92</v>
      </c>
      <c r="DB3216">
        <v>12.76</v>
      </c>
      <c r="DC3216">
        <v>10.63</v>
      </c>
      <c r="DD3216">
        <v>1.18</v>
      </c>
      <c r="DE3216">
        <v>4520</v>
      </c>
      <c r="DF3216">
        <v>603018</v>
      </c>
      <c r="DG3216" t="s">
        <v>116</v>
      </c>
      <c r="DH3216" t="s">
        <v>116</v>
      </c>
      <c r="DI3216" t="s">
        <v>116</v>
      </c>
    </row>
    <row r="3217" spans="1:113" x14ac:dyDescent="0.4">
      <c r="A3217" t="str">
        <f>"603019"</f>
        <v>603019</v>
      </c>
      <c r="B3217" t="s">
        <v>13895</v>
      </c>
      <c r="C3217">
        <v>-2.2999999999999998</v>
      </c>
      <c r="D3217">
        <v>34.39</v>
      </c>
      <c r="E3217">
        <v>-0.81</v>
      </c>
      <c r="F3217">
        <v>34.380000000000003</v>
      </c>
      <c r="G3217">
        <v>34.39</v>
      </c>
      <c r="H3217">
        <v>185020</v>
      </c>
      <c r="I3217">
        <v>2505</v>
      </c>
      <c r="J3217">
        <v>0.09</v>
      </c>
      <c r="K3217">
        <v>2.06</v>
      </c>
      <c r="L3217">
        <v>35.29</v>
      </c>
      <c r="M3217">
        <v>35.380000000000003</v>
      </c>
      <c r="N3217">
        <v>34.29</v>
      </c>
      <c r="O3217">
        <v>35.200000000000003</v>
      </c>
      <c r="P3217">
        <v>93.04</v>
      </c>
      <c r="Q3217">
        <v>644771904</v>
      </c>
      <c r="R3217">
        <v>0.87</v>
      </c>
      <c r="S3217" t="s">
        <v>241</v>
      </c>
      <c r="T3217" t="s">
        <v>1035</v>
      </c>
      <c r="U3217">
        <v>3.1</v>
      </c>
      <c r="V3217">
        <v>34.85</v>
      </c>
      <c r="W3217">
        <v>104002</v>
      </c>
      <c r="X3217">
        <v>81019</v>
      </c>
      <c r="Y3217">
        <v>1.28</v>
      </c>
      <c r="Z3217">
        <v>229</v>
      </c>
      <c r="AA3217">
        <v>817</v>
      </c>
      <c r="AB3217" t="s">
        <v>116</v>
      </c>
      <c r="AC3217">
        <v>1034000</v>
      </c>
      <c r="AD3217">
        <v>0</v>
      </c>
      <c r="AE3217" t="s">
        <v>116</v>
      </c>
      <c r="AF3217" t="s">
        <v>116</v>
      </c>
      <c r="AG3217">
        <v>9</v>
      </c>
      <c r="AH3217" t="s">
        <v>13896</v>
      </c>
      <c r="AI3217" t="s">
        <v>13896</v>
      </c>
      <c r="AJ3217">
        <v>-2.2200000000000002</v>
      </c>
      <c r="AK3217">
        <v>4180</v>
      </c>
      <c r="AL3217">
        <v>44</v>
      </c>
      <c r="AM3217">
        <v>5.0000000000000001E-4</v>
      </c>
      <c r="AN3217">
        <v>-1</v>
      </c>
      <c r="AO3217">
        <v>-0.04</v>
      </c>
      <c r="AP3217">
        <v>1.24</v>
      </c>
      <c r="AQ3217">
        <v>-1.66</v>
      </c>
      <c r="AR3217">
        <v>34.71</v>
      </c>
      <c r="AS3217">
        <v>2.77</v>
      </c>
      <c r="AT3217" t="s">
        <v>13897</v>
      </c>
      <c r="AU3217">
        <v>61.15</v>
      </c>
      <c r="AV3217">
        <v>71.900000000000006</v>
      </c>
      <c r="AW3217">
        <v>1.29</v>
      </c>
      <c r="BA3217">
        <v>0.26</v>
      </c>
      <c r="BB3217">
        <v>0.51</v>
      </c>
      <c r="BC3217">
        <v>-2.59</v>
      </c>
      <c r="BD3217">
        <v>-1</v>
      </c>
      <c r="BE3217">
        <v>-2.5499999999999998</v>
      </c>
      <c r="BF3217">
        <v>-2.8</v>
      </c>
      <c r="BG3217">
        <v>0.28999999999999998</v>
      </c>
      <c r="BH3217">
        <v>-1.3</v>
      </c>
      <c r="BI3217">
        <v>20191026</v>
      </c>
      <c r="BJ3217">
        <v>20141106</v>
      </c>
      <c r="BK3217">
        <v>9</v>
      </c>
      <c r="BL3217" t="s">
        <v>116</v>
      </c>
      <c r="BM3217" t="s">
        <v>116</v>
      </c>
      <c r="BN3217">
        <v>163.93</v>
      </c>
      <c r="BO3217">
        <v>39.89</v>
      </c>
      <c r="BP3217">
        <v>2.68</v>
      </c>
      <c r="BQ3217">
        <v>74.03</v>
      </c>
      <c r="BR3217">
        <v>97.28</v>
      </c>
      <c r="BS3217">
        <v>14.6</v>
      </c>
      <c r="BT3217">
        <v>4.3600000000000003</v>
      </c>
      <c r="BU3217">
        <v>57.01</v>
      </c>
      <c r="BV3217">
        <v>27.14</v>
      </c>
      <c r="BW3217">
        <v>18.71</v>
      </c>
      <c r="BX3217">
        <v>14.47</v>
      </c>
      <c r="BY3217">
        <v>67.81</v>
      </c>
      <c r="BZ3217">
        <v>55.7</v>
      </c>
      <c r="CA3217">
        <v>3.45</v>
      </c>
      <c r="CB3217">
        <v>0.77</v>
      </c>
      <c r="CC3217">
        <v>3.46</v>
      </c>
      <c r="CD3217">
        <v>2.73</v>
      </c>
      <c r="CE3217">
        <v>2.5</v>
      </c>
      <c r="CF3217">
        <v>1.1299999999999999</v>
      </c>
      <c r="CG3217">
        <v>13.56</v>
      </c>
      <c r="CH3217">
        <v>21.6</v>
      </c>
      <c r="CI3217">
        <v>10.07</v>
      </c>
      <c r="CJ3217">
        <v>140840</v>
      </c>
      <c r="CK3217">
        <v>4748</v>
      </c>
      <c r="CL3217" t="s">
        <v>13898</v>
      </c>
      <c r="CM3217">
        <v>43.57</v>
      </c>
      <c r="CN3217">
        <v>24.24</v>
      </c>
      <c r="CO3217">
        <v>8.09</v>
      </c>
      <c r="CP3217">
        <v>14.33</v>
      </c>
      <c r="CQ3217">
        <v>4.57</v>
      </c>
      <c r="CR3217">
        <v>0.28999999999999998</v>
      </c>
      <c r="CS3217" t="s">
        <v>4379</v>
      </c>
      <c r="CT3217">
        <v>4.25</v>
      </c>
      <c r="CU3217">
        <v>4.25</v>
      </c>
      <c r="CV3217">
        <v>1.61</v>
      </c>
      <c r="CW3217">
        <v>1.51</v>
      </c>
      <c r="CX3217">
        <v>2.4</v>
      </c>
      <c r="CY3217">
        <v>24.34</v>
      </c>
      <c r="CZ3217" t="s">
        <v>13899</v>
      </c>
      <c r="DA3217">
        <v>17.86</v>
      </c>
      <c r="DB3217">
        <v>5.09</v>
      </c>
      <c r="DC3217">
        <v>3.68</v>
      </c>
      <c r="DD3217">
        <v>4.41</v>
      </c>
      <c r="DE3217">
        <v>2736</v>
      </c>
      <c r="DF3217">
        <v>603019</v>
      </c>
      <c r="DG3217" t="s">
        <v>116</v>
      </c>
      <c r="DH3217" t="s">
        <v>116</v>
      </c>
      <c r="DI3217" t="s">
        <v>116</v>
      </c>
    </row>
    <row r="3218" spans="1:113" x14ac:dyDescent="0.4">
      <c r="A3218" t="str">
        <f>"603020"</f>
        <v>603020</v>
      </c>
      <c r="B3218" t="s">
        <v>13900</v>
      </c>
      <c r="C3218">
        <v>0.37</v>
      </c>
      <c r="D3218">
        <v>8.1300000000000008</v>
      </c>
      <c r="E3218">
        <v>0.03</v>
      </c>
      <c r="F3218">
        <v>8.1199999999999992</v>
      </c>
      <c r="G3218">
        <v>8.1300000000000008</v>
      </c>
      <c r="H3218">
        <v>28135</v>
      </c>
      <c r="I3218">
        <v>150</v>
      </c>
      <c r="J3218">
        <v>0.12</v>
      </c>
      <c r="K3218">
        <v>0.88</v>
      </c>
      <c r="L3218">
        <v>8.1300000000000008</v>
      </c>
      <c r="M3218">
        <v>8.18</v>
      </c>
      <c r="N3218">
        <v>8.1</v>
      </c>
      <c r="O3218">
        <v>8.1</v>
      </c>
      <c r="P3218">
        <v>15.96</v>
      </c>
      <c r="Q3218">
        <v>22904910</v>
      </c>
      <c r="R3218">
        <v>1.47</v>
      </c>
      <c r="S3218" t="s">
        <v>863</v>
      </c>
      <c r="T3218" t="s">
        <v>1653</v>
      </c>
      <c r="U3218">
        <v>0.99</v>
      </c>
      <c r="V3218">
        <v>8.14</v>
      </c>
      <c r="W3218">
        <v>16521</v>
      </c>
      <c r="X3218">
        <v>11614</v>
      </c>
      <c r="Y3218">
        <v>1.42</v>
      </c>
      <c r="Z3218">
        <v>12</v>
      </c>
      <c r="AA3218">
        <v>179</v>
      </c>
      <c r="AB3218" t="s">
        <v>116</v>
      </c>
      <c r="AC3218">
        <v>56900</v>
      </c>
      <c r="AD3218">
        <v>0</v>
      </c>
      <c r="AE3218" t="s">
        <v>116</v>
      </c>
      <c r="AF3218" t="s">
        <v>116</v>
      </c>
      <c r="AG3218">
        <v>3.2</v>
      </c>
      <c r="AH3218" t="s">
        <v>13901</v>
      </c>
      <c r="AI3218" t="s">
        <v>13901</v>
      </c>
      <c r="AJ3218">
        <v>0.45</v>
      </c>
      <c r="AK3218">
        <v>1151</v>
      </c>
      <c r="AL3218">
        <v>24</v>
      </c>
      <c r="AM3218">
        <v>8.0000000000000004E-4</v>
      </c>
      <c r="AN3218">
        <v>4</v>
      </c>
      <c r="AO3218">
        <v>1.37</v>
      </c>
      <c r="AP3218">
        <v>5.72</v>
      </c>
      <c r="AQ3218">
        <v>3.96</v>
      </c>
      <c r="AR3218">
        <v>11.07</v>
      </c>
      <c r="AS3218">
        <v>1.68</v>
      </c>
      <c r="AT3218" t="s">
        <v>4180</v>
      </c>
      <c r="AU3218">
        <v>19.13</v>
      </c>
      <c r="AV3218">
        <v>23.62</v>
      </c>
      <c r="AW3218">
        <v>1.24</v>
      </c>
      <c r="BA3218">
        <v>0.37</v>
      </c>
      <c r="BB3218">
        <v>0.99</v>
      </c>
      <c r="BC3218">
        <v>0</v>
      </c>
      <c r="BD3218">
        <v>0.51</v>
      </c>
      <c r="BE3218">
        <v>0</v>
      </c>
      <c r="BF3218">
        <v>-0.61</v>
      </c>
      <c r="BG3218">
        <v>0.37</v>
      </c>
      <c r="BH3218">
        <v>-0.14000000000000001</v>
      </c>
      <c r="BI3218">
        <v>20191031</v>
      </c>
      <c r="BJ3218">
        <v>20150325</v>
      </c>
      <c r="BK3218">
        <v>3.2</v>
      </c>
      <c r="BL3218" t="s">
        <v>116</v>
      </c>
      <c r="BM3218" t="s">
        <v>116</v>
      </c>
      <c r="BN3218">
        <v>25.18</v>
      </c>
      <c r="BO3218">
        <v>20.76</v>
      </c>
      <c r="BP3218">
        <v>1.86</v>
      </c>
      <c r="BQ3218">
        <v>10.17</v>
      </c>
      <c r="BR3218">
        <v>18.649999999999999</v>
      </c>
      <c r="BS3218">
        <v>2.6</v>
      </c>
      <c r="BT3218">
        <v>0.43</v>
      </c>
      <c r="BU3218">
        <v>2.35</v>
      </c>
      <c r="BV3218">
        <v>3.71</v>
      </c>
      <c r="BW3218">
        <v>4.34</v>
      </c>
      <c r="BX3218">
        <v>8.02</v>
      </c>
      <c r="BY3218">
        <v>18.68</v>
      </c>
      <c r="BZ3218">
        <v>14.87</v>
      </c>
      <c r="CA3218">
        <v>1.71</v>
      </c>
      <c r="CB3218">
        <v>0.02</v>
      </c>
      <c r="CC3218">
        <v>1.69</v>
      </c>
      <c r="CD3218">
        <v>1.4</v>
      </c>
      <c r="CE3218">
        <v>1.22</v>
      </c>
      <c r="CF3218">
        <v>1.17</v>
      </c>
      <c r="CG3218">
        <v>8.39</v>
      </c>
      <c r="CH3218">
        <v>2.4700000000000002</v>
      </c>
      <c r="CI3218">
        <v>1.51</v>
      </c>
      <c r="CJ3218">
        <v>21377</v>
      </c>
      <c r="CK3218">
        <v>7852</v>
      </c>
      <c r="CL3218" t="s">
        <v>423</v>
      </c>
      <c r="CM3218">
        <v>26.84</v>
      </c>
      <c r="CN3218">
        <v>-0.05</v>
      </c>
      <c r="CO3218">
        <v>1.25</v>
      </c>
      <c r="CP3218">
        <v>10.55</v>
      </c>
      <c r="CQ3218">
        <v>1.39</v>
      </c>
      <c r="CR3218">
        <v>1.35</v>
      </c>
      <c r="CS3218" t="s">
        <v>2337</v>
      </c>
      <c r="CT3218">
        <v>6.49</v>
      </c>
      <c r="CU3218">
        <v>0</v>
      </c>
      <c r="CV3218">
        <v>2.5099999999999998</v>
      </c>
      <c r="CW3218">
        <v>2.62</v>
      </c>
      <c r="CX3218">
        <v>0.77</v>
      </c>
      <c r="CY3218">
        <v>82.42</v>
      </c>
      <c r="CZ3218" t="s">
        <v>3911</v>
      </c>
      <c r="DA3218">
        <v>20.43</v>
      </c>
      <c r="DB3218">
        <v>9.1300000000000008</v>
      </c>
      <c r="DC3218">
        <v>6.54</v>
      </c>
      <c r="DD3218">
        <v>0.28999999999999998</v>
      </c>
      <c r="DE3218">
        <v>1306</v>
      </c>
      <c r="DF3218">
        <v>603020</v>
      </c>
      <c r="DG3218" t="s">
        <v>116</v>
      </c>
      <c r="DH3218" t="s">
        <v>116</v>
      </c>
      <c r="DI3218" t="s">
        <v>116</v>
      </c>
    </row>
    <row r="3219" spans="1:113" x14ac:dyDescent="0.4">
      <c r="A3219" t="str">
        <f>"603021"</f>
        <v>603021</v>
      </c>
      <c r="B3219" t="s">
        <v>13902</v>
      </c>
      <c r="C3219">
        <v>-2.65</v>
      </c>
      <c r="D3219">
        <v>8.08</v>
      </c>
      <c r="E3219">
        <v>-0.22</v>
      </c>
      <c r="F3219">
        <v>8.08</v>
      </c>
      <c r="G3219">
        <v>8.09</v>
      </c>
      <c r="H3219">
        <v>28505</v>
      </c>
      <c r="I3219">
        <v>296</v>
      </c>
      <c r="J3219">
        <v>0.25</v>
      </c>
      <c r="K3219">
        <v>0.89</v>
      </c>
      <c r="L3219">
        <v>8.1999999999999993</v>
      </c>
      <c r="M3219">
        <v>8.34</v>
      </c>
      <c r="N3219">
        <v>8</v>
      </c>
      <c r="O3219">
        <v>8.3000000000000007</v>
      </c>
      <c r="P3219" t="s">
        <v>116</v>
      </c>
      <c r="Q3219">
        <v>23219794</v>
      </c>
      <c r="R3219">
        <v>0.81</v>
      </c>
      <c r="S3219" t="s">
        <v>195</v>
      </c>
      <c r="T3219" t="s">
        <v>645</v>
      </c>
      <c r="U3219">
        <v>4.0999999999999996</v>
      </c>
      <c r="V3219">
        <v>8.15</v>
      </c>
      <c r="W3219">
        <v>17722</v>
      </c>
      <c r="X3219">
        <v>10783</v>
      </c>
      <c r="Y3219">
        <v>1.64</v>
      </c>
      <c r="Z3219">
        <v>94</v>
      </c>
      <c r="AA3219">
        <v>430</v>
      </c>
      <c r="AB3219" t="s">
        <v>116</v>
      </c>
      <c r="AC3219">
        <v>64900</v>
      </c>
      <c r="AD3219">
        <v>0</v>
      </c>
      <c r="AE3219" t="s">
        <v>116</v>
      </c>
      <c r="AF3219" t="s">
        <v>116</v>
      </c>
      <c r="AG3219">
        <v>3.2</v>
      </c>
      <c r="AH3219" t="s">
        <v>2627</v>
      </c>
      <c r="AI3219" t="s">
        <v>2627</v>
      </c>
      <c r="AJ3219">
        <v>-2.57</v>
      </c>
      <c r="AK3219">
        <v>803</v>
      </c>
      <c r="AL3219">
        <v>35</v>
      </c>
      <c r="AM3219">
        <v>1.1000000000000001E-3</v>
      </c>
      <c r="AN3219">
        <v>-4</v>
      </c>
      <c r="AO3219">
        <v>-7.97</v>
      </c>
      <c r="AP3219">
        <v>-12.65</v>
      </c>
      <c r="AQ3219">
        <v>7.73</v>
      </c>
      <c r="AR3219">
        <v>40.770000000000003</v>
      </c>
      <c r="AS3219">
        <v>1.56</v>
      </c>
      <c r="AT3219" t="s">
        <v>4895</v>
      </c>
      <c r="AU3219" t="s">
        <v>116</v>
      </c>
      <c r="AV3219">
        <v>130.91</v>
      </c>
      <c r="AW3219">
        <v>0.74</v>
      </c>
      <c r="BA3219">
        <v>-1.2</v>
      </c>
      <c r="BB3219">
        <v>0.48</v>
      </c>
      <c r="BC3219">
        <v>-3.61</v>
      </c>
      <c r="BD3219">
        <v>-1.86</v>
      </c>
      <c r="BE3219">
        <v>-1.46</v>
      </c>
      <c r="BF3219">
        <v>-3.12</v>
      </c>
      <c r="BG3219">
        <v>1</v>
      </c>
      <c r="BH3219">
        <v>-0.79</v>
      </c>
      <c r="BI3219">
        <v>20191029</v>
      </c>
      <c r="BJ3219">
        <v>20150423</v>
      </c>
      <c r="BK3219">
        <v>3.2</v>
      </c>
      <c r="BL3219" t="s">
        <v>116</v>
      </c>
      <c r="BM3219" t="s">
        <v>116</v>
      </c>
      <c r="BN3219">
        <v>29.44</v>
      </c>
      <c r="BO3219">
        <v>13.12</v>
      </c>
      <c r="BP3219">
        <v>0.19</v>
      </c>
      <c r="BQ3219">
        <v>54.78</v>
      </c>
      <c r="BR3219">
        <v>7.17</v>
      </c>
      <c r="BS3219">
        <v>13.18</v>
      </c>
      <c r="BT3219">
        <v>2.13</v>
      </c>
      <c r="BU3219">
        <v>12.67</v>
      </c>
      <c r="BV3219">
        <v>3.2</v>
      </c>
      <c r="BW3219">
        <v>2.17</v>
      </c>
      <c r="BX3219">
        <v>6.03</v>
      </c>
      <c r="BY3219">
        <v>5.79</v>
      </c>
      <c r="BZ3219">
        <v>4.6399999999999997</v>
      </c>
      <c r="CA3219">
        <v>-0.26</v>
      </c>
      <c r="CB3219">
        <v>0</v>
      </c>
      <c r="CC3219">
        <v>-0.26</v>
      </c>
      <c r="CD3219">
        <v>-0.27</v>
      </c>
      <c r="CE3219">
        <v>-0.25</v>
      </c>
      <c r="CF3219">
        <v>-0.28000000000000003</v>
      </c>
      <c r="CG3219">
        <v>3.57</v>
      </c>
      <c r="CH3219">
        <v>0.23</v>
      </c>
      <c r="CI3219">
        <v>-0.51</v>
      </c>
      <c r="CJ3219">
        <v>11944</v>
      </c>
      <c r="CK3219">
        <v>15263</v>
      </c>
      <c r="CL3219" t="s">
        <v>13903</v>
      </c>
      <c r="CM3219">
        <v>-717.88</v>
      </c>
      <c r="CN3219">
        <v>-3.28</v>
      </c>
      <c r="CO3219">
        <v>1.97</v>
      </c>
      <c r="CP3219">
        <v>114.85</v>
      </c>
      <c r="CQ3219">
        <v>4.47</v>
      </c>
      <c r="CR3219">
        <v>0.25</v>
      </c>
      <c r="CS3219" t="s">
        <v>7625</v>
      </c>
      <c r="CT3219">
        <v>4.0999999999999996</v>
      </c>
      <c r="CU3219">
        <v>0</v>
      </c>
      <c r="CV3219">
        <v>1.89</v>
      </c>
      <c r="CW3219">
        <v>1.1200000000000001</v>
      </c>
      <c r="CX3219">
        <v>7.0000000000000007E-2</v>
      </c>
      <c r="CY3219">
        <v>44.58</v>
      </c>
      <c r="CZ3219" t="s">
        <v>13904</v>
      </c>
      <c r="DA3219">
        <v>19.739999999999998</v>
      </c>
      <c r="DB3219">
        <v>-4.41</v>
      </c>
      <c r="DC3219">
        <v>-4.3099999999999996</v>
      </c>
      <c r="DD3219">
        <v>7.0000000000000007E-2</v>
      </c>
      <c r="DE3219">
        <v>1672</v>
      </c>
      <c r="DF3219">
        <v>603021</v>
      </c>
      <c r="DG3219" t="s">
        <v>116</v>
      </c>
      <c r="DH3219" t="s">
        <v>116</v>
      </c>
      <c r="DI3219" t="s">
        <v>116</v>
      </c>
    </row>
    <row r="3220" spans="1:113" x14ac:dyDescent="0.4">
      <c r="A3220" t="str">
        <f>"603022"</f>
        <v>603022</v>
      </c>
      <c r="B3220" t="s">
        <v>13905</v>
      </c>
      <c r="C3220">
        <v>-2.2599999999999998</v>
      </c>
      <c r="D3220">
        <v>12.96</v>
      </c>
      <c r="E3220">
        <v>-0.3</v>
      </c>
      <c r="F3220">
        <v>12.96</v>
      </c>
      <c r="G3220">
        <v>12.97</v>
      </c>
      <c r="H3220">
        <v>40524</v>
      </c>
      <c r="I3220">
        <v>1033</v>
      </c>
      <c r="J3220">
        <v>-0.22</v>
      </c>
      <c r="K3220">
        <v>2.0299999999999998</v>
      </c>
      <c r="L3220">
        <v>13.27</v>
      </c>
      <c r="M3220">
        <v>13.38</v>
      </c>
      <c r="N3220">
        <v>12.91</v>
      </c>
      <c r="O3220">
        <v>13.26</v>
      </c>
      <c r="P3220">
        <v>75.930000000000007</v>
      </c>
      <c r="Q3220">
        <v>53313596</v>
      </c>
      <c r="R3220">
        <v>1</v>
      </c>
      <c r="S3220" t="s">
        <v>345</v>
      </c>
      <c r="T3220" t="s">
        <v>1653</v>
      </c>
      <c r="U3220">
        <v>3.54</v>
      </c>
      <c r="V3220">
        <v>13.16</v>
      </c>
      <c r="W3220">
        <v>26154</v>
      </c>
      <c r="X3220">
        <v>14371</v>
      </c>
      <c r="Y3220">
        <v>1.82</v>
      </c>
      <c r="Z3220">
        <v>134</v>
      </c>
      <c r="AA3220">
        <v>49</v>
      </c>
      <c r="AB3220" t="s">
        <v>116</v>
      </c>
      <c r="AC3220">
        <v>61000</v>
      </c>
      <c r="AD3220">
        <v>0.01</v>
      </c>
      <c r="AE3220" t="s">
        <v>116</v>
      </c>
      <c r="AF3220" t="s">
        <v>116</v>
      </c>
      <c r="AG3220">
        <v>2</v>
      </c>
      <c r="AH3220" t="s">
        <v>6902</v>
      </c>
      <c r="AI3220" t="s">
        <v>6902</v>
      </c>
      <c r="AJ3220">
        <v>-2.19</v>
      </c>
      <c r="AK3220">
        <v>1719</v>
      </c>
      <c r="AL3220">
        <v>24</v>
      </c>
      <c r="AM3220">
        <v>1.1999999999999999E-3</v>
      </c>
      <c r="AN3220">
        <v>-1</v>
      </c>
      <c r="AO3220">
        <v>-1.21</v>
      </c>
      <c r="AP3220">
        <v>-7.16</v>
      </c>
      <c r="AQ3220">
        <v>53.01</v>
      </c>
      <c r="AR3220">
        <v>91.91</v>
      </c>
      <c r="AS3220">
        <v>5.84</v>
      </c>
      <c r="AT3220" t="s">
        <v>13906</v>
      </c>
      <c r="AU3220">
        <v>103.38</v>
      </c>
      <c r="AV3220">
        <v>82.78</v>
      </c>
      <c r="AW3220">
        <v>0.4</v>
      </c>
      <c r="BA3220">
        <v>0.08</v>
      </c>
      <c r="BB3220">
        <v>0.9</v>
      </c>
      <c r="BC3220">
        <v>-2.64</v>
      </c>
      <c r="BD3220">
        <v>-0.78</v>
      </c>
      <c r="BE3220">
        <v>-2.34</v>
      </c>
      <c r="BF3220">
        <v>-3.14</v>
      </c>
      <c r="BG3220">
        <v>0.39</v>
      </c>
      <c r="BH3220">
        <v>-1.48</v>
      </c>
      <c r="BI3220">
        <v>20191030</v>
      </c>
      <c r="BJ3220">
        <v>20150518</v>
      </c>
      <c r="BK3220">
        <v>2</v>
      </c>
      <c r="BL3220" t="s">
        <v>116</v>
      </c>
      <c r="BM3220" t="s">
        <v>116</v>
      </c>
      <c r="BN3220">
        <v>8.35</v>
      </c>
      <c r="BO3220">
        <v>6.34</v>
      </c>
      <c r="BP3220">
        <v>0</v>
      </c>
      <c r="BQ3220">
        <v>24.05</v>
      </c>
      <c r="BR3220">
        <v>4.18</v>
      </c>
      <c r="BS3220">
        <v>1.98</v>
      </c>
      <c r="BT3220">
        <v>0.99</v>
      </c>
      <c r="BU3220">
        <v>1.81</v>
      </c>
      <c r="BV3220">
        <v>0.97</v>
      </c>
      <c r="BW3220">
        <v>1.57</v>
      </c>
      <c r="BX3220">
        <v>1.35</v>
      </c>
      <c r="BY3220">
        <v>4.9800000000000004</v>
      </c>
      <c r="BZ3220">
        <v>3.99</v>
      </c>
      <c r="CA3220">
        <v>0.28999999999999998</v>
      </c>
      <c r="CB3220">
        <v>0</v>
      </c>
      <c r="CC3220">
        <v>0.28999999999999998</v>
      </c>
      <c r="CD3220">
        <v>0.26</v>
      </c>
      <c r="CE3220">
        <v>0.26</v>
      </c>
      <c r="CF3220">
        <v>0.22</v>
      </c>
      <c r="CG3220">
        <v>2.77</v>
      </c>
      <c r="CH3220">
        <v>0.64</v>
      </c>
      <c r="CI3220">
        <v>-0.76</v>
      </c>
      <c r="CJ3220">
        <v>16168</v>
      </c>
      <c r="CK3220">
        <v>4292</v>
      </c>
      <c r="CL3220" t="s">
        <v>742</v>
      </c>
      <c r="CM3220">
        <v>-19.600000000000001</v>
      </c>
      <c r="CN3220">
        <v>1.61</v>
      </c>
      <c r="CO3220">
        <v>4.09</v>
      </c>
      <c r="CP3220">
        <v>40.43</v>
      </c>
      <c r="CQ3220">
        <v>5.2</v>
      </c>
      <c r="CR3220">
        <v>0.36</v>
      </c>
      <c r="CS3220" t="s">
        <v>5140</v>
      </c>
      <c r="CT3220">
        <v>3.17</v>
      </c>
      <c r="CU3220">
        <v>0</v>
      </c>
      <c r="CV3220">
        <v>0.67</v>
      </c>
      <c r="CW3220">
        <v>1.38</v>
      </c>
      <c r="CX3220">
        <v>0.32</v>
      </c>
      <c r="CY3220">
        <v>75.95</v>
      </c>
      <c r="CZ3220" t="s">
        <v>6625</v>
      </c>
      <c r="DA3220">
        <v>20.010000000000002</v>
      </c>
      <c r="DB3220">
        <v>5.78</v>
      </c>
      <c r="DC3220">
        <v>5.14</v>
      </c>
      <c r="DD3220">
        <v>0.08</v>
      </c>
      <c r="DE3220">
        <v>1118</v>
      </c>
      <c r="DF3220">
        <v>603022</v>
      </c>
      <c r="DG3220" t="s">
        <v>116</v>
      </c>
      <c r="DH3220" t="s">
        <v>116</v>
      </c>
      <c r="DI3220" t="s">
        <v>116</v>
      </c>
    </row>
    <row r="3221" spans="1:113" x14ac:dyDescent="0.4">
      <c r="A3221" t="str">
        <f>"603023"</f>
        <v>603023</v>
      </c>
      <c r="B3221" t="s">
        <v>13907</v>
      </c>
      <c r="C3221">
        <v>-0.81</v>
      </c>
      <c r="D3221">
        <v>4.92</v>
      </c>
      <c r="E3221">
        <v>-0.04</v>
      </c>
      <c r="F3221">
        <v>4.91</v>
      </c>
      <c r="G3221">
        <v>4.92</v>
      </c>
      <c r="H3221">
        <v>126417</v>
      </c>
      <c r="I3221">
        <v>3772</v>
      </c>
      <c r="J3221">
        <v>-0.19</v>
      </c>
      <c r="K3221">
        <v>2.84</v>
      </c>
      <c r="L3221">
        <v>4.95</v>
      </c>
      <c r="M3221">
        <v>5.01</v>
      </c>
      <c r="N3221">
        <v>4.88</v>
      </c>
      <c r="O3221">
        <v>4.96</v>
      </c>
      <c r="P3221">
        <v>81.3</v>
      </c>
      <c r="Q3221">
        <v>62501616</v>
      </c>
      <c r="R3221">
        <v>0.57999999999999996</v>
      </c>
      <c r="S3221" t="s">
        <v>293</v>
      </c>
      <c r="T3221" t="s">
        <v>1287</v>
      </c>
      <c r="U3221">
        <v>2.62</v>
      </c>
      <c r="V3221">
        <v>4.9400000000000004</v>
      </c>
      <c r="W3221">
        <v>72267</v>
      </c>
      <c r="X3221">
        <v>54150</v>
      </c>
      <c r="Y3221">
        <v>1.33</v>
      </c>
      <c r="Z3221">
        <v>616</v>
      </c>
      <c r="AA3221">
        <v>79</v>
      </c>
      <c r="AB3221" t="s">
        <v>116</v>
      </c>
      <c r="AC3221">
        <v>324200</v>
      </c>
      <c r="AD3221">
        <v>0.04</v>
      </c>
      <c r="AE3221" t="s">
        <v>116</v>
      </c>
      <c r="AF3221" t="s">
        <v>116</v>
      </c>
      <c r="AG3221">
        <v>4.46</v>
      </c>
      <c r="AH3221" t="s">
        <v>2282</v>
      </c>
      <c r="AI3221" t="s">
        <v>2282</v>
      </c>
      <c r="AJ3221">
        <v>-0.73</v>
      </c>
      <c r="AK3221">
        <v>1886</v>
      </c>
      <c r="AL3221">
        <v>67</v>
      </c>
      <c r="AM3221">
        <v>1.5E-3</v>
      </c>
      <c r="AN3221">
        <v>-2</v>
      </c>
      <c r="AO3221">
        <v>-1.41</v>
      </c>
      <c r="AP3221">
        <v>18.55</v>
      </c>
      <c r="AQ3221">
        <v>1.86</v>
      </c>
      <c r="AR3221">
        <v>29.47</v>
      </c>
      <c r="AS3221">
        <v>6.96</v>
      </c>
      <c r="AT3221" t="s">
        <v>9347</v>
      </c>
      <c r="AU3221">
        <v>44.56</v>
      </c>
      <c r="AV3221">
        <v>33.64</v>
      </c>
      <c r="AW3221">
        <v>1.61</v>
      </c>
      <c r="BA3221">
        <v>-0.2</v>
      </c>
      <c r="BB3221">
        <v>1.01</v>
      </c>
      <c r="BC3221">
        <v>-1.61</v>
      </c>
      <c r="BD3221">
        <v>-0.32</v>
      </c>
      <c r="BE3221">
        <v>-0.61</v>
      </c>
      <c r="BF3221">
        <v>-1.8</v>
      </c>
      <c r="BG3221">
        <v>0.82</v>
      </c>
      <c r="BH3221">
        <v>-0.49</v>
      </c>
      <c r="BI3221">
        <v>20191029</v>
      </c>
      <c r="BJ3221">
        <v>20150527</v>
      </c>
      <c r="BK3221">
        <v>4.46</v>
      </c>
      <c r="BL3221" t="s">
        <v>116</v>
      </c>
      <c r="BM3221" t="s">
        <v>116</v>
      </c>
      <c r="BN3221">
        <v>8.16</v>
      </c>
      <c r="BO3221">
        <v>7.01</v>
      </c>
      <c r="BP3221">
        <v>0</v>
      </c>
      <c r="BQ3221">
        <v>14.16</v>
      </c>
      <c r="BR3221">
        <v>6.75</v>
      </c>
      <c r="BS3221">
        <v>0.8</v>
      </c>
      <c r="BT3221">
        <v>0.1</v>
      </c>
      <c r="BU3221">
        <v>0.34</v>
      </c>
      <c r="BV3221">
        <v>1.05</v>
      </c>
      <c r="BW3221">
        <v>0.72</v>
      </c>
      <c r="BX3221">
        <v>0.79</v>
      </c>
      <c r="BY3221">
        <v>0.98</v>
      </c>
      <c r="BZ3221">
        <v>0.51</v>
      </c>
      <c r="CA3221">
        <v>0.24</v>
      </c>
      <c r="CB3221">
        <v>0.04</v>
      </c>
      <c r="CC3221">
        <v>0.24</v>
      </c>
      <c r="CD3221">
        <v>0.2</v>
      </c>
      <c r="CE3221">
        <v>0.2</v>
      </c>
      <c r="CF3221">
        <v>0.12</v>
      </c>
      <c r="CG3221">
        <v>0.76</v>
      </c>
      <c r="CH3221">
        <v>0.1</v>
      </c>
      <c r="CI3221">
        <v>-1.88</v>
      </c>
      <c r="CJ3221">
        <v>22257</v>
      </c>
      <c r="CK3221">
        <v>8163</v>
      </c>
      <c r="CL3221" t="s">
        <v>7993</v>
      </c>
      <c r="CM3221">
        <v>-44.13</v>
      </c>
      <c r="CN3221">
        <v>-15.5</v>
      </c>
      <c r="CO3221">
        <v>3.32</v>
      </c>
      <c r="CP3221">
        <v>215.27</v>
      </c>
      <c r="CQ3221">
        <v>22.3</v>
      </c>
      <c r="CR3221">
        <v>1.64</v>
      </c>
      <c r="CS3221" t="s">
        <v>2428</v>
      </c>
      <c r="CT3221">
        <v>1.48</v>
      </c>
      <c r="CU3221">
        <v>1.48</v>
      </c>
      <c r="CV3221">
        <v>0.18</v>
      </c>
      <c r="CW3221">
        <v>0.17</v>
      </c>
      <c r="CX3221">
        <v>0.02</v>
      </c>
      <c r="CY3221">
        <v>85.84</v>
      </c>
      <c r="CZ3221" t="s">
        <v>5949</v>
      </c>
      <c r="DA3221">
        <v>48.12</v>
      </c>
      <c r="DB3221">
        <v>24.1</v>
      </c>
      <c r="DC3221">
        <v>20.58</v>
      </c>
      <c r="DD3221">
        <v>0.11</v>
      </c>
      <c r="DE3221">
        <v>281</v>
      </c>
      <c r="DF3221">
        <v>603023</v>
      </c>
      <c r="DG3221" t="s">
        <v>116</v>
      </c>
      <c r="DH3221" t="s">
        <v>116</v>
      </c>
      <c r="DI3221" t="s">
        <v>116</v>
      </c>
    </row>
    <row r="3222" spans="1:113" x14ac:dyDescent="0.4">
      <c r="A3222" t="str">
        <f>"603025"</f>
        <v>603025</v>
      </c>
      <c r="B3222" t="s">
        <v>13908</v>
      </c>
      <c r="C3222">
        <v>-1.73</v>
      </c>
      <c r="D3222">
        <v>9.09</v>
      </c>
      <c r="E3222">
        <v>-0.16</v>
      </c>
      <c r="F3222">
        <v>9.08</v>
      </c>
      <c r="G3222">
        <v>9.09</v>
      </c>
      <c r="H3222">
        <v>74871</v>
      </c>
      <c r="I3222">
        <v>658</v>
      </c>
      <c r="J3222">
        <v>0.22</v>
      </c>
      <c r="K3222">
        <v>0.82</v>
      </c>
      <c r="L3222">
        <v>9.26</v>
      </c>
      <c r="M3222">
        <v>9.2799999999999994</v>
      </c>
      <c r="N3222">
        <v>8.98</v>
      </c>
      <c r="O3222">
        <v>9.25</v>
      </c>
      <c r="P3222">
        <v>30.27</v>
      </c>
      <c r="Q3222">
        <v>68300224</v>
      </c>
      <c r="R3222">
        <v>1.31</v>
      </c>
      <c r="S3222" t="s">
        <v>241</v>
      </c>
      <c r="T3222" t="s">
        <v>165</v>
      </c>
      <c r="U3222">
        <v>3.24</v>
      </c>
      <c r="V3222">
        <v>9.1199999999999992</v>
      </c>
      <c r="W3222">
        <v>44679</v>
      </c>
      <c r="X3222">
        <v>30192</v>
      </c>
      <c r="Y3222">
        <v>1.48</v>
      </c>
      <c r="Z3222">
        <v>284</v>
      </c>
      <c r="AA3222">
        <v>136</v>
      </c>
      <c r="AB3222" t="s">
        <v>116</v>
      </c>
      <c r="AC3222">
        <v>225000</v>
      </c>
      <c r="AD3222">
        <v>0.01</v>
      </c>
      <c r="AE3222" t="s">
        <v>116</v>
      </c>
      <c r="AF3222" t="s">
        <v>116</v>
      </c>
      <c r="AG3222">
        <v>9.16</v>
      </c>
      <c r="AH3222" t="s">
        <v>13909</v>
      </c>
      <c r="AI3222" t="s">
        <v>4533</v>
      </c>
      <c r="AJ3222">
        <v>-1.65</v>
      </c>
      <c r="AK3222">
        <v>1786</v>
      </c>
      <c r="AL3222">
        <v>42</v>
      </c>
      <c r="AM3222">
        <v>5.0000000000000001E-4</v>
      </c>
      <c r="AN3222">
        <v>-1</v>
      </c>
      <c r="AO3222">
        <v>2.37</v>
      </c>
      <c r="AP3222">
        <v>3.89</v>
      </c>
      <c r="AQ3222">
        <v>-0.22</v>
      </c>
      <c r="AR3222">
        <v>-16.22</v>
      </c>
      <c r="AS3222">
        <v>4.54</v>
      </c>
      <c r="AT3222" t="s">
        <v>6369</v>
      </c>
      <c r="AU3222">
        <v>33.36</v>
      </c>
      <c r="AV3222">
        <v>22.78</v>
      </c>
      <c r="AW3222">
        <v>1.06</v>
      </c>
      <c r="BA3222">
        <v>0.11</v>
      </c>
      <c r="BB3222">
        <v>0.32</v>
      </c>
      <c r="BC3222">
        <v>-2.92</v>
      </c>
      <c r="BD3222">
        <v>-1.38</v>
      </c>
      <c r="BE3222">
        <v>-1.84</v>
      </c>
      <c r="BF3222">
        <v>-2.0499999999999998</v>
      </c>
      <c r="BG3222">
        <v>1.22</v>
      </c>
      <c r="BH3222">
        <v>-0.35</v>
      </c>
      <c r="BI3222">
        <v>20191106</v>
      </c>
      <c r="BJ3222">
        <v>20150422</v>
      </c>
      <c r="BK3222">
        <v>9.26</v>
      </c>
      <c r="BL3222" t="s">
        <v>116</v>
      </c>
      <c r="BM3222" t="s">
        <v>116</v>
      </c>
      <c r="BN3222">
        <v>19.16</v>
      </c>
      <c r="BO3222">
        <v>17.510000000000002</v>
      </c>
      <c r="BP3222">
        <v>0.17</v>
      </c>
      <c r="BQ3222">
        <v>7.75</v>
      </c>
      <c r="BR3222">
        <v>13.93</v>
      </c>
      <c r="BS3222">
        <v>1.19</v>
      </c>
      <c r="BT3222">
        <v>7.0000000000000007E-2</v>
      </c>
      <c r="BU3222">
        <v>1.47</v>
      </c>
      <c r="BV3222">
        <v>2.29</v>
      </c>
      <c r="BW3222">
        <v>1.96</v>
      </c>
      <c r="BX3222">
        <v>1.86</v>
      </c>
      <c r="BY3222">
        <v>7.41</v>
      </c>
      <c r="BZ3222">
        <v>3.95</v>
      </c>
      <c r="CA3222">
        <v>2.36</v>
      </c>
      <c r="CB3222">
        <v>0.19</v>
      </c>
      <c r="CC3222">
        <v>2.46</v>
      </c>
      <c r="CD3222">
        <v>2.09</v>
      </c>
      <c r="CE3222">
        <v>2.09</v>
      </c>
      <c r="CF3222">
        <v>1.81</v>
      </c>
      <c r="CG3222">
        <v>4.4800000000000004</v>
      </c>
      <c r="CH3222">
        <v>2.35</v>
      </c>
      <c r="CI3222">
        <v>-0.54</v>
      </c>
      <c r="CJ3222">
        <v>20060</v>
      </c>
      <c r="CK3222">
        <v>8227</v>
      </c>
      <c r="CL3222" t="s">
        <v>2967</v>
      </c>
      <c r="CM3222">
        <v>-35.97</v>
      </c>
      <c r="CN3222">
        <v>-14.89</v>
      </c>
      <c r="CO3222">
        <v>4.79</v>
      </c>
      <c r="CP3222">
        <v>35.81</v>
      </c>
      <c r="CQ3222">
        <v>11.36</v>
      </c>
      <c r="CR3222">
        <v>3.29</v>
      </c>
      <c r="CS3222" t="s">
        <v>3753</v>
      </c>
      <c r="CT3222">
        <v>1.9</v>
      </c>
      <c r="CU3222">
        <v>1.9</v>
      </c>
      <c r="CV3222">
        <v>0.2</v>
      </c>
      <c r="CW3222">
        <v>0.48</v>
      </c>
      <c r="CX3222">
        <v>0.25</v>
      </c>
      <c r="CY3222">
        <v>91.38</v>
      </c>
      <c r="CZ3222" t="s">
        <v>13600</v>
      </c>
      <c r="DA3222">
        <v>46.73</v>
      </c>
      <c r="DB3222">
        <v>31.89</v>
      </c>
      <c r="DC3222">
        <v>28.15</v>
      </c>
      <c r="DD3222">
        <v>0.83</v>
      </c>
      <c r="DE3222">
        <v>818</v>
      </c>
      <c r="DF3222">
        <v>603025</v>
      </c>
      <c r="DG3222" t="s">
        <v>116</v>
      </c>
      <c r="DH3222" t="s">
        <v>116</v>
      </c>
      <c r="DI3222" t="s">
        <v>116</v>
      </c>
    </row>
    <row r="3223" spans="1:113" x14ac:dyDescent="0.4">
      <c r="A3223" t="str">
        <f>"603026"</f>
        <v>603026</v>
      </c>
      <c r="B3223" t="s">
        <v>13910</v>
      </c>
      <c r="C3223">
        <v>-2.71</v>
      </c>
      <c r="D3223">
        <v>35.85</v>
      </c>
      <c r="E3223">
        <v>-1</v>
      </c>
      <c r="F3223">
        <v>35.840000000000003</v>
      </c>
      <c r="G3223">
        <v>35.85</v>
      </c>
      <c r="H3223">
        <v>147393</v>
      </c>
      <c r="I3223">
        <v>1590</v>
      </c>
      <c r="J3223">
        <v>0.84</v>
      </c>
      <c r="K3223">
        <v>7.27</v>
      </c>
      <c r="L3223">
        <v>37.1</v>
      </c>
      <c r="M3223">
        <v>37.5</v>
      </c>
      <c r="N3223">
        <v>35.11</v>
      </c>
      <c r="O3223">
        <v>36.85</v>
      </c>
      <c r="P3223">
        <v>18</v>
      </c>
      <c r="Q3223">
        <v>538364224</v>
      </c>
      <c r="R3223">
        <v>1.43</v>
      </c>
      <c r="S3223" t="s">
        <v>891</v>
      </c>
      <c r="T3223" t="s">
        <v>645</v>
      </c>
      <c r="U3223">
        <v>6.49</v>
      </c>
      <c r="V3223">
        <v>36.53</v>
      </c>
      <c r="W3223">
        <v>80127</v>
      </c>
      <c r="X3223">
        <v>67267</v>
      </c>
      <c r="Y3223">
        <v>1.19</v>
      </c>
      <c r="Z3223">
        <v>170</v>
      </c>
      <c r="AA3223">
        <v>4</v>
      </c>
      <c r="AB3223" t="s">
        <v>116</v>
      </c>
      <c r="AC3223">
        <v>2111000</v>
      </c>
      <c r="AD3223">
        <v>0.04</v>
      </c>
      <c r="AE3223" t="s">
        <v>116</v>
      </c>
      <c r="AF3223" t="s">
        <v>116</v>
      </c>
      <c r="AG3223">
        <v>2.0299999999999998</v>
      </c>
      <c r="AH3223" t="s">
        <v>4904</v>
      </c>
      <c r="AI3223" t="s">
        <v>4904</v>
      </c>
      <c r="AJ3223">
        <v>-2.64</v>
      </c>
      <c r="AK3223">
        <v>3464</v>
      </c>
      <c r="AL3223">
        <v>43</v>
      </c>
      <c r="AM3223">
        <v>2.0999999999999999E-3</v>
      </c>
      <c r="AN3223">
        <v>-1</v>
      </c>
      <c r="AO3223">
        <v>-3.36</v>
      </c>
      <c r="AP3223">
        <v>1.1299999999999999</v>
      </c>
      <c r="AQ3223">
        <v>-0.06</v>
      </c>
      <c r="AR3223">
        <v>91.71</v>
      </c>
      <c r="AS3223">
        <v>11.48</v>
      </c>
      <c r="AT3223" t="s">
        <v>7293</v>
      </c>
      <c r="AU3223">
        <v>21.48</v>
      </c>
      <c r="AV3223">
        <v>35.380000000000003</v>
      </c>
      <c r="AW3223">
        <v>1.01</v>
      </c>
      <c r="BA3223">
        <v>0.68</v>
      </c>
      <c r="BB3223">
        <v>1.76</v>
      </c>
      <c r="BC3223">
        <v>-4.72</v>
      </c>
      <c r="BD3223">
        <v>-0.88</v>
      </c>
      <c r="BE3223">
        <v>-3.37</v>
      </c>
      <c r="BF3223">
        <v>-4.4000000000000004</v>
      </c>
      <c r="BG3223">
        <v>2.11</v>
      </c>
      <c r="BH3223">
        <v>-1.83</v>
      </c>
      <c r="BI3223">
        <v>20191018</v>
      </c>
      <c r="BJ3223">
        <v>20150529</v>
      </c>
      <c r="BK3223">
        <v>2.0299999999999998</v>
      </c>
      <c r="BL3223" t="s">
        <v>116</v>
      </c>
      <c r="BM3223" t="s">
        <v>116</v>
      </c>
      <c r="BN3223">
        <v>27.48</v>
      </c>
      <c r="BO3223">
        <v>18.05</v>
      </c>
      <c r="BP3223">
        <v>1.0900000000000001</v>
      </c>
      <c r="BQ3223">
        <v>30.39</v>
      </c>
      <c r="BR3223">
        <v>13.52</v>
      </c>
      <c r="BS3223">
        <v>10.61</v>
      </c>
      <c r="BT3223">
        <v>0.75</v>
      </c>
      <c r="BU3223">
        <v>7.49</v>
      </c>
      <c r="BV3223">
        <v>3.19</v>
      </c>
      <c r="BW3223">
        <v>3.05</v>
      </c>
      <c r="BX3223">
        <v>4.18</v>
      </c>
      <c r="BY3223">
        <v>35.44</v>
      </c>
      <c r="BZ3223">
        <v>29.16</v>
      </c>
      <c r="CA3223">
        <v>3.58</v>
      </c>
      <c r="CB3223">
        <v>0.22</v>
      </c>
      <c r="CC3223">
        <v>3.56</v>
      </c>
      <c r="CD3223">
        <v>3.23</v>
      </c>
      <c r="CE3223">
        <v>3.03</v>
      </c>
      <c r="CF3223">
        <v>3.01</v>
      </c>
      <c r="CG3223">
        <v>9.81</v>
      </c>
      <c r="CH3223">
        <v>2.48</v>
      </c>
      <c r="CI3223">
        <v>0.41</v>
      </c>
      <c r="CJ3223">
        <v>25560</v>
      </c>
      <c r="CK3223">
        <v>5025</v>
      </c>
      <c r="CL3223" t="s">
        <v>13911</v>
      </c>
      <c r="CM3223">
        <v>78.2</v>
      </c>
      <c r="CN3223">
        <v>-7.68</v>
      </c>
      <c r="CO3223">
        <v>4.03</v>
      </c>
      <c r="CP3223">
        <v>29.34</v>
      </c>
      <c r="CQ3223">
        <v>2.0499999999999998</v>
      </c>
      <c r="CR3223">
        <v>1.67</v>
      </c>
      <c r="CS3223" t="s">
        <v>13912</v>
      </c>
      <c r="CT3223">
        <v>8.9</v>
      </c>
      <c r="CU3223">
        <v>0</v>
      </c>
      <c r="CV3223">
        <v>2.06</v>
      </c>
      <c r="CW3223">
        <v>4.84</v>
      </c>
      <c r="CX3223">
        <v>1.22</v>
      </c>
      <c r="CY3223">
        <v>65.66</v>
      </c>
      <c r="CZ3223" t="s">
        <v>13913</v>
      </c>
      <c r="DA3223">
        <v>17.71</v>
      </c>
      <c r="DB3223">
        <v>10.1</v>
      </c>
      <c r="DC3223">
        <v>8.5399999999999991</v>
      </c>
      <c r="DD3223">
        <v>1.0900000000000001</v>
      </c>
      <c r="DE3223">
        <v>1294</v>
      </c>
      <c r="DF3223">
        <v>603026</v>
      </c>
      <c r="DG3223" t="s">
        <v>116</v>
      </c>
      <c r="DH3223" t="s">
        <v>116</v>
      </c>
      <c r="DI3223" t="s">
        <v>116</v>
      </c>
    </row>
    <row r="3224" spans="1:113" x14ac:dyDescent="0.4">
      <c r="A3224" t="str">
        <f>"603027"</f>
        <v>603027</v>
      </c>
      <c r="B3224" t="s">
        <v>13914</v>
      </c>
      <c r="C3224">
        <v>0.24</v>
      </c>
      <c r="D3224">
        <v>21.21</v>
      </c>
      <c r="E3224">
        <v>0.05</v>
      </c>
      <c r="F3224">
        <v>21.21</v>
      </c>
      <c r="G3224">
        <v>21.22</v>
      </c>
      <c r="H3224">
        <v>41543</v>
      </c>
      <c r="I3224">
        <v>629</v>
      </c>
      <c r="J3224">
        <v>0.05</v>
      </c>
      <c r="K3224">
        <v>0.9</v>
      </c>
      <c r="L3224">
        <v>21.19</v>
      </c>
      <c r="M3224">
        <v>21.46</v>
      </c>
      <c r="N3224">
        <v>20.99</v>
      </c>
      <c r="O3224">
        <v>21.16</v>
      </c>
      <c r="P3224">
        <v>54.17</v>
      </c>
      <c r="Q3224">
        <v>88578024</v>
      </c>
      <c r="R3224">
        <v>1.28</v>
      </c>
      <c r="S3224" t="s">
        <v>863</v>
      </c>
      <c r="T3224" t="s">
        <v>582</v>
      </c>
      <c r="U3224">
        <v>2.2200000000000002</v>
      </c>
      <c r="V3224">
        <v>21.32</v>
      </c>
      <c r="W3224">
        <v>20599</v>
      </c>
      <c r="X3224">
        <v>20944</v>
      </c>
      <c r="Y3224">
        <v>0.98</v>
      </c>
      <c r="Z3224">
        <v>245</v>
      </c>
      <c r="AA3224">
        <v>52</v>
      </c>
      <c r="AB3224" t="s">
        <v>116</v>
      </c>
      <c r="AC3224">
        <v>76300</v>
      </c>
      <c r="AD3224">
        <v>0</v>
      </c>
      <c r="AE3224" t="s">
        <v>116</v>
      </c>
      <c r="AF3224" t="s">
        <v>116</v>
      </c>
      <c r="AG3224">
        <v>4.5999999999999996</v>
      </c>
      <c r="AH3224" t="s">
        <v>12373</v>
      </c>
      <c r="AI3224" t="s">
        <v>13915</v>
      </c>
      <c r="AJ3224">
        <v>0.31</v>
      </c>
      <c r="AK3224">
        <v>1999</v>
      </c>
      <c r="AL3224">
        <v>21</v>
      </c>
      <c r="AM3224">
        <v>5.0000000000000001E-4</v>
      </c>
      <c r="AN3224">
        <v>2</v>
      </c>
      <c r="AO3224">
        <v>0.28000000000000003</v>
      </c>
      <c r="AP3224">
        <v>0.14000000000000001</v>
      </c>
      <c r="AQ3224">
        <v>-2.48</v>
      </c>
      <c r="AR3224">
        <v>95.88</v>
      </c>
      <c r="AS3224">
        <v>2.15</v>
      </c>
      <c r="AT3224" t="s">
        <v>10702</v>
      </c>
      <c r="AU3224">
        <v>48.69</v>
      </c>
      <c r="AV3224">
        <v>41.15</v>
      </c>
      <c r="AW3224">
        <v>1.25</v>
      </c>
      <c r="BA3224">
        <v>0.14000000000000001</v>
      </c>
      <c r="BB3224">
        <v>1.42</v>
      </c>
      <c r="BC3224">
        <v>-0.8</v>
      </c>
      <c r="BD3224">
        <v>0.76</v>
      </c>
      <c r="BE3224">
        <v>0.09</v>
      </c>
      <c r="BF3224">
        <v>-1.1599999999999999</v>
      </c>
      <c r="BG3224">
        <v>1.05</v>
      </c>
      <c r="BH3224">
        <v>-0.53</v>
      </c>
      <c r="BI3224">
        <v>20191220</v>
      </c>
      <c r="BJ3224">
        <v>20160307</v>
      </c>
      <c r="BK3224">
        <v>4.66</v>
      </c>
      <c r="BL3224" t="s">
        <v>116</v>
      </c>
      <c r="BM3224" t="s">
        <v>116</v>
      </c>
      <c r="BN3224">
        <v>19.61</v>
      </c>
      <c r="BO3224">
        <v>15.16</v>
      </c>
      <c r="BP3224">
        <v>0</v>
      </c>
      <c r="BQ3224">
        <v>22.71</v>
      </c>
      <c r="BR3224">
        <v>9.34</v>
      </c>
      <c r="BS3224">
        <v>6.99</v>
      </c>
      <c r="BT3224">
        <v>1.2</v>
      </c>
      <c r="BU3224">
        <v>2.68</v>
      </c>
      <c r="BV3224">
        <v>3.04</v>
      </c>
      <c r="BW3224">
        <v>1.05</v>
      </c>
      <c r="BX3224">
        <v>3.42</v>
      </c>
      <c r="BY3224">
        <v>9.3000000000000007</v>
      </c>
      <c r="BZ3224">
        <v>4.97</v>
      </c>
      <c r="CA3224">
        <v>1.61</v>
      </c>
      <c r="CB3224">
        <v>0.05</v>
      </c>
      <c r="CC3224">
        <v>1.61</v>
      </c>
      <c r="CD3224">
        <v>1.37</v>
      </c>
      <c r="CE3224">
        <v>1.37</v>
      </c>
      <c r="CF3224">
        <v>1.28</v>
      </c>
      <c r="CG3224">
        <v>6.42</v>
      </c>
      <c r="CH3224">
        <v>1.73</v>
      </c>
      <c r="CI3224">
        <v>-0.67</v>
      </c>
      <c r="CJ3224">
        <v>30316</v>
      </c>
      <c r="CK3224">
        <v>6370</v>
      </c>
      <c r="CL3224" t="s">
        <v>13916</v>
      </c>
      <c r="CM3224">
        <v>-21.36</v>
      </c>
      <c r="CN3224">
        <v>24.62</v>
      </c>
      <c r="CO3224">
        <v>6.68</v>
      </c>
      <c r="CP3224">
        <v>56.98</v>
      </c>
      <c r="CQ3224">
        <v>10.63</v>
      </c>
      <c r="CR3224">
        <v>0.73</v>
      </c>
      <c r="CS3224" t="s">
        <v>7206</v>
      </c>
      <c r="CT3224">
        <v>3.17</v>
      </c>
      <c r="CU3224">
        <v>3.17</v>
      </c>
      <c r="CV3224">
        <v>0.73</v>
      </c>
      <c r="CW3224">
        <v>1.38</v>
      </c>
      <c r="CX3224">
        <v>0.37</v>
      </c>
      <c r="CY3224">
        <v>77.290000000000006</v>
      </c>
      <c r="CZ3224" t="s">
        <v>11763</v>
      </c>
      <c r="DA3224">
        <v>46.53</v>
      </c>
      <c r="DB3224">
        <v>17.34</v>
      </c>
      <c r="DC3224">
        <v>14.71</v>
      </c>
      <c r="DD3224">
        <v>0.25</v>
      </c>
      <c r="DE3224">
        <v>2091</v>
      </c>
      <c r="DF3224">
        <v>603027</v>
      </c>
      <c r="DG3224" t="s">
        <v>116</v>
      </c>
      <c r="DH3224" t="s">
        <v>116</v>
      </c>
      <c r="DI3224" t="s">
        <v>116</v>
      </c>
    </row>
    <row r="3225" spans="1:113" x14ac:dyDescent="0.4">
      <c r="A3225" t="str">
        <f>"603028"</f>
        <v>603028</v>
      </c>
      <c r="B3225" t="s">
        <v>13917</v>
      </c>
      <c r="C3225">
        <v>-3.15</v>
      </c>
      <c r="D3225">
        <v>11.99</v>
      </c>
      <c r="E3225">
        <v>-0.39</v>
      </c>
      <c r="F3225">
        <v>11.98</v>
      </c>
      <c r="G3225">
        <v>11.99</v>
      </c>
      <c r="H3225">
        <v>24857</v>
      </c>
      <c r="I3225">
        <v>382</v>
      </c>
      <c r="J3225">
        <v>-7.0000000000000007E-2</v>
      </c>
      <c r="K3225">
        <v>1.1299999999999999</v>
      </c>
      <c r="L3225">
        <v>12.41</v>
      </c>
      <c r="M3225">
        <v>12.57</v>
      </c>
      <c r="N3225">
        <v>11.97</v>
      </c>
      <c r="O3225">
        <v>12.38</v>
      </c>
      <c r="P3225">
        <v>261.33999999999997</v>
      </c>
      <c r="Q3225">
        <v>30402638</v>
      </c>
      <c r="R3225">
        <v>0.86</v>
      </c>
      <c r="S3225" t="s">
        <v>2118</v>
      </c>
      <c r="T3225" t="s">
        <v>323</v>
      </c>
      <c r="U3225">
        <v>4.8499999999999996</v>
      </c>
      <c r="V3225">
        <v>12.23</v>
      </c>
      <c r="W3225">
        <v>16756</v>
      </c>
      <c r="X3225">
        <v>8101</v>
      </c>
      <c r="Y3225">
        <v>2.0699999999999998</v>
      </c>
      <c r="Z3225">
        <v>63</v>
      </c>
      <c r="AA3225">
        <v>23</v>
      </c>
      <c r="AB3225" t="s">
        <v>116</v>
      </c>
      <c r="AC3225">
        <v>136500</v>
      </c>
      <c r="AD3225">
        <v>0.01</v>
      </c>
      <c r="AE3225" t="s">
        <v>116</v>
      </c>
      <c r="AF3225" t="s">
        <v>116</v>
      </c>
      <c r="AG3225">
        <v>2.21</v>
      </c>
      <c r="AH3225" t="s">
        <v>10774</v>
      </c>
      <c r="AI3225" t="s">
        <v>10774</v>
      </c>
      <c r="AJ3225">
        <v>-3.07</v>
      </c>
      <c r="AK3225">
        <v>1256</v>
      </c>
      <c r="AL3225">
        <v>20</v>
      </c>
      <c r="AM3225">
        <v>8.9999999999999998E-4</v>
      </c>
      <c r="AN3225">
        <v>-1</v>
      </c>
      <c r="AO3225">
        <v>0.59</v>
      </c>
      <c r="AP3225">
        <v>14.63</v>
      </c>
      <c r="AQ3225">
        <v>9.6</v>
      </c>
      <c r="AR3225">
        <v>64.989999999999995</v>
      </c>
      <c r="AS3225">
        <v>2.5099999999999998</v>
      </c>
      <c r="AT3225" t="s">
        <v>9647</v>
      </c>
      <c r="AU3225">
        <v>213.44</v>
      </c>
      <c r="AV3225">
        <v>156.55000000000001</v>
      </c>
      <c r="AW3225">
        <v>0.92</v>
      </c>
      <c r="BA3225">
        <v>0.24</v>
      </c>
      <c r="BB3225">
        <v>1.53</v>
      </c>
      <c r="BC3225">
        <v>-3.31</v>
      </c>
      <c r="BD3225">
        <v>-1.2</v>
      </c>
      <c r="BE3225">
        <v>-3.38</v>
      </c>
      <c r="BF3225">
        <v>-4.6100000000000003</v>
      </c>
      <c r="BG3225">
        <v>0.17</v>
      </c>
      <c r="BH3225">
        <v>-1.95</v>
      </c>
      <c r="BI3225">
        <v>20191030</v>
      </c>
      <c r="BJ3225">
        <v>20160331</v>
      </c>
      <c r="BK3225">
        <v>2.21</v>
      </c>
      <c r="BL3225" t="s">
        <v>116</v>
      </c>
      <c r="BM3225" t="s">
        <v>116</v>
      </c>
      <c r="BN3225">
        <v>8.91</v>
      </c>
      <c r="BO3225">
        <v>7.03</v>
      </c>
      <c r="BP3225">
        <v>0</v>
      </c>
      <c r="BQ3225">
        <v>21.14</v>
      </c>
      <c r="BR3225">
        <v>4.5999999999999996</v>
      </c>
      <c r="BS3225">
        <v>3.7</v>
      </c>
      <c r="BT3225">
        <v>0.26</v>
      </c>
      <c r="BU3225">
        <v>1.82</v>
      </c>
      <c r="BV3225">
        <v>1.87</v>
      </c>
      <c r="BW3225">
        <v>1.1000000000000001</v>
      </c>
      <c r="BX3225">
        <v>1.91</v>
      </c>
      <c r="BY3225">
        <v>4.8499999999999996</v>
      </c>
      <c r="BZ3225">
        <v>4.01</v>
      </c>
      <c r="CA3225">
        <v>7.0000000000000007E-2</v>
      </c>
      <c r="CB3225">
        <v>0</v>
      </c>
      <c r="CC3225">
        <v>0.11</v>
      </c>
      <c r="CD3225">
        <v>0.08</v>
      </c>
      <c r="CE3225">
        <v>0.08</v>
      </c>
      <c r="CF3225">
        <v>0.04</v>
      </c>
      <c r="CG3225">
        <v>2.67</v>
      </c>
      <c r="CH3225">
        <v>0.75</v>
      </c>
      <c r="CI3225">
        <v>-0.15</v>
      </c>
      <c r="CJ3225">
        <v>16953</v>
      </c>
      <c r="CK3225">
        <v>5840</v>
      </c>
      <c r="CL3225" t="s">
        <v>2986</v>
      </c>
      <c r="CM3225">
        <v>-37.24</v>
      </c>
      <c r="CN3225">
        <v>0.47</v>
      </c>
      <c r="CO3225">
        <v>3.77</v>
      </c>
      <c r="CP3225">
        <v>35.270000000000003</v>
      </c>
      <c r="CQ3225">
        <v>5.46</v>
      </c>
      <c r="CR3225">
        <v>0.19</v>
      </c>
      <c r="CS3225" t="s">
        <v>2388</v>
      </c>
      <c r="CT3225">
        <v>3.18</v>
      </c>
      <c r="CU3225">
        <v>0</v>
      </c>
      <c r="CV3225">
        <v>0.86</v>
      </c>
      <c r="CW3225">
        <v>1.21</v>
      </c>
      <c r="CX3225">
        <v>0.34</v>
      </c>
      <c r="CY3225">
        <v>78.86</v>
      </c>
      <c r="CZ3225" t="s">
        <v>2196</v>
      </c>
      <c r="DA3225">
        <v>17.190000000000001</v>
      </c>
      <c r="DB3225">
        <v>1.38</v>
      </c>
      <c r="DC3225">
        <v>1.57</v>
      </c>
      <c r="DD3225">
        <v>0.15</v>
      </c>
      <c r="DE3225">
        <v>746</v>
      </c>
      <c r="DF3225">
        <v>603028</v>
      </c>
      <c r="DG3225" t="s">
        <v>116</v>
      </c>
      <c r="DH3225" t="s">
        <v>116</v>
      </c>
      <c r="DI3225" t="s">
        <v>116</v>
      </c>
    </row>
    <row r="3226" spans="1:113" x14ac:dyDescent="0.4">
      <c r="A3226" t="str">
        <f>"603029"</f>
        <v>603029</v>
      </c>
      <c r="B3226" t="s">
        <v>13918</v>
      </c>
      <c r="C3226">
        <v>0.21</v>
      </c>
      <c r="D3226">
        <v>14.55</v>
      </c>
      <c r="E3226">
        <v>0.03</v>
      </c>
      <c r="F3226">
        <v>14.55</v>
      </c>
      <c r="G3226">
        <v>14.58</v>
      </c>
      <c r="H3226">
        <v>3823</v>
      </c>
      <c r="I3226">
        <v>128</v>
      </c>
      <c r="J3226">
        <v>0</v>
      </c>
      <c r="K3226">
        <v>0.41</v>
      </c>
      <c r="L3226">
        <v>14.56</v>
      </c>
      <c r="M3226">
        <v>14.66</v>
      </c>
      <c r="N3226">
        <v>14.51</v>
      </c>
      <c r="O3226">
        <v>14.52</v>
      </c>
      <c r="P3226" t="s">
        <v>116</v>
      </c>
      <c r="Q3226">
        <v>5577804</v>
      </c>
      <c r="R3226">
        <v>1</v>
      </c>
      <c r="S3226" t="s">
        <v>2298</v>
      </c>
      <c r="T3226" t="s">
        <v>645</v>
      </c>
      <c r="U3226">
        <v>1.03</v>
      </c>
      <c r="V3226">
        <v>14.59</v>
      </c>
      <c r="W3226">
        <v>1771</v>
      </c>
      <c r="X3226">
        <v>2052</v>
      </c>
      <c r="Y3226">
        <v>0.86</v>
      </c>
      <c r="Z3226">
        <v>397</v>
      </c>
      <c r="AA3226">
        <v>19</v>
      </c>
      <c r="AB3226" t="s">
        <v>116</v>
      </c>
      <c r="AC3226">
        <v>26200</v>
      </c>
      <c r="AD3226">
        <v>0.01</v>
      </c>
      <c r="AE3226" t="s">
        <v>116</v>
      </c>
      <c r="AF3226" t="s">
        <v>116</v>
      </c>
      <c r="AG3226">
        <v>0.93</v>
      </c>
      <c r="AH3226" t="s">
        <v>13919</v>
      </c>
      <c r="AI3226" t="s">
        <v>13919</v>
      </c>
      <c r="AJ3226">
        <v>0.28000000000000003</v>
      </c>
      <c r="AK3226">
        <v>396</v>
      </c>
      <c r="AL3226">
        <v>10</v>
      </c>
      <c r="AM3226">
        <v>1E-3</v>
      </c>
      <c r="AN3226">
        <v>4</v>
      </c>
      <c r="AO3226">
        <v>1.39</v>
      </c>
      <c r="AP3226">
        <v>9.4</v>
      </c>
      <c r="AQ3226">
        <v>-1.22</v>
      </c>
      <c r="AR3226">
        <v>10.9</v>
      </c>
      <c r="AS3226">
        <v>1.28</v>
      </c>
      <c r="AT3226" t="s">
        <v>13920</v>
      </c>
      <c r="AU3226">
        <v>73.510000000000005</v>
      </c>
      <c r="AV3226">
        <v>89.94</v>
      </c>
      <c r="AW3226">
        <v>1.04</v>
      </c>
      <c r="BA3226">
        <v>0.28000000000000003</v>
      </c>
      <c r="BB3226">
        <v>0.96</v>
      </c>
      <c r="BC3226">
        <v>-7.0000000000000007E-2</v>
      </c>
      <c r="BD3226">
        <v>0.48</v>
      </c>
      <c r="BE3226">
        <v>-7.0000000000000007E-2</v>
      </c>
      <c r="BF3226">
        <v>-0.75</v>
      </c>
      <c r="BG3226">
        <v>0.28000000000000003</v>
      </c>
      <c r="BH3226">
        <v>-0.28000000000000003</v>
      </c>
      <c r="BI3226">
        <v>20191030</v>
      </c>
      <c r="BJ3226">
        <v>20160427</v>
      </c>
      <c r="BK3226">
        <v>0.93</v>
      </c>
      <c r="BL3226" t="s">
        <v>116</v>
      </c>
      <c r="BM3226" t="s">
        <v>116</v>
      </c>
      <c r="BN3226">
        <v>11.64</v>
      </c>
      <c r="BO3226">
        <v>7.12</v>
      </c>
      <c r="BP3226">
        <v>0.47</v>
      </c>
      <c r="BQ3226">
        <v>34.79</v>
      </c>
      <c r="BR3226">
        <v>6.84</v>
      </c>
      <c r="BS3226">
        <v>2.06</v>
      </c>
      <c r="BT3226">
        <v>0.87</v>
      </c>
      <c r="BU3226">
        <v>3.41</v>
      </c>
      <c r="BV3226">
        <v>2.86</v>
      </c>
      <c r="BW3226">
        <v>2.52</v>
      </c>
      <c r="BX3226">
        <v>2.21</v>
      </c>
      <c r="BY3226">
        <v>2.57</v>
      </c>
      <c r="BZ3226">
        <v>1.57</v>
      </c>
      <c r="CA3226">
        <v>-7.0000000000000007E-2</v>
      </c>
      <c r="CB3226">
        <v>0</v>
      </c>
      <c r="CC3226">
        <v>-0.04</v>
      </c>
      <c r="CD3226">
        <v>-0.02</v>
      </c>
      <c r="CE3226">
        <v>-0.02</v>
      </c>
      <c r="CF3226">
        <v>-0.08</v>
      </c>
      <c r="CG3226">
        <v>3.43</v>
      </c>
      <c r="CH3226">
        <v>-0.28999999999999998</v>
      </c>
      <c r="CI3226">
        <v>-0.54</v>
      </c>
      <c r="CJ3226">
        <v>10929</v>
      </c>
      <c r="CK3226">
        <v>2730</v>
      </c>
      <c r="CL3226" t="s">
        <v>5944</v>
      </c>
      <c r="CM3226">
        <v>68.819999999999993</v>
      </c>
      <c r="CN3226">
        <v>26.69</v>
      </c>
      <c r="CO3226">
        <v>1.91</v>
      </c>
      <c r="CP3226">
        <v>-47.28</v>
      </c>
      <c r="CQ3226">
        <v>5.28</v>
      </c>
      <c r="CR3226">
        <v>0.69</v>
      </c>
      <c r="CS3226" t="s">
        <v>4439</v>
      </c>
      <c r="CT3226">
        <v>7.63</v>
      </c>
      <c r="CU3226">
        <v>0</v>
      </c>
      <c r="CV3226">
        <v>2.37</v>
      </c>
      <c r="CW3226">
        <v>3.67</v>
      </c>
      <c r="CX3226">
        <v>-0.31</v>
      </c>
      <c r="CY3226">
        <v>61.17</v>
      </c>
      <c r="CZ3226" t="s">
        <v>13921</v>
      </c>
      <c r="DA3226">
        <v>38.840000000000003</v>
      </c>
      <c r="DB3226">
        <v>-2.61</v>
      </c>
      <c r="DC3226">
        <v>-0.59</v>
      </c>
      <c r="DD3226">
        <v>0.23</v>
      </c>
      <c r="DE3226">
        <v>650</v>
      </c>
      <c r="DF3226">
        <v>603029</v>
      </c>
      <c r="DG3226" t="s">
        <v>116</v>
      </c>
      <c r="DH3226" t="s">
        <v>116</v>
      </c>
      <c r="DI3226" t="s">
        <v>116</v>
      </c>
    </row>
    <row r="3227" spans="1:113" x14ac:dyDescent="0.4">
      <c r="A3227" t="str">
        <f>"603030"</f>
        <v>603030</v>
      </c>
      <c r="B3227" t="s">
        <v>13922</v>
      </c>
      <c r="C3227">
        <v>-1.85</v>
      </c>
      <c r="D3227">
        <v>5.82</v>
      </c>
      <c r="E3227">
        <v>-0.11</v>
      </c>
      <c r="F3227">
        <v>5.82</v>
      </c>
      <c r="G3227">
        <v>5.83</v>
      </c>
      <c r="H3227">
        <v>61185</v>
      </c>
      <c r="I3227">
        <v>856</v>
      </c>
      <c r="J3227">
        <v>-0.16</v>
      </c>
      <c r="K3227">
        <v>1.1399999999999999</v>
      </c>
      <c r="L3227">
        <v>5.92</v>
      </c>
      <c r="M3227">
        <v>5.96</v>
      </c>
      <c r="N3227">
        <v>5.82</v>
      </c>
      <c r="O3227">
        <v>5.93</v>
      </c>
      <c r="P3227">
        <v>14.75</v>
      </c>
      <c r="Q3227">
        <v>35873424</v>
      </c>
      <c r="R3227">
        <v>1.03</v>
      </c>
      <c r="S3227" t="s">
        <v>3331</v>
      </c>
      <c r="T3227" t="s">
        <v>1653</v>
      </c>
      <c r="U3227">
        <v>2.36</v>
      </c>
      <c r="V3227">
        <v>5.86</v>
      </c>
      <c r="W3227">
        <v>41591</v>
      </c>
      <c r="X3227">
        <v>19594</v>
      </c>
      <c r="Y3227">
        <v>2.12</v>
      </c>
      <c r="Z3227">
        <v>1061</v>
      </c>
      <c r="AA3227">
        <v>15</v>
      </c>
      <c r="AB3227" t="s">
        <v>116</v>
      </c>
      <c r="AC3227">
        <v>300700</v>
      </c>
      <c r="AD3227">
        <v>0.02</v>
      </c>
      <c r="AE3227" t="s">
        <v>116</v>
      </c>
      <c r="AF3227" t="s">
        <v>116</v>
      </c>
      <c r="AG3227">
        <v>5.36</v>
      </c>
      <c r="AH3227" t="s">
        <v>8969</v>
      </c>
      <c r="AI3227" t="s">
        <v>13923</v>
      </c>
      <c r="AJ3227">
        <v>-1.78</v>
      </c>
      <c r="AK3227">
        <v>1554</v>
      </c>
      <c r="AL3227">
        <v>39</v>
      </c>
      <c r="AM3227">
        <v>6.9999999999999999E-4</v>
      </c>
      <c r="AN3227">
        <v>-1</v>
      </c>
      <c r="AO3227">
        <v>-1.35</v>
      </c>
      <c r="AP3227">
        <v>-18.72</v>
      </c>
      <c r="AQ3227">
        <v>0.52</v>
      </c>
      <c r="AR3227">
        <v>14.57</v>
      </c>
      <c r="AS3227">
        <v>1.92</v>
      </c>
      <c r="AT3227" t="s">
        <v>2180</v>
      </c>
      <c r="AU3227">
        <v>10.68</v>
      </c>
      <c r="AV3227">
        <v>12.03</v>
      </c>
      <c r="AW3227">
        <v>1.07</v>
      </c>
      <c r="BA3227">
        <v>-0.17</v>
      </c>
      <c r="BB3227">
        <v>0.51</v>
      </c>
      <c r="BC3227">
        <v>-1.85</v>
      </c>
      <c r="BD3227">
        <v>-1.1299999999999999</v>
      </c>
      <c r="BE3227">
        <v>-1.69</v>
      </c>
      <c r="BF3227">
        <v>-2.35</v>
      </c>
      <c r="BG3227">
        <v>0</v>
      </c>
      <c r="BH3227">
        <v>-0.73</v>
      </c>
      <c r="BI3227">
        <v>20191030</v>
      </c>
      <c r="BJ3227">
        <v>20150320</v>
      </c>
      <c r="BK3227">
        <v>5.38</v>
      </c>
      <c r="BL3227" t="s">
        <v>116</v>
      </c>
      <c r="BM3227" t="s">
        <v>116</v>
      </c>
      <c r="BN3227">
        <v>103.4</v>
      </c>
      <c r="BO3227">
        <v>21.06</v>
      </c>
      <c r="BP3227">
        <v>2.87</v>
      </c>
      <c r="BQ3227">
        <v>76.86</v>
      </c>
      <c r="BR3227">
        <v>92.27</v>
      </c>
      <c r="BS3227">
        <v>5.25</v>
      </c>
      <c r="BT3227">
        <v>0.48</v>
      </c>
      <c r="BU3227">
        <v>76.69</v>
      </c>
      <c r="BV3227">
        <v>7.41</v>
      </c>
      <c r="BW3227">
        <v>61.3</v>
      </c>
      <c r="BX3227">
        <v>6.74</v>
      </c>
      <c r="BY3227">
        <v>54.44</v>
      </c>
      <c r="BZ3227">
        <v>47.78</v>
      </c>
      <c r="CA3227">
        <v>2.44</v>
      </c>
      <c r="CB3227">
        <v>7.0000000000000007E-2</v>
      </c>
      <c r="CC3227">
        <v>2.59</v>
      </c>
      <c r="CD3227">
        <v>2.08</v>
      </c>
      <c r="CE3227">
        <v>1.59</v>
      </c>
      <c r="CF3227">
        <v>1.44</v>
      </c>
      <c r="CG3227">
        <v>9.14</v>
      </c>
      <c r="CH3227">
        <v>-1.67</v>
      </c>
      <c r="CI3227">
        <v>-1.1499999999999999</v>
      </c>
      <c r="CJ3227">
        <v>13417</v>
      </c>
      <c r="CK3227">
        <v>23725</v>
      </c>
      <c r="CL3227" t="s">
        <v>13924</v>
      </c>
      <c r="CM3227">
        <v>25.83</v>
      </c>
      <c r="CN3227">
        <v>20.02</v>
      </c>
      <c r="CO3227">
        <v>1.49</v>
      </c>
      <c r="CP3227">
        <v>-18.809999999999999</v>
      </c>
      <c r="CQ3227">
        <v>0.57999999999999996</v>
      </c>
      <c r="CR3227">
        <v>0.34</v>
      </c>
      <c r="CS3227" t="s">
        <v>3995</v>
      </c>
      <c r="CT3227">
        <v>3.91</v>
      </c>
      <c r="CU3227">
        <v>0</v>
      </c>
      <c r="CV3227">
        <v>1.25</v>
      </c>
      <c r="CW3227">
        <v>1.7</v>
      </c>
      <c r="CX3227">
        <v>-0.31</v>
      </c>
      <c r="CY3227">
        <v>20.36</v>
      </c>
      <c r="CZ3227" t="s">
        <v>4796</v>
      </c>
      <c r="DA3227">
        <v>12.24</v>
      </c>
      <c r="DB3227">
        <v>4.4800000000000004</v>
      </c>
      <c r="DC3227">
        <v>2.93</v>
      </c>
      <c r="DD3227">
        <v>0.91</v>
      </c>
      <c r="DE3227">
        <v>2460</v>
      </c>
      <c r="DF3227">
        <v>603030</v>
      </c>
      <c r="DG3227" t="s">
        <v>116</v>
      </c>
      <c r="DH3227" t="s">
        <v>116</v>
      </c>
      <c r="DI3227" t="s">
        <v>116</v>
      </c>
    </row>
    <row r="3228" spans="1:113" x14ac:dyDescent="0.4">
      <c r="A3228" t="str">
        <f>"603031"</f>
        <v>603031</v>
      </c>
      <c r="B3228" t="s">
        <v>13925</v>
      </c>
      <c r="C3228">
        <v>6.26</v>
      </c>
      <c r="D3228">
        <v>23.44</v>
      </c>
      <c r="E3228">
        <v>1.38</v>
      </c>
      <c r="F3228">
        <v>23.44</v>
      </c>
      <c r="G3228">
        <v>23.45</v>
      </c>
      <c r="H3228">
        <v>44874</v>
      </c>
      <c r="I3228">
        <v>332</v>
      </c>
      <c r="J3228">
        <v>0.09</v>
      </c>
      <c r="K3228">
        <v>4.01</v>
      </c>
      <c r="L3228">
        <v>22.1</v>
      </c>
      <c r="M3228">
        <v>24.27</v>
      </c>
      <c r="N3228">
        <v>21.8</v>
      </c>
      <c r="O3228">
        <v>22.06</v>
      </c>
      <c r="P3228">
        <v>179.3</v>
      </c>
      <c r="Q3228">
        <v>105013680</v>
      </c>
      <c r="R3228">
        <v>1.8</v>
      </c>
      <c r="S3228" t="s">
        <v>746</v>
      </c>
      <c r="T3228" t="s">
        <v>575</v>
      </c>
      <c r="U3228">
        <v>11.2</v>
      </c>
      <c r="V3228">
        <v>23.4</v>
      </c>
      <c r="W3228">
        <v>17538</v>
      </c>
      <c r="X3228">
        <v>27336</v>
      </c>
      <c r="Y3228">
        <v>0.64</v>
      </c>
      <c r="Z3228">
        <v>103</v>
      </c>
      <c r="AA3228">
        <v>152</v>
      </c>
      <c r="AB3228" t="s">
        <v>116</v>
      </c>
      <c r="AC3228">
        <v>437600</v>
      </c>
      <c r="AD3228">
        <v>0.04</v>
      </c>
      <c r="AE3228" t="s">
        <v>116</v>
      </c>
      <c r="AF3228" t="s">
        <v>116</v>
      </c>
      <c r="AG3228">
        <v>1.1200000000000001</v>
      </c>
      <c r="AH3228" t="s">
        <v>13926</v>
      </c>
      <c r="AI3228" t="s">
        <v>13926</v>
      </c>
      <c r="AJ3228">
        <v>6.33</v>
      </c>
      <c r="AK3228">
        <v>2295</v>
      </c>
      <c r="AL3228">
        <v>20</v>
      </c>
      <c r="AM3228">
        <v>1.6999999999999999E-3</v>
      </c>
      <c r="AN3228">
        <v>2</v>
      </c>
      <c r="AO3228">
        <v>13.57</v>
      </c>
      <c r="AP3228">
        <v>27.6</v>
      </c>
      <c r="AQ3228">
        <v>58.27</v>
      </c>
      <c r="AR3228">
        <v>97.14</v>
      </c>
      <c r="AS3228">
        <v>9.74</v>
      </c>
      <c r="AT3228" t="s">
        <v>4179</v>
      </c>
      <c r="AU3228">
        <v>334.83</v>
      </c>
      <c r="AV3228">
        <v>448.14</v>
      </c>
      <c r="AW3228">
        <v>0</v>
      </c>
      <c r="BA3228">
        <v>0.18</v>
      </c>
      <c r="BB3228">
        <v>10.02</v>
      </c>
      <c r="BC3228">
        <v>-1.18</v>
      </c>
      <c r="BD3228">
        <v>6.08</v>
      </c>
      <c r="BE3228">
        <v>6.06</v>
      </c>
      <c r="BF3228">
        <v>-3.42</v>
      </c>
      <c r="BG3228">
        <v>7.52</v>
      </c>
      <c r="BH3228">
        <v>0.17</v>
      </c>
      <c r="BI3228">
        <v>20191022</v>
      </c>
      <c r="BJ3228">
        <v>20160822</v>
      </c>
      <c r="BK3228">
        <v>1.1200000000000001</v>
      </c>
      <c r="BL3228" t="s">
        <v>116</v>
      </c>
      <c r="BM3228" t="s">
        <v>116</v>
      </c>
      <c r="BN3228">
        <v>18.46</v>
      </c>
      <c r="BO3228">
        <v>6.14</v>
      </c>
      <c r="BP3228">
        <v>0</v>
      </c>
      <c r="BQ3228">
        <v>66.709999999999994</v>
      </c>
      <c r="BR3228">
        <v>6.35</v>
      </c>
      <c r="BS3228">
        <v>7.97</v>
      </c>
      <c r="BT3228">
        <v>1.05</v>
      </c>
      <c r="BU3228">
        <v>12.22</v>
      </c>
      <c r="BV3228">
        <v>3.23</v>
      </c>
      <c r="BW3228">
        <v>0.17</v>
      </c>
      <c r="BX3228">
        <v>2.13</v>
      </c>
      <c r="BY3228">
        <v>14.27</v>
      </c>
      <c r="BZ3228">
        <v>11.51</v>
      </c>
      <c r="CA3228">
        <v>0.14000000000000001</v>
      </c>
      <c r="CB3228">
        <v>0.01</v>
      </c>
      <c r="CC3228">
        <v>0.15</v>
      </c>
      <c r="CD3228">
        <v>0.11</v>
      </c>
      <c r="CE3228">
        <v>0.11</v>
      </c>
      <c r="CF3228">
        <v>0.09</v>
      </c>
      <c r="CG3228">
        <v>2.82</v>
      </c>
      <c r="CH3228">
        <v>1.1399999999999999</v>
      </c>
      <c r="CI3228">
        <v>0.24</v>
      </c>
      <c r="CJ3228">
        <v>8705</v>
      </c>
      <c r="CK3228">
        <v>5291</v>
      </c>
      <c r="CL3228" t="s">
        <v>13927</v>
      </c>
      <c r="CM3228">
        <v>22.03</v>
      </c>
      <c r="CN3228">
        <v>3.88</v>
      </c>
      <c r="CO3228">
        <v>4.2699999999999996</v>
      </c>
      <c r="CP3228">
        <v>22.98</v>
      </c>
      <c r="CQ3228">
        <v>1.84</v>
      </c>
      <c r="CR3228">
        <v>0</v>
      </c>
      <c r="CS3228" t="s">
        <v>821</v>
      </c>
      <c r="CT3228">
        <v>5.49</v>
      </c>
      <c r="CU3228">
        <v>0</v>
      </c>
      <c r="CV3228">
        <v>1.9</v>
      </c>
      <c r="CW3228">
        <v>2.5099999999999998</v>
      </c>
      <c r="CX3228">
        <v>1.02</v>
      </c>
      <c r="CY3228">
        <v>33.29</v>
      </c>
      <c r="CZ3228" t="s">
        <v>11618</v>
      </c>
      <c r="DA3228">
        <v>19.309999999999999</v>
      </c>
      <c r="DB3228">
        <v>1.01</v>
      </c>
      <c r="DC3228">
        <v>0.77</v>
      </c>
      <c r="DD3228">
        <v>0</v>
      </c>
      <c r="DE3228">
        <v>3146</v>
      </c>
      <c r="DF3228">
        <v>603031</v>
      </c>
      <c r="DG3228" t="s">
        <v>116</v>
      </c>
      <c r="DH3228" t="s">
        <v>116</v>
      </c>
      <c r="DI3228" t="s">
        <v>116</v>
      </c>
    </row>
    <row r="3229" spans="1:113" x14ac:dyDescent="0.4">
      <c r="A3229" t="str">
        <f>"603032"</f>
        <v>603032</v>
      </c>
      <c r="B3229" t="s">
        <v>13928</v>
      </c>
      <c r="C3229">
        <v>-0.8</v>
      </c>
      <c r="D3229">
        <v>22.36</v>
      </c>
      <c r="E3229">
        <v>-0.18</v>
      </c>
      <c r="F3229">
        <v>22.36</v>
      </c>
      <c r="G3229">
        <v>22.38</v>
      </c>
      <c r="H3229">
        <v>25764</v>
      </c>
      <c r="I3229">
        <v>516</v>
      </c>
      <c r="J3229">
        <v>0.36</v>
      </c>
      <c r="K3229">
        <v>3.29</v>
      </c>
      <c r="L3229">
        <v>22.54</v>
      </c>
      <c r="M3229">
        <v>22.84</v>
      </c>
      <c r="N3229">
        <v>22.27</v>
      </c>
      <c r="O3229">
        <v>22.54</v>
      </c>
      <c r="P3229">
        <v>313.17</v>
      </c>
      <c r="Q3229">
        <v>57949856</v>
      </c>
      <c r="R3229">
        <v>1.03</v>
      </c>
      <c r="S3229" t="s">
        <v>2041</v>
      </c>
      <c r="T3229" t="s">
        <v>616</v>
      </c>
      <c r="U3229">
        <v>2.5299999999999998</v>
      </c>
      <c r="V3229">
        <v>22.49</v>
      </c>
      <c r="W3229">
        <v>14727</v>
      </c>
      <c r="X3229">
        <v>11037</v>
      </c>
      <c r="Y3229">
        <v>1.33</v>
      </c>
      <c r="Z3229">
        <v>62</v>
      </c>
      <c r="AA3229">
        <v>89</v>
      </c>
      <c r="AB3229" t="s">
        <v>116</v>
      </c>
      <c r="AC3229">
        <v>31600</v>
      </c>
      <c r="AD3229">
        <v>0</v>
      </c>
      <c r="AE3229" t="s">
        <v>116</v>
      </c>
      <c r="AF3229" t="s">
        <v>116</v>
      </c>
      <c r="AG3229">
        <v>0.78</v>
      </c>
      <c r="AH3229" t="s">
        <v>7358</v>
      </c>
      <c r="AI3229" t="s">
        <v>13929</v>
      </c>
      <c r="AJ3229">
        <v>-0.72</v>
      </c>
      <c r="AK3229">
        <v>1682</v>
      </c>
      <c r="AL3229">
        <v>15</v>
      </c>
      <c r="AM3229">
        <v>2E-3</v>
      </c>
      <c r="AN3229">
        <v>-1</v>
      </c>
      <c r="AO3229">
        <v>-1.36</v>
      </c>
      <c r="AP3229">
        <v>0.72</v>
      </c>
      <c r="AQ3229">
        <v>-11.55</v>
      </c>
      <c r="AR3229">
        <v>-22.14</v>
      </c>
      <c r="AS3229">
        <v>4.74</v>
      </c>
      <c r="AT3229" t="s">
        <v>1626</v>
      </c>
      <c r="AU3229">
        <v>13.65</v>
      </c>
      <c r="AV3229">
        <v>13.81</v>
      </c>
      <c r="AW3229">
        <v>1.55</v>
      </c>
      <c r="BA3229">
        <v>0</v>
      </c>
      <c r="BB3229">
        <v>1.33</v>
      </c>
      <c r="BC3229">
        <v>-1.2</v>
      </c>
      <c r="BD3229">
        <v>-0.21</v>
      </c>
      <c r="BE3229">
        <v>-0.8</v>
      </c>
      <c r="BF3229">
        <v>-2.1</v>
      </c>
      <c r="BG3229">
        <v>0.4</v>
      </c>
      <c r="BH3229">
        <v>-0.59</v>
      </c>
      <c r="BI3229">
        <v>20191031</v>
      </c>
      <c r="BJ3229">
        <v>20170105</v>
      </c>
      <c r="BK3229">
        <v>1.6</v>
      </c>
      <c r="BL3229" t="s">
        <v>116</v>
      </c>
      <c r="BM3229" t="s">
        <v>116</v>
      </c>
      <c r="BN3229">
        <v>8.3000000000000007</v>
      </c>
      <c r="BO3229">
        <v>6.83</v>
      </c>
      <c r="BP3229">
        <v>0</v>
      </c>
      <c r="BQ3229">
        <v>17.62</v>
      </c>
      <c r="BR3229">
        <v>4.2</v>
      </c>
      <c r="BS3229">
        <v>1.88</v>
      </c>
      <c r="BT3229">
        <v>0.39</v>
      </c>
      <c r="BU3229">
        <v>0.34</v>
      </c>
      <c r="BV3229">
        <v>0.01</v>
      </c>
      <c r="BW3229">
        <v>7.0000000000000007E-2</v>
      </c>
      <c r="BX3229">
        <v>1.17</v>
      </c>
      <c r="BY3229">
        <v>0.76</v>
      </c>
      <c r="BZ3229">
        <v>0.59</v>
      </c>
      <c r="CA3229">
        <v>0.08</v>
      </c>
      <c r="CB3229">
        <v>0.09</v>
      </c>
      <c r="CC3229">
        <v>0.09</v>
      </c>
      <c r="CD3229">
        <v>0.08</v>
      </c>
      <c r="CE3229">
        <v>0.09</v>
      </c>
      <c r="CF3229">
        <v>-0.11</v>
      </c>
      <c r="CG3229">
        <v>3.53</v>
      </c>
      <c r="CH3229">
        <v>0.52</v>
      </c>
      <c r="CI3229">
        <v>-0.38</v>
      </c>
      <c r="CJ3229">
        <v>28644</v>
      </c>
      <c r="CK3229">
        <v>1899</v>
      </c>
      <c r="CL3229" t="s">
        <v>1394</v>
      </c>
      <c r="CM3229">
        <v>54.73</v>
      </c>
      <c r="CN3229">
        <v>-25.13</v>
      </c>
      <c r="CO3229">
        <v>5.24</v>
      </c>
      <c r="CP3229">
        <v>68.150000000000006</v>
      </c>
      <c r="CQ3229">
        <v>46.78</v>
      </c>
      <c r="CR3229">
        <v>0.27</v>
      </c>
      <c r="CS3229" t="s">
        <v>8882</v>
      </c>
      <c r="CT3229">
        <v>4.2699999999999996</v>
      </c>
      <c r="CU3229">
        <v>0</v>
      </c>
      <c r="CV3229">
        <v>0.73</v>
      </c>
      <c r="CW3229">
        <v>2.2000000000000002</v>
      </c>
      <c r="CX3229">
        <v>0.33</v>
      </c>
      <c r="CY3229">
        <v>82.34</v>
      </c>
      <c r="CZ3229" t="s">
        <v>8252</v>
      </c>
      <c r="DA3229">
        <v>23.02</v>
      </c>
      <c r="DB3229">
        <v>10.41</v>
      </c>
      <c r="DC3229">
        <v>11.2</v>
      </c>
      <c r="DD3229">
        <v>0</v>
      </c>
      <c r="DE3229">
        <v>913</v>
      </c>
      <c r="DF3229">
        <v>603032</v>
      </c>
      <c r="DG3229" t="s">
        <v>116</v>
      </c>
      <c r="DH3229" t="s">
        <v>116</v>
      </c>
      <c r="DI3229" t="s">
        <v>116</v>
      </c>
    </row>
    <row r="3230" spans="1:113" x14ac:dyDescent="0.4">
      <c r="A3230" t="str">
        <f>"603033"</f>
        <v>603033</v>
      </c>
      <c r="B3230" t="s">
        <v>13930</v>
      </c>
      <c r="C3230">
        <v>-0.73</v>
      </c>
      <c r="D3230">
        <v>17.739999999999998</v>
      </c>
      <c r="E3230">
        <v>-0.13</v>
      </c>
      <c r="F3230">
        <v>17.739999999999998</v>
      </c>
      <c r="G3230">
        <v>17.78</v>
      </c>
      <c r="H3230">
        <v>5789</v>
      </c>
      <c r="I3230">
        <v>62</v>
      </c>
      <c r="J3230">
        <v>0.06</v>
      </c>
      <c r="K3230">
        <v>0.33</v>
      </c>
      <c r="L3230">
        <v>17.940000000000001</v>
      </c>
      <c r="M3230">
        <v>18.02</v>
      </c>
      <c r="N3230">
        <v>17.73</v>
      </c>
      <c r="O3230">
        <v>17.87</v>
      </c>
      <c r="P3230">
        <v>22.79</v>
      </c>
      <c r="Q3230">
        <v>10338565</v>
      </c>
      <c r="R3230">
        <v>1.05</v>
      </c>
      <c r="S3230" t="s">
        <v>2541</v>
      </c>
      <c r="T3230" t="s">
        <v>590</v>
      </c>
      <c r="U3230">
        <v>1.62</v>
      </c>
      <c r="V3230">
        <v>17.86</v>
      </c>
      <c r="W3230">
        <v>2614</v>
      </c>
      <c r="X3230">
        <v>3175</v>
      </c>
      <c r="Y3230">
        <v>0.82</v>
      </c>
      <c r="Z3230">
        <v>16</v>
      </c>
      <c r="AA3230">
        <v>10</v>
      </c>
      <c r="AB3230" t="s">
        <v>116</v>
      </c>
      <c r="AC3230">
        <v>0</v>
      </c>
      <c r="AD3230">
        <v>0</v>
      </c>
      <c r="AE3230" t="s">
        <v>116</v>
      </c>
      <c r="AF3230" t="s">
        <v>116</v>
      </c>
      <c r="AG3230">
        <v>1.78</v>
      </c>
      <c r="AH3230" t="s">
        <v>12364</v>
      </c>
      <c r="AI3230" t="s">
        <v>13931</v>
      </c>
      <c r="AJ3230">
        <v>-0.65</v>
      </c>
      <c r="AK3230">
        <v>900</v>
      </c>
      <c r="AL3230">
        <v>6</v>
      </c>
      <c r="AM3230">
        <v>4.0000000000000002E-4</v>
      </c>
      <c r="AN3230">
        <v>-1</v>
      </c>
      <c r="AO3230">
        <v>0.67</v>
      </c>
      <c r="AP3230">
        <v>-1.1100000000000001</v>
      </c>
      <c r="AQ3230">
        <v>-2.74</v>
      </c>
      <c r="AR3230">
        <v>32.46</v>
      </c>
      <c r="AS3230">
        <v>0.72</v>
      </c>
      <c r="AT3230" t="s">
        <v>8539</v>
      </c>
      <c r="AU3230">
        <v>28.8</v>
      </c>
      <c r="AV3230">
        <v>65.92</v>
      </c>
      <c r="AW3230">
        <v>1.37</v>
      </c>
      <c r="BA3230">
        <v>0.39</v>
      </c>
      <c r="BB3230">
        <v>0.84</v>
      </c>
      <c r="BC3230">
        <v>-0.78</v>
      </c>
      <c r="BD3230">
        <v>-7.0000000000000007E-2</v>
      </c>
      <c r="BE3230">
        <v>-1.1100000000000001</v>
      </c>
      <c r="BF3230">
        <v>-1.55</v>
      </c>
      <c r="BG3230">
        <v>0.06</v>
      </c>
      <c r="BH3230">
        <v>-0.66</v>
      </c>
      <c r="BI3230">
        <v>20191206</v>
      </c>
      <c r="BJ3230">
        <v>20161207</v>
      </c>
      <c r="BK3230">
        <v>3.04</v>
      </c>
      <c r="BL3230" t="s">
        <v>116</v>
      </c>
      <c r="BM3230" t="s">
        <v>116</v>
      </c>
      <c r="BN3230">
        <v>42.15</v>
      </c>
      <c r="BO3230">
        <v>28.08</v>
      </c>
      <c r="BP3230">
        <v>0.44</v>
      </c>
      <c r="BQ3230">
        <v>32.340000000000003</v>
      </c>
      <c r="BR3230">
        <v>18.579999999999998</v>
      </c>
      <c r="BS3230">
        <v>3.8</v>
      </c>
      <c r="BT3230">
        <v>1.9</v>
      </c>
      <c r="BU3230">
        <v>9.6999999999999993</v>
      </c>
      <c r="BV3230">
        <v>3.62</v>
      </c>
      <c r="BW3230">
        <v>8.6300000000000008</v>
      </c>
      <c r="BX3230">
        <v>17.100000000000001</v>
      </c>
      <c r="BY3230">
        <v>12.32</v>
      </c>
      <c r="BZ3230">
        <v>8.19</v>
      </c>
      <c r="CA3230">
        <v>2.2599999999999998</v>
      </c>
      <c r="CB3230">
        <v>0</v>
      </c>
      <c r="CC3230">
        <v>2.23</v>
      </c>
      <c r="CD3230">
        <v>1.74</v>
      </c>
      <c r="CE3230">
        <v>1.78</v>
      </c>
      <c r="CF3230">
        <v>1.77</v>
      </c>
      <c r="CG3230">
        <v>7.33</v>
      </c>
      <c r="CH3230">
        <v>-0.47</v>
      </c>
      <c r="CI3230">
        <v>0.25</v>
      </c>
      <c r="CJ3230">
        <v>6641</v>
      </c>
      <c r="CK3230">
        <v>12101</v>
      </c>
      <c r="CL3230" t="s">
        <v>13932</v>
      </c>
      <c r="CM3230">
        <v>146.29</v>
      </c>
      <c r="CN3230">
        <v>55.6</v>
      </c>
      <c r="CO3230">
        <v>1.92</v>
      </c>
      <c r="CP3230">
        <v>-115.36</v>
      </c>
      <c r="CQ3230">
        <v>4.38</v>
      </c>
      <c r="CR3230">
        <v>0.52</v>
      </c>
      <c r="CS3230" t="s">
        <v>3167</v>
      </c>
      <c r="CT3230">
        <v>9.2200000000000006</v>
      </c>
      <c r="CU3230">
        <v>0</v>
      </c>
      <c r="CV3230">
        <v>5.62</v>
      </c>
      <c r="CW3230">
        <v>2.41</v>
      </c>
      <c r="CX3230">
        <v>-0.15</v>
      </c>
      <c r="CY3230">
        <v>66.61</v>
      </c>
      <c r="CZ3230" t="s">
        <v>587</v>
      </c>
      <c r="DA3230">
        <v>33.51</v>
      </c>
      <c r="DB3230">
        <v>18.34</v>
      </c>
      <c r="DC3230">
        <v>14.43</v>
      </c>
      <c r="DD3230">
        <v>0.13</v>
      </c>
      <c r="DE3230">
        <v>1411</v>
      </c>
      <c r="DF3230">
        <v>603033</v>
      </c>
      <c r="DG3230" t="s">
        <v>116</v>
      </c>
      <c r="DH3230" t="s">
        <v>116</v>
      </c>
      <c r="DI3230" t="s">
        <v>116</v>
      </c>
    </row>
    <row r="3231" spans="1:113" x14ac:dyDescent="0.4">
      <c r="A3231" t="str">
        <f>"603035"</f>
        <v>603035</v>
      </c>
      <c r="B3231" t="s">
        <v>13933</v>
      </c>
      <c r="C3231">
        <v>-0.86</v>
      </c>
      <c r="D3231">
        <v>12.73</v>
      </c>
      <c r="E3231">
        <v>-0.11</v>
      </c>
      <c r="F3231">
        <v>12.73</v>
      </c>
      <c r="G3231">
        <v>12.74</v>
      </c>
      <c r="H3231">
        <v>66795</v>
      </c>
      <c r="I3231">
        <v>780</v>
      </c>
      <c r="J3231">
        <v>0.39</v>
      </c>
      <c r="K3231">
        <v>3.88</v>
      </c>
      <c r="L3231">
        <v>12.88</v>
      </c>
      <c r="M3231">
        <v>13.07</v>
      </c>
      <c r="N3231">
        <v>12.61</v>
      </c>
      <c r="O3231">
        <v>12.84</v>
      </c>
      <c r="P3231">
        <v>12.95</v>
      </c>
      <c r="Q3231">
        <v>85792040</v>
      </c>
      <c r="R3231">
        <v>0.6</v>
      </c>
      <c r="S3231" t="s">
        <v>293</v>
      </c>
      <c r="T3231" t="s">
        <v>323</v>
      </c>
      <c r="U3231">
        <v>3.58</v>
      </c>
      <c r="V3231">
        <v>12.84</v>
      </c>
      <c r="W3231">
        <v>35648</v>
      </c>
      <c r="X3231">
        <v>31147</v>
      </c>
      <c r="Y3231">
        <v>1.1399999999999999</v>
      </c>
      <c r="Z3231">
        <v>322</v>
      </c>
      <c r="AA3231">
        <v>215</v>
      </c>
      <c r="AB3231" t="s">
        <v>116</v>
      </c>
      <c r="AC3231">
        <v>711000</v>
      </c>
      <c r="AD3231">
        <v>0.04</v>
      </c>
      <c r="AE3231" t="s">
        <v>116</v>
      </c>
      <c r="AF3231" t="s">
        <v>116</v>
      </c>
      <c r="AG3231">
        <v>1.72</v>
      </c>
      <c r="AH3231" t="s">
        <v>2282</v>
      </c>
      <c r="AI3231" t="s">
        <v>2780</v>
      </c>
      <c r="AJ3231">
        <v>-0.78</v>
      </c>
      <c r="AK3231">
        <v>2328</v>
      </c>
      <c r="AL3231">
        <v>29</v>
      </c>
      <c r="AM3231">
        <v>1.6999999999999999E-3</v>
      </c>
      <c r="AN3231">
        <v>-3</v>
      </c>
      <c r="AO3231">
        <v>-4.1500000000000004</v>
      </c>
      <c r="AP3231">
        <v>32.19</v>
      </c>
      <c r="AQ3231">
        <v>44.17</v>
      </c>
      <c r="AR3231">
        <v>8.57</v>
      </c>
      <c r="AS3231">
        <v>4.33</v>
      </c>
      <c r="AT3231" t="s">
        <v>8787</v>
      </c>
      <c r="AU3231">
        <v>15.2</v>
      </c>
      <c r="AV3231">
        <v>10.48</v>
      </c>
      <c r="AW3231">
        <v>1.05</v>
      </c>
      <c r="BA3231">
        <v>0.31</v>
      </c>
      <c r="BB3231">
        <v>1.79</v>
      </c>
      <c r="BC3231">
        <v>-1.79</v>
      </c>
      <c r="BD3231">
        <v>0.03</v>
      </c>
      <c r="BE3231">
        <v>-1.1599999999999999</v>
      </c>
      <c r="BF3231">
        <v>-2.6</v>
      </c>
      <c r="BG3231">
        <v>0.95</v>
      </c>
      <c r="BH3231">
        <v>-0.89</v>
      </c>
      <c r="BI3231">
        <v>20191025</v>
      </c>
      <c r="BJ3231">
        <v>20170105</v>
      </c>
      <c r="BK3231">
        <v>2.8</v>
      </c>
      <c r="BL3231" t="s">
        <v>116</v>
      </c>
      <c r="BM3231" t="s">
        <v>116</v>
      </c>
      <c r="BN3231">
        <v>59.72</v>
      </c>
      <c r="BO3231">
        <v>26.11</v>
      </c>
      <c r="BP3231">
        <v>0.28000000000000003</v>
      </c>
      <c r="BQ3231">
        <v>55.8</v>
      </c>
      <c r="BR3231">
        <v>17.260000000000002</v>
      </c>
      <c r="BS3231">
        <v>13.39</v>
      </c>
      <c r="BT3231">
        <v>3.96</v>
      </c>
      <c r="BU3231">
        <v>28.78</v>
      </c>
      <c r="BV3231">
        <v>3.66</v>
      </c>
      <c r="BW3231">
        <v>6.25</v>
      </c>
      <c r="BX3231">
        <v>11.36</v>
      </c>
      <c r="BY3231">
        <v>12.7</v>
      </c>
      <c r="BZ3231">
        <v>9.8000000000000007</v>
      </c>
      <c r="CA3231">
        <v>1.89</v>
      </c>
      <c r="CB3231">
        <v>1.75</v>
      </c>
      <c r="CC3231">
        <v>1.91</v>
      </c>
      <c r="CD3231">
        <v>1.98</v>
      </c>
      <c r="CE3231">
        <v>2.06</v>
      </c>
      <c r="CF3231">
        <v>1.49</v>
      </c>
      <c r="CG3231">
        <v>10.76</v>
      </c>
      <c r="CH3231">
        <v>3.43</v>
      </c>
      <c r="CI3231">
        <v>-0.69</v>
      </c>
      <c r="CJ3231">
        <v>21135</v>
      </c>
      <c r="CK3231">
        <v>7292</v>
      </c>
      <c r="CL3231" t="s">
        <v>13934</v>
      </c>
      <c r="CM3231">
        <v>-33.840000000000003</v>
      </c>
      <c r="CN3231">
        <v>22.11</v>
      </c>
      <c r="CO3231">
        <v>1.37</v>
      </c>
      <c r="CP3231">
        <v>10.38</v>
      </c>
      <c r="CQ3231">
        <v>2.81</v>
      </c>
      <c r="CR3231">
        <v>2.95</v>
      </c>
      <c r="CS3231" t="s">
        <v>2110</v>
      </c>
      <c r="CT3231">
        <v>9.33</v>
      </c>
      <c r="CU3231">
        <v>0</v>
      </c>
      <c r="CV3231">
        <v>4.0599999999999996</v>
      </c>
      <c r="CW3231">
        <v>3.84</v>
      </c>
      <c r="CX3231">
        <v>1.23</v>
      </c>
      <c r="CY3231">
        <v>43.72</v>
      </c>
      <c r="CZ3231" t="s">
        <v>3627</v>
      </c>
      <c r="DA3231">
        <v>22.83</v>
      </c>
      <c r="DB3231">
        <v>14.91</v>
      </c>
      <c r="DC3231">
        <v>16.260000000000002</v>
      </c>
      <c r="DD3231">
        <v>0.55000000000000004</v>
      </c>
      <c r="DE3231">
        <v>2479</v>
      </c>
      <c r="DF3231">
        <v>603035</v>
      </c>
      <c r="DG3231" t="s">
        <v>116</v>
      </c>
      <c r="DH3231" t="s">
        <v>116</v>
      </c>
      <c r="DI3231" t="s">
        <v>116</v>
      </c>
    </row>
    <row r="3232" spans="1:113" x14ac:dyDescent="0.4">
      <c r="A3232" t="str">
        <f>"603036"</f>
        <v>603036</v>
      </c>
      <c r="B3232" t="s">
        <v>13935</v>
      </c>
      <c r="C3232">
        <v>-0.56999999999999995</v>
      </c>
      <c r="D3232">
        <v>10.52</v>
      </c>
      <c r="E3232">
        <v>-0.06</v>
      </c>
      <c r="F3232">
        <v>10.51</v>
      </c>
      <c r="G3232">
        <v>10.52</v>
      </c>
      <c r="H3232">
        <v>32112</v>
      </c>
      <c r="I3232">
        <v>229</v>
      </c>
      <c r="J3232">
        <v>0</v>
      </c>
      <c r="K3232">
        <v>1.58</v>
      </c>
      <c r="L3232">
        <v>10.58</v>
      </c>
      <c r="M3232">
        <v>10.76</v>
      </c>
      <c r="N3232">
        <v>10.5</v>
      </c>
      <c r="O3232">
        <v>10.58</v>
      </c>
      <c r="P3232">
        <v>33.68</v>
      </c>
      <c r="Q3232">
        <v>34112496</v>
      </c>
      <c r="R3232">
        <v>2.35</v>
      </c>
      <c r="S3232" t="s">
        <v>682</v>
      </c>
      <c r="T3232" t="s">
        <v>323</v>
      </c>
      <c r="U3232">
        <v>2.46</v>
      </c>
      <c r="V3232">
        <v>10.62</v>
      </c>
      <c r="W3232">
        <v>18263</v>
      </c>
      <c r="X3232">
        <v>13849</v>
      </c>
      <c r="Y3232">
        <v>1.32</v>
      </c>
      <c r="Z3232">
        <v>24</v>
      </c>
      <c r="AA3232">
        <v>48</v>
      </c>
      <c r="AB3232" t="s">
        <v>116</v>
      </c>
      <c r="AC3232">
        <v>81500</v>
      </c>
      <c r="AD3232">
        <v>0</v>
      </c>
      <c r="AE3232" t="s">
        <v>116</v>
      </c>
      <c r="AF3232" t="s">
        <v>116</v>
      </c>
      <c r="AG3232">
        <v>2.0299999999999998</v>
      </c>
      <c r="AH3232" t="s">
        <v>13936</v>
      </c>
      <c r="AI3232" t="s">
        <v>11870</v>
      </c>
      <c r="AJ3232">
        <v>-0.49</v>
      </c>
      <c r="AK3232">
        <v>1303</v>
      </c>
      <c r="AL3232">
        <v>25</v>
      </c>
      <c r="AM3232">
        <v>1.1999999999999999E-3</v>
      </c>
      <c r="AN3232">
        <v>-1</v>
      </c>
      <c r="AO3232">
        <v>-0.1</v>
      </c>
      <c r="AP3232">
        <v>2.4300000000000002</v>
      </c>
      <c r="AQ3232">
        <v>-10.7</v>
      </c>
      <c r="AR3232">
        <v>-5.5</v>
      </c>
      <c r="AS3232">
        <v>1.97</v>
      </c>
      <c r="AT3232" t="s">
        <v>5056</v>
      </c>
      <c r="AU3232">
        <v>35.049999999999997</v>
      </c>
      <c r="AV3232">
        <v>55.46</v>
      </c>
      <c r="AW3232">
        <v>1.2</v>
      </c>
      <c r="BA3232">
        <v>0</v>
      </c>
      <c r="BB3232">
        <v>1.7</v>
      </c>
      <c r="BC3232">
        <v>-0.76</v>
      </c>
      <c r="BD3232">
        <v>0.41</v>
      </c>
      <c r="BE3232">
        <v>-0.56999999999999995</v>
      </c>
      <c r="BF3232">
        <v>-2.23</v>
      </c>
      <c r="BG3232">
        <v>0.19</v>
      </c>
      <c r="BH3232">
        <v>-0.97</v>
      </c>
      <c r="BI3232">
        <v>20191206</v>
      </c>
      <c r="BJ3232">
        <v>20161209</v>
      </c>
      <c r="BK3232">
        <v>2.06</v>
      </c>
      <c r="BL3232" t="s">
        <v>116</v>
      </c>
      <c r="BM3232" t="s">
        <v>116</v>
      </c>
      <c r="BN3232">
        <v>11.62</v>
      </c>
      <c r="BO3232">
        <v>10.39</v>
      </c>
      <c r="BP3232">
        <v>0.21</v>
      </c>
      <c r="BQ3232">
        <v>8.81</v>
      </c>
      <c r="BR3232">
        <v>10.02</v>
      </c>
      <c r="BS3232">
        <v>1.1599999999999999</v>
      </c>
      <c r="BT3232">
        <v>0.3</v>
      </c>
      <c r="BU3232">
        <v>0.79</v>
      </c>
      <c r="BV3232">
        <v>1.69</v>
      </c>
      <c r="BW3232">
        <v>1.78</v>
      </c>
      <c r="BX3232">
        <v>4.12</v>
      </c>
      <c r="BY3232">
        <v>2.13</v>
      </c>
      <c r="BZ3232">
        <v>1.21</v>
      </c>
      <c r="CA3232">
        <v>0.56999999999999995</v>
      </c>
      <c r="CB3232">
        <v>0.06</v>
      </c>
      <c r="CC3232">
        <v>0.56000000000000005</v>
      </c>
      <c r="CD3232">
        <v>0.49</v>
      </c>
      <c r="CE3232">
        <v>0.48</v>
      </c>
      <c r="CF3232">
        <v>0.42</v>
      </c>
      <c r="CG3232">
        <v>3.77</v>
      </c>
      <c r="CH3232">
        <v>0.1</v>
      </c>
      <c r="CI3232">
        <v>-0.12</v>
      </c>
      <c r="CJ3232">
        <v>18515</v>
      </c>
      <c r="CK3232">
        <v>8793</v>
      </c>
      <c r="CL3232" t="s">
        <v>6549</v>
      </c>
      <c r="CM3232">
        <v>89.25</v>
      </c>
      <c r="CN3232">
        <v>40.97</v>
      </c>
      <c r="CO3232">
        <v>2.06</v>
      </c>
      <c r="CP3232">
        <v>221.91</v>
      </c>
      <c r="CQ3232">
        <v>10.17</v>
      </c>
      <c r="CR3232">
        <v>0.54</v>
      </c>
      <c r="CS3232" t="s">
        <v>5764</v>
      </c>
      <c r="CT3232">
        <v>5.1100000000000003</v>
      </c>
      <c r="CU3232">
        <v>5.1100000000000003</v>
      </c>
      <c r="CV3232">
        <v>2</v>
      </c>
      <c r="CW3232">
        <v>1.83</v>
      </c>
      <c r="CX3232">
        <v>0.05</v>
      </c>
      <c r="CY3232">
        <v>89.4</v>
      </c>
      <c r="CZ3232" t="s">
        <v>5340</v>
      </c>
      <c r="DA3232">
        <v>43.39</v>
      </c>
      <c r="DB3232">
        <v>26.59</v>
      </c>
      <c r="DC3232">
        <v>22.65</v>
      </c>
      <c r="DD3232">
        <v>0.08</v>
      </c>
      <c r="DE3232">
        <v>624</v>
      </c>
      <c r="DF3232">
        <v>603036</v>
      </c>
      <c r="DG3232" t="s">
        <v>116</v>
      </c>
      <c r="DH3232" t="s">
        <v>116</v>
      </c>
      <c r="DI3232" t="s">
        <v>116</v>
      </c>
    </row>
    <row r="3233" spans="1:113" x14ac:dyDescent="0.4">
      <c r="A3233" t="str">
        <f>"603037"</f>
        <v>603037</v>
      </c>
      <c r="B3233" t="s">
        <v>13937</v>
      </c>
      <c r="C3233">
        <v>-0.65</v>
      </c>
      <c r="D3233">
        <v>16.78</v>
      </c>
      <c r="E3233">
        <v>-0.11</v>
      </c>
      <c r="F3233">
        <v>16.760000000000002</v>
      </c>
      <c r="G3233">
        <v>16.78</v>
      </c>
      <c r="H3233">
        <v>5048</v>
      </c>
      <c r="I3233">
        <v>60</v>
      </c>
      <c r="J3233">
        <v>0.6</v>
      </c>
      <c r="K3233">
        <v>0.81</v>
      </c>
      <c r="L3233">
        <v>16.940000000000001</v>
      </c>
      <c r="M3233">
        <v>16.940000000000001</v>
      </c>
      <c r="N3233">
        <v>16.68</v>
      </c>
      <c r="O3233">
        <v>16.89</v>
      </c>
      <c r="P3233">
        <v>17.98</v>
      </c>
      <c r="Q3233">
        <v>8489344</v>
      </c>
      <c r="R3233">
        <v>1.17</v>
      </c>
      <c r="S3233" t="s">
        <v>293</v>
      </c>
      <c r="T3233" t="s">
        <v>1653</v>
      </c>
      <c r="U3233">
        <v>1.54</v>
      </c>
      <c r="V3233">
        <v>16.82</v>
      </c>
      <c r="W3233">
        <v>3287</v>
      </c>
      <c r="X3233">
        <v>1761</v>
      </c>
      <c r="Y3233">
        <v>1.87</v>
      </c>
      <c r="Z3233">
        <v>2</v>
      </c>
      <c r="AA3233">
        <v>35</v>
      </c>
      <c r="AB3233" t="s">
        <v>116</v>
      </c>
      <c r="AC3233">
        <v>0</v>
      </c>
      <c r="AD3233">
        <v>0</v>
      </c>
      <c r="AE3233" t="s">
        <v>116</v>
      </c>
      <c r="AF3233" t="s">
        <v>116</v>
      </c>
      <c r="AG3233">
        <v>0.62</v>
      </c>
      <c r="AH3233" t="s">
        <v>13938</v>
      </c>
      <c r="AI3233" t="s">
        <v>9588</v>
      </c>
      <c r="AJ3233">
        <v>-0.56999999999999995</v>
      </c>
      <c r="AK3233">
        <v>410</v>
      </c>
      <c r="AL3233">
        <v>12</v>
      </c>
      <c r="AM3233">
        <v>2E-3</v>
      </c>
      <c r="AN3233">
        <v>-1</v>
      </c>
      <c r="AO3233">
        <v>-1.1100000000000001</v>
      </c>
      <c r="AP3233">
        <v>4.9400000000000004</v>
      </c>
      <c r="AQ3233">
        <v>-2.78</v>
      </c>
      <c r="AR3233">
        <v>-2.16</v>
      </c>
      <c r="AS3233">
        <v>0.97</v>
      </c>
      <c r="AT3233" t="s">
        <v>9600</v>
      </c>
      <c r="AU3233">
        <v>18.059999999999999</v>
      </c>
      <c r="AV3233">
        <v>13.98</v>
      </c>
      <c r="AW3233">
        <v>0.79</v>
      </c>
      <c r="BA3233">
        <v>0.3</v>
      </c>
      <c r="BB3233">
        <v>0.3</v>
      </c>
      <c r="BC3233">
        <v>-1.24</v>
      </c>
      <c r="BD3233">
        <v>-0.43</v>
      </c>
      <c r="BE3233">
        <v>-0.94</v>
      </c>
      <c r="BF3233">
        <v>-0.94</v>
      </c>
      <c r="BG3233">
        <v>0.6</v>
      </c>
      <c r="BH3233">
        <v>-0.22</v>
      </c>
      <c r="BI3233">
        <v>20191030</v>
      </c>
      <c r="BJ3233">
        <v>20170120</v>
      </c>
      <c r="BK3233">
        <v>1.06</v>
      </c>
      <c r="BL3233" t="s">
        <v>116</v>
      </c>
      <c r="BM3233" t="s">
        <v>116</v>
      </c>
      <c r="BN3233">
        <v>9.35</v>
      </c>
      <c r="BO3233">
        <v>8.35</v>
      </c>
      <c r="BP3233">
        <v>0.02</v>
      </c>
      <c r="BQ3233">
        <v>10.5</v>
      </c>
      <c r="BR3233">
        <v>6.55</v>
      </c>
      <c r="BS3233">
        <v>1.4</v>
      </c>
      <c r="BT3233">
        <v>0.15</v>
      </c>
      <c r="BU3233">
        <v>0.95</v>
      </c>
      <c r="BV3233">
        <v>1.22</v>
      </c>
      <c r="BW3233">
        <v>1.35</v>
      </c>
      <c r="BX3233">
        <v>4.74</v>
      </c>
      <c r="BY3233">
        <v>3.73</v>
      </c>
      <c r="BZ3233">
        <v>2.35</v>
      </c>
      <c r="CA3233">
        <v>0.83</v>
      </c>
      <c r="CB3233">
        <v>0.02</v>
      </c>
      <c r="CC3233">
        <v>0.83</v>
      </c>
      <c r="CD3233">
        <v>0.74</v>
      </c>
      <c r="CE3233">
        <v>0.74</v>
      </c>
      <c r="CF3233">
        <v>0.66</v>
      </c>
      <c r="CG3233">
        <v>2.2999999999999998</v>
      </c>
      <c r="CH3233">
        <v>0.87</v>
      </c>
      <c r="CI3233">
        <v>0.83</v>
      </c>
      <c r="CJ3233">
        <v>7521</v>
      </c>
      <c r="CK3233">
        <v>6930</v>
      </c>
      <c r="CL3233" t="s">
        <v>9752</v>
      </c>
      <c r="CM3233">
        <v>-27.9</v>
      </c>
      <c r="CN3233">
        <v>-10.18</v>
      </c>
      <c r="CO3233">
        <v>2.13</v>
      </c>
      <c r="CP3233">
        <v>20.47</v>
      </c>
      <c r="CQ3233">
        <v>4.76</v>
      </c>
      <c r="CR3233">
        <v>4.47</v>
      </c>
      <c r="CS3233" t="s">
        <v>13939</v>
      </c>
      <c r="CT3233">
        <v>7.89</v>
      </c>
      <c r="CU3233">
        <v>0</v>
      </c>
      <c r="CV3233">
        <v>4.4800000000000004</v>
      </c>
      <c r="CW3233">
        <v>2.17</v>
      </c>
      <c r="CX3233">
        <v>0.82</v>
      </c>
      <c r="CY3233">
        <v>89.28</v>
      </c>
      <c r="CZ3233" t="s">
        <v>13940</v>
      </c>
      <c r="DA3233">
        <v>37.07</v>
      </c>
      <c r="DB3233">
        <v>22.22</v>
      </c>
      <c r="DC3233">
        <v>19.87</v>
      </c>
      <c r="DD3233">
        <v>0.2</v>
      </c>
      <c r="DE3233">
        <v>728</v>
      </c>
      <c r="DF3233">
        <v>603037</v>
      </c>
      <c r="DG3233" t="s">
        <v>116</v>
      </c>
      <c r="DH3233" t="s">
        <v>116</v>
      </c>
      <c r="DI3233" t="s">
        <v>116</v>
      </c>
    </row>
    <row r="3234" spans="1:113" x14ac:dyDescent="0.4">
      <c r="A3234" t="str">
        <f>"603038"</f>
        <v>603038</v>
      </c>
      <c r="B3234" t="s">
        <v>13941</v>
      </c>
      <c r="C3234">
        <v>1.2</v>
      </c>
      <c r="D3234">
        <v>14.36</v>
      </c>
      <c r="E3234">
        <v>0.17</v>
      </c>
      <c r="F3234">
        <v>14.34</v>
      </c>
      <c r="G3234">
        <v>14.36</v>
      </c>
      <c r="H3234">
        <v>7043</v>
      </c>
      <c r="I3234">
        <v>57</v>
      </c>
      <c r="J3234">
        <v>0.14000000000000001</v>
      </c>
      <c r="K3234">
        <v>1.33</v>
      </c>
      <c r="L3234">
        <v>14.33</v>
      </c>
      <c r="M3234">
        <v>14.46</v>
      </c>
      <c r="N3234">
        <v>14.2</v>
      </c>
      <c r="O3234">
        <v>14.19</v>
      </c>
      <c r="P3234">
        <v>22.03</v>
      </c>
      <c r="Q3234">
        <v>10106089</v>
      </c>
      <c r="R3234">
        <v>1.63</v>
      </c>
      <c r="S3234" t="s">
        <v>3331</v>
      </c>
      <c r="T3234" t="s">
        <v>551</v>
      </c>
      <c r="U3234">
        <v>1.83</v>
      </c>
      <c r="V3234">
        <v>14.35</v>
      </c>
      <c r="W3234">
        <v>3295</v>
      </c>
      <c r="X3234">
        <v>3748</v>
      </c>
      <c r="Y3234">
        <v>0.88</v>
      </c>
      <c r="Z3234">
        <v>68</v>
      </c>
      <c r="AA3234">
        <v>10</v>
      </c>
      <c r="AB3234" t="s">
        <v>116</v>
      </c>
      <c r="AC3234">
        <v>180600</v>
      </c>
      <c r="AD3234">
        <v>0.04</v>
      </c>
      <c r="AE3234" t="s">
        <v>116</v>
      </c>
      <c r="AF3234" t="s">
        <v>116</v>
      </c>
      <c r="AG3234">
        <v>0.53</v>
      </c>
      <c r="AH3234" t="s">
        <v>10432</v>
      </c>
      <c r="AI3234" t="s">
        <v>13942</v>
      </c>
      <c r="AJ3234">
        <v>1.27</v>
      </c>
      <c r="AK3234">
        <v>587</v>
      </c>
      <c r="AL3234">
        <v>12</v>
      </c>
      <c r="AM3234">
        <v>2.3E-3</v>
      </c>
      <c r="AN3234">
        <v>1</v>
      </c>
      <c r="AO3234">
        <v>1.2</v>
      </c>
      <c r="AP3234">
        <v>2.35</v>
      </c>
      <c r="AQ3234">
        <v>-0.69</v>
      </c>
      <c r="AR3234">
        <v>23.49</v>
      </c>
      <c r="AS3234">
        <v>1.98</v>
      </c>
      <c r="AT3234" t="s">
        <v>7405</v>
      </c>
      <c r="AU3234">
        <v>20.94</v>
      </c>
      <c r="AV3234">
        <v>22.77</v>
      </c>
      <c r="AW3234">
        <v>0.55000000000000004</v>
      </c>
      <c r="BA3234">
        <v>0.99</v>
      </c>
      <c r="BB3234">
        <v>1.9</v>
      </c>
      <c r="BC3234">
        <v>7.0000000000000007E-2</v>
      </c>
      <c r="BD3234">
        <v>1.1100000000000001</v>
      </c>
      <c r="BE3234">
        <v>0.21</v>
      </c>
      <c r="BF3234">
        <v>-0.69</v>
      </c>
      <c r="BG3234">
        <v>1.1299999999999999</v>
      </c>
      <c r="BH3234">
        <v>0.08</v>
      </c>
      <c r="BI3234">
        <v>20191108</v>
      </c>
      <c r="BJ3234">
        <v>20170116</v>
      </c>
      <c r="BK3234">
        <v>1.32</v>
      </c>
      <c r="BL3234" t="s">
        <v>116</v>
      </c>
      <c r="BM3234" t="s">
        <v>116</v>
      </c>
      <c r="BN3234">
        <v>12.91</v>
      </c>
      <c r="BO3234">
        <v>10.49</v>
      </c>
      <c r="BP3234">
        <v>0.13</v>
      </c>
      <c r="BQ3234">
        <v>17.77</v>
      </c>
      <c r="BR3234">
        <v>6.81</v>
      </c>
      <c r="BS3234">
        <v>3.37</v>
      </c>
      <c r="BT3234">
        <v>1.45</v>
      </c>
      <c r="BU3234">
        <v>1.9</v>
      </c>
      <c r="BV3234">
        <v>1.1399999999999999</v>
      </c>
      <c r="BW3234">
        <v>1.1399999999999999</v>
      </c>
      <c r="BX3234">
        <v>2.88</v>
      </c>
      <c r="BY3234">
        <v>5.84</v>
      </c>
      <c r="BZ3234">
        <v>4.4000000000000004</v>
      </c>
      <c r="CA3234">
        <v>0.74</v>
      </c>
      <c r="CB3234">
        <v>0.19</v>
      </c>
      <c r="CC3234">
        <v>0.74</v>
      </c>
      <c r="CD3234">
        <v>0.64</v>
      </c>
      <c r="CE3234">
        <v>0.64</v>
      </c>
      <c r="CF3234">
        <v>0.46</v>
      </c>
      <c r="CG3234">
        <v>5.97</v>
      </c>
      <c r="CH3234">
        <v>0.42</v>
      </c>
      <c r="CI3234">
        <v>0.19</v>
      </c>
      <c r="CJ3234">
        <v>7118</v>
      </c>
      <c r="CK3234">
        <v>5007</v>
      </c>
      <c r="CL3234" t="s">
        <v>5747</v>
      </c>
      <c r="CM3234">
        <v>12.66</v>
      </c>
      <c r="CN3234">
        <v>10.97</v>
      </c>
      <c r="CO3234">
        <v>1.8</v>
      </c>
      <c r="CP3234">
        <v>44.84</v>
      </c>
      <c r="CQ3234">
        <v>3.24</v>
      </c>
      <c r="CR3234">
        <v>1.59</v>
      </c>
      <c r="CS3234" t="s">
        <v>13943</v>
      </c>
      <c r="CT3234">
        <v>7.97</v>
      </c>
      <c r="CU3234">
        <v>7.97</v>
      </c>
      <c r="CV3234">
        <v>2.19</v>
      </c>
      <c r="CW3234">
        <v>4.54</v>
      </c>
      <c r="CX3234">
        <v>0.32</v>
      </c>
      <c r="CY3234">
        <v>81.209999999999994</v>
      </c>
      <c r="CZ3234" t="s">
        <v>6189</v>
      </c>
      <c r="DA3234">
        <v>24.6</v>
      </c>
      <c r="DB3234">
        <v>12.71</v>
      </c>
      <c r="DC3234">
        <v>11.02</v>
      </c>
      <c r="DD3234">
        <v>0.24</v>
      </c>
      <c r="DE3234">
        <v>1057</v>
      </c>
      <c r="DF3234">
        <v>603038</v>
      </c>
      <c r="DG3234" t="s">
        <v>116</v>
      </c>
      <c r="DH3234" t="s">
        <v>116</v>
      </c>
      <c r="DI3234" t="s">
        <v>116</v>
      </c>
    </row>
    <row r="3235" spans="1:113" x14ac:dyDescent="0.4">
      <c r="A3235" t="str">
        <f>"603039"</f>
        <v>603039</v>
      </c>
      <c r="B3235" t="s">
        <v>13944</v>
      </c>
      <c r="C3235">
        <v>-1.57</v>
      </c>
      <c r="D3235">
        <v>55.91</v>
      </c>
      <c r="E3235">
        <v>-0.89</v>
      </c>
      <c r="F3235">
        <v>55.9</v>
      </c>
      <c r="G3235">
        <v>55.91</v>
      </c>
      <c r="H3235">
        <v>8744</v>
      </c>
      <c r="I3235">
        <v>41</v>
      </c>
      <c r="J3235">
        <v>0.02</v>
      </c>
      <c r="K3235">
        <v>1.44</v>
      </c>
      <c r="L3235">
        <v>56.69</v>
      </c>
      <c r="M3235">
        <v>56.96</v>
      </c>
      <c r="N3235">
        <v>55.4</v>
      </c>
      <c r="O3235">
        <v>56.8</v>
      </c>
      <c r="P3235">
        <v>88.82</v>
      </c>
      <c r="Q3235">
        <v>48892864</v>
      </c>
      <c r="R3235">
        <v>1.58</v>
      </c>
      <c r="S3235" t="s">
        <v>607</v>
      </c>
      <c r="T3235" t="s">
        <v>1653</v>
      </c>
      <c r="U3235">
        <v>2.75</v>
      </c>
      <c r="V3235">
        <v>55.91</v>
      </c>
      <c r="W3235">
        <v>4771</v>
      </c>
      <c r="X3235">
        <v>3973</v>
      </c>
      <c r="Y3235">
        <v>1.2</v>
      </c>
      <c r="Z3235">
        <v>485</v>
      </c>
      <c r="AA3235">
        <v>7</v>
      </c>
      <c r="AB3235" t="s">
        <v>116</v>
      </c>
      <c r="AC3235">
        <v>39700</v>
      </c>
      <c r="AD3235">
        <v>0</v>
      </c>
      <c r="AE3235" t="s">
        <v>116</v>
      </c>
      <c r="AF3235" t="s">
        <v>116</v>
      </c>
      <c r="AG3235">
        <v>0.61</v>
      </c>
      <c r="AH3235" t="s">
        <v>12216</v>
      </c>
      <c r="AI3235" t="s">
        <v>13945</v>
      </c>
      <c r="AJ3235">
        <v>-1.49</v>
      </c>
      <c r="AK3235">
        <v>1157</v>
      </c>
      <c r="AL3235">
        <v>8</v>
      </c>
      <c r="AM3235">
        <v>1.1999999999999999E-3</v>
      </c>
      <c r="AN3235">
        <v>-2</v>
      </c>
      <c r="AO3235">
        <v>-1.57</v>
      </c>
      <c r="AP3235">
        <v>1.25</v>
      </c>
      <c r="AQ3235">
        <v>-11.91</v>
      </c>
      <c r="AR3235">
        <v>14.69</v>
      </c>
      <c r="AS3235">
        <v>1.44</v>
      </c>
      <c r="AT3235" t="s">
        <v>12216</v>
      </c>
      <c r="AU3235">
        <v>66.83</v>
      </c>
      <c r="AV3235">
        <v>74.05</v>
      </c>
      <c r="AW3235">
        <v>1.27</v>
      </c>
      <c r="BA3235">
        <v>-0.19</v>
      </c>
      <c r="BB3235">
        <v>0.28000000000000003</v>
      </c>
      <c r="BC3235">
        <v>-2.46</v>
      </c>
      <c r="BD3235">
        <v>-1.56</v>
      </c>
      <c r="BE3235">
        <v>-1.38</v>
      </c>
      <c r="BF3235">
        <v>-1.84</v>
      </c>
      <c r="BG3235">
        <v>0.92</v>
      </c>
      <c r="BH3235">
        <v>-0.01</v>
      </c>
      <c r="BI3235">
        <v>20191101</v>
      </c>
      <c r="BJ3235">
        <v>20170113</v>
      </c>
      <c r="BK3235">
        <v>1.52</v>
      </c>
      <c r="BL3235" t="s">
        <v>116</v>
      </c>
      <c r="BM3235" t="s">
        <v>116</v>
      </c>
      <c r="BN3235">
        <v>17.510000000000002</v>
      </c>
      <c r="BO3235">
        <v>7.98</v>
      </c>
      <c r="BP3235">
        <v>0.22</v>
      </c>
      <c r="BQ3235">
        <v>53.16</v>
      </c>
      <c r="BR3235">
        <v>13.14</v>
      </c>
      <c r="BS3235">
        <v>1.3</v>
      </c>
      <c r="BT3235">
        <v>0.26</v>
      </c>
      <c r="BU3235">
        <v>9.31</v>
      </c>
      <c r="BV3235">
        <v>0.12</v>
      </c>
      <c r="BW3235">
        <v>1.04</v>
      </c>
      <c r="BX3235">
        <v>2.4500000000000002</v>
      </c>
      <c r="BY3235">
        <v>7.85</v>
      </c>
      <c r="BZ3235">
        <v>0.31</v>
      </c>
      <c r="CA3235">
        <v>0.69</v>
      </c>
      <c r="CB3235">
        <v>-0.04</v>
      </c>
      <c r="CC3235">
        <v>0.74</v>
      </c>
      <c r="CD3235">
        <v>0.7</v>
      </c>
      <c r="CE3235">
        <v>0.72</v>
      </c>
      <c r="CF3235">
        <v>0.52</v>
      </c>
      <c r="CG3235">
        <v>4.3600000000000003</v>
      </c>
      <c r="CH3235">
        <v>0.81</v>
      </c>
      <c r="CI3235">
        <v>-0.72</v>
      </c>
      <c r="CJ3235">
        <v>5893</v>
      </c>
      <c r="CK3235">
        <v>10306</v>
      </c>
      <c r="CL3235" t="s">
        <v>13946</v>
      </c>
      <c r="CM3235">
        <v>20.91</v>
      </c>
      <c r="CN3235">
        <v>26.11</v>
      </c>
      <c r="CO3235">
        <v>10.63</v>
      </c>
      <c r="CP3235">
        <v>104.38</v>
      </c>
      <c r="CQ3235">
        <v>10.8</v>
      </c>
      <c r="CR3235">
        <v>0.18</v>
      </c>
      <c r="CS3235" t="s">
        <v>1677</v>
      </c>
      <c r="CT3235">
        <v>5.26</v>
      </c>
      <c r="CU3235">
        <v>0</v>
      </c>
      <c r="CV3235">
        <v>1.62</v>
      </c>
      <c r="CW3235">
        <v>2.87</v>
      </c>
      <c r="CX3235">
        <v>0.54</v>
      </c>
      <c r="CY3235">
        <v>45.57</v>
      </c>
      <c r="CZ3235" t="s">
        <v>13947</v>
      </c>
      <c r="DA3235">
        <v>96.05</v>
      </c>
      <c r="DB3235">
        <v>8.76</v>
      </c>
      <c r="DC3235">
        <v>9.1199999999999992</v>
      </c>
      <c r="DD3235">
        <v>1.1200000000000001</v>
      </c>
      <c r="DE3235">
        <v>1148</v>
      </c>
      <c r="DF3235">
        <v>603039</v>
      </c>
      <c r="DG3235" t="s">
        <v>116</v>
      </c>
      <c r="DH3235" t="s">
        <v>116</v>
      </c>
      <c r="DI3235" t="s">
        <v>116</v>
      </c>
    </row>
    <row r="3236" spans="1:113" x14ac:dyDescent="0.4">
      <c r="A3236" t="str">
        <f>"603040"</f>
        <v>603040</v>
      </c>
      <c r="B3236" t="s">
        <v>13948</v>
      </c>
      <c r="C3236">
        <v>-1.36</v>
      </c>
      <c r="D3236">
        <v>35.43</v>
      </c>
      <c r="E3236">
        <v>-0.49</v>
      </c>
      <c r="F3236">
        <v>35.409999999999997</v>
      </c>
      <c r="G3236">
        <v>35.43</v>
      </c>
      <c r="H3236">
        <v>10957</v>
      </c>
      <c r="I3236">
        <v>263</v>
      </c>
      <c r="J3236">
        <v>0.2</v>
      </c>
      <c r="K3236">
        <v>3.4</v>
      </c>
      <c r="L3236">
        <v>35.68</v>
      </c>
      <c r="M3236">
        <v>36.25</v>
      </c>
      <c r="N3236">
        <v>35.299999999999997</v>
      </c>
      <c r="O3236">
        <v>35.92</v>
      </c>
      <c r="P3236">
        <v>24.25</v>
      </c>
      <c r="Q3236">
        <v>38991240</v>
      </c>
      <c r="R3236">
        <v>0.8</v>
      </c>
      <c r="S3236" t="s">
        <v>996</v>
      </c>
      <c r="T3236" t="s">
        <v>590</v>
      </c>
      <c r="U3236">
        <v>2.64</v>
      </c>
      <c r="V3236">
        <v>35.590000000000003</v>
      </c>
      <c r="W3236">
        <v>7489</v>
      </c>
      <c r="X3236">
        <v>3468</v>
      </c>
      <c r="Y3236">
        <v>2.16</v>
      </c>
      <c r="Z3236">
        <v>2</v>
      </c>
      <c r="AA3236">
        <v>66</v>
      </c>
      <c r="AB3236" t="s">
        <v>116</v>
      </c>
      <c r="AC3236">
        <v>289000</v>
      </c>
      <c r="AD3236">
        <v>0.03</v>
      </c>
      <c r="AE3236" t="s">
        <v>116</v>
      </c>
      <c r="AF3236" t="s">
        <v>116</v>
      </c>
      <c r="AG3236">
        <v>0.32</v>
      </c>
      <c r="AH3236" t="s">
        <v>8828</v>
      </c>
      <c r="AI3236" t="s">
        <v>4486</v>
      </c>
      <c r="AJ3236">
        <v>-1.29</v>
      </c>
      <c r="AK3236">
        <v>1144</v>
      </c>
      <c r="AL3236">
        <v>10</v>
      </c>
      <c r="AM3236">
        <v>3.0000000000000001E-3</v>
      </c>
      <c r="AN3236">
        <v>-2</v>
      </c>
      <c r="AO3236">
        <v>2.73</v>
      </c>
      <c r="AP3236">
        <v>9.6199999999999992</v>
      </c>
      <c r="AQ3236">
        <v>18.14</v>
      </c>
      <c r="AR3236">
        <v>35.49</v>
      </c>
      <c r="AS3236">
        <v>3.4</v>
      </c>
      <c r="AT3236" t="s">
        <v>8828</v>
      </c>
      <c r="AU3236">
        <v>25.44</v>
      </c>
      <c r="AV3236">
        <v>27.45</v>
      </c>
      <c r="AW3236">
        <v>1.19</v>
      </c>
      <c r="BA3236">
        <v>-0.67</v>
      </c>
      <c r="BB3236">
        <v>0.92</v>
      </c>
      <c r="BC3236">
        <v>-1.73</v>
      </c>
      <c r="BD3236">
        <v>-0.93</v>
      </c>
      <c r="BE3236">
        <v>-0.7</v>
      </c>
      <c r="BF3236">
        <v>-2.2599999999999998</v>
      </c>
      <c r="BG3236">
        <v>0.37</v>
      </c>
      <c r="BH3236">
        <v>-0.44</v>
      </c>
      <c r="BI3236">
        <v>20191025</v>
      </c>
      <c r="BJ3236">
        <v>20170209</v>
      </c>
      <c r="BK3236">
        <v>0.79</v>
      </c>
      <c r="BL3236" t="s">
        <v>116</v>
      </c>
      <c r="BM3236" t="s">
        <v>116</v>
      </c>
      <c r="BN3236">
        <v>8.34</v>
      </c>
      <c r="BO3236">
        <v>7.48</v>
      </c>
      <c r="BP3236">
        <v>0.17</v>
      </c>
      <c r="BQ3236">
        <v>8.27</v>
      </c>
      <c r="BR3236">
        <v>5.03</v>
      </c>
      <c r="BS3236">
        <v>1.56</v>
      </c>
      <c r="BT3236">
        <v>0.75</v>
      </c>
      <c r="BU3236">
        <v>0.56999999999999995</v>
      </c>
      <c r="BV3236">
        <v>0.51</v>
      </c>
      <c r="BW3236">
        <v>0.54</v>
      </c>
      <c r="BX3236">
        <v>2.65</v>
      </c>
      <c r="BY3236">
        <v>2.37</v>
      </c>
      <c r="BZ3236">
        <v>0.89</v>
      </c>
      <c r="CA3236">
        <v>1.06</v>
      </c>
      <c r="CB3236">
        <v>7.0000000000000007E-2</v>
      </c>
      <c r="CC3236">
        <v>1.06</v>
      </c>
      <c r="CD3236">
        <v>0.89</v>
      </c>
      <c r="CE3236">
        <v>0.87</v>
      </c>
      <c r="CF3236">
        <v>0.77</v>
      </c>
      <c r="CG3236">
        <v>3.66</v>
      </c>
      <c r="CH3236">
        <v>0.81</v>
      </c>
      <c r="CI3236">
        <v>-1.41</v>
      </c>
      <c r="CJ3236">
        <v>6453</v>
      </c>
      <c r="CK3236">
        <v>4993</v>
      </c>
      <c r="CL3236" t="s">
        <v>13949</v>
      </c>
      <c r="CM3236">
        <v>10.29</v>
      </c>
      <c r="CN3236">
        <v>8.15</v>
      </c>
      <c r="CO3236">
        <v>3.76</v>
      </c>
      <c r="CP3236">
        <v>34.630000000000003</v>
      </c>
      <c r="CQ3236">
        <v>11.87</v>
      </c>
      <c r="CR3236">
        <v>1.1299999999999999</v>
      </c>
      <c r="CS3236" t="s">
        <v>10118</v>
      </c>
      <c r="CT3236">
        <v>9.41</v>
      </c>
      <c r="CU3236">
        <v>0</v>
      </c>
      <c r="CV3236">
        <v>3.33</v>
      </c>
      <c r="CW3236">
        <v>4.6100000000000003</v>
      </c>
      <c r="CX3236">
        <v>1.02</v>
      </c>
      <c r="CY3236">
        <v>89.72</v>
      </c>
      <c r="CZ3236" t="s">
        <v>2893</v>
      </c>
      <c r="DA3236">
        <v>62.49</v>
      </c>
      <c r="DB3236">
        <v>44.75</v>
      </c>
      <c r="DC3236">
        <v>36.700000000000003</v>
      </c>
      <c r="DD3236">
        <v>0.17</v>
      </c>
      <c r="DE3236">
        <v>476</v>
      </c>
      <c r="DF3236">
        <v>603040</v>
      </c>
      <c r="DG3236" t="s">
        <v>116</v>
      </c>
      <c r="DH3236" t="s">
        <v>116</v>
      </c>
      <c r="DI3236" t="s">
        <v>116</v>
      </c>
    </row>
    <row r="3237" spans="1:113" x14ac:dyDescent="0.4">
      <c r="A3237" t="str">
        <f>"603041"</f>
        <v>603041</v>
      </c>
      <c r="B3237" t="s">
        <v>13950</v>
      </c>
      <c r="C3237">
        <v>1.93</v>
      </c>
      <c r="D3237">
        <v>17.47</v>
      </c>
      <c r="E3237">
        <v>0.33</v>
      </c>
      <c r="F3237">
        <v>17.47</v>
      </c>
      <c r="G3237">
        <v>17.48</v>
      </c>
      <c r="H3237">
        <v>20374</v>
      </c>
      <c r="I3237">
        <v>253</v>
      </c>
      <c r="J3237">
        <v>-0.05</v>
      </c>
      <c r="K3237">
        <v>4.38</v>
      </c>
      <c r="L3237">
        <v>17.14</v>
      </c>
      <c r="M3237">
        <v>17.61</v>
      </c>
      <c r="N3237">
        <v>17.13</v>
      </c>
      <c r="O3237">
        <v>17.14</v>
      </c>
      <c r="P3237">
        <v>23.7</v>
      </c>
      <c r="Q3237">
        <v>35527456</v>
      </c>
      <c r="R3237">
        <v>1.93</v>
      </c>
      <c r="S3237" t="s">
        <v>891</v>
      </c>
      <c r="T3237" t="s">
        <v>323</v>
      </c>
      <c r="U3237">
        <v>2.8</v>
      </c>
      <c r="V3237">
        <v>17.440000000000001</v>
      </c>
      <c r="W3237">
        <v>10007</v>
      </c>
      <c r="X3237">
        <v>10367</v>
      </c>
      <c r="Y3237">
        <v>0.97</v>
      </c>
      <c r="Z3237">
        <v>6</v>
      </c>
      <c r="AA3237">
        <v>25</v>
      </c>
      <c r="AB3237" t="s">
        <v>116</v>
      </c>
      <c r="AC3237">
        <v>49700</v>
      </c>
      <c r="AD3237">
        <v>0.01</v>
      </c>
      <c r="AE3237" t="s">
        <v>116</v>
      </c>
      <c r="AF3237" t="s">
        <v>116</v>
      </c>
      <c r="AG3237">
        <v>0.47</v>
      </c>
      <c r="AH3237" t="s">
        <v>13951</v>
      </c>
      <c r="AI3237" t="s">
        <v>13952</v>
      </c>
      <c r="AJ3237">
        <v>2</v>
      </c>
      <c r="AK3237">
        <v>1533</v>
      </c>
      <c r="AL3237">
        <v>13</v>
      </c>
      <c r="AM3237">
        <v>2.8999999999999998E-3</v>
      </c>
      <c r="AN3237">
        <v>1</v>
      </c>
      <c r="AO3237">
        <v>1.22</v>
      </c>
      <c r="AP3237">
        <v>11.84</v>
      </c>
      <c r="AQ3237">
        <v>8.17</v>
      </c>
      <c r="AR3237">
        <v>24.43</v>
      </c>
      <c r="AS3237">
        <v>6.34</v>
      </c>
      <c r="AT3237" t="s">
        <v>7216</v>
      </c>
      <c r="AU3237">
        <v>27.02</v>
      </c>
      <c r="AV3237">
        <v>43.07</v>
      </c>
      <c r="AW3237">
        <v>1.44</v>
      </c>
      <c r="BA3237">
        <v>0</v>
      </c>
      <c r="BB3237">
        <v>2.74</v>
      </c>
      <c r="BC3237">
        <v>-0.06</v>
      </c>
      <c r="BD3237">
        <v>1.74</v>
      </c>
      <c r="BE3237">
        <v>1.93</v>
      </c>
      <c r="BF3237">
        <v>-0.79</v>
      </c>
      <c r="BG3237">
        <v>1.98</v>
      </c>
      <c r="BH3237">
        <v>0.19</v>
      </c>
      <c r="BI3237">
        <v>20191026</v>
      </c>
      <c r="BJ3237">
        <v>20170330</v>
      </c>
      <c r="BK3237">
        <v>1.01</v>
      </c>
      <c r="BL3237" t="s">
        <v>116</v>
      </c>
      <c r="BM3237" t="s">
        <v>116</v>
      </c>
      <c r="BN3237">
        <v>8.56</v>
      </c>
      <c r="BO3237">
        <v>7.79</v>
      </c>
      <c r="BP3237">
        <v>0</v>
      </c>
      <c r="BQ3237">
        <v>9</v>
      </c>
      <c r="BR3237">
        <v>6.44</v>
      </c>
      <c r="BS3237">
        <v>1.55</v>
      </c>
      <c r="BT3237">
        <v>0.24</v>
      </c>
      <c r="BU3237">
        <v>0.7</v>
      </c>
      <c r="BV3237">
        <v>0.34</v>
      </c>
      <c r="BW3237">
        <v>0.69</v>
      </c>
      <c r="BX3237">
        <v>3.24</v>
      </c>
      <c r="BY3237">
        <v>2.54</v>
      </c>
      <c r="BZ3237">
        <v>1.55</v>
      </c>
      <c r="CA3237">
        <v>0.66</v>
      </c>
      <c r="CB3237">
        <v>0.04</v>
      </c>
      <c r="CC3237">
        <v>0.66</v>
      </c>
      <c r="CD3237">
        <v>0.56000000000000005</v>
      </c>
      <c r="CE3237">
        <v>0.56000000000000005</v>
      </c>
      <c r="CF3237">
        <v>0.45</v>
      </c>
      <c r="CG3237">
        <v>3.22</v>
      </c>
      <c r="CH3237">
        <v>0.64</v>
      </c>
      <c r="CI3237">
        <v>0.32</v>
      </c>
      <c r="CJ3237">
        <v>8747</v>
      </c>
      <c r="CK3237">
        <v>3672</v>
      </c>
      <c r="CL3237" t="s">
        <v>2206</v>
      </c>
      <c r="CM3237">
        <v>77.3</v>
      </c>
      <c r="CN3237">
        <v>10.19</v>
      </c>
      <c r="CO3237">
        <v>2.2599999999999998</v>
      </c>
      <c r="CP3237">
        <v>27.47</v>
      </c>
      <c r="CQ3237">
        <v>6.91</v>
      </c>
      <c r="CR3237">
        <v>0.75</v>
      </c>
      <c r="CS3237" t="s">
        <v>6801</v>
      </c>
      <c r="CT3237">
        <v>7.74</v>
      </c>
      <c r="CU3237">
        <v>0</v>
      </c>
      <c r="CV3237">
        <v>3.22</v>
      </c>
      <c r="CW3237">
        <v>3.2</v>
      </c>
      <c r="CX3237">
        <v>0.64</v>
      </c>
      <c r="CY3237">
        <v>91</v>
      </c>
      <c r="CZ3237" t="s">
        <v>4447</v>
      </c>
      <c r="DA3237">
        <v>38.97</v>
      </c>
      <c r="DB3237">
        <v>25.81</v>
      </c>
      <c r="DC3237">
        <v>21.88</v>
      </c>
      <c r="DD3237">
        <v>0.15</v>
      </c>
      <c r="DE3237">
        <v>118</v>
      </c>
      <c r="DF3237">
        <v>603041</v>
      </c>
      <c r="DG3237" t="s">
        <v>116</v>
      </c>
      <c r="DH3237" t="s">
        <v>116</v>
      </c>
      <c r="DI3237" t="s">
        <v>116</v>
      </c>
    </row>
    <row r="3238" spans="1:113" x14ac:dyDescent="0.4">
      <c r="A3238" t="str">
        <f>"603042"</f>
        <v>603042</v>
      </c>
      <c r="B3238" t="s">
        <v>13953</v>
      </c>
      <c r="C3238">
        <v>-1.1000000000000001</v>
      </c>
      <c r="D3238">
        <v>15.22</v>
      </c>
      <c r="E3238">
        <v>-0.17</v>
      </c>
      <c r="F3238">
        <v>15.22</v>
      </c>
      <c r="G3238">
        <v>15.23</v>
      </c>
      <c r="H3238">
        <v>22331</v>
      </c>
      <c r="I3238">
        <v>501</v>
      </c>
      <c r="J3238">
        <v>-0.32</v>
      </c>
      <c r="K3238">
        <v>2.21</v>
      </c>
      <c r="L3238">
        <v>15.49</v>
      </c>
      <c r="M3238">
        <v>15.55</v>
      </c>
      <c r="N3238">
        <v>15.22</v>
      </c>
      <c r="O3238">
        <v>15.39</v>
      </c>
      <c r="P3238" t="s">
        <v>116</v>
      </c>
      <c r="Q3238">
        <v>34300680</v>
      </c>
      <c r="R3238">
        <v>0.76</v>
      </c>
      <c r="S3238" t="s">
        <v>465</v>
      </c>
      <c r="T3238" t="s">
        <v>323</v>
      </c>
      <c r="U3238">
        <v>2.14</v>
      </c>
      <c r="V3238">
        <v>15.36</v>
      </c>
      <c r="W3238">
        <v>12361</v>
      </c>
      <c r="X3238">
        <v>9970</v>
      </c>
      <c r="Y3238">
        <v>1.24</v>
      </c>
      <c r="Z3238">
        <v>28</v>
      </c>
      <c r="AA3238">
        <v>3</v>
      </c>
      <c r="AB3238" t="s">
        <v>116</v>
      </c>
      <c r="AC3238">
        <v>187400</v>
      </c>
      <c r="AD3238">
        <v>0.02</v>
      </c>
      <c r="AE3238" t="s">
        <v>116</v>
      </c>
      <c r="AF3238" t="s">
        <v>116</v>
      </c>
      <c r="AG3238">
        <v>1.01</v>
      </c>
      <c r="AH3238" t="s">
        <v>1505</v>
      </c>
      <c r="AI3238" t="s">
        <v>13954</v>
      </c>
      <c r="AJ3238">
        <v>-1.03</v>
      </c>
      <c r="AK3238">
        <v>1643</v>
      </c>
      <c r="AL3238">
        <v>14</v>
      </c>
      <c r="AM3238">
        <v>1.2999999999999999E-3</v>
      </c>
      <c r="AN3238">
        <v>-1</v>
      </c>
      <c r="AO3238">
        <v>1.2</v>
      </c>
      <c r="AP3238">
        <v>8.17</v>
      </c>
      <c r="AQ3238">
        <v>-5.29</v>
      </c>
      <c r="AR3238">
        <v>-0.98</v>
      </c>
      <c r="AS3238">
        <v>2.89</v>
      </c>
      <c r="AT3238" t="s">
        <v>9525</v>
      </c>
      <c r="AU3238" t="s">
        <v>116</v>
      </c>
      <c r="AV3238" t="s">
        <v>116</v>
      </c>
      <c r="AW3238">
        <v>1.48</v>
      </c>
      <c r="BA3238">
        <v>0.65</v>
      </c>
      <c r="BB3238">
        <v>1.04</v>
      </c>
      <c r="BC3238">
        <v>-1.1000000000000001</v>
      </c>
      <c r="BD3238">
        <v>-0.19</v>
      </c>
      <c r="BE3238">
        <v>-1.74</v>
      </c>
      <c r="BF3238">
        <v>-2.12</v>
      </c>
      <c r="BG3238">
        <v>0</v>
      </c>
      <c r="BH3238">
        <v>-0.91</v>
      </c>
      <c r="BI3238">
        <v>20191025</v>
      </c>
      <c r="BJ3238">
        <v>20170602</v>
      </c>
      <c r="BK3238">
        <v>1.36</v>
      </c>
      <c r="BL3238" t="s">
        <v>116</v>
      </c>
      <c r="BM3238" t="s">
        <v>116</v>
      </c>
      <c r="BN3238">
        <v>23.31</v>
      </c>
      <c r="BO3238">
        <v>7.82</v>
      </c>
      <c r="BP3238">
        <v>1.04</v>
      </c>
      <c r="BQ3238">
        <v>62</v>
      </c>
      <c r="BR3238">
        <v>14.5</v>
      </c>
      <c r="BS3238">
        <v>3.17</v>
      </c>
      <c r="BT3238">
        <v>1.21</v>
      </c>
      <c r="BU3238">
        <v>10.79</v>
      </c>
      <c r="BV3238">
        <v>2.5499999999999998</v>
      </c>
      <c r="BW3238">
        <v>7.89</v>
      </c>
      <c r="BX3238">
        <v>5.08</v>
      </c>
      <c r="BY3238">
        <v>8.06</v>
      </c>
      <c r="BZ3238">
        <v>6.17</v>
      </c>
      <c r="CA3238">
        <v>0.06</v>
      </c>
      <c r="CB3238">
        <v>0</v>
      </c>
      <c r="CC3238">
        <v>0.06</v>
      </c>
      <c r="CD3238">
        <v>-0.02</v>
      </c>
      <c r="CE3238">
        <v>-0.03</v>
      </c>
      <c r="CF3238">
        <v>-0.13</v>
      </c>
      <c r="CG3238">
        <v>1.18</v>
      </c>
      <c r="CH3238">
        <v>0.17</v>
      </c>
      <c r="CI3238">
        <v>-0.22</v>
      </c>
      <c r="CJ3238">
        <v>17480</v>
      </c>
      <c r="CK3238">
        <v>4426</v>
      </c>
      <c r="CL3238" t="s">
        <v>9688</v>
      </c>
      <c r="CM3238">
        <v>88.73</v>
      </c>
      <c r="CN3238">
        <v>10.58</v>
      </c>
      <c r="CO3238">
        <v>2.65</v>
      </c>
      <c r="CP3238">
        <v>124.73</v>
      </c>
      <c r="CQ3238">
        <v>2.57</v>
      </c>
      <c r="CR3238">
        <v>0</v>
      </c>
      <c r="CS3238" t="s">
        <v>876</v>
      </c>
      <c r="CT3238">
        <v>5.75</v>
      </c>
      <c r="CU3238">
        <v>0</v>
      </c>
      <c r="CV3238">
        <v>3.74</v>
      </c>
      <c r="CW3238">
        <v>0.87</v>
      </c>
      <c r="CX3238">
        <v>0.12</v>
      </c>
      <c r="CY3238">
        <v>33.54</v>
      </c>
      <c r="CZ3238" t="s">
        <v>13955</v>
      </c>
      <c r="DA3238">
        <v>23.46</v>
      </c>
      <c r="DB3238">
        <v>0.78</v>
      </c>
      <c r="DC3238">
        <v>-0.31</v>
      </c>
      <c r="DD3238">
        <v>0.37</v>
      </c>
      <c r="DE3238">
        <v>1537</v>
      </c>
      <c r="DF3238">
        <v>603042</v>
      </c>
      <c r="DG3238" t="s">
        <v>116</v>
      </c>
      <c r="DH3238" t="s">
        <v>116</v>
      </c>
      <c r="DI3238" t="s">
        <v>116</v>
      </c>
    </row>
    <row r="3239" spans="1:113" x14ac:dyDescent="0.4">
      <c r="A3239" t="str">
        <f>"603043"</f>
        <v>603043</v>
      </c>
      <c r="B3239" t="s">
        <v>13956</v>
      </c>
      <c r="C3239">
        <v>-1.28</v>
      </c>
      <c r="D3239">
        <v>30.16</v>
      </c>
      <c r="E3239">
        <v>-0.39</v>
      </c>
      <c r="F3239">
        <v>30.16</v>
      </c>
      <c r="G3239">
        <v>30.2</v>
      </c>
      <c r="H3239">
        <v>12255</v>
      </c>
      <c r="I3239">
        <v>124</v>
      </c>
      <c r="J3239">
        <v>7.0000000000000007E-2</v>
      </c>
      <c r="K3239">
        <v>0.98</v>
      </c>
      <c r="L3239">
        <v>30.41</v>
      </c>
      <c r="M3239">
        <v>30.8</v>
      </c>
      <c r="N3239">
        <v>30.13</v>
      </c>
      <c r="O3239">
        <v>30.55</v>
      </c>
      <c r="P3239">
        <v>28.12</v>
      </c>
      <c r="Q3239">
        <v>37332108</v>
      </c>
      <c r="R3239">
        <v>0.82</v>
      </c>
      <c r="S3239" t="s">
        <v>863</v>
      </c>
      <c r="T3239" t="s">
        <v>551</v>
      </c>
      <c r="U3239">
        <v>2.19</v>
      </c>
      <c r="V3239">
        <v>30.46</v>
      </c>
      <c r="W3239">
        <v>7465</v>
      </c>
      <c r="X3239">
        <v>4790</v>
      </c>
      <c r="Y3239">
        <v>1.56</v>
      </c>
      <c r="Z3239">
        <v>60</v>
      </c>
      <c r="AA3239">
        <v>18</v>
      </c>
      <c r="AB3239" t="s">
        <v>116</v>
      </c>
      <c r="AC3239">
        <v>33500</v>
      </c>
      <c r="AD3239">
        <v>0</v>
      </c>
      <c r="AE3239" t="s">
        <v>116</v>
      </c>
      <c r="AF3239" t="s">
        <v>116</v>
      </c>
      <c r="AG3239">
        <v>1.26</v>
      </c>
      <c r="AH3239" t="s">
        <v>13957</v>
      </c>
      <c r="AI3239" t="s">
        <v>13958</v>
      </c>
      <c r="AJ3239">
        <v>-1.2</v>
      </c>
      <c r="AK3239">
        <v>1324</v>
      </c>
      <c r="AL3239">
        <v>9</v>
      </c>
      <c r="AM3239">
        <v>6.9999999999999999E-4</v>
      </c>
      <c r="AN3239">
        <v>-1</v>
      </c>
      <c r="AO3239">
        <v>-0.8</v>
      </c>
      <c r="AP3239">
        <v>1.28</v>
      </c>
      <c r="AQ3239">
        <v>-9.43</v>
      </c>
      <c r="AR3239">
        <v>13.04</v>
      </c>
      <c r="AS3239">
        <v>0.98</v>
      </c>
      <c r="AT3239" t="s">
        <v>13957</v>
      </c>
      <c r="AU3239">
        <v>29.64</v>
      </c>
      <c r="AV3239">
        <v>31.74</v>
      </c>
      <c r="AW3239">
        <v>0.61</v>
      </c>
      <c r="BA3239">
        <v>-0.46</v>
      </c>
      <c r="BB3239">
        <v>0.82</v>
      </c>
      <c r="BC3239">
        <v>-1.37</v>
      </c>
      <c r="BD3239">
        <v>-0.28999999999999998</v>
      </c>
      <c r="BE3239">
        <v>-0.82</v>
      </c>
      <c r="BF3239">
        <v>-2.08</v>
      </c>
      <c r="BG3239">
        <v>0.1</v>
      </c>
      <c r="BH3239">
        <v>-0.99</v>
      </c>
      <c r="BI3239">
        <v>20191030</v>
      </c>
      <c r="BJ3239">
        <v>20170627</v>
      </c>
      <c r="BK3239">
        <v>4.04</v>
      </c>
      <c r="BL3239" t="s">
        <v>116</v>
      </c>
      <c r="BM3239" t="s">
        <v>116</v>
      </c>
      <c r="BN3239">
        <v>32.590000000000003</v>
      </c>
      <c r="BO3239">
        <v>21.22</v>
      </c>
      <c r="BP3239">
        <v>0.22</v>
      </c>
      <c r="BQ3239">
        <v>34.21</v>
      </c>
      <c r="BR3239">
        <v>20.91</v>
      </c>
      <c r="BS3239">
        <v>5.77</v>
      </c>
      <c r="BT3239">
        <v>1.46</v>
      </c>
      <c r="BU3239">
        <v>10.47</v>
      </c>
      <c r="BV3239">
        <v>1.92</v>
      </c>
      <c r="BW3239">
        <v>2.5099999999999998</v>
      </c>
      <c r="BX3239">
        <v>5.76</v>
      </c>
      <c r="BY3239">
        <v>24.09</v>
      </c>
      <c r="BZ3239">
        <v>11</v>
      </c>
      <c r="CA3239">
        <v>3.94</v>
      </c>
      <c r="CB3239">
        <v>0.05</v>
      </c>
      <c r="CC3239">
        <v>3.94</v>
      </c>
      <c r="CD3239">
        <v>3.24</v>
      </c>
      <c r="CE3239">
        <v>3.25</v>
      </c>
      <c r="CF3239">
        <v>3.11</v>
      </c>
      <c r="CG3239">
        <v>9.91</v>
      </c>
      <c r="CH3239">
        <v>7.27</v>
      </c>
      <c r="CI3239">
        <v>3.14</v>
      </c>
      <c r="CJ3239">
        <v>10792</v>
      </c>
      <c r="CK3239">
        <v>11630</v>
      </c>
      <c r="CL3239" t="s">
        <v>10357</v>
      </c>
      <c r="CM3239">
        <v>9.1199999999999992</v>
      </c>
      <c r="CN3239">
        <v>19.600000000000001</v>
      </c>
      <c r="CO3239">
        <v>5.74</v>
      </c>
      <c r="CP3239">
        <v>16.75</v>
      </c>
      <c r="CQ3239">
        <v>5.0599999999999996</v>
      </c>
      <c r="CR3239">
        <v>1.33</v>
      </c>
      <c r="CS3239" t="s">
        <v>2757</v>
      </c>
      <c r="CT3239">
        <v>5.25</v>
      </c>
      <c r="CU3239">
        <v>0</v>
      </c>
      <c r="CV3239">
        <v>1.42</v>
      </c>
      <c r="CW3239">
        <v>2.4500000000000002</v>
      </c>
      <c r="CX3239">
        <v>1.8</v>
      </c>
      <c r="CY3239">
        <v>65.11</v>
      </c>
      <c r="CZ3239" t="s">
        <v>3734</v>
      </c>
      <c r="DA3239">
        <v>54.34</v>
      </c>
      <c r="DB3239">
        <v>16.36</v>
      </c>
      <c r="DC3239">
        <v>13.49</v>
      </c>
      <c r="DD3239">
        <v>0.43</v>
      </c>
      <c r="DE3239">
        <v>4523</v>
      </c>
      <c r="DF3239">
        <v>603043</v>
      </c>
      <c r="DG3239" t="s">
        <v>116</v>
      </c>
      <c r="DH3239" t="s">
        <v>116</v>
      </c>
      <c r="DI3239" t="s">
        <v>116</v>
      </c>
    </row>
    <row r="3240" spans="1:113" x14ac:dyDescent="0.4">
      <c r="A3240" t="str">
        <f>"603045"</f>
        <v>603045</v>
      </c>
      <c r="B3240" t="s">
        <v>13959</v>
      </c>
      <c r="C3240">
        <v>0.67</v>
      </c>
      <c r="D3240">
        <v>14.96</v>
      </c>
      <c r="E3240">
        <v>0.1</v>
      </c>
      <c r="F3240">
        <v>14.95</v>
      </c>
      <c r="G3240">
        <v>14.96</v>
      </c>
      <c r="H3240">
        <v>42575</v>
      </c>
      <c r="I3240">
        <v>486</v>
      </c>
      <c r="J3240">
        <v>-0.12</v>
      </c>
      <c r="K3240">
        <v>4.4800000000000004</v>
      </c>
      <c r="L3240">
        <v>14.84</v>
      </c>
      <c r="M3240">
        <v>15.16</v>
      </c>
      <c r="N3240">
        <v>14.84</v>
      </c>
      <c r="O3240">
        <v>14.86</v>
      </c>
      <c r="P3240">
        <v>30.46</v>
      </c>
      <c r="Q3240">
        <v>63957900</v>
      </c>
      <c r="R3240">
        <v>1.1299999999999999</v>
      </c>
      <c r="S3240" t="s">
        <v>397</v>
      </c>
      <c r="T3240" t="s">
        <v>590</v>
      </c>
      <c r="U3240">
        <v>2.15</v>
      </c>
      <c r="V3240">
        <v>15.02</v>
      </c>
      <c r="W3240">
        <v>19448</v>
      </c>
      <c r="X3240">
        <v>23127</v>
      </c>
      <c r="Y3240">
        <v>0.84</v>
      </c>
      <c r="Z3240">
        <v>182</v>
      </c>
      <c r="AA3240">
        <v>102</v>
      </c>
      <c r="AB3240" t="s">
        <v>116</v>
      </c>
      <c r="AC3240">
        <v>400700</v>
      </c>
      <c r="AD3240">
        <v>0.03</v>
      </c>
      <c r="AE3240" t="s">
        <v>116</v>
      </c>
      <c r="AF3240" t="s">
        <v>116</v>
      </c>
      <c r="AG3240">
        <v>0.95</v>
      </c>
      <c r="AH3240" t="s">
        <v>8552</v>
      </c>
      <c r="AI3240" t="s">
        <v>3557</v>
      </c>
      <c r="AJ3240">
        <v>0.75</v>
      </c>
      <c r="AK3240">
        <v>1999</v>
      </c>
      <c r="AL3240">
        <v>21</v>
      </c>
      <c r="AM3240">
        <v>2.2000000000000001E-3</v>
      </c>
      <c r="AN3240">
        <v>1</v>
      </c>
      <c r="AO3240">
        <v>-0.2</v>
      </c>
      <c r="AP3240">
        <v>6.1</v>
      </c>
      <c r="AQ3240">
        <v>-9.61</v>
      </c>
      <c r="AR3240">
        <v>-26.72</v>
      </c>
      <c r="AS3240">
        <v>4.4800000000000004</v>
      </c>
      <c r="AT3240" t="s">
        <v>8552</v>
      </c>
      <c r="AU3240">
        <v>28.84</v>
      </c>
      <c r="AV3240">
        <v>35.6</v>
      </c>
      <c r="AW3240">
        <v>1.45</v>
      </c>
      <c r="BA3240">
        <v>-0.13</v>
      </c>
      <c r="BB3240">
        <v>2.02</v>
      </c>
      <c r="BC3240">
        <v>-0.13</v>
      </c>
      <c r="BD3240">
        <v>1.0900000000000001</v>
      </c>
      <c r="BE3240">
        <v>0.81</v>
      </c>
      <c r="BF3240">
        <v>-1.32</v>
      </c>
      <c r="BG3240">
        <v>0.81</v>
      </c>
      <c r="BH3240">
        <v>-0.42</v>
      </c>
      <c r="BI3240">
        <v>20191031</v>
      </c>
      <c r="BJ3240">
        <v>20180517</v>
      </c>
      <c r="BK3240">
        <v>1.38</v>
      </c>
      <c r="BL3240" t="s">
        <v>116</v>
      </c>
      <c r="BM3240" t="s">
        <v>116</v>
      </c>
      <c r="BN3240">
        <v>14.37</v>
      </c>
      <c r="BO3240">
        <v>8.02</v>
      </c>
      <c r="BP3240">
        <v>0</v>
      </c>
      <c r="BQ3240">
        <v>44.16</v>
      </c>
      <c r="BR3240">
        <v>9.9</v>
      </c>
      <c r="BS3240">
        <v>2.66</v>
      </c>
      <c r="BT3240">
        <v>0.47</v>
      </c>
      <c r="BU3240">
        <v>5.83</v>
      </c>
      <c r="BV3240">
        <v>4.8</v>
      </c>
      <c r="BW3240">
        <v>3.18</v>
      </c>
      <c r="BX3240">
        <v>2.46</v>
      </c>
      <c r="BY3240">
        <v>10.77</v>
      </c>
      <c r="BZ3240">
        <v>9.26</v>
      </c>
      <c r="CA3240">
        <v>0.45</v>
      </c>
      <c r="CB3240">
        <v>0.02</v>
      </c>
      <c r="CC3240">
        <v>0.56000000000000005</v>
      </c>
      <c r="CD3240">
        <v>0.51</v>
      </c>
      <c r="CE3240">
        <v>0.51</v>
      </c>
      <c r="CF3240">
        <v>0.35</v>
      </c>
      <c r="CG3240">
        <v>3.65</v>
      </c>
      <c r="CH3240">
        <v>-2.4700000000000002</v>
      </c>
      <c r="CI3240">
        <v>-0.51</v>
      </c>
      <c r="CJ3240">
        <v>19482</v>
      </c>
      <c r="CK3240">
        <v>4873</v>
      </c>
      <c r="CL3240" t="s">
        <v>957</v>
      </c>
      <c r="CM3240">
        <v>36.479999999999997</v>
      </c>
      <c r="CN3240">
        <v>13.71</v>
      </c>
      <c r="CO3240">
        <v>2.57</v>
      </c>
      <c r="CP3240">
        <v>-8.33</v>
      </c>
      <c r="CQ3240">
        <v>1.91</v>
      </c>
      <c r="CR3240">
        <v>0.56999999999999995</v>
      </c>
      <c r="CS3240" t="s">
        <v>3828</v>
      </c>
      <c r="CT3240">
        <v>5.83</v>
      </c>
      <c r="CU3240">
        <v>0</v>
      </c>
      <c r="CV3240">
        <v>1.79</v>
      </c>
      <c r="CW3240">
        <v>2.65</v>
      </c>
      <c r="CX3240">
        <v>-1.8</v>
      </c>
      <c r="CY3240">
        <v>55.84</v>
      </c>
      <c r="CZ3240" t="s">
        <v>3119</v>
      </c>
      <c r="DA3240">
        <v>14.03</v>
      </c>
      <c r="DB3240">
        <v>4.1500000000000004</v>
      </c>
      <c r="DC3240">
        <v>4.71</v>
      </c>
      <c r="DD3240">
        <v>0.33</v>
      </c>
      <c r="DE3240">
        <v>1146</v>
      </c>
      <c r="DF3240">
        <v>603045</v>
      </c>
      <c r="DG3240" t="s">
        <v>116</v>
      </c>
      <c r="DH3240" t="s">
        <v>116</v>
      </c>
      <c r="DI3240" t="s">
        <v>116</v>
      </c>
    </row>
    <row r="3241" spans="1:113" x14ac:dyDescent="0.4">
      <c r="A3241" t="str">
        <f>"603050"</f>
        <v>603050</v>
      </c>
      <c r="B3241" t="s">
        <v>13960</v>
      </c>
      <c r="C3241">
        <v>-0.81</v>
      </c>
      <c r="D3241">
        <v>11.02</v>
      </c>
      <c r="E3241">
        <v>-0.09</v>
      </c>
      <c r="F3241">
        <v>11.01</v>
      </c>
      <c r="G3241">
        <v>11.06</v>
      </c>
      <c r="H3241">
        <v>17637</v>
      </c>
      <c r="I3241">
        <v>284</v>
      </c>
      <c r="J3241">
        <v>0.18</v>
      </c>
      <c r="K3241">
        <v>2.17</v>
      </c>
      <c r="L3241">
        <v>11.14</v>
      </c>
      <c r="M3241">
        <v>11.29</v>
      </c>
      <c r="N3241">
        <v>11</v>
      </c>
      <c r="O3241">
        <v>11.11</v>
      </c>
      <c r="P3241">
        <v>31.3</v>
      </c>
      <c r="Q3241">
        <v>19693256</v>
      </c>
      <c r="R3241">
        <v>1.27</v>
      </c>
      <c r="S3241" t="s">
        <v>397</v>
      </c>
      <c r="T3241" t="s">
        <v>608</v>
      </c>
      <c r="U3241">
        <v>2.61</v>
      </c>
      <c r="V3241">
        <v>11.17</v>
      </c>
      <c r="W3241">
        <v>9700</v>
      </c>
      <c r="X3241">
        <v>7937</v>
      </c>
      <c r="Y3241">
        <v>1.22</v>
      </c>
      <c r="Z3241">
        <v>64</v>
      </c>
      <c r="AA3241">
        <v>39</v>
      </c>
      <c r="AB3241" t="s">
        <v>116</v>
      </c>
      <c r="AC3241">
        <v>33400</v>
      </c>
      <c r="AD3241">
        <v>0</v>
      </c>
      <c r="AE3241" t="s">
        <v>116</v>
      </c>
      <c r="AF3241" t="s">
        <v>116</v>
      </c>
      <c r="AG3241">
        <v>0.81</v>
      </c>
      <c r="AH3241" t="s">
        <v>6509</v>
      </c>
      <c r="AI3241" t="s">
        <v>13961</v>
      </c>
      <c r="AJ3241">
        <v>-0.73</v>
      </c>
      <c r="AK3241">
        <v>918</v>
      </c>
      <c r="AL3241">
        <v>19</v>
      </c>
      <c r="AM3241">
        <v>2.3999999999999998E-3</v>
      </c>
      <c r="AN3241">
        <v>-1</v>
      </c>
      <c r="AO3241">
        <v>0.73</v>
      </c>
      <c r="AP3241">
        <v>3.86</v>
      </c>
      <c r="AQ3241">
        <v>-8.5500000000000007</v>
      </c>
      <c r="AR3241">
        <v>-15.26</v>
      </c>
      <c r="AS3241">
        <v>2.2000000000000002</v>
      </c>
      <c r="AT3241" t="s">
        <v>13962</v>
      </c>
      <c r="AU3241">
        <v>20.399999999999999</v>
      </c>
      <c r="AV3241">
        <v>20.54</v>
      </c>
      <c r="AW3241">
        <v>1.38</v>
      </c>
      <c r="BA3241">
        <v>0.27</v>
      </c>
      <c r="BB3241">
        <v>1.62</v>
      </c>
      <c r="BC3241">
        <v>-0.99</v>
      </c>
      <c r="BD3241">
        <v>0.5</v>
      </c>
      <c r="BE3241">
        <v>-1.08</v>
      </c>
      <c r="BF3241">
        <v>-2.39</v>
      </c>
      <c r="BG3241">
        <v>0.18</v>
      </c>
      <c r="BH3241">
        <v>-1.31</v>
      </c>
      <c r="BI3241">
        <v>20191030</v>
      </c>
      <c r="BJ3241">
        <v>20170414</v>
      </c>
      <c r="BK3241">
        <v>1.62</v>
      </c>
      <c r="BL3241" t="s">
        <v>116</v>
      </c>
      <c r="BM3241" t="s">
        <v>116</v>
      </c>
      <c r="BN3241">
        <v>23.06</v>
      </c>
      <c r="BO3241">
        <v>10.74</v>
      </c>
      <c r="BP3241">
        <v>0.05</v>
      </c>
      <c r="BQ3241">
        <v>53.19</v>
      </c>
      <c r="BR3241">
        <v>16.440000000000001</v>
      </c>
      <c r="BS3241">
        <v>2.27</v>
      </c>
      <c r="BT3241">
        <v>2.46</v>
      </c>
      <c r="BU3241">
        <v>9.82</v>
      </c>
      <c r="BV3241">
        <v>4.34</v>
      </c>
      <c r="BW3241">
        <v>7.61</v>
      </c>
      <c r="BX3241">
        <v>4.95</v>
      </c>
      <c r="BY3241">
        <v>8.15</v>
      </c>
      <c r="BZ3241">
        <v>5.94</v>
      </c>
      <c r="CA3241">
        <v>0.5</v>
      </c>
      <c r="CB3241">
        <v>0.01</v>
      </c>
      <c r="CC3241">
        <v>0.51</v>
      </c>
      <c r="CD3241">
        <v>0.43</v>
      </c>
      <c r="CE3241">
        <v>0.43</v>
      </c>
      <c r="CF3241">
        <v>0.33</v>
      </c>
      <c r="CG3241">
        <v>3.93</v>
      </c>
      <c r="CH3241">
        <v>-1.1499999999999999</v>
      </c>
      <c r="CI3241">
        <v>-0.99</v>
      </c>
      <c r="CJ3241">
        <v>16819</v>
      </c>
      <c r="CK3241">
        <v>4768</v>
      </c>
      <c r="CL3241" t="s">
        <v>4741</v>
      </c>
      <c r="CM3241">
        <v>1.33</v>
      </c>
      <c r="CN3241">
        <v>12.7</v>
      </c>
      <c r="CO3241">
        <v>1.66</v>
      </c>
      <c r="CP3241">
        <v>-15.55</v>
      </c>
      <c r="CQ3241">
        <v>2.19</v>
      </c>
      <c r="CR3241">
        <v>1.5</v>
      </c>
      <c r="CS3241" t="s">
        <v>2326</v>
      </c>
      <c r="CT3241">
        <v>6.62</v>
      </c>
      <c r="CU3241">
        <v>0</v>
      </c>
      <c r="CV3241">
        <v>3.05</v>
      </c>
      <c r="CW3241">
        <v>2.42</v>
      </c>
      <c r="CX3241">
        <v>-0.71</v>
      </c>
      <c r="CY3241">
        <v>46.57</v>
      </c>
      <c r="CZ3241" t="s">
        <v>11678</v>
      </c>
      <c r="DA3241">
        <v>27.11</v>
      </c>
      <c r="DB3241">
        <v>6.13</v>
      </c>
      <c r="DC3241">
        <v>5.26</v>
      </c>
      <c r="DD3241">
        <v>0.53</v>
      </c>
      <c r="DE3241">
        <v>1655</v>
      </c>
      <c r="DF3241">
        <v>603050</v>
      </c>
      <c r="DG3241" t="s">
        <v>116</v>
      </c>
      <c r="DH3241" t="s">
        <v>116</v>
      </c>
      <c r="DI3241" t="s">
        <v>116</v>
      </c>
    </row>
    <row r="3242" spans="1:113" x14ac:dyDescent="0.4">
      <c r="A3242" t="str">
        <f>"603053"</f>
        <v>603053</v>
      </c>
      <c r="B3242" t="s">
        <v>13963</v>
      </c>
      <c r="C3242">
        <v>1.63</v>
      </c>
      <c r="D3242">
        <v>21.2</v>
      </c>
      <c r="E3242">
        <v>0.34</v>
      </c>
      <c r="F3242">
        <v>21.19</v>
      </c>
      <c r="G3242">
        <v>21.2</v>
      </c>
      <c r="H3242">
        <v>372829</v>
      </c>
      <c r="I3242">
        <v>6207</v>
      </c>
      <c r="J3242">
        <v>-0.27</v>
      </c>
      <c r="K3242">
        <v>41.94</v>
      </c>
      <c r="L3242">
        <v>20.5</v>
      </c>
      <c r="M3242">
        <v>21.8</v>
      </c>
      <c r="N3242">
        <v>20.149999999999999</v>
      </c>
      <c r="O3242">
        <v>20.86</v>
      </c>
      <c r="P3242">
        <v>34.15</v>
      </c>
      <c r="Q3242">
        <v>786609856</v>
      </c>
      <c r="R3242">
        <v>1</v>
      </c>
      <c r="S3242" t="s">
        <v>690</v>
      </c>
      <c r="T3242" t="s">
        <v>582</v>
      </c>
      <c r="U3242">
        <v>7.91</v>
      </c>
      <c r="V3242">
        <v>21.1</v>
      </c>
      <c r="W3242">
        <v>179476</v>
      </c>
      <c r="X3242">
        <v>193353</v>
      </c>
      <c r="Y3242">
        <v>0.93</v>
      </c>
      <c r="Z3242">
        <v>129</v>
      </c>
      <c r="AA3242">
        <v>1013</v>
      </c>
      <c r="AB3242" t="s">
        <v>116</v>
      </c>
      <c r="AC3242">
        <v>5410000</v>
      </c>
      <c r="AD3242">
        <v>0.3</v>
      </c>
      <c r="AE3242" t="s">
        <v>116</v>
      </c>
      <c r="AF3242" t="s">
        <v>116</v>
      </c>
      <c r="AG3242">
        <v>0.89</v>
      </c>
      <c r="AH3242" t="s">
        <v>1077</v>
      </c>
      <c r="AI3242" t="s">
        <v>11911</v>
      </c>
      <c r="AJ3242">
        <v>1.71</v>
      </c>
      <c r="AK3242">
        <v>4472</v>
      </c>
      <c r="AL3242">
        <v>83</v>
      </c>
      <c r="AM3242">
        <v>9.4000000000000004E-3</v>
      </c>
      <c r="AN3242">
        <v>1</v>
      </c>
      <c r="AO3242">
        <v>1.3</v>
      </c>
      <c r="AP3242">
        <v>102.87</v>
      </c>
      <c r="AQ3242">
        <v>102.87</v>
      </c>
      <c r="AR3242">
        <v>102.87</v>
      </c>
      <c r="AS3242">
        <v>41.94</v>
      </c>
      <c r="AT3242" t="s">
        <v>1077</v>
      </c>
      <c r="AU3242">
        <v>44.09</v>
      </c>
      <c r="AV3242">
        <v>44.09</v>
      </c>
      <c r="AW3242">
        <v>0</v>
      </c>
      <c r="BA3242">
        <v>-1.73</v>
      </c>
      <c r="BB3242">
        <v>4.51</v>
      </c>
      <c r="BC3242">
        <v>-3.4</v>
      </c>
      <c r="BD3242">
        <v>1.1399999999999999</v>
      </c>
      <c r="BE3242">
        <v>3.41</v>
      </c>
      <c r="BF3242">
        <v>-2.75</v>
      </c>
      <c r="BG3242">
        <v>5.21</v>
      </c>
      <c r="BH3242">
        <v>0.49</v>
      </c>
      <c r="BI3242">
        <v>20191216</v>
      </c>
      <c r="BJ3242">
        <v>20191217</v>
      </c>
      <c r="BK3242">
        <v>8.89</v>
      </c>
      <c r="BL3242" t="s">
        <v>116</v>
      </c>
      <c r="BM3242" t="s">
        <v>116</v>
      </c>
      <c r="BN3242">
        <v>56.39</v>
      </c>
      <c r="BO3242">
        <v>24.97</v>
      </c>
      <c r="BP3242">
        <v>2.2400000000000002</v>
      </c>
      <c r="BQ3242">
        <v>51.74</v>
      </c>
      <c r="BR3242">
        <v>19.77</v>
      </c>
      <c r="BS3242">
        <v>22.73</v>
      </c>
      <c r="BT3242">
        <v>2.75</v>
      </c>
      <c r="BU3242">
        <v>25.59</v>
      </c>
      <c r="BV3242">
        <v>3.75</v>
      </c>
      <c r="BW3242">
        <v>2.38</v>
      </c>
      <c r="BX3242">
        <v>5.1100000000000003</v>
      </c>
      <c r="BY3242">
        <v>35.700000000000003</v>
      </c>
      <c r="BZ3242">
        <v>27.21</v>
      </c>
      <c r="CA3242">
        <v>5.07</v>
      </c>
      <c r="CB3242">
        <v>0.27</v>
      </c>
      <c r="CC3242">
        <v>5.21</v>
      </c>
      <c r="CD3242">
        <v>4.49</v>
      </c>
      <c r="CE3242">
        <v>4.1399999999999997</v>
      </c>
      <c r="CF3242">
        <v>3.97</v>
      </c>
      <c r="CG3242">
        <v>10.89</v>
      </c>
      <c r="CH3242">
        <v>5.17</v>
      </c>
      <c r="CI3242">
        <v>1.84</v>
      </c>
      <c r="CJ3242">
        <v>88297</v>
      </c>
      <c r="CK3242">
        <v>1007</v>
      </c>
      <c r="CL3242" t="s">
        <v>13964</v>
      </c>
      <c r="CM3242">
        <v>0</v>
      </c>
      <c r="CN3242">
        <v>0</v>
      </c>
      <c r="CO3242">
        <v>5.54</v>
      </c>
      <c r="CP3242">
        <v>36.46</v>
      </c>
      <c r="CQ3242">
        <v>5.28</v>
      </c>
      <c r="CR3242">
        <v>0</v>
      </c>
      <c r="CS3242" t="s">
        <v>9696</v>
      </c>
      <c r="CT3242">
        <v>3.83</v>
      </c>
      <c r="CU3242">
        <v>3.83</v>
      </c>
      <c r="CV3242">
        <v>0.56999999999999995</v>
      </c>
      <c r="CW3242">
        <v>1.23</v>
      </c>
      <c r="CX3242">
        <v>0.57999999999999996</v>
      </c>
      <c r="CY3242">
        <v>44.28</v>
      </c>
      <c r="CZ3242" t="s">
        <v>13965</v>
      </c>
      <c r="DA3242">
        <v>23.77</v>
      </c>
      <c r="DB3242">
        <v>14.21</v>
      </c>
      <c r="DC3242">
        <v>11.59</v>
      </c>
      <c r="DD3242">
        <v>0.21</v>
      </c>
      <c r="DE3242">
        <v>3100</v>
      </c>
      <c r="DF3242">
        <v>603053</v>
      </c>
      <c r="DG3242" t="s">
        <v>116</v>
      </c>
      <c r="DH3242" t="s">
        <v>116</v>
      </c>
      <c r="DI3242" t="s">
        <v>116</v>
      </c>
    </row>
    <row r="3243" spans="1:113" x14ac:dyDescent="0.4">
      <c r="A3243" t="str">
        <f>"603055"</f>
        <v>603055</v>
      </c>
      <c r="B3243" t="s">
        <v>13966</v>
      </c>
      <c r="C3243">
        <v>0.15</v>
      </c>
      <c r="D3243">
        <v>6.88</v>
      </c>
      <c r="E3243">
        <v>0.01</v>
      </c>
      <c r="F3243">
        <v>6.86</v>
      </c>
      <c r="G3243">
        <v>6.88</v>
      </c>
      <c r="H3243">
        <v>15497</v>
      </c>
      <c r="I3243">
        <v>760</v>
      </c>
      <c r="J3243">
        <v>0.73</v>
      </c>
      <c r="K3243">
        <v>1.1000000000000001</v>
      </c>
      <c r="L3243">
        <v>6.89</v>
      </c>
      <c r="M3243">
        <v>6.94</v>
      </c>
      <c r="N3243">
        <v>6.83</v>
      </c>
      <c r="O3243">
        <v>6.87</v>
      </c>
      <c r="P3243">
        <v>20.49</v>
      </c>
      <c r="Q3243">
        <v>10661321</v>
      </c>
      <c r="R3243">
        <v>1.08</v>
      </c>
      <c r="S3243" t="s">
        <v>1420</v>
      </c>
      <c r="T3243" t="s">
        <v>590</v>
      </c>
      <c r="U3243">
        <v>1.6</v>
      </c>
      <c r="V3243">
        <v>6.88</v>
      </c>
      <c r="W3243">
        <v>7301</v>
      </c>
      <c r="X3243">
        <v>8196</v>
      </c>
      <c r="Y3243">
        <v>0.89</v>
      </c>
      <c r="Z3243">
        <v>13</v>
      </c>
      <c r="AA3243">
        <v>510</v>
      </c>
      <c r="AB3243" t="s">
        <v>116</v>
      </c>
      <c r="AC3243">
        <v>62000</v>
      </c>
      <c r="AD3243">
        <v>0.01</v>
      </c>
      <c r="AE3243" t="s">
        <v>116</v>
      </c>
      <c r="AF3243" t="s">
        <v>116</v>
      </c>
      <c r="AG3243">
        <v>1.41</v>
      </c>
      <c r="AH3243" t="s">
        <v>7283</v>
      </c>
      <c r="AI3243" t="s">
        <v>13967</v>
      </c>
      <c r="AJ3243">
        <v>0.22</v>
      </c>
      <c r="AK3243">
        <v>348</v>
      </c>
      <c r="AL3243">
        <v>45</v>
      </c>
      <c r="AM3243">
        <v>3.2000000000000002E-3</v>
      </c>
      <c r="AN3243">
        <v>1</v>
      </c>
      <c r="AO3243">
        <v>0.44</v>
      </c>
      <c r="AP3243">
        <v>8.69</v>
      </c>
      <c r="AQ3243">
        <v>-5.88</v>
      </c>
      <c r="AR3243">
        <v>-7.21</v>
      </c>
      <c r="AS3243">
        <v>1.1000000000000001</v>
      </c>
      <c r="AT3243" t="s">
        <v>7283</v>
      </c>
      <c r="AU3243">
        <v>26.52</v>
      </c>
      <c r="AV3243">
        <v>15.31</v>
      </c>
      <c r="AW3243">
        <v>0.72</v>
      </c>
      <c r="BA3243">
        <v>0.28999999999999998</v>
      </c>
      <c r="BB3243">
        <v>1.02</v>
      </c>
      <c r="BC3243">
        <v>-0.57999999999999996</v>
      </c>
      <c r="BD3243">
        <v>0.14000000000000001</v>
      </c>
      <c r="BE3243">
        <v>-0.15</v>
      </c>
      <c r="BF3243">
        <v>-0.86</v>
      </c>
      <c r="BG3243">
        <v>0.73</v>
      </c>
      <c r="BH3243">
        <v>0</v>
      </c>
      <c r="BI3243">
        <v>20191029</v>
      </c>
      <c r="BJ3243">
        <v>20170921</v>
      </c>
      <c r="BK3243">
        <v>7.67</v>
      </c>
      <c r="BL3243" t="s">
        <v>116</v>
      </c>
      <c r="BM3243" t="s">
        <v>116</v>
      </c>
      <c r="BN3243">
        <v>44.25</v>
      </c>
      <c r="BO3243">
        <v>26.51</v>
      </c>
      <c r="BP3243">
        <v>0</v>
      </c>
      <c r="BQ3243">
        <v>40.1</v>
      </c>
      <c r="BR3243">
        <v>20.72</v>
      </c>
      <c r="BS3243">
        <v>16.329999999999998</v>
      </c>
      <c r="BT3243">
        <v>1.73</v>
      </c>
      <c r="BU3243">
        <v>12.89</v>
      </c>
      <c r="BV3243">
        <v>9.24</v>
      </c>
      <c r="BW3243">
        <v>4.95</v>
      </c>
      <c r="BX3243">
        <v>5.0199999999999996</v>
      </c>
      <c r="BY3243">
        <v>19.75</v>
      </c>
      <c r="BZ3243">
        <v>14.66</v>
      </c>
      <c r="CA3243">
        <v>2.2400000000000002</v>
      </c>
      <c r="CB3243">
        <v>0.09</v>
      </c>
      <c r="CC3243">
        <v>2.2200000000000002</v>
      </c>
      <c r="CD3243">
        <v>1.93</v>
      </c>
      <c r="CE3243">
        <v>1.93</v>
      </c>
      <c r="CF3243">
        <v>1.74</v>
      </c>
      <c r="CG3243">
        <v>12.45</v>
      </c>
      <c r="CH3243">
        <v>0.34</v>
      </c>
      <c r="CI3243">
        <v>-5.98</v>
      </c>
      <c r="CJ3243">
        <v>17395</v>
      </c>
      <c r="CK3243">
        <v>8111</v>
      </c>
      <c r="CL3243" t="s">
        <v>2515</v>
      </c>
      <c r="CM3243">
        <v>-43.01</v>
      </c>
      <c r="CN3243">
        <v>-12.63</v>
      </c>
      <c r="CO3243">
        <v>2.04</v>
      </c>
      <c r="CP3243">
        <v>156.07</v>
      </c>
      <c r="CQ3243">
        <v>2.67</v>
      </c>
      <c r="CR3243">
        <v>2.08</v>
      </c>
      <c r="CS3243" t="s">
        <v>2467</v>
      </c>
      <c r="CT3243">
        <v>3.37</v>
      </c>
      <c r="CU3243">
        <v>3.37</v>
      </c>
      <c r="CV3243">
        <v>0.66</v>
      </c>
      <c r="CW3243">
        <v>1.62</v>
      </c>
      <c r="CX3243">
        <v>0.04</v>
      </c>
      <c r="CY3243">
        <v>59.9</v>
      </c>
      <c r="CZ3243" t="s">
        <v>3251</v>
      </c>
      <c r="DA3243">
        <v>25.79</v>
      </c>
      <c r="DB3243">
        <v>11.34</v>
      </c>
      <c r="DC3243">
        <v>9.77</v>
      </c>
      <c r="DD3243">
        <v>1.08</v>
      </c>
      <c r="DE3243">
        <v>4541</v>
      </c>
      <c r="DF3243">
        <v>603055</v>
      </c>
      <c r="DG3243" t="s">
        <v>116</v>
      </c>
      <c r="DH3243" t="s">
        <v>116</v>
      </c>
      <c r="DI3243" t="s">
        <v>116</v>
      </c>
    </row>
    <row r="3244" spans="1:113" x14ac:dyDescent="0.4">
      <c r="A3244" t="str">
        <f>"603056"</f>
        <v>603056</v>
      </c>
      <c r="B3244" t="s">
        <v>13968</v>
      </c>
      <c r="C3244">
        <v>0.82</v>
      </c>
      <c r="D3244">
        <v>11.07</v>
      </c>
      <c r="E3244">
        <v>0.09</v>
      </c>
      <c r="F3244">
        <v>11.07</v>
      </c>
      <c r="G3244">
        <v>11.08</v>
      </c>
      <c r="H3244">
        <v>47302</v>
      </c>
      <c r="I3244">
        <v>308</v>
      </c>
      <c r="J3244">
        <v>0.18</v>
      </c>
      <c r="K3244">
        <v>2.17</v>
      </c>
      <c r="L3244">
        <v>10.98</v>
      </c>
      <c r="M3244">
        <v>11.24</v>
      </c>
      <c r="N3244">
        <v>10.91</v>
      </c>
      <c r="O3244">
        <v>10.98</v>
      </c>
      <c r="P3244">
        <v>71.459999999999994</v>
      </c>
      <c r="Q3244">
        <v>52570840</v>
      </c>
      <c r="R3244">
        <v>1.32</v>
      </c>
      <c r="S3244" t="s">
        <v>3113</v>
      </c>
      <c r="T3244" t="s">
        <v>1653</v>
      </c>
      <c r="U3244">
        <v>3.01</v>
      </c>
      <c r="V3244">
        <v>11.11</v>
      </c>
      <c r="W3244">
        <v>21069</v>
      </c>
      <c r="X3244">
        <v>26233</v>
      </c>
      <c r="Y3244">
        <v>0.8</v>
      </c>
      <c r="Z3244">
        <v>2</v>
      </c>
      <c r="AA3244">
        <v>28</v>
      </c>
      <c r="AB3244" t="s">
        <v>116</v>
      </c>
      <c r="AC3244">
        <v>312900</v>
      </c>
      <c r="AD3244">
        <v>0.01</v>
      </c>
      <c r="AE3244" t="s">
        <v>116</v>
      </c>
      <c r="AF3244" t="s">
        <v>116</v>
      </c>
      <c r="AG3244">
        <v>2.1800000000000002</v>
      </c>
      <c r="AH3244" t="s">
        <v>13969</v>
      </c>
      <c r="AI3244" t="s">
        <v>12891</v>
      </c>
      <c r="AJ3244">
        <v>0.9</v>
      </c>
      <c r="AK3244">
        <v>1946</v>
      </c>
      <c r="AL3244">
        <v>24</v>
      </c>
      <c r="AM3244">
        <v>1.1000000000000001E-3</v>
      </c>
      <c r="AN3244">
        <v>1</v>
      </c>
      <c r="AO3244">
        <v>-1.78</v>
      </c>
      <c r="AP3244">
        <v>2.12</v>
      </c>
      <c r="AQ3244">
        <v>-16.89</v>
      </c>
      <c r="AR3244">
        <v>-32.21</v>
      </c>
      <c r="AS3244">
        <v>2.17</v>
      </c>
      <c r="AT3244" t="s">
        <v>13969</v>
      </c>
      <c r="AU3244">
        <v>30.11</v>
      </c>
      <c r="AV3244">
        <v>15.17</v>
      </c>
      <c r="AW3244">
        <v>1.06</v>
      </c>
      <c r="BA3244">
        <v>0</v>
      </c>
      <c r="BB3244">
        <v>2.37</v>
      </c>
      <c r="BC3244">
        <v>-0.64</v>
      </c>
      <c r="BD3244">
        <v>1.22</v>
      </c>
      <c r="BE3244">
        <v>0.82</v>
      </c>
      <c r="BF3244">
        <v>-1.51</v>
      </c>
      <c r="BG3244">
        <v>1.47</v>
      </c>
      <c r="BH3244">
        <v>-0.4</v>
      </c>
      <c r="BI3244">
        <v>20191031</v>
      </c>
      <c r="BJ3244">
        <v>20180116</v>
      </c>
      <c r="BK3244">
        <v>9.6</v>
      </c>
      <c r="BL3244" t="s">
        <v>116</v>
      </c>
      <c r="BM3244" t="s">
        <v>116</v>
      </c>
      <c r="BN3244">
        <v>84.11</v>
      </c>
      <c r="BO3244">
        <v>38.92</v>
      </c>
      <c r="BP3244">
        <v>0</v>
      </c>
      <c r="BQ3244">
        <v>53.73</v>
      </c>
      <c r="BR3244">
        <v>48.77</v>
      </c>
      <c r="BS3244">
        <v>20.29</v>
      </c>
      <c r="BT3244">
        <v>0.28999999999999998</v>
      </c>
      <c r="BU3244">
        <v>42.55</v>
      </c>
      <c r="BV3244">
        <v>0.26</v>
      </c>
      <c r="BW3244">
        <v>13.62</v>
      </c>
      <c r="BX3244">
        <v>3.17</v>
      </c>
      <c r="BY3244">
        <v>184.47</v>
      </c>
      <c r="BZ3244">
        <v>167.06</v>
      </c>
      <c r="CA3244">
        <v>1.39</v>
      </c>
      <c r="CB3244">
        <v>0.6</v>
      </c>
      <c r="CC3244">
        <v>1.39</v>
      </c>
      <c r="CD3244">
        <v>1.1200000000000001</v>
      </c>
      <c r="CE3244">
        <v>1.1200000000000001</v>
      </c>
      <c r="CF3244">
        <v>-0.91</v>
      </c>
      <c r="CG3244">
        <v>24.06</v>
      </c>
      <c r="CH3244">
        <v>-0.28999999999999998</v>
      </c>
      <c r="CI3244">
        <v>-12.18</v>
      </c>
      <c r="CJ3244">
        <v>25311</v>
      </c>
      <c r="CK3244">
        <v>8599</v>
      </c>
      <c r="CL3244" t="s">
        <v>8545</v>
      </c>
      <c r="CM3244">
        <v>-75.7</v>
      </c>
      <c r="CN3244">
        <v>14.93</v>
      </c>
      <c r="CO3244">
        <v>2.73</v>
      </c>
      <c r="CP3244">
        <v>-367.03</v>
      </c>
      <c r="CQ3244">
        <v>0.57999999999999996</v>
      </c>
      <c r="CR3244">
        <v>1.98</v>
      </c>
      <c r="CS3244" t="s">
        <v>1182</v>
      </c>
      <c r="CT3244">
        <v>4.05</v>
      </c>
      <c r="CU3244">
        <v>0</v>
      </c>
      <c r="CV3244">
        <v>0.33</v>
      </c>
      <c r="CW3244">
        <v>2.5099999999999998</v>
      </c>
      <c r="CX3244">
        <v>-0.03</v>
      </c>
      <c r="CY3244">
        <v>46.27</v>
      </c>
      <c r="CZ3244" t="s">
        <v>6899</v>
      </c>
      <c r="DA3244">
        <v>9.44</v>
      </c>
      <c r="DB3244">
        <v>0.76</v>
      </c>
      <c r="DC3244">
        <v>0.6</v>
      </c>
      <c r="DD3244">
        <v>0.66</v>
      </c>
      <c r="DE3244">
        <v>102137</v>
      </c>
      <c r="DF3244">
        <v>603056</v>
      </c>
      <c r="DG3244" t="s">
        <v>116</v>
      </c>
      <c r="DH3244" t="s">
        <v>116</v>
      </c>
      <c r="DI3244" t="s">
        <v>116</v>
      </c>
    </row>
    <row r="3245" spans="1:113" x14ac:dyDescent="0.4">
      <c r="A3245" t="str">
        <f>"603058"</f>
        <v>603058</v>
      </c>
      <c r="B3245" t="s">
        <v>13970</v>
      </c>
      <c r="C3245">
        <v>2.2999999999999998</v>
      </c>
      <c r="D3245">
        <v>7.56</v>
      </c>
      <c r="E3245">
        <v>0.17</v>
      </c>
      <c r="F3245">
        <v>7.55</v>
      </c>
      <c r="G3245">
        <v>7.56</v>
      </c>
      <c r="H3245">
        <v>36675</v>
      </c>
      <c r="I3245">
        <v>604</v>
      </c>
      <c r="J3245">
        <v>-0.25</v>
      </c>
      <c r="K3245">
        <v>1.64</v>
      </c>
      <c r="L3245">
        <v>7.35</v>
      </c>
      <c r="M3245">
        <v>7.72</v>
      </c>
      <c r="N3245">
        <v>7.35</v>
      </c>
      <c r="O3245">
        <v>7.39</v>
      </c>
      <c r="P3245">
        <v>27.08</v>
      </c>
      <c r="Q3245">
        <v>27595084</v>
      </c>
      <c r="R3245">
        <v>2.3199999999999998</v>
      </c>
      <c r="S3245" t="s">
        <v>345</v>
      </c>
      <c r="T3245" t="s">
        <v>1056</v>
      </c>
      <c r="U3245">
        <v>5.01</v>
      </c>
      <c r="V3245">
        <v>7.52</v>
      </c>
      <c r="W3245">
        <v>16561</v>
      </c>
      <c r="X3245">
        <v>20114</v>
      </c>
      <c r="Y3245">
        <v>0.82</v>
      </c>
      <c r="Z3245">
        <v>149</v>
      </c>
      <c r="AA3245">
        <v>164</v>
      </c>
      <c r="AB3245" t="s">
        <v>116</v>
      </c>
      <c r="AC3245">
        <v>0</v>
      </c>
      <c r="AD3245">
        <v>0</v>
      </c>
      <c r="AE3245" t="s">
        <v>116</v>
      </c>
      <c r="AF3245" t="s">
        <v>116</v>
      </c>
      <c r="AG3245">
        <v>2.2400000000000002</v>
      </c>
      <c r="AH3245" t="s">
        <v>13971</v>
      </c>
      <c r="AI3245" t="s">
        <v>4987</v>
      </c>
      <c r="AJ3245">
        <v>2.38</v>
      </c>
      <c r="AK3245">
        <v>970</v>
      </c>
      <c r="AL3245">
        <v>38</v>
      </c>
      <c r="AM3245">
        <v>1.6999999999999999E-3</v>
      </c>
      <c r="AN3245">
        <v>2</v>
      </c>
      <c r="AO3245">
        <v>2.2999999999999998</v>
      </c>
      <c r="AP3245">
        <v>7.08</v>
      </c>
      <c r="AQ3245">
        <v>3.42</v>
      </c>
      <c r="AR3245">
        <v>-20.079999999999998</v>
      </c>
      <c r="AS3245">
        <v>3.33</v>
      </c>
      <c r="AT3245" t="s">
        <v>9560</v>
      </c>
      <c r="AU3245">
        <v>28.95</v>
      </c>
      <c r="AV3245">
        <v>28.4</v>
      </c>
      <c r="AW3245">
        <v>0.76</v>
      </c>
      <c r="BA3245">
        <v>-0.54</v>
      </c>
      <c r="BB3245">
        <v>4.47</v>
      </c>
      <c r="BC3245">
        <v>-0.54</v>
      </c>
      <c r="BD3245">
        <v>1.82</v>
      </c>
      <c r="BE3245">
        <v>2.86</v>
      </c>
      <c r="BF3245">
        <v>-2.0699999999999998</v>
      </c>
      <c r="BG3245">
        <v>2.86</v>
      </c>
      <c r="BH3245">
        <v>0.48</v>
      </c>
      <c r="BI3245">
        <v>20191108</v>
      </c>
      <c r="BJ3245">
        <v>20161223</v>
      </c>
      <c r="BK3245">
        <v>4.1900000000000004</v>
      </c>
      <c r="BL3245" t="s">
        <v>116</v>
      </c>
      <c r="BM3245" t="s">
        <v>116</v>
      </c>
      <c r="BN3245">
        <v>10.94</v>
      </c>
      <c r="BO3245">
        <v>9.7100000000000009</v>
      </c>
      <c r="BP3245">
        <v>0.52</v>
      </c>
      <c r="BQ3245">
        <v>6.47</v>
      </c>
      <c r="BR3245">
        <v>6.47</v>
      </c>
      <c r="BS3245">
        <v>2.67</v>
      </c>
      <c r="BT3245">
        <v>0.23</v>
      </c>
      <c r="BU3245">
        <v>0.68</v>
      </c>
      <c r="BV3245">
        <v>0.56999999999999995</v>
      </c>
      <c r="BW3245">
        <v>1.55</v>
      </c>
      <c r="BX3245">
        <v>1.07</v>
      </c>
      <c r="BY3245">
        <v>3.25</v>
      </c>
      <c r="BZ3245">
        <v>2</v>
      </c>
      <c r="CA3245">
        <v>1.04</v>
      </c>
      <c r="CB3245">
        <v>0</v>
      </c>
      <c r="CC3245">
        <v>1.04</v>
      </c>
      <c r="CD3245">
        <v>0.87</v>
      </c>
      <c r="CE3245">
        <v>0.88</v>
      </c>
      <c r="CF3245">
        <v>0.78</v>
      </c>
      <c r="CG3245">
        <v>3.7</v>
      </c>
      <c r="CH3245">
        <v>0.21</v>
      </c>
      <c r="CI3245">
        <v>-1.64</v>
      </c>
      <c r="CJ3245">
        <v>14620</v>
      </c>
      <c r="CK3245">
        <v>7536</v>
      </c>
      <c r="CL3245" t="s">
        <v>6814</v>
      </c>
      <c r="CM3245">
        <v>-2.38</v>
      </c>
      <c r="CN3245">
        <v>4</v>
      </c>
      <c r="CO3245">
        <v>3.26</v>
      </c>
      <c r="CP3245">
        <v>151.5</v>
      </c>
      <c r="CQ3245">
        <v>9.74</v>
      </c>
      <c r="CR3245">
        <v>0.66</v>
      </c>
      <c r="CS3245" t="s">
        <v>3899</v>
      </c>
      <c r="CT3245">
        <v>2.3199999999999998</v>
      </c>
      <c r="CU3245">
        <v>0</v>
      </c>
      <c r="CV3245">
        <v>0.26</v>
      </c>
      <c r="CW3245">
        <v>0.88</v>
      </c>
      <c r="CX3245">
        <v>0.05</v>
      </c>
      <c r="CY3245">
        <v>88.79</v>
      </c>
      <c r="CZ3245" t="s">
        <v>6154</v>
      </c>
      <c r="DA3245">
        <v>38.53</v>
      </c>
      <c r="DB3245">
        <v>31.96</v>
      </c>
      <c r="DC3245">
        <v>26.96</v>
      </c>
      <c r="DD3245">
        <v>0.1</v>
      </c>
      <c r="DE3245">
        <v>498</v>
      </c>
      <c r="DF3245">
        <v>603058</v>
      </c>
      <c r="DG3245" t="s">
        <v>116</v>
      </c>
      <c r="DH3245" t="s">
        <v>116</v>
      </c>
      <c r="DI3245" t="s">
        <v>116</v>
      </c>
    </row>
    <row r="3246" spans="1:113" x14ac:dyDescent="0.4">
      <c r="A3246" t="str">
        <f>"603059"</f>
        <v>603059</v>
      </c>
      <c r="B3246" t="s">
        <v>13972</v>
      </c>
      <c r="C3246">
        <v>-0.19</v>
      </c>
      <c r="D3246">
        <v>26.25</v>
      </c>
      <c r="E3246">
        <v>-0.05</v>
      </c>
      <c r="F3246">
        <v>26.25</v>
      </c>
      <c r="G3246">
        <v>26.28</v>
      </c>
      <c r="H3246">
        <v>7854</v>
      </c>
      <c r="I3246">
        <v>251</v>
      </c>
      <c r="J3246">
        <v>-0.14000000000000001</v>
      </c>
      <c r="K3246">
        <v>3.14</v>
      </c>
      <c r="L3246">
        <v>26.3</v>
      </c>
      <c r="M3246">
        <v>26.45</v>
      </c>
      <c r="N3246">
        <v>25.92</v>
      </c>
      <c r="O3246">
        <v>26.3</v>
      </c>
      <c r="P3246">
        <v>22.53</v>
      </c>
      <c r="Q3246">
        <v>20571660</v>
      </c>
      <c r="R3246">
        <v>0.99</v>
      </c>
      <c r="S3246" t="s">
        <v>2640</v>
      </c>
      <c r="T3246" t="s">
        <v>323</v>
      </c>
      <c r="U3246">
        <v>2.02</v>
      </c>
      <c r="V3246">
        <v>26.19</v>
      </c>
      <c r="W3246">
        <v>4281</v>
      </c>
      <c r="X3246">
        <v>3573</v>
      </c>
      <c r="Y3246">
        <v>1.2</v>
      </c>
      <c r="Z3246">
        <v>3</v>
      </c>
      <c r="AA3246">
        <v>60</v>
      </c>
      <c r="AB3246" t="s">
        <v>116</v>
      </c>
      <c r="AC3246">
        <v>0</v>
      </c>
      <c r="AD3246">
        <v>0</v>
      </c>
      <c r="AE3246" t="s">
        <v>116</v>
      </c>
      <c r="AF3246" t="s">
        <v>116</v>
      </c>
      <c r="AG3246">
        <v>0.25</v>
      </c>
      <c r="AH3246" t="s">
        <v>13973</v>
      </c>
      <c r="AI3246" t="s">
        <v>13926</v>
      </c>
      <c r="AJ3246">
        <v>-0.11</v>
      </c>
      <c r="AK3246">
        <v>1276</v>
      </c>
      <c r="AL3246">
        <v>6</v>
      </c>
      <c r="AM3246">
        <v>2.5000000000000001E-3</v>
      </c>
      <c r="AN3246">
        <v>-1</v>
      </c>
      <c r="AO3246">
        <v>2.5</v>
      </c>
      <c r="AP3246">
        <v>13.83</v>
      </c>
      <c r="AQ3246">
        <v>8.02</v>
      </c>
      <c r="AR3246">
        <v>4.0999999999999996</v>
      </c>
      <c r="AS3246">
        <v>3.14</v>
      </c>
      <c r="AT3246" t="s">
        <v>13973</v>
      </c>
      <c r="AU3246">
        <v>25.08</v>
      </c>
      <c r="AV3246">
        <v>27.8</v>
      </c>
      <c r="AW3246">
        <v>0.76</v>
      </c>
      <c r="BA3246">
        <v>0</v>
      </c>
      <c r="BB3246">
        <v>0.56999999999999995</v>
      </c>
      <c r="BC3246">
        <v>-1.44</v>
      </c>
      <c r="BD3246">
        <v>-0.41</v>
      </c>
      <c r="BE3246">
        <v>-0.19</v>
      </c>
      <c r="BF3246">
        <v>-0.76</v>
      </c>
      <c r="BG3246">
        <v>1.27</v>
      </c>
      <c r="BH3246">
        <v>0.22</v>
      </c>
      <c r="BI3246">
        <v>20191216</v>
      </c>
      <c r="BJ3246">
        <v>20180302</v>
      </c>
      <c r="BK3246">
        <v>1</v>
      </c>
      <c r="BL3246" t="s">
        <v>116</v>
      </c>
      <c r="BM3246" t="s">
        <v>116</v>
      </c>
      <c r="BN3246">
        <v>11.75</v>
      </c>
      <c r="BO3246">
        <v>9.5</v>
      </c>
      <c r="BP3246">
        <v>0</v>
      </c>
      <c r="BQ3246">
        <v>19.12</v>
      </c>
      <c r="BR3246">
        <v>7.06</v>
      </c>
      <c r="BS3246">
        <v>2.68</v>
      </c>
      <c r="BT3246">
        <v>0.24</v>
      </c>
      <c r="BU3246">
        <v>2.09</v>
      </c>
      <c r="BV3246">
        <v>1.23</v>
      </c>
      <c r="BW3246">
        <v>1.39</v>
      </c>
      <c r="BX3246">
        <v>5.0999999999999996</v>
      </c>
      <c r="BY3246">
        <v>6.03</v>
      </c>
      <c r="BZ3246">
        <v>4.46</v>
      </c>
      <c r="CA3246">
        <v>1.1000000000000001</v>
      </c>
      <c r="CB3246">
        <v>0.19</v>
      </c>
      <c r="CC3246">
        <v>1.1299999999999999</v>
      </c>
      <c r="CD3246">
        <v>0.87</v>
      </c>
      <c r="CE3246">
        <v>0.87</v>
      </c>
      <c r="CF3246">
        <v>0.79</v>
      </c>
      <c r="CG3246">
        <v>3.17</v>
      </c>
      <c r="CH3246">
        <v>0.82</v>
      </c>
      <c r="CI3246">
        <v>-0.13</v>
      </c>
      <c r="CJ3246">
        <v>7799</v>
      </c>
      <c r="CK3246">
        <v>3206</v>
      </c>
      <c r="CL3246" t="s">
        <v>7746</v>
      </c>
      <c r="CM3246">
        <v>13.31</v>
      </c>
      <c r="CN3246">
        <v>11.8</v>
      </c>
      <c r="CO3246">
        <v>2.76</v>
      </c>
      <c r="CP3246">
        <v>31.91</v>
      </c>
      <c r="CQ3246">
        <v>4.3499999999999996</v>
      </c>
      <c r="CR3246">
        <v>0.34</v>
      </c>
      <c r="CS3246" t="s">
        <v>11460</v>
      </c>
      <c r="CT3246">
        <v>9.5</v>
      </c>
      <c r="CU3246">
        <v>0</v>
      </c>
      <c r="CV3246">
        <v>5.0999999999999996</v>
      </c>
      <c r="CW3246">
        <v>3.17</v>
      </c>
      <c r="CX3246">
        <v>0.82</v>
      </c>
      <c r="CY3246">
        <v>80.88</v>
      </c>
      <c r="CZ3246" t="s">
        <v>13974</v>
      </c>
      <c r="DA3246">
        <v>25.98</v>
      </c>
      <c r="DB3246">
        <v>18.25</v>
      </c>
      <c r="DC3246">
        <v>14.49</v>
      </c>
      <c r="DD3246">
        <v>0.08</v>
      </c>
      <c r="DE3246">
        <v>1861</v>
      </c>
      <c r="DF3246">
        <v>603059</v>
      </c>
      <c r="DG3246" t="s">
        <v>116</v>
      </c>
      <c r="DH3246" t="s">
        <v>116</v>
      </c>
      <c r="DI3246" t="s">
        <v>116</v>
      </c>
    </row>
    <row r="3247" spans="1:113" x14ac:dyDescent="0.4">
      <c r="A3247" t="str">
        <f>"603060"</f>
        <v>603060</v>
      </c>
      <c r="B3247" t="s">
        <v>13975</v>
      </c>
      <c r="C3247">
        <v>-1.1200000000000001</v>
      </c>
      <c r="D3247">
        <v>22.89</v>
      </c>
      <c r="E3247">
        <v>-0.26</v>
      </c>
      <c r="F3247">
        <v>22.89</v>
      </c>
      <c r="G3247">
        <v>22.92</v>
      </c>
      <c r="H3247">
        <v>21223</v>
      </c>
      <c r="I3247">
        <v>255</v>
      </c>
      <c r="J3247">
        <v>-0.25</v>
      </c>
      <c r="K3247">
        <v>0.69</v>
      </c>
      <c r="L3247">
        <v>23.3</v>
      </c>
      <c r="M3247">
        <v>23.41</v>
      </c>
      <c r="N3247">
        <v>22.85</v>
      </c>
      <c r="O3247">
        <v>23.15</v>
      </c>
      <c r="P3247">
        <v>41.81</v>
      </c>
      <c r="Q3247">
        <v>48931008</v>
      </c>
      <c r="R3247">
        <v>0.64</v>
      </c>
      <c r="S3247" t="s">
        <v>181</v>
      </c>
      <c r="T3247" t="s">
        <v>165</v>
      </c>
      <c r="U3247">
        <v>2.42</v>
      </c>
      <c r="V3247">
        <v>23.06</v>
      </c>
      <c r="W3247">
        <v>12249</v>
      </c>
      <c r="X3247">
        <v>8975</v>
      </c>
      <c r="Y3247">
        <v>1.36</v>
      </c>
      <c r="Z3247">
        <v>163</v>
      </c>
      <c r="AA3247">
        <v>24</v>
      </c>
      <c r="AB3247" t="s">
        <v>116</v>
      </c>
      <c r="AC3247">
        <v>344800</v>
      </c>
      <c r="AD3247">
        <v>0.02</v>
      </c>
      <c r="AE3247" t="s">
        <v>116</v>
      </c>
      <c r="AF3247" t="s">
        <v>116</v>
      </c>
      <c r="AG3247">
        <v>3.08</v>
      </c>
      <c r="AH3247" t="s">
        <v>7413</v>
      </c>
      <c r="AI3247" t="s">
        <v>7413</v>
      </c>
      <c r="AJ3247">
        <v>-1.05</v>
      </c>
      <c r="AK3247">
        <v>1595</v>
      </c>
      <c r="AL3247">
        <v>13</v>
      </c>
      <c r="AM3247">
        <v>4.0000000000000002E-4</v>
      </c>
      <c r="AN3247">
        <v>-2</v>
      </c>
      <c r="AO3247">
        <v>-0.78</v>
      </c>
      <c r="AP3247">
        <v>13.15</v>
      </c>
      <c r="AQ3247">
        <v>-2.1</v>
      </c>
      <c r="AR3247">
        <v>66.599999999999994</v>
      </c>
      <c r="AS3247">
        <v>2.19</v>
      </c>
      <c r="AT3247" t="s">
        <v>13976</v>
      </c>
      <c r="AU3247">
        <v>39.69</v>
      </c>
      <c r="AV3247">
        <v>36.880000000000003</v>
      </c>
      <c r="AW3247">
        <v>1.3</v>
      </c>
      <c r="BA3247">
        <v>0.65</v>
      </c>
      <c r="BB3247">
        <v>1.1200000000000001</v>
      </c>
      <c r="BC3247">
        <v>-1.3</v>
      </c>
      <c r="BD3247">
        <v>-0.41</v>
      </c>
      <c r="BE3247">
        <v>-1.76</v>
      </c>
      <c r="BF3247">
        <v>-2.2200000000000002</v>
      </c>
      <c r="BG3247">
        <v>0.18</v>
      </c>
      <c r="BH3247">
        <v>-0.72</v>
      </c>
      <c r="BI3247">
        <v>20191108</v>
      </c>
      <c r="BJ3247">
        <v>20161109</v>
      </c>
      <c r="BK3247">
        <v>3.08</v>
      </c>
      <c r="BL3247" t="s">
        <v>116</v>
      </c>
      <c r="BM3247" t="s">
        <v>116</v>
      </c>
      <c r="BN3247">
        <v>16.579999999999998</v>
      </c>
      <c r="BO3247">
        <v>12.45</v>
      </c>
      <c r="BP3247">
        <v>1.06</v>
      </c>
      <c r="BQ3247">
        <v>18.510000000000002</v>
      </c>
      <c r="BR3247">
        <v>8.48</v>
      </c>
      <c r="BS3247">
        <v>4.1399999999999997</v>
      </c>
      <c r="BT3247">
        <v>0.69</v>
      </c>
      <c r="BU3247">
        <v>1.99</v>
      </c>
      <c r="BV3247">
        <v>0.13</v>
      </c>
      <c r="BW3247">
        <v>1.63</v>
      </c>
      <c r="BX3247">
        <v>3.96</v>
      </c>
      <c r="BY3247">
        <v>6.96</v>
      </c>
      <c r="BZ3247">
        <v>3.82</v>
      </c>
      <c r="CA3247">
        <v>1.51</v>
      </c>
      <c r="CB3247">
        <v>0.12</v>
      </c>
      <c r="CC3247">
        <v>1.55</v>
      </c>
      <c r="CD3247">
        <v>1.31</v>
      </c>
      <c r="CE3247">
        <v>1.26</v>
      </c>
      <c r="CF3247">
        <v>1.02</v>
      </c>
      <c r="CG3247">
        <v>4.4400000000000004</v>
      </c>
      <c r="CH3247">
        <v>0.67</v>
      </c>
      <c r="CI3247">
        <v>-1.42</v>
      </c>
      <c r="CJ3247">
        <v>12727</v>
      </c>
      <c r="CK3247">
        <v>7626</v>
      </c>
      <c r="CL3247" t="s">
        <v>9052</v>
      </c>
      <c r="CM3247">
        <v>-9.67</v>
      </c>
      <c r="CN3247">
        <v>11.1</v>
      </c>
      <c r="CO3247">
        <v>5.66</v>
      </c>
      <c r="CP3247">
        <v>105.97</v>
      </c>
      <c r="CQ3247">
        <v>10.130000000000001</v>
      </c>
      <c r="CR3247">
        <v>0.83</v>
      </c>
      <c r="CS3247" t="s">
        <v>6070</v>
      </c>
      <c r="CT3247">
        <v>4.04</v>
      </c>
      <c r="CU3247">
        <v>0</v>
      </c>
      <c r="CV3247">
        <v>1.29</v>
      </c>
      <c r="CW3247">
        <v>1.44</v>
      </c>
      <c r="CX3247">
        <v>0.22</v>
      </c>
      <c r="CY3247">
        <v>75.11</v>
      </c>
      <c r="CZ3247" t="s">
        <v>13977</v>
      </c>
      <c r="DA3247">
        <v>45.1</v>
      </c>
      <c r="DB3247">
        <v>21.73</v>
      </c>
      <c r="DC3247">
        <v>18.170000000000002</v>
      </c>
      <c r="DD3247">
        <v>0.55000000000000004</v>
      </c>
      <c r="DE3247">
        <v>2009</v>
      </c>
      <c r="DF3247">
        <v>603060</v>
      </c>
      <c r="DG3247" t="s">
        <v>116</v>
      </c>
      <c r="DH3247" t="s">
        <v>116</v>
      </c>
      <c r="DI3247" t="s">
        <v>116</v>
      </c>
    </row>
    <row r="3248" spans="1:113" x14ac:dyDescent="0.4">
      <c r="A3248" t="str">
        <f>"603063"</f>
        <v>603063</v>
      </c>
      <c r="B3248" t="s">
        <v>13978</v>
      </c>
      <c r="C3248">
        <v>-1.71</v>
      </c>
      <c r="D3248">
        <v>9.1999999999999993</v>
      </c>
      <c r="E3248">
        <v>-0.16</v>
      </c>
      <c r="F3248">
        <v>9.1999999999999993</v>
      </c>
      <c r="G3248">
        <v>9.23</v>
      </c>
      <c r="H3248">
        <v>27136</v>
      </c>
      <c r="I3248">
        <v>241</v>
      </c>
      <c r="J3248">
        <v>0.22</v>
      </c>
      <c r="K3248">
        <v>1.06</v>
      </c>
      <c r="L3248">
        <v>9.36</v>
      </c>
      <c r="M3248">
        <v>9.42</v>
      </c>
      <c r="N3248">
        <v>9.1199999999999992</v>
      </c>
      <c r="O3248">
        <v>9.36</v>
      </c>
      <c r="P3248">
        <v>53.48</v>
      </c>
      <c r="Q3248">
        <v>25205406</v>
      </c>
      <c r="R3248">
        <v>0.48</v>
      </c>
      <c r="S3248" t="s">
        <v>397</v>
      </c>
      <c r="T3248" t="s">
        <v>115</v>
      </c>
      <c r="U3248">
        <v>3.21</v>
      </c>
      <c r="V3248">
        <v>9.2899999999999991</v>
      </c>
      <c r="W3248">
        <v>19331</v>
      </c>
      <c r="X3248">
        <v>7805</v>
      </c>
      <c r="Y3248">
        <v>2.48</v>
      </c>
      <c r="Z3248">
        <v>64</v>
      </c>
      <c r="AA3248">
        <v>96</v>
      </c>
      <c r="AB3248" t="s">
        <v>116</v>
      </c>
      <c r="AC3248">
        <v>78600</v>
      </c>
      <c r="AD3248">
        <v>0</v>
      </c>
      <c r="AE3248" t="s">
        <v>116</v>
      </c>
      <c r="AF3248" t="s">
        <v>116</v>
      </c>
      <c r="AG3248">
        <v>2.5499999999999998</v>
      </c>
      <c r="AH3248" t="s">
        <v>311</v>
      </c>
      <c r="AI3248" t="s">
        <v>1731</v>
      </c>
      <c r="AJ3248">
        <v>-1.63</v>
      </c>
      <c r="AK3248">
        <v>931</v>
      </c>
      <c r="AL3248">
        <v>29</v>
      </c>
      <c r="AM3248">
        <v>1.1000000000000001E-3</v>
      </c>
      <c r="AN3248">
        <v>-2</v>
      </c>
      <c r="AO3248">
        <v>-1.07</v>
      </c>
      <c r="AP3248">
        <v>12.61</v>
      </c>
      <c r="AQ3248">
        <v>2.11</v>
      </c>
      <c r="AR3248">
        <v>46.15</v>
      </c>
      <c r="AS3248">
        <v>1.06</v>
      </c>
      <c r="AT3248" t="s">
        <v>311</v>
      </c>
      <c r="AU3248">
        <v>60.12</v>
      </c>
      <c r="AV3248">
        <v>73.790000000000006</v>
      </c>
      <c r="AW3248">
        <v>1.03</v>
      </c>
      <c r="BA3248">
        <v>0</v>
      </c>
      <c r="BB3248">
        <v>0.64</v>
      </c>
      <c r="BC3248">
        <v>-2.56</v>
      </c>
      <c r="BD3248">
        <v>-0.76</v>
      </c>
      <c r="BE3248">
        <v>-1.71</v>
      </c>
      <c r="BF3248">
        <v>-2.34</v>
      </c>
      <c r="BG3248">
        <v>0.88</v>
      </c>
      <c r="BH3248">
        <v>-0.95</v>
      </c>
      <c r="BI3248">
        <v>20191029</v>
      </c>
      <c r="BJ3248">
        <v>20170728</v>
      </c>
      <c r="BK3248">
        <v>4.3099999999999996</v>
      </c>
      <c r="BL3248" t="s">
        <v>116</v>
      </c>
      <c r="BM3248" t="s">
        <v>116</v>
      </c>
      <c r="BN3248">
        <v>39.409999999999997</v>
      </c>
      <c r="BO3248">
        <v>24.92</v>
      </c>
      <c r="BP3248">
        <v>0.85</v>
      </c>
      <c r="BQ3248">
        <v>34.61</v>
      </c>
      <c r="BR3248">
        <v>31.95</v>
      </c>
      <c r="BS3248">
        <v>0.43</v>
      </c>
      <c r="BT3248">
        <v>0.18</v>
      </c>
      <c r="BU3248">
        <v>11.65</v>
      </c>
      <c r="BV3248">
        <v>6.73</v>
      </c>
      <c r="BW3248">
        <v>13.24</v>
      </c>
      <c r="BX3248">
        <v>9.9</v>
      </c>
      <c r="BY3248">
        <v>11.88</v>
      </c>
      <c r="BZ3248">
        <v>7.55</v>
      </c>
      <c r="CA3248">
        <v>0.56000000000000005</v>
      </c>
      <c r="CB3248">
        <v>0</v>
      </c>
      <c r="CC3248">
        <v>0.56000000000000005</v>
      </c>
      <c r="CD3248">
        <v>0.62</v>
      </c>
      <c r="CE3248">
        <v>0.56000000000000005</v>
      </c>
      <c r="CF3248">
        <v>0.43</v>
      </c>
      <c r="CG3248">
        <v>9.9600000000000009</v>
      </c>
      <c r="CH3248">
        <v>-1.75</v>
      </c>
      <c r="CI3248">
        <v>-2.88</v>
      </c>
      <c r="CJ3248">
        <v>19866</v>
      </c>
      <c r="CK3248">
        <v>12851</v>
      </c>
      <c r="CL3248" t="s">
        <v>357</v>
      </c>
      <c r="CM3248">
        <v>28.16</v>
      </c>
      <c r="CN3248">
        <v>164.16</v>
      </c>
      <c r="CO3248">
        <v>1.59</v>
      </c>
      <c r="CP3248">
        <v>-22.61</v>
      </c>
      <c r="CQ3248">
        <v>3.34</v>
      </c>
      <c r="CR3248">
        <v>0.16</v>
      </c>
      <c r="CS3248" t="s">
        <v>8209</v>
      </c>
      <c r="CT3248">
        <v>5.78</v>
      </c>
      <c r="CU3248">
        <v>0</v>
      </c>
      <c r="CV3248">
        <v>2.2999999999999998</v>
      </c>
      <c r="CW3248">
        <v>2.31</v>
      </c>
      <c r="CX3248">
        <v>-0.41</v>
      </c>
      <c r="CY3248">
        <v>63.23</v>
      </c>
      <c r="CZ3248" t="s">
        <v>12312</v>
      </c>
      <c r="DA3248">
        <v>36.46</v>
      </c>
      <c r="DB3248">
        <v>4.7300000000000004</v>
      </c>
      <c r="DC3248">
        <v>4.68</v>
      </c>
      <c r="DD3248">
        <v>1.04</v>
      </c>
      <c r="DE3248">
        <v>838</v>
      </c>
      <c r="DF3248">
        <v>603063</v>
      </c>
      <c r="DG3248" t="s">
        <v>116</v>
      </c>
      <c r="DH3248" t="s">
        <v>116</v>
      </c>
      <c r="DI3248" t="s">
        <v>116</v>
      </c>
    </row>
    <row r="3249" spans="1:113" x14ac:dyDescent="0.4">
      <c r="A3249" t="str">
        <f>"603066"</f>
        <v>603066</v>
      </c>
      <c r="B3249" t="s">
        <v>13979</v>
      </c>
      <c r="C3249">
        <v>-0.13</v>
      </c>
      <c r="D3249">
        <v>7.67</v>
      </c>
      <c r="E3249">
        <v>-0.01</v>
      </c>
      <c r="F3249">
        <v>7.66</v>
      </c>
      <c r="G3249">
        <v>7.67</v>
      </c>
      <c r="H3249">
        <v>24457</v>
      </c>
      <c r="I3249">
        <v>324</v>
      </c>
      <c r="J3249">
        <v>0</v>
      </c>
      <c r="K3249">
        <v>0.81</v>
      </c>
      <c r="L3249">
        <v>7.7</v>
      </c>
      <c r="M3249">
        <v>7.74</v>
      </c>
      <c r="N3249">
        <v>7.64</v>
      </c>
      <c r="O3249">
        <v>7.68</v>
      </c>
      <c r="P3249">
        <v>23.93</v>
      </c>
      <c r="Q3249">
        <v>18792712</v>
      </c>
      <c r="R3249">
        <v>0.9</v>
      </c>
      <c r="S3249" t="s">
        <v>3113</v>
      </c>
      <c r="T3249" t="s">
        <v>323</v>
      </c>
      <c r="U3249">
        <v>1.3</v>
      </c>
      <c r="V3249">
        <v>7.68</v>
      </c>
      <c r="W3249">
        <v>12629</v>
      </c>
      <c r="X3249">
        <v>11828</v>
      </c>
      <c r="Y3249">
        <v>1.07</v>
      </c>
      <c r="Z3249">
        <v>638</v>
      </c>
      <c r="AA3249">
        <v>267</v>
      </c>
      <c r="AB3249" t="s">
        <v>116</v>
      </c>
      <c r="AC3249">
        <v>95500</v>
      </c>
      <c r="AD3249">
        <v>0.01</v>
      </c>
      <c r="AE3249" t="s">
        <v>116</v>
      </c>
      <c r="AF3249" t="s">
        <v>116</v>
      </c>
      <c r="AG3249">
        <v>3.01</v>
      </c>
      <c r="AH3249" t="s">
        <v>693</v>
      </c>
      <c r="AI3249" t="s">
        <v>693</v>
      </c>
      <c r="AJ3249">
        <v>-0.05</v>
      </c>
      <c r="AK3249">
        <v>694</v>
      </c>
      <c r="AL3249">
        <v>35</v>
      </c>
      <c r="AM3249">
        <v>1.1999999999999999E-3</v>
      </c>
      <c r="AN3249">
        <v>-1</v>
      </c>
      <c r="AO3249">
        <v>1.85</v>
      </c>
      <c r="AP3249">
        <v>6.82</v>
      </c>
      <c r="AQ3249">
        <v>3.65</v>
      </c>
      <c r="AR3249">
        <v>9.76</v>
      </c>
      <c r="AS3249">
        <v>1.75</v>
      </c>
      <c r="AT3249" t="s">
        <v>13980</v>
      </c>
      <c r="AU3249">
        <v>24.81</v>
      </c>
      <c r="AV3249">
        <v>24.91</v>
      </c>
      <c r="AW3249">
        <v>1.26</v>
      </c>
      <c r="BA3249">
        <v>0.26</v>
      </c>
      <c r="BB3249">
        <v>0.78</v>
      </c>
      <c r="BC3249">
        <v>-0.52</v>
      </c>
      <c r="BD3249">
        <v>0.05</v>
      </c>
      <c r="BE3249">
        <v>-0.39</v>
      </c>
      <c r="BF3249">
        <v>-0.9</v>
      </c>
      <c r="BG3249">
        <v>0.39</v>
      </c>
      <c r="BH3249">
        <v>-0.18</v>
      </c>
      <c r="BI3249">
        <v>20191029</v>
      </c>
      <c r="BJ3249">
        <v>20150611</v>
      </c>
      <c r="BK3249">
        <v>3.01</v>
      </c>
      <c r="BL3249" t="s">
        <v>116</v>
      </c>
      <c r="BM3249" t="s">
        <v>116</v>
      </c>
      <c r="BN3249">
        <v>13.78</v>
      </c>
      <c r="BO3249">
        <v>9.82</v>
      </c>
      <c r="BP3249">
        <v>0.03</v>
      </c>
      <c r="BQ3249">
        <v>28.53</v>
      </c>
      <c r="BR3249">
        <v>11.54</v>
      </c>
      <c r="BS3249">
        <v>0.87</v>
      </c>
      <c r="BT3249">
        <v>0.69</v>
      </c>
      <c r="BU3249">
        <v>3.66</v>
      </c>
      <c r="BV3249">
        <v>2.64</v>
      </c>
      <c r="BW3249">
        <v>3.51</v>
      </c>
      <c r="BX3249">
        <v>1.8</v>
      </c>
      <c r="BY3249">
        <v>5.01</v>
      </c>
      <c r="BZ3249">
        <v>3.33</v>
      </c>
      <c r="CA3249">
        <v>0.82</v>
      </c>
      <c r="CB3249">
        <v>7.0000000000000007E-2</v>
      </c>
      <c r="CC3249">
        <v>0.82</v>
      </c>
      <c r="CD3249">
        <v>0.72</v>
      </c>
      <c r="CE3249">
        <v>0.72</v>
      </c>
      <c r="CF3249">
        <v>0.62</v>
      </c>
      <c r="CG3249">
        <v>4.58</v>
      </c>
      <c r="CH3249">
        <v>-0.57999999999999996</v>
      </c>
      <c r="CI3249">
        <v>-2.21</v>
      </c>
      <c r="CJ3249">
        <v>18530</v>
      </c>
      <c r="CK3249">
        <v>7546</v>
      </c>
      <c r="CL3249" t="s">
        <v>6903</v>
      </c>
      <c r="CM3249">
        <v>0.52</v>
      </c>
      <c r="CN3249">
        <v>4.08</v>
      </c>
      <c r="CO3249">
        <v>2.35</v>
      </c>
      <c r="CP3249">
        <v>-39.869999999999997</v>
      </c>
      <c r="CQ3249">
        <v>4.5999999999999996</v>
      </c>
      <c r="CR3249">
        <v>0.81</v>
      </c>
      <c r="CS3249" t="s">
        <v>5764</v>
      </c>
      <c r="CT3249">
        <v>3.27</v>
      </c>
      <c r="CU3249">
        <v>0</v>
      </c>
      <c r="CV3249">
        <v>0.6</v>
      </c>
      <c r="CW3249">
        <v>1.52</v>
      </c>
      <c r="CX3249">
        <v>-0.19</v>
      </c>
      <c r="CY3249">
        <v>71.239999999999995</v>
      </c>
      <c r="CZ3249" t="s">
        <v>2482</v>
      </c>
      <c r="DA3249">
        <v>33.520000000000003</v>
      </c>
      <c r="DB3249">
        <v>16.38</v>
      </c>
      <c r="DC3249">
        <v>14.42</v>
      </c>
      <c r="DD3249">
        <v>0.18</v>
      </c>
      <c r="DE3249">
        <v>771</v>
      </c>
      <c r="DF3249">
        <v>603066</v>
      </c>
      <c r="DG3249" t="s">
        <v>116</v>
      </c>
      <c r="DH3249" t="s">
        <v>116</v>
      </c>
      <c r="DI3249" t="s">
        <v>116</v>
      </c>
    </row>
    <row r="3250" spans="1:113" x14ac:dyDescent="0.4">
      <c r="A3250" t="str">
        <f>"603067"</f>
        <v>603067</v>
      </c>
      <c r="B3250" t="s">
        <v>13981</v>
      </c>
      <c r="C3250">
        <v>-0.85</v>
      </c>
      <c r="D3250">
        <v>5.82</v>
      </c>
      <c r="E3250">
        <v>-0.05</v>
      </c>
      <c r="F3250">
        <v>5.82</v>
      </c>
      <c r="G3250">
        <v>5.83</v>
      </c>
      <c r="H3250">
        <v>40785</v>
      </c>
      <c r="I3250">
        <v>31</v>
      </c>
      <c r="J3250">
        <v>-0.16</v>
      </c>
      <c r="K3250">
        <v>0.95</v>
      </c>
      <c r="L3250">
        <v>5.92</v>
      </c>
      <c r="M3250">
        <v>5.93</v>
      </c>
      <c r="N3250">
        <v>5.81</v>
      </c>
      <c r="O3250">
        <v>5.87</v>
      </c>
      <c r="P3250">
        <v>15.9</v>
      </c>
      <c r="Q3250">
        <v>23891012</v>
      </c>
      <c r="R3250">
        <v>1.31</v>
      </c>
      <c r="S3250" t="s">
        <v>891</v>
      </c>
      <c r="T3250" t="s">
        <v>774</v>
      </c>
      <c r="U3250">
        <v>2.04</v>
      </c>
      <c r="V3250">
        <v>5.86</v>
      </c>
      <c r="W3250">
        <v>23076</v>
      </c>
      <c r="X3250">
        <v>17710</v>
      </c>
      <c r="Y3250">
        <v>1.3</v>
      </c>
      <c r="Z3250">
        <v>1147</v>
      </c>
      <c r="AA3250">
        <v>507</v>
      </c>
      <c r="AB3250" t="s">
        <v>116</v>
      </c>
      <c r="AC3250">
        <v>206000</v>
      </c>
      <c r="AD3250">
        <v>0.02</v>
      </c>
      <c r="AE3250" t="s">
        <v>116</v>
      </c>
      <c r="AF3250" t="s">
        <v>116</v>
      </c>
      <c r="AG3250">
        <v>4.3099999999999996</v>
      </c>
      <c r="AH3250" t="s">
        <v>3226</v>
      </c>
      <c r="AI3250" t="s">
        <v>3226</v>
      </c>
      <c r="AJ3250">
        <v>-0.77</v>
      </c>
      <c r="AK3250">
        <v>868</v>
      </c>
      <c r="AL3250">
        <v>47</v>
      </c>
      <c r="AM3250">
        <v>1.1000000000000001E-3</v>
      </c>
      <c r="AN3250">
        <v>-1</v>
      </c>
      <c r="AO3250">
        <v>1.05</v>
      </c>
      <c r="AP3250">
        <v>4.3</v>
      </c>
      <c r="AQ3250">
        <v>-4.12</v>
      </c>
      <c r="AR3250">
        <v>7.49</v>
      </c>
      <c r="AS3250">
        <v>1.87</v>
      </c>
      <c r="AT3250" t="s">
        <v>1421</v>
      </c>
      <c r="AU3250">
        <v>17.13</v>
      </c>
      <c r="AV3250">
        <v>17.170000000000002</v>
      </c>
      <c r="AW3250">
        <v>1.31</v>
      </c>
      <c r="BA3250">
        <v>0.85</v>
      </c>
      <c r="BB3250">
        <v>1.02</v>
      </c>
      <c r="BC3250">
        <v>-1.02</v>
      </c>
      <c r="BD3250">
        <v>-0.21</v>
      </c>
      <c r="BE3250">
        <v>-1.69</v>
      </c>
      <c r="BF3250">
        <v>-1.85</v>
      </c>
      <c r="BG3250">
        <v>0.17</v>
      </c>
      <c r="BH3250">
        <v>-0.64</v>
      </c>
      <c r="BI3250">
        <v>20191025</v>
      </c>
      <c r="BJ3250">
        <v>20160913</v>
      </c>
      <c r="BK3250">
        <v>4.3099999999999996</v>
      </c>
      <c r="BL3250" t="s">
        <v>116</v>
      </c>
      <c r="BM3250" t="s">
        <v>116</v>
      </c>
      <c r="BN3250">
        <v>14.61</v>
      </c>
      <c r="BO3250">
        <v>13.27</v>
      </c>
      <c r="BP3250">
        <v>0.02</v>
      </c>
      <c r="BQ3250">
        <v>9</v>
      </c>
      <c r="BR3250">
        <v>8.0399999999999991</v>
      </c>
      <c r="BS3250">
        <v>5.6</v>
      </c>
      <c r="BT3250">
        <v>0.37</v>
      </c>
      <c r="BU3250">
        <v>1.1000000000000001</v>
      </c>
      <c r="BV3250">
        <v>1.19</v>
      </c>
      <c r="BW3250">
        <v>1.81</v>
      </c>
      <c r="BX3250">
        <v>2.0099999999999998</v>
      </c>
      <c r="BY3250">
        <v>10.6</v>
      </c>
      <c r="BZ3250">
        <v>7.51</v>
      </c>
      <c r="CA3250">
        <v>1.4</v>
      </c>
      <c r="CB3250">
        <v>0</v>
      </c>
      <c r="CC3250">
        <v>1.37</v>
      </c>
      <c r="CD3250">
        <v>1.19</v>
      </c>
      <c r="CE3250">
        <v>1.18</v>
      </c>
      <c r="CF3250">
        <v>1.18</v>
      </c>
      <c r="CG3250">
        <v>6.18</v>
      </c>
      <c r="CH3250">
        <v>1.21</v>
      </c>
      <c r="CI3250">
        <v>-0.08</v>
      </c>
      <c r="CJ3250">
        <v>24994</v>
      </c>
      <c r="CK3250">
        <v>8716</v>
      </c>
      <c r="CL3250" t="s">
        <v>5710</v>
      </c>
      <c r="CM3250">
        <v>0.25</v>
      </c>
      <c r="CN3250">
        <v>1.59</v>
      </c>
      <c r="CO3250">
        <v>1.89</v>
      </c>
      <c r="CP3250">
        <v>20.7</v>
      </c>
      <c r="CQ3250">
        <v>2.37</v>
      </c>
      <c r="CR3250">
        <v>1.47</v>
      </c>
      <c r="CS3250" t="s">
        <v>13982</v>
      </c>
      <c r="CT3250">
        <v>3.08</v>
      </c>
      <c r="CU3250">
        <v>0</v>
      </c>
      <c r="CV3250">
        <v>0.47</v>
      </c>
      <c r="CW3250">
        <v>1.43</v>
      </c>
      <c r="CX3250">
        <v>0.28000000000000003</v>
      </c>
      <c r="CY3250">
        <v>90.84</v>
      </c>
      <c r="CZ3250" t="s">
        <v>9053</v>
      </c>
      <c r="DA3250">
        <v>29.19</v>
      </c>
      <c r="DB3250">
        <v>13.19</v>
      </c>
      <c r="DC3250">
        <v>11.16</v>
      </c>
      <c r="DD3250">
        <v>0.38</v>
      </c>
      <c r="DE3250">
        <v>1332</v>
      </c>
      <c r="DF3250">
        <v>603067</v>
      </c>
      <c r="DG3250" t="s">
        <v>116</v>
      </c>
      <c r="DH3250" t="s">
        <v>116</v>
      </c>
      <c r="DI3250" t="s">
        <v>116</v>
      </c>
    </row>
    <row r="3251" spans="1:113" x14ac:dyDescent="0.4">
      <c r="A3251" t="str">
        <f>"603068"</f>
        <v>603068</v>
      </c>
      <c r="B3251" t="s">
        <v>13983</v>
      </c>
      <c r="C3251">
        <v>-1.06</v>
      </c>
      <c r="D3251">
        <v>89.9</v>
      </c>
      <c r="E3251">
        <v>-0.96</v>
      </c>
      <c r="F3251">
        <v>89.9</v>
      </c>
      <c r="G3251">
        <v>89.91</v>
      </c>
      <c r="H3251">
        <v>30260</v>
      </c>
      <c r="I3251">
        <v>172</v>
      </c>
      <c r="J3251">
        <v>0.03</v>
      </c>
      <c r="K3251">
        <v>8.73</v>
      </c>
      <c r="L3251">
        <v>90.99</v>
      </c>
      <c r="M3251">
        <v>92.7</v>
      </c>
      <c r="N3251">
        <v>89.7</v>
      </c>
      <c r="O3251">
        <v>90.86</v>
      </c>
      <c r="P3251">
        <v>57.09</v>
      </c>
      <c r="Q3251">
        <v>275014496</v>
      </c>
      <c r="R3251">
        <v>1.1299999999999999</v>
      </c>
      <c r="S3251" t="s">
        <v>3507</v>
      </c>
      <c r="T3251" t="s">
        <v>1653</v>
      </c>
      <c r="U3251">
        <v>3.3</v>
      </c>
      <c r="V3251">
        <v>90.88</v>
      </c>
      <c r="W3251">
        <v>17311</v>
      </c>
      <c r="X3251">
        <v>12949</v>
      </c>
      <c r="Y3251">
        <v>1.34</v>
      </c>
      <c r="Z3251">
        <v>159</v>
      </c>
      <c r="AA3251">
        <v>14</v>
      </c>
      <c r="AB3251" t="s">
        <v>116</v>
      </c>
      <c r="AC3251">
        <v>600500</v>
      </c>
      <c r="AD3251">
        <v>0.02</v>
      </c>
      <c r="AE3251" t="s">
        <v>116</v>
      </c>
      <c r="AF3251" t="s">
        <v>116</v>
      </c>
      <c r="AG3251">
        <v>0.35</v>
      </c>
      <c r="AH3251" t="s">
        <v>8969</v>
      </c>
      <c r="AI3251" t="s">
        <v>10620</v>
      </c>
      <c r="AJ3251">
        <v>-0.98</v>
      </c>
      <c r="AK3251">
        <v>3429</v>
      </c>
      <c r="AL3251">
        <v>9</v>
      </c>
      <c r="AM3251">
        <v>2.5000000000000001E-3</v>
      </c>
      <c r="AN3251">
        <v>-2</v>
      </c>
      <c r="AO3251">
        <v>-0.78</v>
      </c>
      <c r="AP3251">
        <v>1.81</v>
      </c>
      <c r="AQ3251">
        <v>-17.97</v>
      </c>
      <c r="AR3251">
        <v>387.79</v>
      </c>
      <c r="AS3251">
        <v>8.73</v>
      </c>
      <c r="AT3251" t="s">
        <v>8969</v>
      </c>
      <c r="AU3251">
        <v>58.15</v>
      </c>
      <c r="AV3251">
        <v>100.64</v>
      </c>
      <c r="AW3251">
        <v>2.54</v>
      </c>
      <c r="BA3251">
        <v>0.14000000000000001</v>
      </c>
      <c r="BB3251">
        <v>2.0299999999999998</v>
      </c>
      <c r="BC3251">
        <v>-1.28</v>
      </c>
      <c r="BD3251">
        <v>0.03</v>
      </c>
      <c r="BE3251">
        <v>-1.2</v>
      </c>
      <c r="BF3251">
        <v>-3.02</v>
      </c>
      <c r="BG3251">
        <v>0.22</v>
      </c>
      <c r="BH3251">
        <v>-1.08</v>
      </c>
      <c r="BI3251">
        <v>20191129</v>
      </c>
      <c r="BJ3251">
        <v>20190415</v>
      </c>
      <c r="BK3251">
        <v>1.39</v>
      </c>
      <c r="BL3251" t="s">
        <v>116</v>
      </c>
      <c r="BM3251" t="s">
        <v>116</v>
      </c>
      <c r="BN3251">
        <v>15.92</v>
      </c>
      <c r="BO3251">
        <v>11.76</v>
      </c>
      <c r="BP3251">
        <v>0</v>
      </c>
      <c r="BQ3251">
        <v>26.15</v>
      </c>
      <c r="BR3251">
        <v>15.19</v>
      </c>
      <c r="BS3251">
        <v>0.51</v>
      </c>
      <c r="BT3251">
        <v>0.21</v>
      </c>
      <c r="BU3251">
        <v>4.1100000000000003</v>
      </c>
      <c r="BV3251">
        <v>3.18</v>
      </c>
      <c r="BW3251">
        <v>3.24</v>
      </c>
      <c r="BX3251">
        <v>6.87</v>
      </c>
      <c r="BY3251">
        <v>7.8</v>
      </c>
      <c r="BZ3251">
        <v>5</v>
      </c>
      <c r="CA3251">
        <v>1.84</v>
      </c>
      <c r="CB3251">
        <v>0.01</v>
      </c>
      <c r="CC3251">
        <v>1.84</v>
      </c>
      <c r="CD3251">
        <v>1.64</v>
      </c>
      <c r="CE3251">
        <v>1.64</v>
      </c>
      <c r="CF3251">
        <v>1.6</v>
      </c>
      <c r="CG3251">
        <v>3.14</v>
      </c>
      <c r="CH3251">
        <v>0.36</v>
      </c>
      <c r="CI3251">
        <v>2.17</v>
      </c>
      <c r="CJ3251">
        <v>24676</v>
      </c>
      <c r="CK3251">
        <v>1405</v>
      </c>
      <c r="CL3251" t="s">
        <v>13984</v>
      </c>
      <c r="CM3251">
        <v>0</v>
      </c>
      <c r="CN3251">
        <v>0</v>
      </c>
      <c r="CO3251">
        <v>10.61</v>
      </c>
      <c r="CP3251">
        <v>345.02</v>
      </c>
      <c r="CQ3251">
        <v>15.98</v>
      </c>
      <c r="CR3251">
        <v>0.22</v>
      </c>
      <c r="CS3251" t="s">
        <v>13985</v>
      </c>
      <c r="CT3251">
        <v>8.48</v>
      </c>
      <c r="CU3251">
        <v>0</v>
      </c>
      <c r="CV3251">
        <v>4.95</v>
      </c>
      <c r="CW3251">
        <v>2.2599999999999998</v>
      </c>
      <c r="CX3251">
        <v>0.26</v>
      </c>
      <c r="CY3251">
        <v>73.849999999999994</v>
      </c>
      <c r="CZ3251" t="s">
        <v>2274</v>
      </c>
      <c r="DA3251">
        <v>35.92</v>
      </c>
      <c r="DB3251">
        <v>23.54</v>
      </c>
      <c r="DC3251">
        <v>21</v>
      </c>
      <c r="DD3251">
        <v>0.75</v>
      </c>
      <c r="DE3251">
        <v>131</v>
      </c>
      <c r="DF3251">
        <v>603068</v>
      </c>
      <c r="DG3251" t="s">
        <v>116</v>
      </c>
      <c r="DH3251" t="s">
        <v>116</v>
      </c>
      <c r="DI3251" t="s">
        <v>116</v>
      </c>
    </row>
    <row r="3252" spans="1:113" x14ac:dyDescent="0.4">
      <c r="A3252" t="str">
        <f>"603069"</f>
        <v>603069</v>
      </c>
      <c r="B3252" t="s">
        <v>13986</v>
      </c>
      <c r="C3252">
        <v>-0.49</v>
      </c>
      <c r="D3252">
        <v>10.1</v>
      </c>
      <c r="E3252">
        <v>-0.05</v>
      </c>
      <c r="F3252">
        <v>10.1</v>
      </c>
      <c r="G3252">
        <v>10.11</v>
      </c>
      <c r="H3252">
        <v>90951</v>
      </c>
      <c r="I3252">
        <v>2435</v>
      </c>
      <c r="J3252">
        <v>0.1</v>
      </c>
      <c r="K3252">
        <v>2.88</v>
      </c>
      <c r="L3252">
        <v>10.18</v>
      </c>
      <c r="M3252">
        <v>10.4</v>
      </c>
      <c r="N3252">
        <v>9.89</v>
      </c>
      <c r="O3252">
        <v>10.15</v>
      </c>
      <c r="P3252">
        <v>71.25</v>
      </c>
      <c r="Q3252">
        <v>91894976</v>
      </c>
      <c r="R3252">
        <v>0.55000000000000004</v>
      </c>
      <c r="S3252" t="s">
        <v>2041</v>
      </c>
      <c r="T3252" t="s">
        <v>851</v>
      </c>
      <c r="U3252">
        <v>5.0199999999999996</v>
      </c>
      <c r="V3252">
        <v>10.1</v>
      </c>
      <c r="W3252">
        <v>48639</v>
      </c>
      <c r="X3252">
        <v>42312</v>
      </c>
      <c r="Y3252">
        <v>1.1499999999999999</v>
      </c>
      <c r="Z3252">
        <v>68</v>
      </c>
      <c r="AA3252">
        <v>205</v>
      </c>
      <c r="AB3252" t="s">
        <v>116</v>
      </c>
      <c r="AC3252">
        <v>565000</v>
      </c>
      <c r="AD3252">
        <v>0.05</v>
      </c>
      <c r="AE3252" t="s">
        <v>116</v>
      </c>
      <c r="AF3252" t="s">
        <v>116</v>
      </c>
      <c r="AG3252">
        <v>3.16</v>
      </c>
      <c r="AH3252" t="s">
        <v>12503</v>
      </c>
      <c r="AI3252" t="s">
        <v>12503</v>
      </c>
      <c r="AJ3252">
        <v>-0.42</v>
      </c>
      <c r="AK3252">
        <v>2156</v>
      </c>
      <c r="AL3252">
        <v>42</v>
      </c>
      <c r="AM3252">
        <v>1.2999999999999999E-3</v>
      </c>
      <c r="AN3252">
        <v>-2</v>
      </c>
      <c r="AO3252">
        <v>3.06</v>
      </c>
      <c r="AP3252">
        <v>30.32</v>
      </c>
      <c r="AQ3252">
        <v>52.34</v>
      </c>
      <c r="AR3252">
        <v>54.91</v>
      </c>
      <c r="AS3252">
        <v>7.62</v>
      </c>
      <c r="AT3252" t="s">
        <v>8219</v>
      </c>
      <c r="AU3252">
        <v>76.69</v>
      </c>
      <c r="AV3252">
        <v>54.21</v>
      </c>
      <c r="AW3252">
        <v>1.04</v>
      </c>
      <c r="BA3252">
        <v>0.3</v>
      </c>
      <c r="BB3252">
        <v>2.46</v>
      </c>
      <c r="BC3252">
        <v>-2.56</v>
      </c>
      <c r="BD3252">
        <v>-0.45</v>
      </c>
      <c r="BE3252">
        <v>-0.79</v>
      </c>
      <c r="BF3252">
        <v>-2.88</v>
      </c>
      <c r="BG3252">
        <v>2.12</v>
      </c>
      <c r="BH3252">
        <v>-0.04</v>
      </c>
      <c r="BI3252">
        <v>20191029</v>
      </c>
      <c r="BJ3252">
        <v>20160712</v>
      </c>
      <c r="BK3252">
        <v>3.16</v>
      </c>
      <c r="BL3252" t="s">
        <v>116</v>
      </c>
      <c r="BM3252" t="s">
        <v>116</v>
      </c>
      <c r="BN3252">
        <v>20.170000000000002</v>
      </c>
      <c r="BO3252">
        <v>11.27</v>
      </c>
      <c r="BP3252">
        <v>0.09</v>
      </c>
      <c r="BQ3252">
        <v>43.66</v>
      </c>
      <c r="BR3252">
        <v>6.39</v>
      </c>
      <c r="BS3252">
        <v>7</v>
      </c>
      <c r="BT3252">
        <v>2.16</v>
      </c>
      <c r="BU3252">
        <v>7.47</v>
      </c>
      <c r="BV3252">
        <v>0.15</v>
      </c>
      <c r="BW3252">
        <v>0.67</v>
      </c>
      <c r="BX3252">
        <v>3.76</v>
      </c>
      <c r="BY3252">
        <v>8.0299999999999994</v>
      </c>
      <c r="BZ3252">
        <v>6.34</v>
      </c>
      <c r="CA3252">
        <v>0.44</v>
      </c>
      <c r="CB3252">
        <v>0.05</v>
      </c>
      <c r="CC3252">
        <v>0.45</v>
      </c>
      <c r="CD3252">
        <v>0.33</v>
      </c>
      <c r="CE3252">
        <v>0.34</v>
      </c>
      <c r="CF3252">
        <v>0.25</v>
      </c>
      <c r="CG3252">
        <v>3.79</v>
      </c>
      <c r="CH3252">
        <v>1.25</v>
      </c>
      <c r="CI3252">
        <v>-0.83</v>
      </c>
      <c r="CJ3252">
        <v>20445</v>
      </c>
      <c r="CK3252">
        <v>5835</v>
      </c>
      <c r="CL3252" t="s">
        <v>2673</v>
      </c>
      <c r="CM3252">
        <v>-33.94</v>
      </c>
      <c r="CN3252">
        <v>-2.46</v>
      </c>
      <c r="CO3252">
        <v>2.83</v>
      </c>
      <c r="CP3252">
        <v>25.55</v>
      </c>
      <c r="CQ3252">
        <v>3.98</v>
      </c>
      <c r="CR3252">
        <v>0.59</v>
      </c>
      <c r="CS3252" t="s">
        <v>6630</v>
      </c>
      <c r="CT3252">
        <v>3.57</v>
      </c>
      <c r="CU3252">
        <v>0</v>
      </c>
      <c r="CV3252">
        <v>1.19</v>
      </c>
      <c r="CW3252">
        <v>1.2</v>
      </c>
      <c r="CX3252">
        <v>0.4</v>
      </c>
      <c r="CY3252">
        <v>55.88</v>
      </c>
      <c r="CZ3252" t="s">
        <v>13987</v>
      </c>
      <c r="DA3252">
        <v>21.08</v>
      </c>
      <c r="DB3252">
        <v>5.54</v>
      </c>
      <c r="DC3252">
        <v>4.1900000000000004</v>
      </c>
      <c r="DD3252">
        <v>0</v>
      </c>
      <c r="DE3252">
        <v>3787</v>
      </c>
      <c r="DF3252">
        <v>603069</v>
      </c>
      <c r="DG3252" t="s">
        <v>116</v>
      </c>
      <c r="DH3252" t="s">
        <v>116</v>
      </c>
      <c r="DI3252" t="s">
        <v>116</v>
      </c>
    </row>
    <row r="3253" spans="1:113" x14ac:dyDescent="0.4">
      <c r="A3253" t="str">
        <f>"603076"</f>
        <v>603076</v>
      </c>
      <c r="B3253" t="s">
        <v>13988</v>
      </c>
      <c r="C3253">
        <v>2.44</v>
      </c>
      <c r="D3253">
        <v>23.92</v>
      </c>
      <c r="E3253">
        <v>0.56999999999999995</v>
      </c>
      <c r="F3253">
        <v>23.91</v>
      </c>
      <c r="G3253">
        <v>23.92</v>
      </c>
      <c r="H3253">
        <v>17713</v>
      </c>
      <c r="I3253">
        <v>376</v>
      </c>
      <c r="J3253">
        <v>0.25</v>
      </c>
      <c r="K3253">
        <v>6.6</v>
      </c>
      <c r="L3253">
        <v>23.31</v>
      </c>
      <c r="M3253">
        <v>24.94</v>
      </c>
      <c r="N3253">
        <v>23.31</v>
      </c>
      <c r="O3253">
        <v>23.35</v>
      </c>
      <c r="P3253">
        <v>26.52</v>
      </c>
      <c r="Q3253">
        <v>42370004</v>
      </c>
      <c r="R3253">
        <v>3.69</v>
      </c>
      <c r="S3253" t="s">
        <v>682</v>
      </c>
      <c r="T3253" t="s">
        <v>590</v>
      </c>
      <c r="U3253">
        <v>6.98</v>
      </c>
      <c r="V3253">
        <v>23.92</v>
      </c>
      <c r="W3253">
        <v>9054</v>
      </c>
      <c r="X3253">
        <v>8659</v>
      </c>
      <c r="Y3253">
        <v>1.05</v>
      </c>
      <c r="Z3253">
        <v>115</v>
      </c>
      <c r="AA3253">
        <v>4</v>
      </c>
      <c r="AB3253" t="s">
        <v>116</v>
      </c>
      <c r="AC3253">
        <v>39600</v>
      </c>
      <c r="AD3253">
        <v>0.01</v>
      </c>
      <c r="AE3253" t="s">
        <v>116</v>
      </c>
      <c r="AF3253" t="s">
        <v>116</v>
      </c>
      <c r="AG3253">
        <v>0.27</v>
      </c>
      <c r="AH3253" t="s">
        <v>13989</v>
      </c>
      <c r="AI3253" t="s">
        <v>5618</v>
      </c>
      <c r="AJ3253">
        <v>2.52</v>
      </c>
      <c r="AK3253">
        <v>1132</v>
      </c>
      <c r="AL3253">
        <v>16</v>
      </c>
      <c r="AM3253">
        <v>5.7999999999999996E-3</v>
      </c>
      <c r="AN3253">
        <v>2</v>
      </c>
      <c r="AO3253">
        <v>5.14</v>
      </c>
      <c r="AP3253">
        <v>10.18</v>
      </c>
      <c r="AQ3253">
        <v>0.42</v>
      </c>
      <c r="AR3253">
        <v>-1.6</v>
      </c>
      <c r="AS3253">
        <v>6.66</v>
      </c>
      <c r="AT3253" t="s">
        <v>10200</v>
      </c>
      <c r="AU3253">
        <v>53.61</v>
      </c>
      <c r="AV3253">
        <v>45.72</v>
      </c>
      <c r="AW3253">
        <v>0.88</v>
      </c>
      <c r="BA3253">
        <v>-0.17</v>
      </c>
      <c r="BB3253">
        <v>6.81</v>
      </c>
      <c r="BC3253">
        <v>-0.17</v>
      </c>
      <c r="BD3253">
        <v>2.44</v>
      </c>
      <c r="BE3253">
        <v>2.62</v>
      </c>
      <c r="BF3253">
        <v>-4.09</v>
      </c>
      <c r="BG3253">
        <v>2.62</v>
      </c>
      <c r="BH3253">
        <v>0</v>
      </c>
      <c r="BI3253">
        <v>20191029</v>
      </c>
      <c r="BJ3253">
        <v>20171113</v>
      </c>
      <c r="BK3253">
        <v>0.75</v>
      </c>
      <c r="BL3253" t="s">
        <v>116</v>
      </c>
      <c r="BM3253" t="s">
        <v>116</v>
      </c>
      <c r="BN3253">
        <v>18.87</v>
      </c>
      <c r="BO3253">
        <v>8.2899999999999991</v>
      </c>
      <c r="BP3253">
        <v>0.02</v>
      </c>
      <c r="BQ3253">
        <v>55.96</v>
      </c>
      <c r="BR3253">
        <v>15.61</v>
      </c>
      <c r="BS3253">
        <v>1.54</v>
      </c>
      <c r="BT3253">
        <v>0.76</v>
      </c>
      <c r="BU3253">
        <v>10.51</v>
      </c>
      <c r="BV3253">
        <v>7.69</v>
      </c>
      <c r="BW3253">
        <v>2.73</v>
      </c>
      <c r="BX3253">
        <v>5.1100000000000003</v>
      </c>
      <c r="BY3253">
        <v>6.25</v>
      </c>
      <c r="BZ3253">
        <v>4.37</v>
      </c>
      <c r="CA3253">
        <v>0.59</v>
      </c>
      <c r="CB3253">
        <v>0.11</v>
      </c>
      <c r="CC3253">
        <v>0.63</v>
      </c>
      <c r="CD3253">
        <v>0.5</v>
      </c>
      <c r="CE3253">
        <v>0.5</v>
      </c>
      <c r="CF3253">
        <v>0.43</v>
      </c>
      <c r="CG3253">
        <v>1.8</v>
      </c>
      <c r="CH3253">
        <v>1.77</v>
      </c>
      <c r="CI3253">
        <v>-0.46</v>
      </c>
      <c r="CJ3253">
        <v>7568</v>
      </c>
      <c r="CK3253">
        <v>3513</v>
      </c>
      <c r="CL3253" t="s">
        <v>8494</v>
      </c>
      <c r="CM3253">
        <v>-10.220000000000001</v>
      </c>
      <c r="CN3253">
        <v>-11.57</v>
      </c>
      <c r="CO3253">
        <v>2.15</v>
      </c>
      <c r="CP3253">
        <v>10.08</v>
      </c>
      <c r="CQ3253">
        <v>2.85</v>
      </c>
      <c r="CR3253">
        <v>0.67</v>
      </c>
      <c r="CS3253" t="s">
        <v>13990</v>
      </c>
      <c r="CT3253">
        <v>11.13</v>
      </c>
      <c r="CU3253">
        <v>0</v>
      </c>
      <c r="CV3253">
        <v>6.86</v>
      </c>
      <c r="CW3253">
        <v>2.42</v>
      </c>
      <c r="CX3253">
        <v>2.37</v>
      </c>
      <c r="CY3253">
        <v>43.94</v>
      </c>
      <c r="CZ3253" t="s">
        <v>2177</v>
      </c>
      <c r="DA3253">
        <v>30.12</v>
      </c>
      <c r="DB3253">
        <v>9.4600000000000009</v>
      </c>
      <c r="DC3253">
        <v>8.06</v>
      </c>
      <c r="DD3253">
        <v>0.25</v>
      </c>
      <c r="DE3253">
        <v>1150</v>
      </c>
      <c r="DF3253">
        <v>603076</v>
      </c>
      <c r="DG3253" t="s">
        <v>116</v>
      </c>
      <c r="DH3253" t="s">
        <v>116</v>
      </c>
      <c r="DI3253" t="s">
        <v>116</v>
      </c>
    </row>
    <row r="3254" spans="1:113" x14ac:dyDescent="0.4">
      <c r="A3254" t="str">
        <f>"603077"</f>
        <v>603077</v>
      </c>
      <c r="B3254" t="s">
        <v>13991</v>
      </c>
      <c r="C3254">
        <v>0</v>
      </c>
      <c r="D3254">
        <v>1.46</v>
      </c>
      <c r="E3254">
        <v>0</v>
      </c>
      <c r="F3254">
        <v>1.45</v>
      </c>
      <c r="G3254">
        <v>1.46</v>
      </c>
      <c r="H3254">
        <v>738373</v>
      </c>
      <c r="I3254">
        <v>17178</v>
      </c>
      <c r="J3254">
        <v>0.69</v>
      </c>
      <c r="K3254">
        <v>0.84</v>
      </c>
      <c r="L3254">
        <v>1.46</v>
      </c>
      <c r="M3254">
        <v>1.47</v>
      </c>
      <c r="N3254">
        <v>1.45</v>
      </c>
      <c r="O3254">
        <v>1.46</v>
      </c>
      <c r="P3254">
        <v>20.8</v>
      </c>
      <c r="Q3254">
        <v>107655168</v>
      </c>
      <c r="R3254">
        <v>0.97</v>
      </c>
      <c r="S3254" t="s">
        <v>891</v>
      </c>
      <c r="T3254" t="s">
        <v>582</v>
      </c>
      <c r="U3254">
        <v>1.37</v>
      </c>
      <c r="V3254">
        <v>1.46</v>
      </c>
      <c r="W3254">
        <v>394789</v>
      </c>
      <c r="X3254">
        <v>343584</v>
      </c>
      <c r="Y3254">
        <v>1.1499999999999999</v>
      </c>
      <c r="Z3254">
        <v>88923</v>
      </c>
      <c r="AA3254">
        <v>68199</v>
      </c>
      <c r="AB3254" t="s">
        <v>116</v>
      </c>
      <c r="AC3254">
        <v>820500</v>
      </c>
      <c r="AD3254">
        <v>0.01</v>
      </c>
      <c r="AE3254" t="s">
        <v>116</v>
      </c>
      <c r="AF3254" t="s">
        <v>116</v>
      </c>
      <c r="AG3254">
        <v>88.31</v>
      </c>
      <c r="AH3254" t="s">
        <v>13992</v>
      </c>
      <c r="AI3254" t="s">
        <v>13992</v>
      </c>
      <c r="AJ3254">
        <v>0.08</v>
      </c>
      <c r="AK3254">
        <v>2445</v>
      </c>
      <c r="AL3254">
        <v>302</v>
      </c>
      <c r="AM3254">
        <v>2.9999999999999997E-4</v>
      </c>
      <c r="AN3254">
        <v>0</v>
      </c>
      <c r="AO3254">
        <v>0.69</v>
      </c>
      <c r="AP3254">
        <v>0.69</v>
      </c>
      <c r="AQ3254">
        <v>-7.01</v>
      </c>
      <c r="AR3254">
        <v>-9.8800000000000008</v>
      </c>
      <c r="AS3254">
        <v>1.69</v>
      </c>
      <c r="AT3254" t="s">
        <v>13993</v>
      </c>
      <c r="AU3254">
        <v>33.97</v>
      </c>
      <c r="AV3254">
        <v>35.51</v>
      </c>
      <c r="AW3254">
        <v>0.83</v>
      </c>
      <c r="BA3254">
        <v>0</v>
      </c>
      <c r="BB3254">
        <v>0.68</v>
      </c>
      <c r="BC3254">
        <v>-0.68</v>
      </c>
      <c r="BD3254">
        <v>-0.14000000000000001</v>
      </c>
      <c r="BE3254">
        <v>0</v>
      </c>
      <c r="BF3254">
        <v>-0.68</v>
      </c>
      <c r="BG3254">
        <v>0.69</v>
      </c>
      <c r="BH3254">
        <v>0.14000000000000001</v>
      </c>
      <c r="BI3254">
        <v>20191031</v>
      </c>
      <c r="BJ3254">
        <v>20120731</v>
      </c>
      <c r="BK3254">
        <v>88.31</v>
      </c>
      <c r="BL3254" t="s">
        <v>116</v>
      </c>
      <c r="BM3254" t="s">
        <v>116</v>
      </c>
      <c r="BN3254">
        <v>143.1</v>
      </c>
      <c r="BO3254">
        <v>111.88</v>
      </c>
      <c r="BP3254">
        <v>2.16</v>
      </c>
      <c r="BQ3254">
        <v>20.309999999999999</v>
      </c>
      <c r="BR3254">
        <v>35.119999999999997</v>
      </c>
      <c r="BS3254">
        <v>51.17</v>
      </c>
      <c r="BT3254">
        <v>10.88</v>
      </c>
      <c r="BU3254">
        <v>25.29</v>
      </c>
      <c r="BV3254">
        <v>11.12</v>
      </c>
      <c r="BW3254">
        <v>6.28</v>
      </c>
      <c r="BX3254">
        <v>2.13</v>
      </c>
      <c r="BY3254">
        <v>47.48</v>
      </c>
      <c r="BZ3254">
        <v>36.659999999999997</v>
      </c>
      <c r="CA3254">
        <v>5.37</v>
      </c>
      <c r="CB3254">
        <v>-0.02</v>
      </c>
      <c r="CC3254">
        <v>5.37</v>
      </c>
      <c r="CD3254">
        <v>4.49</v>
      </c>
      <c r="CE3254">
        <v>4.6500000000000004</v>
      </c>
      <c r="CF3254">
        <v>4.58</v>
      </c>
      <c r="CG3254">
        <v>23.54</v>
      </c>
      <c r="CH3254">
        <v>0.32</v>
      </c>
      <c r="CI3254">
        <v>-6.65</v>
      </c>
      <c r="CJ3254">
        <v>170319</v>
      </c>
      <c r="CK3254">
        <v>25667</v>
      </c>
      <c r="CL3254" t="s">
        <v>489</v>
      </c>
      <c r="CM3254">
        <v>3.68</v>
      </c>
      <c r="CN3254">
        <v>4.18</v>
      </c>
      <c r="CO3254">
        <v>1.1499999999999999</v>
      </c>
      <c r="CP3254">
        <v>400.34</v>
      </c>
      <c r="CQ3254">
        <v>2.72</v>
      </c>
      <c r="CR3254">
        <v>0</v>
      </c>
      <c r="CS3254" t="s">
        <v>170</v>
      </c>
      <c r="CT3254">
        <v>1.27</v>
      </c>
      <c r="CU3254">
        <v>0</v>
      </c>
      <c r="CV3254">
        <v>0.02</v>
      </c>
      <c r="CW3254">
        <v>0.27</v>
      </c>
      <c r="CX3254">
        <v>0</v>
      </c>
      <c r="CY3254">
        <v>78.180000000000007</v>
      </c>
      <c r="CZ3254" t="s">
        <v>5787</v>
      </c>
      <c r="DA3254">
        <v>22.79</v>
      </c>
      <c r="DB3254">
        <v>11.32</v>
      </c>
      <c r="DC3254">
        <v>9.7899999999999991</v>
      </c>
      <c r="DD3254">
        <v>0.28000000000000003</v>
      </c>
      <c r="DE3254">
        <v>4403</v>
      </c>
      <c r="DF3254">
        <v>603077</v>
      </c>
      <c r="DG3254" t="s">
        <v>116</v>
      </c>
      <c r="DH3254" t="s">
        <v>116</v>
      </c>
      <c r="DI3254" t="s">
        <v>116</v>
      </c>
    </row>
    <row r="3255" spans="1:113" x14ac:dyDescent="0.4">
      <c r="A3255" t="str">
        <f>"603078"</f>
        <v>603078</v>
      </c>
      <c r="B3255" t="s">
        <v>13994</v>
      </c>
      <c r="C3255">
        <v>-4.0199999999999996</v>
      </c>
      <c r="D3255">
        <v>35.6</v>
      </c>
      <c r="E3255">
        <v>-1.49</v>
      </c>
      <c r="F3255">
        <v>35.590000000000003</v>
      </c>
      <c r="G3255">
        <v>35.6</v>
      </c>
      <c r="H3255">
        <v>58020</v>
      </c>
      <c r="I3255">
        <v>1102</v>
      </c>
      <c r="J3255">
        <v>0.45</v>
      </c>
      <c r="K3255">
        <v>9.32</v>
      </c>
      <c r="L3255">
        <v>36.74</v>
      </c>
      <c r="M3255">
        <v>36.75</v>
      </c>
      <c r="N3255">
        <v>35.369999999999997</v>
      </c>
      <c r="O3255">
        <v>37.090000000000003</v>
      </c>
      <c r="P3255">
        <v>88.44</v>
      </c>
      <c r="Q3255">
        <v>208382112</v>
      </c>
      <c r="R3255">
        <v>1.05</v>
      </c>
      <c r="S3255" t="s">
        <v>891</v>
      </c>
      <c r="T3255" t="s">
        <v>323</v>
      </c>
      <c r="U3255">
        <v>3.72</v>
      </c>
      <c r="V3255">
        <v>35.92</v>
      </c>
      <c r="W3255">
        <v>33709</v>
      </c>
      <c r="X3255">
        <v>24311</v>
      </c>
      <c r="Y3255">
        <v>1.39</v>
      </c>
      <c r="Z3255">
        <v>22</v>
      </c>
      <c r="AA3255">
        <v>37</v>
      </c>
      <c r="AB3255" t="s">
        <v>116</v>
      </c>
      <c r="AC3255">
        <v>1778200</v>
      </c>
      <c r="AD3255">
        <v>0.1</v>
      </c>
      <c r="AE3255" t="s">
        <v>116</v>
      </c>
      <c r="AF3255" t="s">
        <v>116</v>
      </c>
      <c r="AG3255">
        <v>0.62</v>
      </c>
      <c r="AH3255" t="s">
        <v>4238</v>
      </c>
      <c r="AI3255" t="s">
        <v>4467</v>
      </c>
      <c r="AJ3255">
        <v>-3.94</v>
      </c>
      <c r="AK3255">
        <v>3215</v>
      </c>
      <c r="AL3255">
        <v>18</v>
      </c>
      <c r="AM3255">
        <v>2.8999999999999998E-3</v>
      </c>
      <c r="AN3255">
        <v>-1</v>
      </c>
      <c r="AO3255">
        <v>0.82</v>
      </c>
      <c r="AP3255">
        <v>18.350000000000001</v>
      </c>
      <c r="AQ3255">
        <v>10.01</v>
      </c>
      <c r="AR3255">
        <v>61.25</v>
      </c>
      <c r="AS3255">
        <v>12.08</v>
      </c>
      <c r="AT3255" t="s">
        <v>9632</v>
      </c>
      <c r="AU3255">
        <v>89.6</v>
      </c>
      <c r="AV3255">
        <v>97.38</v>
      </c>
      <c r="AW3255">
        <v>2.0499999999999998</v>
      </c>
      <c r="BA3255">
        <v>-0.94</v>
      </c>
      <c r="BB3255">
        <v>-0.92</v>
      </c>
      <c r="BC3255">
        <v>-4.6399999999999997</v>
      </c>
      <c r="BD3255">
        <v>-3.17</v>
      </c>
      <c r="BE3255">
        <v>-3.1</v>
      </c>
      <c r="BF3255">
        <v>-3.13</v>
      </c>
      <c r="BG3255">
        <v>0.65</v>
      </c>
      <c r="BH3255">
        <v>-0.85</v>
      </c>
      <c r="BI3255">
        <v>20191021</v>
      </c>
      <c r="BJ3255">
        <v>20170410</v>
      </c>
      <c r="BK3255">
        <v>1.0900000000000001</v>
      </c>
      <c r="BL3255" t="s">
        <v>116</v>
      </c>
      <c r="BM3255" t="s">
        <v>116</v>
      </c>
      <c r="BN3255">
        <v>11.73</v>
      </c>
      <c r="BO3255">
        <v>7.9</v>
      </c>
      <c r="BP3255">
        <v>-0.01</v>
      </c>
      <c r="BQ3255">
        <v>32.75</v>
      </c>
      <c r="BR3255">
        <v>5.01</v>
      </c>
      <c r="BS3255">
        <v>1.97</v>
      </c>
      <c r="BT3255">
        <v>0.83</v>
      </c>
      <c r="BU3255">
        <v>2.76</v>
      </c>
      <c r="BV3255">
        <v>0.32</v>
      </c>
      <c r="BW3255">
        <v>1.75</v>
      </c>
      <c r="BX3255">
        <v>3.25</v>
      </c>
      <c r="BY3255">
        <v>3.64</v>
      </c>
      <c r="BZ3255">
        <v>2.5</v>
      </c>
      <c r="CA3255">
        <v>0.36</v>
      </c>
      <c r="CB3255">
        <v>0</v>
      </c>
      <c r="CC3255">
        <v>0.36</v>
      </c>
      <c r="CD3255">
        <v>0.32</v>
      </c>
      <c r="CE3255">
        <v>0.33</v>
      </c>
      <c r="CF3255">
        <v>0.31</v>
      </c>
      <c r="CG3255">
        <v>3.23</v>
      </c>
      <c r="CH3255">
        <v>0.18</v>
      </c>
      <c r="CI3255">
        <v>-0.18</v>
      </c>
      <c r="CJ3255">
        <v>14293</v>
      </c>
      <c r="CK3255">
        <v>3361</v>
      </c>
      <c r="CL3255" t="s">
        <v>4415</v>
      </c>
      <c r="CM3255">
        <v>11.74</v>
      </c>
      <c r="CN3255">
        <v>28.31</v>
      </c>
      <c r="CO3255">
        <v>4.92</v>
      </c>
      <c r="CP3255">
        <v>211.42</v>
      </c>
      <c r="CQ3255">
        <v>10.68</v>
      </c>
      <c r="CR3255">
        <v>0.32</v>
      </c>
      <c r="CS3255" t="s">
        <v>1924</v>
      </c>
      <c r="CT3255">
        <v>7.23</v>
      </c>
      <c r="CU3255">
        <v>0</v>
      </c>
      <c r="CV3255">
        <v>2.98</v>
      </c>
      <c r="CW3255">
        <v>2.96</v>
      </c>
      <c r="CX3255">
        <v>0.17</v>
      </c>
      <c r="CY3255">
        <v>67.34</v>
      </c>
      <c r="CZ3255" t="s">
        <v>2919</v>
      </c>
      <c r="DA3255">
        <v>31.22</v>
      </c>
      <c r="DB3255">
        <v>9.9</v>
      </c>
      <c r="DC3255">
        <v>9.06</v>
      </c>
      <c r="DD3255">
        <v>0.18</v>
      </c>
      <c r="DE3255">
        <v>326</v>
      </c>
      <c r="DF3255">
        <v>603078</v>
      </c>
      <c r="DG3255" t="s">
        <v>116</v>
      </c>
      <c r="DH3255" t="s">
        <v>116</v>
      </c>
      <c r="DI3255" t="s">
        <v>116</v>
      </c>
    </row>
    <row r="3256" spans="1:113" x14ac:dyDescent="0.4">
      <c r="A3256" t="str">
        <f>"603079"</f>
        <v>603079</v>
      </c>
      <c r="B3256" t="s">
        <v>13995</v>
      </c>
      <c r="C3256">
        <v>-2.96</v>
      </c>
      <c r="D3256">
        <v>39.33</v>
      </c>
      <c r="E3256">
        <v>-1.2</v>
      </c>
      <c r="F3256">
        <v>39.33</v>
      </c>
      <c r="G3256">
        <v>39.340000000000003</v>
      </c>
      <c r="H3256">
        <v>20082</v>
      </c>
      <c r="I3256">
        <v>201</v>
      </c>
      <c r="J3256">
        <v>0.03</v>
      </c>
      <c r="K3256">
        <v>5.5</v>
      </c>
      <c r="L3256">
        <v>40.6</v>
      </c>
      <c r="M3256">
        <v>40.68</v>
      </c>
      <c r="N3256">
        <v>39.299999999999997</v>
      </c>
      <c r="O3256">
        <v>40.53</v>
      </c>
      <c r="P3256">
        <v>73.989999999999995</v>
      </c>
      <c r="Q3256">
        <v>80432632</v>
      </c>
      <c r="R3256">
        <v>0.78</v>
      </c>
      <c r="S3256" t="s">
        <v>863</v>
      </c>
      <c r="T3256" t="s">
        <v>590</v>
      </c>
      <c r="U3256">
        <v>3.4</v>
      </c>
      <c r="V3256">
        <v>40.049999999999997</v>
      </c>
      <c r="W3256">
        <v>10922</v>
      </c>
      <c r="X3256">
        <v>9160</v>
      </c>
      <c r="Y3256">
        <v>1.19</v>
      </c>
      <c r="Z3256">
        <v>29</v>
      </c>
      <c r="AA3256">
        <v>37</v>
      </c>
      <c r="AB3256" t="s">
        <v>116</v>
      </c>
      <c r="AC3256">
        <v>1534700</v>
      </c>
      <c r="AD3256">
        <v>0.1</v>
      </c>
      <c r="AE3256" t="s">
        <v>116</v>
      </c>
      <c r="AF3256" t="s">
        <v>116</v>
      </c>
      <c r="AG3256">
        <v>0.37</v>
      </c>
      <c r="AH3256" t="s">
        <v>8836</v>
      </c>
      <c r="AI3256" t="s">
        <v>1718</v>
      </c>
      <c r="AJ3256">
        <v>-2.88</v>
      </c>
      <c r="AK3256">
        <v>1373</v>
      </c>
      <c r="AL3256">
        <v>15</v>
      </c>
      <c r="AM3256">
        <v>4.0000000000000001E-3</v>
      </c>
      <c r="AN3256">
        <v>-1</v>
      </c>
      <c r="AO3256">
        <v>0.85</v>
      </c>
      <c r="AP3256">
        <v>12.05</v>
      </c>
      <c r="AQ3256">
        <v>6.21</v>
      </c>
      <c r="AR3256">
        <v>145.51</v>
      </c>
      <c r="AS3256">
        <v>5.5</v>
      </c>
      <c r="AT3256" t="s">
        <v>8836</v>
      </c>
      <c r="AU3256">
        <v>117.51</v>
      </c>
      <c r="AV3256">
        <v>98.89</v>
      </c>
      <c r="AW3256">
        <v>0.42</v>
      </c>
      <c r="BA3256">
        <v>0.17</v>
      </c>
      <c r="BB3256">
        <v>0.37</v>
      </c>
      <c r="BC3256">
        <v>-3.03</v>
      </c>
      <c r="BD3256">
        <v>-1.18</v>
      </c>
      <c r="BE3256">
        <v>-3.13</v>
      </c>
      <c r="BF3256">
        <v>-3.32</v>
      </c>
      <c r="BG3256">
        <v>0.08</v>
      </c>
      <c r="BH3256">
        <v>-1.78</v>
      </c>
      <c r="BI3256">
        <v>20191026</v>
      </c>
      <c r="BJ3256">
        <v>20170823</v>
      </c>
      <c r="BK3256">
        <v>1.1200000000000001</v>
      </c>
      <c r="BL3256" t="s">
        <v>116</v>
      </c>
      <c r="BM3256" t="s">
        <v>116</v>
      </c>
      <c r="BN3256">
        <v>15.12</v>
      </c>
      <c r="BO3256">
        <v>8.81</v>
      </c>
      <c r="BP3256">
        <v>0.34</v>
      </c>
      <c r="BQ3256">
        <v>39.49</v>
      </c>
      <c r="BR3256">
        <v>7.44</v>
      </c>
      <c r="BS3256">
        <v>3.23</v>
      </c>
      <c r="BT3256">
        <v>1.77</v>
      </c>
      <c r="BU3256">
        <v>3.56</v>
      </c>
      <c r="BV3256">
        <v>1.78</v>
      </c>
      <c r="BW3256">
        <v>1.01</v>
      </c>
      <c r="BX3256">
        <v>4.3099999999999996</v>
      </c>
      <c r="BY3256">
        <v>3.74</v>
      </c>
      <c r="BZ3256">
        <v>2.4500000000000002</v>
      </c>
      <c r="CA3256">
        <v>0.5</v>
      </c>
      <c r="CB3256">
        <v>0</v>
      </c>
      <c r="CC3256">
        <v>0.49</v>
      </c>
      <c r="CD3256">
        <v>0.41</v>
      </c>
      <c r="CE3256">
        <v>0.45</v>
      </c>
      <c r="CF3256">
        <v>0.39</v>
      </c>
      <c r="CG3256">
        <v>2.48</v>
      </c>
      <c r="CH3256">
        <v>0.24</v>
      </c>
      <c r="CI3256">
        <v>1.22</v>
      </c>
      <c r="CJ3256">
        <v>5823</v>
      </c>
      <c r="CK3256">
        <v>6270</v>
      </c>
      <c r="CL3256" t="s">
        <v>13996</v>
      </c>
      <c r="CM3256">
        <v>-13.65</v>
      </c>
      <c r="CN3256">
        <v>5.44</v>
      </c>
      <c r="CO3256">
        <v>5.36</v>
      </c>
      <c r="CP3256">
        <v>185.97</v>
      </c>
      <c r="CQ3256">
        <v>11.78</v>
      </c>
      <c r="CR3256">
        <v>0.31</v>
      </c>
      <c r="CS3256" t="s">
        <v>13997</v>
      </c>
      <c r="CT3256">
        <v>7.34</v>
      </c>
      <c r="CU3256">
        <v>7.34</v>
      </c>
      <c r="CV3256">
        <v>3.85</v>
      </c>
      <c r="CW3256">
        <v>2.2200000000000002</v>
      </c>
      <c r="CX3256">
        <v>0.21</v>
      </c>
      <c r="CY3256">
        <v>58.29</v>
      </c>
      <c r="CZ3256" t="s">
        <v>7299</v>
      </c>
      <c r="DA3256">
        <v>34.47</v>
      </c>
      <c r="DB3256">
        <v>13.33</v>
      </c>
      <c r="DC3256">
        <v>11.94</v>
      </c>
      <c r="DD3256">
        <v>0.18</v>
      </c>
      <c r="DE3256">
        <v>994</v>
      </c>
      <c r="DF3256">
        <v>603079</v>
      </c>
      <c r="DG3256" t="s">
        <v>116</v>
      </c>
      <c r="DH3256" t="s">
        <v>116</v>
      </c>
      <c r="DI3256" t="s">
        <v>116</v>
      </c>
    </row>
    <row r="3257" spans="1:113" x14ac:dyDescent="0.4">
      <c r="A3257" t="str">
        <f>"603080"</f>
        <v>603080</v>
      </c>
      <c r="B3257" t="s">
        <v>13998</v>
      </c>
      <c r="C3257">
        <v>-0.37</v>
      </c>
      <c r="D3257">
        <v>16.309999999999999</v>
      </c>
      <c r="E3257">
        <v>-0.06</v>
      </c>
      <c r="F3257">
        <v>16.309999999999999</v>
      </c>
      <c r="G3257">
        <v>16.32</v>
      </c>
      <c r="H3257">
        <v>14781</v>
      </c>
      <c r="I3257">
        <v>197</v>
      </c>
      <c r="J3257">
        <v>-0.17</v>
      </c>
      <c r="K3257">
        <v>1.69</v>
      </c>
      <c r="L3257">
        <v>16.420000000000002</v>
      </c>
      <c r="M3257">
        <v>16.53</v>
      </c>
      <c r="N3257">
        <v>16.3</v>
      </c>
      <c r="O3257">
        <v>16.37</v>
      </c>
      <c r="P3257">
        <v>52.33</v>
      </c>
      <c r="Q3257">
        <v>24299876</v>
      </c>
      <c r="R3257">
        <v>0.91</v>
      </c>
      <c r="S3257" t="s">
        <v>690</v>
      </c>
      <c r="T3257" t="s">
        <v>616</v>
      </c>
      <c r="U3257">
        <v>1.41</v>
      </c>
      <c r="V3257">
        <v>16.440000000000001</v>
      </c>
      <c r="W3257">
        <v>8518</v>
      </c>
      <c r="X3257">
        <v>6263</v>
      </c>
      <c r="Y3257">
        <v>1.36</v>
      </c>
      <c r="Z3257">
        <v>58</v>
      </c>
      <c r="AA3257">
        <v>60</v>
      </c>
      <c r="AB3257" t="s">
        <v>116</v>
      </c>
      <c r="AC3257">
        <v>23000</v>
      </c>
      <c r="AD3257">
        <v>0</v>
      </c>
      <c r="AE3257" t="s">
        <v>116</v>
      </c>
      <c r="AF3257" t="s">
        <v>116</v>
      </c>
      <c r="AG3257">
        <v>0.87</v>
      </c>
      <c r="AH3257" t="s">
        <v>10274</v>
      </c>
      <c r="AI3257" t="s">
        <v>1552</v>
      </c>
      <c r="AJ3257">
        <v>-0.28999999999999998</v>
      </c>
      <c r="AK3257">
        <v>1001</v>
      </c>
      <c r="AL3257">
        <v>15</v>
      </c>
      <c r="AM3257">
        <v>1.6999999999999999E-3</v>
      </c>
      <c r="AN3257">
        <v>-2</v>
      </c>
      <c r="AO3257">
        <v>-0.98</v>
      </c>
      <c r="AP3257">
        <v>2.71</v>
      </c>
      <c r="AQ3257">
        <v>-18.73</v>
      </c>
      <c r="AR3257">
        <v>-21.74</v>
      </c>
      <c r="AS3257">
        <v>2.37</v>
      </c>
      <c r="AT3257" t="s">
        <v>6160</v>
      </c>
      <c r="AU3257">
        <v>34.340000000000003</v>
      </c>
      <c r="AV3257">
        <v>25.07</v>
      </c>
      <c r="AW3257">
        <v>0.84</v>
      </c>
      <c r="BA3257">
        <v>0.31</v>
      </c>
      <c r="BB3257">
        <v>0.98</v>
      </c>
      <c r="BC3257">
        <v>-0.43</v>
      </c>
      <c r="BD3257">
        <v>0.43</v>
      </c>
      <c r="BE3257">
        <v>-0.67</v>
      </c>
      <c r="BF3257">
        <v>-1.33</v>
      </c>
      <c r="BG3257">
        <v>0.06</v>
      </c>
      <c r="BH3257">
        <v>-0.79</v>
      </c>
      <c r="BI3257">
        <v>20191031</v>
      </c>
      <c r="BJ3257">
        <v>20180103</v>
      </c>
      <c r="BK3257">
        <v>1.42</v>
      </c>
      <c r="BL3257" t="s">
        <v>116</v>
      </c>
      <c r="BM3257" t="s">
        <v>116</v>
      </c>
      <c r="BN3257">
        <v>15.49</v>
      </c>
      <c r="BO3257">
        <v>10.88</v>
      </c>
      <c r="BP3257">
        <v>0</v>
      </c>
      <c r="BQ3257">
        <v>29.8</v>
      </c>
      <c r="BR3257">
        <v>3.95</v>
      </c>
      <c r="BS3257">
        <v>7.47</v>
      </c>
      <c r="BT3257">
        <v>1.33</v>
      </c>
      <c r="BU3257">
        <v>2.44</v>
      </c>
      <c r="BV3257">
        <v>0.84</v>
      </c>
      <c r="BW3257">
        <v>0.82</v>
      </c>
      <c r="BX3257">
        <v>4.82</v>
      </c>
      <c r="BY3257">
        <v>3.02</v>
      </c>
      <c r="BZ3257">
        <v>1.83</v>
      </c>
      <c r="CA3257">
        <v>0.46</v>
      </c>
      <c r="CB3257">
        <v>-0.22</v>
      </c>
      <c r="CC3257">
        <v>0.46</v>
      </c>
      <c r="CD3257">
        <v>0.33</v>
      </c>
      <c r="CE3257">
        <v>0.33</v>
      </c>
      <c r="CF3257">
        <v>0.71</v>
      </c>
      <c r="CG3257">
        <v>3.99</v>
      </c>
      <c r="CH3257">
        <v>0.69</v>
      </c>
      <c r="CI3257">
        <v>-2.48</v>
      </c>
      <c r="CJ3257">
        <v>23191</v>
      </c>
      <c r="CK3257">
        <v>2685</v>
      </c>
      <c r="CL3257" t="s">
        <v>1807</v>
      </c>
      <c r="CM3257">
        <v>-42.9</v>
      </c>
      <c r="CN3257">
        <v>23.21</v>
      </c>
      <c r="CO3257">
        <v>2.12</v>
      </c>
      <c r="CP3257">
        <v>33.53</v>
      </c>
      <c r="CQ3257">
        <v>7.63</v>
      </c>
      <c r="CR3257">
        <v>0</v>
      </c>
      <c r="CS3257" t="s">
        <v>526</v>
      </c>
      <c r="CT3257">
        <v>7.69</v>
      </c>
      <c r="CU3257">
        <v>0</v>
      </c>
      <c r="CV3257">
        <v>3.41</v>
      </c>
      <c r="CW3257">
        <v>2.82</v>
      </c>
      <c r="CX3257">
        <v>0.49</v>
      </c>
      <c r="CY3257">
        <v>70.2</v>
      </c>
      <c r="CZ3257" t="s">
        <v>4824</v>
      </c>
      <c r="DA3257">
        <v>39.520000000000003</v>
      </c>
      <c r="DB3257">
        <v>15.24</v>
      </c>
      <c r="DC3257">
        <v>10.94</v>
      </c>
      <c r="DD3257">
        <v>0</v>
      </c>
      <c r="DE3257">
        <v>397</v>
      </c>
      <c r="DF3257">
        <v>603080</v>
      </c>
      <c r="DG3257" t="s">
        <v>116</v>
      </c>
      <c r="DH3257" t="s">
        <v>116</v>
      </c>
      <c r="DI3257" t="s">
        <v>116</v>
      </c>
    </row>
    <row r="3258" spans="1:113" x14ac:dyDescent="0.4">
      <c r="A3258" t="str">
        <f>"603081"</f>
        <v>603081</v>
      </c>
      <c r="B3258" t="s">
        <v>13999</v>
      </c>
      <c r="C3258">
        <v>-0.78</v>
      </c>
      <c r="D3258">
        <v>16.62</v>
      </c>
      <c r="E3258">
        <v>-0.13</v>
      </c>
      <c r="F3258">
        <v>16.62</v>
      </c>
      <c r="G3258">
        <v>16.63</v>
      </c>
      <c r="H3258">
        <v>66054</v>
      </c>
      <c r="I3258">
        <v>2452</v>
      </c>
      <c r="J3258">
        <v>-0.17</v>
      </c>
      <c r="K3258">
        <v>8.5</v>
      </c>
      <c r="L3258">
        <v>16.690000000000001</v>
      </c>
      <c r="M3258">
        <v>16.89</v>
      </c>
      <c r="N3258">
        <v>16.600000000000001</v>
      </c>
      <c r="O3258">
        <v>16.75</v>
      </c>
      <c r="P3258">
        <v>27.24</v>
      </c>
      <c r="Q3258">
        <v>110622144</v>
      </c>
      <c r="R3258">
        <v>0.41</v>
      </c>
      <c r="S3258" t="s">
        <v>682</v>
      </c>
      <c r="T3258" t="s">
        <v>590</v>
      </c>
      <c r="U3258">
        <v>1.73</v>
      </c>
      <c r="V3258">
        <v>16.75</v>
      </c>
      <c r="W3258">
        <v>40739</v>
      </c>
      <c r="X3258">
        <v>25315</v>
      </c>
      <c r="Y3258">
        <v>1.61</v>
      </c>
      <c r="Z3258">
        <v>191</v>
      </c>
      <c r="AA3258">
        <v>330</v>
      </c>
      <c r="AB3258" t="s">
        <v>116</v>
      </c>
      <c r="AC3258">
        <v>804500</v>
      </c>
      <c r="AD3258">
        <v>0.06</v>
      </c>
      <c r="AE3258" t="s">
        <v>116</v>
      </c>
      <c r="AF3258" t="s">
        <v>116</v>
      </c>
      <c r="AG3258">
        <v>0.78</v>
      </c>
      <c r="AH3258" t="s">
        <v>3744</v>
      </c>
      <c r="AI3258" t="s">
        <v>14000</v>
      </c>
      <c r="AJ3258">
        <v>-0.7</v>
      </c>
      <c r="AK3258">
        <v>2276</v>
      </c>
      <c r="AL3258">
        <v>29</v>
      </c>
      <c r="AM3258">
        <v>3.7000000000000002E-3</v>
      </c>
      <c r="AN3258">
        <v>-3</v>
      </c>
      <c r="AO3258">
        <v>-5.14</v>
      </c>
      <c r="AP3258">
        <v>-4.21</v>
      </c>
      <c r="AQ3258">
        <v>19.829999999999998</v>
      </c>
      <c r="AR3258">
        <v>44.4</v>
      </c>
      <c r="AS3258">
        <v>8.5</v>
      </c>
      <c r="AT3258" t="s">
        <v>3744</v>
      </c>
      <c r="AU3258">
        <v>25.92</v>
      </c>
      <c r="AV3258">
        <v>29.04</v>
      </c>
      <c r="AW3258">
        <v>1.34</v>
      </c>
      <c r="BA3258">
        <v>-0.36</v>
      </c>
      <c r="BB3258">
        <v>0.84</v>
      </c>
      <c r="BC3258">
        <v>-0.9</v>
      </c>
      <c r="BD3258">
        <v>-0.02</v>
      </c>
      <c r="BE3258">
        <v>-0.42</v>
      </c>
      <c r="BF3258">
        <v>-1.6</v>
      </c>
      <c r="BG3258">
        <v>0.12</v>
      </c>
      <c r="BH3258">
        <v>-0.76</v>
      </c>
      <c r="BI3258">
        <v>20191031</v>
      </c>
      <c r="BJ3258">
        <v>20170420</v>
      </c>
      <c r="BK3258">
        <v>4.0199999999999996</v>
      </c>
      <c r="BL3258" t="s">
        <v>116</v>
      </c>
      <c r="BM3258" t="s">
        <v>116</v>
      </c>
      <c r="BN3258">
        <v>39.380000000000003</v>
      </c>
      <c r="BO3258">
        <v>19.68</v>
      </c>
      <c r="BP3258">
        <v>0.14000000000000001</v>
      </c>
      <c r="BQ3258">
        <v>49.68</v>
      </c>
      <c r="BR3258">
        <v>30.79</v>
      </c>
      <c r="BS3258">
        <v>2.99</v>
      </c>
      <c r="BT3258">
        <v>1.53</v>
      </c>
      <c r="BU3258">
        <v>14.19</v>
      </c>
      <c r="BV3258">
        <v>7.76</v>
      </c>
      <c r="BW3258">
        <v>10.36</v>
      </c>
      <c r="BX3258">
        <v>4.79</v>
      </c>
      <c r="BY3258">
        <v>14.06</v>
      </c>
      <c r="BZ3258">
        <v>9.43</v>
      </c>
      <c r="CA3258">
        <v>2.13</v>
      </c>
      <c r="CB3258">
        <v>7.0000000000000007E-2</v>
      </c>
      <c r="CC3258">
        <v>2.13</v>
      </c>
      <c r="CD3258">
        <v>1.83</v>
      </c>
      <c r="CE3258">
        <v>1.84</v>
      </c>
      <c r="CF3258">
        <v>1.71</v>
      </c>
      <c r="CG3258">
        <v>8.7200000000000006</v>
      </c>
      <c r="CH3258">
        <v>-0.4</v>
      </c>
      <c r="CI3258">
        <v>-2.1</v>
      </c>
      <c r="CJ3258">
        <v>19366</v>
      </c>
      <c r="CK3258">
        <v>4014</v>
      </c>
      <c r="CL3258" t="s">
        <v>152</v>
      </c>
      <c r="CM3258">
        <v>17.71</v>
      </c>
      <c r="CN3258">
        <v>17.53</v>
      </c>
      <c r="CO3258">
        <v>3.61</v>
      </c>
      <c r="CP3258">
        <v>-166.91</v>
      </c>
      <c r="CQ3258">
        <v>4.75</v>
      </c>
      <c r="CR3258">
        <v>0.72</v>
      </c>
      <c r="CS3258" t="s">
        <v>14001</v>
      </c>
      <c r="CT3258">
        <v>4.5999999999999996</v>
      </c>
      <c r="CU3258">
        <v>4.5999999999999996</v>
      </c>
      <c r="CV3258">
        <v>1.19</v>
      </c>
      <c r="CW3258">
        <v>2.17</v>
      </c>
      <c r="CX3258">
        <v>-0.1</v>
      </c>
      <c r="CY3258">
        <v>49.97</v>
      </c>
      <c r="CZ3258" t="s">
        <v>7529</v>
      </c>
      <c r="DA3258">
        <v>32.93</v>
      </c>
      <c r="DB3258">
        <v>15.18</v>
      </c>
      <c r="DC3258">
        <v>13.07</v>
      </c>
      <c r="DD3258">
        <v>0.57999999999999996</v>
      </c>
      <c r="DE3258">
        <v>1993</v>
      </c>
      <c r="DF3258">
        <v>603081</v>
      </c>
      <c r="DG3258" t="s">
        <v>116</v>
      </c>
      <c r="DH3258" t="s">
        <v>116</v>
      </c>
      <c r="DI3258" t="s">
        <v>116</v>
      </c>
    </row>
    <row r="3259" spans="1:113" x14ac:dyDescent="0.4">
      <c r="A3259" t="str">
        <f>"603083"</f>
        <v>603083</v>
      </c>
      <c r="B3259" t="s">
        <v>14002</v>
      </c>
      <c r="C3259">
        <v>-3.88</v>
      </c>
      <c r="D3259">
        <v>27.22</v>
      </c>
      <c r="E3259">
        <v>-1.1000000000000001</v>
      </c>
      <c r="F3259">
        <v>27.22</v>
      </c>
      <c r="G3259">
        <v>27.23</v>
      </c>
      <c r="H3259">
        <v>72560</v>
      </c>
      <c r="I3259">
        <v>1177</v>
      </c>
      <c r="J3259">
        <v>-0.14000000000000001</v>
      </c>
      <c r="K3259">
        <v>6.47</v>
      </c>
      <c r="L3259">
        <v>28.32</v>
      </c>
      <c r="M3259">
        <v>28.82</v>
      </c>
      <c r="N3259">
        <v>27.2</v>
      </c>
      <c r="O3259">
        <v>28.32</v>
      </c>
      <c r="P3259" t="s">
        <v>116</v>
      </c>
      <c r="Q3259">
        <v>203235952</v>
      </c>
      <c r="R3259">
        <v>1.04</v>
      </c>
      <c r="S3259" t="s">
        <v>465</v>
      </c>
      <c r="T3259" t="s">
        <v>1653</v>
      </c>
      <c r="U3259">
        <v>5.72</v>
      </c>
      <c r="V3259">
        <v>28.01</v>
      </c>
      <c r="W3259">
        <v>39976</v>
      </c>
      <c r="X3259">
        <v>32584</v>
      </c>
      <c r="Y3259">
        <v>1.23</v>
      </c>
      <c r="Z3259">
        <v>211</v>
      </c>
      <c r="AA3259">
        <v>43</v>
      </c>
      <c r="AB3259" t="s">
        <v>116</v>
      </c>
      <c r="AC3259">
        <v>260500</v>
      </c>
      <c r="AD3259">
        <v>0.01</v>
      </c>
      <c r="AE3259" t="s">
        <v>116</v>
      </c>
      <c r="AF3259" t="s">
        <v>116</v>
      </c>
      <c r="AG3259">
        <v>1.1200000000000001</v>
      </c>
      <c r="AH3259" t="s">
        <v>6588</v>
      </c>
      <c r="AI3259" t="s">
        <v>12821</v>
      </c>
      <c r="AJ3259">
        <v>-3.81</v>
      </c>
      <c r="AK3259">
        <v>2862</v>
      </c>
      <c r="AL3259">
        <v>25</v>
      </c>
      <c r="AM3259">
        <v>2.3E-3</v>
      </c>
      <c r="AN3259">
        <v>-2</v>
      </c>
      <c r="AO3259">
        <v>-1.51</v>
      </c>
      <c r="AP3259">
        <v>11.1</v>
      </c>
      <c r="AQ3259">
        <v>5.3</v>
      </c>
      <c r="AR3259">
        <v>44.91</v>
      </c>
      <c r="AS3259">
        <v>8.23</v>
      </c>
      <c r="AT3259" t="s">
        <v>14003</v>
      </c>
      <c r="AU3259">
        <v>412.5</v>
      </c>
      <c r="AV3259">
        <v>60.07</v>
      </c>
      <c r="AW3259">
        <v>0.89</v>
      </c>
      <c r="BA3259">
        <v>0</v>
      </c>
      <c r="BB3259">
        <v>1.77</v>
      </c>
      <c r="BC3259">
        <v>-3.95</v>
      </c>
      <c r="BD3259">
        <v>-1.1000000000000001</v>
      </c>
      <c r="BE3259">
        <v>-3.88</v>
      </c>
      <c r="BF3259">
        <v>-5.55</v>
      </c>
      <c r="BG3259">
        <v>7.0000000000000007E-2</v>
      </c>
      <c r="BH3259">
        <v>-2.79</v>
      </c>
      <c r="BI3259">
        <v>20191213</v>
      </c>
      <c r="BJ3259">
        <v>20171110</v>
      </c>
      <c r="BK3259">
        <v>1.69</v>
      </c>
      <c r="BL3259" t="s">
        <v>116</v>
      </c>
      <c r="BM3259" t="s">
        <v>116</v>
      </c>
      <c r="BN3259">
        <v>27.76</v>
      </c>
      <c r="BO3259">
        <v>11.08</v>
      </c>
      <c r="BP3259">
        <v>0</v>
      </c>
      <c r="BQ3259">
        <v>60.08</v>
      </c>
      <c r="BR3259">
        <v>15.69</v>
      </c>
      <c r="BS3259">
        <v>5.64</v>
      </c>
      <c r="BT3259">
        <v>4.22</v>
      </c>
      <c r="BU3259">
        <v>14.48</v>
      </c>
      <c r="BV3259">
        <v>5.98</v>
      </c>
      <c r="BW3259">
        <v>6.63</v>
      </c>
      <c r="BX3259">
        <v>5.5</v>
      </c>
      <c r="BY3259">
        <v>21.57</v>
      </c>
      <c r="BZ3259">
        <v>18.12</v>
      </c>
      <c r="CA3259">
        <v>-0.09</v>
      </c>
      <c r="CB3259">
        <v>0</v>
      </c>
      <c r="CC3259">
        <v>-0.06</v>
      </c>
      <c r="CD3259">
        <v>-0.09</v>
      </c>
      <c r="CE3259">
        <v>-0.09</v>
      </c>
      <c r="CF3259">
        <v>-0.18</v>
      </c>
      <c r="CG3259">
        <v>3.63</v>
      </c>
      <c r="CH3259">
        <v>1.65</v>
      </c>
      <c r="CI3259">
        <v>0.63</v>
      </c>
      <c r="CJ3259">
        <v>19685</v>
      </c>
      <c r="CK3259">
        <v>4481</v>
      </c>
      <c r="CL3259" t="s">
        <v>10854</v>
      </c>
      <c r="CM3259">
        <v>-116.37</v>
      </c>
      <c r="CN3259">
        <v>-5.24</v>
      </c>
      <c r="CO3259">
        <v>4.1100000000000003</v>
      </c>
      <c r="CP3259">
        <v>27.88</v>
      </c>
      <c r="CQ3259">
        <v>2.14</v>
      </c>
      <c r="CR3259">
        <v>0.5</v>
      </c>
      <c r="CS3259" t="s">
        <v>1670</v>
      </c>
      <c r="CT3259">
        <v>6.62</v>
      </c>
      <c r="CU3259">
        <v>6.62</v>
      </c>
      <c r="CV3259">
        <v>3.25</v>
      </c>
      <c r="CW3259">
        <v>2.14</v>
      </c>
      <c r="CX3259">
        <v>0.98</v>
      </c>
      <c r="CY3259">
        <v>39.92</v>
      </c>
      <c r="CZ3259" t="s">
        <v>14004</v>
      </c>
      <c r="DA3259">
        <v>15.96</v>
      </c>
      <c r="DB3259">
        <v>-0.41</v>
      </c>
      <c r="DC3259">
        <v>-0.43</v>
      </c>
      <c r="DD3259">
        <v>1.91</v>
      </c>
      <c r="DE3259">
        <v>1954</v>
      </c>
      <c r="DF3259">
        <v>603083</v>
      </c>
      <c r="DG3259" t="s">
        <v>116</v>
      </c>
      <c r="DH3259" t="s">
        <v>116</v>
      </c>
      <c r="DI3259" t="s">
        <v>116</v>
      </c>
    </row>
    <row r="3260" spans="1:113" x14ac:dyDescent="0.4">
      <c r="A3260" t="str">
        <f>"603085"</f>
        <v>603085</v>
      </c>
      <c r="B3260" t="s">
        <v>14005</v>
      </c>
      <c r="C3260">
        <v>-0.84</v>
      </c>
      <c r="D3260">
        <v>8.27</v>
      </c>
      <c r="E3260">
        <v>-7.0000000000000007E-2</v>
      </c>
      <c r="F3260">
        <v>8.27</v>
      </c>
      <c r="G3260">
        <v>8.2799999999999994</v>
      </c>
      <c r="H3260">
        <v>57144</v>
      </c>
      <c r="I3260">
        <v>374</v>
      </c>
      <c r="J3260">
        <v>-0.23</v>
      </c>
      <c r="K3260">
        <v>1.96</v>
      </c>
      <c r="L3260">
        <v>8.35</v>
      </c>
      <c r="M3260">
        <v>8.5</v>
      </c>
      <c r="N3260">
        <v>8.26</v>
      </c>
      <c r="O3260">
        <v>8.34</v>
      </c>
      <c r="P3260">
        <v>71.3</v>
      </c>
      <c r="Q3260">
        <v>47697688</v>
      </c>
      <c r="R3260">
        <v>0.63</v>
      </c>
      <c r="S3260" t="s">
        <v>293</v>
      </c>
      <c r="T3260" t="s">
        <v>590</v>
      </c>
      <c r="U3260">
        <v>2.88</v>
      </c>
      <c r="V3260">
        <v>8.35</v>
      </c>
      <c r="W3260">
        <v>32249</v>
      </c>
      <c r="X3260">
        <v>24895</v>
      </c>
      <c r="Y3260">
        <v>1.3</v>
      </c>
      <c r="Z3260">
        <v>105</v>
      </c>
      <c r="AA3260">
        <v>253</v>
      </c>
      <c r="AB3260" t="s">
        <v>116</v>
      </c>
      <c r="AC3260">
        <v>86000</v>
      </c>
      <c r="AD3260">
        <v>0.01</v>
      </c>
      <c r="AE3260" t="s">
        <v>116</v>
      </c>
      <c r="AF3260" t="s">
        <v>116</v>
      </c>
      <c r="AG3260">
        <v>2.91</v>
      </c>
      <c r="AH3260" t="s">
        <v>14006</v>
      </c>
      <c r="AI3260" t="s">
        <v>14006</v>
      </c>
      <c r="AJ3260">
        <v>-0.76</v>
      </c>
      <c r="AK3260">
        <v>1374</v>
      </c>
      <c r="AL3260">
        <v>42</v>
      </c>
      <c r="AM3260">
        <v>1.4E-3</v>
      </c>
      <c r="AN3260">
        <v>-1</v>
      </c>
      <c r="AO3260">
        <v>0</v>
      </c>
      <c r="AP3260">
        <v>2.48</v>
      </c>
      <c r="AQ3260">
        <v>-3.95</v>
      </c>
      <c r="AR3260">
        <v>7.68</v>
      </c>
      <c r="AS3260">
        <v>5.2</v>
      </c>
      <c r="AT3260" t="s">
        <v>9156</v>
      </c>
      <c r="AU3260">
        <v>113.59</v>
      </c>
      <c r="AV3260">
        <v>65.849999999999994</v>
      </c>
      <c r="AW3260">
        <v>1.77</v>
      </c>
      <c r="BA3260">
        <v>0.12</v>
      </c>
      <c r="BB3260">
        <v>1.92</v>
      </c>
      <c r="BC3260">
        <v>-0.96</v>
      </c>
      <c r="BD3260">
        <v>0.08</v>
      </c>
      <c r="BE3260">
        <v>-0.96</v>
      </c>
      <c r="BF3260">
        <v>-2.71</v>
      </c>
      <c r="BG3260">
        <v>0.12</v>
      </c>
      <c r="BH3260">
        <v>-0.92</v>
      </c>
      <c r="BI3260">
        <v>20191026</v>
      </c>
      <c r="BJ3260">
        <v>20150630</v>
      </c>
      <c r="BK3260">
        <v>2.91</v>
      </c>
      <c r="BL3260" t="s">
        <v>116</v>
      </c>
      <c r="BM3260" t="s">
        <v>116</v>
      </c>
      <c r="BN3260">
        <v>25.43</v>
      </c>
      <c r="BO3260">
        <v>10.09</v>
      </c>
      <c r="BP3260">
        <v>0</v>
      </c>
      <c r="BQ3260">
        <v>60.31</v>
      </c>
      <c r="BR3260">
        <v>11.09</v>
      </c>
      <c r="BS3260">
        <v>6.59</v>
      </c>
      <c r="BT3260">
        <v>2.2999999999999998</v>
      </c>
      <c r="BU3260">
        <v>11.86</v>
      </c>
      <c r="BV3260">
        <v>4.24</v>
      </c>
      <c r="BW3260">
        <v>3.51</v>
      </c>
      <c r="BX3260">
        <v>4.46</v>
      </c>
      <c r="BY3260">
        <v>10.81</v>
      </c>
      <c r="BZ3260">
        <v>8.36</v>
      </c>
      <c r="CA3260">
        <v>0.23</v>
      </c>
      <c r="CB3260">
        <v>0.01</v>
      </c>
      <c r="CC3260">
        <v>0.22</v>
      </c>
      <c r="CD3260">
        <v>0.25</v>
      </c>
      <c r="CE3260">
        <v>0.25</v>
      </c>
      <c r="CF3260">
        <v>0.16</v>
      </c>
      <c r="CG3260">
        <v>2.4300000000000002</v>
      </c>
      <c r="CH3260">
        <v>0.27</v>
      </c>
      <c r="CI3260">
        <v>-0.53</v>
      </c>
      <c r="CJ3260">
        <v>20778</v>
      </c>
      <c r="CK3260">
        <v>5285</v>
      </c>
      <c r="CL3260" t="s">
        <v>2219</v>
      </c>
      <c r="CM3260">
        <v>-37.76</v>
      </c>
      <c r="CN3260">
        <v>74.37</v>
      </c>
      <c r="CO3260">
        <v>2.38</v>
      </c>
      <c r="CP3260">
        <v>87.53</v>
      </c>
      <c r="CQ3260">
        <v>2.23</v>
      </c>
      <c r="CR3260">
        <v>0.48</v>
      </c>
      <c r="CS3260" t="s">
        <v>2201</v>
      </c>
      <c r="CT3260">
        <v>3.47</v>
      </c>
      <c r="CU3260">
        <v>0</v>
      </c>
      <c r="CV3260">
        <v>1.53</v>
      </c>
      <c r="CW3260">
        <v>0.83</v>
      </c>
      <c r="CX3260">
        <v>0.09</v>
      </c>
      <c r="CY3260">
        <v>39.69</v>
      </c>
      <c r="CZ3260" t="s">
        <v>2083</v>
      </c>
      <c r="DA3260">
        <v>22.64</v>
      </c>
      <c r="DB3260">
        <v>2.09</v>
      </c>
      <c r="DC3260">
        <v>2.34</v>
      </c>
      <c r="DD3260">
        <v>0.37</v>
      </c>
      <c r="DE3260">
        <v>2096</v>
      </c>
      <c r="DF3260">
        <v>603085</v>
      </c>
      <c r="DG3260" t="s">
        <v>116</v>
      </c>
      <c r="DH3260" t="s">
        <v>116</v>
      </c>
      <c r="DI3260" t="s">
        <v>116</v>
      </c>
    </row>
    <row r="3261" spans="1:113" x14ac:dyDescent="0.4">
      <c r="A3261" t="str">
        <f>"603086"</f>
        <v>603086</v>
      </c>
      <c r="B3261" t="s">
        <v>14007</v>
      </c>
      <c r="C3261">
        <v>-0.61</v>
      </c>
      <c r="D3261">
        <v>24.61</v>
      </c>
      <c r="E3261">
        <v>-0.15</v>
      </c>
      <c r="F3261">
        <v>24.61</v>
      </c>
      <c r="G3261">
        <v>24.67</v>
      </c>
      <c r="H3261">
        <v>6216</v>
      </c>
      <c r="I3261">
        <v>50</v>
      </c>
      <c r="J3261">
        <v>-0.27</v>
      </c>
      <c r="K3261">
        <v>0.86</v>
      </c>
      <c r="L3261">
        <v>24.72</v>
      </c>
      <c r="M3261">
        <v>24.95</v>
      </c>
      <c r="N3261">
        <v>24.6</v>
      </c>
      <c r="O3261">
        <v>24.76</v>
      </c>
      <c r="P3261">
        <v>13.73</v>
      </c>
      <c r="Q3261">
        <v>15380785</v>
      </c>
      <c r="R3261">
        <v>0.63</v>
      </c>
      <c r="S3261" t="s">
        <v>697</v>
      </c>
      <c r="T3261" t="s">
        <v>645</v>
      </c>
      <c r="U3261">
        <v>1.41</v>
      </c>
      <c r="V3261">
        <v>24.74</v>
      </c>
      <c r="W3261">
        <v>3607</v>
      </c>
      <c r="X3261">
        <v>2609</v>
      </c>
      <c r="Y3261">
        <v>1.38</v>
      </c>
      <c r="Z3261">
        <v>4</v>
      </c>
      <c r="AA3261">
        <v>7</v>
      </c>
      <c r="AB3261" t="s">
        <v>116</v>
      </c>
      <c r="AC3261">
        <v>32100</v>
      </c>
      <c r="AD3261">
        <v>0</v>
      </c>
      <c r="AE3261" t="s">
        <v>116</v>
      </c>
      <c r="AF3261" t="s">
        <v>116</v>
      </c>
      <c r="AG3261">
        <v>0.73</v>
      </c>
      <c r="AH3261" t="s">
        <v>8277</v>
      </c>
      <c r="AI3261" t="s">
        <v>13404</v>
      </c>
      <c r="AJ3261">
        <v>-0.53</v>
      </c>
      <c r="AK3261">
        <v>651</v>
      </c>
      <c r="AL3261">
        <v>10</v>
      </c>
      <c r="AM3261">
        <v>1.2999999999999999E-3</v>
      </c>
      <c r="AN3261">
        <v>-1</v>
      </c>
      <c r="AO3261">
        <v>-0.77</v>
      </c>
      <c r="AP3261">
        <v>11.51</v>
      </c>
      <c r="AQ3261">
        <v>-6.14</v>
      </c>
      <c r="AR3261">
        <v>10.46</v>
      </c>
      <c r="AS3261">
        <v>1.49</v>
      </c>
      <c r="AT3261" t="s">
        <v>11346</v>
      </c>
      <c r="AU3261">
        <v>12.4</v>
      </c>
      <c r="AV3261">
        <v>10.98</v>
      </c>
      <c r="AW3261">
        <v>1.43</v>
      </c>
      <c r="BA3261">
        <v>-0.16</v>
      </c>
      <c r="BB3261">
        <v>0.77</v>
      </c>
      <c r="BC3261">
        <v>-0.65</v>
      </c>
      <c r="BD3261">
        <v>-7.0000000000000007E-2</v>
      </c>
      <c r="BE3261">
        <v>-0.44</v>
      </c>
      <c r="BF3261">
        <v>-1.36</v>
      </c>
      <c r="BG3261">
        <v>0.04</v>
      </c>
      <c r="BH3261">
        <v>-0.54</v>
      </c>
      <c r="BI3261">
        <v>20191029</v>
      </c>
      <c r="BJ3261">
        <v>20170511</v>
      </c>
      <c r="BK3261">
        <v>1.1200000000000001</v>
      </c>
      <c r="BL3261" t="s">
        <v>116</v>
      </c>
      <c r="BM3261" t="s">
        <v>116</v>
      </c>
      <c r="BN3261">
        <v>22.01</v>
      </c>
      <c r="BO3261">
        <v>15.1</v>
      </c>
      <c r="BP3261">
        <v>0</v>
      </c>
      <c r="BQ3261">
        <v>31.39</v>
      </c>
      <c r="BR3261">
        <v>13.95</v>
      </c>
      <c r="BS3261">
        <v>1.79</v>
      </c>
      <c r="BT3261">
        <v>1.19</v>
      </c>
      <c r="BU3261">
        <v>5.18</v>
      </c>
      <c r="BV3261">
        <v>4.57</v>
      </c>
      <c r="BW3261">
        <v>2.69</v>
      </c>
      <c r="BX3261">
        <v>4.45</v>
      </c>
      <c r="BY3261">
        <v>11.52</v>
      </c>
      <c r="BZ3261">
        <v>7.55</v>
      </c>
      <c r="CA3261">
        <v>1.9</v>
      </c>
      <c r="CB3261">
        <v>-7.0000000000000007E-2</v>
      </c>
      <c r="CC3261">
        <v>1.89</v>
      </c>
      <c r="CD3261">
        <v>1.51</v>
      </c>
      <c r="CE3261">
        <v>1.51</v>
      </c>
      <c r="CF3261">
        <v>1.55</v>
      </c>
      <c r="CG3261">
        <v>8.5</v>
      </c>
      <c r="CH3261">
        <v>2.59</v>
      </c>
      <c r="CI3261">
        <v>-1.39</v>
      </c>
      <c r="CJ3261">
        <v>8769</v>
      </c>
      <c r="CK3261">
        <v>4765</v>
      </c>
      <c r="CL3261" t="s">
        <v>5179</v>
      </c>
      <c r="CM3261">
        <v>-16.05</v>
      </c>
      <c r="CN3261">
        <v>0.42</v>
      </c>
      <c r="CO3261">
        <v>1.83</v>
      </c>
      <c r="CP3261">
        <v>10.65</v>
      </c>
      <c r="CQ3261">
        <v>2.39</v>
      </c>
      <c r="CR3261">
        <v>0</v>
      </c>
      <c r="CS3261" t="s">
        <v>14008</v>
      </c>
      <c r="CT3261">
        <v>13.48</v>
      </c>
      <c r="CU3261">
        <v>0</v>
      </c>
      <c r="CV3261">
        <v>3.97</v>
      </c>
      <c r="CW3261">
        <v>7.59</v>
      </c>
      <c r="CX3261">
        <v>2.31</v>
      </c>
      <c r="CY3261">
        <v>68.61</v>
      </c>
      <c r="CZ3261" t="s">
        <v>3271</v>
      </c>
      <c r="DA3261">
        <v>34.479999999999997</v>
      </c>
      <c r="DB3261">
        <v>16.47</v>
      </c>
      <c r="DC3261">
        <v>13.07</v>
      </c>
      <c r="DD3261">
        <v>0.59</v>
      </c>
      <c r="DE3261">
        <v>1143</v>
      </c>
      <c r="DF3261">
        <v>603086</v>
      </c>
      <c r="DG3261" t="s">
        <v>116</v>
      </c>
      <c r="DH3261" t="s">
        <v>116</v>
      </c>
      <c r="DI3261" t="s">
        <v>116</v>
      </c>
    </row>
    <row r="3262" spans="1:113" x14ac:dyDescent="0.4">
      <c r="A3262" t="str">
        <f>"603088"</f>
        <v>603088</v>
      </c>
      <c r="B3262" t="s">
        <v>14009</v>
      </c>
      <c r="C3262">
        <v>-1.42</v>
      </c>
      <c r="D3262">
        <v>9</v>
      </c>
      <c r="E3262">
        <v>-0.13</v>
      </c>
      <c r="F3262">
        <v>8.99</v>
      </c>
      <c r="G3262">
        <v>9</v>
      </c>
      <c r="H3262">
        <v>23927</v>
      </c>
      <c r="I3262">
        <v>899</v>
      </c>
      <c r="J3262">
        <v>0.45</v>
      </c>
      <c r="K3262">
        <v>1.53</v>
      </c>
      <c r="L3262">
        <v>9.11</v>
      </c>
      <c r="M3262">
        <v>9.17</v>
      </c>
      <c r="N3262">
        <v>8.94</v>
      </c>
      <c r="O3262">
        <v>9.1300000000000008</v>
      </c>
      <c r="P3262">
        <v>27.68</v>
      </c>
      <c r="Q3262">
        <v>21635548</v>
      </c>
      <c r="R3262">
        <v>0.7</v>
      </c>
      <c r="S3262" t="s">
        <v>682</v>
      </c>
      <c r="T3262" t="s">
        <v>590</v>
      </c>
      <c r="U3262">
        <v>2.52</v>
      </c>
      <c r="V3262">
        <v>9.0399999999999991</v>
      </c>
      <c r="W3262">
        <v>16892</v>
      </c>
      <c r="X3262">
        <v>7035</v>
      </c>
      <c r="Y3262">
        <v>2.4</v>
      </c>
      <c r="Z3262">
        <v>316</v>
      </c>
      <c r="AA3262">
        <v>303</v>
      </c>
      <c r="AB3262" t="s">
        <v>116</v>
      </c>
      <c r="AC3262">
        <v>161200</v>
      </c>
      <c r="AD3262">
        <v>0.03</v>
      </c>
      <c r="AE3262" t="s">
        <v>116</v>
      </c>
      <c r="AF3262" t="s">
        <v>116</v>
      </c>
      <c r="AG3262">
        <v>1.57</v>
      </c>
      <c r="AH3262" t="s">
        <v>1662</v>
      </c>
      <c r="AI3262" t="s">
        <v>1662</v>
      </c>
      <c r="AJ3262">
        <v>-1.35</v>
      </c>
      <c r="AK3262">
        <v>793</v>
      </c>
      <c r="AL3262">
        <v>30</v>
      </c>
      <c r="AM3262">
        <v>1.9E-3</v>
      </c>
      <c r="AN3262">
        <v>-1</v>
      </c>
      <c r="AO3262">
        <v>0</v>
      </c>
      <c r="AP3262">
        <v>9.6199999999999992</v>
      </c>
      <c r="AQ3262">
        <v>-0.77</v>
      </c>
      <c r="AR3262">
        <v>14.34</v>
      </c>
      <c r="AS3262">
        <v>4.1100000000000003</v>
      </c>
      <c r="AT3262" t="s">
        <v>14010</v>
      </c>
      <c r="AU3262">
        <v>29.63</v>
      </c>
      <c r="AV3262">
        <v>34.909999999999997</v>
      </c>
      <c r="AW3262">
        <v>0.41</v>
      </c>
      <c r="BA3262">
        <v>-0.22</v>
      </c>
      <c r="BB3262">
        <v>0.44</v>
      </c>
      <c r="BC3262">
        <v>-2.08</v>
      </c>
      <c r="BD3262">
        <v>-0.96</v>
      </c>
      <c r="BE3262">
        <v>-1.21</v>
      </c>
      <c r="BF3262">
        <v>-1.85</v>
      </c>
      <c r="BG3262">
        <v>0.67</v>
      </c>
      <c r="BH3262">
        <v>-0.46</v>
      </c>
      <c r="BI3262">
        <v>20191024</v>
      </c>
      <c r="BJ3262">
        <v>20141111</v>
      </c>
      <c r="BK3262">
        <v>1.57</v>
      </c>
      <c r="BL3262" t="s">
        <v>116</v>
      </c>
      <c r="BM3262" t="s">
        <v>116</v>
      </c>
      <c r="BN3262">
        <v>7.99</v>
      </c>
      <c r="BO3262">
        <v>5.23</v>
      </c>
      <c r="BP3262">
        <v>7.0000000000000007E-2</v>
      </c>
      <c r="BQ3262">
        <v>33.659999999999997</v>
      </c>
      <c r="BR3262">
        <v>5.31</v>
      </c>
      <c r="BS3262">
        <v>1.64</v>
      </c>
      <c r="BT3262">
        <v>0.72</v>
      </c>
      <c r="BU3262">
        <v>2.58</v>
      </c>
      <c r="BV3262">
        <v>2.72</v>
      </c>
      <c r="BW3262">
        <v>0.61</v>
      </c>
      <c r="BX3262">
        <v>1.59</v>
      </c>
      <c r="BY3262">
        <v>2.59</v>
      </c>
      <c r="BZ3262">
        <v>1.53</v>
      </c>
      <c r="CA3262">
        <v>0.46</v>
      </c>
      <c r="CB3262">
        <v>0</v>
      </c>
      <c r="CC3262">
        <v>0.45</v>
      </c>
      <c r="CD3262">
        <v>0.39</v>
      </c>
      <c r="CE3262">
        <v>0.38</v>
      </c>
      <c r="CF3262">
        <v>0.36</v>
      </c>
      <c r="CG3262">
        <v>1.75</v>
      </c>
      <c r="CH3262">
        <v>0.08</v>
      </c>
      <c r="CI3262">
        <v>-0.14000000000000001</v>
      </c>
      <c r="CJ3262">
        <v>8407</v>
      </c>
      <c r="CK3262">
        <v>6922</v>
      </c>
      <c r="CL3262" t="s">
        <v>12884</v>
      </c>
      <c r="CM3262">
        <v>23.22</v>
      </c>
      <c r="CN3262">
        <v>4.66</v>
      </c>
      <c r="CO3262">
        <v>2.7</v>
      </c>
      <c r="CP3262">
        <v>166.62</v>
      </c>
      <c r="CQ3262">
        <v>5.46</v>
      </c>
      <c r="CR3262">
        <v>2.54</v>
      </c>
      <c r="CS3262" t="s">
        <v>3212</v>
      </c>
      <c r="CT3262">
        <v>3.33</v>
      </c>
      <c r="CU3262">
        <v>0</v>
      </c>
      <c r="CV3262">
        <v>1.01</v>
      </c>
      <c r="CW3262">
        <v>1.1200000000000001</v>
      </c>
      <c r="CX3262">
        <v>0.05</v>
      </c>
      <c r="CY3262">
        <v>65.459999999999994</v>
      </c>
      <c r="CZ3262" t="s">
        <v>4122</v>
      </c>
      <c r="DA3262">
        <v>40.83</v>
      </c>
      <c r="DB3262">
        <v>17.71</v>
      </c>
      <c r="DC3262">
        <v>14.78</v>
      </c>
      <c r="DD3262">
        <v>0.15</v>
      </c>
      <c r="DE3262">
        <v>621</v>
      </c>
      <c r="DF3262">
        <v>603088</v>
      </c>
      <c r="DG3262" t="s">
        <v>116</v>
      </c>
      <c r="DH3262" t="s">
        <v>116</v>
      </c>
      <c r="DI3262" t="s">
        <v>116</v>
      </c>
    </row>
    <row r="3263" spans="1:113" x14ac:dyDescent="0.4">
      <c r="A3263" t="str">
        <f>"603089"</f>
        <v>603089</v>
      </c>
      <c r="B3263" t="s">
        <v>14011</v>
      </c>
      <c r="C3263">
        <v>3.55</v>
      </c>
      <c r="D3263">
        <v>14.6</v>
      </c>
      <c r="E3263">
        <v>0.5</v>
      </c>
      <c r="F3263">
        <v>14.59</v>
      </c>
      <c r="G3263">
        <v>14.6</v>
      </c>
      <c r="H3263">
        <v>64514</v>
      </c>
      <c r="I3263">
        <v>1009</v>
      </c>
      <c r="J3263">
        <v>0.48</v>
      </c>
      <c r="K3263">
        <v>14.14</v>
      </c>
      <c r="L3263">
        <v>14.29</v>
      </c>
      <c r="M3263">
        <v>14.9</v>
      </c>
      <c r="N3263">
        <v>14.19</v>
      </c>
      <c r="O3263">
        <v>14.1</v>
      </c>
      <c r="P3263">
        <v>22.24</v>
      </c>
      <c r="Q3263">
        <v>94094408</v>
      </c>
      <c r="R3263">
        <v>2.2999999999999998</v>
      </c>
      <c r="S3263" t="s">
        <v>293</v>
      </c>
      <c r="T3263" t="s">
        <v>590</v>
      </c>
      <c r="U3263">
        <v>5.04</v>
      </c>
      <c r="V3263">
        <v>14.59</v>
      </c>
      <c r="W3263">
        <v>29247</v>
      </c>
      <c r="X3263">
        <v>35267</v>
      </c>
      <c r="Y3263">
        <v>0.83</v>
      </c>
      <c r="Z3263">
        <v>299</v>
      </c>
      <c r="AA3263">
        <v>280</v>
      </c>
      <c r="AB3263" t="s">
        <v>116</v>
      </c>
      <c r="AC3263">
        <v>681600</v>
      </c>
      <c r="AD3263">
        <v>0.1</v>
      </c>
      <c r="AE3263" t="s">
        <v>116</v>
      </c>
      <c r="AF3263" t="s">
        <v>116</v>
      </c>
      <c r="AG3263">
        <v>0.46</v>
      </c>
      <c r="AH3263" t="s">
        <v>14012</v>
      </c>
      <c r="AI3263" t="s">
        <v>13877</v>
      </c>
      <c r="AJ3263">
        <v>3.62</v>
      </c>
      <c r="AK3263">
        <v>2036</v>
      </c>
      <c r="AL3263">
        <v>32</v>
      </c>
      <c r="AM3263">
        <v>6.8999999999999999E-3</v>
      </c>
      <c r="AN3263">
        <v>1</v>
      </c>
      <c r="AO3263">
        <v>5.04</v>
      </c>
      <c r="AP3263">
        <v>21.26</v>
      </c>
      <c r="AQ3263">
        <v>10.19</v>
      </c>
      <c r="AR3263">
        <v>32.31</v>
      </c>
      <c r="AS3263">
        <v>14.14</v>
      </c>
      <c r="AT3263" t="s">
        <v>14012</v>
      </c>
      <c r="AU3263">
        <v>19.920000000000002</v>
      </c>
      <c r="AV3263">
        <v>22.41</v>
      </c>
      <c r="AW3263">
        <v>1.25</v>
      </c>
      <c r="BA3263">
        <v>1.35</v>
      </c>
      <c r="BB3263">
        <v>5.67</v>
      </c>
      <c r="BC3263">
        <v>0.64</v>
      </c>
      <c r="BD3263">
        <v>3.44</v>
      </c>
      <c r="BE3263">
        <v>2.17</v>
      </c>
      <c r="BF3263">
        <v>-2.0099999999999998</v>
      </c>
      <c r="BG3263">
        <v>2.89</v>
      </c>
      <c r="BH3263">
        <v>0.1</v>
      </c>
      <c r="BI3263">
        <v>20191025</v>
      </c>
      <c r="BJ3263">
        <v>20170126</v>
      </c>
      <c r="BK3263">
        <v>1.55</v>
      </c>
      <c r="BL3263" t="s">
        <v>116</v>
      </c>
      <c r="BM3263" t="s">
        <v>116</v>
      </c>
      <c r="BN3263">
        <v>15.5</v>
      </c>
      <c r="BO3263">
        <v>8.24</v>
      </c>
      <c r="BP3263">
        <v>1.4</v>
      </c>
      <c r="BQ3263">
        <v>37.82</v>
      </c>
      <c r="BR3263">
        <v>7.07</v>
      </c>
      <c r="BS3263">
        <v>4.1500000000000004</v>
      </c>
      <c r="BT3263">
        <v>0.86</v>
      </c>
      <c r="BU3263">
        <v>5.69</v>
      </c>
      <c r="BV3263">
        <v>2.56</v>
      </c>
      <c r="BW3263">
        <v>2.76</v>
      </c>
      <c r="BX3263">
        <v>2.96</v>
      </c>
      <c r="BY3263">
        <v>8.2200000000000006</v>
      </c>
      <c r="BZ3263">
        <v>5.62</v>
      </c>
      <c r="CA3263">
        <v>1.1299999999999999</v>
      </c>
      <c r="CB3263">
        <v>0.03</v>
      </c>
      <c r="CC3263">
        <v>1.1299999999999999</v>
      </c>
      <c r="CD3263">
        <v>0.99</v>
      </c>
      <c r="CE3263">
        <v>0.76</v>
      </c>
      <c r="CF3263">
        <v>0.71</v>
      </c>
      <c r="CG3263">
        <v>3.27</v>
      </c>
      <c r="CH3263">
        <v>0.97</v>
      </c>
      <c r="CI3263">
        <v>-0.53</v>
      </c>
      <c r="CJ3263">
        <v>8761</v>
      </c>
      <c r="CK3263">
        <v>5206</v>
      </c>
      <c r="CL3263" t="s">
        <v>8387</v>
      </c>
      <c r="CM3263">
        <v>19.8</v>
      </c>
      <c r="CN3263">
        <v>10.01</v>
      </c>
      <c r="CO3263">
        <v>2.74</v>
      </c>
      <c r="CP3263">
        <v>23.23</v>
      </c>
      <c r="CQ3263">
        <v>2.75</v>
      </c>
      <c r="CR3263">
        <v>1.42</v>
      </c>
      <c r="CS3263" t="s">
        <v>2546</v>
      </c>
      <c r="CT3263">
        <v>5.33</v>
      </c>
      <c r="CU3263">
        <v>0</v>
      </c>
      <c r="CV3263">
        <v>1.92</v>
      </c>
      <c r="CW3263">
        <v>2.12</v>
      </c>
      <c r="CX3263">
        <v>0.63</v>
      </c>
      <c r="CY3263">
        <v>53.14</v>
      </c>
      <c r="CZ3263" t="s">
        <v>4618</v>
      </c>
      <c r="DA3263">
        <v>31.63</v>
      </c>
      <c r="DB3263">
        <v>13.76</v>
      </c>
      <c r="DC3263">
        <v>9.26</v>
      </c>
      <c r="DD3263">
        <v>0.35</v>
      </c>
      <c r="DE3263">
        <v>2640</v>
      </c>
      <c r="DF3263">
        <v>603089</v>
      </c>
      <c r="DG3263" t="s">
        <v>116</v>
      </c>
      <c r="DH3263" t="s">
        <v>116</v>
      </c>
      <c r="DI3263" t="s">
        <v>116</v>
      </c>
    </row>
    <row r="3264" spans="1:113" x14ac:dyDescent="0.4">
      <c r="A3264" t="str">
        <f>"603090"</f>
        <v>603090</v>
      </c>
      <c r="B3264" t="s">
        <v>14013</v>
      </c>
      <c r="C3264">
        <v>0</v>
      </c>
      <c r="D3264">
        <v>15.9</v>
      </c>
      <c r="E3264">
        <v>0</v>
      </c>
      <c r="F3264">
        <v>15.9</v>
      </c>
      <c r="G3264">
        <v>15.92</v>
      </c>
      <c r="H3264">
        <v>7314</v>
      </c>
      <c r="I3264">
        <v>34</v>
      </c>
      <c r="J3264">
        <v>0</v>
      </c>
      <c r="K3264">
        <v>0.73</v>
      </c>
      <c r="L3264">
        <v>15.9</v>
      </c>
      <c r="M3264">
        <v>16.14</v>
      </c>
      <c r="N3264">
        <v>15.87</v>
      </c>
      <c r="O3264">
        <v>15.9</v>
      </c>
      <c r="P3264">
        <v>46.62</v>
      </c>
      <c r="Q3264">
        <v>11713428</v>
      </c>
      <c r="R3264">
        <v>1.22</v>
      </c>
      <c r="S3264" t="s">
        <v>682</v>
      </c>
      <c r="T3264" t="s">
        <v>323</v>
      </c>
      <c r="U3264">
        <v>1.7</v>
      </c>
      <c r="V3264">
        <v>16.02</v>
      </c>
      <c r="W3264">
        <v>4159</v>
      </c>
      <c r="X3264">
        <v>3155</v>
      </c>
      <c r="Y3264">
        <v>1.32</v>
      </c>
      <c r="Z3264">
        <v>123</v>
      </c>
      <c r="AA3264">
        <v>73</v>
      </c>
      <c r="AB3264" t="s">
        <v>116</v>
      </c>
      <c r="AC3264">
        <v>0</v>
      </c>
      <c r="AD3264">
        <v>0</v>
      </c>
      <c r="AE3264" t="s">
        <v>116</v>
      </c>
      <c r="AF3264" t="s">
        <v>116</v>
      </c>
      <c r="AG3264">
        <v>1</v>
      </c>
      <c r="AH3264" t="s">
        <v>4306</v>
      </c>
      <c r="AI3264" t="s">
        <v>4306</v>
      </c>
      <c r="AJ3264">
        <v>0.08</v>
      </c>
      <c r="AK3264">
        <v>566</v>
      </c>
      <c r="AL3264">
        <v>13</v>
      </c>
      <c r="AM3264">
        <v>1.2999999999999999E-3</v>
      </c>
      <c r="AN3264">
        <v>0</v>
      </c>
      <c r="AO3264">
        <v>1.1499999999999999</v>
      </c>
      <c r="AP3264">
        <v>4.74</v>
      </c>
      <c r="AQ3264">
        <v>-5.75</v>
      </c>
      <c r="AR3264">
        <v>23.45</v>
      </c>
      <c r="AS3264">
        <v>1.8</v>
      </c>
      <c r="AT3264" t="s">
        <v>7304</v>
      </c>
      <c r="AU3264">
        <v>48.41</v>
      </c>
      <c r="AV3264">
        <v>48.74</v>
      </c>
      <c r="AW3264">
        <v>1.54</v>
      </c>
      <c r="BA3264">
        <v>0</v>
      </c>
      <c r="BB3264">
        <v>1.51</v>
      </c>
      <c r="BC3264">
        <v>-0.19</v>
      </c>
      <c r="BD3264">
        <v>0.73</v>
      </c>
      <c r="BE3264">
        <v>0</v>
      </c>
      <c r="BF3264">
        <v>-1.49</v>
      </c>
      <c r="BG3264">
        <v>0.19</v>
      </c>
      <c r="BH3264">
        <v>-0.73</v>
      </c>
      <c r="BI3264">
        <v>20191030</v>
      </c>
      <c r="BJ3264">
        <v>20160831</v>
      </c>
      <c r="BK3264">
        <v>1</v>
      </c>
      <c r="BL3264" t="s">
        <v>116</v>
      </c>
      <c r="BM3264" t="s">
        <v>116</v>
      </c>
      <c r="BN3264">
        <v>7.65</v>
      </c>
      <c r="BO3264">
        <v>4.96</v>
      </c>
      <c r="BP3264">
        <v>0.09</v>
      </c>
      <c r="BQ3264">
        <v>33.94</v>
      </c>
      <c r="BR3264">
        <v>4.43</v>
      </c>
      <c r="BS3264">
        <v>1.73</v>
      </c>
      <c r="BT3264">
        <v>0.46</v>
      </c>
      <c r="BU3264">
        <v>2.54</v>
      </c>
      <c r="BV3264">
        <v>0.56000000000000005</v>
      </c>
      <c r="BW3264">
        <v>1.95</v>
      </c>
      <c r="BX3264">
        <v>2.2200000000000002</v>
      </c>
      <c r="BY3264">
        <v>3.82</v>
      </c>
      <c r="BZ3264">
        <v>2.89</v>
      </c>
      <c r="CA3264">
        <v>0.28999999999999998</v>
      </c>
      <c r="CB3264">
        <v>0.01</v>
      </c>
      <c r="CC3264">
        <v>0.28999999999999998</v>
      </c>
      <c r="CD3264">
        <v>0.27</v>
      </c>
      <c r="CE3264">
        <v>0.26</v>
      </c>
      <c r="CF3264">
        <v>0.28000000000000003</v>
      </c>
      <c r="CG3264">
        <v>1.52</v>
      </c>
      <c r="CH3264">
        <v>0.23</v>
      </c>
      <c r="CI3264">
        <v>0.33</v>
      </c>
      <c r="CJ3264">
        <v>12723</v>
      </c>
      <c r="CK3264">
        <v>3197</v>
      </c>
      <c r="CL3264" t="s">
        <v>2727</v>
      </c>
      <c r="CM3264">
        <v>0.88</v>
      </c>
      <c r="CN3264">
        <v>22.6</v>
      </c>
      <c r="CO3264">
        <v>3.21</v>
      </c>
      <c r="CP3264">
        <v>68.56</v>
      </c>
      <c r="CQ3264">
        <v>4.16</v>
      </c>
      <c r="CR3264">
        <v>0.63</v>
      </c>
      <c r="CS3264" t="s">
        <v>3081</v>
      </c>
      <c r="CT3264">
        <v>4.96</v>
      </c>
      <c r="CU3264">
        <v>0</v>
      </c>
      <c r="CV3264">
        <v>2.2200000000000002</v>
      </c>
      <c r="CW3264">
        <v>1.52</v>
      </c>
      <c r="CX3264">
        <v>0.23</v>
      </c>
      <c r="CY3264">
        <v>64.84</v>
      </c>
      <c r="CZ3264" t="s">
        <v>7851</v>
      </c>
      <c r="DA3264">
        <v>24.33</v>
      </c>
      <c r="DB3264">
        <v>7.7</v>
      </c>
      <c r="DC3264">
        <v>6.7</v>
      </c>
      <c r="DD3264">
        <v>0.14000000000000001</v>
      </c>
      <c r="DE3264">
        <v>759</v>
      </c>
      <c r="DF3264">
        <v>603090</v>
      </c>
      <c r="DG3264" t="s">
        <v>116</v>
      </c>
      <c r="DH3264" t="s">
        <v>116</v>
      </c>
      <c r="DI3264" t="s">
        <v>116</v>
      </c>
    </row>
    <row r="3265" spans="1:113" x14ac:dyDescent="0.4">
      <c r="A3265" t="str">
        <f>"603093"</f>
        <v>603093</v>
      </c>
      <c r="B3265" t="s">
        <v>14014</v>
      </c>
      <c r="C3265">
        <v>-4.22</v>
      </c>
      <c r="D3265">
        <v>26.81</v>
      </c>
      <c r="E3265">
        <v>-1.18</v>
      </c>
      <c r="F3265">
        <v>26.81</v>
      </c>
      <c r="G3265">
        <v>26.82</v>
      </c>
      <c r="H3265">
        <v>221238</v>
      </c>
      <c r="I3265">
        <v>1899</v>
      </c>
      <c r="J3265">
        <v>-0.25</v>
      </c>
      <c r="K3265">
        <v>31.61</v>
      </c>
      <c r="L3265">
        <v>27.72</v>
      </c>
      <c r="M3265">
        <v>28.78</v>
      </c>
      <c r="N3265">
        <v>26.8</v>
      </c>
      <c r="O3265">
        <v>27.99</v>
      </c>
      <c r="P3265">
        <v>143.88999999999999</v>
      </c>
      <c r="Q3265">
        <v>614191296</v>
      </c>
      <c r="R3265">
        <v>1.17</v>
      </c>
      <c r="S3265" t="s">
        <v>732</v>
      </c>
      <c r="T3265" t="s">
        <v>590</v>
      </c>
      <c r="U3265">
        <v>7.07</v>
      </c>
      <c r="V3265">
        <v>27.76</v>
      </c>
      <c r="W3265">
        <v>117652</v>
      </c>
      <c r="X3265">
        <v>103586</v>
      </c>
      <c r="Y3265">
        <v>1.1399999999999999</v>
      </c>
      <c r="Z3265">
        <v>273</v>
      </c>
      <c r="AA3265">
        <v>295</v>
      </c>
      <c r="AB3265" t="s">
        <v>116</v>
      </c>
      <c r="AC3265">
        <v>3151800</v>
      </c>
      <c r="AD3265">
        <v>0.16</v>
      </c>
      <c r="AE3265" t="s">
        <v>116</v>
      </c>
      <c r="AF3265" t="s">
        <v>116</v>
      </c>
      <c r="AG3265">
        <v>0.7</v>
      </c>
      <c r="AH3265" t="s">
        <v>7449</v>
      </c>
      <c r="AI3265" t="s">
        <v>14015</v>
      </c>
      <c r="AJ3265">
        <v>-4.1399999999999997</v>
      </c>
      <c r="AK3265">
        <v>4390</v>
      </c>
      <c r="AL3265">
        <v>50</v>
      </c>
      <c r="AM3265">
        <v>7.1999999999999998E-3</v>
      </c>
      <c r="AN3265">
        <v>-1</v>
      </c>
      <c r="AO3265">
        <v>2.25</v>
      </c>
      <c r="AP3265">
        <v>-2.83</v>
      </c>
      <c r="AQ3265">
        <v>-10.72</v>
      </c>
      <c r="AR3265">
        <v>453.93</v>
      </c>
      <c r="AS3265">
        <v>31.61</v>
      </c>
      <c r="AT3265" t="s">
        <v>7449</v>
      </c>
      <c r="AU3265">
        <v>116.07</v>
      </c>
      <c r="AV3265">
        <v>125.51</v>
      </c>
      <c r="AW3265">
        <v>2.84</v>
      </c>
      <c r="BA3265">
        <v>-0.96</v>
      </c>
      <c r="BB3265">
        <v>2.82</v>
      </c>
      <c r="BC3265">
        <v>-4.25</v>
      </c>
      <c r="BD3265">
        <v>-0.82</v>
      </c>
      <c r="BE3265">
        <v>-3.28</v>
      </c>
      <c r="BF3265">
        <v>-6.85</v>
      </c>
      <c r="BG3265">
        <v>0.04</v>
      </c>
      <c r="BH3265">
        <v>-3.4</v>
      </c>
      <c r="BI3265">
        <v>20191028</v>
      </c>
      <c r="BJ3265">
        <v>20190830</v>
      </c>
      <c r="BK3265">
        <v>5.8</v>
      </c>
      <c r="BL3265" t="s">
        <v>116</v>
      </c>
      <c r="BM3265" t="s">
        <v>116</v>
      </c>
      <c r="BN3265">
        <v>139.77000000000001</v>
      </c>
      <c r="BO3265">
        <v>24.37</v>
      </c>
      <c r="BP3265">
        <v>0.13</v>
      </c>
      <c r="BQ3265">
        <v>82.47</v>
      </c>
      <c r="BR3265">
        <v>0</v>
      </c>
      <c r="BS3265">
        <v>0.26</v>
      </c>
      <c r="BT3265">
        <v>2.0499999999999998</v>
      </c>
      <c r="BU3265">
        <v>0</v>
      </c>
      <c r="BV3265">
        <v>2.5499999999999998</v>
      </c>
      <c r="BW3265">
        <v>0</v>
      </c>
      <c r="BX3265">
        <v>8.61</v>
      </c>
      <c r="BY3265">
        <v>76.400000000000006</v>
      </c>
      <c r="BZ3265">
        <v>0</v>
      </c>
      <c r="CA3265">
        <v>1.1200000000000001</v>
      </c>
      <c r="CB3265">
        <v>1.22</v>
      </c>
      <c r="CC3265">
        <v>1.0900000000000001</v>
      </c>
      <c r="CD3265">
        <v>0.81</v>
      </c>
      <c r="CE3265">
        <v>0.81</v>
      </c>
      <c r="CF3265">
        <v>0.68</v>
      </c>
      <c r="CG3265">
        <v>7.98</v>
      </c>
      <c r="CH3265">
        <v>7</v>
      </c>
      <c r="CI3265">
        <v>14.74</v>
      </c>
      <c r="CJ3265">
        <v>40183</v>
      </c>
      <c r="CK3265">
        <v>1742</v>
      </c>
      <c r="CL3265" t="s">
        <v>3109</v>
      </c>
      <c r="CM3265">
        <v>0</v>
      </c>
      <c r="CN3265">
        <v>0</v>
      </c>
      <c r="CO3265">
        <v>6.38</v>
      </c>
      <c r="CP3265">
        <v>22.23</v>
      </c>
      <c r="CQ3265">
        <v>2.04</v>
      </c>
      <c r="CR3265">
        <v>0</v>
      </c>
      <c r="CS3265" t="s">
        <v>7859</v>
      </c>
      <c r="CT3265">
        <v>4.2</v>
      </c>
      <c r="CU3265">
        <v>0</v>
      </c>
      <c r="CV3265">
        <v>1.49</v>
      </c>
      <c r="CW3265">
        <v>1.38</v>
      </c>
      <c r="CX3265">
        <v>1.21</v>
      </c>
      <c r="CY3265">
        <v>17.440000000000001</v>
      </c>
      <c r="CZ3265" t="s">
        <v>4296</v>
      </c>
      <c r="DA3265" t="s">
        <v>116</v>
      </c>
      <c r="DB3265">
        <v>1.47</v>
      </c>
      <c r="DC3265">
        <v>1.06</v>
      </c>
      <c r="DD3265">
        <v>0</v>
      </c>
      <c r="DE3265">
        <v>1010</v>
      </c>
      <c r="DF3265">
        <v>603093</v>
      </c>
      <c r="DG3265" t="s">
        <v>116</v>
      </c>
      <c r="DH3265" t="s">
        <v>116</v>
      </c>
      <c r="DI3265" t="s">
        <v>116</v>
      </c>
    </row>
    <row r="3266" spans="1:113" x14ac:dyDescent="0.4">
      <c r="A3266" t="str">
        <f>"603096"</f>
        <v>603096</v>
      </c>
      <c r="B3266" t="s">
        <v>14016</v>
      </c>
      <c r="C3266">
        <v>-1.61</v>
      </c>
      <c r="D3266">
        <v>56.07</v>
      </c>
      <c r="E3266">
        <v>-0.92</v>
      </c>
      <c r="F3266">
        <v>56.07</v>
      </c>
      <c r="G3266">
        <v>56.08</v>
      </c>
      <c r="H3266">
        <v>4960</v>
      </c>
      <c r="I3266">
        <v>25</v>
      </c>
      <c r="J3266">
        <v>0.39</v>
      </c>
      <c r="K3266">
        <v>0.91</v>
      </c>
      <c r="L3266">
        <v>57.33</v>
      </c>
      <c r="M3266">
        <v>57.33</v>
      </c>
      <c r="N3266">
        <v>55.8</v>
      </c>
      <c r="O3266">
        <v>56.99</v>
      </c>
      <c r="P3266">
        <v>28.42</v>
      </c>
      <c r="Q3266">
        <v>28019536</v>
      </c>
      <c r="R3266">
        <v>1.03</v>
      </c>
      <c r="S3266" t="s">
        <v>1902</v>
      </c>
      <c r="T3266" t="s">
        <v>1035</v>
      </c>
      <c r="U3266">
        <v>2.68</v>
      </c>
      <c r="V3266">
        <v>56.49</v>
      </c>
      <c r="W3266">
        <v>3948</v>
      </c>
      <c r="X3266">
        <v>1012</v>
      </c>
      <c r="Y3266">
        <v>3.9</v>
      </c>
      <c r="Z3266">
        <v>14</v>
      </c>
      <c r="AA3266">
        <v>1</v>
      </c>
      <c r="AB3266" t="s">
        <v>116</v>
      </c>
      <c r="AC3266">
        <v>11500</v>
      </c>
      <c r="AD3266">
        <v>0</v>
      </c>
      <c r="AE3266" t="s">
        <v>116</v>
      </c>
      <c r="AF3266" t="s">
        <v>116</v>
      </c>
      <c r="AG3266">
        <v>0.54</v>
      </c>
      <c r="AH3266" t="s">
        <v>10095</v>
      </c>
      <c r="AI3266" t="s">
        <v>14017</v>
      </c>
      <c r="AJ3266">
        <v>-1.54</v>
      </c>
      <c r="AK3266">
        <v>1023</v>
      </c>
      <c r="AL3266">
        <v>5</v>
      </c>
      <c r="AM3266">
        <v>8.9999999999999998E-4</v>
      </c>
      <c r="AN3266">
        <v>-1</v>
      </c>
      <c r="AO3266">
        <v>-0.74</v>
      </c>
      <c r="AP3266">
        <v>-0.87</v>
      </c>
      <c r="AQ3266">
        <v>-0.02</v>
      </c>
      <c r="AR3266">
        <v>-8.26</v>
      </c>
      <c r="AS3266">
        <v>1.1499999999999999</v>
      </c>
      <c r="AT3266" t="s">
        <v>2845</v>
      </c>
      <c r="AU3266">
        <v>29.88</v>
      </c>
      <c r="AV3266">
        <v>31.5</v>
      </c>
      <c r="AW3266">
        <v>0.79</v>
      </c>
      <c r="BA3266">
        <v>0.6</v>
      </c>
      <c r="BB3266">
        <v>0.6</v>
      </c>
      <c r="BC3266">
        <v>-2.09</v>
      </c>
      <c r="BD3266">
        <v>-0.88</v>
      </c>
      <c r="BE3266">
        <v>-2.2000000000000002</v>
      </c>
      <c r="BF3266">
        <v>-2.2000000000000002</v>
      </c>
      <c r="BG3266">
        <v>0.48</v>
      </c>
      <c r="BH3266">
        <v>-0.74</v>
      </c>
      <c r="BI3266">
        <v>20191203</v>
      </c>
      <c r="BJ3266">
        <v>20170425</v>
      </c>
      <c r="BK3266">
        <v>1.35</v>
      </c>
      <c r="BL3266" t="s">
        <v>116</v>
      </c>
      <c r="BM3266" t="s">
        <v>116</v>
      </c>
      <c r="BN3266">
        <v>20.64</v>
      </c>
      <c r="BO3266">
        <v>18.78</v>
      </c>
      <c r="BP3266">
        <v>0.3</v>
      </c>
      <c r="BQ3266">
        <v>7.57</v>
      </c>
      <c r="BR3266">
        <v>19.510000000000002</v>
      </c>
      <c r="BS3266">
        <v>0.04</v>
      </c>
      <c r="BT3266">
        <v>0</v>
      </c>
      <c r="BU3266">
        <v>1.56</v>
      </c>
      <c r="BV3266">
        <v>2.85</v>
      </c>
      <c r="BW3266">
        <v>1.47</v>
      </c>
      <c r="BX3266">
        <v>9.7799999999999994</v>
      </c>
      <c r="BY3266">
        <v>6.93</v>
      </c>
      <c r="BZ3266">
        <v>3.62</v>
      </c>
      <c r="CA3266">
        <v>2.69</v>
      </c>
      <c r="CB3266">
        <v>0.21</v>
      </c>
      <c r="CC3266">
        <v>2.68</v>
      </c>
      <c r="CD3266">
        <v>2.0299999999999998</v>
      </c>
      <c r="CE3266">
        <v>2</v>
      </c>
      <c r="CF3266">
        <v>1.59</v>
      </c>
      <c r="CG3266">
        <v>6.99</v>
      </c>
      <c r="CH3266">
        <v>1.45</v>
      </c>
      <c r="CI3266">
        <v>-0.4</v>
      </c>
      <c r="CJ3266">
        <v>4204</v>
      </c>
      <c r="CK3266">
        <v>10275</v>
      </c>
      <c r="CL3266" t="s">
        <v>14018</v>
      </c>
      <c r="CM3266">
        <v>7.02</v>
      </c>
      <c r="CN3266">
        <v>2.5299999999999998</v>
      </c>
      <c r="CO3266">
        <v>4.04</v>
      </c>
      <c r="CP3266">
        <v>52.24</v>
      </c>
      <c r="CQ3266">
        <v>10.95</v>
      </c>
      <c r="CR3266">
        <v>1.07</v>
      </c>
      <c r="CS3266" t="s">
        <v>14019</v>
      </c>
      <c r="CT3266">
        <v>13.88</v>
      </c>
      <c r="CU3266">
        <v>0</v>
      </c>
      <c r="CV3266">
        <v>7.23</v>
      </c>
      <c r="CW3266">
        <v>5.16</v>
      </c>
      <c r="CX3266">
        <v>1.07</v>
      </c>
      <c r="CY3266">
        <v>90.99</v>
      </c>
      <c r="CZ3266" t="s">
        <v>2821</v>
      </c>
      <c r="DA3266">
        <v>47.8</v>
      </c>
      <c r="DB3266">
        <v>38.83</v>
      </c>
      <c r="DC3266">
        <v>28.89</v>
      </c>
      <c r="DD3266">
        <v>0.03</v>
      </c>
      <c r="DE3266">
        <v>508</v>
      </c>
      <c r="DF3266">
        <v>603096</v>
      </c>
      <c r="DG3266" t="s">
        <v>116</v>
      </c>
      <c r="DH3266" t="s">
        <v>116</v>
      </c>
      <c r="DI3266" t="s">
        <v>116</v>
      </c>
    </row>
    <row r="3267" spans="1:113" x14ac:dyDescent="0.4">
      <c r="A3267" t="str">
        <f>"603098"</f>
        <v>603098</v>
      </c>
      <c r="B3267" t="s">
        <v>14020</v>
      </c>
      <c r="C3267">
        <v>1.8</v>
      </c>
      <c r="D3267">
        <v>10.73</v>
      </c>
      <c r="E3267">
        <v>0.19</v>
      </c>
      <c r="F3267">
        <v>10.72</v>
      </c>
      <c r="G3267">
        <v>10.73</v>
      </c>
      <c r="H3267">
        <v>26742</v>
      </c>
      <c r="I3267">
        <v>565</v>
      </c>
      <c r="J3267">
        <v>0</v>
      </c>
      <c r="K3267">
        <v>0.56000000000000005</v>
      </c>
      <c r="L3267">
        <v>10.56</v>
      </c>
      <c r="M3267">
        <v>10.94</v>
      </c>
      <c r="N3267">
        <v>10.51</v>
      </c>
      <c r="O3267">
        <v>10.54</v>
      </c>
      <c r="P3267">
        <v>19.96</v>
      </c>
      <c r="Q3267">
        <v>28809376</v>
      </c>
      <c r="R3267">
        <v>2.72</v>
      </c>
      <c r="S3267" t="s">
        <v>3331</v>
      </c>
      <c r="T3267" t="s">
        <v>165</v>
      </c>
      <c r="U3267">
        <v>4.08</v>
      </c>
      <c r="V3267">
        <v>10.77</v>
      </c>
      <c r="W3267">
        <v>10678</v>
      </c>
      <c r="X3267">
        <v>16064</v>
      </c>
      <c r="Y3267">
        <v>0.66</v>
      </c>
      <c r="Z3267">
        <v>95</v>
      </c>
      <c r="AA3267">
        <v>187</v>
      </c>
      <c r="AB3267" t="s">
        <v>116</v>
      </c>
      <c r="AC3267">
        <v>0</v>
      </c>
      <c r="AD3267">
        <v>0</v>
      </c>
      <c r="AE3267" t="s">
        <v>116</v>
      </c>
      <c r="AF3267" t="s">
        <v>116</v>
      </c>
      <c r="AG3267">
        <v>4.8</v>
      </c>
      <c r="AH3267" t="s">
        <v>3024</v>
      </c>
      <c r="AI3267" t="s">
        <v>3024</v>
      </c>
      <c r="AJ3267">
        <v>1.88</v>
      </c>
      <c r="AK3267">
        <v>938</v>
      </c>
      <c r="AL3267">
        <v>29</v>
      </c>
      <c r="AM3267">
        <v>5.9999999999999995E-4</v>
      </c>
      <c r="AN3267">
        <v>4</v>
      </c>
      <c r="AO3267">
        <v>3.57</v>
      </c>
      <c r="AP3267">
        <v>8.3800000000000008</v>
      </c>
      <c r="AQ3267">
        <v>-3.68</v>
      </c>
      <c r="AR3267">
        <v>-20.93</v>
      </c>
      <c r="AS3267">
        <v>2.73</v>
      </c>
      <c r="AT3267" t="s">
        <v>8260</v>
      </c>
      <c r="AU3267">
        <v>20.11</v>
      </c>
      <c r="AV3267">
        <v>23.4</v>
      </c>
      <c r="AW3267">
        <v>1.31</v>
      </c>
      <c r="BA3267">
        <v>0.19</v>
      </c>
      <c r="BB3267">
        <v>3.8</v>
      </c>
      <c r="BC3267">
        <v>-0.28000000000000003</v>
      </c>
      <c r="BD3267">
        <v>2.21</v>
      </c>
      <c r="BE3267">
        <v>1.61</v>
      </c>
      <c r="BF3267">
        <v>-1.92</v>
      </c>
      <c r="BG3267">
        <v>2.09</v>
      </c>
      <c r="BH3267">
        <v>-0.41</v>
      </c>
      <c r="BI3267">
        <v>20191213</v>
      </c>
      <c r="BJ3267">
        <v>20161216</v>
      </c>
      <c r="BK3267">
        <v>4.8</v>
      </c>
      <c r="BL3267" t="s">
        <v>116</v>
      </c>
      <c r="BM3267" t="s">
        <v>116</v>
      </c>
      <c r="BN3267">
        <v>36.619999999999997</v>
      </c>
      <c r="BO3267">
        <v>20.05</v>
      </c>
      <c r="BP3267">
        <v>0</v>
      </c>
      <c r="BQ3267">
        <v>45.25</v>
      </c>
      <c r="BR3267">
        <v>30.77</v>
      </c>
      <c r="BS3267">
        <v>2.17</v>
      </c>
      <c r="BT3267">
        <v>1.06</v>
      </c>
      <c r="BU3267">
        <v>15.56</v>
      </c>
      <c r="BV3267">
        <v>12.77</v>
      </c>
      <c r="BW3267">
        <v>14.26</v>
      </c>
      <c r="BX3267">
        <v>3.88</v>
      </c>
      <c r="BY3267">
        <v>24.46</v>
      </c>
      <c r="BZ3267">
        <v>19.600000000000001</v>
      </c>
      <c r="CA3267">
        <v>2.31</v>
      </c>
      <c r="CB3267">
        <v>-0.01</v>
      </c>
      <c r="CC3267">
        <v>2.29</v>
      </c>
      <c r="CD3267">
        <v>1.93</v>
      </c>
      <c r="CE3267">
        <v>1.94</v>
      </c>
      <c r="CF3267">
        <v>1.96</v>
      </c>
      <c r="CG3267">
        <v>9.44</v>
      </c>
      <c r="CH3267">
        <v>1.51</v>
      </c>
      <c r="CI3267">
        <v>-1.99</v>
      </c>
      <c r="CJ3267">
        <v>17760</v>
      </c>
      <c r="CK3267">
        <v>5521</v>
      </c>
      <c r="CL3267" t="s">
        <v>2237</v>
      </c>
      <c r="CM3267">
        <v>22.84</v>
      </c>
      <c r="CN3267">
        <v>34.409999999999997</v>
      </c>
      <c r="CO3267">
        <v>2.57</v>
      </c>
      <c r="CP3267">
        <v>34.07</v>
      </c>
      <c r="CQ3267">
        <v>2.11</v>
      </c>
      <c r="CR3267">
        <v>0.93</v>
      </c>
      <c r="CS3267" t="s">
        <v>268</v>
      </c>
      <c r="CT3267">
        <v>4.18</v>
      </c>
      <c r="CU3267">
        <v>0</v>
      </c>
      <c r="CV3267">
        <v>0.81</v>
      </c>
      <c r="CW3267">
        <v>1.97</v>
      </c>
      <c r="CX3267">
        <v>0.31</v>
      </c>
      <c r="CY3267">
        <v>54.74</v>
      </c>
      <c r="CZ3267" t="s">
        <v>300</v>
      </c>
      <c r="DA3267">
        <v>19.87</v>
      </c>
      <c r="DB3267">
        <v>9.4600000000000009</v>
      </c>
      <c r="DC3267">
        <v>7.91</v>
      </c>
      <c r="DD3267">
        <v>0.76</v>
      </c>
      <c r="DE3267">
        <v>1005</v>
      </c>
      <c r="DF3267">
        <v>603098</v>
      </c>
      <c r="DG3267" t="s">
        <v>116</v>
      </c>
      <c r="DH3267" t="s">
        <v>116</v>
      </c>
      <c r="DI3267" t="s">
        <v>116</v>
      </c>
    </row>
    <row r="3268" spans="1:113" x14ac:dyDescent="0.4">
      <c r="A3268" t="str">
        <f>"603099"</f>
        <v>603099</v>
      </c>
      <c r="B3268" t="s">
        <v>14021</v>
      </c>
      <c r="C3268">
        <v>10.029999999999999</v>
      </c>
      <c r="D3268">
        <v>9.8699999999999992</v>
      </c>
      <c r="E3268">
        <v>0.9</v>
      </c>
      <c r="F3268">
        <v>9.8699999999999992</v>
      </c>
      <c r="G3268" t="s">
        <v>116</v>
      </c>
      <c r="H3268">
        <v>74239</v>
      </c>
      <c r="I3268">
        <v>295</v>
      </c>
      <c r="J3268">
        <v>0</v>
      </c>
      <c r="K3268">
        <v>2.78</v>
      </c>
      <c r="L3268">
        <v>8.93</v>
      </c>
      <c r="M3268">
        <v>9.8699999999999992</v>
      </c>
      <c r="N3268">
        <v>8.92</v>
      </c>
      <c r="O3268">
        <v>8.9700000000000006</v>
      </c>
      <c r="P3268">
        <v>24.03</v>
      </c>
      <c r="Q3268">
        <v>71099496</v>
      </c>
      <c r="R3268">
        <v>7.93</v>
      </c>
      <c r="S3268" t="s">
        <v>493</v>
      </c>
      <c r="T3268" t="s">
        <v>294</v>
      </c>
      <c r="U3268">
        <v>10.59</v>
      </c>
      <c r="V3268">
        <v>9.58</v>
      </c>
      <c r="W3268">
        <v>43026</v>
      </c>
      <c r="X3268">
        <v>31213</v>
      </c>
      <c r="Y3268">
        <v>1.38</v>
      </c>
      <c r="Z3268">
        <v>45489</v>
      </c>
      <c r="AA3268">
        <v>0</v>
      </c>
      <c r="AB3268" t="s">
        <v>116</v>
      </c>
      <c r="AC3268">
        <v>0</v>
      </c>
      <c r="AD3268">
        <v>0</v>
      </c>
      <c r="AE3268">
        <v>0.61</v>
      </c>
      <c r="AF3268">
        <v>44897644</v>
      </c>
      <c r="AG3268">
        <v>2.67</v>
      </c>
      <c r="AH3268" t="s">
        <v>8029</v>
      </c>
      <c r="AI3268" t="s">
        <v>8029</v>
      </c>
      <c r="AJ3268">
        <v>10.11</v>
      </c>
      <c r="AK3268">
        <v>1092</v>
      </c>
      <c r="AL3268">
        <v>68</v>
      </c>
      <c r="AM3268">
        <v>2.5000000000000001E-3</v>
      </c>
      <c r="AN3268">
        <v>2</v>
      </c>
      <c r="AO3268">
        <v>10.4</v>
      </c>
      <c r="AP3268">
        <v>16.39</v>
      </c>
      <c r="AQ3268">
        <v>3.57</v>
      </c>
      <c r="AR3268">
        <v>12.88</v>
      </c>
      <c r="AS3268">
        <v>6.87</v>
      </c>
      <c r="AT3268" t="s">
        <v>11159</v>
      </c>
      <c r="AU3268">
        <v>36.200000000000003</v>
      </c>
      <c r="AV3268">
        <v>38.92</v>
      </c>
      <c r="AW3268">
        <v>0.66</v>
      </c>
      <c r="BA3268">
        <v>-0.45</v>
      </c>
      <c r="BB3268">
        <v>10.029999999999999</v>
      </c>
      <c r="BC3268">
        <v>-0.56000000000000005</v>
      </c>
      <c r="BD3268">
        <v>6.77</v>
      </c>
      <c r="BE3268">
        <v>10.53</v>
      </c>
      <c r="BF3268">
        <v>0</v>
      </c>
      <c r="BG3268">
        <v>10.65</v>
      </c>
      <c r="BH3268">
        <v>3.27</v>
      </c>
      <c r="BI3268">
        <v>20191025</v>
      </c>
      <c r="BJ3268">
        <v>20140822</v>
      </c>
      <c r="BK3268">
        <v>2.67</v>
      </c>
      <c r="BL3268" t="s">
        <v>116</v>
      </c>
      <c r="BM3268" t="s">
        <v>116</v>
      </c>
      <c r="BN3268">
        <v>13.66</v>
      </c>
      <c r="BO3268">
        <v>10.89</v>
      </c>
      <c r="BP3268">
        <v>0</v>
      </c>
      <c r="BQ3268">
        <v>20.29</v>
      </c>
      <c r="BR3268">
        <v>3.8</v>
      </c>
      <c r="BS3268">
        <v>6.93</v>
      </c>
      <c r="BT3268">
        <v>1.93</v>
      </c>
      <c r="BU3268">
        <v>1.57</v>
      </c>
      <c r="BV3268">
        <v>0.16</v>
      </c>
      <c r="BW3268">
        <v>0.46</v>
      </c>
      <c r="BX3268">
        <v>2.86</v>
      </c>
      <c r="BY3268">
        <v>3.85</v>
      </c>
      <c r="BZ3268">
        <v>2.27</v>
      </c>
      <c r="CA3268">
        <v>1.08</v>
      </c>
      <c r="CB3268">
        <v>0</v>
      </c>
      <c r="CC3268">
        <v>1.0900000000000001</v>
      </c>
      <c r="CD3268">
        <v>0.82</v>
      </c>
      <c r="CE3268">
        <v>0.82</v>
      </c>
      <c r="CF3268">
        <v>0.81</v>
      </c>
      <c r="CG3268">
        <v>4.6500000000000004</v>
      </c>
      <c r="CH3268">
        <v>1.65</v>
      </c>
      <c r="CI3268">
        <v>1.24</v>
      </c>
      <c r="CJ3268">
        <v>20293</v>
      </c>
      <c r="CK3268">
        <v>5329</v>
      </c>
      <c r="CL3268" t="s">
        <v>1067</v>
      </c>
      <c r="CM3268">
        <v>6.59</v>
      </c>
      <c r="CN3268">
        <v>0.4</v>
      </c>
      <c r="CO3268">
        <v>2.42</v>
      </c>
      <c r="CP3268">
        <v>15.97</v>
      </c>
      <c r="CQ3268">
        <v>6.83</v>
      </c>
      <c r="CR3268">
        <v>0.26</v>
      </c>
      <c r="CS3268" t="s">
        <v>1565</v>
      </c>
      <c r="CT3268">
        <v>4.08</v>
      </c>
      <c r="CU3268">
        <v>0</v>
      </c>
      <c r="CV3268">
        <v>1.07</v>
      </c>
      <c r="CW3268">
        <v>1.74</v>
      </c>
      <c r="CX3268">
        <v>0.62</v>
      </c>
      <c r="CY3268">
        <v>79.709999999999994</v>
      </c>
      <c r="CZ3268" t="s">
        <v>13038</v>
      </c>
      <c r="DA3268">
        <v>41.02</v>
      </c>
      <c r="DB3268">
        <v>28.13</v>
      </c>
      <c r="DC3268">
        <v>21.31</v>
      </c>
      <c r="DD3268">
        <v>0</v>
      </c>
      <c r="DE3268">
        <v>1319</v>
      </c>
      <c r="DF3268">
        <v>603099</v>
      </c>
      <c r="DG3268" t="s">
        <v>116</v>
      </c>
      <c r="DH3268" t="s">
        <v>116</v>
      </c>
      <c r="DI3268" t="s">
        <v>116</v>
      </c>
    </row>
    <row r="3269" spans="1:113" x14ac:dyDescent="0.4">
      <c r="A3269" t="str">
        <f>"603100"</f>
        <v>603100</v>
      </c>
      <c r="B3269" t="s">
        <v>14022</v>
      </c>
      <c r="C3269">
        <v>0.33</v>
      </c>
      <c r="D3269">
        <v>9.1199999999999992</v>
      </c>
      <c r="E3269">
        <v>0.03</v>
      </c>
      <c r="F3269">
        <v>9.11</v>
      </c>
      <c r="G3269">
        <v>9.1199999999999992</v>
      </c>
      <c r="H3269">
        <v>68722</v>
      </c>
      <c r="I3269">
        <v>610</v>
      </c>
      <c r="J3269">
        <v>-0.1</v>
      </c>
      <c r="K3269">
        <v>1.74</v>
      </c>
      <c r="L3269">
        <v>9.51</v>
      </c>
      <c r="M3269">
        <v>9.56</v>
      </c>
      <c r="N3269">
        <v>9.1199999999999992</v>
      </c>
      <c r="O3269">
        <v>9.09</v>
      </c>
      <c r="P3269">
        <v>17.899999999999999</v>
      </c>
      <c r="Q3269">
        <v>63795796</v>
      </c>
      <c r="R3269">
        <v>3.05</v>
      </c>
      <c r="S3269" t="s">
        <v>2977</v>
      </c>
      <c r="T3269" t="s">
        <v>906</v>
      </c>
      <c r="U3269">
        <v>4.84</v>
      </c>
      <c r="V3269">
        <v>9.2799999999999994</v>
      </c>
      <c r="W3269">
        <v>37559</v>
      </c>
      <c r="X3269">
        <v>31163</v>
      </c>
      <c r="Y3269">
        <v>1.21</v>
      </c>
      <c r="Z3269">
        <v>1466</v>
      </c>
      <c r="AA3269">
        <v>696</v>
      </c>
      <c r="AB3269" t="s">
        <v>116</v>
      </c>
      <c r="AC3269">
        <v>3553200</v>
      </c>
      <c r="AD3269">
        <v>0.22</v>
      </c>
      <c r="AE3269" t="s">
        <v>116</v>
      </c>
      <c r="AF3269" t="s">
        <v>116</v>
      </c>
      <c r="AG3269">
        <v>3.95</v>
      </c>
      <c r="AH3269" t="s">
        <v>8973</v>
      </c>
      <c r="AI3269" t="s">
        <v>8973</v>
      </c>
      <c r="AJ3269">
        <v>0.41</v>
      </c>
      <c r="AK3269">
        <v>1695</v>
      </c>
      <c r="AL3269">
        <v>41</v>
      </c>
      <c r="AM3269">
        <v>1E-3</v>
      </c>
      <c r="AN3269">
        <v>4</v>
      </c>
      <c r="AO3269">
        <v>5.8</v>
      </c>
      <c r="AP3269">
        <v>13.57</v>
      </c>
      <c r="AQ3269">
        <v>4.3499999999999996</v>
      </c>
      <c r="AR3269">
        <v>24.59</v>
      </c>
      <c r="AS3269">
        <v>4.03</v>
      </c>
      <c r="AT3269" t="s">
        <v>14023</v>
      </c>
      <c r="AU3269">
        <v>9.51</v>
      </c>
      <c r="AV3269">
        <v>9.32</v>
      </c>
      <c r="AW3269">
        <v>1.22</v>
      </c>
      <c r="BA3269">
        <v>4.62</v>
      </c>
      <c r="BB3269">
        <v>5.17</v>
      </c>
      <c r="BC3269">
        <v>0.33</v>
      </c>
      <c r="BD3269">
        <v>2.13</v>
      </c>
      <c r="BE3269">
        <v>-4.0999999999999996</v>
      </c>
      <c r="BF3269">
        <v>-4.5999999999999996</v>
      </c>
      <c r="BG3269">
        <v>0</v>
      </c>
      <c r="BH3269">
        <v>-1.8</v>
      </c>
      <c r="BI3269">
        <v>20191031</v>
      </c>
      <c r="BJ3269">
        <v>20140805</v>
      </c>
      <c r="BK3269">
        <v>3.95</v>
      </c>
      <c r="BL3269" t="s">
        <v>116</v>
      </c>
      <c r="BM3269" t="s">
        <v>116</v>
      </c>
      <c r="BN3269">
        <v>51.32</v>
      </c>
      <c r="BO3269">
        <v>23.38</v>
      </c>
      <c r="BP3269">
        <v>0.17</v>
      </c>
      <c r="BQ3269">
        <v>54.12</v>
      </c>
      <c r="BR3269">
        <v>38.24</v>
      </c>
      <c r="BS3269">
        <v>5.9</v>
      </c>
      <c r="BT3269">
        <v>0.66</v>
      </c>
      <c r="BU3269">
        <v>25.63</v>
      </c>
      <c r="BV3269">
        <v>6.33</v>
      </c>
      <c r="BW3269">
        <v>18.68</v>
      </c>
      <c r="BX3269">
        <v>7.05</v>
      </c>
      <c r="BY3269">
        <v>28.59</v>
      </c>
      <c r="BZ3269">
        <v>19.309999999999999</v>
      </c>
      <c r="CA3269">
        <v>1.68</v>
      </c>
      <c r="CB3269">
        <v>0.6</v>
      </c>
      <c r="CC3269">
        <v>1.68</v>
      </c>
      <c r="CD3269">
        <v>1.48</v>
      </c>
      <c r="CE3269">
        <v>1.51</v>
      </c>
      <c r="CF3269">
        <v>1.36</v>
      </c>
      <c r="CG3269">
        <v>11.23</v>
      </c>
      <c r="CH3269">
        <v>1.69</v>
      </c>
      <c r="CI3269">
        <v>-0.26</v>
      </c>
      <c r="CJ3269">
        <v>22962</v>
      </c>
      <c r="CK3269">
        <v>7434</v>
      </c>
      <c r="CL3269" t="s">
        <v>1991</v>
      </c>
      <c r="CM3269">
        <v>-4.93</v>
      </c>
      <c r="CN3269">
        <v>15.55</v>
      </c>
      <c r="CO3269">
        <v>1.54</v>
      </c>
      <c r="CP3269">
        <v>21.35</v>
      </c>
      <c r="CQ3269">
        <v>1.26</v>
      </c>
      <c r="CR3269">
        <v>2.19</v>
      </c>
      <c r="CS3269" t="s">
        <v>2337</v>
      </c>
      <c r="CT3269">
        <v>5.92</v>
      </c>
      <c r="CU3269">
        <v>0</v>
      </c>
      <c r="CV3269">
        <v>1.79</v>
      </c>
      <c r="CW3269">
        <v>2.84</v>
      </c>
      <c r="CX3269">
        <v>0.43</v>
      </c>
      <c r="CY3269">
        <v>45.55</v>
      </c>
      <c r="CZ3269" t="s">
        <v>14024</v>
      </c>
      <c r="DA3269">
        <v>32.46</v>
      </c>
      <c r="DB3269">
        <v>5.86</v>
      </c>
      <c r="DC3269">
        <v>5.28</v>
      </c>
      <c r="DD3269">
        <v>1.67</v>
      </c>
      <c r="DE3269">
        <v>4534</v>
      </c>
      <c r="DF3269">
        <v>603100</v>
      </c>
      <c r="DG3269" t="s">
        <v>116</v>
      </c>
      <c r="DH3269" t="s">
        <v>116</v>
      </c>
      <c r="DI3269" t="s">
        <v>116</v>
      </c>
    </row>
    <row r="3270" spans="1:113" x14ac:dyDescent="0.4">
      <c r="A3270" t="str">
        <f>"603101"</f>
        <v>603101</v>
      </c>
      <c r="B3270" t="s">
        <v>14025</v>
      </c>
      <c r="C3270">
        <v>2.57</v>
      </c>
      <c r="D3270">
        <v>9.17</v>
      </c>
      <c r="E3270">
        <v>0.23</v>
      </c>
      <c r="F3270">
        <v>9.16</v>
      </c>
      <c r="G3270">
        <v>9.17</v>
      </c>
      <c r="H3270">
        <v>113080</v>
      </c>
      <c r="I3270">
        <v>897</v>
      </c>
      <c r="J3270">
        <v>0.55000000000000004</v>
      </c>
      <c r="K3270">
        <v>3.37</v>
      </c>
      <c r="L3270">
        <v>8.9499999999999993</v>
      </c>
      <c r="M3270">
        <v>9.69</v>
      </c>
      <c r="N3270">
        <v>8.9499999999999993</v>
      </c>
      <c r="O3270">
        <v>8.94</v>
      </c>
      <c r="P3270">
        <v>67.5</v>
      </c>
      <c r="Q3270">
        <v>104810512</v>
      </c>
      <c r="R3270">
        <v>1.52</v>
      </c>
      <c r="S3270" t="s">
        <v>746</v>
      </c>
      <c r="T3270" t="s">
        <v>616</v>
      </c>
      <c r="U3270">
        <v>8.2799999999999994</v>
      </c>
      <c r="V3270">
        <v>9.27</v>
      </c>
      <c r="W3270">
        <v>50436</v>
      </c>
      <c r="X3270">
        <v>62645</v>
      </c>
      <c r="Y3270">
        <v>0.81</v>
      </c>
      <c r="Z3270">
        <v>366</v>
      </c>
      <c r="AA3270">
        <v>1033</v>
      </c>
      <c r="AB3270" t="s">
        <v>116</v>
      </c>
      <c r="AC3270">
        <v>89500</v>
      </c>
      <c r="AD3270">
        <v>0.01</v>
      </c>
      <c r="AE3270" t="s">
        <v>116</v>
      </c>
      <c r="AF3270" t="s">
        <v>116</v>
      </c>
      <c r="AG3270">
        <v>3.36</v>
      </c>
      <c r="AH3270" t="s">
        <v>7769</v>
      </c>
      <c r="AI3270" t="s">
        <v>7769</v>
      </c>
      <c r="AJ3270">
        <v>2.65</v>
      </c>
      <c r="AK3270">
        <v>2480</v>
      </c>
      <c r="AL3270">
        <v>46</v>
      </c>
      <c r="AM3270">
        <v>1.4E-3</v>
      </c>
      <c r="AN3270">
        <v>1</v>
      </c>
      <c r="AO3270">
        <v>6.74</v>
      </c>
      <c r="AP3270">
        <v>14.2</v>
      </c>
      <c r="AQ3270">
        <v>44.64</v>
      </c>
      <c r="AR3270">
        <v>-19.36</v>
      </c>
      <c r="AS3270">
        <v>12.81</v>
      </c>
      <c r="AT3270" t="s">
        <v>12050</v>
      </c>
      <c r="AU3270">
        <v>365.37</v>
      </c>
      <c r="AV3270">
        <v>43.92</v>
      </c>
      <c r="AW3270">
        <v>0.05</v>
      </c>
      <c r="BA3270">
        <v>0.11</v>
      </c>
      <c r="BB3270">
        <v>8.39</v>
      </c>
      <c r="BC3270">
        <v>0.11</v>
      </c>
      <c r="BD3270">
        <v>3.68</v>
      </c>
      <c r="BE3270">
        <v>2.46</v>
      </c>
      <c r="BF3270">
        <v>-5.37</v>
      </c>
      <c r="BG3270">
        <v>2.46</v>
      </c>
      <c r="BH3270">
        <v>-1.1000000000000001</v>
      </c>
      <c r="BI3270">
        <v>20191026</v>
      </c>
      <c r="BJ3270">
        <v>20160506</v>
      </c>
      <c r="BK3270">
        <v>3.36</v>
      </c>
      <c r="BL3270" t="s">
        <v>116</v>
      </c>
      <c r="BM3270" t="s">
        <v>116</v>
      </c>
      <c r="BN3270">
        <v>37.25</v>
      </c>
      <c r="BO3270">
        <v>13.75</v>
      </c>
      <c r="BP3270">
        <v>0</v>
      </c>
      <c r="BQ3270">
        <v>63.1</v>
      </c>
      <c r="BR3270">
        <v>8.1199999999999992</v>
      </c>
      <c r="BS3270">
        <v>14.78</v>
      </c>
      <c r="BT3270">
        <v>1.31</v>
      </c>
      <c r="BU3270">
        <v>20.57</v>
      </c>
      <c r="BV3270">
        <v>2.14</v>
      </c>
      <c r="BW3270">
        <v>1.3</v>
      </c>
      <c r="BX3270">
        <v>3.41</v>
      </c>
      <c r="BY3270">
        <v>32.14</v>
      </c>
      <c r="BZ3270">
        <v>26.08</v>
      </c>
      <c r="CA3270">
        <v>0.54</v>
      </c>
      <c r="CB3270">
        <v>0</v>
      </c>
      <c r="CC3270">
        <v>0.51</v>
      </c>
      <c r="CD3270">
        <v>0.34</v>
      </c>
      <c r="CE3270">
        <v>0.34</v>
      </c>
      <c r="CF3270">
        <v>0.34</v>
      </c>
      <c r="CG3270">
        <v>6.57</v>
      </c>
      <c r="CH3270">
        <v>1.24</v>
      </c>
      <c r="CI3270">
        <v>-1.82</v>
      </c>
      <c r="CJ3270">
        <v>19261</v>
      </c>
      <c r="CK3270">
        <v>4584</v>
      </c>
      <c r="CL3270" t="s">
        <v>4433</v>
      </c>
      <c r="CM3270">
        <v>-64.319999999999993</v>
      </c>
      <c r="CN3270">
        <v>28.88</v>
      </c>
      <c r="CO3270">
        <v>2.2400000000000002</v>
      </c>
      <c r="CP3270">
        <v>24.83</v>
      </c>
      <c r="CQ3270">
        <v>0.96</v>
      </c>
      <c r="CR3270">
        <v>0</v>
      </c>
      <c r="CS3270" t="s">
        <v>4514</v>
      </c>
      <c r="CT3270">
        <v>4.09</v>
      </c>
      <c r="CU3270">
        <v>0</v>
      </c>
      <c r="CV3270">
        <v>1.02</v>
      </c>
      <c r="CW3270">
        <v>1.96</v>
      </c>
      <c r="CX3270">
        <v>0.37</v>
      </c>
      <c r="CY3270">
        <v>36.9</v>
      </c>
      <c r="CZ3270" t="s">
        <v>1086</v>
      </c>
      <c r="DA3270">
        <v>18.850000000000001</v>
      </c>
      <c r="DB3270">
        <v>1.67</v>
      </c>
      <c r="DC3270">
        <v>1.07</v>
      </c>
      <c r="DD3270">
        <v>0</v>
      </c>
      <c r="DE3270">
        <v>3515</v>
      </c>
      <c r="DF3270">
        <v>603101</v>
      </c>
      <c r="DG3270" t="s">
        <v>116</v>
      </c>
      <c r="DH3270" t="s">
        <v>116</v>
      </c>
      <c r="DI3270" t="s">
        <v>116</v>
      </c>
    </row>
    <row r="3271" spans="1:113" x14ac:dyDescent="0.4">
      <c r="A3271" t="str">
        <f>"603103"</f>
        <v>603103</v>
      </c>
      <c r="B3271" t="s">
        <v>14026</v>
      </c>
      <c r="C3271">
        <v>-2.13</v>
      </c>
      <c r="D3271">
        <v>18.399999999999999</v>
      </c>
      <c r="E3271">
        <v>-0.4</v>
      </c>
      <c r="F3271">
        <v>18.399999999999999</v>
      </c>
      <c r="G3271">
        <v>18.41</v>
      </c>
      <c r="H3271">
        <v>34297</v>
      </c>
      <c r="I3271">
        <v>451</v>
      </c>
      <c r="J3271">
        <v>-0.53</v>
      </c>
      <c r="K3271">
        <v>4.62</v>
      </c>
      <c r="L3271">
        <v>18.760000000000002</v>
      </c>
      <c r="M3271">
        <v>19.54</v>
      </c>
      <c r="N3271">
        <v>18.399999999999999</v>
      </c>
      <c r="O3271">
        <v>18.8</v>
      </c>
      <c r="P3271">
        <v>33.6</v>
      </c>
      <c r="Q3271">
        <v>65048292</v>
      </c>
      <c r="R3271">
        <v>0.76</v>
      </c>
      <c r="S3271" t="s">
        <v>589</v>
      </c>
      <c r="T3271" t="s">
        <v>590</v>
      </c>
      <c r="U3271">
        <v>6.06</v>
      </c>
      <c r="V3271">
        <v>18.97</v>
      </c>
      <c r="W3271">
        <v>16032</v>
      </c>
      <c r="X3271">
        <v>18265</v>
      </c>
      <c r="Y3271">
        <v>0.88</v>
      </c>
      <c r="Z3271">
        <v>78</v>
      </c>
      <c r="AA3271">
        <v>81</v>
      </c>
      <c r="AB3271" t="s">
        <v>116</v>
      </c>
      <c r="AC3271">
        <v>669700</v>
      </c>
      <c r="AD3271">
        <v>0.05</v>
      </c>
      <c r="AE3271" t="s">
        <v>116</v>
      </c>
      <c r="AF3271" t="s">
        <v>116</v>
      </c>
      <c r="AG3271">
        <v>0.74</v>
      </c>
      <c r="AH3271" t="s">
        <v>4180</v>
      </c>
      <c r="AI3271" t="s">
        <v>14027</v>
      </c>
      <c r="AJ3271">
        <v>-2.0499999999999998</v>
      </c>
      <c r="AK3271">
        <v>2209</v>
      </c>
      <c r="AL3271">
        <v>16</v>
      </c>
      <c r="AM3271">
        <v>2.0999999999999999E-3</v>
      </c>
      <c r="AN3271">
        <v>-1</v>
      </c>
      <c r="AO3271">
        <v>3.36</v>
      </c>
      <c r="AP3271">
        <v>21.45</v>
      </c>
      <c r="AQ3271">
        <v>26.9</v>
      </c>
      <c r="AR3271">
        <v>16.809999999999999</v>
      </c>
      <c r="AS3271">
        <v>4.62</v>
      </c>
      <c r="AT3271" t="s">
        <v>4180</v>
      </c>
      <c r="AU3271">
        <v>45.23</v>
      </c>
      <c r="AV3271">
        <v>36.39</v>
      </c>
      <c r="AW3271">
        <v>0.66</v>
      </c>
      <c r="BA3271">
        <v>-0.21</v>
      </c>
      <c r="BB3271">
        <v>3.94</v>
      </c>
      <c r="BC3271">
        <v>-2.13</v>
      </c>
      <c r="BD3271">
        <v>0.88</v>
      </c>
      <c r="BE3271">
        <v>-1.92</v>
      </c>
      <c r="BF3271">
        <v>-5.83</v>
      </c>
      <c r="BG3271">
        <v>0</v>
      </c>
      <c r="BH3271">
        <v>-3.01</v>
      </c>
      <c r="BI3271">
        <v>20191030</v>
      </c>
      <c r="BJ3271">
        <v>20171012</v>
      </c>
      <c r="BK3271">
        <v>6.34</v>
      </c>
      <c r="BL3271" t="s">
        <v>116</v>
      </c>
      <c r="BM3271" t="s">
        <v>116</v>
      </c>
      <c r="BN3271">
        <v>34.01</v>
      </c>
      <c r="BO3271">
        <v>23.38</v>
      </c>
      <c r="BP3271">
        <v>0</v>
      </c>
      <c r="BQ3271">
        <v>31.26</v>
      </c>
      <c r="BR3271">
        <v>16.170000000000002</v>
      </c>
      <c r="BS3271">
        <v>8.89</v>
      </c>
      <c r="BT3271">
        <v>0.01</v>
      </c>
      <c r="BU3271">
        <v>8.52</v>
      </c>
      <c r="BV3271">
        <v>0.46</v>
      </c>
      <c r="BW3271">
        <v>0.54</v>
      </c>
      <c r="BX3271">
        <v>5.74</v>
      </c>
      <c r="BY3271">
        <v>21.31</v>
      </c>
      <c r="BZ3271">
        <v>16.75</v>
      </c>
      <c r="CA3271">
        <v>3.21</v>
      </c>
      <c r="CB3271">
        <v>0.24</v>
      </c>
      <c r="CC3271">
        <v>3.44</v>
      </c>
      <c r="CD3271">
        <v>2.6</v>
      </c>
      <c r="CE3271">
        <v>2.6</v>
      </c>
      <c r="CF3271">
        <v>2.0699999999999998</v>
      </c>
      <c r="CG3271">
        <v>10.11</v>
      </c>
      <c r="CH3271">
        <v>4.87</v>
      </c>
      <c r="CI3271">
        <v>2.39</v>
      </c>
      <c r="CJ3271">
        <v>20110</v>
      </c>
      <c r="CK3271">
        <v>3690</v>
      </c>
      <c r="CL3271" t="s">
        <v>14028</v>
      </c>
      <c r="CM3271">
        <v>-19.399999999999999</v>
      </c>
      <c r="CN3271">
        <v>-3.43</v>
      </c>
      <c r="CO3271">
        <v>4.99</v>
      </c>
      <c r="CP3271">
        <v>23.96</v>
      </c>
      <c r="CQ3271">
        <v>5.48</v>
      </c>
      <c r="CR3271">
        <v>0.96</v>
      </c>
      <c r="CS3271" t="s">
        <v>6519</v>
      </c>
      <c r="CT3271">
        <v>3.69</v>
      </c>
      <c r="CU3271">
        <v>0</v>
      </c>
      <c r="CV3271">
        <v>0.9</v>
      </c>
      <c r="CW3271">
        <v>1.59</v>
      </c>
      <c r="CX3271">
        <v>0.77</v>
      </c>
      <c r="CY3271">
        <v>68.739999999999995</v>
      </c>
      <c r="CZ3271" t="s">
        <v>14029</v>
      </c>
      <c r="DA3271">
        <v>21.41</v>
      </c>
      <c r="DB3271">
        <v>15.06</v>
      </c>
      <c r="DC3271">
        <v>12.22</v>
      </c>
      <c r="DD3271">
        <v>0</v>
      </c>
      <c r="DE3271">
        <v>7434</v>
      </c>
      <c r="DF3271">
        <v>603103</v>
      </c>
      <c r="DG3271" t="s">
        <v>116</v>
      </c>
      <c r="DH3271" t="s">
        <v>116</v>
      </c>
      <c r="DI3271" t="s">
        <v>116</v>
      </c>
    </row>
    <row r="3272" spans="1:113" x14ac:dyDescent="0.4">
      <c r="A3272" t="str">
        <f>"603105"</f>
        <v>603105</v>
      </c>
      <c r="B3272" t="s">
        <v>14030</v>
      </c>
      <c r="C3272">
        <v>0</v>
      </c>
      <c r="D3272">
        <v>7.24</v>
      </c>
      <c r="E3272">
        <v>0</v>
      </c>
      <c r="F3272">
        <v>7.23</v>
      </c>
      <c r="G3272">
        <v>7.24</v>
      </c>
      <c r="H3272">
        <v>128234</v>
      </c>
      <c r="I3272">
        <v>1567</v>
      </c>
      <c r="J3272">
        <v>0.14000000000000001</v>
      </c>
      <c r="K3272">
        <v>4.16</v>
      </c>
      <c r="L3272">
        <v>7.28</v>
      </c>
      <c r="M3272">
        <v>7.38</v>
      </c>
      <c r="N3272">
        <v>7.2</v>
      </c>
      <c r="O3272">
        <v>7.24</v>
      </c>
      <c r="P3272">
        <v>60.23</v>
      </c>
      <c r="Q3272">
        <v>93358848</v>
      </c>
      <c r="R3272">
        <v>1.4</v>
      </c>
      <c r="S3272" t="s">
        <v>397</v>
      </c>
      <c r="T3272" t="s">
        <v>590</v>
      </c>
      <c r="U3272">
        <v>2.4900000000000002</v>
      </c>
      <c r="V3272">
        <v>7.28</v>
      </c>
      <c r="W3272">
        <v>63014</v>
      </c>
      <c r="X3272">
        <v>65220</v>
      </c>
      <c r="Y3272">
        <v>0.97</v>
      </c>
      <c r="Z3272">
        <v>230</v>
      </c>
      <c r="AA3272">
        <v>589</v>
      </c>
      <c r="AB3272" t="s">
        <v>116</v>
      </c>
      <c r="AC3272">
        <v>425900</v>
      </c>
      <c r="AD3272">
        <v>0.02</v>
      </c>
      <c r="AE3272" t="s">
        <v>116</v>
      </c>
      <c r="AF3272" t="s">
        <v>116</v>
      </c>
      <c r="AG3272">
        <v>3.08</v>
      </c>
      <c r="AH3272" t="s">
        <v>14031</v>
      </c>
      <c r="AI3272" t="s">
        <v>14032</v>
      </c>
      <c r="AJ3272">
        <v>0.08</v>
      </c>
      <c r="AK3272">
        <v>3009</v>
      </c>
      <c r="AL3272">
        <v>43</v>
      </c>
      <c r="AM3272">
        <v>1.4E-3</v>
      </c>
      <c r="AN3272">
        <v>0</v>
      </c>
      <c r="AO3272">
        <v>4.0199999999999996</v>
      </c>
      <c r="AP3272">
        <v>2.7</v>
      </c>
      <c r="AQ3272">
        <v>-6.34</v>
      </c>
      <c r="AR3272">
        <v>-44.22</v>
      </c>
      <c r="AS3272">
        <v>5.38</v>
      </c>
      <c r="AT3272" t="s">
        <v>9287</v>
      </c>
      <c r="AU3272">
        <v>91.97</v>
      </c>
      <c r="AV3272">
        <v>54.71</v>
      </c>
      <c r="AW3272">
        <v>1.85</v>
      </c>
      <c r="BA3272">
        <v>0.55000000000000004</v>
      </c>
      <c r="BB3272">
        <v>1.93</v>
      </c>
      <c r="BC3272">
        <v>-0.55000000000000004</v>
      </c>
      <c r="BD3272">
        <v>0.56000000000000005</v>
      </c>
      <c r="BE3272">
        <v>-0.55000000000000004</v>
      </c>
      <c r="BF3272">
        <v>-1.9</v>
      </c>
      <c r="BG3272">
        <v>0.56000000000000005</v>
      </c>
      <c r="BH3272">
        <v>-0.56000000000000005</v>
      </c>
      <c r="BI3272">
        <v>20191026</v>
      </c>
      <c r="BJ3272">
        <v>20180709</v>
      </c>
      <c r="BK3272">
        <v>5</v>
      </c>
      <c r="BL3272" t="s">
        <v>116</v>
      </c>
      <c r="BM3272" t="s">
        <v>116</v>
      </c>
      <c r="BN3272">
        <v>25.82</v>
      </c>
      <c r="BO3272">
        <v>14.54</v>
      </c>
      <c r="BP3272">
        <v>0</v>
      </c>
      <c r="BQ3272">
        <v>43.67</v>
      </c>
      <c r="BR3272">
        <v>7.02</v>
      </c>
      <c r="BS3272">
        <v>17.95</v>
      </c>
      <c r="BT3272">
        <v>0.2</v>
      </c>
      <c r="BU3272">
        <v>6.24</v>
      </c>
      <c r="BV3272">
        <v>1.1399999999999999</v>
      </c>
      <c r="BW3272">
        <v>1.97</v>
      </c>
      <c r="BX3272">
        <v>7.15</v>
      </c>
      <c r="BY3272">
        <v>2.86</v>
      </c>
      <c r="BZ3272">
        <v>1.43</v>
      </c>
      <c r="CA3272">
        <v>0.34</v>
      </c>
      <c r="CB3272">
        <v>0.01</v>
      </c>
      <c r="CC3272">
        <v>0.43</v>
      </c>
      <c r="CD3272">
        <v>0.45</v>
      </c>
      <c r="CE3272">
        <v>0.45</v>
      </c>
      <c r="CF3272">
        <v>0.32</v>
      </c>
      <c r="CG3272">
        <v>2.11</v>
      </c>
      <c r="CH3272">
        <v>1.1299999999999999</v>
      </c>
      <c r="CI3272">
        <v>-0.16</v>
      </c>
      <c r="CJ3272">
        <v>47576</v>
      </c>
      <c r="CK3272">
        <v>5010</v>
      </c>
      <c r="CL3272" t="s">
        <v>2473</v>
      </c>
      <c r="CM3272">
        <v>-37.29</v>
      </c>
      <c r="CN3272">
        <v>-8.9</v>
      </c>
      <c r="CO3272">
        <v>2.4900000000000002</v>
      </c>
      <c r="CP3272">
        <v>32.06</v>
      </c>
      <c r="CQ3272">
        <v>12.67</v>
      </c>
      <c r="CR3272">
        <v>1.38</v>
      </c>
      <c r="CS3272" t="s">
        <v>2739</v>
      </c>
      <c r="CT3272">
        <v>2.91</v>
      </c>
      <c r="CU3272">
        <v>0</v>
      </c>
      <c r="CV3272">
        <v>1.43</v>
      </c>
      <c r="CW3272">
        <v>0.42</v>
      </c>
      <c r="CX3272">
        <v>0.23</v>
      </c>
      <c r="CY3272">
        <v>56.33</v>
      </c>
      <c r="CZ3272" t="s">
        <v>8654</v>
      </c>
      <c r="DA3272">
        <v>49.81</v>
      </c>
      <c r="DB3272">
        <v>11.99</v>
      </c>
      <c r="DC3272">
        <v>15.78</v>
      </c>
      <c r="DD3272">
        <v>0.11</v>
      </c>
      <c r="DE3272">
        <v>334</v>
      </c>
      <c r="DF3272">
        <v>603105</v>
      </c>
      <c r="DG3272" t="s">
        <v>116</v>
      </c>
      <c r="DH3272" t="s">
        <v>116</v>
      </c>
      <c r="DI3272" t="s">
        <v>116</v>
      </c>
    </row>
    <row r="3273" spans="1:113" x14ac:dyDescent="0.4">
      <c r="A3273" t="str">
        <f>"603106"</f>
        <v>603106</v>
      </c>
      <c r="B3273" t="s">
        <v>14033</v>
      </c>
      <c r="C3273">
        <v>-1.93</v>
      </c>
      <c r="D3273">
        <v>8.6300000000000008</v>
      </c>
      <c r="E3273">
        <v>-0.17</v>
      </c>
      <c r="F3273">
        <v>8.6300000000000008</v>
      </c>
      <c r="G3273">
        <v>8.64</v>
      </c>
      <c r="H3273">
        <v>66817</v>
      </c>
      <c r="I3273">
        <v>1486</v>
      </c>
      <c r="J3273">
        <v>-0.22</v>
      </c>
      <c r="K3273">
        <v>3.94</v>
      </c>
      <c r="L3273">
        <v>8.7899999999999991</v>
      </c>
      <c r="M3273">
        <v>8.8699999999999992</v>
      </c>
      <c r="N3273">
        <v>8.6199999999999992</v>
      </c>
      <c r="O3273">
        <v>8.8000000000000007</v>
      </c>
      <c r="P3273" t="s">
        <v>116</v>
      </c>
      <c r="Q3273">
        <v>58500324</v>
      </c>
      <c r="R3273">
        <v>0.88</v>
      </c>
      <c r="S3273" t="s">
        <v>241</v>
      </c>
      <c r="T3273" t="s">
        <v>1035</v>
      </c>
      <c r="U3273">
        <v>2.84</v>
      </c>
      <c r="V3273">
        <v>8.76</v>
      </c>
      <c r="W3273">
        <v>33644</v>
      </c>
      <c r="X3273">
        <v>33173</v>
      </c>
      <c r="Y3273">
        <v>1.01</v>
      </c>
      <c r="Z3273">
        <v>123</v>
      </c>
      <c r="AA3273">
        <v>116</v>
      </c>
      <c r="AB3273" t="s">
        <v>116</v>
      </c>
      <c r="AC3273">
        <v>540600</v>
      </c>
      <c r="AD3273">
        <v>0.04</v>
      </c>
      <c r="AE3273" t="s">
        <v>116</v>
      </c>
      <c r="AF3273" t="s">
        <v>116</v>
      </c>
      <c r="AG3273">
        <v>1.69</v>
      </c>
      <c r="AH3273" t="s">
        <v>9579</v>
      </c>
      <c r="AI3273" t="s">
        <v>2397</v>
      </c>
      <c r="AJ3273">
        <v>-1.86</v>
      </c>
      <c r="AK3273">
        <v>2072</v>
      </c>
      <c r="AL3273">
        <v>32</v>
      </c>
      <c r="AM3273">
        <v>1.9E-3</v>
      </c>
      <c r="AN3273">
        <v>-1</v>
      </c>
      <c r="AO3273">
        <v>0.71</v>
      </c>
      <c r="AP3273">
        <v>4.0999999999999996</v>
      </c>
      <c r="AQ3273">
        <v>-14.3</v>
      </c>
      <c r="AR3273">
        <v>9.56</v>
      </c>
      <c r="AS3273">
        <v>3.94</v>
      </c>
      <c r="AT3273" t="s">
        <v>9579</v>
      </c>
      <c r="AU3273">
        <v>1152.77</v>
      </c>
      <c r="AV3273">
        <v>43.09</v>
      </c>
      <c r="AW3273">
        <v>2.4900000000000002</v>
      </c>
      <c r="BA3273">
        <v>-0.11</v>
      </c>
      <c r="BB3273">
        <v>0.8</v>
      </c>
      <c r="BC3273">
        <v>-2.0499999999999998</v>
      </c>
      <c r="BD3273">
        <v>-0.51</v>
      </c>
      <c r="BE3273">
        <v>-1.82</v>
      </c>
      <c r="BF3273">
        <v>-2.71</v>
      </c>
      <c r="BG3273">
        <v>0.12</v>
      </c>
      <c r="BH3273">
        <v>-1.42</v>
      </c>
      <c r="BI3273">
        <v>20191030</v>
      </c>
      <c r="BJ3273">
        <v>20170920</v>
      </c>
      <c r="BK3273">
        <v>4</v>
      </c>
      <c r="BL3273" t="s">
        <v>116</v>
      </c>
      <c r="BM3273" t="s">
        <v>116</v>
      </c>
      <c r="BN3273">
        <v>23.41</v>
      </c>
      <c r="BO3273">
        <v>16.09</v>
      </c>
      <c r="BP3273">
        <v>0</v>
      </c>
      <c r="BQ3273">
        <v>31.24</v>
      </c>
      <c r="BR3273">
        <v>19.829999999999998</v>
      </c>
      <c r="BS3273">
        <v>2.65</v>
      </c>
      <c r="BT3273">
        <v>0.23</v>
      </c>
      <c r="BU3273">
        <v>4.6399999999999997</v>
      </c>
      <c r="BV3273">
        <v>5.92</v>
      </c>
      <c r="BW3273">
        <v>5.26</v>
      </c>
      <c r="BX3273">
        <v>8.6300000000000008</v>
      </c>
      <c r="BY3273">
        <v>5.16</v>
      </c>
      <c r="BZ3273">
        <v>3.72</v>
      </c>
      <c r="CA3273">
        <v>-0.28999999999999998</v>
      </c>
      <c r="CB3273">
        <v>0.26</v>
      </c>
      <c r="CC3273">
        <v>-0.28999999999999998</v>
      </c>
      <c r="CD3273">
        <v>-0.27</v>
      </c>
      <c r="CE3273">
        <v>-0.27</v>
      </c>
      <c r="CF3273">
        <v>-0.78</v>
      </c>
      <c r="CG3273">
        <v>3.06</v>
      </c>
      <c r="CH3273">
        <v>-2.2400000000000002</v>
      </c>
      <c r="CI3273">
        <v>-2.2000000000000002</v>
      </c>
      <c r="CJ3273">
        <v>40659</v>
      </c>
      <c r="CK3273">
        <v>4168</v>
      </c>
      <c r="CL3273" t="s">
        <v>14034</v>
      </c>
      <c r="CM3273">
        <v>-154.38</v>
      </c>
      <c r="CN3273">
        <v>-25.77</v>
      </c>
      <c r="CO3273">
        <v>2.15</v>
      </c>
      <c r="CP3273">
        <v>-15.45</v>
      </c>
      <c r="CQ3273">
        <v>6.7</v>
      </c>
      <c r="CR3273">
        <v>0.53</v>
      </c>
      <c r="CS3273" t="s">
        <v>14035</v>
      </c>
      <c r="CT3273">
        <v>4.0199999999999996</v>
      </c>
      <c r="CU3273">
        <v>0</v>
      </c>
      <c r="CV3273">
        <v>2.16</v>
      </c>
      <c r="CW3273">
        <v>0.76</v>
      </c>
      <c r="CX3273">
        <v>-0.56000000000000005</v>
      </c>
      <c r="CY3273">
        <v>68.760000000000005</v>
      </c>
      <c r="CZ3273" t="s">
        <v>14036</v>
      </c>
      <c r="DA3273">
        <v>27.88</v>
      </c>
      <c r="DB3273">
        <v>-5.65</v>
      </c>
      <c r="DC3273">
        <v>-5.27</v>
      </c>
      <c r="DD3273">
        <v>0.66</v>
      </c>
      <c r="DE3273">
        <v>2646</v>
      </c>
      <c r="DF3273">
        <v>603106</v>
      </c>
      <c r="DG3273" t="s">
        <v>116</v>
      </c>
      <c r="DH3273" t="s">
        <v>116</v>
      </c>
      <c r="DI3273" t="s">
        <v>116</v>
      </c>
    </row>
    <row r="3274" spans="1:113" x14ac:dyDescent="0.4">
      <c r="A3274" t="str">
        <f>"603108"</f>
        <v>603108</v>
      </c>
      <c r="B3274" t="s">
        <v>14037</v>
      </c>
      <c r="C3274">
        <v>-1.1100000000000001</v>
      </c>
      <c r="D3274">
        <v>9.83</v>
      </c>
      <c r="E3274">
        <v>-0.11</v>
      </c>
      <c r="F3274">
        <v>9.82</v>
      </c>
      <c r="G3274">
        <v>9.83</v>
      </c>
      <c r="H3274">
        <v>34735</v>
      </c>
      <c r="I3274">
        <v>1101</v>
      </c>
      <c r="J3274">
        <v>0.61</v>
      </c>
      <c r="K3274">
        <v>0.6</v>
      </c>
      <c r="L3274">
        <v>9.9600000000000009</v>
      </c>
      <c r="M3274">
        <v>9.9600000000000009</v>
      </c>
      <c r="N3274">
        <v>9.6999999999999993</v>
      </c>
      <c r="O3274">
        <v>9.94</v>
      </c>
      <c r="P3274">
        <v>14.63</v>
      </c>
      <c r="Q3274">
        <v>34232520</v>
      </c>
      <c r="R3274">
        <v>1.1100000000000001</v>
      </c>
      <c r="S3274" t="s">
        <v>278</v>
      </c>
      <c r="T3274" t="s">
        <v>1653</v>
      </c>
      <c r="U3274">
        <v>2.62</v>
      </c>
      <c r="V3274">
        <v>9.86</v>
      </c>
      <c r="W3274">
        <v>21013</v>
      </c>
      <c r="X3274">
        <v>13722</v>
      </c>
      <c r="Y3274">
        <v>1.53</v>
      </c>
      <c r="Z3274">
        <v>31</v>
      </c>
      <c r="AA3274">
        <v>182</v>
      </c>
      <c r="AB3274" t="s">
        <v>116</v>
      </c>
      <c r="AC3274">
        <v>76700</v>
      </c>
      <c r="AD3274">
        <v>0</v>
      </c>
      <c r="AE3274" t="s">
        <v>116</v>
      </c>
      <c r="AF3274" t="s">
        <v>116</v>
      </c>
      <c r="AG3274">
        <v>5.8</v>
      </c>
      <c r="AH3274" t="s">
        <v>14038</v>
      </c>
      <c r="AI3274" t="s">
        <v>14038</v>
      </c>
      <c r="AJ3274">
        <v>-1.03</v>
      </c>
      <c r="AK3274">
        <v>1110</v>
      </c>
      <c r="AL3274">
        <v>31</v>
      </c>
      <c r="AM3274">
        <v>5.0000000000000001E-4</v>
      </c>
      <c r="AN3274">
        <v>-1</v>
      </c>
      <c r="AO3274">
        <v>-1.71</v>
      </c>
      <c r="AP3274">
        <v>-2.48</v>
      </c>
      <c r="AQ3274">
        <v>-6.11</v>
      </c>
      <c r="AR3274">
        <v>38.549999999999997</v>
      </c>
      <c r="AS3274">
        <v>0.95</v>
      </c>
      <c r="AT3274" t="s">
        <v>8143</v>
      </c>
      <c r="AU3274">
        <v>18.329999999999998</v>
      </c>
      <c r="AV3274">
        <v>21.75</v>
      </c>
      <c r="AW3274">
        <v>1.33</v>
      </c>
      <c r="BA3274">
        <v>0.2</v>
      </c>
      <c r="BB3274">
        <v>0.2</v>
      </c>
      <c r="BC3274">
        <v>-2.41</v>
      </c>
      <c r="BD3274">
        <v>-0.85</v>
      </c>
      <c r="BE3274">
        <v>-1.31</v>
      </c>
      <c r="BF3274">
        <v>-1.31</v>
      </c>
      <c r="BG3274">
        <v>1.34</v>
      </c>
      <c r="BH3274">
        <v>-0.25</v>
      </c>
      <c r="BI3274">
        <v>20191115</v>
      </c>
      <c r="BJ3274">
        <v>20150527</v>
      </c>
      <c r="BK3274">
        <v>5.8</v>
      </c>
      <c r="BL3274" t="s">
        <v>116</v>
      </c>
      <c r="BM3274" t="s">
        <v>116</v>
      </c>
      <c r="BN3274">
        <v>85.89</v>
      </c>
      <c r="BO3274">
        <v>27.43</v>
      </c>
      <c r="BP3274">
        <v>7.57</v>
      </c>
      <c r="BQ3274">
        <v>59.26</v>
      </c>
      <c r="BR3274">
        <v>52.95</v>
      </c>
      <c r="BS3274">
        <v>8.1999999999999993</v>
      </c>
      <c r="BT3274">
        <v>0.51</v>
      </c>
      <c r="BU3274">
        <v>44.8</v>
      </c>
      <c r="BV3274">
        <v>12.96</v>
      </c>
      <c r="BW3274">
        <v>29.2</v>
      </c>
      <c r="BX3274">
        <v>9.74</v>
      </c>
      <c r="BY3274">
        <v>51.93</v>
      </c>
      <c r="BZ3274">
        <v>38.18</v>
      </c>
      <c r="CA3274">
        <v>5.86</v>
      </c>
      <c r="CB3274">
        <v>0.79</v>
      </c>
      <c r="CC3274">
        <v>5.93</v>
      </c>
      <c r="CD3274">
        <v>4.46</v>
      </c>
      <c r="CE3274">
        <v>2.92</v>
      </c>
      <c r="CF3274">
        <v>2.93</v>
      </c>
      <c r="CG3274">
        <v>11.48</v>
      </c>
      <c r="CH3274">
        <v>1.39</v>
      </c>
      <c r="CI3274">
        <v>0.52</v>
      </c>
      <c r="CJ3274">
        <v>16458</v>
      </c>
      <c r="CK3274">
        <v>22243</v>
      </c>
      <c r="CL3274" t="s">
        <v>7593</v>
      </c>
      <c r="CM3274">
        <v>20.05</v>
      </c>
      <c r="CN3274">
        <v>19.75</v>
      </c>
      <c r="CO3274">
        <v>2.08</v>
      </c>
      <c r="CP3274">
        <v>41.05</v>
      </c>
      <c r="CQ3274">
        <v>1.1000000000000001</v>
      </c>
      <c r="CR3274">
        <v>0.97</v>
      </c>
      <c r="CS3274" t="s">
        <v>14039</v>
      </c>
      <c r="CT3274">
        <v>4.7300000000000004</v>
      </c>
      <c r="CU3274">
        <v>0</v>
      </c>
      <c r="CV3274">
        <v>1.68</v>
      </c>
      <c r="CW3274">
        <v>1.98</v>
      </c>
      <c r="CX3274">
        <v>0.24</v>
      </c>
      <c r="CY3274">
        <v>31.93</v>
      </c>
      <c r="CZ3274" t="s">
        <v>14040</v>
      </c>
      <c r="DA3274">
        <v>26.47</v>
      </c>
      <c r="DB3274">
        <v>11.28</v>
      </c>
      <c r="DC3274">
        <v>5.62</v>
      </c>
      <c r="DD3274">
        <v>0.38</v>
      </c>
      <c r="DE3274">
        <v>2138</v>
      </c>
      <c r="DF3274">
        <v>603108</v>
      </c>
      <c r="DG3274" t="s">
        <v>116</v>
      </c>
      <c r="DH3274" t="s">
        <v>116</v>
      </c>
      <c r="DI3274" t="s">
        <v>116</v>
      </c>
    </row>
    <row r="3275" spans="1:113" x14ac:dyDescent="0.4">
      <c r="A3275" t="str">
        <f>"603110"</f>
        <v>603110</v>
      </c>
      <c r="B3275" t="s">
        <v>14041</v>
      </c>
      <c r="C3275">
        <v>-3.21</v>
      </c>
      <c r="D3275">
        <v>16.59</v>
      </c>
      <c r="E3275">
        <v>-0.55000000000000004</v>
      </c>
      <c r="F3275">
        <v>16.59</v>
      </c>
      <c r="G3275">
        <v>16.600000000000001</v>
      </c>
      <c r="H3275">
        <v>55134</v>
      </c>
      <c r="I3275">
        <v>331</v>
      </c>
      <c r="J3275">
        <v>0.36</v>
      </c>
      <c r="K3275">
        <v>10.15</v>
      </c>
      <c r="L3275">
        <v>17.09</v>
      </c>
      <c r="M3275">
        <v>17.09</v>
      </c>
      <c r="N3275">
        <v>16.38</v>
      </c>
      <c r="O3275">
        <v>17.14</v>
      </c>
      <c r="P3275">
        <v>44.3</v>
      </c>
      <c r="Q3275">
        <v>92248304</v>
      </c>
      <c r="R3275">
        <v>1.39</v>
      </c>
      <c r="S3275" t="s">
        <v>1192</v>
      </c>
      <c r="T3275" t="s">
        <v>590</v>
      </c>
      <c r="U3275">
        <v>4.1399999999999997</v>
      </c>
      <c r="V3275">
        <v>16.73</v>
      </c>
      <c r="W3275">
        <v>35143</v>
      </c>
      <c r="X3275">
        <v>19991</v>
      </c>
      <c r="Y3275">
        <v>1.76</v>
      </c>
      <c r="Z3275">
        <v>43</v>
      </c>
      <c r="AA3275">
        <v>171</v>
      </c>
      <c r="AB3275" t="s">
        <v>116</v>
      </c>
      <c r="AC3275">
        <v>3274400</v>
      </c>
      <c r="AD3275">
        <v>0.35</v>
      </c>
      <c r="AE3275" t="s">
        <v>116</v>
      </c>
      <c r="AF3275" t="s">
        <v>116</v>
      </c>
      <c r="AG3275">
        <v>0.54</v>
      </c>
      <c r="AH3275" t="s">
        <v>6898</v>
      </c>
      <c r="AI3275" t="s">
        <v>14042</v>
      </c>
      <c r="AJ3275">
        <v>-3.13</v>
      </c>
      <c r="AK3275">
        <v>2296</v>
      </c>
      <c r="AL3275">
        <v>24</v>
      </c>
      <c r="AM3275">
        <v>4.4000000000000003E-3</v>
      </c>
      <c r="AN3275">
        <v>-1</v>
      </c>
      <c r="AO3275">
        <v>2.29</v>
      </c>
      <c r="AP3275">
        <v>14.65</v>
      </c>
      <c r="AQ3275">
        <v>-4.87</v>
      </c>
      <c r="AR3275">
        <v>61.07</v>
      </c>
      <c r="AS3275">
        <v>10.15</v>
      </c>
      <c r="AT3275" t="s">
        <v>6898</v>
      </c>
      <c r="AU3275">
        <v>53.45</v>
      </c>
      <c r="AV3275">
        <v>72.7</v>
      </c>
      <c r="AW3275">
        <v>2.13</v>
      </c>
      <c r="BA3275">
        <v>-0.28999999999999998</v>
      </c>
      <c r="BB3275">
        <v>-0.28999999999999998</v>
      </c>
      <c r="BC3275">
        <v>-4.43</v>
      </c>
      <c r="BD3275">
        <v>-2.38</v>
      </c>
      <c r="BE3275">
        <v>-2.93</v>
      </c>
      <c r="BF3275">
        <v>-2.93</v>
      </c>
      <c r="BG3275">
        <v>1.28</v>
      </c>
      <c r="BH3275">
        <v>-0.83</v>
      </c>
      <c r="BI3275">
        <v>20191025</v>
      </c>
      <c r="BJ3275">
        <v>20171013</v>
      </c>
      <c r="BK3275">
        <v>1.44</v>
      </c>
      <c r="BL3275" t="s">
        <v>116</v>
      </c>
      <c r="BM3275" t="s">
        <v>116</v>
      </c>
      <c r="BN3275">
        <v>7.73</v>
      </c>
      <c r="BO3275">
        <v>6.39</v>
      </c>
      <c r="BP3275">
        <v>0</v>
      </c>
      <c r="BQ3275">
        <v>17.309999999999999</v>
      </c>
      <c r="BR3275">
        <v>5.92</v>
      </c>
      <c r="BS3275">
        <v>0.98</v>
      </c>
      <c r="BT3275">
        <v>0.15</v>
      </c>
      <c r="BU3275">
        <v>1.31</v>
      </c>
      <c r="BV3275">
        <v>0.61</v>
      </c>
      <c r="BW3275">
        <v>1.47</v>
      </c>
      <c r="BX3275">
        <v>2.39</v>
      </c>
      <c r="BY3275">
        <v>2.93</v>
      </c>
      <c r="BZ3275">
        <v>1.83</v>
      </c>
      <c r="CA3275">
        <v>0.48</v>
      </c>
      <c r="CB3275">
        <v>0.04</v>
      </c>
      <c r="CC3275">
        <v>0.48</v>
      </c>
      <c r="CD3275">
        <v>0.4</v>
      </c>
      <c r="CE3275">
        <v>0.4</v>
      </c>
      <c r="CF3275">
        <v>0.35</v>
      </c>
      <c r="CG3275">
        <v>2.36</v>
      </c>
      <c r="CH3275">
        <v>0.8</v>
      </c>
      <c r="CI3275">
        <v>0.16</v>
      </c>
      <c r="CJ3275">
        <v>14843</v>
      </c>
      <c r="CK3275">
        <v>3658</v>
      </c>
      <c r="CL3275" t="s">
        <v>14043</v>
      </c>
      <c r="CM3275">
        <v>41.35</v>
      </c>
      <c r="CN3275">
        <v>2.88</v>
      </c>
      <c r="CO3275">
        <v>3.73</v>
      </c>
      <c r="CP3275">
        <v>29.67</v>
      </c>
      <c r="CQ3275">
        <v>8.1300000000000008</v>
      </c>
      <c r="CR3275">
        <v>1.67</v>
      </c>
      <c r="CS3275" t="s">
        <v>5168</v>
      </c>
      <c r="CT3275">
        <v>4.45</v>
      </c>
      <c r="CU3275">
        <v>0</v>
      </c>
      <c r="CV3275">
        <v>1.66</v>
      </c>
      <c r="CW3275">
        <v>1.64</v>
      </c>
      <c r="CX3275">
        <v>0.56000000000000005</v>
      </c>
      <c r="CY3275">
        <v>82.69</v>
      </c>
      <c r="CZ3275" t="s">
        <v>2691</v>
      </c>
      <c r="DA3275">
        <v>37.700000000000003</v>
      </c>
      <c r="DB3275">
        <v>16.27</v>
      </c>
      <c r="DC3275">
        <v>13.76</v>
      </c>
      <c r="DD3275">
        <v>0.13</v>
      </c>
      <c r="DE3275">
        <v>397</v>
      </c>
      <c r="DF3275">
        <v>603110</v>
      </c>
      <c r="DG3275" t="s">
        <v>116</v>
      </c>
      <c r="DH3275" t="s">
        <v>116</v>
      </c>
      <c r="DI3275" t="s">
        <v>116</v>
      </c>
    </row>
    <row r="3276" spans="1:113" x14ac:dyDescent="0.4">
      <c r="A3276" t="str">
        <f>"603111"</f>
        <v>603111</v>
      </c>
      <c r="B3276" t="s">
        <v>14044</v>
      </c>
      <c r="C3276">
        <v>0.2</v>
      </c>
      <c r="D3276">
        <v>5.13</v>
      </c>
      <c r="E3276">
        <v>0.01</v>
      </c>
      <c r="F3276">
        <v>5.12</v>
      </c>
      <c r="G3276">
        <v>5.13</v>
      </c>
      <c r="H3276">
        <v>30670</v>
      </c>
      <c r="I3276">
        <v>135</v>
      </c>
      <c r="J3276">
        <v>0.2</v>
      </c>
      <c r="K3276">
        <v>0.37</v>
      </c>
      <c r="L3276">
        <v>5.12</v>
      </c>
      <c r="M3276">
        <v>5.19</v>
      </c>
      <c r="N3276">
        <v>5.12</v>
      </c>
      <c r="O3276">
        <v>5.12</v>
      </c>
      <c r="P3276">
        <v>17.88</v>
      </c>
      <c r="Q3276">
        <v>15800960</v>
      </c>
      <c r="R3276">
        <v>1.1200000000000001</v>
      </c>
      <c r="S3276" t="s">
        <v>164</v>
      </c>
      <c r="T3276" t="s">
        <v>323</v>
      </c>
      <c r="U3276">
        <v>1.37</v>
      </c>
      <c r="V3276">
        <v>5.15</v>
      </c>
      <c r="W3276">
        <v>15843</v>
      </c>
      <c r="X3276">
        <v>14827</v>
      </c>
      <c r="Y3276">
        <v>1.07</v>
      </c>
      <c r="Z3276">
        <v>1200</v>
      </c>
      <c r="AA3276">
        <v>14</v>
      </c>
      <c r="AB3276" t="s">
        <v>116</v>
      </c>
      <c r="AC3276">
        <v>9700</v>
      </c>
      <c r="AD3276">
        <v>0</v>
      </c>
      <c r="AE3276" t="s">
        <v>116</v>
      </c>
      <c r="AF3276" t="s">
        <v>116</v>
      </c>
      <c r="AG3276">
        <v>8.36</v>
      </c>
      <c r="AH3276" t="s">
        <v>9360</v>
      </c>
      <c r="AI3276" t="s">
        <v>10680</v>
      </c>
      <c r="AJ3276">
        <v>0.27</v>
      </c>
      <c r="AK3276">
        <v>668</v>
      </c>
      <c r="AL3276">
        <v>46</v>
      </c>
      <c r="AM3276">
        <v>5.0000000000000001E-4</v>
      </c>
      <c r="AN3276">
        <v>2</v>
      </c>
      <c r="AO3276">
        <v>0.59</v>
      </c>
      <c r="AP3276">
        <v>4.0599999999999996</v>
      </c>
      <c r="AQ3276">
        <v>-1.91</v>
      </c>
      <c r="AR3276">
        <v>29.55</v>
      </c>
      <c r="AS3276">
        <v>0.44</v>
      </c>
      <c r="AT3276" t="s">
        <v>14045</v>
      </c>
      <c r="AU3276" t="s">
        <v>116</v>
      </c>
      <c r="AV3276" t="s">
        <v>116</v>
      </c>
      <c r="AW3276">
        <v>0.87</v>
      </c>
      <c r="BA3276">
        <v>0</v>
      </c>
      <c r="BB3276">
        <v>1.37</v>
      </c>
      <c r="BC3276">
        <v>0</v>
      </c>
      <c r="BD3276">
        <v>0.62</v>
      </c>
      <c r="BE3276">
        <v>0.2</v>
      </c>
      <c r="BF3276">
        <v>-1.1599999999999999</v>
      </c>
      <c r="BG3276">
        <v>0.2</v>
      </c>
      <c r="BH3276">
        <v>-0.43</v>
      </c>
      <c r="BI3276">
        <v>20191031</v>
      </c>
      <c r="BJ3276">
        <v>20140801</v>
      </c>
      <c r="BK3276">
        <v>9.93</v>
      </c>
      <c r="BL3276" t="s">
        <v>116</v>
      </c>
      <c r="BM3276" t="s">
        <v>116</v>
      </c>
      <c r="BN3276">
        <v>50.13</v>
      </c>
      <c r="BO3276">
        <v>19.149999999999999</v>
      </c>
      <c r="BP3276">
        <v>0.52</v>
      </c>
      <c r="BQ3276">
        <v>60.75</v>
      </c>
      <c r="BR3276">
        <v>42.79</v>
      </c>
      <c r="BS3276">
        <v>4.99</v>
      </c>
      <c r="BT3276">
        <v>0.71</v>
      </c>
      <c r="BU3276">
        <v>25.49</v>
      </c>
      <c r="BV3276">
        <v>8.4</v>
      </c>
      <c r="BW3276">
        <v>17.8</v>
      </c>
      <c r="BX3276">
        <v>31.76</v>
      </c>
      <c r="BY3276">
        <v>25.57</v>
      </c>
      <c r="BZ3276">
        <v>17.079999999999998</v>
      </c>
      <c r="CA3276">
        <v>2.76</v>
      </c>
      <c r="CB3276">
        <v>0.01</v>
      </c>
      <c r="CC3276">
        <v>2.73</v>
      </c>
      <c r="CD3276">
        <v>2.19</v>
      </c>
      <c r="CE3276">
        <v>2.14</v>
      </c>
      <c r="CF3276">
        <v>1.96</v>
      </c>
      <c r="CG3276">
        <v>-23.6</v>
      </c>
      <c r="CH3276">
        <v>-1.56</v>
      </c>
      <c r="CI3276">
        <v>-2.48</v>
      </c>
      <c r="CJ3276">
        <v>30000</v>
      </c>
      <c r="CK3276">
        <v>23209</v>
      </c>
      <c r="CL3276" t="s">
        <v>14046</v>
      </c>
      <c r="CM3276">
        <v>140.16</v>
      </c>
      <c r="CN3276">
        <v>-5.62</v>
      </c>
      <c r="CO3276">
        <v>2.66</v>
      </c>
      <c r="CP3276">
        <v>-32.64</v>
      </c>
      <c r="CQ3276">
        <v>1.99</v>
      </c>
      <c r="CR3276">
        <v>0</v>
      </c>
      <c r="CS3276" t="s">
        <v>4228</v>
      </c>
      <c r="CT3276">
        <v>1.93</v>
      </c>
      <c r="CU3276">
        <v>0</v>
      </c>
      <c r="CV3276">
        <v>3.2</v>
      </c>
      <c r="CW3276">
        <v>-2.38</v>
      </c>
      <c r="CX3276">
        <v>-0.16</v>
      </c>
      <c r="CY3276">
        <v>38.21</v>
      </c>
      <c r="CZ3276" t="s">
        <v>3834</v>
      </c>
      <c r="DA3276">
        <v>33.18</v>
      </c>
      <c r="DB3276">
        <v>10.8</v>
      </c>
      <c r="DC3276">
        <v>8.36</v>
      </c>
      <c r="DD3276">
        <v>1.63</v>
      </c>
      <c r="DE3276">
        <v>4007</v>
      </c>
      <c r="DF3276">
        <v>603111</v>
      </c>
      <c r="DG3276" t="s">
        <v>116</v>
      </c>
      <c r="DH3276" t="s">
        <v>116</v>
      </c>
      <c r="DI3276" t="s">
        <v>116</v>
      </c>
    </row>
    <row r="3277" spans="1:113" x14ac:dyDescent="0.4">
      <c r="A3277" t="str">
        <f>"603113"</f>
        <v>603113</v>
      </c>
      <c r="B3277" t="s">
        <v>14047</v>
      </c>
      <c r="C3277">
        <v>-1.1100000000000001</v>
      </c>
      <c r="D3277">
        <v>10.7</v>
      </c>
      <c r="E3277">
        <v>-0.12</v>
      </c>
      <c r="F3277">
        <v>10.69</v>
      </c>
      <c r="G3277">
        <v>10.7</v>
      </c>
      <c r="H3277">
        <v>70418</v>
      </c>
      <c r="I3277">
        <v>416</v>
      </c>
      <c r="J3277">
        <v>0.09</v>
      </c>
      <c r="K3277">
        <v>2.12</v>
      </c>
      <c r="L3277">
        <v>10.82</v>
      </c>
      <c r="M3277">
        <v>10.87</v>
      </c>
      <c r="N3277">
        <v>10.66</v>
      </c>
      <c r="O3277">
        <v>10.82</v>
      </c>
      <c r="P3277">
        <v>9.15</v>
      </c>
      <c r="Q3277">
        <v>75789584</v>
      </c>
      <c r="R3277">
        <v>1.34</v>
      </c>
      <c r="S3277" t="s">
        <v>891</v>
      </c>
      <c r="T3277" t="s">
        <v>645</v>
      </c>
      <c r="U3277">
        <v>1.94</v>
      </c>
      <c r="V3277">
        <v>10.76</v>
      </c>
      <c r="W3277">
        <v>43714</v>
      </c>
      <c r="X3277">
        <v>26704</v>
      </c>
      <c r="Y3277">
        <v>1.64</v>
      </c>
      <c r="Z3277">
        <v>100</v>
      </c>
      <c r="AA3277">
        <v>309</v>
      </c>
      <c r="AB3277" t="s">
        <v>116</v>
      </c>
      <c r="AC3277">
        <v>660000</v>
      </c>
      <c r="AD3277">
        <v>0.02</v>
      </c>
      <c r="AE3277" t="s">
        <v>116</v>
      </c>
      <c r="AF3277" t="s">
        <v>116</v>
      </c>
      <c r="AG3277">
        <v>3.32</v>
      </c>
      <c r="AH3277" t="s">
        <v>14048</v>
      </c>
      <c r="AI3277" t="s">
        <v>13211</v>
      </c>
      <c r="AJ3277">
        <v>-1.03</v>
      </c>
      <c r="AK3277">
        <v>1807</v>
      </c>
      <c r="AL3277">
        <v>39</v>
      </c>
      <c r="AM3277">
        <v>1.1999999999999999E-3</v>
      </c>
      <c r="AN3277">
        <v>-1</v>
      </c>
      <c r="AO3277">
        <v>0.95</v>
      </c>
      <c r="AP3277">
        <v>5.31</v>
      </c>
      <c r="AQ3277">
        <v>0.28000000000000003</v>
      </c>
      <c r="AR3277">
        <v>-0.33</v>
      </c>
      <c r="AS3277">
        <v>2.46</v>
      </c>
      <c r="AT3277" t="s">
        <v>8299</v>
      </c>
      <c r="AU3277">
        <v>7.69</v>
      </c>
      <c r="AV3277">
        <v>5.69</v>
      </c>
      <c r="AW3277">
        <v>1.22</v>
      </c>
      <c r="BA3277">
        <v>0</v>
      </c>
      <c r="BB3277">
        <v>0.46</v>
      </c>
      <c r="BC3277">
        <v>-1.48</v>
      </c>
      <c r="BD3277">
        <v>-0.53</v>
      </c>
      <c r="BE3277">
        <v>-1.1100000000000001</v>
      </c>
      <c r="BF3277">
        <v>-1.56</v>
      </c>
      <c r="BG3277">
        <v>0.38</v>
      </c>
      <c r="BH3277">
        <v>-0.57999999999999996</v>
      </c>
      <c r="BI3277">
        <v>20191223</v>
      </c>
      <c r="BJ3277">
        <v>20170511</v>
      </c>
      <c r="BK3277">
        <v>6.76</v>
      </c>
      <c r="BL3277" t="s">
        <v>116</v>
      </c>
      <c r="BM3277" t="s">
        <v>116</v>
      </c>
      <c r="BN3277">
        <v>70.13</v>
      </c>
      <c r="BO3277">
        <v>54.58</v>
      </c>
      <c r="BP3277">
        <v>0</v>
      </c>
      <c r="BQ3277">
        <v>22.17</v>
      </c>
      <c r="BR3277">
        <v>28.57</v>
      </c>
      <c r="BS3277">
        <v>22.9</v>
      </c>
      <c r="BT3277">
        <v>8.25</v>
      </c>
      <c r="BU3277">
        <v>12.25</v>
      </c>
      <c r="BV3277">
        <v>4.84</v>
      </c>
      <c r="BW3277">
        <v>4.8499999999999996</v>
      </c>
      <c r="BX3277">
        <v>17.84</v>
      </c>
      <c r="BY3277">
        <v>62.08</v>
      </c>
      <c r="BZ3277">
        <v>53</v>
      </c>
      <c r="CA3277">
        <v>6.72</v>
      </c>
      <c r="CB3277">
        <v>0.44</v>
      </c>
      <c r="CC3277">
        <v>6.97</v>
      </c>
      <c r="CD3277">
        <v>5.93</v>
      </c>
      <c r="CE3277">
        <v>5.93</v>
      </c>
      <c r="CF3277">
        <v>5.05</v>
      </c>
      <c r="CG3277">
        <v>27.11</v>
      </c>
      <c r="CH3277">
        <v>2.17</v>
      </c>
      <c r="CI3277">
        <v>-8.08</v>
      </c>
      <c r="CJ3277">
        <v>37090</v>
      </c>
      <c r="CK3277">
        <v>7705</v>
      </c>
      <c r="CL3277" t="s">
        <v>12668</v>
      </c>
      <c r="CM3277">
        <v>-35.74</v>
      </c>
      <c r="CN3277">
        <v>-2.2400000000000002</v>
      </c>
      <c r="CO3277">
        <v>1.33</v>
      </c>
      <c r="CP3277">
        <v>33.380000000000003</v>
      </c>
      <c r="CQ3277">
        <v>1.17</v>
      </c>
      <c r="CR3277">
        <v>1.38</v>
      </c>
      <c r="CS3277" t="s">
        <v>14049</v>
      </c>
      <c r="CT3277">
        <v>8.07</v>
      </c>
      <c r="CU3277">
        <v>0</v>
      </c>
      <c r="CV3277">
        <v>2.64</v>
      </c>
      <c r="CW3277">
        <v>4.01</v>
      </c>
      <c r="CX3277">
        <v>0.32</v>
      </c>
      <c r="CY3277">
        <v>77.83</v>
      </c>
      <c r="CZ3277" t="s">
        <v>13144</v>
      </c>
      <c r="DA3277">
        <v>14.62</v>
      </c>
      <c r="DB3277">
        <v>10.83</v>
      </c>
      <c r="DC3277">
        <v>9.5500000000000007</v>
      </c>
      <c r="DD3277">
        <v>0.16</v>
      </c>
      <c r="DE3277">
        <v>2572</v>
      </c>
      <c r="DF3277">
        <v>603113</v>
      </c>
      <c r="DG3277" t="s">
        <v>116</v>
      </c>
      <c r="DH3277" t="s">
        <v>116</v>
      </c>
      <c r="DI3277" t="s">
        <v>116</v>
      </c>
    </row>
    <row r="3278" spans="1:113" x14ac:dyDescent="0.4">
      <c r="A3278" t="str">
        <f>"603115"</f>
        <v>603115</v>
      </c>
      <c r="B3278" t="s">
        <v>14050</v>
      </c>
      <c r="C3278">
        <v>1.99</v>
      </c>
      <c r="D3278">
        <v>21.04</v>
      </c>
      <c r="E3278">
        <v>0.41</v>
      </c>
      <c r="F3278">
        <v>21.04</v>
      </c>
      <c r="G3278">
        <v>21.05</v>
      </c>
      <c r="H3278">
        <v>64015</v>
      </c>
      <c r="I3278">
        <v>955</v>
      </c>
      <c r="J3278">
        <v>0.24</v>
      </c>
      <c r="K3278">
        <v>12.31</v>
      </c>
      <c r="L3278">
        <v>20.63</v>
      </c>
      <c r="M3278">
        <v>22.18</v>
      </c>
      <c r="N3278">
        <v>20.46</v>
      </c>
      <c r="O3278">
        <v>20.63</v>
      </c>
      <c r="P3278">
        <v>33.4</v>
      </c>
      <c r="Q3278">
        <v>134982336</v>
      </c>
      <c r="R3278">
        <v>2.08</v>
      </c>
      <c r="S3278" t="s">
        <v>233</v>
      </c>
      <c r="T3278" t="s">
        <v>323</v>
      </c>
      <c r="U3278">
        <v>8.34</v>
      </c>
      <c r="V3278">
        <v>21.09</v>
      </c>
      <c r="W3278">
        <v>31372</v>
      </c>
      <c r="X3278">
        <v>32643</v>
      </c>
      <c r="Y3278">
        <v>0.96</v>
      </c>
      <c r="Z3278">
        <v>60</v>
      </c>
      <c r="AA3278">
        <v>299</v>
      </c>
      <c r="AB3278" t="s">
        <v>116</v>
      </c>
      <c r="AC3278">
        <v>266100</v>
      </c>
      <c r="AD3278">
        <v>0.02</v>
      </c>
      <c r="AE3278" t="s">
        <v>116</v>
      </c>
      <c r="AF3278" t="s">
        <v>116</v>
      </c>
      <c r="AG3278">
        <v>0.52</v>
      </c>
      <c r="AH3278" t="s">
        <v>6785</v>
      </c>
      <c r="AI3278" t="s">
        <v>4266</v>
      </c>
      <c r="AJ3278">
        <v>2.06</v>
      </c>
      <c r="AK3278">
        <v>2522</v>
      </c>
      <c r="AL3278">
        <v>25</v>
      </c>
      <c r="AM3278">
        <v>4.8999999999999998E-3</v>
      </c>
      <c r="AN3278">
        <v>4</v>
      </c>
      <c r="AO3278">
        <v>3.7</v>
      </c>
      <c r="AP3278">
        <v>4.16</v>
      </c>
      <c r="AQ3278">
        <v>-15.23</v>
      </c>
      <c r="AR3278">
        <v>106.68</v>
      </c>
      <c r="AS3278">
        <v>12.31</v>
      </c>
      <c r="AT3278" t="s">
        <v>6785</v>
      </c>
      <c r="AU3278">
        <v>31.35</v>
      </c>
      <c r="AV3278">
        <v>29.28</v>
      </c>
      <c r="AW3278">
        <v>1.87</v>
      </c>
      <c r="BA3278">
        <v>0</v>
      </c>
      <c r="BB3278">
        <v>7.51</v>
      </c>
      <c r="BC3278">
        <v>-0.82</v>
      </c>
      <c r="BD3278">
        <v>2.21</v>
      </c>
      <c r="BE3278">
        <v>1.99</v>
      </c>
      <c r="BF3278">
        <v>-5.14</v>
      </c>
      <c r="BG3278">
        <v>2.83</v>
      </c>
      <c r="BH3278">
        <v>-0.22</v>
      </c>
      <c r="BI3278">
        <v>20191029</v>
      </c>
      <c r="BJ3278">
        <v>20190809</v>
      </c>
      <c r="BK3278">
        <v>2.08</v>
      </c>
      <c r="BL3278" t="s">
        <v>116</v>
      </c>
      <c r="BM3278" t="s">
        <v>116</v>
      </c>
      <c r="BN3278">
        <v>15.37</v>
      </c>
      <c r="BO3278">
        <v>12.5</v>
      </c>
      <c r="BP3278">
        <v>0.17</v>
      </c>
      <c r="BQ3278">
        <v>17.61</v>
      </c>
      <c r="BR3278">
        <v>11.79</v>
      </c>
      <c r="BS3278">
        <v>3.03</v>
      </c>
      <c r="BT3278">
        <v>0.39</v>
      </c>
      <c r="BU3278">
        <v>2.65</v>
      </c>
      <c r="BV3278">
        <v>1.04</v>
      </c>
      <c r="BW3278">
        <v>2.38</v>
      </c>
      <c r="BX3278">
        <v>4.55</v>
      </c>
      <c r="BY3278">
        <v>7.94</v>
      </c>
      <c r="BZ3278">
        <v>5.83</v>
      </c>
      <c r="CA3278">
        <v>1.1399999999999999</v>
      </c>
      <c r="CB3278">
        <v>0</v>
      </c>
      <c r="CC3278">
        <v>1.1299999999999999</v>
      </c>
      <c r="CD3278">
        <v>1</v>
      </c>
      <c r="CE3278">
        <v>0.98</v>
      </c>
      <c r="CF3278">
        <v>0.86</v>
      </c>
      <c r="CG3278">
        <v>5.5</v>
      </c>
      <c r="CH3278">
        <v>0.32</v>
      </c>
      <c r="CI3278">
        <v>0.11</v>
      </c>
      <c r="CJ3278">
        <v>22035</v>
      </c>
      <c r="CK3278">
        <v>2360</v>
      </c>
      <c r="CL3278" t="s">
        <v>8013</v>
      </c>
      <c r="CM3278">
        <v>0</v>
      </c>
      <c r="CN3278">
        <v>0</v>
      </c>
      <c r="CO3278">
        <v>3.5</v>
      </c>
      <c r="CP3278">
        <v>138.28</v>
      </c>
      <c r="CQ3278">
        <v>5.52</v>
      </c>
      <c r="CR3278">
        <v>0</v>
      </c>
      <c r="CS3278" t="s">
        <v>3264</v>
      </c>
      <c r="CT3278">
        <v>6.01</v>
      </c>
      <c r="CU3278">
        <v>0</v>
      </c>
      <c r="CV3278">
        <v>2.19</v>
      </c>
      <c r="CW3278">
        <v>2.64</v>
      </c>
      <c r="CX3278">
        <v>0.15</v>
      </c>
      <c r="CY3278">
        <v>81.28</v>
      </c>
      <c r="CZ3278" t="s">
        <v>11772</v>
      </c>
      <c r="DA3278">
        <v>26.48</v>
      </c>
      <c r="DB3278">
        <v>14.31</v>
      </c>
      <c r="DC3278">
        <v>12.38</v>
      </c>
      <c r="DD3278">
        <v>0.44</v>
      </c>
      <c r="DE3278">
        <v>706</v>
      </c>
      <c r="DF3278">
        <v>603115</v>
      </c>
      <c r="DG3278" t="s">
        <v>116</v>
      </c>
      <c r="DH3278" t="s">
        <v>116</v>
      </c>
      <c r="DI3278" t="s">
        <v>116</v>
      </c>
    </row>
    <row r="3279" spans="1:113" x14ac:dyDescent="0.4">
      <c r="A3279" t="str">
        <f>"603116"</f>
        <v>603116</v>
      </c>
      <c r="B3279" t="s">
        <v>14051</v>
      </c>
      <c r="C3279">
        <v>-0.57999999999999996</v>
      </c>
      <c r="D3279">
        <v>6.89</v>
      </c>
      <c r="E3279">
        <v>-0.04</v>
      </c>
      <c r="F3279">
        <v>6.89</v>
      </c>
      <c r="G3279">
        <v>6.9</v>
      </c>
      <c r="H3279">
        <v>16142</v>
      </c>
      <c r="I3279">
        <v>82</v>
      </c>
      <c r="J3279">
        <v>-0.28000000000000003</v>
      </c>
      <c r="K3279">
        <v>0.28000000000000003</v>
      </c>
      <c r="L3279">
        <v>6.93</v>
      </c>
      <c r="M3279">
        <v>6.99</v>
      </c>
      <c r="N3279">
        <v>6.89</v>
      </c>
      <c r="O3279">
        <v>6.93</v>
      </c>
      <c r="P3279">
        <v>26.06</v>
      </c>
      <c r="Q3279">
        <v>11221928</v>
      </c>
      <c r="R3279">
        <v>1.03</v>
      </c>
      <c r="S3279" t="s">
        <v>3070</v>
      </c>
      <c r="T3279" t="s">
        <v>590</v>
      </c>
      <c r="U3279">
        <v>1.44</v>
      </c>
      <c r="V3279">
        <v>6.95</v>
      </c>
      <c r="W3279">
        <v>9532</v>
      </c>
      <c r="X3279">
        <v>6610</v>
      </c>
      <c r="Y3279">
        <v>1.44</v>
      </c>
      <c r="Z3279">
        <v>282</v>
      </c>
      <c r="AA3279">
        <v>154</v>
      </c>
      <c r="AB3279" t="s">
        <v>116</v>
      </c>
      <c r="AC3279">
        <v>0</v>
      </c>
      <c r="AD3279">
        <v>0</v>
      </c>
      <c r="AE3279" t="s">
        <v>116</v>
      </c>
      <c r="AF3279" t="s">
        <v>116</v>
      </c>
      <c r="AG3279">
        <v>5.76</v>
      </c>
      <c r="AH3279" t="s">
        <v>14052</v>
      </c>
      <c r="AI3279" t="s">
        <v>14052</v>
      </c>
      <c r="AJ3279">
        <v>-0.5</v>
      </c>
      <c r="AK3279">
        <v>495</v>
      </c>
      <c r="AL3279">
        <v>33</v>
      </c>
      <c r="AM3279">
        <v>5.9999999999999995E-4</v>
      </c>
      <c r="AN3279">
        <v>-2</v>
      </c>
      <c r="AO3279">
        <v>-0.57999999999999996</v>
      </c>
      <c r="AP3279">
        <v>5.35</v>
      </c>
      <c r="AQ3279">
        <v>-1.43</v>
      </c>
      <c r="AR3279">
        <v>1.47</v>
      </c>
      <c r="AS3279">
        <v>0.7</v>
      </c>
      <c r="AT3279" t="s">
        <v>14053</v>
      </c>
      <c r="AU3279">
        <v>51.6</v>
      </c>
      <c r="AV3279">
        <v>20.25</v>
      </c>
      <c r="AW3279">
        <v>0.8</v>
      </c>
      <c r="BA3279">
        <v>0</v>
      </c>
      <c r="BB3279">
        <v>0.87</v>
      </c>
      <c r="BC3279">
        <v>-0.57999999999999996</v>
      </c>
      <c r="BD3279">
        <v>0.32</v>
      </c>
      <c r="BE3279">
        <v>-0.57999999999999996</v>
      </c>
      <c r="BF3279">
        <v>-1.43</v>
      </c>
      <c r="BG3279">
        <v>0</v>
      </c>
      <c r="BH3279">
        <v>-0.9</v>
      </c>
      <c r="BI3279">
        <v>20191026</v>
      </c>
      <c r="BJ3279">
        <v>20150629</v>
      </c>
      <c r="BK3279">
        <v>5.76</v>
      </c>
      <c r="BL3279" t="s">
        <v>116</v>
      </c>
      <c r="BM3279" t="s">
        <v>116</v>
      </c>
      <c r="BN3279">
        <v>44.21</v>
      </c>
      <c r="BO3279">
        <v>34.24</v>
      </c>
      <c r="BP3279">
        <v>-0.08</v>
      </c>
      <c r="BQ3279">
        <v>22.75</v>
      </c>
      <c r="BR3279">
        <v>32.68</v>
      </c>
      <c r="BS3279">
        <v>6.01</v>
      </c>
      <c r="BT3279">
        <v>0.61</v>
      </c>
      <c r="BU3279">
        <v>10.039999999999999</v>
      </c>
      <c r="BV3279">
        <v>7.25</v>
      </c>
      <c r="BW3279">
        <v>8.11</v>
      </c>
      <c r="BX3279">
        <v>8.1199999999999992</v>
      </c>
      <c r="BY3279">
        <v>21.94</v>
      </c>
      <c r="BZ3279">
        <v>14.99</v>
      </c>
      <c r="CA3279">
        <v>1.31</v>
      </c>
      <c r="CB3279">
        <v>0.3</v>
      </c>
      <c r="CC3279">
        <v>1.49</v>
      </c>
      <c r="CD3279">
        <v>1.1200000000000001</v>
      </c>
      <c r="CE3279">
        <v>1.1399999999999999</v>
      </c>
      <c r="CF3279">
        <v>0.72</v>
      </c>
      <c r="CG3279">
        <v>20.99</v>
      </c>
      <c r="CH3279">
        <v>0.63</v>
      </c>
      <c r="CI3279">
        <v>-0.96</v>
      </c>
      <c r="CJ3279">
        <v>23507</v>
      </c>
      <c r="CK3279">
        <v>9807</v>
      </c>
      <c r="CL3279" t="s">
        <v>1053</v>
      </c>
      <c r="CM3279">
        <v>-51.04</v>
      </c>
      <c r="CN3279">
        <v>-4.68</v>
      </c>
      <c r="CO3279">
        <v>1.1599999999999999</v>
      </c>
      <c r="CP3279">
        <v>63.05</v>
      </c>
      <c r="CQ3279">
        <v>1.81</v>
      </c>
      <c r="CR3279">
        <v>2.56</v>
      </c>
      <c r="CS3279" t="s">
        <v>729</v>
      </c>
      <c r="CT3279">
        <v>5.94</v>
      </c>
      <c r="CU3279">
        <v>0</v>
      </c>
      <c r="CV3279">
        <v>1.41</v>
      </c>
      <c r="CW3279">
        <v>3.64</v>
      </c>
      <c r="CX3279">
        <v>0.11</v>
      </c>
      <c r="CY3279">
        <v>77.44</v>
      </c>
      <c r="CZ3279" t="s">
        <v>658</v>
      </c>
      <c r="DA3279">
        <v>31.69</v>
      </c>
      <c r="DB3279">
        <v>5.99</v>
      </c>
      <c r="DC3279">
        <v>5.21</v>
      </c>
      <c r="DD3279">
        <v>0.28999999999999998</v>
      </c>
      <c r="DE3279">
        <v>5420</v>
      </c>
      <c r="DF3279">
        <v>603116</v>
      </c>
      <c r="DG3279" t="s">
        <v>116</v>
      </c>
      <c r="DH3279" t="s">
        <v>116</v>
      </c>
      <c r="DI3279" t="s">
        <v>116</v>
      </c>
    </row>
    <row r="3280" spans="1:113" x14ac:dyDescent="0.4">
      <c r="A3280" t="str">
        <f>"603117"</f>
        <v>603117</v>
      </c>
      <c r="B3280" t="s">
        <v>14054</v>
      </c>
      <c r="C3280">
        <v>-0.53</v>
      </c>
      <c r="D3280">
        <v>3.74</v>
      </c>
      <c r="E3280">
        <v>-0.02</v>
      </c>
      <c r="F3280">
        <v>3.73</v>
      </c>
      <c r="G3280">
        <v>3.74</v>
      </c>
      <c r="H3280">
        <v>41950</v>
      </c>
      <c r="I3280">
        <v>334</v>
      </c>
      <c r="J3280">
        <v>0</v>
      </c>
      <c r="K3280">
        <v>0.66</v>
      </c>
      <c r="L3280">
        <v>3.74</v>
      </c>
      <c r="M3280">
        <v>3.79</v>
      </c>
      <c r="N3280">
        <v>3.73</v>
      </c>
      <c r="O3280">
        <v>3.76</v>
      </c>
      <c r="P3280">
        <v>27.11</v>
      </c>
      <c r="Q3280">
        <v>15799057</v>
      </c>
      <c r="R3280">
        <v>1.03</v>
      </c>
      <c r="S3280" t="s">
        <v>3113</v>
      </c>
      <c r="T3280" t="s">
        <v>323</v>
      </c>
      <c r="U3280">
        <v>1.6</v>
      </c>
      <c r="V3280">
        <v>3.77</v>
      </c>
      <c r="W3280">
        <v>22256</v>
      </c>
      <c r="X3280">
        <v>19694</v>
      </c>
      <c r="Y3280">
        <v>1.1299999999999999</v>
      </c>
      <c r="Z3280">
        <v>2200</v>
      </c>
      <c r="AA3280">
        <v>269</v>
      </c>
      <c r="AB3280" t="s">
        <v>116</v>
      </c>
      <c r="AC3280">
        <v>3400</v>
      </c>
      <c r="AD3280">
        <v>0</v>
      </c>
      <c r="AE3280" t="s">
        <v>116</v>
      </c>
      <c r="AF3280" t="s">
        <v>116</v>
      </c>
      <c r="AG3280">
        <v>6.33</v>
      </c>
      <c r="AH3280" t="s">
        <v>11757</v>
      </c>
      <c r="AI3280" t="s">
        <v>1378</v>
      </c>
      <c r="AJ3280">
        <v>-0.46</v>
      </c>
      <c r="AK3280">
        <v>651</v>
      </c>
      <c r="AL3280">
        <v>64</v>
      </c>
      <c r="AM3280">
        <v>1E-3</v>
      </c>
      <c r="AN3280">
        <v>-1</v>
      </c>
      <c r="AO3280">
        <v>-0.27</v>
      </c>
      <c r="AP3280">
        <v>3.6</v>
      </c>
      <c r="AQ3280">
        <v>-0.27</v>
      </c>
      <c r="AR3280">
        <v>7.16</v>
      </c>
      <c r="AS3280">
        <v>1.05</v>
      </c>
      <c r="AT3280" t="s">
        <v>3630</v>
      </c>
      <c r="AU3280">
        <v>29.27</v>
      </c>
      <c r="AV3280">
        <v>24.47</v>
      </c>
      <c r="AW3280">
        <v>1.46</v>
      </c>
      <c r="BA3280">
        <v>-0.53</v>
      </c>
      <c r="BB3280">
        <v>0.8</v>
      </c>
      <c r="BC3280">
        <v>-0.8</v>
      </c>
      <c r="BD3280">
        <v>0.16</v>
      </c>
      <c r="BE3280">
        <v>0</v>
      </c>
      <c r="BF3280">
        <v>-1.32</v>
      </c>
      <c r="BG3280">
        <v>0.27</v>
      </c>
      <c r="BH3280">
        <v>-0.69</v>
      </c>
      <c r="BI3280">
        <v>20191122</v>
      </c>
      <c r="BJ3280">
        <v>20150629</v>
      </c>
      <c r="BK3280">
        <v>6.43</v>
      </c>
      <c r="BL3280" t="s">
        <v>116</v>
      </c>
      <c r="BM3280" t="s">
        <v>116</v>
      </c>
      <c r="BN3280">
        <v>59.46</v>
      </c>
      <c r="BO3280">
        <v>22.64</v>
      </c>
      <c r="BP3280">
        <v>2.2400000000000002</v>
      </c>
      <c r="BQ3280">
        <v>58.16</v>
      </c>
      <c r="BR3280">
        <v>39.17</v>
      </c>
      <c r="BS3280">
        <v>9.7100000000000009</v>
      </c>
      <c r="BT3280">
        <v>8.69</v>
      </c>
      <c r="BU3280">
        <v>32.9</v>
      </c>
      <c r="BV3280">
        <v>1.43</v>
      </c>
      <c r="BW3280">
        <v>2.91</v>
      </c>
      <c r="BX3280">
        <v>9.4700000000000006</v>
      </c>
      <c r="BY3280">
        <v>6.92</v>
      </c>
      <c r="BZ3280">
        <v>3.87</v>
      </c>
      <c r="CA3280">
        <v>0.97</v>
      </c>
      <c r="CB3280">
        <v>0.06</v>
      </c>
      <c r="CC3280">
        <v>1</v>
      </c>
      <c r="CD3280">
        <v>0.8</v>
      </c>
      <c r="CE3280">
        <v>0.67</v>
      </c>
      <c r="CF3280">
        <v>0.67</v>
      </c>
      <c r="CG3280">
        <v>6.54</v>
      </c>
      <c r="CH3280">
        <v>-9.39</v>
      </c>
      <c r="CI3280">
        <v>-1.32</v>
      </c>
      <c r="CJ3280">
        <v>33040</v>
      </c>
      <c r="CK3280">
        <v>12086</v>
      </c>
      <c r="CL3280" t="s">
        <v>5566</v>
      </c>
      <c r="CM3280">
        <v>-19.5</v>
      </c>
      <c r="CN3280">
        <v>6.52</v>
      </c>
      <c r="CO3280">
        <v>1.06</v>
      </c>
      <c r="CP3280">
        <v>-2.56</v>
      </c>
      <c r="CQ3280">
        <v>3.48</v>
      </c>
      <c r="CR3280">
        <v>1.34</v>
      </c>
      <c r="CS3280" t="s">
        <v>2918</v>
      </c>
      <c r="CT3280">
        <v>3.52</v>
      </c>
      <c r="CU3280">
        <v>0</v>
      </c>
      <c r="CV3280">
        <v>1.47</v>
      </c>
      <c r="CW3280">
        <v>1.02</v>
      </c>
      <c r="CX3280">
        <v>-1.46</v>
      </c>
      <c r="CY3280">
        <v>38.08</v>
      </c>
      <c r="CZ3280" t="s">
        <v>4565</v>
      </c>
      <c r="DA3280">
        <v>44</v>
      </c>
      <c r="DB3280">
        <v>14.08</v>
      </c>
      <c r="DC3280">
        <v>9.6199999999999992</v>
      </c>
      <c r="DD3280">
        <v>0</v>
      </c>
      <c r="DE3280">
        <v>657</v>
      </c>
      <c r="DF3280">
        <v>603117</v>
      </c>
      <c r="DG3280" t="s">
        <v>116</v>
      </c>
      <c r="DH3280" t="s">
        <v>116</v>
      </c>
      <c r="DI3280" t="s">
        <v>116</v>
      </c>
    </row>
    <row r="3281" spans="1:113" x14ac:dyDescent="0.4">
      <c r="A3281" t="str">
        <f>"603118"</f>
        <v>603118</v>
      </c>
      <c r="B3281" t="s">
        <v>14055</v>
      </c>
      <c r="C3281">
        <v>-2.2000000000000002</v>
      </c>
      <c r="D3281">
        <v>11.09</v>
      </c>
      <c r="E3281">
        <v>-0.25</v>
      </c>
      <c r="F3281">
        <v>11.09</v>
      </c>
      <c r="G3281">
        <v>11.1</v>
      </c>
      <c r="H3281">
        <v>160318</v>
      </c>
      <c r="I3281">
        <v>1270</v>
      </c>
      <c r="J3281">
        <v>0.18</v>
      </c>
      <c r="K3281">
        <v>2.0699999999999998</v>
      </c>
      <c r="L3281">
        <v>11.38</v>
      </c>
      <c r="M3281">
        <v>11.43</v>
      </c>
      <c r="N3281">
        <v>11.02</v>
      </c>
      <c r="O3281">
        <v>11.34</v>
      </c>
      <c r="P3281">
        <v>24.3</v>
      </c>
      <c r="Q3281">
        <v>180507680</v>
      </c>
      <c r="R3281">
        <v>0.92</v>
      </c>
      <c r="S3281" t="s">
        <v>465</v>
      </c>
      <c r="T3281" t="s">
        <v>115</v>
      </c>
      <c r="U3281">
        <v>3.62</v>
      </c>
      <c r="V3281">
        <v>11.26</v>
      </c>
      <c r="W3281">
        <v>95675</v>
      </c>
      <c r="X3281">
        <v>64646</v>
      </c>
      <c r="Y3281">
        <v>1.48</v>
      </c>
      <c r="Z3281">
        <v>548</v>
      </c>
      <c r="AA3281">
        <v>133</v>
      </c>
      <c r="AB3281" t="s">
        <v>116</v>
      </c>
      <c r="AC3281">
        <v>629300</v>
      </c>
      <c r="AD3281">
        <v>0.01</v>
      </c>
      <c r="AE3281" t="s">
        <v>116</v>
      </c>
      <c r="AF3281" t="s">
        <v>116</v>
      </c>
      <c r="AG3281">
        <v>7.76</v>
      </c>
      <c r="AH3281" t="s">
        <v>14056</v>
      </c>
      <c r="AI3281" t="s">
        <v>14056</v>
      </c>
      <c r="AJ3281">
        <v>-2.13</v>
      </c>
      <c r="AK3281">
        <v>3288</v>
      </c>
      <c r="AL3281">
        <v>49</v>
      </c>
      <c r="AM3281">
        <v>5.9999999999999995E-4</v>
      </c>
      <c r="AN3281">
        <v>-1</v>
      </c>
      <c r="AO3281">
        <v>-0.62</v>
      </c>
      <c r="AP3281">
        <v>0.73</v>
      </c>
      <c r="AQ3281">
        <v>-22.07</v>
      </c>
      <c r="AR3281">
        <v>91.87</v>
      </c>
      <c r="AS3281">
        <v>4.08</v>
      </c>
      <c r="AT3281" t="s">
        <v>12860</v>
      </c>
      <c r="AU3281">
        <v>25.18</v>
      </c>
      <c r="AV3281">
        <v>44.71</v>
      </c>
      <c r="AW3281">
        <v>2.29</v>
      </c>
      <c r="BA3281">
        <v>0.35</v>
      </c>
      <c r="BB3281">
        <v>0.79</v>
      </c>
      <c r="BC3281">
        <v>-2.82</v>
      </c>
      <c r="BD3281">
        <v>-0.71</v>
      </c>
      <c r="BE3281">
        <v>-2.5499999999999998</v>
      </c>
      <c r="BF3281">
        <v>-2.97</v>
      </c>
      <c r="BG3281">
        <v>0.64</v>
      </c>
      <c r="BH3281">
        <v>-1.49</v>
      </c>
      <c r="BI3281">
        <v>20191216</v>
      </c>
      <c r="BJ3281">
        <v>20150225</v>
      </c>
      <c r="BK3281">
        <v>7.76</v>
      </c>
      <c r="BL3281" t="s">
        <v>116</v>
      </c>
      <c r="BM3281" t="s">
        <v>116</v>
      </c>
      <c r="BN3281">
        <v>78.7</v>
      </c>
      <c r="BO3281">
        <v>43.94</v>
      </c>
      <c r="BP3281">
        <v>0.18</v>
      </c>
      <c r="BQ3281">
        <v>43.93</v>
      </c>
      <c r="BR3281">
        <v>48.88</v>
      </c>
      <c r="BS3281">
        <v>15.89</v>
      </c>
      <c r="BT3281">
        <v>2.52</v>
      </c>
      <c r="BU3281">
        <v>32.14</v>
      </c>
      <c r="BV3281">
        <v>6.2</v>
      </c>
      <c r="BW3281">
        <v>18.61</v>
      </c>
      <c r="BX3281">
        <v>26.61</v>
      </c>
      <c r="BY3281">
        <v>60.38</v>
      </c>
      <c r="BZ3281">
        <v>50.89</v>
      </c>
      <c r="CA3281">
        <v>2.88</v>
      </c>
      <c r="CB3281">
        <v>0.08</v>
      </c>
      <c r="CC3281">
        <v>3.04</v>
      </c>
      <c r="CD3281">
        <v>2.59</v>
      </c>
      <c r="CE3281">
        <v>2.66</v>
      </c>
      <c r="CF3281">
        <v>2.48</v>
      </c>
      <c r="CG3281">
        <v>8.31</v>
      </c>
      <c r="CH3281">
        <v>6.11</v>
      </c>
      <c r="CI3281">
        <v>1.08</v>
      </c>
      <c r="CJ3281">
        <v>54416</v>
      </c>
      <c r="CK3281">
        <v>7219</v>
      </c>
      <c r="CL3281" t="s">
        <v>1532</v>
      </c>
      <c r="CM3281">
        <v>128.25</v>
      </c>
      <c r="CN3281">
        <v>1.95</v>
      </c>
      <c r="CO3281">
        <v>1.96</v>
      </c>
      <c r="CP3281">
        <v>14.07</v>
      </c>
      <c r="CQ3281">
        <v>1.42</v>
      </c>
      <c r="CR3281">
        <v>4.6900000000000004</v>
      </c>
      <c r="CS3281" t="s">
        <v>7785</v>
      </c>
      <c r="CT3281">
        <v>5.66</v>
      </c>
      <c r="CU3281">
        <v>0</v>
      </c>
      <c r="CV3281">
        <v>3.43</v>
      </c>
      <c r="CW3281">
        <v>1.07</v>
      </c>
      <c r="CX3281">
        <v>0.79</v>
      </c>
      <c r="CY3281">
        <v>55.84</v>
      </c>
      <c r="CZ3281" t="s">
        <v>3318</v>
      </c>
      <c r="DA3281">
        <v>15.72</v>
      </c>
      <c r="DB3281">
        <v>4.7699999999999996</v>
      </c>
      <c r="DC3281">
        <v>4.4000000000000004</v>
      </c>
      <c r="DD3281">
        <v>3.14</v>
      </c>
      <c r="DE3281">
        <v>7670</v>
      </c>
      <c r="DF3281">
        <v>603118</v>
      </c>
      <c r="DG3281" t="s">
        <v>116</v>
      </c>
      <c r="DH3281" t="s">
        <v>116</v>
      </c>
      <c r="DI3281" t="s">
        <v>116</v>
      </c>
    </row>
    <row r="3282" spans="1:113" x14ac:dyDescent="0.4">
      <c r="A3282" t="str">
        <f>"603121"</f>
        <v>603121</v>
      </c>
      <c r="B3282" t="s">
        <v>14057</v>
      </c>
      <c r="C3282">
        <v>-1.44</v>
      </c>
      <c r="D3282">
        <v>21.9</v>
      </c>
      <c r="E3282">
        <v>-0.32</v>
      </c>
      <c r="F3282">
        <v>21.9</v>
      </c>
      <c r="G3282">
        <v>21.91</v>
      </c>
      <c r="H3282">
        <v>45525</v>
      </c>
      <c r="I3282">
        <v>1223</v>
      </c>
      <c r="J3282">
        <v>-0.08</v>
      </c>
      <c r="K3282">
        <v>8.43</v>
      </c>
      <c r="L3282">
        <v>22.23</v>
      </c>
      <c r="M3282">
        <v>22.38</v>
      </c>
      <c r="N3282">
        <v>21.86</v>
      </c>
      <c r="O3282">
        <v>22.22</v>
      </c>
      <c r="P3282">
        <v>46.72</v>
      </c>
      <c r="Q3282">
        <v>100888608</v>
      </c>
      <c r="R3282">
        <v>0.71</v>
      </c>
      <c r="S3282" t="s">
        <v>293</v>
      </c>
      <c r="T3282" t="s">
        <v>1653</v>
      </c>
      <c r="U3282">
        <v>2.34</v>
      </c>
      <c r="V3282">
        <v>22.16</v>
      </c>
      <c r="W3282">
        <v>25916</v>
      </c>
      <c r="X3282">
        <v>19609</v>
      </c>
      <c r="Y3282">
        <v>1.32</v>
      </c>
      <c r="Z3282">
        <v>385</v>
      </c>
      <c r="AA3282">
        <v>878</v>
      </c>
      <c r="AB3282" t="s">
        <v>116</v>
      </c>
      <c r="AC3282">
        <v>415700</v>
      </c>
      <c r="AD3282">
        <v>0.03</v>
      </c>
      <c r="AE3282" t="s">
        <v>116</v>
      </c>
      <c r="AF3282" t="s">
        <v>116</v>
      </c>
      <c r="AG3282">
        <v>0.54</v>
      </c>
      <c r="AH3282" t="s">
        <v>6896</v>
      </c>
      <c r="AI3282" t="s">
        <v>14058</v>
      </c>
      <c r="AJ3282">
        <v>-1.36</v>
      </c>
      <c r="AK3282">
        <v>2485</v>
      </c>
      <c r="AL3282">
        <v>18</v>
      </c>
      <c r="AM3282">
        <v>3.3999999999999998E-3</v>
      </c>
      <c r="AN3282">
        <v>-1</v>
      </c>
      <c r="AO3282">
        <v>-3.1</v>
      </c>
      <c r="AP3282">
        <v>-15.87</v>
      </c>
      <c r="AQ3282">
        <v>-15.83</v>
      </c>
      <c r="AR3282">
        <v>125.48</v>
      </c>
      <c r="AS3282">
        <v>8.43</v>
      </c>
      <c r="AT3282" t="s">
        <v>6896</v>
      </c>
      <c r="AU3282">
        <v>50.53</v>
      </c>
      <c r="AV3282">
        <v>60.29</v>
      </c>
      <c r="AW3282">
        <v>1.21</v>
      </c>
      <c r="BA3282">
        <v>0.05</v>
      </c>
      <c r="BB3282">
        <v>0.72</v>
      </c>
      <c r="BC3282">
        <v>-1.62</v>
      </c>
      <c r="BD3282">
        <v>-0.26</v>
      </c>
      <c r="BE3282">
        <v>-1.48</v>
      </c>
      <c r="BF3282">
        <v>-2.14</v>
      </c>
      <c r="BG3282">
        <v>0.18</v>
      </c>
      <c r="BH3282">
        <v>-1.18</v>
      </c>
      <c r="BI3282">
        <v>20191030</v>
      </c>
      <c r="BJ3282">
        <v>20190111</v>
      </c>
      <c r="BK3282">
        <v>2.16</v>
      </c>
      <c r="BL3282" t="s">
        <v>116</v>
      </c>
      <c r="BM3282" t="s">
        <v>116</v>
      </c>
      <c r="BN3282">
        <v>13.66</v>
      </c>
      <c r="BO3282">
        <v>10.86</v>
      </c>
      <c r="BP3282">
        <v>0</v>
      </c>
      <c r="BQ3282">
        <v>20.51</v>
      </c>
      <c r="BR3282">
        <v>8.85</v>
      </c>
      <c r="BS3282">
        <v>3.93</v>
      </c>
      <c r="BT3282">
        <v>0.35</v>
      </c>
      <c r="BU3282">
        <v>2.79</v>
      </c>
      <c r="BV3282">
        <v>1.29</v>
      </c>
      <c r="BW3282">
        <v>1.35</v>
      </c>
      <c r="BX3282">
        <v>6.24</v>
      </c>
      <c r="BY3282">
        <v>4.5199999999999996</v>
      </c>
      <c r="BZ3282">
        <v>2.73</v>
      </c>
      <c r="CA3282">
        <v>0.81</v>
      </c>
      <c r="CB3282">
        <v>0.08</v>
      </c>
      <c r="CC3282">
        <v>0.88</v>
      </c>
      <c r="CD3282">
        <v>0.76</v>
      </c>
      <c r="CE3282">
        <v>0.76</v>
      </c>
      <c r="CF3282">
        <v>0.6</v>
      </c>
      <c r="CG3282">
        <v>2.2599999999999998</v>
      </c>
      <c r="CH3282">
        <v>0.66</v>
      </c>
      <c r="CI3282">
        <v>1</v>
      </c>
      <c r="CJ3282">
        <v>32761</v>
      </c>
      <c r="CK3282">
        <v>1648</v>
      </c>
      <c r="CL3282" t="s">
        <v>2538</v>
      </c>
      <c r="CM3282">
        <v>24.95</v>
      </c>
      <c r="CN3282">
        <v>21.58</v>
      </c>
      <c r="CO3282">
        <v>4.3600000000000003</v>
      </c>
      <c r="CP3282">
        <v>72.209999999999994</v>
      </c>
      <c r="CQ3282">
        <v>10.46</v>
      </c>
      <c r="CR3282">
        <v>0.51</v>
      </c>
      <c r="CS3282" t="s">
        <v>793</v>
      </c>
      <c r="CT3282">
        <v>5.03</v>
      </c>
      <c r="CU3282">
        <v>0</v>
      </c>
      <c r="CV3282">
        <v>2.89</v>
      </c>
      <c r="CW3282">
        <v>1.05</v>
      </c>
      <c r="CX3282">
        <v>0.3</v>
      </c>
      <c r="CY3282">
        <v>79.48</v>
      </c>
      <c r="CZ3282" t="s">
        <v>14059</v>
      </c>
      <c r="DA3282">
        <v>39.700000000000003</v>
      </c>
      <c r="DB3282">
        <v>17.98</v>
      </c>
      <c r="DC3282">
        <v>16.79</v>
      </c>
      <c r="DD3282">
        <v>0.26</v>
      </c>
      <c r="DE3282">
        <v>965</v>
      </c>
      <c r="DF3282">
        <v>603121</v>
      </c>
      <c r="DG3282" t="s">
        <v>116</v>
      </c>
      <c r="DH3282" t="s">
        <v>116</v>
      </c>
      <c r="DI3282" t="s">
        <v>116</v>
      </c>
    </row>
    <row r="3283" spans="1:113" x14ac:dyDescent="0.4">
      <c r="A3283" t="str">
        <f>"603123"</f>
        <v>603123</v>
      </c>
      <c r="B3283" t="s">
        <v>14060</v>
      </c>
      <c r="C3283">
        <v>-0.15</v>
      </c>
      <c r="D3283">
        <v>6.74</v>
      </c>
      <c r="E3283">
        <v>-0.01</v>
      </c>
      <c r="F3283">
        <v>6.74</v>
      </c>
      <c r="G3283">
        <v>6.75</v>
      </c>
      <c r="H3283">
        <v>36967</v>
      </c>
      <c r="I3283">
        <v>552</v>
      </c>
      <c r="J3283">
        <v>-0.14000000000000001</v>
      </c>
      <c r="K3283">
        <v>0.71</v>
      </c>
      <c r="L3283">
        <v>6.76</v>
      </c>
      <c r="M3283">
        <v>6.85</v>
      </c>
      <c r="N3283">
        <v>6.73</v>
      </c>
      <c r="O3283">
        <v>6.75</v>
      </c>
      <c r="P3283">
        <v>19.96</v>
      </c>
      <c r="Q3283">
        <v>25024088</v>
      </c>
      <c r="R3283">
        <v>0.92</v>
      </c>
      <c r="S3283" t="s">
        <v>746</v>
      </c>
      <c r="T3283" t="s">
        <v>165</v>
      </c>
      <c r="U3283">
        <v>1.78</v>
      </c>
      <c r="V3283">
        <v>6.77</v>
      </c>
      <c r="W3283">
        <v>17907</v>
      </c>
      <c r="X3283">
        <v>19060</v>
      </c>
      <c r="Y3283">
        <v>0.94</v>
      </c>
      <c r="Z3283">
        <v>110</v>
      </c>
      <c r="AA3283">
        <v>353</v>
      </c>
      <c r="AB3283" t="s">
        <v>116</v>
      </c>
      <c r="AC3283">
        <v>64900</v>
      </c>
      <c r="AD3283">
        <v>0</v>
      </c>
      <c r="AE3283" t="s">
        <v>116</v>
      </c>
      <c r="AF3283" t="s">
        <v>116</v>
      </c>
      <c r="AG3283">
        <v>5.24</v>
      </c>
      <c r="AH3283" t="s">
        <v>6422</v>
      </c>
      <c r="AI3283" t="s">
        <v>6422</v>
      </c>
      <c r="AJ3283">
        <v>-7.0000000000000007E-2</v>
      </c>
      <c r="AK3283">
        <v>795</v>
      </c>
      <c r="AL3283">
        <v>46</v>
      </c>
      <c r="AM3283">
        <v>8.9999999999999998E-4</v>
      </c>
      <c r="AN3283">
        <v>-2</v>
      </c>
      <c r="AO3283">
        <v>-0.6</v>
      </c>
      <c r="AP3283">
        <v>-3.3</v>
      </c>
      <c r="AQ3283">
        <v>15.41</v>
      </c>
      <c r="AR3283">
        <v>16.61</v>
      </c>
      <c r="AS3283">
        <v>1.88</v>
      </c>
      <c r="AT3283" t="s">
        <v>7866</v>
      </c>
      <c r="AU3283">
        <v>16.32</v>
      </c>
      <c r="AV3283">
        <v>20.23</v>
      </c>
      <c r="AW3283">
        <v>0</v>
      </c>
      <c r="BA3283">
        <v>0.15</v>
      </c>
      <c r="BB3283">
        <v>1.48</v>
      </c>
      <c r="BC3283">
        <v>-0.3</v>
      </c>
      <c r="BD3283">
        <v>0.28999999999999998</v>
      </c>
      <c r="BE3283">
        <v>-0.3</v>
      </c>
      <c r="BF3283">
        <v>-1.61</v>
      </c>
      <c r="BG3283">
        <v>0.15</v>
      </c>
      <c r="BH3283">
        <v>-0.43</v>
      </c>
      <c r="BI3283">
        <v>20191120</v>
      </c>
      <c r="BJ3283">
        <v>20120503</v>
      </c>
      <c r="BK3283">
        <v>5.24</v>
      </c>
      <c r="BL3283" t="s">
        <v>116</v>
      </c>
      <c r="BM3283" t="s">
        <v>116</v>
      </c>
      <c r="BN3283">
        <v>53.36</v>
      </c>
      <c r="BO3283">
        <v>32.04</v>
      </c>
      <c r="BP3283">
        <v>0.01</v>
      </c>
      <c r="BQ3283">
        <v>39.94</v>
      </c>
      <c r="BR3283">
        <v>20.59</v>
      </c>
      <c r="BS3283">
        <v>17.71</v>
      </c>
      <c r="BT3283">
        <v>2.6</v>
      </c>
      <c r="BU3283">
        <v>15.8</v>
      </c>
      <c r="BV3283">
        <v>1.0900000000000001</v>
      </c>
      <c r="BW3283">
        <v>0.41</v>
      </c>
      <c r="BX3283">
        <v>17.37</v>
      </c>
      <c r="BY3283">
        <v>36.409999999999997</v>
      </c>
      <c r="BZ3283">
        <v>29.08</v>
      </c>
      <c r="CA3283">
        <v>1.76</v>
      </c>
      <c r="CB3283">
        <v>0.24</v>
      </c>
      <c r="CC3283">
        <v>1.77</v>
      </c>
      <c r="CD3283">
        <v>1.33</v>
      </c>
      <c r="CE3283">
        <v>1.33</v>
      </c>
      <c r="CF3283">
        <v>0.87</v>
      </c>
      <c r="CG3283">
        <v>7.84</v>
      </c>
      <c r="CH3283">
        <v>1.68</v>
      </c>
      <c r="CI3283">
        <v>-3.03</v>
      </c>
      <c r="CJ3283">
        <v>15924</v>
      </c>
      <c r="CK3283">
        <v>12327</v>
      </c>
      <c r="CL3283" t="s">
        <v>3892</v>
      </c>
      <c r="CM3283">
        <v>45.98</v>
      </c>
      <c r="CN3283">
        <v>0.32</v>
      </c>
      <c r="CO3283">
        <v>1.1000000000000001</v>
      </c>
      <c r="CP3283">
        <v>20.97</v>
      </c>
      <c r="CQ3283">
        <v>0.97</v>
      </c>
      <c r="CR3283">
        <v>1.78</v>
      </c>
      <c r="CS3283" t="s">
        <v>4988</v>
      </c>
      <c r="CT3283">
        <v>6.11</v>
      </c>
      <c r="CU3283">
        <v>0</v>
      </c>
      <c r="CV3283">
        <v>3.31</v>
      </c>
      <c r="CW3283">
        <v>1.5</v>
      </c>
      <c r="CX3283">
        <v>0.32</v>
      </c>
      <c r="CY3283">
        <v>60.04</v>
      </c>
      <c r="CZ3283" t="s">
        <v>2020</v>
      </c>
      <c r="DA3283">
        <v>20.13</v>
      </c>
      <c r="DB3283">
        <v>4.84</v>
      </c>
      <c r="DC3283">
        <v>3.65</v>
      </c>
      <c r="DD3283">
        <v>0</v>
      </c>
      <c r="DE3283">
        <v>2472</v>
      </c>
      <c r="DF3283">
        <v>603123</v>
      </c>
      <c r="DG3283" t="s">
        <v>116</v>
      </c>
      <c r="DH3283" t="s">
        <v>116</v>
      </c>
      <c r="DI3283" t="s">
        <v>116</v>
      </c>
    </row>
    <row r="3284" spans="1:113" x14ac:dyDescent="0.4">
      <c r="A3284" t="str">
        <f>"603126"</f>
        <v>603126</v>
      </c>
      <c r="B3284" t="s">
        <v>14061</v>
      </c>
      <c r="C3284">
        <v>-0.82</v>
      </c>
      <c r="D3284">
        <v>4.84</v>
      </c>
      <c r="E3284">
        <v>-0.04</v>
      </c>
      <c r="F3284">
        <v>4.84</v>
      </c>
      <c r="G3284">
        <v>4.8499999999999996</v>
      </c>
      <c r="H3284">
        <v>41200</v>
      </c>
      <c r="I3284">
        <v>378</v>
      </c>
      <c r="J3284">
        <v>-0.2</v>
      </c>
      <c r="K3284">
        <v>0.67</v>
      </c>
      <c r="L3284">
        <v>4.8899999999999997</v>
      </c>
      <c r="M3284">
        <v>4.92</v>
      </c>
      <c r="N3284">
        <v>4.82</v>
      </c>
      <c r="O3284">
        <v>4.88</v>
      </c>
      <c r="P3284">
        <v>33.01</v>
      </c>
      <c r="Q3284">
        <v>20088420</v>
      </c>
      <c r="R3284">
        <v>1.1100000000000001</v>
      </c>
      <c r="S3284" t="s">
        <v>140</v>
      </c>
      <c r="T3284" t="s">
        <v>1035</v>
      </c>
      <c r="U3284">
        <v>2.0499999999999998</v>
      </c>
      <c r="V3284">
        <v>4.88</v>
      </c>
      <c r="W3284">
        <v>25726</v>
      </c>
      <c r="X3284">
        <v>15474</v>
      </c>
      <c r="Y3284">
        <v>1.66</v>
      </c>
      <c r="Z3284">
        <v>98</v>
      </c>
      <c r="AA3284">
        <v>140</v>
      </c>
      <c r="AB3284" t="s">
        <v>116</v>
      </c>
      <c r="AC3284">
        <v>209800</v>
      </c>
      <c r="AD3284">
        <v>0.01</v>
      </c>
      <c r="AE3284" t="s">
        <v>116</v>
      </c>
      <c r="AF3284" t="s">
        <v>116</v>
      </c>
      <c r="AG3284">
        <v>6.11</v>
      </c>
      <c r="AH3284" t="s">
        <v>12694</v>
      </c>
      <c r="AI3284" t="s">
        <v>12694</v>
      </c>
      <c r="AJ3284">
        <v>-0.74</v>
      </c>
      <c r="AK3284">
        <v>994</v>
      </c>
      <c r="AL3284">
        <v>41</v>
      </c>
      <c r="AM3284">
        <v>6.9999999999999999E-4</v>
      </c>
      <c r="AN3284">
        <v>-1</v>
      </c>
      <c r="AO3284">
        <v>2.11</v>
      </c>
      <c r="AP3284">
        <v>3.86</v>
      </c>
      <c r="AQ3284">
        <v>-6.02</v>
      </c>
      <c r="AR3284">
        <v>-4.72</v>
      </c>
      <c r="AS3284">
        <v>1.42</v>
      </c>
      <c r="AT3284" t="s">
        <v>7793</v>
      </c>
      <c r="AU3284">
        <v>28.12</v>
      </c>
      <c r="AV3284">
        <v>22.77</v>
      </c>
      <c r="AW3284">
        <v>1.18</v>
      </c>
      <c r="BA3284">
        <v>0.2</v>
      </c>
      <c r="BB3284">
        <v>0.82</v>
      </c>
      <c r="BC3284">
        <v>-1.23</v>
      </c>
      <c r="BD3284">
        <v>-0.08</v>
      </c>
      <c r="BE3284">
        <v>-1.02</v>
      </c>
      <c r="BF3284">
        <v>-1.63</v>
      </c>
      <c r="BG3284">
        <v>0.41</v>
      </c>
      <c r="BH3284">
        <v>-0.74</v>
      </c>
      <c r="BI3284">
        <v>20191031</v>
      </c>
      <c r="BJ3284">
        <v>20140731</v>
      </c>
      <c r="BK3284">
        <v>6.11</v>
      </c>
      <c r="BL3284" t="s">
        <v>116</v>
      </c>
      <c r="BM3284" t="s">
        <v>116</v>
      </c>
      <c r="BN3284">
        <v>37.24</v>
      </c>
      <c r="BO3284">
        <v>16.920000000000002</v>
      </c>
      <c r="BP3284">
        <v>2.52</v>
      </c>
      <c r="BQ3284">
        <v>47.82</v>
      </c>
      <c r="BR3284">
        <v>26.04</v>
      </c>
      <c r="BS3284">
        <v>8.11</v>
      </c>
      <c r="BT3284">
        <v>1.58</v>
      </c>
      <c r="BU3284">
        <v>16.399999999999999</v>
      </c>
      <c r="BV3284">
        <v>7.54</v>
      </c>
      <c r="BW3284">
        <v>6.74</v>
      </c>
      <c r="BX3284">
        <v>0.72</v>
      </c>
      <c r="BY3284">
        <v>15.51</v>
      </c>
      <c r="BZ3284">
        <v>12.22</v>
      </c>
      <c r="CA3284">
        <v>0.94</v>
      </c>
      <c r="CB3284">
        <v>0.04</v>
      </c>
      <c r="CC3284">
        <v>0.92</v>
      </c>
      <c r="CD3284">
        <v>0.79</v>
      </c>
      <c r="CE3284">
        <v>0.67</v>
      </c>
      <c r="CF3284">
        <v>0.59</v>
      </c>
      <c r="CG3284">
        <v>9.02</v>
      </c>
      <c r="CH3284">
        <v>0.14000000000000001</v>
      </c>
      <c r="CI3284">
        <v>-0.5</v>
      </c>
      <c r="CJ3284">
        <v>47561</v>
      </c>
      <c r="CK3284">
        <v>6113</v>
      </c>
      <c r="CL3284" t="s">
        <v>2044</v>
      </c>
      <c r="CM3284">
        <v>-26.91</v>
      </c>
      <c r="CN3284">
        <v>20.149999999999999</v>
      </c>
      <c r="CO3284">
        <v>1.75</v>
      </c>
      <c r="CP3284">
        <v>207.17</v>
      </c>
      <c r="CQ3284">
        <v>1.9</v>
      </c>
      <c r="CR3284">
        <v>1.45</v>
      </c>
      <c r="CS3284" t="s">
        <v>424</v>
      </c>
      <c r="CT3284">
        <v>2.77</v>
      </c>
      <c r="CU3284">
        <v>0</v>
      </c>
      <c r="CV3284">
        <v>0.12</v>
      </c>
      <c r="CW3284">
        <v>1.48</v>
      </c>
      <c r="CX3284">
        <v>0.02</v>
      </c>
      <c r="CY3284">
        <v>45.42</v>
      </c>
      <c r="CZ3284" t="s">
        <v>9833</v>
      </c>
      <c r="DA3284">
        <v>21.21</v>
      </c>
      <c r="DB3284">
        <v>6.06</v>
      </c>
      <c r="DC3284">
        <v>4.33</v>
      </c>
      <c r="DD3284">
        <v>0.63</v>
      </c>
      <c r="DE3284">
        <v>1922</v>
      </c>
      <c r="DF3284">
        <v>603126</v>
      </c>
      <c r="DG3284" t="s">
        <v>116</v>
      </c>
      <c r="DH3284" t="s">
        <v>116</v>
      </c>
      <c r="DI3284" t="s">
        <v>116</v>
      </c>
    </row>
    <row r="3285" spans="1:113" x14ac:dyDescent="0.4">
      <c r="A3285" t="str">
        <f>"603127"</f>
        <v>603127</v>
      </c>
      <c r="B3285" t="s">
        <v>14062</v>
      </c>
      <c r="C3285">
        <v>-1.77</v>
      </c>
      <c r="D3285">
        <v>56</v>
      </c>
      <c r="E3285">
        <v>-1.01</v>
      </c>
      <c r="F3285">
        <v>56</v>
      </c>
      <c r="G3285">
        <v>56.01</v>
      </c>
      <c r="H3285">
        <v>20246</v>
      </c>
      <c r="I3285">
        <v>54</v>
      </c>
      <c r="J3285">
        <v>-0.15</v>
      </c>
      <c r="K3285">
        <v>2.57</v>
      </c>
      <c r="L3285">
        <v>57</v>
      </c>
      <c r="M3285">
        <v>57.39</v>
      </c>
      <c r="N3285">
        <v>55.76</v>
      </c>
      <c r="O3285">
        <v>57.01</v>
      </c>
      <c r="P3285">
        <v>88.81</v>
      </c>
      <c r="Q3285">
        <v>114377240</v>
      </c>
      <c r="R3285">
        <v>1.51</v>
      </c>
      <c r="S3285" t="s">
        <v>559</v>
      </c>
      <c r="T3285" t="s">
        <v>165</v>
      </c>
      <c r="U3285">
        <v>2.86</v>
      </c>
      <c r="V3285">
        <v>56.49</v>
      </c>
      <c r="W3285">
        <v>12303</v>
      </c>
      <c r="X3285">
        <v>7943</v>
      </c>
      <c r="Y3285">
        <v>1.55</v>
      </c>
      <c r="Z3285">
        <v>71</v>
      </c>
      <c r="AA3285">
        <v>1</v>
      </c>
      <c r="AB3285" t="s">
        <v>116</v>
      </c>
      <c r="AC3285">
        <v>250800</v>
      </c>
      <c r="AD3285">
        <v>0.01</v>
      </c>
      <c r="AE3285" t="s">
        <v>116</v>
      </c>
      <c r="AF3285" t="s">
        <v>116</v>
      </c>
      <c r="AG3285">
        <v>0.79</v>
      </c>
      <c r="AH3285" t="s">
        <v>12785</v>
      </c>
      <c r="AI3285" t="s">
        <v>14063</v>
      </c>
      <c r="AJ3285">
        <v>-1.69</v>
      </c>
      <c r="AK3285">
        <v>1962</v>
      </c>
      <c r="AL3285">
        <v>10</v>
      </c>
      <c r="AM3285">
        <v>1.2999999999999999E-3</v>
      </c>
      <c r="AN3285">
        <v>-3</v>
      </c>
      <c r="AO3285">
        <v>-2.6</v>
      </c>
      <c r="AP3285">
        <v>-4.22</v>
      </c>
      <c r="AQ3285">
        <v>-16.77</v>
      </c>
      <c r="AR3285">
        <v>65.75</v>
      </c>
      <c r="AS3285">
        <v>3.65</v>
      </c>
      <c r="AT3285" t="s">
        <v>14064</v>
      </c>
      <c r="AU3285">
        <v>70.97</v>
      </c>
      <c r="AV3285">
        <v>83.59</v>
      </c>
      <c r="AW3285">
        <v>0.97</v>
      </c>
      <c r="BA3285">
        <v>-0.02</v>
      </c>
      <c r="BB3285">
        <v>0.67</v>
      </c>
      <c r="BC3285">
        <v>-2.19</v>
      </c>
      <c r="BD3285">
        <v>-0.91</v>
      </c>
      <c r="BE3285">
        <v>-1.75</v>
      </c>
      <c r="BF3285">
        <v>-2.42</v>
      </c>
      <c r="BG3285">
        <v>0.43</v>
      </c>
      <c r="BH3285">
        <v>-0.86</v>
      </c>
      <c r="BI3285">
        <v>20191112</v>
      </c>
      <c r="BJ3285">
        <v>20170825</v>
      </c>
      <c r="BK3285">
        <v>1.62</v>
      </c>
      <c r="BL3285" t="s">
        <v>116</v>
      </c>
      <c r="BM3285" t="s">
        <v>116</v>
      </c>
      <c r="BN3285">
        <v>13.31</v>
      </c>
      <c r="BO3285">
        <v>7.14</v>
      </c>
      <c r="BP3285">
        <v>0</v>
      </c>
      <c r="BQ3285">
        <v>46.29</v>
      </c>
      <c r="BR3285">
        <v>8.1199999999999992</v>
      </c>
      <c r="BS3285">
        <v>3.73</v>
      </c>
      <c r="BT3285">
        <v>0.48</v>
      </c>
      <c r="BU3285">
        <v>5.27</v>
      </c>
      <c r="BV3285">
        <v>2.19</v>
      </c>
      <c r="BW3285">
        <v>0.68</v>
      </c>
      <c r="BX3285">
        <v>2.14</v>
      </c>
      <c r="BY3285">
        <v>3.48</v>
      </c>
      <c r="BZ3285">
        <v>1.69</v>
      </c>
      <c r="CA3285">
        <v>0.92</v>
      </c>
      <c r="CB3285">
        <v>0.1</v>
      </c>
      <c r="CC3285">
        <v>0.92</v>
      </c>
      <c r="CD3285">
        <v>0.76</v>
      </c>
      <c r="CE3285">
        <v>0.76</v>
      </c>
      <c r="CF3285">
        <v>0.6</v>
      </c>
      <c r="CG3285">
        <v>3.24</v>
      </c>
      <c r="CH3285">
        <v>0.97</v>
      </c>
      <c r="CI3285">
        <v>0.13</v>
      </c>
      <c r="CJ3285">
        <v>9600</v>
      </c>
      <c r="CK3285">
        <v>5784</v>
      </c>
      <c r="CL3285" t="s">
        <v>14065</v>
      </c>
      <c r="CM3285">
        <v>33.659999999999997</v>
      </c>
      <c r="CN3285">
        <v>42.95</v>
      </c>
      <c r="CO3285">
        <v>12.65</v>
      </c>
      <c r="CP3285">
        <v>93.12</v>
      </c>
      <c r="CQ3285">
        <v>25.99</v>
      </c>
      <c r="CR3285">
        <v>0.38</v>
      </c>
      <c r="CS3285" t="s">
        <v>11660</v>
      </c>
      <c r="CT3285">
        <v>4.43</v>
      </c>
      <c r="CU3285">
        <v>4.43</v>
      </c>
      <c r="CV3285">
        <v>1.32</v>
      </c>
      <c r="CW3285">
        <v>2</v>
      </c>
      <c r="CX3285">
        <v>0.6</v>
      </c>
      <c r="CY3285">
        <v>53.68</v>
      </c>
      <c r="CZ3285" t="s">
        <v>2662</v>
      </c>
      <c r="DA3285">
        <v>51.56</v>
      </c>
      <c r="DB3285">
        <v>26.28</v>
      </c>
      <c r="DC3285">
        <v>21.95</v>
      </c>
      <c r="DD3285">
        <v>0.27</v>
      </c>
      <c r="DE3285">
        <v>817</v>
      </c>
      <c r="DF3285">
        <v>603127</v>
      </c>
      <c r="DG3285" t="s">
        <v>116</v>
      </c>
      <c r="DH3285" t="s">
        <v>116</v>
      </c>
      <c r="DI3285" t="s">
        <v>116</v>
      </c>
    </row>
    <row r="3286" spans="1:113" x14ac:dyDescent="0.4">
      <c r="A3286" t="str">
        <f>"603128"</f>
        <v>603128</v>
      </c>
      <c r="B3286" t="s">
        <v>14066</v>
      </c>
      <c r="C3286">
        <v>0</v>
      </c>
      <c r="D3286">
        <v>6.23</v>
      </c>
      <c r="E3286">
        <v>0</v>
      </c>
      <c r="F3286">
        <v>6.23</v>
      </c>
      <c r="G3286">
        <v>6.24</v>
      </c>
      <c r="H3286">
        <v>109104</v>
      </c>
      <c r="I3286">
        <v>683</v>
      </c>
      <c r="J3286">
        <v>0.16</v>
      </c>
      <c r="K3286">
        <v>1.08</v>
      </c>
      <c r="L3286">
        <v>6.23</v>
      </c>
      <c r="M3286">
        <v>6.3</v>
      </c>
      <c r="N3286">
        <v>6.21</v>
      </c>
      <c r="O3286">
        <v>6.23</v>
      </c>
      <c r="P3286">
        <v>18.489999999999998</v>
      </c>
      <c r="Q3286">
        <v>68212576</v>
      </c>
      <c r="R3286">
        <v>1.31</v>
      </c>
      <c r="S3286" t="s">
        <v>3113</v>
      </c>
      <c r="T3286" t="s">
        <v>1653</v>
      </c>
      <c r="U3286">
        <v>1.44</v>
      </c>
      <c r="V3286">
        <v>6.25</v>
      </c>
      <c r="W3286">
        <v>63253</v>
      </c>
      <c r="X3286">
        <v>45851</v>
      </c>
      <c r="Y3286">
        <v>1.38</v>
      </c>
      <c r="Z3286">
        <v>240</v>
      </c>
      <c r="AA3286">
        <v>460</v>
      </c>
      <c r="AB3286" t="s">
        <v>116</v>
      </c>
      <c r="AC3286">
        <v>345800</v>
      </c>
      <c r="AD3286">
        <v>0.01</v>
      </c>
      <c r="AE3286" t="s">
        <v>116</v>
      </c>
      <c r="AF3286" t="s">
        <v>116</v>
      </c>
      <c r="AG3286">
        <v>10.119999999999999</v>
      </c>
      <c r="AH3286" t="s">
        <v>8493</v>
      </c>
      <c r="AI3286" t="s">
        <v>8493</v>
      </c>
      <c r="AJ3286">
        <v>0.08</v>
      </c>
      <c r="AK3286">
        <v>1635</v>
      </c>
      <c r="AL3286">
        <v>67</v>
      </c>
      <c r="AM3286">
        <v>6.9999999999999999E-4</v>
      </c>
      <c r="AN3286">
        <v>0</v>
      </c>
      <c r="AO3286">
        <v>1.1299999999999999</v>
      </c>
      <c r="AP3286">
        <v>3.83</v>
      </c>
      <c r="AQ3286">
        <v>-10.36</v>
      </c>
      <c r="AR3286">
        <v>19.3</v>
      </c>
      <c r="AS3286">
        <v>1.98</v>
      </c>
      <c r="AT3286" t="s">
        <v>5025</v>
      </c>
      <c r="AU3286">
        <v>19.510000000000002</v>
      </c>
      <c r="AV3286">
        <v>19.52</v>
      </c>
      <c r="AW3286">
        <v>1.54</v>
      </c>
      <c r="BA3286">
        <v>0</v>
      </c>
      <c r="BB3286">
        <v>1.1200000000000001</v>
      </c>
      <c r="BC3286">
        <v>-0.32</v>
      </c>
      <c r="BD3286">
        <v>0.35</v>
      </c>
      <c r="BE3286">
        <v>0</v>
      </c>
      <c r="BF3286">
        <v>-1.1100000000000001</v>
      </c>
      <c r="BG3286">
        <v>0.32</v>
      </c>
      <c r="BH3286">
        <v>-0.35</v>
      </c>
      <c r="BI3286">
        <v>20191025</v>
      </c>
      <c r="BJ3286">
        <v>20120529</v>
      </c>
      <c r="BK3286">
        <v>10.119999999999999</v>
      </c>
      <c r="BL3286" t="s">
        <v>116</v>
      </c>
      <c r="BM3286" t="s">
        <v>116</v>
      </c>
      <c r="BN3286">
        <v>55.93</v>
      </c>
      <c r="BO3286">
        <v>40.229999999999997</v>
      </c>
      <c r="BP3286">
        <v>0.46</v>
      </c>
      <c r="BQ3286">
        <v>27.25</v>
      </c>
      <c r="BR3286">
        <v>38.92</v>
      </c>
      <c r="BS3286">
        <v>6.04</v>
      </c>
      <c r="BT3286">
        <v>1.71</v>
      </c>
      <c r="BU3286">
        <v>14.48</v>
      </c>
      <c r="BV3286">
        <v>2.0499999999999998</v>
      </c>
      <c r="BW3286">
        <v>19.87</v>
      </c>
      <c r="BX3286">
        <v>19.38</v>
      </c>
      <c r="BY3286">
        <v>72.27</v>
      </c>
      <c r="BZ3286">
        <v>63.83</v>
      </c>
      <c r="CA3286">
        <v>3.3</v>
      </c>
      <c r="CB3286">
        <v>0</v>
      </c>
      <c r="CC3286">
        <v>3.31</v>
      </c>
      <c r="CD3286">
        <v>2.67</v>
      </c>
      <c r="CE3286">
        <v>2.56</v>
      </c>
      <c r="CF3286">
        <v>2.56</v>
      </c>
      <c r="CG3286">
        <v>11.3</v>
      </c>
      <c r="CH3286">
        <v>1.68</v>
      </c>
      <c r="CI3286">
        <v>-0.47</v>
      </c>
      <c r="CJ3286">
        <v>68029</v>
      </c>
      <c r="CK3286">
        <v>8096</v>
      </c>
      <c r="CL3286" t="s">
        <v>1078</v>
      </c>
      <c r="CM3286">
        <v>0.05</v>
      </c>
      <c r="CN3286">
        <v>5.4</v>
      </c>
      <c r="CO3286">
        <v>1.57</v>
      </c>
      <c r="CP3286">
        <v>37.46</v>
      </c>
      <c r="CQ3286">
        <v>0.87</v>
      </c>
      <c r="CR3286">
        <v>1.54</v>
      </c>
      <c r="CS3286" t="s">
        <v>4988</v>
      </c>
      <c r="CT3286">
        <v>3.98</v>
      </c>
      <c r="CU3286">
        <v>0</v>
      </c>
      <c r="CV3286">
        <v>1.91</v>
      </c>
      <c r="CW3286">
        <v>1.1200000000000001</v>
      </c>
      <c r="CX3286">
        <v>0.17</v>
      </c>
      <c r="CY3286">
        <v>71.930000000000007</v>
      </c>
      <c r="CZ3286" t="s">
        <v>12710</v>
      </c>
      <c r="DA3286">
        <v>11.67</v>
      </c>
      <c r="DB3286">
        <v>4.57</v>
      </c>
      <c r="DC3286">
        <v>3.54</v>
      </c>
      <c r="DD3286">
        <v>0.1</v>
      </c>
      <c r="DE3286">
        <v>3760</v>
      </c>
      <c r="DF3286">
        <v>603128</v>
      </c>
      <c r="DG3286" t="s">
        <v>116</v>
      </c>
      <c r="DH3286" t="s">
        <v>116</v>
      </c>
      <c r="DI3286" t="s">
        <v>116</v>
      </c>
    </row>
    <row r="3287" spans="1:113" x14ac:dyDescent="0.4">
      <c r="A3287" t="str">
        <f>"603129"</f>
        <v>603129</v>
      </c>
      <c r="B3287" t="s">
        <v>14067</v>
      </c>
      <c r="C3287">
        <v>-0.19</v>
      </c>
      <c r="D3287">
        <v>41.56</v>
      </c>
      <c r="E3287">
        <v>-0.08</v>
      </c>
      <c r="F3287">
        <v>41.54</v>
      </c>
      <c r="G3287">
        <v>41.56</v>
      </c>
      <c r="H3287">
        <v>14788</v>
      </c>
      <c r="I3287">
        <v>58</v>
      </c>
      <c r="J3287">
        <v>-0.13</v>
      </c>
      <c r="K3287">
        <v>2.25</v>
      </c>
      <c r="L3287">
        <v>41.89</v>
      </c>
      <c r="M3287">
        <v>42.88</v>
      </c>
      <c r="N3287">
        <v>41.38</v>
      </c>
      <c r="O3287">
        <v>41.64</v>
      </c>
      <c r="P3287">
        <v>29.65</v>
      </c>
      <c r="Q3287">
        <v>62169220</v>
      </c>
      <c r="R3287">
        <v>0.95</v>
      </c>
      <c r="S3287" t="s">
        <v>2657</v>
      </c>
      <c r="T3287" t="s">
        <v>590</v>
      </c>
      <c r="U3287">
        <v>3.6</v>
      </c>
      <c r="V3287">
        <v>42.04</v>
      </c>
      <c r="W3287">
        <v>6564</v>
      </c>
      <c r="X3287">
        <v>8224</v>
      </c>
      <c r="Y3287">
        <v>0.8</v>
      </c>
      <c r="Z3287">
        <v>32</v>
      </c>
      <c r="AA3287">
        <v>22</v>
      </c>
      <c r="AB3287" t="s">
        <v>116</v>
      </c>
      <c r="AC3287">
        <v>88000</v>
      </c>
      <c r="AD3287">
        <v>0</v>
      </c>
      <c r="AE3287" t="s">
        <v>116</v>
      </c>
      <c r="AF3287" t="s">
        <v>116</v>
      </c>
      <c r="AG3287">
        <v>0.66</v>
      </c>
      <c r="AH3287" t="s">
        <v>14068</v>
      </c>
      <c r="AI3287" t="s">
        <v>2519</v>
      </c>
      <c r="AJ3287">
        <v>-0.12</v>
      </c>
      <c r="AK3287">
        <v>1672</v>
      </c>
      <c r="AL3287">
        <v>9</v>
      </c>
      <c r="AM3287">
        <v>1.2999999999999999E-3</v>
      </c>
      <c r="AN3287">
        <v>-1</v>
      </c>
      <c r="AO3287">
        <v>1.56</v>
      </c>
      <c r="AP3287">
        <v>14.11</v>
      </c>
      <c r="AQ3287">
        <v>30.49</v>
      </c>
      <c r="AR3287">
        <v>165.52</v>
      </c>
      <c r="AS3287">
        <v>2.66</v>
      </c>
      <c r="AT3287" t="s">
        <v>6773</v>
      </c>
      <c r="AU3287">
        <v>33.99</v>
      </c>
      <c r="AV3287">
        <v>46.45</v>
      </c>
      <c r="AW3287">
        <v>1.48</v>
      </c>
      <c r="BA3287">
        <v>0.6</v>
      </c>
      <c r="BB3287">
        <v>2.98</v>
      </c>
      <c r="BC3287">
        <v>-0.62</v>
      </c>
      <c r="BD3287">
        <v>0.96</v>
      </c>
      <c r="BE3287">
        <v>-0.79</v>
      </c>
      <c r="BF3287">
        <v>-3.08</v>
      </c>
      <c r="BG3287">
        <v>0.43</v>
      </c>
      <c r="BH3287">
        <v>-1.1499999999999999</v>
      </c>
      <c r="BI3287">
        <v>20191225</v>
      </c>
      <c r="BJ3287">
        <v>20170818</v>
      </c>
      <c r="BK3287">
        <v>1.34</v>
      </c>
      <c r="BL3287" t="s">
        <v>116</v>
      </c>
      <c r="BM3287" t="s">
        <v>116</v>
      </c>
      <c r="BN3287">
        <v>23.59</v>
      </c>
      <c r="BO3287">
        <v>9.92</v>
      </c>
      <c r="BP3287">
        <v>0.35</v>
      </c>
      <c r="BQ3287">
        <v>56.48</v>
      </c>
      <c r="BR3287">
        <v>17.559999999999999</v>
      </c>
      <c r="BS3287">
        <v>2.44</v>
      </c>
      <c r="BT3287">
        <v>1.1399999999999999</v>
      </c>
      <c r="BU3287">
        <v>13.08</v>
      </c>
      <c r="BV3287">
        <v>4.21</v>
      </c>
      <c r="BW3287">
        <v>2.8</v>
      </c>
      <c r="BX3287">
        <v>6.06</v>
      </c>
      <c r="BY3287">
        <v>23.92</v>
      </c>
      <c r="BZ3287">
        <v>16.52</v>
      </c>
      <c r="CA3287">
        <v>1.57</v>
      </c>
      <c r="CB3287">
        <v>7.0000000000000007E-2</v>
      </c>
      <c r="CC3287">
        <v>1.58</v>
      </c>
      <c r="CD3287">
        <v>1.37</v>
      </c>
      <c r="CE3287">
        <v>1.41</v>
      </c>
      <c r="CF3287">
        <v>1.31</v>
      </c>
      <c r="CG3287">
        <v>3.45</v>
      </c>
      <c r="CH3287">
        <v>3</v>
      </c>
      <c r="CI3287">
        <v>0.97</v>
      </c>
      <c r="CJ3287">
        <v>8317</v>
      </c>
      <c r="CK3287">
        <v>6696</v>
      </c>
      <c r="CL3287" t="s">
        <v>14069</v>
      </c>
      <c r="CM3287">
        <v>45.33</v>
      </c>
      <c r="CN3287">
        <v>28.29</v>
      </c>
      <c r="CO3287">
        <v>5.63</v>
      </c>
      <c r="CP3287">
        <v>18.649999999999999</v>
      </c>
      <c r="CQ3287">
        <v>2.33</v>
      </c>
      <c r="CR3287">
        <v>0.77</v>
      </c>
      <c r="CS3287" t="s">
        <v>14070</v>
      </c>
      <c r="CT3287">
        <v>7.38</v>
      </c>
      <c r="CU3287">
        <v>0</v>
      </c>
      <c r="CV3287">
        <v>4.51</v>
      </c>
      <c r="CW3287">
        <v>2.57</v>
      </c>
      <c r="CX3287">
        <v>2.23</v>
      </c>
      <c r="CY3287">
        <v>42.05</v>
      </c>
      <c r="CZ3287" t="s">
        <v>14071</v>
      </c>
      <c r="DA3287">
        <v>30.95</v>
      </c>
      <c r="DB3287">
        <v>6.56</v>
      </c>
      <c r="DC3287">
        <v>5.9</v>
      </c>
      <c r="DD3287">
        <v>1.34</v>
      </c>
      <c r="DE3287">
        <v>1437</v>
      </c>
      <c r="DF3287">
        <v>603129</v>
      </c>
      <c r="DG3287" t="s">
        <v>116</v>
      </c>
      <c r="DH3287" t="s">
        <v>116</v>
      </c>
      <c r="DI3287" t="s">
        <v>116</v>
      </c>
    </row>
    <row r="3288" spans="1:113" x14ac:dyDescent="0.4">
      <c r="A3288" t="str">
        <f>"603131"</f>
        <v>603131</v>
      </c>
      <c r="B3288" t="s">
        <v>14072</v>
      </c>
      <c r="C3288">
        <v>7.0000000000000007E-2</v>
      </c>
      <c r="D3288">
        <v>13.61</v>
      </c>
      <c r="E3288">
        <v>0.01</v>
      </c>
      <c r="F3288">
        <v>13.61</v>
      </c>
      <c r="G3288">
        <v>13.62</v>
      </c>
      <c r="H3288">
        <v>8673</v>
      </c>
      <c r="I3288">
        <v>103</v>
      </c>
      <c r="J3288">
        <v>-0.06</v>
      </c>
      <c r="K3288">
        <v>1.24</v>
      </c>
      <c r="L3288">
        <v>13.6</v>
      </c>
      <c r="M3288">
        <v>13.75</v>
      </c>
      <c r="N3288">
        <v>13.57</v>
      </c>
      <c r="O3288">
        <v>13.6</v>
      </c>
      <c r="P3288">
        <v>78.28</v>
      </c>
      <c r="Q3288">
        <v>11851433</v>
      </c>
      <c r="R3288">
        <v>0.93</v>
      </c>
      <c r="S3288" t="s">
        <v>682</v>
      </c>
      <c r="T3288" t="s">
        <v>1653</v>
      </c>
      <c r="U3288">
        <v>1.32</v>
      </c>
      <c r="V3288">
        <v>13.66</v>
      </c>
      <c r="W3288">
        <v>4015</v>
      </c>
      <c r="X3288">
        <v>4658</v>
      </c>
      <c r="Y3288">
        <v>0.86</v>
      </c>
      <c r="Z3288">
        <v>17</v>
      </c>
      <c r="AA3288">
        <v>90</v>
      </c>
      <c r="AB3288" t="s">
        <v>116</v>
      </c>
      <c r="AC3288">
        <v>2700</v>
      </c>
      <c r="AD3288">
        <v>0</v>
      </c>
      <c r="AE3288" t="s">
        <v>116</v>
      </c>
      <c r="AF3288" t="s">
        <v>116</v>
      </c>
      <c r="AG3288">
        <v>0.7</v>
      </c>
      <c r="AH3288" t="s">
        <v>14073</v>
      </c>
      <c r="AI3288" t="s">
        <v>3972</v>
      </c>
      <c r="AJ3288">
        <v>0.15</v>
      </c>
      <c r="AK3288">
        <v>681</v>
      </c>
      <c r="AL3288">
        <v>13</v>
      </c>
      <c r="AM3288">
        <v>1.8E-3</v>
      </c>
      <c r="AN3288">
        <v>1</v>
      </c>
      <c r="AO3288">
        <v>-1.59</v>
      </c>
      <c r="AP3288">
        <v>6.75</v>
      </c>
      <c r="AQ3288">
        <v>-6.14</v>
      </c>
      <c r="AR3288">
        <v>24.62</v>
      </c>
      <c r="AS3288">
        <v>1.24</v>
      </c>
      <c r="AT3288" t="s">
        <v>14073</v>
      </c>
      <c r="AU3288">
        <v>61.39</v>
      </c>
      <c r="AV3288">
        <v>58.3</v>
      </c>
      <c r="AW3288">
        <v>0.78</v>
      </c>
      <c r="BA3288">
        <v>0</v>
      </c>
      <c r="BB3288">
        <v>1.1000000000000001</v>
      </c>
      <c r="BC3288">
        <v>-0.22</v>
      </c>
      <c r="BD3288">
        <v>0.47</v>
      </c>
      <c r="BE3288">
        <v>7.0000000000000007E-2</v>
      </c>
      <c r="BF3288">
        <v>-1.02</v>
      </c>
      <c r="BG3288">
        <v>0.28999999999999998</v>
      </c>
      <c r="BH3288">
        <v>-0.4</v>
      </c>
      <c r="BI3288">
        <v>20191030</v>
      </c>
      <c r="BJ3288">
        <v>20160607</v>
      </c>
      <c r="BK3288">
        <v>3.18</v>
      </c>
      <c r="BL3288" t="s">
        <v>116</v>
      </c>
      <c r="BM3288" t="s">
        <v>116</v>
      </c>
      <c r="BN3288">
        <v>14.77</v>
      </c>
      <c r="BO3288">
        <v>11.69</v>
      </c>
      <c r="BP3288">
        <v>0.15</v>
      </c>
      <c r="BQ3288">
        <v>19.82</v>
      </c>
      <c r="BR3288">
        <v>8.39</v>
      </c>
      <c r="BS3288">
        <v>2.14</v>
      </c>
      <c r="BT3288">
        <v>0.75</v>
      </c>
      <c r="BU3288">
        <v>2.34</v>
      </c>
      <c r="BV3288">
        <v>2.27</v>
      </c>
      <c r="BW3288">
        <v>1.88</v>
      </c>
      <c r="BX3288">
        <v>4.99</v>
      </c>
      <c r="BY3288">
        <v>5.53</v>
      </c>
      <c r="BZ3288">
        <v>4.03</v>
      </c>
      <c r="CA3288">
        <v>0.45</v>
      </c>
      <c r="CB3288">
        <v>0</v>
      </c>
      <c r="CC3288">
        <v>0.45</v>
      </c>
      <c r="CD3288">
        <v>0.38</v>
      </c>
      <c r="CE3288">
        <v>0.41</v>
      </c>
      <c r="CF3288">
        <v>0.38</v>
      </c>
      <c r="CG3288">
        <v>3.1</v>
      </c>
      <c r="CH3288">
        <v>-0.28999999999999998</v>
      </c>
      <c r="CI3288">
        <v>0.56999999999999995</v>
      </c>
      <c r="CJ3288">
        <v>14499</v>
      </c>
      <c r="CK3288">
        <v>4828</v>
      </c>
      <c r="CL3288" t="s">
        <v>8680</v>
      </c>
      <c r="CM3288">
        <v>-8.26</v>
      </c>
      <c r="CN3288">
        <v>-3.72</v>
      </c>
      <c r="CO3288">
        <v>3.7</v>
      </c>
      <c r="CP3288">
        <v>-150.66</v>
      </c>
      <c r="CQ3288">
        <v>7.83</v>
      </c>
      <c r="CR3288">
        <v>0.52</v>
      </c>
      <c r="CS3288" t="s">
        <v>2655</v>
      </c>
      <c r="CT3288">
        <v>3.68</v>
      </c>
      <c r="CU3288">
        <v>0</v>
      </c>
      <c r="CV3288">
        <v>1.57</v>
      </c>
      <c r="CW3288">
        <v>0.98</v>
      </c>
      <c r="CX3288">
        <v>-0.09</v>
      </c>
      <c r="CY3288">
        <v>79.180000000000007</v>
      </c>
      <c r="CZ3288" t="s">
        <v>506</v>
      </c>
      <c r="DA3288">
        <v>27.08</v>
      </c>
      <c r="DB3288">
        <v>8.11</v>
      </c>
      <c r="DC3288">
        <v>7.5</v>
      </c>
      <c r="DD3288">
        <v>0.31</v>
      </c>
      <c r="DE3288">
        <v>1339</v>
      </c>
      <c r="DF3288">
        <v>603131</v>
      </c>
      <c r="DG3288" t="s">
        <v>116</v>
      </c>
      <c r="DH3288" t="s">
        <v>116</v>
      </c>
      <c r="DI3288" t="s">
        <v>116</v>
      </c>
    </row>
    <row r="3289" spans="1:113" x14ac:dyDescent="0.4">
      <c r="A3289" t="str">
        <f>"603133"</f>
        <v>603133</v>
      </c>
      <c r="B3289" t="s">
        <v>14074</v>
      </c>
      <c r="C3289">
        <v>-3.87</v>
      </c>
      <c r="D3289">
        <v>23.82</v>
      </c>
      <c r="E3289">
        <v>-0.96</v>
      </c>
      <c r="F3289">
        <v>23.82</v>
      </c>
      <c r="G3289">
        <v>23.83</v>
      </c>
      <c r="H3289">
        <v>69532</v>
      </c>
      <c r="I3289">
        <v>780</v>
      </c>
      <c r="J3289">
        <v>0.08</v>
      </c>
      <c r="K3289">
        <v>6.16</v>
      </c>
      <c r="L3289">
        <v>24.85</v>
      </c>
      <c r="M3289">
        <v>24.93</v>
      </c>
      <c r="N3289">
        <v>23.72</v>
      </c>
      <c r="O3289">
        <v>24.78</v>
      </c>
      <c r="P3289" t="s">
        <v>116</v>
      </c>
      <c r="Q3289">
        <v>168433344</v>
      </c>
      <c r="R3289">
        <v>0.97</v>
      </c>
      <c r="S3289" t="s">
        <v>233</v>
      </c>
      <c r="T3289" t="s">
        <v>323</v>
      </c>
      <c r="U3289">
        <v>4.88</v>
      </c>
      <c r="V3289">
        <v>24.22</v>
      </c>
      <c r="W3289">
        <v>44976</v>
      </c>
      <c r="X3289">
        <v>24556</v>
      </c>
      <c r="Y3289">
        <v>1.83</v>
      </c>
      <c r="Z3289">
        <v>148</v>
      </c>
      <c r="AA3289">
        <v>126</v>
      </c>
      <c r="AB3289" t="s">
        <v>116</v>
      </c>
      <c r="AC3289">
        <v>328000</v>
      </c>
      <c r="AD3289">
        <v>0.01</v>
      </c>
      <c r="AE3289" t="s">
        <v>116</v>
      </c>
      <c r="AF3289" t="s">
        <v>116</v>
      </c>
      <c r="AG3289">
        <v>1.1299999999999999</v>
      </c>
      <c r="AH3289" t="s">
        <v>2946</v>
      </c>
      <c r="AI3289" t="s">
        <v>12794</v>
      </c>
      <c r="AJ3289">
        <v>-3.8</v>
      </c>
      <c r="AK3289">
        <v>2633</v>
      </c>
      <c r="AL3289">
        <v>26</v>
      </c>
      <c r="AM3289">
        <v>2.3E-3</v>
      </c>
      <c r="AN3289">
        <v>-1</v>
      </c>
      <c r="AO3289">
        <v>1.75</v>
      </c>
      <c r="AP3289">
        <v>15.63</v>
      </c>
      <c r="AQ3289">
        <v>31.53</v>
      </c>
      <c r="AR3289">
        <v>54.14</v>
      </c>
      <c r="AS3289">
        <v>7.21</v>
      </c>
      <c r="AT3289" t="s">
        <v>11553</v>
      </c>
      <c r="AU3289" t="s">
        <v>116</v>
      </c>
      <c r="AV3289">
        <v>93.19</v>
      </c>
      <c r="AW3289">
        <v>1.1499999999999999</v>
      </c>
      <c r="BA3289">
        <v>0.28000000000000003</v>
      </c>
      <c r="BB3289">
        <v>0.61</v>
      </c>
      <c r="BC3289">
        <v>-4.28</v>
      </c>
      <c r="BD3289">
        <v>-2.2400000000000002</v>
      </c>
      <c r="BE3289">
        <v>-4.1399999999999997</v>
      </c>
      <c r="BF3289">
        <v>-4.45</v>
      </c>
      <c r="BG3289">
        <v>0.42</v>
      </c>
      <c r="BH3289">
        <v>-1.63</v>
      </c>
      <c r="BI3289">
        <v>20191227</v>
      </c>
      <c r="BJ3289">
        <v>20170320</v>
      </c>
      <c r="BK3289">
        <v>2.1</v>
      </c>
      <c r="BL3289" t="s">
        <v>116</v>
      </c>
      <c r="BM3289" t="s">
        <v>116</v>
      </c>
      <c r="BN3289">
        <v>16.7</v>
      </c>
      <c r="BO3289">
        <v>9.07</v>
      </c>
      <c r="BP3289">
        <v>0.3</v>
      </c>
      <c r="BQ3289">
        <v>43.95</v>
      </c>
      <c r="BR3289">
        <v>7.05</v>
      </c>
      <c r="BS3289">
        <v>2.15</v>
      </c>
      <c r="BT3289">
        <v>0.9</v>
      </c>
      <c r="BU3289">
        <v>5.45</v>
      </c>
      <c r="BV3289">
        <v>1.4</v>
      </c>
      <c r="BW3289">
        <v>1.3</v>
      </c>
      <c r="BX3289">
        <v>4.49</v>
      </c>
      <c r="BY3289">
        <v>3.49</v>
      </c>
      <c r="BZ3289">
        <v>2.87</v>
      </c>
      <c r="CA3289">
        <v>-0.18</v>
      </c>
      <c r="CB3289">
        <v>0.06</v>
      </c>
      <c r="CC3289">
        <v>-0.18</v>
      </c>
      <c r="CD3289">
        <v>-0.17</v>
      </c>
      <c r="CE3289">
        <v>-0.15</v>
      </c>
      <c r="CF3289">
        <v>-0.22</v>
      </c>
      <c r="CG3289">
        <v>2.14</v>
      </c>
      <c r="CH3289">
        <v>0.35</v>
      </c>
      <c r="CI3289">
        <v>0.67</v>
      </c>
      <c r="CJ3289">
        <v>21916</v>
      </c>
      <c r="CK3289">
        <v>4398</v>
      </c>
      <c r="CL3289" t="s">
        <v>14075</v>
      </c>
      <c r="CM3289">
        <v>-131.80000000000001</v>
      </c>
      <c r="CN3289">
        <v>-10.59</v>
      </c>
      <c r="CO3289">
        <v>5.52</v>
      </c>
      <c r="CP3289">
        <v>145.29</v>
      </c>
      <c r="CQ3289">
        <v>14.36</v>
      </c>
      <c r="CR3289">
        <v>0.32</v>
      </c>
      <c r="CS3289" t="s">
        <v>490</v>
      </c>
      <c r="CT3289">
        <v>4.32</v>
      </c>
      <c r="CU3289">
        <v>4.32</v>
      </c>
      <c r="CV3289">
        <v>2.13</v>
      </c>
      <c r="CW3289">
        <v>1.02</v>
      </c>
      <c r="CX3289">
        <v>0.16</v>
      </c>
      <c r="CY3289">
        <v>54.27</v>
      </c>
      <c r="CZ3289" t="s">
        <v>4851</v>
      </c>
      <c r="DA3289">
        <v>17.809999999999999</v>
      </c>
      <c r="DB3289">
        <v>-5.24</v>
      </c>
      <c r="DC3289">
        <v>-4.25</v>
      </c>
      <c r="DD3289">
        <v>0.32</v>
      </c>
      <c r="DE3289">
        <v>707</v>
      </c>
      <c r="DF3289">
        <v>603133</v>
      </c>
      <c r="DG3289" t="s">
        <v>116</v>
      </c>
      <c r="DH3289" t="s">
        <v>116</v>
      </c>
      <c r="DI3289" t="s">
        <v>116</v>
      </c>
    </row>
    <row r="3290" spans="1:113" x14ac:dyDescent="0.4">
      <c r="A3290" t="str">
        <f>"603136"</f>
        <v>603136</v>
      </c>
      <c r="B3290" t="s">
        <v>14076</v>
      </c>
      <c r="C3290">
        <v>-1.1000000000000001</v>
      </c>
      <c r="D3290">
        <v>26.15</v>
      </c>
      <c r="E3290">
        <v>-0.28999999999999998</v>
      </c>
      <c r="F3290">
        <v>26.15</v>
      </c>
      <c r="G3290">
        <v>26.17</v>
      </c>
      <c r="H3290">
        <v>7807</v>
      </c>
      <c r="I3290">
        <v>58</v>
      </c>
      <c r="J3290">
        <v>0.31</v>
      </c>
      <c r="K3290">
        <v>2.69</v>
      </c>
      <c r="L3290">
        <v>26.54</v>
      </c>
      <c r="M3290">
        <v>26.63</v>
      </c>
      <c r="N3290">
        <v>26.02</v>
      </c>
      <c r="O3290">
        <v>26.44</v>
      </c>
      <c r="P3290">
        <v>19.79</v>
      </c>
      <c r="Q3290">
        <v>20539260</v>
      </c>
      <c r="R3290">
        <v>0.76</v>
      </c>
      <c r="S3290" t="s">
        <v>493</v>
      </c>
      <c r="T3290" t="s">
        <v>323</v>
      </c>
      <c r="U3290">
        <v>2.31</v>
      </c>
      <c r="V3290">
        <v>26.31</v>
      </c>
      <c r="W3290">
        <v>4977</v>
      </c>
      <c r="X3290">
        <v>2830</v>
      </c>
      <c r="Y3290">
        <v>1.76</v>
      </c>
      <c r="Z3290">
        <v>12</v>
      </c>
      <c r="AA3290">
        <v>26</v>
      </c>
      <c r="AB3290" t="s">
        <v>116</v>
      </c>
      <c r="AC3290">
        <v>10600</v>
      </c>
      <c r="AD3290">
        <v>0</v>
      </c>
      <c r="AE3290" t="s">
        <v>116</v>
      </c>
      <c r="AF3290" t="s">
        <v>116</v>
      </c>
      <c r="AG3290">
        <v>0.28999999999999998</v>
      </c>
      <c r="AH3290" t="s">
        <v>14077</v>
      </c>
      <c r="AI3290" t="s">
        <v>235</v>
      </c>
      <c r="AJ3290">
        <v>-1.02</v>
      </c>
      <c r="AK3290">
        <v>979</v>
      </c>
      <c r="AL3290">
        <v>8</v>
      </c>
      <c r="AM3290">
        <v>2.7000000000000001E-3</v>
      </c>
      <c r="AN3290">
        <v>-1</v>
      </c>
      <c r="AO3290">
        <v>1.67</v>
      </c>
      <c r="AP3290">
        <v>8.15</v>
      </c>
      <c r="AQ3290">
        <v>8.69</v>
      </c>
      <c r="AR3290">
        <v>32.67</v>
      </c>
      <c r="AS3290">
        <v>2.69</v>
      </c>
      <c r="AT3290" t="s">
        <v>14077</v>
      </c>
      <c r="AU3290">
        <v>24.55</v>
      </c>
      <c r="AV3290">
        <v>29.39</v>
      </c>
      <c r="AW3290">
        <v>0.71</v>
      </c>
      <c r="BA3290">
        <v>0.38</v>
      </c>
      <c r="BB3290">
        <v>0.72</v>
      </c>
      <c r="BC3290">
        <v>-1.59</v>
      </c>
      <c r="BD3290">
        <v>-0.5</v>
      </c>
      <c r="BE3290">
        <v>-1.47</v>
      </c>
      <c r="BF3290">
        <v>-1.8</v>
      </c>
      <c r="BG3290">
        <v>0.5</v>
      </c>
      <c r="BH3290">
        <v>-0.6</v>
      </c>
      <c r="BI3290">
        <v>20191031</v>
      </c>
      <c r="BJ3290">
        <v>20170927</v>
      </c>
      <c r="BK3290">
        <v>1.1599999999999999</v>
      </c>
      <c r="BL3290" t="s">
        <v>116</v>
      </c>
      <c r="BM3290" t="s">
        <v>116</v>
      </c>
      <c r="BN3290">
        <v>11.98</v>
      </c>
      <c r="BO3290">
        <v>8.93</v>
      </c>
      <c r="BP3290">
        <v>0.86</v>
      </c>
      <c r="BQ3290">
        <v>18.27</v>
      </c>
      <c r="BR3290">
        <v>3.51</v>
      </c>
      <c r="BS3290">
        <v>6.31</v>
      </c>
      <c r="BT3290">
        <v>1.17</v>
      </c>
      <c r="BU3290">
        <v>2.14</v>
      </c>
      <c r="BV3290">
        <v>7.0000000000000007E-2</v>
      </c>
      <c r="BW3290">
        <v>7.0000000000000007E-2</v>
      </c>
      <c r="BX3290">
        <v>3.2</v>
      </c>
      <c r="BY3290">
        <v>3.87</v>
      </c>
      <c r="BZ3290">
        <v>1.19</v>
      </c>
      <c r="CA3290">
        <v>1.75</v>
      </c>
      <c r="CB3290">
        <v>0.01</v>
      </c>
      <c r="CC3290">
        <v>1.75</v>
      </c>
      <c r="CD3290">
        <v>1.32</v>
      </c>
      <c r="CE3290">
        <v>1.1499999999999999</v>
      </c>
      <c r="CF3290">
        <v>1.1299999999999999</v>
      </c>
      <c r="CG3290">
        <v>4.04</v>
      </c>
      <c r="CH3290">
        <v>1.88</v>
      </c>
      <c r="CI3290">
        <v>0.93</v>
      </c>
      <c r="CJ3290">
        <v>11792</v>
      </c>
      <c r="CK3290">
        <v>2459</v>
      </c>
      <c r="CL3290" t="s">
        <v>10130</v>
      </c>
      <c r="CM3290">
        <v>21.48</v>
      </c>
      <c r="CN3290">
        <v>5.31</v>
      </c>
      <c r="CO3290">
        <v>3.4</v>
      </c>
      <c r="CP3290">
        <v>16.14</v>
      </c>
      <c r="CQ3290">
        <v>7.84</v>
      </c>
      <c r="CR3290">
        <v>1.98</v>
      </c>
      <c r="CS3290" t="s">
        <v>14078</v>
      </c>
      <c r="CT3290">
        <v>7.7</v>
      </c>
      <c r="CU3290">
        <v>0</v>
      </c>
      <c r="CV3290">
        <v>2.76</v>
      </c>
      <c r="CW3290">
        <v>3.48</v>
      </c>
      <c r="CX3290">
        <v>1.62</v>
      </c>
      <c r="CY3290">
        <v>74.52</v>
      </c>
      <c r="CZ3290" t="s">
        <v>7953</v>
      </c>
      <c r="DA3290">
        <v>69.14</v>
      </c>
      <c r="DB3290">
        <v>45.27</v>
      </c>
      <c r="DC3290">
        <v>29.71</v>
      </c>
      <c r="DD3290">
        <v>0</v>
      </c>
      <c r="DE3290">
        <v>1176</v>
      </c>
      <c r="DF3290">
        <v>603136</v>
      </c>
      <c r="DG3290" t="s">
        <v>116</v>
      </c>
      <c r="DH3290" t="s">
        <v>116</v>
      </c>
      <c r="DI3290" t="s">
        <v>116</v>
      </c>
    </row>
    <row r="3291" spans="1:113" x14ac:dyDescent="0.4">
      <c r="A3291" t="str">
        <f>"603138"</f>
        <v>603138</v>
      </c>
      <c r="B3291" t="s">
        <v>14079</v>
      </c>
      <c r="C3291">
        <v>1.1399999999999999</v>
      </c>
      <c r="D3291">
        <v>16</v>
      </c>
      <c r="E3291">
        <v>0.18</v>
      </c>
      <c r="F3291">
        <v>16</v>
      </c>
      <c r="G3291">
        <v>16.010000000000002</v>
      </c>
      <c r="H3291">
        <v>57033</v>
      </c>
      <c r="I3291">
        <v>1127</v>
      </c>
      <c r="J3291">
        <v>0.25</v>
      </c>
      <c r="K3291">
        <v>8.5</v>
      </c>
      <c r="L3291">
        <v>15.9</v>
      </c>
      <c r="M3291">
        <v>16.45</v>
      </c>
      <c r="N3291">
        <v>15.69</v>
      </c>
      <c r="O3291">
        <v>15.82</v>
      </c>
      <c r="P3291">
        <v>76.09</v>
      </c>
      <c r="Q3291">
        <v>91572664</v>
      </c>
      <c r="R3291">
        <v>2.1</v>
      </c>
      <c r="S3291" t="s">
        <v>607</v>
      </c>
      <c r="T3291" t="s">
        <v>165</v>
      </c>
      <c r="U3291">
        <v>4.8</v>
      </c>
      <c r="V3291">
        <v>16.059999999999999</v>
      </c>
      <c r="W3291">
        <v>27579</v>
      </c>
      <c r="X3291">
        <v>29454</v>
      </c>
      <c r="Y3291">
        <v>0.94</v>
      </c>
      <c r="Z3291">
        <v>312</v>
      </c>
      <c r="AA3291">
        <v>42</v>
      </c>
      <c r="AB3291" t="s">
        <v>116</v>
      </c>
      <c r="AC3291">
        <v>260800</v>
      </c>
      <c r="AD3291">
        <v>0.02</v>
      </c>
      <c r="AE3291" t="s">
        <v>116</v>
      </c>
      <c r="AF3291" t="s">
        <v>116</v>
      </c>
      <c r="AG3291">
        <v>0.67</v>
      </c>
      <c r="AH3291" t="s">
        <v>5035</v>
      </c>
      <c r="AI3291" t="s">
        <v>4177</v>
      </c>
      <c r="AJ3291">
        <v>1.21</v>
      </c>
      <c r="AK3291">
        <v>1736</v>
      </c>
      <c r="AL3291">
        <v>33</v>
      </c>
      <c r="AM3291">
        <v>4.8999999999999998E-3</v>
      </c>
      <c r="AN3291">
        <v>4</v>
      </c>
      <c r="AO3291">
        <v>3.77</v>
      </c>
      <c r="AP3291">
        <v>9.07</v>
      </c>
      <c r="AQ3291">
        <v>-4.6500000000000004</v>
      </c>
      <c r="AR3291">
        <v>20.95</v>
      </c>
      <c r="AS3291">
        <v>8.5</v>
      </c>
      <c r="AT3291" t="s">
        <v>5035</v>
      </c>
      <c r="AU3291">
        <v>73.77</v>
      </c>
      <c r="AV3291">
        <v>62.23</v>
      </c>
      <c r="AW3291">
        <v>1.86</v>
      </c>
      <c r="BA3291">
        <v>0.51</v>
      </c>
      <c r="BB3291">
        <v>3.98</v>
      </c>
      <c r="BC3291">
        <v>-0.82</v>
      </c>
      <c r="BD3291">
        <v>1.49</v>
      </c>
      <c r="BE3291">
        <v>0.63</v>
      </c>
      <c r="BF3291">
        <v>-2.74</v>
      </c>
      <c r="BG3291">
        <v>1.98</v>
      </c>
      <c r="BH3291">
        <v>-0.35</v>
      </c>
      <c r="BI3291">
        <v>20191030</v>
      </c>
      <c r="BJ3291">
        <v>20170306</v>
      </c>
      <c r="BK3291">
        <v>2.11</v>
      </c>
      <c r="BL3291" t="s">
        <v>116</v>
      </c>
      <c r="BM3291" t="s">
        <v>116</v>
      </c>
      <c r="BN3291">
        <v>6.66</v>
      </c>
      <c r="BO3291">
        <v>4.55</v>
      </c>
      <c r="BP3291">
        <v>-0.01</v>
      </c>
      <c r="BQ3291">
        <v>31.85</v>
      </c>
      <c r="BR3291">
        <v>6.15</v>
      </c>
      <c r="BS3291">
        <v>0.06</v>
      </c>
      <c r="BT3291">
        <v>7.0000000000000007E-2</v>
      </c>
      <c r="BU3291">
        <v>1.61</v>
      </c>
      <c r="BV3291">
        <v>0.37</v>
      </c>
      <c r="BW3291">
        <v>1.96</v>
      </c>
      <c r="BX3291">
        <v>0.59</v>
      </c>
      <c r="BY3291">
        <v>3.83</v>
      </c>
      <c r="BZ3291">
        <v>2.74</v>
      </c>
      <c r="CA3291">
        <v>0.38</v>
      </c>
      <c r="CB3291">
        <v>0.03</v>
      </c>
      <c r="CC3291">
        <v>0.38</v>
      </c>
      <c r="CD3291">
        <v>0.32</v>
      </c>
      <c r="CE3291">
        <v>0.33</v>
      </c>
      <c r="CF3291">
        <v>0.31</v>
      </c>
      <c r="CG3291">
        <v>1.72</v>
      </c>
      <c r="CH3291">
        <v>-0.42</v>
      </c>
      <c r="CI3291">
        <v>-1.65</v>
      </c>
      <c r="CJ3291">
        <v>20763</v>
      </c>
      <c r="CK3291">
        <v>3233</v>
      </c>
      <c r="CL3291" t="s">
        <v>5173</v>
      </c>
      <c r="CM3291">
        <v>-20.329999999999998</v>
      </c>
      <c r="CN3291">
        <v>-0.75</v>
      </c>
      <c r="CO3291">
        <v>7.41</v>
      </c>
      <c r="CP3291">
        <v>-80.53</v>
      </c>
      <c r="CQ3291">
        <v>8.7899999999999991</v>
      </c>
      <c r="CR3291">
        <v>0.49</v>
      </c>
      <c r="CS3291" t="s">
        <v>3427</v>
      </c>
      <c r="CT3291">
        <v>2.16</v>
      </c>
      <c r="CU3291">
        <v>0</v>
      </c>
      <c r="CV3291">
        <v>0.28000000000000003</v>
      </c>
      <c r="CW3291">
        <v>0.81</v>
      </c>
      <c r="CX3291">
        <v>-0.2</v>
      </c>
      <c r="CY3291">
        <v>68.319999999999993</v>
      </c>
      <c r="CZ3291" t="s">
        <v>3359</v>
      </c>
      <c r="DA3291">
        <v>28.61</v>
      </c>
      <c r="DB3291">
        <v>9.91</v>
      </c>
      <c r="DC3291">
        <v>8.67</v>
      </c>
      <c r="DD3291">
        <v>0.34</v>
      </c>
      <c r="DE3291">
        <v>303</v>
      </c>
      <c r="DF3291">
        <v>603138</v>
      </c>
      <c r="DG3291" t="s">
        <v>116</v>
      </c>
      <c r="DH3291" t="s">
        <v>116</v>
      </c>
      <c r="DI3291" t="s">
        <v>116</v>
      </c>
    </row>
    <row r="3292" spans="1:113" x14ac:dyDescent="0.4">
      <c r="A3292" t="str">
        <f>"603139"</f>
        <v>603139</v>
      </c>
      <c r="B3292" t="s">
        <v>14080</v>
      </c>
      <c r="C3292">
        <v>-1.1200000000000001</v>
      </c>
      <c r="D3292">
        <v>16.78</v>
      </c>
      <c r="E3292">
        <v>-0.19</v>
      </c>
      <c r="F3292">
        <v>16.77</v>
      </c>
      <c r="G3292">
        <v>16.78</v>
      </c>
      <c r="H3292">
        <v>5286</v>
      </c>
      <c r="I3292">
        <v>31</v>
      </c>
      <c r="J3292">
        <v>0</v>
      </c>
      <c r="K3292">
        <v>0.99</v>
      </c>
      <c r="L3292">
        <v>16.97</v>
      </c>
      <c r="M3292">
        <v>17.05</v>
      </c>
      <c r="N3292">
        <v>16.760000000000002</v>
      </c>
      <c r="O3292">
        <v>16.97</v>
      </c>
      <c r="P3292">
        <v>38.880000000000003</v>
      </c>
      <c r="Q3292">
        <v>8938092</v>
      </c>
      <c r="R3292">
        <v>1.1000000000000001</v>
      </c>
      <c r="S3292" t="s">
        <v>781</v>
      </c>
      <c r="T3292" t="s">
        <v>913</v>
      </c>
      <c r="U3292">
        <v>1.71</v>
      </c>
      <c r="V3292">
        <v>16.91</v>
      </c>
      <c r="W3292">
        <v>2699</v>
      </c>
      <c r="X3292">
        <v>2587</v>
      </c>
      <c r="Y3292">
        <v>1.04</v>
      </c>
      <c r="Z3292">
        <v>31</v>
      </c>
      <c r="AA3292">
        <v>35</v>
      </c>
      <c r="AB3292" t="s">
        <v>116</v>
      </c>
      <c r="AC3292">
        <v>0</v>
      </c>
      <c r="AD3292">
        <v>0</v>
      </c>
      <c r="AE3292" t="s">
        <v>116</v>
      </c>
      <c r="AF3292" t="s">
        <v>116</v>
      </c>
      <c r="AG3292">
        <v>0.54</v>
      </c>
      <c r="AH3292" t="s">
        <v>9314</v>
      </c>
      <c r="AI3292" t="s">
        <v>348</v>
      </c>
      <c r="AJ3292">
        <v>-1.04</v>
      </c>
      <c r="AK3292">
        <v>594</v>
      </c>
      <c r="AL3292">
        <v>9</v>
      </c>
      <c r="AM3292">
        <v>1.6999999999999999E-3</v>
      </c>
      <c r="AN3292">
        <v>-1</v>
      </c>
      <c r="AO3292">
        <v>0</v>
      </c>
      <c r="AP3292">
        <v>3.45</v>
      </c>
      <c r="AQ3292">
        <v>1.08</v>
      </c>
      <c r="AR3292">
        <v>9.5500000000000007</v>
      </c>
      <c r="AS3292">
        <v>1.43</v>
      </c>
      <c r="AT3292" t="s">
        <v>10312</v>
      </c>
      <c r="AU3292">
        <v>30.41</v>
      </c>
      <c r="AV3292">
        <v>30.13</v>
      </c>
      <c r="AW3292">
        <v>1.37</v>
      </c>
      <c r="BA3292">
        <v>0</v>
      </c>
      <c r="BB3292">
        <v>0.47</v>
      </c>
      <c r="BC3292">
        <v>-1.24</v>
      </c>
      <c r="BD3292">
        <v>-0.36</v>
      </c>
      <c r="BE3292">
        <v>-1.1200000000000001</v>
      </c>
      <c r="BF3292">
        <v>-1.58</v>
      </c>
      <c r="BG3292">
        <v>0.12</v>
      </c>
      <c r="BH3292">
        <v>-0.76</v>
      </c>
      <c r="BI3292">
        <v>20191024</v>
      </c>
      <c r="BJ3292">
        <v>20170421</v>
      </c>
      <c r="BK3292">
        <v>1</v>
      </c>
      <c r="BL3292" t="s">
        <v>116</v>
      </c>
      <c r="BM3292" t="s">
        <v>116</v>
      </c>
      <c r="BN3292">
        <v>10.94</v>
      </c>
      <c r="BO3292">
        <v>9.68</v>
      </c>
      <c r="BP3292">
        <v>0.38</v>
      </c>
      <c r="BQ3292">
        <v>8.14</v>
      </c>
      <c r="BR3292">
        <v>8.6199999999999992</v>
      </c>
      <c r="BS3292">
        <v>0.63</v>
      </c>
      <c r="BT3292">
        <v>0.61</v>
      </c>
      <c r="BU3292">
        <v>0.79</v>
      </c>
      <c r="BV3292">
        <v>1</v>
      </c>
      <c r="BW3292">
        <v>1.86</v>
      </c>
      <c r="BX3292">
        <v>4.12</v>
      </c>
      <c r="BY3292">
        <v>3.05</v>
      </c>
      <c r="BZ3292">
        <v>1.59</v>
      </c>
      <c r="CA3292">
        <v>0.42</v>
      </c>
      <c r="CB3292">
        <v>0.05</v>
      </c>
      <c r="CC3292">
        <v>0.42</v>
      </c>
      <c r="CD3292">
        <v>0.35</v>
      </c>
      <c r="CE3292">
        <v>0.32</v>
      </c>
      <c r="CF3292">
        <v>0.28000000000000003</v>
      </c>
      <c r="CG3292">
        <v>4.0999999999999996</v>
      </c>
      <c r="CH3292">
        <v>-0.27</v>
      </c>
      <c r="CI3292">
        <v>-0.34</v>
      </c>
      <c r="CJ3292">
        <v>9783</v>
      </c>
      <c r="CK3292">
        <v>3778</v>
      </c>
      <c r="CL3292" t="s">
        <v>2372</v>
      </c>
      <c r="CM3292">
        <v>-1.56</v>
      </c>
      <c r="CN3292">
        <v>22.91</v>
      </c>
      <c r="CO3292">
        <v>1.73</v>
      </c>
      <c r="CP3292">
        <v>-62.1</v>
      </c>
      <c r="CQ3292">
        <v>5.49</v>
      </c>
      <c r="CR3292">
        <v>0.67</v>
      </c>
      <c r="CS3292" t="s">
        <v>2343</v>
      </c>
      <c r="CT3292">
        <v>9.69</v>
      </c>
      <c r="CU3292">
        <v>0</v>
      </c>
      <c r="CV3292">
        <v>4.13</v>
      </c>
      <c r="CW3292">
        <v>4.1100000000000003</v>
      </c>
      <c r="CX3292">
        <v>-0.27</v>
      </c>
      <c r="CY3292">
        <v>88.42</v>
      </c>
      <c r="CZ3292" t="s">
        <v>658</v>
      </c>
      <c r="DA3292">
        <v>47.82</v>
      </c>
      <c r="DB3292">
        <v>13.93</v>
      </c>
      <c r="DC3292">
        <v>10.6</v>
      </c>
      <c r="DD3292">
        <v>0.05</v>
      </c>
      <c r="DE3292">
        <v>874</v>
      </c>
      <c r="DF3292">
        <v>603139</v>
      </c>
      <c r="DG3292" t="s">
        <v>116</v>
      </c>
      <c r="DH3292" t="s">
        <v>116</v>
      </c>
      <c r="DI3292" t="s">
        <v>116</v>
      </c>
    </row>
    <row r="3293" spans="1:113" x14ac:dyDescent="0.4">
      <c r="A3293" t="str">
        <f>"603156"</f>
        <v>603156</v>
      </c>
      <c r="B3293" t="s">
        <v>14081</v>
      </c>
      <c r="C3293">
        <v>-0.28000000000000003</v>
      </c>
      <c r="D3293">
        <v>28.49</v>
      </c>
      <c r="E3293">
        <v>-0.08</v>
      </c>
      <c r="F3293">
        <v>28.35</v>
      </c>
      <c r="G3293">
        <v>28.49</v>
      </c>
      <c r="H3293">
        <v>23605</v>
      </c>
      <c r="I3293">
        <v>602</v>
      </c>
      <c r="J3293">
        <v>0.56000000000000005</v>
      </c>
      <c r="K3293">
        <v>0.37</v>
      </c>
      <c r="L3293">
        <v>28.66</v>
      </c>
      <c r="M3293">
        <v>28.77</v>
      </c>
      <c r="N3293">
        <v>28.29</v>
      </c>
      <c r="O3293">
        <v>28.57</v>
      </c>
      <c r="P3293">
        <v>13.02</v>
      </c>
      <c r="Q3293">
        <v>67415664</v>
      </c>
      <c r="R3293">
        <v>1.1399999999999999</v>
      </c>
      <c r="S3293" t="s">
        <v>2407</v>
      </c>
      <c r="T3293" t="s">
        <v>608</v>
      </c>
      <c r="U3293">
        <v>1.68</v>
      </c>
      <c r="V3293">
        <v>28.56</v>
      </c>
      <c r="W3293">
        <v>12377</v>
      </c>
      <c r="X3293">
        <v>11228</v>
      </c>
      <c r="Y3293">
        <v>1.1000000000000001</v>
      </c>
      <c r="Z3293">
        <v>24</v>
      </c>
      <c r="AA3293">
        <v>38</v>
      </c>
      <c r="AB3293" t="s">
        <v>116</v>
      </c>
      <c r="AC3293">
        <v>137600</v>
      </c>
      <c r="AD3293">
        <v>0</v>
      </c>
      <c r="AE3293" t="s">
        <v>116</v>
      </c>
      <c r="AF3293" t="s">
        <v>116</v>
      </c>
      <c r="AG3293">
        <v>6.39</v>
      </c>
      <c r="AH3293" t="s">
        <v>14082</v>
      </c>
      <c r="AI3293" t="s">
        <v>14083</v>
      </c>
      <c r="AJ3293">
        <v>-0.2</v>
      </c>
      <c r="AK3293">
        <v>1815</v>
      </c>
      <c r="AL3293">
        <v>13</v>
      </c>
      <c r="AM3293">
        <v>2.0000000000000001E-4</v>
      </c>
      <c r="AN3293">
        <v>-1</v>
      </c>
      <c r="AO3293">
        <v>0.11</v>
      </c>
      <c r="AP3293">
        <v>-2.73</v>
      </c>
      <c r="AQ3293">
        <v>0.81</v>
      </c>
      <c r="AR3293">
        <v>3.39</v>
      </c>
      <c r="AS3293">
        <v>0.55000000000000004</v>
      </c>
      <c r="AT3293" t="s">
        <v>14084</v>
      </c>
      <c r="AU3293">
        <v>10.63</v>
      </c>
      <c r="AV3293">
        <v>10.59</v>
      </c>
      <c r="AW3293">
        <v>0.79</v>
      </c>
      <c r="BA3293">
        <v>0.32</v>
      </c>
      <c r="BB3293">
        <v>0.7</v>
      </c>
      <c r="BC3293">
        <v>-0.98</v>
      </c>
      <c r="BD3293">
        <v>-0.03</v>
      </c>
      <c r="BE3293">
        <v>-0.59</v>
      </c>
      <c r="BF3293">
        <v>-0.97</v>
      </c>
      <c r="BG3293">
        <v>0.71</v>
      </c>
      <c r="BH3293">
        <v>-0.25</v>
      </c>
      <c r="BI3293">
        <v>20191026</v>
      </c>
      <c r="BJ3293">
        <v>20180212</v>
      </c>
      <c r="BK3293">
        <v>10.55</v>
      </c>
      <c r="BL3293" t="s">
        <v>116</v>
      </c>
      <c r="BM3293" t="s">
        <v>116</v>
      </c>
      <c r="BN3293">
        <v>127.77</v>
      </c>
      <c r="BO3293">
        <v>114.58</v>
      </c>
      <c r="BP3293">
        <v>0</v>
      </c>
      <c r="BQ3293">
        <v>10.32</v>
      </c>
      <c r="BR3293">
        <v>105.6</v>
      </c>
      <c r="BS3293">
        <v>6.02</v>
      </c>
      <c r="BT3293">
        <v>1.27</v>
      </c>
      <c r="BU3293">
        <v>11.98</v>
      </c>
      <c r="BV3293">
        <v>5.21</v>
      </c>
      <c r="BW3293">
        <v>0.31</v>
      </c>
      <c r="BX3293">
        <v>29.21</v>
      </c>
      <c r="BY3293">
        <v>48.81</v>
      </c>
      <c r="BZ3293">
        <v>23.5</v>
      </c>
      <c r="CA3293">
        <v>21.55</v>
      </c>
      <c r="CB3293">
        <v>2.02</v>
      </c>
      <c r="CC3293">
        <v>21.6</v>
      </c>
      <c r="CD3293">
        <v>17.309999999999999</v>
      </c>
      <c r="CE3293">
        <v>17.309999999999999</v>
      </c>
      <c r="CF3293">
        <v>13.82</v>
      </c>
      <c r="CG3293">
        <v>71.540000000000006</v>
      </c>
      <c r="CH3293">
        <v>-3.62</v>
      </c>
      <c r="CI3293">
        <v>-30.04</v>
      </c>
      <c r="CJ3293">
        <v>27036</v>
      </c>
      <c r="CK3293">
        <v>15931</v>
      </c>
      <c r="CL3293" t="s">
        <v>14085</v>
      </c>
      <c r="CM3293">
        <v>-0.59</v>
      </c>
      <c r="CN3293">
        <v>-15.21</v>
      </c>
      <c r="CO3293">
        <v>2.62</v>
      </c>
      <c r="CP3293">
        <v>-83.06</v>
      </c>
      <c r="CQ3293">
        <v>6.16</v>
      </c>
      <c r="CR3293">
        <v>7.52</v>
      </c>
      <c r="CS3293" t="s">
        <v>14086</v>
      </c>
      <c r="CT3293">
        <v>10.87</v>
      </c>
      <c r="CU3293">
        <v>0</v>
      </c>
      <c r="CV3293">
        <v>2.77</v>
      </c>
      <c r="CW3293">
        <v>6.78</v>
      </c>
      <c r="CX3293">
        <v>-0.34</v>
      </c>
      <c r="CY3293">
        <v>89.68</v>
      </c>
      <c r="CZ3293" t="s">
        <v>14087</v>
      </c>
      <c r="DA3293">
        <v>51.85</v>
      </c>
      <c r="DB3293">
        <v>44.14</v>
      </c>
      <c r="DC3293">
        <v>35.450000000000003</v>
      </c>
      <c r="DD3293">
        <v>0.19</v>
      </c>
      <c r="DE3293">
        <v>2307</v>
      </c>
      <c r="DF3293">
        <v>603156</v>
      </c>
      <c r="DG3293" t="s">
        <v>116</v>
      </c>
      <c r="DH3293" t="s">
        <v>116</v>
      </c>
      <c r="DI3293" t="s">
        <v>116</v>
      </c>
    </row>
    <row r="3294" spans="1:113" x14ac:dyDescent="0.4">
      <c r="A3294" t="str">
        <f>"603157"</f>
        <v>603157</v>
      </c>
      <c r="B3294" t="s">
        <v>14088</v>
      </c>
      <c r="C3294">
        <v>4.4800000000000004</v>
      </c>
      <c r="D3294">
        <v>6.06</v>
      </c>
      <c r="E3294">
        <v>0.26</v>
      </c>
      <c r="F3294">
        <v>6.05</v>
      </c>
      <c r="G3294">
        <v>6.06</v>
      </c>
      <c r="H3294">
        <v>212448</v>
      </c>
      <c r="I3294">
        <v>3681</v>
      </c>
      <c r="J3294">
        <v>-0.15</v>
      </c>
      <c r="K3294">
        <v>14.57</v>
      </c>
      <c r="L3294">
        <v>5.82</v>
      </c>
      <c r="M3294">
        <v>6.29</v>
      </c>
      <c r="N3294">
        <v>5.79</v>
      </c>
      <c r="O3294">
        <v>5.8</v>
      </c>
      <c r="P3294" t="s">
        <v>116</v>
      </c>
      <c r="Q3294">
        <v>128562904</v>
      </c>
      <c r="R3294">
        <v>1.35</v>
      </c>
      <c r="S3294" t="s">
        <v>3070</v>
      </c>
      <c r="T3294" t="s">
        <v>1653</v>
      </c>
      <c r="U3294">
        <v>8.6199999999999992</v>
      </c>
      <c r="V3294">
        <v>6.05</v>
      </c>
      <c r="W3294">
        <v>86159</v>
      </c>
      <c r="X3294">
        <v>126289</v>
      </c>
      <c r="Y3294">
        <v>0.68</v>
      </c>
      <c r="Z3294">
        <v>520</v>
      </c>
      <c r="AA3294">
        <v>46</v>
      </c>
      <c r="AB3294" t="s">
        <v>116</v>
      </c>
      <c r="AC3294">
        <v>92500</v>
      </c>
      <c r="AD3294">
        <v>0.01</v>
      </c>
      <c r="AE3294" t="s">
        <v>116</v>
      </c>
      <c r="AF3294" t="s">
        <v>116</v>
      </c>
      <c r="AG3294">
        <v>1.46</v>
      </c>
      <c r="AH3294" t="s">
        <v>13962</v>
      </c>
      <c r="AI3294" t="s">
        <v>159</v>
      </c>
      <c r="AJ3294">
        <v>4.5599999999999996</v>
      </c>
      <c r="AK3294">
        <v>2692</v>
      </c>
      <c r="AL3294">
        <v>79</v>
      </c>
      <c r="AM3294">
        <v>5.4000000000000003E-3</v>
      </c>
      <c r="AN3294">
        <v>1</v>
      </c>
      <c r="AO3294">
        <v>6.5</v>
      </c>
      <c r="AP3294">
        <v>36.79</v>
      </c>
      <c r="AQ3294">
        <v>19.53</v>
      </c>
      <c r="AR3294">
        <v>-29.21</v>
      </c>
      <c r="AS3294">
        <v>14.57</v>
      </c>
      <c r="AT3294" t="s">
        <v>13962</v>
      </c>
      <c r="AU3294" t="s">
        <v>116</v>
      </c>
      <c r="AV3294" t="s">
        <v>116</v>
      </c>
      <c r="AW3294">
        <v>2.27</v>
      </c>
      <c r="BA3294">
        <v>0.34</v>
      </c>
      <c r="BB3294">
        <v>8.4499999999999993</v>
      </c>
      <c r="BC3294">
        <v>-0.17</v>
      </c>
      <c r="BD3294">
        <v>4.34</v>
      </c>
      <c r="BE3294">
        <v>4.12</v>
      </c>
      <c r="BF3294">
        <v>-3.66</v>
      </c>
      <c r="BG3294">
        <v>4.66</v>
      </c>
      <c r="BH3294">
        <v>0.15</v>
      </c>
      <c r="BI3294">
        <v>20191030</v>
      </c>
      <c r="BJ3294">
        <v>20170925</v>
      </c>
      <c r="BK3294">
        <v>5.48</v>
      </c>
      <c r="BL3294" t="s">
        <v>116</v>
      </c>
      <c r="BM3294">
        <v>2.15</v>
      </c>
      <c r="BN3294">
        <v>97.02</v>
      </c>
      <c r="BO3294">
        <v>26.6</v>
      </c>
      <c r="BP3294">
        <v>-1.19</v>
      </c>
      <c r="BQ3294">
        <v>73.81</v>
      </c>
      <c r="BR3294">
        <v>38.049999999999997</v>
      </c>
      <c r="BS3294">
        <v>16.54</v>
      </c>
      <c r="BT3294">
        <v>3.24</v>
      </c>
      <c r="BU3294">
        <v>53.19</v>
      </c>
      <c r="BV3294">
        <v>21.99</v>
      </c>
      <c r="BW3294">
        <v>5.87</v>
      </c>
      <c r="BX3294">
        <v>19.11</v>
      </c>
      <c r="BY3294">
        <v>57.57</v>
      </c>
      <c r="BZ3294">
        <v>23.63</v>
      </c>
      <c r="CA3294">
        <v>-11.23</v>
      </c>
      <c r="CB3294">
        <v>0.7</v>
      </c>
      <c r="CC3294">
        <v>-11.36</v>
      </c>
      <c r="CD3294">
        <v>-8.86</v>
      </c>
      <c r="CE3294">
        <v>-8.25</v>
      </c>
      <c r="CF3294">
        <v>-9.1300000000000008</v>
      </c>
      <c r="CG3294">
        <v>-0.54</v>
      </c>
      <c r="CH3294">
        <v>14.1</v>
      </c>
      <c r="CI3294">
        <v>-2.97</v>
      </c>
      <c r="CJ3294">
        <v>22397</v>
      </c>
      <c r="CK3294">
        <v>6510</v>
      </c>
      <c r="CL3294" t="s">
        <v>895</v>
      </c>
      <c r="CM3294">
        <v>-444.69</v>
      </c>
      <c r="CN3294">
        <v>-7.16</v>
      </c>
      <c r="CO3294">
        <v>1.25</v>
      </c>
      <c r="CP3294">
        <v>2.35</v>
      </c>
      <c r="CQ3294">
        <v>0.57999999999999996</v>
      </c>
      <c r="CR3294">
        <v>0</v>
      </c>
      <c r="CS3294" t="s">
        <v>14089</v>
      </c>
      <c r="CT3294">
        <v>4.8600000000000003</v>
      </c>
      <c r="CU3294">
        <v>0</v>
      </c>
      <c r="CV3294">
        <v>3.49</v>
      </c>
      <c r="CW3294">
        <v>-0.1</v>
      </c>
      <c r="CX3294">
        <v>2.58</v>
      </c>
      <c r="CY3294">
        <v>27.42</v>
      </c>
      <c r="CZ3294" t="s">
        <v>14090</v>
      </c>
      <c r="DA3294">
        <v>58.96</v>
      </c>
      <c r="DB3294">
        <v>-19.510000000000002</v>
      </c>
      <c r="DC3294">
        <v>-14.32</v>
      </c>
      <c r="DD3294">
        <v>0</v>
      </c>
      <c r="DE3294">
        <v>33706</v>
      </c>
      <c r="DF3294">
        <v>603157</v>
      </c>
      <c r="DG3294" t="s">
        <v>116</v>
      </c>
      <c r="DH3294" t="s">
        <v>116</v>
      </c>
      <c r="DI3294" t="s">
        <v>116</v>
      </c>
    </row>
    <row r="3295" spans="1:113" x14ac:dyDescent="0.4">
      <c r="A3295" t="str">
        <f>"603158"</f>
        <v>603158</v>
      </c>
      <c r="B3295" t="s">
        <v>14091</v>
      </c>
      <c r="C3295">
        <v>-1.31</v>
      </c>
      <c r="D3295">
        <v>15.1</v>
      </c>
      <c r="E3295">
        <v>-0.2</v>
      </c>
      <c r="F3295">
        <v>15.09</v>
      </c>
      <c r="G3295">
        <v>15.1</v>
      </c>
      <c r="H3295">
        <v>7104</v>
      </c>
      <c r="I3295">
        <v>150</v>
      </c>
      <c r="J3295">
        <v>-0.39</v>
      </c>
      <c r="K3295">
        <v>0.33</v>
      </c>
      <c r="L3295">
        <v>15.33</v>
      </c>
      <c r="M3295">
        <v>15.5</v>
      </c>
      <c r="N3295">
        <v>15.1</v>
      </c>
      <c r="O3295">
        <v>15.3</v>
      </c>
      <c r="P3295">
        <v>31.17</v>
      </c>
      <c r="Q3295">
        <v>10841518</v>
      </c>
      <c r="R3295">
        <v>0.74</v>
      </c>
      <c r="S3295" t="s">
        <v>293</v>
      </c>
      <c r="T3295" t="s">
        <v>323</v>
      </c>
      <c r="U3295">
        <v>2.61</v>
      </c>
      <c r="V3295">
        <v>15.26</v>
      </c>
      <c r="W3295">
        <v>4230</v>
      </c>
      <c r="X3295">
        <v>2874</v>
      </c>
      <c r="Y3295">
        <v>1.47</v>
      </c>
      <c r="Z3295">
        <v>1</v>
      </c>
      <c r="AA3295">
        <v>33</v>
      </c>
      <c r="AB3295" t="s">
        <v>116</v>
      </c>
      <c r="AC3295">
        <v>0</v>
      </c>
      <c r="AD3295">
        <v>0</v>
      </c>
      <c r="AE3295" t="s">
        <v>116</v>
      </c>
      <c r="AF3295" t="s">
        <v>116</v>
      </c>
      <c r="AG3295">
        <v>2.17</v>
      </c>
      <c r="AH3295" t="s">
        <v>1052</v>
      </c>
      <c r="AI3295" t="s">
        <v>1052</v>
      </c>
      <c r="AJ3295">
        <v>-1.23</v>
      </c>
      <c r="AK3295">
        <v>800</v>
      </c>
      <c r="AL3295">
        <v>9</v>
      </c>
      <c r="AM3295">
        <v>4.0000000000000002E-4</v>
      </c>
      <c r="AN3295">
        <v>-1</v>
      </c>
      <c r="AO3295">
        <v>0.46</v>
      </c>
      <c r="AP3295">
        <v>7.02</v>
      </c>
      <c r="AQ3295">
        <v>12.69</v>
      </c>
      <c r="AR3295">
        <v>-6.96</v>
      </c>
      <c r="AS3295">
        <v>0.93</v>
      </c>
      <c r="AT3295" t="s">
        <v>14092</v>
      </c>
      <c r="AU3295">
        <v>28.89</v>
      </c>
      <c r="AV3295">
        <v>28.01</v>
      </c>
      <c r="AW3295">
        <v>0.86</v>
      </c>
      <c r="BA3295">
        <v>0.2</v>
      </c>
      <c r="BB3295">
        <v>1.31</v>
      </c>
      <c r="BC3295">
        <v>-1.31</v>
      </c>
      <c r="BD3295">
        <v>-0.25</v>
      </c>
      <c r="BE3295">
        <v>-1.5</v>
      </c>
      <c r="BF3295">
        <v>-2.58</v>
      </c>
      <c r="BG3295">
        <v>0</v>
      </c>
      <c r="BH3295">
        <v>-1.05</v>
      </c>
      <c r="BI3295">
        <v>20191029</v>
      </c>
      <c r="BJ3295">
        <v>20150320</v>
      </c>
      <c r="BK3295">
        <v>2.17</v>
      </c>
      <c r="BL3295" t="s">
        <v>116</v>
      </c>
      <c r="BM3295" t="s">
        <v>116</v>
      </c>
      <c r="BN3295">
        <v>17.98</v>
      </c>
      <c r="BO3295">
        <v>10.18</v>
      </c>
      <c r="BP3295">
        <v>1.01</v>
      </c>
      <c r="BQ3295">
        <v>37.799999999999997</v>
      </c>
      <c r="BR3295">
        <v>8.83</v>
      </c>
      <c r="BS3295">
        <v>4.4400000000000004</v>
      </c>
      <c r="BT3295">
        <v>0.71</v>
      </c>
      <c r="BU3295">
        <v>6.16</v>
      </c>
      <c r="BV3295">
        <v>2.71</v>
      </c>
      <c r="BW3295">
        <v>2.62</v>
      </c>
      <c r="BX3295">
        <v>2.75</v>
      </c>
      <c r="BY3295">
        <v>6.75</v>
      </c>
      <c r="BZ3295">
        <v>4.54</v>
      </c>
      <c r="CA3295">
        <v>0.94</v>
      </c>
      <c r="CB3295">
        <v>0.23</v>
      </c>
      <c r="CC3295">
        <v>0.95</v>
      </c>
      <c r="CD3295">
        <v>0.86</v>
      </c>
      <c r="CE3295">
        <v>0.79</v>
      </c>
      <c r="CF3295">
        <v>0.75</v>
      </c>
      <c r="CG3295">
        <v>5.37</v>
      </c>
      <c r="CH3295">
        <v>1.44</v>
      </c>
      <c r="CI3295">
        <v>-0.06</v>
      </c>
      <c r="CJ3295">
        <v>8162</v>
      </c>
      <c r="CK3295">
        <v>9359</v>
      </c>
      <c r="CL3295" t="s">
        <v>12377</v>
      </c>
      <c r="CM3295">
        <v>-4.28</v>
      </c>
      <c r="CN3295">
        <v>-8.51</v>
      </c>
      <c r="CO3295">
        <v>3.22</v>
      </c>
      <c r="CP3295">
        <v>22.78</v>
      </c>
      <c r="CQ3295">
        <v>4.8499999999999996</v>
      </c>
      <c r="CR3295">
        <v>0.91</v>
      </c>
      <c r="CS3295" t="s">
        <v>2505</v>
      </c>
      <c r="CT3295">
        <v>4.6900000000000004</v>
      </c>
      <c r="CU3295">
        <v>0</v>
      </c>
      <c r="CV3295">
        <v>1.27</v>
      </c>
      <c r="CW3295">
        <v>2.48</v>
      </c>
      <c r="CX3295">
        <v>0.66</v>
      </c>
      <c r="CY3295">
        <v>56.6</v>
      </c>
      <c r="CZ3295" t="s">
        <v>8589</v>
      </c>
      <c r="DA3295">
        <v>32.799999999999997</v>
      </c>
      <c r="DB3295">
        <v>13.87</v>
      </c>
      <c r="DC3295">
        <v>11.68</v>
      </c>
      <c r="DD3295">
        <v>0.42</v>
      </c>
      <c r="DE3295">
        <v>2012</v>
      </c>
      <c r="DF3295">
        <v>603158</v>
      </c>
      <c r="DG3295" t="s">
        <v>116</v>
      </c>
      <c r="DH3295" t="s">
        <v>116</v>
      </c>
      <c r="DI3295" t="s">
        <v>116</v>
      </c>
    </row>
    <row r="3296" spans="1:113" x14ac:dyDescent="0.4">
      <c r="A3296" t="str">
        <f>"603159"</f>
        <v>603159</v>
      </c>
      <c r="B3296" t="s">
        <v>14093</v>
      </c>
      <c r="C3296">
        <v>-0.7</v>
      </c>
      <c r="D3296">
        <v>11.38</v>
      </c>
      <c r="E3296">
        <v>-0.08</v>
      </c>
      <c r="F3296">
        <v>11.37</v>
      </c>
      <c r="G3296">
        <v>11.38</v>
      </c>
      <c r="H3296">
        <v>10009</v>
      </c>
      <c r="I3296">
        <v>289</v>
      </c>
      <c r="J3296">
        <v>-0.17</v>
      </c>
      <c r="K3296">
        <v>0.71</v>
      </c>
      <c r="L3296">
        <v>11.48</v>
      </c>
      <c r="M3296">
        <v>11.57</v>
      </c>
      <c r="N3296">
        <v>11.36</v>
      </c>
      <c r="O3296">
        <v>11.46</v>
      </c>
      <c r="P3296">
        <v>102.09</v>
      </c>
      <c r="Q3296">
        <v>11464938</v>
      </c>
      <c r="R3296">
        <v>1.07</v>
      </c>
      <c r="S3296" t="s">
        <v>682</v>
      </c>
      <c r="T3296" t="s">
        <v>1653</v>
      </c>
      <c r="U3296">
        <v>1.83</v>
      </c>
      <c r="V3296">
        <v>11.45</v>
      </c>
      <c r="W3296">
        <v>5310</v>
      </c>
      <c r="X3296">
        <v>4699</v>
      </c>
      <c r="Y3296">
        <v>1.1299999999999999</v>
      </c>
      <c r="Z3296">
        <v>22</v>
      </c>
      <c r="AA3296">
        <v>45</v>
      </c>
      <c r="AB3296" t="s">
        <v>116</v>
      </c>
      <c r="AC3296">
        <v>65400</v>
      </c>
      <c r="AD3296">
        <v>0.01</v>
      </c>
      <c r="AE3296" t="s">
        <v>116</v>
      </c>
      <c r="AF3296" t="s">
        <v>116</v>
      </c>
      <c r="AG3296">
        <v>1.4</v>
      </c>
      <c r="AH3296" t="s">
        <v>6888</v>
      </c>
      <c r="AI3296" t="s">
        <v>6888</v>
      </c>
      <c r="AJ3296">
        <v>-0.62</v>
      </c>
      <c r="AK3296">
        <v>665</v>
      </c>
      <c r="AL3296">
        <v>15</v>
      </c>
      <c r="AM3296">
        <v>1.1000000000000001E-3</v>
      </c>
      <c r="AN3296">
        <v>-1</v>
      </c>
      <c r="AO3296">
        <v>0.71</v>
      </c>
      <c r="AP3296">
        <v>6.65</v>
      </c>
      <c r="AQ3296">
        <v>-16.079999999999998</v>
      </c>
      <c r="AR3296">
        <v>-9.3699999999999992</v>
      </c>
      <c r="AS3296">
        <v>1.93</v>
      </c>
      <c r="AT3296" t="s">
        <v>14094</v>
      </c>
      <c r="AU3296">
        <v>64.14</v>
      </c>
      <c r="AV3296">
        <v>37.119999999999997</v>
      </c>
      <c r="AW3296">
        <v>1.31</v>
      </c>
      <c r="BA3296">
        <v>0.17</v>
      </c>
      <c r="BB3296">
        <v>0.96</v>
      </c>
      <c r="BC3296">
        <v>-0.87</v>
      </c>
      <c r="BD3296">
        <v>-0.05</v>
      </c>
      <c r="BE3296">
        <v>-0.87</v>
      </c>
      <c r="BF3296">
        <v>-1.64</v>
      </c>
      <c r="BG3296">
        <v>0.18</v>
      </c>
      <c r="BH3296">
        <v>-0.65</v>
      </c>
      <c r="BI3296">
        <v>20191029</v>
      </c>
      <c r="BJ3296">
        <v>20160812</v>
      </c>
      <c r="BK3296">
        <v>1.4</v>
      </c>
      <c r="BL3296" t="s">
        <v>116</v>
      </c>
      <c r="BM3296" t="s">
        <v>116</v>
      </c>
      <c r="BN3296">
        <v>5.48</v>
      </c>
      <c r="BO3296">
        <v>4.2</v>
      </c>
      <c r="BP3296">
        <v>0</v>
      </c>
      <c r="BQ3296">
        <v>23.38</v>
      </c>
      <c r="BR3296">
        <v>2.93</v>
      </c>
      <c r="BS3296">
        <v>1.64</v>
      </c>
      <c r="BT3296">
        <v>0.27</v>
      </c>
      <c r="BU3296">
        <v>1.19</v>
      </c>
      <c r="BV3296">
        <v>1.03</v>
      </c>
      <c r="BW3296">
        <v>1.23</v>
      </c>
      <c r="BX3296">
        <v>0.82</v>
      </c>
      <c r="BY3296">
        <v>3.93</v>
      </c>
      <c r="BZ3296">
        <v>3.21</v>
      </c>
      <c r="CA3296">
        <v>0.12</v>
      </c>
      <c r="CB3296">
        <v>0</v>
      </c>
      <c r="CC3296">
        <v>0.15</v>
      </c>
      <c r="CD3296">
        <v>0.12</v>
      </c>
      <c r="CE3296">
        <v>0.12</v>
      </c>
      <c r="CF3296">
        <v>0.08</v>
      </c>
      <c r="CG3296">
        <v>1.76</v>
      </c>
      <c r="CH3296">
        <v>0.62</v>
      </c>
      <c r="CI3296">
        <v>-0.03</v>
      </c>
      <c r="CJ3296">
        <v>13594</v>
      </c>
      <c r="CK3296">
        <v>3820</v>
      </c>
      <c r="CL3296" t="s">
        <v>2912</v>
      </c>
      <c r="CM3296">
        <v>-60.71</v>
      </c>
      <c r="CN3296">
        <v>-17.079999999999998</v>
      </c>
      <c r="CO3296">
        <v>3.79</v>
      </c>
      <c r="CP3296">
        <v>25.66</v>
      </c>
      <c r="CQ3296">
        <v>4.0599999999999996</v>
      </c>
      <c r="CR3296">
        <v>0.94</v>
      </c>
      <c r="CS3296" t="s">
        <v>3917</v>
      </c>
      <c r="CT3296">
        <v>3</v>
      </c>
      <c r="CU3296">
        <v>0</v>
      </c>
      <c r="CV3296">
        <v>0.59</v>
      </c>
      <c r="CW3296">
        <v>1.26</v>
      </c>
      <c r="CX3296">
        <v>0.44</v>
      </c>
      <c r="CY3296">
        <v>76.62</v>
      </c>
      <c r="CZ3296" t="s">
        <v>12274</v>
      </c>
      <c r="DA3296">
        <v>18.149999999999999</v>
      </c>
      <c r="DB3296">
        <v>2.95</v>
      </c>
      <c r="DC3296">
        <v>2.98</v>
      </c>
      <c r="DD3296">
        <v>0.19</v>
      </c>
      <c r="DE3296">
        <v>871</v>
      </c>
      <c r="DF3296">
        <v>603159</v>
      </c>
      <c r="DG3296" t="s">
        <v>116</v>
      </c>
      <c r="DH3296" t="s">
        <v>116</v>
      </c>
      <c r="DI3296" t="s">
        <v>116</v>
      </c>
    </row>
    <row r="3297" spans="1:113" x14ac:dyDescent="0.4">
      <c r="A3297" t="str">
        <f>"603160"</f>
        <v>603160</v>
      </c>
      <c r="B3297" t="s">
        <v>14095</v>
      </c>
      <c r="C3297">
        <v>-2.76</v>
      </c>
      <c r="D3297">
        <v>198</v>
      </c>
      <c r="E3297">
        <v>-5.61</v>
      </c>
      <c r="F3297">
        <v>198</v>
      </c>
      <c r="G3297">
        <v>198.01</v>
      </c>
      <c r="H3297">
        <v>32878</v>
      </c>
      <c r="I3297">
        <v>320</v>
      </c>
      <c r="J3297">
        <v>0.42</v>
      </c>
      <c r="K3297">
        <v>0.73</v>
      </c>
      <c r="L3297">
        <v>198.45</v>
      </c>
      <c r="M3297">
        <v>204.2</v>
      </c>
      <c r="N3297">
        <v>197</v>
      </c>
      <c r="O3297">
        <v>203.61</v>
      </c>
      <c r="P3297">
        <v>39.520000000000003</v>
      </c>
      <c r="Q3297">
        <v>657522176</v>
      </c>
      <c r="R3297">
        <v>0.91</v>
      </c>
      <c r="S3297" t="s">
        <v>233</v>
      </c>
      <c r="T3297" t="s">
        <v>115</v>
      </c>
      <c r="U3297">
        <v>3.54</v>
      </c>
      <c r="V3297">
        <v>199.99</v>
      </c>
      <c r="W3297">
        <v>17357</v>
      </c>
      <c r="X3297">
        <v>15521</v>
      </c>
      <c r="Y3297">
        <v>1.1200000000000001</v>
      </c>
      <c r="Z3297">
        <v>95</v>
      </c>
      <c r="AA3297">
        <v>1</v>
      </c>
      <c r="AB3297" t="s">
        <v>116</v>
      </c>
      <c r="AC3297">
        <v>11966500</v>
      </c>
      <c r="AD3297">
        <v>0.04</v>
      </c>
      <c r="AE3297" t="s">
        <v>116</v>
      </c>
      <c r="AF3297" t="s">
        <v>116</v>
      </c>
      <c r="AG3297">
        <v>4.49</v>
      </c>
      <c r="AH3297" t="s">
        <v>14096</v>
      </c>
      <c r="AI3297" t="s">
        <v>14097</v>
      </c>
      <c r="AJ3297">
        <v>-2.68</v>
      </c>
      <c r="AK3297">
        <v>3714</v>
      </c>
      <c r="AL3297">
        <v>9</v>
      </c>
      <c r="AM3297">
        <v>2.0000000000000001E-4</v>
      </c>
      <c r="AN3297">
        <v>-2</v>
      </c>
      <c r="AO3297">
        <v>1.07</v>
      </c>
      <c r="AP3297">
        <v>2.0099999999999998</v>
      </c>
      <c r="AQ3297">
        <v>-11.88</v>
      </c>
      <c r="AR3297">
        <v>153.19999999999999</v>
      </c>
      <c r="AS3297">
        <v>2.25</v>
      </c>
      <c r="AT3297" t="s">
        <v>14098</v>
      </c>
      <c r="AU3297">
        <v>42.24</v>
      </c>
      <c r="AV3297">
        <v>121.53</v>
      </c>
      <c r="AW3297">
        <v>0.72</v>
      </c>
      <c r="BA3297">
        <v>-2.5299999999999998</v>
      </c>
      <c r="BB3297">
        <v>0.28999999999999998</v>
      </c>
      <c r="BC3297">
        <v>-3.25</v>
      </c>
      <c r="BD3297">
        <v>-1.78</v>
      </c>
      <c r="BE3297">
        <v>-0.23</v>
      </c>
      <c r="BF3297">
        <v>-3.04</v>
      </c>
      <c r="BG3297">
        <v>0.51</v>
      </c>
      <c r="BH3297">
        <v>-0.98</v>
      </c>
      <c r="BI3297">
        <v>20191025</v>
      </c>
      <c r="BJ3297">
        <v>20161017</v>
      </c>
      <c r="BK3297">
        <v>4.5599999999999996</v>
      </c>
      <c r="BL3297" t="s">
        <v>116</v>
      </c>
      <c r="BM3297" t="s">
        <v>116</v>
      </c>
      <c r="BN3297">
        <v>76.2</v>
      </c>
      <c r="BO3297">
        <v>57.2</v>
      </c>
      <c r="BP3297">
        <v>0</v>
      </c>
      <c r="BQ3297">
        <v>24.93</v>
      </c>
      <c r="BR3297">
        <v>63.56</v>
      </c>
      <c r="BS3297">
        <v>1.83</v>
      </c>
      <c r="BT3297">
        <v>7.38</v>
      </c>
      <c r="BU3297">
        <v>18.72</v>
      </c>
      <c r="BV3297">
        <v>3.78</v>
      </c>
      <c r="BW3297">
        <v>12.05</v>
      </c>
      <c r="BX3297">
        <v>14.94</v>
      </c>
      <c r="BY3297">
        <v>46.78</v>
      </c>
      <c r="BZ3297">
        <v>18.07</v>
      </c>
      <c r="CA3297">
        <v>19.670000000000002</v>
      </c>
      <c r="CB3297">
        <v>0.55000000000000004</v>
      </c>
      <c r="CC3297">
        <v>19.64</v>
      </c>
      <c r="CD3297">
        <v>17.12</v>
      </c>
      <c r="CE3297">
        <v>17.12</v>
      </c>
      <c r="CF3297">
        <v>16.21</v>
      </c>
      <c r="CG3297">
        <v>39.85</v>
      </c>
      <c r="CH3297">
        <v>17.89</v>
      </c>
      <c r="CI3297">
        <v>-1.56</v>
      </c>
      <c r="CJ3297">
        <v>26985</v>
      </c>
      <c r="CK3297">
        <v>5415</v>
      </c>
      <c r="CL3297" t="s">
        <v>14099</v>
      </c>
      <c r="CM3297">
        <v>437.22</v>
      </c>
      <c r="CN3297">
        <v>97.77</v>
      </c>
      <c r="CO3297">
        <v>15.78</v>
      </c>
      <c r="CP3297">
        <v>50.43</v>
      </c>
      <c r="CQ3297">
        <v>19.29</v>
      </c>
      <c r="CR3297">
        <v>0.25</v>
      </c>
      <c r="CS3297" t="s">
        <v>14100</v>
      </c>
      <c r="CT3297">
        <v>12.55</v>
      </c>
      <c r="CU3297">
        <v>12.55</v>
      </c>
      <c r="CV3297">
        <v>3.28</v>
      </c>
      <c r="CW3297">
        <v>8.74</v>
      </c>
      <c r="CX3297">
        <v>3.93</v>
      </c>
      <c r="CY3297">
        <v>75.069999999999993</v>
      </c>
      <c r="CZ3297" t="s">
        <v>14101</v>
      </c>
      <c r="DA3297">
        <v>61.37</v>
      </c>
      <c r="DB3297">
        <v>42.05</v>
      </c>
      <c r="DC3297">
        <v>36.6</v>
      </c>
      <c r="DD3297">
        <v>7.21</v>
      </c>
      <c r="DE3297">
        <v>1196</v>
      </c>
      <c r="DF3297">
        <v>603160</v>
      </c>
      <c r="DG3297" t="s">
        <v>116</v>
      </c>
      <c r="DH3297" t="s">
        <v>116</v>
      </c>
      <c r="DI3297" t="s">
        <v>116</v>
      </c>
    </row>
    <row r="3298" spans="1:113" x14ac:dyDescent="0.4">
      <c r="A3298" t="str">
        <f>"603161"</f>
        <v>603161</v>
      </c>
      <c r="B3298" t="s">
        <v>14102</v>
      </c>
      <c r="C3298">
        <v>-0.45</v>
      </c>
      <c r="D3298">
        <v>13.36</v>
      </c>
      <c r="E3298">
        <v>-0.06</v>
      </c>
      <c r="F3298">
        <v>13.36</v>
      </c>
      <c r="G3298">
        <v>13.37</v>
      </c>
      <c r="H3298">
        <v>10978</v>
      </c>
      <c r="I3298">
        <v>86</v>
      </c>
      <c r="J3298">
        <v>0.15</v>
      </c>
      <c r="K3298">
        <v>1.58</v>
      </c>
      <c r="L3298">
        <v>13.47</v>
      </c>
      <c r="M3298">
        <v>13.48</v>
      </c>
      <c r="N3298">
        <v>13.31</v>
      </c>
      <c r="O3298">
        <v>13.42</v>
      </c>
      <c r="P3298">
        <v>18.34</v>
      </c>
      <c r="Q3298">
        <v>14711520</v>
      </c>
      <c r="R3298">
        <v>1.02</v>
      </c>
      <c r="S3298" t="s">
        <v>293</v>
      </c>
      <c r="T3298" t="s">
        <v>323</v>
      </c>
      <c r="U3298">
        <v>1.27</v>
      </c>
      <c r="V3298">
        <v>13.4</v>
      </c>
      <c r="W3298">
        <v>5710</v>
      </c>
      <c r="X3298">
        <v>5268</v>
      </c>
      <c r="Y3298">
        <v>1.08</v>
      </c>
      <c r="Z3298">
        <v>44</v>
      </c>
      <c r="AA3298">
        <v>26</v>
      </c>
      <c r="AB3298" t="s">
        <v>116</v>
      </c>
      <c r="AC3298">
        <v>37700</v>
      </c>
      <c r="AD3298">
        <v>0</v>
      </c>
      <c r="AE3298" t="s">
        <v>116</v>
      </c>
      <c r="AF3298" t="s">
        <v>116</v>
      </c>
      <c r="AG3298">
        <v>0.69</v>
      </c>
      <c r="AH3298" t="s">
        <v>4081</v>
      </c>
      <c r="AI3298" t="s">
        <v>5618</v>
      </c>
      <c r="AJ3298">
        <v>-0.37</v>
      </c>
      <c r="AK3298">
        <v>693</v>
      </c>
      <c r="AL3298">
        <v>16</v>
      </c>
      <c r="AM3298">
        <v>2.3E-3</v>
      </c>
      <c r="AN3298">
        <v>-1</v>
      </c>
      <c r="AO3298">
        <v>0.75</v>
      </c>
      <c r="AP3298">
        <v>6.2</v>
      </c>
      <c r="AQ3298">
        <v>-0.67</v>
      </c>
      <c r="AR3298">
        <v>-12.99</v>
      </c>
      <c r="AS3298">
        <v>1.95</v>
      </c>
      <c r="AT3298" t="s">
        <v>14103</v>
      </c>
      <c r="AU3298">
        <v>17.010000000000002</v>
      </c>
      <c r="AV3298">
        <v>17.04</v>
      </c>
      <c r="AW3298">
        <v>0.86</v>
      </c>
      <c r="BA3298">
        <v>0.37</v>
      </c>
      <c r="BB3298">
        <v>0.45</v>
      </c>
      <c r="BC3298">
        <v>-0.82</v>
      </c>
      <c r="BD3298">
        <v>-0.14000000000000001</v>
      </c>
      <c r="BE3298">
        <v>-0.82</v>
      </c>
      <c r="BF3298">
        <v>-0.89</v>
      </c>
      <c r="BG3298">
        <v>0.38</v>
      </c>
      <c r="BH3298">
        <v>-0.31</v>
      </c>
      <c r="BI3298">
        <v>20191031</v>
      </c>
      <c r="BJ3298">
        <v>20180105</v>
      </c>
      <c r="BK3298">
        <v>1.33</v>
      </c>
      <c r="BL3298" t="s">
        <v>116</v>
      </c>
      <c r="BM3298" t="s">
        <v>116</v>
      </c>
      <c r="BN3298">
        <v>32.479999999999997</v>
      </c>
      <c r="BO3298">
        <v>12.78</v>
      </c>
      <c r="BP3298">
        <v>0</v>
      </c>
      <c r="BQ3298">
        <v>60.65</v>
      </c>
      <c r="BR3298">
        <v>15.18</v>
      </c>
      <c r="BS3298">
        <v>12.56</v>
      </c>
      <c r="BT3298">
        <v>1.07</v>
      </c>
      <c r="BU3298">
        <v>14.61</v>
      </c>
      <c r="BV3298">
        <v>4.42</v>
      </c>
      <c r="BW3298">
        <v>4.93</v>
      </c>
      <c r="BX3298">
        <v>7.15</v>
      </c>
      <c r="BY3298">
        <v>11.6</v>
      </c>
      <c r="BZ3298">
        <v>9.58</v>
      </c>
      <c r="CA3298">
        <v>0.85</v>
      </c>
      <c r="CB3298">
        <v>0</v>
      </c>
      <c r="CC3298">
        <v>0.84</v>
      </c>
      <c r="CD3298">
        <v>0.73</v>
      </c>
      <c r="CE3298">
        <v>0.73</v>
      </c>
      <c r="CF3298">
        <v>0.56000000000000005</v>
      </c>
      <c r="CG3298">
        <v>3.81</v>
      </c>
      <c r="CH3298">
        <v>2.98</v>
      </c>
      <c r="CI3298">
        <v>-0.67</v>
      </c>
      <c r="CJ3298">
        <v>14601</v>
      </c>
      <c r="CK3298">
        <v>3846</v>
      </c>
      <c r="CL3298" t="s">
        <v>820</v>
      </c>
      <c r="CM3298">
        <v>0.28000000000000003</v>
      </c>
      <c r="CN3298">
        <v>22.56</v>
      </c>
      <c r="CO3298">
        <v>1.39</v>
      </c>
      <c r="CP3298">
        <v>5.98</v>
      </c>
      <c r="CQ3298">
        <v>1.54</v>
      </c>
      <c r="CR3298">
        <v>2.36</v>
      </c>
      <c r="CS3298" t="s">
        <v>6389</v>
      </c>
      <c r="CT3298">
        <v>9.58</v>
      </c>
      <c r="CU3298">
        <v>0</v>
      </c>
      <c r="CV3298">
        <v>5.36</v>
      </c>
      <c r="CW3298">
        <v>2.86</v>
      </c>
      <c r="CX3298">
        <v>2.23</v>
      </c>
      <c r="CY3298">
        <v>39.35</v>
      </c>
      <c r="CZ3298" t="s">
        <v>201</v>
      </c>
      <c r="DA3298">
        <v>17.36</v>
      </c>
      <c r="DB3298">
        <v>7.32</v>
      </c>
      <c r="DC3298">
        <v>6.29</v>
      </c>
      <c r="DD3298">
        <v>0.45</v>
      </c>
      <c r="DE3298">
        <v>3221</v>
      </c>
      <c r="DF3298">
        <v>603161</v>
      </c>
      <c r="DG3298" t="s">
        <v>116</v>
      </c>
      <c r="DH3298" t="s">
        <v>116</v>
      </c>
      <c r="DI3298" t="s">
        <v>116</v>
      </c>
    </row>
    <row r="3299" spans="1:113" x14ac:dyDescent="0.4">
      <c r="A3299" t="str">
        <f>"603165"</f>
        <v>603165</v>
      </c>
      <c r="B3299" t="s">
        <v>14104</v>
      </c>
      <c r="C3299">
        <v>0</v>
      </c>
      <c r="D3299">
        <v>16.899999999999999</v>
      </c>
      <c r="E3299">
        <v>0</v>
      </c>
      <c r="F3299">
        <v>16.899999999999999</v>
      </c>
      <c r="G3299">
        <v>16.91</v>
      </c>
      <c r="H3299">
        <v>13799</v>
      </c>
      <c r="I3299">
        <v>145</v>
      </c>
      <c r="J3299">
        <v>-0.11</v>
      </c>
      <c r="K3299">
        <v>3.11</v>
      </c>
      <c r="L3299">
        <v>16.95</v>
      </c>
      <c r="M3299">
        <v>17.239999999999998</v>
      </c>
      <c r="N3299">
        <v>16.87</v>
      </c>
      <c r="O3299">
        <v>16.899999999999999</v>
      </c>
      <c r="P3299">
        <v>12.12</v>
      </c>
      <c r="Q3299">
        <v>23463960</v>
      </c>
      <c r="R3299">
        <v>1.85</v>
      </c>
      <c r="S3299" t="s">
        <v>824</v>
      </c>
      <c r="T3299" t="s">
        <v>590</v>
      </c>
      <c r="U3299">
        <v>2.19</v>
      </c>
      <c r="V3299">
        <v>17</v>
      </c>
      <c r="W3299">
        <v>7927</v>
      </c>
      <c r="X3299">
        <v>5872</v>
      </c>
      <c r="Y3299">
        <v>1.35</v>
      </c>
      <c r="Z3299">
        <v>62</v>
      </c>
      <c r="AA3299">
        <v>3</v>
      </c>
      <c r="AB3299" t="s">
        <v>116</v>
      </c>
      <c r="AC3299">
        <v>23700</v>
      </c>
      <c r="AD3299">
        <v>0</v>
      </c>
      <c r="AE3299" t="s">
        <v>116</v>
      </c>
      <c r="AF3299" t="s">
        <v>116</v>
      </c>
      <c r="AG3299">
        <v>0.44</v>
      </c>
      <c r="AH3299" t="s">
        <v>14103</v>
      </c>
      <c r="AI3299" t="s">
        <v>14105</v>
      </c>
      <c r="AJ3299">
        <v>0.08</v>
      </c>
      <c r="AK3299">
        <v>1301</v>
      </c>
      <c r="AL3299">
        <v>11</v>
      </c>
      <c r="AM3299">
        <v>2.3999999999999998E-3</v>
      </c>
      <c r="AN3299">
        <v>0</v>
      </c>
      <c r="AO3299">
        <v>0.24</v>
      </c>
      <c r="AP3299">
        <v>4.45</v>
      </c>
      <c r="AQ3299">
        <v>-6.06</v>
      </c>
      <c r="AR3299">
        <v>15.91</v>
      </c>
      <c r="AS3299">
        <v>3.11</v>
      </c>
      <c r="AT3299" t="s">
        <v>14103</v>
      </c>
      <c r="AU3299">
        <v>11.86</v>
      </c>
      <c r="AV3299">
        <v>14.41</v>
      </c>
      <c r="AW3299">
        <v>1.1100000000000001</v>
      </c>
      <c r="BA3299">
        <v>0.3</v>
      </c>
      <c r="BB3299">
        <v>2.0099999999999998</v>
      </c>
      <c r="BC3299">
        <v>-0.18</v>
      </c>
      <c r="BD3299">
        <v>0.62</v>
      </c>
      <c r="BE3299">
        <v>-0.28999999999999998</v>
      </c>
      <c r="BF3299">
        <v>-1.97</v>
      </c>
      <c r="BG3299">
        <v>0.18</v>
      </c>
      <c r="BH3299">
        <v>-0.62</v>
      </c>
      <c r="BI3299">
        <v>20191031</v>
      </c>
      <c r="BJ3299">
        <v>20170117</v>
      </c>
      <c r="BK3299">
        <v>1.77</v>
      </c>
      <c r="BL3299" t="s">
        <v>116</v>
      </c>
      <c r="BM3299" t="s">
        <v>116</v>
      </c>
      <c r="BN3299">
        <v>18.350000000000001</v>
      </c>
      <c r="BO3299">
        <v>14.28</v>
      </c>
      <c r="BP3299">
        <v>0</v>
      </c>
      <c r="BQ3299">
        <v>22.18</v>
      </c>
      <c r="BR3299">
        <v>11.96</v>
      </c>
      <c r="BS3299">
        <v>4.1399999999999997</v>
      </c>
      <c r="BT3299">
        <v>0.81</v>
      </c>
      <c r="BU3299">
        <v>1.48</v>
      </c>
      <c r="BV3299">
        <v>0.44</v>
      </c>
      <c r="BW3299">
        <v>1.5</v>
      </c>
      <c r="BX3299">
        <v>3.11</v>
      </c>
      <c r="BY3299">
        <v>13.22</v>
      </c>
      <c r="BZ3299">
        <v>11.1</v>
      </c>
      <c r="CA3299">
        <v>2.0099999999999998</v>
      </c>
      <c r="CB3299">
        <v>7.0000000000000007E-2</v>
      </c>
      <c r="CC3299">
        <v>2.0099999999999998</v>
      </c>
      <c r="CD3299">
        <v>1.85</v>
      </c>
      <c r="CE3299">
        <v>1.85</v>
      </c>
      <c r="CF3299">
        <v>1.76</v>
      </c>
      <c r="CG3299">
        <v>7.58</v>
      </c>
      <c r="CH3299">
        <v>3.55</v>
      </c>
      <c r="CI3299">
        <v>4.29</v>
      </c>
      <c r="CJ3299">
        <v>13375</v>
      </c>
      <c r="CK3299">
        <v>3316</v>
      </c>
      <c r="CL3299" t="s">
        <v>5543</v>
      </c>
      <c r="CM3299">
        <v>31.76</v>
      </c>
      <c r="CN3299">
        <v>-15.24</v>
      </c>
      <c r="CO3299">
        <v>2.2400000000000002</v>
      </c>
      <c r="CP3299">
        <v>8.4499999999999993</v>
      </c>
      <c r="CQ3299">
        <v>2.27</v>
      </c>
      <c r="CR3299">
        <v>2.78</v>
      </c>
      <c r="CS3299" t="s">
        <v>14106</v>
      </c>
      <c r="CT3299">
        <v>7.53</v>
      </c>
      <c r="CU3299">
        <v>7.53</v>
      </c>
      <c r="CV3299">
        <v>1.76</v>
      </c>
      <c r="CW3299">
        <v>4.2699999999999996</v>
      </c>
      <c r="CX3299">
        <v>2</v>
      </c>
      <c r="CY3299">
        <v>77.819999999999993</v>
      </c>
      <c r="CZ3299" t="s">
        <v>12145</v>
      </c>
      <c r="DA3299">
        <v>16.05</v>
      </c>
      <c r="DB3299">
        <v>15.23</v>
      </c>
      <c r="DC3299">
        <v>14.03</v>
      </c>
      <c r="DD3299">
        <v>0.64</v>
      </c>
      <c r="DE3299">
        <v>1027</v>
      </c>
      <c r="DF3299">
        <v>603165</v>
      </c>
      <c r="DG3299" t="s">
        <v>116</v>
      </c>
      <c r="DH3299" t="s">
        <v>116</v>
      </c>
      <c r="DI3299" t="s">
        <v>116</v>
      </c>
    </row>
    <row r="3300" spans="1:113" x14ac:dyDescent="0.4">
      <c r="A3300" t="str">
        <f>"603166"</f>
        <v>603166</v>
      </c>
      <c r="B3300" t="s">
        <v>14107</v>
      </c>
      <c r="C3300">
        <v>-0.36</v>
      </c>
      <c r="D3300">
        <v>5.52</v>
      </c>
      <c r="E3300">
        <v>-0.02</v>
      </c>
      <c r="F3300">
        <v>5.52</v>
      </c>
      <c r="G3300">
        <v>5.53</v>
      </c>
      <c r="H3300">
        <v>13059</v>
      </c>
      <c r="I3300">
        <v>123</v>
      </c>
      <c r="J3300">
        <v>0.36</v>
      </c>
      <c r="K3300">
        <v>0.22</v>
      </c>
      <c r="L3300">
        <v>5.55</v>
      </c>
      <c r="M3300">
        <v>5.57</v>
      </c>
      <c r="N3300">
        <v>5.5</v>
      </c>
      <c r="O3300">
        <v>5.54</v>
      </c>
      <c r="P3300">
        <v>28.24</v>
      </c>
      <c r="Q3300">
        <v>7233844</v>
      </c>
      <c r="R3300">
        <v>0.75</v>
      </c>
      <c r="S3300" t="s">
        <v>293</v>
      </c>
      <c r="T3300" t="s">
        <v>982</v>
      </c>
      <c r="U3300">
        <v>1.26</v>
      </c>
      <c r="V3300">
        <v>5.54</v>
      </c>
      <c r="W3300">
        <v>8256</v>
      </c>
      <c r="X3300">
        <v>4803</v>
      </c>
      <c r="Y3300">
        <v>1.72</v>
      </c>
      <c r="Z3300">
        <v>324</v>
      </c>
      <c r="AA3300">
        <v>597</v>
      </c>
      <c r="AB3300" t="s">
        <v>116</v>
      </c>
      <c r="AC3300">
        <v>0</v>
      </c>
      <c r="AD3300">
        <v>0</v>
      </c>
      <c r="AE3300" t="s">
        <v>116</v>
      </c>
      <c r="AF3300" t="s">
        <v>116</v>
      </c>
      <c r="AG3300">
        <v>5.92</v>
      </c>
      <c r="AH3300" t="s">
        <v>6230</v>
      </c>
      <c r="AI3300" t="s">
        <v>2917</v>
      </c>
      <c r="AJ3300">
        <v>-0.28000000000000003</v>
      </c>
      <c r="AK3300">
        <v>431</v>
      </c>
      <c r="AL3300">
        <v>30</v>
      </c>
      <c r="AM3300">
        <v>5.0000000000000001E-4</v>
      </c>
      <c r="AN3300">
        <v>-1</v>
      </c>
      <c r="AO3300">
        <v>1.47</v>
      </c>
      <c r="AP3300">
        <v>6.56</v>
      </c>
      <c r="AQ3300">
        <v>-2.13</v>
      </c>
      <c r="AR3300">
        <v>11.07</v>
      </c>
      <c r="AS3300">
        <v>0.95</v>
      </c>
      <c r="AT3300" t="s">
        <v>6439</v>
      </c>
      <c r="AU3300">
        <v>27.5</v>
      </c>
      <c r="AV3300">
        <v>29.31</v>
      </c>
      <c r="AW3300">
        <v>0.91</v>
      </c>
      <c r="BA3300">
        <v>0.18</v>
      </c>
      <c r="BB3300">
        <v>0.54</v>
      </c>
      <c r="BC3300">
        <v>-0.72</v>
      </c>
      <c r="BD3300">
        <v>-0.01</v>
      </c>
      <c r="BE3300">
        <v>-0.54</v>
      </c>
      <c r="BF3300">
        <v>-0.9</v>
      </c>
      <c r="BG3300">
        <v>0.36</v>
      </c>
      <c r="BH3300">
        <v>-0.35</v>
      </c>
      <c r="BI3300">
        <v>20191121</v>
      </c>
      <c r="BJ3300">
        <v>20141127</v>
      </c>
      <c r="BK3300">
        <v>5.95</v>
      </c>
      <c r="BL3300" t="s">
        <v>116</v>
      </c>
      <c r="BM3300" t="s">
        <v>116</v>
      </c>
      <c r="BN3300">
        <v>31.2</v>
      </c>
      <c r="BO3300">
        <v>21.09</v>
      </c>
      <c r="BP3300">
        <v>0</v>
      </c>
      <c r="BQ3300">
        <v>32.42</v>
      </c>
      <c r="BR3300">
        <v>11.55</v>
      </c>
      <c r="BS3300">
        <v>14.83</v>
      </c>
      <c r="BT3300">
        <v>0.84</v>
      </c>
      <c r="BU3300">
        <v>8.3000000000000007</v>
      </c>
      <c r="BV3300">
        <v>4.13</v>
      </c>
      <c r="BW3300">
        <v>3.21</v>
      </c>
      <c r="BX3300">
        <v>10.55</v>
      </c>
      <c r="BY3300">
        <v>10.71</v>
      </c>
      <c r="BZ3300">
        <v>8.24</v>
      </c>
      <c r="CA3300">
        <v>0.99</v>
      </c>
      <c r="CB3300">
        <v>-0.03</v>
      </c>
      <c r="CC3300">
        <v>0.99</v>
      </c>
      <c r="CD3300">
        <v>0.87</v>
      </c>
      <c r="CE3300">
        <v>0.87</v>
      </c>
      <c r="CF3300">
        <v>0.59</v>
      </c>
      <c r="CG3300">
        <v>3.94</v>
      </c>
      <c r="CH3300">
        <v>3.1</v>
      </c>
      <c r="CI3300">
        <v>-0.1</v>
      </c>
      <c r="CJ3300">
        <v>23686</v>
      </c>
      <c r="CK3300">
        <v>5834</v>
      </c>
      <c r="CL3300" t="s">
        <v>14108</v>
      </c>
      <c r="CM3300">
        <v>9.24</v>
      </c>
      <c r="CN3300">
        <v>0.76</v>
      </c>
      <c r="CO3300">
        <v>1.56</v>
      </c>
      <c r="CP3300">
        <v>10.61</v>
      </c>
      <c r="CQ3300">
        <v>3.07</v>
      </c>
      <c r="CR3300">
        <v>2.73</v>
      </c>
      <c r="CS3300" t="s">
        <v>2902</v>
      </c>
      <c r="CT3300">
        <v>3.54</v>
      </c>
      <c r="CU3300">
        <v>0</v>
      </c>
      <c r="CV3300">
        <v>1.77</v>
      </c>
      <c r="CW3300">
        <v>0.66</v>
      </c>
      <c r="CX3300">
        <v>0.52</v>
      </c>
      <c r="CY3300">
        <v>67.58</v>
      </c>
      <c r="CZ3300" t="s">
        <v>2020</v>
      </c>
      <c r="DA3300">
        <v>23.09</v>
      </c>
      <c r="DB3300">
        <v>9.27</v>
      </c>
      <c r="DC3300">
        <v>8.15</v>
      </c>
      <c r="DD3300">
        <v>0.54</v>
      </c>
      <c r="DE3300">
        <v>2520</v>
      </c>
      <c r="DF3300">
        <v>603166</v>
      </c>
      <c r="DG3300" t="s">
        <v>116</v>
      </c>
      <c r="DH3300" t="s">
        <v>116</v>
      </c>
      <c r="DI3300" t="s">
        <v>116</v>
      </c>
    </row>
    <row r="3301" spans="1:113" x14ac:dyDescent="0.4">
      <c r="A3301" t="str">
        <f>"603167"</f>
        <v>603167</v>
      </c>
      <c r="B3301" t="s">
        <v>14109</v>
      </c>
      <c r="C3301">
        <v>-0.59</v>
      </c>
      <c r="D3301">
        <v>10.11</v>
      </c>
      <c r="E3301">
        <v>-0.06</v>
      </c>
      <c r="F3301">
        <v>10.1</v>
      </c>
      <c r="G3301">
        <v>10.11</v>
      </c>
      <c r="H3301">
        <v>35319</v>
      </c>
      <c r="I3301">
        <v>194</v>
      </c>
      <c r="J3301">
        <v>0</v>
      </c>
      <c r="K3301">
        <v>0.77</v>
      </c>
      <c r="L3301">
        <v>10.18</v>
      </c>
      <c r="M3301">
        <v>10.220000000000001</v>
      </c>
      <c r="N3301">
        <v>10.1</v>
      </c>
      <c r="O3301">
        <v>10.17</v>
      </c>
      <c r="P3301">
        <v>10.41</v>
      </c>
      <c r="Q3301">
        <v>35907144</v>
      </c>
      <c r="R3301">
        <v>0.35</v>
      </c>
      <c r="S3301" t="s">
        <v>940</v>
      </c>
      <c r="T3301" t="s">
        <v>645</v>
      </c>
      <c r="U3301">
        <v>1.18</v>
      </c>
      <c r="V3301">
        <v>10.17</v>
      </c>
      <c r="W3301">
        <v>20145</v>
      </c>
      <c r="X3301">
        <v>15174</v>
      </c>
      <c r="Y3301">
        <v>1.33</v>
      </c>
      <c r="Z3301">
        <v>165</v>
      </c>
      <c r="AA3301">
        <v>70</v>
      </c>
      <c r="AB3301" t="s">
        <v>116</v>
      </c>
      <c r="AC3301">
        <v>54000</v>
      </c>
      <c r="AD3301">
        <v>0</v>
      </c>
      <c r="AE3301" t="s">
        <v>116</v>
      </c>
      <c r="AF3301" t="s">
        <v>116</v>
      </c>
      <c r="AG3301">
        <v>4.6100000000000003</v>
      </c>
      <c r="AH3301" t="s">
        <v>2749</v>
      </c>
      <c r="AI3301" t="s">
        <v>2486</v>
      </c>
      <c r="AJ3301">
        <v>-0.51</v>
      </c>
      <c r="AK3301">
        <v>1269</v>
      </c>
      <c r="AL3301">
        <v>28</v>
      </c>
      <c r="AM3301">
        <v>5.9999999999999995E-4</v>
      </c>
      <c r="AN3301">
        <v>-1</v>
      </c>
      <c r="AO3301">
        <v>-0.98</v>
      </c>
      <c r="AP3301">
        <v>6.09</v>
      </c>
      <c r="AQ3301">
        <v>12.08</v>
      </c>
      <c r="AR3301">
        <v>23.9</v>
      </c>
      <c r="AS3301">
        <v>1.27</v>
      </c>
      <c r="AT3301" t="s">
        <v>5588</v>
      </c>
      <c r="AU3301">
        <v>11.34</v>
      </c>
      <c r="AV3301">
        <v>11.93</v>
      </c>
      <c r="AW3301">
        <v>0.83</v>
      </c>
      <c r="BA3301">
        <v>0.1</v>
      </c>
      <c r="BB3301">
        <v>0.49</v>
      </c>
      <c r="BC3301">
        <v>-0.69</v>
      </c>
      <c r="BD3301">
        <v>-0.03</v>
      </c>
      <c r="BE3301">
        <v>-0.69</v>
      </c>
      <c r="BF3301">
        <v>-1.08</v>
      </c>
      <c r="BG3301">
        <v>0.1</v>
      </c>
      <c r="BH3301">
        <v>-0.56000000000000005</v>
      </c>
      <c r="BI3301">
        <v>20191028</v>
      </c>
      <c r="BJ3301">
        <v>20120906</v>
      </c>
      <c r="BK3301">
        <v>4.7300000000000004</v>
      </c>
      <c r="BL3301" t="s">
        <v>116</v>
      </c>
      <c r="BM3301" t="s">
        <v>116</v>
      </c>
      <c r="BN3301">
        <v>51.63</v>
      </c>
      <c r="BO3301">
        <v>33.17</v>
      </c>
      <c r="BP3301">
        <v>1.5</v>
      </c>
      <c r="BQ3301">
        <v>32.85</v>
      </c>
      <c r="BR3301">
        <v>15.4</v>
      </c>
      <c r="BS3301">
        <v>29.94</v>
      </c>
      <c r="BT3301">
        <v>0.02</v>
      </c>
      <c r="BU3301">
        <v>9.49</v>
      </c>
      <c r="BV3301">
        <v>0.93</v>
      </c>
      <c r="BW3301">
        <v>0.48</v>
      </c>
      <c r="BX3301">
        <v>9.7100000000000009</v>
      </c>
      <c r="BY3301">
        <v>12.73</v>
      </c>
      <c r="BZ3301">
        <v>8.42</v>
      </c>
      <c r="CA3301">
        <v>4.79</v>
      </c>
      <c r="CB3301">
        <v>0.04</v>
      </c>
      <c r="CC3301">
        <v>4.83</v>
      </c>
      <c r="CD3301">
        <v>3.6</v>
      </c>
      <c r="CE3301">
        <v>3.44</v>
      </c>
      <c r="CF3301">
        <v>2.21</v>
      </c>
      <c r="CG3301">
        <v>16.899999999999999</v>
      </c>
      <c r="CH3301">
        <v>4.41</v>
      </c>
      <c r="CI3301">
        <v>5.29</v>
      </c>
      <c r="CJ3301">
        <v>28240</v>
      </c>
      <c r="CK3301">
        <v>9838</v>
      </c>
      <c r="CL3301" t="s">
        <v>722</v>
      </c>
      <c r="CM3301">
        <v>6.39</v>
      </c>
      <c r="CN3301">
        <v>-0.15</v>
      </c>
      <c r="CO3301">
        <v>1.44</v>
      </c>
      <c r="CP3301">
        <v>10.83</v>
      </c>
      <c r="CQ3301">
        <v>3.76</v>
      </c>
      <c r="CR3301">
        <v>5.93</v>
      </c>
      <c r="CS3301" t="s">
        <v>3684</v>
      </c>
      <c r="CT3301">
        <v>7.02</v>
      </c>
      <c r="CU3301">
        <v>0</v>
      </c>
      <c r="CV3301">
        <v>2.0499999999999998</v>
      </c>
      <c r="CW3301">
        <v>3.58</v>
      </c>
      <c r="CX3301">
        <v>0.93</v>
      </c>
      <c r="CY3301">
        <v>64.239999999999995</v>
      </c>
      <c r="CZ3301" t="s">
        <v>14110</v>
      </c>
      <c r="DA3301">
        <v>33.82</v>
      </c>
      <c r="DB3301">
        <v>37.630000000000003</v>
      </c>
      <c r="DC3301">
        <v>27.06</v>
      </c>
      <c r="DD3301">
        <v>0</v>
      </c>
      <c r="DE3301">
        <v>1806</v>
      </c>
      <c r="DF3301">
        <v>603167</v>
      </c>
      <c r="DG3301" t="s">
        <v>116</v>
      </c>
      <c r="DH3301" t="s">
        <v>116</v>
      </c>
      <c r="DI3301" t="s">
        <v>116</v>
      </c>
    </row>
    <row r="3302" spans="1:113" x14ac:dyDescent="0.4">
      <c r="A3302" t="str">
        <f>"603168"</f>
        <v>603168</v>
      </c>
      <c r="B3302" t="s">
        <v>14111</v>
      </c>
      <c r="C3302">
        <v>-3.3</v>
      </c>
      <c r="D3302">
        <v>8.51</v>
      </c>
      <c r="E3302">
        <v>-0.28999999999999998</v>
      </c>
      <c r="F3302">
        <v>8.51</v>
      </c>
      <c r="G3302">
        <v>8.52</v>
      </c>
      <c r="H3302">
        <v>50146</v>
      </c>
      <c r="I3302">
        <v>330</v>
      </c>
      <c r="J3302">
        <v>0</v>
      </c>
      <c r="K3302">
        <v>1.58</v>
      </c>
      <c r="L3302">
        <v>8.7899999999999991</v>
      </c>
      <c r="M3302">
        <v>8.82</v>
      </c>
      <c r="N3302">
        <v>8.4600000000000009</v>
      </c>
      <c r="O3302">
        <v>8.8000000000000007</v>
      </c>
      <c r="P3302">
        <v>52.58</v>
      </c>
      <c r="Q3302">
        <v>43306104</v>
      </c>
      <c r="R3302">
        <v>1.06</v>
      </c>
      <c r="S3302" t="s">
        <v>574</v>
      </c>
      <c r="T3302" t="s">
        <v>590</v>
      </c>
      <c r="U3302">
        <v>4.09</v>
      </c>
      <c r="V3302">
        <v>8.64</v>
      </c>
      <c r="W3302">
        <v>31626</v>
      </c>
      <c r="X3302">
        <v>18520</v>
      </c>
      <c r="Y3302">
        <v>1.71</v>
      </c>
      <c r="Z3302">
        <v>209</v>
      </c>
      <c r="AA3302">
        <v>208</v>
      </c>
      <c r="AB3302" t="s">
        <v>116</v>
      </c>
      <c r="AC3302">
        <v>199500</v>
      </c>
      <c r="AD3302">
        <v>0.01</v>
      </c>
      <c r="AE3302" t="s">
        <v>116</v>
      </c>
      <c r="AF3302" t="s">
        <v>116</v>
      </c>
      <c r="AG3302">
        <v>3.18</v>
      </c>
      <c r="AH3302" t="s">
        <v>14112</v>
      </c>
      <c r="AI3302" t="s">
        <v>14113</v>
      </c>
      <c r="AJ3302">
        <v>-3.22</v>
      </c>
      <c r="AK3302">
        <v>1474</v>
      </c>
      <c r="AL3302">
        <v>34</v>
      </c>
      <c r="AM3302">
        <v>1.1000000000000001E-3</v>
      </c>
      <c r="AN3302">
        <v>-1</v>
      </c>
      <c r="AO3302">
        <v>-2.42</v>
      </c>
      <c r="AP3302">
        <v>15.94</v>
      </c>
      <c r="AQ3302">
        <v>4.8</v>
      </c>
      <c r="AR3302">
        <v>24.23</v>
      </c>
      <c r="AS3302">
        <v>3.04</v>
      </c>
      <c r="AT3302" t="s">
        <v>7040</v>
      </c>
      <c r="AU3302" t="s">
        <v>116</v>
      </c>
      <c r="AV3302" t="s">
        <v>116</v>
      </c>
      <c r="AW3302">
        <v>1.91</v>
      </c>
      <c r="BA3302">
        <v>-0.11</v>
      </c>
      <c r="BB3302">
        <v>0.23</v>
      </c>
      <c r="BC3302">
        <v>-3.86</v>
      </c>
      <c r="BD3302">
        <v>-1.86</v>
      </c>
      <c r="BE3302">
        <v>-3.19</v>
      </c>
      <c r="BF3302">
        <v>-3.51</v>
      </c>
      <c r="BG3302">
        <v>0.59</v>
      </c>
      <c r="BH3302">
        <v>-1.43</v>
      </c>
      <c r="BI3302">
        <v>20191213</v>
      </c>
      <c r="BJ3302">
        <v>20140702</v>
      </c>
      <c r="BK3302">
        <v>3.23</v>
      </c>
      <c r="BL3302" t="s">
        <v>116</v>
      </c>
      <c r="BM3302" t="s">
        <v>116</v>
      </c>
      <c r="BN3302">
        <v>16.489999999999998</v>
      </c>
      <c r="BO3302">
        <v>15.2</v>
      </c>
      <c r="BP3302">
        <v>0</v>
      </c>
      <c r="BQ3302">
        <v>7.78</v>
      </c>
      <c r="BR3302">
        <v>9.44</v>
      </c>
      <c r="BS3302">
        <v>5.68</v>
      </c>
      <c r="BT3302">
        <v>0.65</v>
      </c>
      <c r="BU3302">
        <v>1.2</v>
      </c>
      <c r="BV3302">
        <v>1.06</v>
      </c>
      <c r="BW3302">
        <v>0.32</v>
      </c>
      <c r="BX3302">
        <v>6.2</v>
      </c>
      <c r="BY3302">
        <v>4.04</v>
      </c>
      <c r="BZ3302">
        <v>1.32</v>
      </c>
      <c r="CA3302">
        <v>0.31</v>
      </c>
      <c r="CB3302">
        <v>0.08</v>
      </c>
      <c r="CC3302">
        <v>0.48</v>
      </c>
      <c r="CD3302">
        <v>0.39</v>
      </c>
      <c r="CE3302">
        <v>0.39</v>
      </c>
      <c r="CF3302">
        <v>0.16</v>
      </c>
      <c r="CG3302">
        <v>4.6900000000000004</v>
      </c>
      <c r="CH3302">
        <v>0.53</v>
      </c>
      <c r="CI3302">
        <v>0.45</v>
      </c>
      <c r="CJ3302">
        <v>24964</v>
      </c>
      <c r="CK3302">
        <v>6599</v>
      </c>
      <c r="CL3302" t="s">
        <v>2551</v>
      </c>
      <c r="CM3302">
        <v>-49.75</v>
      </c>
      <c r="CN3302">
        <v>-18.54</v>
      </c>
      <c r="CO3302">
        <v>1.81</v>
      </c>
      <c r="CP3302">
        <v>51.83</v>
      </c>
      <c r="CQ3302">
        <v>6.79</v>
      </c>
      <c r="CR3302">
        <v>0</v>
      </c>
      <c r="CS3302" t="s">
        <v>6965</v>
      </c>
      <c r="CT3302">
        <v>4.71</v>
      </c>
      <c r="CU3302">
        <v>0</v>
      </c>
      <c r="CV3302">
        <v>1.92</v>
      </c>
      <c r="CW3302">
        <v>1.46</v>
      </c>
      <c r="CX3302">
        <v>0.16</v>
      </c>
      <c r="CY3302">
        <v>92.22</v>
      </c>
      <c r="CZ3302" t="s">
        <v>2621</v>
      </c>
      <c r="DA3302">
        <v>67.239999999999995</v>
      </c>
      <c r="DB3302">
        <v>7.6</v>
      </c>
      <c r="DC3302">
        <v>9.68</v>
      </c>
      <c r="DD3302">
        <v>0.19</v>
      </c>
      <c r="DE3302">
        <v>1707</v>
      </c>
      <c r="DF3302">
        <v>603168</v>
      </c>
      <c r="DG3302" t="s">
        <v>116</v>
      </c>
      <c r="DH3302" t="s">
        <v>116</v>
      </c>
      <c r="DI3302" t="s">
        <v>116</v>
      </c>
    </row>
    <row r="3303" spans="1:113" x14ac:dyDescent="0.4">
      <c r="A3303" t="str">
        <f>"603169"</f>
        <v>603169</v>
      </c>
      <c r="B3303" t="s">
        <v>14114</v>
      </c>
      <c r="C3303">
        <v>-1.02</v>
      </c>
      <c r="D3303">
        <v>5.8</v>
      </c>
      <c r="E3303">
        <v>-0.06</v>
      </c>
      <c r="F3303">
        <v>5.8</v>
      </c>
      <c r="G3303">
        <v>5.81</v>
      </c>
      <c r="H3303">
        <v>80073</v>
      </c>
      <c r="I3303">
        <v>830</v>
      </c>
      <c r="J3303">
        <v>0.17</v>
      </c>
      <c r="K3303">
        <v>0.77</v>
      </c>
      <c r="L3303">
        <v>5.86</v>
      </c>
      <c r="M3303">
        <v>5.92</v>
      </c>
      <c r="N3303">
        <v>5.78</v>
      </c>
      <c r="O3303">
        <v>5.86</v>
      </c>
      <c r="P3303">
        <v>86.56</v>
      </c>
      <c r="Q3303">
        <v>46863300</v>
      </c>
      <c r="R3303">
        <v>0.87</v>
      </c>
      <c r="S3303" t="s">
        <v>682</v>
      </c>
      <c r="T3303" t="s">
        <v>1122</v>
      </c>
      <c r="U3303">
        <v>2.39</v>
      </c>
      <c r="V3303">
        <v>5.85</v>
      </c>
      <c r="W3303">
        <v>45164</v>
      </c>
      <c r="X3303">
        <v>34909</v>
      </c>
      <c r="Y3303">
        <v>1.29</v>
      </c>
      <c r="Z3303">
        <v>1041</v>
      </c>
      <c r="AA3303">
        <v>1399</v>
      </c>
      <c r="AB3303" t="s">
        <v>116</v>
      </c>
      <c r="AC3303">
        <v>48600</v>
      </c>
      <c r="AD3303">
        <v>0</v>
      </c>
      <c r="AE3303" t="s">
        <v>116</v>
      </c>
      <c r="AF3303" t="s">
        <v>116</v>
      </c>
      <c r="AG3303">
        <v>10.44</v>
      </c>
      <c r="AH3303" t="s">
        <v>14115</v>
      </c>
      <c r="AI3303" t="s">
        <v>168</v>
      </c>
      <c r="AJ3303">
        <v>-0.95</v>
      </c>
      <c r="AK3303">
        <v>1480</v>
      </c>
      <c r="AL3303">
        <v>54</v>
      </c>
      <c r="AM3303">
        <v>5.0000000000000001E-4</v>
      </c>
      <c r="AN3303">
        <v>-3</v>
      </c>
      <c r="AO3303">
        <v>-2.02</v>
      </c>
      <c r="AP3303">
        <v>2.84</v>
      </c>
      <c r="AQ3303">
        <v>-11.04</v>
      </c>
      <c r="AR3303">
        <v>35.83</v>
      </c>
      <c r="AS3303">
        <v>2.34</v>
      </c>
      <c r="AT3303" t="s">
        <v>577</v>
      </c>
      <c r="AU3303" t="s">
        <v>116</v>
      </c>
      <c r="AV3303" t="s">
        <v>116</v>
      </c>
      <c r="AW3303">
        <v>1.74</v>
      </c>
      <c r="BA3303">
        <v>0</v>
      </c>
      <c r="BB3303">
        <v>1.02</v>
      </c>
      <c r="BC3303">
        <v>-1.37</v>
      </c>
      <c r="BD3303">
        <v>-0.13</v>
      </c>
      <c r="BE3303">
        <v>-1.02</v>
      </c>
      <c r="BF3303">
        <v>-2.0299999999999998</v>
      </c>
      <c r="BG3303">
        <v>0.35</v>
      </c>
      <c r="BH3303">
        <v>-0.9</v>
      </c>
      <c r="BI3303">
        <v>20191029</v>
      </c>
      <c r="BJ3303">
        <v>20141009</v>
      </c>
      <c r="BK3303">
        <v>10.52</v>
      </c>
      <c r="BL3303" t="s">
        <v>116</v>
      </c>
      <c r="BM3303" t="s">
        <v>116</v>
      </c>
      <c r="BN3303">
        <v>107.35</v>
      </c>
      <c r="BO3303">
        <v>18.260000000000002</v>
      </c>
      <c r="BP3303">
        <v>1.75</v>
      </c>
      <c r="BQ3303">
        <v>81.36</v>
      </c>
      <c r="BR3303">
        <v>74.44</v>
      </c>
      <c r="BS3303">
        <v>25.26</v>
      </c>
      <c r="BT3303">
        <v>1.7</v>
      </c>
      <c r="BU3303">
        <v>79.959999999999994</v>
      </c>
      <c r="BV3303">
        <v>28.56</v>
      </c>
      <c r="BW3303">
        <v>23.85</v>
      </c>
      <c r="BX3303">
        <v>14.73</v>
      </c>
      <c r="BY3303">
        <v>24.12</v>
      </c>
      <c r="BZ3303">
        <v>20.14</v>
      </c>
      <c r="CA3303">
        <v>0.74</v>
      </c>
      <c r="CB3303">
        <v>7.0000000000000007E-2</v>
      </c>
      <c r="CC3303">
        <v>0.75</v>
      </c>
      <c r="CD3303">
        <v>0.72</v>
      </c>
      <c r="CE3303">
        <v>0.53</v>
      </c>
      <c r="CF3303">
        <v>0.39</v>
      </c>
      <c r="CG3303">
        <v>-8.14</v>
      </c>
      <c r="CH3303">
        <v>2.61</v>
      </c>
      <c r="CI3303">
        <v>-2.61</v>
      </c>
      <c r="CJ3303">
        <v>64161</v>
      </c>
      <c r="CK3303">
        <v>5334</v>
      </c>
      <c r="CL3303" t="s">
        <v>4348</v>
      </c>
      <c r="CM3303">
        <v>132.88</v>
      </c>
      <c r="CN3303">
        <v>11.66</v>
      </c>
      <c r="CO3303">
        <v>3.34</v>
      </c>
      <c r="CP3303">
        <v>23.38</v>
      </c>
      <c r="CQ3303">
        <v>2.5299999999999998</v>
      </c>
      <c r="CR3303">
        <v>0</v>
      </c>
      <c r="CS3303" t="s">
        <v>365</v>
      </c>
      <c r="CT3303">
        <v>1.74</v>
      </c>
      <c r="CU3303">
        <v>0</v>
      </c>
      <c r="CV3303">
        <v>1.4</v>
      </c>
      <c r="CW3303">
        <v>-0.77</v>
      </c>
      <c r="CX3303">
        <v>0.25</v>
      </c>
      <c r="CY3303">
        <v>17.010000000000002</v>
      </c>
      <c r="CZ3303" t="s">
        <v>5949</v>
      </c>
      <c r="DA3303">
        <v>16.5</v>
      </c>
      <c r="DB3303">
        <v>3.06</v>
      </c>
      <c r="DC3303">
        <v>2.19</v>
      </c>
      <c r="DD3303">
        <v>0.21</v>
      </c>
      <c r="DE3303">
        <v>3777</v>
      </c>
      <c r="DF3303">
        <v>603169</v>
      </c>
      <c r="DG3303" t="s">
        <v>116</v>
      </c>
      <c r="DH3303" t="s">
        <v>116</v>
      </c>
      <c r="DI3303" t="s">
        <v>116</v>
      </c>
    </row>
    <row r="3304" spans="1:113" x14ac:dyDescent="0.4">
      <c r="A3304" t="str">
        <f>"603177"</f>
        <v>603177</v>
      </c>
      <c r="B3304" t="s">
        <v>14116</v>
      </c>
      <c r="C3304">
        <v>-1.76</v>
      </c>
      <c r="D3304">
        <v>10.06</v>
      </c>
      <c r="E3304">
        <v>-0.18</v>
      </c>
      <c r="F3304">
        <v>10.06</v>
      </c>
      <c r="G3304">
        <v>10.08</v>
      </c>
      <c r="H3304">
        <v>19124</v>
      </c>
      <c r="I3304">
        <v>465</v>
      </c>
      <c r="J3304">
        <v>-0.28999999999999998</v>
      </c>
      <c r="K3304">
        <v>3.1</v>
      </c>
      <c r="L3304">
        <v>10.210000000000001</v>
      </c>
      <c r="M3304">
        <v>10.31</v>
      </c>
      <c r="N3304">
        <v>10.06</v>
      </c>
      <c r="O3304">
        <v>10.24</v>
      </c>
      <c r="P3304" t="s">
        <v>116</v>
      </c>
      <c r="Q3304">
        <v>19476748</v>
      </c>
      <c r="R3304">
        <v>0.49</v>
      </c>
      <c r="S3304" t="s">
        <v>140</v>
      </c>
      <c r="T3304" t="s">
        <v>590</v>
      </c>
      <c r="U3304">
        <v>2.44</v>
      </c>
      <c r="V3304">
        <v>10.18</v>
      </c>
      <c r="W3304">
        <v>11751</v>
      </c>
      <c r="X3304">
        <v>7373</v>
      </c>
      <c r="Y3304">
        <v>1.59</v>
      </c>
      <c r="Z3304">
        <v>230</v>
      </c>
      <c r="AA3304">
        <v>51</v>
      </c>
      <c r="AB3304" t="s">
        <v>116</v>
      </c>
      <c r="AC3304">
        <v>141900</v>
      </c>
      <c r="AD3304">
        <v>0.02</v>
      </c>
      <c r="AE3304" t="s">
        <v>116</v>
      </c>
      <c r="AF3304" t="s">
        <v>116</v>
      </c>
      <c r="AG3304">
        <v>0.62</v>
      </c>
      <c r="AH3304" t="s">
        <v>5636</v>
      </c>
      <c r="AI3304" t="s">
        <v>5877</v>
      </c>
      <c r="AJ3304">
        <v>-1.68</v>
      </c>
      <c r="AK3304">
        <v>833</v>
      </c>
      <c r="AL3304">
        <v>23</v>
      </c>
      <c r="AM3304">
        <v>3.7000000000000002E-3</v>
      </c>
      <c r="AN3304">
        <v>-1</v>
      </c>
      <c r="AO3304">
        <v>-2.52</v>
      </c>
      <c r="AP3304">
        <v>5.45</v>
      </c>
      <c r="AQ3304">
        <v>-7.02</v>
      </c>
      <c r="AR3304">
        <v>9.4700000000000006</v>
      </c>
      <c r="AS3304">
        <v>3.1</v>
      </c>
      <c r="AT3304" t="s">
        <v>5636</v>
      </c>
      <c r="AU3304">
        <v>1786.55</v>
      </c>
      <c r="AV3304">
        <v>158.05000000000001</v>
      </c>
      <c r="AW3304">
        <v>1.1200000000000001</v>
      </c>
      <c r="BA3304">
        <v>-0.28999999999999998</v>
      </c>
      <c r="BB3304">
        <v>0.68</v>
      </c>
      <c r="BC3304">
        <v>-1.76</v>
      </c>
      <c r="BD3304">
        <v>-0.54</v>
      </c>
      <c r="BE3304">
        <v>-1.47</v>
      </c>
      <c r="BF3304">
        <v>-2.42</v>
      </c>
      <c r="BG3304">
        <v>0</v>
      </c>
      <c r="BH3304">
        <v>-1.21</v>
      </c>
      <c r="BI3304">
        <v>20191029</v>
      </c>
      <c r="BJ3304">
        <v>20170207</v>
      </c>
      <c r="BK3304">
        <v>2.02</v>
      </c>
      <c r="BL3304" t="s">
        <v>116</v>
      </c>
      <c r="BM3304" t="s">
        <v>116</v>
      </c>
      <c r="BN3304">
        <v>13.4</v>
      </c>
      <c r="BO3304">
        <v>5.19</v>
      </c>
      <c r="BP3304">
        <v>0.02</v>
      </c>
      <c r="BQ3304">
        <v>61.14</v>
      </c>
      <c r="BR3304">
        <v>11.1</v>
      </c>
      <c r="BS3304">
        <v>1.29</v>
      </c>
      <c r="BT3304">
        <v>0.4</v>
      </c>
      <c r="BU3304">
        <v>7.91</v>
      </c>
      <c r="BV3304">
        <v>4.2300000000000004</v>
      </c>
      <c r="BW3304">
        <v>4.22</v>
      </c>
      <c r="BX3304">
        <v>1.1599999999999999</v>
      </c>
      <c r="BY3304">
        <v>5.15</v>
      </c>
      <c r="BZ3304">
        <v>3.97</v>
      </c>
      <c r="CA3304">
        <v>-0.12</v>
      </c>
      <c r="CB3304">
        <v>-0.01</v>
      </c>
      <c r="CC3304">
        <v>-0.12</v>
      </c>
      <c r="CD3304">
        <v>-0.1</v>
      </c>
      <c r="CE3304">
        <v>-0.1</v>
      </c>
      <c r="CF3304">
        <v>-0.1</v>
      </c>
      <c r="CG3304">
        <v>1.61</v>
      </c>
      <c r="CH3304">
        <v>-0.55000000000000004</v>
      </c>
      <c r="CI3304">
        <v>-0.99</v>
      </c>
      <c r="CJ3304">
        <v>20765</v>
      </c>
      <c r="CK3304">
        <v>2974</v>
      </c>
      <c r="CL3304" t="s">
        <v>1450</v>
      </c>
      <c r="CM3304">
        <v>-565.94000000000005</v>
      </c>
      <c r="CN3304">
        <v>0.41</v>
      </c>
      <c r="CO3304">
        <v>3.91</v>
      </c>
      <c r="CP3304">
        <v>-36.85</v>
      </c>
      <c r="CQ3304">
        <v>3.95</v>
      </c>
      <c r="CR3304">
        <v>0</v>
      </c>
      <c r="CS3304" t="s">
        <v>3457</v>
      </c>
      <c r="CT3304">
        <v>2.57</v>
      </c>
      <c r="CU3304">
        <v>0</v>
      </c>
      <c r="CV3304">
        <v>0.56999999999999995</v>
      </c>
      <c r="CW3304">
        <v>0.8</v>
      </c>
      <c r="CX3304">
        <v>-0.27</v>
      </c>
      <c r="CY3304">
        <v>38.72</v>
      </c>
      <c r="CZ3304" t="s">
        <v>14117</v>
      </c>
      <c r="DA3304">
        <v>22.97</v>
      </c>
      <c r="DB3304">
        <v>-2.41</v>
      </c>
      <c r="DC3304">
        <v>-1.87</v>
      </c>
      <c r="DD3304">
        <v>0.2</v>
      </c>
      <c r="DE3304">
        <v>970</v>
      </c>
      <c r="DF3304">
        <v>603177</v>
      </c>
      <c r="DG3304" t="s">
        <v>116</v>
      </c>
      <c r="DH3304" t="s">
        <v>116</v>
      </c>
      <c r="DI3304" t="s">
        <v>116</v>
      </c>
    </row>
    <row r="3305" spans="1:113" x14ac:dyDescent="0.4">
      <c r="A3305" t="str">
        <f>"603178"</f>
        <v>603178</v>
      </c>
      <c r="B3305" t="s">
        <v>14118</v>
      </c>
      <c r="C3305">
        <v>10.039999999999999</v>
      </c>
      <c r="D3305">
        <v>11.84</v>
      </c>
      <c r="E3305">
        <v>1.08</v>
      </c>
      <c r="F3305">
        <v>11.84</v>
      </c>
      <c r="G3305" t="s">
        <v>116</v>
      </c>
      <c r="H3305">
        <v>189364</v>
      </c>
      <c r="I3305">
        <v>700</v>
      </c>
      <c r="J3305">
        <v>0</v>
      </c>
      <c r="K3305">
        <v>37.159999999999997</v>
      </c>
      <c r="L3305">
        <v>10.75</v>
      </c>
      <c r="M3305">
        <v>11.84</v>
      </c>
      <c r="N3305">
        <v>10.66</v>
      </c>
      <c r="O3305">
        <v>10.76</v>
      </c>
      <c r="P3305" t="s">
        <v>116</v>
      </c>
      <c r="Q3305">
        <v>215727088</v>
      </c>
      <c r="R3305">
        <v>2.1</v>
      </c>
      <c r="S3305" t="s">
        <v>293</v>
      </c>
      <c r="T3305" t="s">
        <v>590</v>
      </c>
      <c r="U3305">
        <v>10.97</v>
      </c>
      <c r="V3305">
        <v>11.39</v>
      </c>
      <c r="W3305">
        <v>117725</v>
      </c>
      <c r="X3305">
        <v>71639</v>
      </c>
      <c r="Y3305">
        <v>1.64</v>
      </c>
      <c r="Z3305">
        <v>1900</v>
      </c>
      <c r="AA3305">
        <v>0</v>
      </c>
      <c r="AB3305" t="s">
        <v>116</v>
      </c>
      <c r="AC3305">
        <v>2466100</v>
      </c>
      <c r="AD3305">
        <v>0.45</v>
      </c>
      <c r="AE3305">
        <v>0.01</v>
      </c>
      <c r="AF3305">
        <v>2249600</v>
      </c>
      <c r="AG3305">
        <v>0.51</v>
      </c>
      <c r="AH3305" t="s">
        <v>10230</v>
      </c>
      <c r="AI3305" t="s">
        <v>7099</v>
      </c>
      <c r="AJ3305">
        <v>10.11</v>
      </c>
      <c r="AK3305">
        <v>2767</v>
      </c>
      <c r="AL3305">
        <v>68</v>
      </c>
      <c r="AM3305">
        <v>1.34E-2</v>
      </c>
      <c r="AN3305">
        <v>3</v>
      </c>
      <c r="AO3305">
        <v>22.45</v>
      </c>
      <c r="AP3305">
        <v>10.039999999999999</v>
      </c>
      <c r="AQ3305">
        <v>2.0699999999999998</v>
      </c>
      <c r="AR3305">
        <v>20.94</v>
      </c>
      <c r="AS3305">
        <v>37.159999999999997</v>
      </c>
      <c r="AT3305" t="s">
        <v>10230</v>
      </c>
      <c r="AU3305" t="s">
        <v>116</v>
      </c>
      <c r="AV3305">
        <v>62.68</v>
      </c>
      <c r="AW3305">
        <v>1.86</v>
      </c>
      <c r="BA3305">
        <v>-0.09</v>
      </c>
      <c r="BB3305">
        <v>10.039999999999999</v>
      </c>
      <c r="BC3305">
        <v>-0.93</v>
      </c>
      <c r="BD3305">
        <v>5.88</v>
      </c>
      <c r="BE3305">
        <v>10.14</v>
      </c>
      <c r="BF3305">
        <v>0</v>
      </c>
      <c r="BG3305">
        <v>11.07</v>
      </c>
      <c r="BH3305">
        <v>4.16</v>
      </c>
      <c r="BI3305">
        <v>20191031</v>
      </c>
      <c r="BJ3305">
        <v>20170328</v>
      </c>
      <c r="BK3305">
        <v>2.02</v>
      </c>
      <c r="BL3305" t="s">
        <v>116</v>
      </c>
      <c r="BM3305" t="s">
        <v>116</v>
      </c>
      <c r="BN3305">
        <v>20.07</v>
      </c>
      <c r="BO3305">
        <v>7.36</v>
      </c>
      <c r="BP3305">
        <v>0.1</v>
      </c>
      <c r="BQ3305">
        <v>62.83</v>
      </c>
      <c r="BR3305">
        <v>6.94</v>
      </c>
      <c r="BS3305">
        <v>7.9</v>
      </c>
      <c r="BT3305">
        <v>1.43</v>
      </c>
      <c r="BU3305">
        <v>11.22</v>
      </c>
      <c r="BV3305">
        <v>1.94</v>
      </c>
      <c r="BW3305">
        <v>2.42</v>
      </c>
      <c r="BX3305">
        <v>3.4</v>
      </c>
      <c r="BY3305">
        <v>8.19</v>
      </c>
      <c r="BZ3305">
        <v>7.52</v>
      </c>
      <c r="CA3305">
        <v>-1.21</v>
      </c>
      <c r="CB3305">
        <v>0.23</v>
      </c>
      <c r="CC3305">
        <v>-1.21</v>
      </c>
      <c r="CD3305">
        <v>-1.31</v>
      </c>
      <c r="CE3305">
        <v>-0.96</v>
      </c>
      <c r="CF3305">
        <v>-1.08</v>
      </c>
      <c r="CG3305">
        <v>1.75</v>
      </c>
      <c r="CH3305">
        <v>0.43</v>
      </c>
      <c r="CI3305">
        <v>-0.38</v>
      </c>
      <c r="CJ3305">
        <v>12053</v>
      </c>
      <c r="CK3305">
        <v>4228</v>
      </c>
      <c r="CL3305" t="s">
        <v>3552</v>
      </c>
      <c r="CM3305">
        <v>-321.81</v>
      </c>
      <c r="CN3305">
        <v>-18.66</v>
      </c>
      <c r="CO3305">
        <v>3.27</v>
      </c>
      <c r="CP3305">
        <v>55.75</v>
      </c>
      <c r="CQ3305">
        <v>2.92</v>
      </c>
      <c r="CR3305">
        <v>0.51</v>
      </c>
      <c r="CS3305" t="s">
        <v>14119</v>
      </c>
      <c r="CT3305">
        <v>3.62</v>
      </c>
      <c r="CU3305">
        <v>3.62</v>
      </c>
      <c r="CV3305">
        <v>1.69</v>
      </c>
      <c r="CW3305">
        <v>0.87</v>
      </c>
      <c r="CX3305">
        <v>0.21</v>
      </c>
      <c r="CY3305">
        <v>36.68</v>
      </c>
      <c r="CZ3305" t="s">
        <v>14120</v>
      </c>
      <c r="DA3305">
        <v>8.2200000000000006</v>
      </c>
      <c r="DB3305">
        <v>-14.78</v>
      </c>
      <c r="DC3305">
        <v>-11.72</v>
      </c>
      <c r="DD3305">
        <v>0.52</v>
      </c>
      <c r="DE3305">
        <v>1577</v>
      </c>
      <c r="DF3305">
        <v>603178</v>
      </c>
      <c r="DG3305" t="s">
        <v>116</v>
      </c>
      <c r="DH3305" t="s">
        <v>116</v>
      </c>
      <c r="DI3305" t="s">
        <v>116</v>
      </c>
    </row>
    <row r="3306" spans="1:113" x14ac:dyDescent="0.4">
      <c r="A3306" t="str">
        <f>"603179"</f>
        <v>603179</v>
      </c>
      <c r="B3306" t="s">
        <v>14121</v>
      </c>
      <c r="C3306">
        <v>-0.87</v>
      </c>
      <c r="D3306">
        <v>19.3</v>
      </c>
      <c r="E3306">
        <v>-0.17</v>
      </c>
      <c r="F3306">
        <v>19.28</v>
      </c>
      <c r="G3306">
        <v>19.3</v>
      </c>
      <c r="H3306">
        <v>18520</v>
      </c>
      <c r="I3306">
        <v>262</v>
      </c>
      <c r="J3306">
        <v>-0.71</v>
      </c>
      <c r="K3306">
        <v>1.92</v>
      </c>
      <c r="L3306">
        <v>19.38</v>
      </c>
      <c r="M3306">
        <v>19.84</v>
      </c>
      <c r="N3306">
        <v>19.079999999999998</v>
      </c>
      <c r="O3306">
        <v>19.47</v>
      </c>
      <c r="P3306">
        <v>25.22</v>
      </c>
      <c r="Q3306">
        <v>35946612</v>
      </c>
      <c r="R3306">
        <v>0.67</v>
      </c>
      <c r="S3306" t="s">
        <v>293</v>
      </c>
      <c r="T3306" t="s">
        <v>323</v>
      </c>
      <c r="U3306">
        <v>3.9</v>
      </c>
      <c r="V3306">
        <v>19.41</v>
      </c>
      <c r="W3306">
        <v>8409</v>
      </c>
      <c r="X3306">
        <v>10111</v>
      </c>
      <c r="Y3306">
        <v>0.83</v>
      </c>
      <c r="Z3306">
        <v>32</v>
      </c>
      <c r="AA3306">
        <v>124</v>
      </c>
      <c r="AB3306" t="s">
        <v>116</v>
      </c>
      <c r="AC3306">
        <v>118200</v>
      </c>
      <c r="AD3306">
        <v>0.01</v>
      </c>
      <c r="AE3306" t="s">
        <v>116</v>
      </c>
      <c r="AF3306" t="s">
        <v>116</v>
      </c>
      <c r="AG3306">
        <v>0.96</v>
      </c>
      <c r="AH3306" t="s">
        <v>12451</v>
      </c>
      <c r="AI3306" t="s">
        <v>5114</v>
      </c>
      <c r="AJ3306">
        <v>-0.8</v>
      </c>
      <c r="AK3306">
        <v>1461</v>
      </c>
      <c r="AL3306">
        <v>13</v>
      </c>
      <c r="AM3306">
        <v>1.2999999999999999E-3</v>
      </c>
      <c r="AN3306">
        <v>-1</v>
      </c>
      <c r="AO3306">
        <v>-1.38</v>
      </c>
      <c r="AP3306">
        <v>9.91</v>
      </c>
      <c r="AQ3306">
        <v>33.380000000000003</v>
      </c>
      <c r="AR3306">
        <v>23.48</v>
      </c>
      <c r="AS3306">
        <v>2.0499999999999998</v>
      </c>
      <c r="AT3306" t="s">
        <v>12121</v>
      </c>
      <c r="AU3306">
        <v>23.78</v>
      </c>
      <c r="AV3306">
        <v>15.58</v>
      </c>
      <c r="AW3306">
        <v>0.78</v>
      </c>
      <c r="BA3306">
        <v>-0.46</v>
      </c>
      <c r="BB3306">
        <v>1.9</v>
      </c>
      <c r="BC3306">
        <v>-2</v>
      </c>
      <c r="BD3306">
        <v>-0.31</v>
      </c>
      <c r="BE3306">
        <v>-0.41</v>
      </c>
      <c r="BF3306">
        <v>-2.72</v>
      </c>
      <c r="BG3306">
        <v>1.1499999999999999</v>
      </c>
      <c r="BH3306">
        <v>-0.56000000000000005</v>
      </c>
      <c r="BI3306">
        <v>20191226</v>
      </c>
      <c r="BJ3306">
        <v>20170317</v>
      </c>
      <c r="BK3306">
        <v>2.2799999999999998</v>
      </c>
      <c r="BL3306" t="s">
        <v>116</v>
      </c>
      <c r="BM3306" t="s">
        <v>116</v>
      </c>
      <c r="BN3306">
        <v>44.18</v>
      </c>
      <c r="BO3306">
        <v>16.05</v>
      </c>
      <c r="BP3306">
        <v>0.32</v>
      </c>
      <c r="BQ3306">
        <v>62.95</v>
      </c>
      <c r="BR3306">
        <v>28.93</v>
      </c>
      <c r="BS3306">
        <v>9.42</v>
      </c>
      <c r="BT3306">
        <v>1.64</v>
      </c>
      <c r="BU3306">
        <v>22.29</v>
      </c>
      <c r="BV3306">
        <v>7.17</v>
      </c>
      <c r="BW3306">
        <v>7.34</v>
      </c>
      <c r="BX3306">
        <v>6.98</v>
      </c>
      <c r="BY3306">
        <v>21.45</v>
      </c>
      <c r="BZ3306">
        <v>16.88</v>
      </c>
      <c r="CA3306">
        <v>1.44</v>
      </c>
      <c r="CB3306">
        <v>0</v>
      </c>
      <c r="CC3306">
        <v>1.44</v>
      </c>
      <c r="CD3306">
        <v>1.29</v>
      </c>
      <c r="CE3306">
        <v>1.31</v>
      </c>
      <c r="CF3306">
        <v>1.22</v>
      </c>
      <c r="CG3306">
        <v>6.52</v>
      </c>
      <c r="CH3306">
        <v>-1.78</v>
      </c>
      <c r="CI3306">
        <v>-1.72</v>
      </c>
      <c r="CJ3306">
        <v>9829</v>
      </c>
      <c r="CK3306">
        <v>9179</v>
      </c>
      <c r="CL3306" t="s">
        <v>14122</v>
      </c>
      <c r="CM3306">
        <v>-42.69</v>
      </c>
      <c r="CN3306">
        <v>-18.649999999999999</v>
      </c>
      <c r="CO3306">
        <v>2.89</v>
      </c>
      <c r="CP3306">
        <v>-24.66</v>
      </c>
      <c r="CQ3306">
        <v>2.0499999999999998</v>
      </c>
      <c r="CR3306">
        <v>2.5499999999999998</v>
      </c>
      <c r="CS3306" t="s">
        <v>14123</v>
      </c>
      <c r="CT3306">
        <v>6.67</v>
      </c>
      <c r="CU3306">
        <v>6.67</v>
      </c>
      <c r="CV3306">
        <v>3.07</v>
      </c>
      <c r="CW3306">
        <v>2.86</v>
      </c>
      <c r="CX3306">
        <v>-0.78</v>
      </c>
      <c r="CY3306">
        <v>36.33</v>
      </c>
      <c r="CZ3306" t="s">
        <v>10228</v>
      </c>
      <c r="DA3306">
        <v>21.28</v>
      </c>
      <c r="DB3306">
        <v>6.73</v>
      </c>
      <c r="DC3306">
        <v>6.09</v>
      </c>
      <c r="DD3306">
        <v>0.93</v>
      </c>
      <c r="DE3306">
        <v>2684</v>
      </c>
      <c r="DF3306">
        <v>603179</v>
      </c>
      <c r="DG3306" t="s">
        <v>116</v>
      </c>
      <c r="DH3306" t="s">
        <v>116</v>
      </c>
      <c r="DI3306" t="s">
        <v>116</v>
      </c>
    </row>
    <row r="3307" spans="1:113" x14ac:dyDescent="0.4">
      <c r="A3307" t="str">
        <f>"603180"</f>
        <v>603180</v>
      </c>
      <c r="B3307" t="s">
        <v>14124</v>
      </c>
      <c r="C3307">
        <v>0.78</v>
      </c>
      <c r="D3307">
        <v>64.83</v>
      </c>
      <c r="E3307">
        <v>0.5</v>
      </c>
      <c r="F3307">
        <v>64.819999999999993</v>
      </c>
      <c r="G3307">
        <v>64.83</v>
      </c>
      <c r="H3307">
        <v>10103</v>
      </c>
      <c r="I3307">
        <v>181</v>
      </c>
      <c r="J3307">
        <v>0.2</v>
      </c>
      <c r="K3307">
        <v>5.49</v>
      </c>
      <c r="L3307">
        <v>64.25</v>
      </c>
      <c r="M3307">
        <v>66.28</v>
      </c>
      <c r="N3307">
        <v>64.010000000000005</v>
      </c>
      <c r="O3307">
        <v>64.33</v>
      </c>
      <c r="P3307">
        <v>24.76</v>
      </c>
      <c r="Q3307">
        <v>65802248</v>
      </c>
      <c r="R3307">
        <v>1.28</v>
      </c>
      <c r="S3307" t="s">
        <v>2640</v>
      </c>
      <c r="T3307" t="s">
        <v>975</v>
      </c>
      <c r="U3307">
        <v>3.53</v>
      </c>
      <c r="V3307">
        <v>65.13</v>
      </c>
      <c r="W3307">
        <v>4667</v>
      </c>
      <c r="X3307">
        <v>5437</v>
      </c>
      <c r="Y3307">
        <v>0.86</v>
      </c>
      <c r="Z3307">
        <v>2</v>
      </c>
      <c r="AA3307">
        <v>20</v>
      </c>
      <c r="AB3307" t="s">
        <v>116</v>
      </c>
      <c r="AC3307">
        <v>51400</v>
      </c>
      <c r="AD3307">
        <v>0</v>
      </c>
      <c r="AE3307" t="s">
        <v>116</v>
      </c>
      <c r="AF3307" t="s">
        <v>116</v>
      </c>
      <c r="AG3307">
        <v>0.18</v>
      </c>
      <c r="AH3307" t="s">
        <v>4165</v>
      </c>
      <c r="AI3307" t="s">
        <v>11468</v>
      </c>
      <c r="AJ3307">
        <v>0.85</v>
      </c>
      <c r="AK3307">
        <v>1470</v>
      </c>
      <c r="AL3307">
        <v>7</v>
      </c>
      <c r="AM3307">
        <v>3.7000000000000002E-3</v>
      </c>
      <c r="AN3307">
        <v>2</v>
      </c>
      <c r="AO3307">
        <v>1.01</v>
      </c>
      <c r="AP3307">
        <v>7.16</v>
      </c>
      <c r="AQ3307">
        <v>-2.04</v>
      </c>
      <c r="AR3307">
        <v>13.7</v>
      </c>
      <c r="AS3307">
        <v>5.49</v>
      </c>
      <c r="AT3307" t="s">
        <v>4165</v>
      </c>
      <c r="AU3307">
        <v>19.54</v>
      </c>
      <c r="AV3307">
        <v>20.73</v>
      </c>
      <c r="AW3307">
        <v>1.26</v>
      </c>
      <c r="BA3307">
        <v>-0.12</v>
      </c>
      <c r="BB3307">
        <v>3.03</v>
      </c>
      <c r="BC3307">
        <v>-0.5</v>
      </c>
      <c r="BD3307">
        <v>1.25</v>
      </c>
      <c r="BE3307">
        <v>0.9</v>
      </c>
      <c r="BF3307">
        <v>-2.19</v>
      </c>
      <c r="BG3307">
        <v>1.28</v>
      </c>
      <c r="BH3307">
        <v>-0.47</v>
      </c>
      <c r="BI3307">
        <v>20191030</v>
      </c>
      <c r="BJ3307">
        <v>20170512</v>
      </c>
      <c r="BK3307">
        <v>0.67</v>
      </c>
      <c r="BL3307" t="s">
        <v>116</v>
      </c>
      <c r="BM3307" t="s">
        <v>116</v>
      </c>
      <c r="BN3307">
        <v>20.100000000000001</v>
      </c>
      <c r="BO3307">
        <v>10.44</v>
      </c>
      <c r="BP3307">
        <v>0.03</v>
      </c>
      <c r="BQ3307">
        <v>47.92</v>
      </c>
      <c r="BR3307">
        <v>9.16</v>
      </c>
      <c r="BS3307">
        <v>5.8</v>
      </c>
      <c r="BT3307">
        <v>1.24</v>
      </c>
      <c r="BU3307">
        <v>9.3699999999999992</v>
      </c>
      <c r="BV3307">
        <v>2.3199999999999998</v>
      </c>
      <c r="BW3307">
        <v>0.33</v>
      </c>
      <c r="BX3307">
        <v>4.63</v>
      </c>
      <c r="BY3307">
        <v>13.87</v>
      </c>
      <c r="BZ3307">
        <v>9</v>
      </c>
      <c r="CA3307">
        <v>1.47</v>
      </c>
      <c r="CB3307">
        <v>0.09</v>
      </c>
      <c r="CC3307">
        <v>1.48</v>
      </c>
      <c r="CD3307">
        <v>1.32</v>
      </c>
      <c r="CE3307">
        <v>1.32</v>
      </c>
      <c r="CF3307">
        <v>0.93</v>
      </c>
      <c r="CG3307">
        <v>5.31</v>
      </c>
      <c r="CH3307">
        <v>2.33</v>
      </c>
      <c r="CI3307">
        <v>-0.9</v>
      </c>
      <c r="CJ3307">
        <v>10884</v>
      </c>
      <c r="CK3307">
        <v>1692</v>
      </c>
      <c r="CL3307" t="s">
        <v>14125</v>
      </c>
      <c r="CM3307">
        <v>10.78</v>
      </c>
      <c r="CN3307">
        <v>22.75</v>
      </c>
      <c r="CO3307">
        <v>4.17</v>
      </c>
      <c r="CP3307">
        <v>18.73</v>
      </c>
      <c r="CQ3307">
        <v>3.14</v>
      </c>
      <c r="CR3307">
        <v>1.53</v>
      </c>
      <c r="CS3307" t="s">
        <v>10421</v>
      </c>
      <c r="CT3307">
        <v>15.53</v>
      </c>
      <c r="CU3307">
        <v>0</v>
      </c>
      <c r="CV3307">
        <v>6.89</v>
      </c>
      <c r="CW3307">
        <v>7.9</v>
      </c>
      <c r="CX3307">
        <v>3.46</v>
      </c>
      <c r="CY3307">
        <v>51.93</v>
      </c>
      <c r="CZ3307" t="s">
        <v>11599</v>
      </c>
      <c r="DA3307">
        <v>35.07</v>
      </c>
      <c r="DB3307">
        <v>10.6</v>
      </c>
      <c r="DC3307">
        <v>9.52</v>
      </c>
      <c r="DD3307">
        <v>0.75</v>
      </c>
      <c r="DE3307">
        <v>3783</v>
      </c>
      <c r="DF3307">
        <v>603180</v>
      </c>
      <c r="DG3307" t="s">
        <v>116</v>
      </c>
      <c r="DH3307" t="s">
        <v>116</v>
      </c>
      <c r="DI3307" t="s">
        <v>116</v>
      </c>
    </row>
    <row r="3308" spans="1:113" x14ac:dyDescent="0.4">
      <c r="A3308" t="str">
        <f>"603181"</f>
        <v>603181</v>
      </c>
      <c r="B3308" t="s">
        <v>14126</v>
      </c>
      <c r="C3308">
        <v>0.7</v>
      </c>
      <c r="D3308">
        <v>17.27</v>
      </c>
      <c r="E3308">
        <v>0.12</v>
      </c>
      <c r="F3308">
        <v>17.260000000000002</v>
      </c>
      <c r="G3308">
        <v>17.27</v>
      </c>
      <c r="H3308">
        <v>23698</v>
      </c>
      <c r="I3308">
        <v>848</v>
      </c>
      <c r="J3308">
        <v>0.28999999999999998</v>
      </c>
      <c r="K3308">
        <v>1.71</v>
      </c>
      <c r="L3308">
        <v>17.16</v>
      </c>
      <c r="M3308">
        <v>17.29</v>
      </c>
      <c r="N3308">
        <v>17.04</v>
      </c>
      <c r="O3308">
        <v>17.149999999999999</v>
      </c>
      <c r="P3308">
        <v>19.75</v>
      </c>
      <c r="Q3308">
        <v>40645540</v>
      </c>
      <c r="R3308">
        <v>0.54</v>
      </c>
      <c r="S3308" t="s">
        <v>891</v>
      </c>
      <c r="T3308" t="s">
        <v>590</v>
      </c>
      <c r="U3308">
        <v>1.46</v>
      </c>
      <c r="V3308">
        <v>17.149999999999999</v>
      </c>
      <c r="W3308">
        <v>13795</v>
      </c>
      <c r="X3308">
        <v>9903</v>
      </c>
      <c r="Y3308">
        <v>1.39</v>
      </c>
      <c r="Z3308">
        <v>24</v>
      </c>
      <c r="AA3308">
        <v>57</v>
      </c>
      <c r="AB3308" t="s">
        <v>116</v>
      </c>
      <c r="AC3308">
        <v>120100</v>
      </c>
      <c r="AD3308">
        <v>0.01</v>
      </c>
      <c r="AE3308" t="s">
        <v>116</v>
      </c>
      <c r="AF3308" t="s">
        <v>116</v>
      </c>
      <c r="AG3308">
        <v>1.39</v>
      </c>
      <c r="AH3308" t="s">
        <v>10235</v>
      </c>
      <c r="AI3308" t="s">
        <v>14127</v>
      </c>
      <c r="AJ3308">
        <v>0.78</v>
      </c>
      <c r="AK3308">
        <v>1385</v>
      </c>
      <c r="AL3308">
        <v>17</v>
      </c>
      <c r="AM3308">
        <v>1.1999999999999999E-3</v>
      </c>
      <c r="AN3308">
        <v>1</v>
      </c>
      <c r="AO3308">
        <v>2.31</v>
      </c>
      <c r="AP3308">
        <v>11.64</v>
      </c>
      <c r="AQ3308">
        <v>8.75</v>
      </c>
      <c r="AR3308">
        <v>73.569999999999993</v>
      </c>
      <c r="AS3308">
        <v>2.2000000000000002</v>
      </c>
      <c r="AT3308" t="s">
        <v>1377</v>
      </c>
      <c r="AU3308">
        <v>19.75</v>
      </c>
      <c r="AV3308">
        <v>24.54</v>
      </c>
      <c r="AW3308">
        <v>1.67</v>
      </c>
      <c r="BA3308">
        <v>0.06</v>
      </c>
      <c r="BB3308">
        <v>0.82</v>
      </c>
      <c r="BC3308">
        <v>-0.64</v>
      </c>
      <c r="BD3308">
        <v>0.01</v>
      </c>
      <c r="BE3308">
        <v>0.64</v>
      </c>
      <c r="BF3308">
        <v>-0.12</v>
      </c>
      <c r="BG3308">
        <v>1.35</v>
      </c>
      <c r="BH3308">
        <v>0.69</v>
      </c>
      <c r="BI3308">
        <v>20191025</v>
      </c>
      <c r="BJ3308">
        <v>20170824</v>
      </c>
      <c r="BK3308">
        <v>2.8</v>
      </c>
      <c r="BL3308" t="s">
        <v>116</v>
      </c>
      <c r="BM3308" t="s">
        <v>116</v>
      </c>
      <c r="BN3308">
        <v>20.2</v>
      </c>
      <c r="BO3308">
        <v>15.24</v>
      </c>
      <c r="BP3308">
        <v>0</v>
      </c>
      <c r="BQ3308">
        <v>24.52</v>
      </c>
      <c r="BR3308">
        <v>9.41</v>
      </c>
      <c r="BS3308">
        <v>8.02</v>
      </c>
      <c r="BT3308">
        <v>1.21</v>
      </c>
      <c r="BU3308">
        <v>1.98</v>
      </c>
      <c r="BV3308">
        <v>1.43</v>
      </c>
      <c r="BW3308">
        <v>2.0499999999999998</v>
      </c>
      <c r="BX3308">
        <v>5.3</v>
      </c>
      <c r="BY3308">
        <v>13.82</v>
      </c>
      <c r="BZ3308">
        <v>10.8</v>
      </c>
      <c r="CA3308">
        <v>2.11</v>
      </c>
      <c r="CB3308">
        <v>0.08</v>
      </c>
      <c r="CC3308">
        <v>2.1</v>
      </c>
      <c r="CD3308">
        <v>1.84</v>
      </c>
      <c r="CE3308">
        <v>1.84</v>
      </c>
      <c r="CF3308">
        <v>1.69</v>
      </c>
      <c r="CG3308">
        <v>7.06</v>
      </c>
      <c r="CH3308">
        <v>1.21</v>
      </c>
      <c r="CI3308">
        <v>-0.7</v>
      </c>
      <c r="CJ3308">
        <v>17023</v>
      </c>
      <c r="CK3308">
        <v>6333</v>
      </c>
      <c r="CL3308" t="s">
        <v>5763</v>
      </c>
      <c r="CM3308">
        <v>35.22</v>
      </c>
      <c r="CN3308">
        <v>10.08</v>
      </c>
      <c r="CO3308">
        <v>3.17</v>
      </c>
      <c r="CP3308">
        <v>40.01</v>
      </c>
      <c r="CQ3308">
        <v>3.5</v>
      </c>
      <c r="CR3308">
        <v>1.24</v>
      </c>
      <c r="CS3308" t="s">
        <v>5679</v>
      </c>
      <c r="CT3308">
        <v>5.44</v>
      </c>
      <c r="CU3308">
        <v>0</v>
      </c>
      <c r="CV3308">
        <v>1.89</v>
      </c>
      <c r="CW3308">
        <v>2.52</v>
      </c>
      <c r="CX3308">
        <v>0.43</v>
      </c>
      <c r="CY3308">
        <v>75.48</v>
      </c>
      <c r="CZ3308" t="s">
        <v>3522</v>
      </c>
      <c r="DA3308">
        <v>21.89</v>
      </c>
      <c r="DB3308">
        <v>15.28</v>
      </c>
      <c r="DC3308">
        <v>13.29</v>
      </c>
      <c r="DD3308">
        <v>0.51</v>
      </c>
      <c r="DE3308">
        <v>719</v>
      </c>
      <c r="DF3308">
        <v>603181</v>
      </c>
      <c r="DG3308" t="s">
        <v>116</v>
      </c>
      <c r="DH3308" t="s">
        <v>116</v>
      </c>
      <c r="DI3308" t="s">
        <v>116</v>
      </c>
    </row>
    <row r="3309" spans="1:113" x14ac:dyDescent="0.4">
      <c r="A3309" t="str">
        <f>"603183"</f>
        <v>603183</v>
      </c>
      <c r="B3309" t="s">
        <v>14128</v>
      </c>
      <c r="C3309">
        <v>0.09</v>
      </c>
      <c r="D3309">
        <v>10.61</v>
      </c>
      <c r="E3309">
        <v>0.01</v>
      </c>
      <c r="F3309">
        <v>10.61</v>
      </c>
      <c r="G3309">
        <v>10.62</v>
      </c>
      <c r="H3309">
        <v>20215</v>
      </c>
      <c r="I3309">
        <v>299</v>
      </c>
      <c r="J3309">
        <v>0.09</v>
      </c>
      <c r="K3309">
        <v>1.94</v>
      </c>
      <c r="L3309">
        <v>10.56</v>
      </c>
      <c r="M3309">
        <v>10.72</v>
      </c>
      <c r="N3309">
        <v>10.56</v>
      </c>
      <c r="O3309">
        <v>10.6</v>
      </c>
      <c r="P3309">
        <v>42.19</v>
      </c>
      <c r="Q3309">
        <v>21546916</v>
      </c>
      <c r="R3309">
        <v>0.91</v>
      </c>
      <c r="S3309" t="s">
        <v>181</v>
      </c>
      <c r="T3309" t="s">
        <v>323</v>
      </c>
      <c r="U3309">
        <v>1.51</v>
      </c>
      <c r="V3309">
        <v>10.66</v>
      </c>
      <c r="W3309">
        <v>9787</v>
      </c>
      <c r="X3309">
        <v>10428</v>
      </c>
      <c r="Y3309">
        <v>0.94</v>
      </c>
      <c r="Z3309">
        <v>30</v>
      </c>
      <c r="AA3309">
        <v>35</v>
      </c>
      <c r="AB3309" t="s">
        <v>116</v>
      </c>
      <c r="AC3309">
        <v>44400</v>
      </c>
      <c r="AD3309">
        <v>0</v>
      </c>
      <c r="AE3309" t="s">
        <v>116</v>
      </c>
      <c r="AF3309" t="s">
        <v>116</v>
      </c>
      <c r="AG3309">
        <v>1.04</v>
      </c>
      <c r="AH3309" t="s">
        <v>14129</v>
      </c>
      <c r="AI3309" t="s">
        <v>14130</v>
      </c>
      <c r="AJ3309">
        <v>0.17</v>
      </c>
      <c r="AK3309">
        <v>1028</v>
      </c>
      <c r="AL3309">
        <v>20</v>
      </c>
      <c r="AM3309">
        <v>1.9E-3</v>
      </c>
      <c r="AN3309">
        <v>4</v>
      </c>
      <c r="AO3309">
        <v>1.1399999999999999</v>
      </c>
      <c r="AP3309">
        <v>1.1399999999999999</v>
      </c>
      <c r="AQ3309">
        <v>-2.0299999999999998</v>
      </c>
      <c r="AR3309">
        <v>-16.57</v>
      </c>
      <c r="AS3309">
        <v>1.94</v>
      </c>
      <c r="AT3309" t="s">
        <v>14129</v>
      </c>
      <c r="AU3309">
        <v>31.08</v>
      </c>
      <c r="AV3309">
        <v>31.35</v>
      </c>
      <c r="AW3309">
        <v>1.54</v>
      </c>
      <c r="BA3309">
        <v>-0.38</v>
      </c>
      <c r="BB3309">
        <v>1.1299999999999999</v>
      </c>
      <c r="BC3309">
        <v>-0.38</v>
      </c>
      <c r="BD3309">
        <v>0.56000000000000005</v>
      </c>
      <c r="BE3309">
        <v>0.47</v>
      </c>
      <c r="BF3309">
        <v>-1.03</v>
      </c>
      <c r="BG3309">
        <v>0.47</v>
      </c>
      <c r="BH3309">
        <v>-0.46</v>
      </c>
      <c r="BI3309">
        <v>20191213</v>
      </c>
      <c r="BJ3309">
        <v>20170905</v>
      </c>
      <c r="BK3309">
        <v>1.91</v>
      </c>
      <c r="BL3309" t="s">
        <v>116</v>
      </c>
      <c r="BM3309" t="s">
        <v>116</v>
      </c>
      <c r="BN3309">
        <v>9.82</v>
      </c>
      <c r="BO3309">
        <v>7.29</v>
      </c>
      <c r="BP3309">
        <v>0.13</v>
      </c>
      <c r="BQ3309">
        <v>24.4</v>
      </c>
      <c r="BR3309">
        <v>6.26</v>
      </c>
      <c r="BS3309">
        <v>1.61</v>
      </c>
      <c r="BT3309">
        <v>0.45</v>
      </c>
      <c r="BU3309">
        <v>2.36</v>
      </c>
      <c r="BV3309">
        <v>0.65</v>
      </c>
      <c r="BW3309">
        <v>3.3</v>
      </c>
      <c r="BX3309">
        <v>2.86</v>
      </c>
      <c r="BY3309">
        <v>3.97</v>
      </c>
      <c r="BZ3309">
        <v>2.2400000000000002</v>
      </c>
      <c r="CA3309">
        <v>0.44</v>
      </c>
      <c r="CB3309">
        <v>0.02</v>
      </c>
      <c r="CC3309">
        <v>0.44</v>
      </c>
      <c r="CD3309">
        <v>0.37</v>
      </c>
      <c r="CE3309">
        <v>0.36</v>
      </c>
      <c r="CF3309">
        <v>0.34</v>
      </c>
      <c r="CG3309">
        <v>2.82</v>
      </c>
      <c r="CH3309">
        <v>-0.39</v>
      </c>
      <c r="CI3309">
        <v>-1.89</v>
      </c>
      <c r="CJ3309">
        <v>19267</v>
      </c>
      <c r="CK3309">
        <v>5396</v>
      </c>
      <c r="CL3309" t="s">
        <v>7464</v>
      </c>
      <c r="CM3309">
        <v>1.59</v>
      </c>
      <c r="CN3309">
        <v>21.15</v>
      </c>
      <c r="CO3309">
        <v>2.5499999999999998</v>
      </c>
      <c r="CP3309">
        <v>-51.28</v>
      </c>
      <c r="CQ3309">
        <v>5.0999999999999996</v>
      </c>
      <c r="CR3309">
        <v>0.65</v>
      </c>
      <c r="CS3309" t="s">
        <v>1119</v>
      </c>
      <c r="CT3309">
        <v>4.16</v>
      </c>
      <c r="CU3309">
        <v>4.16</v>
      </c>
      <c r="CV3309">
        <v>1.5</v>
      </c>
      <c r="CW3309">
        <v>1.48</v>
      </c>
      <c r="CX3309">
        <v>-0.21</v>
      </c>
      <c r="CY3309">
        <v>74.239999999999995</v>
      </c>
      <c r="CZ3309" t="s">
        <v>8448</v>
      </c>
      <c r="DA3309">
        <v>43.46</v>
      </c>
      <c r="DB3309">
        <v>11.11</v>
      </c>
      <c r="DC3309">
        <v>9.07</v>
      </c>
      <c r="DD3309">
        <v>0.17</v>
      </c>
      <c r="DE3309">
        <v>1137</v>
      </c>
      <c r="DF3309">
        <v>603183</v>
      </c>
      <c r="DG3309" t="s">
        <v>116</v>
      </c>
      <c r="DH3309" t="s">
        <v>116</v>
      </c>
      <c r="DI3309" t="s">
        <v>116</v>
      </c>
    </row>
    <row r="3310" spans="1:113" x14ac:dyDescent="0.4">
      <c r="A3310" t="str">
        <f>"603185"</f>
        <v>603185</v>
      </c>
      <c r="B3310" t="s">
        <v>14131</v>
      </c>
      <c r="C3310">
        <v>-0.87</v>
      </c>
      <c r="D3310">
        <v>23.84</v>
      </c>
      <c r="E3310">
        <v>-0.21</v>
      </c>
      <c r="F3310">
        <v>23.84</v>
      </c>
      <c r="G3310">
        <v>23.85</v>
      </c>
      <c r="H3310">
        <v>15085</v>
      </c>
      <c r="I3310">
        <v>128</v>
      </c>
      <c r="J3310">
        <v>-7.0000000000000007E-2</v>
      </c>
      <c r="K3310">
        <v>3.37</v>
      </c>
      <c r="L3310">
        <v>24.02</v>
      </c>
      <c r="M3310">
        <v>24.26</v>
      </c>
      <c r="N3310">
        <v>23.83</v>
      </c>
      <c r="O3310">
        <v>24.05</v>
      </c>
      <c r="P3310">
        <v>20.77</v>
      </c>
      <c r="Q3310">
        <v>36326244</v>
      </c>
      <c r="R3310">
        <v>1.34</v>
      </c>
      <c r="S3310" t="s">
        <v>712</v>
      </c>
      <c r="T3310" t="s">
        <v>323</v>
      </c>
      <c r="U3310">
        <v>1.79</v>
      </c>
      <c r="V3310">
        <v>24.08</v>
      </c>
      <c r="W3310">
        <v>8266</v>
      </c>
      <c r="X3310">
        <v>6819</v>
      </c>
      <c r="Y3310">
        <v>1.21</v>
      </c>
      <c r="Z3310">
        <v>42</v>
      </c>
      <c r="AA3310">
        <v>182</v>
      </c>
      <c r="AB3310" t="s">
        <v>116</v>
      </c>
      <c r="AC3310">
        <v>360300</v>
      </c>
      <c r="AD3310">
        <v>0.03</v>
      </c>
      <c r="AE3310" t="s">
        <v>116</v>
      </c>
      <c r="AF3310" t="s">
        <v>116</v>
      </c>
      <c r="AG3310">
        <v>0.45</v>
      </c>
      <c r="AH3310" t="s">
        <v>11159</v>
      </c>
      <c r="AI3310" t="s">
        <v>14132</v>
      </c>
      <c r="AJ3310">
        <v>-0.8</v>
      </c>
      <c r="AK3310">
        <v>1254</v>
      </c>
      <c r="AL3310">
        <v>12</v>
      </c>
      <c r="AM3310">
        <v>2.7000000000000001E-3</v>
      </c>
      <c r="AN3310">
        <v>-1</v>
      </c>
      <c r="AO3310">
        <v>0.64</v>
      </c>
      <c r="AP3310">
        <v>5.16</v>
      </c>
      <c r="AQ3310">
        <v>-15.58</v>
      </c>
      <c r="AR3310">
        <v>-31.8</v>
      </c>
      <c r="AS3310">
        <v>3.37</v>
      </c>
      <c r="AT3310" t="s">
        <v>11159</v>
      </c>
      <c r="AU3310">
        <v>23.42</v>
      </c>
      <c r="AV3310">
        <v>20.94</v>
      </c>
      <c r="AW3310">
        <v>1.74</v>
      </c>
      <c r="BA3310">
        <v>-0.12</v>
      </c>
      <c r="BB3310">
        <v>0.87</v>
      </c>
      <c r="BC3310">
        <v>-0.91</v>
      </c>
      <c r="BD3310">
        <v>0.13</v>
      </c>
      <c r="BE3310">
        <v>-0.75</v>
      </c>
      <c r="BF3310">
        <v>-1.73</v>
      </c>
      <c r="BG3310">
        <v>0.04</v>
      </c>
      <c r="BH3310">
        <v>-1</v>
      </c>
      <c r="BI3310">
        <v>20191227</v>
      </c>
      <c r="BJ3310">
        <v>20181228</v>
      </c>
      <c r="BK3310">
        <v>1.76</v>
      </c>
      <c r="BL3310" t="s">
        <v>116</v>
      </c>
      <c r="BM3310" t="s">
        <v>116</v>
      </c>
      <c r="BN3310">
        <v>25.39</v>
      </c>
      <c r="BO3310">
        <v>16.739999999999998</v>
      </c>
      <c r="BP3310">
        <v>0</v>
      </c>
      <c r="BQ3310">
        <v>34.08</v>
      </c>
      <c r="BR3310">
        <v>17.61</v>
      </c>
      <c r="BS3310">
        <v>2.78</v>
      </c>
      <c r="BT3310">
        <v>0.51</v>
      </c>
      <c r="BU3310">
        <v>8.4499999999999993</v>
      </c>
      <c r="BV3310">
        <v>3.16</v>
      </c>
      <c r="BW3310">
        <v>4.22</v>
      </c>
      <c r="BX3310">
        <v>8.7200000000000006</v>
      </c>
      <c r="BY3310">
        <v>4.66</v>
      </c>
      <c r="BZ3310">
        <v>2.48</v>
      </c>
      <c r="CA3310">
        <v>1.8</v>
      </c>
      <c r="CB3310">
        <v>0.19</v>
      </c>
      <c r="CC3310">
        <v>1.8</v>
      </c>
      <c r="CD3310">
        <v>1.52</v>
      </c>
      <c r="CE3310">
        <v>1.52</v>
      </c>
      <c r="CF3310">
        <v>1.29</v>
      </c>
      <c r="CG3310">
        <v>5.64</v>
      </c>
      <c r="CH3310">
        <v>-0.79</v>
      </c>
      <c r="CI3310">
        <v>-7.81</v>
      </c>
      <c r="CJ3310">
        <v>19278</v>
      </c>
      <c r="CK3310">
        <v>2322</v>
      </c>
      <c r="CL3310" t="s">
        <v>8914</v>
      </c>
      <c r="CM3310">
        <v>-12.28</v>
      </c>
      <c r="CN3310">
        <v>-18.55</v>
      </c>
      <c r="CO3310">
        <v>2.5099999999999998</v>
      </c>
      <c r="CP3310">
        <v>-53.23</v>
      </c>
      <c r="CQ3310">
        <v>9.02</v>
      </c>
      <c r="CR3310">
        <v>0.48</v>
      </c>
      <c r="CS3310" t="s">
        <v>12687</v>
      </c>
      <c r="CT3310">
        <v>9.49</v>
      </c>
      <c r="CU3310">
        <v>0</v>
      </c>
      <c r="CV3310">
        <v>4.9400000000000004</v>
      </c>
      <c r="CW3310">
        <v>3.2</v>
      </c>
      <c r="CX3310">
        <v>-0.45</v>
      </c>
      <c r="CY3310">
        <v>65.92</v>
      </c>
      <c r="CZ3310" t="s">
        <v>13045</v>
      </c>
      <c r="DA3310">
        <v>46.73</v>
      </c>
      <c r="DB3310">
        <v>38.56</v>
      </c>
      <c r="DC3310">
        <v>32.56</v>
      </c>
      <c r="DD3310">
        <v>0.2</v>
      </c>
      <c r="DE3310">
        <v>391</v>
      </c>
      <c r="DF3310">
        <v>603185</v>
      </c>
      <c r="DG3310" t="s">
        <v>116</v>
      </c>
      <c r="DH3310" t="s">
        <v>116</v>
      </c>
      <c r="DI3310" t="s">
        <v>116</v>
      </c>
    </row>
    <row r="3311" spans="1:113" x14ac:dyDescent="0.4">
      <c r="A3311" t="str">
        <f>"603186"</f>
        <v>603186</v>
      </c>
      <c r="B3311" t="s">
        <v>14133</v>
      </c>
      <c r="C3311">
        <v>-4.1100000000000003</v>
      </c>
      <c r="D3311">
        <v>38.049999999999997</v>
      </c>
      <c r="E3311">
        <v>-1.63</v>
      </c>
      <c r="F3311">
        <v>38.049999999999997</v>
      </c>
      <c r="G3311">
        <v>38.08</v>
      </c>
      <c r="H3311">
        <v>36850</v>
      </c>
      <c r="I3311">
        <v>359</v>
      </c>
      <c r="J3311">
        <v>-0.15</v>
      </c>
      <c r="K3311">
        <v>5</v>
      </c>
      <c r="L3311">
        <v>39.799999999999997</v>
      </c>
      <c r="M3311">
        <v>39.9</v>
      </c>
      <c r="N3311">
        <v>38</v>
      </c>
      <c r="O3311">
        <v>39.68</v>
      </c>
      <c r="P3311">
        <v>47.2</v>
      </c>
      <c r="Q3311">
        <v>143253632</v>
      </c>
      <c r="R3311">
        <v>1.1499999999999999</v>
      </c>
      <c r="S3311" t="s">
        <v>233</v>
      </c>
      <c r="T3311" t="s">
        <v>590</v>
      </c>
      <c r="U3311">
        <v>4.79</v>
      </c>
      <c r="V3311">
        <v>38.880000000000003</v>
      </c>
      <c r="W3311">
        <v>21834</v>
      </c>
      <c r="X3311">
        <v>15016</v>
      </c>
      <c r="Y3311">
        <v>1.45</v>
      </c>
      <c r="Z3311">
        <v>331</v>
      </c>
      <c r="AA3311">
        <v>25</v>
      </c>
      <c r="AB3311" t="s">
        <v>116</v>
      </c>
      <c r="AC3311">
        <v>1440800</v>
      </c>
      <c r="AD3311">
        <v>0.05</v>
      </c>
      <c r="AE3311" t="s">
        <v>116</v>
      </c>
      <c r="AF3311" t="s">
        <v>116</v>
      </c>
      <c r="AG3311">
        <v>0.74</v>
      </c>
      <c r="AH3311" t="s">
        <v>3107</v>
      </c>
      <c r="AI3311" t="s">
        <v>14134</v>
      </c>
      <c r="AJ3311">
        <v>-4.03</v>
      </c>
      <c r="AK3311">
        <v>2516</v>
      </c>
      <c r="AL3311">
        <v>15</v>
      </c>
      <c r="AM3311">
        <v>2E-3</v>
      </c>
      <c r="AN3311">
        <v>-1</v>
      </c>
      <c r="AO3311">
        <v>-0.55000000000000004</v>
      </c>
      <c r="AP3311">
        <v>-3.82</v>
      </c>
      <c r="AQ3311">
        <v>-5.77</v>
      </c>
      <c r="AR3311">
        <v>153.66999999999999</v>
      </c>
      <c r="AS3311">
        <v>5.54</v>
      </c>
      <c r="AT3311" t="s">
        <v>3804</v>
      </c>
      <c r="AU3311">
        <v>51.22</v>
      </c>
      <c r="AV3311">
        <v>65.55</v>
      </c>
      <c r="AW3311">
        <v>1.41</v>
      </c>
      <c r="BA3311">
        <v>0.3</v>
      </c>
      <c r="BB3311">
        <v>0.55000000000000004</v>
      </c>
      <c r="BC3311">
        <v>-4.2300000000000004</v>
      </c>
      <c r="BD3311">
        <v>-2.0299999999999998</v>
      </c>
      <c r="BE3311">
        <v>-4.4000000000000004</v>
      </c>
      <c r="BF3311">
        <v>-4.6399999999999997</v>
      </c>
      <c r="BG3311">
        <v>0.13</v>
      </c>
      <c r="BH3311">
        <v>-2.08</v>
      </c>
      <c r="BI3311">
        <v>20191023</v>
      </c>
      <c r="BJ3311">
        <v>20170103</v>
      </c>
      <c r="BK3311">
        <v>1.29</v>
      </c>
      <c r="BL3311" t="s">
        <v>116</v>
      </c>
      <c r="BM3311" t="s">
        <v>116</v>
      </c>
      <c r="BN3311">
        <v>25.53</v>
      </c>
      <c r="BO3311">
        <v>7.19</v>
      </c>
      <c r="BP3311">
        <v>0.1</v>
      </c>
      <c r="BQ3311">
        <v>71.45</v>
      </c>
      <c r="BR3311">
        <v>15.89</v>
      </c>
      <c r="BS3311">
        <v>6.25</v>
      </c>
      <c r="BT3311">
        <v>1.05</v>
      </c>
      <c r="BU3311">
        <v>16.82</v>
      </c>
      <c r="BV3311">
        <v>2.56</v>
      </c>
      <c r="BW3311">
        <v>7.92</v>
      </c>
      <c r="BX3311">
        <v>1.82</v>
      </c>
      <c r="BY3311">
        <v>14.89</v>
      </c>
      <c r="BZ3311">
        <v>11.89</v>
      </c>
      <c r="CA3311">
        <v>0.82</v>
      </c>
      <c r="CB3311">
        <v>-0.01</v>
      </c>
      <c r="CC3311">
        <v>0.81</v>
      </c>
      <c r="CD3311">
        <v>0.79</v>
      </c>
      <c r="CE3311">
        <v>0.78</v>
      </c>
      <c r="CF3311">
        <v>0.67</v>
      </c>
      <c r="CG3311">
        <v>3.75</v>
      </c>
      <c r="CH3311">
        <v>1.31</v>
      </c>
      <c r="CI3311">
        <v>0.64</v>
      </c>
      <c r="CJ3311">
        <v>13732</v>
      </c>
      <c r="CK3311">
        <v>4843</v>
      </c>
      <c r="CL3311" t="s">
        <v>5219</v>
      </c>
      <c r="CM3311">
        <v>36.74</v>
      </c>
      <c r="CN3311">
        <v>20.83</v>
      </c>
      <c r="CO3311">
        <v>6.85</v>
      </c>
      <c r="CP3311">
        <v>37.43</v>
      </c>
      <c r="CQ3311">
        <v>3.3</v>
      </c>
      <c r="CR3311">
        <v>0.39</v>
      </c>
      <c r="CS3311" t="s">
        <v>13684</v>
      </c>
      <c r="CT3311">
        <v>5.56</v>
      </c>
      <c r="CU3311">
        <v>0</v>
      </c>
      <c r="CV3311">
        <v>1.4</v>
      </c>
      <c r="CW3311">
        <v>2.9</v>
      </c>
      <c r="CX3311">
        <v>1.02</v>
      </c>
      <c r="CY3311">
        <v>28.16</v>
      </c>
      <c r="CZ3311" t="s">
        <v>3711</v>
      </c>
      <c r="DA3311">
        <v>20.149999999999999</v>
      </c>
      <c r="DB3311">
        <v>5.5</v>
      </c>
      <c r="DC3311">
        <v>5.25</v>
      </c>
      <c r="DD3311">
        <v>0.77</v>
      </c>
      <c r="DE3311">
        <v>1670</v>
      </c>
      <c r="DF3311">
        <v>603186</v>
      </c>
      <c r="DG3311" t="s">
        <v>116</v>
      </c>
      <c r="DH3311" t="s">
        <v>116</v>
      </c>
      <c r="DI3311" t="s">
        <v>116</v>
      </c>
    </row>
    <row r="3312" spans="1:113" x14ac:dyDescent="0.4">
      <c r="A3312" t="str">
        <f>"603187"</f>
        <v>603187</v>
      </c>
      <c r="B3312" t="s">
        <v>14135</v>
      </c>
      <c r="C3312">
        <v>-2.34</v>
      </c>
      <c r="D3312">
        <v>30.87</v>
      </c>
      <c r="E3312">
        <v>-0.74</v>
      </c>
      <c r="F3312">
        <v>30.87</v>
      </c>
      <c r="G3312">
        <v>30.88</v>
      </c>
      <c r="H3312">
        <v>22167</v>
      </c>
      <c r="I3312">
        <v>297</v>
      </c>
      <c r="J3312">
        <v>-0.05</v>
      </c>
      <c r="K3312">
        <v>2.64</v>
      </c>
      <c r="L3312">
        <v>31.61</v>
      </c>
      <c r="M3312">
        <v>31.75</v>
      </c>
      <c r="N3312">
        <v>30.86</v>
      </c>
      <c r="O3312">
        <v>31.61</v>
      </c>
      <c r="P3312">
        <v>14.59</v>
      </c>
      <c r="Q3312">
        <v>69196728</v>
      </c>
      <c r="R3312">
        <v>1.36</v>
      </c>
      <c r="S3312" t="s">
        <v>996</v>
      </c>
      <c r="T3312" t="s">
        <v>645</v>
      </c>
      <c r="U3312">
        <v>2.82</v>
      </c>
      <c r="V3312">
        <v>31.22</v>
      </c>
      <c r="W3312">
        <v>14267</v>
      </c>
      <c r="X3312">
        <v>7900</v>
      </c>
      <c r="Y3312">
        <v>1.81</v>
      </c>
      <c r="Z3312">
        <v>85</v>
      </c>
      <c r="AA3312">
        <v>30</v>
      </c>
      <c r="AB3312" t="s">
        <v>116</v>
      </c>
      <c r="AC3312">
        <v>575300</v>
      </c>
      <c r="AD3312">
        <v>0.02</v>
      </c>
      <c r="AE3312" t="s">
        <v>116</v>
      </c>
      <c r="AF3312" t="s">
        <v>116</v>
      </c>
      <c r="AG3312">
        <v>0.84</v>
      </c>
      <c r="AH3312" t="s">
        <v>1797</v>
      </c>
      <c r="AI3312" t="s">
        <v>14136</v>
      </c>
      <c r="AJ3312">
        <v>-2.2599999999999998</v>
      </c>
      <c r="AK3312">
        <v>1478</v>
      </c>
      <c r="AL3312">
        <v>15</v>
      </c>
      <c r="AM3312">
        <v>1.8E-3</v>
      </c>
      <c r="AN3312">
        <v>-2</v>
      </c>
      <c r="AO3312">
        <v>-0.96</v>
      </c>
      <c r="AP3312">
        <v>6.3</v>
      </c>
      <c r="AQ3312">
        <v>-14.42</v>
      </c>
      <c r="AR3312">
        <v>-6.25</v>
      </c>
      <c r="AS3312">
        <v>2.95</v>
      </c>
      <c r="AT3312" t="s">
        <v>4438</v>
      </c>
      <c r="AU3312">
        <v>17.899999999999999</v>
      </c>
      <c r="AV3312">
        <v>25.09</v>
      </c>
      <c r="AW3312">
        <v>1.1499999999999999</v>
      </c>
      <c r="BA3312">
        <v>0</v>
      </c>
      <c r="BB3312">
        <v>0.44</v>
      </c>
      <c r="BC3312">
        <v>-2.37</v>
      </c>
      <c r="BD3312">
        <v>-1.25</v>
      </c>
      <c r="BE3312">
        <v>-2.34</v>
      </c>
      <c r="BF3312">
        <v>-2.77</v>
      </c>
      <c r="BG3312">
        <v>0.03</v>
      </c>
      <c r="BH3312">
        <v>-1.1000000000000001</v>
      </c>
      <c r="BI3312">
        <v>20191128</v>
      </c>
      <c r="BJ3312">
        <v>20181129</v>
      </c>
      <c r="BK3312">
        <v>1.1299999999999999</v>
      </c>
      <c r="BL3312" t="s">
        <v>116</v>
      </c>
      <c r="BM3312" t="s">
        <v>116</v>
      </c>
      <c r="BN3312">
        <v>20.18</v>
      </c>
      <c r="BO3312">
        <v>14.4</v>
      </c>
      <c r="BP3312">
        <v>0.02</v>
      </c>
      <c r="BQ3312">
        <v>28.55</v>
      </c>
      <c r="BR3312">
        <v>16</v>
      </c>
      <c r="BS3312">
        <v>2.82</v>
      </c>
      <c r="BT3312">
        <v>0.55000000000000004</v>
      </c>
      <c r="BU3312">
        <v>5.72</v>
      </c>
      <c r="BV3312">
        <v>2.15</v>
      </c>
      <c r="BW3312">
        <v>3.78</v>
      </c>
      <c r="BX3312">
        <v>7.14</v>
      </c>
      <c r="BY3312">
        <v>11.5</v>
      </c>
      <c r="BZ3312">
        <v>7.66</v>
      </c>
      <c r="CA3312">
        <v>2.1</v>
      </c>
      <c r="CB3312">
        <v>0.04</v>
      </c>
      <c r="CC3312">
        <v>2.11</v>
      </c>
      <c r="CD3312">
        <v>1.8</v>
      </c>
      <c r="CE3312">
        <v>1.8</v>
      </c>
      <c r="CF3312">
        <v>1.78</v>
      </c>
      <c r="CG3312">
        <v>5.35</v>
      </c>
      <c r="CH3312">
        <v>2.0699999999999998</v>
      </c>
      <c r="CI3312">
        <v>-2.62</v>
      </c>
      <c r="CJ3312">
        <v>11790</v>
      </c>
      <c r="CK3312">
        <v>6368</v>
      </c>
      <c r="CL3312" t="s">
        <v>14137</v>
      </c>
      <c r="CM3312">
        <v>45.18</v>
      </c>
      <c r="CN3312">
        <v>25.65</v>
      </c>
      <c r="CO3312">
        <v>2.4300000000000002</v>
      </c>
      <c r="CP3312">
        <v>16.920000000000002</v>
      </c>
      <c r="CQ3312">
        <v>3.04</v>
      </c>
      <c r="CR3312">
        <v>1.37</v>
      </c>
      <c r="CS3312" t="s">
        <v>7034</v>
      </c>
      <c r="CT3312">
        <v>12.72</v>
      </c>
      <c r="CU3312">
        <v>0</v>
      </c>
      <c r="CV3312">
        <v>6.31</v>
      </c>
      <c r="CW3312">
        <v>4.7300000000000004</v>
      </c>
      <c r="CX3312">
        <v>1.82</v>
      </c>
      <c r="CY3312">
        <v>71.37</v>
      </c>
      <c r="CZ3312" t="s">
        <v>14138</v>
      </c>
      <c r="DA3312">
        <v>33.44</v>
      </c>
      <c r="DB3312">
        <v>18.239999999999998</v>
      </c>
      <c r="DC3312">
        <v>15.62</v>
      </c>
      <c r="DD3312">
        <v>0.28999999999999998</v>
      </c>
      <c r="DE3312">
        <v>1163</v>
      </c>
      <c r="DF3312">
        <v>603187</v>
      </c>
      <c r="DG3312" t="s">
        <v>116</v>
      </c>
      <c r="DH3312" t="s">
        <v>116</v>
      </c>
      <c r="DI3312" t="s">
        <v>116</v>
      </c>
    </row>
    <row r="3313" spans="1:113" x14ac:dyDescent="0.4">
      <c r="A3313" t="str">
        <f>"603188"</f>
        <v>603188</v>
      </c>
      <c r="B3313" t="s">
        <v>14139</v>
      </c>
      <c r="C3313">
        <v>-0.46</v>
      </c>
      <c r="D3313">
        <v>6.54</v>
      </c>
      <c r="E3313">
        <v>-0.03</v>
      </c>
      <c r="F3313">
        <v>6.54</v>
      </c>
      <c r="G3313">
        <v>6.55</v>
      </c>
      <c r="H3313">
        <v>16695</v>
      </c>
      <c r="I3313">
        <v>557</v>
      </c>
      <c r="J3313">
        <v>0.77</v>
      </c>
      <c r="K3313">
        <v>0.28999999999999998</v>
      </c>
      <c r="L3313">
        <v>6.52</v>
      </c>
      <c r="M3313">
        <v>6.58</v>
      </c>
      <c r="N3313">
        <v>6.47</v>
      </c>
      <c r="O3313">
        <v>6.57</v>
      </c>
      <c r="P3313">
        <v>169.01</v>
      </c>
      <c r="Q3313">
        <v>10856398</v>
      </c>
      <c r="R3313">
        <v>1.1599999999999999</v>
      </c>
      <c r="S3313" t="s">
        <v>1192</v>
      </c>
      <c r="T3313" t="s">
        <v>323</v>
      </c>
      <c r="U3313">
        <v>1.67</v>
      </c>
      <c r="V3313">
        <v>6.5</v>
      </c>
      <c r="W3313">
        <v>12051</v>
      </c>
      <c r="X3313">
        <v>4644</v>
      </c>
      <c r="Y3313">
        <v>2.59</v>
      </c>
      <c r="Z3313">
        <v>153</v>
      </c>
      <c r="AA3313">
        <v>297</v>
      </c>
      <c r="AB3313" t="s">
        <v>116</v>
      </c>
      <c r="AC3313">
        <v>0</v>
      </c>
      <c r="AD3313">
        <v>0</v>
      </c>
      <c r="AE3313" t="s">
        <v>116</v>
      </c>
      <c r="AF3313" t="s">
        <v>116</v>
      </c>
      <c r="AG3313">
        <v>5.76</v>
      </c>
      <c r="AH3313" t="s">
        <v>14140</v>
      </c>
      <c r="AI3313" t="s">
        <v>14140</v>
      </c>
      <c r="AJ3313">
        <v>-0.38</v>
      </c>
      <c r="AK3313">
        <v>323</v>
      </c>
      <c r="AL3313">
        <v>52</v>
      </c>
      <c r="AM3313">
        <v>8.9999999999999998E-4</v>
      </c>
      <c r="AN3313">
        <v>-2</v>
      </c>
      <c r="AO3313">
        <v>-0.76</v>
      </c>
      <c r="AP3313">
        <v>9</v>
      </c>
      <c r="AQ3313">
        <v>-14.95</v>
      </c>
      <c r="AR3313">
        <v>-11.14</v>
      </c>
      <c r="AS3313">
        <v>0.43</v>
      </c>
      <c r="AT3313" t="s">
        <v>3226</v>
      </c>
      <c r="AU3313" t="s">
        <v>116</v>
      </c>
      <c r="AV3313">
        <v>23.32</v>
      </c>
      <c r="AW3313">
        <v>0.66</v>
      </c>
      <c r="BA3313">
        <v>-0.76</v>
      </c>
      <c r="BB3313">
        <v>0.15</v>
      </c>
      <c r="BC3313">
        <v>-1.52</v>
      </c>
      <c r="BD3313">
        <v>-1.02</v>
      </c>
      <c r="BE3313">
        <v>0.31</v>
      </c>
      <c r="BF3313">
        <v>-0.61</v>
      </c>
      <c r="BG3313">
        <v>1.08</v>
      </c>
      <c r="BH3313">
        <v>0.56999999999999995</v>
      </c>
      <c r="BI3313">
        <v>20191030</v>
      </c>
      <c r="BJ3313">
        <v>20140909</v>
      </c>
      <c r="BK3313">
        <v>5.76</v>
      </c>
      <c r="BL3313" t="s">
        <v>116</v>
      </c>
      <c r="BM3313" t="s">
        <v>116</v>
      </c>
      <c r="BN3313">
        <v>45.13</v>
      </c>
      <c r="BO3313">
        <v>31.73</v>
      </c>
      <c r="BP3313">
        <v>0.85</v>
      </c>
      <c r="BQ3313">
        <v>27.82</v>
      </c>
      <c r="BR3313">
        <v>13.47</v>
      </c>
      <c r="BS3313">
        <v>21.93</v>
      </c>
      <c r="BT3313">
        <v>2.0499999999999998</v>
      </c>
      <c r="BU3313">
        <v>11.22</v>
      </c>
      <c r="BV3313">
        <v>4.5199999999999996</v>
      </c>
      <c r="BW3313">
        <v>1.24</v>
      </c>
      <c r="BX3313">
        <v>4.2300000000000004</v>
      </c>
      <c r="BY3313">
        <v>11.62</v>
      </c>
      <c r="BZ3313">
        <v>6.78</v>
      </c>
      <c r="CA3313">
        <v>-0.3</v>
      </c>
      <c r="CB3313">
        <v>0.19</v>
      </c>
      <c r="CC3313">
        <v>-0.35</v>
      </c>
      <c r="CD3313">
        <v>-0.15</v>
      </c>
      <c r="CE3313">
        <v>0.17</v>
      </c>
      <c r="CF3313">
        <v>0.01</v>
      </c>
      <c r="CG3313">
        <v>19.78</v>
      </c>
      <c r="CH3313">
        <v>0.31</v>
      </c>
      <c r="CI3313">
        <v>0.76</v>
      </c>
      <c r="CJ3313">
        <v>28394</v>
      </c>
      <c r="CK3313">
        <v>13519</v>
      </c>
      <c r="CL3313" t="s">
        <v>14141</v>
      </c>
      <c r="CM3313">
        <v>-93.9</v>
      </c>
      <c r="CN3313">
        <v>-29.31</v>
      </c>
      <c r="CO3313">
        <v>1.19</v>
      </c>
      <c r="CP3313">
        <v>122</v>
      </c>
      <c r="CQ3313">
        <v>3.24</v>
      </c>
      <c r="CR3313">
        <v>0</v>
      </c>
      <c r="CS3313" t="s">
        <v>944</v>
      </c>
      <c r="CT3313">
        <v>5.51</v>
      </c>
      <c r="CU3313">
        <v>0</v>
      </c>
      <c r="CV3313">
        <v>0.73</v>
      </c>
      <c r="CW3313">
        <v>3.43</v>
      </c>
      <c r="CX3313">
        <v>0.05</v>
      </c>
      <c r="CY3313">
        <v>70.3</v>
      </c>
      <c r="CZ3313" t="s">
        <v>14142</v>
      </c>
      <c r="DA3313">
        <v>41.64</v>
      </c>
      <c r="DB3313">
        <v>-2.58</v>
      </c>
      <c r="DC3313">
        <v>1.44</v>
      </c>
      <c r="DD3313">
        <v>0.39</v>
      </c>
      <c r="DE3313">
        <v>4273</v>
      </c>
      <c r="DF3313">
        <v>603188</v>
      </c>
      <c r="DG3313" t="s">
        <v>116</v>
      </c>
      <c r="DH3313" t="s">
        <v>116</v>
      </c>
      <c r="DI3313" t="s">
        <v>116</v>
      </c>
    </row>
    <row r="3314" spans="1:113" x14ac:dyDescent="0.4">
      <c r="A3314" t="str">
        <f>"603189"</f>
        <v>603189</v>
      </c>
      <c r="B3314" t="s">
        <v>14143</v>
      </c>
      <c r="C3314">
        <v>-0.79</v>
      </c>
      <c r="D3314">
        <v>16.37</v>
      </c>
      <c r="E3314">
        <v>-0.13</v>
      </c>
      <c r="F3314">
        <v>16.37</v>
      </c>
      <c r="G3314">
        <v>16.38</v>
      </c>
      <c r="H3314">
        <v>74223</v>
      </c>
      <c r="I3314">
        <v>817</v>
      </c>
      <c r="J3314">
        <v>-0.48</v>
      </c>
      <c r="K3314">
        <v>3.36</v>
      </c>
      <c r="L3314">
        <v>16.79</v>
      </c>
      <c r="M3314">
        <v>17.28</v>
      </c>
      <c r="N3314">
        <v>16.36</v>
      </c>
      <c r="O3314">
        <v>16.5</v>
      </c>
      <c r="P3314">
        <v>108.33</v>
      </c>
      <c r="Q3314">
        <v>124619504</v>
      </c>
      <c r="R3314">
        <v>2.0099999999999998</v>
      </c>
      <c r="S3314" t="s">
        <v>607</v>
      </c>
      <c r="T3314" t="s">
        <v>1653</v>
      </c>
      <c r="U3314">
        <v>5.58</v>
      </c>
      <c r="V3314">
        <v>16.79</v>
      </c>
      <c r="W3314">
        <v>40290</v>
      </c>
      <c r="X3314">
        <v>33933</v>
      </c>
      <c r="Y3314">
        <v>1.19</v>
      </c>
      <c r="Z3314">
        <v>111</v>
      </c>
      <c r="AA3314">
        <v>386</v>
      </c>
      <c r="AB3314" t="s">
        <v>116</v>
      </c>
      <c r="AC3314">
        <v>1423800</v>
      </c>
      <c r="AD3314">
        <v>0.09</v>
      </c>
      <c r="AE3314" t="s">
        <v>116</v>
      </c>
      <c r="AF3314" t="s">
        <v>116</v>
      </c>
      <c r="AG3314">
        <v>2.21</v>
      </c>
      <c r="AH3314" t="s">
        <v>6200</v>
      </c>
      <c r="AI3314" t="s">
        <v>6200</v>
      </c>
      <c r="AJ3314">
        <v>-0.71</v>
      </c>
      <c r="AK3314">
        <v>2584</v>
      </c>
      <c r="AL3314">
        <v>29</v>
      </c>
      <c r="AM3314">
        <v>1.2999999999999999E-3</v>
      </c>
      <c r="AN3314">
        <v>-1</v>
      </c>
      <c r="AO3314">
        <v>4.79</v>
      </c>
      <c r="AP3314">
        <v>11.74</v>
      </c>
      <c r="AQ3314">
        <v>-2.15</v>
      </c>
      <c r="AR3314">
        <v>47.21</v>
      </c>
      <c r="AS3314">
        <v>7.56</v>
      </c>
      <c r="AT3314" t="s">
        <v>14144</v>
      </c>
      <c r="AU3314">
        <v>139.66999999999999</v>
      </c>
      <c r="AV3314">
        <v>452.15</v>
      </c>
      <c r="AW3314">
        <v>1.52</v>
      </c>
      <c r="BA3314">
        <v>1.76</v>
      </c>
      <c r="BB3314">
        <v>4.7300000000000004</v>
      </c>
      <c r="BC3314">
        <v>-0.85</v>
      </c>
      <c r="BD3314">
        <v>1.76</v>
      </c>
      <c r="BE3314">
        <v>-2.5</v>
      </c>
      <c r="BF3314">
        <v>-5.27</v>
      </c>
      <c r="BG3314">
        <v>0.06</v>
      </c>
      <c r="BH3314">
        <v>-2.5499999999999998</v>
      </c>
      <c r="BI3314">
        <v>20191023</v>
      </c>
      <c r="BJ3314">
        <v>20160914</v>
      </c>
      <c r="BK3314">
        <v>2.21</v>
      </c>
      <c r="BL3314" t="s">
        <v>116</v>
      </c>
      <c r="BM3314" t="s">
        <v>116</v>
      </c>
      <c r="BN3314">
        <v>9.36</v>
      </c>
      <c r="BO3314">
        <v>8</v>
      </c>
      <c r="BP3314">
        <v>0</v>
      </c>
      <c r="BQ3314">
        <v>14.52</v>
      </c>
      <c r="BR3314">
        <v>6.54</v>
      </c>
      <c r="BS3314">
        <v>1.1599999999999999</v>
      </c>
      <c r="BT3314">
        <v>0.24</v>
      </c>
      <c r="BU3314">
        <v>1.2</v>
      </c>
      <c r="BV3314">
        <v>0.25</v>
      </c>
      <c r="BW3314">
        <v>2.06</v>
      </c>
      <c r="BX3314">
        <v>3.72</v>
      </c>
      <c r="BY3314">
        <v>1.85</v>
      </c>
      <c r="BZ3314">
        <v>1</v>
      </c>
      <c r="CA3314">
        <v>0.25</v>
      </c>
      <c r="CB3314">
        <v>7.0000000000000007E-2</v>
      </c>
      <c r="CC3314">
        <v>0.25</v>
      </c>
      <c r="CD3314">
        <v>0.25</v>
      </c>
      <c r="CE3314">
        <v>0.25</v>
      </c>
      <c r="CF3314">
        <v>0.19</v>
      </c>
      <c r="CG3314">
        <v>1.95</v>
      </c>
      <c r="CH3314">
        <v>-0.37</v>
      </c>
      <c r="CI3314">
        <v>-0.56999999999999995</v>
      </c>
      <c r="CJ3314">
        <v>28966</v>
      </c>
      <c r="CK3314">
        <v>3388</v>
      </c>
      <c r="CL3314" t="s">
        <v>937</v>
      </c>
      <c r="CM3314">
        <v>250.53</v>
      </c>
      <c r="CN3314">
        <v>52.49</v>
      </c>
      <c r="CO3314">
        <v>4.5199999999999996</v>
      </c>
      <c r="CP3314">
        <v>-96.73</v>
      </c>
      <c r="CQ3314">
        <v>19.53</v>
      </c>
      <c r="CR3314">
        <v>0.18</v>
      </c>
      <c r="CS3314" t="s">
        <v>7492</v>
      </c>
      <c r="CT3314">
        <v>3.62</v>
      </c>
      <c r="CU3314">
        <v>0</v>
      </c>
      <c r="CV3314">
        <v>1.69</v>
      </c>
      <c r="CW3314">
        <v>0.88</v>
      </c>
      <c r="CX3314">
        <v>-0.17</v>
      </c>
      <c r="CY3314">
        <v>85.48</v>
      </c>
      <c r="CZ3314" t="s">
        <v>5816</v>
      </c>
      <c r="DA3314">
        <v>46.15</v>
      </c>
      <c r="DB3314">
        <v>13.51</v>
      </c>
      <c r="DC3314">
        <v>13.52</v>
      </c>
      <c r="DD3314">
        <v>0.38</v>
      </c>
      <c r="DE3314">
        <v>1177</v>
      </c>
      <c r="DF3314">
        <v>603189</v>
      </c>
      <c r="DG3314" t="s">
        <v>116</v>
      </c>
      <c r="DH3314" t="s">
        <v>116</v>
      </c>
      <c r="DI3314" t="s">
        <v>116</v>
      </c>
    </row>
    <row r="3315" spans="1:113" x14ac:dyDescent="0.4">
      <c r="A3315" t="str">
        <f>"603192"</f>
        <v>603192</v>
      </c>
      <c r="B3315" t="s">
        <v>14145</v>
      </c>
      <c r="C3315">
        <v>-0.49</v>
      </c>
      <c r="D3315">
        <v>28.34</v>
      </c>
      <c r="E3315">
        <v>-0.14000000000000001</v>
      </c>
      <c r="F3315">
        <v>28.3</v>
      </c>
      <c r="G3315">
        <v>28.34</v>
      </c>
      <c r="H3315">
        <v>7524</v>
      </c>
      <c r="I3315">
        <v>96</v>
      </c>
      <c r="J3315">
        <v>-0.03</v>
      </c>
      <c r="K3315">
        <v>2.82</v>
      </c>
      <c r="L3315">
        <v>28.39</v>
      </c>
      <c r="M3315">
        <v>28.76</v>
      </c>
      <c r="N3315">
        <v>28.28</v>
      </c>
      <c r="O3315">
        <v>28.48</v>
      </c>
      <c r="P3315">
        <v>22.3</v>
      </c>
      <c r="Q3315">
        <v>21446296</v>
      </c>
      <c r="R3315">
        <v>0.87</v>
      </c>
      <c r="S3315" t="s">
        <v>891</v>
      </c>
      <c r="T3315" t="s">
        <v>1653</v>
      </c>
      <c r="U3315">
        <v>1.69</v>
      </c>
      <c r="V3315">
        <v>28.5</v>
      </c>
      <c r="W3315">
        <v>3976</v>
      </c>
      <c r="X3315">
        <v>3548</v>
      </c>
      <c r="Y3315">
        <v>1.1200000000000001</v>
      </c>
      <c r="Z3315">
        <v>10</v>
      </c>
      <c r="AA3315">
        <v>18</v>
      </c>
      <c r="AB3315" t="s">
        <v>116</v>
      </c>
      <c r="AC3315">
        <v>28400</v>
      </c>
      <c r="AD3315">
        <v>0</v>
      </c>
      <c r="AE3315" t="s">
        <v>116</v>
      </c>
      <c r="AF3315" t="s">
        <v>116</v>
      </c>
      <c r="AG3315">
        <v>0.27</v>
      </c>
      <c r="AH3315" t="s">
        <v>11737</v>
      </c>
      <c r="AI3315" t="s">
        <v>4422</v>
      </c>
      <c r="AJ3315">
        <v>-0.41</v>
      </c>
      <c r="AK3315">
        <v>858</v>
      </c>
      <c r="AL3315">
        <v>9</v>
      </c>
      <c r="AM3315">
        <v>3.3E-3</v>
      </c>
      <c r="AN3315">
        <v>-1</v>
      </c>
      <c r="AO3315">
        <v>0.11</v>
      </c>
      <c r="AP3315">
        <v>6.94</v>
      </c>
      <c r="AQ3315">
        <v>1.21</v>
      </c>
      <c r="AR3315">
        <v>-0.84</v>
      </c>
      <c r="AS3315">
        <v>2.82</v>
      </c>
      <c r="AT3315" t="s">
        <v>11737</v>
      </c>
      <c r="AU3315">
        <v>24.04</v>
      </c>
      <c r="AV3315">
        <v>26.18</v>
      </c>
      <c r="AW3315">
        <v>0.85</v>
      </c>
      <c r="BA3315">
        <v>-0.32</v>
      </c>
      <c r="BB3315">
        <v>0.98</v>
      </c>
      <c r="BC3315">
        <v>-0.7</v>
      </c>
      <c r="BD3315">
        <v>0.08</v>
      </c>
      <c r="BE3315">
        <v>-0.18</v>
      </c>
      <c r="BF3315">
        <v>-1.46</v>
      </c>
      <c r="BG3315">
        <v>0.21</v>
      </c>
      <c r="BH3315">
        <v>-0.56999999999999995</v>
      </c>
      <c r="BI3315">
        <v>20191025</v>
      </c>
      <c r="BJ3315">
        <v>20180828</v>
      </c>
      <c r="BK3315">
        <v>1.07</v>
      </c>
      <c r="BL3315" t="s">
        <v>116</v>
      </c>
      <c r="BM3315" t="s">
        <v>116</v>
      </c>
      <c r="BN3315">
        <v>16.77</v>
      </c>
      <c r="BO3315">
        <v>11.78</v>
      </c>
      <c r="BP3315">
        <v>0</v>
      </c>
      <c r="BQ3315">
        <v>29.72</v>
      </c>
      <c r="BR3315">
        <v>13.92</v>
      </c>
      <c r="BS3315">
        <v>0.88</v>
      </c>
      <c r="BT3315">
        <v>0.38</v>
      </c>
      <c r="BU3315">
        <v>4.96</v>
      </c>
      <c r="BV3315">
        <v>0.88</v>
      </c>
      <c r="BW3315">
        <v>2.76</v>
      </c>
      <c r="BX3315">
        <v>7.16</v>
      </c>
      <c r="BY3315">
        <v>10.61</v>
      </c>
      <c r="BZ3315">
        <v>8.2899999999999991</v>
      </c>
      <c r="CA3315">
        <v>1.17</v>
      </c>
      <c r="CB3315">
        <v>0.03</v>
      </c>
      <c r="CC3315">
        <v>1.1599999999999999</v>
      </c>
      <c r="CD3315">
        <v>1.02</v>
      </c>
      <c r="CE3315">
        <v>1.02</v>
      </c>
      <c r="CF3315">
        <v>0.94</v>
      </c>
      <c r="CG3315">
        <v>3.2</v>
      </c>
      <c r="CH3315">
        <v>0.35</v>
      </c>
      <c r="CI3315">
        <v>-1.61</v>
      </c>
      <c r="CJ3315">
        <v>11800</v>
      </c>
      <c r="CK3315">
        <v>2260</v>
      </c>
      <c r="CL3315" t="s">
        <v>3596</v>
      </c>
      <c r="CM3315">
        <v>11.28</v>
      </c>
      <c r="CN3315">
        <v>-15.87</v>
      </c>
      <c r="CO3315">
        <v>2.57</v>
      </c>
      <c r="CP3315">
        <v>86.91</v>
      </c>
      <c r="CQ3315">
        <v>2.85</v>
      </c>
      <c r="CR3315">
        <v>1.24</v>
      </c>
      <c r="CS3315" t="s">
        <v>14146</v>
      </c>
      <c r="CT3315">
        <v>11.05</v>
      </c>
      <c r="CU3315">
        <v>0</v>
      </c>
      <c r="CV3315">
        <v>6.71</v>
      </c>
      <c r="CW3315">
        <v>3</v>
      </c>
      <c r="CX3315">
        <v>0.33</v>
      </c>
      <c r="CY3315">
        <v>70.28</v>
      </c>
      <c r="CZ3315" t="s">
        <v>10442</v>
      </c>
      <c r="DA3315">
        <v>21.93</v>
      </c>
      <c r="DB3315">
        <v>10.98</v>
      </c>
      <c r="DC3315">
        <v>9.58</v>
      </c>
      <c r="DD3315">
        <v>0.49</v>
      </c>
      <c r="DE3315">
        <v>509</v>
      </c>
      <c r="DF3315">
        <v>603192</v>
      </c>
      <c r="DG3315" t="s">
        <v>116</v>
      </c>
      <c r="DH3315" t="s">
        <v>116</v>
      </c>
      <c r="DI3315" t="s">
        <v>116</v>
      </c>
    </row>
    <row r="3316" spans="1:113" x14ac:dyDescent="0.4">
      <c r="A3316" t="str">
        <f>"603196"</f>
        <v>603196</v>
      </c>
      <c r="B3316" t="s">
        <v>14147</v>
      </c>
      <c r="C3316">
        <v>3.69</v>
      </c>
      <c r="D3316">
        <v>8.44</v>
      </c>
      <c r="E3316">
        <v>0.3</v>
      </c>
      <c r="F3316">
        <v>8.44</v>
      </c>
      <c r="G3316">
        <v>8.4499999999999993</v>
      </c>
      <c r="H3316">
        <v>153014</v>
      </c>
      <c r="I3316">
        <v>1784</v>
      </c>
      <c r="J3316">
        <v>0.24</v>
      </c>
      <c r="K3316">
        <v>23.4</v>
      </c>
      <c r="L3316">
        <v>8.18</v>
      </c>
      <c r="M3316">
        <v>8.9</v>
      </c>
      <c r="N3316">
        <v>8.15</v>
      </c>
      <c r="O3316">
        <v>8.14</v>
      </c>
      <c r="P3316" t="s">
        <v>116</v>
      </c>
      <c r="Q3316">
        <v>130480352</v>
      </c>
      <c r="R3316">
        <v>3.3</v>
      </c>
      <c r="S3316" t="s">
        <v>3070</v>
      </c>
      <c r="T3316" t="s">
        <v>1653</v>
      </c>
      <c r="U3316">
        <v>9.2100000000000009</v>
      </c>
      <c r="V3316">
        <v>8.5299999999999994</v>
      </c>
      <c r="W3316">
        <v>64077</v>
      </c>
      <c r="X3316">
        <v>88937</v>
      </c>
      <c r="Y3316">
        <v>0.72</v>
      </c>
      <c r="Z3316">
        <v>482</v>
      </c>
      <c r="AA3316">
        <v>311</v>
      </c>
      <c r="AB3316" t="s">
        <v>116</v>
      </c>
      <c r="AC3316">
        <v>558700</v>
      </c>
      <c r="AD3316">
        <v>0.11</v>
      </c>
      <c r="AE3316" t="s">
        <v>116</v>
      </c>
      <c r="AF3316" t="s">
        <v>116</v>
      </c>
      <c r="AG3316">
        <v>0.65</v>
      </c>
      <c r="AH3316" t="s">
        <v>14148</v>
      </c>
      <c r="AI3316" t="s">
        <v>1655</v>
      </c>
      <c r="AJ3316">
        <v>3.76</v>
      </c>
      <c r="AK3316">
        <v>2507</v>
      </c>
      <c r="AL3316">
        <v>61</v>
      </c>
      <c r="AM3316">
        <v>9.2999999999999992E-3</v>
      </c>
      <c r="AN3316">
        <v>4</v>
      </c>
      <c r="AO3316">
        <v>6.31</v>
      </c>
      <c r="AP3316">
        <v>9.75</v>
      </c>
      <c r="AQ3316">
        <v>-0.24</v>
      </c>
      <c r="AR3316">
        <v>-31.6</v>
      </c>
      <c r="AS3316">
        <v>24.42</v>
      </c>
      <c r="AT3316" t="s">
        <v>14149</v>
      </c>
      <c r="AU3316">
        <v>121.38</v>
      </c>
      <c r="AV3316">
        <v>52.8</v>
      </c>
      <c r="AW3316">
        <v>0.74</v>
      </c>
      <c r="BA3316">
        <v>0.49</v>
      </c>
      <c r="BB3316">
        <v>9.34</v>
      </c>
      <c r="BC3316">
        <v>0.12</v>
      </c>
      <c r="BD3316">
        <v>4.76</v>
      </c>
      <c r="BE3316">
        <v>3.18</v>
      </c>
      <c r="BF3316">
        <v>-5.17</v>
      </c>
      <c r="BG3316">
        <v>3.56</v>
      </c>
      <c r="BH3316">
        <v>-1.07</v>
      </c>
      <c r="BI3316">
        <v>20191029</v>
      </c>
      <c r="BJ3316">
        <v>20170531</v>
      </c>
      <c r="BK3316">
        <v>2.4</v>
      </c>
      <c r="BL3316" t="s">
        <v>116</v>
      </c>
      <c r="BM3316" t="s">
        <v>116</v>
      </c>
      <c r="BN3316">
        <v>11.75</v>
      </c>
      <c r="BO3316">
        <v>9.1999999999999993</v>
      </c>
      <c r="BP3316">
        <v>-0.18</v>
      </c>
      <c r="BQ3316">
        <v>23.22</v>
      </c>
      <c r="BR3316">
        <v>7.67</v>
      </c>
      <c r="BS3316">
        <v>1.63</v>
      </c>
      <c r="BT3316">
        <v>0.97</v>
      </c>
      <c r="BU3316">
        <v>2.48</v>
      </c>
      <c r="BV3316">
        <v>3.26</v>
      </c>
      <c r="BW3316">
        <v>0.73</v>
      </c>
      <c r="BX3316">
        <v>3.83</v>
      </c>
      <c r="BY3316">
        <v>7.91</v>
      </c>
      <c r="BZ3316">
        <v>3.23</v>
      </c>
      <c r="CA3316">
        <v>-0.08</v>
      </c>
      <c r="CB3316">
        <v>0.03</v>
      </c>
      <c r="CC3316">
        <v>-0.08</v>
      </c>
      <c r="CD3316">
        <v>-0.09</v>
      </c>
      <c r="CE3316">
        <v>-0.01</v>
      </c>
      <c r="CF3316">
        <v>-0.09</v>
      </c>
      <c r="CG3316">
        <v>2.46</v>
      </c>
      <c r="CH3316">
        <v>0.66</v>
      </c>
      <c r="CI3316">
        <v>-0.24</v>
      </c>
      <c r="CJ3316">
        <v>13628</v>
      </c>
      <c r="CK3316">
        <v>4597</v>
      </c>
      <c r="CL3316" t="s">
        <v>2781</v>
      </c>
      <c r="CM3316">
        <v>-103.71</v>
      </c>
      <c r="CN3316">
        <v>-0.22</v>
      </c>
      <c r="CO3316">
        <v>2.2000000000000002</v>
      </c>
      <c r="CP3316">
        <v>30.58</v>
      </c>
      <c r="CQ3316">
        <v>2.56</v>
      </c>
      <c r="CR3316">
        <v>1.18</v>
      </c>
      <c r="CS3316" t="s">
        <v>12522</v>
      </c>
      <c r="CT3316">
        <v>3.83</v>
      </c>
      <c r="CU3316">
        <v>0</v>
      </c>
      <c r="CV3316">
        <v>1.6</v>
      </c>
      <c r="CW3316">
        <v>1.02</v>
      </c>
      <c r="CX3316">
        <v>0.28000000000000003</v>
      </c>
      <c r="CY3316">
        <v>78.33</v>
      </c>
      <c r="CZ3316" t="s">
        <v>2160</v>
      </c>
      <c r="DA3316">
        <v>59.18</v>
      </c>
      <c r="DB3316">
        <v>-1.02</v>
      </c>
      <c r="DC3316">
        <v>-0.1</v>
      </c>
      <c r="DD3316">
        <v>0.33</v>
      </c>
      <c r="DE3316">
        <v>1839</v>
      </c>
      <c r="DF3316">
        <v>603196</v>
      </c>
      <c r="DG3316" t="s">
        <v>116</v>
      </c>
      <c r="DH3316" t="s">
        <v>116</v>
      </c>
      <c r="DI3316" t="s">
        <v>116</v>
      </c>
    </row>
    <row r="3317" spans="1:113" x14ac:dyDescent="0.4">
      <c r="A3317" t="str">
        <f>"603197"</f>
        <v>603197</v>
      </c>
      <c r="B3317" t="s">
        <v>14150</v>
      </c>
      <c r="C3317">
        <v>-2.8</v>
      </c>
      <c r="D3317">
        <v>31.3</v>
      </c>
      <c r="E3317">
        <v>-0.9</v>
      </c>
      <c r="F3317">
        <v>31.29</v>
      </c>
      <c r="G3317">
        <v>31.3</v>
      </c>
      <c r="H3317">
        <v>73573</v>
      </c>
      <c r="I3317">
        <v>1442</v>
      </c>
      <c r="J3317">
        <v>-0.56000000000000005</v>
      </c>
      <c r="K3317">
        <v>7.48</v>
      </c>
      <c r="L3317">
        <v>32.200000000000003</v>
      </c>
      <c r="M3317">
        <v>32.520000000000003</v>
      </c>
      <c r="N3317">
        <v>31.3</v>
      </c>
      <c r="O3317">
        <v>32.200000000000003</v>
      </c>
      <c r="P3317">
        <v>32.26</v>
      </c>
      <c r="Q3317">
        <v>234313392</v>
      </c>
      <c r="R3317">
        <v>0.84</v>
      </c>
      <c r="S3317" t="s">
        <v>293</v>
      </c>
      <c r="T3317" t="s">
        <v>1653</v>
      </c>
      <c r="U3317">
        <v>3.79</v>
      </c>
      <c r="V3317">
        <v>31.85</v>
      </c>
      <c r="W3317">
        <v>38418</v>
      </c>
      <c r="X3317">
        <v>35155</v>
      </c>
      <c r="Y3317">
        <v>1.0900000000000001</v>
      </c>
      <c r="Z3317">
        <v>44</v>
      </c>
      <c r="AA3317">
        <v>49</v>
      </c>
      <c r="AB3317" t="s">
        <v>116</v>
      </c>
      <c r="AC3317">
        <v>769600</v>
      </c>
      <c r="AD3317">
        <v>0.02</v>
      </c>
      <c r="AE3317" t="s">
        <v>116</v>
      </c>
      <c r="AF3317" t="s">
        <v>116</v>
      </c>
      <c r="AG3317">
        <v>0.98</v>
      </c>
      <c r="AH3317" t="s">
        <v>14151</v>
      </c>
      <c r="AI3317" t="s">
        <v>14152</v>
      </c>
      <c r="AJ3317">
        <v>-2.72</v>
      </c>
      <c r="AK3317">
        <v>3327</v>
      </c>
      <c r="AL3317">
        <v>22</v>
      </c>
      <c r="AM3317">
        <v>2.2000000000000001E-3</v>
      </c>
      <c r="AN3317">
        <v>-2</v>
      </c>
      <c r="AO3317">
        <v>-3.88</v>
      </c>
      <c r="AP3317">
        <v>17.89</v>
      </c>
      <c r="AQ3317">
        <v>35.67</v>
      </c>
      <c r="AR3317">
        <v>53.36</v>
      </c>
      <c r="AS3317">
        <v>7.48</v>
      </c>
      <c r="AT3317" t="s">
        <v>14151</v>
      </c>
      <c r="AU3317">
        <v>34.01</v>
      </c>
      <c r="AV3317">
        <v>33.56</v>
      </c>
      <c r="AW3317">
        <v>0.93</v>
      </c>
      <c r="BA3317">
        <v>0</v>
      </c>
      <c r="BB3317">
        <v>0.99</v>
      </c>
      <c r="BC3317">
        <v>-2.8</v>
      </c>
      <c r="BD3317">
        <v>-1.0900000000000001</v>
      </c>
      <c r="BE3317">
        <v>-2.8</v>
      </c>
      <c r="BF3317">
        <v>-3.75</v>
      </c>
      <c r="BG3317">
        <v>0</v>
      </c>
      <c r="BH3317">
        <v>-1.7</v>
      </c>
      <c r="BI3317">
        <v>20191030</v>
      </c>
      <c r="BJ3317">
        <v>20170519</v>
      </c>
      <c r="BK3317">
        <v>1.66</v>
      </c>
      <c r="BL3317" t="s">
        <v>116</v>
      </c>
      <c r="BM3317" t="s">
        <v>116</v>
      </c>
      <c r="BN3317">
        <v>36.619999999999997</v>
      </c>
      <c r="BO3317">
        <v>10.41</v>
      </c>
      <c r="BP3317">
        <v>2.67</v>
      </c>
      <c r="BQ3317">
        <v>64.27</v>
      </c>
      <c r="BR3317">
        <v>22.32</v>
      </c>
      <c r="BS3317">
        <v>7.83</v>
      </c>
      <c r="BT3317">
        <v>0.68</v>
      </c>
      <c r="BU3317">
        <v>13.64</v>
      </c>
      <c r="BV3317">
        <v>6.68</v>
      </c>
      <c r="BW3317">
        <v>6.8</v>
      </c>
      <c r="BX3317">
        <v>2.2999999999999998</v>
      </c>
      <c r="BY3317">
        <v>23.61</v>
      </c>
      <c r="BZ3317">
        <v>16.32</v>
      </c>
      <c r="CA3317">
        <v>1.69</v>
      </c>
      <c r="CB3317">
        <v>0</v>
      </c>
      <c r="CC3317">
        <v>1.72</v>
      </c>
      <c r="CD3317">
        <v>1.17</v>
      </c>
      <c r="CE3317">
        <v>1.21</v>
      </c>
      <c r="CF3317">
        <v>1.06</v>
      </c>
      <c r="CG3317">
        <v>6.4</v>
      </c>
      <c r="CH3317">
        <v>0.81</v>
      </c>
      <c r="CI3317">
        <v>-1.92</v>
      </c>
      <c r="CJ3317">
        <v>11518</v>
      </c>
      <c r="CK3317">
        <v>8543</v>
      </c>
      <c r="CL3317" t="s">
        <v>14153</v>
      </c>
      <c r="CM3317">
        <v>-1.64</v>
      </c>
      <c r="CN3317">
        <v>40.049999999999997</v>
      </c>
      <c r="CO3317">
        <v>4.99</v>
      </c>
      <c r="CP3317">
        <v>63.83</v>
      </c>
      <c r="CQ3317">
        <v>2.2000000000000002</v>
      </c>
      <c r="CR3317">
        <v>0.8</v>
      </c>
      <c r="CS3317" t="s">
        <v>8121</v>
      </c>
      <c r="CT3317">
        <v>6.27</v>
      </c>
      <c r="CU3317">
        <v>0</v>
      </c>
      <c r="CV3317">
        <v>1.38</v>
      </c>
      <c r="CW3317">
        <v>3.85</v>
      </c>
      <c r="CX3317">
        <v>0.49</v>
      </c>
      <c r="CY3317">
        <v>28.43</v>
      </c>
      <c r="CZ3317" t="s">
        <v>14154</v>
      </c>
      <c r="DA3317">
        <v>30.88</v>
      </c>
      <c r="DB3317">
        <v>7.18</v>
      </c>
      <c r="DC3317">
        <v>5.12</v>
      </c>
      <c r="DD3317">
        <v>1.86</v>
      </c>
      <c r="DE3317">
        <v>3682</v>
      </c>
      <c r="DF3317">
        <v>603197</v>
      </c>
      <c r="DG3317" t="s">
        <v>116</v>
      </c>
      <c r="DH3317" t="s">
        <v>116</v>
      </c>
      <c r="DI3317" t="s">
        <v>116</v>
      </c>
    </row>
    <row r="3318" spans="1:113" x14ac:dyDescent="0.4">
      <c r="A3318" t="str">
        <f>"603198"</f>
        <v>603198</v>
      </c>
      <c r="B3318" t="s">
        <v>14155</v>
      </c>
      <c r="C3318">
        <v>0.99</v>
      </c>
      <c r="D3318">
        <v>19.309999999999999</v>
      </c>
      <c r="E3318">
        <v>0.19</v>
      </c>
      <c r="F3318">
        <v>19.3</v>
      </c>
      <c r="G3318">
        <v>19.309999999999999</v>
      </c>
      <c r="H3318">
        <v>83963</v>
      </c>
      <c r="I3318">
        <v>581</v>
      </c>
      <c r="J3318">
        <v>0</v>
      </c>
      <c r="K3318">
        <v>1.05</v>
      </c>
      <c r="L3318">
        <v>19.23</v>
      </c>
      <c r="M3318">
        <v>19.670000000000002</v>
      </c>
      <c r="N3318">
        <v>19.18</v>
      </c>
      <c r="O3318">
        <v>19.12</v>
      </c>
      <c r="P3318">
        <v>19.3</v>
      </c>
      <c r="Q3318">
        <v>163505040</v>
      </c>
      <c r="R3318">
        <v>1.41</v>
      </c>
      <c r="S3318" t="s">
        <v>1212</v>
      </c>
      <c r="T3318" t="s">
        <v>575</v>
      </c>
      <c r="U3318">
        <v>2.56</v>
      </c>
      <c r="V3318">
        <v>19.47</v>
      </c>
      <c r="W3318">
        <v>44901</v>
      </c>
      <c r="X3318">
        <v>39062</v>
      </c>
      <c r="Y3318">
        <v>1.1499999999999999</v>
      </c>
      <c r="Z3318">
        <v>237</v>
      </c>
      <c r="AA3318">
        <v>605</v>
      </c>
      <c r="AB3318" t="s">
        <v>116</v>
      </c>
      <c r="AC3318">
        <v>698000</v>
      </c>
      <c r="AD3318">
        <v>0.02</v>
      </c>
      <c r="AE3318" t="s">
        <v>116</v>
      </c>
      <c r="AF3318" t="s">
        <v>116</v>
      </c>
      <c r="AG3318">
        <v>8</v>
      </c>
      <c r="AH3318" t="s">
        <v>14156</v>
      </c>
      <c r="AI3318" t="s">
        <v>14156</v>
      </c>
      <c r="AJ3318">
        <v>1.07</v>
      </c>
      <c r="AK3318">
        <v>2724</v>
      </c>
      <c r="AL3318">
        <v>31</v>
      </c>
      <c r="AM3318">
        <v>4.0000000000000002E-4</v>
      </c>
      <c r="AN3318">
        <v>2</v>
      </c>
      <c r="AO3318">
        <v>1.2</v>
      </c>
      <c r="AP3318">
        <v>-5.34</v>
      </c>
      <c r="AQ3318">
        <v>-15.05</v>
      </c>
      <c r="AR3318">
        <v>44</v>
      </c>
      <c r="AS3318">
        <v>5.16</v>
      </c>
      <c r="AT3318" t="s">
        <v>14157</v>
      </c>
      <c r="AU3318">
        <v>17.53</v>
      </c>
      <c r="AV3318">
        <v>19.84</v>
      </c>
      <c r="AW3318">
        <v>1.41</v>
      </c>
      <c r="BA3318">
        <v>0.57999999999999996</v>
      </c>
      <c r="BB3318">
        <v>2.88</v>
      </c>
      <c r="BC3318">
        <v>0.31</v>
      </c>
      <c r="BD3318">
        <v>1.85</v>
      </c>
      <c r="BE3318">
        <v>0.42</v>
      </c>
      <c r="BF3318">
        <v>-1.83</v>
      </c>
      <c r="BG3318">
        <v>0.68</v>
      </c>
      <c r="BH3318">
        <v>-0.85</v>
      </c>
      <c r="BI3318">
        <v>20191031</v>
      </c>
      <c r="BJ3318">
        <v>20150528</v>
      </c>
      <c r="BK3318">
        <v>8</v>
      </c>
      <c r="BL3318" t="s">
        <v>116</v>
      </c>
      <c r="BM3318" t="s">
        <v>116</v>
      </c>
      <c r="BN3318">
        <v>59.34</v>
      </c>
      <c r="BO3318">
        <v>44.16</v>
      </c>
      <c r="BP3318">
        <v>0.16</v>
      </c>
      <c r="BQ3318">
        <v>25.31</v>
      </c>
      <c r="BR3318">
        <v>40.200000000000003</v>
      </c>
      <c r="BS3318">
        <v>13.72</v>
      </c>
      <c r="BT3318">
        <v>1.19</v>
      </c>
      <c r="BU3318">
        <v>14.33</v>
      </c>
      <c r="BV3318">
        <v>25.66</v>
      </c>
      <c r="BW3318">
        <v>0.47</v>
      </c>
      <c r="BX3318">
        <v>13</v>
      </c>
      <c r="BY3318">
        <v>26.49</v>
      </c>
      <c r="BZ3318">
        <v>9.9499999999999993</v>
      </c>
      <c r="CA3318">
        <v>8.16</v>
      </c>
      <c r="CB3318">
        <v>0.46</v>
      </c>
      <c r="CC3318">
        <v>8.02</v>
      </c>
      <c r="CD3318">
        <v>6.01</v>
      </c>
      <c r="CE3318">
        <v>6</v>
      </c>
      <c r="CF3318">
        <v>5.63</v>
      </c>
      <c r="CG3318">
        <v>19.489999999999998</v>
      </c>
      <c r="CH3318">
        <v>0.5</v>
      </c>
      <c r="CI3318">
        <v>-5.32</v>
      </c>
      <c r="CJ3318">
        <v>42481</v>
      </c>
      <c r="CK3318">
        <v>3831</v>
      </c>
      <c r="CL3318" t="s">
        <v>4487</v>
      </c>
      <c r="CM3318">
        <v>20.55</v>
      </c>
      <c r="CN3318">
        <v>8.69</v>
      </c>
      <c r="CO3318">
        <v>3.5</v>
      </c>
      <c r="CP3318">
        <v>310.63</v>
      </c>
      <c r="CQ3318">
        <v>5.83</v>
      </c>
      <c r="CR3318">
        <v>3.63</v>
      </c>
      <c r="CS3318" t="s">
        <v>14158</v>
      </c>
      <c r="CT3318">
        <v>5.52</v>
      </c>
      <c r="CU3318">
        <v>0</v>
      </c>
      <c r="CV3318">
        <v>1.63</v>
      </c>
      <c r="CW3318">
        <v>2.44</v>
      </c>
      <c r="CX3318">
        <v>0.06</v>
      </c>
      <c r="CY3318">
        <v>74.42</v>
      </c>
      <c r="CZ3318" t="s">
        <v>14159</v>
      </c>
      <c r="DA3318">
        <v>62.44</v>
      </c>
      <c r="DB3318">
        <v>30.82</v>
      </c>
      <c r="DC3318">
        <v>22.67</v>
      </c>
      <c r="DD3318">
        <v>0.18</v>
      </c>
      <c r="DE3318">
        <v>6608</v>
      </c>
      <c r="DF3318">
        <v>603198</v>
      </c>
      <c r="DG3318" t="s">
        <v>116</v>
      </c>
      <c r="DH3318" t="s">
        <v>116</v>
      </c>
      <c r="DI3318" t="s">
        <v>116</v>
      </c>
    </row>
    <row r="3319" spans="1:113" x14ac:dyDescent="0.4">
      <c r="A3319" t="str">
        <f>"603199"</f>
        <v>603199</v>
      </c>
      <c r="B3319" t="s">
        <v>14160</v>
      </c>
      <c r="C3319">
        <v>-0.72</v>
      </c>
      <c r="D3319">
        <v>23.42</v>
      </c>
      <c r="E3319">
        <v>-0.17</v>
      </c>
      <c r="F3319">
        <v>23.42</v>
      </c>
      <c r="G3319">
        <v>23.44</v>
      </c>
      <c r="H3319">
        <v>3346</v>
      </c>
      <c r="I3319">
        <v>11</v>
      </c>
      <c r="J3319">
        <v>-0.16</v>
      </c>
      <c r="K3319">
        <v>0.3</v>
      </c>
      <c r="L3319">
        <v>23.59</v>
      </c>
      <c r="M3319">
        <v>23.72</v>
      </c>
      <c r="N3319">
        <v>23.39</v>
      </c>
      <c r="O3319">
        <v>23.59</v>
      </c>
      <c r="P3319">
        <v>18.13</v>
      </c>
      <c r="Q3319">
        <v>7881666</v>
      </c>
      <c r="R3319">
        <v>0.93</v>
      </c>
      <c r="S3319" t="s">
        <v>493</v>
      </c>
      <c r="T3319" t="s">
        <v>575</v>
      </c>
      <c r="U3319">
        <v>1.4</v>
      </c>
      <c r="V3319">
        <v>23.56</v>
      </c>
      <c r="W3319">
        <v>2413</v>
      </c>
      <c r="X3319">
        <v>933</v>
      </c>
      <c r="Y3319">
        <v>2.59</v>
      </c>
      <c r="Z3319">
        <v>3</v>
      </c>
      <c r="AA3319">
        <v>20</v>
      </c>
      <c r="AB3319" t="s">
        <v>116</v>
      </c>
      <c r="AC3319">
        <v>87300</v>
      </c>
      <c r="AD3319">
        <v>0.01</v>
      </c>
      <c r="AE3319" t="s">
        <v>116</v>
      </c>
      <c r="AF3319" t="s">
        <v>116</v>
      </c>
      <c r="AG3319">
        <v>1.1100000000000001</v>
      </c>
      <c r="AH3319" t="s">
        <v>6902</v>
      </c>
      <c r="AI3319" t="s">
        <v>6902</v>
      </c>
      <c r="AJ3319">
        <v>-0.64</v>
      </c>
      <c r="AK3319">
        <v>466</v>
      </c>
      <c r="AL3319">
        <v>7</v>
      </c>
      <c r="AM3319">
        <v>5.9999999999999995E-4</v>
      </c>
      <c r="AN3319">
        <v>-1</v>
      </c>
      <c r="AO3319">
        <v>0.43</v>
      </c>
      <c r="AP3319">
        <v>6.02</v>
      </c>
      <c r="AQ3319">
        <v>-5.53</v>
      </c>
      <c r="AR3319">
        <v>24.38</v>
      </c>
      <c r="AS3319">
        <v>0.79</v>
      </c>
      <c r="AT3319" t="s">
        <v>8801</v>
      </c>
      <c r="AU3319">
        <v>21.77</v>
      </c>
      <c r="AV3319">
        <v>28.15</v>
      </c>
      <c r="AW3319">
        <v>0.95</v>
      </c>
      <c r="BA3319">
        <v>0</v>
      </c>
      <c r="BB3319">
        <v>0.55000000000000004</v>
      </c>
      <c r="BC3319">
        <v>-0.85</v>
      </c>
      <c r="BD3319">
        <v>-0.15</v>
      </c>
      <c r="BE3319">
        <v>-0.72</v>
      </c>
      <c r="BF3319">
        <v>-1.26</v>
      </c>
      <c r="BG3319">
        <v>0.13</v>
      </c>
      <c r="BH3319">
        <v>-0.56999999999999995</v>
      </c>
      <c r="BI3319">
        <v>20191018</v>
      </c>
      <c r="BJ3319">
        <v>20150326</v>
      </c>
      <c r="BK3319">
        <v>1.1100000000000001</v>
      </c>
      <c r="BL3319" t="s">
        <v>116</v>
      </c>
      <c r="BM3319" t="s">
        <v>116</v>
      </c>
      <c r="BN3319">
        <v>14.13</v>
      </c>
      <c r="BO3319">
        <v>11.89</v>
      </c>
      <c r="BP3319">
        <v>0</v>
      </c>
      <c r="BQ3319">
        <v>15.81</v>
      </c>
      <c r="BR3319">
        <v>4.8600000000000003</v>
      </c>
      <c r="BS3319">
        <v>7.1</v>
      </c>
      <c r="BT3319">
        <v>0.96</v>
      </c>
      <c r="BU3319">
        <v>2.02</v>
      </c>
      <c r="BV3319">
        <v>0.09</v>
      </c>
      <c r="BW3319">
        <v>0.2</v>
      </c>
      <c r="BX3319">
        <v>3.33</v>
      </c>
      <c r="BY3319">
        <v>4.17</v>
      </c>
      <c r="BZ3319">
        <v>2.02</v>
      </c>
      <c r="CA3319">
        <v>1.44</v>
      </c>
      <c r="CB3319">
        <v>7.0000000000000007E-2</v>
      </c>
      <c r="CC3319">
        <v>1.44</v>
      </c>
      <c r="CD3319">
        <v>1.07</v>
      </c>
      <c r="CE3319">
        <v>1.07</v>
      </c>
      <c r="CF3319">
        <v>1</v>
      </c>
      <c r="CG3319">
        <v>6.69</v>
      </c>
      <c r="CH3319">
        <v>1.53</v>
      </c>
      <c r="CI3319">
        <v>0.56000000000000005</v>
      </c>
      <c r="CJ3319">
        <v>11551</v>
      </c>
      <c r="CK3319">
        <v>3662</v>
      </c>
      <c r="CL3319" t="s">
        <v>3385</v>
      </c>
      <c r="CM3319">
        <v>33.6</v>
      </c>
      <c r="CN3319">
        <v>14.96</v>
      </c>
      <c r="CO3319">
        <v>2.1800000000000002</v>
      </c>
      <c r="CP3319">
        <v>16.98</v>
      </c>
      <c r="CQ3319">
        <v>6.21</v>
      </c>
      <c r="CR3319">
        <v>0.73</v>
      </c>
      <c r="CS3319" t="s">
        <v>14161</v>
      </c>
      <c r="CT3319">
        <v>10.75</v>
      </c>
      <c r="CU3319">
        <v>0</v>
      </c>
      <c r="CV3319">
        <v>3.01</v>
      </c>
      <c r="CW3319">
        <v>6.05</v>
      </c>
      <c r="CX3319">
        <v>1.38</v>
      </c>
      <c r="CY3319">
        <v>84.19</v>
      </c>
      <c r="CZ3319" t="s">
        <v>6881</v>
      </c>
      <c r="DA3319">
        <v>51.63</v>
      </c>
      <c r="DB3319">
        <v>34.409999999999997</v>
      </c>
      <c r="DC3319">
        <v>25.7</v>
      </c>
      <c r="DD3319">
        <v>0</v>
      </c>
      <c r="DE3319">
        <v>1528</v>
      </c>
      <c r="DF3319">
        <v>603199</v>
      </c>
      <c r="DG3319" t="s">
        <v>116</v>
      </c>
      <c r="DH3319" t="s">
        <v>116</v>
      </c>
      <c r="DI3319" t="s">
        <v>116</v>
      </c>
    </row>
    <row r="3320" spans="1:113" x14ac:dyDescent="0.4">
      <c r="A3320" t="str">
        <f>"603200"</f>
        <v>603200</v>
      </c>
      <c r="B3320" t="s">
        <v>14162</v>
      </c>
      <c r="C3320">
        <v>-1.3</v>
      </c>
      <c r="D3320">
        <v>19.04</v>
      </c>
      <c r="E3320">
        <v>-0.25</v>
      </c>
      <c r="F3320">
        <v>19.04</v>
      </c>
      <c r="G3320">
        <v>19.05</v>
      </c>
      <c r="H3320">
        <v>12721</v>
      </c>
      <c r="I3320">
        <v>108</v>
      </c>
      <c r="J3320">
        <v>0.21</v>
      </c>
      <c r="K3320">
        <v>3.65</v>
      </c>
      <c r="L3320">
        <v>19.309999999999999</v>
      </c>
      <c r="M3320">
        <v>19.47</v>
      </c>
      <c r="N3320">
        <v>19</v>
      </c>
      <c r="O3320">
        <v>19.29</v>
      </c>
      <c r="P3320">
        <v>27.78</v>
      </c>
      <c r="Q3320">
        <v>24558648</v>
      </c>
      <c r="R3320">
        <v>1.29</v>
      </c>
      <c r="S3320" t="s">
        <v>140</v>
      </c>
      <c r="T3320" t="s">
        <v>1653</v>
      </c>
      <c r="U3320">
        <v>2.44</v>
      </c>
      <c r="V3320">
        <v>19.3</v>
      </c>
      <c r="W3320">
        <v>6070</v>
      </c>
      <c r="X3320">
        <v>6651</v>
      </c>
      <c r="Y3320">
        <v>0.91</v>
      </c>
      <c r="Z3320">
        <v>18</v>
      </c>
      <c r="AA3320">
        <v>8</v>
      </c>
      <c r="AB3320" t="s">
        <v>116</v>
      </c>
      <c r="AC3320">
        <v>110100</v>
      </c>
      <c r="AD3320">
        <v>0.02</v>
      </c>
      <c r="AE3320" t="s">
        <v>116</v>
      </c>
      <c r="AF3320" t="s">
        <v>116</v>
      </c>
      <c r="AG3320">
        <v>0.35</v>
      </c>
      <c r="AH3320" t="s">
        <v>236</v>
      </c>
      <c r="AI3320" t="s">
        <v>4834</v>
      </c>
      <c r="AJ3320">
        <v>-1.22</v>
      </c>
      <c r="AK3320">
        <v>897</v>
      </c>
      <c r="AL3320">
        <v>14</v>
      </c>
      <c r="AM3320">
        <v>4.1000000000000003E-3</v>
      </c>
      <c r="AN3320">
        <v>-1</v>
      </c>
      <c r="AO3320">
        <v>-1.25</v>
      </c>
      <c r="AP3320">
        <v>3.2</v>
      </c>
      <c r="AQ3320">
        <v>-23.69</v>
      </c>
      <c r="AR3320">
        <v>-24.33</v>
      </c>
      <c r="AS3320">
        <v>3.65</v>
      </c>
      <c r="AT3320" t="s">
        <v>236</v>
      </c>
      <c r="AU3320">
        <v>26.46</v>
      </c>
      <c r="AV3320">
        <v>24.09</v>
      </c>
      <c r="AW3320">
        <v>1.58</v>
      </c>
      <c r="BA3320">
        <v>0.1</v>
      </c>
      <c r="BB3320">
        <v>0.93</v>
      </c>
      <c r="BC3320">
        <v>-1.5</v>
      </c>
      <c r="BD3320">
        <v>0.08</v>
      </c>
      <c r="BE3320">
        <v>-1.4</v>
      </c>
      <c r="BF3320">
        <v>-2.21</v>
      </c>
      <c r="BG3320">
        <v>0.21</v>
      </c>
      <c r="BH3320">
        <v>-1.37</v>
      </c>
      <c r="BI3320">
        <v>20191205</v>
      </c>
      <c r="BJ3320">
        <v>20170601</v>
      </c>
      <c r="BK3320">
        <v>1.01</v>
      </c>
      <c r="BL3320" t="s">
        <v>116</v>
      </c>
      <c r="BM3320" t="s">
        <v>116</v>
      </c>
      <c r="BN3320">
        <v>10.45</v>
      </c>
      <c r="BO3320">
        <v>7.9</v>
      </c>
      <c r="BP3320">
        <v>0.33</v>
      </c>
      <c r="BQ3320">
        <v>21.28</v>
      </c>
      <c r="BR3320">
        <v>8.59</v>
      </c>
      <c r="BS3320">
        <v>0.31</v>
      </c>
      <c r="BT3320">
        <v>0.23</v>
      </c>
      <c r="BU3320">
        <v>2.2000000000000002</v>
      </c>
      <c r="BV3320">
        <v>0.65</v>
      </c>
      <c r="BW3320">
        <v>2.72</v>
      </c>
      <c r="BX3320">
        <v>3.87</v>
      </c>
      <c r="BY3320">
        <v>3.82</v>
      </c>
      <c r="BZ3320">
        <v>2.52</v>
      </c>
      <c r="CA3320">
        <v>0.59</v>
      </c>
      <c r="CB3320">
        <v>0.03</v>
      </c>
      <c r="CC3320">
        <v>0.59</v>
      </c>
      <c r="CD3320">
        <v>0.51</v>
      </c>
      <c r="CE3320">
        <v>0.52</v>
      </c>
      <c r="CF3320">
        <v>0.47</v>
      </c>
      <c r="CG3320">
        <v>2.8</v>
      </c>
      <c r="CH3320">
        <v>-0.02</v>
      </c>
      <c r="CI3320">
        <v>-0.32</v>
      </c>
      <c r="CJ3320">
        <v>7337</v>
      </c>
      <c r="CK3320">
        <v>4747</v>
      </c>
      <c r="CL3320" t="s">
        <v>11927</v>
      </c>
      <c r="CM3320">
        <v>-12.14</v>
      </c>
      <c r="CN3320">
        <v>40.07</v>
      </c>
      <c r="CO3320">
        <v>2.44</v>
      </c>
      <c r="CP3320">
        <v>-787.81</v>
      </c>
      <c r="CQ3320">
        <v>5.04</v>
      </c>
      <c r="CR3320">
        <v>1.28</v>
      </c>
      <c r="CS3320" t="s">
        <v>14163</v>
      </c>
      <c r="CT3320">
        <v>7.79</v>
      </c>
      <c r="CU3320">
        <v>0</v>
      </c>
      <c r="CV3320">
        <v>3.82</v>
      </c>
      <c r="CW3320">
        <v>2.77</v>
      </c>
      <c r="CX3320">
        <v>-0.02</v>
      </c>
      <c r="CY3320">
        <v>75.540000000000006</v>
      </c>
      <c r="CZ3320" t="s">
        <v>1697</v>
      </c>
      <c r="DA3320">
        <v>34.17</v>
      </c>
      <c r="DB3320">
        <v>15.45</v>
      </c>
      <c r="DC3320">
        <v>13.61</v>
      </c>
      <c r="DD3320">
        <v>0.25</v>
      </c>
      <c r="DE3320">
        <v>826</v>
      </c>
      <c r="DF3320">
        <v>603200</v>
      </c>
      <c r="DG3320" t="s">
        <v>116</v>
      </c>
      <c r="DH3320" t="s">
        <v>116</v>
      </c>
      <c r="DI3320" t="s">
        <v>116</v>
      </c>
    </row>
    <row r="3321" spans="1:113" x14ac:dyDescent="0.4">
      <c r="A3321" t="str">
        <f>"603203"</f>
        <v>603203</v>
      </c>
      <c r="B3321" t="s">
        <v>14164</v>
      </c>
      <c r="C3321">
        <v>3.64</v>
      </c>
      <c r="D3321">
        <v>27.36</v>
      </c>
      <c r="E3321">
        <v>0.96</v>
      </c>
      <c r="F3321">
        <v>27.36</v>
      </c>
      <c r="G3321">
        <v>27.4</v>
      </c>
      <c r="H3321">
        <v>28305</v>
      </c>
      <c r="I3321">
        <v>359</v>
      </c>
      <c r="J3321">
        <v>1.1499999999999999</v>
      </c>
      <c r="K3321">
        <v>1.81</v>
      </c>
      <c r="L3321">
        <v>26.24</v>
      </c>
      <c r="M3321">
        <v>28.2</v>
      </c>
      <c r="N3321">
        <v>26.13</v>
      </c>
      <c r="O3321">
        <v>26.4</v>
      </c>
      <c r="P3321">
        <v>25.85</v>
      </c>
      <c r="Q3321">
        <v>76876544</v>
      </c>
      <c r="R3321">
        <v>2.11</v>
      </c>
      <c r="S3321" t="s">
        <v>682</v>
      </c>
      <c r="T3321" t="s">
        <v>323</v>
      </c>
      <c r="U3321">
        <v>7.84</v>
      </c>
      <c r="V3321">
        <v>27.16</v>
      </c>
      <c r="W3321">
        <v>13138</v>
      </c>
      <c r="X3321">
        <v>15167</v>
      </c>
      <c r="Y3321">
        <v>0.87</v>
      </c>
      <c r="Z3321">
        <v>45</v>
      </c>
      <c r="AA3321">
        <v>5</v>
      </c>
      <c r="AB3321" t="s">
        <v>116</v>
      </c>
      <c r="AC3321">
        <v>627100</v>
      </c>
      <c r="AD3321">
        <v>0.04</v>
      </c>
      <c r="AE3321" t="s">
        <v>116</v>
      </c>
      <c r="AF3321" t="s">
        <v>116</v>
      </c>
      <c r="AG3321">
        <v>1.57</v>
      </c>
      <c r="AH3321" t="s">
        <v>14165</v>
      </c>
      <c r="AI3321" t="s">
        <v>14166</v>
      </c>
      <c r="AJ3321">
        <v>3.71</v>
      </c>
      <c r="AK3321">
        <v>2061</v>
      </c>
      <c r="AL3321">
        <v>14</v>
      </c>
      <c r="AM3321">
        <v>8.9999999999999998E-4</v>
      </c>
      <c r="AN3321">
        <v>4</v>
      </c>
      <c r="AO3321">
        <v>10.73</v>
      </c>
      <c r="AP3321">
        <v>33.79</v>
      </c>
      <c r="AQ3321">
        <v>22.58</v>
      </c>
      <c r="AR3321">
        <v>41.77</v>
      </c>
      <c r="AS3321">
        <v>5.26</v>
      </c>
      <c r="AT3321" t="s">
        <v>4895</v>
      </c>
      <c r="AU3321">
        <v>25.4</v>
      </c>
      <c r="AV3321">
        <v>27.41</v>
      </c>
      <c r="AW3321">
        <v>0.93</v>
      </c>
      <c r="BA3321">
        <v>-0.61</v>
      </c>
      <c r="BB3321">
        <v>6.82</v>
      </c>
      <c r="BC3321">
        <v>-1.02</v>
      </c>
      <c r="BD3321">
        <v>2.88</v>
      </c>
      <c r="BE3321">
        <v>4.2699999999999996</v>
      </c>
      <c r="BF3321">
        <v>-2.98</v>
      </c>
      <c r="BG3321">
        <v>4.71</v>
      </c>
      <c r="BH3321">
        <v>0.76</v>
      </c>
      <c r="BI3321">
        <v>20191226</v>
      </c>
      <c r="BJ3321">
        <v>20161108</v>
      </c>
      <c r="BK3321">
        <v>1.57</v>
      </c>
      <c r="BL3321" t="s">
        <v>116</v>
      </c>
      <c r="BM3321" t="s">
        <v>116</v>
      </c>
      <c r="BN3321">
        <v>11.12</v>
      </c>
      <c r="BO3321">
        <v>9.31</v>
      </c>
      <c r="BP3321">
        <v>0</v>
      </c>
      <c r="BQ3321">
        <v>16.309999999999999</v>
      </c>
      <c r="BR3321">
        <v>9.5299999999999994</v>
      </c>
      <c r="BS3321">
        <v>1.37</v>
      </c>
      <c r="BT3321">
        <v>0.14000000000000001</v>
      </c>
      <c r="BU3321">
        <v>1.66</v>
      </c>
      <c r="BV3321">
        <v>0.66</v>
      </c>
      <c r="BW3321">
        <v>0.74</v>
      </c>
      <c r="BX3321">
        <v>3.64</v>
      </c>
      <c r="BY3321">
        <v>3.37</v>
      </c>
      <c r="BZ3321">
        <v>1.54</v>
      </c>
      <c r="CA3321">
        <v>1.45</v>
      </c>
      <c r="CB3321">
        <v>0.15</v>
      </c>
      <c r="CC3321">
        <v>1.45</v>
      </c>
      <c r="CD3321">
        <v>1.25</v>
      </c>
      <c r="CE3321">
        <v>1.25</v>
      </c>
      <c r="CF3321">
        <v>1.04</v>
      </c>
      <c r="CG3321">
        <v>3.78</v>
      </c>
      <c r="CH3321">
        <v>1.41</v>
      </c>
      <c r="CI3321">
        <v>0.66</v>
      </c>
      <c r="CJ3321">
        <v>9021</v>
      </c>
      <c r="CK3321">
        <v>5968</v>
      </c>
      <c r="CL3321" t="s">
        <v>13898</v>
      </c>
      <c r="CM3321">
        <v>11.07</v>
      </c>
      <c r="CN3321">
        <v>6.4</v>
      </c>
      <c r="CO3321">
        <v>4.63</v>
      </c>
      <c r="CP3321">
        <v>30.56</v>
      </c>
      <c r="CQ3321">
        <v>12.77</v>
      </c>
      <c r="CR3321">
        <v>1.1000000000000001</v>
      </c>
      <c r="CS3321" t="s">
        <v>4039</v>
      </c>
      <c r="CT3321">
        <v>5.91</v>
      </c>
      <c r="CU3321">
        <v>0</v>
      </c>
      <c r="CV3321">
        <v>2.31</v>
      </c>
      <c r="CW3321">
        <v>2.4</v>
      </c>
      <c r="CX3321">
        <v>0.9</v>
      </c>
      <c r="CY3321">
        <v>83.69</v>
      </c>
      <c r="CZ3321" t="s">
        <v>14167</v>
      </c>
      <c r="DA3321">
        <v>54.42</v>
      </c>
      <c r="DB3321">
        <v>42.85</v>
      </c>
      <c r="DC3321">
        <v>37.04</v>
      </c>
      <c r="DD3321">
        <v>0.27</v>
      </c>
      <c r="DE3321">
        <v>700</v>
      </c>
      <c r="DF3321">
        <v>603203</v>
      </c>
      <c r="DG3321" t="s">
        <v>116</v>
      </c>
      <c r="DH3321" t="s">
        <v>116</v>
      </c>
      <c r="DI3321" t="s">
        <v>116</v>
      </c>
    </row>
    <row r="3322" spans="1:113" x14ac:dyDescent="0.4">
      <c r="A3322" t="str">
        <f>"603208"</f>
        <v>603208</v>
      </c>
      <c r="B3322" t="s">
        <v>14168</v>
      </c>
      <c r="C3322">
        <v>3.29</v>
      </c>
      <c r="D3322">
        <v>52.4</v>
      </c>
      <c r="E3322">
        <v>1.67</v>
      </c>
      <c r="F3322">
        <v>52.38</v>
      </c>
      <c r="G3322">
        <v>52.4</v>
      </c>
      <c r="H3322">
        <v>19993</v>
      </c>
      <c r="I3322">
        <v>221</v>
      </c>
      <c r="J3322">
        <v>-7.0000000000000007E-2</v>
      </c>
      <c r="K3322">
        <v>6.49</v>
      </c>
      <c r="L3322">
        <v>50.66</v>
      </c>
      <c r="M3322">
        <v>52.92</v>
      </c>
      <c r="N3322">
        <v>50.5</v>
      </c>
      <c r="O3322">
        <v>50.73</v>
      </c>
      <c r="P3322">
        <v>17.670000000000002</v>
      </c>
      <c r="Q3322">
        <v>103927984</v>
      </c>
      <c r="R3322">
        <v>1.85</v>
      </c>
      <c r="S3322" t="s">
        <v>2640</v>
      </c>
      <c r="T3322" t="s">
        <v>590</v>
      </c>
      <c r="U3322">
        <v>4.7699999999999996</v>
      </c>
      <c r="V3322">
        <v>51.98</v>
      </c>
      <c r="W3322">
        <v>9168</v>
      </c>
      <c r="X3322">
        <v>10825</v>
      </c>
      <c r="Y3322">
        <v>0.85</v>
      </c>
      <c r="Z3322">
        <v>1</v>
      </c>
      <c r="AA3322">
        <v>13</v>
      </c>
      <c r="AB3322" t="s">
        <v>116</v>
      </c>
      <c r="AC3322">
        <v>126700</v>
      </c>
      <c r="AD3322">
        <v>0.01</v>
      </c>
      <c r="AE3322" t="s">
        <v>116</v>
      </c>
      <c r="AF3322" t="s">
        <v>116</v>
      </c>
      <c r="AG3322">
        <v>0.31</v>
      </c>
      <c r="AH3322" t="s">
        <v>5123</v>
      </c>
      <c r="AI3322" t="s">
        <v>14169</v>
      </c>
      <c r="AJ3322">
        <v>3.37</v>
      </c>
      <c r="AK3322">
        <v>2389</v>
      </c>
      <c r="AL3322">
        <v>8</v>
      </c>
      <c r="AM3322">
        <v>2.7000000000000001E-3</v>
      </c>
      <c r="AN3322">
        <v>2</v>
      </c>
      <c r="AO3322">
        <v>4.25</v>
      </c>
      <c r="AP3322">
        <v>3.11</v>
      </c>
      <c r="AQ3322">
        <v>42.35</v>
      </c>
      <c r="AR3322">
        <v>101.31</v>
      </c>
      <c r="AS3322">
        <v>6.49</v>
      </c>
      <c r="AT3322" t="s">
        <v>5123</v>
      </c>
      <c r="AU3322">
        <v>18.86</v>
      </c>
      <c r="AV3322">
        <v>27.73</v>
      </c>
      <c r="AW3322">
        <v>1.44</v>
      </c>
      <c r="BA3322">
        <v>-0.14000000000000001</v>
      </c>
      <c r="BB3322">
        <v>4.32</v>
      </c>
      <c r="BC3322">
        <v>-0.45</v>
      </c>
      <c r="BD3322">
        <v>2.4700000000000002</v>
      </c>
      <c r="BE3322">
        <v>3.43</v>
      </c>
      <c r="BF3322">
        <v>-0.98</v>
      </c>
      <c r="BG3322">
        <v>3.76</v>
      </c>
      <c r="BH3322">
        <v>0.82</v>
      </c>
      <c r="BI3322">
        <v>20191029</v>
      </c>
      <c r="BJ3322">
        <v>20170210</v>
      </c>
      <c r="BK3322">
        <v>0.81</v>
      </c>
      <c r="BL3322" t="s">
        <v>116</v>
      </c>
      <c r="BM3322" t="s">
        <v>116</v>
      </c>
      <c r="BN3322">
        <v>25.49</v>
      </c>
      <c r="BO3322">
        <v>12.3</v>
      </c>
      <c r="BP3322">
        <v>0.74</v>
      </c>
      <c r="BQ3322">
        <v>48.83</v>
      </c>
      <c r="BR3322">
        <v>16.07</v>
      </c>
      <c r="BS3322">
        <v>5.5</v>
      </c>
      <c r="BT3322">
        <v>1.68</v>
      </c>
      <c r="BU3322">
        <v>10.17</v>
      </c>
      <c r="BV3322">
        <v>4.17</v>
      </c>
      <c r="BW3322">
        <v>3.96</v>
      </c>
      <c r="BX3322">
        <v>5.18</v>
      </c>
      <c r="BY3322">
        <v>13.35</v>
      </c>
      <c r="BZ3322">
        <v>8.9499999999999993</v>
      </c>
      <c r="CA3322">
        <v>2.09</v>
      </c>
      <c r="CB3322">
        <v>0.05</v>
      </c>
      <c r="CC3322">
        <v>2.08</v>
      </c>
      <c r="CD3322">
        <v>1.83</v>
      </c>
      <c r="CE3322">
        <v>1.8</v>
      </c>
      <c r="CF3322">
        <v>1.46</v>
      </c>
      <c r="CG3322">
        <v>5.65</v>
      </c>
      <c r="CH3322">
        <v>1.1100000000000001</v>
      </c>
      <c r="CI3322">
        <v>-0.88</v>
      </c>
      <c r="CJ3322">
        <v>5570</v>
      </c>
      <c r="CK3322">
        <v>5533</v>
      </c>
      <c r="CL3322" t="s">
        <v>14170</v>
      </c>
      <c r="CM3322">
        <v>66.62</v>
      </c>
      <c r="CN3322">
        <v>55.06</v>
      </c>
      <c r="CO3322">
        <v>3.44</v>
      </c>
      <c r="CP3322">
        <v>38.159999999999997</v>
      </c>
      <c r="CQ3322">
        <v>3.17</v>
      </c>
      <c r="CR3322">
        <v>1.1100000000000001</v>
      </c>
      <c r="CS3322" t="s">
        <v>14171</v>
      </c>
      <c r="CT3322">
        <v>15.23</v>
      </c>
      <c r="CU3322">
        <v>0</v>
      </c>
      <c r="CV3322">
        <v>6.4</v>
      </c>
      <c r="CW3322">
        <v>7</v>
      </c>
      <c r="CX3322">
        <v>1.37</v>
      </c>
      <c r="CY3322">
        <v>48.28</v>
      </c>
      <c r="CZ3322" t="s">
        <v>7144</v>
      </c>
      <c r="DA3322">
        <v>33</v>
      </c>
      <c r="DB3322">
        <v>15.62</v>
      </c>
      <c r="DC3322">
        <v>13.46</v>
      </c>
      <c r="DD3322">
        <v>0.52</v>
      </c>
      <c r="DE3322">
        <v>2734</v>
      </c>
      <c r="DF3322">
        <v>603208</v>
      </c>
      <c r="DG3322" t="s">
        <v>116</v>
      </c>
      <c r="DH3322" t="s">
        <v>116</v>
      </c>
      <c r="DI3322" t="s">
        <v>116</v>
      </c>
    </row>
    <row r="3323" spans="1:113" x14ac:dyDescent="0.4">
      <c r="A3323" t="str">
        <f>"603214"</f>
        <v>603214</v>
      </c>
      <c r="B3323" t="s">
        <v>14172</v>
      </c>
      <c r="C3323">
        <v>0.02</v>
      </c>
      <c r="D3323">
        <v>41.25</v>
      </c>
      <c r="E3323">
        <v>0.01</v>
      </c>
      <c r="F3323">
        <v>41.25</v>
      </c>
      <c r="G3323">
        <v>41.28</v>
      </c>
      <c r="H3323">
        <v>10479</v>
      </c>
      <c r="I3323">
        <v>47</v>
      </c>
      <c r="J3323">
        <v>0.02</v>
      </c>
      <c r="K3323">
        <v>1.9</v>
      </c>
      <c r="L3323">
        <v>41.4</v>
      </c>
      <c r="M3323">
        <v>41.78</v>
      </c>
      <c r="N3323">
        <v>41.05</v>
      </c>
      <c r="O3323">
        <v>41.24</v>
      </c>
      <c r="P3323">
        <v>36.18</v>
      </c>
      <c r="Q3323">
        <v>43376100</v>
      </c>
      <c r="R3323">
        <v>0.93</v>
      </c>
      <c r="S3323" t="s">
        <v>746</v>
      </c>
      <c r="T3323" t="s">
        <v>1653</v>
      </c>
      <c r="U3323">
        <v>1.77</v>
      </c>
      <c r="V3323">
        <v>41.39</v>
      </c>
      <c r="W3323">
        <v>5958</v>
      </c>
      <c r="X3323">
        <v>4521</v>
      </c>
      <c r="Y3323">
        <v>1.32</v>
      </c>
      <c r="Z3323">
        <v>13</v>
      </c>
      <c r="AA3323">
        <v>25</v>
      </c>
      <c r="AB3323" t="s">
        <v>116</v>
      </c>
      <c r="AC3323">
        <v>153200</v>
      </c>
      <c r="AD3323">
        <v>0.01</v>
      </c>
      <c r="AE3323" t="s">
        <v>116</v>
      </c>
      <c r="AF3323" t="s">
        <v>116</v>
      </c>
      <c r="AG3323">
        <v>0.55000000000000004</v>
      </c>
      <c r="AH3323" t="s">
        <v>14173</v>
      </c>
      <c r="AI3323" t="s">
        <v>8144</v>
      </c>
      <c r="AJ3323">
        <v>0.1</v>
      </c>
      <c r="AK3323">
        <v>1351</v>
      </c>
      <c r="AL3323">
        <v>8</v>
      </c>
      <c r="AM3323">
        <v>1.4E-3</v>
      </c>
      <c r="AN3323">
        <v>1</v>
      </c>
      <c r="AO3323">
        <v>-2.34</v>
      </c>
      <c r="AP3323">
        <v>-1.79</v>
      </c>
      <c r="AQ3323">
        <v>3.18</v>
      </c>
      <c r="AR3323">
        <v>12.58</v>
      </c>
      <c r="AS3323">
        <v>2.91</v>
      </c>
      <c r="AT3323" t="s">
        <v>5947</v>
      </c>
      <c r="AU3323">
        <v>29.73</v>
      </c>
      <c r="AV3323">
        <v>35.08</v>
      </c>
      <c r="AW3323">
        <v>0.89</v>
      </c>
      <c r="BA3323">
        <v>0.39</v>
      </c>
      <c r="BB3323">
        <v>1.31</v>
      </c>
      <c r="BC3323">
        <v>-0.46</v>
      </c>
      <c r="BD3323">
        <v>0.37</v>
      </c>
      <c r="BE3323">
        <v>-0.36</v>
      </c>
      <c r="BF3323">
        <v>-1.27</v>
      </c>
      <c r="BG3323">
        <v>0.49</v>
      </c>
      <c r="BH3323">
        <v>-0.35</v>
      </c>
      <c r="BI3323">
        <v>20191107</v>
      </c>
      <c r="BJ3323">
        <v>20180330</v>
      </c>
      <c r="BK3323">
        <v>1.02</v>
      </c>
      <c r="BL3323" t="s">
        <v>116</v>
      </c>
      <c r="BM3323" t="s">
        <v>116</v>
      </c>
      <c r="BN3323">
        <v>15.96</v>
      </c>
      <c r="BO3323">
        <v>9.48</v>
      </c>
      <c r="BP3323">
        <v>0.51</v>
      </c>
      <c r="BQ3323">
        <v>37.43</v>
      </c>
      <c r="BR3323">
        <v>13.5</v>
      </c>
      <c r="BS3323">
        <v>0.8</v>
      </c>
      <c r="BT3323">
        <v>0.24</v>
      </c>
      <c r="BU3323">
        <v>5.97</v>
      </c>
      <c r="BV3323">
        <v>5.74</v>
      </c>
      <c r="BW3323">
        <v>0.11</v>
      </c>
      <c r="BX3323">
        <v>4.6500000000000004</v>
      </c>
      <c r="BY3323">
        <v>17.41</v>
      </c>
      <c r="BZ3323">
        <v>12.27</v>
      </c>
      <c r="CA3323">
        <v>1.28</v>
      </c>
      <c r="CB3323">
        <v>0.08</v>
      </c>
      <c r="CC3323">
        <v>1.26</v>
      </c>
      <c r="CD3323">
        <v>0.94</v>
      </c>
      <c r="CE3323">
        <v>0.87</v>
      </c>
      <c r="CF3323">
        <v>0.73</v>
      </c>
      <c r="CG3323">
        <v>4.01</v>
      </c>
      <c r="CH3323">
        <v>0.21</v>
      </c>
      <c r="CI3323">
        <v>0.26</v>
      </c>
      <c r="CJ3323">
        <v>8884</v>
      </c>
      <c r="CK3323">
        <v>4053</v>
      </c>
      <c r="CL3323" t="s">
        <v>14174</v>
      </c>
      <c r="CM3323">
        <v>32.950000000000003</v>
      </c>
      <c r="CN3323">
        <v>14.52</v>
      </c>
      <c r="CO3323">
        <v>4.43</v>
      </c>
      <c r="CP3323">
        <v>197.13</v>
      </c>
      <c r="CQ3323">
        <v>2.42</v>
      </c>
      <c r="CR3323">
        <v>0.86</v>
      </c>
      <c r="CS3323" t="s">
        <v>14175</v>
      </c>
      <c r="CT3323">
        <v>9.32</v>
      </c>
      <c r="CU3323">
        <v>9.32</v>
      </c>
      <c r="CV3323">
        <v>4.5599999999999996</v>
      </c>
      <c r="CW3323">
        <v>3.93</v>
      </c>
      <c r="CX3323">
        <v>0.21</v>
      </c>
      <c r="CY3323">
        <v>59.39</v>
      </c>
      <c r="CZ3323" t="s">
        <v>3822</v>
      </c>
      <c r="DA3323">
        <v>29.55</v>
      </c>
      <c r="DB3323">
        <v>7.37</v>
      </c>
      <c r="DC3323">
        <v>5.01</v>
      </c>
      <c r="DD3323">
        <v>0</v>
      </c>
      <c r="DE3323">
        <v>2519</v>
      </c>
      <c r="DF3323">
        <v>603214</v>
      </c>
      <c r="DG3323" t="s">
        <v>116</v>
      </c>
      <c r="DH3323" t="s">
        <v>116</v>
      </c>
      <c r="DI3323" t="s">
        <v>116</v>
      </c>
    </row>
    <row r="3324" spans="1:113" x14ac:dyDescent="0.4">
      <c r="A3324" t="str">
        <f>"603217"</f>
        <v>603217</v>
      </c>
      <c r="B3324" t="s">
        <v>14176</v>
      </c>
      <c r="C3324">
        <v>0.69</v>
      </c>
      <c r="D3324">
        <v>48.45</v>
      </c>
      <c r="E3324">
        <v>0.33</v>
      </c>
      <c r="F3324">
        <v>48.44</v>
      </c>
      <c r="G3324">
        <v>48.45</v>
      </c>
      <c r="H3324">
        <v>12183</v>
      </c>
      <c r="I3324">
        <v>187</v>
      </c>
      <c r="J3324">
        <v>0</v>
      </c>
      <c r="K3324">
        <v>5.35</v>
      </c>
      <c r="L3324">
        <v>48.22</v>
      </c>
      <c r="M3324">
        <v>48.77</v>
      </c>
      <c r="N3324">
        <v>47.99</v>
      </c>
      <c r="O3324">
        <v>48.12</v>
      </c>
      <c r="P3324">
        <v>27.07</v>
      </c>
      <c r="Q3324">
        <v>58924724</v>
      </c>
      <c r="R3324">
        <v>1.81</v>
      </c>
      <c r="S3324" t="s">
        <v>891</v>
      </c>
      <c r="T3324" t="s">
        <v>645</v>
      </c>
      <c r="U3324">
        <v>1.62</v>
      </c>
      <c r="V3324">
        <v>48.37</v>
      </c>
      <c r="W3324">
        <v>5701</v>
      </c>
      <c r="X3324">
        <v>6482</v>
      </c>
      <c r="Y3324">
        <v>0.88</v>
      </c>
      <c r="Z3324">
        <v>14</v>
      </c>
      <c r="AA3324">
        <v>10</v>
      </c>
      <c r="AB3324" t="s">
        <v>116</v>
      </c>
      <c r="AC3324">
        <v>135000</v>
      </c>
      <c r="AD3324">
        <v>0.01</v>
      </c>
      <c r="AE3324" t="s">
        <v>116</v>
      </c>
      <c r="AF3324" t="s">
        <v>116</v>
      </c>
      <c r="AG3324">
        <v>0.23</v>
      </c>
      <c r="AH3324" t="s">
        <v>14129</v>
      </c>
      <c r="AI3324" t="s">
        <v>14177</v>
      </c>
      <c r="AJ3324">
        <v>0.76</v>
      </c>
      <c r="AK3324">
        <v>1425</v>
      </c>
      <c r="AL3324">
        <v>9</v>
      </c>
      <c r="AM3324">
        <v>3.8E-3</v>
      </c>
      <c r="AN3324">
        <v>4</v>
      </c>
      <c r="AO3324">
        <v>1.98</v>
      </c>
      <c r="AP3324">
        <v>5.03</v>
      </c>
      <c r="AQ3324">
        <v>-8.06</v>
      </c>
      <c r="AR3324">
        <v>-11.84</v>
      </c>
      <c r="AS3324">
        <v>5.35</v>
      </c>
      <c r="AT3324" t="s">
        <v>14129</v>
      </c>
      <c r="AU3324">
        <v>27.23</v>
      </c>
      <c r="AV3324">
        <v>18.260000000000002</v>
      </c>
      <c r="AW3324">
        <v>1.1499999999999999</v>
      </c>
      <c r="BA3324">
        <v>0.21</v>
      </c>
      <c r="BB3324">
        <v>1.35</v>
      </c>
      <c r="BC3324">
        <v>-0.27</v>
      </c>
      <c r="BD3324">
        <v>0.51</v>
      </c>
      <c r="BE3324">
        <v>0.48</v>
      </c>
      <c r="BF3324">
        <v>-0.66</v>
      </c>
      <c r="BG3324">
        <v>0.96</v>
      </c>
      <c r="BH3324">
        <v>0.17</v>
      </c>
      <c r="BI3324">
        <v>20191028</v>
      </c>
      <c r="BJ3324">
        <v>20190620</v>
      </c>
      <c r="BK3324">
        <v>0.91</v>
      </c>
      <c r="BL3324" t="s">
        <v>116</v>
      </c>
      <c r="BM3324" t="s">
        <v>116</v>
      </c>
      <c r="BN3324">
        <v>23.88</v>
      </c>
      <c r="BO3324">
        <v>21.42</v>
      </c>
      <c r="BP3324">
        <v>0</v>
      </c>
      <c r="BQ3324">
        <v>10.33</v>
      </c>
      <c r="BR3324">
        <v>15.5</v>
      </c>
      <c r="BS3324">
        <v>6.55</v>
      </c>
      <c r="BT3324">
        <v>0.75</v>
      </c>
      <c r="BU3324">
        <v>2.3199999999999998</v>
      </c>
      <c r="BV3324">
        <v>1.8</v>
      </c>
      <c r="BW3324">
        <v>0.8</v>
      </c>
      <c r="BX3324">
        <v>12.59</v>
      </c>
      <c r="BY3324">
        <v>8.9600000000000009</v>
      </c>
      <c r="BZ3324">
        <v>6.6</v>
      </c>
      <c r="CA3324">
        <v>1.53</v>
      </c>
      <c r="CB3324">
        <v>0.06</v>
      </c>
      <c r="CC3324">
        <v>1.61</v>
      </c>
      <c r="CD3324">
        <v>1.22</v>
      </c>
      <c r="CE3324">
        <v>1.22</v>
      </c>
      <c r="CF3324">
        <v>1.1000000000000001</v>
      </c>
      <c r="CG3324">
        <v>7.45</v>
      </c>
      <c r="CH3324">
        <v>1.34</v>
      </c>
      <c r="CI3324">
        <v>0.42</v>
      </c>
      <c r="CJ3324">
        <v>19056</v>
      </c>
      <c r="CK3324">
        <v>1194</v>
      </c>
      <c r="CL3324" t="s">
        <v>6903</v>
      </c>
      <c r="CM3324">
        <v>0</v>
      </c>
      <c r="CN3324">
        <v>0</v>
      </c>
      <c r="CO3324">
        <v>2.06</v>
      </c>
      <c r="CP3324">
        <v>33.020000000000003</v>
      </c>
      <c r="CQ3324">
        <v>4.92</v>
      </c>
      <c r="CR3324">
        <v>0</v>
      </c>
      <c r="CS3324" t="s">
        <v>10368</v>
      </c>
      <c r="CT3324">
        <v>23.52</v>
      </c>
      <c r="CU3324">
        <v>0</v>
      </c>
      <c r="CV3324">
        <v>13.83</v>
      </c>
      <c r="CW3324">
        <v>8.18</v>
      </c>
      <c r="CX3324">
        <v>1.47</v>
      </c>
      <c r="CY3324">
        <v>89.67</v>
      </c>
      <c r="CZ3324" t="s">
        <v>3661</v>
      </c>
      <c r="DA3324">
        <v>26.34</v>
      </c>
      <c r="DB3324">
        <v>17.12</v>
      </c>
      <c r="DC3324">
        <v>13.64</v>
      </c>
      <c r="DD3324">
        <v>0.28000000000000003</v>
      </c>
      <c r="DE3324">
        <v>687</v>
      </c>
      <c r="DF3324">
        <v>603217</v>
      </c>
      <c r="DG3324" t="s">
        <v>116</v>
      </c>
      <c r="DH3324" t="s">
        <v>116</v>
      </c>
      <c r="DI3324" t="s">
        <v>116</v>
      </c>
    </row>
    <row r="3325" spans="1:113" x14ac:dyDescent="0.4">
      <c r="A3325" t="str">
        <f>"603218"</f>
        <v>603218</v>
      </c>
      <c r="B3325" t="s">
        <v>14178</v>
      </c>
      <c r="C3325">
        <v>0.66</v>
      </c>
      <c r="D3325">
        <v>19.829999999999998</v>
      </c>
      <c r="E3325">
        <v>0.13</v>
      </c>
      <c r="F3325">
        <v>19.82</v>
      </c>
      <c r="G3325">
        <v>19.829999999999998</v>
      </c>
      <c r="H3325">
        <v>32811</v>
      </c>
      <c r="I3325">
        <v>279</v>
      </c>
      <c r="J3325">
        <v>-0.04</v>
      </c>
      <c r="K3325">
        <v>2.48</v>
      </c>
      <c r="L3325">
        <v>19.57</v>
      </c>
      <c r="M3325">
        <v>20.45</v>
      </c>
      <c r="N3325">
        <v>19.57</v>
      </c>
      <c r="O3325">
        <v>19.7</v>
      </c>
      <c r="P3325">
        <v>22.94</v>
      </c>
      <c r="Q3325">
        <v>65724216</v>
      </c>
      <c r="R3325">
        <v>1.57</v>
      </c>
      <c r="S3325" t="s">
        <v>598</v>
      </c>
      <c r="T3325" t="s">
        <v>590</v>
      </c>
      <c r="U3325">
        <v>4.47</v>
      </c>
      <c r="V3325">
        <v>20.03</v>
      </c>
      <c r="W3325">
        <v>15523</v>
      </c>
      <c r="X3325">
        <v>17288</v>
      </c>
      <c r="Y3325">
        <v>0.9</v>
      </c>
      <c r="Z3325">
        <v>11</v>
      </c>
      <c r="AA3325">
        <v>59</v>
      </c>
      <c r="AB3325" t="s">
        <v>116</v>
      </c>
      <c r="AC3325">
        <v>35200</v>
      </c>
      <c r="AD3325">
        <v>0</v>
      </c>
      <c r="AE3325" t="s">
        <v>116</v>
      </c>
      <c r="AF3325" t="s">
        <v>116</v>
      </c>
      <c r="AG3325">
        <v>1.32</v>
      </c>
      <c r="AH3325" t="s">
        <v>6777</v>
      </c>
      <c r="AI3325" t="s">
        <v>14179</v>
      </c>
      <c r="AJ3325">
        <v>0.74</v>
      </c>
      <c r="AK3325">
        <v>1927</v>
      </c>
      <c r="AL3325">
        <v>17</v>
      </c>
      <c r="AM3325">
        <v>1.2999999999999999E-3</v>
      </c>
      <c r="AN3325">
        <v>4</v>
      </c>
      <c r="AO3325">
        <v>2.2599999999999998</v>
      </c>
      <c r="AP3325">
        <v>9.32</v>
      </c>
      <c r="AQ3325">
        <v>-8.9499999999999993</v>
      </c>
      <c r="AR3325">
        <v>58.93</v>
      </c>
      <c r="AS3325">
        <v>3.39</v>
      </c>
      <c r="AT3325" t="s">
        <v>9008</v>
      </c>
      <c r="AU3325">
        <v>24.74</v>
      </c>
      <c r="AV3325">
        <v>37.56</v>
      </c>
      <c r="AW3325">
        <v>0.91</v>
      </c>
      <c r="BA3325">
        <v>-0.66</v>
      </c>
      <c r="BB3325">
        <v>3.81</v>
      </c>
      <c r="BC3325">
        <v>-0.66</v>
      </c>
      <c r="BD3325">
        <v>1.68</v>
      </c>
      <c r="BE3325">
        <v>1.33</v>
      </c>
      <c r="BF3325">
        <v>-3.03</v>
      </c>
      <c r="BG3325">
        <v>1.33</v>
      </c>
      <c r="BH3325">
        <v>-1.02</v>
      </c>
      <c r="BI3325">
        <v>20191128</v>
      </c>
      <c r="BJ3325">
        <v>20161228</v>
      </c>
      <c r="BK3325">
        <v>5.31</v>
      </c>
      <c r="BL3325" t="s">
        <v>116</v>
      </c>
      <c r="BM3325" t="s">
        <v>116</v>
      </c>
      <c r="BN3325">
        <v>49.39</v>
      </c>
      <c r="BO3325">
        <v>32.159999999999997</v>
      </c>
      <c r="BP3325">
        <v>0</v>
      </c>
      <c r="BQ3325">
        <v>34.89</v>
      </c>
      <c r="BR3325">
        <v>34.880000000000003</v>
      </c>
      <c r="BS3325">
        <v>8.61</v>
      </c>
      <c r="BT3325">
        <v>1.59</v>
      </c>
      <c r="BU3325">
        <v>16.64</v>
      </c>
      <c r="BV3325">
        <v>4.62</v>
      </c>
      <c r="BW3325">
        <v>10.54</v>
      </c>
      <c r="BX3325">
        <v>8.3000000000000007</v>
      </c>
      <c r="BY3325">
        <v>24.41</v>
      </c>
      <c r="BZ3325">
        <v>18.48</v>
      </c>
      <c r="CA3325">
        <v>3.96</v>
      </c>
      <c r="CB3325">
        <v>0.08</v>
      </c>
      <c r="CC3325">
        <v>3.94</v>
      </c>
      <c r="CD3325">
        <v>3.45</v>
      </c>
      <c r="CE3325">
        <v>3.45</v>
      </c>
      <c r="CF3325">
        <v>3.33</v>
      </c>
      <c r="CG3325">
        <v>17.98</v>
      </c>
      <c r="CH3325">
        <v>3.4</v>
      </c>
      <c r="CI3325">
        <v>-2.16</v>
      </c>
      <c r="CJ3325">
        <v>12786</v>
      </c>
      <c r="CK3325">
        <v>7573</v>
      </c>
      <c r="CL3325" t="s">
        <v>6415</v>
      </c>
      <c r="CM3325">
        <v>73.03</v>
      </c>
      <c r="CN3325">
        <v>47.27</v>
      </c>
      <c r="CO3325">
        <v>3.28</v>
      </c>
      <c r="CP3325">
        <v>30.99</v>
      </c>
      <c r="CQ3325">
        <v>4.32</v>
      </c>
      <c r="CR3325">
        <v>1.1599999999999999</v>
      </c>
      <c r="CS3325" t="s">
        <v>10849</v>
      </c>
      <c r="CT3325">
        <v>6.05</v>
      </c>
      <c r="CU3325">
        <v>0</v>
      </c>
      <c r="CV3325">
        <v>1.56</v>
      </c>
      <c r="CW3325">
        <v>3.38</v>
      </c>
      <c r="CX3325">
        <v>0.64</v>
      </c>
      <c r="CY3325">
        <v>65.11</v>
      </c>
      <c r="CZ3325" t="s">
        <v>2662</v>
      </c>
      <c r="DA3325">
        <v>24.29</v>
      </c>
      <c r="DB3325">
        <v>16.21</v>
      </c>
      <c r="DC3325">
        <v>14.11</v>
      </c>
      <c r="DD3325">
        <v>0.95</v>
      </c>
      <c r="DE3325">
        <v>2652</v>
      </c>
      <c r="DF3325">
        <v>603218</v>
      </c>
      <c r="DG3325" t="s">
        <v>116</v>
      </c>
      <c r="DH3325" t="s">
        <v>116</v>
      </c>
      <c r="DI3325" t="s">
        <v>116</v>
      </c>
    </row>
    <row r="3326" spans="1:113" x14ac:dyDescent="0.4">
      <c r="A3326" t="str">
        <f>"603220"</f>
        <v>603220</v>
      </c>
      <c r="B3326" t="s">
        <v>14180</v>
      </c>
      <c r="C3326">
        <v>-0.65</v>
      </c>
      <c r="D3326">
        <v>21.3</v>
      </c>
      <c r="E3326">
        <v>-0.14000000000000001</v>
      </c>
      <c r="F3326">
        <v>21.3</v>
      </c>
      <c r="G3326">
        <v>21.31</v>
      </c>
      <c r="H3326">
        <v>108342</v>
      </c>
      <c r="I3326">
        <v>1507</v>
      </c>
      <c r="J3326">
        <v>-0.08</v>
      </c>
      <c r="K3326">
        <v>5.84</v>
      </c>
      <c r="L3326">
        <v>21.38</v>
      </c>
      <c r="M3326">
        <v>21.84</v>
      </c>
      <c r="N3326">
        <v>21.16</v>
      </c>
      <c r="O3326">
        <v>21.44</v>
      </c>
      <c r="P3326">
        <v>69.91</v>
      </c>
      <c r="Q3326">
        <v>232649360</v>
      </c>
      <c r="R3326">
        <v>1.58</v>
      </c>
      <c r="S3326" t="s">
        <v>465</v>
      </c>
      <c r="T3326" t="s">
        <v>774</v>
      </c>
      <c r="U3326">
        <v>3.17</v>
      </c>
      <c r="V3326">
        <v>21.47</v>
      </c>
      <c r="W3326">
        <v>55804</v>
      </c>
      <c r="X3326">
        <v>52538</v>
      </c>
      <c r="Y3326">
        <v>1.06</v>
      </c>
      <c r="Z3326">
        <v>312</v>
      </c>
      <c r="AA3326">
        <v>95</v>
      </c>
      <c r="AB3326" t="s">
        <v>116</v>
      </c>
      <c r="AC3326">
        <v>1180200</v>
      </c>
      <c r="AD3326">
        <v>0.03</v>
      </c>
      <c r="AE3326" t="s">
        <v>116</v>
      </c>
      <c r="AF3326" t="s">
        <v>116</v>
      </c>
      <c r="AG3326">
        <v>1.86</v>
      </c>
      <c r="AH3326" t="s">
        <v>14181</v>
      </c>
      <c r="AI3326" t="s">
        <v>14182</v>
      </c>
      <c r="AJ3326">
        <v>-0.57999999999999996</v>
      </c>
      <c r="AK3326">
        <v>3525</v>
      </c>
      <c r="AL3326">
        <v>31</v>
      </c>
      <c r="AM3326">
        <v>1.6999999999999999E-3</v>
      </c>
      <c r="AN3326">
        <v>-1</v>
      </c>
      <c r="AO3326">
        <v>6.03</v>
      </c>
      <c r="AP3326">
        <v>8.01</v>
      </c>
      <c r="AQ3326">
        <v>-22.4</v>
      </c>
      <c r="AR3326">
        <v>-1.07</v>
      </c>
      <c r="AS3326">
        <v>6.77</v>
      </c>
      <c r="AT3326" t="s">
        <v>10110</v>
      </c>
      <c r="AU3326">
        <v>47.54</v>
      </c>
      <c r="AV3326">
        <v>49.29</v>
      </c>
      <c r="AW3326">
        <v>1.56</v>
      </c>
      <c r="BA3326">
        <v>-0.28000000000000003</v>
      </c>
      <c r="BB3326">
        <v>1.87</v>
      </c>
      <c r="BC3326">
        <v>-1.31</v>
      </c>
      <c r="BD3326">
        <v>0.16</v>
      </c>
      <c r="BE3326">
        <v>-0.37</v>
      </c>
      <c r="BF3326">
        <v>-2.4700000000000002</v>
      </c>
      <c r="BG3326">
        <v>0.66</v>
      </c>
      <c r="BH3326">
        <v>-0.81</v>
      </c>
      <c r="BI3326">
        <v>20191114</v>
      </c>
      <c r="BJ3326">
        <v>20181115</v>
      </c>
      <c r="BK3326">
        <v>3.38</v>
      </c>
      <c r="BL3326" t="s">
        <v>116</v>
      </c>
      <c r="BM3326" t="s">
        <v>116</v>
      </c>
      <c r="BN3326">
        <v>30.14</v>
      </c>
      <c r="BO3326">
        <v>15.41</v>
      </c>
      <c r="BP3326">
        <v>0.02</v>
      </c>
      <c r="BQ3326">
        <v>48.78</v>
      </c>
      <c r="BR3326">
        <v>26.65</v>
      </c>
      <c r="BS3326">
        <v>1.44</v>
      </c>
      <c r="BT3326">
        <v>0.18</v>
      </c>
      <c r="BU3326">
        <v>14.67</v>
      </c>
      <c r="BV3326">
        <v>3.16</v>
      </c>
      <c r="BW3326">
        <v>16.47</v>
      </c>
      <c r="BX3326">
        <v>7.42</v>
      </c>
      <c r="BY3326">
        <v>11.02</v>
      </c>
      <c r="BZ3326">
        <v>8.8000000000000007</v>
      </c>
      <c r="CA3326">
        <v>0.88</v>
      </c>
      <c r="CB3326">
        <v>0.06</v>
      </c>
      <c r="CC3326">
        <v>0.88</v>
      </c>
      <c r="CD3326">
        <v>0.77</v>
      </c>
      <c r="CE3326">
        <v>0.77</v>
      </c>
      <c r="CF3326">
        <v>0.71</v>
      </c>
      <c r="CG3326">
        <v>4.17</v>
      </c>
      <c r="CH3326">
        <v>-2.5499999999999998</v>
      </c>
      <c r="CI3326">
        <v>-6.51</v>
      </c>
      <c r="CJ3326">
        <v>34816</v>
      </c>
      <c r="CK3326">
        <v>4593</v>
      </c>
      <c r="CL3326" t="s">
        <v>9374</v>
      </c>
      <c r="CM3326">
        <v>7.49</v>
      </c>
      <c r="CN3326">
        <v>12.8</v>
      </c>
      <c r="CO3326">
        <v>4.67</v>
      </c>
      <c r="CP3326">
        <v>-28.21</v>
      </c>
      <c r="CQ3326">
        <v>6.53</v>
      </c>
      <c r="CR3326">
        <v>0.7</v>
      </c>
      <c r="CS3326" t="s">
        <v>14183</v>
      </c>
      <c r="CT3326">
        <v>4.5599999999999996</v>
      </c>
      <c r="CU3326">
        <v>0</v>
      </c>
      <c r="CV3326">
        <v>2.2000000000000002</v>
      </c>
      <c r="CW3326">
        <v>1.24</v>
      </c>
      <c r="CX3326">
        <v>-0.76</v>
      </c>
      <c r="CY3326">
        <v>51.15</v>
      </c>
      <c r="CZ3326" t="s">
        <v>6334</v>
      </c>
      <c r="DA3326">
        <v>20.190000000000001</v>
      </c>
      <c r="DB3326">
        <v>8</v>
      </c>
      <c r="DC3326">
        <v>7</v>
      </c>
      <c r="DD3326">
        <v>0.35</v>
      </c>
      <c r="DE3326">
        <v>3136</v>
      </c>
      <c r="DF3326">
        <v>603220</v>
      </c>
      <c r="DG3326" t="s">
        <v>116</v>
      </c>
      <c r="DH3326" t="s">
        <v>116</v>
      </c>
      <c r="DI3326" t="s">
        <v>116</v>
      </c>
    </row>
    <row r="3327" spans="1:113" x14ac:dyDescent="0.4">
      <c r="A3327" t="str">
        <f>"603222"</f>
        <v>603222</v>
      </c>
      <c r="B3327" t="s">
        <v>14184</v>
      </c>
      <c r="C3327">
        <v>3.38</v>
      </c>
      <c r="D3327">
        <v>54.48</v>
      </c>
      <c r="E3327">
        <v>1.78</v>
      </c>
      <c r="F3327">
        <v>54.24</v>
      </c>
      <c r="G3327">
        <v>54.48</v>
      </c>
      <c r="H3327">
        <v>17208</v>
      </c>
      <c r="I3327">
        <v>22</v>
      </c>
      <c r="J3327">
        <v>0.41</v>
      </c>
      <c r="K3327">
        <v>0.54</v>
      </c>
      <c r="L3327">
        <v>52.64</v>
      </c>
      <c r="M3327">
        <v>54.98</v>
      </c>
      <c r="N3327">
        <v>52.17</v>
      </c>
      <c r="O3327">
        <v>52.7</v>
      </c>
      <c r="P3327">
        <v>316.76</v>
      </c>
      <c r="Q3327">
        <v>92525840</v>
      </c>
      <c r="R3327">
        <v>1.99</v>
      </c>
      <c r="S3327" t="s">
        <v>574</v>
      </c>
      <c r="T3327" t="s">
        <v>590</v>
      </c>
      <c r="U3327">
        <v>5.33</v>
      </c>
      <c r="V3327">
        <v>53.77</v>
      </c>
      <c r="W3327">
        <v>2933</v>
      </c>
      <c r="X3327">
        <v>14275</v>
      </c>
      <c r="Y3327">
        <v>0.21</v>
      </c>
      <c r="Z3327">
        <v>1</v>
      </c>
      <c r="AA3327">
        <v>52</v>
      </c>
      <c r="AB3327" t="s">
        <v>116</v>
      </c>
      <c r="AC3327">
        <v>68400</v>
      </c>
      <c r="AD3327">
        <v>0</v>
      </c>
      <c r="AE3327" t="s">
        <v>116</v>
      </c>
      <c r="AF3327" t="s">
        <v>116</v>
      </c>
      <c r="AG3327">
        <v>3.2</v>
      </c>
      <c r="AH3327" t="s">
        <v>4370</v>
      </c>
      <c r="AI3327" t="s">
        <v>4370</v>
      </c>
      <c r="AJ3327">
        <v>3.45</v>
      </c>
      <c r="AK3327">
        <v>1220</v>
      </c>
      <c r="AL3327">
        <v>14</v>
      </c>
      <c r="AM3327">
        <v>4.0000000000000002E-4</v>
      </c>
      <c r="AN3327">
        <v>3</v>
      </c>
      <c r="AO3327">
        <v>11.35</v>
      </c>
      <c r="AP3327">
        <v>11.71</v>
      </c>
      <c r="AQ3327">
        <v>28.19</v>
      </c>
      <c r="AR3327">
        <v>301.8</v>
      </c>
      <c r="AS3327">
        <v>1.2</v>
      </c>
      <c r="AT3327" t="s">
        <v>14185</v>
      </c>
      <c r="AU3327">
        <v>478.56</v>
      </c>
      <c r="AV3327">
        <v>543.73</v>
      </c>
      <c r="AW3327">
        <v>0.16</v>
      </c>
      <c r="BA3327">
        <v>-0.11</v>
      </c>
      <c r="BB3327">
        <v>4.33</v>
      </c>
      <c r="BC3327">
        <v>-1.01</v>
      </c>
      <c r="BD3327">
        <v>2.0299999999999998</v>
      </c>
      <c r="BE3327">
        <v>3.5</v>
      </c>
      <c r="BF3327">
        <v>-0.91</v>
      </c>
      <c r="BG3327">
        <v>4.43</v>
      </c>
      <c r="BH3327">
        <v>1.35</v>
      </c>
      <c r="BI3327">
        <v>20191030</v>
      </c>
      <c r="BJ3327">
        <v>20150217</v>
      </c>
      <c r="BK3327">
        <v>3.2</v>
      </c>
      <c r="BL3327" t="s">
        <v>116</v>
      </c>
      <c r="BM3327" t="s">
        <v>116</v>
      </c>
      <c r="BN3327">
        <v>20.78</v>
      </c>
      <c r="BO3327">
        <v>8.44</v>
      </c>
      <c r="BP3327">
        <v>2.04</v>
      </c>
      <c r="BQ3327">
        <v>49.57</v>
      </c>
      <c r="BR3327">
        <v>6.63</v>
      </c>
      <c r="BS3327">
        <v>6.31</v>
      </c>
      <c r="BT3327">
        <v>2.13</v>
      </c>
      <c r="BU3327">
        <v>6.65</v>
      </c>
      <c r="BV3327">
        <v>0.99</v>
      </c>
      <c r="BW3327">
        <v>1.94</v>
      </c>
      <c r="BX3327">
        <v>2</v>
      </c>
      <c r="BY3327">
        <v>5.78</v>
      </c>
      <c r="BZ3327">
        <v>3.2</v>
      </c>
      <c r="CA3327">
        <v>0.61</v>
      </c>
      <c r="CB3327">
        <v>0.05</v>
      </c>
      <c r="CC3327">
        <v>0.63</v>
      </c>
      <c r="CD3327">
        <v>0.49</v>
      </c>
      <c r="CE3327">
        <v>0.41</v>
      </c>
      <c r="CF3327">
        <v>0.33</v>
      </c>
      <c r="CG3327">
        <v>2.94</v>
      </c>
      <c r="CH3327">
        <v>0.95</v>
      </c>
      <c r="CI3327">
        <v>7.0000000000000007E-2</v>
      </c>
      <c r="CJ3327">
        <v>5968</v>
      </c>
      <c r="CK3327">
        <v>23978</v>
      </c>
      <c r="CL3327" t="s">
        <v>14186</v>
      </c>
      <c r="CM3327">
        <v>11.83</v>
      </c>
      <c r="CN3327">
        <v>7.2</v>
      </c>
      <c r="CO3327">
        <v>20.66</v>
      </c>
      <c r="CP3327">
        <v>183.35</v>
      </c>
      <c r="CQ3327">
        <v>30.15</v>
      </c>
      <c r="CR3327">
        <v>0.04</v>
      </c>
      <c r="CS3327" t="s">
        <v>8209</v>
      </c>
      <c r="CT3327">
        <v>2.64</v>
      </c>
      <c r="CU3327">
        <v>0</v>
      </c>
      <c r="CV3327">
        <v>0.62</v>
      </c>
      <c r="CW3327">
        <v>0.92</v>
      </c>
      <c r="CX3327">
        <v>0.3</v>
      </c>
      <c r="CY3327">
        <v>40.6</v>
      </c>
      <c r="CZ3327" t="s">
        <v>2327</v>
      </c>
      <c r="DA3327">
        <v>44.71</v>
      </c>
      <c r="DB3327">
        <v>10.58</v>
      </c>
      <c r="DC3327">
        <v>7.14</v>
      </c>
      <c r="DD3327">
        <v>0.16</v>
      </c>
      <c r="DE3327">
        <v>2297</v>
      </c>
      <c r="DF3327">
        <v>603222</v>
      </c>
      <c r="DG3327" t="s">
        <v>116</v>
      </c>
      <c r="DH3327" t="s">
        <v>116</v>
      </c>
      <c r="DI3327" t="s">
        <v>116</v>
      </c>
    </row>
    <row r="3328" spans="1:113" x14ac:dyDescent="0.4">
      <c r="A3328" t="str">
        <f>"603223"</f>
        <v>603223</v>
      </c>
      <c r="B3328" t="s">
        <v>14187</v>
      </c>
      <c r="C3328">
        <v>-1.57</v>
      </c>
      <c r="D3328">
        <v>6.28</v>
      </c>
      <c r="E3328">
        <v>-0.1</v>
      </c>
      <c r="F3328">
        <v>6.28</v>
      </c>
      <c r="G3328">
        <v>6.3</v>
      </c>
      <c r="H3328">
        <v>14321</v>
      </c>
      <c r="I3328">
        <v>178</v>
      </c>
      <c r="J3328">
        <v>0</v>
      </c>
      <c r="K3328">
        <v>0.51</v>
      </c>
      <c r="L3328">
        <v>6.38</v>
      </c>
      <c r="M3328">
        <v>6.44</v>
      </c>
      <c r="N3328">
        <v>6.26</v>
      </c>
      <c r="O3328">
        <v>6.38</v>
      </c>
      <c r="P3328">
        <v>1285.1400000000001</v>
      </c>
      <c r="Q3328">
        <v>9082415</v>
      </c>
      <c r="R3328">
        <v>2.13</v>
      </c>
      <c r="S3328" t="s">
        <v>690</v>
      </c>
      <c r="T3328" t="s">
        <v>645</v>
      </c>
      <c r="U3328">
        <v>2.82</v>
      </c>
      <c r="V3328">
        <v>6.34</v>
      </c>
      <c r="W3328">
        <v>7791</v>
      </c>
      <c r="X3328">
        <v>6531</v>
      </c>
      <c r="Y3328">
        <v>1.19</v>
      </c>
      <c r="Z3328">
        <v>35</v>
      </c>
      <c r="AA3328">
        <v>36</v>
      </c>
      <c r="AB3328" t="s">
        <v>116</v>
      </c>
      <c r="AC3328">
        <v>2500</v>
      </c>
      <c r="AD3328">
        <v>0</v>
      </c>
      <c r="AE3328" t="s">
        <v>116</v>
      </c>
      <c r="AF3328" t="s">
        <v>116</v>
      </c>
      <c r="AG3328">
        <v>2.82</v>
      </c>
      <c r="AH3328" t="s">
        <v>6055</v>
      </c>
      <c r="AI3328" t="s">
        <v>6055</v>
      </c>
      <c r="AJ3328">
        <v>-1.49</v>
      </c>
      <c r="AK3328">
        <v>458</v>
      </c>
      <c r="AL3328">
        <v>31</v>
      </c>
      <c r="AM3328">
        <v>1.1000000000000001E-3</v>
      </c>
      <c r="AN3328">
        <v>-1</v>
      </c>
      <c r="AO3328">
        <v>-1.73</v>
      </c>
      <c r="AP3328">
        <v>4.32</v>
      </c>
      <c r="AQ3328">
        <v>-8.0500000000000007</v>
      </c>
      <c r="AR3328">
        <v>-14.91</v>
      </c>
      <c r="AS3328">
        <v>1.39</v>
      </c>
      <c r="AT3328" t="s">
        <v>10086</v>
      </c>
      <c r="AU3328" t="s">
        <v>116</v>
      </c>
      <c r="AV3328">
        <v>37.659999999999997</v>
      </c>
      <c r="AW3328">
        <v>1.25</v>
      </c>
      <c r="BA3328">
        <v>0</v>
      </c>
      <c r="BB3328">
        <v>0.94</v>
      </c>
      <c r="BC3328">
        <v>-1.88</v>
      </c>
      <c r="BD3328">
        <v>-0.6</v>
      </c>
      <c r="BE3328">
        <v>-1.57</v>
      </c>
      <c r="BF3328">
        <v>-2.48</v>
      </c>
      <c r="BG3328">
        <v>0.32</v>
      </c>
      <c r="BH3328">
        <v>-0.97</v>
      </c>
      <c r="BI3328">
        <v>20191031</v>
      </c>
      <c r="BJ3328">
        <v>20150630</v>
      </c>
      <c r="BK3328">
        <v>2.82</v>
      </c>
      <c r="BL3328" t="s">
        <v>116</v>
      </c>
      <c r="BM3328" t="s">
        <v>116</v>
      </c>
      <c r="BN3328">
        <v>17.12</v>
      </c>
      <c r="BO3328">
        <v>10.24</v>
      </c>
      <c r="BP3328">
        <v>0.71</v>
      </c>
      <c r="BQ3328">
        <v>36.049999999999997</v>
      </c>
      <c r="BR3328">
        <v>7.94</v>
      </c>
      <c r="BS3328">
        <v>5.77</v>
      </c>
      <c r="BT3328">
        <v>1.72</v>
      </c>
      <c r="BU3328">
        <v>6.01</v>
      </c>
      <c r="BV3328">
        <v>0.31</v>
      </c>
      <c r="BW3328">
        <v>1.33</v>
      </c>
      <c r="BX3328">
        <v>4.41</v>
      </c>
      <c r="BY3328">
        <v>51.45</v>
      </c>
      <c r="BZ3328">
        <v>50.56</v>
      </c>
      <c r="CA3328">
        <v>0.06</v>
      </c>
      <c r="CB3328">
        <v>0.05</v>
      </c>
      <c r="CC3328">
        <v>0.05</v>
      </c>
      <c r="CD3328">
        <v>0.05</v>
      </c>
      <c r="CE3328">
        <v>0.01</v>
      </c>
      <c r="CF3328">
        <v>-0.1</v>
      </c>
      <c r="CG3328">
        <v>2.84</v>
      </c>
      <c r="CH3328">
        <v>-0.26</v>
      </c>
      <c r="CI3328">
        <v>0.38</v>
      </c>
      <c r="CJ3328">
        <v>11525</v>
      </c>
      <c r="CK3328">
        <v>8966</v>
      </c>
      <c r="CL3328" t="s">
        <v>5610</v>
      </c>
      <c r="CM3328">
        <v>-98.05</v>
      </c>
      <c r="CN3328">
        <v>30.34</v>
      </c>
      <c r="CO3328">
        <v>1.73</v>
      </c>
      <c r="CP3328">
        <v>-67.62</v>
      </c>
      <c r="CQ3328">
        <v>0.34</v>
      </c>
      <c r="CR3328">
        <v>0.53</v>
      </c>
      <c r="CS3328" t="s">
        <v>2001</v>
      </c>
      <c r="CT3328">
        <v>3.63</v>
      </c>
      <c r="CU3328">
        <v>0</v>
      </c>
      <c r="CV3328">
        <v>1.56</v>
      </c>
      <c r="CW3328">
        <v>1.01</v>
      </c>
      <c r="CX3328">
        <v>-0.09</v>
      </c>
      <c r="CY3328">
        <v>59.79</v>
      </c>
      <c r="CZ3328" t="s">
        <v>8465</v>
      </c>
      <c r="DA3328">
        <v>1.73</v>
      </c>
      <c r="DB3328">
        <v>0.13</v>
      </c>
      <c r="DC3328">
        <v>0.02</v>
      </c>
      <c r="DD3328">
        <v>0</v>
      </c>
      <c r="DE3328">
        <v>1351</v>
      </c>
      <c r="DF3328">
        <v>603223</v>
      </c>
      <c r="DG3328" t="s">
        <v>116</v>
      </c>
      <c r="DH3328" t="s">
        <v>116</v>
      </c>
      <c r="DI3328" t="s">
        <v>116</v>
      </c>
    </row>
    <row r="3329" spans="1:113" x14ac:dyDescent="0.4">
      <c r="A3329" t="str">
        <f>"603225"</f>
        <v>603225</v>
      </c>
      <c r="B3329" t="s">
        <v>14188</v>
      </c>
      <c r="C3329">
        <v>0.41</v>
      </c>
      <c r="D3329">
        <v>12.13</v>
      </c>
      <c r="E3329">
        <v>0.05</v>
      </c>
      <c r="F3329">
        <v>12.13</v>
      </c>
      <c r="G3329">
        <v>12.14</v>
      </c>
      <c r="H3329">
        <v>40607</v>
      </c>
      <c r="I3329">
        <v>473</v>
      </c>
      <c r="J3329">
        <v>-0.32</v>
      </c>
      <c r="K3329">
        <v>2.44</v>
      </c>
      <c r="L3329">
        <v>12.12</v>
      </c>
      <c r="M3329">
        <v>12.24</v>
      </c>
      <c r="N3329">
        <v>12.02</v>
      </c>
      <c r="O3329">
        <v>12.08</v>
      </c>
      <c r="P3329">
        <v>11.52</v>
      </c>
      <c r="Q3329">
        <v>49333480</v>
      </c>
      <c r="R3329">
        <v>1.68</v>
      </c>
      <c r="S3329" t="s">
        <v>630</v>
      </c>
      <c r="T3329" t="s">
        <v>590</v>
      </c>
      <c r="U3329">
        <v>1.82</v>
      </c>
      <c r="V3329">
        <v>12.15</v>
      </c>
      <c r="W3329">
        <v>14202</v>
      </c>
      <c r="X3329">
        <v>26405</v>
      </c>
      <c r="Y3329">
        <v>0.54</v>
      </c>
      <c r="Z3329">
        <v>251</v>
      </c>
      <c r="AA3329">
        <v>40</v>
      </c>
      <c r="AB3329" t="s">
        <v>116</v>
      </c>
      <c r="AC3329">
        <v>0</v>
      </c>
      <c r="AD3329">
        <v>0</v>
      </c>
      <c r="AE3329" t="s">
        <v>116</v>
      </c>
      <c r="AF3329" t="s">
        <v>116</v>
      </c>
      <c r="AG3329">
        <v>1.67</v>
      </c>
      <c r="AH3329" t="s">
        <v>14189</v>
      </c>
      <c r="AI3329" t="s">
        <v>14190</v>
      </c>
      <c r="AJ3329">
        <v>0.49</v>
      </c>
      <c r="AK3329">
        <v>1873</v>
      </c>
      <c r="AL3329">
        <v>22</v>
      </c>
      <c r="AM3329">
        <v>1.2999999999999999E-3</v>
      </c>
      <c r="AN3329">
        <v>4</v>
      </c>
      <c r="AO3329">
        <v>2.1800000000000002</v>
      </c>
      <c r="AP3329">
        <v>3.32</v>
      </c>
      <c r="AQ3329">
        <v>6.4</v>
      </c>
      <c r="AR3329">
        <v>-8.5500000000000007</v>
      </c>
      <c r="AS3329">
        <v>2.44</v>
      </c>
      <c r="AT3329" t="s">
        <v>14189</v>
      </c>
      <c r="AU3329">
        <v>15.83</v>
      </c>
      <c r="AV3329">
        <v>11.93</v>
      </c>
      <c r="AW3329">
        <v>1.1399999999999999</v>
      </c>
      <c r="BA3329">
        <v>0.33</v>
      </c>
      <c r="BB3329">
        <v>1.32</v>
      </c>
      <c r="BC3329">
        <v>-0.5</v>
      </c>
      <c r="BD3329">
        <v>0.56999999999999995</v>
      </c>
      <c r="BE3329">
        <v>0.08</v>
      </c>
      <c r="BF3329">
        <v>-0.9</v>
      </c>
      <c r="BG3329">
        <v>0.92</v>
      </c>
      <c r="BH3329">
        <v>-0.16</v>
      </c>
      <c r="BI3329">
        <v>20191206</v>
      </c>
      <c r="BJ3329">
        <v>20170418</v>
      </c>
      <c r="BK3329">
        <v>14</v>
      </c>
      <c r="BL3329" t="s">
        <v>116</v>
      </c>
      <c r="BM3329" t="s">
        <v>116</v>
      </c>
      <c r="BN3329">
        <v>208.53</v>
      </c>
      <c r="BO3329">
        <v>92.25</v>
      </c>
      <c r="BP3329">
        <v>0</v>
      </c>
      <c r="BQ3329">
        <v>55.76</v>
      </c>
      <c r="BR3329">
        <v>52.89</v>
      </c>
      <c r="BS3329">
        <v>82.49</v>
      </c>
      <c r="BT3329">
        <v>6.74</v>
      </c>
      <c r="BU3329">
        <v>75.89</v>
      </c>
      <c r="BV3329">
        <v>14.44</v>
      </c>
      <c r="BW3329">
        <v>3.85</v>
      </c>
      <c r="BX3329">
        <v>14.67</v>
      </c>
      <c r="BY3329">
        <v>245.7</v>
      </c>
      <c r="BZ3329">
        <v>223.33</v>
      </c>
      <c r="CA3329">
        <v>12.91</v>
      </c>
      <c r="CB3329">
        <v>0.04</v>
      </c>
      <c r="CC3329">
        <v>13.09</v>
      </c>
      <c r="CD3329">
        <v>11.06</v>
      </c>
      <c r="CE3329">
        <v>11.06</v>
      </c>
      <c r="CF3329">
        <v>10.07</v>
      </c>
      <c r="CG3329">
        <v>60.57</v>
      </c>
      <c r="CH3329">
        <v>6.15</v>
      </c>
      <c r="CI3329">
        <v>-6.02</v>
      </c>
      <c r="CJ3329">
        <v>32478</v>
      </c>
      <c r="CK3329">
        <v>5131</v>
      </c>
      <c r="CL3329" t="s">
        <v>2961</v>
      </c>
      <c r="CM3329">
        <v>-24.06</v>
      </c>
      <c r="CN3329">
        <v>4.21</v>
      </c>
      <c r="CO3329">
        <v>1.64</v>
      </c>
      <c r="CP3329">
        <v>27.61</v>
      </c>
      <c r="CQ3329">
        <v>0.69</v>
      </c>
      <c r="CR3329">
        <v>0.9</v>
      </c>
      <c r="CS3329" t="s">
        <v>12980</v>
      </c>
      <c r="CT3329">
        <v>7.4</v>
      </c>
      <c r="CU3329">
        <v>7.4</v>
      </c>
      <c r="CV3329">
        <v>1.05</v>
      </c>
      <c r="CW3329">
        <v>4.33</v>
      </c>
      <c r="CX3329">
        <v>0.44</v>
      </c>
      <c r="CY3329">
        <v>44.24</v>
      </c>
      <c r="CZ3329" t="s">
        <v>14191</v>
      </c>
      <c r="DA3329">
        <v>9.11</v>
      </c>
      <c r="DB3329">
        <v>5.26</v>
      </c>
      <c r="DC3329">
        <v>4.5</v>
      </c>
      <c r="DD3329">
        <v>5.0599999999999996</v>
      </c>
      <c r="DE3329">
        <v>9387</v>
      </c>
      <c r="DF3329">
        <v>603225</v>
      </c>
      <c r="DG3329" t="s">
        <v>116</v>
      </c>
      <c r="DH3329" t="s">
        <v>116</v>
      </c>
      <c r="DI3329" t="s">
        <v>116</v>
      </c>
    </row>
    <row r="3330" spans="1:113" x14ac:dyDescent="0.4">
      <c r="A3330" t="str">
        <f>"603226"</f>
        <v>603226</v>
      </c>
      <c r="B3330" t="s">
        <v>14192</v>
      </c>
      <c r="C3330">
        <v>-1.31</v>
      </c>
      <c r="D3330">
        <v>19.53</v>
      </c>
      <c r="E3330">
        <v>-0.26</v>
      </c>
      <c r="F3330">
        <v>19.53</v>
      </c>
      <c r="G3330">
        <v>19.54</v>
      </c>
      <c r="H3330">
        <v>46157</v>
      </c>
      <c r="I3330">
        <v>764</v>
      </c>
      <c r="J3330">
        <v>-0.09</v>
      </c>
      <c r="K3330">
        <v>11.67</v>
      </c>
      <c r="L3330">
        <v>19.62</v>
      </c>
      <c r="M3330">
        <v>19.86</v>
      </c>
      <c r="N3330">
        <v>19.510000000000002</v>
      </c>
      <c r="O3330">
        <v>19.79</v>
      </c>
      <c r="P3330">
        <v>27.7</v>
      </c>
      <c r="Q3330">
        <v>90706944</v>
      </c>
      <c r="R3330">
        <v>0.69</v>
      </c>
      <c r="S3330" t="s">
        <v>2640</v>
      </c>
      <c r="T3330" t="s">
        <v>1653</v>
      </c>
      <c r="U3330">
        <v>1.77</v>
      </c>
      <c r="V3330">
        <v>19.649999999999999</v>
      </c>
      <c r="W3330">
        <v>24940</v>
      </c>
      <c r="X3330">
        <v>21217</v>
      </c>
      <c r="Y3330">
        <v>1.18</v>
      </c>
      <c r="Z3330">
        <v>190</v>
      </c>
      <c r="AA3330">
        <v>40</v>
      </c>
      <c r="AB3330" t="s">
        <v>116</v>
      </c>
      <c r="AC3330">
        <v>467000</v>
      </c>
      <c r="AD3330">
        <v>0.06</v>
      </c>
      <c r="AE3330" t="s">
        <v>116</v>
      </c>
      <c r="AF3330" t="s">
        <v>116</v>
      </c>
      <c r="AG3330">
        <v>0.4</v>
      </c>
      <c r="AH3330" t="s">
        <v>7165</v>
      </c>
      <c r="AI3330" t="s">
        <v>12694</v>
      </c>
      <c r="AJ3330">
        <v>-1.24</v>
      </c>
      <c r="AK3330">
        <v>2407</v>
      </c>
      <c r="AL3330">
        <v>19</v>
      </c>
      <c r="AM3330">
        <v>4.7999999999999996E-3</v>
      </c>
      <c r="AN3330">
        <v>-2</v>
      </c>
      <c r="AO3330">
        <v>-2.4500000000000002</v>
      </c>
      <c r="AP3330">
        <v>6.96</v>
      </c>
      <c r="AQ3330">
        <v>-34.42</v>
      </c>
      <c r="AR3330">
        <v>61.2</v>
      </c>
      <c r="AS3330">
        <v>11.67</v>
      </c>
      <c r="AT3330" t="s">
        <v>7165</v>
      </c>
      <c r="AU3330">
        <v>29.29</v>
      </c>
      <c r="AV3330">
        <v>29.91</v>
      </c>
      <c r="AW3330">
        <v>1.25</v>
      </c>
      <c r="BA3330">
        <v>-0.86</v>
      </c>
      <c r="BB3330">
        <v>0.35</v>
      </c>
      <c r="BC3330">
        <v>-1.41</v>
      </c>
      <c r="BD3330">
        <v>-0.7</v>
      </c>
      <c r="BE3330">
        <v>-0.46</v>
      </c>
      <c r="BF3330">
        <v>-1.66</v>
      </c>
      <c r="BG3330">
        <v>0.1</v>
      </c>
      <c r="BH3330">
        <v>-0.62</v>
      </c>
      <c r="BI3330">
        <v>20191030</v>
      </c>
      <c r="BJ3330">
        <v>20170615</v>
      </c>
      <c r="BK3330">
        <v>1.51</v>
      </c>
      <c r="BL3330" t="s">
        <v>116</v>
      </c>
      <c r="BM3330" t="s">
        <v>116</v>
      </c>
      <c r="BN3330">
        <v>10.97</v>
      </c>
      <c r="BO3330">
        <v>8.75</v>
      </c>
      <c r="BP3330">
        <v>0</v>
      </c>
      <c r="BQ3330">
        <v>20.29</v>
      </c>
      <c r="BR3330">
        <v>7.59</v>
      </c>
      <c r="BS3330">
        <v>2.59</v>
      </c>
      <c r="BT3330">
        <v>0.56000000000000005</v>
      </c>
      <c r="BU3330">
        <v>2.17</v>
      </c>
      <c r="BV3330">
        <v>1.39</v>
      </c>
      <c r="BW3330">
        <v>0.08</v>
      </c>
      <c r="BX3330">
        <v>3.18</v>
      </c>
      <c r="BY3330">
        <v>5.71</v>
      </c>
      <c r="BZ3330">
        <v>4.1399999999999997</v>
      </c>
      <c r="CA3330">
        <v>0.94</v>
      </c>
      <c r="CB3330">
        <v>0.13</v>
      </c>
      <c r="CC3330">
        <v>0.95</v>
      </c>
      <c r="CD3330">
        <v>0.8</v>
      </c>
      <c r="CE3330">
        <v>0.8</v>
      </c>
      <c r="CF3330">
        <v>0.64</v>
      </c>
      <c r="CG3330">
        <v>3.76</v>
      </c>
      <c r="CH3330">
        <v>0.56999999999999995</v>
      </c>
      <c r="CI3330">
        <v>-0.13</v>
      </c>
      <c r="CJ3330">
        <v>3258</v>
      </c>
      <c r="CK3330">
        <v>12141</v>
      </c>
      <c r="CL3330" t="s">
        <v>11977</v>
      </c>
      <c r="CM3330">
        <v>2.66</v>
      </c>
      <c r="CN3330">
        <v>-8.81</v>
      </c>
      <c r="CO3330">
        <v>3.38</v>
      </c>
      <c r="CP3330">
        <v>51.62</v>
      </c>
      <c r="CQ3330">
        <v>5.18</v>
      </c>
      <c r="CR3330">
        <v>1.18</v>
      </c>
      <c r="CS3330" t="s">
        <v>306</v>
      </c>
      <c r="CT3330">
        <v>5.78</v>
      </c>
      <c r="CU3330">
        <v>0</v>
      </c>
      <c r="CV3330">
        <v>2.1</v>
      </c>
      <c r="CW3330">
        <v>2.4900000000000002</v>
      </c>
      <c r="CX3330">
        <v>0.38</v>
      </c>
      <c r="CY3330">
        <v>79.709999999999994</v>
      </c>
      <c r="CZ3330" t="s">
        <v>3151</v>
      </c>
      <c r="DA3330">
        <v>27.41</v>
      </c>
      <c r="DB3330">
        <v>16.53</v>
      </c>
      <c r="DC3330">
        <v>14.02</v>
      </c>
      <c r="DD3330">
        <v>0.18</v>
      </c>
      <c r="DE3330">
        <v>620</v>
      </c>
      <c r="DF3330">
        <v>603226</v>
      </c>
      <c r="DG3330" t="s">
        <v>116</v>
      </c>
      <c r="DH3330" t="s">
        <v>116</v>
      </c>
      <c r="DI3330" t="s">
        <v>116</v>
      </c>
    </row>
    <row r="3331" spans="1:113" x14ac:dyDescent="0.4">
      <c r="A3331" t="str">
        <f>"603227"</f>
        <v>603227</v>
      </c>
      <c r="B3331" t="s">
        <v>14193</v>
      </c>
      <c r="C3331">
        <v>-0.65</v>
      </c>
      <c r="D3331">
        <v>4.57</v>
      </c>
      <c r="E3331">
        <v>-0.03</v>
      </c>
      <c r="F3331">
        <v>4.5599999999999996</v>
      </c>
      <c r="G3331">
        <v>4.57</v>
      </c>
      <c r="H3331">
        <v>95345</v>
      </c>
      <c r="I3331">
        <v>897</v>
      </c>
      <c r="J3331">
        <v>0.22</v>
      </c>
      <c r="K3331">
        <v>1.45</v>
      </c>
      <c r="L3331">
        <v>4.5999999999999996</v>
      </c>
      <c r="M3331">
        <v>4.6500000000000004</v>
      </c>
      <c r="N3331">
        <v>4.55</v>
      </c>
      <c r="O3331">
        <v>4.5999999999999996</v>
      </c>
      <c r="P3331">
        <v>25.39</v>
      </c>
      <c r="Q3331">
        <v>43839612</v>
      </c>
      <c r="R3331">
        <v>1.2</v>
      </c>
      <c r="S3331" t="s">
        <v>891</v>
      </c>
      <c r="T3331" t="s">
        <v>616</v>
      </c>
      <c r="U3331">
        <v>2.17</v>
      </c>
      <c r="V3331">
        <v>4.5999999999999996</v>
      </c>
      <c r="W3331">
        <v>52721</v>
      </c>
      <c r="X3331">
        <v>42624</v>
      </c>
      <c r="Y3331">
        <v>1.24</v>
      </c>
      <c r="Z3331">
        <v>504</v>
      </c>
      <c r="AA3331">
        <v>516</v>
      </c>
      <c r="AB3331" t="s">
        <v>116</v>
      </c>
      <c r="AC3331">
        <v>385500</v>
      </c>
      <c r="AD3331">
        <v>0.02</v>
      </c>
      <c r="AE3331" t="s">
        <v>116</v>
      </c>
      <c r="AF3331" t="s">
        <v>116</v>
      </c>
      <c r="AG3331">
        <v>6.59</v>
      </c>
      <c r="AH3331" t="s">
        <v>8328</v>
      </c>
      <c r="AI3331" t="s">
        <v>8328</v>
      </c>
      <c r="AJ3331">
        <v>-0.57999999999999996</v>
      </c>
      <c r="AK3331">
        <v>1670</v>
      </c>
      <c r="AL3331">
        <v>57</v>
      </c>
      <c r="AM3331">
        <v>8.9999999999999998E-4</v>
      </c>
      <c r="AN3331">
        <v>-1</v>
      </c>
      <c r="AO3331">
        <v>2.2400000000000002</v>
      </c>
      <c r="AP3331">
        <v>6.03</v>
      </c>
      <c r="AQ3331">
        <v>14.25</v>
      </c>
      <c r="AR3331">
        <v>25.9</v>
      </c>
      <c r="AS3331">
        <v>2.33</v>
      </c>
      <c r="AT3331" t="s">
        <v>4399</v>
      </c>
      <c r="AU3331">
        <v>30.8</v>
      </c>
      <c r="AV3331">
        <v>58.14</v>
      </c>
      <c r="AW3331">
        <v>1.25</v>
      </c>
      <c r="BA3331">
        <v>0</v>
      </c>
      <c r="BB3331">
        <v>1.0900000000000001</v>
      </c>
      <c r="BC3331">
        <v>-1.0900000000000001</v>
      </c>
      <c r="BD3331">
        <v>-0.04</v>
      </c>
      <c r="BE3331">
        <v>-0.65</v>
      </c>
      <c r="BF3331">
        <v>-1.72</v>
      </c>
      <c r="BG3331">
        <v>0.44</v>
      </c>
      <c r="BH3331">
        <v>-0.61</v>
      </c>
      <c r="BI3331">
        <v>20191028</v>
      </c>
      <c r="BJ3331">
        <v>20150515</v>
      </c>
      <c r="BK3331">
        <v>6.59</v>
      </c>
      <c r="BL3331" t="s">
        <v>116</v>
      </c>
      <c r="BM3331" t="s">
        <v>116</v>
      </c>
      <c r="BN3331">
        <v>33.72</v>
      </c>
      <c r="BO3331">
        <v>12.56</v>
      </c>
      <c r="BP3331">
        <v>3.19</v>
      </c>
      <c r="BQ3331">
        <v>53.27</v>
      </c>
      <c r="BR3331">
        <v>17.18</v>
      </c>
      <c r="BS3331">
        <v>9.8800000000000008</v>
      </c>
      <c r="BT3331">
        <v>2.64</v>
      </c>
      <c r="BU3331">
        <v>13</v>
      </c>
      <c r="BV3331">
        <v>1.61</v>
      </c>
      <c r="BW3331">
        <v>4.63</v>
      </c>
      <c r="BX3331">
        <v>3.24</v>
      </c>
      <c r="BY3331">
        <v>16.14</v>
      </c>
      <c r="BZ3331">
        <v>13.03</v>
      </c>
      <c r="CA3331">
        <v>1.46</v>
      </c>
      <c r="CB3331">
        <v>0.01</v>
      </c>
      <c r="CC3331">
        <v>1.43</v>
      </c>
      <c r="CD3331">
        <v>1.08</v>
      </c>
      <c r="CE3331">
        <v>0.89</v>
      </c>
      <c r="CF3331">
        <v>0.76</v>
      </c>
      <c r="CG3331">
        <v>2.11</v>
      </c>
      <c r="CH3331">
        <v>0.35</v>
      </c>
      <c r="CI3331">
        <v>-0.86</v>
      </c>
      <c r="CJ3331">
        <v>41607</v>
      </c>
      <c r="CK3331">
        <v>9816</v>
      </c>
      <c r="CL3331" t="s">
        <v>12751</v>
      </c>
      <c r="CM3331">
        <v>107.05</v>
      </c>
      <c r="CN3331">
        <v>13.08</v>
      </c>
      <c r="CO3331">
        <v>2.4</v>
      </c>
      <c r="CP3331">
        <v>85.56</v>
      </c>
      <c r="CQ3331">
        <v>1.87</v>
      </c>
      <c r="CR3331">
        <v>0.66</v>
      </c>
      <c r="CS3331" t="s">
        <v>2750</v>
      </c>
      <c r="CT3331">
        <v>1.91</v>
      </c>
      <c r="CU3331">
        <v>0</v>
      </c>
      <c r="CV3331">
        <v>0.49</v>
      </c>
      <c r="CW3331">
        <v>0.32</v>
      </c>
      <c r="CX3331">
        <v>0.05</v>
      </c>
      <c r="CY3331">
        <v>37.26</v>
      </c>
      <c r="CZ3331" t="s">
        <v>154</v>
      </c>
      <c r="DA3331">
        <v>19.260000000000002</v>
      </c>
      <c r="DB3331">
        <v>9.02</v>
      </c>
      <c r="DC3331">
        <v>5.51</v>
      </c>
      <c r="DD3331">
        <v>7.0000000000000007E-2</v>
      </c>
      <c r="DE3331">
        <v>2913</v>
      </c>
      <c r="DF3331">
        <v>603227</v>
      </c>
      <c r="DG3331" t="s">
        <v>116</v>
      </c>
      <c r="DH3331" t="s">
        <v>116</v>
      </c>
      <c r="DI3331" t="s">
        <v>116</v>
      </c>
    </row>
    <row r="3332" spans="1:113" x14ac:dyDescent="0.4">
      <c r="A3332" t="str">
        <f>"603228"</f>
        <v>603228</v>
      </c>
      <c r="B3332" t="s">
        <v>14194</v>
      </c>
      <c r="C3332">
        <v>-2.8</v>
      </c>
      <c r="D3332">
        <v>45.11</v>
      </c>
      <c r="E3332">
        <v>-1.3</v>
      </c>
      <c r="F3332">
        <v>45.09</v>
      </c>
      <c r="G3332">
        <v>45.11</v>
      </c>
      <c r="H3332">
        <v>22601</v>
      </c>
      <c r="I3332">
        <v>248</v>
      </c>
      <c r="J3332">
        <v>-0.06</v>
      </c>
      <c r="K3332">
        <v>1.6</v>
      </c>
      <c r="L3332">
        <v>46.88</v>
      </c>
      <c r="M3332">
        <v>46.95</v>
      </c>
      <c r="N3332">
        <v>44.9</v>
      </c>
      <c r="O3332">
        <v>46.41</v>
      </c>
      <c r="P3332">
        <v>32.299999999999997</v>
      </c>
      <c r="Q3332">
        <v>103159328</v>
      </c>
      <c r="R3332">
        <v>0.93</v>
      </c>
      <c r="S3332" t="s">
        <v>233</v>
      </c>
      <c r="T3332" t="s">
        <v>115</v>
      </c>
      <c r="U3332">
        <v>4.42</v>
      </c>
      <c r="V3332">
        <v>45.64</v>
      </c>
      <c r="W3332">
        <v>12461</v>
      </c>
      <c r="X3332">
        <v>10140</v>
      </c>
      <c r="Y3332">
        <v>1.23</v>
      </c>
      <c r="Z3332">
        <v>2</v>
      </c>
      <c r="AA3332">
        <v>5</v>
      </c>
      <c r="AB3332" t="s">
        <v>116</v>
      </c>
      <c r="AC3332">
        <v>140600</v>
      </c>
      <c r="AD3332">
        <v>0</v>
      </c>
      <c r="AE3332" t="s">
        <v>116</v>
      </c>
      <c r="AF3332" t="s">
        <v>116</v>
      </c>
      <c r="AG3332">
        <v>1.41</v>
      </c>
      <c r="AH3332" t="s">
        <v>14195</v>
      </c>
      <c r="AI3332" t="s">
        <v>14196</v>
      </c>
      <c r="AJ3332">
        <v>-2.72</v>
      </c>
      <c r="AK3332">
        <v>2390</v>
      </c>
      <c r="AL3332">
        <v>9</v>
      </c>
      <c r="AM3332">
        <v>6.9999999999999999E-4</v>
      </c>
      <c r="AN3332">
        <v>-1</v>
      </c>
      <c r="AO3332">
        <v>0.06</v>
      </c>
      <c r="AP3332">
        <v>6.14</v>
      </c>
      <c r="AQ3332">
        <v>-2.02</v>
      </c>
      <c r="AR3332">
        <v>28.26</v>
      </c>
      <c r="AS3332">
        <v>1.61</v>
      </c>
      <c r="AT3332" t="s">
        <v>14197</v>
      </c>
      <c r="AU3332">
        <v>33.76</v>
      </c>
      <c r="AV3332">
        <v>33.85</v>
      </c>
      <c r="AW3332">
        <v>1.26</v>
      </c>
      <c r="BA3332">
        <v>1.01</v>
      </c>
      <c r="BB3332">
        <v>1.1599999999999999</v>
      </c>
      <c r="BC3332">
        <v>-3.25</v>
      </c>
      <c r="BD3332">
        <v>-1.65</v>
      </c>
      <c r="BE3332">
        <v>-3.78</v>
      </c>
      <c r="BF3332">
        <v>-3.92</v>
      </c>
      <c r="BG3332">
        <v>0.47</v>
      </c>
      <c r="BH3332">
        <v>-1.1499999999999999</v>
      </c>
      <c r="BI3332">
        <v>20191106</v>
      </c>
      <c r="BJ3332">
        <v>20170106</v>
      </c>
      <c r="BK3332">
        <v>6.02</v>
      </c>
      <c r="BL3332" t="s">
        <v>116</v>
      </c>
      <c r="BM3332" t="s">
        <v>116</v>
      </c>
      <c r="BN3332">
        <v>82.19</v>
      </c>
      <c r="BO3332">
        <v>51.99</v>
      </c>
      <c r="BP3332">
        <v>2.2000000000000002</v>
      </c>
      <c r="BQ3332">
        <v>34.06</v>
      </c>
      <c r="BR3332">
        <v>51.8</v>
      </c>
      <c r="BS3332">
        <v>25.65</v>
      </c>
      <c r="BT3332">
        <v>2.5499999999999998</v>
      </c>
      <c r="BU3332">
        <v>26.59</v>
      </c>
      <c r="BV3332">
        <v>8.24</v>
      </c>
      <c r="BW3332">
        <v>20.23</v>
      </c>
      <c r="BX3332">
        <v>19.52</v>
      </c>
      <c r="BY3332">
        <v>45.35</v>
      </c>
      <c r="BZ3332">
        <v>32.89</v>
      </c>
      <c r="CA3332">
        <v>7.01</v>
      </c>
      <c r="CB3332">
        <v>0.17</v>
      </c>
      <c r="CC3332">
        <v>6.91</v>
      </c>
      <c r="CD3332">
        <v>5.87</v>
      </c>
      <c r="CE3332">
        <v>6.31</v>
      </c>
      <c r="CF3332">
        <v>5.71</v>
      </c>
      <c r="CG3332">
        <v>25.62</v>
      </c>
      <c r="CH3332">
        <v>7.55</v>
      </c>
      <c r="CI3332">
        <v>-3.27</v>
      </c>
      <c r="CJ3332">
        <v>19930</v>
      </c>
      <c r="CK3332">
        <v>7049</v>
      </c>
      <c r="CL3332" t="s">
        <v>14198</v>
      </c>
      <c r="CM3332">
        <v>0.35</v>
      </c>
      <c r="CN3332">
        <v>24.52</v>
      </c>
      <c r="CO3332">
        <v>5.23</v>
      </c>
      <c r="CP3332">
        <v>35.979999999999997</v>
      </c>
      <c r="CQ3332">
        <v>5.99</v>
      </c>
      <c r="CR3332">
        <v>1.19</v>
      </c>
      <c r="CS3332" t="s">
        <v>841</v>
      </c>
      <c r="CT3332">
        <v>8.6300000000000008</v>
      </c>
      <c r="CU3332">
        <v>0</v>
      </c>
      <c r="CV3332">
        <v>3.24</v>
      </c>
      <c r="CW3332">
        <v>4.25</v>
      </c>
      <c r="CX3332">
        <v>1.25</v>
      </c>
      <c r="CY3332">
        <v>63.26</v>
      </c>
      <c r="CZ3332" t="s">
        <v>7094</v>
      </c>
      <c r="DA3332">
        <v>27.46</v>
      </c>
      <c r="DB3332">
        <v>15.46</v>
      </c>
      <c r="DC3332">
        <v>13.91</v>
      </c>
      <c r="DD3332">
        <v>2.14</v>
      </c>
      <c r="DE3332">
        <v>9805</v>
      </c>
      <c r="DF3332">
        <v>603228</v>
      </c>
      <c r="DG3332" t="s">
        <v>116</v>
      </c>
      <c r="DH3332" t="s">
        <v>116</v>
      </c>
      <c r="DI3332" t="s">
        <v>116</v>
      </c>
    </row>
    <row r="3333" spans="1:113" x14ac:dyDescent="0.4">
      <c r="A3333" t="str">
        <f>"603229"</f>
        <v>603229</v>
      </c>
      <c r="B3333" t="s">
        <v>14199</v>
      </c>
      <c r="C3333">
        <v>0.25</v>
      </c>
      <c r="D3333">
        <v>19.89</v>
      </c>
      <c r="E3333">
        <v>0.05</v>
      </c>
      <c r="F3333">
        <v>19.86</v>
      </c>
      <c r="G3333">
        <v>19.89</v>
      </c>
      <c r="H3333">
        <v>13304</v>
      </c>
      <c r="I3333">
        <v>179</v>
      </c>
      <c r="J3333">
        <v>0.25</v>
      </c>
      <c r="K3333">
        <v>2.46</v>
      </c>
      <c r="L3333">
        <v>20.04</v>
      </c>
      <c r="M3333">
        <v>20.329999999999998</v>
      </c>
      <c r="N3333">
        <v>19.8</v>
      </c>
      <c r="O3333">
        <v>19.84</v>
      </c>
      <c r="P3333">
        <v>47.47</v>
      </c>
      <c r="Q3333">
        <v>26614592</v>
      </c>
      <c r="R3333">
        <v>0.85</v>
      </c>
      <c r="S3333" t="s">
        <v>574</v>
      </c>
      <c r="T3333" t="s">
        <v>590</v>
      </c>
      <c r="U3333">
        <v>2.67</v>
      </c>
      <c r="V3333">
        <v>20</v>
      </c>
      <c r="W3333">
        <v>7306</v>
      </c>
      <c r="X3333">
        <v>5998</v>
      </c>
      <c r="Y3333">
        <v>1.22</v>
      </c>
      <c r="Z3333">
        <v>23</v>
      </c>
      <c r="AA3333">
        <v>18</v>
      </c>
      <c r="AB3333" t="s">
        <v>116</v>
      </c>
      <c r="AC3333">
        <v>90200</v>
      </c>
      <c r="AD3333">
        <v>0.01</v>
      </c>
      <c r="AE3333" t="s">
        <v>116</v>
      </c>
      <c r="AF3333" t="s">
        <v>116</v>
      </c>
      <c r="AG3333">
        <v>0.54</v>
      </c>
      <c r="AH3333" t="s">
        <v>5035</v>
      </c>
      <c r="AI3333" t="s">
        <v>9294</v>
      </c>
      <c r="AJ3333">
        <v>0.33</v>
      </c>
      <c r="AK3333">
        <v>1196</v>
      </c>
      <c r="AL3333">
        <v>11</v>
      </c>
      <c r="AM3333">
        <v>2.0999999999999999E-3</v>
      </c>
      <c r="AN3333">
        <v>2</v>
      </c>
      <c r="AO3333">
        <v>-1.49</v>
      </c>
      <c r="AP3333">
        <v>-1.19</v>
      </c>
      <c r="AQ3333">
        <v>53</v>
      </c>
      <c r="AR3333">
        <v>74.7</v>
      </c>
      <c r="AS3333">
        <v>2.92</v>
      </c>
      <c r="AT3333" t="s">
        <v>4139</v>
      </c>
      <c r="AU3333">
        <v>51.49</v>
      </c>
      <c r="AV3333">
        <v>72.55</v>
      </c>
      <c r="AW3333">
        <v>0.84</v>
      </c>
      <c r="BA3333">
        <v>1.01</v>
      </c>
      <c r="BB3333">
        <v>2.4700000000000002</v>
      </c>
      <c r="BC3333">
        <v>-0.2</v>
      </c>
      <c r="BD3333">
        <v>0.83</v>
      </c>
      <c r="BE3333">
        <v>-0.75</v>
      </c>
      <c r="BF3333">
        <v>-2.16</v>
      </c>
      <c r="BG3333">
        <v>0.45</v>
      </c>
      <c r="BH3333">
        <v>-0.57999999999999996</v>
      </c>
      <c r="BI3333">
        <v>20191030</v>
      </c>
      <c r="BJ3333">
        <v>20170509</v>
      </c>
      <c r="BK3333">
        <v>1.6</v>
      </c>
      <c r="BL3333" t="s">
        <v>116</v>
      </c>
      <c r="BM3333" t="s">
        <v>116</v>
      </c>
      <c r="BN3333">
        <v>8.43</v>
      </c>
      <c r="BO3333">
        <v>6.39</v>
      </c>
      <c r="BP3333">
        <v>0</v>
      </c>
      <c r="BQ3333">
        <v>24.23</v>
      </c>
      <c r="BR3333">
        <v>5.64</v>
      </c>
      <c r="BS3333">
        <v>1.72</v>
      </c>
      <c r="BT3333">
        <v>0.36</v>
      </c>
      <c r="BU3333">
        <v>1.95</v>
      </c>
      <c r="BV3333">
        <v>1.85</v>
      </c>
      <c r="BW3333">
        <v>0.56999999999999995</v>
      </c>
      <c r="BX3333">
        <v>2.29</v>
      </c>
      <c r="BY3333">
        <v>2.0299999999999998</v>
      </c>
      <c r="BZ3333">
        <v>0.96</v>
      </c>
      <c r="CA3333">
        <v>0.56000000000000005</v>
      </c>
      <c r="CB3333">
        <v>0.02</v>
      </c>
      <c r="CC3333">
        <v>0.55000000000000004</v>
      </c>
      <c r="CD3333">
        <v>0.5</v>
      </c>
      <c r="CE3333">
        <v>0.5</v>
      </c>
      <c r="CF3333">
        <v>0.44</v>
      </c>
      <c r="CG3333">
        <v>2.27</v>
      </c>
      <c r="CH3333">
        <v>0.75</v>
      </c>
      <c r="CI3333">
        <v>-0.17</v>
      </c>
      <c r="CJ3333">
        <v>9432</v>
      </c>
      <c r="CK3333">
        <v>4832</v>
      </c>
      <c r="CL3333" t="s">
        <v>14200</v>
      </c>
      <c r="CM3333">
        <v>55.48</v>
      </c>
      <c r="CN3333">
        <v>31.88</v>
      </c>
      <c r="CO3333">
        <v>4.9800000000000004</v>
      </c>
      <c r="CP3333">
        <v>42.38</v>
      </c>
      <c r="CQ3333">
        <v>15.64</v>
      </c>
      <c r="CR3333">
        <v>0.28000000000000003</v>
      </c>
      <c r="CS3333" t="s">
        <v>3270</v>
      </c>
      <c r="CT3333">
        <v>3.99</v>
      </c>
      <c r="CU3333">
        <v>0</v>
      </c>
      <c r="CV3333">
        <v>1.43</v>
      </c>
      <c r="CW3333">
        <v>1.42</v>
      </c>
      <c r="CX3333">
        <v>0.47</v>
      </c>
      <c r="CY3333">
        <v>75.77</v>
      </c>
      <c r="CZ3333" t="s">
        <v>5427</v>
      </c>
      <c r="DA3333">
        <v>52.63</v>
      </c>
      <c r="DB3333">
        <v>27.32</v>
      </c>
      <c r="DC3333">
        <v>24.72</v>
      </c>
      <c r="DD3333">
        <v>0.28999999999999998</v>
      </c>
      <c r="DE3333">
        <v>561</v>
      </c>
      <c r="DF3333">
        <v>603229</v>
      </c>
      <c r="DG3333" t="s">
        <v>116</v>
      </c>
      <c r="DH3333" t="s">
        <v>116</v>
      </c>
      <c r="DI3333" t="s">
        <v>116</v>
      </c>
    </row>
    <row r="3334" spans="1:113" x14ac:dyDescent="0.4">
      <c r="A3334" t="str">
        <f>"603232"</f>
        <v>603232</v>
      </c>
      <c r="B3334" t="s">
        <v>14201</v>
      </c>
      <c r="C3334">
        <v>-5.78</v>
      </c>
      <c r="D3334">
        <v>32.130000000000003</v>
      </c>
      <c r="E3334">
        <v>-1.97</v>
      </c>
      <c r="F3334">
        <v>32.130000000000003</v>
      </c>
      <c r="G3334">
        <v>32.229999999999997</v>
      </c>
      <c r="H3334">
        <v>61660</v>
      </c>
      <c r="I3334">
        <v>701</v>
      </c>
      <c r="J3334">
        <v>0.41</v>
      </c>
      <c r="K3334">
        <v>8.49</v>
      </c>
      <c r="L3334">
        <v>34.07</v>
      </c>
      <c r="M3334">
        <v>34.19</v>
      </c>
      <c r="N3334">
        <v>31.91</v>
      </c>
      <c r="O3334">
        <v>34.1</v>
      </c>
      <c r="P3334" t="s">
        <v>116</v>
      </c>
      <c r="Q3334">
        <v>202930048</v>
      </c>
      <c r="R3334">
        <v>1.34</v>
      </c>
      <c r="S3334" t="s">
        <v>607</v>
      </c>
      <c r="T3334" t="s">
        <v>1653</v>
      </c>
      <c r="U3334">
        <v>6.69</v>
      </c>
      <c r="V3334">
        <v>32.909999999999997</v>
      </c>
      <c r="W3334">
        <v>38672</v>
      </c>
      <c r="X3334">
        <v>22988</v>
      </c>
      <c r="Y3334">
        <v>1.68</v>
      </c>
      <c r="Z3334">
        <v>91</v>
      </c>
      <c r="AA3334">
        <v>5</v>
      </c>
      <c r="AB3334" t="s">
        <v>116</v>
      </c>
      <c r="AC3334">
        <v>511100</v>
      </c>
      <c r="AD3334">
        <v>0.03</v>
      </c>
      <c r="AE3334" t="s">
        <v>116</v>
      </c>
      <c r="AF3334" t="s">
        <v>116</v>
      </c>
      <c r="AG3334">
        <v>0.73</v>
      </c>
      <c r="AH3334" t="s">
        <v>14202</v>
      </c>
      <c r="AI3334" t="s">
        <v>5353</v>
      </c>
      <c r="AJ3334">
        <v>-5.7</v>
      </c>
      <c r="AK3334">
        <v>3026</v>
      </c>
      <c r="AL3334">
        <v>20</v>
      </c>
      <c r="AM3334">
        <v>2.8E-3</v>
      </c>
      <c r="AN3334">
        <v>-3</v>
      </c>
      <c r="AO3334">
        <v>-8.1199999999999992</v>
      </c>
      <c r="AP3334">
        <v>18.43</v>
      </c>
      <c r="AQ3334">
        <v>-1.1399999999999999</v>
      </c>
      <c r="AR3334">
        <v>102.24</v>
      </c>
      <c r="AS3334">
        <v>10.52</v>
      </c>
      <c r="AT3334" t="s">
        <v>6246</v>
      </c>
      <c r="AU3334">
        <v>70.78</v>
      </c>
      <c r="AV3334">
        <v>54.27</v>
      </c>
      <c r="AW3334">
        <v>1.44</v>
      </c>
      <c r="BA3334">
        <v>-0.09</v>
      </c>
      <c r="BB3334">
        <v>0.26</v>
      </c>
      <c r="BC3334">
        <v>-6.42</v>
      </c>
      <c r="BD3334">
        <v>-3.49</v>
      </c>
      <c r="BE3334">
        <v>-5.69</v>
      </c>
      <c r="BF3334">
        <v>-6.03</v>
      </c>
      <c r="BG3334">
        <v>0.69</v>
      </c>
      <c r="BH3334">
        <v>-2.29</v>
      </c>
      <c r="BI3334">
        <v>20191026</v>
      </c>
      <c r="BJ3334">
        <v>20170421</v>
      </c>
      <c r="BK3334">
        <v>1.21</v>
      </c>
      <c r="BL3334" t="s">
        <v>116</v>
      </c>
      <c r="BM3334" t="s">
        <v>116</v>
      </c>
      <c r="BN3334">
        <v>6.99</v>
      </c>
      <c r="BO3334">
        <v>5.92</v>
      </c>
      <c r="BP3334">
        <v>0.01</v>
      </c>
      <c r="BQ3334">
        <v>15.11</v>
      </c>
      <c r="BR3334">
        <v>5.35</v>
      </c>
      <c r="BS3334">
        <v>0.69</v>
      </c>
      <c r="BT3334">
        <v>0.57999999999999996</v>
      </c>
      <c r="BU3334">
        <v>1.04</v>
      </c>
      <c r="BV3334">
        <v>0.48</v>
      </c>
      <c r="BW3334">
        <v>2.0299999999999998</v>
      </c>
      <c r="BX3334">
        <v>1.9</v>
      </c>
      <c r="BY3334">
        <v>1.51</v>
      </c>
      <c r="BZ3334">
        <v>0.56000000000000005</v>
      </c>
      <c r="CA3334">
        <v>-0.13</v>
      </c>
      <c r="CB3334">
        <v>0.12</v>
      </c>
      <c r="CC3334">
        <v>-0.05</v>
      </c>
      <c r="CD3334">
        <v>-0.06</v>
      </c>
      <c r="CE3334">
        <v>-0.06</v>
      </c>
      <c r="CF3334">
        <v>-0.23</v>
      </c>
      <c r="CG3334">
        <v>2.5</v>
      </c>
      <c r="CH3334">
        <v>-0.28999999999999998</v>
      </c>
      <c r="CI3334">
        <v>-0.03</v>
      </c>
      <c r="CJ3334">
        <v>8322</v>
      </c>
      <c r="CK3334">
        <v>7043</v>
      </c>
      <c r="CL3334" t="s">
        <v>14203</v>
      </c>
      <c r="CM3334">
        <v>-149.02000000000001</v>
      </c>
      <c r="CN3334">
        <v>-2.77</v>
      </c>
      <c r="CO3334">
        <v>6.58</v>
      </c>
      <c r="CP3334">
        <v>-134.36000000000001</v>
      </c>
      <c r="CQ3334">
        <v>25.72</v>
      </c>
      <c r="CR3334">
        <v>0.61</v>
      </c>
      <c r="CS3334" t="s">
        <v>14204</v>
      </c>
      <c r="CT3334">
        <v>4.88</v>
      </c>
      <c r="CU3334">
        <v>0</v>
      </c>
      <c r="CV3334">
        <v>1.57</v>
      </c>
      <c r="CW3334">
        <v>2.0699999999999998</v>
      </c>
      <c r="CX3334">
        <v>-0.24</v>
      </c>
      <c r="CY3334">
        <v>84.76</v>
      </c>
      <c r="CZ3334" t="s">
        <v>14205</v>
      </c>
      <c r="DA3334">
        <v>62.92</v>
      </c>
      <c r="DB3334">
        <v>-8.4700000000000006</v>
      </c>
      <c r="DC3334">
        <v>-3.64</v>
      </c>
      <c r="DD3334">
        <v>0.38</v>
      </c>
      <c r="DE3334">
        <v>425</v>
      </c>
      <c r="DF3334">
        <v>603232</v>
      </c>
      <c r="DG3334" t="s">
        <v>116</v>
      </c>
      <c r="DH3334" t="s">
        <v>116</v>
      </c>
      <c r="DI3334" t="s">
        <v>116</v>
      </c>
    </row>
    <row r="3335" spans="1:113" x14ac:dyDescent="0.4">
      <c r="A3335" t="str">
        <f>"603233"</f>
        <v>603233</v>
      </c>
      <c r="B3335" t="s">
        <v>14206</v>
      </c>
      <c r="C3335">
        <v>2.4500000000000002</v>
      </c>
      <c r="D3335">
        <v>50.61</v>
      </c>
      <c r="E3335">
        <v>1.21</v>
      </c>
      <c r="F3335">
        <v>50.6</v>
      </c>
      <c r="G3335">
        <v>50.61</v>
      </c>
      <c r="H3335">
        <v>38199</v>
      </c>
      <c r="I3335">
        <v>270</v>
      </c>
      <c r="J3335">
        <v>0.16</v>
      </c>
      <c r="K3335">
        <v>4.58</v>
      </c>
      <c r="L3335">
        <v>49.48</v>
      </c>
      <c r="M3335">
        <v>51.55</v>
      </c>
      <c r="N3335">
        <v>49.41</v>
      </c>
      <c r="O3335">
        <v>49.4</v>
      </c>
      <c r="P3335">
        <v>35.49</v>
      </c>
      <c r="Q3335">
        <v>194068800</v>
      </c>
      <c r="R3335">
        <v>1.71</v>
      </c>
      <c r="S3335" t="s">
        <v>278</v>
      </c>
      <c r="T3335" t="s">
        <v>551</v>
      </c>
      <c r="U3335">
        <v>4.33</v>
      </c>
      <c r="V3335">
        <v>50.8</v>
      </c>
      <c r="W3335">
        <v>14163</v>
      </c>
      <c r="X3335">
        <v>24036</v>
      </c>
      <c r="Y3335">
        <v>0.59</v>
      </c>
      <c r="Z3335">
        <v>66</v>
      </c>
      <c r="AA3335">
        <v>26</v>
      </c>
      <c r="AB3335" t="s">
        <v>116</v>
      </c>
      <c r="AC3335">
        <v>9900</v>
      </c>
      <c r="AD3335">
        <v>0</v>
      </c>
      <c r="AE3335" t="s">
        <v>116</v>
      </c>
      <c r="AF3335" t="s">
        <v>116</v>
      </c>
      <c r="AG3335">
        <v>0.83</v>
      </c>
      <c r="AH3335" t="s">
        <v>9724</v>
      </c>
      <c r="AI3335" t="s">
        <v>14207</v>
      </c>
      <c r="AJ3335">
        <v>2.5299999999999998</v>
      </c>
      <c r="AK3335">
        <v>3394</v>
      </c>
      <c r="AL3335">
        <v>11</v>
      </c>
      <c r="AM3335">
        <v>1.2999999999999999E-3</v>
      </c>
      <c r="AN3335">
        <v>1</v>
      </c>
      <c r="AO3335">
        <v>2.4500000000000002</v>
      </c>
      <c r="AP3335">
        <v>-0.9</v>
      </c>
      <c r="AQ3335">
        <v>-11.41</v>
      </c>
      <c r="AR3335">
        <v>67.58</v>
      </c>
      <c r="AS3335">
        <v>4.58</v>
      </c>
      <c r="AT3335" t="s">
        <v>9724</v>
      </c>
      <c r="AU3335">
        <v>39.06</v>
      </c>
      <c r="AV3335">
        <v>49.5</v>
      </c>
      <c r="AW3335">
        <v>0.62</v>
      </c>
      <c r="BA3335">
        <v>0.16</v>
      </c>
      <c r="BB3335">
        <v>4.3499999999999996</v>
      </c>
      <c r="BC3335">
        <v>0.02</v>
      </c>
      <c r="BD3335">
        <v>2.84</v>
      </c>
      <c r="BE3335">
        <v>2.2799999999999998</v>
      </c>
      <c r="BF3335">
        <v>-1.82</v>
      </c>
      <c r="BG3335">
        <v>2.4300000000000002</v>
      </c>
      <c r="BH3335">
        <v>-0.39</v>
      </c>
      <c r="BI3335">
        <v>20191031</v>
      </c>
      <c r="BJ3335">
        <v>20170731</v>
      </c>
      <c r="BK3335">
        <v>5.2</v>
      </c>
      <c r="BL3335" t="s">
        <v>116</v>
      </c>
      <c r="BM3335" t="s">
        <v>116</v>
      </c>
      <c r="BN3335">
        <v>79.099999999999994</v>
      </c>
      <c r="BO3335">
        <v>35.130000000000003</v>
      </c>
      <c r="BP3335">
        <v>0.66</v>
      </c>
      <c r="BQ3335">
        <v>54.75</v>
      </c>
      <c r="BR3335">
        <v>51.94</v>
      </c>
      <c r="BS3335">
        <v>8.82</v>
      </c>
      <c r="BT3335">
        <v>2.6</v>
      </c>
      <c r="BU3335">
        <v>34.659999999999997</v>
      </c>
      <c r="BV3335">
        <v>19.79</v>
      </c>
      <c r="BW3335">
        <v>2.94</v>
      </c>
      <c r="BX3335">
        <v>8.3699999999999992</v>
      </c>
      <c r="BY3335">
        <v>80.41</v>
      </c>
      <c r="BZ3335">
        <v>48.38</v>
      </c>
      <c r="CA3335">
        <v>7.42</v>
      </c>
      <c r="CB3335">
        <v>0.13</v>
      </c>
      <c r="CC3335">
        <v>7.49</v>
      </c>
      <c r="CD3335">
        <v>5.52</v>
      </c>
      <c r="CE3335">
        <v>5.56</v>
      </c>
      <c r="CF3335">
        <v>5.37</v>
      </c>
      <c r="CG3335">
        <v>18.68</v>
      </c>
      <c r="CH3335">
        <v>10.85</v>
      </c>
      <c r="CI3335">
        <v>5.17</v>
      </c>
      <c r="CJ3335">
        <v>7855</v>
      </c>
      <c r="CK3335">
        <v>10617</v>
      </c>
      <c r="CL3335" t="s">
        <v>14208</v>
      </c>
      <c r="CM3335">
        <v>34.340000000000003</v>
      </c>
      <c r="CN3335">
        <v>27.65</v>
      </c>
      <c r="CO3335">
        <v>7.85</v>
      </c>
      <c r="CP3335">
        <v>24.25</v>
      </c>
      <c r="CQ3335">
        <v>3.27</v>
      </c>
      <c r="CR3335">
        <v>0.91</v>
      </c>
      <c r="CS3335" t="s">
        <v>841</v>
      </c>
      <c r="CT3335">
        <v>6.45</v>
      </c>
      <c r="CU3335">
        <v>6.45</v>
      </c>
      <c r="CV3335">
        <v>1.61</v>
      </c>
      <c r="CW3335">
        <v>3.59</v>
      </c>
      <c r="CX3335">
        <v>2.09</v>
      </c>
      <c r="CY3335">
        <v>44.41</v>
      </c>
      <c r="CZ3335" t="s">
        <v>14209</v>
      </c>
      <c r="DA3335">
        <v>39.83</v>
      </c>
      <c r="DB3335">
        <v>9.23</v>
      </c>
      <c r="DC3335">
        <v>6.92</v>
      </c>
      <c r="DD3335">
        <v>0.01</v>
      </c>
      <c r="DE3335">
        <v>23854</v>
      </c>
      <c r="DF3335">
        <v>603233</v>
      </c>
      <c r="DG3335" t="s">
        <v>116</v>
      </c>
      <c r="DH3335" t="s">
        <v>116</v>
      </c>
      <c r="DI3335" t="s">
        <v>116</v>
      </c>
    </row>
    <row r="3336" spans="1:113" x14ac:dyDescent="0.4">
      <c r="A3336" t="str">
        <f>"603236"</f>
        <v>603236</v>
      </c>
      <c r="B3336" t="s">
        <v>14210</v>
      </c>
      <c r="C3336">
        <v>-1.3</v>
      </c>
      <c r="D3336">
        <v>142.22</v>
      </c>
      <c r="E3336">
        <v>-1.88</v>
      </c>
      <c r="F3336">
        <v>142.22</v>
      </c>
      <c r="G3336">
        <v>142.22999999999999</v>
      </c>
      <c r="H3336">
        <v>10739</v>
      </c>
      <c r="I3336">
        <v>98</v>
      </c>
      <c r="J3336">
        <v>0.02</v>
      </c>
      <c r="K3336">
        <v>4.82</v>
      </c>
      <c r="L3336">
        <v>144.69</v>
      </c>
      <c r="M3336">
        <v>146.30000000000001</v>
      </c>
      <c r="N3336">
        <v>142.07</v>
      </c>
      <c r="O3336">
        <v>144.1</v>
      </c>
      <c r="P3336">
        <v>101.85</v>
      </c>
      <c r="Q3336">
        <v>155243696</v>
      </c>
      <c r="R3336">
        <v>1.24</v>
      </c>
      <c r="S3336" t="s">
        <v>465</v>
      </c>
      <c r="T3336" t="s">
        <v>1653</v>
      </c>
      <c r="U3336">
        <v>2.94</v>
      </c>
      <c r="V3336">
        <v>144.56</v>
      </c>
      <c r="W3336">
        <v>5406</v>
      </c>
      <c r="X3336">
        <v>5333</v>
      </c>
      <c r="Y3336">
        <v>1.01</v>
      </c>
      <c r="Z3336">
        <v>6</v>
      </c>
      <c r="AA3336">
        <v>9</v>
      </c>
      <c r="AB3336" t="s">
        <v>116</v>
      </c>
      <c r="AC3336">
        <v>448500</v>
      </c>
      <c r="AD3336">
        <v>0.01</v>
      </c>
      <c r="AE3336" t="s">
        <v>116</v>
      </c>
      <c r="AF3336" t="s">
        <v>116</v>
      </c>
      <c r="AG3336">
        <v>0.22</v>
      </c>
      <c r="AH3336" t="s">
        <v>6891</v>
      </c>
      <c r="AI3336" t="s">
        <v>14211</v>
      </c>
      <c r="AJ3336">
        <v>-1.23</v>
      </c>
      <c r="AK3336">
        <v>2023</v>
      </c>
      <c r="AL3336">
        <v>5</v>
      </c>
      <c r="AM3336">
        <v>2.3999999999999998E-3</v>
      </c>
      <c r="AN3336">
        <v>-2</v>
      </c>
      <c r="AO3336">
        <v>-1.9</v>
      </c>
      <c r="AP3336">
        <v>4.3099999999999996</v>
      </c>
      <c r="AQ3336">
        <v>-24.15</v>
      </c>
      <c r="AR3336">
        <v>223.74</v>
      </c>
      <c r="AS3336">
        <v>4.82</v>
      </c>
      <c r="AT3336" t="s">
        <v>6891</v>
      </c>
      <c r="AU3336">
        <v>77.53</v>
      </c>
      <c r="AV3336">
        <v>70.27</v>
      </c>
      <c r="AW3336">
        <v>2.04</v>
      </c>
      <c r="BA3336">
        <v>0.41</v>
      </c>
      <c r="BB3336">
        <v>1.53</v>
      </c>
      <c r="BC3336">
        <v>-1.41</v>
      </c>
      <c r="BD3336">
        <v>0.32</v>
      </c>
      <c r="BE3336">
        <v>-1.71</v>
      </c>
      <c r="BF3336">
        <v>-2.79</v>
      </c>
      <c r="BG3336">
        <v>0.11</v>
      </c>
      <c r="BH3336">
        <v>-1.63</v>
      </c>
      <c r="BI3336">
        <v>20191031</v>
      </c>
      <c r="BJ3336">
        <v>20190716</v>
      </c>
      <c r="BK3336">
        <v>0.89</v>
      </c>
      <c r="BL3336" t="s">
        <v>116</v>
      </c>
      <c r="BM3336" t="s">
        <v>116</v>
      </c>
      <c r="BN3336">
        <v>27.35</v>
      </c>
      <c r="BO3336">
        <v>16.579999999999998</v>
      </c>
      <c r="BP3336">
        <v>0</v>
      </c>
      <c r="BQ3336">
        <v>39.380000000000003</v>
      </c>
      <c r="BR3336">
        <v>24.87</v>
      </c>
      <c r="BS3336">
        <v>1.29</v>
      </c>
      <c r="BT3336">
        <v>0.53</v>
      </c>
      <c r="BU3336">
        <v>10.77</v>
      </c>
      <c r="BV3336">
        <v>8.3000000000000007</v>
      </c>
      <c r="BW3336">
        <v>4.8099999999999996</v>
      </c>
      <c r="BX3336">
        <v>11.7</v>
      </c>
      <c r="BY3336">
        <v>28.55</v>
      </c>
      <c r="BZ3336">
        <v>22.45</v>
      </c>
      <c r="CA3336">
        <v>0.91</v>
      </c>
      <c r="CB3336">
        <v>0</v>
      </c>
      <c r="CC3336">
        <v>0.91</v>
      </c>
      <c r="CD3336">
        <v>0.93</v>
      </c>
      <c r="CE3336">
        <v>0.93</v>
      </c>
      <c r="CF3336">
        <v>0.88</v>
      </c>
      <c r="CG3336">
        <v>3.71</v>
      </c>
      <c r="CH3336">
        <v>-3.46</v>
      </c>
      <c r="CI3336">
        <v>3.98</v>
      </c>
      <c r="CJ3336">
        <v>16406</v>
      </c>
      <c r="CK3336">
        <v>1359</v>
      </c>
      <c r="CL3336" t="s">
        <v>14212</v>
      </c>
      <c r="CM3336">
        <v>0</v>
      </c>
      <c r="CN3336">
        <v>0</v>
      </c>
      <c r="CO3336">
        <v>7.65</v>
      </c>
      <c r="CP3336">
        <v>-36.65</v>
      </c>
      <c r="CQ3336">
        <v>4.4400000000000004</v>
      </c>
      <c r="CR3336">
        <v>0</v>
      </c>
      <c r="CS3336" t="s">
        <v>3198</v>
      </c>
      <c r="CT3336">
        <v>18.59</v>
      </c>
      <c r="CU3336">
        <v>0</v>
      </c>
      <c r="CV3336">
        <v>13.12</v>
      </c>
      <c r="CW3336">
        <v>4.16</v>
      </c>
      <c r="CX3336">
        <v>-3.88</v>
      </c>
      <c r="CY3336">
        <v>60.62</v>
      </c>
      <c r="CZ3336" t="s">
        <v>7305</v>
      </c>
      <c r="DA3336">
        <v>21.38</v>
      </c>
      <c r="DB3336">
        <v>3.19</v>
      </c>
      <c r="DC3336">
        <v>3.27</v>
      </c>
      <c r="DD3336">
        <v>2.2200000000000002</v>
      </c>
      <c r="DE3336">
        <v>1059</v>
      </c>
      <c r="DF3336">
        <v>603236</v>
      </c>
      <c r="DG3336" t="s">
        <v>116</v>
      </c>
      <c r="DH3336" t="s">
        <v>116</v>
      </c>
      <c r="DI3336" t="s">
        <v>116</v>
      </c>
    </row>
    <row r="3337" spans="1:113" x14ac:dyDescent="0.4">
      <c r="A3337" t="str">
        <f>"603238"</f>
        <v>603238</v>
      </c>
      <c r="B3337" t="s">
        <v>14213</v>
      </c>
      <c r="C3337">
        <v>-1.78</v>
      </c>
      <c r="D3337">
        <v>17.14</v>
      </c>
      <c r="E3337">
        <v>-0.31</v>
      </c>
      <c r="F3337">
        <v>17.13</v>
      </c>
      <c r="G3337">
        <v>17.14</v>
      </c>
      <c r="H3337">
        <v>6469</v>
      </c>
      <c r="I3337">
        <v>241</v>
      </c>
      <c r="J3337">
        <v>-0.16</v>
      </c>
      <c r="K3337">
        <v>2.16</v>
      </c>
      <c r="L3337">
        <v>17.45</v>
      </c>
      <c r="M3337">
        <v>17.510000000000002</v>
      </c>
      <c r="N3337">
        <v>17.14</v>
      </c>
      <c r="O3337">
        <v>17.45</v>
      </c>
      <c r="P3337">
        <v>22.85</v>
      </c>
      <c r="Q3337">
        <v>11202083</v>
      </c>
      <c r="R3337">
        <v>1.17</v>
      </c>
      <c r="S3337" t="s">
        <v>1420</v>
      </c>
      <c r="T3337" t="s">
        <v>590</v>
      </c>
      <c r="U3337">
        <v>2.12</v>
      </c>
      <c r="V3337">
        <v>17.32</v>
      </c>
      <c r="W3337">
        <v>4001</v>
      </c>
      <c r="X3337">
        <v>2468</v>
      </c>
      <c r="Y3337">
        <v>1.62</v>
      </c>
      <c r="Z3337">
        <v>33</v>
      </c>
      <c r="AA3337">
        <v>69</v>
      </c>
      <c r="AB3337" t="s">
        <v>116</v>
      </c>
      <c r="AC3337">
        <v>38400</v>
      </c>
      <c r="AD3337">
        <v>0.01</v>
      </c>
      <c r="AE3337" t="s">
        <v>116</v>
      </c>
      <c r="AF3337" t="s">
        <v>116</v>
      </c>
      <c r="AG3337">
        <v>0.3</v>
      </c>
      <c r="AH3337" t="s">
        <v>14214</v>
      </c>
      <c r="AI3337" t="s">
        <v>6396</v>
      </c>
      <c r="AJ3337">
        <v>-1.7</v>
      </c>
      <c r="AK3337">
        <v>716</v>
      </c>
      <c r="AL3337">
        <v>9</v>
      </c>
      <c r="AM3337">
        <v>3.0000000000000001E-3</v>
      </c>
      <c r="AN3337">
        <v>-1</v>
      </c>
      <c r="AO3337">
        <v>-0.64</v>
      </c>
      <c r="AP3337">
        <v>2.33</v>
      </c>
      <c r="AQ3337">
        <v>-1.49</v>
      </c>
      <c r="AR3337">
        <v>-8.49</v>
      </c>
      <c r="AS3337">
        <v>2.16</v>
      </c>
      <c r="AT3337" t="s">
        <v>14214</v>
      </c>
      <c r="AU3337">
        <v>25.32</v>
      </c>
      <c r="AV3337">
        <v>37.22</v>
      </c>
      <c r="AW3337">
        <v>0.89</v>
      </c>
      <c r="BA3337">
        <v>0</v>
      </c>
      <c r="BB3337">
        <v>0.34</v>
      </c>
      <c r="BC3337">
        <v>-1.78</v>
      </c>
      <c r="BD3337">
        <v>-0.76</v>
      </c>
      <c r="BE3337">
        <v>-1.78</v>
      </c>
      <c r="BF3337">
        <v>-2.11</v>
      </c>
      <c r="BG3337">
        <v>0</v>
      </c>
      <c r="BH3337">
        <v>-1.01</v>
      </c>
      <c r="BI3337">
        <v>20191025</v>
      </c>
      <c r="BJ3337">
        <v>20170222</v>
      </c>
      <c r="BK3337">
        <v>1.2</v>
      </c>
      <c r="BL3337" t="s">
        <v>116</v>
      </c>
      <c r="BM3337" t="s">
        <v>116</v>
      </c>
      <c r="BN3337">
        <v>15.77</v>
      </c>
      <c r="BO3337">
        <v>8.7200000000000006</v>
      </c>
      <c r="BP3337">
        <v>1.35</v>
      </c>
      <c r="BQ3337">
        <v>36.14</v>
      </c>
      <c r="BR3337">
        <v>6.23</v>
      </c>
      <c r="BS3337">
        <v>5.18</v>
      </c>
      <c r="BT3337">
        <v>1.24</v>
      </c>
      <c r="BU3337">
        <v>5.53</v>
      </c>
      <c r="BV3337">
        <v>1.66</v>
      </c>
      <c r="BW3337">
        <v>1.57</v>
      </c>
      <c r="BX3337">
        <v>3.28</v>
      </c>
      <c r="BY3337">
        <v>7.96</v>
      </c>
      <c r="BZ3337">
        <v>5.78</v>
      </c>
      <c r="CA3337">
        <v>1.03</v>
      </c>
      <c r="CB3337">
        <v>0.01</v>
      </c>
      <c r="CC3337">
        <v>1.03</v>
      </c>
      <c r="CD3337">
        <v>0.9</v>
      </c>
      <c r="CE3337">
        <v>0.68</v>
      </c>
      <c r="CF3337">
        <v>0.63</v>
      </c>
      <c r="CG3337">
        <v>3.84</v>
      </c>
      <c r="CH3337">
        <v>1.36</v>
      </c>
      <c r="CI3337">
        <v>-0.52</v>
      </c>
      <c r="CJ3337">
        <v>11676</v>
      </c>
      <c r="CK3337">
        <v>2569</v>
      </c>
      <c r="CL3337" t="s">
        <v>2061</v>
      </c>
      <c r="CM3337">
        <v>62.52</v>
      </c>
      <c r="CN3337">
        <v>18.75</v>
      </c>
      <c r="CO3337">
        <v>2.36</v>
      </c>
      <c r="CP3337">
        <v>15.07</v>
      </c>
      <c r="CQ3337">
        <v>2.58</v>
      </c>
      <c r="CR3337">
        <v>0.88</v>
      </c>
      <c r="CS3337" t="s">
        <v>1092</v>
      </c>
      <c r="CT3337">
        <v>7.27</v>
      </c>
      <c r="CU3337">
        <v>0</v>
      </c>
      <c r="CV3337">
        <v>2.73</v>
      </c>
      <c r="CW3337">
        <v>3.2</v>
      </c>
      <c r="CX3337">
        <v>1.1399999999999999</v>
      </c>
      <c r="CY3337">
        <v>55.28</v>
      </c>
      <c r="CZ3337" t="s">
        <v>14215</v>
      </c>
      <c r="DA3337">
        <v>27.34</v>
      </c>
      <c r="DB3337">
        <v>12.93</v>
      </c>
      <c r="DC3337">
        <v>8.48</v>
      </c>
      <c r="DD3337">
        <v>0.28999999999999998</v>
      </c>
      <c r="DE3337">
        <v>966</v>
      </c>
      <c r="DF3337">
        <v>603238</v>
      </c>
      <c r="DG3337" t="s">
        <v>116</v>
      </c>
      <c r="DH3337" t="s">
        <v>116</v>
      </c>
      <c r="DI3337" t="s">
        <v>116</v>
      </c>
    </row>
    <row r="3338" spans="1:113" x14ac:dyDescent="0.4">
      <c r="A3338" t="str">
        <f>"603239"</f>
        <v>603239</v>
      </c>
      <c r="B3338" t="s">
        <v>14216</v>
      </c>
      <c r="C3338">
        <v>3.78</v>
      </c>
      <c r="D3338">
        <v>10.43</v>
      </c>
      <c r="E3338">
        <v>0.38</v>
      </c>
      <c r="F3338">
        <v>10.43</v>
      </c>
      <c r="G3338">
        <v>10.44</v>
      </c>
      <c r="H3338">
        <v>72940</v>
      </c>
      <c r="I3338">
        <v>1023</v>
      </c>
      <c r="J3338">
        <v>0.19</v>
      </c>
      <c r="K3338">
        <v>2.69</v>
      </c>
      <c r="L3338">
        <v>10.050000000000001</v>
      </c>
      <c r="M3338">
        <v>10.54</v>
      </c>
      <c r="N3338">
        <v>9.9600000000000009</v>
      </c>
      <c r="O3338">
        <v>10.050000000000001</v>
      </c>
      <c r="P3338">
        <v>34.07</v>
      </c>
      <c r="Q3338">
        <v>75538688</v>
      </c>
      <c r="R3338">
        <v>1.51</v>
      </c>
      <c r="S3338" t="s">
        <v>293</v>
      </c>
      <c r="T3338" t="s">
        <v>590</v>
      </c>
      <c r="U3338">
        <v>5.77</v>
      </c>
      <c r="V3338">
        <v>10.36</v>
      </c>
      <c r="W3338">
        <v>26972</v>
      </c>
      <c r="X3338">
        <v>45968</v>
      </c>
      <c r="Y3338">
        <v>0.59</v>
      </c>
      <c r="Z3338">
        <v>1138</v>
      </c>
      <c r="AA3338">
        <v>20</v>
      </c>
      <c r="AB3338" t="s">
        <v>116</v>
      </c>
      <c r="AC3338">
        <v>51300</v>
      </c>
      <c r="AD3338">
        <v>0.01</v>
      </c>
      <c r="AE3338" t="s">
        <v>116</v>
      </c>
      <c r="AF3338" t="s">
        <v>116</v>
      </c>
      <c r="AG3338">
        <v>2.71</v>
      </c>
      <c r="AH3338" t="s">
        <v>1341</v>
      </c>
      <c r="AI3338" t="s">
        <v>1341</v>
      </c>
      <c r="AJ3338">
        <v>3.86</v>
      </c>
      <c r="AK3338">
        <v>2080</v>
      </c>
      <c r="AL3338">
        <v>35</v>
      </c>
      <c r="AM3338">
        <v>1.2999999999999999E-3</v>
      </c>
      <c r="AN3338">
        <v>1</v>
      </c>
      <c r="AO3338">
        <v>1.55</v>
      </c>
      <c r="AP3338">
        <v>8.1999999999999993</v>
      </c>
      <c r="AQ3338">
        <v>8.5299999999999994</v>
      </c>
      <c r="AR3338">
        <v>3.17</v>
      </c>
      <c r="AS3338">
        <v>8.0399999999999991</v>
      </c>
      <c r="AT3338" t="s">
        <v>14217</v>
      </c>
      <c r="AU3338">
        <v>39.909999999999997</v>
      </c>
      <c r="AV3338">
        <v>23.07</v>
      </c>
      <c r="AW3338">
        <v>0.4</v>
      </c>
      <c r="BA3338">
        <v>0</v>
      </c>
      <c r="BB3338">
        <v>4.88</v>
      </c>
      <c r="BC3338">
        <v>-0.9</v>
      </c>
      <c r="BD3338">
        <v>3.05</v>
      </c>
      <c r="BE3338">
        <v>3.78</v>
      </c>
      <c r="BF3338">
        <v>-1.04</v>
      </c>
      <c r="BG3338">
        <v>4.72</v>
      </c>
      <c r="BH3338">
        <v>0.73</v>
      </c>
      <c r="BI3338">
        <v>20191227</v>
      </c>
      <c r="BJ3338">
        <v>20161230</v>
      </c>
      <c r="BK3338">
        <v>2.71</v>
      </c>
      <c r="BL3338" t="s">
        <v>116</v>
      </c>
      <c r="BM3338" t="s">
        <v>116</v>
      </c>
      <c r="BN3338">
        <v>11.32</v>
      </c>
      <c r="BO3338">
        <v>9.6199999999999992</v>
      </c>
      <c r="BP3338">
        <v>0</v>
      </c>
      <c r="BQ3338">
        <v>15.09</v>
      </c>
      <c r="BR3338">
        <v>7.17</v>
      </c>
      <c r="BS3338">
        <v>2.31</v>
      </c>
      <c r="BT3338">
        <v>0.28999999999999998</v>
      </c>
      <c r="BU3338">
        <v>1.63</v>
      </c>
      <c r="BV3338">
        <v>1.03</v>
      </c>
      <c r="BW3338">
        <v>1.86</v>
      </c>
      <c r="BX3338">
        <v>3.01</v>
      </c>
      <c r="BY3338">
        <v>4.38</v>
      </c>
      <c r="BZ3338">
        <v>2.8</v>
      </c>
      <c r="CA3338">
        <v>0.72</v>
      </c>
      <c r="CB3338">
        <v>0.02</v>
      </c>
      <c r="CC3338">
        <v>0.72</v>
      </c>
      <c r="CD3338">
        <v>0.62</v>
      </c>
      <c r="CE3338">
        <v>0.62</v>
      </c>
      <c r="CF3338">
        <v>0.55000000000000004</v>
      </c>
      <c r="CG3338">
        <v>3.22</v>
      </c>
      <c r="CH3338">
        <v>1.9</v>
      </c>
      <c r="CI3338">
        <v>-1.35</v>
      </c>
      <c r="CJ3338">
        <v>14759</v>
      </c>
      <c r="CK3338">
        <v>6147</v>
      </c>
      <c r="CL3338" t="s">
        <v>2206</v>
      </c>
      <c r="CM3338">
        <v>-45.39</v>
      </c>
      <c r="CN3338">
        <v>-18.309999999999999</v>
      </c>
      <c r="CO3338">
        <v>2.94</v>
      </c>
      <c r="CP3338">
        <v>14.85</v>
      </c>
      <c r="CQ3338">
        <v>6.45</v>
      </c>
      <c r="CR3338">
        <v>2.88</v>
      </c>
      <c r="CS3338" t="s">
        <v>3753</v>
      </c>
      <c r="CT3338">
        <v>3.55</v>
      </c>
      <c r="CU3338">
        <v>0</v>
      </c>
      <c r="CV3338">
        <v>1.1100000000000001</v>
      </c>
      <c r="CW3338">
        <v>1.19</v>
      </c>
      <c r="CX3338">
        <v>0.7</v>
      </c>
      <c r="CY3338">
        <v>84.91</v>
      </c>
      <c r="CZ3338" t="s">
        <v>14024</v>
      </c>
      <c r="DA3338">
        <v>35.97</v>
      </c>
      <c r="DB3338">
        <v>16.52</v>
      </c>
      <c r="DC3338">
        <v>14.2</v>
      </c>
      <c r="DD3338">
        <v>0.23</v>
      </c>
      <c r="DE3338">
        <v>1860</v>
      </c>
      <c r="DF3338">
        <v>603239</v>
      </c>
      <c r="DG3338" t="s">
        <v>116</v>
      </c>
      <c r="DH3338" t="s">
        <v>116</v>
      </c>
      <c r="DI3338" t="s">
        <v>116</v>
      </c>
    </row>
    <row r="3339" spans="1:113" x14ac:dyDescent="0.4">
      <c r="A3339" t="str">
        <f>"603256"</f>
        <v>603256</v>
      </c>
      <c r="B3339" t="s">
        <v>14218</v>
      </c>
      <c r="C3339">
        <v>-3.17</v>
      </c>
      <c r="D3339">
        <v>14.98</v>
      </c>
      <c r="E3339">
        <v>-0.49</v>
      </c>
      <c r="F3339">
        <v>14.98</v>
      </c>
      <c r="G3339">
        <v>14.99</v>
      </c>
      <c r="H3339">
        <v>66860</v>
      </c>
      <c r="I3339">
        <v>3195</v>
      </c>
      <c r="J3339">
        <v>-0.65</v>
      </c>
      <c r="K3339">
        <v>7.61</v>
      </c>
      <c r="L3339">
        <v>15.5</v>
      </c>
      <c r="M3339">
        <v>15.62</v>
      </c>
      <c r="N3339">
        <v>14.88</v>
      </c>
      <c r="O3339">
        <v>15.47</v>
      </c>
      <c r="P3339">
        <v>121.7</v>
      </c>
      <c r="Q3339">
        <v>102243656</v>
      </c>
      <c r="R3339">
        <v>1.06</v>
      </c>
      <c r="S3339" t="s">
        <v>195</v>
      </c>
      <c r="T3339" t="s">
        <v>1653</v>
      </c>
      <c r="U3339">
        <v>4.78</v>
      </c>
      <c r="V3339">
        <v>15.29</v>
      </c>
      <c r="W3339">
        <v>42622</v>
      </c>
      <c r="X3339">
        <v>24238</v>
      </c>
      <c r="Y3339">
        <v>1.76</v>
      </c>
      <c r="Z3339">
        <v>548</v>
      </c>
      <c r="AA3339">
        <v>145</v>
      </c>
      <c r="AB3339" t="s">
        <v>116</v>
      </c>
      <c r="AC3339">
        <v>299200</v>
      </c>
      <c r="AD3339">
        <v>0.02</v>
      </c>
      <c r="AE3339" t="s">
        <v>116</v>
      </c>
      <c r="AF3339" t="s">
        <v>116</v>
      </c>
      <c r="AG3339">
        <v>0.88</v>
      </c>
      <c r="AH3339" t="s">
        <v>9767</v>
      </c>
      <c r="AI3339" t="s">
        <v>14219</v>
      </c>
      <c r="AJ3339">
        <v>-3.09</v>
      </c>
      <c r="AK3339">
        <v>2649</v>
      </c>
      <c r="AL3339">
        <v>25</v>
      </c>
      <c r="AM3339">
        <v>2.8999999999999998E-3</v>
      </c>
      <c r="AN3339">
        <v>-1</v>
      </c>
      <c r="AO3339">
        <v>-1.78</v>
      </c>
      <c r="AP3339">
        <v>3.17</v>
      </c>
      <c r="AQ3339">
        <v>-19.98</v>
      </c>
      <c r="AR3339">
        <v>245.96</v>
      </c>
      <c r="AS3339">
        <v>7.61</v>
      </c>
      <c r="AT3339" t="s">
        <v>9767</v>
      </c>
      <c r="AU3339">
        <v>111.8</v>
      </c>
      <c r="AV3339">
        <v>77.45</v>
      </c>
      <c r="AW3339">
        <v>1.72</v>
      </c>
      <c r="BA3339">
        <v>0.19</v>
      </c>
      <c r="BB3339">
        <v>0.97</v>
      </c>
      <c r="BC3339">
        <v>-3.81</v>
      </c>
      <c r="BD3339">
        <v>-1.1499999999999999</v>
      </c>
      <c r="BE3339">
        <v>-3.35</v>
      </c>
      <c r="BF3339">
        <v>-4.0999999999999996</v>
      </c>
      <c r="BG3339">
        <v>0.67</v>
      </c>
      <c r="BH3339">
        <v>-2.02</v>
      </c>
      <c r="BI3339">
        <v>20191030</v>
      </c>
      <c r="BJ3339">
        <v>20190719</v>
      </c>
      <c r="BK3339">
        <v>8.7799999999999994</v>
      </c>
      <c r="BL3339" t="s">
        <v>116</v>
      </c>
      <c r="BM3339" t="s">
        <v>116</v>
      </c>
      <c r="BN3339">
        <v>18.84</v>
      </c>
      <c r="BO3339">
        <v>14.02</v>
      </c>
      <c r="BP3339">
        <v>0</v>
      </c>
      <c r="BQ3339">
        <v>25.56</v>
      </c>
      <c r="BR3339">
        <v>12.87</v>
      </c>
      <c r="BS3339">
        <v>2.44</v>
      </c>
      <c r="BT3339">
        <v>1.05</v>
      </c>
      <c r="BU3339">
        <v>4.78</v>
      </c>
      <c r="BV3339">
        <v>1.07</v>
      </c>
      <c r="BW3339">
        <v>2.0099999999999998</v>
      </c>
      <c r="BX3339">
        <v>2.94</v>
      </c>
      <c r="BY3339">
        <v>4.9800000000000004</v>
      </c>
      <c r="BZ3339">
        <v>3.18</v>
      </c>
      <c r="CA3339">
        <v>0.93</v>
      </c>
      <c r="CB3339">
        <v>0.01</v>
      </c>
      <c r="CC3339">
        <v>0.97</v>
      </c>
      <c r="CD3339">
        <v>0.81</v>
      </c>
      <c r="CE3339">
        <v>0.81</v>
      </c>
      <c r="CF3339">
        <v>0.77</v>
      </c>
      <c r="CG3339">
        <v>1.93</v>
      </c>
      <c r="CH3339">
        <v>1.27</v>
      </c>
      <c r="CI3339">
        <v>2.8</v>
      </c>
      <c r="CJ3339">
        <v>34734</v>
      </c>
      <c r="CK3339">
        <v>2528</v>
      </c>
      <c r="CL3339" t="s">
        <v>5253</v>
      </c>
      <c r="CM3339">
        <v>0</v>
      </c>
      <c r="CN3339">
        <v>0</v>
      </c>
      <c r="CO3339">
        <v>9.3800000000000008</v>
      </c>
      <c r="CP3339">
        <v>103.91</v>
      </c>
      <c r="CQ3339">
        <v>26.4</v>
      </c>
      <c r="CR3339">
        <v>0.67</v>
      </c>
      <c r="CS3339" t="s">
        <v>2448</v>
      </c>
      <c r="CT3339">
        <v>1.6</v>
      </c>
      <c r="CU3339">
        <v>0</v>
      </c>
      <c r="CV3339">
        <v>0.34</v>
      </c>
      <c r="CW3339">
        <v>0.22</v>
      </c>
      <c r="CX3339">
        <v>0.14000000000000001</v>
      </c>
      <c r="CY3339">
        <v>74.44</v>
      </c>
      <c r="CZ3339" t="s">
        <v>7424</v>
      </c>
      <c r="DA3339">
        <v>36.1</v>
      </c>
      <c r="DB3339">
        <v>18.71</v>
      </c>
      <c r="DC3339">
        <v>16.27</v>
      </c>
      <c r="DD3339">
        <v>0.23</v>
      </c>
      <c r="DE3339">
        <v>647</v>
      </c>
      <c r="DF3339">
        <v>603256</v>
      </c>
      <c r="DG3339" t="s">
        <v>116</v>
      </c>
      <c r="DH3339" t="s">
        <v>116</v>
      </c>
      <c r="DI3339" t="s">
        <v>116</v>
      </c>
    </row>
    <row r="3340" spans="1:113" x14ac:dyDescent="0.4">
      <c r="A3340" t="str">
        <f>"603258"</f>
        <v>603258</v>
      </c>
      <c r="B3340" t="s">
        <v>14220</v>
      </c>
      <c r="C3340">
        <v>0.33</v>
      </c>
      <c r="D3340">
        <v>24.48</v>
      </c>
      <c r="E3340">
        <v>0.08</v>
      </c>
      <c r="F3340">
        <v>24.47</v>
      </c>
      <c r="G3340">
        <v>24.48</v>
      </c>
      <c r="H3340">
        <v>80378</v>
      </c>
      <c r="I3340">
        <v>705</v>
      </c>
      <c r="J3340">
        <v>0.12</v>
      </c>
      <c r="K3340">
        <v>3.35</v>
      </c>
      <c r="L3340">
        <v>24.51</v>
      </c>
      <c r="M3340">
        <v>25.51</v>
      </c>
      <c r="N3340">
        <v>24.45</v>
      </c>
      <c r="O3340">
        <v>24.4</v>
      </c>
      <c r="P3340">
        <v>31.61</v>
      </c>
      <c r="Q3340">
        <v>200902560</v>
      </c>
      <c r="R3340">
        <v>1.37</v>
      </c>
      <c r="S3340" t="s">
        <v>1384</v>
      </c>
      <c r="T3340" t="s">
        <v>590</v>
      </c>
      <c r="U3340">
        <v>4.34</v>
      </c>
      <c r="V3340">
        <v>24.99</v>
      </c>
      <c r="W3340">
        <v>41948</v>
      </c>
      <c r="X3340">
        <v>38430</v>
      </c>
      <c r="Y3340">
        <v>1.0900000000000001</v>
      </c>
      <c r="Z3340">
        <v>484</v>
      </c>
      <c r="AA3340">
        <v>19</v>
      </c>
      <c r="AB3340" t="s">
        <v>116</v>
      </c>
      <c r="AC3340">
        <v>465700</v>
      </c>
      <c r="AD3340">
        <v>0.03</v>
      </c>
      <c r="AE3340" t="s">
        <v>116</v>
      </c>
      <c r="AF3340" t="s">
        <v>116</v>
      </c>
      <c r="AG3340">
        <v>2.4</v>
      </c>
      <c r="AH3340" t="s">
        <v>14221</v>
      </c>
      <c r="AI3340" t="s">
        <v>14222</v>
      </c>
      <c r="AJ3340">
        <v>0.4</v>
      </c>
      <c r="AK3340">
        <v>3215</v>
      </c>
      <c r="AL3340">
        <v>25</v>
      </c>
      <c r="AM3340">
        <v>1E-3</v>
      </c>
      <c r="AN3340">
        <v>2</v>
      </c>
      <c r="AO3340">
        <v>0.57999999999999996</v>
      </c>
      <c r="AP3340">
        <v>14.93</v>
      </c>
      <c r="AQ3340">
        <v>8.9</v>
      </c>
      <c r="AR3340">
        <v>45.37</v>
      </c>
      <c r="AS3340">
        <v>11.3</v>
      </c>
      <c r="AT3340" t="s">
        <v>12121</v>
      </c>
      <c r="AU3340">
        <v>32.71</v>
      </c>
      <c r="AV3340">
        <v>46.01</v>
      </c>
      <c r="AW3340">
        <v>1.37</v>
      </c>
      <c r="BA3340">
        <v>0.45</v>
      </c>
      <c r="BB3340">
        <v>4.55</v>
      </c>
      <c r="BC3340">
        <v>0.2</v>
      </c>
      <c r="BD3340">
        <v>2.44</v>
      </c>
      <c r="BE3340">
        <v>-0.12</v>
      </c>
      <c r="BF3340">
        <v>-4.04</v>
      </c>
      <c r="BG3340">
        <v>0.12</v>
      </c>
      <c r="BH3340">
        <v>-2.11</v>
      </c>
      <c r="BI3340">
        <v>20191030</v>
      </c>
      <c r="BJ3340">
        <v>20161026</v>
      </c>
      <c r="BK3340">
        <v>2.44</v>
      </c>
      <c r="BL3340" t="s">
        <v>116</v>
      </c>
      <c r="BM3340" t="s">
        <v>116</v>
      </c>
      <c r="BN3340">
        <v>23.88</v>
      </c>
      <c r="BO3340">
        <v>18.14</v>
      </c>
      <c r="BP3340">
        <v>0.23</v>
      </c>
      <c r="BQ3340">
        <v>23.04</v>
      </c>
      <c r="BR3340">
        <v>14.8</v>
      </c>
      <c r="BS3340">
        <v>2.25</v>
      </c>
      <c r="BT3340">
        <v>0.21</v>
      </c>
      <c r="BU3340">
        <v>5.45</v>
      </c>
      <c r="BV3340">
        <v>0</v>
      </c>
      <c r="BW3340">
        <v>0.82</v>
      </c>
      <c r="BX3340">
        <v>8.7899999999999991</v>
      </c>
      <c r="BY3340">
        <v>4.8499999999999996</v>
      </c>
      <c r="BZ3340">
        <v>0.82</v>
      </c>
      <c r="CA3340">
        <v>1.62</v>
      </c>
      <c r="CB3340">
        <v>0.24</v>
      </c>
      <c r="CC3340">
        <v>1.61</v>
      </c>
      <c r="CD3340">
        <v>1.4</v>
      </c>
      <c r="CE3340">
        <v>1.42</v>
      </c>
      <c r="CF3340">
        <v>1.29</v>
      </c>
      <c r="CG3340">
        <v>5.88</v>
      </c>
      <c r="CH3340">
        <v>2.2200000000000002</v>
      </c>
      <c r="CI3340">
        <v>-5.17</v>
      </c>
      <c r="CJ3340">
        <v>27880</v>
      </c>
      <c r="CK3340">
        <v>2551</v>
      </c>
      <c r="CL3340" t="s">
        <v>7025</v>
      </c>
      <c r="CM3340">
        <v>59.35</v>
      </c>
      <c r="CN3340">
        <v>51.62</v>
      </c>
      <c r="CO3340">
        <v>3.29</v>
      </c>
      <c r="CP3340">
        <v>26.92</v>
      </c>
      <c r="CQ3340">
        <v>12.31</v>
      </c>
      <c r="CR3340">
        <v>0.68</v>
      </c>
      <c r="CS3340" t="s">
        <v>3264</v>
      </c>
      <c r="CT3340">
        <v>7.44</v>
      </c>
      <c r="CU3340">
        <v>0</v>
      </c>
      <c r="CV3340">
        <v>3.61</v>
      </c>
      <c r="CW3340">
        <v>2.41</v>
      </c>
      <c r="CX3340">
        <v>0.91</v>
      </c>
      <c r="CY3340">
        <v>75.989999999999995</v>
      </c>
      <c r="CZ3340" t="s">
        <v>6295</v>
      </c>
      <c r="DA3340">
        <v>82.99</v>
      </c>
      <c r="DB3340">
        <v>33.49</v>
      </c>
      <c r="DC3340">
        <v>29.2</v>
      </c>
      <c r="DD3340">
        <v>0.83</v>
      </c>
      <c r="DE3340">
        <v>692</v>
      </c>
      <c r="DF3340">
        <v>603258</v>
      </c>
      <c r="DG3340" t="s">
        <v>116</v>
      </c>
      <c r="DH3340" t="s">
        <v>116</v>
      </c>
      <c r="DI3340" t="s">
        <v>116</v>
      </c>
    </row>
    <row r="3341" spans="1:113" x14ac:dyDescent="0.4">
      <c r="A3341" t="str">
        <f>"603259"</f>
        <v>603259</v>
      </c>
      <c r="B3341" t="s">
        <v>14223</v>
      </c>
      <c r="C3341">
        <v>-2.0699999999999998</v>
      </c>
      <c r="D3341">
        <v>91.22</v>
      </c>
      <c r="E3341">
        <v>-1.93</v>
      </c>
      <c r="F3341">
        <v>91.21</v>
      </c>
      <c r="G3341">
        <v>91.22</v>
      </c>
      <c r="H3341">
        <v>96018</v>
      </c>
      <c r="I3341">
        <v>767</v>
      </c>
      <c r="J3341">
        <v>-0.15</v>
      </c>
      <c r="K3341">
        <v>0.95</v>
      </c>
      <c r="L3341">
        <v>92.8</v>
      </c>
      <c r="M3341">
        <v>93.49</v>
      </c>
      <c r="N3341">
        <v>90.63</v>
      </c>
      <c r="O3341">
        <v>93.15</v>
      </c>
      <c r="P3341">
        <v>63.49</v>
      </c>
      <c r="Q3341">
        <v>881148736</v>
      </c>
      <c r="R3341">
        <v>1.34</v>
      </c>
      <c r="S3341" t="s">
        <v>574</v>
      </c>
      <c r="T3341" t="s">
        <v>323</v>
      </c>
      <c r="U3341">
        <v>3.07</v>
      </c>
      <c r="V3341">
        <v>91.77</v>
      </c>
      <c r="W3341">
        <v>56161</v>
      </c>
      <c r="X3341">
        <v>39857</v>
      </c>
      <c r="Y3341">
        <v>1.41</v>
      </c>
      <c r="Z3341">
        <v>38</v>
      </c>
      <c r="AA3341">
        <v>53</v>
      </c>
      <c r="AB3341" t="s">
        <v>116</v>
      </c>
      <c r="AC3341">
        <v>2431400</v>
      </c>
      <c r="AD3341">
        <v>0</v>
      </c>
      <c r="AE3341" t="s">
        <v>116</v>
      </c>
      <c r="AF3341" t="s">
        <v>116</v>
      </c>
      <c r="AG3341">
        <v>10.06</v>
      </c>
      <c r="AH3341" t="s">
        <v>14224</v>
      </c>
      <c r="AI3341" t="s">
        <v>14225</v>
      </c>
      <c r="AJ3341">
        <v>-2</v>
      </c>
      <c r="AK3341">
        <v>4270</v>
      </c>
      <c r="AL3341">
        <v>22</v>
      </c>
      <c r="AM3341">
        <v>2.0000000000000001E-4</v>
      </c>
      <c r="AN3341">
        <v>-1</v>
      </c>
      <c r="AO3341">
        <v>-0.91</v>
      </c>
      <c r="AP3341">
        <v>3.67</v>
      </c>
      <c r="AQ3341">
        <v>4.8</v>
      </c>
      <c r="AR3341">
        <v>71.930000000000007</v>
      </c>
      <c r="AS3341">
        <v>1.38</v>
      </c>
      <c r="AT3341" t="s">
        <v>14226</v>
      </c>
      <c r="AU3341">
        <v>71.25</v>
      </c>
      <c r="AV3341">
        <v>66.11</v>
      </c>
      <c r="AW3341">
        <v>1.1299999999999999</v>
      </c>
      <c r="BA3341">
        <v>-0.38</v>
      </c>
      <c r="BB3341">
        <v>0.36</v>
      </c>
      <c r="BC3341">
        <v>-2.71</v>
      </c>
      <c r="BD3341">
        <v>-1.48</v>
      </c>
      <c r="BE3341">
        <v>-1.7</v>
      </c>
      <c r="BF3341">
        <v>-2.4300000000000002</v>
      </c>
      <c r="BG3341">
        <v>0.65</v>
      </c>
      <c r="BH3341">
        <v>-0.59</v>
      </c>
      <c r="BI3341">
        <v>20191111</v>
      </c>
      <c r="BJ3341">
        <v>20180508</v>
      </c>
      <c r="BK3341">
        <v>16.38</v>
      </c>
      <c r="BL3341" t="s">
        <v>116</v>
      </c>
      <c r="BM3341">
        <v>1.71</v>
      </c>
      <c r="BN3341">
        <v>273.7</v>
      </c>
      <c r="BO3341">
        <v>172.19</v>
      </c>
      <c r="BP3341">
        <v>0.93</v>
      </c>
      <c r="BQ3341">
        <v>36.75</v>
      </c>
      <c r="BR3341">
        <v>123.04</v>
      </c>
      <c r="BS3341">
        <v>39.82</v>
      </c>
      <c r="BT3341">
        <v>7.71</v>
      </c>
      <c r="BU3341">
        <v>56.02</v>
      </c>
      <c r="BV3341">
        <v>12.63</v>
      </c>
      <c r="BW3341">
        <v>29.82</v>
      </c>
      <c r="BX3341">
        <v>99.18</v>
      </c>
      <c r="BY3341">
        <v>92.79</v>
      </c>
      <c r="BZ3341">
        <v>56.13</v>
      </c>
      <c r="CA3341">
        <v>21.51</v>
      </c>
      <c r="CB3341">
        <v>2</v>
      </c>
      <c r="CC3341">
        <v>21.46</v>
      </c>
      <c r="CD3341">
        <v>18.18</v>
      </c>
      <c r="CE3341">
        <v>17.649999999999999</v>
      </c>
      <c r="CF3341">
        <v>17.14</v>
      </c>
      <c r="CG3341">
        <v>57.46</v>
      </c>
      <c r="CH3341">
        <v>17.73</v>
      </c>
      <c r="CI3341">
        <v>-11.24</v>
      </c>
      <c r="CJ3341">
        <v>38622</v>
      </c>
      <c r="CK3341">
        <v>17976</v>
      </c>
      <c r="CL3341" t="s">
        <v>14227</v>
      </c>
      <c r="CM3341">
        <v>-8.4600000000000009</v>
      </c>
      <c r="CN3341">
        <v>34.06</v>
      </c>
      <c r="CO3341">
        <v>8.68</v>
      </c>
      <c r="CP3341">
        <v>84.27</v>
      </c>
      <c r="CQ3341">
        <v>16.11</v>
      </c>
      <c r="CR3341">
        <v>0.45</v>
      </c>
      <c r="CS3341" t="s">
        <v>10313</v>
      </c>
      <c r="CT3341">
        <v>10.51</v>
      </c>
      <c r="CU3341">
        <v>10.51</v>
      </c>
      <c r="CV3341">
        <v>6.05</v>
      </c>
      <c r="CW3341">
        <v>3.51</v>
      </c>
      <c r="CX3341">
        <v>1.08</v>
      </c>
      <c r="CY3341">
        <v>62.91</v>
      </c>
      <c r="CZ3341" t="s">
        <v>10998</v>
      </c>
      <c r="DA3341">
        <v>39.51</v>
      </c>
      <c r="DB3341">
        <v>23.19</v>
      </c>
      <c r="DC3341">
        <v>19.02</v>
      </c>
      <c r="DD3341">
        <v>4.1399999999999997</v>
      </c>
      <c r="DE3341">
        <v>17730</v>
      </c>
      <c r="DF3341">
        <v>603259</v>
      </c>
      <c r="DG3341" t="s">
        <v>116</v>
      </c>
      <c r="DH3341" t="s">
        <v>116</v>
      </c>
      <c r="DI3341" t="s">
        <v>116</v>
      </c>
    </row>
    <row r="3342" spans="1:113" x14ac:dyDescent="0.4">
      <c r="A3342" t="str">
        <f>"603260"</f>
        <v>603260</v>
      </c>
      <c r="B3342" t="s">
        <v>14228</v>
      </c>
      <c r="C3342">
        <v>-0.31</v>
      </c>
      <c r="D3342">
        <v>29.36</v>
      </c>
      <c r="E3342">
        <v>-0.09</v>
      </c>
      <c r="F3342">
        <v>29.36</v>
      </c>
      <c r="G3342">
        <v>29.37</v>
      </c>
      <c r="H3342">
        <v>32062</v>
      </c>
      <c r="I3342">
        <v>126</v>
      </c>
      <c r="J3342">
        <v>0</v>
      </c>
      <c r="K3342">
        <v>0.88</v>
      </c>
      <c r="L3342">
        <v>29.59</v>
      </c>
      <c r="M3342">
        <v>29.92</v>
      </c>
      <c r="N3342">
        <v>29.31</v>
      </c>
      <c r="O3342">
        <v>29.45</v>
      </c>
      <c r="P3342">
        <v>23.98</v>
      </c>
      <c r="Q3342">
        <v>94876888</v>
      </c>
      <c r="R3342">
        <v>1.3</v>
      </c>
      <c r="S3342" t="s">
        <v>891</v>
      </c>
      <c r="T3342" t="s">
        <v>590</v>
      </c>
      <c r="U3342">
        <v>2.0699999999999998</v>
      </c>
      <c r="V3342">
        <v>29.59</v>
      </c>
      <c r="W3342">
        <v>15712</v>
      </c>
      <c r="X3342">
        <v>16350</v>
      </c>
      <c r="Y3342">
        <v>0.96</v>
      </c>
      <c r="Z3342">
        <v>96</v>
      </c>
      <c r="AA3342">
        <v>13</v>
      </c>
      <c r="AB3342" t="s">
        <v>116</v>
      </c>
      <c r="AC3342">
        <v>277600</v>
      </c>
      <c r="AD3342">
        <v>0.01</v>
      </c>
      <c r="AE3342" t="s">
        <v>116</v>
      </c>
      <c r="AF3342" t="s">
        <v>116</v>
      </c>
      <c r="AG3342">
        <v>3.65</v>
      </c>
      <c r="AH3342" t="s">
        <v>14229</v>
      </c>
      <c r="AI3342" t="s">
        <v>14230</v>
      </c>
      <c r="AJ3342">
        <v>-0.23</v>
      </c>
      <c r="AK3342">
        <v>2230</v>
      </c>
      <c r="AL3342">
        <v>14</v>
      </c>
      <c r="AM3342">
        <v>4.0000000000000002E-4</v>
      </c>
      <c r="AN3342">
        <v>-1</v>
      </c>
      <c r="AO3342">
        <v>-0.74</v>
      </c>
      <c r="AP3342">
        <v>7.27</v>
      </c>
      <c r="AQ3342">
        <v>-10.87</v>
      </c>
      <c r="AR3342">
        <v>-4.3600000000000003</v>
      </c>
      <c r="AS3342">
        <v>2.37</v>
      </c>
      <c r="AT3342" t="s">
        <v>3872</v>
      </c>
      <c r="AU3342">
        <v>19.39</v>
      </c>
      <c r="AV3342">
        <v>9.82</v>
      </c>
      <c r="AW3342">
        <v>0.92</v>
      </c>
      <c r="BA3342">
        <v>0.48</v>
      </c>
      <c r="BB3342">
        <v>1.6</v>
      </c>
      <c r="BC3342">
        <v>-0.48</v>
      </c>
      <c r="BD3342">
        <v>0.48</v>
      </c>
      <c r="BE3342">
        <v>-0.78</v>
      </c>
      <c r="BF3342">
        <v>-1.87</v>
      </c>
      <c r="BG3342">
        <v>0.17</v>
      </c>
      <c r="BH3342">
        <v>-0.79</v>
      </c>
      <c r="BI3342">
        <v>20191030</v>
      </c>
      <c r="BJ3342">
        <v>20171030</v>
      </c>
      <c r="BK3342">
        <v>9.3800000000000008</v>
      </c>
      <c r="BL3342" t="s">
        <v>116</v>
      </c>
      <c r="BM3342" t="s">
        <v>116</v>
      </c>
      <c r="BN3342">
        <v>165.09</v>
      </c>
      <c r="BO3342">
        <v>82.51</v>
      </c>
      <c r="BP3342">
        <v>1.06</v>
      </c>
      <c r="BQ3342">
        <v>49.38</v>
      </c>
      <c r="BR3342">
        <v>40.619999999999997</v>
      </c>
      <c r="BS3342">
        <v>105.37</v>
      </c>
      <c r="BT3342">
        <v>6.28</v>
      </c>
      <c r="BU3342">
        <v>63.78</v>
      </c>
      <c r="BV3342">
        <v>24.25</v>
      </c>
      <c r="BW3342">
        <v>2.76</v>
      </c>
      <c r="BX3342">
        <v>20.14</v>
      </c>
      <c r="BY3342">
        <v>65.430000000000007</v>
      </c>
      <c r="BZ3342">
        <v>47.3</v>
      </c>
      <c r="CA3342">
        <v>10.38</v>
      </c>
      <c r="CB3342">
        <v>0</v>
      </c>
      <c r="CC3342">
        <v>10.35</v>
      </c>
      <c r="CD3342">
        <v>8.6999999999999993</v>
      </c>
      <c r="CE3342">
        <v>8.61</v>
      </c>
      <c r="CF3342">
        <v>7.51</v>
      </c>
      <c r="CG3342">
        <v>51.47</v>
      </c>
      <c r="CH3342">
        <v>8.83</v>
      </c>
      <c r="CI3342">
        <v>-2.89</v>
      </c>
      <c r="CJ3342">
        <v>31316</v>
      </c>
      <c r="CK3342">
        <v>4315</v>
      </c>
      <c r="CL3342" t="s">
        <v>14231</v>
      </c>
      <c r="CM3342">
        <v>-61.66</v>
      </c>
      <c r="CN3342">
        <v>-22.48</v>
      </c>
      <c r="CO3342">
        <v>3.34</v>
      </c>
      <c r="CP3342">
        <v>31.18</v>
      </c>
      <c r="CQ3342">
        <v>4.21</v>
      </c>
      <c r="CR3342">
        <v>1.99</v>
      </c>
      <c r="CS3342" t="s">
        <v>14232</v>
      </c>
      <c r="CT3342">
        <v>8.8000000000000007</v>
      </c>
      <c r="CU3342">
        <v>0</v>
      </c>
      <c r="CV3342">
        <v>2.15</v>
      </c>
      <c r="CW3342">
        <v>5.49</v>
      </c>
      <c r="CX3342">
        <v>0.94</v>
      </c>
      <c r="CY3342">
        <v>49.98</v>
      </c>
      <c r="CZ3342" t="s">
        <v>14233</v>
      </c>
      <c r="DA3342">
        <v>27.71</v>
      </c>
      <c r="DB3342">
        <v>15.86</v>
      </c>
      <c r="DC3342">
        <v>13.16</v>
      </c>
      <c r="DD3342">
        <v>1.23</v>
      </c>
      <c r="DE3342">
        <v>8615</v>
      </c>
      <c r="DF3342">
        <v>603260</v>
      </c>
      <c r="DG3342" t="s">
        <v>116</v>
      </c>
      <c r="DH3342" t="s">
        <v>116</v>
      </c>
      <c r="DI3342" t="s">
        <v>116</v>
      </c>
    </row>
    <row r="3343" spans="1:113" x14ac:dyDescent="0.4">
      <c r="A3343" t="str">
        <f>"603266"</f>
        <v>603266</v>
      </c>
      <c r="B3343" t="s">
        <v>14234</v>
      </c>
      <c r="C3343">
        <v>-2.67</v>
      </c>
      <c r="D3343">
        <v>11.67</v>
      </c>
      <c r="E3343">
        <v>-0.32</v>
      </c>
      <c r="F3343">
        <v>11.67</v>
      </c>
      <c r="G3343">
        <v>11.68</v>
      </c>
      <c r="H3343">
        <v>36741</v>
      </c>
      <c r="I3343">
        <v>597</v>
      </c>
      <c r="J3343">
        <v>0</v>
      </c>
      <c r="K3343">
        <v>7.5</v>
      </c>
      <c r="L3343">
        <v>11.94</v>
      </c>
      <c r="M3343">
        <v>12.06</v>
      </c>
      <c r="N3343">
        <v>11.64</v>
      </c>
      <c r="O3343">
        <v>11.99</v>
      </c>
      <c r="P3343">
        <v>34.82</v>
      </c>
      <c r="Q3343">
        <v>43539592</v>
      </c>
      <c r="R3343">
        <v>0.9</v>
      </c>
      <c r="S3343" t="s">
        <v>2444</v>
      </c>
      <c r="T3343" t="s">
        <v>590</v>
      </c>
      <c r="U3343">
        <v>3.5</v>
      </c>
      <c r="V3343">
        <v>11.85</v>
      </c>
      <c r="W3343">
        <v>21018</v>
      </c>
      <c r="X3343">
        <v>15723</v>
      </c>
      <c r="Y3343">
        <v>1.34</v>
      </c>
      <c r="Z3343">
        <v>71</v>
      </c>
      <c r="AA3343">
        <v>36</v>
      </c>
      <c r="AB3343" t="s">
        <v>116</v>
      </c>
      <c r="AC3343">
        <v>192200</v>
      </c>
      <c r="AD3343">
        <v>0.03</v>
      </c>
      <c r="AE3343" t="s">
        <v>116</v>
      </c>
      <c r="AF3343" t="s">
        <v>116</v>
      </c>
      <c r="AG3343">
        <v>0.49</v>
      </c>
      <c r="AH3343" t="s">
        <v>6502</v>
      </c>
      <c r="AI3343" t="s">
        <v>4438</v>
      </c>
      <c r="AJ3343">
        <v>-2.59</v>
      </c>
      <c r="AK3343">
        <v>1604</v>
      </c>
      <c r="AL3343">
        <v>23</v>
      </c>
      <c r="AM3343">
        <v>4.7000000000000002E-3</v>
      </c>
      <c r="AN3343">
        <v>-2</v>
      </c>
      <c r="AO3343">
        <v>-4.42</v>
      </c>
      <c r="AP3343">
        <v>11.35</v>
      </c>
      <c r="AQ3343">
        <v>-7.67</v>
      </c>
      <c r="AR3343">
        <v>19.170000000000002</v>
      </c>
      <c r="AS3343">
        <v>7.5</v>
      </c>
      <c r="AT3343" t="s">
        <v>6502</v>
      </c>
      <c r="AU3343">
        <v>37.42</v>
      </c>
      <c r="AV3343">
        <v>34.51</v>
      </c>
      <c r="AW3343">
        <v>1.1399999999999999</v>
      </c>
      <c r="BA3343">
        <v>-0.42</v>
      </c>
      <c r="BB3343">
        <v>0.57999999999999996</v>
      </c>
      <c r="BC3343">
        <v>-2.92</v>
      </c>
      <c r="BD3343">
        <v>-1.1599999999999999</v>
      </c>
      <c r="BE3343">
        <v>-2.2599999999999998</v>
      </c>
      <c r="BF3343">
        <v>-3.23</v>
      </c>
      <c r="BG3343">
        <v>0.26</v>
      </c>
      <c r="BH3343">
        <v>-1.5</v>
      </c>
      <c r="BI3343">
        <v>20191031</v>
      </c>
      <c r="BJ3343">
        <v>20170110</v>
      </c>
      <c r="BK3343">
        <v>1.99</v>
      </c>
      <c r="BL3343" t="s">
        <v>116</v>
      </c>
      <c r="BM3343" t="s">
        <v>116</v>
      </c>
      <c r="BN3343">
        <v>11.07</v>
      </c>
      <c r="BO3343">
        <v>8.7899999999999991</v>
      </c>
      <c r="BP3343">
        <v>0.02</v>
      </c>
      <c r="BQ3343">
        <v>20.47</v>
      </c>
      <c r="BR3343">
        <v>8.18</v>
      </c>
      <c r="BS3343">
        <v>2.1800000000000002</v>
      </c>
      <c r="BT3343">
        <v>0.06</v>
      </c>
      <c r="BU3343">
        <v>2.1800000000000002</v>
      </c>
      <c r="BV3343">
        <v>1.94</v>
      </c>
      <c r="BW3343">
        <v>2.85</v>
      </c>
      <c r="BX3343">
        <v>2.4700000000000002</v>
      </c>
      <c r="BY3343">
        <v>6.55</v>
      </c>
      <c r="BZ3343">
        <v>4.8899999999999997</v>
      </c>
      <c r="CA3343">
        <v>0.6</v>
      </c>
      <c r="CB3343">
        <v>7.0000000000000007E-2</v>
      </c>
      <c r="CC3343">
        <v>0.59</v>
      </c>
      <c r="CD3343">
        <v>0.51</v>
      </c>
      <c r="CE3343">
        <v>0.5</v>
      </c>
      <c r="CF3343">
        <v>0.44</v>
      </c>
      <c r="CG3343">
        <v>4.13</v>
      </c>
      <c r="CH3343">
        <v>0.98</v>
      </c>
      <c r="CI3343">
        <v>0.33</v>
      </c>
      <c r="CJ3343">
        <v>13776</v>
      </c>
      <c r="CK3343">
        <v>3557</v>
      </c>
      <c r="CL3343" t="s">
        <v>4837</v>
      </c>
      <c r="CM3343">
        <v>-9.4600000000000009</v>
      </c>
      <c r="CN3343">
        <v>-4.0999999999999996</v>
      </c>
      <c r="CO3343">
        <v>2.64</v>
      </c>
      <c r="CP3343">
        <v>23.66</v>
      </c>
      <c r="CQ3343">
        <v>3.54</v>
      </c>
      <c r="CR3343">
        <v>0.61</v>
      </c>
      <c r="CS3343" t="s">
        <v>5231</v>
      </c>
      <c r="CT3343">
        <v>4.43</v>
      </c>
      <c r="CU3343">
        <v>0</v>
      </c>
      <c r="CV3343">
        <v>1.25</v>
      </c>
      <c r="CW3343">
        <v>2.08</v>
      </c>
      <c r="CX3343">
        <v>0.49</v>
      </c>
      <c r="CY3343">
        <v>79.400000000000006</v>
      </c>
      <c r="CZ3343" t="s">
        <v>4569</v>
      </c>
      <c r="DA3343">
        <v>25.35</v>
      </c>
      <c r="DB3343">
        <v>9.16</v>
      </c>
      <c r="DC3343">
        <v>7.62</v>
      </c>
      <c r="DD3343">
        <v>0.3</v>
      </c>
      <c r="DE3343">
        <v>1698</v>
      </c>
      <c r="DF3343">
        <v>603266</v>
      </c>
      <c r="DG3343" t="s">
        <v>116</v>
      </c>
      <c r="DH3343" t="s">
        <v>116</v>
      </c>
      <c r="DI3343" t="s">
        <v>116</v>
      </c>
    </row>
    <row r="3344" spans="1:113" x14ac:dyDescent="0.4">
      <c r="A3344" t="str">
        <f>"603267"</f>
        <v>603267</v>
      </c>
      <c r="B3344" t="s">
        <v>14235</v>
      </c>
      <c r="C3344">
        <v>0.44</v>
      </c>
      <c r="D3344">
        <v>49.97</v>
      </c>
      <c r="E3344">
        <v>0.22</v>
      </c>
      <c r="F3344">
        <v>49.96</v>
      </c>
      <c r="G3344">
        <v>49.97</v>
      </c>
      <c r="H3344">
        <v>35844</v>
      </c>
      <c r="I3344">
        <v>571</v>
      </c>
      <c r="J3344">
        <v>-0.03</v>
      </c>
      <c r="K3344">
        <v>8.67</v>
      </c>
      <c r="L3344">
        <v>49.9</v>
      </c>
      <c r="M3344">
        <v>50.48</v>
      </c>
      <c r="N3344">
        <v>49.22</v>
      </c>
      <c r="O3344">
        <v>49.75</v>
      </c>
      <c r="P3344">
        <v>26.11</v>
      </c>
      <c r="Q3344">
        <v>179012688</v>
      </c>
      <c r="R3344">
        <v>1.35</v>
      </c>
      <c r="S3344" t="s">
        <v>233</v>
      </c>
      <c r="T3344" t="s">
        <v>165</v>
      </c>
      <c r="U3344">
        <v>2.5299999999999998</v>
      </c>
      <c r="V3344">
        <v>49.94</v>
      </c>
      <c r="W3344">
        <v>18025</v>
      </c>
      <c r="X3344">
        <v>17819</v>
      </c>
      <c r="Y3344">
        <v>1.01</v>
      </c>
      <c r="Z3344">
        <v>122</v>
      </c>
      <c r="AA3344">
        <v>103</v>
      </c>
      <c r="AB3344" t="s">
        <v>116</v>
      </c>
      <c r="AC3344">
        <v>364300</v>
      </c>
      <c r="AD3344">
        <v>0.02</v>
      </c>
      <c r="AE3344" t="s">
        <v>116</v>
      </c>
      <c r="AF3344" t="s">
        <v>116</v>
      </c>
      <c r="AG3344">
        <v>0.41</v>
      </c>
      <c r="AH3344" t="s">
        <v>8211</v>
      </c>
      <c r="AI3344" t="s">
        <v>14236</v>
      </c>
      <c r="AJ3344">
        <v>0.52</v>
      </c>
      <c r="AK3344">
        <v>2847</v>
      </c>
      <c r="AL3344">
        <v>13</v>
      </c>
      <c r="AM3344">
        <v>3.0000000000000001E-3</v>
      </c>
      <c r="AN3344">
        <v>4</v>
      </c>
      <c r="AO3344">
        <v>5.07</v>
      </c>
      <c r="AP3344">
        <v>14.72</v>
      </c>
      <c r="AQ3344">
        <v>-9.2799999999999994</v>
      </c>
      <c r="AR3344">
        <v>153.13999999999999</v>
      </c>
      <c r="AS3344">
        <v>8.67</v>
      </c>
      <c r="AT3344" t="s">
        <v>8211</v>
      </c>
      <c r="AU3344">
        <v>31.66</v>
      </c>
      <c r="AV3344">
        <v>37.840000000000003</v>
      </c>
      <c r="AW3344">
        <v>1.52</v>
      </c>
      <c r="BA3344">
        <v>0.3</v>
      </c>
      <c r="BB3344">
        <v>1.47</v>
      </c>
      <c r="BC3344">
        <v>-1.07</v>
      </c>
      <c r="BD3344">
        <v>0.39</v>
      </c>
      <c r="BE3344">
        <v>0.14000000000000001</v>
      </c>
      <c r="BF3344">
        <v>-1.01</v>
      </c>
      <c r="BG3344">
        <v>1.52</v>
      </c>
      <c r="BH3344">
        <v>0.05</v>
      </c>
      <c r="BI3344">
        <v>20191030</v>
      </c>
      <c r="BJ3344">
        <v>20190515</v>
      </c>
      <c r="BK3344">
        <v>1.65</v>
      </c>
      <c r="BL3344" t="s">
        <v>116</v>
      </c>
      <c r="BM3344" t="s">
        <v>116</v>
      </c>
      <c r="BN3344">
        <v>23.35</v>
      </c>
      <c r="BO3344">
        <v>20.309999999999999</v>
      </c>
      <c r="BP3344">
        <v>0</v>
      </c>
      <c r="BQ3344">
        <v>12.99</v>
      </c>
      <c r="BR3344">
        <v>20.71</v>
      </c>
      <c r="BS3344">
        <v>1.3</v>
      </c>
      <c r="BT3344">
        <v>0.25</v>
      </c>
      <c r="BU3344">
        <v>2.56</v>
      </c>
      <c r="BV3344">
        <v>2.23</v>
      </c>
      <c r="BW3344">
        <v>8.3800000000000008</v>
      </c>
      <c r="BX3344">
        <v>12.96</v>
      </c>
      <c r="BY3344">
        <v>8</v>
      </c>
      <c r="BZ3344">
        <v>3.56</v>
      </c>
      <c r="CA3344">
        <v>2.85</v>
      </c>
      <c r="CB3344">
        <v>0</v>
      </c>
      <c r="CC3344">
        <v>2.87</v>
      </c>
      <c r="CD3344">
        <v>2.37</v>
      </c>
      <c r="CE3344">
        <v>2.37</v>
      </c>
      <c r="CF3344">
        <v>2.2400000000000002</v>
      </c>
      <c r="CG3344">
        <v>5.24</v>
      </c>
      <c r="CH3344">
        <v>-0.21</v>
      </c>
      <c r="CI3344">
        <v>0.54</v>
      </c>
      <c r="CJ3344">
        <v>19200</v>
      </c>
      <c r="CK3344">
        <v>2153</v>
      </c>
      <c r="CL3344" t="s">
        <v>3197</v>
      </c>
      <c r="CM3344">
        <v>0</v>
      </c>
      <c r="CN3344">
        <v>0</v>
      </c>
      <c r="CO3344">
        <v>4.07</v>
      </c>
      <c r="CP3344">
        <v>-387.8</v>
      </c>
      <c r="CQ3344">
        <v>10.33</v>
      </c>
      <c r="CR3344">
        <v>1</v>
      </c>
      <c r="CS3344" t="s">
        <v>13337</v>
      </c>
      <c r="CT3344">
        <v>12.29</v>
      </c>
      <c r="CU3344">
        <v>0</v>
      </c>
      <c r="CV3344">
        <v>7.84</v>
      </c>
      <c r="CW3344">
        <v>3.17</v>
      </c>
      <c r="CX3344">
        <v>-0.13</v>
      </c>
      <c r="CY3344">
        <v>87.01</v>
      </c>
      <c r="CZ3344" t="s">
        <v>14237</v>
      </c>
      <c r="DA3344">
        <v>55.52</v>
      </c>
      <c r="DB3344">
        <v>35.67</v>
      </c>
      <c r="DC3344">
        <v>29.66</v>
      </c>
      <c r="DD3344">
        <v>0.21</v>
      </c>
      <c r="DE3344">
        <v>758</v>
      </c>
      <c r="DF3344">
        <v>603267</v>
      </c>
      <c r="DG3344" t="s">
        <v>116</v>
      </c>
      <c r="DH3344" t="s">
        <v>116</v>
      </c>
      <c r="DI3344" t="s">
        <v>116</v>
      </c>
    </row>
    <row r="3345" spans="1:113" x14ac:dyDescent="0.4">
      <c r="A3345" t="str">
        <f>"603268"</f>
        <v>603268</v>
      </c>
      <c r="B3345" t="s">
        <v>14238</v>
      </c>
      <c r="C3345">
        <v>-0.76</v>
      </c>
      <c r="D3345">
        <v>15.77</v>
      </c>
      <c r="E3345">
        <v>-0.12</v>
      </c>
      <c r="F3345">
        <v>15.77</v>
      </c>
      <c r="G3345">
        <v>15.78</v>
      </c>
      <c r="H3345">
        <v>6260</v>
      </c>
      <c r="I3345">
        <v>30</v>
      </c>
      <c r="J3345">
        <v>0.06</v>
      </c>
      <c r="K3345">
        <v>0.5</v>
      </c>
      <c r="L3345">
        <v>15.91</v>
      </c>
      <c r="M3345">
        <v>15.97</v>
      </c>
      <c r="N3345">
        <v>15.73</v>
      </c>
      <c r="O3345">
        <v>15.89</v>
      </c>
      <c r="P3345">
        <v>49.53</v>
      </c>
      <c r="Q3345">
        <v>9935958</v>
      </c>
      <c r="R3345">
        <v>1.04</v>
      </c>
      <c r="S3345" t="s">
        <v>8514</v>
      </c>
      <c r="T3345" t="s">
        <v>551</v>
      </c>
      <c r="U3345">
        <v>1.51</v>
      </c>
      <c r="V3345">
        <v>15.87</v>
      </c>
      <c r="W3345">
        <v>3338</v>
      </c>
      <c r="X3345">
        <v>2922</v>
      </c>
      <c r="Y3345">
        <v>1.1399999999999999</v>
      </c>
      <c r="Z3345">
        <v>13</v>
      </c>
      <c r="AA3345">
        <v>32</v>
      </c>
      <c r="AB3345" t="s">
        <v>116</v>
      </c>
      <c r="AC3345">
        <v>0</v>
      </c>
      <c r="AD3345">
        <v>0</v>
      </c>
      <c r="AE3345" t="s">
        <v>116</v>
      </c>
      <c r="AF3345" t="s">
        <v>116</v>
      </c>
      <c r="AG3345">
        <v>1.24</v>
      </c>
      <c r="AH3345" t="s">
        <v>14239</v>
      </c>
      <c r="AI3345" t="s">
        <v>14239</v>
      </c>
      <c r="AJ3345">
        <v>-0.68</v>
      </c>
      <c r="AK3345">
        <v>488</v>
      </c>
      <c r="AL3345">
        <v>13</v>
      </c>
      <c r="AM3345">
        <v>1E-3</v>
      </c>
      <c r="AN3345">
        <v>-2</v>
      </c>
      <c r="AO3345">
        <v>-1.26</v>
      </c>
      <c r="AP3345">
        <v>-0.88</v>
      </c>
      <c r="AQ3345">
        <v>-3.84</v>
      </c>
      <c r="AR3345">
        <v>-3.58</v>
      </c>
      <c r="AS3345">
        <v>1.25</v>
      </c>
      <c r="AT3345" t="s">
        <v>10242</v>
      </c>
      <c r="AU3345">
        <v>62.89</v>
      </c>
      <c r="AV3345">
        <v>52.04</v>
      </c>
      <c r="AW3345">
        <v>0.79</v>
      </c>
      <c r="BA3345">
        <v>0.13</v>
      </c>
      <c r="BB3345">
        <v>0.5</v>
      </c>
      <c r="BC3345">
        <v>-1.01</v>
      </c>
      <c r="BD3345">
        <v>-0.12</v>
      </c>
      <c r="BE3345">
        <v>-0.88</v>
      </c>
      <c r="BF3345">
        <v>-1.25</v>
      </c>
      <c r="BG3345">
        <v>0.25</v>
      </c>
      <c r="BH3345">
        <v>-0.64</v>
      </c>
      <c r="BI3345">
        <v>20191026</v>
      </c>
      <c r="BJ3345">
        <v>20150319</v>
      </c>
      <c r="BK3345">
        <v>1.24</v>
      </c>
      <c r="BL3345" t="s">
        <v>116</v>
      </c>
      <c r="BM3345" t="s">
        <v>116</v>
      </c>
      <c r="BN3345">
        <v>12.32</v>
      </c>
      <c r="BO3345">
        <v>6.43</v>
      </c>
      <c r="BP3345">
        <v>0.71</v>
      </c>
      <c r="BQ3345">
        <v>42.11</v>
      </c>
      <c r="BR3345">
        <v>4.9000000000000004</v>
      </c>
      <c r="BS3345">
        <v>2.64</v>
      </c>
      <c r="BT3345">
        <v>0.63</v>
      </c>
      <c r="BU3345">
        <v>3.39</v>
      </c>
      <c r="BV3345">
        <v>2.02</v>
      </c>
      <c r="BW3345">
        <v>1.46</v>
      </c>
      <c r="BX3345">
        <v>2.09</v>
      </c>
      <c r="BY3345">
        <v>4.2699999999999996</v>
      </c>
      <c r="BZ3345">
        <v>2.71</v>
      </c>
      <c r="CA3345">
        <v>0.51</v>
      </c>
      <c r="CB3345">
        <v>0.01</v>
      </c>
      <c r="CC3345">
        <v>0.48</v>
      </c>
      <c r="CD3345">
        <v>0.43</v>
      </c>
      <c r="CE3345">
        <v>0.3</v>
      </c>
      <c r="CF3345">
        <v>0.28999999999999998</v>
      </c>
      <c r="CG3345">
        <v>2.87</v>
      </c>
      <c r="CH3345">
        <v>0.81</v>
      </c>
      <c r="CI3345">
        <v>-0.41</v>
      </c>
      <c r="CJ3345">
        <v>7260</v>
      </c>
      <c r="CK3345">
        <v>6879</v>
      </c>
      <c r="CL3345" t="s">
        <v>6607</v>
      </c>
      <c r="CM3345">
        <v>-17.96</v>
      </c>
      <c r="CN3345">
        <v>0.15</v>
      </c>
      <c r="CO3345">
        <v>3.05</v>
      </c>
      <c r="CP3345">
        <v>24.12</v>
      </c>
      <c r="CQ3345">
        <v>4.59</v>
      </c>
      <c r="CR3345">
        <v>0.61</v>
      </c>
      <c r="CS3345" t="s">
        <v>1209</v>
      </c>
      <c r="CT3345">
        <v>5.17</v>
      </c>
      <c r="CU3345">
        <v>0</v>
      </c>
      <c r="CV3345">
        <v>1.68</v>
      </c>
      <c r="CW3345">
        <v>2.31</v>
      </c>
      <c r="CX3345">
        <v>0.65</v>
      </c>
      <c r="CY3345">
        <v>52.14</v>
      </c>
      <c r="CZ3345" t="s">
        <v>4384</v>
      </c>
      <c r="DA3345">
        <v>36.619999999999997</v>
      </c>
      <c r="DB3345">
        <v>11.91</v>
      </c>
      <c r="DC3345">
        <v>6.95</v>
      </c>
      <c r="DD3345">
        <v>0.19</v>
      </c>
      <c r="DE3345">
        <v>1475</v>
      </c>
      <c r="DF3345">
        <v>603268</v>
      </c>
      <c r="DG3345" t="s">
        <v>116</v>
      </c>
      <c r="DH3345" t="s">
        <v>116</v>
      </c>
      <c r="DI3345" t="s">
        <v>116</v>
      </c>
    </row>
    <row r="3346" spans="1:113" x14ac:dyDescent="0.4">
      <c r="A3346" t="str">
        <f>"603269"</f>
        <v>603269</v>
      </c>
      <c r="B3346" t="s">
        <v>14240</v>
      </c>
      <c r="C3346">
        <v>-0.22</v>
      </c>
      <c r="D3346">
        <v>13.78</v>
      </c>
      <c r="E3346">
        <v>-0.03</v>
      </c>
      <c r="F3346">
        <v>13.76</v>
      </c>
      <c r="G3346">
        <v>13.78</v>
      </c>
      <c r="H3346">
        <v>8166</v>
      </c>
      <c r="I3346">
        <v>118</v>
      </c>
      <c r="J3346">
        <v>0.15</v>
      </c>
      <c r="K3346">
        <v>1.38</v>
      </c>
      <c r="L3346">
        <v>13.81</v>
      </c>
      <c r="M3346">
        <v>13.89</v>
      </c>
      <c r="N3346">
        <v>13.75</v>
      </c>
      <c r="O3346">
        <v>13.81</v>
      </c>
      <c r="P3346">
        <v>51.14</v>
      </c>
      <c r="Q3346">
        <v>11289662</v>
      </c>
      <c r="R3346">
        <v>0.77</v>
      </c>
      <c r="S3346" t="s">
        <v>996</v>
      </c>
      <c r="T3346" t="s">
        <v>323</v>
      </c>
      <c r="U3346">
        <v>1.01</v>
      </c>
      <c r="V3346">
        <v>13.83</v>
      </c>
      <c r="W3346">
        <v>3964</v>
      </c>
      <c r="X3346">
        <v>4202</v>
      </c>
      <c r="Y3346">
        <v>0.94</v>
      </c>
      <c r="Z3346">
        <v>148</v>
      </c>
      <c r="AA3346">
        <v>9</v>
      </c>
      <c r="AB3346" t="s">
        <v>116</v>
      </c>
      <c r="AC3346">
        <v>62100</v>
      </c>
      <c r="AD3346">
        <v>0.01</v>
      </c>
      <c r="AE3346" t="s">
        <v>116</v>
      </c>
      <c r="AF3346" t="s">
        <v>116</v>
      </c>
      <c r="AG3346">
        <v>0.59</v>
      </c>
      <c r="AH3346" t="s">
        <v>14241</v>
      </c>
      <c r="AI3346" t="s">
        <v>8591</v>
      </c>
      <c r="AJ3346">
        <v>-0.14000000000000001</v>
      </c>
      <c r="AK3346">
        <v>556</v>
      </c>
      <c r="AL3346">
        <v>15</v>
      </c>
      <c r="AM3346">
        <v>2.5000000000000001E-3</v>
      </c>
      <c r="AN3346">
        <v>-1</v>
      </c>
      <c r="AO3346">
        <v>0.88</v>
      </c>
      <c r="AP3346">
        <v>4.79</v>
      </c>
      <c r="AQ3346">
        <v>-3.16</v>
      </c>
      <c r="AR3346">
        <v>-3.03</v>
      </c>
      <c r="AS3346">
        <v>1.53</v>
      </c>
      <c r="AT3346" t="s">
        <v>14242</v>
      </c>
      <c r="AU3346">
        <v>37.61</v>
      </c>
      <c r="AV3346">
        <v>37.979999999999997</v>
      </c>
      <c r="AW3346">
        <v>1.26</v>
      </c>
      <c r="BA3346">
        <v>0</v>
      </c>
      <c r="BB3346">
        <v>0.57999999999999996</v>
      </c>
      <c r="BC3346">
        <v>-0.43</v>
      </c>
      <c r="BD3346">
        <v>0.12</v>
      </c>
      <c r="BE3346">
        <v>-0.22</v>
      </c>
      <c r="BF3346">
        <v>-0.79</v>
      </c>
      <c r="BG3346">
        <v>0.22</v>
      </c>
      <c r="BH3346">
        <v>-0.33</v>
      </c>
      <c r="BI3346">
        <v>20191030</v>
      </c>
      <c r="BJ3346">
        <v>20170517</v>
      </c>
      <c r="BK3346">
        <v>0.91</v>
      </c>
      <c r="BL3346" t="s">
        <v>116</v>
      </c>
      <c r="BM3346" t="s">
        <v>116</v>
      </c>
      <c r="BN3346">
        <v>15.25</v>
      </c>
      <c r="BO3346">
        <v>6.61</v>
      </c>
      <c r="BP3346">
        <v>0.06</v>
      </c>
      <c r="BQ3346">
        <v>56.25</v>
      </c>
      <c r="BR3346">
        <v>12.17</v>
      </c>
      <c r="BS3346">
        <v>1.38</v>
      </c>
      <c r="BT3346">
        <v>0.59</v>
      </c>
      <c r="BU3346">
        <v>8</v>
      </c>
      <c r="BV3346">
        <v>4.58</v>
      </c>
      <c r="BW3346">
        <v>4.16</v>
      </c>
      <c r="BX3346">
        <v>2.2599999999999998</v>
      </c>
      <c r="BY3346">
        <v>3.82</v>
      </c>
      <c r="BZ3346">
        <v>2.58</v>
      </c>
      <c r="CA3346">
        <v>0.28000000000000003</v>
      </c>
      <c r="CB3346">
        <v>0.02</v>
      </c>
      <c r="CC3346">
        <v>0.27</v>
      </c>
      <c r="CD3346">
        <v>0.2</v>
      </c>
      <c r="CE3346">
        <v>0.18</v>
      </c>
      <c r="CF3346">
        <v>0.16</v>
      </c>
      <c r="CG3346">
        <v>2.93</v>
      </c>
      <c r="CH3346">
        <v>-0.56000000000000005</v>
      </c>
      <c r="CI3346">
        <v>-0.75</v>
      </c>
      <c r="CJ3346">
        <v>8811</v>
      </c>
      <c r="CK3346">
        <v>6062</v>
      </c>
      <c r="CL3346" t="s">
        <v>3190</v>
      </c>
      <c r="CM3346">
        <v>1.82</v>
      </c>
      <c r="CN3346">
        <v>11.46</v>
      </c>
      <c r="CO3346">
        <v>1.91</v>
      </c>
      <c r="CP3346">
        <v>-22.35</v>
      </c>
      <c r="CQ3346">
        <v>3.3</v>
      </c>
      <c r="CR3346">
        <v>0.79</v>
      </c>
      <c r="CS3346" t="s">
        <v>6855</v>
      </c>
      <c r="CT3346">
        <v>7.23</v>
      </c>
      <c r="CU3346">
        <v>0</v>
      </c>
      <c r="CV3346">
        <v>2.4700000000000002</v>
      </c>
      <c r="CW3346">
        <v>3.21</v>
      </c>
      <c r="CX3346">
        <v>-0.62</v>
      </c>
      <c r="CY3346">
        <v>43.33</v>
      </c>
      <c r="CZ3346" t="s">
        <v>9154</v>
      </c>
      <c r="DA3346">
        <v>32.64</v>
      </c>
      <c r="DB3346">
        <v>7.21</v>
      </c>
      <c r="DC3346">
        <v>4.83</v>
      </c>
      <c r="DD3346">
        <v>0.1</v>
      </c>
      <c r="DE3346">
        <v>482</v>
      </c>
      <c r="DF3346">
        <v>603269</v>
      </c>
      <c r="DG3346" t="s">
        <v>116</v>
      </c>
      <c r="DH3346" t="s">
        <v>116</v>
      </c>
      <c r="DI3346" t="s">
        <v>116</v>
      </c>
    </row>
    <row r="3347" spans="1:113" x14ac:dyDescent="0.4">
      <c r="A3347" t="str">
        <f>"603277"</f>
        <v>603277</v>
      </c>
      <c r="B3347" t="s">
        <v>14243</v>
      </c>
      <c r="C3347">
        <v>0.78</v>
      </c>
      <c r="D3347">
        <v>10.3</v>
      </c>
      <c r="E3347">
        <v>0.08</v>
      </c>
      <c r="F3347">
        <v>10.27</v>
      </c>
      <c r="G3347">
        <v>10.3</v>
      </c>
      <c r="H3347">
        <v>34751</v>
      </c>
      <c r="I3347">
        <v>544</v>
      </c>
      <c r="J3347">
        <v>0</v>
      </c>
      <c r="K3347">
        <v>2.16</v>
      </c>
      <c r="L3347">
        <v>10.220000000000001</v>
      </c>
      <c r="M3347">
        <v>10.5</v>
      </c>
      <c r="N3347">
        <v>10.15</v>
      </c>
      <c r="O3347">
        <v>10.220000000000001</v>
      </c>
      <c r="P3347">
        <v>13.77</v>
      </c>
      <c r="Q3347">
        <v>35956000</v>
      </c>
      <c r="R3347">
        <v>1.1000000000000001</v>
      </c>
      <c r="S3347" t="s">
        <v>682</v>
      </c>
      <c r="T3347" t="s">
        <v>590</v>
      </c>
      <c r="U3347">
        <v>3.42</v>
      </c>
      <c r="V3347">
        <v>10.35</v>
      </c>
      <c r="W3347">
        <v>18207</v>
      </c>
      <c r="X3347">
        <v>16544</v>
      </c>
      <c r="Y3347">
        <v>1.1000000000000001</v>
      </c>
      <c r="Z3347">
        <v>5</v>
      </c>
      <c r="AA3347">
        <v>2</v>
      </c>
      <c r="AB3347" t="s">
        <v>116</v>
      </c>
      <c r="AC3347">
        <v>120600</v>
      </c>
      <c r="AD3347">
        <v>0.02</v>
      </c>
      <c r="AE3347" t="s">
        <v>116</v>
      </c>
      <c r="AF3347" t="s">
        <v>116</v>
      </c>
      <c r="AG3347">
        <v>1.61</v>
      </c>
      <c r="AH3347" t="s">
        <v>10708</v>
      </c>
      <c r="AI3347" t="s">
        <v>14244</v>
      </c>
      <c r="AJ3347">
        <v>0.86</v>
      </c>
      <c r="AK3347">
        <v>1276</v>
      </c>
      <c r="AL3347">
        <v>27</v>
      </c>
      <c r="AM3347">
        <v>1.6999999999999999E-3</v>
      </c>
      <c r="AN3347">
        <v>2</v>
      </c>
      <c r="AO3347">
        <v>0.57999999999999996</v>
      </c>
      <c r="AP3347">
        <v>7.74</v>
      </c>
      <c r="AQ3347">
        <v>7.29</v>
      </c>
      <c r="AR3347">
        <v>20.329999999999998</v>
      </c>
      <c r="AS3347">
        <v>4.9800000000000004</v>
      </c>
      <c r="AT3347" t="s">
        <v>14245</v>
      </c>
      <c r="AU3347">
        <v>15.03</v>
      </c>
      <c r="AV3347">
        <v>17.010000000000002</v>
      </c>
      <c r="AW3347">
        <v>1.3</v>
      </c>
      <c r="BA3347">
        <v>0</v>
      </c>
      <c r="BB3347">
        <v>2.74</v>
      </c>
      <c r="BC3347">
        <v>-0.68</v>
      </c>
      <c r="BD3347">
        <v>1.24</v>
      </c>
      <c r="BE3347">
        <v>0.78</v>
      </c>
      <c r="BF3347">
        <v>-1.9</v>
      </c>
      <c r="BG3347">
        <v>1.48</v>
      </c>
      <c r="BH3347">
        <v>-0.46</v>
      </c>
      <c r="BI3347">
        <v>20191227</v>
      </c>
      <c r="BJ3347">
        <v>20170911</v>
      </c>
      <c r="BK3347">
        <v>4.0999999999999996</v>
      </c>
      <c r="BL3347" t="s">
        <v>116</v>
      </c>
      <c r="BM3347" t="s">
        <v>116</v>
      </c>
      <c r="BN3347">
        <v>25.92</v>
      </c>
      <c r="BO3347">
        <v>19.38</v>
      </c>
      <c r="BP3347">
        <v>0</v>
      </c>
      <c r="BQ3347">
        <v>25.24</v>
      </c>
      <c r="BR3347">
        <v>19.87</v>
      </c>
      <c r="BS3347">
        <v>3.29</v>
      </c>
      <c r="BT3347">
        <v>1.23</v>
      </c>
      <c r="BU3347">
        <v>6.09</v>
      </c>
      <c r="BV3347">
        <v>4.72</v>
      </c>
      <c r="BW3347">
        <v>1.73</v>
      </c>
      <c r="BX3347">
        <v>7.4</v>
      </c>
      <c r="BY3347">
        <v>12.85</v>
      </c>
      <c r="BZ3347">
        <v>7.04</v>
      </c>
      <c r="CA3347">
        <v>2.76</v>
      </c>
      <c r="CB3347">
        <v>0.48</v>
      </c>
      <c r="CC3347">
        <v>2.76</v>
      </c>
      <c r="CD3347">
        <v>2.2999999999999998</v>
      </c>
      <c r="CE3347">
        <v>2.2999999999999998</v>
      </c>
      <c r="CF3347">
        <v>2.0099999999999998</v>
      </c>
      <c r="CG3347">
        <v>6.82</v>
      </c>
      <c r="CH3347">
        <v>1.89</v>
      </c>
      <c r="CI3347">
        <v>-0.93</v>
      </c>
      <c r="CJ3347">
        <v>20324</v>
      </c>
      <c r="CK3347">
        <v>3436</v>
      </c>
      <c r="CL3347" t="s">
        <v>3671</v>
      </c>
      <c r="CM3347">
        <v>16.559999999999999</v>
      </c>
      <c r="CN3347">
        <v>16.579999999999998</v>
      </c>
      <c r="CO3347">
        <v>2.1800000000000002</v>
      </c>
      <c r="CP3347">
        <v>22.39</v>
      </c>
      <c r="CQ3347">
        <v>3.29</v>
      </c>
      <c r="CR3347">
        <v>1.94</v>
      </c>
      <c r="CS3347" t="s">
        <v>6801</v>
      </c>
      <c r="CT3347">
        <v>4.7300000000000004</v>
      </c>
      <c r="CU3347">
        <v>4.7300000000000004</v>
      </c>
      <c r="CV3347">
        <v>1.81</v>
      </c>
      <c r="CW3347">
        <v>1.66</v>
      </c>
      <c r="CX3347">
        <v>0.46</v>
      </c>
      <c r="CY3347">
        <v>74.760000000000005</v>
      </c>
      <c r="CZ3347" t="s">
        <v>14246</v>
      </c>
      <c r="DA3347">
        <v>45.16</v>
      </c>
      <c r="DB3347">
        <v>21.48</v>
      </c>
      <c r="DC3347">
        <v>17.91</v>
      </c>
      <c r="DD3347">
        <v>0.34</v>
      </c>
      <c r="DE3347">
        <v>1673</v>
      </c>
      <c r="DF3347">
        <v>603277</v>
      </c>
      <c r="DG3347" t="s">
        <v>116</v>
      </c>
      <c r="DH3347" t="s">
        <v>116</v>
      </c>
      <c r="DI3347" t="s">
        <v>116</v>
      </c>
    </row>
    <row r="3348" spans="1:113" x14ac:dyDescent="0.4">
      <c r="A3348" t="str">
        <f>"603278"</f>
        <v>603278</v>
      </c>
      <c r="B3348" t="s">
        <v>14247</v>
      </c>
      <c r="C3348">
        <v>2.2799999999999998</v>
      </c>
      <c r="D3348">
        <v>9.44</v>
      </c>
      <c r="E3348">
        <v>0.21</v>
      </c>
      <c r="F3348">
        <v>9.44</v>
      </c>
      <c r="G3348">
        <v>9.4499999999999993</v>
      </c>
      <c r="H3348">
        <v>30822</v>
      </c>
      <c r="I3348">
        <v>601</v>
      </c>
      <c r="J3348">
        <v>0.21</v>
      </c>
      <c r="K3348">
        <v>2.57</v>
      </c>
      <c r="L3348">
        <v>9.27</v>
      </c>
      <c r="M3348">
        <v>9.5299999999999994</v>
      </c>
      <c r="N3348">
        <v>9.23</v>
      </c>
      <c r="O3348">
        <v>9.23</v>
      </c>
      <c r="P3348">
        <v>14.98</v>
      </c>
      <c r="Q3348">
        <v>29001254</v>
      </c>
      <c r="R3348">
        <v>2.33</v>
      </c>
      <c r="S3348" t="s">
        <v>2118</v>
      </c>
      <c r="T3348" t="s">
        <v>645</v>
      </c>
      <c r="U3348">
        <v>3.25</v>
      </c>
      <c r="V3348">
        <v>9.41</v>
      </c>
      <c r="W3348">
        <v>15394</v>
      </c>
      <c r="X3348">
        <v>15429</v>
      </c>
      <c r="Y3348">
        <v>1</v>
      </c>
      <c r="Z3348">
        <v>5522</v>
      </c>
      <c r="AA3348">
        <v>525</v>
      </c>
      <c r="AB3348" t="s">
        <v>116</v>
      </c>
      <c r="AC3348">
        <v>15800</v>
      </c>
      <c r="AD3348">
        <v>0</v>
      </c>
      <c r="AE3348" t="s">
        <v>116</v>
      </c>
      <c r="AF3348" t="s">
        <v>116</v>
      </c>
      <c r="AG3348">
        <v>1.2</v>
      </c>
      <c r="AH3348" t="s">
        <v>4599</v>
      </c>
      <c r="AI3348" t="s">
        <v>11110</v>
      </c>
      <c r="AJ3348">
        <v>2.35</v>
      </c>
      <c r="AK3348">
        <v>1141</v>
      </c>
      <c r="AL3348">
        <v>27</v>
      </c>
      <c r="AM3348">
        <v>2.3E-3</v>
      </c>
      <c r="AN3348">
        <v>4</v>
      </c>
      <c r="AO3348">
        <v>4.8899999999999997</v>
      </c>
      <c r="AP3348">
        <v>10.93</v>
      </c>
      <c r="AQ3348">
        <v>-9.67</v>
      </c>
      <c r="AR3348">
        <v>-10.029999999999999</v>
      </c>
      <c r="AS3348">
        <v>3.09</v>
      </c>
      <c r="AT3348" t="s">
        <v>7298</v>
      </c>
      <c r="AU3348">
        <v>15.94</v>
      </c>
      <c r="AV3348">
        <v>13.33</v>
      </c>
      <c r="AW3348">
        <v>1.05</v>
      </c>
      <c r="BA3348">
        <v>0.43</v>
      </c>
      <c r="BB3348">
        <v>3.25</v>
      </c>
      <c r="BC3348">
        <v>0</v>
      </c>
      <c r="BD3348">
        <v>1.94</v>
      </c>
      <c r="BE3348">
        <v>1.83</v>
      </c>
      <c r="BF3348">
        <v>-0.94</v>
      </c>
      <c r="BG3348">
        <v>2.2799999999999998</v>
      </c>
      <c r="BH3348">
        <v>0.33</v>
      </c>
      <c r="BI3348">
        <v>20191026</v>
      </c>
      <c r="BJ3348">
        <v>20171113</v>
      </c>
      <c r="BK3348">
        <v>2.9</v>
      </c>
      <c r="BL3348" t="s">
        <v>116</v>
      </c>
      <c r="BM3348" t="s">
        <v>116</v>
      </c>
      <c r="BN3348">
        <v>39.53</v>
      </c>
      <c r="BO3348">
        <v>16.91</v>
      </c>
      <c r="BP3348">
        <v>0</v>
      </c>
      <c r="BQ3348">
        <v>57.23</v>
      </c>
      <c r="BR3348">
        <v>23.5</v>
      </c>
      <c r="BS3348">
        <v>11.68</v>
      </c>
      <c r="BT3348">
        <v>1.65</v>
      </c>
      <c r="BU3348">
        <v>17.649999999999999</v>
      </c>
      <c r="BV3348">
        <v>4.5199999999999996</v>
      </c>
      <c r="BW3348">
        <v>7.41</v>
      </c>
      <c r="BX3348">
        <v>6.01</v>
      </c>
      <c r="BY3348">
        <v>20.010000000000002</v>
      </c>
      <c r="BZ3348">
        <v>17.309999999999999</v>
      </c>
      <c r="CA3348">
        <v>1.58</v>
      </c>
      <c r="CB3348">
        <v>0.01</v>
      </c>
      <c r="CC3348">
        <v>1.57</v>
      </c>
      <c r="CD3348">
        <v>1.37</v>
      </c>
      <c r="CE3348">
        <v>1.37</v>
      </c>
      <c r="CF3348">
        <v>0.98</v>
      </c>
      <c r="CG3348">
        <v>6.8</v>
      </c>
      <c r="CH3348">
        <v>0.74</v>
      </c>
      <c r="CI3348">
        <v>-0.54</v>
      </c>
      <c r="CJ3348">
        <v>16787</v>
      </c>
      <c r="CK3348">
        <v>5941</v>
      </c>
      <c r="CL3348" t="s">
        <v>3603</v>
      </c>
      <c r="CM3348">
        <v>-19.73</v>
      </c>
      <c r="CN3348">
        <v>11.78</v>
      </c>
      <c r="CO3348">
        <v>1.72</v>
      </c>
      <c r="CP3348">
        <v>37.14</v>
      </c>
      <c r="CQ3348">
        <v>1.37</v>
      </c>
      <c r="CR3348">
        <v>0.82</v>
      </c>
      <c r="CS3348" t="s">
        <v>386</v>
      </c>
      <c r="CT3348">
        <v>5.49</v>
      </c>
      <c r="CU3348">
        <v>5.49</v>
      </c>
      <c r="CV3348">
        <v>2.0699999999999998</v>
      </c>
      <c r="CW3348">
        <v>2.35</v>
      </c>
      <c r="CX3348">
        <v>0.25</v>
      </c>
      <c r="CY3348">
        <v>42.77</v>
      </c>
      <c r="CZ3348" t="s">
        <v>10379</v>
      </c>
      <c r="DA3348">
        <v>13.51</v>
      </c>
      <c r="DB3348">
        <v>7.87</v>
      </c>
      <c r="DC3348">
        <v>6.84</v>
      </c>
      <c r="DD3348">
        <v>0.35</v>
      </c>
      <c r="DE3348">
        <v>2782</v>
      </c>
      <c r="DF3348">
        <v>603278</v>
      </c>
      <c r="DG3348" t="s">
        <v>116</v>
      </c>
      <c r="DH3348" t="s">
        <v>116</v>
      </c>
      <c r="DI3348" t="s">
        <v>116</v>
      </c>
    </row>
    <row r="3349" spans="1:113" x14ac:dyDescent="0.4">
      <c r="A3349" t="str">
        <f>"603279"</f>
        <v>603279</v>
      </c>
      <c r="B3349" t="s">
        <v>14248</v>
      </c>
      <c r="C3349">
        <v>-0.99</v>
      </c>
      <c r="D3349">
        <v>20.96</v>
      </c>
      <c r="E3349">
        <v>-0.21</v>
      </c>
      <c r="F3349">
        <v>20.96</v>
      </c>
      <c r="G3349">
        <v>20.97</v>
      </c>
      <c r="H3349">
        <v>17816</v>
      </c>
      <c r="I3349">
        <v>327</v>
      </c>
      <c r="J3349">
        <v>-0.04</v>
      </c>
      <c r="K3349">
        <v>4.4000000000000004</v>
      </c>
      <c r="L3349">
        <v>21.19</v>
      </c>
      <c r="M3349">
        <v>21.33</v>
      </c>
      <c r="N3349">
        <v>20.96</v>
      </c>
      <c r="O3349">
        <v>21.17</v>
      </c>
      <c r="P3349">
        <v>21.71</v>
      </c>
      <c r="Q3349">
        <v>37685524</v>
      </c>
      <c r="R3349">
        <v>1.18</v>
      </c>
      <c r="S3349" t="s">
        <v>140</v>
      </c>
      <c r="T3349" t="s">
        <v>645</v>
      </c>
      <c r="U3349">
        <v>1.75</v>
      </c>
      <c r="V3349">
        <v>21.15</v>
      </c>
      <c r="W3349">
        <v>10386</v>
      </c>
      <c r="X3349">
        <v>7430</v>
      </c>
      <c r="Y3349">
        <v>1.4</v>
      </c>
      <c r="Z3349">
        <v>81</v>
      </c>
      <c r="AA3349">
        <v>4</v>
      </c>
      <c r="AB3349" t="s">
        <v>116</v>
      </c>
      <c r="AC3349">
        <v>82600</v>
      </c>
      <c r="AD3349">
        <v>0.01</v>
      </c>
      <c r="AE3349" t="s">
        <v>116</v>
      </c>
      <c r="AF3349" t="s">
        <v>116</v>
      </c>
      <c r="AG3349">
        <v>0.41</v>
      </c>
      <c r="AH3349" t="s">
        <v>7354</v>
      </c>
      <c r="AI3349" t="s">
        <v>11615</v>
      </c>
      <c r="AJ3349">
        <v>-0.92</v>
      </c>
      <c r="AK3349">
        <v>1256</v>
      </c>
      <c r="AL3349">
        <v>14</v>
      </c>
      <c r="AM3349">
        <v>3.5000000000000001E-3</v>
      </c>
      <c r="AN3349">
        <v>-1</v>
      </c>
      <c r="AO3349">
        <v>0.39</v>
      </c>
      <c r="AP3349">
        <v>-0.43</v>
      </c>
      <c r="AQ3349">
        <v>-13.28</v>
      </c>
      <c r="AR3349">
        <v>61.73</v>
      </c>
      <c r="AS3349">
        <v>4.4000000000000004</v>
      </c>
      <c r="AT3349" t="s">
        <v>7354</v>
      </c>
      <c r="AU3349">
        <v>26.68</v>
      </c>
      <c r="AV3349">
        <v>34.299999999999997</v>
      </c>
      <c r="AW3349">
        <v>0.87</v>
      </c>
      <c r="BA3349">
        <v>0.09</v>
      </c>
      <c r="BB3349">
        <v>0.76</v>
      </c>
      <c r="BC3349">
        <v>-0.99</v>
      </c>
      <c r="BD3349">
        <v>-0.08</v>
      </c>
      <c r="BE3349">
        <v>-1.0900000000000001</v>
      </c>
      <c r="BF3349">
        <v>-1.73</v>
      </c>
      <c r="BG3349">
        <v>0</v>
      </c>
      <c r="BH3349">
        <v>-0.91</v>
      </c>
      <c r="BI3349">
        <v>20191029</v>
      </c>
      <c r="BJ3349">
        <v>20190729</v>
      </c>
      <c r="BK3349">
        <v>4</v>
      </c>
      <c r="BL3349" t="s">
        <v>116</v>
      </c>
      <c r="BM3349" t="s">
        <v>116</v>
      </c>
      <c r="BN3349">
        <v>42.91</v>
      </c>
      <c r="BO3349">
        <v>25.48</v>
      </c>
      <c r="BP3349">
        <v>0</v>
      </c>
      <c r="BQ3349">
        <v>40.61</v>
      </c>
      <c r="BR3349">
        <v>32.15</v>
      </c>
      <c r="BS3349">
        <v>8.24</v>
      </c>
      <c r="BT3349">
        <v>1.73</v>
      </c>
      <c r="BU3349">
        <v>17.170000000000002</v>
      </c>
      <c r="BV3349">
        <v>12.72</v>
      </c>
      <c r="BW3349">
        <v>6.33</v>
      </c>
      <c r="BX3349">
        <v>11.92</v>
      </c>
      <c r="BY3349">
        <v>25.68</v>
      </c>
      <c r="BZ3349">
        <v>17.25</v>
      </c>
      <c r="CA3349">
        <v>3.68</v>
      </c>
      <c r="CB3349">
        <v>0</v>
      </c>
      <c r="CC3349">
        <v>3.76</v>
      </c>
      <c r="CD3349">
        <v>2.9</v>
      </c>
      <c r="CE3349">
        <v>2.9</v>
      </c>
      <c r="CF3349">
        <v>2.82</v>
      </c>
      <c r="CG3349">
        <v>8.5299999999999994</v>
      </c>
      <c r="CH3349">
        <v>2.4900000000000002</v>
      </c>
      <c r="CI3349">
        <v>1.78</v>
      </c>
      <c r="CJ3349">
        <v>21725</v>
      </c>
      <c r="CK3349">
        <v>1864</v>
      </c>
      <c r="CL3349" t="s">
        <v>1031</v>
      </c>
      <c r="CM3349">
        <v>0</v>
      </c>
      <c r="CN3349">
        <v>0</v>
      </c>
      <c r="CO3349">
        <v>3.29</v>
      </c>
      <c r="CP3349">
        <v>33.72</v>
      </c>
      <c r="CQ3349">
        <v>3.27</v>
      </c>
      <c r="CR3349">
        <v>2.86</v>
      </c>
      <c r="CS3349" t="s">
        <v>5906</v>
      </c>
      <c r="CT3349">
        <v>6.37</v>
      </c>
      <c r="CU3349">
        <v>0</v>
      </c>
      <c r="CV3349">
        <v>2.98</v>
      </c>
      <c r="CW3349">
        <v>2.13</v>
      </c>
      <c r="CX3349">
        <v>0.62</v>
      </c>
      <c r="CY3349">
        <v>59.39</v>
      </c>
      <c r="CZ3349" t="s">
        <v>14249</v>
      </c>
      <c r="DA3349">
        <v>32.81</v>
      </c>
      <c r="DB3349">
        <v>14.33</v>
      </c>
      <c r="DC3349">
        <v>11.28</v>
      </c>
      <c r="DD3349">
        <v>0.48</v>
      </c>
      <c r="DE3349">
        <v>4135</v>
      </c>
      <c r="DF3349">
        <v>603279</v>
      </c>
      <c r="DG3349" t="s">
        <v>116</v>
      </c>
      <c r="DH3349" t="s">
        <v>116</v>
      </c>
      <c r="DI3349" t="s">
        <v>116</v>
      </c>
    </row>
    <row r="3350" spans="1:113" x14ac:dyDescent="0.4">
      <c r="A3350" t="str">
        <f>"603283"</f>
        <v>603283</v>
      </c>
      <c r="B3350" t="s">
        <v>14250</v>
      </c>
      <c r="C3350">
        <v>-6.97</v>
      </c>
      <c r="D3350">
        <v>31.25</v>
      </c>
      <c r="E3350">
        <v>-2.34</v>
      </c>
      <c r="F3350">
        <v>31.25</v>
      </c>
      <c r="G3350">
        <v>31.26</v>
      </c>
      <c r="H3350">
        <v>71379</v>
      </c>
      <c r="I3350">
        <v>978</v>
      </c>
      <c r="J3350">
        <v>-0.15</v>
      </c>
      <c r="K3350">
        <v>17.399999999999999</v>
      </c>
      <c r="L3350">
        <v>34.06</v>
      </c>
      <c r="M3350">
        <v>34.1</v>
      </c>
      <c r="N3350">
        <v>31.11</v>
      </c>
      <c r="O3350">
        <v>33.590000000000003</v>
      </c>
      <c r="P3350">
        <v>44.31</v>
      </c>
      <c r="Q3350">
        <v>229400224</v>
      </c>
      <c r="R3350">
        <v>1.4</v>
      </c>
      <c r="S3350" t="s">
        <v>682</v>
      </c>
      <c r="T3350" t="s">
        <v>323</v>
      </c>
      <c r="U3350">
        <v>8.9</v>
      </c>
      <c r="V3350">
        <v>32.14</v>
      </c>
      <c r="W3350">
        <v>45642</v>
      </c>
      <c r="X3350">
        <v>25737</v>
      </c>
      <c r="Y3350">
        <v>1.77</v>
      </c>
      <c r="Z3350">
        <v>388</v>
      </c>
      <c r="AA3350">
        <v>10</v>
      </c>
      <c r="AB3350" t="s">
        <v>116</v>
      </c>
      <c r="AC3350">
        <v>984300</v>
      </c>
      <c r="AD3350">
        <v>7.0000000000000007E-2</v>
      </c>
      <c r="AE3350" t="s">
        <v>116</v>
      </c>
      <c r="AF3350" t="s">
        <v>116</v>
      </c>
      <c r="AG3350">
        <v>0.41</v>
      </c>
      <c r="AH3350" t="s">
        <v>14251</v>
      </c>
      <c r="AI3350" t="s">
        <v>14252</v>
      </c>
      <c r="AJ3350">
        <v>-6.89</v>
      </c>
      <c r="AK3350">
        <v>3676</v>
      </c>
      <c r="AL3350">
        <v>19</v>
      </c>
      <c r="AM3350">
        <v>4.7000000000000002E-3</v>
      </c>
      <c r="AN3350">
        <v>-2</v>
      </c>
      <c r="AO3350">
        <v>0.28999999999999998</v>
      </c>
      <c r="AP3350">
        <v>25.15</v>
      </c>
      <c r="AQ3350">
        <v>9.84</v>
      </c>
      <c r="AR3350">
        <v>79.290000000000006</v>
      </c>
      <c r="AS3350">
        <v>17.399999999999999</v>
      </c>
      <c r="AT3350" t="s">
        <v>14251</v>
      </c>
      <c r="AU3350">
        <v>39.32</v>
      </c>
      <c r="AV3350">
        <v>44.12</v>
      </c>
      <c r="AW3350">
        <v>0.45</v>
      </c>
      <c r="BA3350">
        <v>1.4</v>
      </c>
      <c r="BB3350">
        <v>1.52</v>
      </c>
      <c r="BC3350">
        <v>-7.38</v>
      </c>
      <c r="BD3350">
        <v>-4.32</v>
      </c>
      <c r="BE3350">
        <v>-8.25</v>
      </c>
      <c r="BF3350">
        <v>-8.36</v>
      </c>
      <c r="BG3350">
        <v>0.45</v>
      </c>
      <c r="BH3350">
        <v>-2.65</v>
      </c>
      <c r="BI3350">
        <v>20191204</v>
      </c>
      <c r="BJ3350">
        <v>20171225</v>
      </c>
      <c r="BK3350">
        <v>1.71</v>
      </c>
      <c r="BL3350" t="s">
        <v>116</v>
      </c>
      <c r="BM3350" t="s">
        <v>116</v>
      </c>
      <c r="BN3350">
        <v>20.88</v>
      </c>
      <c r="BO3350">
        <v>9.3800000000000008</v>
      </c>
      <c r="BP3350">
        <v>0.28000000000000003</v>
      </c>
      <c r="BQ3350">
        <v>53.73</v>
      </c>
      <c r="BR3350">
        <v>12.05</v>
      </c>
      <c r="BS3350">
        <v>2.13</v>
      </c>
      <c r="BT3350">
        <v>1.1299999999999999</v>
      </c>
      <c r="BU3350">
        <v>10.42</v>
      </c>
      <c r="BV3350">
        <v>4.9800000000000004</v>
      </c>
      <c r="BW3350">
        <v>3.12</v>
      </c>
      <c r="BX3350">
        <v>4.47</v>
      </c>
      <c r="BY3350">
        <v>7.49</v>
      </c>
      <c r="BZ3350">
        <v>3.78</v>
      </c>
      <c r="CA3350">
        <v>1.06</v>
      </c>
      <c r="CB3350">
        <v>0.01</v>
      </c>
      <c r="CC3350">
        <v>1.05</v>
      </c>
      <c r="CD3350">
        <v>0.92</v>
      </c>
      <c r="CE3350">
        <v>0.9</v>
      </c>
      <c r="CF3350">
        <v>0.84</v>
      </c>
      <c r="CG3350">
        <v>2.94</v>
      </c>
      <c r="CH3350">
        <v>1.06</v>
      </c>
      <c r="CI3350">
        <v>-0.22</v>
      </c>
      <c r="CJ3350">
        <v>15262</v>
      </c>
      <c r="CK3350">
        <v>2688</v>
      </c>
      <c r="CL3350" t="s">
        <v>8494</v>
      </c>
      <c r="CM3350">
        <v>19.59</v>
      </c>
      <c r="CN3350">
        <v>16.010000000000002</v>
      </c>
      <c r="CO3350">
        <v>5.66</v>
      </c>
      <c r="CP3350">
        <v>50.28</v>
      </c>
      <c r="CQ3350">
        <v>7.13</v>
      </c>
      <c r="CR3350">
        <v>0.94</v>
      </c>
      <c r="CS3350" t="s">
        <v>9389</v>
      </c>
      <c r="CT3350">
        <v>5.52</v>
      </c>
      <c r="CU3350">
        <v>5.52</v>
      </c>
      <c r="CV3350">
        <v>2.62</v>
      </c>
      <c r="CW3350">
        <v>1.72</v>
      </c>
      <c r="CX3350">
        <v>0.62</v>
      </c>
      <c r="CY3350">
        <v>44.92</v>
      </c>
      <c r="CZ3350" t="s">
        <v>1979</v>
      </c>
      <c r="DA3350">
        <v>49.44</v>
      </c>
      <c r="DB3350">
        <v>14.1</v>
      </c>
      <c r="DC3350">
        <v>12.08</v>
      </c>
      <c r="DD3350">
        <v>0.77</v>
      </c>
      <c r="DE3350">
        <v>2129</v>
      </c>
      <c r="DF3350">
        <v>603283</v>
      </c>
      <c r="DG3350" t="s">
        <v>116</v>
      </c>
      <c r="DH3350" t="s">
        <v>116</v>
      </c>
      <c r="DI3350" t="s">
        <v>116</v>
      </c>
    </row>
    <row r="3351" spans="1:113" x14ac:dyDescent="0.4">
      <c r="A3351" t="str">
        <f>"603286"</f>
        <v>603286</v>
      </c>
      <c r="B3351" t="s">
        <v>14253</v>
      </c>
      <c r="C3351">
        <v>-2.08</v>
      </c>
      <c r="D3351">
        <v>15.5</v>
      </c>
      <c r="E3351">
        <v>-0.33</v>
      </c>
      <c r="F3351">
        <v>15.48</v>
      </c>
      <c r="G3351">
        <v>15.5</v>
      </c>
      <c r="H3351">
        <v>23567</v>
      </c>
      <c r="I3351">
        <v>176</v>
      </c>
      <c r="J3351">
        <v>0</v>
      </c>
      <c r="K3351">
        <v>5.15</v>
      </c>
      <c r="L3351">
        <v>15.88</v>
      </c>
      <c r="M3351">
        <v>15.9</v>
      </c>
      <c r="N3351">
        <v>15.44</v>
      </c>
      <c r="O3351">
        <v>15.83</v>
      </c>
      <c r="P3351">
        <v>67.400000000000006</v>
      </c>
      <c r="Q3351">
        <v>36919780</v>
      </c>
      <c r="R3351">
        <v>0.92</v>
      </c>
      <c r="S3351" t="s">
        <v>293</v>
      </c>
      <c r="T3351" t="s">
        <v>323</v>
      </c>
      <c r="U3351">
        <v>2.91</v>
      </c>
      <c r="V3351">
        <v>15.67</v>
      </c>
      <c r="W3351">
        <v>15501</v>
      </c>
      <c r="X3351">
        <v>8066</v>
      </c>
      <c r="Y3351">
        <v>1.92</v>
      </c>
      <c r="Z3351">
        <v>14</v>
      </c>
      <c r="AA3351">
        <v>1</v>
      </c>
      <c r="AB3351" t="s">
        <v>116</v>
      </c>
      <c r="AC3351">
        <v>235000</v>
      </c>
      <c r="AD3351">
        <v>0.04</v>
      </c>
      <c r="AE3351" t="s">
        <v>116</v>
      </c>
      <c r="AF3351" t="s">
        <v>116</v>
      </c>
      <c r="AG3351">
        <v>0.46</v>
      </c>
      <c r="AH3351" t="s">
        <v>14254</v>
      </c>
      <c r="AI3351" t="s">
        <v>4180</v>
      </c>
      <c r="AJ3351">
        <v>-2.0099999999999998</v>
      </c>
      <c r="AK3351">
        <v>1027</v>
      </c>
      <c r="AL3351">
        <v>23</v>
      </c>
      <c r="AM3351">
        <v>5.0000000000000001E-3</v>
      </c>
      <c r="AN3351">
        <v>-1</v>
      </c>
      <c r="AO3351">
        <v>1.84</v>
      </c>
      <c r="AP3351">
        <v>8.92</v>
      </c>
      <c r="AQ3351">
        <v>2.1800000000000002</v>
      </c>
      <c r="AR3351">
        <v>8.51</v>
      </c>
      <c r="AS3351">
        <v>6.19</v>
      </c>
      <c r="AT3351" t="s">
        <v>14255</v>
      </c>
      <c r="AU3351">
        <v>62.05</v>
      </c>
      <c r="AV3351">
        <v>61.81</v>
      </c>
      <c r="AW3351">
        <v>1.22</v>
      </c>
      <c r="BA3351">
        <v>0.32</v>
      </c>
      <c r="BB3351">
        <v>0.44</v>
      </c>
      <c r="BC3351">
        <v>-2.46</v>
      </c>
      <c r="BD3351">
        <v>-1.04</v>
      </c>
      <c r="BE3351">
        <v>-2.39</v>
      </c>
      <c r="BF3351">
        <v>-2.52</v>
      </c>
      <c r="BG3351">
        <v>0.39</v>
      </c>
      <c r="BH3351">
        <v>-1.05</v>
      </c>
      <c r="BI3351">
        <v>20191031</v>
      </c>
      <c r="BJ3351">
        <v>20170627</v>
      </c>
      <c r="BK3351">
        <v>0.88</v>
      </c>
      <c r="BL3351" t="s">
        <v>116</v>
      </c>
      <c r="BM3351" t="s">
        <v>116</v>
      </c>
      <c r="BN3351">
        <v>8.51</v>
      </c>
      <c r="BO3351">
        <v>4.43</v>
      </c>
      <c r="BP3351">
        <v>0.13</v>
      </c>
      <c r="BQ3351">
        <v>46.35</v>
      </c>
      <c r="BR3351">
        <v>4.41</v>
      </c>
      <c r="BS3351">
        <v>2.41</v>
      </c>
      <c r="BT3351">
        <v>0.49</v>
      </c>
      <c r="BU3351">
        <v>3.15</v>
      </c>
      <c r="BV3351">
        <v>1.03</v>
      </c>
      <c r="BW3351">
        <v>1.35</v>
      </c>
      <c r="BX3351">
        <v>1.92</v>
      </c>
      <c r="BY3351">
        <v>2.98</v>
      </c>
      <c r="BZ3351">
        <v>2.2200000000000002</v>
      </c>
      <c r="CA3351">
        <v>0.17</v>
      </c>
      <c r="CB3351">
        <v>0.02</v>
      </c>
      <c r="CC3351">
        <v>0.17</v>
      </c>
      <c r="CD3351">
        <v>0.15</v>
      </c>
      <c r="CE3351">
        <v>0.15</v>
      </c>
      <c r="CF3351">
        <v>0.13</v>
      </c>
      <c r="CG3351">
        <v>1.38</v>
      </c>
      <c r="CH3351">
        <v>0.24</v>
      </c>
      <c r="CI3351">
        <v>0.42</v>
      </c>
      <c r="CJ3351">
        <v>8362</v>
      </c>
      <c r="CK3351">
        <v>4553</v>
      </c>
      <c r="CL3351" t="s">
        <v>10107</v>
      </c>
      <c r="CM3351">
        <v>-0.56000000000000005</v>
      </c>
      <c r="CN3351">
        <v>21.4</v>
      </c>
      <c r="CO3351">
        <v>3.08</v>
      </c>
      <c r="CP3351">
        <v>57.25</v>
      </c>
      <c r="CQ3351">
        <v>4.59</v>
      </c>
      <c r="CR3351">
        <v>0.49</v>
      </c>
      <c r="CS3351" t="s">
        <v>5990</v>
      </c>
      <c r="CT3351">
        <v>5.03</v>
      </c>
      <c r="CU3351">
        <v>0</v>
      </c>
      <c r="CV3351">
        <v>2.1800000000000002</v>
      </c>
      <c r="CW3351">
        <v>1.57</v>
      </c>
      <c r="CX3351">
        <v>0.27</v>
      </c>
      <c r="CY3351">
        <v>52.09</v>
      </c>
      <c r="CZ3351" t="s">
        <v>14256</v>
      </c>
      <c r="DA3351">
        <v>25.25</v>
      </c>
      <c r="DB3351">
        <v>5.66</v>
      </c>
      <c r="DC3351">
        <v>5.0999999999999996</v>
      </c>
      <c r="DD3351">
        <v>0.17</v>
      </c>
      <c r="DE3351">
        <v>965</v>
      </c>
      <c r="DF3351">
        <v>603286</v>
      </c>
      <c r="DG3351" t="s">
        <v>116</v>
      </c>
      <c r="DH3351" t="s">
        <v>116</v>
      </c>
      <c r="DI3351" t="s">
        <v>116</v>
      </c>
    </row>
    <row r="3352" spans="1:113" x14ac:dyDescent="0.4">
      <c r="A3352" t="str">
        <f>"603288"</f>
        <v>603288</v>
      </c>
      <c r="B3352" t="s">
        <v>14257</v>
      </c>
      <c r="C3352">
        <v>0.37</v>
      </c>
      <c r="D3352">
        <v>106.28</v>
      </c>
      <c r="E3352">
        <v>0.39</v>
      </c>
      <c r="F3352">
        <v>106.27</v>
      </c>
      <c r="G3352">
        <v>106.28</v>
      </c>
      <c r="H3352">
        <v>26248</v>
      </c>
      <c r="I3352">
        <v>374</v>
      </c>
      <c r="J3352">
        <v>0.06</v>
      </c>
      <c r="K3352">
        <v>0.1</v>
      </c>
      <c r="L3352">
        <v>105.52</v>
      </c>
      <c r="M3352">
        <v>106.46</v>
      </c>
      <c r="N3352">
        <v>105.3</v>
      </c>
      <c r="O3352">
        <v>105.89</v>
      </c>
      <c r="P3352">
        <v>56.12</v>
      </c>
      <c r="Q3352">
        <v>278486752</v>
      </c>
      <c r="R3352">
        <v>1.4</v>
      </c>
      <c r="S3352" t="s">
        <v>863</v>
      </c>
      <c r="T3352" t="s">
        <v>551</v>
      </c>
      <c r="U3352">
        <v>1.1000000000000001</v>
      </c>
      <c r="V3352">
        <v>106.1</v>
      </c>
      <c r="W3352">
        <v>10922</v>
      </c>
      <c r="X3352">
        <v>15326</v>
      </c>
      <c r="Y3352">
        <v>0.71</v>
      </c>
      <c r="Z3352">
        <v>6</v>
      </c>
      <c r="AA3352">
        <v>42</v>
      </c>
      <c r="AB3352" t="s">
        <v>116</v>
      </c>
      <c r="AC3352">
        <v>1076600</v>
      </c>
      <c r="AD3352">
        <v>0</v>
      </c>
      <c r="AE3352" t="s">
        <v>116</v>
      </c>
      <c r="AF3352" t="s">
        <v>116</v>
      </c>
      <c r="AG3352">
        <v>27</v>
      </c>
      <c r="AH3352" t="s">
        <v>14258</v>
      </c>
      <c r="AI3352" t="s">
        <v>14258</v>
      </c>
      <c r="AJ3352">
        <v>0.45</v>
      </c>
      <c r="AK3352">
        <v>3359</v>
      </c>
      <c r="AL3352">
        <v>8</v>
      </c>
      <c r="AM3352">
        <v>0</v>
      </c>
      <c r="AN3352">
        <v>1</v>
      </c>
      <c r="AO3352">
        <v>0.27</v>
      </c>
      <c r="AP3352">
        <v>-0.65</v>
      </c>
      <c r="AQ3352">
        <v>-2.76</v>
      </c>
      <c r="AR3352">
        <v>56.71</v>
      </c>
      <c r="AS3352">
        <v>0.39</v>
      </c>
      <c r="AT3352" t="s">
        <v>14259</v>
      </c>
      <c r="AU3352">
        <v>56.62</v>
      </c>
      <c r="AV3352">
        <v>65.75</v>
      </c>
      <c r="AW3352">
        <v>0.56999999999999995</v>
      </c>
      <c r="BA3352">
        <v>-0.35</v>
      </c>
      <c r="BB3352">
        <v>0.54</v>
      </c>
      <c r="BC3352">
        <v>-0.56000000000000005</v>
      </c>
      <c r="BD3352">
        <v>0.2</v>
      </c>
      <c r="BE3352">
        <v>0.72</v>
      </c>
      <c r="BF3352">
        <v>-0.17</v>
      </c>
      <c r="BG3352">
        <v>0.93</v>
      </c>
      <c r="BH3352">
        <v>0.17</v>
      </c>
      <c r="BI3352">
        <v>20191110</v>
      </c>
      <c r="BJ3352">
        <v>20140211</v>
      </c>
      <c r="BK3352">
        <v>27</v>
      </c>
      <c r="BL3352" t="s">
        <v>116</v>
      </c>
      <c r="BM3352" t="s">
        <v>116</v>
      </c>
      <c r="BN3352">
        <v>206.28</v>
      </c>
      <c r="BO3352">
        <v>150.63999999999999</v>
      </c>
      <c r="BP3352">
        <v>0.15</v>
      </c>
      <c r="BQ3352">
        <v>26.9</v>
      </c>
      <c r="BR3352">
        <v>161.69999999999999</v>
      </c>
      <c r="BS3352">
        <v>34.96</v>
      </c>
      <c r="BT3352">
        <v>1.4</v>
      </c>
      <c r="BU3352">
        <v>54.04</v>
      </c>
      <c r="BV3352">
        <v>10.199999999999999</v>
      </c>
      <c r="BW3352">
        <v>0.02</v>
      </c>
      <c r="BX3352">
        <v>13.31</v>
      </c>
      <c r="BY3352">
        <v>148.24</v>
      </c>
      <c r="BZ3352">
        <v>82.26</v>
      </c>
      <c r="CA3352">
        <v>45.5</v>
      </c>
      <c r="CB3352">
        <v>0.52</v>
      </c>
      <c r="CC3352">
        <v>45.48</v>
      </c>
      <c r="CD3352">
        <v>38.369999999999997</v>
      </c>
      <c r="CE3352">
        <v>38.35</v>
      </c>
      <c r="CF3352">
        <v>36.380000000000003</v>
      </c>
      <c r="CG3352">
        <v>96.64</v>
      </c>
      <c r="CH3352">
        <v>32</v>
      </c>
      <c r="CI3352">
        <v>9.6300000000000008</v>
      </c>
      <c r="CJ3352">
        <v>26054</v>
      </c>
      <c r="CK3352">
        <v>26143</v>
      </c>
      <c r="CL3352" t="s">
        <v>14260</v>
      </c>
      <c r="CM3352">
        <v>22.48</v>
      </c>
      <c r="CN3352">
        <v>16.62</v>
      </c>
      <c r="CO3352">
        <v>19.05</v>
      </c>
      <c r="CP3352">
        <v>89.69</v>
      </c>
      <c r="CQ3352">
        <v>19.36</v>
      </c>
      <c r="CR3352">
        <v>0.92</v>
      </c>
      <c r="CS3352" t="s">
        <v>14261</v>
      </c>
      <c r="CT3352">
        <v>5.58</v>
      </c>
      <c r="CU3352">
        <v>0</v>
      </c>
      <c r="CV3352">
        <v>0.49</v>
      </c>
      <c r="CW3352">
        <v>3.58</v>
      </c>
      <c r="CX3352">
        <v>1.18</v>
      </c>
      <c r="CY3352">
        <v>73.03</v>
      </c>
      <c r="CZ3352" t="s">
        <v>14262</v>
      </c>
      <c r="DA3352">
        <v>44.51</v>
      </c>
      <c r="DB3352">
        <v>30.69</v>
      </c>
      <c r="DC3352">
        <v>25.87</v>
      </c>
      <c r="DD3352">
        <v>4.28</v>
      </c>
      <c r="DE3352">
        <v>5122</v>
      </c>
      <c r="DF3352">
        <v>603288</v>
      </c>
      <c r="DG3352" t="s">
        <v>116</v>
      </c>
      <c r="DH3352" t="s">
        <v>116</v>
      </c>
      <c r="DI3352" t="s">
        <v>116</v>
      </c>
    </row>
    <row r="3353" spans="1:113" x14ac:dyDescent="0.4">
      <c r="A3353" t="str">
        <f>"603289"</f>
        <v>603289</v>
      </c>
      <c r="B3353" t="s">
        <v>14263</v>
      </c>
      <c r="C3353">
        <v>-0.98</v>
      </c>
      <c r="D3353">
        <v>9.1199999999999992</v>
      </c>
      <c r="E3353">
        <v>-0.09</v>
      </c>
      <c r="F3353">
        <v>9.1199999999999992</v>
      </c>
      <c r="G3353">
        <v>9.14</v>
      </c>
      <c r="H3353">
        <v>14498</v>
      </c>
      <c r="I3353">
        <v>150</v>
      </c>
      <c r="J3353">
        <v>-0.1</v>
      </c>
      <c r="K3353">
        <v>1.06</v>
      </c>
      <c r="L3353">
        <v>9.18</v>
      </c>
      <c r="M3353">
        <v>9.3000000000000007</v>
      </c>
      <c r="N3353">
        <v>9.11</v>
      </c>
      <c r="O3353">
        <v>9.2100000000000009</v>
      </c>
      <c r="P3353">
        <v>20.39</v>
      </c>
      <c r="Q3353">
        <v>13335485</v>
      </c>
      <c r="R3353">
        <v>0.83</v>
      </c>
      <c r="S3353" t="s">
        <v>682</v>
      </c>
      <c r="T3353" t="s">
        <v>590</v>
      </c>
      <c r="U3353">
        <v>2.06</v>
      </c>
      <c r="V3353">
        <v>9.1999999999999993</v>
      </c>
      <c r="W3353">
        <v>9092</v>
      </c>
      <c r="X3353">
        <v>5406</v>
      </c>
      <c r="Y3353">
        <v>1.68</v>
      </c>
      <c r="Z3353">
        <v>21</v>
      </c>
      <c r="AA3353">
        <v>66</v>
      </c>
      <c r="AB3353" t="s">
        <v>116</v>
      </c>
      <c r="AC3353">
        <v>62400</v>
      </c>
      <c r="AD3353">
        <v>0.01</v>
      </c>
      <c r="AE3353" t="s">
        <v>116</v>
      </c>
      <c r="AF3353" t="s">
        <v>116</v>
      </c>
      <c r="AG3353">
        <v>1.36</v>
      </c>
      <c r="AH3353" t="s">
        <v>9534</v>
      </c>
      <c r="AI3353" t="s">
        <v>2431</v>
      </c>
      <c r="AJ3353">
        <v>-0.9</v>
      </c>
      <c r="AK3353">
        <v>847</v>
      </c>
      <c r="AL3353">
        <v>17</v>
      </c>
      <c r="AM3353">
        <v>1.2999999999999999E-3</v>
      </c>
      <c r="AN3353">
        <v>-1</v>
      </c>
      <c r="AO3353">
        <v>-0.11</v>
      </c>
      <c r="AP3353">
        <v>4.1100000000000003</v>
      </c>
      <c r="AQ3353">
        <v>-10.15</v>
      </c>
      <c r="AR3353">
        <v>17.68</v>
      </c>
      <c r="AS3353">
        <v>1.79</v>
      </c>
      <c r="AT3353" t="s">
        <v>10268</v>
      </c>
      <c r="AU3353">
        <v>20.329999999999998</v>
      </c>
      <c r="AV3353">
        <v>24.19</v>
      </c>
      <c r="AW3353">
        <v>1.5</v>
      </c>
      <c r="BA3353">
        <v>-0.33</v>
      </c>
      <c r="BB3353">
        <v>0.98</v>
      </c>
      <c r="BC3353">
        <v>-1.0900000000000001</v>
      </c>
      <c r="BD3353">
        <v>-0.13</v>
      </c>
      <c r="BE3353">
        <v>-0.65</v>
      </c>
      <c r="BF3353">
        <v>-1.94</v>
      </c>
      <c r="BG3353">
        <v>0.11</v>
      </c>
      <c r="BH3353">
        <v>-0.85</v>
      </c>
      <c r="BI3353">
        <v>20191209</v>
      </c>
      <c r="BJ3353">
        <v>20171031</v>
      </c>
      <c r="BK3353">
        <v>2.67</v>
      </c>
      <c r="BL3353" t="s">
        <v>116</v>
      </c>
      <c r="BM3353" t="s">
        <v>116</v>
      </c>
      <c r="BN3353">
        <v>14.01</v>
      </c>
      <c r="BO3353">
        <v>10.01</v>
      </c>
      <c r="BP3353">
        <v>0</v>
      </c>
      <c r="BQ3353">
        <v>28.56</v>
      </c>
      <c r="BR3353">
        <v>11.25</v>
      </c>
      <c r="BS3353">
        <v>2.04</v>
      </c>
      <c r="BT3353">
        <v>0.26</v>
      </c>
      <c r="BU3353">
        <v>3.97</v>
      </c>
      <c r="BV3353">
        <v>2.8</v>
      </c>
      <c r="BW3353">
        <v>2.4900000000000002</v>
      </c>
      <c r="BX3353">
        <v>3.26</v>
      </c>
      <c r="BY3353">
        <v>5.73</v>
      </c>
      <c r="BZ3353">
        <v>3.91</v>
      </c>
      <c r="CA3353">
        <v>1.04</v>
      </c>
      <c r="CB3353">
        <v>0.02</v>
      </c>
      <c r="CC3353">
        <v>1.05</v>
      </c>
      <c r="CD3353">
        <v>0.9</v>
      </c>
      <c r="CE3353">
        <v>0.9</v>
      </c>
      <c r="CF3353">
        <v>0.82</v>
      </c>
      <c r="CG3353">
        <v>3.75</v>
      </c>
      <c r="CH3353">
        <v>0.81</v>
      </c>
      <c r="CI3353">
        <v>-0.57999999999999996</v>
      </c>
      <c r="CJ3353">
        <v>14176</v>
      </c>
      <c r="CK3353">
        <v>5727</v>
      </c>
      <c r="CL3353" t="s">
        <v>3404</v>
      </c>
      <c r="CM3353">
        <v>27.12</v>
      </c>
      <c r="CN3353">
        <v>1.96</v>
      </c>
      <c r="CO3353">
        <v>2.4300000000000002</v>
      </c>
      <c r="CP3353">
        <v>29.9</v>
      </c>
      <c r="CQ3353">
        <v>4.25</v>
      </c>
      <c r="CR3353">
        <v>2.19</v>
      </c>
      <c r="CS3353" t="s">
        <v>736</v>
      </c>
      <c r="CT3353">
        <v>3.75</v>
      </c>
      <c r="CU3353">
        <v>0</v>
      </c>
      <c r="CV3353">
        <v>1.22</v>
      </c>
      <c r="CW3353">
        <v>1.4</v>
      </c>
      <c r="CX3353">
        <v>0.31</v>
      </c>
      <c r="CY3353">
        <v>71.44</v>
      </c>
      <c r="CZ3353" t="s">
        <v>8369</v>
      </c>
      <c r="DA3353">
        <v>31.65</v>
      </c>
      <c r="DB3353">
        <v>18.239999999999998</v>
      </c>
      <c r="DC3353">
        <v>15.63</v>
      </c>
      <c r="DD3353">
        <v>0.27</v>
      </c>
      <c r="DE3353">
        <v>689</v>
      </c>
      <c r="DF3353">
        <v>603289</v>
      </c>
      <c r="DG3353" t="s">
        <v>116</v>
      </c>
      <c r="DH3353" t="s">
        <v>116</v>
      </c>
      <c r="DI3353" t="s">
        <v>116</v>
      </c>
    </row>
    <row r="3354" spans="1:113" x14ac:dyDescent="0.4">
      <c r="A3354" t="str">
        <f>"603297"</f>
        <v>603297</v>
      </c>
      <c r="B3354" t="s">
        <v>14264</v>
      </c>
      <c r="C3354">
        <v>-1.02</v>
      </c>
      <c r="D3354">
        <v>35.1</v>
      </c>
      <c r="E3354">
        <v>-0.36</v>
      </c>
      <c r="F3354">
        <v>35.1</v>
      </c>
      <c r="G3354">
        <v>35.15</v>
      </c>
      <c r="H3354">
        <v>12155</v>
      </c>
      <c r="I3354">
        <v>120</v>
      </c>
      <c r="J3354">
        <v>0.09</v>
      </c>
      <c r="K3354">
        <v>2.38</v>
      </c>
      <c r="L3354">
        <v>35.450000000000003</v>
      </c>
      <c r="M3354">
        <v>35.909999999999997</v>
      </c>
      <c r="N3354">
        <v>35.01</v>
      </c>
      <c r="O3354">
        <v>35.46</v>
      </c>
      <c r="P3354">
        <v>28.56</v>
      </c>
      <c r="Q3354">
        <v>43114092</v>
      </c>
      <c r="R3354">
        <v>0.84</v>
      </c>
      <c r="S3354" t="s">
        <v>2977</v>
      </c>
      <c r="T3354" t="s">
        <v>590</v>
      </c>
      <c r="U3354">
        <v>2.54</v>
      </c>
      <c r="V3354">
        <v>35.47</v>
      </c>
      <c r="W3354">
        <v>7118</v>
      </c>
      <c r="X3354">
        <v>5037</v>
      </c>
      <c r="Y3354">
        <v>1.41</v>
      </c>
      <c r="Z3354">
        <v>91</v>
      </c>
      <c r="AA3354">
        <v>94</v>
      </c>
      <c r="AB3354" t="s">
        <v>116</v>
      </c>
      <c r="AC3354">
        <v>31900</v>
      </c>
      <c r="AD3354">
        <v>0</v>
      </c>
      <c r="AE3354" t="s">
        <v>116</v>
      </c>
      <c r="AF3354" t="s">
        <v>116</v>
      </c>
      <c r="AG3354">
        <v>0.51</v>
      </c>
      <c r="AH3354" t="s">
        <v>3155</v>
      </c>
      <c r="AI3354" t="s">
        <v>14265</v>
      </c>
      <c r="AJ3354">
        <v>-0.94</v>
      </c>
      <c r="AK3354">
        <v>1197</v>
      </c>
      <c r="AL3354">
        <v>10</v>
      </c>
      <c r="AM3354">
        <v>2E-3</v>
      </c>
      <c r="AN3354">
        <v>-1</v>
      </c>
      <c r="AO3354">
        <v>0.11</v>
      </c>
      <c r="AP3354">
        <v>16.53</v>
      </c>
      <c r="AQ3354">
        <v>-0.23</v>
      </c>
      <c r="AR3354">
        <v>6.74</v>
      </c>
      <c r="AS3354">
        <v>3.92</v>
      </c>
      <c r="AT3354" t="s">
        <v>14266</v>
      </c>
      <c r="AU3354">
        <v>29.62</v>
      </c>
      <c r="AV3354">
        <v>31.46</v>
      </c>
      <c r="AW3354">
        <v>1.08</v>
      </c>
      <c r="BA3354">
        <v>-0.03</v>
      </c>
      <c r="BB3354">
        <v>1.27</v>
      </c>
      <c r="BC3354">
        <v>-1.27</v>
      </c>
      <c r="BD3354">
        <v>0.03</v>
      </c>
      <c r="BE3354">
        <v>-0.99</v>
      </c>
      <c r="BF3354">
        <v>-2.2599999999999998</v>
      </c>
      <c r="BG3354">
        <v>0.26</v>
      </c>
      <c r="BH3354">
        <v>-1.04</v>
      </c>
      <c r="BI3354">
        <v>20191026</v>
      </c>
      <c r="BJ3354">
        <v>20180910</v>
      </c>
      <c r="BK3354">
        <v>1.0900000000000001</v>
      </c>
      <c r="BL3354" t="s">
        <v>116</v>
      </c>
      <c r="BM3354" t="s">
        <v>116</v>
      </c>
      <c r="BN3354">
        <v>12</v>
      </c>
      <c r="BO3354">
        <v>10.9</v>
      </c>
      <c r="BP3354">
        <v>0</v>
      </c>
      <c r="BQ3354">
        <v>9.15</v>
      </c>
      <c r="BR3354">
        <v>8.4499999999999993</v>
      </c>
      <c r="BS3354">
        <v>1.42</v>
      </c>
      <c r="BT3354">
        <v>0.57999999999999996</v>
      </c>
      <c r="BU3354">
        <v>0.96</v>
      </c>
      <c r="BV3354">
        <v>1.1000000000000001</v>
      </c>
      <c r="BW3354">
        <v>1.29</v>
      </c>
      <c r="BX3354">
        <v>5.13</v>
      </c>
      <c r="BY3354">
        <v>4.07</v>
      </c>
      <c r="BZ3354">
        <v>2.4</v>
      </c>
      <c r="CA3354">
        <v>1.17</v>
      </c>
      <c r="CB3354">
        <v>0.16</v>
      </c>
      <c r="CC3354">
        <v>1.17</v>
      </c>
      <c r="CD3354">
        <v>1.01</v>
      </c>
      <c r="CE3354">
        <v>1.01</v>
      </c>
      <c r="CF3354">
        <v>0.85</v>
      </c>
      <c r="CG3354">
        <v>4.0199999999999996</v>
      </c>
      <c r="CH3354">
        <v>0.7</v>
      </c>
      <c r="CI3354">
        <v>0.49</v>
      </c>
      <c r="CJ3354">
        <v>11070</v>
      </c>
      <c r="CK3354">
        <v>2803</v>
      </c>
      <c r="CL3354" t="s">
        <v>9936</v>
      </c>
      <c r="CM3354">
        <v>8.14</v>
      </c>
      <c r="CN3354">
        <v>-3.39</v>
      </c>
      <c r="CO3354">
        <v>3.52</v>
      </c>
      <c r="CP3354">
        <v>55.01</v>
      </c>
      <c r="CQ3354">
        <v>9.41</v>
      </c>
      <c r="CR3354">
        <v>1.1000000000000001</v>
      </c>
      <c r="CS3354" t="s">
        <v>14267</v>
      </c>
      <c r="CT3354">
        <v>9.98</v>
      </c>
      <c r="CU3354">
        <v>0</v>
      </c>
      <c r="CV3354">
        <v>4.6900000000000004</v>
      </c>
      <c r="CW3354">
        <v>3.68</v>
      </c>
      <c r="CX3354">
        <v>0.64</v>
      </c>
      <c r="CY3354">
        <v>90.85</v>
      </c>
      <c r="CZ3354" t="s">
        <v>10901</v>
      </c>
      <c r="DA3354">
        <v>41.09</v>
      </c>
      <c r="DB3354">
        <v>28.81</v>
      </c>
      <c r="DC3354">
        <v>24.72</v>
      </c>
      <c r="DD3354">
        <v>0.28999999999999998</v>
      </c>
      <c r="DE3354">
        <v>1298</v>
      </c>
      <c r="DF3354">
        <v>603297</v>
      </c>
      <c r="DG3354" t="s">
        <v>116</v>
      </c>
      <c r="DH3354" t="s">
        <v>116</v>
      </c>
      <c r="DI3354" t="s">
        <v>116</v>
      </c>
    </row>
    <row r="3355" spans="1:113" x14ac:dyDescent="0.4">
      <c r="A3355" t="str">
        <f>"603298"</f>
        <v>603298</v>
      </c>
      <c r="B3355" t="s">
        <v>14268</v>
      </c>
      <c r="C3355">
        <v>3.19</v>
      </c>
      <c r="D3355">
        <v>12.63</v>
      </c>
      <c r="E3355">
        <v>0.39</v>
      </c>
      <c r="F3355">
        <v>12.62</v>
      </c>
      <c r="G3355">
        <v>12.63</v>
      </c>
      <c r="H3355">
        <v>46970</v>
      </c>
      <c r="I3355">
        <v>1046</v>
      </c>
      <c r="J3355">
        <v>0.24</v>
      </c>
      <c r="K3355">
        <v>0.76</v>
      </c>
      <c r="L3355">
        <v>12.3</v>
      </c>
      <c r="M3355">
        <v>12.67</v>
      </c>
      <c r="N3355">
        <v>12.29</v>
      </c>
      <c r="O3355">
        <v>12.24</v>
      </c>
      <c r="P3355">
        <v>12.26</v>
      </c>
      <c r="Q3355">
        <v>58878308</v>
      </c>
      <c r="R3355">
        <v>2.54</v>
      </c>
      <c r="S3355" t="s">
        <v>682</v>
      </c>
      <c r="T3355" t="s">
        <v>590</v>
      </c>
      <c r="U3355">
        <v>3.1</v>
      </c>
      <c r="V3355">
        <v>12.54</v>
      </c>
      <c r="W3355">
        <v>19957</v>
      </c>
      <c r="X3355">
        <v>27013</v>
      </c>
      <c r="Y3355">
        <v>0.74</v>
      </c>
      <c r="Z3355">
        <v>17</v>
      </c>
      <c r="AA3355">
        <v>319</v>
      </c>
      <c r="AB3355" t="s">
        <v>116</v>
      </c>
      <c r="AC3355">
        <v>255800</v>
      </c>
      <c r="AD3355">
        <v>0.01</v>
      </c>
      <c r="AE3355" t="s">
        <v>116</v>
      </c>
      <c r="AF3355" t="s">
        <v>116</v>
      </c>
      <c r="AG3355">
        <v>6.19</v>
      </c>
      <c r="AH3355" t="s">
        <v>14269</v>
      </c>
      <c r="AI3355" t="s">
        <v>14269</v>
      </c>
      <c r="AJ3355">
        <v>3.26</v>
      </c>
      <c r="AK3355">
        <v>1470</v>
      </c>
      <c r="AL3355">
        <v>32</v>
      </c>
      <c r="AM3355">
        <v>5.0000000000000001E-4</v>
      </c>
      <c r="AN3355">
        <v>2</v>
      </c>
      <c r="AO3355">
        <v>3.1</v>
      </c>
      <c r="AP3355">
        <v>-0.08</v>
      </c>
      <c r="AQ3355">
        <v>4.55</v>
      </c>
      <c r="AR3355">
        <v>9.64</v>
      </c>
      <c r="AS3355">
        <v>2.16</v>
      </c>
      <c r="AT3355" t="s">
        <v>5460</v>
      </c>
      <c r="AU3355">
        <v>13.14</v>
      </c>
      <c r="AV3355">
        <v>14.3</v>
      </c>
      <c r="AW3355">
        <v>0.8</v>
      </c>
      <c r="BA3355">
        <v>0.49</v>
      </c>
      <c r="BB3355">
        <v>3.51</v>
      </c>
      <c r="BC3355">
        <v>0.41</v>
      </c>
      <c r="BD3355">
        <v>2.41</v>
      </c>
      <c r="BE3355">
        <v>2.68</v>
      </c>
      <c r="BF3355">
        <v>-0.32</v>
      </c>
      <c r="BG3355">
        <v>2.77</v>
      </c>
      <c r="BH3355">
        <v>0.77</v>
      </c>
      <c r="BI3355">
        <v>20191226</v>
      </c>
      <c r="BJ3355">
        <v>20161227</v>
      </c>
      <c r="BK3355">
        <v>6.19</v>
      </c>
      <c r="BL3355" t="s">
        <v>116</v>
      </c>
      <c r="BM3355" t="s">
        <v>116</v>
      </c>
      <c r="BN3355">
        <v>62.16</v>
      </c>
      <c r="BO3355">
        <v>41.49</v>
      </c>
      <c r="BP3355">
        <v>3.54</v>
      </c>
      <c r="BQ3355">
        <v>27.55</v>
      </c>
      <c r="BR3355">
        <v>43.34</v>
      </c>
      <c r="BS3355">
        <v>12.38</v>
      </c>
      <c r="BT3355">
        <v>2.8</v>
      </c>
      <c r="BU3355">
        <v>16.670000000000002</v>
      </c>
      <c r="BV3355">
        <v>9.51</v>
      </c>
      <c r="BW3355">
        <v>7.61</v>
      </c>
      <c r="BX3355">
        <v>9.6199999999999992</v>
      </c>
      <c r="BY3355">
        <v>67.5</v>
      </c>
      <c r="BZ3355">
        <v>53.39</v>
      </c>
      <c r="CA3355">
        <v>6.28</v>
      </c>
      <c r="CB3355">
        <v>0.85</v>
      </c>
      <c r="CC3355">
        <v>6.31</v>
      </c>
      <c r="CD3355">
        <v>5.31</v>
      </c>
      <c r="CE3355">
        <v>4.78</v>
      </c>
      <c r="CF3355">
        <v>3.95</v>
      </c>
      <c r="CG3355">
        <v>22.36</v>
      </c>
      <c r="CH3355">
        <v>8.2799999999999994</v>
      </c>
      <c r="CI3355">
        <v>7.86</v>
      </c>
      <c r="CJ3355">
        <v>23623</v>
      </c>
      <c r="CK3355">
        <v>9217</v>
      </c>
      <c r="CL3355" t="s">
        <v>14270</v>
      </c>
      <c r="CM3355">
        <v>11.2</v>
      </c>
      <c r="CN3355">
        <v>4.47</v>
      </c>
      <c r="CO3355">
        <v>1.88</v>
      </c>
      <c r="CP3355">
        <v>9.44</v>
      </c>
      <c r="CQ3355">
        <v>1.1599999999999999</v>
      </c>
      <c r="CR3355">
        <v>2.38</v>
      </c>
      <c r="CS3355" t="s">
        <v>14271</v>
      </c>
      <c r="CT3355">
        <v>6.71</v>
      </c>
      <c r="CU3355">
        <v>0</v>
      </c>
      <c r="CV3355">
        <v>1.55</v>
      </c>
      <c r="CW3355">
        <v>3.61</v>
      </c>
      <c r="CX3355">
        <v>1.34</v>
      </c>
      <c r="CY3355">
        <v>66.75</v>
      </c>
      <c r="CZ3355" t="s">
        <v>8122</v>
      </c>
      <c r="DA3355">
        <v>20.9</v>
      </c>
      <c r="DB3355">
        <v>9.3000000000000007</v>
      </c>
      <c r="DC3355">
        <v>7.08</v>
      </c>
      <c r="DD3355">
        <v>2.59</v>
      </c>
      <c r="DE3355">
        <v>3895</v>
      </c>
      <c r="DF3355">
        <v>603298</v>
      </c>
      <c r="DG3355" t="s">
        <v>116</v>
      </c>
      <c r="DH3355" t="s">
        <v>116</v>
      </c>
      <c r="DI3355" t="s">
        <v>116</v>
      </c>
    </row>
    <row r="3356" spans="1:113" x14ac:dyDescent="0.4">
      <c r="A3356" t="str">
        <f>"603299"</f>
        <v>603299</v>
      </c>
      <c r="B3356" t="s">
        <v>14272</v>
      </c>
      <c r="C3356">
        <v>-0.57999999999999996</v>
      </c>
      <c r="D3356">
        <v>6.82</v>
      </c>
      <c r="E3356">
        <v>-0.04</v>
      </c>
      <c r="F3356">
        <v>6.81</v>
      </c>
      <c r="G3356">
        <v>6.82</v>
      </c>
      <c r="H3356">
        <v>37977</v>
      </c>
      <c r="I3356">
        <v>349</v>
      </c>
      <c r="J3356">
        <v>0.15</v>
      </c>
      <c r="K3356">
        <v>0.68</v>
      </c>
      <c r="L3356">
        <v>7.01</v>
      </c>
      <c r="M3356">
        <v>7.01</v>
      </c>
      <c r="N3356">
        <v>6.8</v>
      </c>
      <c r="O3356">
        <v>6.86</v>
      </c>
      <c r="P3356">
        <v>16.899999999999999</v>
      </c>
      <c r="Q3356">
        <v>26218998</v>
      </c>
      <c r="R3356">
        <v>1.08</v>
      </c>
      <c r="S3356" t="s">
        <v>891</v>
      </c>
      <c r="T3356" t="s">
        <v>323</v>
      </c>
      <c r="U3356">
        <v>3.06</v>
      </c>
      <c r="V3356">
        <v>6.9</v>
      </c>
      <c r="W3356">
        <v>24128</v>
      </c>
      <c r="X3356">
        <v>13849</v>
      </c>
      <c r="Y3356">
        <v>1.74</v>
      </c>
      <c r="Z3356">
        <v>284</v>
      </c>
      <c r="AA3356">
        <v>126</v>
      </c>
      <c r="AB3356" t="s">
        <v>116</v>
      </c>
      <c r="AC3356">
        <v>346300</v>
      </c>
      <c r="AD3356">
        <v>0.02</v>
      </c>
      <c r="AE3356" t="s">
        <v>116</v>
      </c>
      <c r="AF3356" t="s">
        <v>116</v>
      </c>
      <c r="AG3356">
        <v>5.59</v>
      </c>
      <c r="AH3356" t="s">
        <v>3419</v>
      </c>
      <c r="AI3356" t="s">
        <v>14273</v>
      </c>
      <c r="AJ3356">
        <v>-0.51</v>
      </c>
      <c r="AK3356">
        <v>1057</v>
      </c>
      <c r="AL3356">
        <v>36</v>
      </c>
      <c r="AM3356">
        <v>5.9999999999999995E-4</v>
      </c>
      <c r="AN3356">
        <v>-1</v>
      </c>
      <c r="AO3356">
        <v>0</v>
      </c>
      <c r="AP3356">
        <v>5.57</v>
      </c>
      <c r="AQ3356">
        <v>-9.91</v>
      </c>
      <c r="AR3356">
        <v>34.520000000000003</v>
      </c>
      <c r="AS3356">
        <v>1.35</v>
      </c>
      <c r="AT3356" t="s">
        <v>2294</v>
      </c>
      <c r="AU3356">
        <v>27.12</v>
      </c>
      <c r="AV3356">
        <v>36.520000000000003</v>
      </c>
      <c r="AW3356">
        <v>1.36</v>
      </c>
      <c r="BA3356">
        <v>2.19</v>
      </c>
      <c r="BB3356">
        <v>2.19</v>
      </c>
      <c r="BC3356">
        <v>-0.87</v>
      </c>
      <c r="BD3356">
        <v>0.64</v>
      </c>
      <c r="BE3356">
        <v>-2.71</v>
      </c>
      <c r="BF3356">
        <v>-2.71</v>
      </c>
      <c r="BG3356">
        <v>0.28999999999999998</v>
      </c>
      <c r="BH3356">
        <v>-1.22</v>
      </c>
      <c r="BI3356">
        <v>20191030</v>
      </c>
      <c r="BJ3356">
        <v>20151231</v>
      </c>
      <c r="BK3356">
        <v>7.76</v>
      </c>
      <c r="BL3356" t="s">
        <v>116</v>
      </c>
      <c r="BM3356" t="s">
        <v>116</v>
      </c>
      <c r="BN3356">
        <v>68.489999999999995</v>
      </c>
      <c r="BO3356">
        <v>38.96</v>
      </c>
      <c r="BP3356">
        <v>1.41</v>
      </c>
      <c r="BQ3356">
        <v>41.05</v>
      </c>
      <c r="BR3356">
        <v>25.33</v>
      </c>
      <c r="BS3356">
        <v>30.8</v>
      </c>
      <c r="BT3356">
        <v>6.05</v>
      </c>
      <c r="BU3356">
        <v>26.76</v>
      </c>
      <c r="BV3356">
        <v>6.56</v>
      </c>
      <c r="BW3356">
        <v>2.96</v>
      </c>
      <c r="BX3356">
        <v>16.010000000000002</v>
      </c>
      <c r="BY3356">
        <v>31.49</v>
      </c>
      <c r="BZ3356">
        <v>21.18</v>
      </c>
      <c r="CA3356">
        <v>2.93</v>
      </c>
      <c r="CB3356">
        <v>0</v>
      </c>
      <c r="CC3356">
        <v>2.9</v>
      </c>
      <c r="CD3356">
        <v>2.38</v>
      </c>
      <c r="CE3356">
        <v>2.35</v>
      </c>
      <c r="CF3356">
        <v>2.09</v>
      </c>
      <c r="CG3356">
        <v>14.3</v>
      </c>
      <c r="CH3356">
        <v>4.78</v>
      </c>
      <c r="CI3356">
        <v>-0.71</v>
      </c>
      <c r="CJ3356">
        <v>46305</v>
      </c>
      <c r="CK3356">
        <v>6083</v>
      </c>
      <c r="CL3356" t="s">
        <v>4837</v>
      </c>
      <c r="CM3356">
        <v>27.21</v>
      </c>
      <c r="CN3356">
        <v>-3.48</v>
      </c>
      <c r="CO3356">
        <v>1.36</v>
      </c>
      <c r="CP3356">
        <v>11.06</v>
      </c>
      <c r="CQ3356">
        <v>1.68</v>
      </c>
      <c r="CR3356">
        <v>0.88</v>
      </c>
      <c r="CS3356" t="s">
        <v>3386</v>
      </c>
      <c r="CT3356">
        <v>5.0199999999999996</v>
      </c>
      <c r="CU3356">
        <v>0</v>
      </c>
      <c r="CV3356">
        <v>2.06</v>
      </c>
      <c r="CW3356">
        <v>1.84</v>
      </c>
      <c r="CX3356">
        <v>0.62</v>
      </c>
      <c r="CY3356">
        <v>56.89</v>
      </c>
      <c r="CZ3356" t="s">
        <v>4561</v>
      </c>
      <c r="DA3356">
        <v>32.72</v>
      </c>
      <c r="DB3356">
        <v>9.2899999999999991</v>
      </c>
      <c r="DC3356">
        <v>7.46</v>
      </c>
      <c r="DD3356">
        <v>0.05</v>
      </c>
      <c r="DE3356">
        <v>2548</v>
      </c>
      <c r="DF3356">
        <v>603299</v>
      </c>
      <c r="DG3356" t="s">
        <v>116</v>
      </c>
      <c r="DH3356" t="s">
        <v>116</v>
      </c>
      <c r="DI3356" t="s">
        <v>116</v>
      </c>
    </row>
    <row r="3357" spans="1:113" x14ac:dyDescent="0.4">
      <c r="A3357" t="str">
        <f>"603300"</f>
        <v>603300</v>
      </c>
      <c r="B3357" t="s">
        <v>14274</v>
      </c>
      <c r="C3357">
        <v>0.91</v>
      </c>
      <c r="D3357">
        <v>7.78</v>
      </c>
      <c r="E3357">
        <v>7.0000000000000007E-2</v>
      </c>
      <c r="F3357">
        <v>7.78</v>
      </c>
      <c r="G3357">
        <v>7.79</v>
      </c>
      <c r="H3357">
        <v>314975</v>
      </c>
      <c r="I3357">
        <v>5779</v>
      </c>
      <c r="J3357">
        <v>0.78</v>
      </c>
      <c r="K3357">
        <v>4.95</v>
      </c>
      <c r="L3357">
        <v>7.7</v>
      </c>
      <c r="M3357">
        <v>7.9</v>
      </c>
      <c r="N3357">
        <v>7.65</v>
      </c>
      <c r="O3357">
        <v>7.71</v>
      </c>
      <c r="P3357">
        <v>16.47</v>
      </c>
      <c r="Q3357">
        <v>244392288</v>
      </c>
      <c r="R3357">
        <v>1.0900000000000001</v>
      </c>
      <c r="S3357" t="s">
        <v>2118</v>
      </c>
      <c r="T3357" t="s">
        <v>590</v>
      </c>
      <c r="U3357">
        <v>3.24</v>
      </c>
      <c r="V3357">
        <v>7.76</v>
      </c>
      <c r="W3357">
        <v>165741</v>
      </c>
      <c r="X3357">
        <v>149234</v>
      </c>
      <c r="Y3357">
        <v>1.1100000000000001</v>
      </c>
      <c r="Z3357">
        <v>35</v>
      </c>
      <c r="AA3357">
        <v>983</v>
      </c>
      <c r="AB3357" t="s">
        <v>116</v>
      </c>
      <c r="AC3357">
        <v>282400</v>
      </c>
      <c r="AD3357">
        <v>0.01</v>
      </c>
      <c r="AE3357" t="s">
        <v>116</v>
      </c>
      <c r="AF3357" t="s">
        <v>116</v>
      </c>
      <c r="AG3357">
        <v>6.36</v>
      </c>
      <c r="AH3357" t="s">
        <v>14275</v>
      </c>
      <c r="AI3357" t="s">
        <v>14276</v>
      </c>
      <c r="AJ3357">
        <v>0.98</v>
      </c>
      <c r="AK3357">
        <v>2805</v>
      </c>
      <c r="AL3357">
        <v>112</v>
      </c>
      <c r="AM3357">
        <v>1.8E-3</v>
      </c>
      <c r="AN3357">
        <v>5</v>
      </c>
      <c r="AO3357">
        <v>5.85</v>
      </c>
      <c r="AP3357">
        <v>29.67</v>
      </c>
      <c r="AQ3357">
        <v>15.26</v>
      </c>
      <c r="AR3357">
        <v>126.92</v>
      </c>
      <c r="AS3357">
        <v>8.31</v>
      </c>
      <c r="AT3357" t="s">
        <v>6594</v>
      </c>
      <c r="AU3357">
        <v>40.049999999999997</v>
      </c>
      <c r="AV3357" t="s">
        <v>116</v>
      </c>
      <c r="AW3357">
        <v>1.47</v>
      </c>
      <c r="BA3357">
        <v>-0.13</v>
      </c>
      <c r="BB3357">
        <v>2.46</v>
      </c>
      <c r="BC3357">
        <v>-0.78</v>
      </c>
      <c r="BD3357">
        <v>0.64</v>
      </c>
      <c r="BE3357">
        <v>1.04</v>
      </c>
      <c r="BF3357">
        <v>-1.52</v>
      </c>
      <c r="BG3357">
        <v>1.7</v>
      </c>
      <c r="BH3357">
        <v>0.27</v>
      </c>
      <c r="BI3357">
        <v>20191125</v>
      </c>
      <c r="BJ3357">
        <v>20150529</v>
      </c>
      <c r="BK3357">
        <v>6.8</v>
      </c>
      <c r="BL3357" t="s">
        <v>116</v>
      </c>
      <c r="BM3357" t="s">
        <v>116</v>
      </c>
      <c r="BN3357">
        <v>67.88</v>
      </c>
      <c r="BO3357">
        <v>17.2</v>
      </c>
      <c r="BP3357">
        <v>27.64</v>
      </c>
      <c r="BQ3357">
        <v>33.950000000000003</v>
      </c>
      <c r="BR3357">
        <v>21.79</v>
      </c>
      <c r="BS3357">
        <v>21.93</v>
      </c>
      <c r="BT3357">
        <v>0.06</v>
      </c>
      <c r="BU3357">
        <v>17.73</v>
      </c>
      <c r="BV3357">
        <v>0.1</v>
      </c>
      <c r="BW3357">
        <v>8.06</v>
      </c>
      <c r="BX3357">
        <v>7.43</v>
      </c>
      <c r="BY3357">
        <v>8.18</v>
      </c>
      <c r="BZ3357">
        <v>2</v>
      </c>
      <c r="CA3357">
        <v>4.05</v>
      </c>
      <c r="CB3357">
        <v>0.06</v>
      </c>
      <c r="CC3357">
        <v>4.04</v>
      </c>
      <c r="CD3357">
        <v>3.42</v>
      </c>
      <c r="CE3357">
        <v>2.41</v>
      </c>
      <c r="CF3357">
        <v>1.97</v>
      </c>
      <c r="CG3357">
        <v>5.67</v>
      </c>
      <c r="CH3357">
        <v>7.64</v>
      </c>
      <c r="CI3357">
        <v>0.22</v>
      </c>
      <c r="CJ3357">
        <v>38115</v>
      </c>
      <c r="CK3357">
        <v>9943</v>
      </c>
      <c r="CL3357" t="s">
        <v>4005</v>
      </c>
      <c r="CM3357">
        <v>201.09</v>
      </c>
      <c r="CN3357">
        <v>23.71</v>
      </c>
      <c r="CO3357">
        <v>2.13</v>
      </c>
      <c r="CP3357">
        <v>6.93</v>
      </c>
      <c r="CQ3357">
        <v>6.47</v>
      </c>
      <c r="CR3357">
        <v>0</v>
      </c>
      <c r="CS3357" t="s">
        <v>1744</v>
      </c>
      <c r="CT3357">
        <v>3.66</v>
      </c>
      <c r="CU3357">
        <v>3.66</v>
      </c>
      <c r="CV3357">
        <v>1.0900000000000001</v>
      </c>
      <c r="CW3357">
        <v>0.83</v>
      </c>
      <c r="CX3357">
        <v>1.1200000000000001</v>
      </c>
      <c r="CY3357">
        <v>25.34</v>
      </c>
      <c r="CZ3357" t="s">
        <v>14277</v>
      </c>
      <c r="DA3357">
        <v>75.53</v>
      </c>
      <c r="DB3357">
        <v>49.46</v>
      </c>
      <c r="DC3357">
        <v>29.44</v>
      </c>
      <c r="DD3357">
        <v>0.22</v>
      </c>
      <c r="DE3357">
        <v>227</v>
      </c>
      <c r="DF3357">
        <v>603300</v>
      </c>
      <c r="DG3357" t="s">
        <v>116</v>
      </c>
      <c r="DH3357" t="s">
        <v>116</v>
      </c>
      <c r="DI3357" t="s">
        <v>116</v>
      </c>
    </row>
    <row r="3358" spans="1:113" x14ac:dyDescent="0.4">
      <c r="A3358" t="str">
        <f>"603301"</f>
        <v>603301</v>
      </c>
      <c r="B3358" t="s">
        <v>14278</v>
      </c>
      <c r="C3358">
        <v>0.96</v>
      </c>
      <c r="D3358">
        <v>21.04</v>
      </c>
      <c r="E3358">
        <v>0.2</v>
      </c>
      <c r="F3358">
        <v>21.04</v>
      </c>
      <c r="G3358">
        <v>21.06</v>
      </c>
      <c r="H3358">
        <v>15223</v>
      </c>
      <c r="I3358">
        <v>40</v>
      </c>
      <c r="J3358">
        <v>-0.08</v>
      </c>
      <c r="K3358">
        <v>2.79</v>
      </c>
      <c r="L3358">
        <v>20.78</v>
      </c>
      <c r="M3358">
        <v>21.39</v>
      </c>
      <c r="N3358">
        <v>20.78</v>
      </c>
      <c r="O3358">
        <v>20.84</v>
      </c>
      <c r="P3358">
        <v>23.23</v>
      </c>
      <c r="Q3358">
        <v>32022534</v>
      </c>
      <c r="R3358">
        <v>1.55</v>
      </c>
      <c r="S3358" t="s">
        <v>559</v>
      </c>
      <c r="T3358" t="s">
        <v>590</v>
      </c>
      <c r="U3358">
        <v>2.93</v>
      </c>
      <c r="V3358">
        <v>21.04</v>
      </c>
      <c r="W3358">
        <v>7095</v>
      </c>
      <c r="X3358">
        <v>8128</v>
      </c>
      <c r="Y3358">
        <v>0.87</v>
      </c>
      <c r="Z3358">
        <v>95</v>
      </c>
      <c r="AA3358">
        <v>85</v>
      </c>
      <c r="AB3358" t="s">
        <v>116</v>
      </c>
      <c r="AC3358">
        <v>0</v>
      </c>
      <c r="AD3358">
        <v>0</v>
      </c>
      <c r="AE3358" t="s">
        <v>116</v>
      </c>
      <c r="AF3358" t="s">
        <v>116</v>
      </c>
      <c r="AG3358">
        <v>0.55000000000000004</v>
      </c>
      <c r="AH3358" t="s">
        <v>7877</v>
      </c>
      <c r="AI3358" t="s">
        <v>9277</v>
      </c>
      <c r="AJ3358">
        <v>1.04</v>
      </c>
      <c r="AK3358">
        <v>929</v>
      </c>
      <c r="AL3358">
        <v>16</v>
      </c>
      <c r="AM3358">
        <v>3.0000000000000001E-3</v>
      </c>
      <c r="AN3358">
        <v>1</v>
      </c>
      <c r="AO3358">
        <v>2.38</v>
      </c>
      <c r="AP3358">
        <v>11.68</v>
      </c>
      <c r="AQ3358">
        <v>3.14</v>
      </c>
      <c r="AR3358">
        <v>-6.19</v>
      </c>
      <c r="AS3358">
        <v>2.89</v>
      </c>
      <c r="AT3358" t="s">
        <v>7128</v>
      </c>
      <c r="AU3358">
        <v>21.03</v>
      </c>
      <c r="AV3358">
        <v>22.62</v>
      </c>
      <c r="AW3358">
        <v>0.73</v>
      </c>
      <c r="BA3358">
        <v>-0.28999999999999998</v>
      </c>
      <c r="BB3358">
        <v>2.64</v>
      </c>
      <c r="BC3358">
        <v>-0.28999999999999998</v>
      </c>
      <c r="BD3358">
        <v>0.94</v>
      </c>
      <c r="BE3358">
        <v>1.25</v>
      </c>
      <c r="BF3358">
        <v>-1.64</v>
      </c>
      <c r="BG3358">
        <v>1.25</v>
      </c>
      <c r="BH3358">
        <v>0.02</v>
      </c>
      <c r="BI3358">
        <v>20191108</v>
      </c>
      <c r="BJ3358">
        <v>20180412</v>
      </c>
      <c r="BK3358">
        <v>1.4</v>
      </c>
      <c r="BL3358" t="s">
        <v>116</v>
      </c>
      <c r="BM3358" t="s">
        <v>116</v>
      </c>
      <c r="BN3358">
        <v>23.93</v>
      </c>
      <c r="BO3358">
        <v>11.86</v>
      </c>
      <c r="BP3358">
        <v>0.28000000000000003</v>
      </c>
      <c r="BQ3358">
        <v>49.25</v>
      </c>
      <c r="BR3358">
        <v>13.63</v>
      </c>
      <c r="BS3358">
        <v>5.72</v>
      </c>
      <c r="BT3358">
        <v>1.3</v>
      </c>
      <c r="BU3358">
        <v>11.35</v>
      </c>
      <c r="BV3358">
        <v>4.37</v>
      </c>
      <c r="BW3358">
        <v>3.87</v>
      </c>
      <c r="BX3358">
        <v>6.59</v>
      </c>
      <c r="BY3358">
        <v>12.85</v>
      </c>
      <c r="BZ3358">
        <v>8.76</v>
      </c>
      <c r="CA3358">
        <v>1.21</v>
      </c>
      <c r="CB3358">
        <v>-0.01</v>
      </c>
      <c r="CC3358">
        <v>1.21</v>
      </c>
      <c r="CD3358">
        <v>1.04</v>
      </c>
      <c r="CE3358">
        <v>0.95</v>
      </c>
      <c r="CF3358">
        <v>0.65</v>
      </c>
      <c r="CG3358">
        <v>3.66</v>
      </c>
      <c r="CH3358">
        <v>0.99</v>
      </c>
      <c r="CI3358">
        <v>1.24</v>
      </c>
      <c r="CJ3358">
        <v>14142</v>
      </c>
      <c r="CK3358">
        <v>3730</v>
      </c>
      <c r="CL3358" t="s">
        <v>3276</v>
      </c>
      <c r="CM3358">
        <v>11.56</v>
      </c>
      <c r="CN3358">
        <v>25.02</v>
      </c>
      <c r="CO3358">
        <v>2.48</v>
      </c>
      <c r="CP3358">
        <v>29.76</v>
      </c>
      <c r="CQ3358">
        <v>2.29</v>
      </c>
      <c r="CR3358">
        <v>1.19</v>
      </c>
      <c r="CS3358" t="s">
        <v>14279</v>
      </c>
      <c r="CT3358">
        <v>8.4700000000000006</v>
      </c>
      <c r="CU3358">
        <v>0</v>
      </c>
      <c r="CV3358">
        <v>4.71</v>
      </c>
      <c r="CW3358">
        <v>2.61</v>
      </c>
      <c r="CX3358">
        <v>0.71</v>
      </c>
      <c r="CY3358">
        <v>49.57</v>
      </c>
      <c r="CZ3358" t="s">
        <v>7518</v>
      </c>
      <c r="DA3358">
        <v>31.88</v>
      </c>
      <c r="DB3358">
        <v>9.4499999999999993</v>
      </c>
      <c r="DC3358">
        <v>7.4</v>
      </c>
      <c r="DD3358">
        <v>0.34</v>
      </c>
      <c r="DE3358">
        <v>4049</v>
      </c>
      <c r="DF3358">
        <v>603301</v>
      </c>
      <c r="DG3358" t="s">
        <v>116</v>
      </c>
      <c r="DH3358" t="s">
        <v>116</v>
      </c>
      <c r="DI3358" t="s">
        <v>116</v>
      </c>
    </row>
    <row r="3359" spans="1:113" x14ac:dyDescent="0.4">
      <c r="A3359" t="str">
        <f>"603303"</f>
        <v>603303</v>
      </c>
      <c r="B3359" t="s">
        <v>14280</v>
      </c>
      <c r="C3359">
        <v>-1.48</v>
      </c>
      <c r="D3359">
        <v>9.9700000000000006</v>
      </c>
      <c r="E3359">
        <v>-0.15</v>
      </c>
      <c r="F3359">
        <v>9.9700000000000006</v>
      </c>
      <c r="G3359">
        <v>9.98</v>
      </c>
      <c r="H3359">
        <v>38165</v>
      </c>
      <c r="I3359">
        <v>487</v>
      </c>
      <c r="J3359">
        <v>0.3</v>
      </c>
      <c r="K3359">
        <v>3.17</v>
      </c>
      <c r="L3359">
        <v>10.17</v>
      </c>
      <c r="M3359">
        <v>10.4</v>
      </c>
      <c r="N3359">
        <v>9.92</v>
      </c>
      <c r="O3359">
        <v>10.119999999999999</v>
      </c>
      <c r="P3359">
        <v>15.23</v>
      </c>
      <c r="Q3359">
        <v>38886432</v>
      </c>
      <c r="R3359">
        <v>1.49</v>
      </c>
      <c r="S3359" t="s">
        <v>209</v>
      </c>
      <c r="T3359" t="s">
        <v>590</v>
      </c>
      <c r="U3359">
        <v>4.74</v>
      </c>
      <c r="V3359">
        <v>10.19</v>
      </c>
      <c r="W3359">
        <v>21943</v>
      </c>
      <c r="X3359">
        <v>16222</v>
      </c>
      <c r="Y3359">
        <v>1.35</v>
      </c>
      <c r="Z3359">
        <v>5</v>
      </c>
      <c r="AA3359">
        <v>225</v>
      </c>
      <c r="AB3359" t="s">
        <v>116</v>
      </c>
      <c r="AC3359">
        <v>73200</v>
      </c>
      <c r="AD3359">
        <v>0.01</v>
      </c>
      <c r="AE3359" t="s">
        <v>116</v>
      </c>
      <c r="AF3359" t="s">
        <v>116</v>
      </c>
      <c r="AG3359">
        <v>1.21</v>
      </c>
      <c r="AH3359" t="s">
        <v>9773</v>
      </c>
      <c r="AI3359" t="s">
        <v>7762</v>
      </c>
      <c r="AJ3359">
        <v>-1.41</v>
      </c>
      <c r="AK3359">
        <v>1486</v>
      </c>
      <c r="AL3359">
        <v>26</v>
      </c>
      <c r="AM3359">
        <v>2.0999999999999999E-3</v>
      </c>
      <c r="AN3359">
        <v>-1</v>
      </c>
      <c r="AO3359">
        <v>1.23</v>
      </c>
      <c r="AP3359">
        <v>7.55</v>
      </c>
      <c r="AQ3359">
        <v>11.4</v>
      </c>
      <c r="AR3359">
        <v>2.81</v>
      </c>
      <c r="AS3359">
        <v>3.17</v>
      </c>
      <c r="AT3359" t="s">
        <v>9773</v>
      </c>
      <c r="AU3359">
        <v>17.5</v>
      </c>
      <c r="AV3359">
        <v>19.649999999999999</v>
      </c>
      <c r="AW3359">
        <v>0.85</v>
      </c>
      <c r="BA3359">
        <v>0.49</v>
      </c>
      <c r="BB3359">
        <v>2.77</v>
      </c>
      <c r="BC3359">
        <v>-1.98</v>
      </c>
      <c r="BD3359">
        <v>0.68</v>
      </c>
      <c r="BE3359">
        <v>-1.97</v>
      </c>
      <c r="BF3359">
        <v>-4.13</v>
      </c>
      <c r="BG3359">
        <v>0.5</v>
      </c>
      <c r="BH3359">
        <v>-2.17</v>
      </c>
      <c r="BI3359">
        <v>20191030</v>
      </c>
      <c r="BJ3359">
        <v>20170330</v>
      </c>
      <c r="BK3359">
        <v>4.88</v>
      </c>
      <c r="BL3359" t="s">
        <v>116</v>
      </c>
      <c r="BM3359" t="s">
        <v>116</v>
      </c>
      <c r="BN3359">
        <v>39.75</v>
      </c>
      <c r="BO3359">
        <v>25.85</v>
      </c>
      <c r="BP3359">
        <v>0.08</v>
      </c>
      <c r="BQ3359">
        <v>34.78</v>
      </c>
      <c r="BR3359">
        <v>31.36</v>
      </c>
      <c r="BS3359">
        <v>2.98</v>
      </c>
      <c r="BT3359">
        <v>2.2599999999999998</v>
      </c>
      <c r="BU3359">
        <v>13.81</v>
      </c>
      <c r="BV3359">
        <v>4.6900000000000004</v>
      </c>
      <c r="BW3359">
        <v>11.38</v>
      </c>
      <c r="BX3359">
        <v>8.42</v>
      </c>
      <c r="BY3359">
        <v>31.12</v>
      </c>
      <c r="BZ3359">
        <v>25.58</v>
      </c>
      <c r="CA3359">
        <v>2.4300000000000002</v>
      </c>
      <c r="CB3359">
        <v>0.25</v>
      </c>
      <c r="CC3359">
        <v>2.75</v>
      </c>
      <c r="CD3359">
        <v>2.4</v>
      </c>
      <c r="CE3359">
        <v>2.39</v>
      </c>
      <c r="CF3359">
        <v>1.97</v>
      </c>
      <c r="CG3359">
        <v>12.66</v>
      </c>
      <c r="CH3359">
        <v>2.91</v>
      </c>
      <c r="CI3359">
        <v>1.72</v>
      </c>
      <c r="CJ3359">
        <v>18475</v>
      </c>
      <c r="CK3359">
        <v>6523</v>
      </c>
      <c r="CL3359" t="s">
        <v>7229</v>
      </c>
      <c r="CM3359">
        <v>14.57</v>
      </c>
      <c r="CN3359">
        <v>8.64</v>
      </c>
      <c r="CO3359">
        <v>1.88</v>
      </c>
      <c r="CP3359">
        <v>16.68</v>
      </c>
      <c r="CQ3359">
        <v>1.56</v>
      </c>
      <c r="CR3359">
        <v>1.75</v>
      </c>
      <c r="CS3359" t="s">
        <v>1744</v>
      </c>
      <c r="CT3359">
        <v>5.3</v>
      </c>
      <c r="CU3359">
        <v>0</v>
      </c>
      <c r="CV3359">
        <v>1.73</v>
      </c>
      <c r="CW3359">
        <v>2.6</v>
      </c>
      <c r="CX3359">
        <v>0.6</v>
      </c>
      <c r="CY3359">
        <v>65.02</v>
      </c>
      <c r="CZ3359" t="s">
        <v>7533</v>
      </c>
      <c r="DA3359">
        <v>17.79</v>
      </c>
      <c r="DB3359">
        <v>7.8</v>
      </c>
      <c r="DC3359">
        <v>7.7</v>
      </c>
      <c r="DD3359">
        <v>0.93</v>
      </c>
      <c r="DE3359">
        <v>3262</v>
      </c>
      <c r="DF3359">
        <v>603303</v>
      </c>
      <c r="DG3359" t="s">
        <v>116</v>
      </c>
      <c r="DH3359" t="s">
        <v>116</v>
      </c>
      <c r="DI3359" t="s">
        <v>116</v>
      </c>
    </row>
    <row r="3360" spans="1:113" x14ac:dyDescent="0.4">
      <c r="A3360" t="str">
        <f>"603305"</f>
        <v>603305</v>
      </c>
      <c r="B3360" t="s">
        <v>14281</v>
      </c>
      <c r="C3360">
        <v>-0.94</v>
      </c>
      <c r="D3360">
        <v>32.75</v>
      </c>
      <c r="E3360">
        <v>-0.31</v>
      </c>
      <c r="F3360">
        <v>32.75</v>
      </c>
      <c r="G3360">
        <v>32.76</v>
      </c>
      <c r="H3360">
        <v>69435</v>
      </c>
      <c r="I3360">
        <v>966</v>
      </c>
      <c r="J3360">
        <v>-0.48</v>
      </c>
      <c r="K3360">
        <v>10.98</v>
      </c>
      <c r="L3360">
        <v>33.25</v>
      </c>
      <c r="M3360">
        <v>33.49</v>
      </c>
      <c r="N3360">
        <v>32.049999999999997</v>
      </c>
      <c r="O3360">
        <v>33.06</v>
      </c>
      <c r="P3360">
        <v>72.31</v>
      </c>
      <c r="Q3360">
        <v>227666704</v>
      </c>
      <c r="R3360">
        <v>1.03</v>
      </c>
      <c r="S3360" t="s">
        <v>293</v>
      </c>
      <c r="T3360" t="s">
        <v>590</v>
      </c>
      <c r="U3360">
        <v>4.3600000000000003</v>
      </c>
      <c r="V3360">
        <v>32.79</v>
      </c>
      <c r="W3360">
        <v>39586</v>
      </c>
      <c r="X3360">
        <v>29849</v>
      </c>
      <c r="Y3360">
        <v>1.33</v>
      </c>
      <c r="Z3360">
        <v>23</v>
      </c>
      <c r="AA3360">
        <v>1</v>
      </c>
      <c r="AB3360" t="s">
        <v>116</v>
      </c>
      <c r="AC3360">
        <v>1998300</v>
      </c>
      <c r="AD3360">
        <v>0.09</v>
      </c>
      <c r="AE3360" t="s">
        <v>116</v>
      </c>
      <c r="AF3360" t="s">
        <v>116</v>
      </c>
      <c r="AG3360">
        <v>0.63</v>
      </c>
      <c r="AH3360" t="s">
        <v>2550</v>
      </c>
      <c r="AI3360" t="s">
        <v>14282</v>
      </c>
      <c r="AJ3360">
        <v>-0.86</v>
      </c>
      <c r="AK3360">
        <v>3077</v>
      </c>
      <c r="AL3360">
        <v>23</v>
      </c>
      <c r="AM3360">
        <v>3.5999999999999999E-3</v>
      </c>
      <c r="AN3360">
        <v>-2</v>
      </c>
      <c r="AO3360">
        <v>-1.42</v>
      </c>
      <c r="AP3360">
        <v>8.09</v>
      </c>
      <c r="AQ3360">
        <v>20.32</v>
      </c>
      <c r="AR3360">
        <v>8.59</v>
      </c>
      <c r="AS3360">
        <v>10.98</v>
      </c>
      <c r="AT3360" t="s">
        <v>2550</v>
      </c>
      <c r="AU3360">
        <v>65.650000000000006</v>
      </c>
      <c r="AV3360">
        <v>44.67</v>
      </c>
      <c r="AW3360">
        <v>0.95</v>
      </c>
      <c r="BA3360">
        <v>0.56999999999999995</v>
      </c>
      <c r="BB3360">
        <v>1.3</v>
      </c>
      <c r="BC3360">
        <v>-3.06</v>
      </c>
      <c r="BD3360">
        <v>-0.82</v>
      </c>
      <c r="BE3360">
        <v>-1.5</v>
      </c>
      <c r="BF3360">
        <v>-2.21</v>
      </c>
      <c r="BG3360">
        <v>2.1800000000000002</v>
      </c>
      <c r="BH3360">
        <v>-0.12</v>
      </c>
      <c r="BI3360">
        <v>20191024</v>
      </c>
      <c r="BJ3360">
        <v>20170710</v>
      </c>
      <c r="BK3360">
        <v>4.01</v>
      </c>
      <c r="BL3360" t="s">
        <v>116</v>
      </c>
      <c r="BM3360" t="s">
        <v>116</v>
      </c>
      <c r="BN3360">
        <v>23.2</v>
      </c>
      <c r="BO3360">
        <v>14.81</v>
      </c>
      <c r="BP3360">
        <v>0</v>
      </c>
      <c r="BQ3360">
        <v>36.159999999999997</v>
      </c>
      <c r="BR3360">
        <v>8.1300000000000008</v>
      </c>
      <c r="BS3360">
        <v>7.16</v>
      </c>
      <c r="BT3360">
        <v>2.14</v>
      </c>
      <c r="BU3360">
        <v>4.05</v>
      </c>
      <c r="BV3360">
        <v>2.62</v>
      </c>
      <c r="BW3360">
        <v>2.44</v>
      </c>
      <c r="BX3360">
        <v>3.85</v>
      </c>
      <c r="BY3360">
        <v>7.77</v>
      </c>
      <c r="BZ3360">
        <v>5.15</v>
      </c>
      <c r="CA3360">
        <v>1.61</v>
      </c>
      <c r="CB3360">
        <v>0.04</v>
      </c>
      <c r="CC3360">
        <v>1.6</v>
      </c>
      <c r="CD3360">
        <v>1.36</v>
      </c>
      <c r="CE3360">
        <v>1.36</v>
      </c>
      <c r="CF3360">
        <v>1.29</v>
      </c>
      <c r="CG3360">
        <v>5.55</v>
      </c>
      <c r="CH3360">
        <v>2.4900000000000002</v>
      </c>
      <c r="CI3360">
        <v>-1.46</v>
      </c>
      <c r="CJ3360">
        <v>16211</v>
      </c>
      <c r="CK3360">
        <v>3903</v>
      </c>
      <c r="CL3360" t="s">
        <v>8353</v>
      </c>
      <c r="CM3360">
        <v>-40.82</v>
      </c>
      <c r="CN3360">
        <v>-5.77</v>
      </c>
      <c r="CO3360">
        <v>9.09</v>
      </c>
      <c r="CP3360">
        <v>52.73</v>
      </c>
      <c r="CQ3360">
        <v>16.89</v>
      </c>
      <c r="CR3360">
        <v>0.79</v>
      </c>
      <c r="CS3360" t="s">
        <v>1696</v>
      </c>
      <c r="CT3360">
        <v>3.6</v>
      </c>
      <c r="CU3360">
        <v>3.6</v>
      </c>
      <c r="CV3360">
        <v>0.96</v>
      </c>
      <c r="CW3360">
        <v>1.38</v>
      </c>
      <c r="CX3360">
        <v>0.62</v>
      </c>
      <c r="CY3360">
        <v>63.84</v>
      </c>
      <c r="CZ3360" t="s">
        <v>605</v>
      </c>
      <c r="DA3360">
        <v>33.72</v>
      </c>
      <c r="DB3360">
        <v>20.75</v>
      </c>
      <c r="DC3360">
        <v>17.510000000000002</v>
      </c>
      <c r="DD3360">
        <v>0.37</v>
      </c>
      <c r="DE3360">
        <v>1732</v>
      </c>
      <c r="DF3360">
        <v>603305</v>
      </c>
      <c r="DG3360" t="s">
        <v>116</v>
      </c>
      <c r="DH3360" t="s">
        <v>116</v>
      </c>
      <c r="DI3360" t="s">
        <v>116</v>
      </c>
    </row>
    <row r="3361" spans="1:113" x14ac:dyDescent="0.4">
      <c r="A3361" t="str">
        <f>"603306"</f>
        <v>603306</v>
      </c>
      <c r="B3361" t="s">
        <v>14283</v>
      </c>
      <c r="C3361">
        <v>3.08</v>
      </c>
      <c r="D3361">
        <v>14.06</v>
      </c>
      <c r="E3361">
        <v>0.42</v>
      </c>
      <c r="F3361">
        <v>14.05</v>
      </c>
      <c r="G3361">
        <v>14.06</v>
      </c>
      <c r="H3361">
        <v>20195</v>
      </c>
      <c r="I3361">
        <v>117</v>
      </c>
      <c r="J3361">
        <v>0.43</v>
      </c>
      <c r="K3361">
        <v>0.66</v>
      </c>
      <c r="L3361">
        <v>13.64</v>
      </c>
      <c r="M3361">
        <v>14.2</v>
      </c>
      <c r="N3361">
        <v>13.61</v>
      </c>
      <c r="O3361">
        <v>13.64</v>
      </c>
      <c r="P3361">
        <v>20.54</v>
      </c>
      <c r="Q3361">
        <v>28290108</v>
      </c>
      <c r="R3361">
        <v>1.26</v>
      </c>
      <c r="S3361" t="s">
        <v>293</v>
      </c>
      <c r="T3361" t="s">
        <v>975</v>
      </c>
      <c r="U3361">
        <v>4.33</v>
      </c>
      <c r="V3361">
        <v>14.01</v>
      </c>
      <c r="W3361">
        <v>9109</v>
      </c>
      <c r="X3361">
        <v>11086</v>
      </c>
      <c r="Y3361">
        <v>0.82</v>
      </c>
      <c r="Z3361">
        <v>22</v>
      </c>
      <c r="AA3361">
        <v>92</v>
      </c>
      <c r="AB3361" t="s">
        <v>116</v>
      </c>
      <c r="AC3361">
        <v>13600</v>
      </c>
      <c r="AD3361">
        <v>0</v>
      </c>
      <c r="AE3361" t="s">
        <v>116</v>
      </c>
      <c r="AF3361" t="s">
        <v>116</v>
      </c>
      <c r="AG3361">
        <v>3.07</v>
      </c>
      <c r="AH3361" t="s">
        <v>14284</v>
      </c>
      <c r="AI3361" t="s">
        <v>14285</v>
      </c>
      <c r="AJ3361">
        <v>3.16</v>
      </c>
      <c r="AK3361">
        <v>1020</v>
      </c>
      <c r="AL3361">
        <v>20</v>
      </c>
      <c r="AM3361">
        <v>5.9999999999999995E-4</v>
      </c>
      <c r="AN3361">
        <v>1</v>
      </c>
      <c r="AO3361">
        <v>1.01</v>
      </c>
      <c r="AP3361">
        <v>8.66</v>
      </c>
      <c r="AQ3361">
        <v>5.48</v>
      </c>
      <c r="AR3361">
        <v>2.25</v>
      </c>
      <c r="AS3361">
        <v>1.41</v>
      </c>
      <c r="AT3361" t="s">
        <v>961</v>
      </c>
      <c r="AU3361">
        <v>19.7</v>
      </c>
      <c r="AV3361">
        <v>15.8</v>
      </c>
      <c r="AW3361">
        <v>0.51</v>
      </c>
      <c r="BA3361">
        <v>0</v>
      </c>
      <c r="BB3361">
        <v>4.1100000000000003</v>
      </c>
      <c r="BC3361">
        <v>-0.22</v>
      </c>
      <c r="BD3361">
        <v>2.7</v>
      </c>
      <c r="BE3361">
        <v>3.08</v>
      </c>
      <c r="BF3361">
        <v>-0.99</v>
      </c>
      <c r="BG3361">
        <v>3.31</v>
      </c>
      <c r="BH3361">
        <v>0.38</v>
      </c>
      <c r="BI3361">
        <v>20191029</v>
      </c>
      <c r="BJ3361">
        <v>20140926</v>
      </c>
      <c r="BK3361">
        <v>3.11</v>
      </c>
      <c r="BL3361" t="s">
        <v>116</v>
      </c>
      <c r="BM3361" t="s">
        <v>116</v>
      </c>
      <c r="BN3361">
        <v>26.17</v>
      </c>
      <c r="BO3361">
        <v>23.33</v>
      </c>
      <c r="BP3361">
        <v>0</v>
      </c>
      <c r="BQ3361">
        <v>10.86</v>
      </c>
      <c r="BR3361">
        <v>18.78</v>
      </c>
      <c r="BS3361">
        <v>6.61</v>
      </c>
      <c r="BT3361">
        <v>0.38</v>
      </c>
      <c r="BU3361">
        <v>2.4</v>
      </c>
      <c r="BV3361">
        <v>1.26</v>
      </c>
      <c r="BW3361">
        <v>2.42</v>
      </c>
      <c r="BX3361">
        <v>10.57</v>
      </c>
      <c r="BY3361">
        <v>6.94</v>
      </c>
      <c r="BZ3361">
        <v>4.5</v>
      </c>
      <c r="CA3361">
        <v>1.87</v>
      </c>
      <c r="CB3361">
        <v>0.26</v>
      </c>
      <c r="CC3361">
        <v>1.87</v>
      </c>
      <c r="CD3361">
        <v>1.59</v>
      </c>
      <c r="CE3361">
        <v>1.59</v>
      </c>
      <c r="CF3361">
        <v>1.33</v>
      </c>
      <c r="CG3361">
        <v>8.61</v>
      </c>
      <c r="CH3361">
        <v>2.76</v>
      </c>
      <c r="CI3361">
        <v>0.12</v>
      </c>
      <c r="CJ3361">
        <v>11743</v>
      </c>
      <c r="CK3361">
        <v>12207</v>
      </c>
      <c r="CL3361" t="s">
        <v>7743</v>
      </c>
      <c r="CM3361">
        <v>-25.58</v>
      </c>
      <c r="CN3361">
        <v>-6.6</v>
      </c>
      <c r="CO3361">
        <v>1.87</v>
      </c>
      <c r="CP3361">
        <v>15.79</v>
      </c>
      <c r="CQ3361">
        <v>6.29</v>
      </c>
      <c r="CR3361">
        <v>3.58</v>
      </c>
      <c r="CS3361" t="s">
        <v>8018</v>
      </c>
      <c r="CT3361">
        <v>7.51</v>
      </c>
      <c r="CU3361">
        <v>0</v>
      </c>
      <c r="CV3361">
        <v>3.4</v>
      </c>
      <c r="CW3361">
        <v>2.77</v>
      </c>
      <c r="CX3361">
        <v>0.89</v>
      </c>
      <c r="CY3361">
        <v>89.14</v>
      </c>
      <c r="CZ3361" t="s">
        <v>2547</v>
      </c>
      <c r="DA3361">
        <v>35.11</v>
      </c>
      <c r="DB3361">
        <v>26.93</v>
      </c>
      <c r="DC3361">
        <v>22.98</v>
      </c>
      <c r="DD3361">
        <v>0.31</v>
      </c>
      <c r="DE3361">
        <v>1631</v>
      </c>
      <c r="DF3361">
        <v>603306</v>
      </c>
      <c r="DG3361" t="s">
        <v>116</v>
      </c>
      <c r="DH3361" t="s">
        <v>116</v>
      </c>
      <c r="DI3361" t="s">
        <v>116</v>
      </c>
    </row>
    <row r="3362" spans="1:113" x14ac:dyDescent="0.4">
      <c r="A3362" t="str">
        <f>"603308"</f>
        <v>603308</v>
      </c>
      <c r="B3362" t="s">
        <v>14286</v>
      </c>
      <c r="C3362">
        <v>1.32</v>
      </c>
      <c r="D3362">
        <v>13.8</v>
      </c>
      <c r="E3362">
        <v>0.18</v>
      </c>
      <c r="F3362">
        <v>13.79</v>
      </c>
      <c r="G3362">
        <v>13.8</v>
      </c>
      <c r="H3362">
        <v>128288</v>
      </c>
      <c r="I3362">
        <v>1109</v>
      </c>
      <c r="J3362">
        <v>-0.28000000000000003</v>
      </c>
      <c r="K3362">
        <v>2.96</v>
      </c>
      <c r="L3362">
        <v>13.64</v>
      </c>
      <c r="M3362">
        <v>14.4</v>
      </c>
      <c r="N3362">
        <v>13.53</v>
      </c>
      <c r="O3362">
        <v>13.62</v>
      </c>
      <c r="P3362">
        <v>47.45</v>
      </c>
      <c r="Q3362">
        <v>179131488</v>
      </c>
      <c r="R3362">
        <v>1.72</v>
      </c>
      <c r="S3362" t="s">
        <v>682</v>
      </c>
      <c r="T3362" t="s">
        <v>575</v>
      </c>
      <c r="U3362">
        <v>6.39</v>
      </c>
      <c r="V3362">
        <v>13.96</v>
      </c>
      <c r="W3362">
        <v>58791</v>
      </c>
      <c r="X3362">
        <v>69497</v>
      </c>
      <c r="Y3362">
        <v>0.85</v>
      </c>
      <c r="Z3362">
        <v>92</v>
      </c>
      <c r="AA3362">
        <v>210</v>
      </c>
      <c r="AB3362" t="s">
        <v>116</v>
      </c>
      <c r="AC3362">
        <v>660200</v>
      </c>
      <c r="AD3362">
        <v>0.02</v>
      </c>
      <c r="AE3362" t="s">
        <v>116</v>
      </c>
      <c r="AF3362" t="s">
        <v>116</v>
      </c>
      <c r="AG3362">
        <v>4.34</v>
      </c>
      <c r="AH3362" t="s">
        <v>14287</v>
      </c>
      <c r="AI3362" t="s">
        <v>14288</v>
      </c>
      <c r="AJ3362">
        <v>1.4</v>
      </c>
      <c r="AK3362">
        <v>2864</v>
      </c>
      <c r="AL3362">
        <v>45</v>
      </c>
      <c r="AM3362">
        <v>1E-3</v>
      </c>
      <c r="AN3362">
        <v>4</v>
      </c>
      <c r="AO3362">
        <v>8.49</v>
      </c>
      <c r="AP3362">
        <v>19.38</v>
      </c>
      <c r="AQ3362">
        <v>9.52</v>
      </c>
      <c r="AR3362">
        <v>73.17</v>
      </c>
      <c r="AS3362">
        <v>4.8</v>
      </c>
      <c r="AT3362" t="s">
        <v>1995</v>
      </c>
      <c r="AU3362">
        <v>61.26</v>
      </c>
      <c r="AV3362">
        <v>92.07</v>
      </c>
      <c r="AW3362">
        <v>2.1</v>
      </c>
      <c r="BA3362">
        <v>0.15</v>
      </c>
      <c r="BB3362">
        <v>5.73</v>
      </c>
      <c r="BC3362">
        <v>-0.66</v>
      </c>
      <c r="BD3362">
        <v>2.52</v>
      </c>
      <c r="BE3362">
        <v>1.17</v>
      </c>
      <c r="BF3362">
        <v>-4.17</v>
      </c>
      <c r="BG3362">
        <v>2</v>
      </c>
      <c r="BH3362">
        <v>-1.2</v>
      </c>
      <c r="BI3362">
        <v>20191119</v>
      </c>
      <c r="BJ3362">
        <v>20140122</v>
      </c>
      <c r="BK3362">
        <v>4.88</v>
      </c>
      <c r="BL3362" t="s">
        <v>116</v>
      </c>
      <c r="BM3362" t="s">
        <v>116</v>
      </c>
      <c r="BN3362">
        <v>80.38</v>
      </c>
      <c r="BO3362">
        <v>29.64</v>
      </c>
      <c r="BP3362">
        <v>5.91</v>
      </c>
      <c r="BQ3362">
        <v>55.78</v>
      </c>
      <c r="BR3362">
        <v>33.270000000000003</v>
      </c>
      <c r="BS3362">
        <v>29.79</v>
      </c>
      <c r="BT3362">
        <v>4.09</v>
      </c>
      <c r="BU3362">
        <v>35.450000000000003</v>
      </c>
      <c r="BV3362">
        <v>12.27</v>
      </c>
      <c r="BW3362">
        <v>7.17</v>
      </c>
      <c r="BX3362">
        <v>15.71</v>
      </c>
      <c r="BY3362">
        <v>14.22</v>
      </c>
      <c r="BZ3362">
        <v>9.09</v>
      </c>
      <c r="CA3362">
        <v>1.1599999999999999</v>
      </c>
      <c r="CB3362">
        <v>0.01</v>
      </c>
      <c r="CC3362">
        <v>1.1599999999999999</v>
      </c>
      <c r="CD3362">
        <v>1.04</v>
      </c>
      <c r="CE3362">
        <v>1.06</v>
      </c>
      <c r="CF3362">
        <v>0.78</v>
      </c>
      <c r="CG3362">
        <v>8.3699999999999992</v>
      </c>
      <c r="CH3362">
        <v>4.1900000000000004</v>
      </c>
      <c r="CI3362">
        <v>-4.34</v>
      </c>
      <c r="CJ3362">
        <v>28818</v>
      </c>
      <c r="CK3362">
        <v>9268</v>
      </c>
      <c r="CL3362" t="s">
        <v>701</v>
      </c>
      <c r="CM3362">
        <v>52.79</v>
      </c>
      <c r="CN3362">
        <v>10.99</v>
      </c>
      <c r="CO3362">
        <v>2.02</v>
      </c>
      <c r="CP3362">
        <v>16.09</v>
      </c>
      <c r="CQ3362">
        <v>4.74</v>
      </c>
      <c r="CR3362">
        <v>0.33</v>
      </c>
      <c r="CS3362" t="s">
        <v>3553</v>
      </c>
      <c r="CT3362">
        <v>6.83</v>
      </c>
      <c r="CU3362">
        <v>6.83</v>
      </c>
      <c r="CV3362">
        <v>3.22</v>
      </c>
      <c r="CW3362">
        <v>1.72</v>
      </c>
      <c r="CX3362">
        <v>0.86</v>
      </c>
      <c r="CY3362">
        <v>36.869999999999997</v>
      </c>
      <c r="CZ3362" t="s">
        <v>1210</v>
      </c>
      <c r="DA3362">
        <v>36.07</v>
      </c>
      <c r="DB3362">
        <v>8.19</v>
      </c>
      <c r="DC3362">
        <v>7.48</v>
      </c>
      <c r="DD3362">
        <v>1.48</v>
      </c>
      <c r="DE3362">
        <v>4258</v>
      </c>
      <c r="DF3362">
        <v>603308</v>
      </c>
      <c r="DG3362" t="s">
        <v>116</v>
      </c>
      <c r="DH3362" t="s">
        <v>116</v>
      </c>
      <c r="DI3362" t="s">
        <v>116</v>
      </c>
    </row>
    <row r="3363" spans="1:113" x14ac:dyDescent="0.4">
      <c r="A3363" t="str">
        <f>"603309"</f>
        <v>603309</v>
      </c>
      <c r="B3363" t="s">
        <v>14289</v>
      </c>
      <c r="C3363">
        <v>-1.74</v>
      </c>
      <c r="D3363">
        <v>14.08</v>
      </c>
      <c r="E3363">
        <v>-0.25</v>
      </c>
      <c r="F3363">
        <v>14.08</v>
      </c>
      <c r="G3363">
        <v>14.1</v>
      </c>
      <c r="H3363">
        <v>18731</v>
      </c>
      <c r="I3363">
        <v>42</v>
      </c>
      <c r="J3363">
        <v>-0.48</v>
      </c>
      <c r="K3363">
        <v>0.94</v>
      </c>
      <c r="L3363">
        <v>14.34</v>
      </c>
      <c r="M3363">
        <v>14.35</v>
      </c>
      <c r="N3363">
        <v>14.04</v>
      </c>
      <c r="O3363">
        <v>14.33</v>
      </c>
      <c r="P3363">
        <v>20.25</v>
      </c>
      <c r="Q3363">
        <v>26587368</v>
      </c>
      <c r="R3363">
        <v>0.99</v>
      </c>
      <c r="S3363" t="s">
        <v>559</v>
      </c>
      <c r="T3363" t="s">
        <v>551</v>
      </c>
      <c r="U3363">
        <v>2.16</v>
      </c>
      <c r="V3363">
        <v>14.19</v>
      </c>
      <c r="W3363">
        <v>10665</v>
      </c>
      <c r="X3363">
        <v>8066</v>
      </c>
      <c r="Y3363">
        <v>1.32</v>
      </c>
      <c r="Z3363">
        <v>68</v>
      </c>
      <c r="AA3363">
        <v>12</v>
      </c>
      <c r="AB3363" t="s">
        <v>116</v>
      </c>
      <c r="AC3363">
        <v>0</v>
      </c>
      <c r="AD3363">
        <v>0</v>
      </c>
      <c r="AE3363" t="s">
        <v>116</v>
      </c>
      <c r="AF3363" t="s">
        <v>116</v>
      </c>
      <c r="AG3363">
        <v>2</v>
      </c>
      <c r="AH3363" t="s">
        <v>4486</v>
      </c>
      <c r="AI3363" t="s">
        <v>4486</v>
      </c>
      <c r="AJ3363">
        <v>-1.67</v>
      </c>
      <c r="AK3363">
        <v>1729</v>
      </c>
      <c r="AL3363">
        <v>11</v>
      </c>
      <c r="AM3363">
        <v>5.0000000000000001E-4</v>
      </c>
      <c r="AN3363">
        <v>-3</v>
      </c>
      <c r="AO3363">
        <v>-2.36</v>
      </c>
      <c r="AP3363">
        <v>10.87</v>
      </c>
      <c r="AQ3363">
        <v>-3.16</v>
      </c>
      <c r="AR3363">
        <v>48.21</v>
      </c>
      <c r="AS3363">
        <v>2.38</v>
      </c>
      <c r="AT3363" t="s">
        <v>4808</v>
      </c>
      <c r="AU3363">
        <v>22.1</v>
      </c>
      <c r="AV3363">
        <v>43.06</v>
      </c>
      <c r="AW3363">
        <v>1.52</v>
      </c>
      <c r="BA3363">
        <v>7.0000000000000007E-2</v>
      </c>
      <c r="BB3363">
        <v>0.14000000000000001</v>
      </c>
      <c r="BC3363">
        <v>-2.02</v>
      </c>
      <c r="BD3363">
        <v>-0.95</v>
      </c>
      <c r="BE3363">
        <v>-1.81</v>
      </c>
      <c r="BF3363">
        <v>-1.88</v>
      </c>
      <c r="BG3363">
        <v>0.28000000000000003</v>
      </c>
      <c r="BH3363">
        <v>-0.8</v>
      </c>
      <c r="BI3363">
        <v>20191029</v>
      </c>
      <c r="BJ3363">
        <v>20150302</v>
      </c>
      <c r="BK3363">
        <v>2</v>
      </c>
      <c r="BL3363" t="s">
        <v>116</v>
      </c>
      <c r="BM3363" t="s">
        <v>116</v>
      </c>
      <c r="BN3363">
        <v>14.36</v>
      </c>
      <c r="BO3363">
        <v>10.119999999999999</v>
      </c>
      <c r="BP3363">
        <v>7.0000000000000007E-2</v>
      </c>
      <c r="BQ3363">
        <v>29.04</v>
      </c>
      <c r="BR3363">
        <v>4.09</v>
      </c>
      <c r="BS3363">
        <v>4.21</v>
      </c>
      <c r="BT3363">
        <v>1.51</v>
      </c>
      <c r="BU3363">
        <v>2.0699999999999998</v>
      </c>
      <c r="BV3363">
        <v>1.1299999999999999</v>
      </c>
      <c r="BW3363">
        <v>0.94</v>
      </c>
      <c r="BX3363">
        <v>3.08</v>
      </c>
      <c r="BY3363">
        <v>7.11</v>
      </c>
      <c r="BZ3363">
        <v>4.01</v>
      </c>
      <c r="CA3363">
        <v>1.24</v>
      </c>
      <c r="CB3363">
        <v>0.13</v>
      </c>
      <c r="CC3363">
        <v>1.25</v>
      </c>
      <c r="CD3363">
        <v>1.05</v>
      </c>
      <c r="CE3363">
        <v>1.04</v>
      </c>
      <c r="CF3363">
        <v>0.81</v>
      </c>
      <c r="CG3363">
        <v>4.5599999999999996</v>
      </c>
      <c r="CH3363">
        <v>1.06</v>
      </c>
      <c r="CI3363">
        <v>-0.24</v>
      </c>
      <c r="CJ3363">
        <v>21074</v>
      </c>
      <c r="CK3363">
        <v>3732</v>
      </c>
      <c r="CL3363" t="s">
        <v>4741</v>
      </c>
      <c r="CM3363">
        <v>146.85</v>
      </c>
      <c r="CN3363">
        <v>42.25</v>
      </c>
      <c r="CO3363">
        <v>2.78</v>
      </c>
      <c r="CP3363">
        <v>26.54</v>
      </c>
      <c r="CQ3363">
        <v>3.96</v>
      </c>
      <c r="CR3363">
        <v>0.71</v>
      </c>
      <c r="CS3363" t="s">
        <v>6140</v>
      </c>
      <c r="CT3363">
        <v>5.0599999999999996</v>
      </c>
      <c r="CU3363">
        <v>0</v>
      </c>
      <c r="CV3363">
        <v>1.54</v>
      </c>
      <c r="CW3363">
        <v>2.2799999999999998</v>
      </c>
      <c r="CX3363">
        <v>0.53</v>
      </c>
      <c r="CY3363">
        <v>70.45</v>
      </c>
      <c r="CZ3363" t="s">
        <v>14290</v>
      </c>
      <c r="DA3363">
        <v>43.54</v>
      </c>
      <c r="DB3363">
        <v>17.440000000000001</v>
      </c>
      <c r="DC3363">
        <v>14.67</v>
      </c>
      <c r="DD3363">
        <v>0.16</v>
      </c>
      <c r="DE3363">
        <v>2337</v>
      </c>
      <c r="DF3363">
        <v>603309</v>
      </c>
      <c r="DG3363" t="s">
        <v>116</v>
      </c>
      <c r="DH3363" t="s">
        <v>116</v>
      </c>
      <c r="DI3363" t="s">
        <v>116</v>
      </c>
    </row>
    <row r="3364" spans="1:113" x14ac:dyDescent="0.4">
      <c r="A3364" t="str">
        <f>"603311"</f>
        <v>603311</v>
      </c>
      <c r="B3364" t="s">
        <v>14291</v>
      </c>
      <c r="C3364">
        <v>-1.77</v>
      </c>
      <c r="D3364">
        <v>11.1</v>
      </c>
      <c r="E3364">
        <v>-0.2</v>
      </c>
      <c r="F3364">
        <v>11.1</v>
      </c>
      <c r="G3364">
        <v>11.15</v>
      </c>
      <c r="H3364">
        <v>17317</v>
      </c>
      <c r="I3364">
        <v>431</v>
      </c>
      <c r="J3364">
        <v>-0.53</v>
      </c>
      <c r="K3364">
        <v>0.82</v>
      </c>
      <c r="L3364">
        <v>11.25</v>
      </c>
      <c r="M3364">
        <v>11.34</v>
      </c>
      <c r="N3364">
        <v>11.1</v>
      </c>
      <c r="O3364">
        <v>11.3</v>
      </c>
      <c r="P3364">
        <v>26.69</v>
      </c>
      <c r="Q3364">
        <v>19364282</v>
      </c>
      <c r="R3364">
        <v>0.69</v>
      </c>
      <c r="S3364" t="s">
        <v>682</v>
      </c>
      <c r="T3364" t="s">
        <v>590</v>
      </c>
      <c r="U3364">
        <v>2.12</v>
      </c>
      <c r="V3364">
        <v>11.18</v>
      </c>
      <c r="W3364">
        <v>10963</v>
      </c>
      <c r="X3364">
        <v>6354</v>
      </c>
      <c r="Y3364">
        <v>1.73</v>
      </c>
      <c r="Z3364">
        <v>2</v>
      </c>
      <c r="AA3364">
        <v>36</v>
      </c>
      <c r="AB3364" t="s">
        <v>116</v>
      </c>
      <c r="AC3364">
        <v>18000</v>
      </c>
      <c r="AD3364">
        <v>0</v>
      </c>
      <c r="AE3364" t="s">
        <v>116</v>
      </c>
      <c r="AF3364" t="s">
        <v>116</v>
      </c>
      <c r="AG3364">
        <v>2.1</v>
      </c>
      <c r="AH3364" t="s">
        <v>9510</v>
      </c>
      <c r="AI3364" t="s">
        <v>9510</v>
      </c>
      <c r="AJ3364">
        <v>-1.69</v>
      </c>
      <c r="AK3364">
        <v>679</v>
      </c>
      <c r="AL3364">
        <v>26</v>
      </c>
      <c r="AM3364">
        <v>1.1999999999999999E-3</v>
      </c>
      <c r="AN3364">
        <v>-2</v>
      </c>
      <c r="AO3364">
        <v>-1.94</v>
      </c>
      <c r="AP3364">
        <v>-0.09</v>
      </c>
      <c r="AQ3364">
        <v>13.61</v>
      </c>
      <c r="AR3364">
        <v>11.22</v>
      </c>
      <c r="AS3364">
        <v>1.95</v>
      </c>
      <c r="AT3364" t="s">
        <v>6667</v>
      </c>
      <c r="AU3364">
        <v>34.1</v>
      </c>
      <c r="AV3364">
        <v>35.840000000000003</v>
      </c>
      <c r="AW3364">
        <v>0.91</v>
      </c>
      <c r="BA3364">
        <v>-0.44</v>
      </c>
      <c r="BB3364">
        <v>0.35</v>
      </c>
      <c r="BC3364">
        <v>-1.77</v>
      </c>
      <c r="BD3364">
        <v>-1.04</v>
      </c>
      <c r="BE3364">
        <v>-1.33</v>
      </c>
      <c r="BF3364">
        <v>-2.12</v>
      </c>
      <c r="BG3364">
        <v>0</v>
      </c>
      <c r="BH3364">
        <v>-0.73</v>
      </c>
      <c r="BI3364">
        <v>20191029</v>
      </c>
      <c r="BJ3364">
        <v>20150518</v>
      </c>
      <c r="BK3364">
        <v>2.1</v>
      </c>
      <c r="BL3364" t="s">
        <v>116</v>
      </c>
      <c r="BM3364" t="s">
        <v>116</v>
      </c>
      <c r="BN3364">
        <v>11.97</v>
      </c>
      <c r="BO3364">
        <v>8.07</v>
      </c>
      <c r="BP3364">
        <v>0</v>
      </c>
      <c r="BQ3364">
        <v>32.590000000000003</v>
      </c>
      <c r="BR3364">
        <v>7.75</v>
      </c>
      <c r="BS3364">
        <v>2.44</v>
      </c>
      <c r="BT3364">
        <v>0.68</v>
      </c>
      <c r="BU3364">
        <v>3.83</v>
      </c>
      <c r="BV3364">
        <v>1.3</v>
      </c>
      <c r="BW3364">
        <v>1.27</v>
      </c>
      <c r="BX3364">
        <v>2.08</v>
      </c>
      <c r="BY3364">
        <v>5.04</v>
      </c>
      <c r="BZ3364">
        <v>3.5</v>
      </c>
      <c r="CA3364">
        <v>0.78</v>
      </c>
      <c r="CB3364">
        <v>0.04</v>
      </c>
      <c r="CC3364">
        <v>0.78</v>
      </c>
      <c r="CD3364">
        <v>0.66</v>
      </c>
      <c r="CE3364">
        <v>0.66</v>
      </c>
      <c r="CF3364">
        <v>0.6</v>
      </c>
      <c r="CG3364">
        <v>3.28</v>
      </c>
      <c r="CH3364">
        <v>0.61</v>
      </c>
      <c r="CI3364">
        <v>-0.15</v>
      </c>
      <c r="CJ3364">
        <v>18398</v>
      </c>
      <c r="CK3364">
        <v>4826</v>
      </c>
      <c r="CL3364" t="s">
        <v>10445</v>
      </c>
      <c r="CM3364">
        <v>5.34</v>
      </c>
      <c r="CN3364">
        <v>16.75</v>
      </c>
      <c r="CO3364">
        <v>2.89</v>
      </c>
      <c r="CP3364">
        <v>38.090000000000003</v>
      </c>
      <c r="CQ3364">
        <v>4.62</v>
      </c>
      <c r="CR3364">
        <v>1.35</v>
      </c>
      <c r="CS3364" t="s">
        <v>4520</v>
      </c>
      <c r="CT3364">
        <v>3.84</v>
      </c>
      <c r="CU3364">
        <v>0</v>
      </c>
      <c r="CV3364">
        <v>0.99</v>
      </c>
      <c r="CW3364">
        <v>1.56</v>
      </c>
      <c r="CX3364">
        <v>0.28999999999999998</v>
      </c>
      <c r="CY3364">
        <v>67.41</v>
      </c>
      <c r="CZ3364" t="s">
        <v>11642</v>
      </c>
      <c r="DA3364">
        <v>30.65</v>
      </c>
      <c r="DB3364">
        <v>15.55</v>
      </c>
      <c r="DC3364">
        <v>12.99</v>
      </c>
      <c r="DD3364">
        <v>0.11</v>
      </c>
      <c r="DE3364">
        <v>1427</v>
      </c>
      <c r="DF3364">
        <v>603311</v>
      </c>
      <c r="DG3364" t="s">
        <v>116</v>
      </c>
      <c r="DH3364" t="s">
        <v>116</v>
      </c>
      <c r="DI3364" t="s">
        <v>116</v>
      </c>
    </row>
    <row r="3365" spans="1:113" x14ac:dyDescent="0.4">
      <c r="A3365" t="str">
        <f>"603313"</f>
        <v>603313</v>
      </c>
      <c r="B3365" t="s">
        <v>14292</v>
      </c>
      <c r="C3365">
        <v>-3.53</v>
      </c>
      <c r="D3365">
        <v>20.52</v>
      </c>
      <c r="E3365">
        <v>-0.75</v>
      </c>
      <c r="F3365">
        <v>20.52</v>
      </c>
      <c r="G3365">
        <v>20.53</v>
      </c>
      <c r="H3365">
        <v>59759</v>
      </c>
      <c r="I3365">
        <v>520</v>
      </c>
      <c r="J3365">
        <v>0.44</v>
      </c>
      <c r="K3365">
        <v>1.87</v>
      </c>
      <c r="L3365">
        <v>21.18</v>
      </c>
      <c r="M3365">
        <v>21.67</v>
      </c>
      <c r="N3365">
        <v>20.36</v>
      </c>
      <c r="O3365">
        <v>21.27</v>
      </c>
      <c r="P3365">
        <v>19.04</v>
      </c>
      <c r="Q3365">
        <v>124596760</v>
      </c>
      <c r="R3365">
        <v>0.95</v>
      </c>
      <c r="S3365" t="s">
        <v>2640</v>
      </c>
      <c r="T3365" t="s">
        <v>323</v>
      </c>
      <c r="U3365">
        <v>6.16</v>
      </c>
      <c r="V3365">
        <v>20.85</v>
      </c>
      <c r="W3365">
        <v>34811</v>
      </c>
      <c r="X3365">
        <v>24948</v>
      </c>
      <c r="Y3365">
        <v>1.4</v>
      </c>
      <c r="Z3365">
        <v>121</v>
      </c>
      <c r="AA3365">
        <v>134</v>
      </c>
      <c r="AB3365" t="s">
        <v>116</v>
      </c>
      <c r="AC3365">
        <v>171600</v>
      </c>
      <c r="AD3365">
        <v>0.01</v>
      </c>
      <c r="AE3365" t="s">
        <v>116</v>
      </c>
      <c r="AF3365" t="s">
        <v>116</v>
      </c>
      <c r="AG3365">
        <v>3.2</v>
      </c>
      <c r="AH3365" t="s">
        <v>14293</v>
      </c>
      <c r="AI3365" t="s">
        <v>14294</v>
      </c>
      <c r="AJ3365">
        <v>-3.45</v>
      </c>
      <c r="AK3365">
        <v>2424</v>
      </c>
      <c r="AL3365">
        <v>25</v>
      </c>
      <c r="AM3365">
        <v>8.0000000000000004E-4</v>
      </c>
      <c r="AN3365">
        <v>-1</v>
      </c>
      <c r="AO3365">
        <v>-2.66</v>
      </c>
      <c r="AP3365">
        <v>12.87</v>
      </c>
      <c r="AQ3365">
        <v>19.510000000000002</v>
      </c>
      <c r="AR3365">
        <v>29.43</v>
      </c>
      <c r="AS3365">
        <v>6.05</v>
      </c>
      <c r="AT3365" t="s">
        <v>894</v>
      </c>
      <c r="AU3365">
        <v>19.670000000000002</v>
      </c>
      <c r="AV3365">
        <v>35.54</v>
      </c>
      <c r="AW3365">
        <v>1.04</v>
      </c>
      <c r="BA3365">
        <v>-0.42</v>
      </c>
      <c r="BB3365">
        <v>1.88</v>
      </c>
      <c r="BC3365">
        <v>-4.28</v>
      </c>
      <c r="BD3365">
        <v>-1.98</v>
      </c>
      <c r="BE3365">
        <v>-3.12</v>
      </c>
      <c r="BF3365">
        <v>-5.31</v>
      </c>
      <c r="BG3365">
        <v>0.79</v>
      </c>
      <c r="BH3365">
        <v>-1.55</v>
      </c>
      <c r="BI3365">
        <v>20191225</v>
      </c>
      <c r="BJ3365">
        <v>20161013</v>
      </c>
      <c r="BK3365">
        <v>3.22</v>
      </c>
      <c r="BL3365" t="s">
        <v>116</v>
      </c>
      <c r="BM3365" t="s">
        <v>116</v>
      </c>
      <c r="BN3365">
        <v>40.72</v>
      </c>
      <c r="BO3365">
        <v>21.12</v>
      </c>
      <c r="BP3365">
        <v>0.45</v>
      </c>
      <c r="BQ3365">
        <v>47.05</v>
      </c>
      <c r="BR3365">
        <v>22.15</v>
      </c>
      <c r="BS3365">
        <v>9.18</v>
      </c>
      <c r="BT3365">
        <v>1.45</v>
      </c>
      <c r="BU3365">
        <v>13.02</v>
      </c>
      <c r="BV3365">
        <v>5.4</v>
      </c>
      <c r="BW3365">
        <v>6.44</v>
      </c>
      <c r="BX3365">
        <v>9.48</v>
      </c>
      <c r="BY3365">
        <v>26.39</v>
      </c>
      <c r="BZ3365">
        <v>16.62</v>
      </c>
      <c r="CA3365">
        <v>3.47</v>
      </c>
      <c r="CB3365">
        <v>-0.11</v>
      </c>
      <c r="CC3365">
        <v>3.48</v>
      </c>
      <c r="CD3365">
        <v>2.74</v>
      </c>
      <c r="CE3365">
        <v>2.6</v>
      </c>
      <c r="CF3365">
        <v>2.69</v>
      </c>
      <c r="CG3365">
        <v>6.48</v>
      </c>
      <c r="CH3365">
        <v>1.47</v>
      </c>
      <c r="CI3365">
        <v>-2.92</v>
      </c>
      <c r="CJ3365">
        <v>20863</v>
      </c>
      <c r="CK3365">
        <v>4737</v>
      </c>
      <c r="CL3365" t="s">
        <v>14295</v>
      </c>
      <c r="CM3365">
        <v>135.88999999999999</v>
      </c>
      <c r="CN3365">
        <v>25.4</v>
      </c>
      <c r="CO3365">
        <v>3.3</v>
      </c>
      <c r="CP3365">
        <v>45.1</v>
      </c>
      <c r="CQ3365">
        <v>2.5099999999999998</v>
      </c>
      <c r="CR3365">
        <v>1.49</v>
      </c>
      <c r="CS3365" t="s">
        <v>9381</v>
      </c>
      <c r="CT3365">
        <v>6.22</v>
      </c>
      <c r="CU3365">
        <v>6.22</v>
      </c>
      <c r="CV3365">
        <v>2.94</v>
      </c>
      <c r="CW3365">
        <v>2.0099999999999998</v>
      </c>
      <c r="CX3365">
        <v>0.45</v>
      </c>
      <c r="CY3365">
        <v>51.85</v>
      </c>
      <c r="CZ3365" t="s">
        <v>14296</v>
      </c>
      <c r="DA3365">
        <v>37.01</v>
      </c>
      <c r="DB3365">
        <v>13.15</v>
      </c>
      <c r="DC3365">
        <v>9.8699999999999992</v>
      </c>
      <c r="DD3365">
        <v>0.67</v>
      </c>
      <c r="DE3365">
        <v>3832</v>
      </c>
      <c r="DF3365">
        <v>603313</v>
      </c>
      <c r="DG3365" t="s">
        <v>116</v>
      </c>
      <c r="DH3365" t="s">
        <v>116</v>
      </c>
      <c r="DI3365" t="s">
        <v>116</v>
      </c>
    </row>
    <row r="3366" spans="1:113" x14ac:dyDescent="0.4">
      <c r="A3366" t="str">
        <f>"603315"</f>
        <v>603315</v>
      </c>
      <c r="B3366" t="s">
        <v>14297</v>
      </c>
      <c r="C3366">
        <v>-1.1000000000000001</v>
      </c>
      <c r="D3366">
        <v>11.74</v>
      </c>
      <c r="E3366">
        <v>-0.13</v>
      </c>
      <c r="F3366">
        <v>11.73</v>
      </c>
      <c r="G3366">
        <v>11.74</v>
      </c>
      <c r="H3366">
        <v>16567</v>
      </c>
      <c r="I3366">
        <v>99</v>
      </c>
      <c r="J3366">
        <v>-0.08</v>
      </c>
      <c r="K3366">
        <v>0.75</v>
      </c>
      <c r="L3366">
        <v>11.9</v>
      </c>
      <c r="M3366">
        <v>11.94</v>
      </c>
      <c r="N3366">
        <v>11.74</v>
      </c>
      <c r="O3366">
        <v>11.87</v>
      </c>
      <c r="P3366">
        <v>34.479999999999997</v>
      </c>
      <c r="Q3366">
        <v>19599844</v>
      </c>
      <c r="R3366">
        <v>0.84</v>
      </c>
      <c r="S3366" t="s">
        <v>996</v>
      </c>
      <c r="T3366" t="s">
        <v>434</v>
      </c>
      <c r="U3366">
        <v>1.68</v>
      </c>
      <c r="V3366">
        <v>11.83</v>
      </c>
      <c r="W3366">
        <v>10897</v>
      </c>
      <c r="X3366">
        <v>5670</v>
      </c>
      <c r="Y3366">
        <v>1.92</v>
      </c>
      <c r="Z3366">
        <v>44</v>
      </c>
      <c r="AA3366">
        <v>12</v>
      </c>
      <c r="AB3366" t="s">
        <v>116</v>
      </c>
      <c r="AC3366">
        <v>19000</v>
      </c>
      <c r="AD3366">
        <v>0</v>
      </c>
      <c r="AE3366" t="s">
        <v>116</v>
      </c>
      <c r="AF3366" t="s">
        <v>116</v>
      </c>
      <c r="AG3366">
        <v>2.2000000000000002</v>
      </c>
      <c r="AH3366" t="s">
        <v>14298</v>
      </c>
      <c r="AI3366" t="s">
        <v>2682</v>
      </c>
      <c r="AJ3366">
        <v>-1.02</v>
      </c>
      <c r="AK3366">
        <v>977</v>
      </c>
      <c r="AL3366">
        <v>17</v>
      </c>
      <c r="AM3366">
        <v>8.0000000000000004E-4</v>
      </c>
      <c r="AN3366">
        <v>-1</v>
      </c>
      <c r="AO3366">
        <v>-1.35</v>
      </c>
      <c r="AP3366">
        <v>7.51</v>
      </c>
      <c r="AQ3366">
        <v>-3.77</v>
      </c>
      <c r="AR3366">
        <v>3.66</v>
      </c>
      <c r="AS3366">
        <v>1.69</v>
      </c>
      <c r="AT3366" t="s">
        <v>12276</v>
      </c>
      <c r="AU3366">
        <v>71.27</v>
      </c>
      <c r="AV3366">
        <v>384.35</v>
      </c>
      <c r="AW3366">
        <v>1.04</v>
      </c>
      <c r="BA3366">
        <v>0.25</v>
      </c>
      <c r="BB3366">
        <v>0.59</v>
      </c>
      <c r="BC3366">
        <v>-1.1000000000000001</v>
      </c>
      <c r="BD3366">
        <v>-0.33</v>
      </c>
      <c r="BE3366">
        <v>-1.34</v>
      </c>
      <c r="BF3366">
        <v>-1.68</v>
      </c>
      <c r="BG3366">
        <v>0</v>
      </c>
      <c r="BH3366">
        <v>-0.76</v>
      </c>
      <c r="BI3366">
        <v>20191108</v>
      </c>
      <c r="BJ3366">
        <v>20150424</v>
      </c>
      <c r="BK3366">
        <v>3.07</v>
      </c>
      <c r="BL3366" t="s">
        <v>116</v>
      </c>
      <c r="BM3366" t="s">
        <v>116</v>
      </c>
      <c r="BN3366">
        <v>19.420000000000002</v>
      </c>
      <c r="BO3366">
        <v>12.84</v>
      </c>
      <c r="BP3366">
        <v>-0.01</v>
      </c>
      <c r="BQ3366">
        <v>33.950000000000003</v>
      </c>
      <c r="BR3366">
        <v>14.21</v>
      </c>
      <c r="BS3366">
        <v>3.79</v>
      </c>
      <c r="BT3366">
        <v>0.38</v>
      </c>
      <c r="BU3366">
        <v>6.19</v>
      </c>
      <c r="BV3366">
        <v>3.36</v>
      </c>
      <c r="BW3366">
        <v>6.67</v>
      </c>
      <c r="BX3366">
        <v>5.99</v>
      </c>
      <c r="BY3366">
        <v>5.71</v>
      </c>
      <c r="BZ3366">
        <v>4.25</v>
      </c>
      <c r="CA3366">
        <v>0.84</v>
      </c>
      <c r="CB3366">
        <v>0</v>
      </c>
      <c r="CC3366">
        <v>0.84</v>
      </c>
      <c r="CD3366">
        <v>0.78</v>
      </c>
      <c r="CE3366">
        <v>0.78</v>
      </c>
      <c r="CF3366">
        <v>0.2</v>
      </c>
      <c r="CG3366">
        <v>3.37</v>
      </c>
      <c r="CH3366">
        <v>0.23</v>
      </c>
      <c r="CI3366">
        <v>0.01</v>
      </c>
      <c r="CJ3366">
        <v>14783</v>
      </c>
      <c r="CK3366">
        <v>6632</v>
      </c>
      <c r="CL3366" t="s">
        <v>8572</v>
      </c>
      <c r="CM3366">
        <v>110.73</v>
      </c>
      <c r="CN3366">
        <v>49.1</v>
      </c>
      <c r="CO3366">
        <v>2.81</v>
      </c>
      <c r="CP3366">
        <v>158.85</v>
      </c>
      <c r="CQ3366">
        <v>6.31</v>
      </c>
      <c r="CR3366">
        <v>0.09</v>
      </c>
      <c r="CS3366" t="s">
        <v>758</v>
      </c>
      <c r="CT3366">
        <v>4.18</v>
      </c>
      <c r="CU3366">
        <v>0</v>
      </c>
      <c r="CV3366">
        <v>1.95</v>
      </c>
      <c r="CW3366">
        <v>1.1000000000000001</v>
      </c>
      <c r="CX3366">
        <v>7.0000000000000007E-2</v>
      </c>
      <c r="CY3366">
        <v>66.099999999999994</v>
      </c>
      <c r="CZ3366" t="s">
        <v>4343</v>
      </c>
      <c r="DA3366">
        <v>25.63</v>
      </c>
      <c r="DB3366">
        <v>14.71</v>
      </c>
      <c r="DC3366">
        <v>13.73</v>
      </c>
      <c r="DD3366">
        <v>0.16</v>
      </c>
      <c r="DE3366">
        <v>484</v>
      </c>
      <c r="DF3366">
        <v>603315</v>
      </c>
      <c r="DG3366" t="s">
        <v>116</v>
      </c>
      <c r="DH3366" t="s">
        <v>116</v>
      </c>
      <c r="DI3366" t="s">
        <v>116</v>
      </c>
    </row>
    <row r="3367" spans="1:113" x14ac:dyDescent="0.4">
      <c r="A3367" t="str">
        <f>"603316"</f>
        <v>603316</v>
      </c>
      <c r="B3367" t="s">
        <v>14299</v>
      </c>
      <c r="C3367">
        <v>-1.08</v>
      </c>
      <c r="D3367">
        <v>9.14</v>
      </c>
      <c r="E3367">
        <v>-0.1</v>
      </c>
      <c r="F3367">
        <v>9.14</v>
      </c>
      <c r="G3367">
        <v>9.15</v>
      </c>
      <c r="H3367">
        <v>12522</v>
      </c>
      <c r="I3367">
        <v>117</v>
      </c>
      <c r="J3367">
        <v>-0.21</v>
      </c>
      <c r="K3367">
        <v>1.19</v>
      </c>
      <c r="L3367">
        <v>9.25</v>
      </c>
      <c r="M3367">
        <v>9.2899999999999991</v>
      </c>
      <c r="N3367">
        <v>9.14</v>
      </c>
      <c r="O3367">
        <v>9.24</v>
      </c>
      <c r="P3367">
        <v>60.52</v>
      </c>
      <c r="Q3367">
        <v>11543382</v>
      </c>
      <c r="R3367">
        <v>0.86</v>
      </c>
      <c r="S3367" t="s">
        <v>181</v>
      </c>
      <c r="T3367" t="s">
        <v>590</v>
      </c>
      <c r="U3367">
        <v>1.62</v>
      </c>
      <c r="V3367">
        <v>9.2200000000000006</v>
      </c>
      <c r="W3367">
        <v>7365</v>
      </c>
      <c r="X3367">
        <v>5157</v>
      </c>
      <c r="Y3367">
        <v>1.43</v>
      </c>
      <c r="Z3367">
        <v>48</v>
      </c>
      <c r="AA3367">
        <v>58</v>
      </c>
      <c r="AB3367" t="s">
        <v>116</v>
      </c>
      <c r="AC3367">
        <v>137800</v>
      </c>
      <c r="AD3367">
        <v>0.01</v>
      </c>
      <c r="AE3367" t="s">
        <v>116</v>
      </c>
      <c r="AF3367" t="s">
        <v>116</v>
      </c>
      <c r="AG3367">
        <v>1.05</v>
      </c>
      <c r="AH3367" t="s">
        <v>14300</v>
      </c>
      <c r="AI3367" t="s">
        <v>5886</v>
      </c>
      <c r="AJ3367">
        <v>-1.01</v>
      </c>
      <c r="AK3367">
        <v>1014</v>
      </c>
      <c r="AL3367">
        <v>12</v>
      </c>
      <c r="AM3367">
        <v>1.1999999999999999E-3</v>
      </c>
      <c r="AN3367">
        <v>-3</v>
      </c>
      <c r="AO3367">
        <v>-3.27</v>
      </c>
      <c r="AP3367">
        <v>-8.7799999999999994</v>
      </c>
      <c r="AQ3367">
        <v>-2.04</v>
      </c>
      <c r="AR3367">
        <v>18.95</v>
      </c>
      <c r="AS3367">
        <v>1.19</v>
      </c>
      <c r="AT3367" t="s">
        <v>14300</v>
      </c>
      <c r="AU3367">
        <v>50.21</v>
      </c>
      <c r="AV3367">
        <v>33.119999999999997</v>
      </c>
      <c r="AW3367">
        <v>0.1</v>
      </c>
      <c r="BA3367">
        <v>0.11</v>
      </c>
      <c r="BB3367">
        <v>0.54</v>
      </c>
      <c r="BC3367">
        <v>-1.08</v>
      </c>
      <c r="BD3367">
        <v>-0.23</v>
      </c>
      <c r="BE3367">
        <v>-1.19</v>
      </c>
      <c r="BF3367">
        <v>-1.61</v>
      </c>
      <c r="BG3367">
        <v>0</v>
      </c>
      <c r="BH3367">
        <v>-0.85</v>
      </c>
      <c r="BI3367">
        <v>20191028</v>
      </c>
      <c r="BJ3367">
        <v>20170619</v>
      </c>
      <c r="BK3367">
        <v>2.0299999999999998</v>
      </c>
      <c r="BL3367" t="s">
        <v>116</v>
      </c>
      <c r="BM3367" t="s">
        <v>116</v>
      </c>
      <c r="BN3367">
        <v>19.07</v>
      </c>
      <c r="BO3367">
        <v>8.5399999999999991</v>
      </c>
      <c r="BP3367">
        <v>0</v>
      </c>
      <c r="BQ3367">
        <v>55.22</v>
      </c>
      <c r="BR3367">
        <v>13.56</v>
      </c>
      <c r="BS3367">
        <v>0.17</v>
      </c>
      <c r="BT3367">
        <v>0.02</v>
      </c>
      <c r="BU3367">
        <v>6.87</v>
      </c>
      <c r="BV3367">
        <v>4.16</v>
      </c>
      <c r="BW3367">
        <v>3.6</v>
      </c>
      <c r="BX3367">
        <v>3.34</v>
      </c>
      <c r="BY3367">
        <v>5.0199999999999996</v>
      </c>
      <c r="BZ3367">
        <v>3.87</v>
      </c>
      <c r="CA3367">
        <v>0.22</v>
      </c>
      <c r="CB3367">
        <v>0.06</v>
      </c>
      <c r="CC3367">
        <v>0.22</v>
      </c>
      <c r="CD3367">
        <v>0.23</v>
      </c>
      <c r="CE3367">
        <v>0.23</v>
      </c>
      <c r="CF3367">
        <v>0.17</v>
      </c>
      <c r="CG3367">
        <v>2.86</v>
      </c>
      <c r="CH3367">
        <v>-0.94</v>
      </c>
      <c r="CI3367">
        <v>4.18</v>
      </c>
      <c r="CJ3367">
        <v>8963</v>
      </c>
      <c r="CK3367">
        <v>11723</v>
      </c>
      <c r="CL3367" t="s">
        <v>14301</v>
      </c>
      <c r="CM3367">
        <v>-45.34</v>
      </c>
      <c r="CN3367">
        <v>-5.27</v>
      </c>
      <c r="CO3367">
        <v>2.1800000000000002</v>
      </c>
      <c r="CP3367">
        <v>-19.7</v>
      </c>
      <c r="CQ3367">
        <v>3.7</v>
      </c>
      <c r="CR3367">
        <v>0.61</v>
      </c>
      <c r="CS3367" t="s">
        <v>7492</v>
      </c>
      <c r="CT3367">
        <v>4.2</v>
      </c>
      <c r="CU3367">
        <v>0</v>
      </c>
      <c r="CV3367">
        <v>1.64</v>
      </c>
      <c r="CW3367">
        <v>1.4</v>
      </c>
      <c r="CX3367">
        <v>-0.46</v>
      </c>
      <c r="CY3367">
        <v>44.78</v>
      </c>
      <c r="CZ3367" t="s">
        <v>8688</v>
      </c>
      <c r="DA3367">
        <v>23.02</v>
      </c>
      <c r="DB3367">
        <v>4.3499999999999996</v>
      </c>
      <c r="DC3367">
        <v>4.58</v>
      </c>
      <c r="DD3367">
        <v>0.23</v>
      </c>
      <c r="DE3367">
        <v>666</v>
      </c>
      <c r="DF3367">
        <v>603316</v>
      </c>
      <c r="DG3367" t="s">
        <v>116</v>
      </c>
      <c r="DH3367" t="s">
        <v>116</v>
      </c>
      <c r="DI3367" t="s">
        <v>116</v>
      </c>
    </row>
    <row r="3368" spans="1:113" x14ac:dyDescent="0.4">
      <c r="A3368" t="str">
        <f>"603317"</f>
        <v>603317</v>
      </c>
      <c r="B3368" t="s">
        <v>14302</v>
      </c>
      <c r="C3368">
        <v>-0.81</v>
      </c>
      <c r="D3368">
        <v>45.56</v>
      </c>
      <c r="E3368">
        <v>-0.37</v>
      </c>
      <c r="F3368">
        <v>45.56</v>
      </c>
      <c r="G3368">
        <v>45.58</v>
      </c>
      <c r="H3368">
        <v>12987</v>
      </c>
      <c r="I3368">
        <v>136</v>
      </c>
      <c r="J3368">
        <v>0.02</v>
      </c>
      <c r="K3368">
        <v>3.14</v>
      </c>
      <c r="L3368">
        <v>45.94</v>
      </c>
      <c r="M3368">
        <v>47</v>
      </c>
      <c r="N3368">
        <v>45.52</v>
      </c>
      <c r="O3368">
        <v>45.93</v>
      </c>
      <c r="P3368">
        <v>72.22</v>
      </c>
      <c r="Q3368">
        <v>60047556</v>
      </c>
      <c r="R3368">
        <v>0.83</v>
      </c>
      <c r="S3368" t="s">
        <v>863</v>
      </c>
      <c r="T3368" t="s">
        <v>582</v>
      </c>
      <c r="U3368">
        <v>3.22</v>
      </c>
      <c r="V3368">
        <v>46.24</v>
      </c>
      <c r="W3368">
        <v>7865</v>
      </c>
      <c r="X3368">
        <v>5122</v>
      </c>
      <c r="Y3368">
        <v>1.54</v>
      </c>
      <c r="Z3368">
        <v>18</v>
      </c>
      <c r="AA3368">
        <v>26</v>
      </c>
      <c r="AB3368" t="s">
        <v>116</v>
      </c>
      <c r="AC3368">
        <v>87300</v>
      </c>
      <c r="AD3368">
        <v>0</v>
      </c>
      <c r="AE3368" t="s">
        <v>116</v>
      </c>
      <c r="AF3368" t="s">
        <v>116</v>
      </c>
      <c r="AG3368">
        <v>0.41</v>
      </c>
      <c r="AH3368" t="s">
        <v>6246</v>
      </c>
      <c r="AI3368" t="s">
        <v>14303</v>
      </c>
      <c r="AJ3368">
        <v>-0.73</v>
      </c>
      <c r="AK3368">
        <v>1586</v>
      </c>
      <c r="AL3368">
        <v>8</v>
      </c>
      <c r="AM3368">
        <v>2E-3</v>
      </c>
      <c r="AN3368">
        <v>-1</v>
      </c>
      <c r="AO3368">
        <v>-0.23</v>
      </c>
      <c r="AP3368">
        <v>4.9000000000000004</v>
      </c>
      <c r="AQ3368">
        <v>-8.66</v>
      </c>
      <c r="AR3368">
        <v>243.59</v>
      </c>
      <c r="AS3368">
        <v>3.14</v>
      </c>
      <c r="AT3368" t="s">
        <v>6246</v>
      </c>
      <c r="AU3368">
        <v>63.05</v>
      </c>
      <c r="AV3368">
        <v>70.599999999999994</v>
      </c>
      <c r="AW3368">
        <v>1.19</v>
      </c>
      <c r="BA3368">
        <v>0.02</v>
      </c>
      <c r="BB3368">
        <v>2.33</v>
      </c>
      <c r="BC3368">
        <v>-0.89</v>
      </c>
      <c r="BD3368">
        <v>0.67</v>
      </c>
      <c r="BE3368">
        <v>-0.83</v>
      </c>
      <c r="BF3368">
        <v>-3.06</v>
      </c>
      <c r="BG3368">
        <v>0.09</v>
      </c>
      <c r="BH3368">
        <v>-1.47</v>
      </c>
      <c r="BI3368">
        <v>20191029</v>
      </c>
      <c r="BJ3368">
        <v>20190416</v>
      </c>
      <c r="BK3368">
        <v>4.13</v>
      </c>
      <c r="BL3368" t="s">
        <v>116</v>
      </c>
      <c r="BM3368" t="s">
        <v>116</v>
      </c>
      <c r="BN3368">
        <v>20.7</v>
      </c>
      <c r="BO3368">
        <v>17.399999999999999</v>
      </c>
      <c r="BP3368">
        <v>0</v>
      </c>
      <c r="BQ3368">
        <v>15.93</v>
      </c>
      <c r="BR3368">
        <v>16.850000000000001</v>
      </c>
      <c r="BS3368">
        <v>3.46</v>
      </c>
      <c r="BT3368">
        <v>0.34</v>
      </c>
      <c r="BU3368">
        <v>3.24</v>
      </c>
      <c r="BV3368">
        <v>1.2</v>
      </c>
      <c r="BW3368">
        <v>7.0000000000000007E-2</v>
      </c>
      <c r="BX3368">
        <v>4.8600000000000003</v>
      </c>
      <c r="BY3368">
        <v>10.78</v>
      </c>
      <c r="BZ3368">
        <v>6.75</v>
      </c>
      <c r="CA3368">
        <v>2.19</v>
      </c>
      <c r="CB3368">
        <v>0.18</v>
      </c>
      <c r="CC3368">
        <v>2.2999999999999998</v>
      </c>
      <c r="CD3368">
        <v>1.95</v>
      </c>
      <c r="CE3368">
        <v>1.95</v>
      </c>
      <c r="CF3368">
        <v>1.69</v>
      </c>
      <c r="CG3368">
        <v>7.06</v>
      </c>
      <c r="CH3368">
        <v>2.79</v>
      </c>
      <c r="CI3368">
        <v>4.3</v>
      </c>
      <c r="CJ3368">
        <v>13931</v>
      </c>
      <c r="CK3368">
        <v>2966</v>
      </c>
      <c r="CL3368" t="s">
        <v>13916</v>
      </c>
      <c r="CM3368">
        <v>0</v>
      </c>
      <c r="CN3368">
        <v>0</v>
      </c>
      <c r="CO3368">
        <v>10.82</v>
      </c>
      <c r="CP3368">
        <v>67.53</v>
      </c>
      <c r="CQ3368">
        <v>17.47</v>
      </c>
      <c r="CR3368">
        <v>0.44</v>
      </c>
      <c r="CS3368" t="s">
        <v>1744</v>
      </c>
      <c r="CT3368">
        <v>4.21</v>
      </c>
      <c r="CU3368">
        <v>0</v>
      </c>
      <c r="CV3368">
        <v>1.18</v>
      </c>
      <c r="CW3368">
        <v>1.71</v>
      </c>
      <c r="CX3368">
        <v>0.67</v>
      </c>
      <c r="CY3368">
        <v>84.07</v>
      </c>
      <c r="CZ3368" t="s">
        <v>12318</v>
      </c>
      <c r="DA3368">
        <v>37.369999999999997</v>
      </c>
      <c r="DB3368">
        <v>20.309999999999999</v>
      </c>
      <c r="DC3368">
        <v>18.14</v>
      </c>
      <c r="DD3368">
        <v>0.18</v>
      </c>
      <c r="DE3368">
        <v>1594</v>
      </c>
      <c r="DF3368">
        <v>603317</v>
      </c>
      <c r="DG3368" t="s">
        <v>116</v>
      </c>
      <c r="DH3368" t="s">
        <v>116</v>
      </c>
      <c r="DI3368" t="s">
        <v>116</v>
      </c>
    </row>
    <row r="3369" spans="1:113" x14ac:dyDescent="0.4">
      <c r="A3369" t="str">
        <f>"603318"</f>
        <v>603318</v>
      </c>
      <c r="B3369" t="s">
        <v>14304</v>
      </c>
      <c r="C3369">
        <v>-1.69</v>
      </c>
      <c r="D3369">
        <v>11.66</v>
      </c>
      <c r="E3369">
        <v>-0.2</v>
      </c>
      <c r="F3369">
        <v>11.66</v>
      </c>
      <c r="G3369">
        <v>11.67</v>
      </c>
      <c r="H3369">
        <v>162244</v>
      </c>
      <c r="I3369">
        <v>2714</v>
      </c>
      <c r="J3369">
        <v>-0.16</v>
      </c>
      <c r="K3369">
        <v>4.03</v>
      </c>
      <c r="L3369">
        <v>11.87</v>
      </c>
      <c r="M3369">
        <v>12</v>
      </c>
      <c r="N3369">
        <v>11.65</v>
      </c>
      <c r="O3369">
        <v>11.86</v>
      </c>
      <c r="P3369" t="s">
        <v>116</v>
      </c>
      <c r="Q3369">
        <v>192000512</v>
      </c>
      <c r="R3369">
        <v>0.73</v>
      </c>
      <c r="S3369" t="s">
        <v>682</v>
      </c>
      <c r="T3369" t="s">
        <v>434</v>
      </c>
      <c r="U3369">
        <v>2.95</v>
      </c>
      <c r="V3369">
        <v>11.83</v>
      </c>
      <c r="W3369">
        <v>93752</v>
      </c>
      <c r="X3369">
        <v>68492</v>
      </c>
      <c r="Y3369">
        <v>1.37</v>
      </c>
      <c r="Z3369">
        <v>1336</v>
      </c>
      <c r="AA3369">
        <v>770</v>
      </c>
      <c r="AB3369" t="s">
        <v>116</v>
      </c>
      <c r="AC3369">
        <v>950800</v>
      </c>
      <c r="AD3369">
        <v>0.05</v>
      </c>
      <c r="AE3369" t="s">
        <v>116</v>
      </c>
      <c r="AF3369" t="s">
        <v>116</v>
      </c>
      <c r="AG3369">
        <v>4.0199999999999996</v>
      </c>
      <c r="AH3369" t="s">
        <v>14305</v>
      </c>
      <c r="AI3369" t="s">
        <v>14305</v>
      </c>
      <c r="AJ3369">
        <v>-1.61</v>
      </c>
      <c r="AK3369">
        <v>2988</v>
      </c>
      <c r="AL3369">
        <v>54</v>
      </c>
      <c r="AM3369">
        <v>1.4E-3</v>
      </c>
      <c r="AN3369">
        <v>-3</v>
      </c>
      <c r="AO3369">
        <v>-3.96</v>
      </c>
      <c r="AP3369">
        <v>3.09</v>
      </c>
      <c r="AQ3369">
        <v>-59.63</v>
      </c>
      <c r="AR3369">
        <v>-6.42</v>
      </c>
      <c r="AS3369">
        <v>10.32</v>
      </c>
      <c r="AT3369" t="s">
        <v>14306</v>
      </c>
      <c r="AU3369" t="s">
        <v>116</v>
      </c>
      <c r="AV3369">
        <v>1070.1099999999999</v>
      </c>
      <c r="AW3369">
        <v>1.21</v>
      </c>
      <c r="BA3369">
        <v>0.08</v>
      </c>
      <c r="BB3369">
        <v>1.18</v>
      </c>
      <c r="BC3369">
        <v>-1.77</v>
      </c>
      <c r="BD3369">
        <v>-0.22</v>
      </c>
      <c r="BE3369">
        <v>-1.77</v>
      </c>
      <c r="BF3369">
        <v>-2.83</v>
      </c>
      <c r="BG3369">
        <v>0.09</v>
      </c>
      <c r="BH3369">
        <v>-1.47</v>
      </c>
      <c r="BI3369">
        <v>20191107</v>
      </c>
      <c r="BJ3369">
        <v>20150424</v>
      </c>
      <c r="BK3369">
        <v>4.0199999999999996</v>
      </c>
      <c r="BL3369" t="s">
        <v>116</v>
      </c>
      <c r="BM3369" t="s">
        <v>116</v>
      </c>
      <c r="BN3369">
        <v>17.2</v>
      </c>
      <c r="BO3369">
        <v>9.58</v>
      </c>
      <c r="BP3369">
        <v>0</v>
      </c>
      <c r="BQ3369">
        <v>44.28</v>
      </c>
      <c r="BR3369">
        <v>7.37</v>
      </c>
      <c r="BS3369">
        <v>2.54</v>
      </c>
      <c r="BT3369">
        <v>0.23</v>
      </c>
      <c r="BU3369">
        <v>4.3099999999999996</v>
      </c>
      <c r="BV3369">
        <v>1.45</v>
      </c>
      <c r="BW3369">
        <v>2.88</v>
      </c>
      <c r="BX3369">
        <v>5.15</v>
      </c>
      <c r="BY3369">
        <v>2.58</v>
      </c>
      <c r="BZ3369">
        <v>2.3199999999999998</v>
      </c>
      <c r="CA3369">
        <v>-0.7</v>
      </c>
      <c r="CB3369">
        <v>0.01</v>
      </c>
      <c r="CC3369">
        <v>-0.7</v>
      </c>
      <c r="CD3369">
        <v>-0.66</v>
      </c>
      <c r="CE3369">
        <v>-0.66</v>
      </c>
      <c r="CF3369">
        <v>-0.68</v>
      </c>
      <c r="CG3369">
        <v>0.11</v>
      </c>
      <c r="CH3369">
        <v>0.82</v>
      </c>
      <c r="CI3369">
        <v>-1.56</v>
      </c>
      <c r="CJ3369">
        <v>7026</v>
      </c>
      <c r="CK3369">
        <v>22367</v>
      </c>
      <c r="CL3369" t="s">
        <v>14307</v>
      </c>
      <c r="CM3369">
        <v>-717.91</v>
      </c>
      <c r="CN3369">
        <v>-22.11</v>
      </c>
      <c r="CO3369">
        <v>4.8899999999999997</v>
      </c>
      <c r="CP3369">
        <v>57.42</v>
      </c>
      <c r="CQ3369">
        <v>18.2</v>
      </c>
      <c r="CR3369">
        <v>0</v>
      </c>
      <c r="CS3369" t="s">
        <v>10062</v>
      </c>
      <c r="CT3369">
        <v>2.38</v>
      </c>
      <c r="CU3369">
        <v>0</v>
      </c>
      <c r="CV3369">
        <v>1.28</v>
      </c>
      <c r="CW3369">
        <v>0.03</v>
      </c>
      <c r="CX3369">
        <v>0.2</v>
      </c>
      <c r="CY3369">
        <v>55.72</v>
      </c>
      <c r="CZ3369" t="s">
        <v>14308</v>
      </c>
      <c r="DA3369">
        <v>9.91</v>
      </c>
      <c r="DB3369">
        <v>-27.13</v>
      </c>
      <c r="DC3369">
        <v>-25.7</v>
      </c>
      <c r="DD3369">
        <v>0.08</v>
      </c>
      <c r="DE3369">
        <v>504</v>
      </c>
      <c r="DF3369">
        <v>603318</v>
      </c>
      <c r="DG3369" t="s">
        <v>116</v>
      </c>
      <c r="DH3369" t="s">
        <v>116</v>
      </c>
      <c r="DI3369" t="s">
        <v>116</v>
      </c>
    </row>
    <row r="3370" spans="1:113" x14ac:dyDescent="0.4">
      <c r="A3370" t="str">
        <f>"603319"</f>
        <v>603319</v>
      </c>
      <c r="B3370" t="s">
        <v>14309</v>
      </c>
      <c r="C3370">
        <v>1.24</v>
      </c>
      <c r="D3370">
        <v>17.920000000000002</v>
      </c>
      <c r="E3370">
        <v>0.22</v>
      </c>
      <c r="F3370">
        <v>17.87</v>
      </c>
      <c r="G3370">
        <v>17.920000000000002</v>
      </c>
      <c r="H3370">
        <v>14128</v>
      </c>
      <c r="I3370">
        <v>45</v>
      </c>
      <c r="J3370">
        <v>0.28000000000000003</v>
      </c>
      <c r="K3370">
        <v>1.35</v>
      </c>
      <c r="L3370">
        <v>17.7</v>
      </c>
      <c r="M3370">
        <v>18.3</v>
      </c>
      <c r="N3370">
        <v>17.7</v>
      </c>
      <c r="O3370">
        <v>17.7</v>
      </c>
      <c r="P3370">
        <v>18.329999999999998</v>
      </c>
      <c r="Q3370">
        <v>25424610</v>
      </c>
      <c r="R3370">
        <v>1.64</v>
      </c>
      <c r="S3370" t="s">
        <v>293</v>
      </c>
      <c r="T3370" t="s">
        <v>599</v>
      </c>
      <c r="U3370">
        <v>3.39</v>
      </c>
      <c r="V3370">
        <v>18</v>
      </c>
      <c r="W3370">
        <v>7556</v>
      </c>
      <c r="X3370">
        <v>6572</v>
      </c>
      <c r="Y3370">
        <v>1.1499999999999999</v>
      </c>
      <c r="Z3370">
        <v>126</v>
      </c>
      <c r="AA3370">
        <v>136</v>
      </c>
      <c r="AB3370" t="s">
        <v>116</v>
      </c>
      <c r="AC3370">
        <v>0</v>
      </c>
      <c r="AD3370">
        <v>0</v>
      </c>
      <c r="AE3370" t="s">
        <v>116</v>
      </c>
      <c r="AF3370" t="s">
        <v>116</v>
      </c>
      <c r="AG3370">
        <v>1.05</v>
      </c>
      <c r="AH3370" t="s">
        <v>1393</v>
      </c>
      <c r="AI3370" t="s">
        <v>1393</v>
      </c>
      <c r="AJ3370">
        <v>1.32</v>
      </c>
      <c r="AK3370">
        <v>871</v>
      </c>
      <c r="AL3370">
        <v>16</v>
      </c>
      <c r="AM3370">
        <v>1.5E-3</v>
      </c>
      <c r="AN3370">
        <v>4</v>
      </c>
      <c r="AO3370">
        <v>3.27</v>
      </c>
      <c r="AP3370">
        <v>9.8000000000000007</v>
      </c>
      <c r="AQ3370">
        <v>6.35</v>
      </c>
      <c r="AR3370">
        <v>17.239999999999998</v>
      </c>
      <c r="AS3370">
        <v>1.93</v>
      </c>
      <c r="AT3370" t="s">
        <v>9767</v>
      </c>
      <c r="AU3370">
        <v>18.7</v>
      </c>
      <c r="AV3370">
        <v>19.36</v>
      </c>
      <c r="AW3370">
        <v>0.7</v>
      </c>
      <c r="BA3370">
        <v>0</v>
      </c>
      <c r="BB3370">
        <v>3.39</v>
      </c>
      <c r="BC3370">
        <v>0</v>
      </c>
      <c r="BD3370">
        <v>1.67</v>
      </c>
      <c r="BE3370">
        <v>1.24</v>
      </c>
      <c r="BF3370">
        <v>-2.08</v>
      </c>
      <c r="BG3370">
        <v>1.24</v>
      </c>
      <c r="BH3370">
        <v>-0.43</v>
      </c>
      <c r="BI3370">
        <v>20191217</v>
      </c>
      <c r="BJ3370">
        <v>20161130</v>
      </c>
      <c r="BK3370">
        <v>1.05</v>
      </c>
      <c r="BL3370" t="s">
        <v>116</v>
      </c>
      <c r="BM3370" t="s">
        <v>116</v>
      </c>
      <c r="BN3370">
        <v>16.190000000000001</v>
      </c>
      <c r="BO3370">
        <v>7.73</v>
      </c>
      <c r="BP3370">
        <v>0.02</v>
      </c>
      <c r="BQ3370">
        <v>52.12</v>
      </c>
      <c r="BR3370">
        <v>7.99</v>
      </c>
      <c r="BS3370">
        <v>4.38</v>
      </c>
      <c r="BT3370">
        <v>0.94</v>
      </c>
      <c r="BU3370">
        <v>6.62</v>
      </c>
      <c r="BV3370">
        <v>2.2000000000000002</v>
      </c>
      <c r="BW3370">
        <v>2.92</v>
      </c>
      <c r="BX3370">
        <v>1.78</v>
      </c>
      <c r="BY3370">
        <v>6.87</v>
      </c>
      <c r="BZ3370">
        <v>4.7</v>
      </c>
      <c r="CA3370">
        <v>0.87</v>
      </c>
      <c r="CB3370">
        <v>0</v>
      </c>
      <c r="CC3370">
        <v>0.87</v>
      </c>
      <c r="CD3370">
        <v>0.78</v>
      </c>
      <c r="CE3370">
        <v>0.77</v>
      </c>
      <c r="CF3370">
        <v>0.73</v>
      </c>
      <c r="CG3370">
        <v>4.5999999999999996</v>
      </c>
      <c r="CH3370">
        <v>0.36</v>
      </c>
      <c r="CI3370">
        <v>0.13</v>
      </c>
      <c r="CJ3370">
        <v>7859</v>
      </c>
      <c r="CK3370">
        <v>9338</v>
      </c>
      <c r="CL3370" t="s">
        <v>14310</v>
      </c>
      <c r="CM3370">
        <v>4.66</v>
      </c>
      <c r="CN3370">
        <v>3.98</v>
      </c>
      <c r="CO3370">
        <v>2.4300000000000002</v>
      </c>
      <c r="CP3370">
        <v>51.71</v>
      </c>
      <c r="CQ3370">
        <v>2.74</v>
      </c>
      <c r="CR3370">
        <v>1.57</v>
      </c>
      <c r="CS3370" t="s">
        <v>1598</v>
      </c>
      <c r="CT3370">
        <v>7.37</v>
      </c>
      <c r="CU3370">
        <v>0</v>
      </c>
      <c r="CV3370">
        <v>1.7</v>
      </c>
      <c r="CW3370">
        <v>4.38</v>
      </c>
      <c r="CX3370">
        <v>0.35</v>
      </c>
      <c r="CY3370">
        <v>47.78</v>
      </c>
      <c r="CZ3370" t="s">
        <v>9260</v>
      </c>
      <c r="DA3370">
        <v>31.6</v>
      </c>
      <c r="DB3370">
        <v>12.63</v>
      </c>
      <c r="DC3370">
        <v>11.2</v>
      </c>
      <c r="DD3370">
        <v>0.46</v>
      </c>
      <c r="DE3370">
        <v>1811</v>
      </c>
      <c r="DF3370">
        <v>603319</v>
      </c>
      <c r="DG3370" t="s">
        <v>116</v>
      </c>
      <c r="DH3370" t="s">
        <v>116</v>
      </c>
      <c r="DI3370" t="s">
        <v>116</v>
      </c>
    </row>
    <row r="3371" spans="1:113" x14ac:dyDescent="0.4">
      <c r="A3371" t="str">
        <f>"603320"</f>
        <v>603320</v>
      </c>
      <c r="B3371" t="s">
        <v>14311</v>
      </c>
      <c r="C3371">
        <v>-0.83</v>
      </c>
      <c r="D3371">
        <v>16.66</v>
      </c>
      <c r="E3371">
        <v>-0.14000000000000001</v>
      </c>
      <c r="F3371">
        <v>16.66</v>
      </c>
      <c r="G3371">
        <v>16.670000000000002</v>
      </c>
      <c r="H3371">
        <v>7157</v>
      </c>
      <c r="I3371">
        <v>35</v>
      </c>
      <c r="J3371">
        <v>0.06</v>
      </c>
      <c r="K3371">
        <v>2.2000000000000002</v>
      </c>
      <c r="L3371">
        <v>16.78</v>
      </c>
      <c r="M3371">
        <v>16.89</v>
      </c>
      <c r="N3371">
        <v>16.61</v>
      </c>
      <c r="O3371">
        <v>16.8</v>
      </c>
      <c r="P3371">
        <v>36.869999999999997</v>
      </c>
      <c r="Q3371">
        <v>12002448</v>
      </c>
      <c r="R3371">
        <v>1.1000000000000001</v>
      </c>
      <c r="S3371" t="s">
        <v>996</v>
      </c>
      <c r="T3371" t="s">
        <v>590</v>
      </c>
      <c r="U3371">
        <v>1.67</v>
      </c>
      <c r="V3371">
        <v>16.77</v>
      </c>
      <c r="W3371">
        <v>3432</v>
      </c>
      <c r="X3371">
        <v>3725</v>
      </c>
      <c r="Y3371">
        <v>0.92</v>
      </c>
      <c r="Z3371">
        <v>3</v>
      </c>
      <c r="AA3371">
        <v>48</v>
      </c>
      <c r="AB3371" t="s">
        <v>116</v>
      </c>
      <c r="AC3371">
        <v>0</v>
      </c>
      <c r="AD3371">
        <v>0</v>
      </c>
      <c r="AE3371" t="s">
        <v>116</v>
      </c>
      <c r="AF3371" t="s">
        <v>116</v>
      </c>
      <c r="AG3371">
        <v>0.33</v>
      </c>
      <c r="AH3371" t="s">
        <v>14312</v>
      </c>
      <c r="AI3371" t="s">
        <v>1228</v>
      </c>
      <c r="AJ3371">
        <v>-0.76</v>
      </c>
      <c r="AK3371">
        <v>763</v>
      </c>
      <c r="AL3371">
        <v>9</v>
      </c>
      <c r="AM3371">
        <v>2.8999999999999998E-3</v>
      </c>
      <c r="AN3371">
        <v>-1</v>
      </c>
      <c r="AO3371">
        <v>1.34</v>
      </c>
      <c r="AP3371">
        <v>5.04</v>
      </c>
      <c r="AQ3371">
        <v>-5.72</v>
      </c>
      <c r="AR3371">
        <v>-7.65</v>
      </c>
      <c r="AS3371">
        <v>2.2000000000000002</v>
      </c>
      <c r="AT3371" t="s">
        <v>14312</v>
      </c>
      <c r="AU3371">
        <v>40.770000000000003</v>
      </c>
      <c r="AV3371">
        <v>38.9</v>
      </c>
      <c r="AW3371">
        <v>1.04</v>
      </c>
      <c r="BA3371">
        <v>-0.12</v>
      </c>
      <c r="BB3371">
        <v>0.54</v>
      </c>
      <c r="BC3371">
        <v>-1.1299999999999999</v>
      </c>
      <c r="BD3371">
        <v>-0.17</v>
      </c>
      <c r="BE3371">
        <v>-0.72</v>
      </c>
      <c r="BF3371">
        <v>-1.36</v>
      </c>
      <c r="BG3371">
        <v>0.3</v>
      </c>
      <c r="BH3371">
        <v>-0.66</v>
      </c>
      <c r="BI3371">
        <v>20191029</v>
      </c>
      <c r="BJ3371">
        <v>20170502</v>
      </c>
      <c r="BK3371">
        <v>1</v>
      </c>
      <c r="BL3371" t="s">
        <v>116</v>
      </c>
      <c r="BM3371" t="s">
        <v>116</v>
      </c>
      <c r="BN3371">
        <v>7.72</v>
      </c>
      <c r="BO3371">
        <v>6.41</v>
      </c>
      <c r="BP3371">
        <v>0.02</v>
      </c>
      <c r="BQ3371">
        <v>16.760000000000002</v>
      </c>
      <c r="BR3371">
        <v>4.96</v>
      </c>
      <c r="BS3371">
        <v>1.36</v>
      </c>
      <c r="BT3371">
        <v>0.65</v>
      </c>
      <c r="BU3371">
        <v>1.06</v>
      </c>
      <c r="BV3371">
        <v>1.23</v>
      </c>
      <c r="BW3371">
        <v>0.97</v>
      </c>
      <c r="BX3371">
        <v>2.1800000000000002</v>
      </c>
      <c r="BY3371">
        <v>5.1100000000000003</v>
      </c>
      <c r="BZ3371">
        <v>4.37</v>
      </c>
      <c r="CA3371">
        <v>0.39</v>
      </c>
      <c r="CB3371">
        <v>0.01</v>
      </c>
      <c r="CC3371">
        <v>0.39</v>
      </c>
      <c r="CD3371">
        <v>0.34</v>
      </c>
      <c r="CE3371">
        <v>0.34</v>
      </c>
      <c r="CF3371">
        <v>0.31</v>
      </c>
      <c r="CG3371">
        <v>2.98</v>
      </c>
      <c r="CH3371">
        <v>0.6</v>
      </c>
      <c r="CI3371">
        <v>0.65</v>
      </c>
      <c r="CJ3371">
        <v>10871</v>
      </c>
      <c r="CK3371">
        <v>2990</v>
      </c>
      <c r="CL3371" t="s">
        <v>2763</v>
      </c>
      <c r="CM3371">
        <v>-5.48</v>
      </c>
      <c r="CN3371">
        <v>5.07</v>
      </c>
      <c r="CO3371">
        <v>2.6</v>
      </c>
      <c r="CP3371">
        <v>27.84</v>
      </c>
      <c r="CQ3371">
        <v>3.26</v>
      </c>
      <c r="CR3371">
        <v>0.78</v>
      </c>
      <c r="CS3371" t="s">
        <v>3416</v>
      </c>
      <c r="CT3371">
        <v>6.41</v>
      </c>
      <c r="CU3371">
        <v>0</v>
      </c>
      <c r="CV3371">
        <v>2.1800000000000002</v>
      </c>
      <c r="CW3371">
        <v>2.98</v>
      </c>
      <c r="CX3371">
        <v>0.6</v>
      </c>
      <c r="CY3371">
        <v>82.98</v>
      </c>
      <c r="CZ3371" t="s">
        <v>1054</v>
      </c>
      <c r="DA3371">
        <v>14.56</v>
      </c>
      <c r="DB3371">
        <v>7.67</v>
      </c>
      <c r="DC3371">
        <v>6.63</v>
      </c>
      <c r="DD3371">
        <v>0.19</v>
      </c>
      <c r="DE3371">
        <v>741</v>
      </c>
      <c r="DF3371">
        <v>603320</v>
      </c>
      <c r="DG3371" t="s">
        <v>116</v>
      </c>
      <c r="DH3371" t="s">
        <v>116</v>
      </c>
      <c r="DI3371" t="s">
        <v>116</v>
      </c>
    </row>
    <row r="3372" spans="1:113" x14ac:dyDescent="0.4">
      <c r="A3372" t="str">
        <f>"603321"</f>
        <v>603321</v>
      </c>
      <c r="B3372" t="s">
        <v>14313</v>
      </c>
      <c r="C3372">
        <v>-0.61</v>
      </c>
      <c r="D3372">
        <v>8.11</v>
      </c>
      <c r="E3372">
        <v>-0.05</v>
      </c>
      <c r="F3372">
        <v>8.11</v>
      </c>
      <c r="G3372">
        <v>8.1199999999999992</v>
      </c>
      <c r="H3372">
        <v>13259</v>
      </c>
      <c r="I3372">
        <v>35</v>
      </c>
      <c r="J3372">
        <v>-0.24</v>
      </c>
      <c r="K3372">
        <v>1.1399999999999999</v>
      </c>
      <c r="L3372">
        <v>8.23</v>
      </c>
      <c r="M3372">
        <v>8.23</v>
      </c>
      <c r="N3372">
        <v>8.08</v>
      </c>
      <c r="O3372">
        <v>8.16</v>
      </c>
      <c r="P3372">
        <v>60.41</v>
      </c>
      <c r="Q3372">
        <v>10804381</v>
      </c>
      <c r="R3372">
        <v>0.39</v>
      </c>
      <c r="S3372" t="s">
        <v>164</v>
      </c>
      <c r="T3372" t="s">
        <v>590</v>
      </c>
      <c r="U3372">
        <v>1.84</v>
      </c>
      <c r="V3372">
        <v>8.15</v>
      </c>
      <c r="W3372">
        <v>7988</v>
      </c>
      <c r="X3372">
        <v>5271</v>
      </c>
      <c r="Y3372">
        <v>1.52</v>
      </c>
      <c r="Z3372">
        <v>64</v>
      </c>
      <c r="AA3372">
        <v>226</v>
      </c>
      <c r="AB3372" t="s">
        <v>116</v>
      </c>
      <c r="AC3372">
        <v>157200</v>
      </c>
      <c r="AD3372">
        <v>0.02</v>
      </c>
      <c r="AE3372" t="s">
        <v>116</v>
      </c>
      <c r="AF3372" t="s">
        <v>116</v>
      </c>
      <c r="AG3372">
        <v>1.1599999999999999</v>
      </c>
      <c r="AH3372" t="s">
        <v>7298</v>
      </c>
      <c r="AI3372" t="s">
        <v>8765</v>
      </c>
      <c r="AJ3372">
        <v>-0.54</v>
      </c>
      <c r="AK3372">
        <v>810</v>
      </c>
      <c r="AL3372">
        <v>16</v>
      </c>
      <c r="AM3372">
        <v>1.4E-3</v>
      </c>
      <c r="AN3372">
        <v>-1</v>
      </c>
      <c r="AO3372">
        <v>0.63</v>
      </c>
      <c r="AP3372">
        <v>3.71</v>
      </c>
      <c r="AQ3372">
        <v>-3.34</v>
      </c>
      <c r="AR3372">
        <v>15.36</v>
      </c>
      <c r="AS3372">
        <v>1.32</v>
      </c>
      <c r="AT3372" t="s">
        <v>6167</v>
      </c>
      <c r="AU3372">
        <v>71.14</v>
      </c>
      <c r="AV3372">
        <v>49.65</v>
      </c>
      <c r="AW3372">
        <v>1</v>
      </c>
      <c r="BA3372">
        <v>0.86</v>
      </c>
      <c r="BB3372">
        <v>0.86</v>
      </c>
      <c r="BC3372">
        <v>-0.98</v>
      </c>
      <c r="BD3372">
        <v>-0.14000000000000001</v>
      </c>
      <c r="BE3372">
        <v>-1.46</v>
      </c>
      <c r="BF3372">
        <v>-1.46</v>
      </c>
      <c r="BG3372">
        <v>0.37</v>
      </c>
      <c r="BH3372">
        <v>-0.47</v>
      </c>
      <c r="BI3372">
        <v>20191029</v>
      </c>
      <c r="BJ3372">
        <v>20170915</v>
      </c>
      <c r="BK3372">
        <v>3.07</v>
      </c>
      <c r="BL3372" t="s">
        <v>116</v>
      </c>
      <c r="BM3372" t="s">
        <v>116</v>
      </c>
      <c r="BN3372">
        <v>15.6</v>
      </c>
      <c r="BO3372">
        <v>10.43</v>
      </c>
      <c r="BP3372">
        <v>0</v>
      </c>
      <c r="BQ3372">
        <v>33.15</v>
      </c>
      <c r="BR3372">
        <v>11.35</v>
      </c>
      <c r="BS3372">
        <v>2.75</v>
      </c>
      <c r="BT3372">
        <v>0.42</v>
      </c>
      <c r="BU3372">
        <v>5.0599999999999996</v>
      </c>
      <c r="BV3372">
        <v>1.05</v>
      </c>
      <c r="BW3372">
        <v>2.25</v>
      </c>
      <c r="BX3372">
        <v>3.45</v>
      </c>
      <c r="BY3372">
        <v>5.0199999999999996</v>
      </c>
      <c r="BZ3372">
        <v>3.75</v>
      </c>
      <c r="CA3372">
        <v>0.39</v>
      </c>
      <c r="CB3372">
        <v>0.16</v>
      </c>
      <c r="CC3372">
        <v>0.37</v>
      </c>
      <c r="CD3372">
        <v>0.31</v>
      </c>
      <c r="CE3372">
        <v>0.31</v>
      </c>
      <c r="CF3372">
        <v>0.17</v>
      </c>
      <c r="CG3372">
        <v>3.44</v>
      </c>
      <c r="CH3372">
        <v>0.64</v>
      </c>
      <c r="CI3372">
        <v>0.16</v>
      </c>
      <c r="CJ3372">
        <v>19370</v>
      </c>
      <c r="CK3372">
        <v>5201</v>
      </c>
      <c r="CL3372" t="s">
        <v>3877</v>
      </c>
      <c r="CM3372">
        <v>-32.880000000000003</v>
      </c>
      <c r="CN3372">
        <v>-1.26</v>
      </c>
      <c r="CO3372">
        <v>2.39</v>
      </c>
      <c r="CP3372">
        <v>38.64</v>
      </c>
      <c r="CQ3372">
        <v>4.96</v>
      </c>
      <c r="CR3372">
        <v>0.62</v>
      </c>
      <c r="CS3372" t="s">
        <v>3235</v>
      </c>
      <c r="CT3372">
        <v>3.4</v>
      </c>
      <c r="CU3372">
        <v>0</v>
      </c>
      <c r="CV3372">
        <v>1.1200000000000001</v>
      </c>
      <c r="CW3372">
        <v>1.1200000000000001</v>
      </c>
      <c r="CX3372">
        <v>0.21</v>
      </c>
      <c r="CY3372">
        <v>66.849999999999994</v>
      </c>
      <c r="CZ3372" t="s">
        <v>5095</v>
      </c>
      <c r="DA3372">
        <v>25.36</v>
      </c>
      <c r="DB3372">
        <v>7.75</v>
      </c>
      <c r="DC3372">
        <v>6.16</v>
      </c>
      <c r="DD3372">
        <v>0.21</v>
      </c>
      <c r="DE3372">
        <v>576</v>
      </c>
      <c r="DF3372">
        <v>603321</v>
      </c>
      <c r="DG3372" t="s">
        <v>116</v>
      </c>
      <c r="DH3372" t="s">
        <v>116</v>
      </c>
      <c r="DI3372" t="s">
        <v>116</v>
      </c>
    </row>
    <row r="3373" spans="1:113" x14ac:dyDescent="0.4">
      <c r="A3373" t="str">
        <f>"603322"</f>
        <v>603322</v>
      </c>
      <c r="B3373" t="s">
        <v>14314</v>
      </c>
      <c r="C3373">
        <v>-1.62</v>
      </c>
      <c r="D3373">
        <v>20.7</v>
      </c>
      <c r="E3373">
        <v>-0.34</v>
      </c>
      <c r="F3373">
        <v>20.7</v>
      </c>
      <c r="G3373">
        <v>20.71</v>
      </c>
      <c r="H3373">
        <v>26854</v>
      </c>
      <c r="I3373">
        <v>806</v>
      </c>
      <c r="J3373">
        <v>-0.04</v>
      </c>
      <c r="K3373">
        <v>1.72</v>
      </c>
      <c r="L3373">
        <v>21.04</v>
      </c>
      <c r="M3373">
        <v>21.22</v>
      </c>
      <c r="N3373">
        <v>20.7</v>
      </c>
      <c r="O3373">
        <v>21.04</v>
      </c>
      <c r="P3373" t="s">
        <v>116</v>
      </c>
      <c r="Q3373">
        <v>56082340</v>
      </c>
      <c r="R3373">
        <v>0.86</v>
      </c>
      <c r="S3373" t="s">
        <v>465</v>
      </c>
      <c r="T3373" t="s">
        <v>551</v>
      </c>
      <c r="U3373">
        <v>2.4700000000000002</v>
      </c>
      <c r="V3373">
        <v>20.88</v>
      </c>
      <c r="W3373">
        <v>16692</v>
      </c>
      <c r="X3373">
        <v>10162</v>
      </c>
      <c r="Y3373">
        <v>1.64</v>
      </c>
      <c r="Z3373">
        <v>592</v>
      </c>
      <c r="AA3373">
        <v>10</v>
      </c>
      <c r="AB3373" t="s">
        <v>116</v>
      </c>
      <c r="AC3373">
        <v>122000</v>
      </c>
      <c r="AD3373">
        <v>0.01</v>
      </c>
      <c r="AE3373" t="s">
        <v>116</v>
      </c>
      <c r="AF3373" t="s">
        <v>116</v>
      </c>
      <c r="AG3373">
        <v>1.57</v>
      </c>
      <c r="AH3373" t="s">
        <v>8515</v>
      </c>
      <c r="AI3373" t="s">
        <v>8515</v>
      </c>
      <c r="AJ3373">
        <v>-1.54</v>
      </c>
      <c r="AK3373">
        <v>1742</v>
      </c>
      <c r="AL3373">
        <v>15</v>
      </c>
      <c r="AM3373">
        <v>1E-3</v>
      </c>
      <c r="AN3373">
        <v>-1</v>
      </c>
      <c r="AO3373">
        <v>-0.91</v>
      </c>
      <c r="AP3373">
        <v>-3.72</v>
      </c>
      <c r="AQ3373">
        <v>-7.3</v>
      </c>
      <c r="AR3373">
        <v>-14.74</v>
      </c>
      <c r="AS3373">
        <v>4.28</v>
      </c>
      <c r="AT3373" t="s">
        <v>5600</v>
      </c>
      <c r="AU3373" t="s">
        <v>116</v>
      </c>
      <c r="AV3373">
        <v>130.41999999999999</v>
      </c>
      <c r="AW3373">
        <v>1.87</v>
      </c>
      <c r="BA3373">
        <v>0</v>
      </c>
      <c r="BB3373">
        <v>0.86</v>
      </c>
      <c r="BC3373">
        <v>-1.62</v>
      </c>
      <c r="BD3373">
        <v>-0.74</v>
      </c>
      <c r="BE3373">
        <v>-1.62</v>
      </c>
      <c r="BF3373">
        <v>-2.4500000000000002</v>
      </c>
      <c r="BG3373">
        <v>0</v>
      </c>
      <c r="BH3373">
        <v>-0.87</v>
      </c>
      <c r="BI3373">
        <v>20191031</v>
      </c>
      <c r="BJ3373">
        <v>20160728</v>
      </c>
      <c r="BK3373">
        <v>1.57</v>
      </c>
      <c r="BL3373" t="s">
        <v>116</v>
      </c>
      <c r="BM3373" t="s">
        <v>116</v>
      </c>
      <c r="BN3373">
        <v>22.23</v>
      </c>
      <c r="BO3373">
        <v>4.3</v>
      </c>
      <c r="BP3373">
        <v>2.23</v>
      </c>
      <c r="BQ3373">
        <v>70.61</v>
      </c>
      <c r="BR3373">
        <v>18.61</v>
      </c>
      <c r="BS3373">
        <v>0.61</v>
      </c>
      <c r="BT3373">
        <v>0.84</v>
      </c>
      <c r="BU3373">
        <v>13.84</v>
      </c>
      <c r="BV3373">
        <v>1.1299999999999999</v>
      </c>
      <c r="BW3373">
        <v>14.37</v>
      </c>
      <c r="BX3373">
        <v>1.77</v>
      </c>
      <c r="BY3373">
        <v>9.35</v>
      </c>
      <c r="BZ3373">
        <v>7.58</v>
      </c>
      <c r="CA3373">
        <v>-0.28000000000000003</v>
      </c>
      <c r="CB3373">
        <v>0.05</v>
      </c>
      <c r="CC3373">
        <v>-0.28999999999999998</v>
      </c>
      <c r="CD3373">
        <v>-0.28000000000000003</v>
      </c>
      <c r="CE3373">
        <v>-0.48</v>
      </c>
      <c r="CF3373">
        <v>-0.56000000000000005</v>
      </c>
      <c r="CG3373">
        <v>0.96</v>
      </c>
      <c r="CH3373">
        <v>-2.1</v>
      </c>
      <c r="CI3373">
        <v>-2.2400000000000002</v>
      </c>
      <c r="CJ3373">
        <v>19957</v>
      </c>
      <c r="CK3373">
        <v>3147</v>
      </c>
      <c r="CL3373" t="s">
        <v>14315</v>
      </c>
      <c r="CM3373">
        <v>-534.21</v>
      </c>
      <c r="CN3373">
        <v>1.05</v>
      </c>
      <c r="CO3373">
        <v>7.54</v>
      </c>
      <c r="CP3373">
        <v>-15.46</v>
      </c>
      <c r="CQ3373">
        <v>3.47</v>
      </c>
      <c r="CR3373">
        <v>0.34</v>
      </c>
      <c r="CS3373" t="s">
        <v>14316</v>
      </c>
      <c r="CT3373">
        <v>2.75</v>
      </c>
      <c r="CU3373">
        <v>0</v>
      </c>
      <c r="CV3373">
        <v>1.1299999999999999</v>
      </c>
      <c r="CW3373">
        <v>0.61</v>
      </c>
      <c r="CX3373">
        <v>-1.34</v>
      </c>
      <c r="CY3373">
        <v>19.34</v>
      </c>
      <c r="CZ3373" t="s">
        <v>14317</v>
      </c>
      <c r="DA3373">
        <v>18.940000000000001</v>
      </c>
      <c r="DB3373">
        <v>-3</v>
      </c>
      <c r="DC3373">
        <v>-5.1100000000000003</v>
      </c>
      <c r="DD3373">
        <v>0.49</v>
      </c>
      <c r="DE3373">
        <v>3337</v>
      </c>
      <c r="DF3373">
        <v>603322</v>
      </c>
      <c r="DG3373" t="s">
        <v>116</v>
      </c>
      <c r="DH3373" t="s">
        <v>116</v>
      </c>
      <c r="DI3373" t="s">
        <v>116</v>
      </c>
    </row>
    <row r="3374" spans="1:113" x14ac:dyDescent="0.4">
      <c r="A3374" t="str">
        <f>"603323"</f>
        <v>603323</v>
      </c>
      <c r="B3374" t="s">
        <v>14318</v>
      </c>
      <c r="C3374">
        <v>-0.76</v>
      </c>
      <c r="D3374">
        <v>5.23</v>
      </c>
      <c r="E3374">
        <v>-0.04</v>
      </c>
      <c r="F3374">
        <v>5.23</v>
      </c>
      <c r="G3374">
        <v>5.24</v>
      </c>
      <c r="H3374">
        <v>259703</v>
      </c>
      <c r="I3374">
        <v>4408</v>
      </c>
      <c r="J3374">
        <v>0</v>
      </c>
      <c r="K3374">
        <v>1.91</v>
      </c>
      <c r="L3374">
        <v>5.25</v>
      </c>
      <c r="M3374">
        <v>5.37</v>
      </c>
      <c r="N3374">
        <v>5.22</v>
      </c>
      <c r="O3374">
        <v>5.27</v>
      </c>
      <c r="P3374">
        <v>8.5399999999999991</v>
      </c>
      <c r="Q3374">
        <v>137424112</v>
      </c>
      <c r="R3374">
        <v>0.98</v>
      </c>
      <c r="S3374" t="s">
        <v>114</v>
      </c>
      <c r="T3374" t="s">
        <v>323</v>
      </c>
      <c r="U3374">
        <v>2.85</v>
      </c>
      <c r="V3374">
        <v>5.29</v>
      </c>
      <c r="W3374">
        <v>146327</v>
      </c>
      <c r="X3374">
        <v>113376</v>
      </c>
      <c r="Y3374">
        <v>1.29</v>
      </c>
      <c r="Z3374">
        <v>2518</v>
      </c>
      <c r="AA3374">
        <v>3778</v>
      </c>
      <c r="AB3374" t="s">
        <v>116</v>
      </c>
      <c r="AC3374">
        <v>479900</v>
      </c>
      <c r="AD3374">
        <v>0.01</v>
      </c>
      <c r="AE3374" t="s">
        <v>116</v>
      </c>
      <c r="AF3374" t="s">
        <v>116</v>
      </c>
      <c r="AG3374">
        <v>13.62</v>
      </c>
      <c r="AH3374" t="s">
        <v>14319</v>
      </c>
      <c r="AI3374" t="s">
        <v>14320</v>
      </c>
      <c r="AJ3374">
        <v>-0.68</v>
      </c>
      <c r="AK3374">
        <v>1896</v>
      </c>
      <c r="AL3374">
        <v>137</v>
      </c>
      <c r="AM3374">
        <v>1E-3</v>
      </c>
      <c r="AN3374">
        <v>-1</v>
      </c>
      <c r="AO3374">
        <v>0.19</v>
      </c>
      <c r="AP3374">
        <v>5.23</v>
      </c>
      <c r="AQ3374">
        <v>-1.32</v>
      </c>
      <c r="AR3374">
        <v>-4.28</v>
      </c>
      <c r="AS3374">
        <v>2.17</v>
      </c>
      <c r="AT3374" t="s">
        <v>14321</v>
      </c>
      <c r="AU3374">
        <v>10.35</v>
      </c>
      <c r="AV3374">
        <v>11.76</v>
      </c>
      <c r="AW3374">
        <v>1.41</v>
      </c>
      <c r="BA3374">
        <v>-0.38</v>
      </c>
      <c r="BB3374">
        <v>1.9</v>
      </c>
      <c r="BC3374">
        <v>-0.95</v>
      </c>
      <c r="BD3374">
        <v>0.41</v>
      </c>
      <c r="BE3374">
        <v>-0.38</v>
      </c>
      <c r="BF3374">
        <v>-2.61</v>
      </c>
      <c r="BG3374">
        <v>0.19</v>
      </c>
      <c r="BH3374">
        <v>-1.17</v>
      </c>
      <c r="BI3374">
        <v>20191128</v>
      </c>
      <c r="BJ3374">
        <v>20161129</v>
      </c>
      <c r="BK3374">
        <v>18.03</v>
      </c>
      <c r="BL3374" t="s">
        <v>116</v>
      </c>
      <c r="BM3374" t="s">
        <v>116</v>
      </c>
      <c r="BN3374">
        <v>1261.78</v>
      </c>
      <c r="BO3374">
        <v>113.6</v>
      </c>
      <c r="BP3374">
        <v>1.1299999999999999</v>
      </c>
      <c r="BQ3374">
        <v>90.91</v>
      </c>
      <c r="BR3374">
        <v>0</v>
      </c>
      <c r="BS3374">
        <v>6.8</v>
      </c>
      <c r="BT3374">
        <v>2.16</v>
      </c>
      <c r="BU3374">
        <v>0</v>
      </c>
      <c r="BV3374">
        <v>0</v>
      </c>
      <c r="BW3374">
        <v>0</v>
      </c>
      <c r="BX3374">
        <v>22.9</v>
      </c>
      <c r="BY3374">
        <v>26.09</v>
      </c>
      <c r="BZ3374">
        <v>0</v>
      </c>
      <c r="CA3374">
        <v>9.23</v>
      </c>
      <c r="CB3374">
        <v>3.35</v>
      </c>
      <c r="CC3374">
        <v>9.3699999999999992</v>
      </c>
      <c r="CD3374">
        <v>8.3000000000000007</v>
      </c>
      <c r="CE3374">
        <v>8.2799999999999994</v>
      </c>
      <c r="CF3374">
        <v>8.17</v>
      </c>
      <c r="CG3374">
        <v>12.06</v>
      </c>
      <c r="CH3374">
        <v>-4.72</v>
      </c>
      <c r="CI3374">
        <v>-9.7100000000000009</v>
      </c>
      <c r="CJ3374">
        <v>44880</v>
      </c>
      <c r="CK3374">
        <v>26653</v>
      </c>
      <c r="CL3374" t="s">
        <v>11472</v>
      </c>
      <c r="CM3374">
        <v>15.11</v>
      </c>
      <c r="CN3374">
        <v>13.9</v>
      </c>
      <c r="CO3374">
        <v>0.83</v>
      </c>
      <c r="CP3374">
        <v>-20</v>
      </c>
      <c r="CQ3374">
        <v>3.61</v>
      </c>
      <c r="CR3374">
        <v>1.74</v>
      </c>
      <c r="CS3374" t="s">
        <v>7005</v>
      </c>
      <c r="CT3374">
        <v>6.3</v>
      </c>
      <c r="CU3374">
        <v>6.3</v>
      </c>
      <c r="CV3374">
        <v>1.27</v>
      </c>
      <c r="CW3374">
        <v>0.67</v>
      </c>
      <c r="CX3374">
        <v>-0.26</v>
      </c>
      <c r="CY3374">
        <v>9</v>
      </c>
      <c r="CZ3374" t="s">
        <v>12548</v>
      </c>
      <c r="DA3374" t="s">
        <v>116</v>
      </c>
      <c r="DB3374">
        <v>35.39</v>
      </c>
      <c r="DC3374">
        <v>31.73</v>
      </c>
      <c r="DD3374">
        <v>0</v>
      </c>
      <c r="DE3374">
        <v>1529</v>
      </c>
      <c r="DF3374">
        <v>603323</v>
      </c>
      <c r="DG3374" t="s">
        <v>116</v>
      </c>
      <c r="DH3374" t="s">
        <v>116</v>
      </c>
      <c r="DI3374" t="s">
        <v>116</v>
      </c>
    </row>
    <row r="3375" spans="1:113" x14ac:dyDescent="0.4">
      <c r="A3375" t="str">
        <f>"603326"</f>
        <v>603326</v>
      </c>
      <c r="B3375" t="s">
        <v>14322</v>
      </c>
      <c r="C3375">
        <v>-2.88</v>
      </c>
      <c r="D3375">
        <v>15.5</v>
      </c>
      <c r="E3375">
        <v>-0.46</v>
      </c>
      <c r="F3375">
        <v>15.45</v>
      </c>
      <c r="G3375">
        <v>15.5</v>
      </c>
      <c r="H3375">
        <v>25793</v>
      </c>
      <c r="I3375">
        <v>295</v>
      </c>
      <c r="J3375">
        <v>0.65</v>
      </c>
      <c r="K3375">
        <v>4.01</v>
      </c>
      <c r="L3375">
        <v>16.03</v>
      </c>
      <c r="M3375">
        <v>16.079999999999998</v>
      </c>
      <c r="N3375">
        <v>15.27</v>
      </c>
      <c r="O3375">
        <v>15.96</v>
      </c>
      <c r="P3375">
        <v>26.71</v>
      </c>
      <c r="Q3375">
        <v>40007968</v>
      </c>
      <c r="R3375">
        <v>1.6</v>
      </c>
      <c r="S3375" t="s">
        <v>2640</v>
      </c>
      <c r="T3375" t="s">
        <v>323</v>
      </c>
      <c r="U3375">
        <v>5.08</v>
      </c>
      <c r="V3375">
        <v>15.51</v>
      </c>
      <c r="W3375">
        <v>14016</v>
      </c>
      <c r="X3375">
        <v>11777</v>
      </c>
      <c r="Y3375">
        <v>1.19</v>
      </c>
      <c r="Z3375">
        <v>30</v>
      </c>
      <c r="AA3375">
        <v>26</v>
      </c>
      <c r="AB3375" t="s">
        <v>116</v>
      </c>
      <c r="AC3375">
        <v>409400</v>
      </c>
      <c r="AD3375">
        <v>0.04</v>
      </c>
      <c r="AE3375" t="s">
        <v>116</v>
      </c>
      <c r="AF3375" t="s">
        <v>116</v>
      </c>
      <c r="AG3375">
        <v>0.64</v>
      </c>
      <c r="AH3375" t="s">
        <v>7955</v>
      </c>
      <c r="AI3375" t="s">
        <v>14323</v>
      </c>
      <c r="AJ3375">
        <v>-2.81</v>
      </c>
      <c r="AK3375">
        <v>1631</v>
      </c>
      <c r="AL3375">
        <v>16</v>
      </c>
      <c r="AM3375">
        <v>2.5000000000000001E-3</v>
      </c>
      <c r="AN3375">
        <v>-1</v>
      </c>
      <c r="AO3375">
        <v>5.09</v>
      </c>
      <c r="AP3375">
        <v>9.93</v>
      </c>
      <c r="AQ3375">
        <v>27.26</v>
      </c>
      <c r="AR3375">
        <v>40.270000000000003</v>
      </c>
      <c r="AS3375">
        <v>4.01</v>
      </c>
      <c r="AT3375" t="s">
        <v>7955</v>
      </c>
      <c r="AU3375">
        <v>26.27</v>
      </c>
      <c r="AV3375">
        <v>34.39</v>
      </c>
      <c r="AW3375">
        <v>0.5</v>
      </c>
      <c r="BA3375">
        <v>0.44</v>
      </c>
      <c r="BB3375">
        <v>0.75</v>
      </c>
      <c r="BC3375">
        <v>-4.32</v>
      </c>
      <c r="BD3375">
        <v>-2.81</v>
      </c>
      <c r="BE3375">
        <v>-3.31</v>
      </c>
      <c r="BF3375">
        <v>-3.61</v>
      </c>
      <c r="BG3375">
        <v>1.51</v>
      </c>
      <c r="BH3375">
        <v>-7.0000000000000007E-2</v>
      </c>
      <c r="BI3375">
        <v>20191030</v>
      </c>
      <c r="BJ3375">
        <v>20170616</v>
      </c>
      <c r="BK3375">
        <v>2.2599999999999998</v>
      </c>
      <c r="BL3375" t="s">
        <v>116</v>
      </c>
      <c r="BM3375" t="s">
        <v>116</v>
      </c>
      <c r="BN3375">
        <v>14.07</v>
      </c>
      <c r="BO3375">
        <v>8.94</v>
      </c>
      <c r="BP3375">
        <v>0</v>
      </c>
      <c r="BQ3375">
        <v>36.47</v>
      </c>
      <c r="BR3375">
        <v>6.8</v>
      </c>
      <c r="BS3375">
        <v>4.82</v>
      </c>
      <c r="BT3375">
        <v>0.39</v>
      </c>
      <c r="BU3375">
        <v>4.62</v>
      </c>
      <c r="BV3375">
        <v>1.02</v>
      </c>
      <c r="BW3375">
        <v>1.7</v>
      </c>
      <c r="BX3375">
        <v>3.48</v>
      </c>
      <c r="BY3375">
        <v>9.25</v>
      </c>
      <c r="BZ3375">
        <v>5.25</v>
      </c>
      <c r="CA3375">
        <v>1.26</v>
      </c>
      <c r="CB3375">
        <v>0.04</v>
      </c>
      <c r="CC3375">
        <v>1.25</v>
      </c>
      <c r="CD3375">
        <v>0.98</v>
      </c>
      <c r="CE3375">
        <v>0.98</v>
      </c>
      <c r="CF3375">
        <v>0.83</v>
      </c>
      <c r="CG3375">
        <v>3.08</v>
      </c>
      <c r="CH3375">
        <v>0.01</v>
      </c>
      <c r="CI3375">
        <v>-1.1000000000000001</v>
      </c>
      <c r="CJ3375">
        <v>10475</v>
      </c>
      <c r="CK3375">
        <v>6145</v>
      </c>
      <c r="CL3375" t="s">
        <v>8545</v>
      </c>
      <c r="CM3375">
        <v>47.04</v>
      </c>
      <c r="CN3375">
        <v>24.06</v>
      </c>
      <c r="CO3375">
        <v>3.92</v>
      </c>
      <c r="CP3375">
        <v>4292.8</v>
      </c>
      <c r="CQ3375">
        <v>3.79</v>
      </c>
      <c r="CR3375">
        <v>0.96</v>
      </c>
      <c r="CS3375" t="s">
        <v>13751</v>
      </c>
      <c r="CT3375">
        <v>3.96</v>
      </c>
      <c r="CU3375">
        <v>0</v>
      </c>
      <c r="CV3375">
        <v>1.54</v>
      </c>
      <c r="CW3375">
        <v>1.36</v>
      </c>
      <c r="CX3375">
        <v>0</v>
      </c>
      <c r="CY3375">
        <v>63.53</v>
      </c>
      <c r="CZ3375" t="s">
        <v>3852</v>
      </c>
      <c r="DA3375">
        <v>43.23</v>
      </c>
      <c r="DB3375">
        <v>13.66</v>
      </c>
      <c r="DC3375">
        <v>10.63</v>
      </c>
      <c r="DD3375">
        <v>0.27</v>
      </c>
      <c r="DE3375">
        <v>1695</v>
      </c>
      <c r="DF3375">
        <v>603326</v>
      </c>
      <c r="DG3375" t="s">
        <v>116</v>
      </c>
      <c r="DH3375" t="s">
        <v>116</v>
      </c>
      <c r="DI3375" t="s">
        <v>116</v>
      </c>
    </row>
    <row r="3376" spans="1:113" x14ac:dyDescent="0.4">
      <c r="A3376" t="str">
        <f>"603327"</f>
        <v>603327</v>
      </c>
      <c r="B3376" t="s">
        <v>14324</v>
      </c>
      <c r="C3376">
        <v>3.39</v>
      </c>
      <c r="D3376">
        <v>29.89</v>
      </c>
      <c r="E3376">
        <v>0.98</v>
      </c>
      <c r="F3376">
        <v>29.88</v>
      </c>
      <c r="G3376">
        <v>29.89</v>
      </c>
      <c r="H3376">
        <v>198797</v>
      </c>
      <c r="I3376">
        <v>1681</v>
      </c>
      <c r="J3376">
        <v>0.74</v>
      </c>
      <c r="K3376">
        <v>38.979999999999997</v>
      </c>
      <c r="L3376">
        <v>28.98</v>
      </c>
      <c r="M3376">
        <v>31</v>
      </c>
      <c r="N3376">
        <v>28.55</v>
      </c>
      <c r="O3376">
        <v>28.91</v>
      </c>
      <c r="P3376">
        <v>42.53</v>
      </c>
      <c r="Q3376">
        <v>584753856</v>
      </c>
      <c r="R3376">
        <v>3.57</v>
      </c>
      <c r="S3376" t="s">
        <v>233</v>
      </c>
      <c r="T3376" t="s">
        <v>582</v>
      </c>
      <c r="U3376">
        <v>8.4700000000000006</v>
      </c>
      <c r="V3376">
        <v>29.41</v>
      </c>
      <c r="W3376">
        <v>95866</v>
      </c>
      <c r="X3376">
        <v>102931</v>
      </c>
      <c r="Y3376">
        <v>0.93</v>
      </c>
      <c r="Z3376">
        <v>202</v>
      </c>
      <c r="AA3376">
        <v>65</v>
      </c>
      <c r="AB3376" t="s">
        <v>116</v>
      </c>
      <c r="AC3376">
        <v>7346400</v>
      </c>
      <c r="AD3376">
        <v>0.5</v>
      </c>
      <c r="AE3376" t="s">
        <v>116</v>
      </c>
      <c r="AF3376" t="s">
        <v>116</v>
      </c>
      <c r="AG3376">
        <v>0.51</v>
      </c>
      <c r="AH3376" t="s">
        <v>11749</v>
      </c>
      <c r="AI3376" t="s">
        <v>14325</v>
      </c>
      <c r="AJ3376">
        <v>3.47</v>
      </c>
      <c r="AK3376">
        <v>3997</v>
      </c>
      <c r="AL3376">
        <v>50</v>
      </c>
      <c r="AM3376">
        <v>9.7999999999999997E-3</v>
      </c>
      <c r="AN3376">
        <v>4</v>
      </c>
      <c r="AO3376">
        <v>14.83</v>
      </c>
      <c r="AP3376">
        <v>21.7</v>
      </c>
      <c r="AQ3376">
        <v>5.36</v>
      </c>
      <c r="AR3376">
        <v>253.73</v>
      </c>
      <c r="AS3376">
        <v>38.979999999999997</v>
      </c>
      <c r="AT3376" t="s">
        <v>11749</v>
      </c>
      <c r="AU3376">
        <v>48.54</v>
      </c>
      <c r="AV3376">
        <v>75.239999999999995</v>
      </c>
      <c r="AW3376">
        <v>1.86</v>
      </c>
      <c r="BA3376">
        <v>0.24</v>
      </c>
      <c r="BB3376">
        <v>7.23</v>
      </c>
      <c r="BC3376">
        <v>-1.25</v>
      </c>
      <c r="BD3376">
        <v>1.75</v>
      </c>
      <c r="BE3376">
        <v>3.14</v>
      </c>
      <c r="BF3376">
        <v>-3.58</v>
      </c>
      <c r="BG3376">
        <v>4.6900000000000004</v>
      </c>
      <c r="BH3376">
        <v>1.64</v>
      </c>
      <c r="BI3376">
        <v>20191025</v>
      </c>
      <c r="BJ3376">
        <v>20190523</v>
      </c>
      <c r="BK3376">
        <v>4.01</v>
      </c>
      <c r="BL3376" t="s">
        <v>116</v>
      </c>
      <c r="BM3376" t="s">
        <v>116</v>
      </c>
      <c r="BN3376">
        <v>15.18</v>
      </c>
      <c r="BO3376">
        <v>12.2</v>
      </c>
      <c r="BP3376">
        <v>0</v>
      </c>
      <c r="BQ3376">
        <v>19.62</v>
      </c>
      <c r="BR3376">
        <v>9.33</v>
      </c>
      <c r="BS3376">
        <v>4.43</v>
      </c>
      <c r="BT3376">
        <v>0.5</v>
      </c>
      <c r="BU3376">
        <v>2.77</v>
      </c>
      <c r="BV3376">
        <v>1.79</v>
      </c>
      <c r="BW3376">
        <v>2.4900000000000002</v>
      </c>
      <c r="BX3376">
        <v>3.62</v>
      </c>
      <c r="BY3376">
        <v>9.41</v>
      </c>
      <c r="BZ3376">
        <v>6</v>
      </c>
      <c r="CA3376">
        <v>2.4700000000000002</v>
      </c>
      <c r="CB3376">
        <v>0.01</v>
      </c>
      <c r="CC3376">
        <v>2.4900000000000002</v>
      </c>
      <c r="CD3376">
        <v>2.11</v>
      </c>
      <c r="CE3376">
        <v>2.11</v>
      </c>
      <c r="CF3376">
        <v>2.08</v>
      </c>
      <c r="CG3376">
        <v>4.08</v>
      </c>
      <c r="CH3376">
        <v>1.32</v>
      </c>
      <c r="CI3376">
        <v>0.5</v>
      </c>
      <c r="CJ3376">
        <v>26792</v>
      </c>
      <c r="CK3376">
        <v>1904</v>
      </c>
      <c r="CL3376" t="s">
        <v>1931</v>
      </c>
      <c r="CM3376">
        <v>0</v>
      </c>
      <c r="CN3376">
        <v>0</v>
      </c>
      <c r="CO3376">
        <v>9.82</v>
      </c>
      <c r="CP3376">
        <v>90.47</v>
      </c>
      <c r="CQ3376">
        <v>12.73</v>
      </c>
      <c r="CR3376">
        <v>0</v>
      </c>
      <c r="CS3376" t="s">
        <v>723</v>
      </c>
      <c r="CT3376">
        <v>3.04</v>
      </c>
      <c r="CU3376">
        <v>0</v>
      </c>
      <c r="CV3376">
        <v>0.9</v>
      </c>
      <c r="CW3376">
        <v>1.02</v>
      </c>
      <c r="CX3376">
        <v>0.33</v>
      </c>
      <c r="CY3376">
        <v>80.38</v>
      </c>
      <c r="CZ3376" t="s">
        <v>12403</v>
      </c>
      <c r="DA3376">
        <v>36.21</v>
      </c>
      <c r="DB3376">
        <v>26.22</v>
      </c>
      <c r="DC3376">
        <v>22.46</v>
      </c>
      <c r="DD3376">
        <v>0.15</v>
      </c>
      <c r="DE3376">
        <v>588</v>
      </c>
      <c r="DF3376">
        <v>603327</v>
      </c>
      <c r="DG3376" t="s">
        <v>116</v>
      </c>
      <c r="DH3376" t="s">
        <v>116</v>
      </c>
      <c r="DI3376" t="s">
        <v>116</v>
      </c>
    </row>
    <row r="3377" spans="1:113" x14ac:dyDescent="0.4">
      <c r="A3377" t="str">
        <f>"603328"</f>
        <v>603328</v>
      </c>
      <c r="B3377" t="s">
        <v>14326</v>
      </c>
      <c r="C3377">
        <v>-2.88</v>
      </c>
      <c r="D3377">
        <v>11.48</v>
      </c>
      <c r="E3377">
        <v>-0.34</v>
      </c>
      <c r="F3377">
        <v>11.47</v>
      </c>
      <c r="G3377">
        <v>11.48</v>
      </c>
      <c r="H3377">
        <v>223286</v>
      </c>
      <c r="I3377">
        <v>2637</v>
      </c>
      <c r="J3377">
        <v>0.09</v>
      </c>
      <c r="K3377">
        <v>2.2400000000000002</v>
      </c>
      <c r="L3377">
        <v>11.8</v>
      </c>
      <c r="M3377">
        <v>11.86</v>
      </c>
      <c r="N3377">
        <v>11.42</v>
      </c>
      <c r="O3377">
        <v>11.82</v>
      </c>
      <c r="P3377">
        <v>19.47</v>
      </c>
      <c r="Q3377">
        <v>259458912</v>
      </c>
      <c r="R3377">
        <v>1.24</v>
      </c>
      <c r="S3377" t="s">
        <v>233</v>
      </c>
      <c r="T3377" t="s">
        <v>551</v>
      </c>
      <c r="U3377">
        <v>3.72</v>
      </c>
      <c r="V3377">
        <v>11.62</v>
      </c>
      <c r="W3377">
        <v>135768</v>
      </c>
      <c r="X3377">
        <v>87518</v>
      </c>
      <c r="Y3377">
        <v>1.55</v>
      </c>
      <c r="Z3377">
        <v>1856</v>
      </c>
      <c r="AA3377">
        <v>411</v>
      </c>
      <c r="AB3377" t="s">
        <v>116</v>
      </c>
      <c r="AC3377">
        <v>1403500</v>
      </c>
      <c r="AD3377">
        <v>0.04</v>
      </c>
      <c r="AE3377" t="s">
        <v>116</v>
      </c>
      <c r="AF3377" t="s">
        <v>116</v>
      </c>
      <c r="AG3377">
        <v>9.98</v>
      </c>
      <c r="AH3377" t="s">
        <v>5076</v>
      </c>
      <c r="AI3377" t="s">
        <v>5076</v>
      </c>
      <c r="AJ3377">
        <v>-2.8</v>
      </c>
      <c r="AK3377">
        <v>3296</v>
      </c>
      <c r="AL3377">
        <v>68</v>
      </c>
      <c r="AM3377">
        <v>6.9999999999999999E-4</v>
      </c>
      <c r="AN3377">
        <v>-1</v>
      </c>
      <c r="AO3377">
        <v>4.45</v>
      </c>
      <c r="AP3377">
        <v>17.14</v>
      </c>
      <c r="AQ3377">
        <v>1.59</v>
      </c>
      <c r="AR3377">
        <v>35.86</v>
      </c>
      <c r="AS3377">
        <v>7.34</v>
      </c>
      <c r="AT3377" t="s">
        <v>6397</v>
      </c>
      <c r="AU3377">
        <v>18.579999999999998</v>
      </c>
      <c r="AV3377">
        <v>17.52</v>
      </c>
      <c r="AW3377">
        <v>1.8</v>
      </c>
      <c r="BA3377">
        <v>-0.17</v>
      </c>
      <c r="BB3377">
        <v>0.34</v>
      </c>
      <c r="BC3377">
        <v>-3.38</v>
      </c>
      <c r="BD3377">
        <v>-1.69</v>
      </c>
      <c r="BE3377">
        <v>-2.71</v>
      </c>
      <c r="BF3377">
        <v>-3.2</v>
      </c>
      <c r="BG3377">
        <v>0.53</v>
      </c>
      <c r="BH3377">
        <v>-1.18</v>
      </c>
      <c r="BI3377">
        <v>20191030</v>
      </c>
      <c r="BJ3377">
        <v>20140701</v>
      </c>
      <c r="BK3377">
        <v>9.98</v>
      </c>
      <c r="BL3377" t="s">
        <v>116</v>
      </c>
      <c r="BM3377" t="s">
        <v>116</v>
      </c>
      <c r="BN3377">
        <v>42.81</v>
      </c>
      <c r="BO3377">
        <v>34.89</v>
      </c>
      <c r="BP3377">
        <v>0</v>
      </c>
      <c r="BQ3377">
        <v>18.489999999999998</v>
      </c>
      <c r="BR3377">
        <v>32.14</v>
      </c>
      <c r="BS3377">
        <v>9.5299999999999994</v>
      </c>
      <c r="BT3377">
        <v>7.0000000000000007E-2</v>
      </c>
      <c r="BU3377">
        <v>7.75</v>
      </c>
      <c r="BV3377">
        <v>2.57</v>
      </c>
      <c r="BW3377">
        <v>10.38</v>
      </c>
      <c r="BX3377">
        <v>10.18</v>
      </c>
      <c r="BY3377">
        <v>22.63</v>
      </c>
      <c r="BZ3377">
        <v>15.99</v>
      </c>
      <c r="CA3377">
        <v>5.24</v>
      </c>
      <c r="CB3377">
        <v>0</v>
      </c>
      <c r="CC3377">
        <v>5.24</v>
      </c>
      <c r="CD3377">
        <v>4.41</v>
      </c>
      <c r="CE3377">
        <v>4.41</v>
      </c>
      <c r="CF3377">
        <v>4.22</v>
      </c>
      <c r="CG3377">
        <v>11</v>
      </c>
      <c r="CH3377">
        <v>5.87</v>
      </c>
      <c r="CI3377">
        <v>-2.52</v>
      </c>
      <c r="CJ3377">
        <v>35221</v>
      </c>
      <c r="CK3377">
        <v>8638</v>
      </c>
      <c r="CL3377" t="s">
        <v>11300</v>
      </c>
      <c r="CM3377">
        <v>-7.75</v>
      </c>
      <c r="CN3377">
        <v>-6.27</v>
      </c>
      <c r="CO3377">
        <v>3.28</v>
      </c>
      <c r="CP3377">
        <v>19.53</v>
      </c>
      <c r="CQ3377">
        <v>5.0599999999999996</v>
      </c>
      <c r="CR3377">
        <v>12.63</v>
      </c>
      <c r="CS3377" t="s">
        <v>10997</v>
      </c>
      <c r="CT3377">
        <v>3.5</v>
      </c>
      <c r="CU3377">
        <v>0</v>
      </c>
      <c r="CV3377">
        <v>1.02</v>
      </c>
      <c r="CW3377">
        <v>1.1000000000000001</v>
      </c>
      <c r="CX3377">
        <v>0.59</v>
      </c>
      <c r="CY3377">
        <v>81.510000000000005</v>
      </c>
      <c r="CZ3377" t="s">
        <v>11599</v>
      </c>
      <c r="DA3377">
        <v>29.37</v>
      </c>
      <c r="DB3377">
        <v>23.16</v>
      </c>
      <c r="DC3377">
        <v>19.510000000000002</v>
      </c>
      <c r="DD3377">
        <v>0.8</v>
      </c>
      <c r="DE3377">
        <v>6521</v>
      </c>
      <c r="DF3377">
        <v>603328</v>
      </c>
      <c r="DG3377" t="s">
        <v>116</v>
      </c>
      <c r="DH3377" t="s">
        <v>116</v>
      </c>
      <c r="DI3377" t="s">
        <v>116</v>
      </c>
    </row>
    <row r="3378" spans="1:113" x14ac:dyDescent="0.4">
      <c r="A3378" t="str">
        <f>"603329"</f>
        <v>603329</v>
      </c>
      <c r="B3378" t="s">
        <v>14327</v>
      </c>
      <c r="C3378">
        <v>-0.5</v>
      </c>
      <c r="D3378">
        <v>13.81</v>
      </c>
      <c r="E3378">
        <v>-7.0000000000000007E-2</v>
      </c>
      <c r="F3378">
        <v>13.8</v>
      </c>
      <c r="G3378">
        <v>13.81</v>
      </c>
      <c r="H3378">
        <v>15791</v>
      </c>
      <c r="I3378">
        <v>99</v>
      </c>
      <c r="J3378">
        <v>0</v>
      </c>
      <c r="K3378">
        <v>2.44</v>
      </c>
      <c r="L3378">
        <v>13.92</v>
      </c>
      <c r="M3378">
        <v>14.08</v>
      </c>
      <c r="N3378">
        <v>13.8</v>
      </c>
      <c r="O3378">
        <v>13.88</v>
      </c>
      <c r="P3378" t="s">
        <v>116</v>
      </c>
      <c r="Q3378">
        <v>22055814</v>
      </c>
      <c r="R3378">
        <v>1.1499999999999999</v>
      </c>
      <c r="S3378" t="s">
        <v>3113</v>
      </c>
      <c r="T3378" t="s">
        <v>1653</v>
      </c>
      <c r="U3378">
        <v>2.02</v>
      </c>
      <c r="V3378">
        <v>13.97</v>
      </c>
      <c r="W3378">
        <v>8576</v>
      </c>
      <c r="X3378">
        <v>7215</v>
      </c>
      <c r="Y3378">
        <v>1.19</v>
      </c>
      <c r="Z3378">
        <v>122</v>
      </c>
      <c r="AA3378">
        <v>7</v>
      </c>
      <c r="AB3378" t="s">
        <v>116</v>
      </c>
      <c r="AC3378">
        <v>79300</v>
      </c>
      <c r="AD3378">
        <v>0.01</v>
      </c>
      <c r="AE3378" t="s">
        <v>116</v>
      </c>
      <c r="AF3378" t="s">
        <v>116</v>
      </c>
      <c r="AG3378">
        <v>0.65</v>
      </c>
      <c r="AH3378" t="s">
        <v>7261</v>
      </c>
      <c r="AI3378" t="s">
        <v>6508</v>
      </c>
      <c r="AJ3378">
        <v>-0.43</v>
      </c>
      <c r="AK3378">
        <v>1063</v>
      </c>
      <c r="AL3378">
        <v>15</v>
      </c>
      <c r="AM3378">
        <v>2.3E-3</v>
      </c>
      <c r="AN3378">
        <v>-1</v>
      </c>
      <c r="AO3378">
        <v>-0.13</v>
      </c>
      <c r="AP3378">
        <v>3.45</v>
      </c>
      <c r="AQ3378">
        <v>-23.28</v>
      </c>
      <c r="AR3378">
        <v>-11.64</v>
      </c>
      <c r="AS3378">
        <v>3.33</v>
      </c>
      <c r="AT3378" t="s">
        <v>13973</v>
      </c>
      <c r="AU3378" t="s">
        <v>116</v>
      </c>
      <c r="AV3378">
        <v>40.520000000000003</v>
      </c>
      <c r="AW3378">
        <v>1.87</v>
      </c>
      <c r="BA3378">
        <v>0.28999999999999998</v>
      </c>
      <c r="BB3378">
        <v>1.44</v>
      </c>
      <c r="BC3378">
        <v>-0.57999999999999996</v>
      </c>
      <c r="BD3378">
        <v>0.63</v>
      </c>
      <c r="BE3378">
        <v>-0.79</v>
      </c>
      <c r="BF3378">
        <v>-1.92</v>
      </c>
      <c r="BG3378">
        <v>7.0000000000000007E-2</v>
      </c>
      <c r="BH3378">
        <v>-1.1299999999999999</v>
      </c>
      <c r="BI3378">
        <v>20191031</v>
      </c>
      <c r="BJ3378">
        <v>20171229</v>
      </c>
      <c r="BK3378">
        <v>1.32</v>
      </c>
      <c r="BL3378" t="s">
        <v>116</v>
      </c>
      <c r="BM3378" t="s">
        <v>116</v>
      </c>
      <c r="BN3378">
        <v>11.29</v>
      </c>
      <c r="BO3378">
        <v>6.81</v>
      </c>
      <c r="BP3378">
        <v>0.62</v>
      </c>
      <c r="BQ3378">
        <v>34.18</v>
      </c>
      <c r="BR3378">
        <v>8.66</v>
      </c>
      <c r="BS3378">
        <v>0.97</v>
      </c>
      <c r="BT3378">
        <v>0.02</v>
      </c>
      <c r="BU3378">
        <v>3.86</v>
      </c>
      <c r="BV3378">
        <v>1.79</v>
      </c>
      <c r="BW3378">
        <v>2.13</v>
      </c>
      <c r="BX3378">
        <v>3.55</v>
      </c>
      <c r="BY3378">
        <v>13.51</v>
      </c>
      <c r="BZ3378">
        <v>12.66</v>
      </c>
      <c r="CA3378">
        <v>-0.23</v>
      </c>
      <c r="CB3378">
        <v>0.04</v>
      </c>
      <c r="CC3378">
        <v>-0.18</v>
      </c>
      <c r="CD3378">
        <v>-0.2</v>
      </c>
      <c r="CE3378">
        <v>-0.18</v>
      </c>
      <c r="CF3378">
        <v>-0.25</v>
      </c>
      <c r="CG3378">
        <v>1.71</v>
      </c>
      <c r="CH3378">
        <v>-0.1</v>
      </c>
      <c r="CI3378">
        <v>-0.47</v>
      </c>
      <c r="CJ3378">
        <v>17624</v>
      </c>
      <c r="CK3378">
        <v>2694</v>
      </c>
      <c r="CL3378" t="s">
        <v>1663</v>
      </c>
      <c r="CM3378">
        <v>-137.4</v>
      </c>
      <c r="CN3378">
        <v>14.16</v>
      </c>
      <c r="CO3378">
        <v>2.68</v>
      </c>
      <c r="CP3378">
        <v>-189.8</v>
      </c>
      <c r="CQ3378">
        <v>1.35</v>
      </c>
      <c r="CR3378">
        <v>1.81</v>
      </c>
      <c r="CS3378" t="s">
        <v>14328</v>
      </c>
      <c r="CT3378">
        <v>5.16</v>
      </c>
      <c r="CU3378">
        <v>0</v>
      </c>
      <c r="CV3378">
        <v>2.69</v>
      </c>
      <c r="CW3378">
        <v>1.29</v>
      </c>
      <c r="CX3378">
        <v>-7.0000000000000007E-2</v>
      </c>
      <c r="CY3378">
        <v>60.29</v>
      </c>
      <c r="CZ3378" t="s">
        <v>14329</v>
      </c>
      <c r="DA3378">
        <v>6.31</v>
      </c>
      <c r="DB3378">
        <v>-1.68</v>
      </c>
      <c r="DC3378">
        <v>-1.3</v>
      </c>
      <c r="DD3378">
        <v>0</v>
      </c>
      <c r="DE3378">
        <v>413</v>
      </c>
      <c r="DF3378">
        <v>603329</v>
      </c>
      <c r="DG3378" t="s">
        <v>116</v>
      </c>
      <c r="DH3378" t="s">
        <v>116</v>
      </c>
      <c r="DI3378" t="s">
        <v>116</v>
      </c>
    </row>
    <row r="3379" spans="1:113" x14ac:dyDescent="0.4">
      <c r="A3379" t="str">
        <f>"603330"</f>
        <v>603330</v>
      </c>
      <c r="B3379" t="s">
        <v>14330</v>
      </c>
      <c r="C3379">
        <v>-3.56</v>
      </c>
      <c r="D3379">
        <v>15.42</v>
      </c>
      <c r="E3379">
        <v>-0.56999999999999995</v>
      </c>
      <c r="F3379">
        <v>15.42</v>
      </c>
      <c r="G3379">
        <v>15.43</v>
      </c>
      <c r="H3379">
        <v>33805</v>
      </c>
      <c r="I3379">
        <v>1223</v>
      </c>
      <c r="J3379">
        <v>-0.83</v>
      </c>
      <c r="K3379">
        <v>7.66</v>
      </c>
      <c r="L3379">
        <v>15.98</v>
      </c>
      <c r="M3379">
        <v>15.98</v>
      </c>
      <c r="N3379">
        <v>15.4</v>
      </c>
      <c r="O3379">
        <v>15.99</v>
      </c>
      <c r="P3379">
        <v>82.25</v>
      </c>
      <c r="Q3379">
        <v>53077712</v>
      </c>
      <c r="R3379">
        <v>0.77</v>
      </c>
      <c r="S3379" t="s">
        <v>2444</v>
      </c>
      <c r="T3379" t="s">
        <v>1653</v>
      </c>
      <c r="U3379">
        <v>3.63</v>
      </c>
      <c r="V3379">
        <v>15.7</v>
      </c>
      <c r="W3379">
        <v>21010</v>
      </c>
      <c r="X3379">
        <v>12795</v>
      </c>
      <c r="Y3379">
        <v>1.64</v>
      </c>
      <c r="Z3379">
        <v>287</v>
      </c>
      <c r="AA3379">
        <v>149</v>
      </c>
      <c r="AB3379" t="s">
        <v>116</v>
      </c>
      <c r="AC3379">
        <v>247700</v>
      </c>
      <c r="AD3379">
        <v>0.04</v>
      </c>
      <c r="AE3379" t="s">
        <v>116</v>
      </c>
      <c r="AF3379" t="s">
        <v>116</v>
      </c>
      <c r="AG3379">
        <v>0.44</v>
      </c>
      <c r="AH3379" t="s">
        <v>14331</v>
      </c>
      <c r="AI3379" t="s">
        <v>8802</v>
      </c>
      <c r="AJ3379">
        <v>-3.49</v>
      </c>
      <c r="AK3379">
        <v>1598</v>
      </c>
      <c r="AL3379">
        <v>21</v>
      </c>
      <c r="AM3379">
        <v>4.7999999999999996E-3</v>
      </c>
      <c r="AN3379">
        <v>-1</v>
      </c>
      <c r="AO3379">
        <v>-3.8</v>
      </c>
      <c r="AP3379">
        <v>18.89</v>
      </c>
      <c r="AQ3379">
        <v>12.55</v>
      </c>
      <c r="AR3379">
        <v>8.41</v>
      </c>
      <c r="AS3379">
        <v>8.85</v>
      </c>
      <c r="AT3379" t="s">
        <v>14332</v>
      </c>
      <c r="AU3379">
        <v>88.03</v>
      </c>
      <c r="AV3379">
        <v>47.87</v>
      </c>
      <c r="AW3379">
        <v>1</v>
      </c>
      <c r="BA3379">
        <v>-0.06</v>
      </c>
      <c r="BB3379">
        <v>-0.06</v>
      </c>
      <c r="BC3379">
        <v>-3.69</v>
      </c>
      <c r="BD3379">
        <v>-1.81</v>
      </c>
      <c r="BE3379">
        <v>-3.5</v>
      </c>
      <c r="BF3379">
        <v>-3.5</v>
      </c>
      <c r="BG3379">
        <v>0.13</v>
      </c>
      <c r="BH3379">
        <v>-1.76</v>
      </c>
      <c r="BI3379">
        <v>20191029</v>
      </c>
      <c r="BJ3379">
        <v>20170213</v>
      </c>
      <c r="BK3379">
        <v>1.0900000000000001</v>
      </c>
      <c r="BL3379" t="s">
        <v>116</v>
      </c>
      <c r="BM3379" t="s">
        <v>116</v>
      </c>
      <c r="BN3379">
        <v>10.36</v>
      </c>
      <c r="BO3379">
        <v>6.08</v>
      </c>
      <c r="BP3379">
        <v>0.06</v>
      </c>
      <c r="BQ3379">
        <v>40.81</v>
      </c>
      <c r="BR3379">
        <v>4.96</v>
      </c>
      <c r="BS3379">
        <v>4.0199999999999996</v>
      </c>
      <c r="BT3379">
        <v>0.52</v>
      </c>
      <c r="BU3379">
        <v>3.26</v>
      </c>
      <c r="BV3379">
        <v>1.48</v>
      </c>
      <c r="BW3379">
        <v>1.8</v>
      </c>
      <c r="BX3379">
        <v>3.26</v>
      </c>
      <c r="BY3379">
        <v>4.79</v>
      </c>
      <c r="BZ3379">
        <v>3.45</v>
      </c>
      <c r="CA3379">
        <v>0.31</v>
      </c>
      <c r="CB3379">
        <v>0.01</v>
      </c>
      <c r="CC3379">
        <v>0.23</v>
      </c>
      <c r="CD3379">
        <v>0.17</v>
      </c>
      <c r="CE3379">
        <v>0.15</v>
      </c>
      <c r="CF3379">
        <v>0.2</v>
      </c>
      <c r="CG3379">
        <v>1.49</v>
      </c>
      <c r="CH3379">
        <v>0.2</v>
      </c>
      <c r="CI3379">
        <v>-0.57999999999999996</v>
      </c>
      <c r="CJ3379">
        <v>8405</v>
      </c>
      <c r="CK3379">
        <v>4545</v>
      </c>
      <c r="CL3379" t="s">
        <v>2830</v>
      </c>
      <c r="CM3379">
        <v>-51.1</v>
      </c>
      <c r="CN3379">
        <v>17.36</v>
      </c>
      <c r="CO3379">
        <v>2.77</v>
      </c>
      <c r="CP3379">
        <v>82.57</v>
      </c>
      <c r="CQ3379">
        <v>3.52</v>
      </c>
      <c r="CR3379">
        <v>1.05</v>
      </c>
      <c r="CS3379" t="s">
        <v>5207</v>
      </c>
      <c r="CT3379">
        <v>5.56</v>
      </c>
      <c r="CU3379">
        <v>0</v>
      </c>
      <c r="CV3379">
        <v>2.98</v>
      </c>
      <c r="CW3379">
        <v>1.36</v>
      </c>
      <c r="CX3379">
        <v>0.19</v>
      </c>
      <c r="CY3379">
        <v>58.65</v>
      </c>
      <c r="CZ3379" t="s">
        <v>5225</v>
      </c>
      <c r="DA3379">
        <v>28.02</v>
      </c>
      <c r="DB3379">
        <v>6.49</v>
      </c>
      <c r="DC3379">
        <v>3.21</v>
      </c>
      <c r="DD3379">
        <v>0.13</v>
      </c>
      <c r="DE3379">
        <v>650</v>
      </c>
      <c r="DF3379">
        <v>603330</v>
      </c>
      <c r="DG3379" t="s">
        <v>116</v>
      </c>
      <c r="DH3379" t="s">
        <v>116</v>
      </c>
      <c r="DI3379" t="s">
        <v>116</v>
      </c>
    </row>
    <row r="3380" spans="1:113" x14ac:dyDescent="0.4">
      <c r="A3380" t="str">
        <f>"603331"</f>
        <v>603331</v>
      </c>
      <c r="B3380" t="s">
        <v>14333</v>
      </c>
      <c r="C3380">
        <v>0.12</v>
      </c>
      <c r="D3380">
        <v>16.100000000000001</v>
      </c>
      <c r="E3380">
        <v>0.02</v>
      </c>
      <c r="F3380">
        <v>16.09</v>
      </c>
      <c r="G3380">
        <v>16.100000000000001</v>
      </c>
      <c r="H3380">
        <v>7035</v>
      </c>
      <c r="I3380">
        <v>136</v>
      </c>
      <c r="J3380">
        <v>0</v>
      </c>
      <c r="K3380">
        <v>2.21</v>
      </c>
      <c r="L3380">
        <v>16.07</v>
      </c>
      <c r="M3380">
        <v>16.25</v>
      </c>
      <c r="N3380">
        <v>16.05</v>
      </c>
      <c r="O3380">
        <v>16.079999999999998</v>
      </c>
      <c r="P3380">
        <v>24.72</v>
      </c>
      <c r="Q3380">
        <v>11365633</v>
      </c>
      <c r="R3380">
        <v>1.22</v>
      </c>
      <c r="S3380" t="s">
        <v>682</v>
      </c>
      <c r="T3380" t="s">
        <v>590</v>
      </c>
      <c r="U3380">
        <v>1.24</v>
      </c>
      <c r="V3380">
        <v>16.16</v>
      </c>
      <c r="W3380">
        <v>3660</v>
      </c>
      <c r="X3380">
        <v>3375</v>
      </c>
      <c r="Y3380">
        <v>1.08</v>
      </c>
      <c r="Z3380">
        <v>41</v>
      </c>
      <c r="AA3380">
        <v>17</v>
      </c>
      <c r="AB3380" t="s">
        <v>116</v>
      </c>
      <c r="AC3380">
        <v>91600</v>
      </c>
      <c r="AD3380">
        <v>0.02</v>
      </c>
      <c r="AE3380" t="s">
        <v>116</v>
      </c>
      <c r="AF3380" t="s">
        <v>116</v>
      </c>
      <c r="AG3380">
        <v>0.32</v>
      </c>
      <c r="AH3380" t="s">
        <v>7405</v>
      </c>
      <c r="AI3380" t="s">
        <v>3551</v>
      </c>
      <c r="AJ3380">
        <v>0.2</v>
      </c>
      <c r="AK3380">
        <v>468</v>
      </c>
      <c r="AL3380">
        <v>15</v>
      </c>
      <c r="AM3380">
        <v>4.7000000000000002E-3</v>
      </c>
      <c r="AN3380">
        <v>2</v>
      </c>
      <c r="AO3380">
        <v>0.62</v>
      </c>
      <c r="AP3380">
        <v>7.19</v>
      </c>
      <c r="AQ3380">
        <v>-0.98</v>
      </c>
      <c r="AR3380">
        <v>11.62</v>
      </c>
      <c r="AS3380">
        <v>2.21</v>
      </c>
      <c r="AT3380" t="s">
        <v>7405</v>
      </c>
      <c r="AU3380">
        <v>27.45</v>
      </c>
      <c r="AV3380">
        <v>29.34</v>
      </c>
      <c r="AW3380">
        <v>1.29</v>
      </c>
      <c r="BA3380">
        <v>-0.06</v>
      </c>
      <c r="BB3380">
        <v>1.06</v>
      </c>
      <c r="BC3380">
        <v>-0.19</v>
      </c>
      <c r="BD3380">
        <v>0.47</v>
      </c>
      <c r="BE3380">
        <v>0.19</v>
      </c>
      <c r="BF3380">
        <v>-0.92</v>
      </c>
      <c r="BG3380">
        <v>0.31</v>
      </c>
      <c r="BH3380">
        <v>-0.35</v>
      </c>
      <c r="BI3380">
        <v>20191029</v>
      </c>
      <c r="BJ3380">
        <v>20170705</v>
      </c>
      <c r="BK3380">
        <v>1.28</v>
      </c>
      <c r="BL3380" t="s">
        <v>116</v>
      </c>
      <c r="BM3380" t="s">
        <v>116</v>
      </c>
      <c r="BN3380">
        <v>13.36</v>
      </c>
      <c r="BO3380">
        <v>7.51</v>
      </c>
      <c r="BP3380">
        <v>0.78</v>
      </c>
      <c r="BQ3380">
        <v>37.94</v>
      </c>
      <c r="BR3380">
        <v>7.01</v>
      </c>
      <c r="BS3380">
        <v>3.66</v>
      </c>
      <c r="BT3380">
        <v>0.83</v>
      </c>
      <c r="BU3380">
        <v>4.5599999999999996</v>
      </c>
      <c r="BV3380">
        <v>1.98</v>
      </c>
      <c r="BW3380">
        <v>2.09</v>
      </c>
      <c r="BX3380">
        <v>3.19</v>
      </c>
      <c r="BY3380">
        <v>6.36</v>
      </c>
      <c r="BZ3380">
        <v>4.68</v>
      </c>
      <c r="CA3380">
        <v>0.77</v>
      </c>
      <c r="CB3380">
        <v>0.03</v>
      </c>
      <c r="CC3380">
        <v>0.77</v>
      </c>
      <c r="CD3380">
        <v>0.63</v>
      </c>
      <c r="CE3380">
        <v>0.63</v>
      </c>
      <c r="CF3380">
        <v>0.54</v>
      </c>
      <c r="CG3380">
        <v>2.81</v>
      </c>
      <c r="CH3380">
        <v>0.55000000000000004</v>
      </c>
      <c r="CI3380">
        <v>1.1000000000000001</v>
      </c>
      <c r="CJ3380">
        <v>8266</v>
      </c>
      <c r="CK3380">
        <v>3849</v>
      </c>
      <c r="CL3380" t="s">
        <v>3380</v>
      </c>
      <c r="CM3380">
        <v>8.39</v>
      </c>
      <c r="CN3380">
        <v>9.75</v>
      </c>
      <c r="CO3380">
        <v>2.75</v>
      </c>
      <c r="CP3380">
        <v>37.880000000000003</v>
      </c>
      <c r="CQ3380">
        <v>3.25</v>
      </c>
      <c r="CR3380">
        <v>1.47</v>
      </c>
      <c r="CS3380" t="s">
        <v>13943</v>
      </c>
      <c r="CT3380">
        <v>5.85</v>
      </c>
      <c r="CU3380">
        <v>0</v>
      </c>
      <c r="CV3380">
        <v>2.4900000000000002</v>
      </c>
      <c r="CW3380">
        <v>2.1800000000000002</v>
      </c>
      <c r="CX3380">
        <v>0.43</v>
      </c>
      <c r="CY3380">
        <v>56.24</v>
      </c>
      <c r="CZ3380" t="s">
        <v>3223</v>
      </c>
      <c r="DA3380">
        <v>26.34</v>
      </c>
      <c r="DB3380">
        <v>12.16</v>
      </c>
      <c r="DC3380">
        <v>9.8699999999999992</v>
      </c>
      <c r="DD3380">
        <v>0.18</v>
      </c>
      <c r="DE3380">
        <v>2037</v>
      </c>
      <c r="DF3380">
        <v>603331</v>
      </c>
      <c r="DG3380" t="s">
        <v>116</v>
      </c>
      <c r="DH3380" t="s">
        <v>116</v>
      </c>
      <c r="DI3380" t="s">
        <v>116</v>
      </c>
    </row>
    <row r="3381" spans="1:113" x14ac:dyDescent="0.4">
      <c r="A3381" t="str">
        <f>"603332"</f>
        <v>603332</v>
      </c>
      <c r="B3381" t="s">
        <v>14334</v>
      </c>
      <c r="C3381">
        <v>0.18</v>
      </c>
      <c r="D3381">
        <v>27.45</v>
      </c>
      <c r="E3381">
        <v>0.05</v>
      </c>
      <c r="F3381">
        <v>27.44</v>
      </c>
      <c r="G3381">
        <v>27.45</v>
      </c>
      <c r="H3381">
        <v>13715</v>
      </c>
      <c r="I3381">
        <v>397</v>
      </c>
      <c r="J3381">
        <v>0.51</v>
      </c>
      <c r="K3381">
        <v>4.6100000000000003</v>
      </c>
      <c r="L3381">
        <v>27.4</v>
      </c>
      <c r="M3381">
        <v>27.59</v>
      </c>
      <c r="N3381">
        <v>27.15</v>
      </c>
      <c r="O3381">
        <v>27.4</v>
      </c>
      <c r="P3381">
        <v>18.989999999999998</v>
      </c>
      <c r="Q3381">
        <v>37486380</v>
      </c>
      <c r="R3381">
        <v>0.82</v>
      </c>
      <c r="S3381" t="s">
        <v>630</v>
      </c>
      <c r="T3381" t="s">
        <v>323</v>
      </c>
      <c r="U3381">
        <v>1.61</v>
      </c>
      <c r="V3381">
        <v>27.33</v>
      </c>
      <c r="W3381">
        <v>7655</v>
      </c>
      <c r="X3381">
        <v>6060</v>
      </c>
      <c r="Y3381">
        <v>1.26</v>
      </c>
      <c r="Z3381">
        <v>2</v>
      </c>
      <c r="AA3381">
        <v>4</v>
      </c>
      <c r="AB3381" t="s">
        <v>116</v>
      </c>
      <c r="AC3381">
        <v>49300</v>
      </c>
      <c r="AD3381">
        <v>0.01</v>
      </c>
      <c r="AE3381" t="s">
        <v>116</v>
      </c>
      <c r="AF3381" t="s">
        <v>116</v>
      </c>
      <c r="AG3381">
        <v>0.3</v>
      </c>
      <c r="AH3381" t="s">
        <v>9840</v>
      </c>
      <c r="AI3381" t="s">
        <v>4472</v>
      </c>
      <c r="AJ3381">
        <v>0.26</v>
      </c>
      <c r="AK3381">
        <v>847</v>
      </c>
      <c r="AL3381">
        <v>16</v>
      </c>
      <c r="AM3381">
        <v>5.4000000000000003E-3</v>
      </c>
      <c r="AN3381">
        <v>1</v>
      </c>
      <c r="AO3381">
        <v>-1.4</v>
      </c>
      <c r="AP3381">
        <v>-1.29</v>
      </c>
      <c r="AQ3381">
        <v>-6.38</v>
      </c>
      <c r="AR3381">
        <v>46.48</v>
      </c>
      <c r="AS3381">
        <v>4.6100000000000003</v>
      </c>
      <c r="AT3381" t="s">
        <v>9840</v>
      </c>
      <c r="AU3381">
        <v>21.63</v>
      </c>
      <c r="AV3381">
        <v>21.21</v>
      </c>
      <c r="AW3381">
        <v>0.25</v>
      </c>
      <c r="BA3381">
        <v>0</v>
      </c>
      <c r="BB3381">
        <v>0.69</v>
      </c>
      <c r="BC3381">
        <v>-0.91</v>
      </c>
      <c r="BD3381">
        <v>-0.25</v>
      </c>
      <c r="BE3381">
        <v>0.18</v>
      </c>
      <c r="BF3381">
        <v>-0.51</v>
      </c>
      <c r="BG3381">
        <v>1.1000000000000001</v>
      </c>
      <c r="BH3381">
        <v>0.43</v>
      </c>
      <c r="BI3381">
        <v>20191029</v>
      </c>
      <c r="BJ3381">
        <v>20190117</v>
      </c>
      <c r="BK3381">
        <v>1.19</v>
      </c>
      <c r="BL3381" t="s">
        <v>116</v>
      </c>
      <c r="BM3381" t="s">
        <v>116</v>
      </c>
      <c r="BN3381">
        <v>16.23</v>
      </c>
      <c r="BO3381">
        <v>13.33</v>
      </c>
      <c r="BP3381">
        <v>0</v>
      </c>
      <c r="BQ3381">
        <v>17.88</v>
      </c>
      <c r="BR3381">
        <v>13.48</v>
      </c>
      <c r="BS3381">
        <v>2.11</v>
      </c>
      <c r="BT3381">
        <v>0.32</v>
      </c>
      <c r="BU3381">
        <v>2.9</v>
      </c>
      <c r="BV3381">
        <v>1.85</v>
      </c>
      <c r="BW3381">
        <v>0.05</v>
      </c>
      <c r="BX3381">
        <v>6.76</v>
      </c>
      <c r="BY3381">
        <v>12.45</v>
      </c>
      <c r="BZ3381">
        <v>10.39</v>
      </c>
      <c r="CA3381">
        <v>1.45</v>
      </c>
      <c r="CB3381">
        <v>0.05</v>
      </c>
      <c r="CC3381">
        <v>1.5</v>
      </c>
      <c r="CD3381">
        <v>1.29</v>
      </c>
      <c r="CE3381">
        <v>1.29</v>
      </c>
      <c r="CF3381">
        <v>1.0900000000000001</v>
      </c>
      <c r="CG3381">
        <v>4.59</v>
      </c>
      <c r="CH3381">
        <v>2.46</v>
      </c>
      <c r="CI3381">
        <v>1.7</v>
      </c>
      <c r="CJ3381">
        <v>15412</v>
      </c>
      <c r="CK3381">
        <v>1929</v>
      </c>
      <c r="CL3381" t="s">
        <v>8000</v>
      </c>
      <c r="CM3381">
        <v>-2.23</v>
      </c>
      <c r="CN3381">
        <v>-3.97</v>
      </c>
      <c r="CO3381">
        <v>2.4500000000000002</v>
      </c>
      <c r="CP3381">
        <v>13.27</v>
      </c>
      <c r="CQ3381">
        <v>2.62</v>
      </c>
      <c r="CR3381">
        <v>2.5499999999999998</v>
      </c>
      <c r="CS3381" t="s">
        <v>9438</v>
      </c>
      <c r="CT3381">
        <v>11.21</v>
      </c>
      <c r="CU3381">
        <v>0</v>
      </c>
      <c r="CV3381">
        <v>5.69</v>
      </c>
      <c r="CW3381">
        <v>3.86</v>
      </c>
      <c r="CX3381">
        <v>2.0699999999999998</v>
      </c>
      <c r="CY3381">
        <v>82.12</v>
      </c>
      <c r="CZ3381" t="s">
        <v>5261</v>
      </c>
      <c r="DA3381">
        <v>16.59</v>
      </c>
      <c r="DB3381">
        <v>11.65</v>
      </c>
      <c r="DC3381">
        <v>10.36</v>
      </c>
      <c r="DD3381">
        <v>0.4</v>
      </c>
      <c r="DE3381">
        <v>1294</v>
      </c>
      <c r="DF3381">
        <v>603332</v>
      </c>
      <c r="DG3381" t="s">
        <v>116</v>
      </c>
      <c r="DH3381" t="s">
        <v>116</v>
      </c>
      <c r="DI3381" t="s">
        <v>116</v>
      </c>
    </row>
    <row r="3382" spans="1:113" x14ac:dyDescent="0.4">
      <c r="A3382" t="str">
        <f>"603333"</f>
        <v>603333</v>
      </c>
      <c r="B3382" t="s">
        <v>14335</v>
      </c>
      <c r="C3382">
        <v>0</v>
      </c>
      <c r="D3382">
        <v>9.6999999999999993</v>
      </c>
      <c r="E3382">
        <v>0</v>
      </c>
      <c r="F3382">
        <v>9.65</v>
      </c>
      <c r="G3382">
        <v>9.6999999999999993</v>
      </c>
      <c r="H3382">
        <v>32345</v>
      </c>
      <c r="I3382">
        <v>717</v>
      </c>
      <c r="J3382">
        <v>0.41</v>
      </c>
      <c r="K3382">
        <v>0.63</v>
      </c>
      <c r="L3382">
        <v>9.7200000000000006</v>
      </c>
      <c r="M3382">
        <v>9.73</v>
      </c>
      <c r="N3382">
        <v>9.6</v>
      </c>
      <c r="O3382">
        <v>9.6999999999999993</v>
      </c>
      <c r="P3382">
        <v>39.909999999999997</v>
      </c>
      <c r="Q3382">
        <v>31278778</v>
      </c>
      <c r="R3382">
        <v>0.68</v>
      </c>
      <c r="S3382" t="s">
        <v>397</v>
      </c>
      <c r="T3382" t="s">
        <v>582</v>
      </c>
      <c r="U3382">
        <v>1.34</v>
      </c>
      <c r="V3382">
        <v>9.67</v>
      </c>
      <c r="W3382">
        <v>18457</v>
      </c>
      <c r="X3382">
        <v>13888</v>
      </c>
      <c r="Y3382">
        <v>1.33</v>
      </c>
      <c r="Z3382">
        <v>45</v>
      </c>
      <c r="AA3382">
        <v>189</v>
      </c>
      <c r="AB3382" t="s">
        <v>116</v>
      </c>
      <c r="AC3382">
        <v>27200</v>
      </c>
      <c r="AD3382">
        <v>0</v>
      </c>
      <c r="AE3382" t="s">
        <v>116</v>
      </c>
      <c r="AF3382" t="s">
        <v>116</v>
      </c>
      <c r="AG3382">
        <v>5.14</v>
      </c>
      <c r="AH3382" t="s">
        <v>14336</v>
      </c>
      <c r="AI3382" t="s">
        <v>14337</v>
      </c>
      <c r="AJ3382">
        <v>0.08</v>
      </c>
      <c r="AK3382">
        <v>1012</v>
      </c>
      <c r="AL3382">
        <v>32</v>
      </c>
      <c r="AM3382">
        <v>5.9999999999999995E-4</v>
      </c>
      <c r="AN3382">
        <v>0</v>
      </c>
      <c r="AO3382">
        <v>-0.61</v>
      </c>
      <c r="AP3382">
        <v>-8.4</v>
      </c>
      <c r="AQ3382">
        <v>-5.46</v>
      </c>
      <c r="AR3382">
        <v>94.94</v>
      </c>
      <c r="AS3382">
        <v>1.52</v>
      </c>
      <c r="AT3382" t="s">
        <v>14338</v>
      </c>
      <c r="AU3382">
        <v>49.92</v>
      </c>
      <c r="AV3382">
        <v>86.98</v>
      </c>
      <c r="AW3382">
        <v>0.85</v>
      </c>
      <c r="BA3382">
        <v>0.21</v>
      </c>
      <c r="BB3382">
        <v>0.31</v>
      </c>
      <c r="BC3382">
        <v>-1.03</v>
      </c>
      <c r="BD3382">
        <v>-0.31</v>
      </c>
      <c r="BE3382">
        <v>-0.21</v>
      </c>
      <c r="BF3382">
        <v>-0.31</v>
      </c>
      <c r="BG3382">
        <v>1.04</v>
      </c>
      <c r="BH3382">
        <v>0.31</v>
      </c>
      <c r="BI3382">
        <v>20191024</v>
      </c>
      <c r="BJ3382">
        <v>20120507</v>
      </c>
      <c r="BK3382">
        <v>5.2</v>
      </c>
      <c r="BL3382" t="s">
        <v>116</v>
      </c>
      <c r="BM3382" t="s">
        <v>116</v>
      </c>
      <c r="BN3382">
        <v>27.07</v>
      </c>
      <c r="BO3382">
        <v>14.95</v>
      </c>
      <c r="BP3382">
        <v>0.09</v>
      </c>
      <c r="BQ3382">
        <v>44.44</v>
      </c>
      <c r="BR3382">
        <v>19.43</v>
      </c>
      <c r="BS3382">
        <v>5.12</v>
      </c>
      <c r="BT3382">
        <v>0.61</v>
      </c>
      <c r="BU3382">
        <v>11.09</v>
      </c>
      <c r="BV3382">
        <v>2.4700000000000002</v>
      </c>
      <c r="BW3382">
        <v>11.36</v>
      </c>
      <c r="BX3382">
        <v>6.33</v>
      </c>
      <c r="BY3382">
        <v>14.23</v>
      </c>
      <c r="BZ3382">
        <v>11.21</v>
      </c>
      <c r="CA3382">
        <v>0.92</v>
      </c>
      <c r="CB3382">
        <v>-0.01</v>
      </c>
      <c r="CC3382">
        <v>0.93</v>
      </c>
      <c r="CD3382">
        <v>0.93</v>
      </c>
      <c r="CE3382">
        <v>0.95</v>
      </c>
      <c r="CF3382">
        <v>0.86</v>
      </c>
      <c r="CG3382">
        <v>3.33</v>
      </c>
      <c r="CH3382">
        <v>-0.79</v>
      </c>
      <c r="CI3382">
        <v>-0.42</v>
      </c>
      <c r="CJ3382">
        <v>16675</v>
      </c>
      <c r="CK3382">
        <v>12721</v>
      </c>
      <c r="CL3382" t="s">
        <v>14339</v>
      </c>
      <c r="CM3382">
        <v>83.22</v>
      </c>
      <c r="CN3382">
        <v>29.01</v>
      </c>
      <c r="CO3382">
        <v>3.37</v>
      </c>
      <c r="CP3382">
        <v>-63.66</v>
      </c>
      <c r="CQ3382">
        <v>3.54</v>
      </c>
      <c r="CR3382">
        <v>0.35</v>
      </c>
      <c r="CS3382" t="s">
        <v>3393</v>
      </c>
      <c r="CT3382">
        <v>2.88</v>
      </c>
      <c r="CU3382">
        <v>0</v>
      </c>
      <c r="CV3382">
        <v>1.22</v>
      </c>
      <c r="CW3382">
        <v>0.64</v>
      </c>
      <c r="CX3382">
        <v>-0.15</v>
      </c>
      <c r="CY3382">
        <v>55.22</v>
      </c>
      <c r="CZ3382" t="s">
        <v>9268</v>
      </c>
      <c r="DA3382">
        <v>21.2</v>
      </c>
      <c r="DB3382">
        <v>6.48</v>
      </c>
      <c r="DC3382">
        <v>6.66</v>
      </c>
      <c r="DD3382">
        <v>0.48</v>
      </c>
      <c r="DE3382">
        <v>1092</v>
      </c>
      <c r="DF3382">
        <v>603333</v>
      </c>
      <c r="DG3382" t="s">
        <v>116</v>
      </c>
      <c r="DH3382" t="s">
        <v>116</v>
      </c>
      <c r="DI3382" t="s">
        <v>116</v>
      </c>
    </row>
    <row r="3383" spans="1:113" x14ac:dyDescent="0.4">
      <c r="A3383" t="str">
        <f>"603335"</f>
        <v>603335</v>
      </c>
      <c r="B3383" t="s">
        <v>14340</v>
      </c>
      <c r="C3383">
        <v>-0.83</v>
      </c>
      <c r="D3383">
        <v>4.79</v>
      </c>
      <c r="E3383">
        <v>-0.04</v>
      </c>
      <c r="F3383">
        <v>4.79</v>
      </c>
      <c r="G3383">
        <v>4.8</v>
      </c>
      <c r="H3383">
        <v>44215</v>
      </c>
      <c r="I3383">
        <v>768</v>
      </c>
      <c r="J3383">
        <v>-0.2</v>
      </c>
      <c r="K3383">
        <v>2.17</v>
      </c>
      <c r="L3383">
        <v>4.83</v>
      </c>
      <c r="M3383">
        <v>4.88</v>
      </c>
      <c r="N3383">
        <v>4.79</v>
      </c>
      <c r="O3383">
        <v>4.83</v>
      </c>
      <c r="P3383">
        <v>137.03</v>
      </c>
      <c r="Q3383">
        <v>21431012</v>
      </c>
      <c r="R3383">
        <v>0.87</v>
      </c>
      <c r="S3383" t="s">
        <v>293</v>
      </c>
      <c r="T3383" t="s">
        <v>551</v>
      </c>
      <c r="U3383">
        <v>1.86</v>
      </c>
      <c r="V3383">
        <v>4.8499999999999996</v>
      </c>
      <c r="W3383">
        <v>25416</v>
      </c>
      <c r="X3383">
        <v>18799</v>
      </c>
      <c r="Y3383">
        <v>1.35</v>
      </c>
      <c r="Z3383">
        <v>805</v>
      </c>
      <c r="AA3383">
        <v>49</v>
      </c>
      <c r="AB3383" t="s">
        <v>116</v>
      </c>
      <c r="AC3383">
        <v>15900</v>
      </c>
      <c r="AD3383">
        <v>0</v>
      </c>
      <c r="AE3383" t="s">
        <v>116</v>
      </c>
      <c r="AF3383" t="s">
        <v>116</v>
      </c>
      <c r="AG3383">
        <v>2.0299999999999998</v>
      </c>
      <c r="AH3383" t="s">
        <v>7014</v>
      </c>
      <c r="AI3383" t="s">
        <v>14341</v>
      </c>
      <c r="AJ3383">
        <v>-0.75</v>
      </c>
      <c r="AK3383">
        <v>869</v>
      </c>
      <c r="AL3383">
        <v>51</v>
      </c>
      <c r="AM3383">
        <v>2.5000000000000001E-3</v>
      </c>
      <c r="AN3383">
        <v>-1</v>
      </c>
      <c r="AO3383">
        <v>-0.83</v>
      </c>
      <c r="AP3383">
        <v>2.79</v>
      </c>
      <c r="AQ3383">
        <v>-9.6199999999999992</v>
      </c>
      <c r="AR3383">
        <v>2.76</v>
      </c>
      <c r="AS3383">
        <v>2.23</v>
      </c>
      <c r="AT3383" t="s">
        <v>7375</v>
      </c>
      <c r="AU3383">
        <v>444.6</v>
      </c>
      <c r="AV3383">
        <v>151.82</v>
      </c>
      <c r="AW3383">
        <v>1.6</v>
      </c>
      <c r="BA3383">
        <v>0</v>
      </c>
      <c r="BB3383">
        <v>1.04</v>
      </c>
      <c r="BC3383">
        <v>-0.83</v>
      </c>
      <c r="BD3383">
        <v>0.35</v>
      </c>
      <c r="BE3383">
        <v>-0.83</v>
      </c>
      <c r="BF3383">
        <v>-1.84</v>
      </c>
      <c r="BG3383">
        <v>0</v>
      </c>
      <c r="BH3383">
        <v>-1.18</v>
      </c>
      <c r="BI3383">
        <v>20191201</v>
      </c>
      <c r="BJ3383">
        <v>20170620</v>
      </c>
      <c r="BK3383">
        <v>4.28</v>
      </c>
      <c r="BL3383" t="s">
        <v>116</v>
      </c>
      <c r="BM3383" t="s">
        <v>116</v>
      </c>
      <c r="BN3383">
        <v>8.4</v>
      </c>
      <c r="BO3383">
        <v>5.68</v>
      </c>
      <c r="BP3383">
        <v>0.47</v>
      </c>
      <c r="BQ3383">
        <v>26.73</v>
      </c>
      <c r="BR3383">
        <v>5.91</v>
      </c>
      <c r="BS3383">
        <v>1.01</v>
      </c>
      <c r="BT3383">
        <v>0.63</v>
      </c>
      <c r="BU3383">
        <v>2.23</v>
      </c>
      <c r="BV3383">
        <v>2.99</v>
      </c>
      <c r="BW3383">
        <v>0.59</v>
      </c>
      <c r="BX3383">
        <v>0.18</v>
      </c>
      <c r="BY3383">
        <v>6.29</v>
      </c>
      <c r="BZ3383">
        <v>4.68</v>
      </c>
      <c r="CA3383">
        <v>0.23</v>
      </c>
      <c r="CB3383">
        <v>0</v>
      </c>
      <c r="CC3383">
        <v>0.23</v>
      </c>
      <c r="CD3383">
        <v>0.17</v>
      </c>
      <c r="CE3383">
        <v>0.11</v>
      </c>
      <c r="CF3383">
        <v>0.14000000000000001</v>
      </c>
      <c r="CG3383">
        <v>0.88</v>
      </c>
      <c r="CH3383">
        <v>1.1200000000000001</v>
      </c>
      <c r="CI3383">
        <v>1.01</v>
      </c>
      <c r="CJ3383">
        <v>22515</v>
      </c>
      <c r="CK3383">
        <v>8791</v>
      </c>
      <c r="CL3383" t="s">
        <v>2864</v>
      </c>
      <c r="CM3383">
        <v>-44.21</v>
      </c>
      <c r="CN3383">
        <v>1.74</v>
      </c>
      <c r="CO3383">
        <v>3.61</v>
      </c>
      <c r="CP3383">
        <v>18.29</v>
      </c>
      <c r="CQ3383">
        <v>3.26</v>
      </c>
      <c r="CR3383">
        <v>0.32</v>
      </c>
      <c r="CS3383" t="s">
        <v>613</v>
      </c>
      <c r="CT3383">
        <v>1.33</v>
      </c>
      <c r="CU3383">
        <v>0</v>
      </c>
      <c r="CV3383">
        <v>0.04</v>
      </c>
      <c r="CW3383">
        <v>0.21</v>
      </c>
      <c r="CX3383">
        <v>0.26</v>
      </c>
      <c r="CY3383">
        <v>67.66</v>
      </c>
      <c r="CZ3383" t="s">
        <v>8275</v>
      </c>
      <c r="DA3383">
        <v>25.59</v>
      </c>
      <c r="DB3383">
        <v>3.67</v>
      </c>
      <c r="DC3383">
        <v>1.79</v>
      </c>
      <c r="DD3383">
        <v>0.06</v>
      </c>
      <c r="DE3383">
        <v>760</v>
      </c>
      <c r="DF3383">
        <v>603335</v>
      </c>
      <c r="DG3383" t="s">
        <v>116</v>
      </c>
      <c r="DH3383" t="s">
        <v>116</v>
      </c>
      <c r="DI3383" t="s">
        <v>116</v>
      </c>
    </row>
    <row r="3384" spans="1:113" x14ac:dyDescent="0.4">
      <c r="A3384" t="str">
        <f>"603336"</f>
        <v>603336</v>
      </c>
      <c r="B3384" t="s">
        <v>14342</v>
      </c>
      <c r="C3384">
        <v>0.44</v>
      </c>
      <c r="D3384">
        <v>13.77</v>
      </c>
      <c r="E3384">
        <v>0.06</v>
      </c>
      <c r="F3384">
        <v>13.76</v>
      </c>
      <c r="G3384">
        <v>13.77</v>
      </c>
      <c r="H3384">
        <v>37035</v>
      </c>
      <c r="I3384">
        <v>652</v>
      </c>
      <c r="J3384">
        <v>0</v>
      </c>
      <c r="K3384">
        <v>1.64</v>
      </c>
      <c r="L3384">
        <v>13.71</v>
      </c>
      <c r="M3384">
        <v>13.9</v>
      </c>
      <c r="N3384">
        <v>13.69</v>
      </c>
      <c r="O3384">
        <v>13.71</v>
      </c>
      <c r="P3384">
        <v>36.590000000000003</v>
      </c>
      <c r="Q3384">
        <v>51057284</v>
      </c>
      <c r="R3384">
        <v>0.66</v>
      </c>
      <c r="S3384" t="s">
        <v>449</v>
      </c>
      <c r="T3384" t="s">
        <v>551</v>
      </c>
      <c r="U3384">
        <v>1.53</v>
      </c>
      <c r="V3384">
        <v>13.79</v>
      </c>
      <c r="W3384">
        <v>17990</v>
      </c>
      <c r="X3384">
        <v>19045</v>
      </c>
      <c r="Y3384">
        <v>0.94</v>
      </c>
      <c r="Z3384">
        <v>296</v>
      </c>
      <c r="AA3384">
        <v>55</v>
      </c>
      <c r="AB3384" t="s">
        <v>116</v>
      </c>
      <c r="AC3384">
        <v>59000</v>
      </c>
      <c r="AD3384">
        <v>0.01</v>
      </c>
      <c r="AE3384" t="s">
        <v>116</v>
      </c>
      <c r="AF3384" t="s">
        <v>116</v>
      </c>
      <c r="AG3384">
        <v>2.25</v>
      </c>
      <c r="AH3384" t="s">
        <v>14343</v>
      </c>
      <c r="AI3384" t="s">
        <v>14343</v>
      </c>
      <c r="AJ3384">
        <v>0.51</v>
      </c>
      <c r="AK3384">
        <v>1452</v>
      </c>
      <c r="AL3384">
        <v>26</v>
      </c>
      <c r="AM3384">
        <v>1.1000000000000001E-3</v>
      </c>
      <c r="AN3384">
        <v>1</v>
      </c>
      <c r="AO3384">
        <v>-1.79</v>
      </c>
      <c r="AP3384">
        <v>-1.29</v>
      </c>
      <c r="AQ3384">
        <v>-10.58</v>
      </c>
      <c r="AR3384">
        <v>16.010000000000002</v>
      </c>
      <c r="AS3384">
        <v>4.83</v>
      </c>
      <c r="AT3384" t="s">
        <v>7444</v>
      </c>
      <c r="AU3384">
        <v>42.65</v>
      </c>
      <c r="AV3384">
        <v>48.36</v>
      </c>
      <c r="AW3384">
        <v>7.0000000000000007E-2</v>
      </c>
      <c r="BA3384">
        <v>0</v>
      </c>
      <c r="BB3384">
        <v>1.39</v>
      </c>
      <c r="BC3384">
        <v>-0.15</v>
      </c>
      <c r="BD3384">
        <v>0.56000000000000005</v>
      </c>
      <c r="BE3384">
        <v>0.44</v>
      </c>
      <c r="BF3384">
        <v>-0.94</v>
      </c>
      <c r="BG3384">
        <v>0.57999999999999996</v>
      </c>
      <c r="BH3384">
        <v>-0.12</v>
      </c>
      <c r="BI3384">
        <v>20191122</v>
      </c>
      <c r="BJ3384">
        <v>20161124</v>
      </c>
      <c r="BK3384">
        <v>2.25</v>
      </c>
      <c r="BL3384" t="s">
        <v>116</v>
      </c>
      <c r="BM3384" t="s">
        <v>116</v>
      </c>
      <c r="BN3384">
        <v>9.68</v>
      </c>
      <c r="BO3384">
        <v>8.58</v>
      </c>
      <c r="BP3384">
        <v>0.01</v>
      </c>
      <c r="BQ3384">
        <v>11.25</v>
      </c>
      <c r="BR3384">
        <v>6.24</v>
      </c>
      <c r="BS3384">
        <v>1.47</v>
      </c>
      <c r="BT3384">
        <v>0.57999999999999996</v>
      </c>
      <c r="BU3384">
        <v>1.04</v>
      </c>
      <c r="BV3384">
        <v>2.57</v>
      </c>
      <c r="BW3384">
        <v>2.9</v>
      </c>
      <c r="BX3384">
        <v>1.97</v>
      </c>
      <c r="BY3384">
        <v>6.08</v>
      </c>
      <c r="BZ3384">
        <v>5.04</v>
      </c>
      <c r="CA3384">
        <v>0.64</v>
      </c>
      <c r="CB3384">
        <v>0</v>
      </c>
      <c r="CC3384">
        <v>0.64</v>
      </c>
      <c r="CD3384">
        <v>0.64</v>
      </c>
      <c r="CE3384">
        <v>0.64</v>
      </c>
      <c r="CF3384">
        <v>0.63</v>
      </c>
      <c r="CG3384">
        <v>4.1500000000000004</v>
      </c>
      <c r="CH3384">
        <v>0.63</v>
      </c>
      <c r="CI3384">
        <v>-0.99</v>
      </c>
      <c r="CJ3384">
        <v>31073</v>
      </c>
      <c r="CK3384">
        <v>2465</v>
      </c>
      <c r="CL3384" t="s">
        <v>1444</v>
      </c>
      <c r="CM3384">
        <v>15.61</v>
      </c>
      <c r="CN3384">
        <v>13.39</v>
      </c>
      <c r="CO3384">
        <v>3.62</v>
      </c>
      <c r="CP3384">
        <v>49.28</v>
      </c>
      <c r="CQ3384">
        <v>5.1100000000000003</v>
      </c>
      <c r="CR3384">
        <v>0.67</v>
      </c>
      <c r="CS3384" t="s">
        <v>7386</v>
      </c>
      <c r="CT3384">
        <v>3.81</v>
      </c>
      <c r="CU3384">
        <v>0</v>
      </c>
      <c r="CV3384">
        <v>0.88</v>
      </c>
      <c r="CW3384">
        <v>1.84</v>
      </c>
      <c r="CX3384">
        <v>0.28000000000000003</v>
      </c>
      <c r="CY3384">
        <v>88.64</v>
      </c>
      <c r="CZ3384" t="s">
        <v>14344</v>
      </c>
      <c r="DA3384">
        <v>17</v>
      </c>
      <c r="DB3384">
        <v>10.56</v>
      </c>
      <c r="DC3384">
        <v>10.46</v>
      </c>
      <c r="DD3384">
        <v>0</v>
      </c>
      <c r="DE3384">
        <v>423</v>
      </c>
      <c r="DF3384">
        <v>603336</v>
      </c>
      <c r="DG3384" t="s">
        <v>116</v>
      </c>
      <c r="DH3384" t="s">
        <v>116</v>
      </c>
      <c r="DI3384" t="s">
        <v>116</v>
      </c>
    </row>
    <row r="3385" spans="1:113" x14ac:dyDescent="0.4">
      <c r="A3385" t="str">
        <f>"603337"</f>
        <v>603337</v>
      </c>
      <c r="B3385" t="s">
        <v>14345</v>
      </c>
      <c r="C3385">
        <v>-0.34</v>
      </c>
      <c r="D3385">
        <v>20.58</v>
      </c>
      <c r="E3385">
        <v>-7.0000000000000007E-2</v>
      </c>
      <c r="F3385">
        <v>20.54</v>
      </c>
      <c r="G3385">
        <v>20.58</v>
      </c>
      <c r="H3385">
        <v>11974</v>
      </c>
      <c r="I3385">
        <v>220</v>
      </c>
      <c r="J3385">
        <v>0.28999999999999998</v>
      </c>
      <c r="K3385">
        <v>1.02</v>
      </c>
      <c r="L3385">
        <v>20.66</v>
      </c>
      <c r="M3385">
        <v>21.15</v>
      </c>
      <c r="N3385">
        <v>20.5</v>
      </c>
      <c r="O3385">
        <v>20.65</v>
      </c>
      <c r="P3385">
        <v>27.24</v>
      </c>
      <c r="Q3385">
        <v>24818196</v>
      </c>
      <c r="R3385">
        <v>1.25</v>
      </c>
      <c r="S3385" t="s">
        <v>3176</v>
      </c>
      <c r="T3385" t="s">
        <v>590</v>
      </c>
      <c r="U3385">
        <v>3.15</v>
      </c>
      <c r="V3385">
        <v>20.73</v>
      </c>
      <c r="W3385">
        <v>6990</v>
      </c>
      <c r="X3385">
        <v>4984</v>
      </c>
      <c r="Y3385">
        <v>1.4</v>
      </c>
      <c r="Z3385">
        <v>19</v>
      </c>
      <c r="AA3385">
        <v>18</v>
      </c>
      <c r="AB3385" t="s">
        <v>116</v>
      </c>
      <c r="AC3385">
        <v>2100</v>
      </c>
      <c r="AD3385">
        <v>0</v>
      </c>
      <c r="AE3385" t="s">
        <v>116</v>
      </c>
      <c r="AF3385" t="s">
        <v>116</v>
      </c>
      <c r="AG3385">
        <v>1.18</v>
      </c>
      <c r="AH3385" t="s">
        <v>9039</v>
      </c>
      <c r="AI3385" t="s">
        <v>14346</v>
      </c>
      <c r="AJ3385">
        <v>-0.26</v>
      </c>
      <c r="AK3385">
        <v>1745</v>
      </c>
      <c r="AL3385">
        <v>7</v>
      </c>
      <c r="AM3385">
        <v>5.9999999999999995E-4</v>
      </c>
      <c r="AN3385">
        <v>-1</v>
      </c>
      <c r="AO3385">
        <v>2.09</v>
      </c>
      <c r="AP3385">
        <v>8.89</v>
      </c>
      <c r="AQ3385">
        <v>-1.53</v>
      </c>
      <c r="AR3385">
        <v>-17.5</v>
      </c>
      <c r="AS3385">
        <v>1.05</v>
      </c>
      <c r="AT3385" t="s">
        <v>4135</v>
      </c>
      <c r="AU3385">
        <v>27.3</v>
      </c>
      <c r="AV3385">
        <v>20.2</v>
      </c>
      <c r="AW3385">
        <v>0.76</v>
      </c>
      <c r="BA3385">
        <v>0.05</v>
      </c>
      <c r="BB3385">
        <v>2.42</v>
      </c>
      <c r="BC3385">
        <v>-0.73</v>
      </c>
      <c r="BD3385">
        <v>0.37</v>
      </c>
      <c r="BE3385">
        <v>-0.39</v>
      </c>
      <c r="BF3385">
        <v>-2.7</v>
      </c>
      <c r="BG3385">
        <v>0.39</v>
      </c>
      <c r="BH3385">
        <v>-0.71</v>
      </c>
      <c r="BI3385">
        <v>20191031</v>
      </c>
      <c r="BJ3385">
        <v>20170119</v>
      </c>
      <c r="BK3385">
        <v>4.46</v>
      </c>
      <c r="BL3385" t="s">
        <v>116</v>
      </c>
      <c r="BM3385" t="s">
        <v>116</v>
      </c>
      <c r="BN3385">
        <v>42.91</v>
      </c>
      <c r="BO3385">
        <v>25.98</v>
      </c>
      <c r="BP3385">
        <v>0.6</v>
      </c>
      <c r="BQ3385">
        <v>38.06</v>
      </c>
      <c r="BR3385">
        <v>25.02</v>
      </c>
      <c r="BS3385">
        <v>9.1</v>
      </c>
      <c r="BT3385">
        <v>2.97</v>
      </c>
      <c r="BU3385">
        <v>13.84</v>
      </c>
      <c r="BV3385">
        <v>8.41</v>
      </c>
      <c r="BW3385">
        <v>5.47</v>
      </c>
      <c r="BX3385">
        <v>6.21</v>
      </c>
      <c r="BY3385">
        <v>29.16</v>
      </c>
      <c r="BZ3385">
        <v>21.08</v>
      </c>
      <c r="CA3385">
        <v>3.02</v>
      </c>
      <c r="CB3385">
        <v>0.2</v>
      </c>
      <c r="CC3385">
        <v>3.02</v>
      </c>
      <c r="CD3385">
        <v>2.56</v>
      </c>
      <c r="CE3385">
        <v>2.5299999999999998</v>
      </c>
      <c r="CF3385">
        <v>2.63</v>
      </c>
      <c r="CG3385">
        <v>14.16</v>
      </c>
      <c r="CH3385">
        <v>2.42</v>
      </c>
      <c r="CI3385">
        <v>0.51</v>
      </c>
      <c r="CJ3385">
        <v>8468</v>
      </c>
      <c r="CK3385">
        <v>13437</v>
      </c>
      <c r="CL3385" t="s">
        <v>14347</v>
      </c>
      <c r="CM3385">
        <v>-31.86</v>
      </c>
      <c r="CN3385">
        <v>-9.6300000000000008</v>
      </c>
      <c r="CO3385">
        <v>3.53</v>
      </c>
      <c r="CP3385">
        <v>37.99</v>
      </c>
      <c r="CQ3385">
        <v>3.15</v>
      </c>
      <c r="CR3385">
        <v>1.74</v>
      </c>
      <c r="CS3385" t="s">
        <v>8559</v>
      </c>
      <c r="CT3385">
        <v>5.83</v>
      </c>
      <c r="CU3385">
        <v>0</v>
      </c>
      <c r="CV3385">
        <v>1.39</v>
      </c>
      <c r="CW3385">
        <v>3.18</v>
      </c>
      <c r="CX3385">
        <v>0.54</v>
      </c>
      <c r="CY3385">
        <v>60.54</v>
      </c>
      <c r="CZ3385" t="s">
        <v>3387</v>
      </c>
      <c r="DA3385">
        <v>27.71</v>
      </c>
      <c r="DB3385">
        <v>10.36</v>
      </c>
      <c r="DC3385">
        <v>8.66</v>
      </c>
      <c r="DD3385">
        <v>1.51</v>
      </c>
      <c r="DE3385">
        <v>6879</v>
      </c>
      <c r="DF3385">
        <v>603337</v>
      </c>
      <c r="DG3385" t="s">
        <v>116</v>
      </c>
      <c r="DH3385" t="s">
        <v>116</v>
      </c>
      <c r="DI3385" t="s">
        <v>116</v>
      </c>
    </row>
    <row r="3386" spans="1:113" x14ac:dyDescent="0.4">
      <c r="A3386" t="str">
        <f>"603338"</f>
        <v>603338</v>
      </c>
      <c r="B3386" t="s">
        <v>14348</v>
      </c>
      <c r="C3386">
        <v>1.01</v>
      </c>
      <c r="D3386">
        <v>72.13</v>
      </c>
      <c r="E3386">
        <v>0.72</v>
      </c>
      <c r="F3386">
        <v>72.13</v>
      </c>
      <c r="G3386">
        <v>72.16</v>
      </c>
      <c r="H3386">
        <v>13448</v>
      </c>
      <c r="I3386">
        <v>121</v>
      </c>
      <c r="J3386">
        <v>0.26</v>
      </c>
      <c r="K3386">
        <v>0.39</v>
      </c>
      <c r="L3386">
        <v>71.64</v>
      </c>
      <c r="M3386">
        <v>72.59</v>
      </c>
      <c r="N3386">
        <v>71.540000000000006</v>
      </c>
      <c r="O3386">
        <v>71.41</v>
      </c>
      <c r="P3386">
        <v>42.28</v>
      </c>
      <c r="Q3386">
        <v>96954656</v>
      </c>
      <c r="R3386">
        <v>1.33</v>
      </c>
      <c r="S3386" t="s">
        <v>682</v>
      </c>
      <c r="T3386" t="s">
        <v>590</v>
      </c>
      <c r="U3386">
        <v>1.47</v>
      </c>
      <c r="V3386">
        <v>72.09</v>
      </c>
      <c r="W3386">
        <v>6318</v>
      </c>
      <c r="X3386">
        <v>7130</v>
      </c>
      <c r="Y3386">
        <v>0.89</v>
      </c>
      <c r="Z3386">
        <v>12</v>
      </c>
      <c r="AA3386">
        <v>2</v>
      </c>
      <c r="AB3386" t="s">
        <v>116</v>
      </c>
      <c r="AC3386">
        <v>64500</v>
      </c>
      <c r="AD3386">
        <v>0</v>
      </c>
      <c r="AE3386" t="s">
        <v>116</v>
      </c>
      <c r="AF3386" t="s">
        <v>116</v>
      </c>
      <c r="AG3386">
        <v>3.47</v>
      </c>
      <c r="AH3386" t="s">
        <v>14349</v>
      </c>
      <c r="AI3386" t="s">
        <v>14349</v>
      </c>
      <c r="AJ3386">
        <v>1.0900000000000001</v>
      </c>
      <c r="AK3386">
        <v>2212</v>
      </c>
      <c r="AL3386">
        <v>6</v>
      </c>
      <c r="AM3386">
        <v>2.0000000000000001E-4</v>
      </c>
      <c r="AN3386">
        <v>1</v>
      </c>
      <c r="AO3386">
        <v>7.0000000000000007E-2</v>
      </c>
      <c r="AP3386">
        <v>11.17</v>
      </c>
      <c r="AQ3386">
        <v>18.87</v>
      </c>
      <c r="AR3386">
        <v>80.42</v>
      </c>
      <c r="AS3386">
        <v>1.08</v>
      </c>
      <c r="AT3386" t="s">
        <v>14350</v>
      </c>
      <c r="AU3386">
        <v>47.37</v>
      </c>
      <c r="AV3386">
        <v>52.06</v>
      </c>
      <c r="AW3386">
        <v>0.89</v>
      </c>
      <c r="BA3386">
        <v>0.32</v>
      </c>
      <c r="BB3386">
        <v>1.65</v>
      </c>
      <c r="BC3386">
        <v>0.18</v>
      </c>
      <c r="BD3386">
        <v>0.96</v>
      </c>
      <c r="BE3386">
        <v>0.68</v>
      </c>
      <c r="BF3386">
        <v>-0.63</v>
      </c>
      <c r="BG3386">
        <v>0.82</v>
      </c>
      <c r="BH3386">
        <v>0.05</v>
      </c>
      <c r="BI3386">
        <v>20191030</v>
      </c>
      <c r="BJ3386">
        <v>20150325</v>
      </c>
      <c r="BK3386">
        <v>3.47</v>
      </c>
      <c r="BL3386" t="s">
        <v>116</v>
      </c>
      <c r="BM3386" t="s">
        <v>116</v>
      </c>
      <c r="BN3386">
        <v>43.9</v>
      </c>
      <c r="BO3386">
        <v>29.57</v>
      </c>
      <c r="BP3386">
        <v>0</v>
      </c>
      <c r="BQ3386">
        <v>32.65</v>
      </c>
      <c r="BR3386">
        <v>31.09</v>
      </c>
      <c r="BS3386">
        <v>2.37</v>
      </c>
      <c r="BT3386">
        <v>1.41</v>
      </c>
      <c r="BU3386">
        <v>11.66</v>
      </c>
      <c r="BV3386">
        <v>5.7</v>
      </c>
      <c r="BW3386">
        <v>5.68</v>
      </c>
      <c r="BX3386">
        <v>10.53</v>
      </c>
      <c r="BY3386">
        <v>14.45</v>
      </c>
      <c r="BZ3386">
        <v>8.5500000000000007</v>
      </c>
      <c r="CA3386">
        <v>5.25</v>
      </c>
      <c r="CB3386">
        <v>0.2</v>
      </c>
      <c r="CC3386">
        <v>5.25</v>
      </c>
      <c r="CD3386">
        <v>4.4400000000000004</v>
      </c>
      <c r="CE3386">
        <v>4.4400000000000004</v>
      </c>
      <c r="CF3386">
        <v>4.1399999999999997</v>
      </c>
      <c r="CG3386">
        <v>14.16</v>
      </c>
      <c r="CH3386">
        <v>3.29</v>
      </c>
      <c r="CI3386">
        <v>0.42</v>
      </c>
      <c r="CJ3386">
        <v>10627</v>
      </c>
      <c r="CK3386">
        <v>11756</v>
      </c>
      <c r="CL3386" t="s">
        <v>14351</v>
      </c>
      <c r="CM3386">
        <v>12.02</v>
      </c>
      <c r="CN3386">
        <v>9.02</v>
      </c>
      <c r="CO3386">
        <v>8.4600000000000009</v>
      </c>
      <c r="CP3386">
        <v>75.959999999999994</v>
      </c>
      <c r="CQ3386">
        <v>17.3</v>
      </c>
      <c r="CR3386">
        <v>0.35</v>
      </c>
      <c r="CS3386" t="s">
        <v>14352</v>
      </c>
      <c r="CT3386">
        <v>8.5299999999999994</v>
      </c>
      <c r="CU3386">
        <v>0</v>
      </c>
      <c r="CV3386">
        <v>3.04</v>
      </c>
      <c r="CW3386">
        <v>4.08</v>
      </c>
      <c r="CX3386">
        <v>0.95</v>
      </c>
      <c r="CY3386">
        <v>67.349999999999994</v>
      </c>
      <c r="CZ3386" t="s">
        <v>4142</v>
      </c>
      <c r="DA3386">
        <v>40.85</v>
      </c>
      <c r="DB3386">
        <v>36.29</v>
      </c>
      <c r="DC3386">
        <v>30.69</v>
      </c>
      <c r="DD3386">
        <v>0.39</v>
      </c>
      <c r="DE3386">
        <v>984</v>
      </c>
      <c r="DF3386">
        <v>603338</v>
      </c>
      <c r="DG3386" t="s">
        <v>116</v>
      </c>
      <c r="DH3386" t="s">
        <v>116</v>
      </c>
      <c r="DI3386" t="s">
        <v>116</v>
      </c>
    </row>
    <row r="3387" spans="1:113" x14ac:dyDescent="0.4">
      <c r="A3387" t="str">
        <f>"603339"</f>
        <v>603339</v>
      </c>
      <c r="B3387" t="s">
        <v>14353</v>
      </c>
      <c r="C3387">
        <v>-0.52</v>
      </c>
      <c r="D3387">
        <v>13.44</v>
      </c>
      <c r="E3387">
        <v>-7.0000000000000007E-2</v>
      </c>
      <c r="F3387">
        <v>13.43</v>
      </c>
      <c r="G3387">
        <v>13.44</v>
      </c>
      <c r="H3387">
        <v>10337</v>
      </c>
      <c r="I3387">
        <v>29</v>
      </c>
      <c r="J3387">
        <v>-0.28999999999999998</v>
      </c>
      <c r="K3387">
        <v>0.49</v>
      </c>
      <c r="L3387">
        <v>13.53</v>
      </c>
      <c r="M3387">
        <v>13.62</v>
      </c>
      <c r="N3387">
        <v>13.43</v>
      </c>
      <c r="O3387">
        <v>13.51</v>
      </c>
      <c r="P3387">
        <v>23.15</v>
      </c>
      <c r="Q3387">
        <v>13993368</v>
      </c>
      <c r="R3387">
        <v>1.1299999999999999</v>
      </c>
      <c r="S3387" t="s">
        <v>682</v>
      </c>
      <c r="T3387" t="s">
        <v>323</v>
      </c>
      <c r="U3387">
        <v>1.41</v>
      </c>
      <c r="V3387">
        <v>13.54</v>
      </c>
      <c r="W3387">
        <v>5713</v>
      </c>
      <c r="X3387">
        <v>4624</v>
      </c>
      <c r="Y3387">
        <v>1.24</v>
      </c>
      <c r="Z3387">
        <v>10</v>
      </c>
      <c r="AA3387">
        <v>6</v>
      </c>
      <c r="AB3387" t="s">
        <v>116</v>
      </c>
      <c r="AC3387">
        <v>4100</v>
      </c>
      <c r="AD3387">
        <v>0</v>
      </c>
      <c r="AE3387" t="s">
        <v>116</v>
      </c>
      <c r="AF3387" t="s">
        <v>116</v>
      </c>
      <c r="AG3387">
        <v>2.09</v>
      </c>
      <c r="AH3387" t="s">
        <v>11725</v>
      </c>
      <c r="AI3387" t="s">
        <v>14354</v>
      </c>
      <c r="AJ3387">
        <v>-0.44</v>
      </c>
      <c r="AK3387">
        <v>625</v>
      </c>
      <c r="AL3387">
        <v>17</v>
      </c>
      <c r="AM3387">
        <v>8.0000000000000004E-4</v>
      </c>
      <c r="AN3387">
        <v>-1</v>
      </c>
      <c r="AO3387">
        <v>0.3</v>
      </c>
      <c r="AP3387">
        <v>3.78</v>
      </c>
      <c r="AQ3387">
        <v>-8.6999999999999993</v>
      </c>
      <c r="AR3387">
        <v>-8.8800000000000008</v>
      </c>
      <c r="AS3387">
        <v>0.86</v>
      </c>
      <c r="AT3387" t="s">
        <v>5123</v>
      </c>
      <c r="AU3387">
        <v>21.6</v>
      </c>
      <c r="AV3387">
        <v>15.54</v>
      </c>
      <c r="AW3387">
        <v>1.08</v>
      </c>
      <c r="BA3387">
        <v>0.15</v>
      </c>
      <c r="BB3387">
        <v>0.81</v>
      </c>
      <c r="BC3387">
        <v>-0.59</v>
      </c>
      <c r="BD3387">
        <v>0.2</v>
      </c>
      <c r="BE3387">
        <v>-0.67</v>
      </c>
      <c r="BF3387">
        <v>-1.32</v>
      </c>
      <c r="BG3387">
        <v>7.0000000000000007E-2</v>
      </c>
      <c r="BH3387">
        <v>-0.72</v>
      </c>
      <c r="BI3387">
        <v>20191030</v>
      </c>
      <c r="BJ3387">
        <v>20160519</v>
      </c>
      <c r="BK3387">
        <v>2.11</v>
      </c>
      <c r="BL3387" t="s">
        <v>116</v>
      </c>
      <c r="BM3387" t="s">
        <v>116</v>
      </c>
      <c r="BN3387">
        <v>24.16</v>
      </c>
      <c r="BO3387">
        <v>17.190000000000001</v>
      </c>
      <c r="BP3387">
        <v>0</v>
      </c>
      <c r="BQ3387">
        <v>28.87</v>
      </c>
      <c r="BR3387">
        <v>16.18</v>
      </c>
      <c r="BS3387">
        <v>4.03</v>
      </c>
      <c r="BT3387">
        <v>1.1299999999999999</v>
      </c>
      <c r="BU3387">
        <v>6.72</v>
      </c>
      <c r="BV3387">
        <v>7.01</v>
      </c>
      <c r="BW3387">
        <v>0.39</v>
      </c>
      <c r="BX3387">
        <v>5.85</v>
      </c>
      <c r="BY3387">
        <v>8.76</v>
      </c>
      <c r="BZ3387">
        <v>6.76</v>
      </c>
      <c r="CA3387">
        <v>1.03</v>
      </c>
      <c r="CB3387">
        <v>-0.08</v>
      </c>
      <c r="CC3387">
        <v>1.04</v>
      </c>
      <c r="CD3387">
        <v>0.92</v>
      </c>
      <c r="CE3387">
        <v>0.92</v>
      </c>
      <c r="CF3387">
        <v>0.93</v>
      </c>
      <c r="CG3387">
        <v>8.9499999999999993</v>
      </c>
      <c r="CH3387">
        <v>1.81</v>
      </c>
      <c r="CI3387">
        <v>1.8</v>
      </c>
      <c r="CJ3387">
        <v>20884</v>
      </c>
      <c r="CK3387">
        <v>5754</v>
      </c>
      <c r="CL3387" t="s">
        <v>2411</v>
      </c>
      <c r="CM3387">
        <v>-35.78</v>
      </c>
      <c r="CN3387">
        <v>1.99</v>
      </c>
      <c r="CO3387">
        <v>1.65</v>
      </c>
      <c r="CP3387">
        <v>15.63</v>
      </c>
      <c r="CQ3387">
        <v>3.23</v>
      </c>
      <c r="CR3387">
        <v>1.49</v>
      </c>
      <c r="CS3387" t="s">
        <v>13751</v>
      </c>
      <c r="CT3387">
        <v>8.16</v>
      </c>
      <c r="CU3387">
        <v>0</v>
      </c>
      <c r="CV3387">
        <v>2.77</v>
      </c>
      <c r="CW3387">
        <v>4.25</v>
      </c>
      <c r="CX3387">
        <v>0.86</v>
      </c>
      <c r="CY3387">
        <v>71.13</v>
      </c>
      <c r="CZ3387" t="s">
        <v>4661</v>
      </c>
      <c r="DA3387">
        <v>22.9</v>
      </c>
      <c r="DB3387">
        <v>11.81</v>
      </c>
      <c r="DC3387">
        <v>10.47</v>
      </c>
      <c r="DD3387">
        <v>0.37</v>
      </c>
      <c r="DE3387">
        <v>1334</v>
      </c>
      <c r="DF3387">
        <v>603339</v>
      </c>
      <c r="DG3387" t="s">
        <v>116</v>
      </c>
      <c r="DH3387" t="s">
        <v>116</v>
      </c>
      <c r="DI3387" t="s">
        <v>116</v>
      </c>
    </row>
    <row r="3388" spans="1:113" x14ac:dyDescent="0.4">
      <c r="A3388" t="str">
        <f>"603345"</f>
        <v>603345</v>
      </c>
      <c r="B3388" t="s">
        <v>14355</v>
      </c>
      <c r="C3388">
        <v>0.92</v>
      </c>
      <c r="D3388">
        <v>61.72</v>
      </c>
      <c r="E3388">
        <v>0.56000000000000005</v>
      </c>
      <c r="F3388">
        <v>61.7</v>
      </c>
      <c r="G3388">
        <v>61.72</v>
      </c>
      <c r="H3388">
        <v>12318</v>
      </c>
      <c r="I3388">
        <v>41</v>
      </c>
      <c r="J3388">
        <v>0</v>
      </c>
      <c r="K3388">
        <v>0.9</v>
      </c>
      <c r="L3388">
        <v>60.92</v>
      </c>
      <c r="M3388">
        <v>62.12</v>
      </c>
      <c r="N3388">
        <v>60.7</v>
      </c>
      <c r="O3388">
        <v>61.16</v>
      </c>
      <c r="P3388">
        <v>44.71</v>
      </c>
      <c r="Q3388">
        <v>75587824</v>
      </c>
      <c r="R3388">
        <v>0.95</v>
      </c>
      <c r="S3388" t="s">
        <v>863</v>
      </c>
      <c r="T3388" t="s">
        <v>975</v>
      </c>
      <c r="U3388">
        <v>2.3199999999999998</v>
      </c>
      <c r="V3388">
        <v>61.36</v>
      </c>
      <c r="W3388">
        <v>6871</v>
      </c>
      <c r="X3388">
        <v>5447</v>
      </c>
      <c r="Y3388">
        <v>1.26</v>
      </c>
      <c r="Z3388">
        <v>1</v>
      </c>
      <c r="AA3388">
        <v>10</v>
      </c>
      <c r="AB3388" t="s">
        <v>116</v>
      </c>
      <c r="AC3388">
        <v>372800</v>
      </c>
      <c r="AD3388">
        <v>0.01</v>
      </c>
      <c r="AE3388" t="s">
        <v>116</v>
      </c>
      <c r="AF3388" t="s">
        <v>116</v>
      </c>
      <c r="AG3388">
        <v>1.37</v>
      </c>
      <c r="AH3388" t="s">
        <v>2058</v>
      </c>
      <c r="AI3388" t="s">
        <v>14356</v>
      </c>
      <c r="AJ3388">
        <v>0.99</v>
      </c>
      <c r="AK3388">
        <v>1617</v>
      </c>
      <c r="AL3388">
        <v>8</v>
      </c>
      <c r="AM3388">
        <v>5.9999999999999995E-4</v>
      </c>
      <c r="AN3388">
        <v>1</v>
      </c>
      <c r="AO3388">
        <v>0.37</v>
      </c>
      <c r="AP3388">
        <v>1.81</v>
      </c>
      <c r="AQ3388">
        <v>33.1</v>
      </c>
      <c r="AR3388">
        <v>69.45</v>
      </c>
      <c r="AS3388">
        <v>1.07</v>
      </c>
      <c r="AT3388" t="s">
        <v>14357</v>
      </c>
      <c r="AU3388">
        <v>45.51</v>
      </c>
      <c r="AV3388">
        <v>52.54</v>
      </c>
      <c r="AW3388">
        <v>0.43</v>
      </c>
      <c r="BA3388">
        <v>-0.39</v>
      </c>
      <c r="BB3388">
        <v>1.57</v>
      </c>
      <c r="BC3388">
        <v>-0.75</v>
      </c>
      <c r="BD3388">
        <v>0.33</v>
      </c>
      <c r="BE3388">
        <v>1.31</v>
      </c>
      <c r="BF3388">
        <v>-0.64</v>
      </c>
      <c r="BG3388">
        <v>1.68</v>
      </c>
      <c r="BH3388">
        <v>0.57999999999999996</v>
      </c>
      <c r="BI3388">
        <v>20191022</v>
      </c>
      <c r="BJ3388">
        <v>20170222</v>
      </c>
      <c r="BK3388">
        <v>2.2999999999999998</v>
      </c>
      <c r="BL3388" t="s">
        <v>116</v>
      </c>
      <c r="BM3388" t="s">
        <v>116</v>
      </c>
      <c r="BN3388">
        <v>49.03</v>
      </c>
      <c r="BO3388">
        <v>25.88</v>
      </c>
      <c r="BP3388">
        <v>0</v>
      </c>
      <c r="BQ3388">
        <v>47.22</v>
      </c>
      <c r="BR3388">
        <v>27.52</v>
      </c>
      <c r="BS3388">
        <v>14.98</v>
      </c>
      <c r="BT3388">
        <v>1.51</v>
      </c>
      <c r="BU3388">
        <v>21.22</v>
      </c>
      <c r="BV3388">
        <v>12.81</v>
      </c>
      <c r="BW3388">
        <v>0.92</v>
      </c>
      <c r="BX3388">
        <v>10.89</v>
      </c>
      <c r="BY3388">
        <v>34.93</v>
      </c>
      <c r="BZ3388">
        <v>26.22</v>
      </c>
      <c r="CA3388">
        <v>3</v>
      </c>
      <c r="CB3388">
        <v>0.16</v>
      </c>
      <c r="CC3388">
        <v>3.07</v>
      </c>
      <c r="CD3388">
        <v>2.38</v>
      </c>
      <c r="CE3388">
        <v>2.38</v>
      </c>
      <c r="CF3388">
        <v>2.13</v>
      </c>
      <c r="CG3388">
        <v>11.94</v>
      </c>
      <c r="CH3388">
        <v>3.65</v>
      </c>
      <c r="CI3388">
        <v>0.12</v>
      </c>
      <c r="CJ3388">
        <v>8184</v>
      </c>
      <c r="CK3388">
        <v>14106</v>
      </c>
      <c r="CL3388" t="s">
        <v>14358</v>
      </c>
      <c r="CM3388">
        <v>21.25</v>
      </c>
      <c r="CN3388">
        <v>18.8</v>
      </c>
      <c r="CO3388">
        <v>5.49</v>
      </c>
      <c r="CP3388">
        <v>38.89</v>
      </c>
      <c r="CQ3388">
        <v>4.0599999999999996</v>
      </c>
      <c r="CR3388">
        <v>0.6</v>
      </c>
      <c r="CS3388" t="s">
        <v>841</v>
      </c>
      <c r="CT3388">
        <v>11.25</v>
      </c>
      <c r="CU3388">
        <v>0</v>
      </c>
      <c r="CV3388">
        <v>4.7300000000000004</v>
      </c>
      <c r="CW3388">
        <v>5.19</v>
      </c>
      <c r="CX3388">
        <v>1.59</v>
      </c>
      <c r="CY3388">
        <v>52.78</v>
      </c>
      <c r="CZ3388" t="s">
        <v>13974</v>
      </c>
      <c r="DA3388">
        <v>24.95</v>
      </c>
      <c r="DB3388">
        <v>8.6</v>
      </c>
      <c r="DC3388">
        <v>6.82</v>
      </c>
      <c r="DD3388">
        <v>0.5</v>
      </c>
      <c r="DE3388">
        <v>9245</v>
      </c>
      <c r="DF3388">
        <v>603345</v>
      </c>
      <c r="DG3388" t="s">
        <v>116</v>
      </c>
      <c r="DH3388" t="s">
        <v>116</v>
      </c>
      <c r="DI3388" t="s">
        <v>116</v>
      </c>
    </row>
    <row r="3389" spans="1:113" x14ac:dyDescent="0.4">
      <c r="A3389" t="str">
        <f>"603348"</f>
        <v>603348</v>
      </c>
      <c r="B3389" t="s">
        <v>14359</v>
      </c>
      <c r="C3389">
        <v>3.34</v>
      </c>
      <c r="D3389">
        <v>20.12</v>
      </c>
      <c r="E3389">
        <v>0.65</v>
      </c>
      <c r="F3389">
        <v>20.11</v>
      </c>
      <c r="G3389">
        <v>20.12</v>
      </c>
      <c r="H3389">
        <v>80530</v>
      </c>
      <c r="I3389">
        <v>1675</v>
      </c>
      <c r="J3389">
        <v>-0.19</v>
      </c>
      <c r="K3389">
        <v>11.5</v>
      </c>
      <c r="L3389">
        <v>19.68</v>
      </c>
      <c r="M3389">
        <v>20.32</v>
      </c>
      <c r="N3389">
        <v>19.260000000000002</v>
      </c>
      <c r="O3389">
        <v>19.47</v>
      </c>
      <c r="P3389">
        <v>70.209999999999994</v>
      </c>
      <c r="Q3389">
        <v>159904752</v>
      </c>
      <c r="R3389">
        <v>1.38</v>
      </c>
      <c r="S3389" t="s">
        <v>293</v>
      </c>
      <c r="T3389" t="s">
        <v>551</v>
      </c>
      <c r="U3389">
        <v>5.44</v>
      </c>
      <c r="V3389">
        <v>19.86</v>
      </c>
      <c r="W3389">
        <v>38097</v>
      </c>
      <c r="X3389">
        <v>42433</v>
      </c>
      <c r="Y3389">
        <v>0.9</v>
      </c>
      <c r="Z3389">
        <v>2</v>
      </c>
      <c r="AA3389">
        <v>574</v>
      </c>
      <c r="AB3389" t="s">
        <v>116</v>
      </c>
      <c r="AC3389">
        <v>444800</v>
      </c>
      <c r="AD3389">
        <v>0.03</v>
      </c>
      <c r="AE3389" t="s">
        <v>116</v>
      </c>
      <c r="AF3389" t="s">
        <v>116</v>
      </c>
      <c r="AG3389">
        <v>0.7</v>
      </c>
      <c r="AH3389" t="s">
        <v>2572</v>
      </c>
      <c r="AI3389" t="s">
        <v>12064</v>
      </c>
      <c r="AJ3389">
        <v>3.42</v>
      </c>
      <c r="AK3389">
        <v>2441</v>
      </c>
      <c r="AL3389">
        <v>33</v>
      </c>
      <c r="AM3389">
        <v>4.7000000000000002E-3</v>
      </c>
      <c r="AN3389">
        <v>1</v>
      </c>
      <c r="AO3389">
        <v>3.44</v>
      </c>
      <c r="AP3389">
        <v>15.04</v>
      </c>
      <c r="AQ3389">
        <v>7.08</v>
      </c>
      <c r="AR3389">
        <v>-9.33</v>
      </c>
      <c r="AS3389">
        <v>11.5</v>
      </c>
      <c r="AT3389" t="s">
        <v>2572</v>
      </c>
      <c r="AU3389">
        <v>65.64</v>
      </c>
      <c r="AV3389">
        <v>35.340000000000003</v>
      </c>
      <c r="AW3389">
        <v>1.19</v>
      </c>
      <c r="BA3389">
        <v>1.08</v>
      </c>
      <c r="BB3389">
        <v>4.37</v>
      </c>
      <c r="BC3389">
        <v>-1.08</v>
      </c>
      <c r="BD3389">
        <v>1.99</v>
      </c>
      <c r="BE3389">
        <v>2.2400000000000002</v>
      </c>
      <c r="BF3389">
        <v>-0.98</v>
      </c>
      <c r="BG3389">
        <v>4.47</v>
      </c>
      <c r="BH3389">
        <v>1.35</v>
      </c>
      <c r="BI3389">
        <v>20191029</v>
      </c>
      <c r="BJ3389">
        <v>20180426</v>
      </c>
      <c r="BK3389">
        <v>2.2000000000000002</v>
      </c>
      <c r="BL3389" t="s">
        <v>116</v>
      </c>
      <c r="BM3389" t="s">
        <v>116</v>
      </c>
      <c r="BN3389">
        <v>37.590000000000003</v>
      </c>
      <c r="BO3389">
        <v>22.29</v>
      </c>
      <c r="BP3389">
        <v>0</v>
      </c>
      <c r="BQ3389">
        <v>40.71</v>
      </c>
      <c r="BR3389">
        <v>17.38</v>
      </c>
      <c r="BS3389">
        <v>13.41</v>
      </c>
      <c r="BT3389">
        <v>0.99</v>
      </c>
      <c r="BU3389">
        <v>6.64</v>
      </c>
      <c r="BV3389">
        <v>2.1800000000000002</v>
      </c>
      <c r="BW3389">
        <v>3.02</v>
      </c>
      <c r="BX3389">
        <v>12.1</v>
      </c>
      <c r="BY3389">
        <v>10.85</v>
      </c>
      <c r="BZ3389">
        <v>8.32</v>
      </c>
      <c r="CA3389">
        <v>0.51</v>
      </c>
      <c r="CB3389">
        <v>0</v>
      </c>
      <c r="CC3389">
        <v>0.51</v>
      </c>
      <c r="CD3389">
        <v>0.47</v>
      </c>
      <c r="CE3389">
        <v>0.47</v>
      </c>
      <c r="CF3389">
        <v>0.38</v>
      </c>
      <c r="CG3389">
        <v>5.64</v>
      </c>
      <c r="CH3389">
        <v>1.59</v>
      </c>
      <c r="CI3389">
        <v>0.51</v>
      </c>
      <c r="CJ3389">
        <v>23101</v>
      </c>
      <c r="CK3389">
        <v>3030</v>
      </c>
      <c r="CL3389" t="s">
        <v>2605</v>
      </c>
      <c r="CM3389">
        <v>-55</v>
      </c>
      <c r="CN3389">
        <v>-9.14</v>
      </c>
      <c r="CO3389">
        <v>2.19</v>
      </c>
      <c r="CP3389">
        <v>27.84</v>
      </c>
      <c r="CQ3389">
        <v>4.08</v>
      </c>
      <c r="CR3389">
        <v>1.49</v>
      </c>
      <c r="CS3389" t="s">
        <v>4228</v>
      </c>
      <c r="CT3389">
        <v>9.19</v>
      </c>
      <c r="CU3389">
        <v>9.19</v>
      </c>
      <c r="CV3389">
        <v>5.5</v>
      </c>
      <c r="CW3389">
        <v>2.56</v>
      </c>
      <c r="CX3389">
        <v>0.72</v>
      </c>
      <c r="CY3389">
        <v>59.29</v>
      </c>
      <c r="CZ3389" t="s">
        <v>10661</v>
      </c>
      <c r="DA3389">
        <v>23.27</v>
      </c>
      <c r="DB3389">
        <v>4.7300000000000004</v>
      </c>
      <c r="DC3389">
        <v>4.3600000000000003</v>
      </c>
      <c r="DD3389">
        <v>0.46</v>
      </c>
      <c r="DE3389">
        <v>3080</v>
      </c>
      <c r="DF3389">
        <v>603348</v>
      </c>
      <c r="DG3389" t="s">
        <v>116</v>
      </c>
      <c r="DH3389" t="s">
        <v>116</v>
      </c>
      <c r="DI3389" t="s">
        <v>116</v>
      </c>
    </row>
    <row r="3390" spans="1:113" x14ac:dyDescent="0.4">
      <c r="A3390" t="str">
        <f>"603351"</f>
        <v>603351</v>
      </c>
      <c r="B3390" t="s">
        <v>14360</v>
      </c>
      <c r="C3390">
        <v>2.14</v>
      </c>
      <c r="D3390">
        <v>33.380000000000003</v>
      </c>
      <c r="E3390">
        <v>0.7</v>
      </c>
      <c r="F3390">
        <v>33.369999999999997</v>
      </c>
      <c r="G3390">
        <v>33.380000000000003</v>
      </c>
      <c r="H3390">
        <v>13708</v>
      </c>
      <c r="I3390">
        <v>143</v>
      </c>
      <c r="J3390">
        <v>-0.02</v>
      </c>
      <c r="K3390">
        <v>5.87</v>
      </c>
      <c r="L3390">
        <v>32.69</v>
      </c>
      <c r="M3390">
        <v>33.65</v>
      </c>
      <c r="N3390">
        <v>32.61</v>
      </c>
      <c r="O3390">
        <v>32.68</v>
      </c>
      <c r="P3390">
        <v>21.17</v>
      </c>
      <c r="Q3390">
        <v>45675840</v>
      </c>
      <c r="R3390">
        <v>3.36</v>
      </c>
      <c r="S3390" t="s">
        <v>574</v>
      </c>
      <c r="T3390" t="s">
        <v>323</v>
      </c>
      <c r="U3390">
        <v>3.18</v>
      </c>
      <c r="V3390">
        <v>33.32</v>
      </c>
      <c r="W3390">
        <v>6814</v>
      </c>
      <c r="X3390">
        <v>6894</v>
      </c>
      <c r="Y3390">
        <v>0.99</v>
      </c>
      <c r="Z3390">
        <v>6</v>
      </c>
      <c r="AA3390">
        <v>15</v>
      </c>
      <c r="AB3390" t="s">
        <v>116</v>
      </c>
      <c r="AC3390">
        <v>39200</v>
      </c>
      <c r="AD3390">
        <v>0.01</v>
      </c>
      <c r="AE3390" t="s">
        <v>116</v>
      </c>
      <c r="AF3390" t="s">
        <v>116</v>
      </c>
      <c r="AG3390">
        <v>0.23</v>
      </c>
      <c r="AH3390" t="s">
        <v>9863</v>
      </c>
      <c r="AI3390" t="s">
        <v>14361</v>
      </c>
      <c r="AJ3390">
        <v>2.2200000000000002</v>
      </c>
      <c r="AK3390">
        <v>1402</v>
      </c>
      <c r="AL3390">
        <v>10</v>
      </c>
      <c r="AM3390">
        <v>4.1999999999999997E-3</v>
      </c>
      <c r="AN3390">
        <v>2</v>
      </c>
      <c r="AO3390">
        <v>2.77</v>
      </c>
      <c r="AP3390">
        <v>8.41</v>
      </c>
      <c r="AQ3390">
        <v>-0.51</v>
      </c>
      <c r="AR3390">
        <v>33.9</v>
      </c>
      <c r="AS3390">
        <v>5.87</v>
      </c>
      <c r="AT3390" t="s">
        <v>9863</v>
      </c>
      <c r="AU3390">
        <v>22.56</v>
      </c>
      <c r="AV3390">
        <v>27.86</v>
      </c>
      <c r="AW3390">
        <v>1.08</v>
      </c>
      <c r="BA3390">
        <v>0.03</v>
      </c>
      <c r="BB3390">
        <v>2.97</v>
      </c>
      <c r="BC3390">
        <v>-0.21</v>
      </c>
      <c r="BD3390">
        <v>1.96</v>
      </c>
      <c r="BE3390">
        <v>2.11</v>
      </c>
      <c r="BF3390">
        <v>-0.8</v>
      </c>
      <c r="BG3390">
        <v>2.36</v>
      </c>
      <c r="BH3390">
        <v>0.18</v>
      </c>
      <c r="BI3390">
        <v>20191029</v>
      </c>
      <c r="BJ3390">
        <v>20190130</v>
      </c>
      <c r="BK3390">
        <v>0.93</v>
      </c>
      <c r="BL3390" t="s">
        <v>116</v>
      </c>
      <c r="BM3390" t="s">
        <v>116</v>
      </c>
      <c r="BN3390">
        <v>14.55</v>
      </c>
      <c r="BO3390">
        <v>12.23</v>
      </c>
      <c r="BP3390">
        <v>0</v>
      </c>
      <c r="BQ3390">
        <v>15.91</v>
      </c>
      <c r="BR3390">
        <v>8.4600000000000009</v>
      </c>
      <c r="BS3390">
        <v>2.76</v>
      </c>
      <c r="BT3390">
        <v>0.81</v>
      </c>
      <c r="BU3390">
        <v>2.1800000000000002</v>
      </c>
      <c r="BV3390">
        <v>1.1100000000000001</v>
      </c>
      <c r="BW3390">
        <v>1.1100000000000001</v>
      </c>
      <c r="BX3390">
        <v>8.8000000000000007</v>
      </c>
      <c r="BY3390">
        <v>6.61</v>
      </c>
      <c r="BZ3390">
        <v>4.33</v>
      </c>
      <c r="CA3390">
        <v>1.31</v>
      </c>
      <c r="CB3390">
        <v>0.04</v>
      </c>
      <c r="CC3390">
        <v>1.29</v>
      </c>
      <c r="CD3390">
        <v>1.1000000000000001</v>
      </c>
      <c r="CE3390">
        <v>1.1000000000000001</v>
      </c>
      <c r="CF3390">
        <v>1.06</v>
      </c>
      <c r="CG3390">
        <v>2.27</v>
      </c>
      <c r="CH3390">
        <v>0.95</v>
      </c>
      <c r="CI3390">
        <v>2.12</v>
      </c>
      <c r="CJ3390">
        <v>11840</v>
      </c>
      <c r="CK3390">
        <v>1971</v>
      </c>
      <c r="CL3390" t="s">
        <v>8692</v>
      </c>
      <c r="CM3390">
        <v>31.24</v>
      </c>
      <c r="CN3390">
        <v>10.14</v>
      </c>
      <c r="CO3390">
        <v>2.5499999999999998</v>
      </c>
      <c r="CP3390">
        <v>32.9</v>
      </c>
      <c r="CQ3390">
        <v>4.72</v>
      </c>
      <c r="CR3390">
        <v>1.28</v>
      </c>
      <c r="CS3390" t="s">
        <v>10382</v>
      </c>
      <c r="CT3390">
        <v>13.11</v>
      </c>
      <c r="CU3390">
        <v>0</v>
      </c>
      <c r="CV3390">
        <v>9.42</v>
      </c>
      <c r="CW3390">
        <v>2.44</v>
      </c>
      <c r="CX3390">
        <v>1.01</v>
      </c>
      <c r="CY3390">
        <v>84.09</v>
      </c>
      <c r="CZ3390" t="s">
        <v>11763</v>
      </c>
      <c r="DA3390">
        <v>34.479999999999997</v>
      </c>
      <c r="DB3390">
        <v>19.75</v>
      </c>
      <c r="DC3390">
        <v>16.71</v>
      </c>
      <c r="DD3390">
        <v>0.23</v>
      </c>
      <c r="DE3390">
        <v>508</v>
      </c>
      <c r="DF3390">
        <v>603351</v>
      </c>
      <c r="DG3390" t="s">
        <v>116</v>
      </c>
      <c r="DH3390" t="s">
        <v>116</v>
      </c>
      <c r="DI3390" t="s">
        <v>116</v>
      </c>
    </row>
    <row r="3391" spans="1:113" x14ac:dyDescent="0.4">
      <c r="A3391" t="str">
        <f>"603355"</f>
        <v>603355</v>
      </c>
      <c r="B3391" t="s">
        <v>14362</v>
      </c>
      <c r="C3391">
        <v>-0.89</v>
      </c>
      <c r="D3391">
        <v>23.41</v>
      </c>
      <c r="E3391">
        <v>-0.21</v>
      </c>
      <c r="F3391">
        <v>23.38</v>
      </c>
      <c r="G3391">
        <v>23.41</v>
      </c>
      <c r="H3391">
        <v>12128</v>
      </c>
      <c r="I3391">
        <v>78</v>
      </c>
      <c r="J3391">
        <v>-0.08</v>
      </c>
      <c r="K3391">
        <v>0.3</v>
      </c>
      <c r="L3391">
        <v>23.62</v>
      </c>
      <c r="M3391">
        <v>23.96</v>
      </c>
      <c r="N3391">
        <v>23.3</v>
      </c>
      <c r="O3391">
        <v>23.62</v>
      </c>
      <c r="P3391">
        <v>18.41</v>
      </c>
      <c r="Q3391">
        <v>28634652</v>
      </c>
      <c r="R3391">
        <v>0.7</v>
      </c>
      <c r="S3391" t="s">
        <v>209</v>
      </c>
      <c r="T3391" t="s">
        <v>323</v>
      </c>
      <c r="U3391">
        <v>2.79</v>
      </c>
      <c r="V3391">
        <v>23.61</v>
      </c>
      <c r="W3391">
        <v>5660</v>
      </c>
      <c r="X3391">
        <v>6468</v>
      </c>
      <c r="Y3391">
        <v>0.88</v>
      </c>
      <c r="Z3391">
        <v>5</v>
      </c>
      <c r="AA3391">
        <v>3</v>
      </c>
      <c r="AB3391" t="s">
        <v>116</v>
      </c>
      <c r="AC3391">
        <v>14200</v>
      </c>
      <c r="AD3391">
        <v>0</v>
      </c>
      <c r="AE3391" t="s">
        <v>116</v>
      </c>
      <c r="AF3391" t="s">
        <v>116</v>
      </c>
      <c r="AG3391">
        <v>4.01</v>
      </c>
      <c r="AH3391" t="s">
        <v>14363</v>
      </c>
      <c r="AI3391" t="s">
        <v>14363</v>
      </c>
      <c r="AJ3391">
        <v>-0.81</v>
      </c>
      <c r="AK3391">
        <v>1494</v>
      </c>
      <c r="AL3391">
        <v>8</v>
      </c>
      <c r="AM3391">
        <v>2.0000000000000001E-4</v>
      </c>
      <c r="AN3391">
        <v>-1</v>
      </c>
      <c r="AO3391">
        <v>-0.51</v>
      </c>
      <c r="AP3391">
        <v>10.16</v>
      </c>
      <c r="AQ3391">
        <v>4.51</v>
      </c>
      <c r="AR3391">
        <v>10.01</v>
      </c>
      <c r="AS3391">
        <v>1.96</v>
      </c>
      <c r="AT3391" t="s">
        <v>3039</v>
      </c>
      <c r="AU3391">
        <v>20.100000000000001</v>
      </c>
      <c r="AV3391">
        <v>22.19</v>
      </c>
      <c r="AW3391">
        <v>1.1299999999999999</v>
      </c>
      <c r="BA3391">
        <v>0</v>
      </c>
      <c r="BB3391">
        <v>1.44</v>
      </c>
      <c r="BC3391">
        <v>-1.35</v>
      </c>
      <c r="BD3391">
        <v>-0.04</v>
      </c>
      <c r="BE3391">
        <v>-0.89</v>
      </c>
      <c r="BF3391">
        <v>-2.2999999999999998</v>
      </c>
      <c r="BG3391">
        <v>0.47</v>
      </c>
      <c r="BH3391">
        <v>-0.85</v>
      </c>
      <c r="BI3391">
        <v>20191030</v>
      </c>
      <c r="BJ3391">
        <v>20150513</v>
      </c>
      <c r="BK3391">
        <v>4.01</v>
      </c>
      <c r="BL3391" t="s">
        <v>116</v>
      </c>
      <c r="BM3391" t="s">
        <v>116</v>
      </c>
      <c r="BN3391">
        <v>48</v>
      </c>
      <c r="BO3391">
        <v>30.81</v>
      </c>
      <c r="BP3391">
        <v>0</v>
      </c>
      <c r="BQ3391">
        <v>35.82</v>
      </c>
      <c r="BR3391">
        <v>36.369999999999997</v>
      </c>
      <c r="BS3391">
        <v>8.84</v>
      </c>
      <c r="BT3391">
        <v>1.53</v>
      </c>
      <c r="BU3391">
        <v>17.12</v>
      </c>
      <c r="BV3391">
        <v>5.94</v>
      </c>
      <c r="BW3391">
        <v>9.3699999999999992</v>
      </c>
      <c r="BX3391">
        <v>7.95</v>
      </c>
      <c r="BY3391">
        <v>42.12</v>
      </c>
      <c r="BZ3391">
        <v>31.03</v>
      </c>
      <c r="CA3391">
        <v>4.5199999999999996</v>
      </c>
      <c r="CB3391">
        <v>0</v>
      </c>
      <c r="CC3391">
        <v>4.55</v>
      </c>
      <c r="CD3391">
        <v>3.82</v>
      </c>
      <c r="CE3391">
        <v>3.82</v>
      </c>
      <c r="CF3391">
        <v>3.77</v>
      </c>
      <c r="CG3391">
        <v>16.86</v>
      </c>
      <c r="CH3391">
        <v>8.26</v>
      </c>
      <c r="CI3391">
        <v>6.57</v>
      </c>
      <c r="CJ3391">
        <v>14102</v>
      </c>
      <c r="CK3391">
        <v>4392</v>
      </c>
      <c r="CL3391" t="s">
        <v>14364</v>
      </c>
      <c r="CM3391">
        <v>12.98</v>
      </c>
      <c r="CN3391">
        <v>-1.19</v>
      </c>
      <c r="CO3391">
        <v>3.05</v>
      </c>
      <c r="CP3391">
        <v>11.37</v>
      </c>
      <c r="CQ3391">
        <v>2.23</v>
      </c>
      <c r="CR3391">
        <v>0.94</v>
      </c>
      <c r="CS3391" t="s">
        <v>14365</v>
      </c>
      <c r="CT3391">
        <v>7.68</v>
      </c>
      <c r="CU3391">
        <v>0</v>
      </c>
      <c r="CV3391">
        <v>1.98</v>
      </c>
      <c r="CW3391">
        <v>4.2</v>
      </c>
      <c r="CX3391">
        <v>2.06</v>
      </c>
      <c r="CY3391">
        <v>64.180000000000007</v>
      </c>
      <c r="CZ3391" t="s">
        <v>3781</v>
      </c>
      <c r="DA3391">
        <v>26.33</v>
      </c>
      <c r="DB3391">
        <v>10.73</v>
      </c>
      <c r="DC3391">
        <v>9.08</v>
      </c>
      <c r="DD3391">
        <v>2.31</v>
      </c>
      <c r="DE3391">
        <v>7762</v>
      </c>
      <c r="DF3391">
        <v>603355</v>
      </c>
      <c r="DG3391" t="s">
        <v>116</v>
      </c>
      <c r="DH3391" t="s">
        <v>116</v>
      </c>
      <c r="DI3391" t="s">
        <v>116</v>
      </c>
    </row>
    <row r="3392" spans="1:113" x14ac:dyDescent="0.4">
      <c r="A3392" t="str">
        <f>"603356"</f>
        <v>603356</v>
      </c>
      <c r="B3392" t="s">
        <v>14366</v>
      </c>
      <c r="C3392">
        <v>-1.19</v>
      </c>
      <c r="D3392">
        <v>12.42</v>
      </c>
      <c r="E3392">
        <v>-0.15</v>
      </c>
      <c r="F3392">
        <v>12.42</v>
      </c>
      <c r="G3392">
        <v>12.43</v>
      </c>
      <c r="H3392">
        <v>11403</v>
      </c>
      <c r="I3392">
        <v>21</v>
      </c>
      <c r="J3392">
        <v>0.08</v>
      </c>
      <c r="K3392">
        <v>1.26</v>
      </c>
      <c r="L3392">
        <v>12.56</v>
      </c>
      <c r="M3392">
        <v>12.65</v>
      </c>
      <c r="N3392">
        <v>12.4</v>
      </c>
      <c r="O3392">
        <v>12.57</v>
      </c>
      <c r="P3392">
        <v>19.79</v>
      </c>
      <c r="Q3392">
        <v>14233072</v>
      </c>
      <c r="R3392">
        <v>0.91</v>
      </c>
      <c r="S3392" t="s">
        <v>996</v>
      </c>
      <c r="T3392" t="s">
        <v>575</v>
      </c>
      <c r="U3392">
        <v>1.99</v>
      </c>
      <c r="V3392">
        <v>12.48</v>
      </c>
      <c r="W3392">
        <v>7047</v>
      </c>
      <c r="X3392">
        <v>4356</v>
      </c>
      <c r="Y3392">
        <v>1.62</v>
      </c>
      <c r="Z3392">
        <v>22</v>
      </c>
      <c r="AA3392">
        <v>37</v>
      </c>
      <c r="AB3392" t="s">
        <v>116</v>
      </c>
      <c r="AC3392">
        <v>0</v>
      </c>
      <c r="AD3392">
        <v>0</v>
      </c>
      <c r="AE3392" t="s">
        <v>116</v>
      </c>
      <c r="AF3392" t="s">
        <v>116</v>
      </c>
      <c r="AG3392">
        <v>0.9</v>
      </c>
      <c r="AH3392" t="s">
        <v>14367</v>
      </c>
      <c r="AI3392" t="s">
        <v>7967</v>
      </c>
      <c r="AJ3392">
        <v>-1.1200000000000001</v>
      </c>
      <c r="AK3392">
        <v>699</v>
      </c>
      <c r="AL3392">
        <v>16</v>
      </c>
      <c r="AM3392">
        <v>1.8E-3</v>
      </c>
      <c r="AN3392">
        <v>-1</v>
      </c>
      <c r="AO3392">
        <v>0.08</v>
      </c>
      <c r="AP3392">
        <v>8.76</v>
      </c>
      <c r="AQ3392">
        <v>1.1399999999999999</v>
      </c>
      <c r="AR3392">
        <v>-19.72</v>
      </c>
      <c r="AS3392">
        <v>1.83</v>
      </c>
      <c r="AT3392" t="s">
        <v>14368</v>
      </c>
      <c r="AU3392">
        <v>22.36</v>
      </c>
      <c r="AV3392">
        <v>27.11</v>
      </c>
      <c r="AW3392">
        <v>1.05</v>
      </c>
      <c r="BA3392">
        <v>-0.08</v>
      </c>
      <c r="BB3392">
        <v>0.64</v>
      </c>
      <c r="BC3392">
        <v>-1.35</v>
      </c>
      <c r="BD3392">
        <v>-0.7</v>
      </c>
      <c r="BE3392">
        <v>-1.1100000000000001</v>
      </c>
      <c r="BF3392">
        <v>-1.82</v>
      </c>
      <c r="BG3392">
        <v>0.16</v>
      </c>
      <c r="BH3392">
        <v>-0.49</v>
      </c>
      <c r="BI3392">
        <v>20191025</v>
      </c>
      <c r="BJ3392">
        <v>20180124</v>
      </c>
      <c r="BK3392">
        <v>1.33</v>
      </c>
      <c r="BL3392" t="s">
        <v>116</v>
      </c>
      <c r="BM3392" t="s">
        <v>116</v>
      </c>
      <c r="BN3392">
        <v>11.51</v>
      </c>
      <c r="BO3392">
        <v>7.27</v>
      </c>
      <c r="BP3392">
        <v>0.27</v>
      </c>
      <c r="BQ3392">
        <v>34.53</v>
      </c>
      <c r="BR3392">
        <v>8.14</v>
      </c>
      <c r="BS3392">
        <v>2.69</v>
      </c>
      <c r="BT3392">
        <v>0.25</v>
      </c>
      <c r="BU3392">
        <v>3.56</v>
      </c>
      <c r="BV3392">
        <v>1.33</v>
      </c>
      <c r="BW3392">
        <v>4.55</v>
      </c>
      <c r="BX3392">
        <v>3.12</v>
      </c>
      <c r="BY3392">
        <v>10.17</v>
      </c>
      <c r="BZ3392">
        <v>8.48</v>
      </c>
      <c r="CA3392">
        <v>0.78</v>
      </c>
      <c r="CB3392">
        <v>0.04</v>
      </c>
      <c r="CC3392">
        <v>0.79</v>
      </c>
      <c r="CD3392">
        <v>0.62</v>
      </c>
      <c r="CE3392">
        <v>0.63</v>
      </c>
      <c r="CF3392">
        <v>0.56000000000000005</v>
      </c>
      <c r="CG3392">
        <v>2.68</v>
      </c>
      <c r="CH3392">
        <v>-1.68</v>
      </c>
      <c r="CI3392">
        <v>-0.49</v>
      </c>
      <c r="CJ3392">
        <v>14960</v>
      </c>
      <c r="CK3392">
        <v>4169</v>
      </c>
      <c r="CL3392" t="s">
        <v>6831</v>
      </c>
      <c r="CM3392">
        <v>26.05</v>
      </c>
      <c r="CN3392">
        <v>49.82</v>
      </c>
      <c r="CO3392">
        <v>2.2799999999999998</v>
      </c>
      <c r="CP3392">
        <v>-9.8699999999999992</v>
      </c>
      <c r="CQ3392">
        <v>1.63</v>
      </c>
      <c r="CR3392">
        <v>1.45</v>
      </c>
      <c r="CS3392" t="s">
        <v>6445</v>
      </c>
      <c r="CT3392">
        <v>5.45</v>
      </c>
      <c r="CU3392">
        <v>0</v>
      </c>
      <c r="CV3392">
        <v>2.34</v>
      </c>
      <c r="CW3392">
        <v>2.0099999999999998</v>
      </c>
      <c r="CX3392">
        <v>-1.26</v>
      </c>
      <c r="CY3392">
        <v>63.12</v>
      </c>
      <c r="CZ3392" t="s">
        <v>11405</v>
      </c>
      <c r="DA3392">
        <v>16.63</v>
      </c>
      <c r="DB3392">
        <v>7.71</v>
      </c>
      <c r="DC3392">
        <v>6.17</v>
      </c>
      <c r="DD3392">
        <v>0.14000000000000001</v>
      </c>
      <c r="DE3392">
        <v>1047</v>
      </c>
      <c r="DF3392">
        <v>603356</v>
      </c>
      <c r="DG3392" t="s">
        <v>116</v>
      </c>
      <c r="DH3392" t="s">
        <v>116</v>
      </c>
      <c r="DI3392" t="s">
        <v>116</v>
      </c>
    </row>
    <row r="3393" spans="1:113" x14ac:dyDescent="0.4">
      <c r="A3393" t="str">
        <f>"603357"</f>
        <v>603357</v>
      </c>
      <c r="B3393" t="s">
        <v>14369</v>
      </c>
      <c r="C3393">
        <v>0.19</v>
      </c>
      <c r="D3393">
        <v>10.41</v>
      </c>
      <c r="E3393">
        <v>0.02</v>
      </c>
      <c r="F3393">
        <v>10.4</v>
      </c>
      <c r="G3393">
        <v>10.41</v>
      </c>
      <c r="H3393">
        <v>21744</v>
      </c>
      <c r="I3393">
        <v>208</v>
      </c>
      <c r="J3393">
        <v>0</v>
      </c>
      <c r="K3393">
        <v>0.98</v>
      </c>
      <c r="L3393">
        <v>10.41</v>
      </c>
      <c r="M3393">
        <v>10.51</v>
      </c>
      <c r="N3393">
        <v>10.39</v>
      </c>
      <c r="O3393">
        <v>10.39</v>
      </c>
      <c r="P3393">
        <v>12.57</v>
      </c>
      <c r="Q3393">
        <v>22714128</v>
      </c>
      <c r="R3393">
        <v>1.1299999999999999</v>
      </c>
      <c r="S3393" t="s">
        <v>181</v>
      </c>
      <c r="T3393" t="s">
        <v>575</v>
      </c>
      <c r="U3393">
        <v>1.1499999999999999</v>
      </c>
      <c r="V3393">
        <v>10.45</v>
      </c>
      <c r="W3393">
        <v>11374</v>
      </c>
      <c r="X3393">
        <v>10370</v>
      </c>
      <c r="Y3393">
        <v>1.1000000000000001</v>
      </c>
      <c r="Z3393">
        <v>160</v>
      </c>
      <c r="AA3393">
        <v>44</v>
      </c>
      <c r="AB3393" t="s">
        <v>116</v>
      </c>
      <c r="AC3393">
        <v>15600</v>
      </c>
      <c r="AD3393">
        <v>0</v>
      </c>
      <c r="AE3393" t="s">
        <v>116</v>
      </c>
      <c r="AF3393" t="s">
        <v>116</v>
      </c>
      <c r="AG3393">
        <v>2.2200000000000002</v>
      </c>
      <c r="AH3393" t="s">
        <v>7900</v>
      </c>
      <c r="AI3393" t="s">
        <v>14370</v>
      </c>
      <c r="AJ3393">
        <v>0.27</v>
      </c>
      <c r="AK3393">
        <v>836</v>
      </c>
      <c r="AL3393">
        <v>26</v>
      </c>
      <c r="AM3393">
        <v>1.1999999999999999E-3</v>
      </c>
      <c r="AN3393">
        <v>2</v>
      </c>
      <c r="AO3393">
        <v>-0.38</v>
      </c>
      <c r="AP3393">
        <v>0.19</v>
      </c>
      <c r="AQ3393">
        <v>-9.08</v>
      </c>
      <c r="AR3393">
        <v>-25.41</v>
      </c>
      <c r="AS3393">
        <v>0.98</v>
      </c>
      <c r="AT3393" t="s">
        <v>7900</v>
      </c>
      <c r="AU3393">
        <v>12.76</v>
      </c>
      <c r="AV3393">
        <v>10.83</v>
      </c>
      <c r="AW3393">
        <v>1.34</v>
      </c>
      <c r="BA3393">
        <v>0.19</v>
      </c>
      <c r="BB3393">
        <v>1.1499999999999999</v>
      </c>
      <c r="BC3393">
        <v>0</v>
      </c>
      <c r="BD3393">
        <v>0.54</v>
      </c>
      <c r="BE3393">
        <v>0</v>
      </c>
      <c r="BF3393">
        <v>-0.95</v>
      </c>
      <c r="BG3393">
        <v>0.19</v>
      </c>
      <c r="BH3393">
        <v>-0.35</v>
      </c>
      <c r="BI3393">
        <v>20191223</v>
      </c>
      <c r="BJ3393">
        <v>20170801</v>
      </c>
      <c r="BK3393">
        <v>4.55</v>
      </c>
      <c r="BL3393" t="s">
        <v>116</v>
      </c>
      <c r="BM3393" t="s">
        <v>116</v>
      </c>
      <c r="BN3393">
        <v>32.479999999999997</v>
      </c>
      <c r="BO3393">
        <v>23.02</v>
      </c>
      <c r="BP3393">
        <v>0.02</v>
      </c>
      <c r="BQ3393">
        <v>29.1</v>
      </c>
      <c r="BR3393">
        <v>28.38</v>
      </c>
      <c r="BS3393">
        <v>1.1499999999999999</v>
      </c>
      <c r="BT3393">
        <v>0.94</v>
      </c>
      <c r="BU3393">
        <v>9.34</v>
      </c>
      <c r="BV3393">
        <v>0</v>
      </c>
      <c r="BW3393">
        <v>18.05</v>
      </c>
      <c r="BX3393">
        <v>7.51</v>
      </c>
      <c r="BY3393">
        <v>10.61</v>
      </c>
      <c r="BZ3393">
        <v>5.5</v>
      </c>
      <c r="CA3393">
        <v>3.34</v>
      </c>
      <c r="CB3393">
        <v>0.13</v>
      </c>
      <c r="CC3393">
        <v>3.34</v>
      </c>
      <c r="CD3393">
        <v>2.81</v>
      </c>
      <c r="CE3393">
        <v>2.82</v>
      </c>
      <c r="CF3393">
        <v>2.71</v>
      </c>
      <c r="CG3393">
        <v>10.029999999999999</v>
      </c>
      <c r="CH3393">
        <v>-1.24</v>
      </c>
      <c r="CI3393">
        <v>-2.67</v>
      </c>
      <c r="CJ3393">
        <v>31226</v>
      </c>
      <c r="CK3393">
        <v>7114</v>
      </c>
      <c r="CL3393" t="s">
        <v>828</v>
      </c>
      <c r="CM3393">
        <v>-18.95</v>
      </c>
      <c r="CN3393">
        <v>-9.7200000000000006</v>
      </c>
      <c r="CO3393">
        <v>2.06</v>
      </c>
      <c r="CP3393">
        <v>-38.26</v>
      </c>
      <c r="CQ3393">
        <v>4.46</v>
      </c>
      <c r="CR3393">
        <v>2.81</v>
      </c>
      <c r="CS3393" t="s">
        <v>14371</v>
      </c>
      <c r="CT3393">
        <v>5.0599999999999996</v>
      </c>
      <c r="CU3393">
        <v>0</v>
      </c>
      <c r="CV3393">
        <v>1.65</v>
      </c>
      <c r="CW3393">
        <v>2.21</v>
      </c>
      <c r="CX3393">
        <v>-0.27</v>
      </c>
      <c r="CY3393">
        <v>70.849999999999994</v>
      </c>
      <c r="CZ3393" t="s">
        <v>9312</v>
      </c>
      <c r="DA3393">
        <v>48.18</v>
      </c>
      <c r="DB3393">
        <v>31.5</v>
      </c>
      <c r="DC3393">
        <v>26.61</v>
      </c>
      <c r="DD3393">
        <v>0.33</v>
      </c>
      <c r="DE3393">
        <v>1616</v>
      </c>
      <c r="DF3393">
        <v>603357</v>
      </c>
      <c r="DG3393" t="s">
        <v>116</v>
      </c>
      <c r="DH3393" t="s">
        <v>116</v>
      </c>
      <c r="DI3393" t="s">
        <v>116</v>
      </c>
    </row>
    <row r="3394" spans="1:113" x14ac:dyDescent="0.4">
      <c r="A3394" t="str">
        <f>"603358"</f>
        <v>603358</v>
      </c>
      <c r="B3394" t="s">
        <v>14372</v>
      </c>
      <c r="C3394">
        <v>-3.99</v>
      </c>
      <c r="D3394">
        <v>13.95</v>
      </c>
      <c r="E3394">
        <v>-0.57999999999999996</v>
      </c>
      <c r="F3394">
        <v>13.94</v>
      </c>
      <c r="G3394">
        <v>13.95</v>
      </c>
      <c r="H3394">
        <v>20012</v>
      </c>
      <c r="I3394">
        <v>864</v>
      </c>
      <c r="J3394">
        <v>0.5</v>
      </c>
      <c r="K3394">
        <v>1.45</v>
      </c>
      <c r="L3394">
        <v>14.62</v>
      </c>
      <c r="M3394">
        <v>14.67</v>
      </c>
      <c r="N3394">
        <v>13.88</v>
      </c>
      <c r="O3394">
        <v>14.53</v>
      </c>
      <c r="P3394">
        <v>26.93</v>
      </c>
      <c r="Q3394">
        <v>28499480</v>
      </c>
      <c r="R3394">
        <v>1.52</v>
      </c>
      <c r="S3394" t="s">
        <v>293</v>
      </c>
      <c r="T3394" t="s">
        <v>323</v>
      </c>
      <c r="U3394">
        <v>5.44</v>
      </c>
      <c r="V3394">
        <v>14.24</v>
      </c>
      <c r="W3394">
        <v>13667</v>
      </c>
      <c r="X3394">
        <v>6345</v>
      </c>
      <c r="Y3394">
        <v>2.15</v>
      </c>
      <c r="Z3394">
        <v>88</v>
      </c>
      <c r="AA3394">
        <v>2</v>
      </c>
      <c r="AB3394" t="s">
        <v>116</v>
      </c>
      <c r="AC3394">
        <v>43900</v>
      </c>
      <c r="AD3394">
        <v>0</v>
      </c>
      <c r="AE3394" t="s">
        <v>116</v>
      </c>
      <c r="AF3394" t="s">
        <v>116</v>
      </c>
      <c r="AG3394">
        <v>1.38</v>
      </c>
      <c r="AH3394" t="s">
        <v>2294</v>
      </c>
      <c r="AI3394" t="s">
        <v>5066</v>
      </c>
      <c r="AJ3394">
        <v>-3.91</v>
      </c>
      <c r="AK3394">
        <v>1093</v>
      </c>
      <c r="AL3394">
        <v>18</v>
      </c>
      <c r="AM3394">
        <v>1.2999999999999999E-3</v>
      </c>
      <c r="AN3394">
        <v>-3</v>
      </c>
      <c r="AO3394">
        <v>-6.56</v>
      </c>
      <c r="AP3394">
        <v>3.87</v>
      </c>
      <c r="AQ3394">
        <v>2.0499999999999998</v>
      </c>
      <c r="AR3394">
        <v>33.49</v>
      </c>
      <c r="AS3394">
        <v>2.17</v>
      </c>
      <c r="AT3394" t="s">
        <v>4594</v>
      </c>
      <c r="AU3394">
        <v>29.95</v>
      </c>
      <c r="AV3394">
        <v>21.25</v>
      </c>
      <c r="AW3394">
        <v>0.74</v>
      </c>
      <c r="BA3394">
        <v>0.62</v>
      </c>
      <c r="BB3394">
        <v>0.96</v>
      </c>
      <c r="BC3394">
        <v>-4.47</v>
      </c>
      <c r="BD3394">
        <v>-1.99</v>
      </c>
      <c r="BE3394">
        <v>-4.58</v>
      </c>
      <c r="BF3394">
        <v>-4.91</v>
      </c>
      <c r="BG3394">
        <v>0.5</v>
      </c>
      <c r="BH3394">
        <v>-2</v>
      </c>
      <c r="BI3394">
        <v>20191029</v>
      </c>
      <c r="BJ3394">
        <v>20170125</v>
      </c>
      <c r="BK3394">
        <v>3.14</v>
      </c>
      <c r="BL3394" t="s">
        <v>116</v>
      </c>
      <c r="BM3394" t="s">
        <v>116</v>
      </c>
      <c r="BN3394">
        <v>43.94</v>
      </c>
      <c r="BO3394">
        <v>26.13</v>
      </c>
      <c r="BP3394">
        <v>0.9</v>
      </c>
      <c r="BQ3394">
        <v>38.479999999999997</v>
      </c>
      <c r="BR3394">
        <v>25.68</v>
      </c>
      <c r="BS3394">
        <v>12.04</v>
      </c>
      <c r="BT3394">
        <v>1.38</v>
      </c>
      <c r="BU3394">
        <v>16.600000000000001</v>
      </c>
      <c r="BV3394">
        <v>10.71</v>
      </c>
      <c r="BW3394">
        <v>5.62</v>
      </c>
      <c r="BX3394">
        <v>13.73</v>
      </c>
      <c r="BY3394">
        <v>26.42</v>
      </c>
      <c r="BZ3394">
        <v>22.4</v>
      </c>
      <c r="CA3394">
        <v>1.99</v>
      </c>
      <c r="CB3394">
        <v>0.89</v>
      </c>
      <c r="CC3394">
        <v>1.98</v>
      </c>
      <c r="CD3394">
        <v>1.64</v>
      </c>
      <c r="CE3394">
        <v>1.22</v>
      </c>
      <c r="CF3394">
        <v>0.77</v>
      </c>
      <c r="CG3394">
        <v>8.3000000000000007</v>
      </c>
      <c r="CH3394">
        <v>1.67</v>
      </c>
      <c r="CI3394">
        <v>-2.65</v>
      </c>
      <c r="CJ3394">
        <v>14591</v>
      </c>
      <c r="CK3394">
        <v>6319</v>
      </c>
      <c r="CL3394" t="s">
        <v>10112</v>
      </c>
      <c r="CM3394">
        <v>-32.909999999999997</v>
      </c>
      <c r="CN3394">
        <v>-3.11</v>
      </c>
      <c r="CO3394">
        <v>1.67</v>
      </c>
      <c r="CP3394">
        <v>26.12</v>
      </c>
      <c r="CQ3394">
        <v>1.66</v>
      </c>
      <c r="CR3394">
        <v>2.15</v>
      </c>
      <c r="CS3394" t="s">
        <v>3710</v>
      </c>
      <c r="CT3394">
        <v>8.33</v>
      </c>
      <c r="CU3394">
        <v>0</v>
      </c>
      <c r="CV3394">
        <v>4.38</v>
      </c>
      <c r="CW3394">
        <v>2.65</v>
      </c>
      <c r="CX3394">
        <v>0.53</v>
      </c>
      <c r="CY3394">
        <v>59.46</v>
      </c>
      <c r="CZ3394" t="s">
        <v>596</v>
      </c>
      <c r="DA3394">
        <v>15.2</v>
      </c>
      <c r="DB3394">
        <v>7.53</v>
      </c>
      <c r="DC3394">
        <v>4.6100000000000003</v>
      </c>
      <c r="DD3394">
        <v>1</v>
      </c>
      <c r="DE3394">
        <v>2616</v>
      </c>
      <c r="DF3394">
        <v>603358</v>
      </c>
      <c r="DG3394" t="s">
        <v>116</v>
      </c>
      <c r="DH3394" t="s">
        <v>116</v>
      </c>
      <c r="DI3394" t="s">
        <v>116</v>
      </c>
    </row>
    <row r="3395" spans="1:113" x14ac:dyDescent="0.4">
      <c r="A3395" t="str">
        <f>"603359"</f>
        <v>603359</v>
      </c>
      <c r="B3395" t="s">
        <v>14373</v>
      </c>
      <c r="C3395">
        <v>0.27</v>
      </c>
      <c r="D3395">
        <v>14.96</v>
      </c>
      <c r="E3395">
        <v>0.04</v>
      </c>
      <c r="F3395">
        <v>14.92</v>
      </c>
      <c r="G3395">
        <v>14.96</v>
      </c>
      <c r="H3395">
        <v>10218</v>
      </c>
      <c r="I3395">
        <v>271</v>
      </c>
      <c r="J3395">
        <v>0.13</v>
      </c>
      <c r="K3395">
        <v>0.67</v>
      </c>
      <c r="L3395">
        <v>14.9</v>
      </c>
      <c r="M3395">
        <v>14.97</v>
      </c>
      <c r="N3395">
        <v>14.83</v>
      </c>
      <c r="O3395">
        <v>14.92</v>
      </c>
      <c r="P3395">
        <v>14.46</v>
      </c>
      <c r="Q3395">
        <v>15251475</v>
      </c>
      <c r="R3395">
        <v>1.47</v>
      </c>
      <c r="S3395" t="s">
        <v>181</v>
      </c>
      <c r="T3395" t="s">
        <v>323</v>
      </c>
      <c r="U3395">
        <v>0.94</v>
      </c>
      <c r="V3395">
        <v>14.93</v>
      </c>
      <c r="W3395">
        <v>5017</v>
      </c>
      <c r="X3395">
        <v>5201</v>
      </c>
      <c r="Y3395">
        <v>0.96</v>
      </c>
      <c r="Z3395">
        <v>53</v>
      </c>
      <c r="AA3395">
        <v>4</v>
      </c>
      <c r="AB3395" t="s">
        <v>116</v>
      </c>
      <c r="AC3395">
        <v>46200</v>
      </c>
      <c r="AD3395">
        <v>0</v>
      </c>
      <c r="AE3395" t="s">
        <v>116</v>
      </c>
      <c r="AF3395" t="s">
        <v>116</v>
      </c>
      <c r="AG3395">
        <v>1.53</v>
      </c>
      <c r="AH3395" t="s">
        <v>1883</v>
      </c>
      <c r="AI3395" t="s">
        <v>6748</v>
      </c>
      <c r="AJ3395">
        <v>0.34</v>
      </c>
      <c r="AK3395">
        <v>596</v>
      </c>
      <c r="AL3395">
        <v>17</v>
      </c>
      <c r="AM3395">
        <v>1.1000000000000001E-3</v>
      </c>
      <c r="AN3395">
        <v>2</v>
      </c>
      <c r="AO3395">
        <v>1.28</v>
      </c>
      <c r="AP3395">
        <v>1.49</v>
      </c>
      <c r="AQ3395">
        <v>-5.32</v>
      </c>
      <c r="AR3395">
        <v>-7.83</v>
      </c>
      <c r="AS3395">
        <v>0.67</v>
      </c>
      <c r="AT3395" t="s">
        <v>1883</v>
      </c>
      <c r="AU3395">
        <v>14.34</v>
      </c>
      <c r="AV3395">
        <v>14.63</v>
      </c>
      <c r="AW3395">
        <v>0.82</v>
      </c>
      <c r="BA3395">
        <v>-0.13</v>
      </c>
      <c r="BB3395">
        <v>0.34</v>
      </c>
      <c r="BC3395">
        <v>-0.6</v>
      </c>
      <c r="BD3395">
        <v>0.04</v>
      </c>
      <c r="BE3395">
        <v>0.4</v>
      </c>
      <c r="BF3395">
        <v>-7.0000000000000007E-2</v>
      </c>
      <c r="BG3395">
        <v>0.88</v>
      </c>
      <c r="BH3395">
        <v>0.23</v>
      </c>
      <c r="BI3395">
        <v>20191030</v>
      </c>
      <c r="BJ3395">
        <v>20170901</v>
      </c>
      <c r="BK3395">
        <v>3.19</v>
      </c>
      <c r="BL3395" t="s">
        <v>116</v>
      </c>
      <c r="BM3395" t="s">
        <v>116</v>
      </c>
      <c r="BN3395">
        <v>53.4</v>
      </c>
      <c r="BO3395">
        <v>28.12</v>
      </c>
      <c r="BP3395">
        <v>0.65</v>
      </c>
      <c r="BQ3395">
        <v>46.13</v>
      </c>
      <c r="BR3395">
        <v>43.17</v>
      </c>
      <c r="BS3395">
        <v>0.19</v>
      </c>
      <c r="BT3395">
        <v>0.21</v>
      </c>
      <c r="BU3395">
        <v>24.63</v>
      </c>
      <c r="BV3395">
        <v>27.33</v>
      </c>
      <c r="BW3395">
        <v>6.92</v>
      </c>
      <c r="BX3395">
        <v>10.6</v>
      </c>
      <c r="BY3395">
        <v>13.69</v>
      </c>
      <c r="BZ3395">
        <v>9.89</v>
      </c>
      <c r="CA3395">
        <v>2.99</v>
      </c>
      <c r="CB3395">
        <v>0.05</v>
      </c>
      <c r="CC3395">
        <v>2.99</v>
      </c>
      <c r="CD3395">
        <v>2.54</v>
      </c>
      <c r="CE3395">
        <v>2.4700000000000002</v>
      </c>
      <c r="CF3395">
        <v>2.4300000000000002</v>
      </c>
      <c r="CG3395">
        <v>13.01</v>
      </c>
      <c r="CH3395">
        <v>-5.34</v>
      </c>
      <c r="CI3395">
        <v>-5.82</v>
      </c>
      <c r="CJ3395">
        <v>19177</v>
      </c>
      <c r="CK3395">
        <v>7976</v>
      </c>
      <c r="CL3395" t="s">
        <v>14374</v>
      </c>
      <c r="CM3395">
        <v>2.7</v>
      </c>
      <c r="CN3395">
        <v>16.05</v>
      </c>
      <c r="CO3395">
        <v>1.7</v>
      </c>
      <c r="CP3395">
        <v>-8.92</v>
      </c>
      <c r="CQ3395">
        <v>3.48</v>
      </c>
      <c r="CR3395">
        <v>1</v>
      </c>
      <c r="CS3395" t="s">
        <v>14375</v>
      </c>
      <c r="CT3395">
        <v>8.83</v>
      </c>
      <c r="CU3395">
        <v>0</v>
      </c>
      <c r="CV3395">
        <v>3.33</v>
      </c>
      <c r="CW3395">
        <v>4.08</v>
      </c>
      <c r="CX3395">
        <v>-1.68</v>
      </c>
      <c r="CY3395">
        <v>52.66</v>
      </c>
      <c r="CZ3395" t="s">
        <v>8404</v>
      </c>
      <c r="DA3395">
        <v>27.75</v>
      </c>
      <c r="DB3395">
        <v>21.87</v>
      </c>
      <c r="DC3395">
        <v>18.059999999999999</v>
      </c>
      <c r="DD3395">
        <v>0.25</v>
      </c>
      <c r="DE3395">
        <v>413</v>
      </c>
      <c r="DF3395">
        <v>603359</v>
      </c>
      <c r="DG3395" t="s">
        <v>116</v>
      </c>
      <c r="DH3395" t="s">
        <v>116</v>
      </c>
      <c r="DI3395" t="s">
        <v>116</v>
      </c>
    </row>
    <row r="3396" spans="1:113" x14ac:dyDescent="0.4">
      <c r="A3396" t="str">
        <f>"603360"</f>
        <v>603360</v>
      </c>
      <c r="B3396" t="s">
        <v>14376</v>
      </c>
      <c r="C3396">
        <v>-0.82</v>
      </c>
      <c r="D3396">
        <v>33.880000000000003</v>
      </c>
      <c r="E3396">
        <v>-0.28000000000000003</v>
      </c>
      <c r="F3396">
        <v>33.880000000000003</v>
      </c>
      <c r="G3396">
        <v>33.94</v>
      </c>
      <c r="H3396">
        <v>18024</v>
      </c>
      <c r="I3396">
        <v>181</v>
      </c>
      <c r="J3396">
        <v>-0.17</v>
      </c>
      <c r="K3396">
        <v>2.2999999999999998</v>
      </c>
      <c r="L3396">
        <v>34.25</v>
      </c>
      <c r="M3396">
        <v>34.96</v>
      </c>
      <c r="N3396">
        <v>33.5</v>
      </c>
      <c r="O3396">
        <v>34.159999999999997</v>
      </c>
      <c r="P3396">
        <v>20.260000000000002</v>
      </c>
      <c r="Q3396">
        <v>61446008</v>
      </c>
      <c r="R3396">
        <v>0.72</v>
      </c>
      <c r="S3396" t="s">
        <v>891</v>
      </c>
      <c r="T3396" t="s">
        <v>434</v>
      </c>
      <c r="U3396">
        <v>4.2699999999999996</v>
      </c>
      <c r="V3396">
        <v>34.090000000000003</v>
      </c>
      <c r="W3396">
        <v>10392</v>
      </c>
      <c r="X3396">
        <v>7632</v>
      </c>
      <c r="Y3396">
        <v>1.36</v>
      </c>
      <c r="Z3396">
        <v>134</v>
      </c>
      <c r="AA3396">
        <v>209</v>
      </c>
      <c r="AB3396" t="s">
        <v>116</v>
      </c>
      <c r="AC3396">
        <v>130200</v>
      </c>
      <c r="AD3396">
        <v>0</v>
      </c>
      <c r="AE3396" t="s">
        <v>116</v>
      </c>
      <c r="AF3396" t="s">
        <v>116</v>
      </c>
      <c r="AG3396">
        <v>0.78</v>
      </c>
      <c r="AH3396" t="s">
        <v>2396</v>
      </c>
      <c r="AI3396" t="s">
        <v>14377</v>
      </c>
      <c r="AJ3396">
        <v>-0.74</v>
      </c>
      <c r="AK3396">
        <v>2134</v>
      </c>
      <c r="AL3396">
        <v>8</v>
      </c>
      <c r="AM3396">
        <v>1.1000000000000001E-3</v>
      </c>
      <c r="AN3396">
        <v>-1</v>
      </c>
      <c r="AO3396">
        <v>0.98</v>
      </c>
      <c r="AP3396">
        <v>16.47</v>
      </c>
      <c r="AQ3396">
        <v>8.42</v>
      </c>
      <c r="AR3396">
        <v>183.04</v>
      </c>
      <c r="AS3396">
        <v>2.33</v>
      </c>
      <c r="AT3396" t="s">
        <v>1387</v>
      </c>
      <c r="AU3396">
        <v>23.36</v>
      </c>
      <c r="AV3396">
        <v>43.56</v>
      </c>
      <c r="AW3396">
        <v>1.42</v>
      </c>
      <c r="BA3396">
        <v>0.26</v>
      </c>
      <c r="BB3396">
        <v>2.34</v>
      </c>
      <c r="BC3396">
        <v>-1.93</v>
      </c>
      <c r="BD3396">
        <v>-0.2</v>
      </c>
      <c r="BE3396">
        <v>-1.08</v>
      </c>
      <c r="BF3396">
        <v>-3.09</v>
      </c>
      <c r="BG3396">
        <v>1.1299999999999999</v>
      </c>
      <c r="BH3396">
        <v>-0.62</v>
      </c>
      <c r="BI3396">
        <v>20191022</v>
      </c>
      <c r="BJ3396">
        <v>20170206</v>
      </c>
      <c r="BK3396">
        <v>1.87</v>
      </c>
      <c r="BL3396" t="s">
        <v>116</v>
      </c>
      <c r="BM3396" t="s">
        <v>116</v>
      </c>
      <c r="BN3396">
        <v>11.13</v>
      </c>
      <c r="BO3396">
        <v>9.61</v>
      </c>
      <c r="BP3396">
        <v>0</v>
      </c>
      <c r="BQ3396">
        <v>13.69</v>
      </c>
      <c r="BR3396">
        <v>4.51</v>
      </c>
      <c r="BS3396">
        <v>3.15</v>
      </c>
      <c r="BT3396">
        <v>0.96</v>
      </c>
      <c r="BU3396">
        <v>1.05</v>
      </c>
      <c r="BV3396">
        <v>0.89</v>
      </c>
      <c r="BW3396">
        <v>1.61</v>
      </c>
      <c r="BX3396">
        <v>2.7</v>
      </c>
      <c r="BY3396">
        <v>6.02</v>
      </c>
      <c r="BZ3396">
        <v>2.44</v>
      </c>
      <c r="CA3396">
        <v>2.68</v>
      </c>
      <c r="CB3396">
        <v>0.03</v>
      </c>
      <c r="CC3396">
        <v>2.69</v>
      </c>
      <c r="CD3396">
        <v>2.34</v>
      </c>
      <c r="CE3396">
        <v>2.34</v>
      </c>
      <c r="CF3396">
        <v>2.31</v>
      </c>
      <c r="CG3396">
        <v>4.4000000000000004</v>
      </c>
      <c r="CH3396">
        <v>1.5</v>
      </c>
      <c r="CI3396">
        <v>0.86</v>
      </c>
      <c r="CJ3396">
        <v>6703</v>
      </c>
      <c r="CK3396">
        <v>11529</v>
      </c>
      <c r="CL3396" t="s">
        <v>14378</v>
      </c>
      <c r="CM3396">
        <v>115.66</v>
      </c>
      <c r="CN3396">
        <v>49.33</v>
      </c>
      <c r="CO3396">
        <v>6.58</v>
      </c>
      <c r="CP3396">
        <v>42.14</v>
      </c>
      <c r="CQ3396">
        <v>10.51</v>
      </c>
      <c r="CR3396">
        <v>1.1499999999999999</v>
      </c>
      <c r="CS3396" t="s">
        <v>14379</v>
      </c>
      <c r="CT3396">
        <v>5.15</v>
      </c>
      <c r="CU3396">
        <v>0</v>
      </c>
      <c r="CV3396">
        <v>1.44</v>
      </c>
      <c r="CW3396">
        <v>2.36</v>
      </c>
      <c r="CX3396">
        <v>0.8</v>
      </c>
      <c r="CY3396">
        <v>86.31</v>
      </c>
      <c r="CZ3396" t="s">
        <v>14380</v>
      </c>
      <c r="DA3396">
        <v>59.38</v>
      </c>
      <c r="DB3396">
        <v>44.49</v>
      </c>
      <c r="DC3396">
        <v>38.93</v>
      </c>
      <c r="DD3396">
        <v>0.17</v>
      </c>
      <c r="DE3396">
        <v>632</v>
      </c>
      <c r="DF3396">
        <v>603360</v>
      </c>
      <c r="DG3396" t="s">
        <v>116</v>
      </c>
      <c r="DH3396" t="s">
        <v>116</v>
      </c>
      <c r="DI3396" t="s">
        <v>116</v>
      </c>
    </row>
    <row r="3397" spans="1:113" x14ac:dyDescent="0.4">
      <c r="A3397" t="str">
        <f>"603363"</f>
        <v>603363</v>
      </c>
      <c r="B3397" t="s">
        <v>14381</v>
      </c>
      <c r="C3397">
        <v>1.64</v>
      </c>
      <c r="D3397">
        <v>15.53</v>
      </c>
      <c r="E3397">
        <v>0.25</v>
      </c>
      <c r="F3397">
        <v>15.53</v>
      </c>
      <c r="G3397">
        <v>15.54</v>
      </c>
      <c r="H3397">
        <v>58033</v>
      </c>
      <c r="I3397">
        <v>524</v>
      </c>
      <c r="J3397">
        <v>-0.05</v>
      </c>
      <c r="K3397">
        <v>3.15</v>
      </c>
      <c r="L3397">
        <v>15.28</v>
      </c>
      <c r="M3397">
        <v>15.74</v>
      </c>
      <c r="N3397">
        <v>15.28</v>
      </c>
      <c r="O3397">
        <v>15.28</v>
      </c>
      <c r="P3397">
        <v>125.01</v>
      </c>
      <c r="Q3397">
        <v>90252848</v>
      </c>
      <c r="R3397">
        <v>1.04</v>
      </c>
      <c r="S3397" t="s">
        <v>389</v>
      </c>
      <c r="T3397" t="s">
        <v>975</v>
      </c>
      <c r="U3397">
        <v>3.01</v>
      </c>
      <c r="V3397">
        <v>15.55</v>
      </c>
      <c r="W3397">
        <v>23325</v>
      </c>
      <c r="X3397">
        <v>34708</v>
      </c>
      <c r="Y3397">
        <v>0.67</v>
      </c>
      <c r="Z3397">
        <v>56</v>
      </c>
      <c r="AA3397">
        <v>33</v>
      </c>
      <c r="AB3397" t="s">
        <v>116</v>
      </c>
      <c r="AC3397">
        <v>126800</v>
      </c>
      <c r="AD3397">
        <v>0</v>
      </c>
      <c r="AE3397" t="s">
        <v>116</v>
      </c>
      <c r="AF3397" t="s">
        <v>116</v>
      </c>
      <c r="AG3397">
        <v>1.84</v>
      </c>
      <c r="AH3397" t="s">
        <v>5737</v>
      </c>
      <c r="AI3397" t="s">
        <v>6649</v>
      </c>
      <c r="AJ3397">
        <v>1.71</v>
      </c>
      <c r="AK3397">
        <v>2892</v>
      </c>
      <c r="AL3397">
        <v>20</v>
      </c>
      <c r="AM3397">
        <v>1.1000000000000001E-3</v>
      </c>
      <c r="AN3397">
        <v>1</v>
      </c>
      <c r="AO3397">
        <v>-0.64</v>
      </c>
      <c r="AP3397">
        <v>-4.43</v>
      </c>
      <c r="AQ3397">
        <v>-13.67</v>
      </c>
      <c r="AR3397">
        <v>85.43</v>
      </c>
      <c r="AS3397">
        <v>3.27</v>
      </c>
      <c r="AT3397" t="s">
        <v>13404</v>
      </c>
      <c r="AU3397">
        <v>173.38</v>
      </c>
      <c r="AV3397">
        <v>223.84</v>
      </c>
      <c r="AW3397">
        <v>0.91</v>
      </c>
      <c r="BA3397">
        <v>0</v>
      </c>
      <c r="BB3397">
        <v>3.01</v>
      </c>
      <c r="BC3397">
        <v>0</v>
      </c>
      <c r="BD3397">
        <v>1.78</v>
      </c>
      <c r="BE3397">
        <v>1.64</v>
      </c>
      <c r="BF3397">
        <v>-1.33</v>
      </c>
      <c r="BG3397">
        <v>1.64</v>
      </c>
      <c r="BH3397">
        <v>-0.14000000000000001</v>
      </c>
      <c r="BI3397">
        <v>20191031</v>
      </c>
      <c r="BJ3397">
        <v>20170926</v>
      </c>
      <c r="BK3397">
        <v>4.34</v>
      </c>
      <c r="BL3397" t="s">
        <v>116</v>
      </c>
      <c r="BM3397" t="s">
        <v>116</v>
      </c>
      <c r="BN3397">
        <v>45.21</v>
      </c>
      <c r="BO3397">
        <v>8.3800000000000008</v>
      </c>
      <c r="BP3397">
        <v>4.2</v>
      </c>
      <c r="BQ3397">
        <v>72.180000000000007</v>
      </c>
      <c r="BR3397">
        <v>15.79</v>
      </c>
      <c r="BS3397">
        <v>14.67</v>
      </c>
      <c r="BT3397">
        <v>2.0699999999999998</v>
      </c>
      <c r="BU3397">
        <v>28.72</v>
      </c>
      <c r="BV3397">
        <v>5.0199999999999996</v>
      </c>
      <c r="BW3397">
        <v>5.97</v>
      </c>
      <c r="BX3397">
        <v>2.5099999999999998</v>
      </c>
      <c r="BY3397">
        <v>42.63</v>
      </c>
      <c r="BZ3397">
        <v>37.18</v>
      </c>
      <c r="CA3397">
        <v>0.7</v>
      </c>
      <c r="CB3397">
        <v>-0.02</v>
      </c>
      <c r="CC3397">
        <v>0.74</v>
      </c>
      <c r="CD3397">
        <v>0.79</v>
      </c>
      <c r="CE3397">
        <v>0.4</v>
      </c>
      <c r="CF3397">
        <v>0.28999999999999998</v>
      </c>
      <c r="CG3397">
        <v>2.2400000000000002</v>
      </c>
      <c r="CH3397">
        <v>1.8</v>
      </c>
      <c r="CI3397">
        <v>0.37</v>
      </c>
      <c r="CJ3397">
        <v>29307</v>
      </c>
      <c r="CK3397">
        <v>6056</v>
      </c>
      <c r="CL3397" t="s">
        <v>540</v>
      </c>
      <c r="CM3397">
        <v>27.66</v>
      </c>
      <c r="CN3397">
        <v>0.76</v>
      </c>
      <c r="CO3397">
        <v>8.0500000000000007</v>
      </c>
      <c r="CP3397">
        <v>37.42</v>
      </c>
      <c r="CQ3397">
        <v>1.58</v>
      </c>
      <c r="CR3397">
        <v>0.16</v>
      </c>
      <c r="CS3397" t="s">
        <v>2836</v>
      </c>
      <c r="CT3397">
        <v>1.93</v>
      </c>
      <c r="CU3397">
        <v>0</v>
      </c>
      <c r="CV3397">
        <v>0.57999999999999996</v>
      </c>
      <c r="CW3397">
        <v>0.52</v>
      </c>
      <c r="CX3397">
        <v>0.42</v>
      </c>
      <c r="CY3397">
        <v>18.53</v>
      </c>
      <c r="CZ3397" t="s">
        <v>9617</v>
      </c>
      <c r="DA3397">
        <v>12.79</v>
      </c>
      <c r="DB3397">
        <v>1.64</v>
      </c>
      <c r="DC3397">
        <v>0.95</v>
      </c>
      <c r="DD3397">
        <v>0.57999999999999996</v>
      </c>
      <c r="DE3397">
        <v>4547</v>
      </c>
      <c r="DF3397">
        <v>603363</v>
      </c>
      <c r="DG3397" t="s">
        <v>116</v>
      </c>
      <c r="DH3397" t="s">
        <v>116</v>
      </c>
      <c r="DI3397" t="s">
        <v>116</v>
      </c>
    </row>
    <row r="3398" spans="1:113" x14ac:dyDescent="0.4">
      <c r="A3398" t="str">
        <f>"603365"</f>
        <v>603365</v>
      </c>
      <c r="B3398" t="s">
        <v>14382</v>
      </c>
      <c r="C3398">
        <v>-0.2</v>
      </c>
      <c r="D3398">
        <v>15.24</v>
      </c>
      <c r="E3398">
        <v>-0.03</v>
      </c>
      <c r="F3398">
        <v>15.23</v>
      </c>
      <c r="G3398">
        <v>15.24</v>
      </c>
      <c r="H3398">
        <v>26866</v>
      </c>
      <c r="I3398">
        <v>71</v>
      </c>
      <c r="J3398">
        <v>-0.06</v>
      </c>
      <c r="K3398">
        <v>3.03</v>
      </c>
      <c r="L3398">
        <v>15.33</v>
      </c>
      <c r="M3398">
        <v>15.5</v>
      </c>
      <c r="N3398">
        <v>15.18</v>
      </c>
      <c r="O3398">
        <v>15.27</v>
      </c>
      <c r="P3398">
        <v>14.2</v>
      </c>
      <c r="Q3398">
        <v>41249720</v>
      </c>
      <c r="R3398">
        <v>1.1000000000000001</v>
      </c>
      <c r="S3398" t="s">
        <v>1420</v>
      </c>
      <c r="T3398" t="s">
        <v>1653</v>
      </c>
      <c r="U3398">
        <v>2.1</v>
      </c>
      <c r="V3398">
        <v>15.35</v>
      </c>
      <c r="W3398">
        <v>14972</v>
      </c>
      <c r="X3398">
        <v>11894</v>
      </c>
      <c r="Y3398">
        <v>1.26</v>
      </c>
      <c r="Z3398">
        <v>20</v>
      </c>
      <c r="AA3398">
        <v>11</v>
      </c>
      <c r="AB3398" t="s">
        <v>116</v>
      </c>
      <c r="AC3398">
        <v>256000</v>
      </c>
      <c r="AD3398">
        <v>0.02</v>
      </c>
      <c r="AE3398" t="s">
        <v>116</v>
      </c>
      <c r="AF3398" t="s">
        <v>116</v>
      </c>
      <c r="AG3398">
        <v>0.89</v>
      </c>
      <c r="AH3398" t="s">
        <v>11566</v>
      </c>
      <c r="AI3398" t="s">
        <v>2537</v>
      </c>
      <c r="AJ3398">
        <v>-0.12</v>
      </c>
      <c r="AK3398">
        <v>1220</v>
      </c>
      <c r="AL3398">
        <v>22</v>
      </c>
      <c r="AM3398">
        <v>2.5000000000000001E-3</v>
      </c>
      <c r="AN3398">
        <v>-3</v>
      </c>
      <c r="AO3398">
        <v>-1.75</v>
      </c>
      <c r="AP3398">
        <v>4.0999999999999996</v>
      </c>
      <c r="AQ3398">
        <v>-7.52</v>
      </c>
      <c r="AR3398">
        <v>7.1</v>
      </c>
      <c r="AS3398">
        <v>3.03</v>
      </c>
      <c r="AT3398" t="s">
        <v>11566</v>
      </c>
      <c r="AU3398">
        <v>12.74</v>
      </c>
      <c r="AV3398">
        <v>14.26</v>
      </c>
      <c r="AW3398">
        <v>0.92</v>
      </c>
      <c r="BA3398">
        <v>0.39</v>
      </c>
      <c r="BB3398">
        <v>1.51</v>
      </c>
      <c r="BC3398">
        <v>-0.59</v>
      </c>
      <c r="BD3398">
        <v>0.55000000000000004</v>
      </c>
      <c r="BE3398">
        <v>-0.59</v>
      </c>
      <c r="BF3398">
        <v>-1.68</v>
      </c>
      <c r="BG3398">
        <v>0.4</v>
      </c>
      <c r="BH3398">
        <v>-0.75</v>
      </c>
      <c r="BI3398">
        <v>20191122</v>
      </c>
      <c r="BJ3398">
        <v>20171120</v>
      </c>
      <c r="BK3398">
        <v>2.67</v>
      </c>
      <c r="BL3398" t="s">
        <v>116</v>
      </c>
      <c r="BM3398" t="s">
        <v>116</v>
      </c>
      <c r="BN3398">
        <v>26.88</v>
      </c>
      <c r="BO3398">
        <v>21.98</v>
      </c>
      <c r="BP3398">
        <v>0</v>
      </c>
      <c r="BQ3398">
        <v>18.23</v>
      </c>
      <c r="BR3398">
        <v>20.79</v>
      </c>
      <c r="BS3398">
        <v>3.74</v>
      </c>
      <c r="BT3398">
        <v>1.23</v>
      </c>
      <c r="BU3398">
        <v>4.78</v>
      </c>
      <c r="BV3398">
        <v>8.98</v>
      </c>
      <c r="BW3398">
        <v>1.84</v>
      </c>
      <c r="BX3398">
        <v>8.99</v>
      </c>
      <c r="BY3398">
        <v>20.18</v>
      </c>
      <c r="BZ3398">
        <v>12.49</v>
      </c>
      <c r="CA3398">
        <v>2.33</v>
      </c>
      <c r="CB3398">
        <v>0.13</v>
      </c>
      <c r="CC3398">
        <v>2.57</v>
      </c>
      <c r="CD3398">
        <v>2.15</v>
      </c>
      <c r="CE3398">
        <v>2.15</v>
      </c>
      <c r="CF3398">
        <v>1.84</v>
      </c>
      <c r="CG3398">
        <v>9.36</v>
      </c>
      <c r="CH3398">
        <v>-1.0900000000000001</v>
      </c>
      <c r="CI3398">
        <v>-1.41</v>
      </c>
      <c r="CJ3398">
        <v>12426</v>
      </c>
      <c r="CK3398">
        <v>7129</v>
      </c>
      <c r="CL3398" t="s">
        <v>860</v>
      </c>
      <c r="CM3398">
        <v>18.78</v>
      </c>
      <c r="CN3398">
        <v>11.89</v>
      </c>
      <c r="CO3398">
        <v>1.85</v>
      </c>
      <c r="CP3398">
        <v>-37.25</v>
      </c>
      <c r="CQ3398">
        <v>2.0099999999999998</v>
      </c>
      <c r="CR3398">
        <v>4.58</v>
      </c>
      <c r="CS3398" t="s">
        <v>4366</v>
      </c>
      <c r="CT3398">
        <v>8.24</v>
      </c>
      <c r="CU3398">
        <v>0</v>
      </c>
      <c r="CV3398">
        <v>3.37</v>
      </c>
      <c r="CW3398">
        <v>3.51</v>
      </c>
      <c r="CX3398">
        <v>-0.41</v>
      </c>
      <c r="CY3398">
        <v>81.77</v>
      </c>
      <c r="CZ3398" t="s">
        <v>7230</v>
      </c>
      <c r="DA3398">
        <v>38.090000000000003</v>
      </c>
      <c r="DB3398">
        <v>11.57</v>
      </c>
      <c r="DC3398">
        <v>10.64</v>
      </c>
      <c r="DD3398">
        <v>0.54</v>
      </c>
      <c r="DE3398">
        <v>3669</v>
      </c>
      <c r="DF3398">
        <v>603365</v>
      </c>
      <c r="DG3398" t="s">
        <v>116</v>
      </c>
      <c r="DH3398" t="s">
        <v>116</v>
      </c>
      <c r="DI3398" t="s">
        <v>116</v>
      </c>
    </row>
    <row r="3399" spans="1:113" x14ac:dyDescent="0.4">
      <c r="A3399" t="str">
        <f>"603366"</f>
        <v>603366</v>
      </c>
      <c r="B3399" t="s">
        <v>14383</v>
      </c>
      <c r="C3399">
        <v>0.21</v>
      </c>
      <c r="D3399">
        <v>4.7300000000000004</v>
      </c>
      <c r="E3399">
        <v>0.01</v>
      </c>
      <c r="F3399">
        <v>4.72</v>
      </c>
      <c r="G3399">
        <v>4.7300000000000004</v>
      </c>
      <c r="H3399">
        <v>244197</v>
      </c>
      <c r="I3399">
        <v>1993</v>
      </c>
      <c r="J3399">
        <v>0.21</v>
      </c>
      <c r="K3399">
        <v>3.05</v>
      </c>
      <c r="L3399">
        <v>4.82</v>
      </c>
      <c r="M3399">
        <v>4.9800000000000004</v>
      </c>
      <c r="N3399">
        <v>4.63</v>
      </c>
      <c r="O3399">
        <v>4.72</v>
      </c>
      <c r="P3399">
        <v>63.48</v>
      </c>
      <c r="Q3399">
        <v>116462584</v>
      </c>
      <c r="R3399">
        <v>1.86</v>
      </c>
      <c r="S3399" t="s">
        <v>209</v>
      </c>
      <c r="T3399" t="s">
        <v>323</v>
      </c>
      <c r="U3399">
        <v>7.42</v>
      </c>
      <c r="V3399">
        <v>4.7699999999999996</v>
      </c>
      <c r="W3399">
        <v>116790</v>
      </c>
      <c r="X3399">
        <v>127407</v>
      </c>
      <c r="Y3399">
        <v>0.92</v>
      </c>
      <c r="Z3399">
        <v>324</v>
      </c>
      <c r="AA3399">
        <v>400</v>
      </c>
      <c r="AB3399" t="s">
        <v>116</v>
      </c>
      <c r="AC3399">
        <v>2332400</v>
      </c>
      <c r="AD3399">
        <v>0.16</v>
      </c>
      <c r="AE3399" t="s">
        <v>116</v>
      </c>
      <c r="AF3399" t="s">
        <v>116</v>
      </c>
      <c r="AG3399">
        <v>8</v>
      </c>
      <c r="AH3399" t="s">
        <v>14384</v>
      </c>
      <c r="AI3399" t="s">
        <v>14384</v>
      </c>
      <c r="AJ3399">
        <v>0.28999999999999998</v>
      </c>
      <c r="AK3399">
        <v>2424</v>
      </c>
      <c r="AL3399">
        <v>101</v>
      </c>
      <c r="AM3399">
        <v>1.2999999999999999E-3</v>
      </c>
      <c r="AN3399">
        <v>4</v>
      </c>
      <c r="AO3399">
        <v>6.77</v>
      </c>
      <c r="AP3399">
        <v>11.29</v>
      </c>
      <c r="AQ3399">
        <v>15.37</v>
      </c>
      <c r="AR3399">
        <v>13.43</v>
      </c>
      <c r="AS3399">
        <v>8.32</v>
      </c>
      <c r="AT3399" t="s">
        <v>4901</v>
      </c>
      <c r="AU3399" t="s">
        <v>116</v>
      </c>
      <c r="AV3399" t="s">
        <v>116</v>
      </c>
      <c r="AW3399">
        <v>1.4</v>
      </c>
      <c r="BA3399">
        <v>2.12</v>
      </c>
      <c r="BB3399">
        <v>5.51</v>
      </c>
      <c r="BC3399">
        <v>-1.91</v>
      </c>
      <c r="BD3399">
        <v>1.04</v>
      </c>
      <c r="BE3399">
        <v>-1.87</v>
      </c>
      <c r="BF3399">
        <v>-5.0199999999999996</v>
      </c>
      <c r="BG3399">
        <v>2.16</v>
      </c>
      <c r="BH3399">
        <v>-0.83</v>
      </c>
      <c r="BI3399">
        <v>20191031</v>
      </c>
      <c r="BJ3399">
        <v>20120521</v>
      </c>
      <c r="BK3399">
        <v>8</v>
      </c>
      <c r="BL3399" t="s">
        <v>116</v>
      </c>
      <c r="BM3399" t="s">
        <v>116</v>
      </c>
      <c r="BN3399">
        <v>60.28</v>
      </c>
      <c r="BO3399">
        <v>31.07</v>
      </c>
      <c r="BP3399">
        <v>0.8</v>
      </c>
      <c r="BQ3399">
        <v>47.13</v>
      </c>
      <c r="BR3399">
        <v>23.24</v>
      </c>
      <c r="BS3399">
        <v>11.93</v>
      </c>
      <c r="BT3399">
        <v>4.8600000000000003</v>
      </c>
      <c r="BU3399">
        <v>27.18</v>
      </c>
      <c r="BV3399">
        <v>5.77</v>
      </c>
      <c r="BW3399">
        <v>1.72</v>
      </c>
      <c r="BX3399">
        <v>18.09</v>
      </c>
      <c r="BY3399">
        <v>23.28</v>
      </c>
      <c r="BZ3399">
        <v>15.33</v>
      </c>
      <c r="CA3399">
        <v>0.59</v>
      </c>
      <c r="CB3399">
        <v>0.28000000000000003</v>
      </c>
      <c r="CC3399">
        <v>0.59</v>
      </c>
      <c r="CD3399">
        <v>0.45</v>
      </c>
      <c r="CE3399">
        <v>0.45</v>
      </c>
      <c r="CF3399">
        <v>0.09</v>
      </c>
      <c r="CG3399">
        <v>2.91</v>
      </c>
      <c r="CH3399">
        <v>0.34</v>
      </c>
      <c r="CI3399">
        <v>0.28000000000000003</v>
      </c>
      <c r="CJ3399">
        <v>39946</v>
      </c>
      <c r="CK3399">
        <v>7351</v>
      </c>
      <c r="CL3399" t="s">
        <v>805</v>
      </c>
      <c r="CM3399">
        <v>205.89</v>
      </c>
      <c r="CN3399">
        <v>2.7</v>
      </c>
      <c r="CO3399">
        <v>1.22</v>
      </c>
      <c r="CP3399">
        <v>111.06</v>
      </c>
      <c r="CQ3399">
        <v>1.63</v>
      </c>
      <c r="CR3399">
        <v>0</v>
      </c>
      <c r="CS3399" t="s">
        <v>743</v>
      </c>
      <c r="CT3399">
        <v>3.88</v>
      </c>
      <c r="CU3399">
        <v>0</v>
      </c>
      <c r="CV3399">
        <v>2.2599999999999998</v>
      </c>
      <c r="CW3399">
        <v>0.36</v>
      </c>
      <c r="CX3399">
        <v>0.04</v>
      </c>
      <c r="CY3399">
        <v>51.54</v>
      </c>
      <c r="CZ3399" t="s">
        <v>7649</v>
      </c>
      <c r="DA3399">
        <v>34.14</v>
      </c>
      <c r="DB3399">
        <v>2.5299999999999998</v>
      </c>
      <c r="DC3399">
        <v>1.92</v>
      </c>
      <c r="DD3399">
        <v>0.57999999999999996</v>
      </c>
      <c r="DE3399">
        <v>4343</v>
      </c>
      <c r="DF3399">
        <v>603366</v>
      </c>
      <c r="DG3399" t="s">
        <v>116</v>
      </c>
      <c r="DH3399" t="s">
        <v>116</v>
      </c>
      <c r="DI3399" t="s">
        <v>116</v>
      </c>
    </row>
    <row r="3400" spans="1:113" x14ac:dyDescent="0.4">
      <c r="A3400" t="str">
        <f>"603367"</f>
        <v>603367</v>
      </c>
      <c r="B3400" t="s">
        <v>14385</v>
      </c>
      <c r="C3400">
        <v>-0.55000000000000004</v>
      </c>
      <c r="D3400">
        <v>16.18</v>
      </c>
      <c r="E3400">
        <v>-0.09</v>
      </c>
      <c r="F3400">
        <v>16.18</v>
      </c>
      <c r="G3400">
        <v>16.190000000000001</v>
      </c>
      <c r="H3400">
        <v>22515</v>
      </c>
      <c r="I3400">
        <v>58</v>
      </c>
      <c r="J3400">
        <v>0.06</v>
      </c>
      <c r="K3400">
        <v>0.78</v>
      </c>
      <c r="L3400">
        <v>16.22</v>
      </c>
      <c r="M3400">
        <v>16.329999999999998</v>
      </c>
      <c r="N3400">
        <v>16.16</v>
      </c>
      <c r="O3400">
        <v>16.27</v>
      </c>
      <c r="P3400">
        <v>13.37</v>
      </c>
      <c r="Q3400">
        <v>36593028</v>
      </c>
      <c r="R3400">
        <v>0.94</v>
      </c>
      <c r="S3400" t="s">
        <v>574</v>
      </c>
      <c r="T3400" t="s">
        <v>645</v>
      </c>
      <c r="U3400">
        <v>1.04</v>
      </c>
      <c r="V3400">
        <v>16.25</v>
      </c>
      <c r="W3400">
        <v>14290</v>
      </c>
      <c r="X3400">
        <v>8225</v>
      </c>
      <c r="Y3400">
        <v>1.74</v>
      </c>
      <c r="Z3400">
        <v>26</v>
      </c>
      <c r="AA3400">
        <v>180</v>
      </c>
      <c r="AB3400" t="s">
        <v>116</v>
      </c>
      <c r="AC3400">
        <v>300100</v>
      </c>
      <c r="AD3400">
        <v>0.01</v>
      </c>
      <c r="AE3400" t="s">
        <v>116</v>
      </c>
      <c r="AF3400" t="s">
        <v>116</v>
      </c>
      <c r="AG3400">
        <v>2.88</v>
      </c>
      <c r="AH3400" t="s">
        <v>14386</v>
      </c>
      <c r="AI3400" t="s">
        <v>1965</v>
      </c>
      <c r="AJ3400">
        <v>-0.48</v>
      </c>
      <c r="AK3400">
        <v>1184</v>
      </c>
      <c r="AL3400">
        <v>19</v>
      </c>
      <c r="AM3400">
        <v>6.9999999999999999E-4</v>
      </c>
      <c r="AN3400">
        <v>-1</v>
      </c>
      <c r="AO3400">
        <v>-0.36</v>
      </c>
      <c r="AP3400">
        <v>0.75</v>
      </c>
      <c r="AQ3400">
        <v>7.29</v>
      </c>
      <c r="AR3400">
        <v>8.4600000000000009</v>
      </c>
      <c r="AS3400">
        <v>1.3</v>
      </c>
      <c r="AT3400" t="s">
        <v>5575</v>
      </c>
      <c r="AU3400">
        <v>13.6</v>
      </c>
      <c r="AV3400">
        <v>14.57</v>
      </c>
      <c r="AW3400">
        <v>1.0900000000000001</v>
      </c>
      <c r="BA3400">
        <v>-0.31</v>
      </c>
      <c r="BB3400">
        <v>0.37</v>
      </c>
      <c r="BC3400">
        <v>-0.68</v>
      </c>
      <c r="BD3400">
        <v>-0.11</v>
      </c>
      <c r="BE3400">
        <v>-0.25</v>
      </c>
      <c r="BF3400">
        <v>-0.92</v>
      </c>
      <c r="BG3400">
        <v>0.12</v>
      </c>
      <c r="BH3400">
        <v>-0.45</v>
      </c>
      <c r="BI3400">
        <v>20191028</v>
      </c>
      <c r="BJ3400">
        <v>20170929</v>
      </c>
      <c r="BK3400">
        <v>4.53</v>
      </c>
      <c r="BL3400" t="s">
        <v>116</v>
      </c>
      <c r="BM3400" t="s">
        <v>116</v>
      </c>
      <c r="BN3400">
        <v>54.6</v>
      </c>
      <c r="BO3400">
        <v>44.47</v>
      </c>
      <c r="BP3400">
        <v>0.01</v>
      </c>
      <c r="BQ3400">
        <v>18.53</v>
      </c>
      <c r="BR3400">
        <v>37.270000000000003</v>
      </c>
      <c r="BS3400">
        <v>10.199999999999999</v>
      </c>
      <c r="BT3400">
        <v>2.09</v>
      </c>
      <c r="BU3400">
        <v>9.34</v>
      </c>
      <c r="BV3400">
        <v>6.03</v>
      </c>
      <c r="BW3400">
        <v>6.67</v>
      </c>
      <c r="BX3400">
        <v>18.82</v>
      </c>
      <c r="BY3400">
        <v>29.97</v>
      </c>
      <c r="BZ3400">
        <v>12.93</v>
      </c>
      <c r="CA3400">
        <v>4.78</v>
      </c>
      <c r="CB3400">
        <v>0.63</v>
      </c>
      <c r="CC3400">
        <v>4.82</v>
      </c>
      <c r="CD3400">
        <v>4.12</v>
      </c>
      <c r="CE3400">
        <v>4.1100000000000003</v>
      </c>
      <c r="CF3400">
        <v>3.88</v>
      </c>
      <c r="CG3400">
        <v>18.98</v>
      </c>
      <c r="CH3400">
        <v>3.59</v>
      </c>
      <c r="CI3400">
        <v>2.27</v>
      </c>
      <c r="CJ3400">
        <v>28441</v>
      </c>
      <c r="CK3400">
        <v>6109</v>
      </c>
      <c r="CL3400" t="s">
        <v>160</v>
      </c>
      <c r="CM3400">
        <v>9.5299999999999994</v>
      </c>
      <c r="CN3400">
        <v>7.34</v>
      </c>
      <c r="CO3400">
        <v>1.65</v>
      </c>
      <c r="CP3400">
        <v>20.43</v>
      </c>
      <c r="CQ3400">
        <v>2.4500000000000002</v>
      </c>
      <c r="CR3400">
        <v>1.62</v>
      </c>
      <c r="CS3400" t="s">
        <v>14387</v>
      </c>
      <c r="CT3400">
        <v>9.81</v>
      </c>
      <c r="CU3400">
        <v>0</v>
      </c>
      <c r="CV3400">
        <v>4.1500000000000004</v>
      </c>
      <c r="CW3400">
        <v>4.1900000000000004</v>
      </c>
      <c r="CX3400">
        <v>0.79</v>
      </c>
      <c r="CY3400">
        <v>81.44</v>
      </c>
      <c r="CZ3400" t="s">
        <v>4618</v>
      </c>
      <c r="DA3400">
        <v>56.86</v>
      </c>
      <c r="DB3400">
        <v>15.96</v>
      </c>
      <c r="DC3400">
        <v>13.73</v>
      </c>
      <c r="DD3400">
        <v>2.12</v>
      </c>
      <c r="DE3400">
        <v>2880</v>
      </c>
      <c r="DF3400">
        <v>603367</v>
      </c>
      <c r="DG3400" t="s">
        <v>116</v>
      </c>
      <c r="DH3400" t="s">
        <v>116</v>
      </c>
      <c r="DI3400" t="s">
        <v>116</v>
      </c>
    </row>
    <row r="3401" spans="1:113" x14ac:dyDescent="0.4">
      <c r="A3401" t="str">
        <f>"603368"</f>
        <v>603368</v>
      </c>
      <c r="B3401" t="s">
        <v>14388</v>
      </c>
      <c r="C3401">
        <v>-1.17</v>
      </c>
      <c r="D3401">
        <v>33.07</v>
      </c>
      <c r="E3401">
        <v>-0.39</v>
      </c>
      <c r="F3401">
        <v>33.06</v>
      </c>
      <c r="G3401">
        <v>33.07</v>
      </c>
      <c r="H3401">
        <v>17949</v>
      </c>
      <c r="I3401">
        <v>46</v>
      </c>
      <c r="J3401">
        <v>0.18</v>
      </c>
      <c r="K3401">
        <v>0.7</v>
      </c>
      <c r="L3401">
        <v>33.58</v>
      </c>
      <c r="M3401">
        <v>33.58</v>
      </c>
      <c r="N3401">
        <v>32.97</v>
      </c>
      <c r="O3401">
        <v>33.46</v>
      </c>
      <c r="P3401">
        <v>11.74</v>
      </c>
      <c r="Q3401">
        <v>59702024</v>
      </c>
      <c r="R3401">
        <v>1.21</v>
      </c>
      <c r="S3401" t="s">
        <v>278</v>
      </c>
      <c r="T3401" t="s">
        <v>982</v>
      </c>
      <c r="U3401">
        <v>1.82</v>
      </c>
      <c r="V3401">
        <v>33.26</v>
      </c>
      <c r="W3401">
        <v>10851</v>
      </c>
      <c r="X3401">
        <v>7098</v>
      </c>
      <c r="Y3401">
        <v>1.53</v>
      </c>
      <c r="Z3401">
        <v>7</v>
      </c>
      <c r="AA3401">
        <v>92</v>
      </c>
      <c r="AB3401" t="s">
        <v>116</v>
      </c>
      <c r="AC3401">
        <v>262100</v>
      </c>
      <c r="AD3401">
        <v>0</v>
      </c>
      <c r="AE3401" t="s">
        <v>116</v>
      </c>
      <c r="AF3401" t="s">
        <v>116</v>
      </c>
      <c r="AG3401">
        <v>2.56</v>
      </c>
      <c r="AH3401" t="s">
        <v>14389</v>
      </c>
      <c r="AI3401" t="s">
        <v>14390</v>
      </c>
      <c r="AJ3401">
        <v>-1.0900000000000001</v>
      </c>
      <c r="AK3401">
        <v>1999</v>
      </c>
      <c r="AL3401">
        <v>9</v>
      </c>
      <c r="AM3401">
        <v>4.0000000000000002E-4</v>
      </c>
      <c r="AN3401">
        <v>-1</v>
      </c>
      <c r="AO3401">
        <v>-1.7</v>
      </c>
      <c r="AP3401">
        <v>-1.78</v>
      </c>
      <c r="AQ3401">
        <v>-6.58</v>
      </c>
      <c r="AR3401">
        <v>29.28</v>
      </c>
      <c r="AS3401">
        <v>0.97</v>
      </c>
      <c r="AT3401" t="s">
        <v>14391</v>
      </c>
      <c r="AU3401">
        <v>12.51</v>
      </c>
      <c r="AV3401">
        <v>16.22</v>
      </c>
      <c r="AW3401">
        <v>0.88</v>
      </c>
      <c r="BA3401">
        <v>0.36</v>
      </c>
      <c r="BB3401">
        <v>0.36</v>
      </c>
      <c r="BC3401">
        <v>-1.46</v>
      </c>
      <c r="BD3401">
        <v>-0.59</v>
      </c>
      <c r="BE3401">
        <v>-1.52</v>
      </c>
      <c r="BF3401">
        <v>-1.52</v>
      </c>
      <c r="BG3401">
        <v>0.3</v>
      </c>
      <c r="BH3401">
        <v>-0.57999999999999996</v>
      </c>
      <c r="BI3401">
        <v>20191030</v>
      </c>
      <c r="BJ3401">
        <v>20141204</v>
      </c>
      <c r="BK3401">
        <v>2.59</v>
      </c>
      <c r="BL3401" t="s">
        <v>116</v>
      </c>
      <c r="BM3401" t="s">
        <v>116</v>
      </c>
      <c r="BN3401">
        <v>127.24</v>
      </c>
      <c r="BO3401">
        <v>42.04</v>
      </c>
      <c r="BP3401">
        <v>2.5</v>
      </c>
      <c r="BQ3401">
        <v>65</v>
      </c>
      <c r="BR3401">
        <v>108.99</v>
      </c>
      <c r="BS3401">
        <v>6.06</v>
      </c>
      <c r="BT3401">
        <v>1.64</v>
      </c>
      <c r="BU3401">
        <v>78.27</v>
      </c>
      <c r="BV3401">
        <v>16.190000000000001</v>
      </c>
      <c r="BW3401">
        <v>70.569999999999993</v>
      </c>
      <c r="BX3401">
        <v>20.38</v>
      </c>
      <c r="BY3401">
        <v>111.08</v>
      </c>
      <c r="BZ3401">
        <v>97.34</v>
      </c>
      <c r="CA3401">
        <v>7.09</v>
      </c>
      <c r="CB3401">
        <v>0.1</v>
      </c>
      <c r="CC3401">
        <v>7.16</v>
      </c>
      <c r="CD3401">
        <v>6.05</v>
      </c>
      <c r="CE3401">
        <v>5.48</v>
      </c>
      <c r="CF3401">
        <v>5.41</v>
      </c>
      <c r="CG3401">
        <v>17.829999999999998</v>
      </c>
      <c r="CH3401">
        <v>-5.92</v>
      </c>
      <c r="CI3401">
        <v>2.2599999999999998</v>
      </c>
      <c r="CJ3401">
        <v>15411</v>
      </c>
      <c r="CK3401">
        <v>11948</v>
      </c>
      <c r="CL3401" t="s">
        <v>14392</v>
      </c>
      <c r="CM3401">
        <v>40.1</v>
      </c>
      <c r="CN3401">
        <v>27.53</v>
      </c>
      <c r="CO3401">
        <v>2.04</v>
      </c>
      <c r="CP3401">
        <v>-14.46</v>
      </c>
      <c r="CQ3401">
        <v>0.77</v>
      </c>
      <c r="CR3401">
        <v>1.85</v>
      </c>
      <c r="CS3401" t="s">
        <v>14393</v>
      </c>
      <c r="CT3401">
        <v>16.23</v>
      </c>
      <c r="CU3401">
        <v>0</v>
      </c>
      <c r="CV3401">
        <v>7.87</v>
      </c>
      <c r="CW3401">
        <v>6.88</v>
      </c>
      <c r="CX3401">
        <v>-2.29</v>
      </c>
      <c r="CY3401">
        <v>33.04</v>
      </c>
      <c r="CZ3401" t="s">
        <v>8483</v>
      </c>
      <c r="DA3401">
        <v>12.37</v>
      </c>
      <c r="DB3401">
        <v>6.39</v>
      </c>
      <c r="DC3401">
        <v>4.93</v>
      </c>
      <c r="DD3401">
        <v>0</v>
      </c>
      <c r="DE3401">
        <v>3590</v>
      </c>
      <c r="DF3401">
        <v>603368</v>
      </c>
      <c r="DG3401" t="s">
        <v>116</v>
      </c>
      <c r="DH3401" t="s">
        <v>116</v>
      </c>
      <c r="DI3401" t="s">
        <v>116</v>
      </c>
    </row>
    <row r="3402" spans="1:113" x14ac:dyDescent="0.4">
      <c r="A3402" t="str">
        <f>"603369"</f>
        <v>603369</v>
      </c>
      <c r="B3402" t="s">
        <v>14394</v>
      </c>
      <c r="C3402">
        <v>0.47</v>
      </c>
      <c r="D3402">
        <v>29.64</v>
      </c>
      <c r="E3402">
        <v>0.14000000000000001</v>
      </c>
      <c r="F3402">
        <v>29.63</v>
      </c>
      <c r="G3402">
        <v>29.64</v>
      </c>
      <c r="H3402">
        <v>67242</v>
      </c>
      <c r="I3402">
        <v>650</v>
      </c>
      <c r="J3402">
        <v>0.1</v>
      </c>
      <c r="K3402">
        <v>0.54</v>
      </c>
      <c r="L3402">
        <v>29.65</v>
      </c>
      <c r="M3402">
        <v>29.96</v>
      </c>
      <c r="N3402">
        <v>29.57</v>
      </c>
      <c r="O3402">
        <v>29.5</v>
      </c>
      <c r="P3402">
        <v>21.55</v>
      </c>
      <c r="Q3402">
        <v>200329136</v>
      </c>
      <c r="R3402">
        <v>1.3</v>
      </c>
      <c r="S3402" t="s">
        <v>1212</v>
      </c>
      <c r="T3402" t="s">
        <v>323</v>
      </c>
      <c r="U3402">
        <v>1.32</v>
      </c>
      <c r="V3402">
        <v>29.79</v>
      </c>
      <c r="W3402">
        <v>30899</v>
      </c>
      <c r="X3402">
        <v>36343</v>
      </c>
      <c r="Y3402">
        <v>0.85</v>
      </c>
      <c r="Z3402">
        <v>86</v>
      </c>
      <c r="AA3402">
        <v>8</v>
      </c>
      <c r="AB3402" t="s">
        <v>116</v>
      </c>
      <c r="AC3402">
        <v>572200</v>
      </c>
      <c r="AD3402">
        <v>0</v>
      </c>
      <c r="AE3402" t="s">
        <v>116</v>
      </c>
      <c r="AF3402" t="s">
        <v>116</v>
      </c>
      <c r="AG3402">
        <v>12.55</v>
      </c>
      <c r="AH3402" t="s">
        <v>6714</v>
      </c>
      <c r="AI3402" t="s">
        <v>6714</v>
      </c>
      <c r="AJ3402">
        <v>0.55000000000000004</v>
      </c>
      <c r="AK3402">
        <v>2795</v>
      </c>
      <c r="AL3402">
        <v>24</v>
      </c>
      <c r="AM3402">
        <v>2.0000000000000001E-4</v>
      </c>
      <c r="AN3402">
        <v>2</v>
      </c>
      <c r="AO3402">
        <v>0.75</v>
      </c>
      <c r="AP3402">
        <v>-1.79</v>
      </c>
      <c r="AQ3402">
        <v>-10.26</v>
      </c>
      <c r="AR3402">
        <v>109.32</v>
      </c>
      <c r="AS3402">
        <v>1.0900000000000001</v>
      </c>
      <c r="AT3402" t="s">
        <v>10787</v>
      </c>
      <c r="AU3402">
        <v>26.27</v>
      </c>
      <c r="AV3402">
        <v>32.31</v>
      </c>
      <c r="AW3402">
        <v>1.1200000000000001</v>
      </c>
      <c r="BA3402">
        <v>0.51</v>
      </c>
      <c r="BB3402">
        <v>1.56</v>
      </c>
      <c r="BC3402">
        <v>0.24</v>
      </c>
      <c r="BD3402">
        <v>0.99</v>
      </c>
      <c r="BE3402">
        <v>-0.03</v>
      </c>
      <c r="BF3402">
        <v>-1.07</v>
      </c>
      <c r="BG3402">
        <v>0.24</v>
      </c>
      <c r="BH3402">
        <v>-0.52</v>
      </c>
      <c r="BI3402">
        <v>20191031</v>
      </c>
      <c r="BJ3402">
        <v>20140703</v>
      </c>
      <c r="BK3402">
        <v>12.55</v>
      </c>
      <c r="BL3402" t="s">
        <v>116</v>
      </c>
      <c r="BM3402" t="s">
        <v>116</v>
      </c>
      <c r="BN3402">
        <v>86.94</v>
      </c>
      <c r="BO3402">
        <v>69.75</v>
      </c>
      <c r="BP3402">
        <v>0.14000000000000001</v>
      </c>
      <c r="BQ3402">
        <v>19.61</v>
      </c>
      <c r="BR3402">
        <v>71.55</v>
      </c>
      <c r="BS3402">
        <v>10.1</v>
      </c>
      <c r="BT3402">
        <v>1.06</v>
      </c>
      <c r="BU3402">
        <v>16.87</v>
      </c>
      <c r="BV3402">
        <v>19.059999999999999</v>
      </c>
      <c r="BW3402">
        <v>0.56000000000000005</v>
      </c>
      <c r="BX3402">
        <v>7.18</v>
      </c>
      <c r="BY3402">
        <v>41.13</v>
      </c>
      <c r="BZ3402">
        <v>11.32</v>
      </c>
      <c r="CA3402">
        <v>17.350000000000001</v>
      </c>
      <c r="CB3402">
        <v>1.1399999999999999</v>
      </c>
      <c r="CC3402">
        <v>17.260000000000002</v>
      </c>
      <c r="CD3402">
        <v>12.94</v>
      </c>
      <c r="CE3402">
        <v>12.94</v>
      </c>
      <c r="CF3402">
        <v>12.73</v>
      </c>
      <c r="CG3402">
        <v>45.2</v>
      </c>
      <c r="CH3402">
        <v>5.5</v>
      </c>
      <c r="CI3402">
        <v>-1.39</v>
      </c>
      <c r="CJ3402">
        <v>25245</v>
      </c>
      <c r="CK3402">
        <v>24463</v>
      </c>
      <c r="CL3402" t="s">
        <v>14395</v>
      </c>
      <c r="CM3402">
        <v>25.74</v>
      </c>
      <c r="CN3402">
        <v>30.2</v>
      </c>
      <c r="CO3402">
        <v>5.33</v>
      </c>
      <c r="CP3402">
        <v>67.55</v>
      </c>
      <c r="CQ3402">
        <v>9.0399999999999991</v>
      </c>
      <c r="CR3402">
        <v>1.1100000000000001</v>
      </c>
      <c r="CS3402" t="s">
        <v>7268</v>
      </c>
      <c r="CT3402">
        <v>5.56</v>
      </c>
      <c r="CU3402">
        <v>0</v>
      </c>
      <c r="CV3402">
        <v>0.56999999999999995</v>
      </c>
      <c r="CW3402">
        <v>3.6</v>
      </c>
      <c r="CX3402">
        <v>0.44</v>
      </c>
      <c r="CY3402">
        <v>80.22</v>
      </c>
      <c r="CZ3402" t="s">
        <v>14396</v>
      </c>
      <c r="DA3402">
        <v>72.47</v>
      </c>
      <c r="DB3402">
        <v>42.18</v>
      </c>
      <c r="DC3402">
        <v>31.46</v>
      </c>
      <c r="DD3402">
        <v>0.09</v>
      </c>
      <c r="DE3402">
        <v>3329</v>
      </c>
      <c r="DF3402">
        <v>603369</v>
      </c>
      <c r="DG3402" t="s">
        <v>116</v>
      </c>
      <c r="DH3402" t="s">
        <v>116</v>
      </c>
      <c r="DI3402" t="s">
        <v>116</v>
      </c>
    </row>
    <row r="3403" spans="1:113" x14ac:dyDescent="0.4">
      <c r="A3403" t="str">
        <f>"603377"</f>
        <v>603377</v>
      </c>
      <c r="B3403" t="s">
        <v>14397</v>
      </c>
      <c r="C3403">
        <v>1.23</v>
      </c>
      <c r="D3403">
        <v>18.12</v>
      </c>
      <c r="E3403">
        <v>0.22</v>
      </c>
      <c r="F3403">
        <v>18.11</v>
      </c>
      <c r="G3403">
        <v>18.12</v>
      </c>
      <c r="H3403">
        <v>81041</v>
      </c>
      <c r="I3403">
        <v>1194</v>
      </c>
      <c r="J3403">
        <v>-0.59</v>
      </c>
      <c r="K3403">
        <v>1.38</v>
      </c>
      <c r="L3403">
        <v>17.989999999999998</v>
      </c>
      <c r="M3403">
        <v>18.399999999999999</v>
      </c>
      <c r="N3403">
        <v>17.8</v>
      </c>
      <c r="O3403">
        <v>17.899999999999999</v>
      </c>
      <c r="P3403">
        <v>41.77</v>
      </c>
      <c r="Q3403">
        <v>147594592</v>
      </c>
      <c r="R3403">
        <v>1.25</v>
      </c>
      <c r="S3403" t="s">
        <v>256</v>
      </c>
      <c r="T3403" t="s">
        <v>165</v>
      </c>
      <c r="U3403">
        <v>3.35</v>
      </c>
      <c r="V3403">
        <v>18.21</v>
      </c>
      <c r="W3403">
        <v>32473</v>
      </c>
      <c r="X3403">
        <v>48568</v>
      </c>
      <c r="Y3403">
        <v>0.67</v>
      </c>
      <c r="Z3403">
        <v>115</v>
      </c>
      <c r="AA3403">
        <v>18</v>
      </c>
      <c r="AB3403" t="s">
        <v>116</v>
      </c>
      <c r="AC3403">
        <v>284200</v>
      </c>
      <c r="AD3403">
        <v>0.01</v>
      </c>
      <c r="AE3403" t="s">
        <v>116</v>
      </c>
      <c r="AF3403" t="s">
        <v>116</v>
      </c>
      <c r="AG3403">
        <v>5.88</v>
      </c>
      <c r="AH3403" t="s">
        <v>14398</v>
      </c>
      <c r="AI3403" t="s">
        <v>14398</v>
      </c>
      <c r="AJ3403">
        <v>1.31</v>
      </c>
      <c r="AK3403">
        <v>2896</v>
      </c>
      <c r="AL3403">
        <v>28</v>
      </c>
      <c r="AM3403">
        <v>5.0000000000000001E-4</v>
      </c>
      <c r="AN3403">
        <v>3</v>
      </c>
      <c r="AO3403">
        <v>7.22</v>
      </c>
      <c r="AP3403">
        <v>-2</v>
      </c>
      <c r="AQ3403">
        <v>-13.47</v>
      </c>
      <c r="AR3403">
        <v>25.83</v>
      </c>
      <c r="AS3403">
        <v>4.08</v>
      </c>
      <c r="AT3403" t="s">
        <v>14399</v>
      </c>
      <c r="AU3403">
        <v>47.71</v>
      </c>
      <c r="AV3403">
        <v>47.72</v>
      </c>
      <c r="AW3403">
        <v>0.13</v>
      </c>
      <c r="BA3403">
        <v>0.5</v>
      </c>
      <c r="BB3403">
        <v>2.79</v>
      </c>
      <c r="BC3403">
        <v>-0.56000000000000005</v>
      </c>
      <c r="BD3403">
        <v>1.74</v>
      </c>
      <c r="BE3403">
        <v>0.72</v>
      </c>
      <c r="BF3403">
        <v>-1.52</v>
      </c>
      <c r="BG3403">
        <v>1.8</v>
      </c>
      <c r="BH3403">
        <v>-0.52</v>
      </c>
      <c r="BI3403">
        <v>20191018</v>
      </c>
      <c r="BJ3403">
        <v>20160205</v>
      </c>
      <c r="BK3403">
        <v>5.88</v>
      </c>
      <c r="BL3403" t="s">
        <v>116</v>
      </c>
      <c r="BM3403" t="s">
        <v>116</v>
      </c>
      <c r="BN3403">
        <v>42.06</v>
      </c>
      <c r="BO3403">
        <v>17.11</v>
      </c>
      <c r="BP3403">
        <v>3.66</v>
      </c>
      <c r="BQ3403">
        <v>50.63</v>
      </c>
      <c r="BR3403">
        <v>12.72</v>
      </c>
      <c r="BS3403">
        <v>8.75</v>
      </c>
      <c r="BT3403">
        <v>8.14</v>
      </c>
      <c r="BU3403">
        <v>14.87</v>
      </c>
      <c r="BV3403">
        <v>7.91</v>
      </c>
      <c r="BW3403">
        <v>0</v>
      </c>
      <c r="BX3403">
        <v>5.62</v>
      </c>
      <c r="BY3403">
        <v>8.5500000000000007</v>
      </c>
      <c r="BZ3403">
        <v>4.0199999999999996</v>
      </c>
      <c r="CA3403">
        <v>1.99</v>
      </c>
      <c r="CB3403">
        <v>0.02</v>
      </c>
      <c r="CC3403">
        <v>2.8</v>
      </c>
      <c r="CD3403">
        <v>2</v>
      </c>
      <c r="CE3403">
        <v>1.91</v>
      </c>
      <c r="CF3403">
        <v>1.42</v>
      </c>
      <c r="CG3403">
        <v>5.28</v>
      </c>
      <c r="CH3403">
        <v>4.29</v>
      </c>
      <c r="CI3403">
        <v>-0.38</v>
      </c>
      <c r="CJ3403">
        <v>6460</v>
      </c>
      <c r="CK3403">
        <v>30720</v>
      </c>
      <c r="CL3403" t="s">
        <v>14400</v>
      </c>
      <c r="CM3403">
        <v>0.02</v>
      </c>
      <c r="CN3403">
        <v>5.9</v>
      </c>
      <c r="CO3403">
        <v>6.23</v>
      </c>
      <c r="CP3403">
        <v>24.83</v>
      </c>
      <c r="CQ3403">
        <v>12.46</v>
      </c>
      <c r="CR3403">
        <v>1.0900000000000001</v>
      </c>
      <c r="CS3403" t="s">
        <v>1134</v>
      </c>
      <c r="CT3403">
        <v>2.91</v>
      </c>
      <c r="CU3403">
        <v>0</v>
      </c>
      <c r="CV3403">
        <v>0.96</v>
      </c>
      <c r="CW3403">
        <v>0.9</v>
      </c>
      <c r="CX3403">
        <v>0.73</v>
      </c>
      <c r="CY3403">
        <v>40.68</v>
      </c>
      <c r="CZ3403" t="s">
        <v>14401</v>
      </c>
      <c r="DA3403">
        <v>53</v>
      </c>
      <c r="DB3403">
        <v>23.32</v>
      </c>
      <c r="DC3403">
        <v>22.37</v>
      </c>
      <c r="DD3403">
        <v>0.13</v>
      </c>
      <c r="DE3403">
        <v>4640</v>
      </c>
      <c r="DF3403">
        <v>603377</v>
      </c>
      <c r="DG3403" t="s">
        <v>116</v>
      </c>
      <c r="DH3403" t="s">
        <v>116</v>
      </c>
      <c r="DI3403" t="s">
        <v>116</v>
      </c>
    </row>
    <row r="3404" spans="1:113" x14ac:dyDescent="0.4">
      <c r="A3404" t="str">
        <f>"603378"</f>
        <v>603378</v>
      </c>
      <c r="B3404" t="s">
        <v>14402</v>
      </c>
      <c r="C3404">
        <v>0.33</v>
      </c>
      <c r="D3404">
        <v>21.41</v>
      </c>
      <c r="E3404">
        <v>7.0000000000000007E-2</v>
      </c>
      <c r="F3404">
        <v>21.32</v>
      </c>
      <c r="G3404">
        <v>21.41</v>
      </c>
      <c r="H3404">
        <v>14327</v>
      </c>
      <c r="I3404">
        <v>369</v>
      </c>
      <c r="J3404">
        <v>0.99</v>
      </c>
      <c r="K3404">
        <v>2.08</v>
      </c>
      <c r="L3404">
        <v>21.38</v>
      </c>
      <c r="M3404">
        <v>21.84</v>
      </c>
      <c r="N3404">
        <v>20.95</v>
      </c>
      <c r="O3404">
        <v>21.34</v>
      </c>
      <c r="P3404">
        <v>39.22</v>
      </c>
      <c r="Q3404">
        <v>30688010</v>
      </c>
      <c r="R3404">
        <v>1.01</v>
      </c>
      <c r="S3404" t="s">
        <v>1192</v>
      </c>
      <c r="T3404" t="s">
        <v>1653</v>
      </c>
      <c r="U3404">
        <v>4.17</v>
      </c>
      <c r="V3404">
        <v>21.42</v>
      </c>
      <c r="W3404">
        <v>7256</v>
      </c>
      <c r="X3404">
        <v>7071</v>
      </c>
      <c r="Y3404">
        <v>1.03</v>
      </c>
      <c r="Z3404">
        <v>25</v>
      </c>
      <c r="AA3404">
        <v>60</v>
      </c>
      <c r="AB3404" t="s">
        <v>116</v>
      </c>
      <c r="AC3404">
        <v>109000</v>
      </c>
      <c r="AD3404">
        <v>0.01</v>
      </c>
      <c r="AE3404" t="s">
        <v>116</v>
      </c>
      <c r="AF3404" t="s">
        <v>116</v>
      </c>
      <c r="AG3404">
        <v>0.69</v>
      </c>
      <c r="AH3404" t="s">
        <v>14403</v>
      </c>
      <c r="AI3404" t="s">
        <v>8402</v>
      </c>
      <c r="AJ3404">
        <v>0.4</v>
      </c>
      <c r="AK3404">
        <v>1611</v>
      </c>
      <c r="AL3404">
        <v>9</v>
      </c>
      <c r="AM3404">
        <v>1.2999999999999999E-3</v>
      </c>
      <c r="AN3404">
        <v>1</v>
      </c>
      <c r="AO3404">
        <v>-1.83</v>
      </c>
      <c r="AP3404">
        <v>13.28</v>
      </c>
      <c r="AQ3404">
        <v>69.38</v>
      </c>
      <c r="AR3404">
        <v>61.61</v>
      </c>
      <c r="AS3404">
        <v>2.08</v>
      </c>
      <c r="AT3404" t="s">
        <v>14403</v>
      </c>
      <c r="AU3404">
        <v>48.12</v>
      </c>
      <c r="AV3404">
        <v>71.010000000000005</v>
      </c>
      <c r="AW3404">
        <v>1.1200000000000001</v>
      </c>
      <c r="BA3404">
        <v>0.19</v>
      </c>
      <c r="BB3404">
        <v>2.34</v>
      </c>
      <c r="BC3404">
        <v>-1.83</v>
      </c>
      <c r="BD3404">
        <v>0.38</v>
      </c>
      <c r="BE3404">
        <v>0.14000000000000001</v>
      </c>
      <c r="BF3404">
        <v>-1.97</v>
      </c>
      <c r="BG3404">
        <v>2.2000000000000002</v>
      </c>
      <c r="BH3404">
        <v>-0.05</v>
      </c>
      <c r="BI3404">
        <v>20191025</v>
      </c>
      <c r="BJ3404">
        <v>20170928</v>
      </c>
      <c r="BK3404">
        <v>1.95</v>
      </c>
      <c r="BL3404" t="s">
        <v>116</v>
      </c>
      <c r="BM3404" t="s">
        <v>116</v>
      </c>
      <c r="BN3404">
        <v>30.64</v>
      </c>
      <c r="BO3404">
        <v>13.39</v>
      </c>
      <c r="BP3404">
        <v>0</v>
      </c>
      <c r="BQ3404">
        <v>56.29</v>
      </c>
      <c r="BR3404">
        <v>21.1</v>
      </c>
      <c r="BS3404">
        <v>6</v>
      </c>
      <c r="BT3404">
        <v>1.2</v>
      </c>
      <c r="BU3404">
        <v>14.14</v>
      </c>
      <c r="BV3404">
        <v>1.68</v>
      </c>
      <c r="BW3404">
        <v>9.99</v>
      </c>
      <c r="BX3404">
        <v>5.78</v>
      </c>
      <c r="BY3404">
        <v>17.52</v>
      </c>
      <c r="BZ3404">
        <v>11.68</v>
      </c>
      <c r="CA3404">
        <v>0.95</v>
      </c>
      <c r="CB3404">
        <v>0.06</v>
      </c>
      <c r="CC3404">
        <v>0.95</v>
      </c>
      <c r="CD3404">
        <v>0.8</v>
      </c>
      <c r="CE3404">
        <v>0.8</v>
      </c>
      <c r="CF3404">
        <v>0.67</v>
      </c>
      <c r="CG3404">
        <v>5.87</v>
      </c>
      <c r="CH3404">
        <v>1.2</v>
      </c>
      <c r="CI3404">
        <v>-1.87</v>
      </c>
      <c r="CJ3404">
        <v>14020</v>
      </c>
      <c r="CK3404">
        <v>4920</v>
      </c>
      <c r="CL3404" t="s">
        <v>9079</v>
      </c>
      <c r="CM3404">
        <v>53.91</v>
      </c>
      <c r="CN3404">
        <v>51.66</v>
      </c>
      <c r="CO3404">
        <v>3.11</v>
      </c>
      <c r="CP3404">
        <v>34.729999999999997</v>
      </c>
      <c r="CQ3404">
        <v>2.38</v>
      </c>
      <c r="CR3404">
        <v>0.43</v>
      </c>
      <c r="CS3404" t="s">
        <v>14404</v>
      </c>
      <c r="CT3404">
        <v>6.87</v>
      </c>
      <c r="CU3404">
        <v>0</v>
      </c>
      <c r="CV3404">
        <v>2.97</v>
      </c>
      <c r="CW3404">
        <v>3.02</v>
      </c>
      <c r="CX3404">
        <v>0.62</v>
      </c>
      <c r="CY3404">
        <v>43.71</v>
      </c>
      <c r="CZ3404" t="s">
        <v>6373</v>
      </c>
      <c r="DA3404">
        <v>33.35</v>
      </c>
      <c r="DB3404">
        <v>5.45</v>
      </c>
      <c r="DC3404">
        <v>4.55</v>
      </c>
      <c r="DD3404">
        <v>0.36</v>
      </c>
      <c r="DE3404">
        <v>1860</v>
      </c>
      <c r="DF3404">
        <v>603378</v>
      </c>
      <c r="DG3404" t="s">
        <v>116</v>
      </c>
      <c r="DH3404" t="s">
        <v>116</v>
      </c>
      <c r="DI3404" t="s">
        <v>116</v>
      </c>
    </row>
    <row r="3405" spans="1:113" x14ac:dyDescent="0.4">
      <c r="A3405" t="str">
        <f>"603379"</f>
        <v>603379</v>
      </c>
      <c r="B3405" t="s">
        <v>14405</v>
      </c>
      <c r="C3405">
        <v>-2.77</v>
      </c>
      <c r="D3405">
        <v>37.54</v>
      </c>
      <c r="E3405">
        <v>-1.07</v>
      </c>
      <c r="F3405">
        <v>37.53</v>
      </c>
      <c r="G3405">
        <v>37.54</v>
      </c>
      <c r="H3405">
        <v>84325</v>
      </c>
      <c r="I3405">
        <v>1071</v>
      </c>
      <c r="J3405">
        <v>0</v>
      </c>
      <c r="K3405">
        <v>14.12</v>
      </c>
      <c r="L3405">
        <v>39.549999999999997</v>
      </c>
      <c r="M3405">
        <v>39.799999999999997</v>
      </c>
      <c r="N3405">
        <v>37.450000000000003</v>
      </c>
      <c r="O3405">
        <v>38.61</v>
      </c>
      <c r="P3405">
        <v>20.010000000000002</v>
      </c>
      <c r="Q3405">
        <v>326004320</v>
      </c>
      <c r="R3405">
        <v>3.7</v>
      </c>
      <c r="S3405" t="s">
        <v>891</v>
      </c>
      <c r="T3405" t="s">
        <v>590</v>
      </c>
      <c r="U3405">
        <v>6.09</v>
      </c>
      <c r="V3405">
        <v>38.659999999999997</v>
      </c>
      <c r="W3405">
        <v>48398</v>
      </c>
      <c r="X3405">
        <v>35927</v>
      </c>
      <c r="Y3405">
        <v>1.35</v>
      </c>
      <c r="Z3405">
        <v>17</v>
      </c>
      <c r="AA3405">
        <v>92</v>
      </c>
      <c r="AB3405" t="s">
        <v>116</v>
      </c>
      <c r="AC3405">
        <v>9622500</v>
      </c>
      <c r="AD3405">
        <v>0.41</v>
      </c>
      <c r="AE3405" t="s">
        <v>116</v>
      </c>
      <c r="AF3405" t="s">
        <v>116</v>
      </c>
      <c r="AG3405">
        <v>0.6</v>
      </c>
      <c r="AH3405" t="s">
        <v>6651</v>
      </c>
      <c r="AI3405" t="s">
        <v>14406</v>
      </c>
      <c r="AJ3405">
        <v>-2.69</v>
      </c>
      <c r="AK3405">
        <v>2925</v>
      </c>
      <c r="AL3405">
        <v>29</v>
      </c>
      <c r="AM3405">
        <v>4.7999999999999996E-3</v>
      </c>
      <c r="AN3405">
        <v>-1</v>
      </c>
      <c r="AO3405">
        <v>7.38</v>
      </c>
      <c r="AP3405">
        <v>10.9</v>
      </c>
      <c r="AQ3405">
        <v>-2.4900000000000002</v>
      </c>
      <c r="AR3405">
        <v>15.76</v>
      </c>
      <c r="AS3405">
        <v>14.12</v>
      </c>
      <c r="AT3405" t="s">
        <v>6651</v>
      </c>
      <c r="AU3405">
        <v>19.14</v>
      </c>
      <c r="AV3405">
        <v>14.78</v>
      </c>
      <c r="AW3405">
        <v>1.2</v>
      </c>
      <c r="BA3405">
        <v>2.4300000000000002</v>
      </c>
      <c r="BB3405">
        <v>3.08</v>
      </c>
      <c r="BC3405">
        <v>-3</v>
      </c>
      <c r="BD3405">
        <v>0.13</v>
      </c>
      <c r="BE3405">
        <v>-5.08</v>
      </c>
      <c r="BF3405">
        <v>-5.68</v>
      </c>
      <c r="BG3405">
        <v>0.24</v>
      </c>
      <c r="BH3405">
        <v>-2.9</v>
      </c>
      <c r="BI3405">
        <v>20191025</v>
      </c>
      <c r="BJ3405">
        <v>20190402</v>
      </c>
      <c r="BK3405">
        <v>4.3600000000000003</v>
      </c>
      <c r="BL3405" t="s">
        <v>116</v>
      </c>
      <c r="BM3405" t="s">
        <v>116</v>
      </c>
      <c r="BN3405">
        <v>53.63</v>
      </c>
      <c r="BO3405">
        <v>49.24</v>
      </c>
      <c r="BP3405">
        <v>0.04</v>
      </c>
      <c r="BQ3405">
        <v>8.1199999999999992</v>
      </c>
      <c r="BR3405">
        <v>41.99</v>
      </c>
      <c r="BS3405">
        <v>6.97</v>
      </c>
      <c r="BT3405">
        <v>0.95</v>
      </c>
      <c r="BU3405">
        <v>4.12</v>
      </c>
      <c r="BV3405">
        <v>2.79</v>
      </c>
      <c r="BW3405">
        <v>3.67</v>
      </c>
      <c r="BX3405">
        <v>17.77</v>
      </c>
      <c r="BY3405">
        <v>31.26</v>
      </c>
      <c r="BZ3405">
        <v>21.11</v>
      </c>
      <c r="CA3405">
        <v>7.89</v>
      </c>
      <c r="CB3405">
        <v>0.23</v>
      </c>
      <c r="CC3405">
        <v>7.92</v>
      </c>
      <c r="CD3405">
        <v>6.13</v>
      </c>
      <c r="CE3405">
        <v>6.14</v>
      </c>
      <c r="CF3405">
        <v>5.76</v>
      </c>
      <c r="CG3405">
        <v>24.82</v>
      </c>
      <c r="CH3405">
        <v>6.02</v>
      </c>
      <c r="CI3405">
        <v>7.49</v>
      </c>
      <c r="CJ3405">
        <v>34686</v>
      </c>
      <c r="CK3405">
        <v>1722</v>
      </c>
      <c r="CL3405" t="s">
        <v>8954</v>
      </c>
      <c r="CM3405">
        <v>0</v>
      </c>
      <c r="CN3405">
        <v>0</v>
      </c>
      <c r="CO3405">
        <v>3.32</v>
      </c>
      <c r="CP3405">
        <v>27.19</v>
      </c>
      <c r="CQ3405">
        <v>5.24</v>
      </c>
      <c r="CR3405">
        <v>0</v>
      </c>
      <c r="CS3405" t="s">
        <v>14407</v>
      </c>
      <c r="CT3405">
        <v>11.29</v>
      </c>
      <c r="CU3405">
        <v>0</v>
      </c>
      <c r="CV3405">
        <v>4.07</v>
      </c>
      <c r="CW3405">
        <v>5.69</v>
      </c>
      <c r="CX3405">
        <v>1.38</v>
      </c>
      <c r="CY3405">
        <v>91.81</v>
      </c>
      <c r="CZ3405" t="s">
        <v>2815</v>
      </c>
      <c r="DA3405">
        <v>32.49</v>
      </c>
      <c r="DB3405">
        <v>25.22</v>
      </c>
      <c r="DC3405">
        <v>19.63</v>
      </c>
      <c r="DD3405">
        <v>0.25</v>
      </c>
      <c r="DE3405">
        <v>1696</v>
      </c>
      <c r="DF3405">
        <v>603379</v>
      </c>
      <c r="DG3405" t="s">
        <v>116</v>
      </c>
      <c r="DH3405" t="s">
        <v>116</v>
      </c>
      <c r="DI3405" t="s">
        <v>116</v>
      </c>
    </row>
    <row r="3406" spans="1:113" x14ac:dyDescent="0.4">
      <c r="A3406" t="str">
        <f>"603380"</f>
        <v>603380</v>
      </c>
      <c r="B3406" t="s">
        <v>14408</v>
      </c>
      <c r="C3406">
        <v>-3.54</v>
      </c>
      <c r="D3406">
        <v>16.07</v>
      </c>
      <c r="E3406">
        <v>-0.59</v>
      </c>
      <c r="F3406">
        <v>16.059999999999999</v>
      </c>
      <c r="G3406">
        <v>16.07</v>
      </c>
      <c r="H3406">
        <v>24702</v>
      </c>
      <c r="I3406">
        <v>209</v>
      </c>
      <c r="J3406">
        <v>-0.05</v>
      </c>
      <c r="K3406">
        <v>5.16</v>
      </c>
      <c r="L3406">
        <v>16.66</v>
      </c>
      <c r="M3406">
        <v>16.66</v>
      </c>
      <c r="N3406">
        <v>16.03</v>
      </c>
      <c r="O3406">
        <v>16.66</v>
      </c>
      <c r="P3406">
        <v>24.36</v>
      </c>
      <c r="Q3406">
        <v>40375124</v>
      </c>
      <c r="R3406">
        <v>1.29</v>
      </c>
      <c r="S3406" t="s">
        <v>233</v>
      </c>
      <c r="T3406" t="s">
        <v>323</v>
      </c>
      <c r="U3406">
        <v>3.78</v>
      </c>
      <c r="V3406">
        <v>16.34</v>
      </c>
      <c r="W3406">
        <v>15140</v>
      </c>
      <c r="X3406">
        <v>9562</v>
      </c>
      <c r="Y3406">
        <v>1.58</v>
      </c>
      <c r="Z3406">
        <v>23</v>
      </c>
      <c r="AA3406">
        <v>84</v>
      </c>
      <c r="AB3406" t="s">
        <v>116</v>
      </c>
      <c r="AC3406">
        <v>174900</v>
      </c>
      <c r="AD3406">
        <v>0.02</v>
      </c>
      <c r="AE3406" t="s">
        <v>116</v>
      </c>
      <c r="AF3406" t="s">
        <v>116</v>
      </c>
      <c r="AG3406">
        <v>0.48</v>
      </c>
      <c r="AH3406" t="s">
        <v>14409</v>
      </c>
      <c r="AI3406" t="s">
        <v>893</v>
      </c>
      <c r="AJ3406">
        <v>-3.46</v>
      </c>
      <c r="AK3406">
        <v>1602</v>
      </c>
      <c r="AL3406">
        <v>15</v>
      </c>
      <c r="AM3406">
        <v>3.2000000000000002E-3</v>
      </c>
      <c r="AN3406">
        <v>-1</v>
      </c>
      <c r="AO3406">
        <v>0.38</v>
      </c>
      <c r="AP3406">
        <v>10.3</v>
      </c>
      <c r="AQ3406">
        <v>0.82</v>
      </c>
      <c r="AR3406">
        <v>5.86</v>
      </c>
      <c r="AS3406">
        <v>5.16</v>
      </c>
      <c r="AT3406" t="s">
        <v>14409</v>
      </c>
      <c r="AU3406">
        <v>23.88</v>
      </c>
      <c r="AV3406">
        <v>25.31</v>
      </c>
      <c r="AW3406">
        <v>1.48</v>
      </c>
      <c r="BA3406">
        <v>0</v>
      </c>
      <c r="BB3406">
        <v>0</v>
      </c>
      <c r="BC3406">
        <v>-3.78</v>
      </c>
      <c r="BD3406">
        <v>-1.89</v>
      </c>
      <c r="BE3406">
        <v>-3.54</v>
      </c>
      <c r="BF3406">
        <v>-3.54</v>
      </c>
      <c r="BG3406">
        <v>0.25</v>
      </c>
      <c r="BH3406">
        <v>-1.65</v>
      </c>
      <c r="BI3406">
        <v>20191029</v>
      </c>
      <c r="BJ3406">
        <v>20170622</v>
      </c>
      <c r="BK3406">
        <v>1.6</v>
      </c>
      <c r="BL3406" t="s">
        <v>116</v>
      </c>
      <c r="BM3406" t="s">
        <v>116</v>
      </c>
      <c r="BN3406">
        <v>10.67</v>
      </c>
      <c r="BO3406">
        <v>8.08</v>
      </c>
      <c r="BP3406">
        <v>0.03</v>
      </c>
      <c r="BQ3406">
        <v>23.99</v>
      </c>
      <c r="BR3406">
        <v>8.01</v>
      </c>
      <c r="BS3406">
        <v>2.04</v>
      </c>
      <c r="BT3406">
        <v>0.26</v>
      </c>
      <c r="BU3406">
        <v>2.46</v>
      </c>
      <c r="BV3406">
        <v>1.34</v>
      </c>
      <c r="BW3406">
        <v>1.98</v>
      </c>
      <c r="BX3406">
        <v>3.67</v>
      </c>
      <c r="BY3406">
        <v>7.27</v>
      </c>
      <c r="BZ3406">
        <v>5.3</v>
      </c>
      <c r="CA3406">
        <v>0.93</v>
      </c>
      <c r="CB3406">
        <v>0.09</v>
      </c>
      <c r="CC3406">
        <v>0.93</v>
      </c>
      <c r="CD3406">
        <v>0.8</v>
      </c>
      <c r="CE3406">
        <v>0.79</v>
      </c>
      <c r="CF3406">
        <v>0.74</v>
      </c>
      <c r="CG3406">
        <v>2.4700000000000002</v>
      </c>
      <c r="CH3406">
        <v>1.26</v>
      </c>
      <c r="CI3406">
        <v>-0.25</v>
      </c>
      <c r="CJ3406">
        <v>11446</v>
      </c>
      <c r="CK3406">
        <v>4184</v>
      </c>
      <c r="CL3406" t="s">
        <v>4077</v>
      </c>
      <c r="CM3406">
        <v>8.34</v>
      </c>
      <c r="CN3406">
        <v>5.63</v>
      </c>
      <c r="CO3406">
        <v>3.18</v>
      </c>
      <c r="CP3406">
        <v>20.440000000000001</v>
      </c>
      <c r="CQ3406">
        <v>3.54</v>
      </c>
      <c r="CR3406">
        <v>1.37</v>
      </c>
      <c r="CS3406" t="s">
        <v>9678</v>
      </c>
      <c r="CT3406">
        <v>5.05</v>
      </c>
      <c r="CU3406">
        <v>0</v>
      </c>
      <c r="CV3406">
        <v>2.29</v>
      </c>
      <c r="CW3406">
        <v>1.54</v>
      </c>
      <c r="CX3406">
        <v>0.79</v>
      </c>
      <c r="CY3406">
        <v>75.72</v>
      </c>
      <c r="CZ3406" t="s">
        <v>2611</v>
      </c>
      <c r="DA3406">
        <v>27.18</v>
      </c>
      <c r="DB3406">
        <v>12.76</v>
      </c>
      <c r="DC3406">
        <v>10.89</v>
      </c>
      <c r="DD3406">
        <v>0.39</v>
      </c>
      <c r="DE3406">
        <v>1293</v>
      </c>
      <c r="DF3406">
        <v>603380</v>
      </c>
      <c r="DG3406" t="s">
        <v>116</v>
      </c>
      <c r="DH3406" t="s">
        <v>116</v>
      </c>
      <c r="DI3406" t="s">
        <v>116</v>
      </c>
    </row>
    <row r="3407" spans="1:113" x14ac:dyDescent="0.4">
      <c r="A3407" t="str">
        <f>"603383"</f>
        <v>603383</v>
      </c>
      <c r="B3407" t="s">
        <v>14410</v>
      </c>
      <c r="C3407">
        <v>-3.8</v>
      </c>
      <c r="D3407">
        <v>72.239999999999995</v>
      </c>
      <c r="E3407">
        <v>-2.85</v>
      </c>
      <c r="F3407">
        <v>72.23</v>
      </c>
      <c r="G3407">
        <v>72.239999999999995</v>
      </c>
      <c r="H3407">
        <v>22130</v>
      </c>
      <c r="I3407">
        <v>160</v>
      </c>
      <c r="J3407">
        <v>0.1</v>
      </c>
      <c r="K3407">
        <v>3.77</v>
      </c>
      <c r="L3407">
        <v>75</v>
      </c>
      <c r="M3407">
        <v>75.42</v>
      </c>
      <c r="N3407">
        <v>71.81</v>
      </c>
      <c r="O3407">
        <v>75.09</v>
      </c>
      <c r="P3407">
        <v>113.38</v>
      </c>
      <c r="Q3407">
        <v>163340368</v>
      </c>
      <c r="R3407">
        <v>1.18</v>
      </c>
      <c r="S3407" t="s">
        <v>607</v>
      </c>
      <c r="T3407" t="s">
        <v>975</v>
      </c>
      <c r="U3407">
        <v>4.8099999999999996</v>
      </c>
      <c r="V3407">
        <v>73.81</v>
      </c>
      <c r="W3407">
        <v>14534</v>
      </c>
      <c r="X3407">
        <v>7596</v>
      </c>
      <c r="Y3407">
        <v>1.91</v>
      </c>
      <c r="Z3407">
        <v>72</v>
      </c>
      <c r="AA3407">
        <v>4</v>
      </c>
      <c r="AB3407" t="s">
        <v>116</v>
      </c>
      <c r="AC3407">
        <v>622500</v>
      </c>
      <c r="AD3407">
        <v>0.02</v>
      </c>
      <c r="AE3407" t="s">
        <v>116</v>
      </c>
      <c r="AF3407" t="s">
        <v>116</v>
      </c>
      <c r="AG3407">
        <v>0.59</v>
      </c>
      <c r="AH3407" t="s">
        <v>14411</v>
      </c>
      <c r="AI3407" t="s">
        <v>6392</v>
      </c>
      <c r="AJ3407">
        <v>-3.72</v>
      </c>
      <c r="AK3407">
        <v>2709</v>
      </c>
      <c r="AL3407">
        <v>8</v>
      </c>
      <c r="AM3407">
        <v>1.4E-3</v>
      </c>
      <c r="AN3407">
        <v>-1</v>
      </c>
      <c r="AO3407">
        <v>-2.59</v>
      </c>
      <c r="AP3407">
        <v>9.6999999999999993</v>
      </c>
      <c r="AQ3407">
        <v>-4.22</v>
      </c>
      <c r="AR3407">
        <v>147.22999999999999</v>
      </c>
      <c r="AS3407">
        <v>4.42</v>
      </c>
      <c r="AT3407" t="s">
        <v>6379</v>
      </c>
      <c r="AU3407">
        <v>71.61</v>
      </c>
      <c r="AV3407">
        <v>72.489999999999995</v>
      </c>
      <c r="AW3407">
        <v>2.67</v>
      </c>
      <c r="BA3407">
        <v>-0.12</v>
      </c>
      <c r="BB3407">
        <v>0.44</v>
      </c>
      <c r="BC3407">
        <v>-4.37</v>
      </c>
      <c r="BD3407">
        <v>-1.71</v>
      </c>
      <c r="BE3407">
        <v>-3.68</v>
      </c>
      <c r="BF3407">
        <v>-4.22</v>
      </c>
      <c r="BG3407">
        <v>0.6</v>
      </c>
      <c r="BH3407">
        <v>-2.09</v>
      </c>
      <c r="BI3407">
        <v>20191029</v>
      </c>
      <c r="BJ3407">
        <v>20170522</v>
      </c>
      <c r="BK3407">
        <v>1.2</v>
      </c>
      <c r="BL3407" t="s">
        <v>116</v>
      </c>
      <c r="BM3407" t="s">
        <v>116</v>
      </c>
      <c r="BN3407">
        <v>12.01</v>
      </c>
      <c r="BO3407">
        <v>10.44</v>
      </c>
      <c r="BP3407">
        <v>7.0000000000000007E-2</v>
      </c>
      <c r="BQ3407">
        <v>12.52</v>
      </c>
      <c r="BR3407">
        <v>10.82</v>
      </c>
      <c r="BS3407">
        <v>0.53</v>
      </c>
      <c r="BT3407">
        <v>0.08</v>
      </c>
      <c r="BU3407">
        <v>1.5</v>
      </c>
      <c r="BV3407">
        <v>0.66</v>
      </c>
      <c r="BW3407">
        <v>0.69</v>
      </c>
      <c r="BX3407">
        <v>4.4800000000000004</v>
      </c>
      <c r="BY3407">
        <v>2.11</v>
      </c>
      <c r="BZ3407">
        <v>0.56999999999999995</v>
      </c>
      <c r="CA3407">
        <v>0.64</v>
      </c>
      <c r="CB3407">
        <v>0.11</v>
      </c>
      <c r="CC3407">
        <v>0.63</v>
      </c>
      <c r="CD3407">
        <v>0.59</v>
      </c>
      <c r="CE3407">
        <v>0.56999999999999995</v>
      </c>
      <c r="CF3407">
        <v>0.45</v>
      </c>
      <c r="CG3407">
        <v>4.42</v>
      </c>
      <c r="CH3407">
        <v>-0.56999999999999995</v>
      </c>
      <c r="CI3407">
        <v>0.56999999999999995</v>
      </c>
      <c r="CJ3407">
        <v>18052</v>
      </c>
      <c r="CK3407">
        <v>2773</v>
      </c>
      <c r="CL3407" t="s">
        <v>14412</v>
      </c>
      <c r="CM3407">
        <v>2.61</v>
      </c>
      <c r="CN3407">
        <v>26.25</v>
      </c>
      <c r="CO3407">
        <v>8.32</v>
      </c>
      <c r="CP3407">
        <v>-153.54</v>
      </c>
      <c r="CQ3407">
        <v>41.06</v>
      </c>
      <c r="CR3407">
        <v>0.69</v>
      </c>
      <c r="CS3407" t="s">
        <v>386</v>
      </c>
      <c r="CT3407">
        <v>8.69</v>
      </c>
      <c r="CU3407">
        <v>0</v>
      </c>
      <c r="CV3407">
        <v>3.72</v>
      </c>
      <c r="CW3407">
        <v>3.68</v>
      </c>
      <c r="CX3407">
        <v>-0.47</v>
      </c>
      <c r="CY3407">
        <v>86.93</v>
      </c>
      <c r="CZ3407" t="s">
        <v>8488</v>
      </c>
      <c r="DA3407">
        <v>73.28</v>
      </c>
      <c r="DB3407">
        <v>30.05</v>
      </c>
      <c r="DC3407">
        <v>27.16</v>
      </c>
      <c r="DD3407">
        <v>0.53</v>
      </c>
      <c r="DE3407">
        <v>992</v>
      </c>
      <c r="DF3407">
        <v>603383</v>
      </c>
      <c r="DG3407" t="s">
        <v>116</v>
      </c>
      <c r="DH3407" t="s">
        <v>116</v>
      </c>
      <c r="DI3407" t="s">
        <v>116</v>
      </c>
    </row>
    <row r="3408" spans="1:113" x14ac:dyDescent="0.4">
      <c r="A3408" t="str">
        <f>"603385"</f>
        <v>603385</v>
      </c>
      <c r="B3408" t="s">
        <v>14413</v>
      </c>
      <c r="C3408">
        <v>-0.36</v>
      </c>
      <c r="D3408">
        <v>11.08</v>
      </c>
      <c r="E3408">
        <v>-0.04</v>
      </c>
      <c r="F3408">
        <v>11.07</v>
      </c>
      <c r="G3408">
        <v>11.08</v>
      </c>
      <c r="H3408">
        <v>41399</v>
      </c>
      <c r="I3408">
        <v>634</v>
      </c>
      <c r="J3408">
        <v>-0.08</v>
      </c>
      <c r="K3408">
        <v>1.57</v>
      </c>
      <c r="L3408">
        <v>11.11</v>
      </c>
      <c r="M3408">
        <v>11.38</v>
      </c>
      <c r="N3408">
        <v>11.06</v>
      </c>
      <c r="O3408">
        <v>11.12</v>
      </c>
      <c r="P3408">
        <v>13.54</v>
      </c>
      <c r="Q3408">
        <v>46565864</v>
      </c>
      <c r="R3408">
        <v>0.7</v>
      </c>
      <c r="S3408" t="s">
        <v>2640</v>
      </c>
      <c r="T3408" t="s">
        <v>608</v>
      </c>
      <c r="U3408">
        <v>2.88</v>
      </c>
      <c r="V3408">
        <v>11.25</v>
      </c>
      <c r="W3408">
        <v>21300</v>
      </c>
      <c r="X3408">
        <v>20099</v>
      </c>
      <c r="Y3408">
        <v>1.06</v>
      </c>
      <c r="Z3408">
        <v>123</v>
      </c>
      <c r="AA3408">
        <v>309</v>
      </c>
      <c r="AB3408" t="s">
        <v>116</v>
      </c>
      <c r="AC3408">
        <v>117800</v>
      </c>
      <c r="AD3408">
        <v>0.01</v>
      </c>
      <c r="AE3408" t="s">
        <v>116</v>
      </c>
      <c r="AF3408" t="s">
        <v>116</v>
      </c>
      <c r="AG3408">
        <v>2.64</v>
      </c>
      <c r="AH3408" t="s">
        <v>3958</v>
      </c>
      <c r="AI3408" t="s">
        <v>8450</v>
      </c>
      <c r="AJ3408">
        <v>-0.28000000000000003</v>
      </c>
      <c r="AK3408">
        <v>2034</v>
      </c>
      <c r="AL3408">
        <v>20</v>
      </c>
      <c r="AM3408">
        <v>8.0000000000000004E-4</v>
      </c>
      <c r="AN3408">
        <v>-1</v>
      </c>
      <c r="AO3408">
        <v>-0.54</v>
      </c>
      <c r="AP3408">
        <v>5.12</v>
      </c>
      <c r="AQ3408">
        <v>17.87</v>
      </c>
      <c r="AR3408">
        <v>42.42</v>
      </c>
      <c r="AS3408">
        <v>2.66</v>
      </c>
      <c r="AT3408" t="s">
        <v>991</v>
      </c>
      <c r="AU3408">
        <v>15.43</v>
      </c>
      <c r="AV3408">
        <v>17.14</v>
      </c>
      <c r="AW3408">
        <v>1.02</v>
      </c>
      <c r="BA3408">
        <v>-0.09</v>
      </c>
      <c r="BB3408">
        <v>2.34</v>
      </c>
      <c r="BC3408">
        <v>-0.54</v>
      </c>
      <c r="BD3408">
        <v>1.1499999999999999</v>
      </c>
      <c r="BE3408">
        <v>-0.27</v>
      </c>
      <c r="BF3408">
        <v>-2.64</v>
      </c>
      <c r="BG3408">
        <v>0.18</v>
      </c>
      <c r="BH3408">
        <v>-1.51</v>
      </c>
      <c r="BI3408">
        <v>20191025</v>
      </c>
      <c r="BJ3408">
        <v>20170405</v>
      </c>
      <c r="BK3408">
        <v>3.69</v>
      </c>
      <c r="BL3408" t="s">
        <v>116</v>
      </c>
      <c r="BM3408" t="s">
        <v>116</v>
      </c>
      <c r="BN3408">
        <v>47.51</v>
      </c>
      <c r="BO3408">
        <v>32.79</v>
      </c>
      <c r="BP3408">
        <v>1.61</v>
      </c>
      <c r="BQ3408">
        <v>27.6</v>
      </c>
      <c r="BR3408">
        <v>29.47</v>
      </c>
      <c r="BS3408">
        <v>11.19</v>
      </c>
      <c r="BT3408">
        <v>2.2200000000000002</v>
      </c>
      <c r="BU3408">
        <v>11.72</v>
      </c>
      <c r="BV3408">
        <v>7.25</v>
      </c>
      <c r="BW3408">
        <v>6.2</v>
      </c>
      <c r="BX3408">
        <v>9.09</v>
      </c>
      <c r="BY3408">
        <v>23.24</v>
      </c>
      <c r="BZ3408">
        <v>15.59</v>
      </c>
      <c r="CA3408">
        <v>2.83</v>
      </c>
      <c r="CB3408">
        <v>-0.02</v>
      </c>
      <c r="CC3408">
        <v>2.83</v>
      </c>
      <c r="CD3408">
        <v>2.4</v>
      </c>
      <c r="CE3408">
        <v>2.27</v>
      </c>
      <c r="CF3408">
        <v>1.99</v>
      </c>
      <c r="CG3408">
        <v>18.55</v>
      </c>
      <c r="CH3408">
        <v>1.45</v>
      </c>
      <c r="CI3408">
        <v>-0.05</v>
      </c>
      <c r="CJ3408">
        <v>21354</v>
      </c>
      <c r="CK3408">
        <v>7286</v>
      </c>
      <c r="CL3408" t="s">
        <v>9892</v>
      </c>
      <c r="CM3408">
        <v>13.23</v>
      </c>
      <c r="CN3408">
        <v>7.56</v>
      </c>
      <c r="CO3408">
        <v>1.25</v>
      </c>
      <c r="CP3408">
        <v>28.17</v>
      </c>
      <c r="CQ3408">
        <v>1.76</v>
      </c>
      <c r="CR3408">
        <v>2.08</v>
      </c>
      <c r="CS3408" t="s">
        <v>14414</v>
      </c>
      <c r="CT3408">
        <v>8.8800000000000008</v>
      </c>
      <c r="CU3408">
        <v>0</v>
      </c>
      <c r="CV3408">
        <v>2.46</v>
      </c>
      <c r="CW3408">
        <v>5.0199999999999996</v>
      </c>
      <c r="CX3408">
        <v>0.39</v>
      </c>
      <c r="CY3408">
        <v>69.02</v>
      </c>
      <c r="CZ3408" t="s">
        <v>8437</v>
      </c>
      <c r="DA3408">
        <v>32.92</v>
      </c>
      <c r="DB3408">
        <v>12.19</v>
      </c>
      <c r="DC3408">
        <v>9.75</v>
      </c>
      <c r="DD3408">
        <v>0.87</v>
      </c>
      <c r="DE3408">
        <v>8414</v>
      </c>
      <c r="DF3408">
        <v>603385</v>
      </c>
      <c r="DG3408" t="s">
        <v>116</v>
      </c>
      <c r="DH3408" t="s">
        <v>116</v>
      </c>
      <c r="DI3408" t="s">
        <v>116</v>
      </c>
    </row>
    <row r="3409" spans="1:113" x14ac:dyDescent="0.4">
      <c r="A3409" t="str">
        <f>"603386"</f>
        <v>603386</v>
      </c>
      <c r="B3409" t="s">
        <v>14415</v>
      </c>
      <c r="C3409">
        <v>-2.65</v>
      </c>
      <c r="D3409">
        <v>16.190000000000001</v>
      </c>
      <c r="E3409">
        <v>-0.44</v>
      </c>
      <c r="F3409">
        <v>16.18</v>
      </c>
      <c r="G3409">
        <v>16.190000000000001</v>
      </c>
      <c r="H3409">
        <v>38392</v>
      </c>
      <c r="I3409">
        <v>646</v>
      </c>
      <c r="J3409">
        <v>-0.17</v>
      </c>
      <c r="K3409">
        <v>6.77</v>
      </c>
      <c r="L3409">
        <v>16.8</v>
      </c>
      <c r="M3409">
        <v>16.8</v>
      </c>
      <c r="N3409">
        <v>16.16</v>
      </c>
      <c r="O3409">
        <v>16.63</v>
      </c>
      <c r="P3409">
        <v>137.41</v>
      </c>
      <c r="Q3409">
        <v>63350152</v>
      </c>
      <c r="R3409">
        <v>1</v>
      </c>
      <c r="S3409" t="s">
        <v>233</v>
      </c>
      <c r="T3409" t="s">
        <v>551</v>
      </c>
      <c r="U3409">
        <v>3.85</v>
      </c>
      <c r="V3409">
        <v>16.5</v>
      </c>
      <c r="W3409">
        <v>20783</v>
      </c>
      <c r="X3409">
        <v>17609</v>
      </c>
      <c r="Y3409">
        <v>1.18</v>
      </c>
      <c r="Z3409">
        <v>180</v>
      </c>
      <c r="AA3409">
        <v>418</v>
      </c>
      <c r="AB3409" t="s">
        <v>116</v>
      </c>
      <c r="AC3409">
        <v>272200</v>
      </c>
      <c r="AD3409">
        <v>0.03</v>
      </c>
      <c r="AE3409" t="s">
        <v>116</v>
      </c>
      <c r="AF3409" t="s">
        <v>116</v>
      </c>
      <c r="AG3409">
        <v>0.56999999999999995</v>
      </c>
      <c r="AH3409" t="s">
        <v>11228</v>
      </c>
      <c r="AI3409" t="s">
        <v>9953</v>
      </c>
      <c r="AJ3409">
        <v>-2.57</v>
      </c>
      <c r="AK3409">
        <v>2053</v>
      </c>
      <c r="AL3409">
        <v>19</v>
      </c>
      <c r="AM3409">
        <v>3.3E-3</v>
      </c>
      <c r="AN3409">
        <v>-1</v>
      </c>
      <c r="AO3409">
        <v>2.85</v>
      </c>
      <c r="AP3409">
        <v>4.6500000000000004</v>
      </c>
      <c r="AQ3409">
        <v>-6.42</v>
      </c>
      <c r="AR3409">
        <v>2.4</v>
      </c>
      <c r="AS3409">
        <v>6.77</v>
      </c>
      <c r="AT3409" t="s">
        <v>11228</v>
      </c>
      <c r="AU3409">
        <v>143.88</v>
      </c>
      <c r="AV3409">
        <v>53.1</v>
      </c>
      <c r="AW3409">
        <v>2.17</v>
      </c>
      <c r="BA3409">
        <v>1.02</v>
      </c>
      <c r="BB3409">
        <v>1.02</v>
      </c>
      <c r="BC3409">
        <v>-2.83</v>
      </c>
      <c r="BD3409">
        <v>-0.78</v>
      </c>
      <c r="BE3409">
        <v>-3.63</v>
      </c>
      <c r="BF3409">
        <v>-3.63</v>
      </c>
      <c r="BG3409">
        <v>0.19</v>
      </c>
      <c r="BH3409">
        <v>-1.87</v>
      </c>
      <c r="BI3409">
        <v>20191029</v>
      </c>
      <c r="BJ3409">
        <v>20170912</v>
      </c>
      <c r="BK3409">
        <v>2.2599999999999998</v>
      </c>
      <c r="BL3409" t="s">
        <v>116</v>
      </c>
      <c r="BM3409" t="s">
        <v>116</v>
      </c>
      <c r="BN3409">
        <v>25.27</v>
      </c>
      <c r="BO3409">
        <v>10.039999999999999</v>
      </c>
      <c r="BP3409">
        <v>0.01</v>
      </c>
      <c r="BQ3409">
        <v>60.22</v>
      </c>
      <c r="BR3409">
        <v>9.2799999999999994</v>
      </c>
      <c r="BS3409">
        <v>9.18</v>
      </c>
      <c r="BT3409">
        <v>0.94</v>
      </c>
      <c r="BU3409">
        <v>12.84</v>
      </c>
      <c r="BV3409">
        <v>2.94</v>
      </c>
      <c r="BW3409">
        <v>3.88</v>
      </c>
      <c r="BX3409">
        <v>6.15</v>
      </c>
      <c r="BY3409">
        <v>9.52</v>
      </c>
      <c r="BZ3409">
        <v>8.02</v>
      </c>
      <c r="CA3409">
        <v>0.17</v>
      </c>
      <c r="CB3409">
        <v>0</v>
      </c>
      <c r="CC3409">
        <v>0.17</v>
      </c>
      <c r="CD3409">
        <v>0.2</v>
      </c>
      <c r="CE3409">
        <v>0.2</v>
      </c>
      <c r="CF3409">
        <v>0.11</v>
      </c>
      <c r="CG3409">
        <v>1.84</v>
      </c>
      <c r="CH3409">
        <v>0.05</v>
      </c>
      <c r="CI3409">
        <v>-0.19</v>
      </c>
      <c r="CJ3409">
        <v>19866</v>
      </c>
      <c r="CK3409">
        <v>2853</v>
      </c>
      <c r="CL3409" t="s">
        <v>1571</v>
      </c>
      <c r="CM3409">
        <v>-68.52</v>
      </c>
      <c r="CN3409">
        <v>13.43</v>
      </c>
      <c r="CO3409">
        <v>3.65</v>
      </c>
      <c r="CP3409">
        <v>776.54</v>
      </c>
      <c r="CQ3409">
        <v>3.85</v>
      </c>
      <c r="CR3409">
        <v>0.77</v>
      </c>
      <c r="CS3409" t="s">
        <v>2448</v>
      </c>
      <c r="CT3409">
        <v>4.4400000000000004</v>
      </c>
      <c r="CU3409">
        <v>0</v>
      </c>
      <c r="CV3409">
        <v>2.72</v>
      </c>
      <c r="CW3409">
        <v>0.81</v>
      </c>
      <c r="CX3409">
        <v>0.02</v>
      </c>
      <c r="CY3409">
        <v>39.729999999999997</v>
      </c>
      <c r="CZ3409" t="s">
        <v>6383</v>
      </c>
      <c r="DA3409">
        <v>15.75</v>
      </c>
      <c r="DB3409">
        <v>1.79</v>
      </c>
      <c r="DC3409">
        <v>2.1</v>
      </c>
      <c r="DD3409">
        <v>0.42</v>
      </c>
      <c r="DE3409">
        <v>3130</v>
      </c>
      <c r="DF3409">
        <v>603386</v>
      </c>
      <c r="DG3409" t="s">
        <v>116</v>
      </c>
      <c r="DH3409" t="s">
        <v>116</v>
      </c>
      <c r="DI3409" t="s">
        <v>116</v>
      </c>
    </row>
    <row r="3410" spans="1:113" x14ac:dyDescent="0.4">
      <c r="A3410" t="str">
        <f>"603387"</f>
        <v>603387</v>
      </c>
      <c r="B3410" t="s">
        <v>14416</v>
      </c>
      <c r="C3410">
        <v>0.13</v>
      </c>
      <c r="D3410">
        <v>22.8</v>
      </c>
      <c r="E3410">
        <v>0.03</v>
      </c>
      <c r="F3410">
        <v>22.79</v>
      </c>
      <c r="G3410">
        <v>22.8</v>
      </c>
      <c r="H3410">
        <v>26299</v>
      </c>
      <c r="I3410">
        <v>347</v>
      </c>
      <c r="J3410">
        <v>-0.3</v>
      </c>
      <c r="K3410">
        <v>2.0299999999999998</v>
      </c>
      <c r="L3410">
        <v>22.71</v>
      </c>
      <c r="M3410">
        <v>23.07</v>
      </c>
      <c r="N3410">
        <v>22.69</v>
      </c>
      <c r="O3410">
        <v>22.77</v>
      </c>
      <c r="P3410">
        <v>22.39</v>
      </c>
      <c r="Q3410">
        <v>60214752</v>
      </c>
      <c r="R3410">
        <v>1.83</v>
      </c>
      <c r="S3410" t="s">
        <v>132</v>
      </c>
      <c r="T3410" t="s">
        <v>323</v>
      </c>
      <c r="U3410">
        <v>1.67</v>
      </c>
      <c r="V3410">
        <v>22.9</v>
      </c>
      <c r="W3410">
        <v>12216</v>
      </c>
      <c r="X3410">
        <v>14083</v>
      </c>
      <c r="Y3410">
        <v>0.87</v>
      </c>
      <c r="Z3410">
        <v>5</v>
      </c>
      <c r="AA3410">
        <v>114</v>
      </c>
      <c r="AB3410" t="s">
        <v>116</v>
      </c>
      <c r="AC3410">
        <v>27300</v>
      </c>
      <c r="AD3410">
        <v>0</v>
      </c>
      <c r="AE3410" t="s">
        <v>116</v>
      </c>
      <c r="AF3410" t="s">
        <v>116</v>
      </c>
      <c r="AG3410">
        <v>1.29</v>
      </c>
      <c r="AH3410" t="s">
        <v>2391</v>
      </c>
      <c r="AI3410" t="s">
        <v>14417</v>
      </c>
      <c r="AJ3410">
        <v>0.21</v>
      </c>
      <c r="AK3410">
        <v>1321</v>
      </c>
      <c r="AL3410">
        <v>20</v>
      </c>
      <c r="AM3410">
        <v>1.5E-3</v>
      </c>
      <c r="AN3410">
        <v>2</v>
      </c>
      <c r="AO3410">
        <v>0.44</v>
      </c>
      <c r="AP3410">
        <v>0.62</v>
      </c>
      <c r="AQ3410">
        <v>-5</v>
      </c>
      <c r="AR3410">
        <v>22.02</v>
      </c>
      <c r="AS3410">
        <v>2.52</v>
      </c>
      <c r="AT3410" t="s">
        <v>6368</v>
      </c>
      <c r="AU3410">
        <v>22.13</v>
      </c>
      <c r="AV3410">
        <v>23.78</v>
      </c>
      <c r="AW3410">
        <v>1.59</v>
      </c>
      <c r="BA3410">
        <v>-0.26</v>
      </c>
      <c r="BB3410">
        <v>1.32</v>
      </c>
      <c r="BC3410">
        <v>-0.35</v>
      </c>
      <c r="BD3410">
        <v>0.55000000000000004</v>
      </c>
      <c r="BE3410">
        <v>0.4</v>
      </c>
      <c r="BF3410">
        <v>-1.17</v>
      </c>
      <c r="BG3410">
        <v>0.48</v>
      </c>
      <c r="BH3410">
        <v>-0.42</v>
      </c>
      <c r="BI3410">
        <v>20191023</v>
      </c>
      <c r="BJ3410">
        <v>20170717</v>
      </c>
      <c r="BK3410">
        <v>2.6</v>
      </c>
      <c r="BL3410" t="s">
        <v>116</v>
      </c>
      <c r="BM3410" t="s">
        <v>116</v>
      </c>
      <c r="BN3410">
        <v>17.239999999999998</v>
      </c>
      <c r="BO3410">
        <v>14.84</v>
      </c>
      <c r="BP3410">
        <v>0.52</v>
      </c>
      <c r="BQ3410">
        <v>10.92</v>
      </c>
      <c r="BR3410">
        <v>13.08</v>
      </c>
      <c r="BS3410">
        <v>1.49</v>
      </c>
      <c r="BT3410">
        <v>0.34</v>
      </c>
      <c r="BU3410">
        <v>1.82</v>
      </c>
      <c r="BV3410">
        <v>1.66</v>
      </c>
      <c r="BW3410">
        <v>1.47</v>
      </c>
      <c r="BX3410">
        <v>6.1</v>
      </c>
      <c r="BY3410">
        <v>6.31</v>
      </c>
      <c r="BZ3410">
        <v>1.82</v>
      </c>
      <c r="CA3410">
        <v>2.35</v>
      </c>
      <c r="CB3410">
        <v>0.16</v>
      </c>
      <c r="CC3410">
        <v>2.34</v>
      </c>
      <c r="CD3410">
        <v>2.0499999999999998</v>
      </c>
      <c r="CE3410">
        <v>1.99</v>
      </c>
      <c r="CF3410">
        <v>1.72</v>
      </c>
      <c r="CG3410">
        <v>5.64</v>
      </c>
      <c r="CH3410">
        <v>0.56000000000000005</v>
      </c>
      <c r="CI3410">
        <v>0.46</v>
      </c>
      <c r="CJ3410">
        <v>23471</v>
      </c>
      <c r="CK3410">
        <v>4449</v>
      </c>
      <c r="CL3410" t="s">
        <v>14418</v>
      </c>
      <c r="CM3410">
        <v>10.34</v>
      </c>
      <c r="CN3410">
        <v>39</v>
      </c>
      <c r="CO3410">
        <v>4</v>
      </c>
      <c r="CP3410">
        <v>106.65</v>
      </c>
      <c r="CQ3410">
        <v>9.41</v>
      </c>
      <c r="CR3410">
        <v>1.28</v>
      </c>
      <c r="CS3410" t="s">
        <v>9924</v>
      </c>
      <c r="CT3410">
        <v>5.7</v>
      </c>
      <c r="CU3410">
        <v>0</v>
      </c>
      <c r="CV3410">
        <v>2.34</v>
      </c>
      <c r="CW3410">
        <v>2.16</v>
      </c>
      <c r="CX3410">
        <v>0.21</v>
      </c>
      <c r="CY3410">
        <v>86.07</v>
      </c>
      <c r="CZ3410" t="s">
        <v>14419</v>
      </c>
      <c r="DA3410">
        <v>71.099999999999994</v>
      </c>
      <c r="DB3410">
        <v>37.25</v>
      </c>
      <c r="DC3410">
        <v>31.54</v>
      </c>
      <c r="DD3410">
        <v>0.71</v>
      </c>
      <c r="DE3410">
        <v>1458</v>
      </c>
      <c r="DF3410">
        <v>603387</v>
      </c>
      <c r="DG3410" t="s">
        <v>116</v>
      </c>
      <c r="DH3410" t="s">
        <v>116</v>
      </c>
      <c r="DI3410" t="s">
        <v>116</v>
      </c>
    </row>
    <row r="3411" spans="1:113" x14ac:dyDescent="0.4">
      <c r="A3411" t="str">
        <f>"603388"</f>
        <v>603388</v>
      </c>
      <c r="B3411" t="s">
        <v>14420</v>
      </c>
      <c r="C3411">
        <v>-3.75</v>
      </c>
      <c r="D3411">
        <v>7.96</v>
      </c>
      <c r="E3411">
        <v>-0.31</v>
      </c>
      <c r="F3411">
        <v>7.96</v>
      </c>
      <c r="G3411">
        <v>7.97</v>
      </c>
      <c r="H3411">
        <v>54673</v>
      </c>
      <c r="I3411">
        <v>822</v>
      </c>
      <c r="J3411">
        <v>-0.24</v>
      </c>
      <c r="K3411">
        <v>4.47</v>
      </c>
      <c r="L3411">
        <v>8.2100000000000009</v>
      </c>
      <c r="M3411">
        <v>8.2200000000000006</v>
      </c>
      <c r="N3411">
        <v>7.91</v>
      </c>
      <c r="O3411">
        <v>8.27</v>
      </c>
      <c r="P3411">
        <v>18.32</v>
      </c>
      <c r="Q3411">
        <v>44242384</v>
      </c>
      <c r="R3411">
        <v>0.88</v>
      </c>
      <c r="S3411" t="s">
        <v>181</v>
      </c>
      <c r="T3411" t="s">
        <v>590</v>
      </c>
      <c r="U3411">
        <v>3.75</v>
      </c>
      <c r="V3411">
        <v>8.09</v>
      </c>
      <c r="W3411">
        <v>35246</v>
      </c>
      <c r="X3411">
        <v>19427</v>
      </c>
      <c r="Y3411">
        <v>1.81</v>
      </c>
      <c r="Z3411">
        <v>286</v>
      </c>
      <c r="AA3411">
        <v>44</v>
      </c>
      <c r="AB3411" t="s">
        <v>116</v>
      </c>
      <c r="AC3411">
        <v>218400</v>
      </c>
      <c r="AD3411">
        <v>0.02</v>
      </c>
      <c r="AE3411" t="s">
        <v>116</v>
      </c>
      <c r="AF3411" t="s">
        <v>116</v>
      </c>
      <c r="AG3411">
        <v>1.22</v>
      </c>
      <c r="AH3411" t="s">
        <v>11387</v>
      </c>
      <c r="AI3411" t="s">
        <v>14421</v>
      </c>
      <c r="AJ3411">
        <v>-3.67</v>
      </c>
      <c r="AK3411">
        <v>1309</v>
      </c>
      <c r="AL3411">
        <v>42</v>
      </c>
      <c r="AM3411">
        <v>3.3999999999999998E-3</v>
      </c>
      <c r="AN3411">
        <v>-1</v>
      </c>
      <c r="AO3411">
        <v>0.5</v>
      </c>
      <c r="AP3411">
        <v>11.48</v>
      </c>
      <c r="AQ3411">
        <v>9.19</v>
      </c>
      <c r="AR3411">
        <v>12.11</v>
      </c>
      <c r="AS3411">
        <v>4.47</v>
      </c>
      <c r="AT3411" t="s">
        <v>11387</v>
      </c>
      <c r="AU3411">
        <v>15.93</v>
      </c>
      <c r="AV3411">
        <v>16.97</v>
      </c>
      <c r="AW3411">
        <v>1.43</v>
      </c>
      <c r="BA3411">
        <v>-0.73</v>
      </c>
      <c r="BB3411">
        <v>-0.6</v>
      </c>
      <c r="BC3411">
        <v>-4.3499999999999996</v>
      </c>
      <c r="BD3411">
        <v>-2.15</v>
      </c>
      <c r="BE3411">
        <v>-3.05</v>
      </c>
      <c r="BF3411">
        <v>-3.16</v>
      </c>
      <c r="BG3411">
        <v>0.63</v>
      </c>
      <c r="BH3411">
        <v>-1.6</v>
      </c>
      <c r="BI3411">
        <v>20191212</v>
      </c>
      <c r="BJ3411">
        <v>20170324</v>
      </c>
      <c r="BK3411">
        <v>2.89</v>
      </c>
      <c r="BL3411" t="s">
        <v>116</v>
      </c>
      <c r="BM3411" t="s">
        <v>116</v>
      </c>
      <c r="BN3411">
        <v>29.25</v>
      </c>
      <c r="BO3411">
        <v>9.83</v>
      </c>
      <c r="BP3411">
        <v>0.37</v>
      </c>
      <c r="BQ3411">
        <v>65.14</v>
      </c>
      <c r="BR3411">
        <v>20.059999999999999</v>
      </c>
      <c r="BS3411">
        <v>0.87</v>
      </c>
      <c r="BT3411">
        <v>0</v>
      </c>
      <c r="BU3411">
        <v>17.25</v>
      </c>
      <c r="BV3411">
        <v>16.309999999999999</v>
      </c>
      <c r="BW3411">
        <v>1</v>
      </c>
      <c r="BX3411">
        <v>2.5099999999999998</v>
      </c>
      <c r="BY3411">
        <v>8.16</v>
      </c>
      <c r="BZ3411">
        <v>6.05</v>
      </c>
      <c r="CA3411">
        <v>1.08</v>
      </c>
      <c r="CB3411">
        <v>0</v>
      </c>
      <c r="CC3411">
        <v>1.08</v>
      </c>
      <c r="CD3411">
        <v>0.94</v>
      </c>
      <c r="CE3411">
        <v>0.94</v>
      </c>
      <c r="CF3411">
        <v>0.86</v>
      </c>
      <c r="CG3411">
        <v>4.46</v>
      </c>
      <c r="CH3411">
        <v>-1.88</v>
      </c>
      <c r="CI3411">
        <v>-1.72</v>
      </c>
      <c r="CJ3411">
        <v>11247</v>
      </c>
      <c r="CK3411">
        <v>10864</v>
      </c>
      <c r="CL3411" t="s">
        <v>9875</v>
      </c>
      <c r="CM3411">
        <v>10.33</v>
      </c>
      <c r="CN3411">
        <v>4.9800000000000004</v>
      </c>
      <c r="CO3411">
        <v>2.34</v>
      </c>
      <c r="CP3411">
        <v>-12.23</v>
      </c>
      <c r="CQ3411">
        <v>2.81</v>
      </c>
      <c r="CR3411">
        <v>0.9</v>
      </c>
      <c r="CS3411" t="s">
        <v>14422</v>
      </c>
      <c r="CT3411">
        <v>3.41</v>
      </c>
      <c r="CU3411">
        <v>0</v>
      </c>
      <c r="CV3411">
        <v>0.87</v>
      </c>
      <c r="CW3411">
        <v>1.54</v>
      </c>
      <c r="CX3411">
        <v>-0.65</v>
      </c>
      <c r="CY3411">
        <v>33.61</v>
      </c>
      <c r="CZ3411" t="s">
        <v>904</v>
      </c>
      <c r="DA3411">
        <v>25.92</v>
      </c>
      <c r="DB3411">
        <v>13.26</v>
      </c>
      <c r="DC3411">
        <v>11.53</v>
      </c>
      <c r="DD3411">
        <v>0.22</v>
      </c>
      <c r="DE3411">
        <v>583</v>
      </c>
      <c r="DF3411">
        <v>603388</v>
      </c>
      <c r="DG3411" t="s">
        <v>116</v>
      </c>
      <c r="DH3411" t="s">
        <v>116</v>
      </c>
      <c r="DI3411" t="s">
        <v>116</v>
      </c>
    </row>
    <row r="3412" spans="1:113" x14ac:dyDescent="0.4">
      <c r="A3412" t="str">
        <f>"603389"</f>
        <v>603389</v>
      </c>
      <c r="B3412" t="s">
        <v>14423</v>
      </c>
      <c r="C3412">
        <v>-0.68</v>
      </c>
      <c r="D3412">
        <v>5.83</v>
      </c>
      <c r="E3412">
        <v>-0.04</v>
      </c>
      <c r="F3412">
        <v>5.82</v>
      </c>
      <c r="G3412">
        <v>5.83</v>
      </c>
      <c r="H3412">
        <v>28067</v>
      </c>
      <c r="I3412">
        <v>109</v>
      </c>
      <c r="J3412">
        <v>0.17</v>
      </c>
      <c r="K3412">
        <v>1.07</v>
      </c>
      <c r="L3412">
        <v>5.81</v>
      </c>
      <c r="M3412">
        <v>5.95</v>
      </c>
      <c r="N3412">
        <v>5.81</v>
      </c>
      <c r="O3412">
        <v>5.87</v>
      </c>
      <c r="P3412" t="s">
        <v>116</v>
      </c>
      <c r="Q3412">
        <v>16459982</v>
      </c>
      <c r="R3412">
        <v>1.1599999999999999</v>
      </c>
      <c r="S3412" t="s">
        <v>2640</v>
      </c>
      <c r="T3412" t="s">
        <v>323</v>
      </c>
      <c r="U3412">
        <v>2.39</v>
      </c>
      <c r="V3412">
        <v>5.86</v>
      </c>
      <c r="W3412">
        <v>14429</v>
      </c>
      <c r="X3412">
        <v>13638</v>
      </c>
      <c r="Y3412">
        <v>1.06</v>
      </c>
      <c r="Z3412">
        <v>410</v>
      </c>
      <c r="AA3412">
        <v>354</v>
      </c>
      <c r="AB3412" t="s">
        <v>116</v>
      </c>
      <c r="AC3412">
        <v>76100</v>
      </c>
      <c r="AD3412">
        <v>0.02</v>
      </c>
      <c r="AE3412" t="s">
        <v>116</v>
      </c>
      <c r="AF3412" t="s">
        <v>116</v>
      </c>
      <c r="AG3412">
        <v>2.63</v>
      </c>
      <c r="AH3412" t="s">
        <v>10239</v>
      </c>
      <c r="AI3412" t="s">
        <v>10239</v>
      </c>
      <c r="AJ3412">
        <v>-0.6</v>
      </c>
      <c r="AK3412">
        <v>1003</v>
      </c>
      <c r="AL3412">
        <v>28</v>
      </c>
      <c r="AM3412">
        <v>1.1000000000000001E-3</v>
      </c>
      <c r="AN3412">
        <v>-1</v>
      </c>
      <c r="AO3412">
        <v>1.39</v>
      </c>
      <c r="AP3412">
        <v>2.46</v>
      </c>
      <c r="AQ3412">
        <v>-13.11</v>
      </c>
      <c r="AR3412">
        <v>-33.18</v>
      </c>
      <c r="AS3412">
        <v>3.71</v>
      </c>
      <c r="AT3412" t="s">
        <v>14424</v>
      </c>
      <c r="AU3412" t="s">
        <v>116</v>
      </c>
      <c r="AV3412" t="s">
        <v>116</v>
      </c>
      <c r="AW3412">
        <v>1.47</v>
      </c>
      <c r="BA3412">
        <v>-1.02</v>
      </c>
      <c r="BB3412">
        <v>1.36</v>
      </c>
      <c r="BC3412">
        <v>-1.02</v>
      </c>
      <c r="BD3412">
        <v>-0.09</v>
      </c>
      <c r="BE3412">
        <v>0.34</v>
      </c>
      <c r="BF3412">
        <v>-2.02</v>
      </c>
      <c r="BG3412">
        <v>0.34</v>
      </c>
      <c r="BH3412">
        <v>-0.59</v>
      </c>
      <c r="BI3412">
        <v>20191213</v>
      </c>
      <c r="BJ3412">
        <v>20161215</v>
      </c>
      <c r="BK3412">
        <v>2.63</v>
      </c>
      <c r="BL3412" t="s">
        <v>116</v>
      </c>
      <c r="BM3412" t="s">
        <v>116</v>
      </c>
      <c r="BN3412">
        <v>8.94</v>
      </c>
      <c r="BO3412">
        <v>7.38</v>
      </c>
      <c r="BP3412">
        <v>-7.0000000000000007E-2</v>
      </c>
      <c r="BQ3412">
        <v>18.27</v>
      </c>
      <c r="BR3412">
        <v>4.55</v>
      </c>
      <c r="BS3412">
        <v>1.76</v>
      </c>
      <c r="BT3412">
        <v>0.56000000000000005</v>
      </c>
      <c r="BU3412">
        <v>1.42</v>
      </c>
      <c r="BV3412">
        <v>2.4700000000000002</v>
      </c>
      <c r="BW3412">
        <v>0.24</v>
      </c>
      <c r="BX3412">
        <v>3.34</v>
      </c>
      <c r="BY3412">
        <v>2.72</v>
      </c>
      <c r="BZ3412">
        <v>1.24</v>
      </c>
      <c r="CA3412">
        <v>-0.48</v>
      </c>
      <c r="CB3412">
        <v>0.02</v>
      </c>
      <c r="CC3412">
        <v>-0.47</v>
      </c>
      <c r="CD3412">
        <v>-0.44</v>
      </c>
      <c r="CE3412">
        <v>-0.42</v>
      </c>
      <c r="CF3412">
        <v>-0.46</v>
      </c>
      <c r="CG3412">
        <v>1.1499999999999999</v>
      </c>
      <c r="CH3412">
        <v>-0.18</v>
      </c>
      <c r="CI3412">
        <v>-1.19</v>
      </c>
      <c r="CJ3412">
        <v>16753</v>
      </c>
      <c r="CK3412">
        <v>4510</v>
      </c>
      <c r="CL3412" t="s">
        <v>14425</v>
      </c>
      <c r="CM3412">
        <v>-99.49</v>
      </c>
      <c r="CN3412">
        <v>-6.98</v>
      </c>
      <c r="CO3412">
        <v>2.08</v>
      </c>
      <c r="CP3412">
        <v>-83.68</v>
      </c>
      <c r="CQ3412">
        <v>5.63</v>
      </c>
      <c r="CR3412">
        <v>0</v>
      </c>
      <c r="CS3412" t="s">
        <v>14426</v>
      </c>
      <c r="CT3412">
        <v>2.81</v>
      </c>
      <c r="CU3412">
        <v>0</v>
      </c>
      <c r="CV3412">
        <v>1.27</v>
      </c>
      <c r="CW3412">
        <v>0.44</v>
      </c>
      <c r="CX3412">
        <v>-7.0000000000000007E-2</v>
      </c>
      <c r="CY3412">
        <v>82.5</v>
      </c>
      <c r="CZ3412" t="s">
        <v>14427</v>
      </c>
      <c r="DA3412">
        <v>54.47</v>
      </c>
      <c r="DB3412">
        <v>-17.5</v>
      </c>
      <c r="DC3412">
        <v>-15.36</v>
      </c>
      <c r="DD3412">
        <v>0.14000000000000001</v>
      </c>
      <c r="DE3412">
        <v>1808</v>
      </c>
      <c r="DF3412">
        <v>603389</v>
      </c>
      <c r="DG3412" t="s">
        <v>116</v>
      </c>
      <c r="DH3412" t="s">
        <v>116</v>
      </c>
      <c r="DI3412" t="s">
        <v>116</v>
      </c>
    </row>
    <row r="3413" spans="1:113" x14ac:dyDescent="0.4">
      <c r="A3413" t="str">
        <f>"603390"</f>
        <v>603390</v>
      </c>
      <c r="B3413" t="s">
        <v>14428</v>
      </c>
      <c r="C3413">
        <v>-3.03</v>
      </c>
      <c r="D3413">
        <v>19.170000000000002</v>
      </c>
      <c r="E3413">
        <v>-0.6</v>
      </c>
      <c r="F3413">
        <v>19.16</v>
      </c>
      <c r="G3413">
        <v>19.170000000000002</v>
      </c>
      <c r="H3413">
        <v>234525</v>
      </c>
      <c r="I3413">
        <v>3099</v>
      </c>
      <c r="J3413">
        <v>-0.04</v>
      </c>
      <c r="K3413">
        <v>26.67</v>
      </c>
      <c r="L3413">
        <v>19.7</v>
      </c>
      <c r="M3413">
        <v>19.71</v>
      </c>
      <c r="N3413">
        <v>18.920000000000002</v>
      </c>
      <c r="O3413">
        <v>19.77</v>
      </c>
      <c r="P3413">
        <v>48.64</v>
      </c>
      <c r="Q3413">
        <v>453071616</v>
      </c>
      <c r="R3413">
        <v>0.68</v>
      </c>
      <c r="S3413" t="s">
        <v>293</v>
      </c>
      <c r="T3413" t="s">
        <v>551</v>
      </c>
      <c r="U3413">
        <v>4</v>
      </c>
      <c r="V3413">
        <v>19.32</v>
      </c>
      <c r="W3413">
        <v>131708</v>
      </c>
      <c r="X3413">
        <v>102817</v>
      </c>
      <c r="Y3413">
        <v>1.28</v>
      </c>
      <c r="Z3413">
        <v>62</v>
      </c>
      <c r="AA3413">
        <v>252</v>
      </c>
      <c r="AB3413" t="s">
        <v>116</v>
      </c>
      <c r="AC3413">
        <v>2234000</v>
      </c>
      <c r="AD3413">
        <v>0.13</v>
      </c>
      <c r="AE3413" t="s">
        <v>116</v>
      </c>
      <c r="AF3413" t="s">
        <v>116</v>
      </c>
      <c r="AG3413">
        <v>0.88</v>
      </c>
      <c r="AH3413" t="s">
        <v>8445</v>
      </c>
      <c r="AI3413" t="s">
        <v>6280</v>
      </c>
      <c r="AJ3413">
        <v>-2.96</v>
      </c>
      <c r="AK3413">
        <v>4196</v>
      </c>
      <c r="AL3413">
        <v>56</v>
      </c>
      <c r="AM3413">
        <v>6.4000000000000003E-3</v>
      </c>
      <c r="AN3413">
        <v>-2</v>
      </c>
      <c r="AO3413">
        <v>-4.53</v>
      </c>
      <c r="AP3413">
        <v>-9.75</v>
      </c>
      <c r="AQ3413">
        <v>90.37</v>
      </c>
      <c r="AR3413">
        <v>90.37</v>
      </c>
      <c r="AS3413">
        <v>26.67</v>
      </c>
      <c r="AT3413" t="s">
        <v>8445</v>
      </c>
      <c r="AU3413">
        <v>39.28</v>
      </c>
      <c r="AV3413">
        <v>39.35</v>
      </c>
      <c r="AW3413">
        <v>0</v>
      </c>
      <c r="BA3413">
        <v>-0.35</v>
      </c>
      <c r="BB3413">
        <v>-0.3</v>
      </c>
      <c r="BC3413">
        <v>-4.3</v>
      </c>
      <c r="BD3413">
        <v>-2.2799999999999998</v>
      </c>
      <c r="BE3413">
        <v>-2.69</v>
      </c>
      <c r="BF3413">
        <v>-2.74</v>
      </c>
      <c r="BG3413">
        <v>1.32</v>
      </c>
      <c r="BH3413">
        <v>-0.75</v>
      </c>
      <c r="BI3413">
        <v>20191124</v>
      </c>
      <c r="BJ3413">
        <v>20191125</v>
      </c>
      <c r="BK3413">
        <v>3.52</v>
      </c>
      <c r="BL3413" t="s">
        <v>116</v>
      </c>
      <c r="BM3413" t="s">
        <v>116</v>
      </c>
      <c r="BN3413">
        <v>11.37</v>
      </c>
      <c r="BO3413">
        <v>8.65</v>
      </c>
      <c r="BP3413">
        <v>0.01</v>
      </c>
      <c r="BQ3413">
        <v>23.84</v>
      </c>
      <c r="BR3413">
        <v>7.7</v>
      </c>
      <c r="BS3413">
        <v>1.43</v>
      </c>
      <c r="BT3413">
        <v>0.82</v>
      </c>
      <c r="BU3413">
        <v>2.63</v>
      </c>
      <c r="BV3413">
        <v>1.1000000000000001</v>
      </c>
      <c r="BW3413">
        <v>3.37</v>
      </c>
      <c r="BX3413">
        <v>1.82</v>
      </c>
      <c r="BY3413">
        <v>5.18</v>
      </c>
      <c r="BZ3413">
        <v>3.33</v>
      </c>
      <c r="CA3413">
        <v>1.19</v>
      </c>
      <c r="CB3413">
        <v>0.13</v>
      </c>
      <c r="CC3413">
        <v>1.19</v>
      </c>
      <c r="CD3413">
        <v>1.04</v>
      </c>
      <c r="CE3413">
        <v>1.04</v>
      </c>
      <c r="CF3413">
        <v>1.02</v>
      </c>
      <c r="CG3413">
        <v>3.68</v>
      </c>
      <c r="CH3413">
        <v>0.77</v>
      </c>
      <c r="CI3413">
        <v>-0.26</v>
      </c>
      <c r="CJ3413">
        <v>85700</v>
      </c>
      <c r="CK3413">
        <v>1026</v>
      </c>
      <c r="CL3413" t="s">
        <v>14429</v>
      </c>
      <c r="CM3413">
        <v>0</v>
      </c>
      <c r="CN3413">
        <v>0</v>
      </c>
      <c r="CO3413">
        <v>4.01</v>
      </c>
      <c r="CP3413">
        <v>87.66</v>
      </c>
      <c r="CQ3413">
        <v>13.01</v>
      </c>
      <c r="CR3413">
        <v>0</v>
      </c>
      <c r="CS3413" t="s">
        <v>3028</v>
      </c>
      <c r="CT3413">
        <v>4.78</v>
      </c>
      <c r="CU3413">
        <v>4.78</v>
      </c>
      <c r="CV3413">
        <v>0.52</v>
      </c>
      <c r="CW3413">
        <v>1.05</v>
      </c>
      <c r="CX3413">
        <v>0.22</v>
      </c>
      <c r="CY3413">
        <v>76.069999999999993</v>
      </c>
      <c r="CZ3413" t="s">
        <v>14430</v>
      </c>
      <c r="DA3413">
        <v>35.82</v>
      </c>
      <c r="DB3413">
        <v>22.99</v>
      </c>
      <c r="DC3413">
        <v>20.059999999999999</v>
      </c>
      <c r="DD3413">
        <v>0.35</v>
      </c>
      <c r="DE3413">
        <v>1071</v>
      </c>
      <c r="DF3413">
        <v>603390</v>
      </c>
      <c r="DG3413" t="s">
        <v>116</v>
      </c>
      <c r="DH3413" t="s">
        <v>116</v>
      </c>
      <c r="DI3413" t="s">
        <v>116</v>
      </c>
    </row>
    <row r="3414" spans="1:113" x14ac:dyDescent="0.4">
      <c r="A3414" t="str">
        <f>"603393"</f>
        <v>603393</v>
      </c>
      <c r="B3414" t="s">
        <v>14431</v>
      </c>
      <c r="C3414">
        <v>-1.98</v>
      </c>
      <c r="D3414">
        <v>27.17</v>
      </c>
      <c r="E3414">
        <v>-0.55000000000000004</v>
      </c>
      <c r="F3414">
        <v>27.17</v>
      </c>
      <c r="G3414">
        <v>27.18</v>
      </c>
      <c r="H3414">
        <v>55659</v>
      </c>
      <c r="I3414">
        <v>978</v>
      </c>
      <c r="J3414">
        <v>7.0000000000000007E-2</v>
      </c>
      <c r="K3414">
        <v>2.48</v>
      </c>
      <c r="L3414">
        <v>27.69</v>
      </c>
      <c r="M3414">
        <v>27.98</v>
      </c>
      <c r="N3414">
        <v>27.12</v>
      </c>
      <c r="O3414">
        <v>27.72</v>
      </c>
      <c r="P3414">
        <v>16.93</v>
      </c>
      <c r="Q3414">
        <v>153137424</v>
      </c>
      <c r="R3414">
        <v>1.1299999999999999</v>
      </c>
      <c r="S3414" t="s">
        <v>690</v>
      </c>
      <c r="T3414" t="s">
        <v>616</v>
      </c>
      <c r="U3414">
        <v>3.1</v>
      </c>
      <c r="V3414">
        <v>27.51</v>
      </c>
      <c r="W3414">
        <v>33887</v>
      </c>
      <c r="X3414">
        <v>21772</v>
      </c>
      <c r="Y3414">
        <v>1.56</v>
      </c>
      <c r="Z3414">
        <v>282</v>
      </c>
      <c r="AA3414">
        <v>52</v>
      </c>
      <c r="AB3414" t="s">
        <v>116</v>
      </c>
      <c r="AC3414">
        <v>188300</v>
      </c>
      <c r="AD3414">
        <v>0.01</v>
      </c>
      <c r="AE3414" t="s">
        <v>116</v>
      </c>
      <c r="AF3414" t="s">
        <v>116</v>
      </c>
      <c r="AG3414">
        <v>2.2400000000000002</v>
      </c>
      <c r="AH3414" t="s">
        <v>14432</v>
      </c>
      <c r="AI3414" t="s">
        <v>14432</v>
      </c>
      <c r="AJ3414">
        <v>-1.91</v>
      </c>
      <c r="AK3414">
        <v>2600</v>
      </c>
      <c r="AL3414">
        <v>21</v>
      </c>
      <c r="AM3414">
        <v>1E-3</v>
      </c>
      <c r="AN3414">
        <v>-1</v>
      </c>
      <c r="AO3414">
        <v>-0.51</v>
      </c>
      <c r="AP3414">
        <v>-0.84</v>
      </c>
      <c r="AQ3414">
        <v>15.67</v>
      </c>
      <c r="AR3414">
        <v>28.94</v>
      </c>
      <c r="AS3414">
        <v>4.29</v>
      </c>
      <c r="AT3414" t="s">
        <v>14433</v>
      </c>
      <c r="AU3414">
        <v>12.69</v>
      </c>
      <c r="AV3414">
        <v>18.190000000000001</v>
      </c>
      <c r="AW3414">
        <v>0.94</v>
      </c>
      <c r="BA3414">
        <v>-0.11</v>
      </c>
      <c r="BB3414">
        <v>0.94</v>
      </c>
      <c r="BC3414">
        <v>-2.16</v>
      </c>
      <c r="BD3414">
        <v>-0.74</v>
      </c>
      <c r="BE3414">
        <v>-1.88</v>
      </c>
      <c r="BF3414">
        <v>-2.89</v>
      </c>
      <c r="BG3414">
        <v>0.18</v>
      </c>
      <c r="BH3414">
        <v>-1.24</v>
      </c>
      <c r="BI3414">
        <v>20191024</v>
      </c>
      <c r="BJ3414">
        <v>20160912</v>
      </c>
      <c r="BK3414">
        <v>2.2400000000000002</v>
      </c>
      <c r="BL3414" t="s">
        <v>116</v>
      </c>
      <c r="BM3414" t="s">
        <v>116</v>
      </c>
      <c r="BN3414">
        <v>83.39</v>
      </c>
      <c r="BO3414">
        <v>23.86</v>
      </c>
      <c r="BP3414">
        <v>30.79</v>
      </c>
      <c r="BQ3414">
        <v>34.46</v>
      </c>
      <c r="BR3414">
        <v>32.43</v>
      </c>
      <c r="BS3414">
        <v>6.46</v>
      </c>
      <c r="BT3414">
        <v>0.59</v>
      </c>
      <c r="BU3414">
        <v>7.03</v>
      </c>
      <c r="BV3414">
        <v>0.26</v>
      </c>
      <c r="BW3414">
        <v>2.81</v>
      </c>
      <c r="BX3414">
        <v>10.79</v>
      </c>
      <c r="BY3414">
        <v>17.739999999999998</v>
      </c>
      <c r="BZ3414">
        <v>8.6300000000000008</v>
      </c>
      <c r="CA3414">
        <v>7.48</v>
      </c>
      <c r="CB3414">
        <v>0</v>
      </c>
      <c r="CC3414">
        <v>7.48</v>
      </c>
      <c r="CD3414">
        <v>5.42</v>
      </c>
      <c r="CE3414">
        <v>2.7</v>
      </c>
      <c r="CF3414">
        <v>2.69</v>
      </c>
      <c r="CG3414">
        <v>7.5</v>
      </c>
      <c r="CH3414">
        <v>7.02</v>
      </c>
      <c r="CI3414">
        <v>1.53</v>
      </c>
      <c r="CJ3414">
        <v>22278</v>
      </c>
      <c r="CK3414">
        <v>5824</v>
      </c>
      <c r="CL3414" t="s">
        <v>4105</v>
      </c>
      <c r="CM3414">
        <v>116.44</v>
      </c>
      <c r="CN3414">
        <v>105.18</v>
      </c>
      <c r="CO3414">
        <v>2.5499999999999998</v>
      </c>
      <c r="CP3414">
        <v>8.67</v>
      </c>
      <c r="CQ3414">
        <v>3.43</v>
      </c>
      <c r="CR3414">
        <v>2.63</v>
      </c>
      <c r="CS3414" t="s">
        <v>14434</v>
      </c>
      <c r="CT3414">
        <v>10.65</v>
      </c>
      <c r="CU3414">
        <v>0</v>
      </c>
      <c r="CV3414">
        <v>4.82</v>
      </c>
      <c r="CW3414">
        <v>3.35</v>
      </c>
      <c r="CX3414">
        <v>3.13</v>
      </c>
      <c r="CY3414">
        <v>28.61</v>
      </c>
      <c r="CZ3414" t="s">
        <v>6405</v>
      </c>
      <c r="DA3414">
        <v>51.37</v>
      </c>
      <c r="DB3414">
        <v>42.14</v>
      </c>
      <c r="DC3414">
        <v>15.2</v>
      </c>
      <c r="DD3414">
        <v>0</v>
      </c>
      <c r="DE3414">
        <v>869</v>
      </c>
      <c r="DF3414">
        <v>603393</v>
      </c>
      <c r="DG3414" t="s">
        <v>116</v>
      </c>
      <c r="DH3414" t="s">
        <v>116</v>
      </c>
      <c r="DI3414" t="s">
        <v>116</v>
      </c>
    </row>
    <row r="3415" spans="1:113" x14ac:dyDescent="0.4">
      <c r="A3415" t="str">
        <f>"603396"</f>
        <v>603396</v>
      </c>
      <c r="B3415" t="s">
        <v>14435</v>
      </c>
      <c r="C3415">
        <v>-5.35</v>
      </c>
      <c r="D3415">
        <v>21.78</v>
      </c>
      <c r="E3415">
        <v>-1.23</v>
      </c>
      <c r="F3415">
        <v>21.78</v>
      </c>
      <c r="G3415">
        <v>21.79</v>
      </c>
      <c r="H3415">
        <v>38825</v>
      </c>
      <c r="I3415">
        <v>532</v>
      </c>
      <c r="J3415">
        <v>0.05</v>
      </c>
      <c r="K3415">
        <v>8.7799999999999994</v>
      </c>
      <c r="L3415">
        <v>22.45</v>
      </c>
      <c r="M3415">
        <v>22.8</v>
      </c>
      <c r="N3415">
        <v>21.53</v>
      </c>
      <c r="O3415">
        <v>23.01</v>
      </c>
      <c r="P3415">
        <v>33.78</v>
      </c>
      <c r="Q3415">
        <v>86175000</v>
      </c>
      <c r="R3415">
        <v>1.1200000000000001</v>
      </c>
      <c r="S3415" t="s">
        <v>682</v>
      </c>
      <c r="T3415" t="s">
        <v>434</v>
      </c>
      <c r="U3415">
        <v>5.52</v>
      </c>
      <c r="V3415">
        <v>22.2</v>
      </c>
      <c r="W3415">
        <v>23542</v>
      </c>
      <c r="X3415">
        <v>15283</v>
      </c>
      <c r="Y3415">
        <v>1.54</v>
      </c>
      <c r="Z3415">
        <v>105</v>
      </c>
      <c r="AA3415">
        <v>110</v>
      </c>
      <c r="AB3415" t="s">
        <v>116</v>
      </c>
      <c r="AC3415">
        <v>1681500</v>
      </c>
      <c r="AD3415">
        <v>0.17</v>
      </c>
      <c r="AE3415" t="s">
        <v>116</v>
      </c>
      <c r="AF3415" t="s">
        <v>116</v>
      </c>
      <c r="AG3415">
        <v>0.44</v>
      </c>
      <c r="AH3415" t="s">
        <v>8956</v>
      </c>
      <c r="AI3415" t="s">
        <v>10307</v>
      </c>
      <c r="AJ3415">
        <v>-5.27</v>
      </c>
      <c r="AK3415">
        <v>2226</v>
      </c>
      <c r="AL3415">
        <v>17</v>
      </c>
      <c r="AM3415">
        <v>3.8999999999999998E-3</v>
      </c>
      <c r="AN3415">
        <v>-1</v>
      </c>
      <c r="AO3415">
        <v>10.55</v>
      </c>
      <c r="AP3415">
        <v>29.18</v>
      </c>
      <c r="AQ3415">
        <v>12.5</v>
      </c>
      <c r="AR3415">
        <v>16.29</v>
      </c>
      <c r="AS3415">
        <v>8.7799999999999994</v>
      </c>
      <c r="AT3415" t="s">
        <v>8956</v>
      </c>
      <c r="AU3415">
        <v>32.11</v>
      </c>
      <c r="AV3415">
        <v>27.17</v>
      </c>
      <c r="AW3415">
        <v>2.11</v>
      </c>
      <c r="BA3415">
        <v>-2.4300000000000002</v>
      </c>
      <c r="BB3415">
        <v>-0.91</v>
      </c>
      <c r="BC3415">
        <v>-6.43</v>
      </c>
      <c r="BD3415">
        <v>-3.54</v>
      </c>
      <c r="BE3415">
        <v>-2.98</v>
      </c>
      <c r="BF3415">
        <v>-4.47</v>
      </c>
      <c r="BG3415">
        <v>1.1599999999999999</v>
      </c>
      <c r="BH3415">
        <v>-1.81</v>
      </c>
      <c r="BI3415">
        <v>20191105</v>
      </c>
      <c r="BJ3415">
        <v>20171018</v>
      </c>
      <c r="BK3415">
        <v>1.06</v>
      </c>
      <c r="BL3415" t="s">
        <v>116</v>
      </c>
      <c r="BM3415" t="s">
        <v>116</v>
      </c>
      <c r="BN3415">
        <v>17.98</v>
      </c>
      <c r="BO3415">
        <v>9.16</v>
      </c>
      <c r="BP3415">
        <v>0.2</v>
      </c>
      <c r="BQ3415">
        <v>47.93</v>
      </c>
      <c r="BR3415">
        <v>15.44</v>
      </c>
      <c r="BS3415">
        <v>1.59</v>
      </c>
      <c r="BT3415">
        <v>0.09</v>
      </c>
      <c r="BU3415">
        <v>8.61</v>
      </c>
      <c r="BV3415">
        <v>5.46</v>
      </c>
      <c r="BW3415">
        <v>4.68</v>
      </c>
      <c r="BX3415">
        <v>4.25</v>
      </c>
      <c r="BY3415">
        <v>6.53</v>
      </c>
      <c r="BZ3415">
        <v>4.1500000000000004</v>
      </c>
      <c r="CA3415">
        <v>0.75</v>
      </c>
      <c r="CB3415">
        <v>0</v>
      </c>
      <c r="CC3415">
        <v>0.76</v>
      </c>
      <c r="CD3415">
        <v>0.56999999999999995</v>
      </c>
      <c r="CE3415">
        <v>0.51</v>
      </c>
      <c r="CF3415">
        <v>0.49</v>
      </c>
      <c r="CG3415">
        <v>3.46</v>
      </c>
      <c r="CH3415">
        <v>-0.68</v>
      </c>
      <c r="CI3415">
        <v>-0.66</v>
      </c>
      <c r="CJ3415">
        <v>8828</v>
      </c>
      <c r="CK3415">
        <v>5006</v>
      </c>
      <c r="CL3415" t="s">
        <v>9597</v>
      </c>
      <c r="CM3415">
        <v>-20.34</v>
      </c>
      <c r="CN3415">
        <v>21.65</v>
      </c>
      <c r="CO3415">
        <v>2.5099999999999998</v>
      </c>
      <c r="CP3415">
        <v>-33.79</v>
      </c>
      <c r="CQ3415">
        <v>3.53</v>
      </c>
      <c r="CR3415">
        <v>1.1200000000000001</v>
      </c>
      <c r="CS3415" t="s">
        <v>5936</v>
      </c>
      <c r="CT3415">
        <v>8.66</v>
      </c>
      <c r="CU3415">
        <v>0</v>
      </c>
      <c r="CV3415">
        <v>4.0199999999999996</v>
      </c>
      <c r="CW3415">
        <v>3.27</v>
      </c>
      <c r="CX3415">
        <v>-0.64</v>
      </c>
      <c r="CY3415">
        <v>50.96</v>
      </c>
      <c r="CZ3415" t="s">
        <v>4079</v>
      </c>
      <c r="DA3415">
        <v>36.479999999999997</v>
      </c>
      <c r="DB3415">
        <v>11.5</v>
      </c>
      <c r="DC3415">
        <v>7.83</v>
      </c>
      <c r="DD3415">
        <v>0.55000000000000004</v>
      </c>
      <c r="DE3415">
        <v>1048</v>
      </c>
      <c r="DF3415">
        <v>603396</v>
      </c>
      <c r="DG3415" t="s">
        <v>116</v>
      </c>
      <c r="DH3415" t="s">
        <v>116</v>
      </c>
      <c r="DI3415" t="s">
        <v>116</v>
      </c>
    </row>
    <row r="3416" spans="1:113" x14ac:dyDescent="0.4">
      <c r="A3416" t="str">
        <f>"603398"</f>
        <v>603398</v>
      </c>
      <c r="B3416" t="s">
        <v>14436</v>
      </c>
      <c r="C3416">
        <v>-2.37</v>
      </c>
      <c r="D3416">
        <v>10.32</v>
      </c>
      <c r="E3416">
        <v>-0.25</v>
      </c>
      <c r="F3416">
        <v>10.31</v>
      </c>
      <c r="G3416">
        <v>10.32</v>
      </c>
      <c r="H3416">
        <v>38369</v>
      </c>
      <c r="I3416">
        <v>970</v>
      </c>
      <c r="J3416">
        <v>-0.18</v>
      </c>
      <c r="K3416">
        <v>1.29</v>
      </c>
      <c r="L3416">
        <v>10.59</v>
      </c>
      <c r="M3416">
        <v>10.63</v>
      </c>
      <c r="N3416">
        <v>10.32</v>
      </c>
      <c r="O3416">
        <v>10.57</v>
      </c>
      <c r="P3416">
        <v>37.14</v>
      </c>
      <c r="Q3416">
        <v>40213852</v>
      </c>
      <c r="R3416">
        <v>0.87</v>
      </c>
      <c r="S3416" t="s">
        <v>217</v>
      </c>
      <c r="T3416" t="s">
        <v>551</v>
      </c>
      <c r="U3416">
        <v>2.93</v>
      </c>
      <c r="V3416">
        <v>10.48</v>
      </c>
      <c r="W3416">
        <v>23140</v>
      </c>
      <c r="X3416">
        <v>15229</v>
      </c>
      <c r="Y3416">
        <v>1.52</v>
      </c>
      <c r="Z3416">
        <v>434</v>
      </c>
      <c r="AA3416">
        <v>424</v>
      </c>
      <c r="AB3416" t="s">
        <v>116</v>
      </c>
      <c r="AC3416">
        <v>10600</v>
      </c>
      <c r="AD3416">
        <v>0</v>
      </c>
      <c r="AE3416" t="s">
        <v>116</v>
      </c>
      <c r="AF3416" t="s">
        <v>116</v>
      </c>
      <c r="AG3416">
        <v>2.96</v>
      </c>
      <c r="AH3416" t="s">
        <v>2712</v>
      </c>
      <c r="AI3416" t="s">
        <v>2712</v>
      </c>
      <c r="AJ3416">
        <v>-2.29</v>
      </c>
      <c r="AK3416">
        <v>1388</v>
      </c>
      <c r="AL3416">
        <v>28</v>
      </c>
      <c r="AM3416">
        <v>8.9999999999999998E-4</v>
      </c>
      <c r="AN3416">
        <v>-2</v>
      </c>
      <c r="AO3416">
        <v>-1.72</v>
      </c>
      <c r="AP3416">
        <v>6.17</v>
      </c>
      <c r="AQ3416">
        <v>17.41</v>
      </c>
      <c r="AR3416">
        <v>30.99</v>
      </c>
      <c r="AS3416">
        <v>3.63</v>
      </c>
      <c r="AT3416" t="s">
        <v>220</v>
      </c>
      <c r="AU3416">
        <v>41.91</v>
      </c>
      <c r="AV3416">
        <v>72.599999999999994</v>
      </c>
      <c r="AW3416">
        <v>1.01</v>
      </c>
      <c r="BA3416">
        <v>0.19</v>
      </c>
      <c r="BB3416">
        <v>0.56999999999999995</v>
      </c>
      <c r="BC3416">
        <v>-2.37</v>
      </c>
      <c r="BD3416">
        <v>-0.84</v>
      </c>
      <c r="BE3416">
        <v>-2.5499999999999998</v>
      </c>
      <c r="BF3416">
        <v>-2.92</v>
      </c>
      <c r="BG3416">
        <v>0</v>
      </c>
      <c r="BH3416">
        <v>-1.52</v>
      </c>
      <c r="BI3416">
        <v>20191030</v>
      </c>
      <c r="BJ3416">
        <v>20151209</v>
      </c>
      <c r="BK3416">
        <v>2.96</v>
      </c>
      <c r="BL3416" t="s">
        <v>116</v>
      </c>
      <c r="BM3416" t="s">
        <v>116</v>
      </c>
      <c r="BN3416">
        <v>10.18</v>
      </c>
      <c r="BO3416">
        <v>7.26</v>
      </c>
      <c r="BP3416">
        <v>0</v>
      </c>
      <c r="BQ3416">
        <v>28.66</v>
      </c>
      <c r="BR3416">
        <v>3.6</v>
      </c>
      <c r="BS3416">
        <v>2.27</v>
      </c>
      <c r="BT3416">
        <v>0.05</v>
      </c>
      <c r="BU3416">
        <v>2.87</v>
      </c>
      <c r="BV3416">
        <v>1.44</v>
      </c>
      <c r="BW3416">
        <v>1.36</v>
      </c>
      <c r="BX3416">
        <v>1.36</v>
      </c>
      <c r="BY3416">
        <v>3.96</v>
      </c>
      <c r="BZ3416">
        <v>2.58</v>
      </c>
      <c r="CA3416">
        <v>0.73</v>
      </c>
      <c r="CB3416">
        <v>0</v>
      </c>
      <c r="CC3416">
        <v>0.72</v>
      </c>
      <c r="CD3416">
        <v>0.62</v>
      </c>
      <c r="CE3416">
        <v>0.62</v>
      </c>
      <c r="CF3416">
        <v>0.56000000000000005</v>
      </c>
      <c r="CG3416">
        <v>2.5299999999999998</v>
      </c>
      <c r="CH3416">
        <v>0.09</v>
      </c>
      <c r="CI3416">
        <v>-0.18</v>
      </c>
      <c r="CJ3416">
        <v>14212</v>
      </c>
      <c r="CK3416">
        <v>7432</v>
      </c>
      <c r="CL3416" t="s">
        <v>5279</v>
      </c>
      <c r="CM3416">
        <v>99.74</v>
      </c>
      <c r="CN3416">
        <v>56.01</v>
      </c>
      <c r="CO3416">
        <v>4.21</v>
      </c>
      <c r="CP3416">
        <v>341.86</v>
      </c>
      <c r="CQ3416">
        <v>7.73</v>
      </c>
      <c r="CR3416">
        <v>0</v>
      </c>
      <c r="CS3416" t="s">
        <v>2326</v>
      </c>
      <c r="CT3416">
        <v>2.4500000000000002</v>
      </c>
      <c r="CU3416">
        <v>0</v>
      </c>
      <c r="CV3416">
        <v>0.46</v>
      </c>
      <c r="CW3416">
        <v>0.85</v>
      </c>
      <c r="CX3416">
        <v>0.03</v>
      </c>
      <c r="CY3416">
        <v>71.34</v>
      </c>
      <c r="CZ3416" t="s">
        <v>12564</v>
      </c>
      <c r="DA3416">
        <v>34.729999999999997</v>
      </c>
      <c r="DB3416">
        <v>18.36</v>
      </c>
      <c r="DC3416">
        <v>15.61</v>
      </c>
      <c r="DD3416">
        <v>0.13</v>
      </c>
      <c r="DE3416">
        <v>551</v>
      </c>
      <c r="DF3416">
        <v>603398</v>
      </c>
      <c r="DG3416" t="s">
        <v>116</v>
      </c>
      <c r="DH3416" t="s">
        <v>116</v>
      </c>
      <c r="DI3416" t="s">
        <v>116</v>
      </c>
    </row>
    <row r="3417" spans="1:113" x14ac:dyDescent="0.4">
      <c r="A3417" t="str">
        <f>"603399"</f>
        <v>603399</v>
      </c>
      <c r="B3417" t="s">
        <v>14437</v>
      </c>
      <c r="C3417">
        <v>9.9600000000000009</v>
      </c>
      <c r="D3417">
        <v>11.15</v>
      </c>
      <c r="E3417">
        <v>1.01</v>
      </c>
      <c r="F3417">
        <v>11.15</v>
      </c>
      <c r="G3417" t="s">
        <v>116</v>
      </c>
      <c r="H3417">
        <v>187914</v>
      </c>
      <c r="I3417">
        <v>32</v>
      </c>
      <c r="J3417">
        <v>0</v>
      </c>
      <c r="K3417">
        <v>3.7</v>
      </c>
      <c r="L3417">
        <v>10.14</v>
      </c>
      <c r="M3417">
        <v>11.15</v>
      </c>
      <c r="N3417">
        <v>10.02</v>
      </c>
      <c r="O3417">
        <v>10.14</v>
      </c>
      <c r="P3417" t="s">
        <v>116</v>
      </c>
      <c r="Q3417">
        <v>201829056</v>
      </c>
      <c r="R3417">
        <v>2.72</v>
      </c>
      <c r="S3417" t="s">
        <v>1509</v>
      </c>
      <c r="T3417" t="s">
        <v>434</v>
      </c>
      <c r="U3417">
        <v>11.14</v>
      </c>
      <c r="V3417">
        <v>10.74</v>
      </c>
      <c r="W3417">
        <v>104897</v>
      </c>
      <c r="X3417">
        <v>83017</v>
      </c>
      <c r="Y3417">
        <v>1.26</v>
      </c>
      <c r="Z3417">
        <v>162558</v>
      </c>
      <c r="AA3417">
        <v>0</v>
      </c>
      <c r="AB3417" t="s">
        <v>116</v>
      </c>
      <c r="AC3417">
        <v>93300</v>
      </c>
      <c r="AD3417">
        <v>0</v>
      </c>
      <c r="AE3417">
        <v>0.87</v>
      </c>
      <c r="AF3417">
        <v>181252160</v>
      </c>
      <c r="AG3417">
        <v>5.08</v>
      </c>
      <c r="AH3417" t="s">
        <v>6735</v>
      </c>
      <c r="AI3417" t="s">
        <v>14438</v>
      </c>
      <c r="AJ3417">
        <v>10.039999999999999</v>
      </c>
      <c r="AK3417">
        <v>1598</v>
      </c>
      <c r="AL3417">
        <v>118</v>
      </c>
      <c r="AM3417">
        <v>2.3E-3</v>
      </c>
      <c r="AN3417">
        <v>1</v>
      </c>
      <c r="AO3417">
        <v>7.83</v>
      </c>
      <c r="AP3417">
        <v>6.49</v>
      </c>
      <c r="AQ3417">
        <v>-8.76</v>
      </c>
      <c r="AR3417">
        <v>13.78</v>
      </c>
      <c r="AS3417">
        <v>8.2200000000000006</v>
      </c>
      <c r="AT3417" t="s">
        <v>7328</v>
      </c>
      <c r="AU3417" t="s">
        <v>116</v>
      </c>
      <c r="AV3417">
        <v>31.97</v>
      </c>
      <c r="AW3417">
        <v>0.63</v>
      </c>
      <c r="BA3417">
        <v>0</v>
      </c>
      <c r="BB3417">
        <v>9.9600000000000009</v>
      </c>
      <c r="BC3417">
        <v>-1.18</v>
      </c>
      <c r="BD3417">
        <v>5.92</v>
      </c>
      <c r="BE3417">
        <v>9.9600000000000009</v>
      </c>
      <c r="BF3417">
        <v>0</v>
      </c>
      <c r="BG3417">
        <v>11.28</v>
      </c>
      <c r="BH3417">
        <v>4.04</v>
      </c>
      <c r="BI3417">
        <v>20191031</v>
      </c>
      <c r="BJ3417">
        <v>20120824</v>
      </c>
      <c r="BK3417">
        <v>5.47</v>
      </c>
      <c r="BL3417" t="s">
        <v>116</v>
      </c>
      <c r="BM3417" t="s">
        <v>116</v>
      </c>
      <c r="BN3417">
        <v>35.85</v>
      </c>
      <c r="BO3417">
        <v>23.52</v>
      </c>
      <c r="BP3417">
        <v>0.21</v>
      </c>
      <c r="BQ3417">
        <v>33.799999999999997</v>
      </c>
      <c r="BR3417">
        <v>25.55</v>
      </c>
      <c r="BS3417">
        <v>3.22</v>
      </c>
      <c r="BT3417">
        <v>4.8</v>
      </c>
      <c r="BU3417">
        <v>11.42</v>
      </c>
      <c r="BV3417">
        <v>9.06</v>
      </c>
      <c r="BW3417">
        <v>7.75</v>
      </c>
      <c r="BX3417">
        <v>17.420000000000002</v>
      </c>
      <c r="BY3417">
        <v>21.4</v>
      </c>
      <c r="BZ3417">
        <v>19.100000000000001</v>
      </c>
      <c r="CA3417">
        <v>-0.44</v>
      </c>
      <c r="CB3417">
        <v>0</v>
      </c>
      <c r="CC3417">
        <v>-0.25</v>
      </c>
      <c r="CD3417">
        <v>-0.27</v>
      </c>
      <c r="CE3417">
        <v>-0.33</v>
      </c>
      <c r="CF3417">
        <v>-0.48</v>
      </c>
      <c r="CG3417">
        <v>3.1</v>
      </c>
      <c r="CH3417">
        <v>2.93</v>
      </c>
      <c r="CI3417">
        <v>-1.1100000000000001</v>
      </c>
      <c r="CJ3417">
        <v>15145</v>
      </c>
      <c r="CK3417">
        <v>15100</v>
      </c>
      <c r="CL3417" t="s">
        <v>14439</v>
      </c>
      <c r="CM3417">
        <v>-114.48</v>
      </c>
      <c r="CN3417">
        <v>-19.97</v>
      </c>
      <c r="CO3417">
        <v>2.59</v>
      </c>
      <c r="CP3417">
        <v>20.8</v>
      </c>
      <c r="CQ3417">
        <v>2.85</v>
      </c>
      <c r="CR3417">
        <v>0.18</v>
      </c>
      <c r="CS3417" t="s">
        <v>2794</v>
      </c>
      <c r="CT3417">
        <v>4.3</v>
      </c>
      <c r="CU3417">
        <v>0</v>
      </c>
      <c r="CV3417">
        <v>3.19</v>
      </c>
      <c r="CW3417">
        <v>0.56999999999999995</v>
      </c>
      <c r="CX3417">
        <v>0.54</v>
      </c>
      <c r="CY3417">
        <v>65.62</v>
      </c>
      <c r="CZ3417" t="s">
        <v>14440</v>
      </c>
      <c r="DA3417">
        <v>10.77</v>
      </c>
      <c r="DB3417">
        <v>-2.04</v>
      </c>
      <c r="DC3417">
        <v>-1.57</v>
      </c>
      <c r="DD3417">
        <v>0.01</v>
      </c>
      <c r="DE3417">
        <v>301</v>
      </c>
      <c r="DF3417">
        <v>603399</v>
      </c>
      <c r="DG3417" t="s">
        <v>116</v>
      </c>
      <c r="DH3417" t="s">
        <v>116</v>
      </c>
      <c r="DI3417" t="s">
        <v>116</v>
      </c>
    </row>
    <row r="3418" spans="1:113" x14ac:dyDescent="0.4">
      <c r="A3418" t="str">
        <f>"603416"</f>
        <v>603416</v>
      </c>
      <c r="B3418" t="s">
        <v>14441</v>
      </c>
      <c r="C3418">
        <v>-0.79</v>
      </c>
      <c r="D3418">
        <v>27.78</v>
      </c>
      <c r="E3418">
        <v>-0.22</v>
      </c>
      <c r="F3418">
        <v>27.78</v>
      </c>
      <c r="G3418">
        <v>27.79</v>
      </c>
      <c r="H3418">
        <v>7537</v>
      </c>
      <c r="I3418">
        <v>83</v>
      </c>
      <c r="J3418">
        <v>-0.21</v>
      </c>
      <c r="K3418">
        <v>0.83</v>
      </c>
      <c r="L3418">
        <v>28</v>
      </c>
      <c r="M3418">
        <v>28.43</v>
      </c>
      <c r="N3418">
        <v>27.78</v>
      </c>
      <c r="O3418">
        <v>28</v>
      </c>
      <c r="P3418">
        <v>25.27</v>
      </c>
      <c r="Q3418">
        <v>21175788</v>
      </c>
      <c r="R3418">
        <v>0.73</v>
      </c>
      <c r="S3418" t="s">
        <v>397</v>
      </c>
      <c r="T3418" t="s">
        <v>323</v>
      </c>
      <c r="U3418">
        <v>2.3199999999999998</v>
      </c>
      <c r="V3418">
        <v>28.09</v>
      </c>
      <c r="W3418">
        <v>3806</v>
      </c>
      <c r="X3418">
        <v>3731</v>
      </c>
      <c r="Y3418">
        <v>1.02</v>
      </c>
      <c r="Z3418">
        <v>14</v>
      </c>
      <c r="AA3418">
        <v>9</v>
      </c>
      <c r="AB3418" t="s">
        <v>116</v>
      </c>
      <c r="AC3418">
        <v>33600</v>
      </c>
      <c r="AD3418">
        <v>0</v>
      </c>
      <c r="AE3418" t="s">
        <v>116</v>
      </c>
      <c r="AF3418" t="s">
        <v>116</v>
      </c>
      <c r="AG3418">
        <v>0.91</v>
      </c>
      <c r="AH3418" t="s">
        <v>5917</v>
      </c>
      <c r="AI3418" t="s">
        <v>14442</v>
      </c>
      <c r="AJ3418">
        <v>-0.71</v>
      </c>
      <c r="AK3418">
        <v>705</v>
      </c>
      <c r="AL3418">
        <v>11</v>
      </c>
      <c r="AM3418">
        <v>1.1999999999999999E-3</v>
      </c>
      <c r="AN3418">
        <v>-1</v>
      </c>
      <c r="AO3418">
        <v>-1.31</v>
      </c>
      <c r="AP3418">
        <v>8.94</v>
      </c>
      <c r="AQ3418">
        <v>3.43</v>
      </c>
      <c r="AR3418">
        <v>38.69</v>
      </c>
      <c r="AS3418">
        <v>1.54</v>
      </c>
      <c r="AT3418" t="s">
        <v>8668</v>
      </c>
      <c r="AU3418">
        <v>24.49</v>
      </c>
      <c r="AV3418">
        <v>26.27</v>
      </c>
      <c r="AW3418">
        <v>0.39</v>
      </c>
      <c r="BA3418">
        <v>0</v>
      </c>
      <c r="BB3418">
        <v>1.54</v>
      </c>
      <c r="BC3418">
        <v>-0.79</v>
      </c>
      <c r="BD3418">
        <v>0.34</v>
      </c>
      <c r="BE3418">
        <v>-0.79</v>
      </c>
      <c r="BF3418">
        <v>-2.29</v>
      </c>
      <c r="BG3418">
        <v>0</v>
      </c>
      <c r="BH3418">
        <v>-1.1200000000000001</v>
      </c>
      <c r="BI3418">
        <v>20191220</v>
      </c>
      <c r="BJ3418">
        <v>20161221</v>
      </c>
      <c r="BK3418">
        <v>1.41</v>
      </c>
      <c r="BL3418" t="s">
        <v>116</v>
      </c>
      <c r="BM3418" t="s">
        <v>116</v>
      </c>
      <c r="BN3418">
        <v>13.17</v>
      </c>
      <c r="BO3418">
        <v>11.55</v>
      </c>
      <c r="BP3418">
        <v>0.01</v>
      </c>
      <c r="BQ3418">
        <v>12.24</v>
      </c>
      <c r="BR3418">
        <v>10.64</v>
      </c>
      <c r="BS3418">
        <v>0.86</v>
      </c>
      <c r="BT3418">
        <v>0.62</v>
      </c>
      <c r="BU3418">
        <v>1.42</v>
      </c>
      <c r="BV3418">
        <v>2.02</v>
      </c>
      <c r="BW3418">
        <v>0.53</v>
      </c>
      <c r="BX3418">
        <v>3.7</v>
      </c>
      <c r="BY3418">
        <v>4.6399999999999997</v>
      </c>
      <c r="BZ3418">
        <v>2.81</v>
      </c>
      <c r="CA3418">
        <v>1.32</v>
      </c>
      <c r="CB3418">
        <v>0.19</v>
      </c>
      <c r="CC3418">
        <v>1.32</v>
      </c>
      <c r="CD3418">
        <v>1.1599999999999999</v>
      </c>
      <c r="CE3418">
        <v>1.1599999999999999</v>
      </c>
      <c r="CF3418">
        <v>0.97</v>
      </c>
      <c r="CG3418">
        <v>5.82</v>
      </c>
      <c r="CH3418">
        <v>0.83</v>
      </c>
      <c r="CI3418">
        <v>0.18</v>
      </c>
      <c r="CJ3418">
        <v>7673</v>
      </c>
      <c r="CK3418">
        <v>6374</v>
      </c>
      <c r="CL3418" t="s">
        <v>14122</v>
      </c>
      <c r="CM3418">
        <v>10.27</v>
      </c>
      <c r="CN3418">
        <v>6.58</v>
      </c>
      <c r="CO3418">
        <v>3.38</v>
      </c>
      <c r="CP3418">
        <v>47.1</v>
      </c>
      <c r="CQ3418">
        <v>8.41</v>
      </c>
      <c r="CR3418">
        <v>0.54</v>
      </c>
      <c r="CS3418" t="s">
        <v>14443</v>
      </c>
      <c r="CT3418">
        <v>8.2100000000000009</v>
      </c>
      <c r="CU3418">
        <v>0</v>
      </c>
      <c r="CV3418">
        <v>2.63</v>
      </c>
      <c r="CW3418">
        <v>4.1399999999999997</v>
      </c>
      <c r="CX3418">
        <v>0.59</v>
      </c>
      <c r="CY3418">
        <v>87.7</v>
      </c>
      <c r="CZ3418" t="s">
        <v>14444</v>
      </c>
      <c r="DA3418">
        <v>39.549999999999997</v>
      </c>
      <c r="DB3418">
        <v>28.46</v>
      </c>
      <c r="DC3418">
        <v>24.96</v>
      </c>
      <c r="DD3418">
        <v>0.39</v>
      </c>
      <c r="DE3418">
        <v>970</v>
      </c>
      <c r="DF3418">
        <v>603416</v>
      </c>
      <c r="DG3418" t="s">
        <v>116</v>
      </c>
      <c r="DH3418" t="s">
        <v>116</v>
      </c>
      <c r="DI3418" t="s">
        <v>116</v>
      </c>
    </row>
    <row r="3419" spans="1:113" x14ac:dyDescent="0.4">
      <c r="A3419" t="str">
        <f>"603421"</f>
        <v>603421</v>
      </c>
      <c r="B3419" t="s">
        <v>14445</v>
      </c>
      <c r="C3419">
        <v>-2.31</v>
      </c>
      <c r="D3419">
        <v>16.940000000000001</v>
      </c>
      <c r="E3419">
        <v>-0.4</v>
      </c>
      <c r="F3419">
        <v>16.93</v>
      </c>
      <c r="G3419">
        <v>16.940000000000001</v>
      </c>
      <c r="H3419">
        <v>44207</v>
      </c>
      <c r="I3419">
        <v>512</v>
      </c>
      <c r="J3419">
        <v>0.06</v>
      </c>
      <c r="K3419">
        <v>0.95</v>
      </c>
      <c r="L3419">
        <v>17.440000000000001</v>
      </c>
      <c r="M3419">
        <v>17.5</v>
      </c>
      <c r="N3419">
        <v>16.91</v>
      </c>
      <c r="O3419">
        <v>17.34</v>
      </c>
      <c r="P3419">
        <v>39.090000000000003</v>
      </c>
      <c r="Q3419">
        <v>75978032</v>
      </c>
      <c r="R3419">
        <v>1.06</v>
      </c>
      <c r="S3419" t="s">
        <v>465</v>
      </c>
      <c r="T3419" t="s">
        <v>645</v>
      </c>
      <c r="U3419">
        <v>3.4</v>
      </c>
      <c r="V3419">
        <v>17.190000000000001</v>
      </c>
      <c r="W3419">
        <v>26798</v>
      </c>
      <c r="X3419">
        <v>17409</v>
      </c>
      <c r="Y3419">
        <v>1.54</v>
      </c>
      <c r="Z3419">
        <v>202</v>
      </c>
      <c r="AA3419">
        <v>156</v>
      </c>
      <c r="AB3419" t="s">
        <v>116</v>
      </c>
      <c r="AC3419">
        <v>397600</v>
      </c>
      <c r="AD3419">
        <v>0.01</v>
      </c>
      <c r="AE3419" t="s">
        <v>116</v>
      </c>
      <c r="AF3419" t="s">
        <v>116</v>
      </c>
      <c r="AG3419">
        <v>4.6399999999999997</v>
      </c>
      <c r="AH3419" t="s">
        <v>14446</v>
      </c>
      <c r="AI3419" t="s">
        <v>14447</v>
      </c>
      <c r="AJ3419">
        <v>-2.23</v>
      </c>
      <c r="AK3419">
        <v>2168</v>
      </c>
      <c r="AL3419">
        <v>20</v>
      </c>
      <c r="AM3419">
        <v>4.0000000000000002E-4</v>
      </c>
      <c r="AN3419">
        <v>-1</v>
      </c>
      <c r="AO3419">
        <v>-1.28</v>
      </c>
      <c r="AP3419">
        <v>3.93</v>
      </c>
      <c r="AQ3419">
        <v>-8.48</v>
      </c>
      <c r="AR3419">
        <v>-20.09</v>
      </c>
      <c r="AS3419">
        <v>2.23</v>
      </c>
      <c r="AT3419" t="s">
        <v>8892</v>
      </c>
      <c r="AU3419">
        <v>50.03</v>
      </c>
      <c r="AV3419">
        <v>38.979999999999997</v>
      </c>
      <c r="AW3419">
        <v>1.8</v>
      </c>
      <c r="BA3419">
        <v>0.57999999999999996</v>
      </c>
      <c r="BB3419">
        <v>0.92</v>
      </c>
      <c r="BC3419">
        <v>-2.48</v>
      </c>
      <c r="BD3419">
        <v>-0.88</v>
      </c>
      <c r="BE3419">
        <v>-2.87</v>
      </c>
      <c r="BF3419">
        <v>-3.2</v>
      </c>
      <c r="BG3419">
        <v>0.18</v>
      </c>
      <c r="BH3419">
        <v>-1.42</v>
      </c>
      <c r="BI3419">
        <v>20191029</v>
      </c>
      <c r="BJ3419">
        <v>20161011</v>
      </c>
      <c r="BK3419">
        <v>4.6900000000000004</v>
      </c>
      <c r="BL3419" t="s">
        <v>116</v>
      </c>
      <c r="BM3419" t="s">
        <v>116</v>
      </c>
      <c r="BN3419">
        <v>35.11</v>
      </c>
      <c r="BO3419">
        <v>29.81</v>
      </c>
      <c r="BP3419">
        <v>0</v>
      </c>
      <c r="BQ3419">
        <v>15.1</v>
      </c>
      <c r="BR3419">
        <v>19.739999999999998</v>
      </c>
      <c r="BS3419">
        <v>7.35</v>
      </c>
      <c r="BT3419">
        <v>0.85</v>
      </c>
      <c r="BU3419">
        <v>5.2</v>
      </c>
      <c r="BV3419">
        <v>7.97</v>
      </c>
      <c r="BW3419">
        <v>7.45</v>
      </c>
      <c r="BX3419">
        <v>12.32</v>
      </c>
      <c r="BY3419">
        <v>10.199999999999999</v>
      </c>
      <c r="BZ3419">
        <v>5.66</v>
      </c>
      <c r="CA3419">
        <v>1.18</v>
      </c>
      <c r="CB3419">
        <v>0.11</v>
      </c>
      <c r="CC3419">
        <v>1.27</v>
      </c>
      <c r="CD3419">
        <v>1.53</v>
      </c>
      <c r="CE3419">
        <v>1.53</v>
      </c>
      <c r="CF3419">
        <v>1.44</v>
      </c>
      <c r="CG3419">
        <v>11.7</v>
      </c>
      <c r="CH3419">
        <v>-1.51</v>
      </c>
      <c r="CI3419">
        <v>-0.12</v>
      </c>
      <c r="CJ3419">
        <v>28820</v>
      </c>
      <c r="CK3419">
        <v>6887</v>
      </c>
      <c r="CL3419" t="s">
        <v>14448</v>
      </c>
      <c r="CM3419">
        <v>-22.79</v>
      </c>
      <c r="CN3419">
        <v>-6.9</v>
      </c>
      <c r="CO3419">
        <v>2.67</v>
      </c>
      <c r="CP3419">
        <v>-52.76</v>
      </c>
      <c r="CQ3419">
        <v>7.79</v>
      </c>
      <c r="CR3419">
        <v>0.77</v>
      </c>
      <c r="CS3419" t="s">
        <v>1134</v>
      </c>
      <c r="CT3419">
        <v>6.35</v>
      </c>
      <c r="CU3419">
        <v>0</v>
      </c>
      <c r="CV3419">
        <v>2.62</v>
      </c>
      <c r="CW3419">
        <v>2.4900000000000002</v>
      </c>
      <c r="CX3419">
        <v>-0.32</v>
      </c>
      <c r="CY3419">
        <v>84.9</v>
      </c>
      <c r="CZ3419" t="s">
        <v>5435</v>
      </c>
      <c r="DA3419">
        <v>44.52</v>
      </c>
      <c r="DB3419">
        <v>11.61</v>
      </c>
      <c r="DC3419">
        <v>14.96</v>
      </c>
      <c r="DD3419">
        <v>1.38</v>
      </c>
      <c r="DE3419">
        <v>2673</v>
      </c>
      <c r="DF3419">
        <v>603421</v>
      </c>
      <c r="DG3419" t="s">
        <v>116</v>
      </c>
      <c r="DH3419" t="s">
        <v>116</v>
      </c>
      <c r="DI3419" t="s">
        <v>116</v>
      </c>
    </row>
    <row r="3420" spans="1:113" x14ac:dyDescent="0.4">
      <c r="A3420" t="str">
        <f>"603429"</f>
        <v>603429</v>
      </c>
      <c r="B3420" t="s">
        <v>14449</v>
      </c>
      <c r="C3420">
        <v>-3.36</v>
      </c>
      <c r="D3420">
        <v>34.479999999999997</v>
      </c>
      <c r="E3420">
        <v>-1.2</v>
      </c>
      <c r="F3420">
        <v>34.479999999999997</v>
      </c>
      <c r="G3420">
        <v>34.54</v>
      </c>
      <c r="H3420">
        <v>15821</v>
      </c>
      <c r="I3420">
        <v>413</v>
      </c>
      <c r="J3420">
        <v>0.06</v>
      </c>
      <c r="K3420">
        <v>1.25</v>
      </c>
      <c r="L3420">
        <v>35.54</v>
      </c>
      <c r="M3420">
        <v>35.97</v>
      </c>
      <c r="N3420">
        <v>34.380000000000003</v>
      </c>
      <c r="O3420">
        <v>35.68</v>
      </c>
      <c r="P3420">
        <v>68.41</v>
      </c>
      <c r="Q3420">
        <v>55212848</v>
      </c>
      <c r="R3420">
        <v>1.37</v>
      </c>
      <c r="S3420" t="s">
        <v>345</v>
      </c>
      <c r="T3420" t="s">
        <v>575</v>
      </c>
      <c r="U3420">
        <v>4.46</v>
      </c>
      <c r="V3420">
        <v>34.9</v>
      </c>
      <c r="W3420">
        <v>9760</v>
      </c>
      <c r="X3420">
        <v>6061</v>
      </c>
      <c r="Y3420">
        <v>1.61</v>
      </c>
      <c r="Z3420">
        <v>140</v>
      </c>
      <c r="AA3420">
        <v>2</v>
      </c>
      <c r="AB3420" t="s">
        <v>116</v>
      </c>
      <c r="AC3420">
        <v>163500</v>
      </c>
      <c r="AD3420">
        <v>0</v>
      </c>
      <c r="AE3420" t="s">
        <v>116</v>
      </c>
      <c r="AF3420" t="s">
        <v>116</v>
      </c>
      <c r="AG3420">
        <v>1.27</v>
      </c>
      <c r="AH3420" t="s">
        <v>14450</v>
      </c>
      <c r="AI3420" t="s">
        <v>14451</v>
      </c>
      <c r="AJ3420">
        <v>-3.29</v>
      </c>
      <c r="AK3420">
        <v>1188</v>
      </c>
      <c r="AL3420">
        <v>13</v>
      </c>
      <c r="AM3420">
        <v>1E-3</v>
      </c>
      <c r="AN3420">
        <v>-2</v>
      </c>
      <c r="AO3420">
        <v>-4.4400000000000004</v>
      </c>
      <c r="AP3420">
        <v>1.56</v>
      </c>
      <c r="AQ3420">
        <v>-5.61</v>
      </c>
      <c r="AR3420">
        <v>97.38</v>
      </c>
      <c r="AS3420">
        <v>1.25</v>
      </c>
      <c r="AT3420" t="s">
        <v>14450</v>
      </c>
      <c r="AU3420">
        <v>65.319999999999993</v>
      </c>
      <c r="AV3420">
        <v>79.510000000000005</v>
      </c>
      <c r="AW3420">
        <v>1.37</v>
      </c>
      <c r="BA3420">
        <v>-0.39</v>
      </c>
      <c r="BB3420">
        <v>0.81</v>
      </c>
      <c r="BC3420">
        <v>-3.64</v>
      </c>
      <c r="BD3420">
        <v>-2.19</v>
      </c>
      <c r="BE3420">
        <v>-2.98</v>
      </c>
      <c r="BF3420">
        <v>-4.1399999999999997</v>
      </c>
      <c r="BG3420">
        <v>0.28999999999999998</v>
      </c>
      <c r="BH3420">
        <v>-1.18</v>
      </c>
      <c r="BI3420">
        <v>20191025</v>
      </c>
      <c r="BJ3420">
        <v>20170124</v>
      </c>
      <c r="BK3420">
        <v>2.66</v>
      </c>
      <c r="BL3420" t="s">
        <v>116</v>
      </c>
      <c r="BM3420" t="s">
        <v>116</v>
      </c>
      <c r="BN3420">
        <v>14.31</v>
      </c>
      <c r="BO3420">
        <v>10.73</v>
      </c>
      <c r="BP3420">
        <v>0.21</v>
      </c>
      <c r="BQ3420">
        <v>23.55</v>
      </c>
      <c r="BR3420">
        <v>7.46</v>
      </c>
      <c r="BS3420">
        <v>4.66</v>
      </c>
      <c r="BT3420">
        <v>0.34</v>
      </c>
      <c r="BU3420">
        <v>3.14</v>
      </c>
      <c r="BV3420">
        <v>1.1200000000000001</v>
      </c>
      <c r="BW3420">
        <v>1.37</v>
      </c>
      <c r="BX3420">
        <v>4.63</v>
      </c>
      <c r="BY3420">
        <v>4.12</v>
      </c>
      <c r="BZ3420">
        <v>2.33</v>
      </c>
      <c r="CA3420">
        <v>1.18</v>
      </c>
      <c r="CB3420">
        <v>0</v>
      </c>
      <c r="CC3420">
        <v>1.18</v>
      </c>
      <c r="CD3420">
        <v>1.02</v>
      </c>
      <c r="CE3420">
        <v>1.01</v>
      </c>
      <c r="CF3420">
        <v>0.94</v>
      </c>
      <c r="CG3420">
        <v>3.31</v>
      </c>
      <c r="CH3420">
        <v>1.37</v>
      </c>
      <c r="CI3420">
        <v>3.01</v>
      </c>
      <c r="CJ3420">
        <v>3951</v>
      </c>
      <c r="CK3420">
        <v>32107</v>
      </c>
      <c r="CL3420" t="s">
        <v>14452</v>
      </c>
      <c r="CM3420">
        <v>33.18</v>
      </c>
      <c r="CN3420">
        <v>42.86</v>
      </c>
      <c r="CO3420">
        <v>8.5500000000000007</v>
      </c>
      <c r="CP3420">
        <v>67.069999999999993</v>
      </c>
      <c r="CQ3420">
        <v>22.26</v>
      </c>
      <c r="CR3420">
        <v>0.42</v>
      </c>
      <c r="CS3420" t="s">
        <v>4560</v>
      </c>
      <c r="CT3420">
        <v>4.03</v>
      </c>
      <c r="CU3420">
        <v>0</v>
      </c>
      <c r="CV3420">
        <v>1.74</v>
      </c>
      <c r="CW3420">
        <v>1.25</v>
      </c>
      <c r="CX3420">
        <v>0.51</v>
      </c>
      <c r="CY3420">
        <v>74.98</v>
      </c>
      <c r="CZ3420" t="s">
        <v>9856</v>
      </c>
      <c r="DA3420">
        <v>43.54</v>
      </c>
      <c r="DB3420">
        <v>28.7</v>
      </c>
      <c r="DC3420">
        <v>24.4</v>
      </c>
      <c r="DD3420">
        <v>0.23</v>
      </c>
      <c r="DE3420">
        <v>1026</v>
      </c>
      <c r="DF3420">
        <v>603429</v>
      </c>
      <c r="DG3420" t="s">
        <v>116</v>
      </c>
      <c r="DH3420" t="s">
        <v>116</v>
      </c>
      <c r="DI3420" t="s">
        <v>116</v>
      </c>
    </row>
    <row r="3421" spans="1:113" x14ac:dyDescent="0.4">
      <c r="A3421" t="str">
        <f>"603444"</f>
        <v>603444</v>
      </c>
      <c r="B3421" t="s">
        <v>14453</v>
      </c>
      <c r="C3421">
        <v>-2.0099999999999998</v>
      </c>
      <c r="D3421">
        <v>296.99</v>
      </c>
      <c r="E3421">
        <v>-6.1</v>
      </c>
      <c r="F3421">
        <v>296.89999999999998</v>
      </c>
      <c r="G3421">
        <v>296.99</v>
      </c>
      <c r="H3421">
        <v>8322</v>
      </c>
      <c r="I3421">
        <v>81</v>
      </c>
      <c r="J3421">
        <v>0.06</v>
      </c>
      <c r="K3421">
        <v>2</v>
      </c>
      <c r="L3421">
        <v>301.39999999999998</v>
      </c>
      <c r="M3421">
        <v>304.88</v>
      </c>
      <c r="N3421">
        <v>296.5</v>
      </c>
      <c r="O3421">
        <v>303.08999999999997</v>
      </c>
      <c r="P3421">
        <v>23.9</v>
      </c>
      <c r="Q3421">
        <v>250409664</v>
      </c>
      <c r="R3421">
        <v>1.1200000000000001</v>
      </c>
      <c r="S3421" t="s">
        <v>1384</v>
      </c>
      <c r="T3421" t="s">
        <v>975</v>
      </c>
      <c r="U3421">
        <v>2.76</v>
      </c>
      <c r="V3421">
        <v>300.89</v>
      </c>
      <c r="W3421">
        <v>4788</v>
      </c>
      <c r="X3421">
        <v>3534</v>
      </c>
      <c r="Y3421">
        <v>1.35</v>
      </c>
      <c r="Z3421">
        <v>3</v>
      </c>
      <c r="AA3421">
        <v>16</v>
      </c>
      <c r="AB3421" t="s">
        <v>116</v>
      </c>
      <c r="AC3421">
        <v>1085000</v>
      </c>
      <c r="AD3421">
        <v>0.01</v>
      </c>
      <c r="AE3421" t="s">
        <v>116</v>
      </c>
      <c r="AF3421" t="s">
        <v>116</v>
      </c>
      <c r="AG3421">
        <v>0.42</v>
      </c>
      <c r="AH3421" t="s">
        <v>5257</v>
      </c>
      <c r="AI3421" t="s">
        <v>14454</v>
      </c>
      <c r="AJ3421">
        <v>-1.94</v>
      </c>
      <c r="AK3421">
        <v>2192</v>
      </c>
      <c r="AL3421">
        <v>4</v>
      </c>
      <c r="AM3421">
        <v>8.9999999999999998E-4</v>
      </c>
      <c r="AN3421">
        <v>-3</v>
      </c>
      <c r="AO3421">
        <v>-4.07</v>
      </c>
      <c r="AP3421">
        <v>1.27</v>
      </c>
      <c r="AQ3421">
        <v>9.01</v>
      </c>
      <c r="AR3421">
        <v>115.21</v>
      </c>
      <c r="AS3421">
        <v>2</v>
      </c>
      <c r="AT3421" t="s">
        <v>5257</v>
      </c>
      <c r="AU3421">
        <v>24.09</v>
      </c>
      <c r="AV3421">
        <v>29.53</v>
      </c>
      <c r="AW3421">
        <v>0.83</v>
      </c>
      <c r="BA3421">
        <v>-0.56000000000000005</v>
      </c>
      <c r="BB3421">
        <v>0.59</v>
      </c>
      <c r="BC3421">
        <v>-2.17</v>
      </c>
      <c r="BD3421">
        <v>-0.73</v>
      </c>
      <c r="BE3421">
        <v>-1.46</v>
      </c>
      <c r="BF3421">
        <v>-2.59</v>
      </c>
      <c r="BG3421">
        <v>0.17</v>
      </c>
      <c r="BH3421">
        <v>-1.29</v>
      </c>
      <c r="BI3421">
        <v>20191023</v>
      </c>
      <c r="BJ3421">
        <v>20170104</v>
      </c>
      <c r="BK3421">
        <v>0.72</v>
      </c>
      <c r="BL3421" t="s">
        <v>116</v>
      </c>
      <c r="BM3421" t="s">
        <v>116</v>
      </c>
      <c r="BN3421">
        <v>40.68</v>
      </c>
      <c r="BO3421">
        <v>29.29</v>
      </c>
      <c r="BP3421">
        <v>3.38</v>
      </c>
      <c r="BQ3421">
        <v>19.690000000000001</v>
      </c>
      <c r="BR3421">
        <v>20.88</v>
      </c>
      <c r="BS3421">
        <v>4.53</v>
      </c>
      <c r="BT3421">
        <v>0.13</v>
      </c>
      <c r="BU3421">
        <v>6.97</v>
      </c>
      <c r="BV3421">
        <v>0</v>
      </c>
      <c r="BW3421">
        <v>2.4</v>
      </c>
      <c r="BX3421">
        <v>11.05</v>
      </c>
      <c r="BY3421">
        <v>15.55</v>
      </c>
      <c r="BZ3421">
        <v>1.3</v>
      </c>
      <c r="CA3421">
        <v>9.81</v>
      </c>
      <c r="CB3421">
        <v>0.26</v>
      </c>
      <c r="CC3421">
        <v>9.81</v>
      </c>
      <c r="CD3421">
        <v>8.6199999999999992</v>
      </c>
      <c r="CE3421">
        <v>6.7</v>
      </c>
      <c r="CF3421">
        <v>6.33</v>
      </c>
      <c r="CG3421">
        <v>17.38</v>
      </c>
      <c r="CH3421">
        <v>8.82</v>
      </c>
      <c r="CI3421">
        <v>1.42</v>
      </c>
      <c r="CJ3421">
        <v>13346</v>
      </c>
      <c r="CK3421">
        <v>3113</v>
      </c>
      <c r="CL3421" t="s">
        <v>14455</v>
      </c>
      <c r="CM3421">
        <v>32.17</v>
      </c>
      <c r="CN3421">
        <v>34.07</v>
      </c>
      <c r="CO3421">
        <v>7.29</v>
      </c>
      <c r="CP3421">
        <v>24.21</v>
      </c>
      <c r="CQ3421">
        <v>13.73</v>
      </c>
      <c r="CR3421">
        <v>3.37</v>
      </c>
      <c r="CS3421" t="s">
        <v>14456</v>
      </c>
      <c r="CT3421">
        <v>40.75</v>
      </c>
      <c r="CU3421">
        <v>0</v>
      </c>
      <c r="CV3421">
        <v>15.37</v>
      </c>
      <c r="CW3421">
        <v>24.18</v>
      </c>
      <c r="CX3421">
        <v>12.27</v>
      </c>
      <c r="CY3421">
        <v>72</v>
      </c>
      <c r="CZ3421" t="s">
        <v>14457</v>
      </c>
      <c r="DA3421">
        <v>91.65</v>
      </c>
      <c r="DB3421">
        <v>63.08</v>
      </c>
      <c r="DC3421">
        <v>43.08</v>
      </c>
      <c r="DD3421">
        <v>2.29</v>
      </c>
      <c r="DE3421">
        <v>559</v>
      </c>
      <c r="DF3421">
        <v>603444</v>
      </c>
      <c r="DG3421" t="s">
        <v>116</v>
      </c>
      <c r="DH3421" t="s">
        <v>116</v>
      </c>
      <c r="DI3421" t="s">
        <v>116</v>
      </c>
    </row>
    <row r="3422" spans="1:113" x14ac:dyDescent="0.4">
      <c r="A3422" t="str">
        <f>"603456"</f>
        <v>603456</v>
      </c>
      <c r="B3422" t="s">
        <v>14458</v>
      </c>
      <c r="C3422">
        <v>-0.94</v>
      </c>
      <c r="D3422">
        <v>13.73</v>
      </c>
      <c r="E3422">
        <v>-0.13</v>
      </c>
      <c r="F3422">
        <v>13.73</v>
      </c>
      <c r="G3422">
        <v>13.75</v>
      </c>
      <c r="H3422">
        <v>36270</v>
      </c>
      <c r="I3422">
        <v>1793</v>
      </c>
      <c r="J3422">
        <v>0</v>
      </c>
      <c r="K3422">
        <v>0.45</v>
      </c>
      <c r="L3422">
        <v>13.88</v>
      </c>
      <c r="M3422">
        <v>14.1</v>
      </c>
      <c r="N3422">
        <v>13.69</v>
      </c>
      <c r="O3422">
        <v>13.86</v>
      </c>
      <c r="P3422">
        <v>61.14</v>
      </c>
      <c r="Q3422">
        <v>50309776</v>
      </c>
      <c r="R3422">
        <v>1.1599999999999999</v>
      </c>
      <c r="S3422" t="s">
        <v>574</v>
      </c>
      <c r="T3422" t="s">
        <v>590</v>
      </c>
      <c r="U3422">
        <v>2.96</v>
      </c>
      <c r="V3422">
        <v>13.87</v>
      </c>
      <c r="W3422">
        <v>23598</v>
      </c>
      <c r="X3422">
        <v>12672</v>
      </c>
      <c r="Y3422">
        <v>1.86</v>
      </c>
      <c r="Z3422">
        <v>93</v>
      </c>
      <c r="AA3422">
        <v>583</v>
      </c>
      <c r="AB3422" t="s">
        <v>116</v>
      </c>
      <c r="AC3422">
        <v>304000</v>
      </c>
      <c r="AD3422">
        <v>0.01</v>
      </c>
      <c r="AE3422" t="s">
        <v>116</v>
      </c>
      <c r="AF3422" t="s">
        <v>116</v>
      </c>
      <c r="AG3422">
        <v>8.0299999999999994</v>
      </c>
      <c r="AH3422" t="s">
        <v>14459</v>
      </c>
      <c r="AI3422" t="s">
        <v>14460</v>
      </c>
      <c r="AJ3422">
        <v>-0.86</v>
      </c>
      <c r="AK3422">
        <v>2163</v>
      </c>
      <c r="AL3422">
        <v>17</v>
      </c>
      <c r="AM3422">
        <v>2.0000000000000001E-4</v>
      </c>
      <c r="AN3422">
        <v>-3</v>
      </c>
      <c r="AO3422">
        <v>-1.86</v>
      </c>
      <c r="AP3422">
        <v>8.1999999999999993</v>
      </c>
      <c r="AQ3422">
        <v>8.7100000000000009</v>
      </c>
      <c r="AR3422">
        <v>122.89</v>
      </c>
      <c r="AS3422">
        <v>0.91</v>
      </c>
      <c r="AT3422" t="s">
        <v>5968</v>
      </c>
      <c r="AU3422">
        <v>55.84</v>
      </c>
      <c r="AV3422">
        <v>70.39</v>
      </c>
      <c r="AW3422">
        <v>1.07</v>
      </c>
      <c r="BA3422">
        <v>0.14000000000000001</v>
      </c>
      <c r="BB3422">
        <v>1.73</v>
      </c>
      <c r="BC3422">
        <v>-1.23</v>
      </c>
      <c r="BD3422">
        <v>0.08</v>
      </c>
      <c r="BE3422">
        <v>-1.08</v>
      </c>
      <c r="BF3422">
        <v>-2.62</v>
      </c>
      <c r="BG3422">
        <v>0.28999999999999998</v>
      </c>
      <c r="BH3422">
        <v>-1.02</v>
      </c>
      <c r="BI3422">
        <v>20191029</v>
      </c>
      <c r="BJ3422">
        <v>20141010</v>
      </c>
      <c r="BK3422">
        <v>8.06</v>
      </c>
      <c r="BL3422" t="s">
        <v>116</v>
      </c>
      <c r="BM3422" t="s">
        <v>116</v>
      </c>
      <c r="BN3422">
        <v>36.07</v>
      </c>
      <c r="BO3422">
        <v>27.53</v>
      </c>
      <c r="BP3422">
        <v>0.04</v>
      </c>
      <c r="BQ3422">
        <v>23.57</v>
      </c>
      <c r="BR3422">
        <v>17.399999999999999</v>
      </c>
      <c r="BS3422">
        <v>13.21</v>
      </c>
      <c r="BT3422">
        <v>1.96</v>
      </c>
      <c r="BU3422">
        <v>7.51</v>
      </c>
      <c r="BV3422">
        <v>6.34</v>
      </c>
      <c r="BW3422">
        <v>4.0199999999999996</v>
      </c>
      <c r="BX3422">
        <v>9.49</v>
      </c>
      <c r="BY3422">
        <v>13.58</v>
      </c>
      <c r="BZ3422">
        <v>9.31</v>
      </c>
      <c r="CA3422">
        <v>1.59</v>
      </c>
      <c r="CB3422">
        <v>-0.13</v>
      </c>
      <c r="CC3422">
        <v>1.59</v>
      </c>
      <c r="CD3422">
        <v>1.35</v>
      </c>
      <c r="CE3422">
        <v>1.36</v>
      </c>
      <c r="CF3422">
        <v>1.43</v>
      </c>
      <c r="CG3422">
        <v>8.66</v>
      </c>
      <c r="CH3422">
        <v>3.11</v>
      </c>
      <c r="CI3422">
        <v>2.96</v>
      </c>
      <c r="CJ3422">
        <v>12104</v>
      </c>
      <c r="CK3422">
        <v>32915</v>
      </c>
      <c r="CL3422" t="s">
        <v>14461</v>
      </c>
      <c r="CM3422">
        <v>43.21</v>
      </c>
      <c r="CN3422">
        <v>7.04</v>
      </c>
      <c r="CO3422">
        <v>4.0199999999999996</v>
      </c>
      <c r="CP3422">
        <v>35.549999999999997</v>
      </c>
      <c r="CQ3422">
        <v>8.14</v>
      </c>
      <c r="CR3422">
        <v>1.46</v>
      </c>
      <c r="CS3422" t="s">
        <v>1127</v>
      </c>
      <c r="CT3422">
        <v>3.42</v>
      </c>
      <c r="CU3422">
        <v>0</v>
      </c>
      <c r="CV3422">
        <v>1.18</v>
      </c>
      <c r="CW3422">
        <v>1.08</v>
      </c>
      <c r="CX3422">
        <v>0.39</v>
      </c>
      <c r="CY3422">
        <v>76.319999999999993</v>
      </c>
      <c r="CZ3422" t="s">
        <v>2932</v>
      </c>
      <c r="DA3422">
        <v>31.48</v>
      </c>
      <c r="DB3422">
        <v>11.73</v>
      </c>
      <c r="DC3422">
        <v>9.99</v>
      </c>
      <c r="DD3422">
        <v>0.65</v>
      </c>
      <c r="DE3422">
        <v>2943</v>
      </c>
      <c r="DF3422">
        <v>603456</v>
      </c>
      <c r="DG3422" t="s">
        <v>116</v>
      </c>
      <c r="DH3422" t="s">
        <v>116</v>
      </c>
      <c r="DI3422" t="s">
        <v>116</v>
      </c>
    </row>
    <row r="3423" spans="1:113" x14ac:dyDescent="0.4">
      <c r="A3423" t="str">
        <f>"603458"</f>
        <v>603458</v>
      </c>
      <c r="B3423" t="s">
        <v>14462</v>
      </c>
      <c r="C3423">
        <v>-0.37</v>
      </c>
      <c r="D3423">
        <v>18.809999999999999</v>
      </c>
      <c r="E3423">
        <v>-7.0000000000000007E-2</v>
      </c>
      <c r="F3423">
        <v>18.8</v>
      </c>
      <c r="G3423">
        <v>18.809999999999999</v>
      </c>
      <c r="H3423">
        <v>13982</v>
      </c>
      <c r="I3423">
        <v>83</v>
      </c>
      <c r="J3423">
        <v>0.05</v>
      </c>
      <c r="K3423">
        <v>1.1200000000000001</v>
      </c>
      <c r="L3423">
        <v>18.899999999999999</v>
      </c>
      <c r="M3423">
        <v>18.98</v>
      </c>
      <c r="N3423">
        <v>18.77</v>
      </c>
      <c r="O3423">
        <v>18.88</v>
      </c>
      <c r="P3423">
        <v>10.83</v>
      </c>
      <c r="Q3423">
        <v>26420912</v>
      </c>
      <c r="R3423">
        <v>1.08</v>
      </c>
      <c r="S3423" t="s">
        <v>181</v>
      </c>
      <c r="T3423" t="s">
        <v>1056</v>
      </c>
      <c r="U3423">
        <v>1.1100000000000001</v>
      </c>
      <c r="V3423">
        <v>18.899999999999999</v>
      </c>
      <c r="W3423">
        <v>7268</v>
      </c>
      <c r="X3423">
        <v>6714</v>
      </c>
      <c r="Y3423">
        <v>1.08</v>
      </c>
      <c r="Z3423">
        <v>42</v>
      </c>
      <c r="AA3423">
        <v>46</v>
      </c>
      <c r="AB3423" t="s">
        <v>116</v>
      </c>
      <c r="AC3423">
        <v>144500</v>
      </c>
      <c r="AD3423">
        <v>0.01</v>
      </c>
      <c r="AE3423" t="s">
        <v>116</v>
      </c>
      <c r="AF3423" t="s">
        <v>116</v>
      </c>
      <c r="AG3423">
        <v>1.24</v>
      </c>
      <c r="AH3423" t="s">
        <v>3808</v>
      </c>
      <c r="AI3423" t="s">
        <v>10323</v>
      </c>
      <c r="AJ3423">
        <v>-0.28999999999999998</v>
      </c>
      <c r="AK3423">
        <v>1107</v>
      </c>
      <c r="AL3423">
        <v>13</v>
      </c>
      <c r="AM3423">
        <v>1E-3</v>
      </c>
      <c r="AN3423">
        <v>-1</v>
      </c>
      <c r="AO3423">
        <v>0.86</v>
      </c>
      <c r="AP3423">
        <v>2.67</v>
      </c>
      <c r="AQ3423">
        <v>0.05</v>
      </c>
      <c r="AR3423">
        <v>-7.26</v>
      </c>
      <c r="AS3423">
        <v>1.1200000000000001</v>
      </c>
      <c r="AT3423" t="s">
        <v>3808</v>
      </c>
      <c r="AU3423">
        <v>9.3000000000000007</v>
      </c>
      <c r="AV3423">
        <v>9.91</v>
      </c>
      <c r="AW3423">
        <v>0.97</v>
      </c>
      <c r="BA3423">
        <v>0.11</v>
      </c>
      <c r="BB3423">
        <v>0.53</v>
      </c>
      <c r="BC3423">
        <v>-0.57999999999999996</v>
      </c>
      <c r="BD3423">
        <v>0.09</v>
      </c>
      <c r="BE3423">
        <v>-0.48</v>
      </c>
      <c r="BF3423">
        <v>-0.9</v>
      </c>
      <c r="BG3423">
        <v>0.21</v>
      </c>
      <c r="BH3423">
        <v>-0.46</v>
      </c>
      <c r="BI3423">
        <v>20191226</v>
      </c>
      <c r="BJ3423">
        <v>20170809</v>
      </c>
      <c r="BK3423">
        <v>1.86</v>
      </c>
      <c r="BL3423" t="s">
        <v>116</v>
      </c>
      <c r="BM3423" t="s">
        <v>116</v>
      </c>
      <c r="BN3423">
        <v>46.99</v>
      </c>
      <c r="BO3423">
        <v>24.23</v>
      </c>
      <c r="BP3423">
        <v>0.08</v>
      </c>
      <c r="BQ3423">
        <v>48.26</v>
      </c>
      <c r="BR3423">
        <v>39.659999999999997</v>
      </c>
      <c r="BS3423">
        <v>4.32</v>
      </c>
      <c r="BT3423">
        <v>0.35</v>
      </c>
      <c r="BU3423">
        <v>22.39</v>
      </c>
      <c r="BV3423">
        <v>2.4300000000000002</v>
      </c>
      <c r="BW3423">
        <v>26.49</v>
      </c>
      <c r="BX3423">
        <v>8.07</v>
      </c>
      <c r="BY3423">
        <v>16.2</v>
      </c>
      <c r="BZ3423">
        <v>9.83</v>
      </c>
      <c r="CA3423">
        <v>2.93</v>
      </c>
      <c r="CB3423">
        <v>-0.02</v>
      </c>
      <c r="CC3423">
        <v>2.9</v>
      </c>
      <c r="CD3423">
        <v>2.4300000000000002</v>
      </c>
      <c r="CE3423">
        <v>2.42</v>
      </c>
      <c r="CF3423">
        <v>2.16</v>
      </c>
      <c r="CG3423">
        <v>13.23</v>
      </c>
      <c r="CH3423">
        <v>-4.68</v>
      </c>
      <c r="CI3423">
        <v>-2.1</v>
      </c>
      <c r="CJ3423">
        <v>19478</v>
      </c>
      <c r="CK3423">
        <v>6381</v>
      </c>
      <c r="CL3423" t="s">
        <v>14463</v>
      </c>
      <c r="CM3423">
        <v>10.57</v>
      </c>
      <c r="CN3423">
        <v>13.31</v>
      </c>
      <c r="CO3423">
        <v>1.42</v>
      </c>
      <c r="CP3423">
        <v>-7.48</v>
      </c>
      <c r="CQ3423">
        <v>2.16</v>
      </c>
      <c r="CR3423">
        <v>3.03</v>
      </c>
      <c r="CS3423" t="s">
        <v>10883</v>
      </c>
      <c r="CT3423">
        <v>13.25</v>
      </c>
      <c r="CU3423">
        <v>13.25</v>
      </c>
      <c r="CV3423">
        <v>4.34</v>
      </c>
      <c r="CW3423">
        <v>7.12</v>
      </c>
      <c r="CX3423">
        <v>-2.52</v>
      </c>
      <c r="CY3423">
        <v>51.56</v>
      </c>
      <c r="CZ3423" t="s">
        <v>12412</v>
      </c>
      <c r="DA3423">
        <v>39.31</v>
      </c>
      <c r="DB3423">
        <v>18.11</v>
      </c>
      <c r="DC3423">
        <v>14.96</v>
      </c>
      <c r="DD3423">
        <v>0.71</v>
      </c>
      <c r="DE3423">
        <v>2943</v>
      </c>
      <c r="DF3423">
        <v>603458</v>
      </c>
      <c r="DG3423" t="s">
        <v>116</v>
      </c>
      <c r="DH3423" t="s">
        <v>116</v>
      </c>
      <c r="DI3423" t="s">
        <v>116</v>
      </c>
    </row>
    <row r="3424" spans="1:113" x14ac:dyDescent="0.4">
      <c r="A3424" t="str">
        <f>"603466"</f>
        <v>603466</v>
      </c>
      <c r="B3424" t="s">
        <v>14464</v>
      </c>
      <c r="C3424">
        <v>-1.47</v>
      </c>
      <c r="D3424">
        <v>14.76</v>
      </c>
      <c r="E3424">
        <v>-0.22</v>
      </c>
      <c r="F3424">
        <v>14.75</v>
      </c>
      <c r="G3424">
        <v>14.76</v>
      </c>
      <c r="H3424">
        <v>54116</v>
      </c>
      <c r="I3424">
        <v>737</v>
      </c>
      <c r="J3424">
        <v>-0.19</v>
      </c>
      <c r="K3424">
        <v>6.07</v>
      </c>
      <c r="L3424">
        <v>15.13</v>
      </c>
      <c r="M3424">
        <v>15.17</v>
      </c>
      <c r="N3424">
        <v>14.68</v>
      </c>
      <c r="O3424">
        <v>14.98</v>
      </c>
      <c r="P3424">
        <v>15.59</v>
      </c>
      <c r="Q3424">
        <v>80550160</v>
      </c>
      <c r="R3424">
        <v>1.19</v>
      </c>
      <c r="S3424" t="s">
        <v>217</v>
      </c>
      <c r="T3424" t="s">
        <v>1653</v>
      </c>
      <c r="U3424">
        <v>3.27</v>
      </c>
      <c r="V3424">
        <v>14.88</v>
      </c>
      <c r="W3424">
        <v>28861</v>
      </c>
      <c r="X3424">
        <v>25255</v>
      </c>
      <c r="Y3424">
        <v>1.1399999999999999</v>
      </c>
      <c r="Z3424">
        <v>177</v>
      </c>
      <c r="AA3424">
        <v>1155</v>
      </c>
      <c r="AB3424" t="s">
        <v>116</v>
      </c>
      <c r="AC3424">
        <v>2095500</v>
      </c>
      <c r="AD3424">
        <v>0.16</v>
      </c>
      <c r="AE3424" t="s">
        <v>116</v>
      </c>
      <c r="AF3424" t="s">
        <v>116</v>
      </c>
      <c r="AG3424">
        <v>0.89</v>
      </c>
      <c r="AH3424" t="s">
        <v>9767</v>
      </c>
      <c r="AI3424" t="s">
        <v>14166</v>
      </c>
      <c r="AJ3424">
        <v>-1.39</v>
      </c>
      <c r="AK3424">
        <v>1935</v>
      </c>
      <c r="AL3424">
        <v>28</v>
      </c>
      <c r="AM3424">
        <v>3.0999999999999999E-3</v>
      </c>
      <c r="AN3424">
        <v>-1</v>
      </c>
      <c r="AO3424">
        <v>1.1000000000000001</v>
      </c>
      <c r="AP3424">
        <v>8.4499999999999993</v>
      </c>
      <c r="AQ3424">
        <v>-15.71</v>
      </c>
      <c r="AR3424">
        <v>-2.67</v>
      </c>
      <c r="AS3424">
        <v>6.07</v>
      </c>
      <c r="AT3424" t="s">
        <v>9767</v>
      </c>
      <c r="AU3424">
        <v>17.52</v>
      </c>
      <c r="AV3424">
        <v>20.41</v>
      </c>
      <c r="AW3424">
        <v>1.39</v>
      </c>
      <c r="BA3424">
        <v>1</v>
      </c>
      <c r="BB3424">
        <v>1.27</v>
      </c>
      <c r="BC3424">
        <v>-2</v>
      </c>
      <c r="BD3424">
        <v>-0.64</v>
      </c>
      <c r="BE3424">
        <v>-2.4500000000000002</v>
      </c>
      <c r="BF3424">
        <v>-2.7</v>
      </c>
      <c r="BG3424">
        <v>0.54</v>
      </c>
      <c r="BH3424">
        <v>-0.83</v>
      </c>
      <c r="BI3424">
        <v>20191029</v>
      </c>
      <c r="BJ3424">
        <v>20171020</v>
      </c>
      <c r="BK3424">
        <v>2.92</v>
      </c>
      <c r="BL3424" t="s">
        <v>116</v>
      </c>
      <c r="BM3424" t="s">
        <v>116</v>
      </c>
      <c r="BN3424">
        <v>35.1</v>
      </c>
      <c r="BO3424">
        <v>16.11</v>
      </c>
      <c r="BP3424">
        <v>0</v>
      </c>
      <c r="BQ3424">
        <v>54.1</v>
      </c>
      <c r="BR3424">
        <v>31.25</v>
      </c>
      <c r="BS3424">
        <v>1.99</v>
      </c>
      <c r="BT3424">
        <v>0.26</v>
      </c>
      <c r="BU3424">
        <v>18.989999999999998</v>
      </c>
      <c r="BV3424">
        <v>8.57</v>
      </c>
      <c r="BW3424">
        <v>10</v>
      </c>
      <c r="BX3424">
        <v>7.87</v>
      </c>
      <c r="BY3424">
        <v>14.53</v>
      </c>
      <c r="BZ3424">
        <v>10.18</v>
      </c>
      <c r="CA3424">
        <v>2.4300000000000002</v>
      </c>
      <c r="CB3424">
        <v>0.17</v>
      </c>
      <c r="CC3424">
        <v>2.4300000000000002</v>
      </c>
      <c r="CD3424">
        <v>2.0699999999999998</v>
      </c>
      <c r="CE3424">
        <v>2.0699999999999998</v>
      </c>
      <c r="CF3424">
        <v>1.99</v>
      </c>
      <c r="CG3424">
        <v>5.18</v>
      </c>
      <c r="CH3424">
        <v>0.19</v>
      </c>
      <c r="CI3424">
        <v>-6.54</v>
      </c>
      <c r="CJ3424">
        <v>20875</v>
      </c>
      <c r="CK3424">
        <v>4269</v>
      </c>
      <c r="CL3424" t="s">
        <v>7056</v>
      </c>
      <c r="CM3424">
        <v>20.16</v>
      </c>
      <c r="CN3424">
        <v>14.07</v>
      </c>
      <c r="CO3424">
        <v>2.67</v>
      </c>
      <c r="CP3424">
        <v>225.3</v>
      </c>
      <c r="CQ3424">
        <v>2.96</v>
      </c>
      <c r="CR3424">
        <v>0.51</v>
      </c>
      <c r="CS3424" t="s">
        <v>3173</v>
      </c>
      <c r="CT3424">
        <v>5.52</v>
      </c>
      <c r="CU3424">
        <v>0</v>
      </c>
      <c r="CV3424">
        <v>2.7</v>
      </c>
      <c r="CW3424">
        <v>1.77</v>
      </c>
      <c r="CX3424">
        <v>7.0000000000000007E-2</v>
      </c>
      <c r="CY3424">
        <v>45.9</v>
      </c>
      <c r="CZ3424" t="s">
        <v>11538</v>
      </c>
      <c r="DA3424">
        <v>29.95</v>
      </c>
      <c r="DB3424">
        <v>16.72</v>
      </c>
      <c r="DC3424">
        <v>14.26</v>
      </c>
      <c r="DD3424">
        <v>0.42</v>
      </c>
      <c r="DE3424">
        <v>1403</v>
      </c>
      <c r="DF3424">
        <v>603466</v>
      </c>
      <c r="DG3424" t="s">
        <v>116</v>
      </c>
      <c r="DH3424" t="s">
        <v>116</v>
      </c>
      <c r="DI3424" t="s">
        <v>116</v>
      </c>
    </row>
    <row r="3425" spans="1:113" x14ac:dyDescent="0.4">
      <c r="A3425" t="str">
        <f>"603477"</f>
        <v>603477</v>
      </c>
      <c r="B3425" t="s">
        <v>14465</v>
      </c>
      <c r="C3425">
        <v>2.7</v>
      </c>
      <c r="D3425">
        <v>12.17</v>
      </c>
      <c r="E3425">
        <v>0.32</v>
      </c>
      <c r="F3425">
        <v>12.17</v>
      </c>
      <c r="G3425">
        <v>12.18</v>
      </c>
      <c r="H3425">
        <v>149028</v>
      </c>
      <c r="I3425">
        <v>2245</v>
      </c>
      <c r="J3425">
        <v>-0.15</v>
      </c>
      <c r="K3425">
        <v>13.13</v>
      </c>
      <c r="L3425">
        <v>11.86</v>
      </c>
      <c r="M3425">
        <v>12.3</v>
      </c>
      <c r="N3425">
        <v>11.71</v>
      </c>
      <c r="O3425">
        <v>11.85</v>
      </c>
      <c r="P3425">
        <v>59.8</v>
      </c>
      <c r="Q3425">
        <v>180538976</v>
      </c>
      <c r="R3425">
        <v>1.06</v>
      </c>
      <c r="S3425" t="s">
        <v>1420</v>
      </c>
      <c r="T3425" t="s">
        <v>582</v>
      </c>
      <c r="U3425">
        <v>4.9800000000000004</v>
      </c>
      <c r="V3425">
        <v>12.11</v>
      </c>
      <c r="W3425">
        <v>64924</v>
      </c>
      <c r="X3425">
        <v>84104</v>
      </c>
      <c r="Y3425">
        <v>0.77</v>
      </c>
      <c r="Z3425">
        <v>468</v>
      </c>
      <c r="AA3425">
        <v>515</v>
      </c>
      <c r="AB3425" t="s">
        <v>116</v>
      </c>
      <c r="AC3425">
        <v>405600</v>
      </c>
      <c r="AD3425">
        <v>0.03</v>
      </c>
      <c r="AE3425" t="s">
        <v>116</v>
      </c>
      <c r="AF3425" t="s">
        <v>116</v>
      </c>
      <c r="AG3425">
        <v>1.1399999999999999</v>
      </c>
      <c r="AH3425" t="s">
        <v>3687</v>
      </c>
      <c r="AI3425" t="s">
        <v>4766</v>
      </c>
      <c r="AJ3425">
        <v>2.78</v>
      </c>
      <c r="AK3425">
        <v>3277</v>
      </c>
      <c r="AL3425">
        <v>45</v>
      </c>
      <c r="AM3425">
        <v>4.0000000000000001E-3</v>
      </c>
      <c r="AN3425">
        <v>1</v>
      </c>
      <c r="AO3425">
        <v>1.08</v>
      </c>
      <c r="AP3425">
        <v>5.09</v>
      </c>
      <c r="AQ3425">
        <v>20.73</v>
      </c>
      <c r="AR3425">
        <v>64.239999999999995</v>
      </c>
      <c r="AS3425">
        <v>13.13</v>
      </c>
      <c r="AT3425" t="s">
        <v>3687</v>
      </c>
      <c r="AU3425">
        <v>61.36</v>
      </c>
      <c r="AV3425">
        <v>49.53</v>
      </c>
      <c r="AW3425">
        <v>0</v>
      </c>
      <c r="BA3425">
        <v>0.08</v>
      </c>
      <c r="BB3425">
        <v>3.8</v>
      </c>
      <c r="BC3425">
        <v>-1.18</v>
      </c>
      <c r="BD3425">
        <v>2.23</v>
      </c>
      <c r="BE3425">
        <v>2.61</v>
      </c>
      <c r="BF3425">
        <v>-1.06</v>
      </c>
      <c r="BG3425">
        <v>3.93</v>
      </c>
      <c r="BH3425">
        <v>0.47</v>
      </c>
      <c r="BI3425">
        <v>20191030</v>
      </c>
      <c r="BJ3425">
        <v>20171218</v>
      </c>
      <c r="BK3425">
        <v>2.4</v>
      </c>
      <c r="BL3425" t="s">
        <v>116</v>
      </c>
      <c r="BM3425" t="s">
        <v>116</v>
      </c>
      <c r="BN3425">
        <v>14.05</v>
      </c>
      <c r="BO3425">
        <v>8.49</v>
      </c>
      <c r="BP3425">
        <v>0.26</v>
      </c>
      <c r="BQ3425">
        <v>37.799999999999997</v>
      </c>
      <c r="BR3425">
        <v>9.74</v>
      </c>
      <c r="BS3425">
        <v>3.66</v>
      </c>
      <c r="BT3425">
        <v>0.43</v>
      </c>
      <c r="BU3425">
        <v>5.29</v>
      </c>
      <c r="BV3425">
        <v>5.05</v>
      </c>
      <c r="BW3425">
        <v>1.87</v>
      </c>
      <c r="BX3425">
        <v>3.74</v>
      </c>
      <c r="BY3425">
        <v>4.17</v>
      </c>
      <c r="BZ3425">
        <v>3.42</v>
      </c>
      <c r="CA3425">
        <v>0.42</v>
      </c>
      <c r="CB3425">
        <v>0</v>
      </c>
      <c r="CC3425">
        <v>0.43</v>
      </c>
      <c r="CD3425">
        <v>0.37</v>
      </c>
      <c r="CE3425">
        <v>0.37</v>
      </c>
      <c r="CF3425">
        <v>0.36</v>
      </c>
      <c r="CG3425">
        <v>2.11</v>
      </c>
      <c r="CH3425">
        <v>0.11</v>
      </c>
      <c r="CI3425">
        <v>-0.74</v>
      </c>
      <c r="CJ3425">
        <v>18227</v>
      </c>
      <c r="CK3425">
        <v>6227</v>
      </c>
      <c r="CL3425" t="s">
        <v>14466</v>
      </c>
      <c r="CM3425">
        <v>-23.69</v>
      </c>
      <c r="CN3425">
        <v>-12.66</v>
      </c>
      <c r="CO3425">
        <v>3.44</v>
      </c>
      <c r="CP3425">
        <v>273.70999999999998</v>
      </c>
      <c r="CQ3425">
        <v>7.01</v>
      </c>
      <c r="CR3425">
        <v>0.66</v>
      </c>
      <c r="CS3425" t="s">
        <v>2716</v>
      </c>
      <c r="CT3425">
        <v>3.54</v>
      </c>
      <c r="CU3425">
        <v>0</v>
      </c>
      <c r="CV3425">
        <v>1.56</v>
      </c>
      <c r="CW3425">
        <v>0.88</v>
      </c>
      <c r="CX3425">
        <v>0.04</v>
      </c>
      <c r="CY3425">
        <v>60.38</v>
      </c>
      <c r="CZ3425" t="s">
        <v>10811</v>
      </c>
      <c r="DA3425">
        <v>17.89</v>
      </c>
      <c r="DB3425">
        <v>10.17</v>
      </c>
      <c r="DC3425">
        <v>8.7899999999999991</v>
      </c>
      <c r="DD3425">
        <v>0.03</v>
      </c>
      <c r="DE3425">
        <v>1333</v>
      </c>
      <c r="DF3425">
        <v>603477</v>
      </c>
      <c r="DG3425" t="s">
        <v>116</v>
      </c>
      <c r="DH3425" t="s">
        <v>116</v>
      </c>
      <c r="DI3425" t="s">
        <v>116</v>
      </c>
    </row>
    <row r="3426" spans="1:113" x14ac:dyDescent="0.4">
      <c r="A3426" t="str">
        <f>"603486"</f>
        <v>603486</v>
      </c>
      <c r="B3426" t="s">
        <v>14467</v>
      </c>
      <c r="C3426">
        <v>-1.36</v>
      </c>
      <c r="D3426">
        <v>20.25</v>
      </c>
      <c r="E3426">
        <v>-0.28000000000000003</v>
      </c>
      <c r="F3426">
        <v>20.239999999999998</v>
      </c>
      <c r="G3426">
        <v>20.25</v>
      </c>
      <c r="H3426">
        <v>30448</v>
      </c>
      <c r="I3426">
        <v>640</v>
      </c>
      <c r="J3426">
        <v>-0.04</v>
      </c>
      <c r="K3426">
        <v>1.69</v>
      </c>
      <c r="L3426">
        <v>20.57</v>
      </c>
      <c r="M3426">
        <v>20.69</v>
      </c>
      <c r="N3426">
        <v>20.23</v>
      </c>
      <c r="O3426">
        <v>20.53</v>
      </c>
      <c r="P3426">
        <v>84.74</v>
      </c>
      <c r="Q3426">
        <v>62316132</v>
      </c>
      <c r="R3426">
        <v>0.97</v>
      </c>
      <c r="S3426" t="s">
        <v>209</v>
      </c>
      <c r="T3426" t="s">
        <v>323</v>
      </c>
      <c r="U3426">
        <v>2.2400000000000002</v>
      </c>
      <c r="V3426">
        <v>20.47</v>
      </c>
      <c r="W3426">
        <v>18068</v>
      </c>
      <c r="X3426">
        <v>12380</v>
      </c>
      <c r="Y3426">
        <v>1.46</v>
      </c>
      <c r="Z3426">
        <v>159</v>
      </c>
      <c r="AA3426">
        <v>236</v>
      </c>
      <c r="AB3426" t="s">
        <v>116</v>
      </c>
      <c r="AC3426">
        <v>84300</v>
      </c>
      <c r="AD3426">
        <v>0</v>
      </c>
      <c r="AE3426" t="s">
        <v>116</v>
      </c>
      <c r="AF3426" t="s">
        <v>116</v>
      </c>
      <c r="AG3426">
        <v>1.8</v>
      </c>
      <c r="AH3426" t="s">
        <v>14468</v>
      </c>
      <c r="AI3426" t="s">
        <v>4583</v>
      </c>
      <c r="AJ3426">
        <v>-1.29</v>
      </c>
      <c r="AK3426">
        <v>1615</v>
      </c>
      <c r="AL3426">
        <v>19</v>
      </c>
      <c r="AM3426">
        <v>1E-3</v>
      </c>
      <c r="AN3426">
        <v>-1</v>
      </c>
      <c r="AO3426">
        <v>-0.48</v>
      </c>
      <c r="AP3426">
        <v>6.3</v>
      </c>
      <c r="AQ3426">
        <v>-7.74</v>
      </c>
      <c r="AR3426">
        <v>-37.869999999999997</v>
      </c>
      <c r="AS3426">
        <v>1.69</v>
      </c>
      <c r="AT3426" t="s">
        <v>14468</v>
      </c>
      <c r="AU3426">
        <v>38.26</v>
      </c>
      <c r="AV3426">
        <v>23.56</v>
      </c>
      <c r="AW3426">
        <v>0.96</v>
      </c>
      <c r="BA3426">
        <v>0.19</v>
      </c>
      <c r="BB3426">
        <v>0.78</v>
      </c>
      <c r="BC3426">
        <v>-1.46</v>
      </c>
      <c r="BD3426">
        <v>-0.31</v>
      </c>
      <c r="BE3426">
        <v>-1.56</v>
      </c>
      <c r="BF3426">
        <v>-2.13</v>
      </c>
      <c r="BG3426">
        <v>0.1</v>
      </c>
      <c r="BH3426">
        <v>-1.05</v>
      </c>
      <c r="BI3426">
        <v>20191030</v>
      </c>
      <c r="BJ3426">
        <v>20180528</v>
      </c>
      <c r="BK3426">
        <v>5.64</v>
      </c>
      <c r="BL3426" t="s">
        <v>116</v>
      </c>
      <c r="BM3426" t="s">
        <v>116</v>
      </c>
      <c r="BN3426">
        <v>41.41</v>
      </c>
      <c r="BO3426">
        <v>24.58</v>
      </c>
      <c r="BP3426">
        <v>0.09</v>
      </c>
      <c r="BQ3426">
        <v>40.44</v>
      </c>
      <c r="BR3426">
        <v>30.05</v>
      </c>
      <c r="BS3426">
        <v>7.86</v>
      </c>
      <c r="BT3426">
        <v>0.88</v>
      </c>
      <c r="BU3426">
        <v>16.61</v>
      </c>
      <c r="BV3426">
        <v>12.8</v>
      </c>
      <c r="BW3426">
        <v>6.71</v>
      </c>
      <c r="BX3426">
        <v>9.34</v>
      </c>
      <c r="BY3426">
        <v>34.450000000000003</v>
      </c>
      <c r="BZ3426">
        <v>21.62</v>
      </c>
      <c r="CA3426">
        <v>1.17</v>
      </c>
      <c r="CB3426">
        <v>-0.05</v>
      </c>
      <c r="CC3426">
        <v>1.2</v>
      </c>
      <c r="CD3426">
        <v>1.01</v>
      </c>
      <c r="CE3426">
        <v>1.01</v>
      </c>
      <c r="CF3426">
        <v>0.87</v>
      </c>
      <c r="CG3426">
        <v>8.7799999999999994</v>
      </c>
      <c r="CH3426">
        <v>-0.49</v>
      </c>
      <c r="CI3426">
        <v>-3.42</v>
      </c>
      <c r="CJ3426">
        <v>19295</v>
      </c>
      <c r="CK3426">
        <v>9311</v>
      </c>
      <c r="CL3426" t="s">
        <v>14469</v>
      </c>
      <c r="CM3426">
        <v>-64.81</v>
      </c>
      <c r="CN3426">
        <v>-8.18</v>
      </c>
      <c r="CO3426">
        <v>4.6100000000000003</v>
      </c>
      <c r="CP3426">
        <v>-234.55</v>
      </c>
      <c r="CQ3426">
        <v>3.32</v>
      </c>
      <c r="CR3426">
        <v>1.4</v>
      </c>
      <c r="CS3426" t="s">
        <v>5426</v>
      </c>
      <c r="CT3426">
        <v>4.3899999999999997</v>
      </c>
      <c r="CU3426">
        <v>4.3899999999999997</v>
      </c>
      <c r="CV3426">
        <v>1.65</v>
      </c>
      <c r="CW3426">
        <v>1.56</v>
      </c>
      <c r="CX3426">
        <v>-0.09</v>
      </c>
      <c r="CY3426">
        <v>59.35</v>
      </c>
      <c r="CZ3426" t="s">
        <v>1361</v>
      </c>
      <c r="DA3426">
        <v>37.229999999999997</v>
      </c>
      <c r="DB3426">
        <v>3.41</v>
      </c>
      <c r="DC3426">
        <v>2.94</v>
      </c>
      <c r="DD3426">
        <v>1.96</v>
      </c>
      <c r="DE3426">
        <v>6346</v>
      </c>
      <c r="DF3426">
        <v>603486</v>
      </c>
      <c r="DG3426" t="s">
        <v>116</v>
      </c>
      <c r="DH3426" t="s">
        <v>116</v>
      </c>
      <c r="DI3426" t="s">
        <v>116</v>
      </c>
    </row>
    <row r="3427" spans="1:113" x14ac:dyDescent="0.4">
      <c r="A3427" t="str">
        <f>"603488"</f>
        <v>603488</v>
      </c>
      <c r="B3427" t="s">
        <v>14470</v>
      </c>
      <c r="C3427">
        <v>-1.72</v>
      </c>
      <c r="D3427">
        <v>8.56</v>
      </c>
      <c r="E3427">
        <v>-0.15</v>
      </c>
      <c r="F3427">
        <v>8.56</v>
      </c>
      <c r="G3427">
        <v>8.58</v>
      </c>
      <c r="H3427">
        <v>25156</v>
      </c>
      <c r="I3427">
        <v>54</v>
      </c>
      <c r="J3427">
        <v>0</v>
      </c>
      <c r="K3427">
        <v>2.6</v>
      </c>
      <c r="L3427">
        <v>8.7100000000000009</v>
      </c>
      <c r="M3427">
        <v>8.7100000000000009</v>
      </c>
      <c r="N3427">
        <v>8.5500000000000007</v>
      </c>
      <c r="O3427">
        <v>8.7100000000000009</v>
      </c>
      <c r="P3427">
        <v>23.44</v>
      </c>
      <c r="Q3427">
        <v>21667154</v>
      </c>
      <c r="R3427">
        <v>1.66</v>
      </c>
      <c r="S3427" t="s">
        <v>397</v>
      </c>
      <c r="T3427" t="s">
        <v>323</v>
      </c>
      <c r="U3427">
        <v>1.84</v>
      </c>
      <c r="V3427">
        <v>8.61</v>
      </c>
      <c r="W3427">
        <v>18106</v>
      </c>
      <c r="X3427">
        <v>7050</v>
      </c>
      <c r="Y3427">
        <v>2.57</v>
      </c>
      <c r="Z3427">
        <v>173</v>
      </c>
      <c r="AA3427">
        <v>4</v>
      </c>
      <c r="AB3427" t="s">
        <v>116</v>
      </c>
      <c r="AC3427">
        <v>35700</v>
      </c>
      <c r="AD3427">
        <v>0.01</v>
      </c>
      <c r="AE3427" t="s">
        <v>116</v>
      </c>
      <c r="AF3427" t="s">
        <v>116</v>
      </c>
      <c r="AG3427">
        <v>0.97</v>
      </c>
      <c r="AH3427" t="s">
        <v>6867</v>
      </c>
      <c r="AI3427" t="s">
        <v>5425</v>
      </c>
      <c r="AJ3427">
        <v>-1.65</v>
      </c>
      <c r="AK3427">
        <v>1006</v>
      </c>
      <c r="AL3427">
        <v>25</v>
      </c>
      <c r="AM3427">
        <v>2.5999999999999999E-3</v>
      </c>
      <c r="AN3427">
        <v>-1</v>
      </c>
      <c r="AO3427">
        <v>0.59</v>
      </c>
      <c r="AP3427">
        <v>7.13</v>
      </c>
      <c r="AQ3427">
        <v>3.76</v>
      </c>
      <c r="AR3427">
        <v>19.89</v>
      </c>
      <c r="AS3427">
        <v>3.37</v>
      </c>
      <c r="AT3427" t="s">
        <v>14471</v>
      </c>
      <c r="AU3427">
        <v>21.92</v>
      </c>
      <c r="AV3427">
        <v>24.17</v>
      </c>
      <c r="AW3427">
        <v>1.32</v>
      </c>
      <c r="BA3427">
        <v>0</v>
      </c>
      <c r="BB3427">
        <v>0</v>
      </c>
      <c r="BC3427">
        <v>-1.84</v>
      </c>
      <c r="BD3427">
        <v>-1.1100000000000001</v>
      </c>
      <c r="BE3427">
        <v>-1.72</v>
      </c>
      <c r="BF3427">
        <v>-1.72</v>
      </c>
      <c r="BG3427">
        <v>0.12</v>
      </c>
      <c r="BH3427">
        <v>-0.61</v>
      </c>
      <c r="BI3427">
        <v>20191028</v>
      </c>
      <c r="BJ3427">
        <v>20170516</v>
      </c>
      <c r="BK3427">
        <v>2.09</v>
      </c>
      <c r="BL3427" t="s">
        <v>116</v>
      </c>
      <c r="BM3427" t="s">
        <v>116</v>
      </c>
      <c r="BN3427">
        <v>9.64</v>
      </c>
      <c r="BO3427">
        <v>8.57</v>
      </c>
      <c r="BP3427">
        <v>0</v>
      </c>
      <c r="BQ3427">
        <v>11.12</v>
      </c>
      <c r="BR3427">
        <v>8.14</v>
      </c>
      <c r="BS3427">
        <v>1.18</v>
      </c>
      <c r="BT3427">
        <v>0.27</v>
      </c>
      <c r="BU3427">
        <v>1.07</v>
      </c>
      <c r="BV3427">
        <v>0.43</v>
      </c>
      <c r="BW3427">
        <v>1.25</v>
      </c>
      <c r="BX3427">
        <v>3.41</v>
      </c>
      <c r="BY3427">
        <v>2.63</v>
      </c>
      <c r="BZ3427">
        <v>1.71</v>
      </c>
      <c r="CA3427">
        <v>0.67</v>
      </c>
      <c r="CB3427">
        <v>0.1</v>
      </c>
      <c r="CC3427">
        <v>0.67</v>
      </c>
      <c r="CD3427">
        <v>0.56999999999999995</v>
      </c>
      <c r="CE3427">
        <v>0.56999999999999995</v>
      </c>
      <c r="CF3427">
        <v>0.51</v>
      </c>
      <c r="CG3427">
        <v>2.57</v>
      </c>
      <c r="CH3427">
        <v>0.48</v>
      </c>
      <c r="CI3427">
        <v>-4.99</v>
      </c>
      <c r="CJ3427">
        <v>12255</v>
      </c>
      <c r="CK3427">
        <v>6098</v>
      </c>
      <c r="CL3427" t="s">
        <v>3404</v>
      </c>
      <c r="CM3427">
        <v>15.29</v>
      </c>
      <c r="CN3427">
        <v>17.32</v>
      </c>
      <c r="CO3427">
        <v>2.09</v>
      </c>
      <c r="CP3427">
        <v>37.56</v>
      </c>
      <c r="CQ3427">
        <v>6.8</v>
      </c>
      <c r="CR3427">
        <v>2.34</v>
      </c>
      <c r="CS3427" t="s">
        <v>13982</v>
      </c>
      <c r="CT3427">
        <v>4.0999999999999996</v>
      </c>
      <c r="CU3427">
        <v>0</v>
      </c>
      <c r="CV3427">
        <v>1.63</v>
      </c>
      <c r="CW3427">
        <v>1.23</v>
      </c>
      <c r="CX3427">
        <v>0.23</v>
      </c>
      <c r="CY3427">
        <v>88.88</v>
      </c>
      <c r="CZ3427" t="s">
        <v>3055</v>
      </c>
      <c r="DA3427">
        <v>35.090000000000003</v>
      </c>
      <c r="DB3427">
        <v>25.34</v>
      </c>
      <c r="DC3427">
        <v>21.76</v>
      </c>
      <c r="DD3427">
        <v>0.09</v>
      </c>
      <c r="DE3427">
        <v>434</v>
      </c>
      <c r="DF3427">
        <v>603488</v>
      </c>
      <c r="DG3427" t="s">
        <v>116</v>
      </c>
      <c r="DH3427" t="s">
        <v>116</v>
      </c>
      <c r="DI3427" t="s">
        <v>116</v>
      </c>
    </row>
    <row r="3428" spans="1:113" x14ac:dyDescent="0.4">
      <c r="A3428" t="str">
        <f>"603489"</f>
        <v>603489</v>
      </c>
      <c r="B3428" t="s">
        <v>14472</v>
      </c>
      <c r="C3428">
        <v>-3.66</v>
      </c>
      <c r="D3428">
        <v>102.8</v>
      </c>
      <c r="E3428">
        <v>-3.9</v>
      </c>
      <c r="F3428">
        <v>102.8</v>
      </c>
      <c r="G3428">
        <v>102.83</v>
      </c>
      <c r="H3428">
        <v>20096</v>
      </c>
      <c r="I3428">
        <v>311</v>
      </c>
      <c r="J3428">
        <v>-0.18</v>
      </c>
      <c r="K3428">
        <v>6.7</v>
      </c>
      <c r="L3428">
        <v>106</v>
      </c>
      <c r="M3428">
        <v>107.1</v>
      </c>
      <c r="N3428">
        <v>102.35</v>
      </c>
      <c r="O3428">
        <v>106.7</v>
      </c>
      <c r="P3428">
        <v>38.69</v>
      </c>
      <c r="Q3428">
        <v>209383920</v>
      </c>
      <c r="R3428">
        <v>0.68</v>
      </c>
      <c r="S3428" t="s">
        <v>397</v>
      </c>
      <c r="T3428" t="s">
        <v>323</v>
      </c>
      <c r="U3428">
        <v>4.45</v>
      </c>
      <c r="V3428">
        <v>104.19</v>
      </c>
      <c r="W3428">
        <v>11967</v>
      </c>
      <c r="X3428">
        <v>8129</v>
      </c>
      <c r="Y3428">
        <v>1.47</v>
      </c>
      <c r="Z3428">
        <v>100</v>
      </c>
      <c r="AA3428">
        <v>12</v>
      </c>
      <c r="AB3428" t="s">
        <v>116</v>
      </c>
      <c r="AC3428">
        <v>2830200</v>
      </c>
      <c r="AD3428">
        <v>0.09</v>
      </c>
      <c r="AE3428" t="s">
        <v>116</v>
      </c>
      <c r="AF3428" t="s">
        <v>116</v>
      </c>
      <c r="AG3428">
        <v>0.3</v>
      </c>
      <c r="AH3428" t="s">
        <v>14473</v>
      </c>
      <c r="AI3428" t="s">
        <v>14474</v>
      </c>
      <c r="AJ3428">
        <v>-3.58</v>
      </c>
      <c r="AK3428">
        <v>2696</v>
      </c>
      <c r="AL3428">
        <v>7</v>
      </c>
      <c r="AM3428">
        <v>2.5000000000000001E-3</v>
      </c>
      <c r="AN3428">
        <v>-1</v>
      </c>
      <c r="AO3428">
        <v>-5.81</v>
      </c>
      <c r="AP3428">
        <v>24.61</v>
      </c>
      <c r="AQ3428">
        <v>136.65</v>
      </c>
      <c r="AR3428">
        <v>136.65</v>
      </c>
      <c r="AS3428">
        <v>6.7</v>
      </c>
      <c r="AT3428" t="s">
        <v>14473</v>
      </c>
      <c r="AU3428">
        <v>39.79</v>
      </c>
      <c r="AV3428">
        <v>53.09</v>
      </c>
      <c r="AW3428">
        <v>0</v>
      </c>
      <c r="BA3428">
        <v>-0.66</v>
      </c>
      <c r="BB3428">
        <v>0.37</v>
      </c>
      <c r="BC3428">
        <v>-4.08</v>
      </c>
      <c r="BD3428">
        <v>-2.35</v>
      </c>
      <c r="BE3428">
        <v>-3.02</v>
      </c>
      <c r="BF3428">
        <v>-4.01</v>
      </c>
      <c r="BG3428">
        <v>0.44</v>
      </c>
      <c r="BH3428">
        <v>-1.31</v>
      </c>
      <c r="BI3428">
        <v>20191110</v>
      </c>
      <c r="BJ3428">
        <v>20191111</v>
      </c>
      <c r="BK3428">
        <v>1.2</v>
      </c>
      <c r="BL3428" t="s">
        <v>116</v>
      </c>
      <c r="BM3428" t="s">
        <v>116</v>
      </c>
      <c r="BN3428">
        <v>8.99</v>
      </c>
      <c r="BO3428">
        <v>6.6</v>
      </c>
      <c r="BP3428">
        <v>0</v>
      </c>
      <c r="BQ3428">
        <v>26.52</v>
      </c>
      <c r="BR3428">
        <v>8.35</v>
      </c>
      <c r="BS3428">
        <v>0.24</v>
      </c>
      <c r="BT3428">
        <v>0.32</v>
      </c>
      <c r="BU3428">
        <v>2.38</v>
      </c>
      <c r="BV3428">
        <v>1.42</v>
      </c>
      <c r="BW3428">
        <v>1.66</v>
      </c>
      <c r="BX3428">
        <v>1.67</v>
      </c>
      <c r="BY3428">
        <v>8.8000000000000007</v>
      </c>
      <c r="BZ3428">
        <v>5.1100000000000003</v>
      </c>
      <c r="CA3428">
        <v>2.8</v>
      </c>
      <c r="CB3428">
        <v>0.04</v>
      </c>
      <c r="CC3428">
        <v>2.82</v>
      </c>
      <c r="CD3428">
        <v>2.39</v>
      </c>
      <c r="CE3428">
        <v>2.39</v>
      </c>
      <c r="CF3428">
        <v>2.34</v>
      </c>
      <c r="CG3428">
        <v>3.8</v>
      </c>
      <c r="CH3428">
        <v>1.4</v>
      </c>
      <c r="CI3428">
        <v>-0.89</v>
      </c>
      <c r="CJ3428">
        <v>33142</v>
      </c>
      <c r="CK3428">
        <v>905</v>
      </c>
      <c r="CL3428" t="s">
        <v>8425</v>
      </c>
      <c r="CM3428">
        <v>0</v>
      </c>
      <c r="CN3428">
        <v>0</v>
      </c>
      <c r="CO3428">
        <v>6.5</v>
      </c>
      <c r="CP3428">
        <v>88.2</v>
      </c>
      <c r="CQ3428">
        <v>14.02</v>
      </c>
      <c r="CR3428">
        <v>0</v>
      </c>
      <c r="CS3428" t="s">
        <v>14475</v>
      </c>
      <c r="CT3428">
        <v>15.81</v>
      </c>
      <c r="CU3428">
        <v>15.81</v>
      </c>
      <c r="CV3428">
        <v>1.39</v>
      </c>
      <c r="CW3428">
        <v>3.16</v>
      </c>
      <c r="CX3428">
        <v>1.17</v>
      </c>
      <c r="CY3428">
        <v>73.48</v>
      </c>
      <c r="CZ3428" t="s">
        <v>14476</v>
      </c>
      <c r="DA3428">
        <v>41.96</v>
      </c>
      <c r="DB3428">
        <v>31.78</v>
      </c>
      <c r="DC3428">
        <v>27.18</v>
      </c>
      <c r="DD3428">
        <v>0.25</v>
      </c>
      <c r="DE3428">
        <v>477</v>
      </c>
      <c r="DF3428">
        <v>603489</v>
      </c>
      <c r="DG3428" t="s">
        <v>116</v>
      </c>
      <c r="DH3428" t="s">
        <v>116</v>
      </c>
      <c r="DI3428" t="s">
        <v>116</v>
      </c>
    </row>
    <row r="3429" spans="1:113" x14ac:dyDescent="0.4">
      <c r="A3429" t="str">
        <f>"603496"</f>
        <v>603496</v>
      </c>
      <c r="B3429" t="s">
        <v>14477</v>
      </c>
      <c r="C3429">
        <v>-2.83</v>
      </c>
      <c r="D3429">
        <v>22.34</v>
      </c>
      <c r="E3429">
        <v>-0.65</v>
      </c>
      <c r="F3429">
        <v>22.33</v>
      </c>
      <c r="G3429">
        <v>22.34</v>
      </c>
      <c r="H3429">
        <v>48225</v>
      </c>
      <c r="I3429">
        <v>624</v>
      </c>
      <c r="J3429">
        <v>0.4</v>
      </c>
      <c r="K3429">
        <v>4.42</v>
      </c>
      <c r="L3429">
        <v>22.3</v>
      </c>
      <c r="M3429">
        <v>23</v>
      </c>
      <c r="N3429">
        <v>22.22</v>
      </c>
      <c r="O3429">
        <v>22.99</v>
      </c>
      <c r="P3429">
        <v>47.53</v>
      </c>
      <c r="Q3429">
        <v>108632248</v>
      </c>
      <c r="R3429">
        <v>0.69</v>
      </c>
      <c r="S3429" t="s">
        <v>241</v>
      </c>
      <c r="T3429" t="s">
        <v>1653</v>
      </c>
      <c r="U3429">
        <v>3.39</v>
      </c>
      <c r="V3429">
        <v>22.53</v>
      </c>
      <c r="W3429">
        <v>29712</v>
      </c>
      <c r="X3429">
        <v>18513</v>
      </c>
      <c r="Y3429">
        <v>1.6</v>
      </c>
      <c r="Z3429">
        <v>101</v>
      </c>
      <c r="AA3429">
        <v>24</v>
      </c>
      <c r="AB3429" t="s">
        <v>116</v>
      </c>
      <c r="AC3429">
        <v>999000</v>
      </c>
      <c r="AD3429">
        <v>0.04</v>
      </c>
      <c r="AE3429" t="s">
        <v>116</v>
      </c>
      <c r="AF3429" t="s">
        <v>116</v>
      </c>
      <c r="AG3429">
        <v>1.0900000000000001</v>
      </c>
      <c r="AH3429" t="s">
        <v>8200</v>
      </c>
      <c r="AI3429" t="s">
        <v>14478</v>
      </c>
      <c r="AJ3429">
        <v>-2.75</v>
      </c>
      <c r="AK3429">
        <v>2290</v>
      </c>
      <c r="AL3429">
        <v>21</v>
      </c>
      <c r="AM3429">
        <v>1.9E-3</v>
      </c>
      <c r="AN3429">
        <v>-2</v>
      </c>
      <c r="AO3429">
        <v>0</v>
      </c>
      <c r="AP3429">
        <v>18.329999999999998</v>
      </c>
      <c r="AQ3429">
        <v>6.84</v>
      </c>
      <c r="AR3429">
        <v>31.49</v>
      </c>
      <c r="AS3429">
        <v>4.42</v>
      </c>
      <c r="AT3429" t="s">
        <v>8200</v>
      </c>
      <c r="AU3429">
        <v>48.19</v>
      </c>
      <c r="AV3429">
        <v>43.05</v>
      </c>
      <c r="AW3429">
        <v>1.86</v>
      </c>
      <c r="BA3429">
        <v>-3</v>
      </c>
      <c r="BB3429">
        <v>0.04</v>
      </c>
      <c r="BC3429">
        <v>-3.35</v>
      </c>
      <c r="BD3429">
        <v>-2.02</v>
      </c>
      <c r="BE3429">
        <v>0.18</v>
      </c>
      <c r="BF3429">
        <v>-2.87</v>
      </c>
      <c r="BG3429">
        <v>0.54</v>
      </c>
      <c r="BH3429">
        <v>-0.81</v>
      </c>
      <c r="BI3429">
        <v>20191203</v>
      </c>
      <c r="BJ3429">
        <v>20170607</v>
      </c>
      <c r="BK3429">
        <v>2.0299999999999998</v>
      </c>
      <c r="BL3429" t="s">
        <v>116</v>
      </c>
      <c r="BM3429" t="s">
        <v>116</v>
      </c>
      <c r="BN3429">
        <v>9.82</v>
      </c>
      <c r="BO3429">
        <v>8.1300000000000008</v>
      </c>
      <c r="BP3429">
        <v>-0.01</v>
      </c>
      <c r="BQ3429">
        <v>17.37</v>
      </c>
      <c r="BR3429">
        <v>7.89</v>
      </c>
      <c r="BS3429">
        <v>1.33</v>
      </c>
      <c r="BT3429">
        <v>0.02</v>
      </c>
      <c r="BU3429">
        <v>1.63</v>
      </c>
      <c r="BV3429">
        <v>2.13</v>
      </c>
      <c r="BW3429">
        <v>2.6</v>
      </c>
      <c r="BX3429">
        <v>3.27</v>
      </c>
      <c r="BY3429">
        <v>3.33</v>
      </c>
      <c r="BZ3429">
        <v>1.37</v>
      </c>
      <c r="CA3429">
        <v>0.78</v>
      </c>
      <c r="CB3429">
        <v>0.02</v>
      </c>
      <c r="CC3429">
        <v>0.78</v>
      </c>
      <c r="CD3429">
        <v>0.67</v>
      </c>
      <c r="CE3429">
        <v>0.71</v>
      </c>
      <c r="CF3429">
        <v>0.67</v>
      </c>
      <c r="CG3429">
        <v>2.91</v>
      </c>
      <c r="CH3429">
        <v>-0.35</v>
      </c>
      <c r="CI3429">
        <v>-0.45</v>
      </c>
      <c r="CJ3429">
        <v>13872</v>
      </c>
      <c r="CK3429">
        <v>7874</v>
      </c>
      <c r="CL3429" t="s">
        <v>14479</v>
      </c>
      <c r="CM3429">
        <v>-13.57</v>
      </c>
      <c r="CN3429">
        <v>-1.31</v>
      </c>
      <c r="CO3429">
        <v>5.57</v>
      </c>
      <c r="CP3429">
        <v>-128.08000000000001</v>
      </c>
      <c r="CQ3429">
        <v>13.6</v>
      </c>
      <c r="CR3429">
        <v>0.71</v>
      </c>
      <c r="CS3429" t="s">
        <v>8376</v>
      </c>
      <c r="CT3429">
        <v>4.01</v>
      </c>
      <c r="CU3429">
        <v>0</v>
      </c>
      <c r="CV3429">
        <v>1.61</v>
      </c>
      <c r="CW3429">
        <v>1.44</v>
      </c>
      <c r="CX3429">
        <v>-0.17</v>
      </c>
      <c r="CY3429">
        <v>82.77</v>
      </c>
      <c r="CZ3429" t="s">
        <v>8404</v>
      </c>
      <c r="DA3429">
        <v>58.81</v>
      </c>
      <c r="DB3429">
        <v>23.54</v>
      </c>
      <c r="DC3429">
        <v>21.46</v>
      </c>
      <c r="DD3429">
        <v>0.77</v>
      </c>
      <c r="DE3429">
        <v>346</v>
      </c>
      <c r="DF3429">
        <v>603496</v>
      </c>
      <c r="DG3429" t="s">
        <v>116</v>
      </c>
      <c r="DH3429" t="s">
        <v>116</v>
      </c>
      <c r="DI3429" t="s">
        <v>116</v>
      </c>
    </row>
    <row r="3430" spans="1:113" x14ac:dyDescent="0.4">
      <c r="A3430" t="str">
        <f>"603499"</f>
        <v>603499</v>
      </c>
      <c r="B3430" t="s">
        <v>14480</v>
      </c>
      <c r="C3430">
        <v>1.1599999999999999</v>
      </c>
      <c r="D3430">
        <v>15.72</v>
      </c>
      <c r="E3430">
        <v>0.18</v>
      </c>
      <c r="F3430">
        <v>15.71</v>
      </c>
      <c r="G3430">
        <v>15.72</v>
      </c>
      <c r="H3430">
        <v>17181</v>
      </c>
      <c r="I3430">
        <v>212</v>
      </c>
      <c r="J3430">
        <v>-0.31</v>
      </c>
      <c r="K3430">
        <v>4.84</v>
      </c>
      <c r="L3430">
        <v>15.56</v>
      </c>
      <c r="M3430">
        <v>15.95</v>
      </c>
      <c r="N3430">
        <v>15.53</v>
      </c>
      <c r="O3430">
        <v>15.54</v>
      </c>
      <c r="P3430">
        <v>79.97</v>
      </c>
      <c r="Q3430">
        <v>27124442</v>
      </c>
      <c r="R3430">
        <v>1.33</v>
      </c>
      <c r="S3430" t="s">
        <v>345</v>
      </c>
      <c r="T3430" t="s">
        <v>1653</v>
      </c>
      <c r="U3430">
        <v>2.7</v>
      </c>
      <c r="V3430">
        <v>15.79</v>
      </c>
      <c r="W3430">
        <v>6546</v>
      </c>
      <c r="X3430">
        <v>10636</v>
      </c>
      <c r="Y3430">
        <v>0.62</v>
      </c>
      <c r="Z3430">
        <v>62</v>
      </c>
      <c r="AA3430">
        <v>12</v>
      </c>
      <c r="AB3430" t="s">
        <v>116</v>
      </c>
      <c r="AC3430">
        <v>70000</v>
      </c>
      <c r="AD3430">
        <v>0.01</v>
      </c>
      <c r="AE3430" t="s">
        <v>116</v>
      </c>
      <c r="AF3430" t="s">
        <v>116</v>
      </c>
      <c r="AG3430">
        <v>0.36</v>
      </c>
      <c r="AH3430" t="s">
        <v>14481</v>
      </c>
      <c r="AI3430" t="s">
        <v>14482</v>
      </c>
      <c r="AJ3430">
        <v>1.24</v>
      </c>
      <c r="AK3430">
        <v>1117</v>
      </c>
      <c r="AL3430">
        <v>15</v>
      </c>
      <c r="AM3430">
        <v>4.3E-3</v>
      </c>
      <c r="AN3430">
        <v>2</v>
      </c>
      <c r="AO3430">
        <v>1.42</v>
      </c>
      <c r="AP3430">
        <v>15.42</v>
      </c>
      <c r="AQ3430">
        <v>-2.78</v>
      </c>
      <c r="AR3430">
        <v>11.38</v>
      </c>
      <c r="AS3430">
        <v>4.84</v>
      </c>
      <c r="AT3430" t="s">
        <v>14481</v>
      </c>
      <c r="AU3430">
        <v>72.19</v>
      </c>
      <c r="AV3430">
        <v>46.34</v>
      </c>
      <c r="AW3430">
        <v>1.52</v>
      </c>
      <c r="BA3430">
        <v>0.13</v>
      </c>
      <c r="BB3430">
        <v>2.64</v>
      </c>
      <c r="BC3430">
        <v>-0.06</v>
      </c>
      <c r="BD3430">
        <v>1.59</v>
      </c>
      <c r="BE3430">
        <v>1.03</v>
      </c>
      <c r="BF3430">
        <v>-1.44</v>
      </c>
      <c r="BG3430">
        <v>1.22</v>
      </c>
      <c r="BH3430">
        <v>-0.43</v>
      </c>
      <c r="BI3430">
        <v>20191114</v>
      </c>
      <c r="BJ3430">
        <v>20171016</v>
      </c>
      <c r="BK3430">
        <v>1.42</v>
      </c>
      <c r="BL3430" t="s">
        <v>116</v>
      </c>
      <c r="BM3430" t="s">
        <v>116</v>
      </c>
      <c r="BN3430">
        <v>6.79</v>
      </c>
      <c r="BO3430">
        <v>5.44</v>
      </c>
      <c r="BP3430">
        <v>0.01</v>
      </c>
      <c r="BQ3430">
        <v>19.66</v>
      </c>
      <c r="BR3430">
        <v>2.99</v>
      </c>
      <c r="BS3430">
        <v>2.38</v>
      </c>
      <c r="BT3430">
        <v>0.34</v>
      </c>
      <c r="BU3430">
        <v>1.23</v>
      </c>
      <c r="BV3430">
        <v>0.48</v>
      </c>
      <c r="BW3430">
        <v>1.37</v>
      </c>
      <c r="BX3430">
        <v>2.67</v>
      </c>
      <c r="BY3430">
        <v>2.36</v>
      </c>
      <c r="BZ3430">
        <v>1.86</v>
      </c>
      <c r="CA3430">
        <v>0.15</v>
      </c>
      <c r="CB3430">
        <v>0</v>
      </c>
      <c r="CC3430">
        <v>0.21</v>
      </c>
      <c r="CD3430">
        <v>0.21</v>
      </c>
      <c r="CE3430">
        <v>0.21</v>
      </c>
      <c r="CF3430">
        <v>0.16</v>
      </c>
      <c r="CG3430">
        <v>1.28</v>
      </c>
      <c r="CH3430">
        <v>0.28999999999999998</v>
      </c>
      <c r="CI3430">
        <v>0.11</v>
      </c>
      <c r="CJ3430">
        <v>10757</v>
      </c>
      <c r="CK3430">
        <v>3303</v>
      </c>
      <c r="CL3430" t="s">
        <v>3949</v>
      </c>
      <c r="CM3430">
        <v>-45.17</v>
      </c>
      <c r="CN3430">
        <v>-12.86</v>
      </c>
      <c r="CO3430">
        <v>4.09</v>
      </c>
      <c r="CP3430">
        <v>76.56</v>
      </c>
      <c r="CQ3430">
        <v>9.42</v>
      </c>
      <c r="CR3430">
        <v>0.91</v>
      </c>
      <c r="CS3430" t="s">
        <v>1971</v>
      </c>
      <c r="CT3430">
        <v>3.84</v>
      </c>
      <c r="CU3430">
        <v>0</v>
      </c>
      <c r="CV3430">
        <v>1.88</v>
      </c>
      <c r="CW3430">
        <v>0.9</v>
      </c>
      <c r="CX3430">
        <v>0.21</v>
      </c>
      <c r="CY3430">
        <v>80.14</v>
      </c>
      <c r="CZ3430" t="s">
        <v>410</v>
      </c>
      <c r="DA3430">
        <v>21.16</v>
      </c>
      <c r="DB3430">
        <v>6.37</v>
      </c>
      <c r="DC3430">
        <v>8.83</v>
      </c>
      <c r="DD3430">
        <v>0.12</v>
      </c>
      <c r="DE3430">
        <v>685</v>
      </c>
      <c r="DF3430">
        <v>603499</v>
      </c>
      <c r="DG3430" t="s">
        <v>116</v>
      </c>
      <c r="DH3430" t="s">
        <v>116</v>
      </c>
      <c r="DI3430" t="s">
        <v>116</v>
      </c>
    </row>
    <row r="3431" spans="1:113" x14ac:dyDescent="0.4">
      <c r="A3431" t="str">
        <f>"603500"</f>
        <v>603500</v>
      </c>
      <c r="B3431" t="s">
        <v>14483</v>
      </c>
      <c r="C3431">
        <v>-1.04</v>
      </c>
      <c r="D3431">
        <v>12.36</v>
      </c>
      <c r="E3431">
        <v>-0.13</v>
      </c>
      <c r="F3431">
        <v>12.33</v>
      </c>
      <c r="G3431">
        <v>12.36</v>
      </c>
      <c r="H3431">
        <v>7477</v>
      </c>
      <c r="I3431">
        <v>78</v>
      </c>
      <c r="J3431">
        <v>-0.15</v>
      </c>
      <c r="K3431">
        <v>1.48</v>
      </c>
      <c r="L3431">
        <v>12.5</v>
      </c>
      <c r="M3431">
        <v>12.57</v>
      </c>
      <c r="N3431">
        <v>12.36</v>
      </c>
      <c r="O3431">
        <v>12.49</v>
      </c>
      <c r="P3431">
        <v>25.11</v>
      </c>
      <c r="Q3431">
        <v>9337008</v>
      </c>
      <c r="R3431">
        <v>1.1499999999999999</v>
      </c>
      <c r="S3431" t="s">
        <v>164</v>
      </c>
      <c r="T3431" t="s">
        <v>590</v>
      </c>
      <c r="U3431">
        <v>1.68</v>
      </c>
      <c r="V3431">
        <v>12.49</v>
      </c>
      <c r="W3431">
        <v>4713</v>
      </c>
      <c r="X3431">
        <v>2764</v>
      </c>
      <c r="Y3431">
        <v>1.71</v>
      </c>
      <c r="Z3431">
        <v>2</v>
      </c>
      <c r="AA3431">
        <v>77</v>
      </c>
      <c r="AB3431" t="s">
        <v>116</v>
      </c>
      <c r="AC3431">
        <v>58800</v>
      </c>
      <c r="AD3431">
        <v>0.01</v>
      </c>
      <c r="AE3431" t="s">
        <v>116</v>
      </c>
      <c r="AF3431" t="s">
        <v>116</v>
      </c>
      <c r="AG3431">
        <v>0.5</v>
      </c>
      <c r="AH3431" t="s">
        <v>14484</v>
      </c>
      <c r="AI3431" t="s">
        <v>8414</v>
      </c>
      <c r="AJ3431">
        <v>-0.96</v>
      </c>
      <c r="AK3431">
        <v>441</v>
      </c>
      <c r="AL3431">
        <v>17</v>
      </c>
      <c r="AM3431">
        <v>3.3999999999999998E-3</v>
      </c>
      <c r="AN3431">
        <v>-1</v>
      </c>
      <c r="AO3431">
        <v>-0.8</v>
      </c>
      <c r="AP3431">
        <v>5.37</v>
      </c>
      <c r="AQ3431">
        <v>-1.75</v>
      </c>
      <c r="AR3431">
        <v>20.82</v>
      </c>
      <c r="AS3431">
        <v>1.48</v>
      </c>
      <c r="AT3431" t="s">
        <v>14484</v>
      </c>
      <c r="AU3431">
        <v>21.61</v>
      </c>
      <c r="AV3431">
        <v>26.47</v>
      </c>
      <c r="AW3431">
        <v>1.02</v>
      </c>
      <c r="BA3431">
        <v>0.08</v>
      </c>
      <c r="BB3431">
        <v>0.64</v>
      </c>
      <c r="BC3431">
        <v>-1.04</v>
      </c>
      <c r="BD3431">
        <v>-0.02</v>
      </c>
      <c r="BE3431">
        <v>-1.1200000000000001</v>
      </c>
      <c r="BF3431">
        <v>-1.67</v>
      </c>
      <c r="BG3431">
        <v>0</v>
      </c>
      <c r="BH3431">
        <v>-1.02</v>
      </c>
      <c r="BI3431">
        <v>20191029</v>
      </c>
      <c r="BJ3431">
        <v>20170904</v>
      </c>
      <c r="BK3431">
        <v>1.76</v>
      </c>
      <c r="BL3431" t="s">
        <v>116</v>
      </c>
      <c r="BM3431" t="s">
        <v>116</v>
      </c>
      <c r="BN3431">
        <v>9.43</v>
      </c>
      <c r="BO3431">
        <v>8.7200000000000006</v>
      </c>
      <c r="BP3431">
        <v>0</v>
      </c>
      <c r="BQ3431">
        <v>7.48</v>
      </c>
      <c r="BR3431">
        <v>7.11</v>
      </c>
      <c r="BS3431">
        <v>1.1200000000000001</v>
      </c>
      <c r="BT3431">
        <v>0.32</v>
      </c>
      <c r="BU3431">
        <v>0.68</v>
      </c>
      <c r="BV3431">
        <v>0.64</v>
      </c>
      <c r="BW3431">
        <v>2.65</v>
      </c>
      <c r="BX3431">
        <v>4.5</v>
      </c>
      <c r="BY3431">
        <v>2.36</v>
      </c>
      <c r="BZ3431">
        <v>1.3</v>
      </c>
      <c r="CA3431">
        <v>0.76</v>
      </c>
      <c r="CB3431">
        <v>7.0000000000000007E-2</v>
      </c>
      <c r="CC3431">
        <v>0.76</v>
      </c>
      <c r="CD3431">
        <v>0.65</v>
      </c>
      <c r="CE3431">
        <v>0.65</v>
      </c>
      <c r="CF3431">
        <v>0.53</v>
      </c>
      <c r="CG3431">
        <v>2.1800000000000002</v>
      </c>
      <c r="CH3431">
        <v>7.0000000000000007E-2</v>
      </c>
      <c r="CI3431">
        <v>-0.27</v>
      </c>
      <c r="CJ3431">
        <v>12455</v>
      </c>
      <c r="CK3431">
        <v>4047</v>
      </c>
      <c r="CL3431" t="s">
        <v>5984</v>
      </c>
      <c r="CM3431">
        <v>39.72</v>
      </c>
      <c r="CN3431">
        <v>16.07</v>
      </c>
      <c r="CO3431">
        <v>2.5</v>
      </c>
      <c r="CP3431">
        <v>313.52</v>
      </c>
      <c r="CQ3431">
        <v>9.25</v>
      </c>
      <c r="CR3431">
        <v>1.62</v>
      </c>
      <c r="CS3431" t="s">
        <v>3074</v>
      </c>
      <c r="CT3431">
        <v>4.95</v>
      </c>
      <c r="CU3431">
        <v>0</v>
      </c>
      <c r="CV3431">
        <v>2.5499999999999998</v>
      </c>
      <c r="CW3431">
        <v>1.24</v>
      </c>
      <c r="CX3431">
        <v>0.04</v>
      </c>
      <c r="CY3431">
        <v>92.52</v>
      </c>
      <c r="CZ3431" t="s">
        <v>6326</v>
      </c>
      <c r="DA3431">
        <v>44.89</v>
      </c>
      <c r="DB3431">
        <v>32.25</v>
      </c>
      <c r="DC3431">
        <v>27.63</v>
      </c>
      <c r="DD3431">
        <v>0.09</v>
      </c>
      <c r="DE3431">
        <v>422</v>
      </c>
      <c r="DF3431">
        <v>603500</v>
      </c>
      <c r="DG3431" t="s">
        <v>116</v>
      </c>
      <c r="DH3431" t="s">
        <v>116</v>
      </c>
      <c r="DI3431" t="s">
        <v>116</v>
      </c>
    </row>
    <row r="3432" spans="1:113" x14ac:dyDescent="0.4">
      <c r="A3432" t="str">
        <f>"603501"</f>
        <v>603501</v>
      </c>
      <c r="B3432" t="s">
        <v>14485</v>
      </c>
      <c r="C3432">
        <v>-4.4800000000000004</v>
      </c>
      <c r="D3432">
        <v>147.6</v>
      </c>
      <c r="E3432">
        <v>-6.93</v>
      </c>
      <c r="F3432">
        <v>147.58000000000001</v>
      </c>
      <c r="G3432">
        <v>147.6</v>
      </c>
      <c r="H3432">
        <v>51431</v>
      </c>
      <c r="I3432">
        <v>416</v>
      </c>
      <c r="J3432">
        <v>-0.06</v>
      </c>
      <c r="K3432">
        <v>3.66</v>
      </c>
      <c r="L3432">
        <v>153.9</v>
      </c>
      <c r="M3432">
        <v>154.77000000000001</v>
      </c>
      <c r="N3432">
        <v>147</v>
      </c>
      <c r="O3432">
        <v>154.53</v>
      </c>
      <c r="P3432">
        <v>707.54</v>
      </c>
      <c r="Q3432">
        <v>772723264</v>
      </c>
      <c r="R3432">
        <v>0.93</v>
      </c>
      <c r="S3432" t="s">
        <v>3507</v>
      </c>
      <c r="T3432" t="s">
        <v>1653</v>
      </c>
      <c r="U3432">
        <v>5.03</v>
      </c>
      <c r="V3432">
        <v>150.25</v>
      </c>
      <c r="W3432">
        <v>29253</v>
      </c>
      <c r="X3432">
        <v>22178</v>
      </c>
      <c r="Y3432">
        <v>1.32</v>
      </c>
      <c r="Z3432">
        <v>3</v>
      </c>
      <c r="AA3432">
        <v>25</v>
      </c>
      <c r="AB3432" t="s">
        <v>116</v>
      </c>
      <c r="AC3432">
        <v>2539400</v>
      </c>
      <c r="AD3432">
        <v>0.01</v>
      </c>
      <c r="AE3432" t="s">
        <v>116</v>
      </c>
      <c r="AF3432" t="s">
        <v>116</v>
      </c>
      <c r="AG3432">
        <v>1.41</v>
      </c>
      <c r="AH3432" t="s">
        <v>14486</v>
      </c>
      <c r="AI3432" t="s">
        <v>14487</v>
      </c>
      <c r="AJ3432">
        <v>-4.41</v>
      </c>
      <c r="AK3432">
        <v>4003</v>
      </c>
      <c r="AL3432">
        <v>13</v>
      </c>
      <c r="AM3432">
        <v>8.9999999999999998E-4</v>
      </c>
      <c r="AN3432">
        <v>-2</v>
      </c>
      <c r="AO3432">
        <v>-2.57</v>
      </c>
      <c r="AP3432">
        <v>17.89</v>
      </c>
      <c r="AQ3432">
        <v>41.69</v>
      </c>
      <c r="AR3432">
        <v>405.31</v>
      </c>
      <c r="AS3432">
        <v>3.66</v>
      </c>
      <c r="AT3432" t="s">
        <v>14486</v>
      </c>
      <c r="AU3432">
        <v>4817.8900000000003</v>
      </c>
      <c r="AV3432">
        <v>918.39</v>
      </c>
      <c r="AW3432">
        <v>0.54</v>
      </c>
      <c r="BA3432">
        <v>-0.41</v>
      </c>
      <c r="BB3432">
        <v>0.16</v>
      </c>
      <c r="BC3432">
        <v>-4.87</v>
      </c>
      <c r="BD3432">
        <v>-2.77</v>
      </c>
      <c r="BE3432">
        <v>-4.09</v>
      </c>
      <c r="BF3432">
        <v>-4.63</v>
      </c>
      <c r="BG3432">
        <v>0.41</v>
      </c>
      <c r="BH3432">
        <v>-1.71</v>
      </c>
      <c r="BI3432">
        <v>20191031</v>
      </c>
      <c r="BJ3432">
        <v>20170504</v>
      </c>
      <c r="BK3432">
        <v>8.64</v>
      </c>
      <c r="BL3432" t="s">
        <v>116</v>
      </c>
      <c r="BM3432" t="s">
        <v>116</v>
      </c>
      <c r="BN3432">
        <v>168.83</v>
      </c>
      <c r="BO3432">
        <v>76.400000000000006</v>
      </c>
      <c r="BP3432">
        <v>0.2</v>
      </c>
      <c r="BQ3432">
        <v>54.63</v>
      </c>
      <c r="BR3432">
        <v>105.89</v>
      </c>
      <c r="BS3432">
        <v>14.93</v>
      </c>
      <c r="BT3432">
        <v>12.53</v>
      </c>
      <c r="BU3432">
        <v>73.48</v>
      </c>
      <c r="BV3432">
        <v>40.880000000000003</v>
      </c>
      <c r="BW3432">
        <v>24.26</v>
      </c>
      <c r="BX3432">
        <v>65.680000000000007</v>
      </c>
      <c r="BY3432">
        <v>94.06</v>
      </c>
      <c r="BZ3432">
        <v>69.040000000000006</v>
      </c>
      <c r="CA3432">
        <v>4.37</v>
      </c>
      <c r="CB3432">
        <v>0</v>
      </c>
      <c r="CC3432">
        <v>4.38</v>
      </c>
      <c r="CD3432">
        <v>3.79</v>
      </c>
      <c r="CE3432">
        <v>1.35</v>
      </c>
      <c r="CF3432">
        <v>0.62</v>
      </c>
      <c r="CG3432">
        <v>6.79</v>
      </c>
      <c r="CH3432">
        <v>-2.4500000000000002</v>
      </c>
      <c r="CI3432">
        <v>1.33</v>
      </c>
      <c r="CJ3432">
        <v>17157</v>
      </c>
      <c r="CK3432">
        <v>8191</v>
      </c>
      <c r="CL3432" t="s">
        <v>14488</v>
      </c>
      <c r="CM3432">
        <v>-45.4</v>
      </c>
      <c r="CN3432">
        <v>39.93</v>
      </c>
      <c r="CO3432">
        <v>16.690000000000001</v>
      </c>
      <c r="CP3432">
        <v>-521.17999999999995</v>
      </c>
      <c r="CQ3432">
        <v>13.55</v>
      </c>
      <c r="CR3432">
        <v>0.06</v>
      </c>
      <c r="CS3432" t="s">
        <v>328</v>
      </c>
      <c r="CT3432">
        <v>8.85</v>
      </c>
      <c r="CU3432">
        <v>0</v>
      </c>
      <c r="CV3432">
        <v>7.6</v>
      </c>
      <c r="CW3432">
        <v>0.79</v>
      </c>
      <c r="CX3432">
        <v>-0.28000000000000003</v>
      </c>
      <c r="CY3432">
        <v>45.25</v>
      </c>
      <c r="CZ3432" t="s">
        <v>7638</v>
      </c>
      <c r="DA3432">
        <v>26.59</v>
      </c>
      <c r="DB3432">
        <v>4.6500000000000004</v>
      </c>
      <c r="DC3432">
        <v>1.44</v>
      </c>
      <c r="DD3432">
        <v>9.33</v>
      </c>
      <c r="DE3432">
        <v>918</v>
      </c>
      <c r="DF3432">
        <v>603501</v>
      </c>
      <c r="DG3432" t="s">
        <v>116</v>
      </c>
      <c r="DH3432" t="s">
        <v>116</v>
      </c>
      <c r="DI3432" t="s">
        <v>116</v>
      </c>
    </row>
    <row r="3433" spans="1:113" x14ac:dyDescent="0.4">
      <c r="A3433" t="str">
        <f>"603505"</f>
        <v>603505</v>
      </c>
      <c r="B3433" t="s">
        <v>14489</v>
      </c>
      <c r="C3433">
        <v>-1.02</v>
      </c>
      <c r="D3433">
        <v>20.399999999999999</v>
      </c>
      <c r="E3433">
        <v>-0.21</v>
      </c>
      <c r="F3433">
        <v>20.399999999999999</v>
      </c>
      <c r="G3433">
        <v>20.41</v>
      </c>
      <c r="H3433">
        <v>58001</v>
      </c>
      <c r="I3433">
        <v>596</v>
      </c>
      <c r="J3433">
        <v>-0.28000000000000003</v>
      </c>
      <c r="K3433">
        <v>5.18</v>
      </c>
      <c r="L3433">
        <v>20.61</v>
      </c>
      <c r="M3433">
        <v>20.88</v>
      </c>
      <c r="N3433">
        <v>20.399999999999999</v>
      </c>
      <c r="O3433">
        <v>20.61</v>
      </c>
      <c r="P3433">
        <v>22.16</v>
      </c>
      <c r="Q3433">
        <v>119680488</v>
      </c>
      <c r="R3433">
        <v>1.25</v>
      </c>
      <c r="S3433" t="s">
        <v>933</v>
      </c>
      <c r="T3433" t="s">
        <v>590</v>
      </c>
      <c r="U3433">
        <v>2.33</v>
      </c>
      <c r="V3433">
        <v>20.63</v>
      </c>
      <c r="W3433">
        <v>33305</v>
      </c>
      <c r="X3433">
        <v>24696</v>
      </c>
      <c r="Y3433">
        <v>1.35</v>
      </c>
      <c r="Z3433">
        <v>295</v>
      </c>
      <c r="AA3433">
        <v>47</v>
      </c>
      <c r="AB3433" t="s">
        <v>116</v>
      </c>
      <c r="AC3433">
        <v>259700</v>
      </c>
      <c r="AD3433">
        <v>0.01</v>
      </c>
      <c r="AE3433" t="s">
        <v>116</v>
      </c>
      <c r="AF3433" t="s">
        <v>116</v>
      </c>
      <c r="AG3433">
        <v>1.1200000000000001</v>
      </c>
      <c r="AH3433" t="s">
        <v>5890</v>
      </c>
      <c r="AI3433" t="s">
        <v>10813</v>
      </c>
      <c r="AJ3433">
        <v>-0.94</v>
      </c>
      <c r="AK3433">
        <v>2633</v>
      </c>
      <c r="AL3433">
        <v>22</v>
      </c>
      <c r="AM3433">
        <v>2E-3</v>
      </c>
      <c r="AN3433">
        <v>-1</v>
      </c>
      <c r="AO3433">
        <v>1.74</v>
      </c>
      <c r="AP3433">
        <v>20.85</v>
      </c>
      <c r="AQ3433">
        <v>-0.57999999999999996</v>
      </c>
      <c r="AR3433">
        <v>68.319999999999993</v>
      </c>
      <c r="AS3433">
        <v>5.18</v>
      </c>
      <c r="AT3433" t="s">
        <v>5890</v>
      </c>
      <c r="AU3433">
        <v>21.07</v>
      </c>
      <c r="AV3433">
        <v>35.57</v>
      </c>
      <c r="AW3433">
        <v>1.49</v>
      </c>
      <c r="BA3433">
        <v>0</v>
      </c>
      <c r="BB3433">
        <v>1.31</v>
      </c>
      <c r="BC3433">
        <v>-1.02</v>
      </c>
      <c r="BD3433">
        <v>0.12</v>
      </c>
      <c r="BE3433">
        <v>-1.02</v>
      </c>
      <c r="BF3433">
        <v>-2.2999999999999998</v>
      </c>
      <c r="BG3433">
        <v>0</v>
      </c>
      <c r="BH3433">
        <v>-1.1399999999999999</v>
      </c>
      <c r="BI3433">
        <v>20191026</v>
      </c>
      <c r="BJ3433">
        <v>20170503</v>
      </c>
      <c r="BK3433">
        <v>2.4</v>
      </c>
      <c r="BL3433" t="s">
        <v>116</v>
      </c>
      <c r="BM3433" t="s">
        <v>116</v>
      </c>
      <c r="BN3433">
        <v>16.22</v>
      </c>
      <c r="BO3433">
        <v>9.6300000000000008</v>
      </c>
      <c r="BP3433">
        <v>0.05</v>
      </c>
      <c r="BQ3433">
        <v>40.32</v>
      </c>
      <c r="BR3433">
        <v>4.55</v>
      </c>
      <c r="BS3433">
        <v>6.34</v>
      </c>
      <c r="BT3433">
        <v>3.61</v>
      </c>
      <c r="BU3433">
        <v>4.76</v>
      </c>
      <c r="BV3433">
        <v>1.07</v>
      </c>
      <c r="BW3433">
        <v>0.99</v>
      </c>
      <c r="BX3433">
        <v>1.76</v>
      </c>
      <c r="BY3433">
        <v>5.44</v>
      </c>
      <c r="BZ3433">
        <v>2.08</v>
      </c>
      <c r="CA3433">
        <v>2.29</v>
      </c>
      <c r="CB3433">
        <v>0</v>
      </c>
      <c r="CC3433">
        <v>2.2599999999999998</v>
      </c>
      <c r="CD3433">
        <v>1.67</v>
      </c>
      <c r="CE3433">
        <v>1.66</v>
      </c>
      <c r="CF3433">
        <v>1.64</v>
      </c>
      <c r="CG3433">
        <v>5.15</v>
      </c>
      <c r="CH3433">
        <v>1.9</v>
      </c>
      <c r="CI3433">
        <v>0.64</v>
      </c>
      <c r="CJ3433">
        <v>16784</v>
      </c>
      <c r="CK3433">
        <v>6675</v>
      </c>
      <c r="CL3433" t="s">
        <v>14490</v>
      </c>
      <c r="CM3433">
        <v>133.56</v>
      </c>
      <c r="CN3433">
        <v>47.65</v>
      </c>
      <c r="CO3433">
        <v>5.08</v>
      </c>
      <c r="CP3433">
        <v>25.77</v>
      </c>
      <c r="CQ3433">
        <v>9.01</v>
      </c>
      <c r="CR3433">
        <v>0.88</v>
      </c>
      <c r="CS3433" t="s">
        <v>3205</v>
      </c>
      <c r="CT3433">
        <v>4.01</v>
      </c>
      <c r="CU3433">
        <v>0</v>
      </c>
      <c r="CV3433">
        <v>0.73</v>
      </c>
      <c r="CW3433">
        <v>2.15</v>
      </c>
      <c r="CX3433">
        <v>0.79</v>
      </c>
      <c r="CY3433">
        <v>59.39</v>
      </c>
      <c r="CZ3433" t="s">
        <v>12180</v>
      </c>
      <c r="DA3433">
        <v>61.78</v>
      </c>
      <c r="DB3433">
        <v>42.16</v>
      </c>
      <c r="DC3433">
        <v>30.49</v>
      </c>
      <c r="DD3433">
        <v>0.05</v>
      </c>
      <c r="DE3433">
        <v>715</v>
      </c>
      <c r="DF3433">
        <v>603505</v>
      </c>
      <c r="DG3433" t="s">
        <v>116</v>
      </c>
      <c r="DH3433" t="s">
        <v>116</v>
      </c>
      <c r="DI3433" t="s">
        <v>116</v>
      </c>
    </row>
    <row r="3434" spans="1:113" x14ac:dyDescent="0.4">
      <c r="A3434" t="str">
        <f>"603506"</f>
        <v>603506</v>
      </c>
      <c r="B3434" t="s">
        <v>14491</v>
      </c>
      <c r="C3434">
        <v>-2.4500000000000002</v>
      </c>
      <c r="D3434">
        <v>21.12</v>
      </c>
      <c r="E3434">
        <v>-0.53</v>
      </c>
      <c r="F3434">
        <v>21.12</v>
      </c>
      <c r="G3434">
        <v>21.14</v>
      </c>
      <c r="H3434">
        <v>23584</v>
      </c>
      <c r="I3434">
        <v>307</v>
      </c>
      <c r="J3434">
        <v>-0.04</v>
      </c>
      <c r="K3434">
        <v>7.03</v>
      </c>
      <c r="L3434">
        <v>21.33</v>
      </c>
      <c r="M3434">
        <v>21.6</v>
      </c>
      <c r="N3434">
        <v>20.92</v>
      </c>
      <c r="O3434">
        <v>21.65</v>
      </c>
      <c r="P3434">
        <v>24.53</v>
      </c>
      <c r="Q3434">
        <v>49880200</v>
      </c>
      <c r="R3434">
        <v>1.17</v>
      </c>
      <c r="S3434" t="s">
        <v>419</v>
      </c>
      <c r="T3434" t="s">
        <v>590</v>
      </c>
      <c r="U3434">
        <v>3.14</v>
      </c>
      <c r="V3434">
        <v>21.15</v>
      </c>
      <c r="W3434">
        <v>15260</v>
      </c>
      <c r="X3434">
        <v>8324</v>
      </c>
      <c r="Y3434">
        <v>1.83</v>
      </c>
      <c r="Z3434">
        <v>37</v>
      </c>
      <c r="AA3434">
        <v>15</v>
      </c>
      <c r="AB3434" t="s">
        <v>116</v>
      </c>
      <c r="AC3434">
        <v>514100</v>
      </c>
      <c r="AD3434">
        <v>7.0000000000000007E-2</v>
      </c>
      <c r="AE3434" t="s">
        <v>116</v>
      </c>
      <c r="AF3434" t="s">
        <v>116</v>
      </c>
      <c r="AG3434">
        <v>0.34</v>
      </c>
      <c r="AH3434" t="s">
        <v>9135</v>
      </c>
      <c r="AI3434" t="s">
        <v>14492</v>
      </c>
      <c r="AJ3434">
        <v>-2.37</v>
      </c>
      <c r="AK3434">
        <v>1343</v>
      </c>
      <c r="AL3434">
        <v>18</v>
      </c>
      <c r="AM3434">
        <v>5.1999999999999998E-3</v>
      </c>
      <c r="AN3434">
        <v>-1</v>
      </c>
      <c r="AO3434">
        <v>0.28000000000000003</v>
      </c>
      <c r="AP3434">
        <v>-5.63</v>
      </c>
      <c r="AQ3434">
        <v>15.6</v>
      </c>
      <c r="AR3434">
        <v>25.31</v>
      </c>
      <c r="AS3434">
        <v>7.03</v>
      </c>
      <c r="AT3434" t="s">
        <v>9135</v>
      </c>
      <c r="AU3434">
        <v>25.18</v>
      </c>
      <c r="AV3434">
        <v>30.85</v>
      </c>
      <c r="AW3434">
        <v>0.76</v>
      </c>
      <c r="BA3434">
        <v>-1.48</v>
      </c>
      <c r="BB3434">
        <v>-0.23</v>
      </c>
      <c r="BC3434">
        <v>-3.37</v>
      </c>
      <c r="BD3434">
        <v>-2.31</v>
      </c>
      <c r="BE3434">
        <v>-0.98</v>
      </c>
      <c r="BF3434">
        <v>-2.2200000000000002</v>
      </c>
      <c r="BG3434">
        <v>0.96</v>
      </c>
      <c r="BH3434">
        <v>-0.14000000000000001</v>
      </c>
      <c r="BI3434">
        <v>20191030</v>
      </c>
      <c r="BJ3434">
        <v>20180201</v>
      </c>
      <c r="BK3434">
        <v>1.34</v>
      </c>
      <c r="BL3434" t="s">
        <v>116</v>
      </c>
      <c r="BM3434" t="s">
        <v>116</v>
      </c>
      <c r="BN3434">
        <v>15.11</v>
      </c>
      <c r="BO3434">
        <v>6.95</v>
      </c>
      <c r="BP3434">
        <v>0.14000000000000001</v>
      </c>
      <c r="BQ3434">
        <v>53.07</v>
      </c>
      <c r="BR3434">
        <v>12.5</v>
      </c>
      <c r="BS3434">
        <v>0.38</v>
      </c>
      <c r="BT3434">
        <v>0.01</v>
      </c>
      <c r="BU3434">
        <v>8.01</v>
      </c>
      <c r="BV3434">
        <v>0.02</v>
      </c>
      <c r="BW3434">
        <v>3.69</v>
      </c>
      <c r="BX3434">
        <v>3.13</v>
      </c>
      <c r="BY3434">
        <v>9.02</v>
      </c>
      <c r="BZ3434">
        <v>6.86</v>
      </c>
      <c r="CA3434">
        <v>1.25</v>
      </c>
      <c r="CB3434">
        <v>0.24</v>
      </c>
      <c r="CC3434">
        <v>1.27</v>
      </c>
      <c r="CD3434">
        <v>0.92</v>
      </c>
      <c r="CE3434">
        <v>0.87</v>
      </c>
      <c r="CF3434">
        <v>0.66</v>
      </c>
      <c r="CG3434">
        <v>2.23</v>
      </c>
      <c r="CH3434">
        <v>0.41</v>
      </c>
      <c r="CI3434">
        <v>-1.27</v>
      </c>
      <c r="CJ3434">
        <v>7414</v>
      </c>
      <c r="CK3434">
        <v>4523</v>
      </c>
      <c r="CL3434" t="s">
        <v>12421</v>
      </c>
      <c r="CM3434">
        <v>31.41</v>
      </c>
      <c r="CN3434">
        <v>22.27</v>
      </c>
      <c r="CO3434">
        <v>4.08</v>
      </c>
      <c r="CP3434">
        <v>69.459999999999994</v>
      </c>
      <c r="CQ3434">
        <v>3.14</v>
      </c>
      <c r="CR3434">
        <v>1.0900000000000001</v>
      </c>
      <c r="CS3434" t="s">
        <v>5835</v>
      </c>
      <c r="CT3434">
        <v>5.18</v>
      </c>
      <c r="CU3434">
        <v>0</v>
      </c>
      <c r="CV3434">
        <v>2.33</v>
      </c>
      <c r="CW3434">
        <v>1.66</v>
      </c>
      <c r="CX3434">
        <v>0.3</v>
      </c>
      <c r="CY3434">
        <v>45.99</v>
      </c>
      <c r="CZ3434" t="s">
        <v>2815</v>
      </c>
      <c r="DA3434">
        <v>23.94</v>
      </c>
      <c r="DB3434">
        <v>13.85</v>
      </c>
      <c r="DC3434">
        <v>9.6</v>
      </c>
      <c r="DD3434">
        <v>0.01</v>
      </c>
      <c r="DE3434">
        <v>7515</v>
      </c>
      <c r="DF3434">
        <v>603506</v>
      </c>
      <c r="DG3434" t="s">
        <v>116</v>
      </c>
      <c r="DH3434" t="s">
        <v>116</v>
      </c>
      <c r="DI3434" t="s">
        <v>116</v>
      </c>
    </row>
    <row r="3435" spans="1:113" x14ac:dyDescent="0.4">
      <c r="A3435" t="str">
        <f>"603507"</f>
        <v>603507</v>
      </c>
      <c r="B3435" t="s">
        <v>14493</v>
      </c>
      <c r="C3435">
        <v>-2.67</v>
      </c>
      <c r="D3435">
        <v>21.91</v>
      </c>
      <c r="E3435">
        <v>-0.6</v>
      </c>
      <c r="F3435">
        <v>21.91</v>
      </c>
      <c r="G3435">
        <v>21.95</v>
      </c>
      <c r="H3435">
        <v>7548</v>
      </c>
      <c r="I3435">
        <v>120</v>
      </c>
      <c r="J3435">
        <v>-0.57999999999999996</v>
      </c>
      <c r="K3435">
        <v>0.94</v>
      </c>
      <c r="L3435">
        <v>22.67</v>
      </c>
      <c r="M3435">
        <v>22.67</v>
      </c>
      <c r="N3435">
        <v>21.9</v>
      </c>
      <c r="O3435">
        <v>22.51</v>
      </c>
      <c r="P3435">
        <v>1289.54</v>
      </c>
      <c r="Q3435">
        <v>16841226</v>
      </c>
      <c r="R3435">
        <v>1.43</v>
      </c>
      <c r="S3435" t="s">
        <v>2118</v>
      </c>
      <c r="T3435" t="s">
        <v>323</v>
      </c>
      <c r="U3435">
        <v>3.42</v>
      </c>
      <c r="V3435">
        <v>22.31</v>
      </c>
      <c r="W3435">
        <v>3651</v>
      </c>
      <c r="X3435">
        <v>3897</v>
      </c>
      <c r="Y3435">
        <v>0.94</v>
      </c>
      <c r="Z3435">
        <v>3</v>
      </c>
      <c r="AA3435">
        <v>30</v>
      </c>
      <c r="AB3435" t="s">
        <v>116</v>
      </c>
      <c r="AC3435">
        <v>9100</v>
      </c>
      <c r="AD3435">
        <v>0</v>
      </c>
      <c r="AE3435" t="s">
        <v>116</v>
      </c>
      <c r="AF3435" t="s">
        <v>116</v>
      </c>
      <c r="AG3435">
        <v>0.8</v>
      </c>
      <c r="AH3435" t="s">
        <v>9222</v>
      </c>
      <c r="AI3435" t="s">
        <v>5574</v>
      </c>
      <c r="AJ3435">
        <v>-2.59</v>
      </c>
      <c r="AK3435">
        <v>696</v>
      </c>
      <c r="AL3435">
        <v>11</v>
      </c>
      <c r="AM3435">
        <v>1.2999999999999999E-3</v>
      </c>
      <c r="AN3435">
        <v>-1</v>
      </c>
      <c r="AO3435">
        <v>-1.76</v>
      </c>
      <c r="AP3435">
        <v>8.25</v>
      </c>
      <c r="AQ3435">
        <v>24.14</v>
      </c>
      <c r="AR3435">
        <v>0.55000000000000004</v>
      </c>
      <c r="AS3435">
        <v>1.8</v>
      </c>
      <c r="AT3435" t="s">
        <v>3468</v>
      </c>
      <c r="AU3435">
        <v>2486.58</v>
      </c>
      <c r="AV3435">
        <v>46.19</v>
      </c>
      <c r="AW3435">
        <v>1.22</v>
      </c>
      <c r="BA3435">
        <v>0.71</v>
      </c>
      <c r="BB3435">
        <v>0.71</v>
      </c>
      <c r="BC3435">
        <v>-2.71</v>
      </c>
      <c r="BD3435">
        <v>-0.88</v>
      </c>
      <c r="BE3435">
        <v>-3.35</v>
      </c>
      <c r="BF3435">
        <v>-3.35</v>
      </c>
      <c r="BG3435">
        <v>0.05</v>
      </c>
      <c r="BH3435">
        <v>-1.78</v>
      </c>
      <c r="BI3435">
        <v>20191125</v>
      </c>
      <c r="BJ3435">
        <v>20171106</v>
      </c>
      <c r="BK3435">
        <v>1.28</v>
      </c>
      <c r="BL3435" t="s">
        <v>116</v>
      </c>
      <c r="BM3435" t="s">
        <v>116</v>
      </c>
      <c r="BN3435">
        <v>30.29</v>
      </c>
      <c r="BO3435">
        <v>13.81</v>
      </c>
      <c r="BP3435">
        <v>0.41</v>
      </c>
      <c r="BQ3435">
        <v>53.03</v>
      </c>
      <c r="BR3435">
        <v>15.81</v>
      </c>
      <c r="BS3435">
        <v>8.59</v>
      </c>
      <c r="BT3435">
        <v>0.74</v>
      </c>
      <c r="BU3435">
        <v>15.34</v>
      </c>
      <c r="BV3435">
        <v>5.99</v>
      </c>
      <c r="BW3435">
        <v>3.76</v>
      </c>
      <c r="BX3435">
        <v>9.82</v>
      </c>
      <c r="BY3435">
        <v>10.78</v>
      </c>
      <c r="BZ3435">
        <v>8.8800000000000008</v>
      </c>
      <c r="CA3435">
        <v>0.05</v>
      </c>
      <c r="CB3435">
        <v>0.03</v>
      </c>
      <c r="CC3435">
        <v>0.04</v>
      </c>
      <c r="CD3435">
        <v>0.03</v>
      </c>
      <c r="CE3435">
        <v>0.02</v>
      </c>
      <c r="CF3435">
        <v>-0.03</v>
      </c>
      <c r="CG3435">
        <v>2.84</v>
      </c>
      <c r="CH3435">
        <v>-1.43</v>
      </c>
      <c r="CI3435">
        <v>-4.5599999999999996</v>
      </c>
      <c r="CJ3435">
        <v>10732</v>
      </c>
      <c r="CK3435">
        <v>3917</v>
      </c>
      <c r="CL3435" t="s">
        <v>3385</v>
      </c>
      <c r="CM3435">
        <v>-97.34</v>
      </c>
      <c r="CN3435">
        <v>60.78</v>
      </c>
      <c r="CO3435">
        <v>2.0299999999999998</v>
      </c>
      <c r="CP3435">
        <v>-19.62</v>
      </c>
      <c r="CQ3435">
        <v>2.6</v>
      </c>
      <c r="CR3435">
        <v>0.68</v>
      </c>
      <c r="CS3435" t="s">
        <v>910</v>
      </c>
      <c r="CT3435">
        <v>10.79</v>
      </c>
      <c r="CU3435">
        <v>0</v>
      </c>
      <c r="CV3435">
        <v>7.67</v>
      </c>
      <c r="CW3435">
        <v>2.2200000000000002</v>
      </c>
      <c r="CX3435">
        <v>-1.1200000000000001</v>
      </c>
      <c r="CY3435">
        <v>45.61</v>
      </c>
      <c r="CZ3435" t="s">
        <v>11895</v>
      </c>
      <c r="DA3435">
        <v>17.57</v>
      </c>
      <c r="DB3435">
        <v>0.47</v>
      </c>
      <c r="DC3435">
        <v>0.15</v>
      </c>
      <c r="DD3435">
        <v>0.34</v>
      </c>
      <c r="DE3435">
        <v>1692</v>
      </c>
      <c r="DF3435">
        <v>603507</v>
      </c>
      <c r="DG3435" t="s">
        <v>116</v>
      </c>
      <c r="DH3435" t="s">
        <v>116</v>
      </c>
      <c r="DI3435" t="s">
        <v>116</v>
      </c>
    </row>
    <row r="3436" spans="1:113" x14ac:dyDescent="0.4">
      <c r="A3436" t="str">
        <f>"603508"</f>
        <v>603508</v>
      </c>
      <c r="B3436" t="s">
        <v>14494</v>
      </c>
      <c r="C3436">
        <v>1.72</v>
      </c>
      <c r="D3436">
        <v>55.6</v>
      </c>
      <c r="E3436">
        <v>0.94</v>
      </c>
      <c r="F3436">
        <v>55.6</v>
      </c>
      <c r="G3436">
        <v>55.61</v>
      </c>
      <c r="H3436">
        <v>23128</v>
      </c>
      <c r="I3436">
        <v>331</v>
      </c>
      <c r="J3436">
        <v>0.09</v>
      </c>
      <c r="K3436">
        <v>1.47</v>
      </c>
      <c r="L3436">
        <v>54.65</v>
      </c>
      <c r="M3436">
        <v>55.8</v>
      </c>
      <c r="N3436">
        <v>54.46</v>
      </c>
      <c r="O3436">
        <v>54.66</v>
      </c>
      <c r="P3436">
        <v>10.92</v>
      </c>
      <c r="Q3436">
        <v>127833864</v>
      </c>
      <c r="R3436">
        <v>1.63</v>
      </c>
      <c r="S3436" t="s">
        <v>607</v>
      </c>
      <c r="T3436" t="s">
        <v>652</v>
      </c>
      <c r="U3436">
        <v>2.4500000000000002</v>
      </c>
      <c r="V3436">
        <v>55.27</v>
      </c>
      <c r="W3436">
        <v>10389</v>
      </c>
      <c r="X3436">
        <v>12739</v>
      </c>
      <c r="Y3436">
        <v>0.82</v>
      </c>
      <c r="Z3436">
        <v>163</v>
      </c>
      <c r="AA3436">
        <v>97</v>
      </c>
      <c r="AB3436" t="s">
        <v>116</v>
      </c>
      <c r="AC3436">
        <v>87400</v>
      </c>
      <c r="AD3436">
        <v>0</v>
      </c>
      <c r="AE3436" t="s">
        <v>116</v>
      </c>
      <c r="AF3436" t="s">
        <v>116</v>
      </c>
      <c r="AG3436">
        <v>1.58</v>
      </c>
      <c r="AH3436" t="s">
        <v>12326</v>
      </c>
      <c r="AI3436" t="s">
        <v>14495</v>
      </c>
      <c r="AJ3436">
        <v>1.8</v>
      </c>
      <c r="AK3436">
        <v>2199</v>
      </c>
      <c r="AL3436">
        <v>11</v>
      </c>
      <c r="AM3436">
        <v>6.9999999999999999E-4</v>
      </c>
      <c r="AN3436">
        <v>1</v>
      </c>
      <c r="AO3436">
        <v>3.19</v>
      </c>
      <c r="AP3436">
        <v>6.9</v>
      </c>
      <c r="AQ3436">
        <v>-7.55</v>
      </c>
      <c r="AR3436">
        <v>41.03</v>
      </c>
      <c r="AS3436">
        <v>4.5999999999999996</v>
      </c>
      <c r="AT3436" t="s">
        <v>3379</v>
      </c>
      <c r="AU3436">
        <v>13.59</v>
      </c>
      <c r="AV3436">
        <v>57.64</v>
      </c>
      <c r="AW3436">
        <v>1.2</v>
      </c>
      <c r="BA3436">
        <v>-0.02</v>
      </c>
      <c r="BB3436">
        <v>2.09</v>
      </c>
      <c r="BC3436">
        <v>-0.37</v>
      </c>
      <c r="BD3436">
        <v>1.1200000000000001</v>
      </c>
      <c r="BE3436">
        <v>1.74</v>
      </c>
      <c r="BF3436">
        <v>-0.36</v>
      </c>
      <c r="BG3436">
        <v>2.09</v>
      </c>
      <c r="BH3436">
        <v>0.6</v>
      </c>
      <c r="BI3436">
        <v>20191029</v>
      </c>
      <c r="BJ3436">
        <v>20151224</v>
      </c>
      <c r="BK3436">
        <v>1.95</v>
      </c>
      <c r="BL3436" t="s">
        <v>116</v>
      </c>
      <c r="BM3436" t="s">
        <v>116</v>
      </c>
      <c r="BN3436">
        <v>49.75</v>
      </c>
      <c r="BO3436">
        <v>43.13</v>
      </c>
      <c r="BP3436">
        <v>0.46</v>
      </c>
      <c r="BQ3436">
        <v>12.36</v>
      </c>
      <c r="BR3436">
        <v>20.99</v>
      </c>
      <c r="BS3436">
        <v>2.8</v>
      </c>
      <c r="BT3436">
        <v>1.08</v>
      </c>
      <c r="BU3436">
        <v>6</v>
      </c>
      <c r="BV3436">
        <v>3.74</v>
      </c>
      <c r="BW3436">
        <v>4.46</v>
      </c>
      <c r="BX3436">
        <v>24.06</v>
      </c>
      <c r="BY3436">
        <v>7.32</v>
      </c>
      <c r="BZ3436">
        <v>2.82</v>
      </c>
      <c r="CA3436">
        <v>8.2100000000000009</v>
      </c>
      <c r="CB3436">
        <v>5.69</v>
      </c>
      <c r="CC3436">
        <v>8.1999999999999993</v>
      </c>
      <c r="CD3436">
        <v>7.6</v>
      </c>
      <c r="CE3436">
        <v>7.44</v>
      </c>
      <c r="CF3436">
        <v>1.79</v>
      </c>
      <c r="CG3436">
        <v>17.510000000000002</v>
      </c>
      <c r="CH3436">
        <v>3.47</v>
      </c>
      <c r="CI3436">
        <v>-0.82</v>
      </c>
      <c r="CJ3436">
        <v>27709</v>
      </c>
      <c r="CK3436">
        <v>1813</v>
      </c>
      <c r="CL3436" t="s">
        <v>14496</v>
      </c>
      <c r="CM3436">
        <v>450.71</v>
      </c>
      <c r="CN3436">
        <v>84.65</v>
      </c>
      <c r="CO3436">
        <v>2.5099999999999998</v>
      </c>
      <c r="CP3436">
        <v>31.18</v>
      </c>
      <c r="CQ3436">
        <v>14.8</v>
      </c>
      <c r="CR3436">
        <v>0.69</v>
      </c>
      <c r="CS3436" t="s">
        <v>14497</v>
      </c>
      <c r="CT3436">
        <v>22.15</v>
      </c>
      <c r="CU3436">
        <v>0</v>
      </c>
      <c r="CV3436">
        <v>12.35</v>
      </c>
      <c r="CW3436">
        <v>8.99</v>
      </c>
      <c r="CX3436">
        <v>1.78</v>
      </c>
      <c r="CY3436">
        <v>86.7</v>
      </c>
      <c r="CZ3436" t="s">
        <v>14498</v>
      </c>
      <c r="DA3436">
        <v>61.45</v>
      </c>
      <c r="DB3436">
        <v>112.16</v>
      </c>
      <c r="DC3436">
        <v>101.66</v>
      </c>
      <c r="DD3436">
        <v>1.28</v>
      </c>
      <c r="DE3436">
        <v>803</v>
      </c>
      <c r="DF3436">
        <v>603508</v>
      </c>
      <c r="DG3436" t="s">
        <v>116</v>
      </c>
      <c r="DH3436" t="s">
        <v>116</v>
      </c>
      <c r="DI3436" t="s">
        <v>116</v>
      </c>
    </row>
    <row r="3437" spans="1:113" x14ac:dyDescent="0.4">
      <c r="A3437" t="str">
        <f>"603515"</f>
        <v>603515</v>
      </c>
      <c r="B3437" t="s">
        <v>14499</v>
      </c>
      <c r="C3437">
        <v>-0.55000000000000004</v>
      </c>
      <c r="D3437">
        <v>27.27</v>
      </c>
      <c r="E3437">
        <v>-0.15</v>
      </c>
      <c r="F3437">
        <v>27.26</v>
      </c>
      <c r="G3437">
        <v>27.27</v>
      </c>
      <c r="H3437">
        <v>27854</v>
      </c>
      <c r="I3437">
        <v>338</v>
      </c>
      <c r="J3437">
        <v>-0.14000000000000001</v>
      </c>
      <c r="K3437">
        <v>0.37</v>
      </c>
      <c r="L3437">
        <v>27.4</v>
      </c>
      <c r="M3437">
        <v>27.44</v>
      </c>
      <c r="N3437">
        <v>27.06</v>
      </c>
      <c r="O3437">
        <v>27.42</v>
      </c>
      <c r="P3437">
        <v>25.68</v>
      </c>
      <c r="Q3437">
        <v>75791528</v>
      </c>
      <c r="R3437">
        <v>1.63</v>
      </c>
      <c r="S3437" t="s">
        <v>397</v>
      </c>
      <c r="T3437" t="s">
        <v>1653</v>
      </c>
      <c r="U3437">
        <v>1.39</v>
      </c>
      <c r="V3437">
        <v>27.21</v>
      </c>
      <c r="W3437">
        <v>17419</v>
      </c>
      <c r="X3437">
        <v>10435</v>
      </c>
      <c r="Y3437">
        <v>1.67</v>
      </c>
      <c r="Z3437">
        <v>6</v>
      </c>
      <c r="AA3437">
        <v>160</v>
      </c>
      <c r="AB3437" t="s">
        <v>116</v>
      </c>
      <c r="AC3437">
        <v>405500</v>
      </c>
      <c r="AD3437">
        <v>0.01</v>
      </c>
      <c r="AE3437" t="s">
        <v>116</v>
      </c>
      <c r="AF3437" t="s">
        <v>116</v>
      </c>
      <c r="AG3437">
        <v>7.54</v>
      </c>
      <c r="AH3437" t="s">
        <v>14500</v>
      </c>
      <c r="AI3437" t="s">
        <v>14501</v>
      </c>
      <c r="AJ3437">
        <v>-0.47</v>
      </c>
      <c r="AK3437">
        <v>2423</v>
      </c>
      <c r="AL3437">
        <v>11</v>
      </c>
      <c r="AM3437">
        <v>2.0000000000000001E-4</v>
      </c>
      <c r="AN3437">
        <v>-1</v>
      </c>
      <c r="AO3437">
        <v>-0.15</v>
      </c>
      <c r="AP3437">
        <v>4.16</v>
      </c>
      <c r="AQ3437">
        <v>1</v>
      </c>
      <c r="AR3437">
        <v>-0.73</v>
      </c>
      <c r="AS3437">
        <v>2.1800000000000002</v>
      </c>
      <c r="AT3437" t="s">
        <v>10170</v>
      </c>
      <c r="AU3437">
        <v>22.14</v>
      </c>
      <c r="AV3437">
        <v>22.93</v>
      </c>
      <c r="AW3437">
        <v>0.96</v>
      </c>
      <c r="BA3437">
        <v>-7.0000000000000007E-2</v>
      </c>
      <c r="BB3437">
        <v>7.0000000000000007E-2</v>
      </c>
      <c r="BC3437">
        <v>-1.31</v>
      </c>
      <c r="BD3437">
        <v>-0.77</v>
      </c>
      <c r="BE3437">
        <v>-0.47</v>
      </c>
      <c r="BF3437">
        <v>-0.62</v>
      </c>
      <c r="BG3437">
        <v>0.78</v>
      </c>
      <c r="BH3437">
        <v>0.22</v>
      </c>
      <c r="BI3437">
        <v>20191026</v>
      </c>
      <c r="BJ3437">
        <v>20160819</v>
      </c>
      <c r="BK3437">
        <v>7.56</v>
      </c>
      <c r="BL3437" t="s">
        <v>116</v>
      </c>
      <c r="BM3437" t="s">
        <v>116</v>
      </c>
      <c r="BN3437">
        <v>74.430000000000007</v>
      </c>
      <c r="BO3437">
        <v>47.64</v>
      </c>
      <c r="BP3437">
        <v>0.01</v>
      </c>
      <c r="BQ3437">
        <v>35.979999999999997</v>
      </c>
      <c r="BR3437">
        <v>56.44</v>
      </c>
      <c r="BS3437">
        <v>10.56</v>
      </c>
      <c r="BT3437">
        <v>1.27</v>
      </c>
      <c r="BU3437">
        <v>26.67</v>
      </c>
      <c r="BV3437">
        <v>7.91</v>
      </c>
      <c r="BW3437">
        <v>5.43</v>
      </c>
      <c r="BX3437">
        <v>9.74</v>
      </c>
      <c r="BY3437">
        <v>57.7</v>
      </c>
      <c r="BZ3437">
        <v>36.69</v>
      </c>
      <c r="CA3437">
        <v>7.22</v>
      </c>
      <c r="CB3437">
        <v>1.38</v>
      </c>
      <c r="CC3437">
        <v>7.33</v>
      </c>
      <c r="CD3437">
        <v>6.02</v>
      </c>
      <c r="CE3437">
        <v>6.02</v>
      </c>
      <c r="CF3437">
        <v>4.16</v>
      </c>
      <c r="CG3437">
        <v>27.02</v>
      </c>
      <c r="CH3437">
        <v>4.09</v>
      </c>
      <c r="CI3437">
        <v>-1.06</v>
      </c>
      <c r="CJ3437">
        <v>15564</v>
      </c>
      <c r="CK3437">
        <v>8210</v>
      </c>
      <c r="CL3437" t="s">
        <v>14502</v>
      </c>
      <c r="CM3437">
        <v>5.6</v>
      </c>
      <c r="CN3437">
        <v>3.26</v>
      </c>
      <c r="CO3437">
        <v>4.33</v>
      </c>
      <c r="CP3437">
        <v>50.38</v>
      </c>
      <c r="CQ3437">
        <v>3.57</v>
      </c>
      <c r="CR3437">
        <v>1.47</v>
      </c>
      <c r="CS3437" t="s">
        <v>7151</v>
      </c>
      <c r="CT3437">
        <v>6.3</v>
      </c>
      <c r="CU3437">
        <v>0</v>
      </c>
      <c r="CV3437">
        <v>1.29</v>
      </c>
      <c r="CW3437">
        <v>3.57</v>
      </c>
      <c r="CX3437">
        <v>0.54</v>
      </c>
      <c r="CY3437">
        <v>64.010000000000005</v>
      </c>
      <c r="CZ3437" t="s">
        <v>14503</v>
      </c>
      <c r="DA3437">
        <v>36.409999999999997</v>
      </c>
      <c r="DB3437">
        <v>12.52</v>
      </c>
      <c r="DC3437">
        <v>10.44</v>
      </c>
      <c r="DD3437">
        <v>2.09</v>
      </c>
      <c r="DE3437">
        <v>5837</v>
      </c>
      <c r="DF3437">
        <v>603515</v>
      </c>
      <c r="DG3437" t="s">
        <v>116</v>
      </c>
      <c r="DH3437" t="s">
        <v>116</v>
      </c>
      <c r="DI3437" t="s">
        <v>116</v>
      </c>
    </row>
    <row r="3438" spans="1:113" x14ac:dyDescent="0.4">
      <c r="A3438" t="str">
        <f>"603516"</f>
        <v>603516</v>
      </c>
      <c r="B3438" t="s">
        <v>14504</v>
      </c>
      <c r="C3438">
        <v>-4.26</v>
      </c>
      <c r="D3438">
        <v>38.44</v>
      </c>
      <c r="E3438">
        <v>-1.71</v>
      </c>
      <c r="F3438">
        <v>38.44</v>
      </c>
      <c r="G3438">
        <v>38.450000000000003</v>
      </c>
      <c r="H3438">
        <v>27596</v>
      </c>
      <c r="I3438">
        <v>232</v>
      </c>
      <c r="J3438">
        <v>0.05</v>
      </c>
      <c r="K3438">
        <v>3.13</v>
      </c>
      <c r="L3438">
        <v>40.5</v>
      </c>
      <c r="M3438">
        <v>40.58</v>
      </c>
      <c r="N3438">
        <v>38.32</v>
      </c>
      <c r="O3438">
        <v>40.15</v>
      </c>
      <c r="P3438">
        <v>39.01</v>
      </c>
      <c r="Q3438">
        <v>107934328</v>
      </c>
      <c r="R3438">
        <v>1.05</v>
      </c>
      <c r="S3438" t="s">
        <v>465</v>
      </c>
      <c r="T3438" t="s">
        <v>165</v>
      </c>
      <c r="U3438">
        <v>5.63</v>
      </c>
      <c r="V3438">
        <v>39.11</v>
      </c>
      <c r="W3438">
        <v>18045</v>
      </c>
      <c r="X3438">
        <v>9551</v>
      </c>
      <c r="Y3438">
        <v>1.89</v>
      </c>
      <c r="Z3438">
        <v>8</v>
      </c>
      <c r="AA3438">
        <v>92</v>
      </c>
      <c r="AB3438" t="s">
        <v>116</v>
      </c>
      <c r="AC3438">
        <v>801900</v>
      </c>
      <c r="AD3438">
        <v>0.04</v>
      </c>
      <c r="AE3438" t="s">
        <v>116</v>
      </c>
      <c r="AF3438" t="s">
        <v>116</v>
      </c>
      <c r="AG3438">
        <v>0.88</v>
      </c>
      <c r="AH3438" t="s">
        <v>5158</v>
      </c>
      <c r="AI3438" t="s">
        <v>4352</v>
      </c>
      <c r="AJ3438">
        <v>-4.18</v>
      </c>
      <c r="AK3438">
        <v>2053</v>
      </c>
      <c r="AL3438">
        <v>13</v>
      </c>
      <c r="AM3438">
        <v>1.5E-3</v>
      </c>
      <c r="AN3438">
        <v>-1</v>
      </c>
      <c r="AO3438">
        <v>-0.98</v>
      </c>
      <c r="AP3438">
        <v>6.72</v>
      </c>
      <c r="AQ3438">
        <v>22.03</v>
      </c>
      <c r="AR3438">
        <v>68.67</v>
      </c>
      <c r="AS3438">
        <v>5.12</v>
      </c>
      <c r="AT3438" t="s">
        <v>3208</v>
      </c>
      <c r="AU3438">
        <v>44.54</v>
      </c>
      <c r="AV3438">
        <v>59.26</v>
      </c>
      <c r="AW3438">
        <v>1.17</v>
      </c>
      <c r="BA3438">
        <v>0.87</v>
      </c>
      <c r="BB3438">
        <v>1.07</v>
      </c>
      <c r="BC3438">
        <v>-4.5599999999999996</v>
      </c>
      <c r="BD3438">
        <v>-2.58</v>
      </c>
      <c r="BE3438">
        <v>-5.09</v>
      </c>
      <c r="BF3438">
        <v>-5.27</v>
      </c>
      <c r="BG3438">
        <v>0.31</v>
      </c>
      <c r="BH3438">
        <v>-1.68</v>
      </c>
      <c r="BI3438">
        <v>20191026</v>
      </c>
      <c r="BJ3438">
        <v>20180202</v>
      </c>
      <c r="BK3438">
        <v>1.31</v>
      </c>
      <c r="BL3438" t="s">
        <v>116</v>
      </c>
      <c r="BM3438" t="s">
        <v>116</v>
      </c>
      <c r="BN3438">
        <v>9.1199999999999992</v>
      </c>
      <c r="BO3438">
        <v>8.14</v>
      </c>
      <c r="BP3438">
        <v>0</v>
      </c>
      <c r="BQ3438">
        <v>10.75</v>
      </c>
      <c r="BR3438">
        <v>5.96</v>
      </c>
      <c r="BS3438">
        <v>0.76</v>
      </c>
      <c r="BT3438">
        <v>0.05</v>
      </c>
      <c r="BU3438">
        <v>0.96</v>
      </c>
      <c r="BV3438">
        <v>1</v>
      </c>
      <c r="BW3438">
        <v>2.0699999999999998</v>
      </c>
      <c r="BX3438">
        <v>4.63</v>
      </c>
      <c r="BY3438">
        <v>2.81</v>
      </c>
      <c r="BZ3438">
        <v>0.93</v>
      </c>
      <c r="CA3438">
        <v>1.07</v>
      </c>
      <c r="CB3438">
        <v>0.09</v>
      </c>
      <c r="CC3438">
        <v>1.07</v>
      </c>
      <c r="CD3438">
        <v>0.97</v>
      </c>
      <c r="CE3438">
        <v>0.97</v>
      </c>
      <c r="CF3438">
        <v>0.87</v>
      </c>
      <c r="CG3438">
        <v>1.99</v>
      </c>
      <c r="CH3438">
        <v>-0.41</v>
      </c>
      <c r="CI3438">
        <v>0.33</v>
      </c>
      <c r="CJ3438">
        <v>11662</v>
      </c>
      <c r="CK3438">
        <v>4624</v>
      </c>
      <c r="CL3438" t="s">
        <v>9457</v>
      </c>
      <c r="CM3438">
        <v>40.83</v>
      </c>
      <c r="CN3438">
        <v>40.840000000000003</v>
      </c>
      <c r="CO3438">
        <v>6.19</v>
      </c>
      <c r="CP3438">
        <v>-123.57</v>
      </c>
      <c r="CQ3438">
        <v>17.940000000000001</v>
      </c>
      <c r="CR3438">
        <v>0.78</v>
      </c>
      <c r="CS3438" t="s">
        <v>5119</v>
      </c>
      <c r="CT3438">
        <v>6.21</v>
      </c>
      <c r="CU3438">
        <v>0</v>
      </c>
      <c r="CV3438">
        <v>3.54</v>
      </c>
      <c r="CW3438">
        <v>1.52</v>
      </c>
      <c r="CX3438">
        <v>-0.31</v>
      </c>
      <c r="CY3438">
        <v>89.24</v>
      </c>
      <c r="CZ3438" t="s">
        <v>14505</v>
      </c>
      <c r="DA3438">
        <v>67.03</v>
      </c>
      <c r="DB3438">
        <v>38.18</v>
      </c>
      <c r="DC3438">
        <v>34.49</v>
      </c>
      <c r="DD3438">
        <v>0.31</v>
      </c>
      <c r="DE3438">
        <v>408</v>
      </c>
      <c r="DF3438">
        <v>603516</v>
      </c>
      <c r="DG3438" t="s">
        <v>116</v>
      </c>
      <c r="DH3438" t="s">
        <v>116</v>
      </c>
      <c r="DI3438" t="s">
        <v>116</v>
      </c>
    </row>
    <row r="3439" spans="1:113" x14ac:dyDescent="0.4">
      <c r="A3439" t="str">
        <f>"603517"</f>
        <v>603517</v>
      </c>
      <c r="B3439" t="s">
        <v>14506</v>
      </c>
      <c r="C3439">
        <v>0.54</v>
      </c>
      <c r="D3439">
        <v>45</v>
      </c>
      <c r="E3439">
        <v>0.24</v>
      </c>
      <c r="F3439">
        <v>44.99</v>
      </c>
      <c r="G3439">
        <v>45</v>
      </c>
      <c r="H3439">
        <v>43840</v>
      </c>
      <c r="I3439">
        <v>448</v>
      </c>
      <c r="J3439">
        <v>7.0000000000000007E-2</v>
      </c>
      <c r="K3439">
        <v>1.66</v>
      </c>
      <c r="L3439">
        <v>44.77</v>
      </c>
      <c r="M3439">
        <v>46.27</v>
      </c>
      <c r="N3439">
        <v>44.65</v>
      </c>
      <c r="O3439">
        <v>44.76</v>
      </c>
      <c r="P3439">
        <v>33.450000000000003</v>
      </c>
      <c r="Q3439">
        <v>199628608</v>
      </c>
      <c r="R3439">
        <v>1.19</v>
      </c>
      <c r="S3439" t="s">
        <v>863</v>
      </c>
      <c r="T3439" t="s">
        <v>599</v>
      </c>
      <c r="U3439">
        <v>3.62</v>
      </c>
      <c r="V3439">
        <v>45.54</v>
      </c>
      <c r="W3439">
        <v>19154</v>
      </c>
      <c r="X3439">
        <v>24686</v>
      </c>
      <c r="Y3439">
        <v>0.78</v>
      </c>
      <c r="Z3439">
        <v>57</v>
      </c>
      <c r="AA3439">
        <v>1661</v>
      </c>
      <c r="AB3439" t="s">
        <v>116</v>
      </c>
      <c r="AC3439">
        <v>89500</v>
      </c>
      <c r="AD3439">
        <v>0</v>
      </c>
      <c r="AE3439" t="s">
        <v>116</v>
      </c>
      <c r="AF3439" t="s">
        <v>116</v>
      </c>
      <c r="AG3439">
        <v>2.64</v>
      </c>
      <c r="AH3439" t="s">
        <v>14507</v>
      </c>
      <c r="AI3439" t="s">
        <v>14508</v>
      </c>
      <c r="AJ3439">
        <v>0.61</v>
      </c>
      <c r="AK3439">
        <v>3384</v>
      </c>
      <c r="AL3439">
        <v>13</v>
      </c>
      <c r="AM3439">
        <v>5.0000000000000001E-4</v>
      </c>
      <c r="AN3439">
        <v>1</v>
      </c>
      <c r="AO3439">
        <v>0.12</v>
      </c>
      <c r="AP3439">
        <v>2.86</v>
      </c>
      <c r="AQ3439">
        <v>12</v>
      </c>
      <c r="AR3439">
        <v>93.85</v>
      </c>
      <c r="AS3439">
        <v>1.66</v>
      </c>
      <c r="AT3439" t="s">
        <v>14507</v>
      </c>
      <c r="AU3439">
        <v>35.68</v>
      </c>
      <c r="AV3439">
        <v>42.75</v>
      </c>
      <c r="AW3439">
        <v>0.4</v>
      </c>
      <c r="BA3439">
        <v>0.02</v>
      </c>
      <c r="BB3439">
        <v>3.37</v>
      </c>
      <c r="BC3439">
        <v>-0.25</v>
      </c>
      <c r="BD3439">
        <v>1.73</v>
      </c>
      <c r="BE3439">
        <v>0.51</v>
      </c>
      <c r="BF3439">
        <v>-2.74</v>
      </c>
      <c r="BG3439">
        <v>0.78</v>
      </c>
      <c r="BH3439">
        <v>-1.2</v>
      </c>
      <c r="BI3439">
        <v>20191125</v>
      </c>
      <c r="BJ3439">
        <v>20170317</v>
      </c>
      <c r="BK3439">
        <v>6.09</v>
      </c>
      <c r="BL3439" t="s">
        <v>116</v>
      </c>
      <c r="BM3439" t="s">
        <v>116</v>
      </c>
      <c r="BN3439">
        <v>53.23</v>
      </c>
      <c r="BO3439">
        <v>36.979999999999997</v>
      </c>
      <c r="BP3439">
        <v>0</v>
      </c>
      <c r="BQ3439">
        <v>30.51</v>
      </c>
      <c r="BR3439">
        <v>25.1</v>
      </c>
      <c r="BS3439">
        <v>10.79</v>
      </c>
      <c r="BT3439">
        <v>1.88</v>
      </c>
      <c r="BU3439">
        <v>9.2200000000000006</v>
      </c>
      <c r="BV3439">
        <v>4.33</v>
      </c>
      <c r="BW3439">
        <v>0.11</v>
      </c>
      <c r="BX3439">
        <v>8.2799999999999994</v>
      </c>
      <c r="BY3439">
        <v>38.86</v>
      </c>
      <c r="BZ3439">
        <v>25.38</v>
      </c>
      <c r="CA3439">
        <v>7.83</v>
      </c>
      <c r="CB3439">
        <v>0.28000000000000003</v>
      </c>
      <c r="CC3439">
        <v>8.07</v>
      </c>
      <c r="CD3439">
        <v>6.07</v>
      </c>
      <c r="CE3439">
        <v>6.14</v>
      </c>
      <c r="CF3439">
        <v>5.92</v>
      </c>
      <c r="CG3439">
        <v>20.64</v>
      </c>
      <c r="CH3439">
        <v>8.64</v>
      </c>
      <c r="CI3439">
        <v>5.7</v>
      </c>
      <c r="CJ3439">
        <v>11899</v>
      </c>
      <c r="CK3439">
        <v>22171</v>
      </c>
      <c r="CL3439" t="s">
        <v>14509</v>
      </c>
      <c r="CM3439">
        <v>26.06</v>
      </c>
      <c r="CN3439">
        <v>18.98</v>
      </c>
      <c r="CO3439">
        <v>7.25</v>
      </c>
      <c r="CP3439">
        <v>31.69</v>
      </c>
      <c r="CQ3439">
        <v>7.05</v>
      </c>
      <c r="CR3439">
        <v>0.91</v>
      </c>
      <c r="CS3439" t="s">
        <v>14510</v>
      </c>
      <c r="CT3439">
        <v>6.21</v>
      </c>
      <c r="CU3439">
        <v>6.21</v>
      </c>
      <c r="CV3439">
        <v>1.36</v>
      </c>
      <c r="CW3439">
        <v>3.39</v>
      </c>
      <c r="CX3439">
        <v>1.42</v>
      </c>
      <c r="CY3439">
        <v>69.489999999999995</v>
      </c>
      <c r="CZ3439" t="s">
        <v>14511</v>
      </c>
      <c r="DA3439">
        <v>34.700000000000003</v>
      </c>
      <c r="DB3439">
        <v>20.16</v>
      </c>
      <c r="DC3439">
        <v>15.81</v>
      </c>
      <c r="DD3439">
        <v>0.1</v>
      </c>
      <c r="DE3439">
        <v>4066</v>
      </c>
      <c r="DF3439">
        <v>603517</v>
      </c>
      <c r="DG3439" t="s">
        <v>116</v>
      </c>
      <c r="DH3439" t="s">
        <v>116</v>
      </c>
      <c r="DI3439" t="s">
        <v>116</v>
      </c>
    </row>
    <row r="3440" spans="1:113" x14ac:dyDescent="0.4">
      <c r="A3440" t="str">
        <f>"603518"</f>
        <v>603518</v>
      </c>
      <c r="B3440" t="s">
        <v>14512</v>
      </c>
      <c r="C3440">
        <v>1</v>
      </c>
      <c r="D3440">
        <v>7.08</v>
      </c>
      <c r="E3440">
        <v>7.0000000000000007E-2</v>
      </c>
      <c r="F3440">
        <v>7.07</v>
      </c>
      <c r="G3440">
        <v>7.08</v>
      </c>
      <c r="H3440">
        <v>43523</v>
      </c>
      <c r="I3440">
        <v>1217</v>
      </c>
      <c r="J3440">
        <v>0.28000000000000003</v>
      </c>
      <c r="K3440">
        <v>1.75</v>
      </c>
      <c r="L3440">
        <v>6.98</v>
      </c>
      <c r="M3440">
        <v>7.29</v>
      </c>
      <c r="N3440">
        <v>6.94</v>
      </c>
      <c r="O3440">
        <v>7.01</v>
      </c>
      <c r="P3440">
        <v>44.44</v>
      </c>
      <c r="Q3440">
        <v>31058570</v>
      </c>
      <c r="R3440">
        <v>2.2400000000000002</v>
      </c>
      <c r="S3440" t="s">
        <v>3070</v>
      </c>
      <c r="T3440" t="s">
        <v>323</v>
      </c>
      <c r="U3440">
        <v>4.99</v>
      </c>
      <c r="V3440">
        <v>7.14</v>
      </c>
      <c r="W3440">
        <v>24186</v>
      </c>
      <c r="X3440">
        <v>19337</v>
      </c>
      <c r="Y3440">
        <v>1.25</v>
      </c>
      <c r="Z3440">
        <v>83</v>
      </c>
      <c r="AA3440">
        <v>65</v>
      </c>
      <c r="AB3440" t="s">
        <v>116</v>
      </c>
      <c r="AC3440">
        <v>0</v>
      </c>
      <c r="AD3440">
        <v>0</v>
      </c>
      <c r="AE3440" t="s">
        <v>116</v>
      </c>
      <c r="AF3440" t="s">
        <v>116</v>
      </c>
      <c r="AG3440">
        <v>2.48</v>
      </c>
      <c r="AH3440" t="s">
        <v>3933</v>
      </c>
      <c r="AI3440" t="s">
        <v>14513</v>
      </c>
      <c r="AJ3440">
        <v>1.08</v>
      </c>
      <c r="AK3440">
        <v>1152</v>
      </c>
      <c r="AL3440">
        <v>38</v>
      </c>
      <c r="AM3440">
        <v>1.5E-3</v>
      </c>
      <c r="AN3440">
        <v>4</v>
      </c>
      <c r="AO3440">
        <v>3.21</v>
      </c>
      <c r="AP3440">
        <v>7.76</v>
      </c>
      <c r="AQ3440">
        <v>-6.23</v>
      </c>
      <c r="AR3440">
        <v>-28.55</v>
      </c>
      <c r="AS3440">
        <v>4</v>
      </c>
      <c r="AT3440" t="s">
        <v>14409</v>
      </c>
      <c r="AU3440">
        <v>10.76</v>
      </c>
      <c r="AV3440">
        <v>6.55</v>
      </c>
      <c r="AW3440">
        <v>1.48</v>
      </c>
      <c r="BA3440">
        <v>-0.43</v>
      </c>
      <c r="BB3440">
        <v>3.99</v>
      </c>
      <c r="BC3440">
        <v>-1</v>
      </c>
      <c r="BD3440">
        <v>1.8</v>
      </c>
      <c r="BE3440">
        <v>1.43</v>
      </c>
      <c r="BF3440">
        <v>-2.88</v>
      </c>
      <c r="BG3440">
        <v>2.02</v>
      </c>
      <c r="BH3440">
        <v>-0.8</v>
      </c>
      <c r="BI3440">
        <v>20191030</v>
      </c>
      <c r="BJ3440">
        <v>20141203</v>
      </c>
      <c r="BK3440">
        <v>2.52</v>
      </c>
      <c r="BL3440" t="s">
        <v>116</v>
      </c>
      <c r="BM3440" t="s">
        <v>116</v>
      </c>
      <c r="BN3440">
        <v>67.819999999999993</v>
      </c>
      <c r="BO3440">
        <v>25.57</v>
      </c>
      <c r="BP3440">
        <v>2.67</v>
      </c>
      <c r="BQ3440">
        <v>58.35</v>
      </c>
      <c r="BR3440">
        <v>23.35</v>
      </c>
      <c r="BS3440">
        <v>0.92</v>
      </c>
      <c r="BT3440">
        <v>15.51</v>
      </c>
      <c r="BU3440">
        <v>17.02</v>
      </c>
      <c r="BV3440">
        <v>11.47</v>
      </c>
      <c r="BW3440">
        <v>3.7</v>
      </c>
      <c r="BX3440">
        <v>12.1</v>
      </c>
      <c r="BY3440">
        <v>18.87</v>
      </c>
      <c r="BZ3440">
        <v>5.9</v>
      </c>
      <c r="CA3440">
        <v>0.39</v>
      </c>
      <c r="CB3440">
        <v>0</v>
      </c>
      <c r="CC3440">
        <v>0.71</v>
      </c>
      <c r="CD3440">
        <v>0.46</v>
      </c>
      <c r="CE3440">
        <v>0.3</v>
      </c>
      <c r="CF3440">
        <v>0.08</v>
      </c>
      <c r="CG3440">
        <v>9.2200000000000006</v>
      </c>
      <c r="CH3440">
        <v>0.83</v>
      </c>
      <c r="CI3440">
        <v>-5.49</v>
      </c>
      <c r="CJ3440">
        <v>12285</v>
      </c>
      <c r="CK3440">
        <v>8850</v>
      </c>
      <c r="CL3440" t="s">
        <v>6402</v>
      </c>
      <c r="CM3440">
        <v>-77.98</v>
      </c>
      <c r="CN3440">
        <v>-6.46</v>
      </c>
      <c r="CO3440">
        <v>0.74</v>
      </c>
      <c r="CP3440">
        <v>21.59</v>
      </c>
      <c r="CQ3440">
        <v>0.95</v>
      </c>
      <c r="CR3440">
        <v>2.29</v>
      </c>
      <c r="CS3440" t="s">
        <v>5567</v>
      </c>
      <c r="CT3440">
        <v>9.5299999999999994</v>
      </c>
      <c r="CU3440">
        <v>9.5299999999999994</v>
      </c>
      <c r="CV3440">
        <v>4.8</v>
      </c>
      <c r="CW3440">
        <v>3.65</v>
      </c>
      <c r="CX3440">
        <v>0.33</v>
      </c>
      <c r="CY3440">
        <v>37.700000000000003</v>
      </c>
      <c r="CZ3440" t="s">
        <v>4062</v>
      </c>
      <c r="DA3440">
        <v>68.73</v>
      </c>
      <c r="DB3440">
        <v>2.0699999999999998</v>
      </c>
      <c r="DC3440">
        <v>1.6</v>
      </c>
      <c r="DD3440">
        <v>0.86</v>
      </c>
      <c r="DE3440">
        <v>2466</v>
      </c>
      <c r="DF3440">
        <v>603518</v>
      </c>
      <c r="DG3440" t="s">
        <v>116</v>
      </c>
      <c r="DH3440" t="s">
        <v>116</v>
      </c>
      <c r="DI3440" t="s">
        <v>116</v>
      </c>
    </row>
    <row r="3441" spans="1:113" x14ac:dyDescent="0.4">
      <c r="A3441" t="str">
        <f>"603519"</f>
        <v>603519</v>
      </c>
      <c r="B3441" t="s">
        <v>14514</v>
      </c>
      <c r="C3441">
        <v>-0.37</v>
      </c>
      <c r="D3441">
        <v>13.61</v>
      </c>
      <c r="E3441">
        <v>-0.05</v>
      </c>
      <c r="F3441">
        <v>13.6</v>
      </c>
      <c r="G3441">
        <v>13.61</v>
      </c>
      <c r="H3441">
        <v>10152</v>
      </c>
      <c r="I3441">
        <v>77</v>
      </c>
      <c r="J3441">
        <v>-0.14000000000000001</v>
      </c>
      <c r="K3441">
        <v>0.46</v>
      </c>
      <c r="L3441">
        <v>13.64</v>
      </c>
      <c r="M3441">
        <v>13.85</v>
      </c>
      <c r="N3441">
        <v>13.6</v>
      </c>
      <c r="O3441">
        <v>13.66</v>
      </c>
      <c r="P3441">
        <v>20</v>
      </c>
      <c r="Q3441">
        <v>13932598</v>
      </c>
      <c r="R3441">
        <v>0.81</v>
      </c>
      <c r="S3441" t="s">
        <v>209</v>
      </c>
      <c r="T3441" t="s">
        <v>323</v>
      </c>
      <c r="U3441">
        <v>1.83</v>
      </c>
      <c r="V3441">
        <v>13.72</v>
      </c>
      <c r="W3441">
        <v>6023</v>
      </c>
      <c r="X3441">
        <v>4129</v>
      </c>
      <c r="Y3441">
        <v>1.46</v>
      </c>
      <c r="Z3441">
        <v>75</v>
      </c>
      <c r="AA3441">
        <v>54</v>
      </c>
      <c r="AB3441" t="s">
        <v>116</v>
      </c>
      <c r="AC3441">
        <v>10900</v>
      </c>
      <c r="AD3441">
        <v>0</v>
      </c>
      <c r="AE3441" t="s">
        <v>116</v>
      </c>
      <c r="AF3441" t="s">
        <v>116</v>
      </c>
      <c r="AG3441">
        <v>2.2200000000000002</v>
      </c>
      <c r="AH3441" t="s">
        <v>9573</v>
      </c>
      <c r="AI3441" t="s">
        <v>9573</v>
      </c>
      <c r="AJ3441">
        <v>-0.28999999999999998</v>
      </c>
      <c r="AK3441">
        <v>839</v>
      </c>
      <c r="AL3441">
        <v>12</v>
      </c>
      <c r="AM3441">
        <v>5.0000000000000001E-4</v>
      </c>
      <c r="AN3441">
        <v>-3</v>
      </c>
      <c r="AO3441">
        <v>-2.29</v>
      </c>
      <c r="AP3441">
        <v>-8.4700000000000006</v>
      </c>
      <c r="AQ3441">
        <v>-17.66</v>
      </c>
      <c r="AR3441">
        <v>60.12</v>
      </c>
      <c r="AS3441">
        <v>1.08</v>
      </c>
      <c r="AT3441" t="s">
        <v>9668</v>
      </c>
      <c r="AU3441">
        <v>20.96</v>
      </c>
      <c r="AV3441">
        <v>33.03</v>
      </c>
      <c r="AW3441">
        <v>1.86</v>
      </c>
      <c r="BA3441">
        <v>-0.15</v>
      </c>
      <c r="BB3441">
        <v>1.39</v>
      </c>
      <c r="BC3441">
        <v>-0.44</v>
      </c>
      <c r="BD3441">
        <v>0.47</v>
      </c>
      <c r="BE3441">
        <v>-0.22</v>
      </c>
      <c r="BF3441">
        <v>-1.73</v>
      </c>
      <c r="BG3441">
        <v>7.0000000000000007E-2</v>
      </c>
      <c r="BH3441">
        <v>-0.84</v>
      </c>
      <c r="BI3441">
        <v>20191029</v>
      </c>
      <c r="BJ3441">
        <v>20150319</v>
      </c>
      <c r="BK3441">
        <v>2.2200000000000002</v>
      </c>
      <c r="BL3441" t="s">
        <v>116</v>
      </c>
      <c r="BM3441" t="s">
        <v>116</v>
      </c>
      <c r="BN3441">
        <v>9.11</v>
      </c>
      <c r="BO3441">
        <v>7.15</v>
      </c>
      <c r="BP3441">
        <v>0</v>
      </c>
      <c r="BQ3441">
        <v>21.5</v>
      </c>
      <c r="BR3441">
        <v>7.94</v>
      </c>
      <c r="BS3441">
        <v>0.84</v>
      </c>
      <c r="BT3441">
        <v>0.19</v>
      </c>
      <c r="BU3441">
        <v>1.94</v>
      </c>
      <c r="BV3441">
        <v>1.29</v>
      </c>
      <c r="BW3441">
        <v>1.87</v>
      </c>
      <c r="BX3441">
        <v>0.9</v>
      </c>
      <c r="BY3441">
        <v>9.36</v>
      </c>
      <c r="BZ3441">
        <v>7.43</v>
      </c>
      <c r="CA3441">
        <v>1.35</v>
      </c>
      <c r="CB3441">
        <v>0.01</v>
      </c>
      <c r="CC3441">
        <v>1.35</v>
      </c>
      <c r="CD3441">
        <v>1.1299999999999999</v>
      </c>
      <c r="CE3441">
        <v>1.1299999999999999</v>
      </c>
      <c r="CF3441">
        <v>1.1299999999999999</v>
      </c>
      <c r="CG3441">
        <v>3.46</v>
      </c>
      <c r="CH3441">
        <v>1.81</v>
      </c>
      <c r="CI3441">
        <v>0.67</v>
      </c>
      <c r="CJ3441">
        <v>5399</v>
      </c>
      <c r="CK3441">
        <v>17479</v>
      </c>
      <c r="CL3441" t="s">
        <v>14515</v>
      </c>
      <c r="CM3441">
        <v>86.91</v>
      </c>
      <c r="CN3441">
        <v>5.76</v>
      </c>
      <c r="CO3441">
        <v>4.22</v>
      </c>
      <c r="CP3441">
        <v>16.72</v>
      </c>
      <c r="CQ3441">
        <v>3.23</v>
      </c>
      <c r="CR3441">
        <v>3.67</v>
      </c>
      <c r="CS3441" t="s">
        <v>6070</v>
      </c>
      <c r="CT3441">
        <v>3.22</v>
      </c>
      <c r="CU3441">
        <v>0</v>
      </c>
      <c r="CV3441">
        <v>0.4</v>
      </c>
      <c r="CW3441">
        <v>1.56</v>
      </c>
      <c r="CX3441">
        <v>0.81</v>
      </c>
      <c r="CY3441">
        <v>78.5</v>
      </c>
      <c r="CZ3441" t="s">
        <v>14516</v>
      </c>
      <c r="DA3441">
        <v>20.61</v>
      </c>
      <c r="DB3441">
        <v>14.46</v>
      </c>
      <c r="DC3441">
        <v>12.1</v>
      </c>
      <c r="DD3441">
        <v>0.31</v>
      </c>
      <c r="DE3441">
        <v>310</v>
      </c>
      <c r="DF3441">
        <v>603519</v>
      </c>
      <c r="DG3441" t="s">
        <v>116</v>
      </c>
      <c r="DH3441" t="s">
        <v>116</v>
      </c>
      <c r="DI3441" t="s">
        <v>116</v>
      </c>
    </row>
    <row r="3442" spans="1:113" x14ac:dyDescent="0.4">
      <c r="A3442" t="str">
        <f>"603520"</f>
        <v>603520</v>
      </c>
      <c r="B3442" t="s">
        <v>14517</v>
      </c>
      <c r="C3442">
        <v>-1.04</v>
      </c>
      <c r="D3442">
        <v>42.7</v>
      </c>
      <c r="E3442">
        <v>-0.45</v>
      </c>
      <c r="F3442">
        <v>42.7</v>
      </c>
      <c r="G3442">
        <v>42.75</v>
      </c>
      <c r="H3442">
        <v>11188</v>
      </c>
      <c r="I3442">
        <v>143</v>
      </c>
      <c r="J3442">
        <v>-0.11</v>
      </c>
      <c r="K3442">
        <v>0.67</v>
      </c>
      <c r="L3442">
        <v>43.02</v>
      </c>
      <c r="M3442">
        <v>43.63</v>
      </c>
      <c r="N3442">
        <v>42.32</v>
      </c>
      <c r="O3442">
        <v>43.15</v>
      </c>
      <c r="P3442">
        <v>39.119999999999997</v>
      </c>
      <c r="Q3442">
        <v>47965788</v>
      </c>
      <c r="R3442">
        <v>0.57999999999999996</v>
      </c>
      <c r="S3442" t="s">
        <v>574</v>
      </c>
      <c r="T3442" t="s">
        <v>590</v>
      </c>
      <c r="U3442">
        <v>3.04</v>
      </c>
      <c r="V3442">
        <v>42.87</v>
      </c>
      <c r="W3442">
        <v>5533</v>
      </c>
      <c r="X3442">
        <v>5655</v>
      </c>
      <c r="Y3442">
        <v>0.98</v>
      </c>
      <c r="Z3442">
        <v>230</v>
      </c>
      <c r="AA3442">
        <v>21</v>
      </c>
      <c r="AB3442" t="s">
        <v>116</v>
      </c>
      <c r="AC3442">
        <v>60200</v>
      </c>
      <c r="AD3442">
        <v>0</v>
      </c>
      <c r="AE3442" t="s">
        <v>116</v>
      </c>
      <c r="AF3442" t="s">
        <v>116</v>
      </c>
      <c r="AG3442">
        <v>1.68</v>
      </c>
      <c r="AH3442" t="s">
        <v>8305</v>
      </c>
      <c r="AI3442" t="s">
        <v>8305</v>
      </c>
      <c r="AJ3442">
        <v>-0.97</v>
      </c>
      <c r="AK3442">
        <v>1813</v>
      </c>
      <c r="AL3442">
        <v>6</v>
      </c>
      <c r="AM3442">
        <v>4.0000000000000002E-4</v>
      </c>
      <c r="AN3442">
        <v>-3</v>
      </c>
      <c r="AO3442">
        <v>-6.01</v>
      </c>
      <c r="AP3442">
        <v>-4.7699999999999996</v>
      </c>
      <c r="AQ3442">
        <v>28.96</v>
      </c>
      <c r="AR3442">
        <v>129.22</v>
      </c>
      <c r="AS3442">
        <v>1.24</v>
      </c>
      <c r="AT3442" t="s">
        <v>12573</v>
      </c>
      <c r="AU3442">
        <v>49</v>
      </c>
      <c r="AV3442">
        <v>76.53</v>
      </c>
      <c r="AW3442">
        <v>1.32</v>
      </c>
      <c r="BA3442">
        <v>-0.3</v>
      </c>
      <c r="BB3442">
        <v>1.1100000000000001</v>
      </c>
      <c r="BC3442">
        <v>-1.92</v>
      </c>
      <c r="BD3442">
        <v>-0.65</v>
      </c>
      <c r="BE3442">
        <v>-0.74</v>
      </c>
      <c r="BF3442">
        <v>-2.13</v>
      </c>
      <c r="BG3442">
        <v>0.9</v>
      </c>
      <c r="BH3442">
        <v>-0.4</v>
      </c>
      <c r="BI3442">
        <v>20191029</v>
      </c>
      <c r="BJ3442">
        <v>20160309</v>
      </c>
      <c r="BK3442">
        <v>1.68</v>
      </c>
      <c r="BL3442" t="s">
        <v>116</v>
      </c>
      <c r="BM3442" t="s">
        <v>116</v>
      </c>
      <c r="BN3442">
        <v>34.159999999999997</v>
      </c>
      <c r="BO3442">
        <v>9.86</v>
      </c>
      <c r="BP3442">
        <v>0.38</v>
      </c>
      <c r="BQ3442">
        <v>70.02</v>
      </c>
      <c r="BR3442">
        <v>11.92</v>
      </c>
      <c r="BS3442">
        <v>10.1</v>
      </c>
      <c r="BT3442">
        <v>1.71</v>
      </c>
      <c r="BU3442">
        <v>16.12</v>
      </c>
      <c r="BV3442">
        <v>4</v>
      </c>
      <c r="BW3442">
        <v>3.04</v>
      </c>
      <c r="BX3442">
        <v>4.08</v>
      </c>
      <c r="BY3442">
        <v>9.86</v>
      </c>
      <c r="BZ3442">
        <v>5.72</v>
      </c>
      <c r="CA3442">
        <v>1.84</v>
      </c>
      <c r="CB3442">
        <v>0.02</v>
      </c>
      <c r="CC3442">
        <v>1.81</v>
      </c>
      <c r="CD3442">
        <v>1.43</v>
      </c>
      <c r="CE3442">
        <v>1.37</v>
      </c>
      <c r="CF3442">
        <v>1.34</v>
      </c>
      <c r="CG3442">
        <v>3.48</v>
      </c>
      <c r="CH3442">
        <v>1.55</v>
      </c>
      <c r="CI3442">
        <v>1.21</v>
      </c>
      <c r="CJ3442">
        <v>7485</v>
      </c>
      <c r="CK3442">
        <v>12079</v>
      </c>
      <c r="CL3442" t="s">
        <v>14518</v>
      </c>
      <c r="CM3442">
        <v>62.08</v>
      </c>
      <c r="CN3442">
        <v>55.43</v>
      </c>
      <c r="CO3442">
        <v>7.27</v>
      </c>
      <c r="CP3442">
        <v>46.19</v>
      </c>
      <c r="CQ3442">
        <v>7.27</v>
      </c>
      <c r="CR3442">
        <v>0.5</v>
      </c>
      <c r="CS3442" t="s">
        <v>14519</v>
      </c>
      <c r="CT3442">
        <v>5.88</v>
      </c>
      <c r="CU3442">
        <v>0</v>
      </c>
      <c r="CV3442">
        <v>2.4300000000000002</v>
      </c>
      <c r="CW3442">
        <v>2.0699999999999998</v>
      </c>
      <c r="CX3442">
        <v>0.92</v>
      </c>
      <c r="CY3442">
        <v>28.88</v>
      </c>
      <c r="CZ3442" t="s">
        <v>9199</v>
      </c>
      <c r="DA3442">
        <v>42.01</v>
      </c>
      <c r="DB3442">
        <v>18.649999999999999</v>
      </c>
      <c r="DC3442">
        <v>13.94</v>
      </c>
      <c r="DD3442">
        <v>0.51</v>
      </c>
      <c r="DE3442">
        <v>1487</v>
      </c>
      <c r="DF3442">
        <v>603520</v>
      </c>
      <c r="DG3442" t="s">
        <v>116</v>
      </c>
      <c r="DH3442" t="s">
        <v>116</v>
      </c>
      <c r="DI3442" t="s">
        <v>116</v>
      </c>
    </row>
    <row r="3443" spans="1:113" x14ac:dyDescent="0.4">
      <c r="A3443" t="str">
        <f>"603527"</f>
        <v>603527</v>
      </c>
      <c r="B3443" t="s">
        <v>14520</v>
      </c>
      <c r="C3443">
        <v>1.1299999999999999</v>
      </c>
      <c r="D3443">
        <v>10.77</v>
      </c>
      <c r="E3443">
        <v>0.12</v>
      </c>
      <c r="F3443">
        <v>10.76</v>
      </c>
      <c r="G3443">
        <v>10.77</v>
      </c>
      <c r="H3443">
        <v>57577</v>
      </c>
      <c r="I3443">
        <v>769</v>
      </c>
      <c r="J3443">
        <v>0.09</v>
      </c>
      <c r="K3443">
        <v>5.35</v>
      </c>
      <c r="L3443">
        <v>10.63</v>
      </c>
      <c r="M3443">
        <v>11.25</v>
      </c>
      <c r="N3443">
        <v>10.51</v>
      </c>
      <c r="O3443">
        <v>10.65</v>
      </c>
      <c r="P3443">
        <v>20.68</v>
      </c>
      <c r="Q3443">
        <v>62437704</v>
      </c>
      <c r="R3443">
        <v>2.67</v>
      </c>
      <c r="S3443" t="s">
        <v>1517</v>
      </c>
      <c r="T3443" t="s">
        <v>575</v>
      </c>
      <c r="U3443">
        <v>6.95</v>
      </c>
      <c r="V3443">
        <v>10.84</v>
      </c>
      <c r="W3443">
        <v>28786</v>
      </c>
      <c r="X3443">
        <v>28791</v>
      </c>
      <c r="Y3443">
        <v>1</v>
      </c>
      <c r="Z3443">
        <v>130</v>
      </c>
      <c r="AA3443">
        <v>79</v>
      </c>
      <c r="AB3443" t="s">
        <v>116</v>
      </c>
      <c r="AC3443">
        <v>161600</v>
      </c>
      <c r="AD3443">
        <v>0.02</v>
      </c>
      <c r="AE3443" t="s">
        <v>116</v>
      </c>
      <c r="AF3443" t="s">
        <v>116</v>
      </c>
      <c r="AG3443">
        <v>1.08</v>
      </c>
      <c r="AH3443" t="s">
        <v>2133</v>
      </c>
      <c r="AI3443" t="s">
        <v>1806</v>
      </c>
      <c r="AJ3443">
        <v>1.2</v>
      </c>
      <c r="AK3443">
        <v>1565</v>
      </c>
      <c r="AL3443">
        <v>37</v>
      </c>
      <c r="AM3443">
        <v>3.3999999999999998E-3</v>
      </c>
      <c r="AN3443">
        <v>2</v>
      </c>
      <c r="AO3443">
        <v>2.2799999999999998</v>
      </c>
      <c r="AP3443">
        <v>9.01</v>
      </c>
      <c r="AQ3443">
        <v>2.09</v>
      </c>
      <c r="AR3443">
        <v>5.9</v>
      </c>
      <c r="AS3443">
        <v>7.63</v>
      </c>
      <c r="AT3443" t="s">
        <v>13951</v>
      </c>
      <c r="AU3443">
        <v>20.76</v>
      </c>
      <c r="AV3443">
        <v>20.05</v>
      </c>
      <c r="AW3443">
        <v>1.1299999999999999</v>
      </c>
      <c r="BA3443">
        <v>-0.19</v>
      </c>
      <c r="BB3443">
        <v>5.63</v>
      </c>
      <c r="BC3443">
        <v>-1.31</v>
      </c>
      <c r="BD3443">
        <v>1.82</v>
      </c>
      <c r="BE3443">
        <v>1.32</v>
      </c>
      <c r="BF3443">
        <v>-4.2699999999999996</v>
      </c>
      <c r="BG3443">
        <v>2.4700000000000002</v>
      </c>
      <c r="BH3443">
        <v>-0.7</v>
      </c>
      <c r="BI3443">
        <v>20191029</v>
      </c>
      <c r="BJ3443">
        <v>20170907</v>
      </c>
      <c r="BK3443">
        <v>1.74</v>
      </c>
      <c r="BL3443" t="s">
        <v>116</v>
      </c>
      <c r="BM3443" t="s">
        <v>116</v>
      </c>
      <c r="BN3443">
        <v>12.06</v>
      </c>
      <c r="BO3443">
        <v>9.01</v>
      </c>
      <c r="BP3443">
        <v>0</v>
      </c>
      <c r="BQ3443">
        <v>25.29</v>
      </c>
      <c r="BR3443">
        <v>9.48</v>
      </c>
      <c r="BS3443">
        <v>0.93</v>
      </c>
      <c r="BT3443">
        <v>0.37</v>
      </c>
      <c r="BU3443">
        <v>2.93</v>
      </c>
      <c r="BV3443">
        <v>2.65</v>
      </c>
      <c r="BW3443">
        <v>2.3199999999999998</v>
      </c>
      <c r="BX3443">
        <v>3.68</v>
      </c>
      <c r="BY3443">
        <v>23.88</v>
      </c>
      <c r="BZ3443">
        <v>22.43</v>
      </c>
      <c r="CA3443">
        <v>0.76</v>
      </c>
      <c r="CB3443">
        <v>0</v>
      </c>
      <c r="CC3443">
        <v>0.81</v>
      </c>
      <c r="CD3443">
        <v>0.68</v>
      </c>
      <c r="CE3443">
        <v>0.68</v>
      </c>
      <c r="CF3443">
        <v>0.62</v>
      </c>
      <c r="CG3443">
        <v>3.05</v>
      </c>
      <c r="CH3443">
        <v>-0.26</v>
      </c>
      <c r="CI3443">
        <v>-0.83</v>
      </c>
      <c r="CJ3443">
        <v>14282</v>
      </c>
      <c r="CK3443">
        <v>5283</v>
      </c>
      <c r="CL3443" t="s">
        <v>1931</v>
      </c>
      <c r="CM3443">
        <v>-4.54</v>
      </c>
      <c r="CN3443">
        <v>-1.1200000000000001</v>
      </c>
      <c r="CO3443">
        <v>2.08</v>
      </c>
      <c r="CP3443">
        <v>-73.349999999999994</v>
      </c>
      <c r="CQ3443">
        <v>0.79</v>
      </c>
      <c r="CR3443">
        <v>1.86</v>
      </c>
      <c r="CS3443" t="s">
        <v>253</v>
      </c>
      <c r="CT3443">
        <v>5.17</v>
      </c>
      <c r="CU3443">
        <v>0</v>
      </c>
      <c r="CV3443">
        <v>2.11</v>
      </c>
      <c r="CW3443">
        <v>1.75</v>
      </c>
      <c r="CX3443">
        <v>-0.15</v>
      </c>
      <c r="CY3443">
        <v>74.709999999999994</v>
      </c>
      <c r="CZ3443" t="s">
        <v>2183</v>
      </c>
      <c r="DA3443">
        <v>6.07</v>
      </c>
      <c r="DB3443">
        <v>3.16</v>
      </c>
      <c r="DC3443">
        <v>2.85</v>
      </c>
      <c r="DD3443">
        <v>0.27</v>
      </c>
      <c r="DE3443">
        <v>528</v>
      </c>
      <c r="DF3443">
        <v>603527</v>
      </c>
      <c r="DG3443" t="s">
        <v>116</v>
      </c>
      <c r="DH3443" t="s">
        <v>116</v>
      </c>
      <c r="DI3443" t="s">
        <v>116</v>
      </c>
    </row>
    <row r="3444" spans="1:113" x14ac:dyDescent="0.4">
      <c r="A3444" t="str">
        <f>"603528"</f>
        <v>603528</v>
      </c>
      <c r="B3444" t="s">
        <v>14521</v>
      </c>
      <c r="C3444">
        <v>-1.01</v>
      </c>
      <c r="D3444">
        <v>6.83</v>
      </c>
      <c r="E3444">
        <v>-7.0000000000000007E-2</v>
      </c>
      <c r="F3444">
        <v>6.82</v>
      </c>
      <c r="G3444">
        <v>6.83</v>
      </c>
      <c r="H3444">
        <v>29831</v>
      </c>
      <c r="I3444">
        <v>291</v>
      </c>
      <c r="J3444">
        <v>0</v>
      </c>
      <c r="K3444">
        <v>0.48</v>
      </c>
      <c r="L3444">
        <v>6.89</v>
      </c>
      <c r="M3444">
        <v>6.95</v>
      </c>
      <c r="N3444">
        <v>6.82</v>
      </c>
      <c r="O3444">
        <v>6.9</v>
      </c>
      <c r="P3444">
        <v>29.57</v>
      </c>
      <c r="Q3444">
        <v>20579780</v>
      </c>
      <c r="R3444">
        <v>1.04</v>
      </c>
      <c r="S3444" t="s">
        <v>607</v>
      </c>
      <c r="T3444" t="s">
        <v>323</v>
      </c>
      <c r="U3444">
        <v>1.88</v>
      </c>
      <c r="V3444">
        <v>6.9</v>
      </c>
      <c r="W3444">
        <v>16240</v>
      </c>
      <c r="X3444">
        <v>13591</v>
      </c>
      <c r="Y3444">
        <v>1.19</v>
      </c>
      <c r="Z3444">
        <v>926</v>
      </c>
      <c r="AA3444">
        <v>176</v>
      </c>
      <c r="AB3444" t="s">
        <v>116</v>
      </c>
      <c r="AC3444">
        <v>26900</v>
      </c>
      <c r="AD3444">
        <v>0</v>
      </c>
      <c r="AE3444" t="s">
        <v>116</v>
      </c>
      <c r="AF3444" t="s">
        <v>116</v>
      </c>
      <c r="AG3444">
        <v>6.22</v>
      </c>
      <c r="AH3444" t="s">
        <v>11866</v>
      </c>
      <c r="AI3444" t="s">
        <v>14522</v>
      </c>
      <c r="AJ3444">
        <v>-0.94</v>
      </c>
      <c r="AK3444">
        <v>1079</v>
      </c>
      <c r="AL3444">
        <v>28</v>
      </c>
      <c r="AM3444">
        <v>4.0000000000000002E-4</v>
      </c>
      <c r="AN3444">
        <v>-1</v>
      </c>
      <c r="AO3444">
        <v>0.59</v>
      </c>
      <c r="AP3444">
        <v>6.72</v>
      </c>
      <c r="AQ3444">
        <v>-13.54</v>
      </c>
      <c r="AR3444">
        <v>12.08</v>
      </c>
      <c r="AS3444">
        <v>1.48</v>
      </c>
      <c r="AT3444" t="s">
        <v>5803</v>
      </c>
      <c r="AU3444">
        <v>31.41</v>
      </c>
      <c r="AV3444">
        <v>31.72</v>
      </c>
      <c r="AW3444">
        <v>1.44</v>
      </c>
      <c r="BA3444">
        <v>-0.14000000000000001</v>
      </c>
      <c r="BB3444">
        <v>0.72</v>
      </c>
      <c r="BC3444">
        <v>-1.1599999999999999</v>
      </c>
      <c r="BD3444">
        <v>-0.02</v>
      </c>
      <c r="BE3444">
        <v>-0.87</v>
      </c>
      <c r="BF3444">
        <v>-1.73</v>
      </c>
      <c r="BG3444">
        <v>0.15</v>
      </c>
      <c r="BH3444">
        <v>-1</v>
      </c>
      <c r="BI3444">
        <v>20191223</v>
      </c>
      <c r="BJ3444">
        <v>20160503</v>
      </c>
      <c r="BK3444">
        <v>6.27</v>
      </c>
      <c r="BL3444" t="s">
        <v>116</v>
      </c>
      <c r="BM3444" t="s">
        <v>116</v>
      </c>
      <c r="BN3444">
        <v>21.27</v>
      </c>
      <c r="BO3444">
        <v>15.54</v>
      </c>
      <c r="BP3444">
        <v>0.37</v>
      </c>
      <c r="BQ3444">
        <v>25.16</v>
      </c>
      <c r="BR3444">
        <v>16.59</v>
      </c>
      <c r="BS3444">
        <v>1.71</v>
      </c>
      <c r="BT3444">
        <v>0.82</v>
      </c>
      <c r="BU3444">
        <v>5.13</v>
      </c>
      <c r="BV3444">
        <v>3.65</v>
      </c>
      <c r="BW3444">
        <v>3</v>
      </c>
      <c r="BX3444">
        <v>2</v>
      </c>
      <c r="BY3444">
        <v>4.47</v>
      </c>
      <c r="BZ3444">
        <v>2.0499999999999998</v>
      </c>
      <c r="CA3444">
        <v>1.25</v>
      </c>
      <c r="CB3444">
        <v>0.1</v>
      </c>
      <c r="CC3444">
        <v>1.26</v>
      </c>
      <c r="CD3444">
        <v>1.07</v>
      </c>
      <c r="CE3444">
        <v>1.0900000000000001</v>
      </c>
      <c r="CF3444">
        <v>0.91</v>
      </c>
      <c r="CG3444">
        <v>6.11</v>
      </c>
      <c r="CH3444">
        <v>0.66</v>
      </c>
      <c r="CI3444">
        <v>-1.42</v>
      </c>
      <c r="CJ3444">
        <v>34160</v>
      </c>
      <c r="CK3444">
        <v>5899</v>
      </c>
      <c r="CL3444" t="s">
        <v>3086</v>
      </c>
      <c r="CM3444">
        <v>1.23</v>
      </c>
      <c r="CN3444">
        <v>7.13</v>
      </c>
      <c r="CO3444">
        <v>2.75</v>
      </c>
      <c r="CP3444">
        <v>64.63</v>
      </c>
      <c r="CQ3444">
        <v>9.59</v>
      </c>
      <c r="CR3444">
        <v>0.97</v>
      </c>
      <c r="CS3444" t="s">
        <v>192</v>
      </c>
      <c r="CT3444">
        <v>2.48</v>
      </c>
      <c r="CU3444">
        <v>0</v>
      </c>
      <c r="CV3444">
        <v>0.32</v>
      </c>
      <c r="CW3444">
        <v>0.98</v>
      </c>
      <c r="CX3444">
        <v>0.11</v>
      </c>
      <c r="CY3444">
        <v>73.08</v>
      </c>
      <c r="CZ3444" t="s">
        <v>14059</v>
      </c>
      <c r="DA3444">
        <v>54.13</v>
      </c>
      <c r="DB3444">
        <v>28.1</v>
      </c>
      <c r="DC3444">
        <v>24.32</v>
      </c>
      <c r="DD3444">
        <v>0.34</v>
      </c>
      <c r="DE3444">
        <v>1220</v>
      </c>
      <c r="DF3444">
        <v>603528</v>
      </c>
      <c r="DG3444" t="s">
        <v>116</v>
      </c>
      <c r="DH3444" t="s">
        <v>116</v>
      </c>
      <c r="DI3444" t="s">
        <v>116</v>
      </c>
    </row>
    <row r="3445" spans="1:113" x14ac:dyDescent="0.4">
      <c r="A3445" t="str">
        <f>"603530"</f>
        <v>603530</v>
      </c>
      <c r="B3445" t="s">
        <v>14523</v>
      </c>
      <c r="C3445">
        <v>1.45</v>
      </c>
      <c r="D3445">
        <v>21.62</v>
      </c>
      <c r="E3445">
        <v>0.31</v>
      </c>
      <c r="F3445">
        <v>21.62</v>
      </c>
      <c r="G3445">
        <v>21.63</v>
      </c>
      <c r="H3445">
        <v>72655</v>
      </c>
      <c r="I3445">
        <v>1145</v>
      </c>
      <c r="J3445">
        <v>-0.08</v>
      </c>
      <c r="K3445">
        <v>18.14</v>
      </c>
      <c r="L3445">
        <v>21.35</v>
      </c>
      <c r="M3445">
        <v>22.77</v>
      </c>
      <c r="N3445">
        <v>21.3</v>
      </c>
      <c r="O3445">
        <v>21.31</v>
      </c>
      <c r="P3445">
        <v>81.48</v>
      </c>
      <c r="Q3445">
        <v>160441552</v>
      </c>
      <c r="R3445">
        <v>1.57</v>
      </c>
      <c r="S3445" t="s">
        <v>397</v>
      </c>
      <c r="T3445" t="s">
        <v>323</v>
      </c>
      <c r="U3445">
        <v>6.9</v>
      </c>
      <c r="V3445">
        <v>22.08</v>
      </c>
      <c r="W3445">
        <v>39012</v>
      </c>
      <c r="X3445">
        <v>33643</v>
      </c>
      <c r="Y3445">
        <v>1.1599999999999999</v>
      </c>
      <c r="Z3445">
        <v>46</v>
      </c>
      <c r="AA3445">
        <v>201</v>
      </c>
      <c r="AB3445" t="s">
        <v>116</v>
      </c>
      <c r="AC3445">
        <v>145200</v>
      </c>
      <c r="AD3445">
        <v>0.02</v>
      </c>
      <c r="AE3445" t="s">
        <v>116</v>
      </c>
      <c r="AF3445" t="s">
        <v>116</v>
      </c>
      <c r="AG3445">
        <v>0.4</v>
      </c>
      <c r="AH3445" t="s">
        <v>14524</v>
      </c>
      <c r="AI3445" t="s">
        <v>14525</v>
      </c>
      <c r="AJ3445">
        <v>1.53</v>
      </c>
      <c r="AK3445">
        <v>2985</v>
      </c>
      <c r="AL3445">
        <v>24</v>
      </c>
      <c r="AM3445">
        <v>6.1000000000000004E-3</v>
      </c>
      <c r="AN3445">
        <v>4</v>
      </c>
      <c r="AO3445">
        <v>2.89</v>
      </c>
      <c r="AP3445">
        <v>-1.82</v>
      </c>
      <c r="AQ3445">
        <v>-6.41</v>
      </c>
      <c r="AR3445">
        <v>263.97000000000003</v>
      </c>
      <c r="AS3445">
        <v>18.14</v>
      </c>
      <c r="AT3445" t="s">
        <v>14524</v>
      </c>
      <c r="AU3445">
        <v>70.489999999999995</v>
      </c>
      <c r="AV3445">
        <v>71.150000000000006</v>
      </c>
      <c r="AW3445">
        <v>2.4500000000000002</v>
      </c>
      <c r="BA3445">
        <v>0.19</v>
      </c>
      <c r="BB3445">
        <v>6.85</v>
      </c>
      <c r="BC3445">
        <v>-0.05</v>
      </c>
      <c r="BD3445">
        <v>3.63</v>
      </c>
      <c r="BE3445">
        <v>1.26</v>
      </c>
      <c r="BF3445">
        <v>-5.05</v>
      </c>
      <c r="BG3445">
        <v>1.5</v>
      </c>
      <c r="BH3445">
        <v>-2.17</v>
      </c>
      <c r="BI3445">
        <v>20191030</v>
      </c>
      <c r="BJ3445">
        <v>20190805</v>
      </c>
      <c r="BK3445">
        <v>4</v>
      </c>
      <c r="BL3445" t="s">
        <v>116</v>
      </c>
      <c r="BM3445" t="s">
        <v>116</v>
      </c>
      <c r="BN3445">
        <v>12.34</v>
      </c>
      <c r="BO3445">
        <v>10.28</v>
      </c>
      <c r="BP3445">
        <v>0</v>
      </c>
      <c r="BQ3445">
        <v>16.73</v>
      </c>
      <c r="BR3445">
        <v>7.39</v>
      </c>
      <c r="BS3445">
        <v>1.99</v>
      </c>
      <c r="BT3445">
        <v>1.32</v>
      </c>
      <c r="BU3445">
        <v>1.46</v>
      </c>
      <c r="BV3445">
        <v>0.89</v>
      </c>
      <c r="BW3445">
        <v>2.97</v>
      </c>
      <c r="BX3445">
        <v>1.66</v>
      </c>
      <c r="BY3445">
        <v>4.29</v>
      </c>
      <c r="BZ3445">
        <v>2.4900000000000002</v>
      </c>
      <c r="CA3445">
        <v>0.94</v>
      </c>
      <c r="CB3445">
        <v>0.01</v>
      </c>
      <c r="CC3445">
        <v>0.93</v>
      </c>
      <c r="CD3445">
        <v>0.8</v>
      </c>
      <c r="CE3445">
        <v>0.8</v>
      </c>
      <c r="CF3445">
        <v>0.76</v>
      </c>
      <c r="CG3445">
        <v>4.04</v>
      </c>
      <c r="CH3445">
        <v>1</v>
      </c>
      <c r="CI3445">
        <v>2.42</v>
      </c>
      <c r="CJ3445">
        <v>22902</v>
      </c>
      <c r="CK3445">
        <v>1749</v>
      </c>
      <c r="CL3445" t="s">
        <v>3392</v>
      </c>
      <c r="CM3445">
        <v>0</v>
      </c>
      <c r="CN3445">
        <v>0</v>
      </c>
      <c r="CO3445">
        <v>8.42</v>
      </c>
      <c r="CP3445">
        <v>86.34</v>
      </c>
      <c r="CQ3445">
        <v>20.170000000000002</v>
      </c>
      <c r="CR3445">
        <v>0</v>
      </c>
      <c r="CS3445" t="s">
        <v>1244</v>
      </c>
      <c r="CT3445">
        <v>2.57</v>
      </c>
      <c r="CU3445">
        <v>0</v>
      </c>
      <c r="CV3445">
        <v>0.42</v>
      </c>
      <c r="CW3445">
        <v>1.01</v>
      </c>
      <c r="CX3445">
        <v>0.25</v>
      </c>
      <c r="CY3445">
        <v>83.27</v>
      </c>
      <c r="CZ3445" t="s">
        <v>8589</v>
      </c>
      <c r="DA3445">
        <v>41.97</v>
      </c>
      <c r="DB3445">
        <v>21.96</v>
      </c>
      <c r="DC3445">
        <v>18.559999999999999</v>
      </c>
      <c r="DD3445">
        <v>0.23</v>
      </c>
      <c r="DE3445">
        <v>1162</v>
      </c>
      <c r="DF3445">
        <v>603530</v>
      </c>
      <c r="DG3445" t="s">
        <v>116</v>
      </c>
      <c r="DH3445" t="s">
        <v>116</v>
      </c>
      <c r="DI3445" t="s">
        <v>116</v>
      </c>
    </row>
    <row r="3446" spans="1:113" x14ac:dyDescent="0.4">
      <c r="A3446" t="str">
        <f>"603533"</f>
        <v>603533</v>
      </c>
      <c r="B3446" t="s">
        <v>14526</v>
      </c>
      <c r="C3446">
        <v>-3.43</v>
      </c>
      <c r="D3446">
        <v>16.87</v>
      </c>
      <c r="E3446">
        <v>-0.6</v>
      </c>
      <c r="F3446">
        <v>16.86</v>
      </c>
      <c r="G3446">
        <v>16.87</v>
      </c>
      <c r="H3446">
        <v>75311</v>
      </c>
      <c r="I3446">
        <v>1752</v>
      </c>
      <c r="J3446">
        <v>-0.05</v>
      </c>
      <c r="K3446">
        <v>4.62</v>
      </c>
      <c r="L3446">
        <v>17.48</v>
      </c>
      <c r="M3446">
        <v>17.95</v>
      </c>
      <c r="N3446">
        <v>16.77</v>
      </c>
      <c r="O3446">
        <v>17.47</v>
      </c>
      <c r="P3446">
        <v>46.96</v>
      </c>
      <c r="Q3446">
        <v>130962848</v>
      </c>
      <c r="R3446">
        <v>1.28</v>
      </c>
      <c r="S3446" t="s">
        <v>1384</v>
      </c>
      <c r="T3446" t="s">
        <v>165</v>
      </c>
      <c r="U3446">
        <v>6.75</v>
      </c>
      <c r="V3446">
        <v>17.39</v>
      </c>
      <c r="W3446">
        <v>44549</v>
      </c>
      <c r="X3446">
        <v>30763</v>
      </c>
      <c r="Y3446">
        <v>1.45</v>
      </c>
      <c r="Z3446">
        <v>138</v>
      </c>
      <c r="AA3446">
        <v>21</v>
      </c>
      <c r="AB3446" t="s">
        <v>116</v>
      </c>
      <c r="AC3446">
        <v>365300</v>
      </c>
      <c r="AD3446">
        <v>0.02</v>
      </c>
      <c r="AE3446" t="s">
        <v>116</v>
      </c>
      <c r="AF3446" t="s">
        <v>116</v>
      </c>
      <c r="AG3446">
        <v>1.63</v>
      </c>
      <c r="AH3446" t="s">
        <v>14527</v>
      </c>
      <c r="AI3446" t="s">
        <v>13440</v>
      </c>
      <c r="AJ3446">
        <v>-3.36</v>
      </c>
      <c r="AK3446">
        <v>2403</v>
      </c>
      <c r="AL3446">
        <v>31</v>
      </c>
      <c r="AM3446">
        <v>1.9E-3</v>
      </c>
      <c r="AN3446">
        <v>-2</v>
      </c>
      <c r="AO3446">
        <v>-3.33</v>
      </c>
      <c r="AP3446">
        <v>1.26</v>
      </c>
      <c r="AQ3446">
        <v>14.76</v>
      </c>
      <c r="AR3446">
        <v>-4.53</v>
      </c>
      <c r="AS3446">
        <v>8.61</v>
      </c>
      <c r="AT3446" t="s">
        <v>14528</v>
      </c>
      <c r="AU3446">
        <v>51.05</v>
      </c>
      <c r="AV3446">
        <v>48.56</v>
      </c>
      <c r="AW3446">
        <v>1.18</v>
      </c>
      <c r="BA3446">
        <v>0.06</v>
      </c>
      <c r="BB3446">
        <v>2.75</v>
      </c>
      <c r="BC3446">
        <v>-4.01</v>
      </c>
      <c r="BD3446">
        <v>-0.46</v>
      </c>
      <c r="BE3446">
        <v>-3.49</v>
      </c>
      <c r="BF3446">
        <v>-6.02</v>
      </c>
      <c r="BG3446">
        <v>0.6</v>
      </c>
      <c r="BH3446">
        <v>-2.97</v>
      </c>
      <c r="BI3446">
        <v>20191030</v>
      </c>
      <c r="BJ3446">
        <v>20170921</v>
      </c>
      <c r="BK3446">
        <v>4.01</v>
      </c>
      <c r="BL3446" t="s">
        <v>116</v>
      </c>
      <c r="BM3446" t="s">
        <v>116</v>
      </c>
      <c r="BN3446">
        <v>17.04</v>
      </c>
      <c r="BO3446">
        <v>11.88</v>
      </c>
      <c r="BP3446">
        <v>0.09</v>
      </c>
      <c r="BQ3446">
        <v>29.74</v>
      </c>
      <c r="BR3446">
        <v>13.91</v>
      </c>
      <c r="BS3446">
        <v>0.31</v>
      </c>
      <c r="BT3446">
        <v>0.45</v>
      </c>
      <c r="BU3446">
        <v>5.07</v>
      </c>
      <c r="BV3446">
        <v>0</v>
      </c>
      <c r="BW3446">
        <v>2.89</v>
      </c>
      <c r="BX3446">
        <v>3.8</v>
      </c>
      <c r="BY3446">
        <v>13.86</v>
      </c>
      <c r="BZ3446">
        <v>8.7799999999999994</v>
      </c>
      <c r="CA3446">
        <v>1.02</v>
      </c>
      <c r="CB3446">
        <v>0.31</v>
      </c>
      <c r="CC3446">
        <v>1.03</v>
      </c>
      <c r="CD3446">
        <v>0.92</v>
      </c>
      <c r="CE3446">
        <v>1.08</v>
      </c>
      <c r="CF3446">
        <v>0.88</v>
      </c>
      <c r="CG3446">
        <v>3.75</v>
      </c>
      <c r="CH3446">
        <v>1.1200000000000001</v>
      </c>
      <c r="CI3446">
        <v>-2.27</v>
      </c>
      <c r="CJ3446">
        <v>21131</v>
      </c>
      <c r="CK3446">
        <v>4141</v>
      </c>
      <c r="CL3446" t="s">
        <v>14529</v>
      </c>
      <c r="CM3446">
        <v>-5.92</v>
      </c>
      <c r="CN3446">
        <v>-2.2799999999999998</v>
      </c>
      <c r="CO3446">
        <v>5.7</v>
      </c>
      <c r="CP3446">
        <v>60.62</v>
      </c>
      <c r="CQ3446">
        <v>4.88</v>
      </c>
      <c r="CR3446">
        <v>0.65</v>
      </c>
      <c r="CS3446" t="s">
        <v>2207</v>
      </c>
      <c r="CT3446">
        <v>2.96</v>
      </c>
      <c r="CU3446">
        <v>0</v>
      </c>
      <c r="CV3446">
        <v>0.95</v>
      </c>
      <c r="CW3446">
        <v>0.94</v>
      </c>
      <c r="CX3446">
        <v>0.28000000000000003</v>
      </c>
      <c r="CY3446">
        <v>69.709999999999994</v>
      </c>
      <c r="CZ3446" t="s">
        <v>8410</v>
      </c>
      <c r="DA3446">
        <v>36.67</v>
      </c>
      <c r="DB3446">
        <v>7.33</v>
      </c>
      <c r="DC3446">
        <v>7.79</v>
      </c>
      <c r="DD3446">
        <v>0.93</v>
      </c>
      <c r="DE3446">
        <v>846</v>
      </c>
      <c r="DF3446">
        <v>603533</v>
      </c>
      <c r="DG3446" t="s">
        <v>116</v>
      </c>
      <c r="DH3446" t="s">
        <v>116</v>
      </c>
      <c r="DI3446" t="s">
        <v>116</v>
      </c>
    </row>
    <row r="3447" spans="1:113" x14ac:dyDescent="0.4">
      <c r="A3447" t="str">
        <f>"603535"</f>
        <v>603535</v>
      </c>
      <c r="B3447" t="s">
        <v>14530</v>
      </c>
      <c r="C3447">
        <v>-0.78</v>
      </c>
      <c r="D3447">
        <v>17.850000000000001</v>
      </c>
      <c r="E3447">
        <v>-0.14000000000000001</v>
      </c>
      <c r="F3447">
        <v>17.84</v>
      </c>
      <c r="G3447">
        <v>17.850000000000001</v>
      </c>
      <c r="H3447">
        <v>9252</v>
      </c>
      <c r="I3447">
        <v>95</v>
      </c>
      <c r="J3447">
        <v>0</v>
      </c>
      <c r="K3447">
        <v>1.4</v>
      </c>
      <c r="L3447">
        <v>18.03</v>
      </c>
      <c r="M3447">
        <v>18.16</v>
      </c>
      <c r="N3447">
        <v>17.829999999999998</v>
      </c>
      <c r="O3447">
        <v>17.989999999999998</v>
      </c>
      <c r="P3447">
        <v>18.63</v>
      </c>
      <c r="Q3447">
        <v>16679131</v>
      </c>
      <c r="R3447">
        <v>1.38</v>
      </c>
      <c r="S3447" t="s">
        <v>3113</v>
      </c>
      <c r="T3447" t="s">
        <v>551</v>
      </c>
      <c r="U3447">
        <v>1.83</v>
      </c>
      <c r="V3447">
        <v>18.03</v>
      </c>
      <c r="W3447">
        <v>5068</v>
      </c>
      <c r="X3447">
        <v>4184</v>
      </c>
      <c r="Y3447">
        <v>1.21</v>
      </c>
      <c r="Z3447">
        <v>66</v>
      </c>
      <c r="AA3447">
        <v>67</v>
      </c>
      <c r="AB3447" t="s">
        <v>116</v>
      </c>
      <c r="AC3447">
        <v>97400</v>
      </c>
      <c r="AD3447">
        <v>0.01</v>
      </c>
      <c r="AE3447" t="s">
        <v>116</v>
      </c>
      <c r="AF3447" t="s">
        <v>116</v>
      </c>
      <c r="AG3447">
        <v>0.66</v>
      </c>
      <c r="AH3447" t="s">
        <v>11561</v>
      </c>
      <c r="AI3447" t="s">
        <v>11518</v>
      </c>
      <c r="AJ3447">
        <v>-0.7</v>
      </c>
      <c r="AK3447">
        <v>615</v>
      </c>
      <c r="AL3447">
        <v>15</v>
      </c>
      <c r="AM3447">
        <v>2.3E-3</v>
      </c>
      <c r="AN3447">
        <v>-1</v>
      </c>
      <c r="AO3447">
        <v>-0.45</v>
      </c>
      <c r="AP3447">
        <v>2.88</v>
      </c>
      <c r="AQ3447">
        <v>-1.22</v>
      </c>
      <c r="AR3447">
        <v>-2.62</v>
      </c>
      <c r="AS3447">
        <v>1.74</v>
      </c>
      <c r="AT3447" t="s">
        <v>3688</v>
      </c>
      <c r="AU3447">
        <v>18.71</v>
      </c>
      <c r="AV3447">
        <v>19.52</v>
      </c>
      <c r="AW3447">
        <v>1.33</v>
      </c>
      <c r="BA3447">
        <v>0.22</v>
      </c>
      <c r="BB3447">
        <v>0.94</v>
      </c>
      <c r="BC3447">
        <v>-0.89</v>
      </c>
      <c r="BD3447">
        <v>0.21</v>
      </c>
      <c r="BE3447">
        <v>-1</v>
      </c>
      <c r="BF3447">
        <v>-1.71</v>
      </c>
      <c r="BG3447">
        <v>0.11</v>
      </c>
      <c r="BH3447">
        <v>-0.99</v>
      </c>
      <c r="BI3447">
        <v>20191025</v>
      </c>
      <c r="BJ3447">
        <v>20170808</v>
      </c>
      <c r="BK3447">
        <v>1.5</v>
      </c>
      <c r="BL3447" t="s">
        <v>116</v>
      </c>
      <c r="BM3447" t="s">
        <v>116</v>
      </c>
      <c r="BN3447">
        <v>22.06</v>
      </c>
      <c r="BO3447">
        <v>15.75</v>
      </c>
      <c r="BP3447">
        <v>0.06</v>
      </c>
      <c r="BQ3447">
        <v>28.32</v>
      </c>
      <c r="BR3447">
        <v>13.17</v>
      </c>
      <c r="BS3447">
        <v>3.32</v>
      </c>
      <c r="BT3447">
        <v>1.59</v>
      </c>
      <c r="BU3447">
        <v>6</v>
      </c>
      <c r="BV3447">
        <v>2.99</v>
      </c>
      <c r="BW3447">
        <v>2.06</v>
      </c>
      <c r="BX3447">
        <v>6.29</v>
      </c>
      <c r="BY3447">
        <v>8.56</v>
      </c>
      <c r="BZ3447">
        <v>6.8</v>
      </c>
      <c r="CA3447">
        <v>1.24</v>
      </c>
      <c r="CB3447">
        <v>0.2</v>
      </c>
      <c r="CC3447">
        <v>1.24</v>
      </c>
      <c r="CD3447">
        <v>1.0900000000000001</v>
      </c>
      <c r="CE3447">
        <v>1.08</v>
      </c>
      <c r="CF3447">
        <v>0.91</v>
      </c>
      <c r="CG3447">
        <v>7.1</v>
      </c>
      <c r="CH3447">
        <v>1.26</v>
      </c>
      <c r="CI3447">
        <v>0.75</v>
      </c>
      <c r="CJ3447">
        <v>13854</v>
      </c>
      <c r="CK3447">
        <v>3831</v>
      </c>
      <c r="CL3447" t="s">
        <v>2068</v>
      </c>
      <c r="CM3447">
        <v>5.82</v>
      </c>
      <c r="CN3447">
        <v>10.11</v>
      </c>
      <c r="CO3447">
        <v>1.7</v>
      </c>
      <c r="CP3447">
        <v>21.29</v>
      </c>
      <c r="CQ3447">
        <v>3.14</v>
      </c>
      <c r="CR3447">
        <v>0.56000000000000005</v>
      </c>
      <c r="CS3447" t="s">
        <v>14531</v>
      </c>
      <c r="CT3447">
        <v>10.47</v>
      </c>
      <c r="CU3447">
        <v>0</v>
      </c>
      <c r="CV3447">
        <v>4.18</v>
      </c>
      <c r="CW3447">
        <v>4.72</v>
      </c>
      <c r="CX3447">
        <v>0.84</v>
      </c>
      <c r="CY3447">
        <v>71.41</v>
      </c>
      <c r="CZ3447" t="s">
        <v>3768</v>
      </c>
      <c r="DA3447">
        <v>20.56</v>
      </c>
      <c r="DB3447">
        <v>14.53</v>
      </c>
      <c r="DC3447">
        <v>12.62</v>
      </c>
      <c r="DD3447">
        <v>0.11</v>
      </c>
      <c r="DE3447">
        <v>999</v>
      </c>
      <c r="DF3447">
        <v>603535</v>
      </c>
      <c r="DG3447" t="s">
        <v>116</v>
      </c>
      <c r="DH3447" t="s">
        <v>116</v>
      </c>
      <c r="DI3447" t="s">
        <v>116</v>
      </c>
    </row>
    <row r="3448" spans="1:113" x14ac:dyDescent="0.4">
      <c r="A3448" t="str">
        <f>"603536"</f>
        <v>603536</v>
      </c>
      <c r="B3448" t="s">
        <v>14532</v>
      </c>
      <c r="C3448">
        <v>5.32</v>
      </c>
      <c r="D3448">
        <v>22.18</v>
      </c>
      <c r="E3448">
        <v>1.1200000000000001</v>
      </c>
      <c r="F3448">
        <v>22.17</v>
      </c>
      <c r="G3448">
        <v>22.18</v>
      </c>
      <c r="H3448">
        <v>116640</v>
      </c>
      <c r="I3448">
        <v>4860</v>
      </c>
      <c r="J3448">
        <v>-0.08</v>
      </c>
      <c r="K3448">
        <v>19.36</v>
      </c>
      <c r="L3448">
        <v>21.39</v>
      </c>
      <c r="M3448">
        <v>22.26</v>
      </c>
      <c r="N3448">
        <v>21</v>
      </c>
      <c r="O3448">
        <v>21.06</v>
      </c>
      <c r="P3448" t="s">
        <v>116</v>
      </c>
      <c r="Q3448">
        <v>252732048</v>
      </c>
      <c r="R3448">
        <v>1.56</v>
      </c>
      <c r="S3448" t="s">
        <v>863</v>
      </c>
      <c r="T3448" t="s">
        <v>645</v>
      </c>
      <c r="U3448">
        <v>5.98</v>
      </c>
      <c r="V3448">
        <v>21.67</v>
      </c>
      <c r="W3448">
        <v>52560</v>
      </c>
      <c r="X3448">
        <v>64080</v>
      </c>
      <c r="Y3448">
        <v>0.82</v>
      </c>
      <c r="Z3448">
        <v>42</v>
      </c>
      <c r="AA3448">
        <v>49</v>
      </c>
      <c r="AB3448" t="s">
        <v>116</v>
      </c>
      <c r="AC3448">
        <v>983900</v>
      </c>
      <c r="AD3448">
        <v>0.08</v>
      </c>
      <c r="AE3448" t="s">
        <v>116</v>
      </c>
      <c r="AF3448" t="s">
        <v>116</v>
      </c>
      <c r="AG3448">
        <v>0.6</v>
      </c>
      <c r="AH3448" t="s">
        <v>1917</v>
      </c>
      <c r="AI3448" t="s">
        <v>7018</v>
      </c>
      <c r="AJ3448">
        <v>5.39</v>
      </c>
      <c r="AK3448">
        <v>3490</v>
      </c>
      <c r="AL3448">
        <v>33</v>
      </c>
      <c r="AM3448">
        <v>5.4999999999999997E-3</v>
      </c>
      <c r="AN3448">
        <v>10</v>
      </c>
      <c r="AO3448">
        <v>15.76</v>
      </c>
      <c r="AP3448">
        <v>103.11</v>
      </c>
      <c r="AQ3448">
        <v>124.27</v>
      </c>
      <c r="AR3448">
        <v>172.82</v>
      </c>
      <c r="AS3448">
        <v>19.36</v>
      </c>
      <c r="AT3448" t="s">
        <v>1917</v>
      </c>
      <c r="AU3448" t="s">
        <v>116</v>
      </c>
      <c r="AV3448">
        <v>81.97</v>
      </c>
      <c r="AW3448">
        <v>0.67</v>
      </c>
      <c r="BA3448">
        <v>1.57</v>
      </c>
      <c r="BB3448">
        <v>5.7</v>
      </c>
      <c r="BC3448">
        <v>-0.28000000000000003</v>
      </c>
      <c r="BD3448">
        <v>2.89</v>
      </c>
      <c r="BE3448">
        <v>3.69</v>
      </c>
      <c r="BF3448">
        <v>-0.36</v>
      </c>
      <c r="BG3448">
        <v>5.62</v>
      </c>
      <c r="BH3448">
        <v>2.4300000000000002</v>
      </c>
      <c r="BI3448">
        <v>20191024</v>
      </c>
      <c r="BJ3448">
        <v>20170613</v>
      </c>
      <c r="BK3448">
        <v>1.68</v>
      </c>
      <c r="BL3448" t="s">
        <v>116</v>
      </c>
      <c r="BM3448" t="s">
        <v>116</v>
      </c>
      <c r="BN3448">
        <v>12.08</v>
      </c>
      <c r="BO3448">
        <v>5.99</v>
      </c>
      <c r="BP3448">
        <v>0.02</v>
      </c>
      <c r="BQ3448">
        <v>50.3</v>
      </c>
      <c r="BR3448">
        <v>5.58</v>
      </c>
      <c r="BS3448">
        <v>4.3899999999999997</v>
      </c>
      <c r="BT3448">
        <v>0.85</v>
      </c>
      <c r="BU3448">
        <v>5.71</v>
      </c>
      <c r="BV3448">
        <v>1.63</v>
      </c>
      <c r="BW3448">
        <v>0.95</v>
      </c>
      <c r="BX3448">
        <v>1.78</v>
      </c>
      <c r="BY3448">
        <v>7.09</v>
      </c>
      <c r="BZ3448">
        <v>6.02</v>
      </c>
      <c r="CA3448">
        <v>-0.46</v>
      </c>
      <c r="CB3448">
        <v>0</v>
      </c>
      <c r="CC3448">
        <v>-0.48</v>
      </c>
      <c r="CD3448">
        <v>-0.41</v>
      </c>
      <c r="CE3448">
        <v>-0.4</v>
      </c>
      <c r="CF3448">
        <v>-0.41</v>
      </c>
      <c r="CG3448">
        <v>2.29</v>
      </c>
      <c r="CH3448">
        <v>0.55000000000000004</v>
      </c>
      <c r="CI3448">
        <v>-0.24</v>
      </c>
      <c r="CJ3448">
        <v>8017</v>
      </c>
      <c r="CK3448">
        <v>7516</v>
      </c>
      <c r="CL3448" t="s">
        <v>14533</v>
      </c>
      <c r="CM3448">
        <v>-299.38</v>
      </c>
      <c r="CN3448">
        <v>9.01</v>
      </c>
      <c r="CO3448">
        <v>6.22</v>
      </c>
      <c r="CP3448">
        <v>67.599999999999994</v>
      </c>
      <c r="CQ3448">
        <v>5.25</v>
      </c>
      <c r="CR3448">
        <v>0.54</v>
      </c>
      <c r="CS3448" t="s">
        <v>14534</v>
      </c>
      <c r="CT3448">
        <v>3.57</v>
      </c>
      <c r="CU3448">
        <v>0</v>
      </c>
      <c r="CV3448">
        <v>1.06</v>
      </c>
      <c r="CW3448">
        <v>1.36</v>
      </c>
      <c r="CX3448">
        <v>0.33</v>
      </c>
      <c r="CY3448">
        <v>49.58</v>
      </c>
      <c r="CZ3448" t="s">
        <v>14535</v>
      </c>
      <c r="DA3448">
        <v>15.17</v>
      </c>
      <c r="DB3448">
        <v>-6.5</v>
      </c>
      <c r="DC3448">
        <v>-5.69</v>
      </c>
      <c r="DD3448">
        <v>0.15</v>
      </c>
      <c r="DE3448">
        <v>1636</v>
      </c>
      <c r="DF3448">
        <v>603536</v>
      </c>
      <c r="DG3448" t="s">
        <v>116</v>
      </c>
      <c r="DH3448" t="s">
        <v>116</v>
      </c>
      <c r="DI3448" t="s">
        <v>116</v>
      </c>
    </row>
    <row r="3449" spans="1:113" x14ac:dyDescent="0.4">
      <c r="A3449" t="str">
        <f>"603538"</f>
        <v>603538</v>
      </c>
      <c r="B3449" t="s">
        <v>14536</v>
      </c>
      <c r="C3449">
        <v>0.74</v>
      </c>
      <c r="D3449">
        <v>24.63</v>
      </c>
      <c r="E3449">
        <v>0.18</v>
      </c>
      <c r="F3449">
        <v>24.63</v>
      </c>
      <c r="G3449">
        <v>24.64</v>
      </c>
      <c r="H3449">
        <v>28319</v>
      </c>
      <c r="I3449">
        <v>399</v>
      </c>
      <c r="J3449">
        <v>0.08</v>
      </c>
      <c r="K3449">
        <v>3.1</v>
      </c>
      <c r="L3449">
        <v>24.4</v>
      </c>
      <c r="M3449">
        <v>24.93</v>
      </c>
      <c r="N3449">
        <v>24.3</v>
      </c>
      <c r="O3449">
        <v>24.45</v>
      </c>
      <c r="P3449">
        <v>21.61</v>
      </c>
      <c r="Q3449">
        <v>69910976</v>
      </c>
      <c r="R3449">
        <v>0.67</v>
      </c>
      <c r="S3449" t="s">
        <v>574</v>
      </c>
      <c r="T3449" t="s">
        <v>590</v>
      </c>
      <c r="U3449">
        <v>2.58</v>
      </c>
      <c r="V3449">
        <v>24.69</v>
      </c>
      <c r="W3449">
        <v>12823</v>
      </c>
      <c r="X3449">
        <v>15496</v>
      </c>
      <c r="Y3449">
        <v>0.83</v>
      </c>
      <c r="Z3449">
        <v>111</v>
      </c>
      <c r="AA3449">
        <v>60</v>
      </c>
      <c r="AB3449" t="s">
        <v>116</v>
      </c>
      <c r="AC3449">
        <v>246400</v>
      </c>
      <c r="AD3449">
        <v>0.01</v>
      </c>
      <c r="AE3449" t="s">
        <v>116</v>
      </c>
      <c r="AF3449" t="s">
        <v>116</v>
      </c>
      <c r="AG3449">
        <v>0.91</v>
      </c>
      <c r="AH3449" t="s">
        <v>7977</v>
      </c>
      <c r="AI3449" t="s">
        <v>14537</v>
      </c>
      <c r="AJ3449">
        <v>0.81</v>
      </c>
      <c r="AK3449">
        <v>1649</v>
      </c>
      <c r="AL3449">
        <v>17</v>
      </c>
      <c r="AM3449">
        <v>1.9E-3</v>
      </c>
      <c r="AN3449">
        <v>1</v>
      </c>
      <c r="AO3449">
        <v>-0.28999999999999998</v>
      </c>
      <c r="AP3449">
        <v>-3.03</v>
      </c>
      <c r="AQ3449">
        <v>17.12</v>
      </c>
      <c r="AR3449">
        <v>26.37</v>
      </c>
      <c r="AS3449">
        <v>3.1</v>
      </c>
      <c r="AT3449" t="s">
        <v>7977</v>
      </c>
      <c r="AU3449">
        <v>23.05</v>
      </c>
      <c r="AV3449">
        <v>38.26</v>
      </c>
      <c r="AW3449">
        <v>1.32</v>
      </c>
      <c r="BA3449">
        <v>-0.2</v>
      </c>
      <c r="BB3449">
        <v>1.96</v>
      </c>
      <c r="BC3449">
        <v>-0.61</v>
      </c>
      <c r="BD3449">
        <v>0.97</v>
      </c>
      <c r="BE3449">
        <v>0.94</v>
      </c>
      <c r="BF3449">
        <v>-1.2</v>
      </c>
      <c r="BG3449">
        <v>1.36</v>
      </c>
      <c r="BH3449">
        <v>-0.23</v>
      </c>
      <c r="BI3449">
        <v>20191024</v>
      </c>
      <c r="BJ3449">
        <v>20170407</v>
      </c>
      <c r="BK3449">
        <v>1.5</v>
      </c>
      <c r="BL3449" t="s">
        <v>116</v>
      </c>
      <c r="BM3449" t="s">
        <v>116</v>
      </c>
      <c r="BN3449">
        <v>25.21</v>
      </c>
      <c r="BO3449">
        <v>13</v>
      </c>
      <c r="BP3449">
        <v>2.0499999999999998</v>
      </c>
      <c r="BQ3449">
        <v>40.33</v>
      </c>
      <c r="BR3449">
        <v>12.1</v>
      </c>
      <c r="BS3449">
        <v>4.41</v>
      </c>
      <c r="BT3449">
        <v>1.62</v>
      </c>
      <c r="BU3449">
        <v>8.44</v>
      </c>
      <c r="BV3449">
        <v>4.32</v>
      </c>
      <c r="BW3449">
        <v>1.65</v>
      </c>
      <c r="BX3449">
        <v>5.27</v>
      </c>
      <c r="BY3449">
        <v>8.51</v>
      </c>
      <c r="BZ3449">
        <v>5.33</v>
      </c>
      <c r="CA3449">
        <v>1.7</v>
      </c>
      <c r="CB3449">
        <v>7.0000000000000007E-2</v>
      </c>
      <c r="CC3449">
        <v>1.67</v>
      </c>
      <c r="CD3449">
        <v>1.39</v>
      </c>
      <c r="CE3449">
        <v>1.28</v>
      </c>
      <c r="CF3449">
        <v>1.19</v>
      </c>
      <c r="CG3449">
        <v>6.51</v>
      </c>
      <c r="CH3449">
        <v>1.1100000000000001</v>
      </c>
      <c r="CI3449">
        <v>1.25</v>
      </c>
      <c r="CJ3449">
        <v>11658</v>
      </c>
      <c r="CK3449">
        <v>7847</v>
      </c>
      <c r="CL3449" t="s">
        <v>14212</v>
      </c>
      <c r="CM3449">
        <v>98.71</v>
      </c>
      <c r="CN3449">
        <v>52.43</v>
      </c>
      <c r="CO3449">
        <v>2.84</v>
      </c>
      <c r="CP3449">
        <v>33.340000000000003</v>
      </c>
      <c r="CQ3449">
        <v>4.33</v>
      </c>
      <c r="CR3449">
        <v>0.81</v>
      </c>
      <c r="CS3449" t="s">
        <v>650</v>
      </c>
      <c r="CT3449">
        <v>8.68</v>
      </c>
      <c r="CU3449">
        <v>0</v>
      </c>
      <c r="CV3449">
        <v>3.52</v>
      </c>
      <c r="CW3449">
        <v>4.3499999999999996</v>
      </c>
      <c r="CX3449">
        <v>0.74</v>
      </c>
      <c r="CY3449">
        <v>51.55</v>
      </c>
      <c r="CZ3449" t="s">
        <v>14538</v>
      </c>
      <c r="DA3449">
        <v>37.39</v>
      </c>
      <c r="DB3449">
        <v>20.02</v>
      </c>
      <c r="DC3449">
        <v>15.03</v>
      </c>
      <c r="DD3449">
        <v>0.32</v>
      </c>
      <c r="DE3449">
        <v>2006</v>
      </c>
      <c r="DF3449">
        <v>603538</v>
      </c>
      <c r="DG3449" t="s">
        <v>116</v>
      </c>
      <c r="DH3449" t="s">
        <v>116</v>
      </c>
      <c r="DI3449" t="s">
        <v>116</v>
      </c>
    </row>
    <row r="3450" spans="1:113" x14ac:dyDescent="0.4">
      <c r="A3450" t="str">
        <f>"603555"</f>
        <v>603555</v>
      </c>
      <c r="B3450" t="s">
        <v>14539</v>
      </c>
      <c r="C3450">
        <v>-9.9499999999999993</v>
      </c>
      <c r="D3450">
        <v>5.88</v>
      </c>
      <c r="E3450">
        <v>-0.65</v>
      </c>
      <c r="F3450">
        <v>5.88</v>
      </c>
      <c r="G3450">
        <v>5.89</v>
      </c>
      <c r="H3450">
        <v>421178</v>
      </c>
      <c r="I3450">
        <v>4876</v>
      </c>
      <c r="J3450">
        <v>-1.5</v>
      </c>
      <c r="K3450">
        <v>6.7</v>
      </c>
      <c r="L3450">
        <v>6.24</v>
      </c>
      <c r="M3450">
        <v>6.79</v>
      </c>
      <c r="N3450">
        <v>5.88</v>
      </c>
      <c r="O3450">
        <v>6.53</v>
      </c>
      <c r="P3450" t="s">
        <v>116</v>
      </c>
      <c r="Q3450">
        <v>268211824</v>
      </c>
      <c r="R3450">
        <v>1.01</v>
      </c>
      <c r="S3450" t="s">
        <v>3070</v>
      </c>
      <c r="T3450" t="s">
        <v>975</v>
      </c>
      <c r="U3450">
        <v>13.94</v>
      </c>
      <c r="V3450">
        <v>6.37</v>
      </c>
      <c r="W3450">
        <v>224184</v>
      </c>
      <c r="X3450">
        <v>196994</v>
      </c>
      <c r="Y3450">
        <v>1.1399999999999999</v>
      </c>
      <c r="Z3450">
        <v>5527</v>
      </c>
      <c r="AA3450">
        <v>757</v>
      </c>
      <c r="AB3450" t="s">
        <v>116</v>
      </c>
      <c r="AC3450">
        <v>3952400</v>
      </c>
      <c r="AD3450">
        <v>0.46</v>
      </c>
      <c r="AE3450" t="s">
        <v>116</v>
      </c>
      <c r="AF3450" t="s">
        <v>116</v>
      </c>
      <c r="AG3450">
        <v>6.29</v>
      </c>
      <c r="AH3450" t="s">
        <v>14540</v>
      </c>
      <c r="AI3450" t="s">
        <v>14540</v>
      </c>
      <c r="AJ3450">
        <v>-9.8800000000000008</v>
      </c>
      <c r="AK3450">
        <v>4015</v>
      </c>
      <c r="AL3450">
        <v>105</v>
      </c>
      <c r="AM3450">
        <v>1.6999999999999999E-3</v>
      </c>
      <c r="AN3450">
        <v>-1</v>
      </c>
      <c r="AO3450">
        <v>1.21</v>
      </c>
      <c r="AP3450">
        <v>43.77</v>
      </c>
      <c r="AQ3450">
        <v>42.03</v>
      </c>
      <c r="AR3450">
        <v>1.91</v>
      </c>
      <c r="AS3450">
        <v>30.3</v>
      </c>
      <c r="AT3450" t="s">
        <v>6167</v>
      </c>
      <c r="AU3450" t="s">
        <v>116</v>
      </c>
      <c r="AV3450" t="s">
        <v>116</v>
      </c>
      <c r="AW3450">
        <v>1.34</v>
      </c>
      <c r="BA3450">
        <v>-4.4400000000000004</v>
      </c>
      <c r="BB3450">
        <v>3.98</v>
      </c>
      <c r="BC3450">
        <v>-9.9499999999999993</v>
      </c>
      <c r="BD3450">
        <v>-2.48</v>
      </c>
      <c r="BE3450">
        <v>-5.77</v>
      </c>
      <c r="BF3450">
        <v>-13.4</v>
      </c>
      <c r="BG3450">
        <v>0</v>
      </c>
      <c r="BH3450">
        <v>-7.48</v>
      </c>
      <c r="BI3450">
        <v>20191030</v>
      </c>
      <c r="BJ3450">
        <v>20140124</v>
      </c>
      <c r="BK3450">
        <v>6.29</v>
      </c>
      <c r="BL3450" t="s">
        <v>116</v>
      </c>
      <c r="BM3450" t="s">
        <v>116</v>
      </c>
      <c r="BN3450">
        <v>48.84</v>
      </c>
      <c r="BO3450">
        <v>15.33</v>
      </c>
      <c r="BP3450">
        <v>0.1</v>
      </c>
      <c r="BQ3450">
        <v>68.42</v>
      </c>
      <c r="BR3450">
        <v>25.23</v>
      </c>
      <c r="BS3450">
        <v>5.0199999999999996</v>
      </c>
      <c r="BT3450">
        <v>2.21</v>
      </c>
      <c r="BU3450">
        <v>33.04</v>
      </c>
      <c r="BV3450">
        <v>5.64</v>
      </c>
      <c r="BW3450">
        <v>14.21</v>
      </c>
      <c r="BX3450">
        <v>9.19</v>
      </c>
      <c r="BY3450">
        <v>11.69</v>
      </c>
      <c r="BZ3450">
        <v>7.59</v>
      </c>
      <c r="CA3450">
        <v>-1.49</v>
      </c>
      <c r="CB3450">
        <v>-0.01</v>
      </c>
      <c r="CC3450">
        <v>-1.51</v>
      </c>
      <c r="CD3450">
        <v>-1.67</v>
      </c>
      <c r="CE3450">
        <v>-1.66</v>
      </c>
      <c r="CF3450">
        <v>-2</v>
      </c>
      <c r="CG3450">
        <v>-3.99</v>
      </c>
      <c r="CH3450">
        <v>-3.13</v>
      </c>
      <c r="CI3450">
        <v>-0.21</v>
      </c>
      <c r="CJ3450">
        <v>17804</v>
      </c>
      <c r="CK3450">
        <v>7807</v>
      </c>
      <c r="CL3450" t="s">
        <v>3873</v>
      </c>
      <c r="CM3450">
        <v>-1134.18</v>
      </c>
      <c r="CN3450">
        <v>-49.2</v>
      </c>
      <c r="CO3450">
        <v>2.41</v>
      </c>
      <c r="CP3450">
        <v>-11.81</v>
      </c>
      <c r="CQ3450">
        <v>3.16</v>
      </c>
      <c r="CR3450">
        <v>0</v>
      </c>
      <c r="CS3450" t="s">
        <v>14541</v>
      </c>
      <c r="CT3450">
        <v>2.44</v>
      </c>
      <c r="CU3450">
        <v>0</v>
      </c>
      <c r="CV3450">
        <v>1.46</v>
      </c>
      <c r="CW3450">
        <v>-0.63</v>
      </c>
      <c r="CX3450">
        <v>-0.5</v>
      </c>
      <c r="CY3450">
        <v>31.38</v>
      </c>
      <c r="CZ3450" t="s">
        <v>14542</v>
      </c>
      <c r="DA3450">
        <v>35.06</v>
      </c>
      <c r="DB3450">
        <v>-12.72</v>
      </c>
      <c r="DC3450">
        <v>-14.2</v>
      </c>
      <c r="DD3450">
        <v>0.33</v>
      </c>
      <c r="DE3450">
        <v>4525</v>
      </c>
      <c r="DF3450">
        <v>603555</v>
      </c>
      <c r="DG3450" t="s">
        <v>116</v>
      </c>
      <c r="DH3450" t="s">
        <v>116</v>
      </c>
      <c r="DI3450" t="s">
        <v>116</v>
      </c>
    </row>
    <row r="3451" spans="1:113" x14ac:dyDescent="0.4">
      <c r="A3451" t="str">
        <f>"603556"</f>
        <v>603556</v>
      </c>
      <c r="B3451" t="s">
        <v>14543</v>
      </c>
      <c r="C3451">
        <v>-0.81</v>
      </c>
      <c r="D3451">
        <v>15.94</v>
      </c>
      <c r="E3451">
        <v>-0.13</v>
      </c>
      <c r="F3451">
        <v>15.94</v>
      </c>
      <c r="G3451">
        <v>15.95</v>
      </c>
      <c r="H3451">
        <v>34928</v>
      </c>
      <c r="I3451">
        <v>141</v>
      </c>
      <c r="J3451">
        <v>-0.05</v>
      </c>
      <c r="K3451">
        <v>0.71</v>
      </c>
      <c r="L3451">
        <v>16.100000000000001</v>
      </c>
      <c r="M3451">
        <v>16.27</v>
      </c>
      <c r="N3451">
        <v>15.91</v>
      </c>
      <c r="O3451">
        <v>16.07</v>
      </c>
      <c r="P3451">
        <v>15.8</v>
      </c>
      <c r="Q3451">
        <v>56181328</v>
      </c>
      <c r="R3451">
        <v>0.99</v>
      </c>
      <c r="S3451" t="s">
        <v>2977</v>
      </c>
      <c r="T3451" t="s">
        <v>590</v>
      </c>
      <c r="U3451">
        <v>2.2400000000000002</v>
      </c>
      <c r="V3451">
        <v>16.079999999999998</v>
      </c>
      <c r="W3451">
        <v>18660</v>
      </c>
      <c r="X3451">
        <v>16268</v>
      </c>
      <c r="Y3451">
        <v>1.1499999999999999</v>
      </c>
      <c r="Z3451">
        <v>10</v>
      </c>
      <c r="AA3451">
        <v>42</v>
      </c>
      <c r="AB3451" t="s">
        <v>116</v>
      </c>
      <c r="AC3451">
        <v>117500</v>
      </c>
      <c r="AD3451">
        <v>0</v>
      </c>
      <c r="AE3451" t="s">
        <v>116</v>
      </c>
      <c r="AF3451" t="s">
        <v>116</v>
      </c>
      <c r="AG3451">
        <v>4.8899999999999997</v>
      </c>
      <c r="AH3451" t="s">
        <v>14544</v>
      </c>
      <c r="AI3451" t="s">
        <v>14545</v>
      </c>
      <c r="AJ3451">
        <v>-0.73</v>
      </c>
      <c r="AK3451">
        <v>1940</v>
      </c>
      <c r="AL3451">
        <v>18</v>
      </c>
      <c r="AM3451">
        <v>4.0000000000000002E-4</v>
      </c>
      <c r="AN3451">
        <v>-3</v>
      </c>
      <c r="AO3451">
        <v>-1.97</v>
      </c>
      <c r="AP3451">
        <v>4.87</v>
      </c>
      <c r="AQ3451">
        <v>-14.25</v>
      </c>
      <c r="AR3451">
        <v>26.51</v>
      </c>
      <c r="AS3451">
        <v>2.17</v>
      </c>
      <c r="AT3451" t="s">
        <v>1884</v>
      </c>
      <c r="AU3451">
        <v>18.53</v>
      </c>
      <c r="AV3451">
        <v>23.69</v>
      </c>
      <c r="AW3451">
        <v>0.98</v>
      </c>
      <c r="BA3451">
        <v>0.19</v>
      </c>
      <c r="BB3451">
        <v>1.24</v>
      </c>
      <c r="BC3451">
        <v>-1</v>
      </c>
      <c r="BD3451">
        <v>0.09</v>
      </c>
      <c r="BE3451">
        <v>-0.99</v>
      </c>
      <c r="BF3451">
        <v>-2.0299999999999998</v>
      </c>
      <c r="BG3451">
        <v>0.19</v>
      </c>
      <c r="BH3451">
        <v>-0.9</v>
      </c>
      <c r="BI3451">
        <v>20191202</v>
      </c>
      <c r="BJ3451">
        <v>20161110</v>
      </c>
      <c r="BK3451">
        <v>4.9000000000000004</v>
      </c>
      <c r="BL3451" t="s">
        <v>116</v>
      </c>
      <c r="BM3451" t="s">
        <v>116</v>
      </c>
      <c r="BN3451">
        <v>66.900000000000006</v>
      </c>
      <c r="BO3451">
        <v>50.88</v>
      </c>
      <c r="BP3451">
        <v>7.0000000000000007E-2</v>
      </c>
      <c r="BQ3451">
        <v>23.85</v>
      </c>
      <c r="BR3451">
        <v>52.56</v>
      </c>
      <c r="BS3451">
        <v>4.1100000000000003</v>
      </c>
      <c r="BT3451">
        <v>1.65</v>
      </c>
      <c r="BU3451">
        <v>13.83</v>
      </c>
      <c r="BV3451">
        <v>5.23</v>
      </c>
      <c r="BW3451">
        <v>11.86</v>
      </c>
      <c r="BX3451">
        <v>24.17</v>
      </c>
      <c r="BY3451">
        <v>19.899999999999999</v>
      </c>
      <c r="BZ3451">
        <v>11.55</v>
      </c>
      <c r="CA3451">
        <v>4.38</v>
      </c>
      <c r="CB3451">
        <v>0.19</v>
      </c>
      <c r="CC3451">
        <v>4.42</v>
      </c>
      <c r="CD3451">
        <v>3.7</v>
      </c>
      <c r="CE3451">
        <v>3.71</v>
      </c>
      <c r="CF3451">
        <v>3.31</v>
      </c>
      <c r="CG3451">
        <v>20.09</v>
      </c>
      <c r="CH3451">
        <v>2.09</v>
      </c>
      <c r="CI3451">
        <v>2.86</v>
      </c>
      <c r="CJ3451">
        <v>23593</v>
      </c>
      <c r="CK3451">
        <v>6829</v>
      </c>
      <c r="CL3451" t="s">
        <v>6409</v>
      </c>
      <c r="CM3451">
        <v>32.99</v>
      </c>
      <c r="CN3451">
        <v>8.18</v>
      </c>
      <c r="CO3451">
        <v>1.54</v>
      </c>
      <c r="CP3451">
        <v>37.47</v>
      </c>
      <c r="CQ3451">
        <v>3.93</v>
      </c>
      <c r="CR3451">
        <v>2.48</v>
      </c>
      <c r="CS3451" t="s">
        <v>12697</v>
      </c>
      <c r="CT3451">
        <v>10.37</v>
      </c>
      <c r="CU3451">
        <v>0</v>
      </c>
      <c r="CV3451">
        <v>4.93</v>
      </c>
      <c r="CW3451">
        <v>4.0999999999999996</v>
      </c>
      <c r="CX3451">
        <v>0.43</v>
      </c>
      <c r="CY3451">
        <v>76.05</v>
      </c>
      <c r="CZ3451" t="s">
        <v>12548</v>
      </c>
      <c r="DA3451">
        <v>41.96</v>
      </c>
      <c r="DB3451">
        <v>21.99</v>
      </c>
      <c r="DC3451">
        <v>18.64</v>
      </c>
      <c r="DD3451">
        <v>1.67</v>
      </c>
      <c r="DE3451">
        <v>2853</v>
      </c>
      <c r="DF3451">
        <v>603556</v>
      </c>
      <c r="DG3451" t="s">
        <v>116</v>
      </c>
      <c r="DH3451" t="s">
        <v>116</v>
      </c>
      <c r="DI3451" t="s">
        <v>116</v>
      </c>
    </row>
    <row r="3452" spans="1:113" x14ac:dyDescent="0.4">
      <c r="A3452" t="str">
        <f>"603557"</f>
        <v>603557</v>
      </c>
      <c r="B3452" t="s">
        <v>14546</v>
      </c>
      <c r="C3452">
        <v>2.99</v>
      </c>
      <c r="D3452">
        <v>8.2799999999999994</v>
      </c>
      <c r="E3452">
        <v>0.24</v>
      </c>
      <c r="F3452">
        <v>8.2799999999999994</v>
      </c>
      <c r="G3452">
        <v>8.2899999999999991</v>
      </c>
      <c r="H3452">
        <v>85592</v>
      </c>
      <c r="I3452">
        <v>1045</v>
      </c>
      <c r="J3452">
        <v>0.24</v>
      </c>
      <c r="K3452">
        <v>3.91</v>
      </c>
      <c r="L3452">
        <v>8.07</v>
      </c>
      <c r="M3452">
        <v>8.35</v>
      </c>
      <c r="N3452">
        <v>8.0299999999999994</v>
      </c>
      <c r="O3452">
        <v>8.0399999999999991</v>
      </c>
      <c r="P3452">
        <v>19.489999999999998</v>
      </c>
      <c r="Q3452">
        <v>69948960</v>
      </c>
      <c r="R3452">
        <v>1.29</v>
      </c>
      <c r="S3452" t="s">
        <v>3070</v>
      </c>
      <c r="T3452" t="s">
        <v>590</v>
      </c>
      <c r="U3452">
        <v>3.98</v>
      </c>
      <c r="V3452">
        <v>8.17</v>
      </c>
      <c r="W3452">
        <v>37372</v>
      </c>
      <c r="X3452">
        <v>48220</v>
      </c>
      <c r="Y3452">
        <v>0.78</v>
      </c>
      <c r="Z3452">
        <v>139</v>
      </c>
      <c r="AA3452">
        <v>255</v>
      </c>
      <c r="AB3452" t="s">
        <v>116</v>
      </c>
      <c r="AC3452">
        <v>213900</v>
      </c>
      <c r="AD3452">
        <v>0.02</v>
      </c>
      <c r="AE3452" t="s">
        <v>116</v>
      </c>
      <c r="AF3452" t="s">
        <v>116</v>
      </c>
      <c r="AG3452">
        <v>2.19</v>
      </c>
      <c r="AH3452" t="s">
        <v>10734</v>
      </c>
      <c r="AI3452" t="s">
        <v>5721</v>
      </c>
      <c r="AJ3452">
        <v>3.06</v>
      </c>
      <c r="AK3452">
        <v>2161</v>
      </c>
      <c r="AL3452">
        <v>40</v>
      </c>
      <c r="AM3452">
        <v>1.8E-3</v>
      </c>
      <c r="AN3452">
        <v>1</v>
      </c>
      <c r="AO3452">
        <v>-0.12</v>
      </c>
      <c r="AP3452">
        <v>-9.7100000000000009</v>
      </c>
      <c r="AQ3452">
        <v>3.89</v>
      </c>
      <c r="AR3452">
        <v>11.74</v>
      </c>
      <c r="AS3452">
        <v>6.26</v>
      </c>
      <c r="AT3452" t="s">
        <v>14547</v>
      </c>
      <c r="AU3452">
        <v>21.3</v>
      </c>
      <c r="AV3452">
        <v>21.73</v>
      </c>
      <c r="AW3452">
        <v>0</v>
      </c>
      <c r="BA3452">
        <v>0.37</v>
      </c>
      <c r="BB3452">
        <v>3.86</v>
      </c>
      <c r="BC3452">
        <v>-0.12</v>
      </c>
      <c r="BD3452">
        <v>1.65</v>
      </c>
      <c r="BE3452">
        <v>2.6</v>
      </c>
      <c r="BF3452">
        <v>-0.84</v>
      </c>
      <c r="BG3452">
        <v>3.11</v>
      </c>
      <c r="BH3452">
        <v>1.34</v>
      </c>
      <c r="BI3452">
        <v>20191029</v>
      </c>
      <c r="BJ3452">
        <v>20170818</v>
      </c>
      <c r="BK3452">
        <v>4.74</v>
      </c>
      <c r="BL3452" t="s">
        <v>116</v>
      </c>
      <c r="BM3452" t="s">
        <v>116</v>
      </c>
      <c r="BN3452">
        <v>25.84</v>
      </c>
      <c r="BO3452">
        <v>16.86</v>
      </c>
      <c r="BP3452">
        <v>-0.01</v>
      </c>
      <c r="BQ3452">
        <v>34.76</v>
      </c>
      <c r="BR3452">
        <v>19.72</v>
      </c>
      <c r="BS3452">
        <v>3.85</v>
      </c>
      <c r="BT3452">
        <v>1.02</v>
      </c>
      <c r="BU3452">
        <v>7.87</v>
      </c>
      <c r="BV3452">
        <v>2.99</v>
      </c>
      <c r="BW3452">
        <v>5.74</v>
      </c>
      <c r="BX3452">
        <v>5.57</v>
      </c>
      <c r="BY3452">
        <v>10.61</v>
      </c>
      <c r="BZ3452">
        <v>6.81</v>
      </c>
      <c r="CA3452">
        <v>1.62</v>
      </c>
      <c r="CB3452">
        <v>0.1</v>
      </c>
      <c r="CC3452">
        <v>1.84</v>
      </c>
      <c r="CD3452">
        <v>1.5</v>
      </c>
      <c r="CE3452">
        <v>1.51</v>
      </c>
      <c r="CF3452">
        <v>1.25</v>
      </c>
      <c r="CG3452">
        <v>6.39</v>
      </c>
      <c r="CH3452">
        <v>-0.33</v>
      </c>
      <c r="CI3452">
        <v>-0.09</v>
      </c>
      <c r="CJ3452">
        <v>18261</v>
      </c>
      <c r="CK3452">
        <v>7483</v>
      </c>
      <c r="CL3452" t="s">
        <v>3380</v>
      </c>
      <c r="CM3452">
        <v>2.46</v>
      </c>
      <c r="CN3452">
        <v>14.04</v>
      </c>
      <c r="CO3452">
        <v>2.33</v>
      </c>
      <c r="CP3452">
        <v>-118.5</v>
      </c>
      <c r="CQ3452">
        <v>3.7</v>
      </c>
      <c r="CR3452">
        <v>0.48</v>
      </c>
      <c r="CS3452" t="s">
        <v>786</v>
      </c>
      <c r="CT3452">
        <v>3.56</v>
      </c>
      <c r="CU3452">
        <v>0</v>
      </c>
      <c r="CV3452">
        <v>1.17</v>
      </c>
      <c r="CW3452">
        <v>1.35</v>
      </c>
      <c r="CX3452">
        <v>-7.0000000000000007E-2</v>
      </c>
      <c r="CY3452">
        <v>65.28</v>
      </c>
      <c r="CZ3452" t="s">
        <v>4526</v>
      </c>
      <c r="DA3452">
        <v>35.86</v>
      </c>
      <c r="DB3452">
        <v>15.29</v>
      </c>
      <c r="DC3452">
        <v>14.24</v>
      </c>
      <c r="DD3452">
        <v>0.23</v>
      </c>
      <c r="DE3452">
        <v>1610</v>
      </c>
      <c r="DF3452">
        <v>603557</v>
      </c>
      <c r="DG3452" t="s">
        <v>116</v>
      </c>
      <c r="DH3452" t="s">
        <v>116</v>
      </c>
      <c r="DI3452" t="s">
        <v>116</v>
      </c>
    </row>
    <row r="3453" spans="1:113" x14ac:dyDescent="0.4">
      <c r="A3453" t="str">
        <f>"603558"</f>
        <v>603558</v>
      </c>
      <c r="B3453" t="s">
        <v>14548</v>
      </c>
      <c r="C3453">
        <v>-1.2</v>
      </c>
      <c r="D3453">
        <v>9.9</v>
      </c>
      <c r="E3453">
        <v>-0.12</v>
      </c>
      <c r="F3453">
        <v>9.9</v>
      </c>
      <c r="G3453">
        <v>9.91</v>
      </c>
      <c r="H3453">
        <v>35171</v>
      </c>
      <c r="I3453">
        <v>59</v>
      </c>
      <c r="J3453">
        <v>0.2</v>
      </c>
      <c r="K3453">
        <v>0.92</v>
      </c>
      <c r="L3453">
        <v>10.02</v>
      </c>
      <c r="M3453">
        <v>10.220000000000001</v>
      </c>
      <c r="N3453">
        <v>9.85</v>
      </c>
      <c r="O3453">
        <v>10.02</v>
      </c>
      <c r="P3453">
        <v>13.58</v>
      </c>
      <c r="Q3453">
        <v>35087944</v>
      </c>
      <c r="R3453">
        <v>1.21</v>
      </c>
      <c r="S3453" t="s">
        <v>1420</v>
      </c>
      <c r="T3453" t="s">
        <v>590</v>
      </c>
      <c r="U3453">
        <v>3.69</v>
      </c>
      <c r="V3453">
        <v>9.98</v>
      </c>
      <c r="W3453">
        <v>21962</v>
      </c>
      <c r="X3453">
        <v>13209</v>
      </c>
      <c r="Y3453">
        <v>1.66</v>
      </c>
      <c r="Z3453">
        <v>487</v>
      </c>
      <c r="AA3453">
        <v>145</v>
      </c>
      <c r="AB3453" t="s">
        <v>116</v>
      </c>
      <c r="AC3453">
        <v>40100</v>
      </c>
      <c r="AD3453">
        <v>0</v>
      </c>
      <c r="AE3453" t="s">
        <v>116</v>
      </c>
      <c r="AF3453" t="s">
        <v>116</v>
      </c>
      <c r="AG3453">
        <v>3.84</v>
      </c>
      <c r="AH3453" t="s">
        <v>8280</v>
      </c>
      <c r="AI3453" t="s">
        <v>14549</v>
      </c>
      <c r="AJ3453">
        <v>-1.1200000000000001</v>
      </c>
      <c r="AK3453">
        <v>1074</v>
      </c>
      <c r="AL3453">
        <v>33</v>
      </c>
      <c r="AM3453">
        <v>8.9999999999999998E-4</v>
      </c>
      <c r="AN3453">
        <v>-1</v>
      </c>
      <c r="AO3453">
        <v>1.64</v>
      </c>
      <c r="AP3453">
        <v>6.68</v>
      </c>
      <c r="AQ3453">
        <v>16.75</v>
      </c>
      <c r="AR3453">
        <v>-8.33</v>
      </c>
      <c r="AS3453">
        <v>1.58</v>
      </c>
      <c r="AT3453" t="s">
        <v>4271</v>
      </c>
      <c r="AU3453">
        <v>15.83</v>
      </c>
      <c r="AV3453">
        <v>19.97</v>
      </c>
      <c r="AW3453">
        <v>1.04</v>
      </c>
      <c r="BA3453">
        <v>0</v>
      </c>
      <c r="BB3453">
        <v>2</v>
      </c>
      <c r="BC3453">
        <v>-1.7</v>
      </c>
      <c r="BD3453">
        <v>-0.43</v>
      </c>
      <c r="BE3453">
        <v>-1.2</v>
      </c>
      <c r="BF3453">
        <v>-3.13</v>
      </c>
      <c r="BG3453">
        <v>0.51</v>
      </c>
      <c r="BH3453">
        <v>-0.76</v>
      </c>
      <c r="BI3453">
        <v>20191025</v>
      </c>
      <c r="BJ3453">
        <v>20150127</v>
      </c>
      <c r="BK3453">
        <v>4.16</v>
      </c>
      <c r="BL3453" t="s">
        <v>116</v>
      </c>
      <c r="BM3453" t="s">
        <v>116</v>
      </c>
      <c r="BN3453">
        <v>36.4</v>
      </c>
      <c r="BO3453">
        <v>30.17</v>
      </c>
      <c r="BP3453">
        <v>0.01</v>
      </c>
      <c r="BQ3453">
        <v>17.079999999999998</v>
      </c>
      <c r="BR3453">
        <v>11.19</v>
      </c>
      <c r="BS3453">
        <v>11.82</v>
      </c>
      <c r="BT3453">
        <v>2.39</v>
      </c>
      <c r="BU3453">
        <v>6.05</v>
      </c>
      <c r="BV3453">
        <v>4.09</v>
      </c>
      <c r="BW3453">
        <v>2.8</v>
      </c>
      <c r="BX3453">
        <v>19.11</v>
      </c>
      <c r="BY3453">
        <v>13.12</v>
      </c>
      <c r="BZ3453">
        <v>9.27</v>
      </c>
      <c r="CA3453">
        <v>2.56</v>
      </c>
      <c r="CB3453">
        <v>-0.01</v>
      </c>
      <c r="CC3453">
        <v>2.52</v>
      </c>
      <c r="CD3453">
        <v>2.27</v>
      </c>
      <c r="CE3453">
        <v>2.2799999999999998</v>
      </c>
      <c r="CF3453">
        <v>2.0499999999999998</v>
      </c>
      <c r="CG3453">
        <v>7.68</v>
      </c>
      <c r="CH3453">
        <v>3.03</v>
      </c>
      <c r="CI3453">
        <v>-0.35</v>
      </c>
      <c r="CJ3453">
        <v>12206</v>
      </c>
      <c r="CK3453">
        <v>18243</v>
      </c>
      <c r="CL3453" t="s">
        <v>14550</v>
      </c>
      <c r="CM3453">
        <v>31.04</v>
      </c>
      <c r="CN3453">
        <v>14.64</v>
      </c>
      <c r="CO3453">
        <v>1.37</v>
      </c>
      <c r="CP3453">
        <v>13.61</v>
      </c>
      <c r="CQ3453">
        <v>3.14</v>
      </c>
      <c r="CR3453">
        <v>0.49</v>
      </c>
      <c r="CS3453" t="s">
        <v>6801</v>
      </c>
      <c r="CT3453">
        <v>7.25</v>
      </c>
      <c r="CU3453">
        <v>0</v>
      </c>
      <c r="CV3453">
        <v>4.59</v>
      </c>
      <c r="CW3453">
        <v>1.84</v>
      </c>
      <c r="CX3453">
        <v>0.73</v>
      </c>
      <c r="CY3453">
        <v>82.91</v>
      </c>
      <c r="CZ3453" t="s">
        <v>13038</v>
      </c>
      <c r="DA3453">
        <v>29.37</v>
      </c>
      <c r="DB3453">
        <v>19.5</v>
      </c>
      <c r="DC3453">
        <v>17.350000000000001</v>
      </c>
      <c r="DD3453">
        <v>0.37</v>
      </c>
      <c r="DE3453">
        <v>7356</v>
      </c>
      <c r="DF3453">
        <v>603558</v>
      </c>
      <c r="DG3453" t="s">
        <v>116</v>
      </c>
      <c r="DH3453" t="s">
        <v>116</v>
      </c>
      <c r="DI3453" t="s">
        <v>116</v>
      </c>
    </row>
    <row r="3454" spans="1:113" x14ac:dyDescent="0.4">
      <c r="A3454" t="str">
        <f>"603559"</f>
        <v>603559</v>
      </c>
      <c r="B3454" t="s">
        <v>14551</v>
      </c>
      <c r="C3454">
        <v>-1.34</v>
      </c>
      <c r="D3454">
        <v>17.71</v>
      </c>
      <c r="E3454">
        <v>-0.24</v>
      </c>
      <c r="F3454">
        <v>17.7</v>
      </c>
      <c r="G3454">
        <v>17.71</v>
      </c>
      <c r="H3454">
        <v>29588</v>
      </c>
      <c r="I3454">
        <v>173</v>
      </c>
      <c r="J3454">
        <v>-0.1</v>
      </c>
      <c r="K3454">
        <v>2.09</v>
      </c>
      <c r="L3454">
        <v>17.95</v>
      </c>
      <c r="M3454">
        <v>18.190000000000001</v>
      </c>
      <c r="N3454">
        <v>17.690000000000001</v>
      </c>
      <c r="O3454">
        <v>17.95</v>
      </c>
      <c r="P3454">
        <v>70.61</v>
      </c>
      <c r="Q3454">
        <v>53142056</v>
      </c>
      <c r="R3454">
        <v>1.03</v>
      </c>
      <c r="S3454" t="s">
        <v>465</v>
      </c>
      <c r="T3454" t="s">
        <v>294</v>
      </c>
      <c r="U3454">
        <v>2.79</v>
      </c>
      <c r="V3454">
        <v>17.96</v>
      </c>
      <c r="W3454">
        <v>17169</v>
      </c>
      <c r="X3454">
        <v>12419</v>
      </c>
      <c r="Y3454">
        <v>1.38</v>
      </c>
      <c r="Z3454">
        <v>17</v>
      </c>
      <c r="AA3454">
        <v>126</v>
      </c>
      <c r="AB3454" t="s">
        <v>116</v>
      </c>
      <c r="AC3454">
        <v>111300</v>
      </c>
      <c r="AD3454">
        <v>0.01</v>
      </c>
      <c r="AE3454" t="s">
        <v>116</v>
      </c>
      <c r="AF3454" t="s">
        <v>116</v>
      </c>
      <c r="AG3454">
        <v>1.41</v>
      </c>
      <c r="AH3454" t="s">
        <v>14552</v>
      </c>
      <c r="AI3454" t="s">
        <v>2353</v>
      </c>
      <c r="AJ3454">
        <v>-1.26</v>
      </c>
      <c r="AK3454">
        <v>1951</v>
      </c>
      <c r="AL3454">
        <v>15</v>
      </c>
      <c r="AM3454">
        <v>1.1000000000000001E-3</v>
      </c>
      <c r="AN3454">
        <v>-1</v>
      </c>
      <c r="AO3454">
        <v>-0.62</v>
      </c>
      <c r="AP3454">
        <v>5.23</v>
      </c>
      <c r="AQ3454">
        <v>-12.8</v>
      </c>
      <c r="AR3454">
        <v>-26.36</v>
      </c>
      <c r="AS3454">
        <v>2.44</v>
      </c>
      <c r="AT3454" t="s">
        <v>14553</v>
      </c>
      <c r="AU3454">
        <v>42.15</v>
      </c>
      <c r="AV3454">
        <v>51.51</v>
      </c>
      <c r="AW3454">
        <v>1.53</v>
      </c>
      <c r="BA3454">
        <v>0</v>
      </c>
      <c r="BB3454">
        <v>1.34</v>
      </c>
      <c r="BC3454">
        <v>-1.45</v>
      </c>
      <c r="BD3454">
        <v>0.06</v>
      </c>
      <c r="BE3454">
        <v>-1.34</v>
      </c>
      <c r="BF3454">
        <v>-2.64</v>
      </c>
      <c r="BG3454">
        <v>0.11</v>
      </c>
      <c r="BH3454">
        <v>-1.4</v>
      </c>
      <c r="BI3454">
        <v>20191129</v>
      </c>
      <c r="BJ3454">
        <v>20161202</v>
      </c>
      <c r="BK3454">
        <v>1.43</v>
      </c>
      <c r="BL3454" t="s">
        <v>116</v>
      </c>
      <c r="BM3454" t="s">
        <v>116</v>
      </c>
      <c r="BN3454">
        <v>16.559999999999999</v>
      </c>
      <c r="BO3454">
        <v>8.91</v>
      </c>
      <c r="BP3454">
        <v>-0.01</v>
      </c>
      <c r="BQ3454">
        <v>46.25</v>
      </c>
      <c r="BR3454">
        <v>11.86</v>
      </c>
      <c r="BS3454">
        <v>0.7</v>
      </c>
      <c r="BT3454">
        <v>0.35</v>
      </c>
      <c r="BU3454">
        <v>6.64</v>
      </c>
      <c r="BV3454">
        <v>2.59</v>
      </c>
      <c r="BW3454">
        <v>7.09</v>
      </c>
      <c r="BX3454">
        <v>4.53</v>
      </c>
      <c r="BY3454">
        <v>4.71</v>
      </c>
      <c r="BZ3454">
        <v>3.78</v>
      </c>
      <c r="CA3454">
        <v>0.28999999999999998</v>
      </c>
      <c r="CB3454">
        <v>0</v>
      </c>
      <c r="CC3454">
        <v>0.28999999999999998</v>
      </c>
      <c r="CD3454">
        <v>0.26</v>
      </c>
      <c r="CE3454">
        <v>0.27</v>
      </c>
      <c r="CF3454">
        <v>0.26</v>
      </c>
      <c r="CG3454">
        <v>2.38</v>
      </c>
      <c r="CH3454">
        <v>-0.47</v>
      </c>
      <c r="CI3454">
        <v>-0.56999999999999995</v>
      </c>
      <c r="CJ3454">
        <v>29640</v>
      </c>
      <c r="CK3454">
        <v>4088</v>
      </c>
      <c r="CL3454" t="s">
        <v>14554</v>
      </c>
      <c r="CM3454">
        <v>68.31</v>
      </c>
      <c r="CN3454">
        <v>32.46</v>
      </c>
      <c r="CO3454">
        <v>2.85</v>
      </c>
      <c r="CP3454">
        <v>-54.25</v>
      </c>
      <c r="CQ3454">
        <v>5.39</v>
      </c>
      <c r="CR3454">
        <v>0.12</v>
      </c>
      <c r="CS3454" t="s">
        <v>3067</v>
      </c>
      <c r="CT3454">
        <v>6.22</v>
      </c>
      <c r="CU3454">
        <v>0</v>
      </c>
      <c r="CV3454">
        <v>3.16</v>
      </c>
      <c r="CW3454">
        <v>1.66</v>
      </c>
      <c r="CX3454">
        <v>-0.33</v>
      </c>
      <c r="CY3454">
        <v>53.8</v>
      </c>
      <c r="CZ3454" t="s">
        <v>8314</v>
      </c>
      <c r="DA3454">
        <v>19.77</v>
      </c>
      <c r="DB3454">
        <v>6.18</v>
      </c>
      <c r="DC3454">
        <v>5.72</v>
      </c>
      <c r="DD3454">
        <v>7.0000000000000007E-2</v>
      </c>
      <c r="DE3454">
        <v>1616</v>
      </c>
      <c r="DF3454">
        <v>603559</v>
      </c>
      <c r="DG3454" t="s">
        <v>116</v>
      </c>
      <c r="DH3454" t="s">
        <v>116</v>
      </c>
      <c r="DI3454" t="s">
        <v>116</v>
      </c>
    </row>
    <row r="3455" spans="1:113" x14ac:dyDescent="0.4">
      <c r="A3455" t="str">
        <f>"603566"</f>
        <v>603566</v>
      </c>
      <c r="B3455" t="s">
        <v>14555</v>
      </c>
      <c r="C3455">
        <v>-1.59</v>
      </c>
      <c r="D3455">
        <v>18.57</v>
      </c>
      <c r="E3455">
        <v>-0.3</v>
      </c>
      <c r="F3455">
        <v>18.559999999999999</v>
      </c>
      <c r="G3455">
        <v>18.57</v>
      </c>
      <c r="H3455">
        <v>31122</v>
      </c>
      <c r="I3455">
        <v>356</v>
      </c>
      <c r="J3455">
        <v>0.05</v>
      </c>
      <c r="K3455">
        <v>0.97</v>
      </c>
      <c r="L3455">
        <v>18.63</v>
      </c>
      <c r="M3455">
        <v>18.8</v>
      </c>
      <c r="N3455">
        <v>18.059999999999999</v>
      </c>
      <c r="O3455">
        <v>18.87</v>
      </c>
      <c r="P3455">
        <v>47.1</v>
      </c>
      <c r="Q3455">
        <v>57575896</v>
      </c>
      <c r="R3455">
        <v>0.59</v>
      </c>
      <c r="S3455" t="s">
        <v>132</v>
      </c>
      <c r="T3455" t="s">
        <v>652</v>
      </c>
      <c r="U3455">
        <v>3.92</v>
      </c>
      <c r="V3455">
        <v>18.5</v>
      </c>
      <c r="W3455">
        <v>18471</v>
      </c>
      <c r="X3455">
        <v>12651</v>
      </c>
      <c r="Y3455">
        <v>1.46</v>
      </c>
      <c r="Z3455">
        <v>73</v>
      </c>
      <c r="AA3455">
        <v>116</v>
      </c>
      <c r="AB3455" t="s">
        <v>116</v>
      </c>
      <c r="AC3455">
        <v>259000</v>
      </c>
      <c r="AD3455">
        <v>0.01</v>
      </c>
      <c r="AE3455" t="s">
        <v>116</v>
      </c>
      <c r="AF3455" t="s">
        <v>116</v>
      </c>
      <c r="AG3455">
        <v>3.21</v>
      </c>
      <c r="AH3455" t="s">
        <v>14556</v>
      </c>
      <c r="AI3455" t="s">
        <v>14556</v>
      </c>
      <c r="AJ3455">
        <v>-1.51</v>
      </c>
      <c r="AK3455">
        <v>1784</v>
      </c>
      <c r="AL3455">
        <v>17</v>
      </c>
      <c r="AM3455">
        <v>5.0000000000000001E-4</v>
      </c>
      <c r="AN3455">
        <v>-2</v>
      </c>
      <c r="AO3455">
        <v>-2.72</v>
      </c>
      <c r="AP3455">
        <v>-1.28</v>
      </c>
      <c r="AQ3455">
        <v>0.76</v>
      </c>
      <c r="AR3455">
        <v>61.34</v>
      </c>
      <c r="AS3455">
        <v>2.23</v>
      </c>
      <c r="AT3455" t="s">
        <v>11771</v>
      </c>
      <c r="AU3455">
        <v>53.5</v>
      </c>
      <c r="AV3455">
        <v>44.02</v>
      </c>
      <c r="AW3455">
        <v>0</v>
      </c>
      <c r="BA3455">
        <v>-1.27</v>
      </c>
      <c r="BB3455">
        <v>-0.37</v>
      </c>
      <c r="BC3455">
        <v>-4.29</v>
      </c>
      <c r="BD3455">
        <v>-1.96</v>
      </c>
      <c r="BE3455">
        <v>-0.32</v>
      </c>
      <c r="BF3455">
        <v>-1.22</v>
      </c>
      <c r="BG3455">
        <v>2.82</v>
      </c>
      <c r="BH3455">
        <v>0.37</v>
      </c>
      <c r="BI3455">
        <v>20191026</v>
      </c>
      <c r="BJ3455">
        <v>20150518</v>
      </c>
      <c r="BK3455">
        <v>3.21</v>
      </c>
      <c r="BL3455" t="s">
        <v>116</v>
      </c>
      <c r="BM3455" t="s">
        <v>116</v>
      </c>
      <c r="BN3455">
        <v>18.329999999999998</v>
      </c>
      <c r="BO3455">
        <v>16.34</v>
      </c>
      <c r="BP3455">
        <v>0</v>
      </c>
      <c r="BQ3455">
        <v>10.87</v>
      </c>
      <c r="BR3455">
        <v>8.98</v>
      </c>
      <c r="BS3455">
        <v>3.39</v>
      </c>
      <c r="BT3455">
        <v>2.12</v>
      </c>
      <c r="BU3455">
        <v>1.68</v>
      </c>
      <c r="BV3455">
        <v>1.1200000000000001</v>
      </c>
      <c r="BW3455">
        <v>1.39</v>
      </c>
      <c r="BX3455">
        <v>4.49</v>
      </c>
      <c r="BY3455">
        <v>4.71</v>
      </c>
      <c r="BZ3455">
        <v>1.71</v>
      </c>
      <c r="CA3455">
        <v>0.98</v>
      </c>
      <c r="CB3455">
        <v>0.01</v>
      </c>
      <c r="CC3455">
        <v>1.06</v>
      </c>
      <c r="CD3455">
        <v>0.95</v>
      </c>
      <c r="CE3455">
        <v>0.95</v>
      </c>
      <c r="CF3455">
        <v>0.69</v>
      </c>
      <c r="CG3455">
        <v>7.5</v>
      </c>
      <c r="CH3455">
        <v>0.71</v>
      </c>
      <c r="CI3455">
        <v>-2.08</v>
      </c>
      <c r="CJ3455">
        <v>11477</v>
      </c>
      <c r="CK3455">
        <v>12151</v>
      </c>
      <c r="CL3455" t="s">
        <v>2956</v>
      </c>
      <c r="CM3455">
        <v>-20.170000000000002</v>
      </c>
      <c r="CN3455">
        <v>9.2799999999999994</v>
      </c>
      <c r="CO3455">
        <v>3.65</v>
      </c>
      <c r="CP3455">
        <v>83.88</v>
      </c>
      <c r="CQ3455">
        <v>12.68</v>
      </c>
      <c r="CR3455">
        <v>1.62</v>
      </c>
      <c r="CS3455" t="s">
        <v>3028</v>
      </c>
      <c r="CT3455">
        <v>5.08</v>
      </c>
      <c r="CU3455">
        <v>0</v>
      </c>
      <c r="CV3455">
        <v>1.4</v>
      </c>
      <c r="CW3455">
        <v>2.33</v>
      </c>
      <c r="CX3455">
        <v>0.22</v>
      </c>
      <c r="CY3455">
        <v>89.13</v>
      </c>
      <c r="CZ3455" t="s">
        <v>9745</v>
      </c>
      <c r="DA3455">
        <v>63.59</v>
      </c>
      <c r="DB3455">
        <v>20.87</v>
      </c>
      <c r="DC3455">
        <v>20.190000000000001</v>
      </c>
      <c r="DD3455">
        <v>0.6</v>
      </c>
      <c r="DE3455">
        <v>1422</v>
      </c>
      <c r="DF3455">
        <v>603566</v>
      </c>
      <c r="DG3455" t="s">
        <v>116</v>
      </c>
      <c r="DH3455" t="s">
        <v>116</v>
      </c>
      <c r="DI3455" t="s">
        <v>116</v>
      </c>
    </row>
    <row r="3456" spans="1:113" x14ac:dyDescent="0.4">
      <c r="A3456" t="str">
        <f>"603567"</f>
        <v>603567</v>
      </c>
      <c r="B3456" t="s">
        <v>14557</v>
      </c>
      <c r="C3456">
        <v>-0.26</v>
      </c>
      <c r="D3456">
        <v>11.55</v>
      </c>
      <c r="E3456">
        <v>-0.03</v>
      </c>
      <c r="F3456">
        <v>11.54</v>
      </c>
      <c r="G3456">
        <v>11.55</v>
      </c>
      <c r="H3456">
        <v>6556</v>
      </c>
      <c r="I3456">
        <v>200</v>
      </c>
      <c r="J3456">
        <v>0</v>
      </c>
      <c r="K3456">
        <v>0.08</v>
      </c>
      <c r="L3456">
        <v>11.56</v>
      </c>
      <c r="M3456">
        <v>11.61</v>
      </c>
      <c r="N3456">
        <v>11.53</v>
      </c>
      <c r="O3456">
        <v>11.58</v>
      </c>
      <c r="P3456">
        <v>21.77</v>
      </c>
      <c r="Q3456">
        <v>7587604</v>
      </c>
      <c r="R3456">
        <v>1.05</v>
      </c>
      <c r="S3456" t="s">
        <v>781</v>
      </c>
      <c r="T3456" t="s">
        <v>1287</v>
      </c>
      <c r="U3456">
        <v>0.69</v>
      </c>
      <c r="V3456">
        <v>11.57</v>
      </c>
      <c r="W3456">
        <v>3959</v>
      </c>
      <c r="X3456">
        <v>2597</v>
      </c>
      <c r="Y3456">
        <v>1.52</v>
      </c>
      <c r="Z3456">
        <v>221</v>
      </c>
      <c r="AA3456">
        <v>24</v>
      </c>
      <c r="AB3456" t="s">
        <v>116</v>
      </c>
      <c r="AC3456">
        <v>0</v>
      </c>
      <c r="AD3456">
        <v>0</v>
      </c>
      <c r="AE3456" t="s">
        <v>116</v>
      </c>
      <c r="AF3456" t="s">
        <v>116</v>
      </c>
      <c r="AG3456">
        <v>8.49</v>
      </c>
      <c r="AH3456" t="s">
        <v>14558</v>
      </c>
      <c r="AI3456" t="s">
        <v>14558</v>
      </c>
      <c r="AJ3456">
        <v>-0.18</v>
      </c>
      <c r="AK3456">
        <v>347</v>
      </c>
      <c r="AL3456">
        <v>19</v>
      </c>
      <c r="AM3456">
        <v>2.0000000000000001E-4</v>
      </c>
      <c r="AN3456">
        <v>-1</v>
      </c>
      <c r="AO3456">
        <v>0.79</v>
      </c>
      <c r="AP3456">
        <v>2.12</v>
      </c>
      <c r="AQ3456">
        <v>-1.95</v>
      </c>
      <c r="AR3456">
        <v>-2.25</v>
      </c>
      <c r="AS3456">
        <v>0.52</v>
      </c>
      <c r="AT3456" t="s">
        <v>14559</v>
      </c>
      <c r="AU3456">
        <v>22.93</v>
      </c>
      <c r="AV3456">
        <v>21.21</v>
      </c>
      <c r="AW3456">
        <v>0.72</v>
      </c>
      <c r="BA3456">
        <v>-0.17</v>
      </c>
      <c r="BB3456">
        <v>0.26</v>
      </c>
      <c r="BC3456">
        <v>-0.43</v>
      </c>
      <c r="BD3456">
        <v>-0.06</v>
      </c>
      <c r="BE3456">
        <v>-0.09</v>
      </c>
      <c r="BF3456">
        <v>-0.52</v>
      </c>
      <c r="BG3456">
        <v>0.17</v>
      </c>
      <c r="BH3456">
        <v>-0.2</v>
      </c>
      <c r="BI3456">
        <v>20191031</v>
      </c>
      <c r="BJ3456">
        <v>20150424</v>
      </c>
      <c r="BK3456">
        <v>8.49</v>
      </c>
      <c r="BL3456" t="s">
        <v>116</v>
      </c>
      <c r="BM3456" t="s">
        <v>116</v>
      </c>
      <c r="BN3456">
        <v>85</v>
      </c>
      <c r="BO3456">
        <v>51.72</v>
      </c>
      <c r="BP3456">
        <v>0.14000000000000001</v>
      </c>
      <c r="BQ3456">
        <v>39</v>
      </c>
      <c r="BR3456">
        <v>52.35</v>
      </c>
      <c r="BS3456">
        <v>20.78</v>
      </c>
      <c r="BT3456">
        <v>2.46</v>
      </c>
      <c r="BU3456">
        <v>28.05</v>
      </c>
      <c r="BV3456">
        <v>10.1</v>
      </c>
      <c r="BW3456">
        <v>14.09</v>
      </c>
      <c r="BX3456">
        <v>12.25</v>
      </c>
      <c r="BY3456">
        <v>21.11</v>
      </c>
      <c r="BZ3456">
        <v>6.79</v>
      </c>
      <c r="CA3456">
        <v>4.25</v>
      </c>
      <c r="CB3456">
        <v>0</v>
      </c>
      <c r="CC3456">
        <v>4.18</v>
      </c>
      <c r="CD3456">
        <v>3.41</v>
      </c>
      <c r="CE3456">
        <v>3.38</v>
      </c>
      <c r="CF3456">
        <v>2.9</v>
      </c>
      <c r="CG3456">
        <v>27.57</v>
      </c>
      <c r="CH3456">
        <v>0.39</v>
      </c>
      <c r="CI3456">
        <v>-0.84</v>
      </c>
      <c r="CJ3456">
        <v>24070</v>
      </c>
      <c r="CK3456">
        <v>5205</v>
      </c>
      <c r="CL3456" t="s">
        <v>1506</v>
      </c>
      <c r="CM3456">
        <v>-9.32</v>
      </c>
      <c r="CN3456">
        <v>6.77</v>
      </c>
      <c r="CO3456">
        <v>1.9</v>
      </c>
      <c r="CP3456">
        <v>252.13</v>
      </c>
      <c r="CQ3456">
        <v>4.6500000000000004</v>
      </c>
      <c r="CR3456">
        <v>1.42</v>
      </c>
      <c r="CS3456" t="s">
        <v>9941</v>
      </c>
      <c r="CT3456">
        <v>6.09</v>
      </c>
      <c r="CU3456">
        <v>0</v>
      </c>
      <c r="CV3456">
        <v>1.44</v>
      </c>
      <c r="CW3456">
        <v>3.25</v>
      </c>
      <c r="CX3456">
        <v>0.05</v>
      </c>
      <c r="CY3456">
        <v>60.84</v>
      </c>
      <c r="CZ3456" t="s">
        <v>11698</v>
      </c>
      <c r="DA3456">
        <v>67.86</v>
      </c>
      <c r="DB3456">
        <v>20.11</v>
      </c>
      <c r="DC3456">
        <v>16.010000000000002</v>
      </c>
      <c r="DD3456">
        <v>0.68</v>
      </c>
      <c r="DE3456">
        <v>2996</v>
      </c>
      <c r="DF3456">
        <v>603567</v>
      </c>
      <c r="DG3456" t="s">
        <v>116</v>
      </c>
      <c r="DH3456" t="s">
        <v>116</v>
      </c>
      <c r="DI3456" t="s">
        <v>116</v>
      </c>
    </row>
    <row r="3457" spans="1:113" x14ac:dyDescent="0.4">
      <c r="A3457" t="str">
        <f>"603568"</f>
        <v>603568</v>
      </c>
      <c r="B3457" t="s">
        <v>14560</v>
      </c>
      <c r="C3457">
        <v>0.52</v>
      </c>
      <c r="D3457">
        <v>23.15</v>
      </c>
      <c r="E3457">
        <v>0.12</v>
      </c>
      <c r="F3457">
        <v>23.14</v>
      </c>
      <c r="G3457">
        <v>23.15</v>
      </c>
      <c r="H3457">
        <v>58360</v>
      </c>
      <c r="I3457">
        <v>203</v>
      </c>
      <c r="J3457">
        <v>0</v>
      </c>
      <c r="K3457">
        <v>0.62</v>
      </c>
      <c r="L3457">
        <v>23.12</v>
      </c>
      <c r="M3457">
        <v>23.6</v>
      </c>
      <c r="N3457">
        <v>22.72</v>
      </c>
      <c r="O3457">
        <v>23.03</v>
      </c>
      <c r="P3457">
        <v>21.94</v>
      </c>
      <c r="Q3457">
        <v>134838976</v>
      </c>
      <c r="R3457">
        <v>1.24</v>
      </c>
      <c r="S3457" t="s">
        <v>140</v>
      </c>
      <c r="T3457" t="s">
        <v>590</v>
      </c>
      <c r="U3457">
        <v>3.82</v>
      </c>
      <c r="V3457">
        <v>23.1</v>
      </c>
      <c r="W3457">
        <v>28828</v>
      </c>
      <c r="X3457">
        <v>29532</v>
      </c>
      <c r="Y3457">
        <v>0.98</v>
      </c>
      <c r="Z3457">
        <v>51</v>
      </c>
      <c r="AA3457">
        <v>327</v>
      </c>
      <c r="AB3457" t="s">
        <v>116</v>
      </c>
      <c r="AC3457">
        <v>1653500</v>
      </c>
      <c r="AD3457">
        <v>0.04</v>
      </c>
      <c r="AE3457" t="s">
        <v>116</v>
      </c>
      <c r="AF3457" t="s">
        <v>116</v>
      </c>
      <c r="AG3457">
        <v>9.39</v>
      </c>
      <c r="AH3457" t="s">
        <v>11112</v>
      </c>
      <c r="AI3457" t="s">
        <v>14561</v>
      </c>
      <c r="AJ3457">
        <v>0.6</v>
      </c>
      <c r="AK3457">
        <v>2585</v>
      </c>
      <c r="AL3457">
        <v>23</v>
      </c>
      <c r="AM3457">
        <v>2.0000000000000001E-4</v>
      </c>
      <c r="AN3457">
        <v>3</v>
      </c>
      <c r="AO3457">
        <v>2.83</v>
      </c>
      <c r="AP3457">
        <v>6.73</v>
      </c>
      <c r="AQ3457">
        <v>13.42</v>
      </c>
      <c r="AR3457">
        <v>38.78</v>
      </c>
      <c r="AS3457">
        <v>2.87</v>
      </c>
      <c r="AT3457" t="s">
        <v>14562</v>
      </c>
      <c r="AU3457">
        <v>24.01</v>
      </c>
      <c r="AV3457">
        <v>29.46</v>
      </c>
      <c r="AW3457">
        <v>0.46</v>
      </c>
      <c r="BA3457">
        <v>0.39</v>
      </c>
      <c r="BB3457">
        <v>2.48</v>
      </c>
      <c r="BC3457">
        <v>-1.35</v>
      </c>
      <c r="BD3457">
        <v>0.32</v>
      </c>
      <c r="BE3457">
        <v>0.13</v>
      </c>
      <c r="BF3457">
        <v>-1.91</v>
      </c>
      <c r="BG3457">
        <v>1.89</v>
      </c>
      <c r="BH3457">
        <v>0.2</v>
      </c>
      <c r="BI3457">
        <v>20191225</v>
      </c>
      <c r="BJ3457">
        <v>20150528</v>
      </c>
      <c r="BK3457">
        <v>9.42</v>
      </c>
      <c r="BL3457" t="s">
        <v>116</v>
      </c>
      <c r="BM3457" t="s">
        <v>116</v>
      </c>
      <c r="BN3457">
        <v>63.44</v>
      </c>
      <c r="BO3457">
        <v>38.1</v>
      </c>
      <c r="BP3457">
        <v>0.11</v>
      </c>
      <c r="BQ3457">
        <v>39.76</v>
      </c>
      <c r="BR3457">
        <v>16.13</v>
      </c>
      <c r="BS3457">
        <v>2.5099999999999998</v>
      </c>
      <c r="BT3457">
        <v>35.54</v>
      </c>
      <c r="BU3457">
        <v>5.74</v>
      </c>
      <c r="BV3457">
        <v>1.08</v>
      </c>
      <c r="BW3457">
        <v>5.83</v>
      </c>
      <c r="BX3457">
        <v>3.47</v>
      </c>
      <c r="BY3457">
        <v>15.38</v>
      </c>
      <c r="BZ3457">
        <v>5.84</v>
      </c>
      <c r="CA3457">
        <v>8.33</v>
      </c>
      <c r="CB3457">
        <v>0.01</v>
      </c>
      <c r="CC3457">
        <v>8.32</v>
      </c>
      <c r="CD3457">
        <v>7.43</v>
      </c>
      <c r="CE3457">
        <v>7.45</v>
      </c>
      <c r="CF3457">
        <v>7.28</v>
      </c>
      <c r="CG3457">
        <v>22.83</v>
      </c>
      <c r="CH3457">
        <v>3.92</v>
      </c>
      <c r="CI3457">
        <v>-6.53</v>
      </c>
      <c r="CJ3457">
        <v>16752</v>
      </c>
      <c r="CK3457">
        <v>12132</v>
      </c>
      <c r="CL3457" t="s">
        <v>14563</v>
      </c>
      <c r="CM3457">
        <v>29.05</v>
      </c>
      <c r="CN3457">
        <v>31.43</v>
      </c>
      <c r="CO3457">
        <v>5.89</v>
      </c>
      <c r="CP3457">
        <v>55.58</v>
      </c>
      <c r="CQ3457">
        <v>14.17</v>
      </c>
      <c r="CR3457">
        <v>1.04</v>
      </c>
      <c r="CS3457" t="s">
        <v>4039</v>
      </c>
      <c r="CT3457">
        <v>3.93</v>
      </c>
      <c r="CU3457">
        <v>3.93</v>
      </c>
      <c r="CV3457">
        <v>0.37</v>
      </c>
      <c r="CW3457">
        <v>2.42</v>
      </c>
      <c r="CX3457">
        <v>0.42</v>
      </c>
      <c r="CY3457">
        <v>60.07</v>
      </c>
      <c r="CZ3457" t="s">
        <v>14564</v>
      </c>
      <c r="DA3457">
        <v>62.02</v>
      </c>
      <c r="DB3457">
        <v>54.13</v>
      </c>
      <c r="DC3457">
        <v>48.44</v>
      </c>
      <c r="DD3457">
        <v>0.27</v>
      </c>
      <c r="DE3457">
        <v>1519</v>
      </c>
      <c r="DF3457">
        <v>603568</v>
      </c>
      <c r="DG3457" t="s">
        <v>116</v>
      </c>
      <c r="DH3457" t="s">
        <v>116</v>
      </c>
      <c r="DI3457" t="s">
        <v>116</v>
      </c>
    </row>
    <row r="3458" spans="1:113" x14ac:dyDescent="0.4">
      <c r="A3458" t="str">
        <f>"603569"</f>
        <v>603569</v>
      </c>
      <c r="B3458" t="s">
        <v>14565</v>
      </c>
      <c r="C3458">
        <v>-0.77</v>
      </c>
      <c r="D3458">
        <v>10.28</v>
      </c>
      <c r="E3458">
        <v>-0.08</v>
      </c>
      <c r="F3458">
        <v>10.28</v>
      </c>
      <c r="G3458">
        <v>10.29</v>
      </c>
      <c r="H3458">
        <v>9521</v>
      </c>
      <c r="I3458">
        <v>151</v>
      </c>
      <c r="J3458">
        <v>0.19</v>
      </c>
      <c r="K3458">
        <v>0.17</v>
      </c>
      <c r="L3458">
        <v>10.35</v>
      </c>
      <c r="M3458">
        <v>10.43</v>
      </c>
      <c r="N3458">
        <v>10.26</v>
      </c>
      <c r="O3458">
        <v>10.36</v>
      </c>
      <c r="P3458">
        <v>65.16</v>
      </c>
      <c r="Q3458">
        <v>9859547</v>
      </c>
      <c r="R3458">
        <v>0.92</v>
      </c>
      <c r="S3458" t="s">
        <v>3113</v>
      </c>
      <c r="T3458" t="s">
        <v>165</v>
      </c>
      <c r="U3458">
        <v>1.64</v>
      </c>
      <c r="V3458">
        <v>10.36</v>
      </c>
      <c r="W3458">
        <v>6183</v>
      </c>
      <c r="X3458">
        <v>3338</v>
      </c>
      <c r="Y3458">
        <v>1.85</v>
      </c>
      <c r="Z3458">
        <v>181</v>
      </c>
      <c r="AA3458">
        <v>102</v>
      </c>
      <c r="AB3458" t="s">
        <v>116</v>
      </c>
      <c r="AC3458">
        <v>0</v>
      </c>
      <c r="AD3458">
        <v>0</v>
      </c>
      <c r="AE3458" t="s">
        <v>116</v>
      </c>
      <c r="AF3458" t="s">
        <v>116</v>
      </c>
      <c r="AG3458">
        <v>5.6</v>
      </c>
      <c r="AH3458" t="s">
        <v>5874</v>
      </c>
      <c r="AI3458" t="s">
        <v>5874</v>
      </c>
      <c r="AJ3458">
        <v>-0.7</v>
      </c>
      <c r="AK3458">
        <v>624</v>
      </c>
      <c r="AL3458">
        <v>15</v>
      </c>
      <c r="AM3458">
        <v>2.9999999999999997E-4</v>
      </c>
      <c r="AN3458">
        <v>-1</v>
      </c>
      <c r="AO3458">
        <v>-0.19</v>
      </c>
      <c r="AP3458">
        <v>-0.87</v>
      </c>
      <c r="AQ3458">
        <v>0.39</v>
      </c>
      <c r="AR3458">
        <v>-3.07</v>
      </c>
      <c r="AS3458">
        <v>0.76</v>
      </c>
      <c r="AT3458" t="s">
        <v>7320</v>
      </c>
      <c r="AU3458">
        <v>20.49</v>
      </c>
      <c r="AV3458">
        <v>14.29</v>
      </c>
      <c r="AW3458">
        <v>1.23</v>
      </c>
      <c r="BA3458">
        <v>-0.1</v>
      </c>
      <c r="BB3458">
        <v>0.68</v>
      </c>
      <c r="BC3458">
        <v>-0.97</v>
      </c>
      <c r="BD3458">
        <v>-0.05</v>
      </c>
      <c r="BE3458">
        <v>-0.68</v>
      </c>
      <c r="BF3458">
        <v>-1.44</v>
      </c>
      <c r="BG3458">
        <v>0.19</v>
      </c>
      <c r="BH3458">
        <v>-0.72</v>
      </c>
      <c r="BI3458">
        <v>20191023</v>
      </c>
      <c r="BJ3458">
        <v>20160810</v>
      </c>
      <c r="BK3458">
        <v>5.6</v>
      </c>
      <c r="BL3458" t="s">
        <v>116</v>
      </c>
      <c r="BM3458" t="s">
        <v>116</v>
      </c>
      <c r="BN3458">
        <v>58.49</v>
      </c>
      <c r="BO3458">
        <v>26.21</v>
      </c>
      <c r="BP3458">
        <v>1.66</v>
      </c>
      <c r="BQ3458">
        <v>52.35</v>
      </c>
      <c r="BR3458">
        <v>36.07</v>
      </c>
      <c r="BS3458">
        <v>12.71</v>
      </c>
      <c r="BT3458">
        <v>3.63</v>
      </c>
      <c r="BU3458">
        <v>21.54</v>
      </c>
      <c r="BV3458">
        <v>0.04</v>
      </c>
      <c r="BW3458">
        <v>18.399999999999999</v>
      </c>
      <c r="BX3458">
        <v>3.9</v>
      </c>
      <c r="BY3458">
        <v>34.450000000000003</v>
      </c>
      <c r="BZ3458">
        <v>30.55</v>
      </c>
      <c r="CA3458">
        <v>0.94</v>
      </c>
      <c r="CB3458">
        <v>0.05</v>
      </c>
      <c r="CC3458">
        <v>1.2</v>
      </c>
      <c r="CD3458">
        <v>0.78</v>
      </c>
      <c r="CE3458">
        <v>0.66</v>
      </c>
      <c r="CF3458">
        <v>0.53</v>
      </c>
      <c r="CG3458">
        <v>12.78</v>
      </c>
      <c r="CH3458">
        <v>2.19</v>
      </c>
      <c r="CI3458">
        <v>-4.07</v>
      </c>
      <c r="CJ3458">
        <v>15156</v>
      </c>
      <c r="CK3458">
        <v>8216</v>
      </c>
      <c r="CL3458" t="s">
        <v>5554</v>
      </c>
      <c r="CM3458">
        <v>-64.790000000000006</v>
      </c>
      <c r="CN3458">
        <v>-8.2899999999999991</v>
      </c>
      <c r="CO3458">
        <v>2.39</v>
      </c>
      <c r="CP3458">
        <v>26.27</v>
      </c>
      <c r="CQ3458">
        <v>1.67</v>
      </c>
      <c r="CR3458">
        <v>1.4</v>
      </c>
      <c r="CS3458" t="s">
        <v>7083</v>
      </c>
      <c r="CT3458">
        <v>4.3</v>
      </c>
      <c r="CU3458">
        <v>4.3</v>
      </c>
      <c r="CV3458">
        <v>0.7</v>
      </c>
      <c r="CW3458">
        <v>2.2799999999999998</v>
      </c>
      <c r="CX3458">
        <v>0.39</v>
      </c>
      <c r="CY3458">
        <v>44.81</v>
      </c>
      <c r="CZ3458" t="s">
        <v>5225</v>
      </c>
      <c r="DA3458">
        <v>11.33</v>
      </c>
      <c r="DB3458">
        <v>2.71</v>
      </c>
      <c r="DC3458">
        <v>1.92</v>
      </c>
      <c r="DD3458">
        <v>0.13</v>
      </c>
      <c r="DE3458">
        <v>1936</v>
      </c>
      <c r="DF3458">
        <v>603569</v>
      </c>
      <c r="DG3458" t="s">
        <v>116</v>
      </c>
      <c r="DH3458" t="s">
        <v>116</v>
      </c>
      <c r="DI3458" t="s">
        <v>116</v>
      </c>
    </row>
    <row r="3459" spans="1:113" x14ac:dyDescent="0.4">
      <c r="A3459" t="str">
        <f>"603577"</f>
        <v>603577</v>
      </c>
      <c r="B3459" t="s">
        <v>14566</v>
      </c>
      <c r="C3459">
        <v>-0.77</v>
      </c>
      <c r="D3459">
        <v>10.3</v>
      </c>
      <c r="E3459">
        <v>-0.08</v>
      </c>
      <c r="F3459">
        <v>10.29</v>
      </c>
      <c r="G3459">
        <v>10.3</v>
      </c>
      <c r="H3459">
        <v>10335</v>
      </c>
      <c r="I3459">
        <v>335</v>
      </c>
      <c r="J3459">
        <v>-0.09</v>
      </c>
      <c r="K3459">
        <v>0.59</v>
      </c>
      <c r="L3459">
        <v>10.45</v>
      </c>
      <c r="M3459">
        <v>10.53</v>
      </c>
      <c r="N3459">
        <v>10.3</v>
      </c>
      <c r="O3459">
        <v>10.38</v>
      </c>
      <c r="P3459">
        <v>35.46</v>
      </c>
      <c r="Q3459">
        <v>10757860</v>
      </c>
      <c r="R3459">
        <v>0.88</v>
      </c>
      <c r="S3459" t="s">
        <v>2118</v>
      </c>
      <c r="T3459" t="s">
        <v>645</v>
      </c>
      <c r="U3459">
        <v>2.2200000000000002</v>
      </c>
      <c r="V3459">
        <v>10.41</v>
      </c>
      <c r="W3459">
        <v>6372</v>
      </c>
      <c r="X3459">
        <v>3963</v>
      </c>
      <c r="Y3459">
        <v>1.61</v>
      </c>
      <c r="Z3459">
        <v>25</v>
      </c>
      <c r="AA3459">
        <v>854</v>
      </c>
      <c r="AB3459" t="s">
        <v>116</v>
      </c>
      <c r="AC3459">
        <v>2100</v>
      </c>
      <c r="AD3459">
        <v>0</v>
      </c>
      <c r="AE3459" t="s">
        <v>116</v>
      </c>
      <c r="AF3459" t="s">
        <v>116</v>
      </c>
      <c r="AG3459">
        <v>1.75</v>
      </c>
      <c r="AH3459" t="s">
        <v>10121</v>
      </c>
      <c r="AI3459" t="s">
        <v>13079</v>
      </c>
      <c r="AJ3459">
        <v>-0.69</v>
      </c>
      <c r="AK3459">
        <v>586</v>
      </c>
      <c r="AL3459">
        <v>18</v>
      </c>
      <c r="AM3459">
        <v>1E-3</v>
      </c>
      <c r="AN3459">
        <v>-1</v>
      </c>
      <c r="AO3459">
        <v>-0.1</v>
      </c>
      <c r="AP3459">
        <v>4.04</v>
      </c>
      <c r="AQ3459">
        <v>-8.77</v>
      </c>
      <c r="AR3459">
        <v>14.38</v>
      </c>
      <c r="AS3459">
        <v>1.3</v>
      </c>
      <c r="AT3459" t="s">
        <v>9840</v>
      </c>
      <c r="AU3459">
        <v>41.8</v>
      </c>
      <c r="AV3459">
        <v>66.8</v>
      </c>
      <c r="AW3459">
        <v>1.31</v>
      </c>
      <c r="BA3459">
        <v>0.67</v>
      </c>
      <c r="BB3459">
        <v>1.45</v>
      </c>
      <c r="BC3459">
        <v>-0.77</v>
      </c>
      <c r="BD3459">
        <v>0.28000000000000003</v>
      </c>
      <c r="BE3459">
        <v>-1.44</v>
      </c>
      <c r="BF3459">
        <v>-2.1800000000000002</v>
      </c>
      <c r="BG3459">
        <v>0</v>
      </c>
      <c r="BH3459">
        <v>-1.06</v>
      </c>
      <c r="BI3459">
        <v>20191220</v>
      </c>
      <c r="BJ3459">
        <v>20161222</v>
      </c>
      <c r="BK3459">
        <v>2.06</v>
      </c>
      <c r="BL3459" t="s">
        <v>116</v>
      </c>
      <c r="BM3459" t="s">
        <v>116</v>
      </c>
      <c r="BN3459">
        <v>27.96</v>
      </c>
      <c r="BO3459">
        <v>12.28</v>
      </c>
      <c r="BP3459">
        <v>0.13</v>
      </c>
      <c r="BQ3459">
        <v>55.64</v>
      </c>
      <c r="BR3459">
        <v>22.22</v>
      </c>
      <c r="BS3459">
        <v>3.4</v>
      </c>
      <c r="BT3459">
        <v>1.18</v>
      </c>
      <c r="BU3459">
        <v>14.48</v>
      </c>
      <c r="BV3459">
        <v>10.32</v>
      </c>
      <c r="BW3459">
        <v>4.4800000000000004</v>
      </c>
      <c r="BX3459">
        <v>7.3</v>
      </c>
      <c r="BY3459">
        <v>10.57</v>
      </c>
      <c r="BZ3459">
        <v>8.3800000000000008</v>
      </c>
      <c r="CA3459">
        <v>0.48</v>
      </c>
      <c r="CB3459">
        <v>0</v>
      </c>
      <c r="CC3459">
        <v>0.49</v>
      </c>
      <c r="CD3459">
        <v>0.45</v>
      </c>
      <c r="CE3459">
        <v>0.45</v>
      </c>
      <c r="CF3459">
        <v>0.43</v>
      </c>
      <c r="CG3459">
        <v>2.62</v>
      </c>
      <c r="CH3459">
        <v>-1.38</v>
      </c>
      <c r="CI3459">
        <v>1.74</v>
      </c>
      <c r="CJ3459">
        <v>14391</v>
      </c>
      <c r="CK3459">
        <v>5506</v>
      </c>
      <c r="CL3459" t="s">
        <v>2880</v>
      </c>
      <c r="CM3459">
        <v>73.36</v>
      </c>
      <c r="CN3459">
        <v>65.34</v>
      </c>
      <c r="CO3459">
        <v>1.73</v>
      </c>
      <c r="CP3459">
        <v>-15.4</v>
      </c>
      <c r="CQ3459">
        <v>2.0099999999999998</v>
      </c>
      <c r="CR3459">
        <v>0.45</v>
      </c>
      <c r="CS3459" t="s">
        <v>4342</v>
      </c>
      <c r="CT3459">
        <v>5.96</v>
      </c>
      <c r="CU3459">
        <v>0</v>
      </c>
      <c r="CV3459">
        <v>3.55</v>
      </c>
      <c r="CW3459">
        <v>1.27</v>
      </c>
      <c r="CX3459">
        <v>-0.67</v>
      </c>
      <c r="CY3459">
        <v>43.9</v>
      </c>
      <c r="CZ3459" t="s">
        <v>5753</v>
      </c>
      <c r="DA3459">
        <v>20.74</v>
      </c>
      <c r="DB3459">
        <v>4.58</v>
      </c>
      <c r="DC3459">
        <v>4.24</v>
      </c>
      <c r="DD3459">
        <v>0.34</v>
      </c>
      <c r="DE3459">
        <v>1141</v>
      </c>
      <c r="DF3459">
        <v>603577</v>
      </c>
      <c r="DG3459" t="s">
        <v>116</v>
      </c>
      <c r="DH3459" t="s">
        <v>116</v>
      </c>
      <c r="DI3459" t="s">
        <v>116</v>
      </c>
    </row>
    <row r="3460" spans="1:113" x14ac:dyDescent="0.4">
      <c r="A3460" t="str">
        <f>"603578"</f>
        <v>603578</v>
      </c>
      <c r="B3460" t="s">
        <v>14567</v>
      </c>
      <c r="C3460">
        <v>-0.64</v>
      </c>
      <c r="D3460">
        <v>20.149999999999999</v>
      </c>
      <c r="E3460">
        <v>-0.13</v>
      </c>
      <c r="F3460">
        <v>20.149999999999999</v>
      </c>
      <c r="G3460">
        <v>20.18</v>
      </c>
      <c r="H3460">
        <v>5096</v>
      </c>
      <c r="I3460">
        <v>166</v>
      </c>
      <c r="J3460">
        <v>0.65</v>
      </c>
      <c r="K3460">
        <v>1.57</v>
      </c>
      <c r="L3460">
        <v>20.32</v>
      </c>
      <c r="M3460">
        <v>20.399999999999999</v>
      </c>
      <c r="N3460">
        <v>20</v>
      </c>
      <c r="O3460">
        <v>20.28</v>
      </c>
      <c r="P3460">
        <v>28.8</v>
      </c>
      <c r="Q3460">
        <v>10301476</v>
      </c>
      <c r="R3460">
        <v>0.61</v>
      </c>
      <c r="S3460" t="s">
        <v>195</v>
      </c>
      <c r="T3460" t="s">
        <v>590</v>
      </c>
      <c r="U3460">
        <v>1.97</v>
      </c>
      <c r="V3460">
        <v>20.21</v>
      </c>
      <c r="W3460">
        <v>3435</v>
      </c>
      <c r="X3460">
        <v>1661</v>
      </c>
      <c r="Y3460">
        <v>2.0699999999999998</v>
      </c>
      <c r="Z3460">
        <v>57</v>
      </c>
      <c r="AA3460">
        <v>10</v>
      </c>
      <c r="AB3460" t="s">
        <v>116</v>
      </c>
      <c r="AC3460">
        <v>0</v>
      </c>
      <c r="AD3460">
        <v>0</v>
      </c>
      <c r="AE3460" t="s">
        <v>116</v>
      </c>
      <c r="AF3460" t="s">
        <v>116</v>
      </c>
      <c r="AG3460">
        <v>0.33</v>
      </c>
      <c r="AH3460" t="s">
        <v>14568</v>
      </c>
      <c r="AI3460" t="s">
        <v>13710</v>
      </c>
      <c r="AJ3460">
        <v>-0.56000000000000005</v>
      </c>
      <c r="AK3460">
        <v>443</v>
      </c>
      <c r="AL3460">
        <v>12</v>
      </c>
      <c r="AM3460">
        <v>3.5000000000000001E-3</v>
      </c>
      <c r="AN3460">
        <v>-1</v>
      </c>
      <c r="AO3460">
        <v>-0.73</v>
      </c>
      <c r="AP3460">
        <v>8.0399999999999991</v>
      </c>
      <c r="AQ3460">
        <v>8.39</v>
      </c>
      <c r="AR3460">
        <v>8.4499999999999993</v>
      </c>
      <c r="AS3460">
        <v>2.25</v>
      </c>
      <c r="AT3460" t="s">
        <v>14569</v>
      </c>
      <c r="AU3460">
        <v>31.86</v>
      </c>
      <c r="AV3460">
        <v>30.05</v>
      </c>
      <c r="AW3460">
        <v>1.1000000000000001</v>
      </c>
      <c r="BA3460">
        <v>0.2</v>
      </c>
      <c r="BB3460">
        <v>0.59</v>
      </c>
      <c r="BC3460">
        <v>-1.38</v>
      </c>
      <c r="BD3460">
        <v>-0.33</v>
      </c>
      <c r="BE3460">
        <v>-0.84</v>
      </c>
      <c r="BF3460">
        <v>-1.23</v>
      </c>
      <c r="BG3460">
        <v>0.75</v>
      </c>
      <c r="BH3460">
        <v>-0.31</v>
      </c>
      <c r="BI3460">
        <v>20191227</v>
      </c>
      <c r="BJ3460">
        <v>20170306</v>
      </c>
      <c r="BK3460">
        <v>0.9</v>
      </c>
      <c r="BL3460" t="s">
        <v>116</v>
      </c>
      <c r="BM3460" t="s">
        <v>116</v>
      </c>
      <c r="BN3460">
        <v>8.5500000000000007</v>
      </c>
      <c r="BO3460">
        <v>6.1</v>
      </c>
      <c r="BP3460">
        <v>0</v>
      </c>
      <c r="BQ3460">
        <v>28.72</v>
      </c>
      <c r="BR3460">
        <v>6.58</v>
      </c>
      <c r="BS3460">
        <v>0.72</v>
      </c>
      <c r="BT3460">
        <v>0.24</v>
      </c>
      <c r="BU3460">
        <v>0.91</v>
      </c>
      <c r="BV3460">
        <v>0.41</v>
      </c>
      <c r="BW3460">
        <v>0.96</v>
      </c>
      <c r="BX3460">
        <v>2.84</v>
      </c>
      <c r="BY3460">
        <v>2.48</v>
      </c>
      <c r="BZ3460">
        <v>1.66</v>
      </c>
      <c r="CA3460">
        <v>0.52</v>
      </c>
      <c r="CB3460">
        <v>0.02</v>
      </c>
      <c r="CC3460">
        <v>0.52</v>
      </c>
      <c r="CD3460">
        <v>0.47</v>
      </c>
      <c r="CE3460">
        <v>0.47</v>
      </c>
      <c r="CF3460">
        <v>0.41</v>
      </c>
      <c r="CG3460">
        <v>1.88</v>
      </c>
      <c r="CH3460">
        <v>1.86</v>
      </c>
      <c r="CI3460">
        <v>0.1</v>
      </c>
      <c r="CJ3460">
        <v>10258</v>
      </c>
      <c r="CK3460">
        <v>2205</v>
      </c>
      <c r="CL3460" t="s">
        <v>5775</v>
      </c>
      <c r="CM3460">
        <v>-6.78</v>
      </c>
      <c r="CN3460">
        <v>-4.2300000000000004</v>
      </c>
      <c r="CO3460">
        <v>3.13</v>
      </c>
      <c r="CP3460">
        <v>9.69</v>
      </c>
      <c r="CQ3460">
        <v>7.28</v>
      </c>
      <c r="CR3460">
        <v>1.04</v>
      </c>
      <c r="CS3460" t="s">
        <v>814</v>
      </c>
      <c r="CT3460">
        <v>6.44</v>
      </c>
      <c r="CU3460">
        <v>6.44</v>
      </c>
      <c r="CV3460">
        <v>3.18</v>
      </c>
      <c r="CW3460">
        <v>2.1</v>
      </c>
      <c r="CX3460">
        <v>2.08</v>
      </c>
      <c r="CY3460">
        <v>71.28</v>
      </c>
      <c r="CZ3460" t="s">
        <v>3488</v>
      </c>
      <c r="DA3460">
        <v>32.9</v>
      </c>
      <c r="DB3460">
        <v>21</v>
      </c>
      <c r="DC3460">
        <v>18.940000000000001</v>
      </c>
      <c r="DD3460">
        <v>0.1</v>
      </c>
      <c r="DE3460">
        <v>521</v>
      </c>
      <c r="DF3460">
        <v>603578</v>
      </c>
      <c r="DG3460" t="s">
        <v>116</v>
      </c>
      <c r="DH3460" t="s">
        <v>116</v>
      </c>
      <c r="DI3460" t="s">
        <v>116</v>
      </c>
    </row>
    <row r="3461" spans="1:113" x14ac:dyDescent="0.4">
      <c r="A3461" t="str">
        <f>"603579"</f>
        <v>603579</v>
      </c>
      <c r="B3461" t="s">
        <v>14570</v>
      </c>
      <c r="C3461">
        <v>-0.89</v>
      </c>
      <c r="D3461">
        <v>30.15</v>
      </c>
      <c r="E3461">
        <v>-0.27</v>
      </c>
      <c r="F3461">
        <v>30.15</v>
      </c>
      <c r="G3461">
        <v>30.16</v>
      </c>
      <c r="H3461">
        <v>8653</v>
      </c>
      <c r="I3461">
        <v>27</v>
      </c>
      <c r="J3461">
        <v>0.3</v>
      </c>
      <c r="K3461">
        <v>1.68</v>
      </c>
      <c r="L3461">
        <v>30.42</v>
      </c>
      <c r="M3461">
        <v>30.72</v>
      </c>
      <c r="N3461">
        <v>30.05</v>
      </c>
      <c r="O3461">
        <v>30.42</v>
      </c>
      <c r="P3461">
        <v>15.15</v>
      </c>
      <c r="Q3461">
        <v>26289982</v>
      </c>
      <c r="R3461">
        <v>0.63</v>
      </c>
      <c r="S3461" t="s">
        <v>559</v>
      </c>
      <c r="T3461" t="s">
        <v>1653</v>
      </c>
      <c r="U3461">
        <v>2.2000000000000002</v>
      </c>
      <c r="V3461">
        <v>30.38</v>
      </c>
      <c r="W3461">
        <v>4465</v>
      </c>
      <c r="X3461">
        <v>4188</v>
      </c>
      <c r="Y3461">
        <v>1.07</v>
      </c>
      <c r="Z3461">
        <v>5</v>
      </c>
      <c r="AA3461">
        <v>46</v>
      </c>
      <c r="AB3461" t="s">
        <v>116</v>
      </c>
      <c r="AC3461">
        <v>127800</v>
      </c>
      <c r="AD3461">
        <v>0.01</v>
      </c>
      <c r="AE3461" t="s">
        <v>116</v>
      </c>
      <c r="AF3461" t="s">
        <v>116</v>
      </c>
      <c r="AG3461">
        <v>0.51</v>
      </c>
      <c r="AH3461" t="s">
        <v>9027</v>
      </c>
      <c r="AI3461" t="s">
        <v>9724</v>
      </c>
      <c r="AJ3461">
        <v>-0.81</v>
      </c>
      <c r="AK3461">
        <v>1179</v>
      </c>
      <c r="AL3461">
        <v>7</v>
      </c>
      <c r="AM3461">
        <v>1.4E-3</v>
      </c>
      <c r="AN3461">
        <v>-2</v>
      </c>
      <c r="AO3461">
        <v>-2.11</v>
      </c>
      <c r="AP3461">
        <v>8.34</v>
      </c>
      <c r="AQ3461">
        <v>16.010000000000002</v>
      </c>
      <c r="AR3461">
        <v>7.45</v>
      </c>
      <c r="AS3461">
        <v>1.68</v>
      </c>
      <c r="AT3461" t="s">
        <v>9027</v>
      </c>
      <c r="AU3461">
        <v>15.38</v>
      </c>
      <c r="AV3461">
        <v>16.940000000000001</v>
      </c>
      <c r="AW3461">
        <v>0.98</v>
      </c>
      <c r="BA3461">
        <v>0</v>
      </c>
      <c r="BB3461">
        <v>0.99</v>
      </c>
      <c r="BC3461">
        <v>-1.22</v>
      </c>
      <c r="BD3461">
        <v>-0.12</v>
      </c>
      <c r="BE3461">
        <v>-0.89</v>
      </c>
      <c r="BF3461">
        <v>-1.86</v>
      </c>
      <c r="BG3461">
        <v>0.33</v>
      </c>
      <c r="BH3461">
        <v>-0.76</v>
      </c>
      <c r="BI3461">
        <v>20191029</v>
      </c>
      <c r="BJ3461">
        <v>20170111</v>
      </c>
      <c r="BK3461">
        <v>1.4</v>
      </c>
      <c r="BL3461" t="s">
        <v>116</v>
      </c>
      <c r="BM3461" t="s">
        <v>116</v>
      </c>
      <c r="BN3461">
        <v>22.1</v>
      </c>
      <c r="BO3461">
        <v>15.63</v>
      </c>
      <c r="BP3461">
        <v>0.08</v>
      </c>
      <c r="BQ3461">
        <v>28.89</v>
      </c>
      <c r="BR3461">
        <v>15.02</v>
      </c>
      <c r="BS3461">
        <v>2.57</v>
      </c>
      <c r="BT3461">
        <v>0.68</v>
      </c>
      <c r="BU3461">
        <v>5.83</v>
      </c>
      <c r="BV3461">
        <v>1.87</v>
      </c>
      <c r="BW3461">
        <v>1.27</v>
      </c>
      <c r="BX3461">
        <v>7.32</v>
      </c>
      <c r="BY3461">
        <v>16.29</v>
      </c>
      <c r="BZ3461">
        <v>11.5</v>
      </c>
      <c r="CA3461">
        <v>2.3199999999999998</v>
      </c>
      <c r="CB3461">
        <v>0.1</v>
      </c>
      <c r="CC3461">
        <v>2.33</v>
      </c>
      <c r="CD3461">
        <v>2.0699999999999998</v>
      </c>
      <c r="CE3461">
        <v>2.09</v>
      </c>
      <c r="CF3461">
        <v>1.57</v>
      </c>
      <c r="CG3461">
        <v>7.22</v>
      </c>
      <c r="CH3461">
        <v>3.02</v>
      </c>
      <c r="CI3461">
        <v>-5.59</v>
      </c>
      <c r="CJ3461">
        <v>9895</v>
      </c>
      <c r="CK3461">
        <v>5197</v>
      </c>
      <c r="CL3461" t="s">
        <v>14571</v>
      </c>
      <c r="CM3461">
        <v>13.69</v>
      </c>
      <c r="CN3461">
        <v>-7.33</v>
      </c>
      <c r="CO3461">
        <v>2.7</v>
      </c>
      <c r="CP3461">
        <v>13.99</v>
      </c>
      <c r="CQ3461">
        <v>2.59</v>
      </c>
      <c r="CR3461">
        <v>0.99</v>
      </c>
      <c r="CS3461" t="s">
        <v>14572</v>
      </c>
      <c r="CT3461">
        <v>11.17</v>
      </c>
      <c r="CU3461">
        <v>0</v>
      </c>
      <c r="CV3461">
        <v>5.23</v>
      </c>
      <c r="CW3461">
        <v>5.16</v>
      </c>
      <c r="CX3461">
        <v>2.16</v>
      </c>
      <c r="CY3461">
        <v>70.75</v>
      </c>
      <c r="CZ3461" t="s">
        <v>14573</v>
      </c>
      <c r="DA3461">
        <v>29.42</v>
      </c>
      <c r="DB3461">
        <v>14.24</v>
      </c>
      <c r="DC3461">
        <v>12.83</v>
      </c>
      <c r="DD3461">
        <v>0.89</v>
      </c>
      <c r="DE3461">
        <v>1702</v>
      </c>
      <c r="DF3461">
        <v>603579</v>
      </c>
      <c r="DG3461" t="s">
        <v>116</v>
      </c>
      <c r="DH3461" t="s">
        <v>116</v>
      </c>
      <c r="DI3461" t="s">
        <v>116</v>
      </c>
    </row>
    <row r="3462" spans="1:113" x14ac:dyDescent="0.4">
      <c r="A3462" t="str">
        <f>"603580"</f>
        <v>603580</v>
      </c>
      <c r="B3462" t="s">
        <v>14574</v>
      </c>
      <c r="C3462">
        <v>-1.69</v>
      </c>
      <c r="D3462">
        <v>12.21</v>
      </c>
      <c r="E3462">
        <v>-0.21</v>
      </c>
      <c r="F3462">
        <v>12.21</v>
      </c>
      <c r="G3462">
        <v>12.26</v>
      </c>
      <c r="H3462">
        <v>7035</v>
      </c>
      <c r="I3462">
        <v>462</v>
      </c>
      <c r="J3462">
        <v>-0.4</v>
      </c>
      <c r="K3462">
        <v>1.67</v>
      </c>
      <c r="L3462">
        <v>12.49</v>
      </c>
      <c r="M3462">
        <v>12.5</v>
      </c>
      <c r="N3462">
        <v>12.21</v>
      </c>
      <c r="O3462">
        <v>12.42</v>
      </c>
      <c r="P3462">
        <v>44.7</v>
      </c>
      <c r="Q3462">
        <v>8704254</v>
      </c>
      <c r="R3462">
        <v>1.4</v>
      </c>
      <c r="S3462" t="s">
        <v>891</v>
      </c>
      <c r="T3462" t="s">
        <v>1653</v>
      </c>
      <c r="U3462">
        <v>2.33</v>
      </c>
      <c r="V3462">
        <v>12.37</v>
      </c>
      <c r="W3462">
        <v>3975</v>
      </c>
      <c r="X3462">
        <v>3060</v>
      </c>
      <c r="Y3462">
        <v>1.3</v>
      </c>
      <c r="Z3462">
        <v>17</v>
      </c>
      <c r="AA3462">
        <v>2</v>
      </c>
      <c r="AB3462" t="s">
        <v>116</v>
      </c>
      <c r="AC3462">
        <v>1200</v>
      </c>
      <c r="AD3462">
        <v>0</v>
      </c>
      <c r="AE3462" t="s">
        <v>116</v>
      </c>
      <c r="AF3462" t="s">
        <v>116</v>
      </c>
      <c r="AG3462">
        <v>0.42</v>
      </c>
      <c r="AH3462" t="s">
        <v>14575</v>
      </c>
      <c r="AI3462" t="s">
        <v>7024</v>
      </c>
      <c r="AJ3462">
        <v>-1.61</v>
      </c>
      <c r="AK3462">
        <v>542</v>
      </c>
      <c r="AL3462">
        <v>13</v>
      </c>
      <c r="AM3462">
        <v>3.0999999999999999E-3</v>
      </c>
      <c r="AN3462">
        <v>-1</v>
      </c>
      <c r="AO3462">
        <v>0.08</v>
      </c>
      <c r="AP3462">
        <v>5.71</v>
      </c>
      <c r="AQ3462">
        <v>-2.16</v>
      </c>
      <c r="AR3462">
        <v>8.0500000000000007</v>
      </c>
      <c r="AS3462">
        <v>1.67</v>
      </c>
      <c r="AT3462" t="s">
        <v>14575</v>
      </c>
      <c r="AU3462">
        <v>51.06</v>
      </c>
      <c r="AV3462">
        <v>44.57</v>
      </c>
      <c r="AW3462">
        <v>1.38</v>
      </c>
      <c r="BA3462">
        <v>0.56000000000000005</v>
      </c>
      <c r="BB3462">
        <v>0.64</v>
      </c>
      <c r="BC3462">
        <v>-1.69</v>
      </c>
      <c r="BD3462">
        <v>-0.38</v>
      </c>
      <c r="BE3462">
        <v>-2.2400000000000002</v>
      </c>
      <c r="BF3462">
        <v>-2.3199999999999998</v>
      </c>
      <c r="BG3462">
        <v>0</v>
      </c>
      <c r="BH3462">
        <v>-1.31</v>
      </c>
      <c r="BI3462">
        <v>20191030</v>
      </c>
      <c r="BJ3462">
        <v>20170525</v>
      </c>
      <c r="BK3462">
        <v>1.31</v>
      </c>
      <c r="BL3462" t="s">
        <v>116</v>
      </c>
      <c r="BM3462" t="s">
        <v>116</v>
      </c>
      <c r="BN3462">
        <v>4.62</v>
      </c>
      <c r="BO3462">
        <v>4.0999999999999996</v>
      </c>
      <c r="BP3462">
        <v>0.08</v>
      </c>
      <c r="BQ3462">
        <v>9.4</v>
      </c>
      <c r="BR3462">
        <v>3.5</v>
      </c>
      <c r="BS3462">
        <v>0.85</v>
      </c>
      <c r="BT3462">
        <v>0.15</v>
      </c>
      <c r="BU3462">
        <v>0.4</v>
      </c>
      <c r="BV3462">
        <v>0.67</v>
      </c>
      <c r="BW3462">
        <v>0.7</v>
      </c>
      <c r="BX3462">
        <v>0.76</v>
      </c>
      <c r="BY3462">
        <v>1.47</v>
      </c>
      <c r="BZ3462">
        <v>0.82</v>
      </c>
      <c r="CA3462">
        <v>0.32</v>
      </c>
      <c r="CB3462">
        <v>0.01</v>
      </c>
      <c r="CC3462">
        <v>0.31</v>
      </c>
      <c r="CD3462">
        <v>0.27</v>
      </c>
      <c r="CE3462">
        <v>0.27</v>
      </c>
      <c r="CF3462">
        <v>0.22</v>
      </c>
      <c r="CG3462">
        <v>1.85</v>
      </c>
      <c r="CH3462">
        <v>0.11</v>
      </c>
      <c r="CI3462">
        <v>-0.45</v>
      </c>
      <c r="CJ3462">
        <v>5870</v>
      </c>
      <c r="CK3462">
        <v>7194</v>
      </c>
      <c r="CL3462" t="s">
        <v>9259</v>
      </c>
      <c r="CM3462">
        <v>-14.53</v>
      </c>
      <c r="CN3462">
        <v>2.59</v>
      </c>
      <c r="CO3462">
        <v>3.89</v>
      </c>
      <c r="CP3462">
        <v>143.35</v>
      </c>
      <c r="CQ3462">
        <v>10.83</v>
      </c>
      <c r="CR3462">
        <v>0.7</v>
      </c>
      <c r="CS3462" t="s">
        <v>5174</v>
      </c>
      <c r="CT3462">
        <v>3.14</v>
      </c>
      <c r="CU3462">
        <v>0</v>
      </c>
      <c r="CV3462">
        <v>0.57999999999999996</v>
      </c>
      <c r="CW3462">
        <v>1.42</v>
      </c>
      <c r="CX3462">
        <v>0.09</v>
      </c>
      <c r="CY3462">
        <v>88.87</v>
      </c>
      <c r="CZ3462" t="s">
        <v>11698</v>
      </c>
      <c r="DA3462">
        <v>44.07</v>
      </c>
      <c r="DB3462">
        <v>21.44</v>
      </c>
      <c r="DC3462">
        <v>18.170000000000002</v>
      </c>
      <c r="DD3462">
        <v>7.0000000000000007E-2</v>
      </c>
      <c r="DE3462">
        <v>272</v>
      </c>
      <c r="DF3462">
        <v>603580</v>
      </c>
      <c r="DG3462" t="s">
        <v>116</v>
      </c>
      <c r="DH3462" t="s">
        <v>116</v>
      </c>
      <c r="DI3462" t="s">
        <v>116</v>
      </c>
    </row>
    <row r="3463" spans="1:113" x14ac:dyDescent="0.4">
      <c r="A3463" t="str">
        <f>"603583"</f>
        <v>603583</v>
      </c>
      <c r="B3463" t="s">
        <v>14576</v>
      </c>
      <c r="C3463">
        <v>-1.23</v>
      </c>
      <c r="D3463">
        <v>43.48</v>
      </c>
      <c r="E3463">
        <v>-0.54</v>
      </c>
      <c r="F3463">
        <v>43.48</v>
      </c>
      <c r="G3463">
        <v>43.5</v>
      </c>
      <c r="H3463">
        <v>16606</v>
      </c>
      <c r="I3463">
        <v>178</v>
      </c>
      <c r="J3463">
        <v>7.0000000000000007E-2</v>
      </c>
      <c r="K3463">
        <v>1.57</v>
      </c>
      <c r="L3463">
        <v>44.1</v>
      </c>
      <c r="M3463">
        <v>44.44</v>
      </c>
      <c r="N3463">
        <v>43.41</v>
      </c>
      <c r="O3463">
        <v>44.02</v>
      </c>
      <c r="P3463">
        <v>25.74</v>
      </c>
      <c r="Q3463">
        <v>72804736</v>
      </c>
      <c r="R3463">
        <v>1.03</v>
      </c>
      <c r="S3463" t="s">
        <v>397</v>
      </c>
      <c r="T3463" t="s">
        <v>590</v>
      </c>
      <c r="U3463">
        <v>2.34</v>
      </c>
      <c r="V3463">
        <v>43.84</v>
      </c>
      <c r="W3463">
        <v>8582</v>
      </c>
      <c r="X3463">
        <v>8025</v>
      </c>
      <c r="Y3463">
        <v>1.07</v>
      </c>
      <c r="Z3463">
        <v>10</v>
      </c>
      <c r="AA3463">
        <v>8</v>
      </c>
      <c r="AB3463" t="s">
        <v>116</v>
      </c>
      <c r="AC3463">
        <v>229300</v>
      </c>
      <c r="AD3463">
        <v>0.01</v>
      </c>
      <c r="AE3463" t="s">
        <v>116</v>
      </c>
      <c r="AF3463" t="s">
        <v>116</v>
      </c>
      <c r="AG3463">
        <v>1.06</v>
      </c>
      <c r="AH3463" t="s">
        <v>2113</v>
      </c>
      <c r="AI3463" t="s">
        <v>14577</v>
      </c>
      <c r="AJ3463">
        <v>-1.1499999999999999</v>
      </c>
      <c r="AK3463">
        <v>1707</v>
      </c>
      <c r="AL3463">
        <v>10</v>
      </c>
      <c r="AM3463">
        <v>8.9999999999999998E-4</v>
      </c>
      <c r="AN3463">
        <v>-2</v>
      </c>
      <c r="AO3463">
        <v>-1.81</v>
      </c>
      <c r="AP3463">
        <v>8.65</v>
      </c>
      <c r="AQ3463">
        <v>33.74</v>
      </c>
      <c r="AR3463">
        <v>64.7</v>
      </c>
      <c r="AS3463">
        <v>2.37</v>
      </c>
      <c r="AT3463" t="s">
        <v>6363</v>
      </c>
      <c r="AU3463">
        <v>24.19</v>
      </c>
      <c r="AV3463">
        <v>30.39</v>
      </c>
      <c r="AW3463">
        <v>0.91</v>
      </c>
      <c r="BA3463">
        <v>0.18</v>
      </c>
      <c r="BB3463">
        <v>0.95</v>
      </c>
      <c r="BC3463">
        <v>-1.39</v>
      </c>
      <c r="BD3463">
        <v>-0.4</v>
      </c>
      <c r="BE3463">
        <v>-1.41</v>
      </c>
      <c r="BF3463">
        <v>-2.16</v>
      </c>
      <c r="BG3463">
        <v>0.16</v>
      </c>
      <c r="BH3463">
        <v>-0.82</v>
      </c>
      <c r="BI3463">
        <v>20191031</v>
      </c>
      <c r="BJ3463">
        <v>20180921</v>
      </c>
      <c r="BK3463">
        <v>1.78</v>
      </c>
      <c r="BL3463" t="s">
        <v>116</v>
      </c>
      <c r="BM3463" t="s">
        <v>116</v>
      </c>
      <c r="BN3463">
        <v>20.6</v>
      </c>
      <c r="BO3463">
        <v>17.46</v>
      </c>
      <c r="BP3463">
        <v>0</v>
      </c>
      <c r="BQ3463">
        <v>15.25</v>
      </c>
      <c r="BR3463">
        <v>15.6</v>
      </c>
      <c r="BS3463">
        <v>2.91</v>
      </c>
      <c r="BT3463">
        <v>1.06</v>
      </c>
      <c r="BU3463">
        <v>3.04</v>
      </c>
      <c r="BV3463">
        <v>2.2400000000000002</v>
      </c>
      <c r="BW3463">
        <v>1.36</v>
      </c>
      <c r="BX3463">
        <v>9.2799999999999994</v>
      </c>
      <c r="BY3463">
        <v>10.119999999999999</v>
      </c>
      <c r="BZ3463">
        <v>6.21</v>
      </c>
      <c r="CA3463">
        <v>2.67</v>
      </c>
      <c r="CB3463">
        <v>0.15</v>
      </c>
      <c r="CC3463">
        <v>2.75</v>
      </c>
      <c r="CD3463">
        <v>2.25</v>
      </c>
      <c r="CE3463">
        <v>2.25</v>
      </c>
      <c r="CF3463">
        <v>1.9</v>
      </c>
      <c r="CG3463">
        <v>5.58</v>
      </c>
      <c r="CH3463">
        <v>2.2000000000000002</v>
      </c>
      <c r="CI3463">
        <v>4.47</v>
      </c>
      <c r="CJ3463">
        <v>14461</v>
      </c>
      <c r="CK3463">
        <v>4844</v>
      </c>
      <c r="CL3463" t="s">
        <v>14578</v>
      </c>
      <c r="CM3463">
        <v>40.82</v>
      </c>
      <c r="CN3463">
        <v>37.47</v>
      </c>
      <c r="CO3463">
        <v>4.42</v>
      </c>
      <c r="CP3463">
        <v>35.15</v>
      </c>
      <c r="CQ3463">
        <v>7.62</v>
      </c>
      <c r="CR3463">
        <v>1.59</v>
      </c>
      <c r="CS3463" t="s">
        <v>14579</v>
      </c>
      <c r="CT3463">
        <v>9.84</v>
      </c>
      <c r="CU3463">
        <v>0</v>
      </c>
      <c r="CV3463">
        <v>5.23</v>
      </c>
      <c r="CW3463">
        <v>3.15</v>
      </c>
      <c r="CX3463">
        <v>1.24</v>
      </c>
      <c r="CY3463">
        <v>84.75</v>
      </c>
      <c r="CZ3463" t="s">
        <v>14580</v>
      </c>
      <c r="DA3463">
        <v>38.630000000000003</v>
      </c>
      <c r="DB3463">
        <v>26.36</v>
      </c>
      <c r="DC3463">
        <v>22.21</v>
      </c>
      <c r="DD3463">
        <v>0.53</v>
      </c>
      <c r="DE3463">
        <v>1365</v>
      </c>
      <c r="DF3463">
        <v>603583</v>
      </c>
      <c r="DG3463" t="s">
        <v>116</v>
      </c>
      <c r="DH3463" t="s">
        <v>116</v>
      </c>
      <c r="DI3463" t="s">
        <v>116</v>
      </c>
    </row>
    <row r="3464" spans="1:113" x14ac:dyDescent="0.4">
      <c r="A3464" t="str">
        <f>"603585"</f>
        <v>603585</v>
      </c>
      <c r="B3464" t="s">
        <v>14581</v>
      </c>
      <c r="C3464">
        <v>0.05</v>
      </c>
      <c r="D3464">
        <v>20.48</v>
      </c>
      <c r="E3464">
        <v>0.01</v>
      </c>
      <c r="F3464">
        <v>20.48</v>
      </c>
      <c r="G3464">
        <v>20.49</v>
      </c>
      <c r="H3464">
        <v>10871</v>
      </c>
      <c r="I3464">
        <v>62</v>
      </c>
      <c r="J3464">
        <v>-0.04</v>
      </c>
      <c r="K3464">
        <v>0.6</v>
      </c>
      <c r="L3464">
        <v>20.46</v>
      </c>
      <c r="M3464">
        <v>20.79</v>
      </c>
      <c r="N3464">
        <v>20.45</v>
      </c>
      <c r="O3464">
        <v>20.47</v>
      </c>
      <c r="P3464">
        <v>11.37</v>
      </c>
      <c r="Q3464">
        <v>22407248</v>
      </c>
      <c r="R3464">
        <v>1.62</v>
      </c>
      <c r="S3464" t="s">
        <v>891</v>
      </c>
      <c r="T3464" t="s">
        <v>323</v>
      </c>
      <c r="U3464">
        <v>1.66</v>
      </c>
      <c r="V3464">
        <v>20.61</v>
      </c>
      <c r="W3464">
        <v>5773</v>
      </c>
      <c r="X3464">
        <v>5098</v>
      </c>
      <c r="Y3464">
        <v>1.1299999999999999</v>
      </c>
      <c r="Z3464">
        <v>1</v>
      </c>
      <c r="AA3464">
        <v>30</v>
      </c>
      <c r="AB3464" t="s">
        <v>116</v>
      </c>
      <c r="AC3464">
        <v>40900</v>
      </c>
      <c r="AD3464">
        <v>0</v>
      </c>
      <c r="AE3464" t="s">
        <v>116</v>
      </c>
      <c r="AF3464" t="s">
        <v>116</v>
      </c>
      <c r="AG3464">
        <v>1.8</v>
      </c>
      <c r="AH3464" t="s">
        <v>1995</v>
      </c>
      <c r="AI3464" t="s">
        <v>1995</v>
      </c>
      <c r="AJ3464">
        <v>0.13</v>
      </c>
      <c r="AK3464">
        <v>1202</v>
      </c>
      <c r="AL3464">
        <v>9</v>
      </c>
      <c r="AM3464">
        <v>5.0000000000000001E-4</v>
      </c>
      <c r="AN3464">
        <v>1</v>
      </c>
      <c r="AO3464">
        <v>-0.1</v>
      </c>
      <c r="AP3464">
        <v>4.54</v>
      </c>
      <c r="AQ3464">
        <v>-7.2</v>
      </c>
      <c r="AR3464">
        <v>2.5499999999999998</v>
      </c>
      <c r="AS3464">
        <v>2.0099999999999998</v>
      </c>
      <c r="AT3464" t="s">
        <v>5871</v>
      </c>
      <c r="AU3464">
        <v>11.25</v>
      </c>
      <c r="AV3464">
        <v>11.81</v>
      </c>
      <c r="AW3464">
        <v>1.05</v>
      </c>
      <c r="BA3464">
        <v>-0.05</v>
      </c>
      <c r="BB3464">
        <v>1.56</v>
      </c>
      <c r="BC3464">
        <v>-0.1</v>
      </c>
      <c r="BD3464">
        <v>0.7</v>
      </c>
      <c r="BE3464">
        <v>0.1</v>
      </c>
      <c r="BF3464">
        <v>-1.49</v>
      </c>
      <c r="BG3464">
        <v>0.15</v>
      </c>
      <c r="BH3464">
        <v>-0.65</v>
      </c>
      <c r="BI3464">
        <v>20191213</v>
      </c>
      <c r="BJ3464">
        <v>20161214</v>
      </c>
      <c r="BK3464">
        <v>1.8</v>
      </c>
      <c r="BL3464" t="s">
        <v>116</v>
      </c>
      <c r="BM3464" t="s">
        <v>116</v>
      </c>
      <c r="BN3464">
        <v>27.27</v>
      </c>
      <c r="BO3464">
        <v>18.989999999999998</v>
      </c>
      <c r="BP3464">
        <v>5.63</v>
      </c>
      <c r="BQ3464">
        <v>9.6999999999999993</v>
      </c>
      <c r="BR3464">
        <v>18.87</v>
      </c>
      <c r="BS3464">
        <v>3.64</v>
      </c>
      <c r="BT3464">
        <v>0.71</v>
      </c>
      <c r="BU3464">
        <v>2.5499999999999998</v>
      </c>
      <c r="BV3464">
        <v>2.4500000000000002</v>
      </c>
      <c r="BW3464">
        <v>2.21</v>
      </c>
      <c r="BX3464">
        <v>6.9</v>
      </c>
      <c r="BY3464">
        <v>13.83</v>
      </c>
      <c r="BZ3464">
        <v>8.34</v>
      </c>
      <c r="CA3464">
        <v>4.18</v>
      </c>
      <c r="CB3464">
        <v>0.05</v>
      </c>
      <c r="CC3464">
        <v>4.18</v>
      </c>
      <c r="CD3464">
        <v>3.29</v>
      </c>
      <c r="CE3464">
        <v>2.4300000000000002</v>
      </c>
      <c r="CF3464">
        <v>2.4</v>
      </c>
      <c r="CG3464">
        <v>9.2100000000000009</v>
      </c>
      <c r="CH3464">
        <v>4.6100000000000003</v>
      </c>
      <c r="CI3464">
        <v>-0.41</v>
      </c>
      <c r="CJ3464">
        <v>11884</v>
      </c>
      <c r="CK3464">
        <v>4544</v>
      </c>
      <c r="CL3464" t="s">
        <v>8425</v>
      </c>
      <c r="CM3464">
        <v>6.84</v>
      </c>
      <c r="CN3464">
        <v>14.94</v>
      </c>
      <c r="CO3464">
        <v>1.94</v>
      </c>
      <c r="CP3464">
        <v>7.99</v>
      </c>
      <c r="CQ3464">
        <v>2.67</v>
      </c>
      <c r="CR3464">
        <v>2.93</v>
      </c>
      <c r="CS3464" t="s">
        <v>14582</v>
      </c>
      <c r="CT3464">
        <v>10.55</v>
      </c>
      <c r="CU3464">
        <v>0</v>
      </c>
      <c r="CV3464">
        <v>3.83</v>
      </c>
      <c r="CW3464">
        <v>5.12</v>
      </c>
      <c r="CX3464">
        <v>2.56</v>
      </c>
      <c r="CY3464">
        <v>69.650000000000006</v>
      </c>
      <c r="CZ3464" t="s">
        <v>5845</v>
      </c>
      <c r="DA3464">
        <v>39.72</v>
      </c>
      <c r="DB3464">
        <v>30.22</v>
      </c>
      <c r="DC3464">
        <v>17.59</v>
      </c>
      <c r="DD3464">
        <v>0.7</v>
      </c>
      <c r="DE3464">
        <v>1003</v>
      </c>
      <c r="DF3464">
        <v>603585</v>
      </c>
      <c r="DG3464" t="s">
        <v>116</v>
      </c>
      <c r="DH3464" t="s">
        <v>116</v>
      </c>
      <c r="DI3464" t="s">
        <v>116</v>
      </c>
    </row>
    <row r="3465" spans="1:113" x14ac:dyDescent="0.4">
      <c r="A3465" t="str">
        <f>"603586"</f>
        <v>603586</v>
      </c>
      <c r="B3465" t="s">
        <v>14583</v>
      </c>
      <c r="C3465">
        <v>-1.26</v>
      </c>
      <c r="D3465">
        <v>17.98</v>
      </c>
      <c r="E3465">
        <v>-0.23</v>
      </c>
      <c r="F3465">
        <v>17.97</v>
      </c>
      <c r="G3465">
        <v>17.98</v>
      </c>
      <c r="H3465">
        <v>24481</v>
      </c>
      <c r="I3465">
        <v>486</v>
      </c>
      <c r="J3465">
        <v>0</v>
      </c>
      <c r="K3465">
        <v>2.59</v>
      </c>
      <c r="L3465">
        <v>18.39</v>
      </c>
      <c r="M3465">
        <v>18.41</v>
      </c>
      <c r="N3465">
        <v>17.89</v>
      </c>
      <c r="O3465">
        <v>18.21</v>
      </c>
      <c r="P3465">
        <v>18.32</v>
      </c>
      <c r="Q3465">
        <v>44537628</v>
      </c>
      <c r="R3465">
        <v>0.51</v>
      </c>
      <c r="S3465" t="s">
        <v>293</v>
      </c>
      <c r="T3465" t="s">
        <v>645</v>
      </c>
      <c r="U3465">
        <v>2.86</v>
      </c>
      <c r="V3465">
        <v>18.190000000000001</v>
      </c>
      <c r="W3465">
        <v>14373</v>
      </c>
      <c r="X3465">
        <v>10108</v>
      </c>
      <c r="Y3465">
        <v>1.42</v>
      </c>
      <c r="Z3465">
        <v>141</v>
      </c>
      <c r="AA3465">
        <v>43</v>
      </c>
      <c r="AB3465" t="s">
        <v>116</v>
      </c>
      <c r="AC3465">
        <v>605000</v>
      </c>
      <c r="AD3465">
        <v>0.04</v>
      </c>
      <c r="AE3465" t="s">
        <v>116</v>
      </c>
      <c r="AF3465" t="s">
        <v>116</v>
      </c>
      <c r="AG3465">
        <v>0.94</v>
      </c>
      <c r="AH3465" t="s">
        <v>2382</v>
      </c>
      <c r="AI3465" t="s">
        <v>14584</v>
      </c>
      <c r="AJ3465">
        <v>-1.19</v>
      </c>
      <c r="AK3465">
        <v>1179</v>
      </c>
      <c r="AL3465">
        <v>21</v>
      </c>
      <c r="AM3465">
        <v>2.2000000000000001E-3</v>
      </c>
      <c r="AN3465">
        <v>-3</v>
      </c>
      <c r="AO3465">
        <v>-4.76</v>
      </c>
      <c r="AP3465">
        <v>11.06</v>
      </c>
      <c r="AQ3465">
        <v>-0.77</v>
      </c>
      <c r="AR3465">
        <v>44.3</v>
      </c>
      <c r="AS3465">
        <v>2.86</v>
      </c>
      <c r="AT3465" t="s">
        <v>14585</v>
      </c>
      <c r="AU3465">
        <v>22.91</v>
      </c>
      <c r="AV3465">
        <v>41.46</v>
      </c>
      <c r="AW3465">
        <v>0.89</v>
      </c>
      <c r="BA3465">
        <v>0.99</v>
      </c>
      <c r="BB3465">
        <v>1.1000000000000001</v>
      </c>
      <c r="BC3465">
        <v>-1.76</v>
      </c>
      <c r="BD3465">
        <v>-0.09</v>
      </c>
      <c r="BE3465">
        <v>-2.23</v>
      </c>
      <c r="BF3465">
        <v>-2.34</v>
      </c>
      <c r="BG3465">
        <v>0.5</v>
      </c>
      <c r="BH3465">
        <v>-1.17</v>
      </c>
      <c r="BI3465">
        <v>20191029</v>
      </c>
      <c r="BJ3465">
        <v>20170406</v>
      </c>
      <c r="BK3465">
        <v>2.04</v>
      </c>
      <c r="BL3465" t="s">
        <v>116</v>
      </c>
      <c r="BM3465" t="s">
        <v>116</v>
      </c>
      <c r="BN3465">
        <v>27.36</v>
      </c>
      <c r="BO3465">
        <v>21.31</v>
      </c>
      <c r="BP3465">
        <v>0.02</v>
      </c>
      <c r="BQ3465">
        <v>22</v>
      </c>
      <c r="BR3465">
        <v>16.55</v>
      </c>
      <c r="BS3465">
        <v>6.6</v>
      </c>
      <c r="BT3465">
        <v>1.35</v>
      </c>
      <c r="BU3465">
        <v>4.87</v>
      </c>
      <c r="BV3465">
        <v>3.01</v>
      </c>
      <c r="BW3465">
        <v>3.36</v>
      </c>
      <c r="BX3465">
        <v>12.11</v>
      </c>
      <c r="BY3465">
        <v>11.87</v>
      </c>
      <c r="BZ3465">
        <v>8.49</v>
      </c>
      <c r="CA3465">
        <v>1.81</v>
      </c>
      <c r="CB3465">
        <v>0.19</v>
      </c>
      <c r="CC3465">
        <v>1.86</v>
      </c>
      <c r="CD3465">
        <v>1.5</v>
      </c>
      <c r="CE3465">
        <v>1.5</v>
      </c>
      <c r="CF3465">
        <v>1.28</v>
      </c>
      <c r="CG3465">
        <v>7.09</v>
      </c>
      <c r="CH3465">
        <v>1.74</v>
      </c>
      <c r="CI3465">
        <v>-6.18</v>
      </c>
      <c r="CJ3465">
        <v>19799</v>
      </c>
      <c r="CK3465">
        <v>4317</v>
      </c>
      <c r="CL3465" t="s">
        <v>14586</v>
      </c>
      <c r="CM3465">
        <v>91.15</v>
      </c>
      <c r="CN3465">
        <v>14.6</v>
      </c>
      <c r="CO3465">
        <v>1.72</v>
      </c>
      <c r="CP3465">
        <v>21.04</v>
      </c>
      <c r="CQ3465">
        <v>3.09</v>
      </c>
      <c r="CR3465">
        <v>1.1100000000000001</v>
      </c>
      <c r="CS3465" t="s">
        <v>8121</v>
      </c>
      <c r="CT3465">
        <v>10.46</v>
      </c>
      <c r="CU3465">
        <v>0</v>
      </c>
      <c r="CV3465">
        <v>5.94</v>
      </c>
      <c r="CW3465">
        <v>3.48</v>
      </c>
      <c r="CX3465">
        <v>0.85</v>
      </c>
      <c r="CY3465">
        <v>77.91</v>
      </c>
      <c r="CZ3465" t="s">
        <v>14587</v>
      </c>
      <c r="DA3465">
        <v>28.49</v>
      </c>
      <c r="DB3465">
        <v>15.26</v>
      </c>
      <c r="DC3465">
        <v>12.63</v>
      </c>
      <c r="DD3465">
        <v>0.41</v>
      </c>
      <c r="DE3465">
        <v>3180</v>
      </c>
      <c r="DF3465">
        <v>603586</v>
      </c>
      <c r="DG3465" t="s">
        <v>116</v>
      </c>
      <c r="DH3465" t="s">
        <v>116</v>
      </c>
      <c r="DI3465" t="s">
        <v>116</v>
      </c>
    </row>
    <row r="3466" spans="1:113" x14ac:dyDescent="0.4">
      <c r="A3466" t="str">
        <f>"603587"</f>
        <v>603587</v>
      </c>
      <c r="B3466" t="s">
        <v>14588</v>
      </c>
      <c r="C3466">
        <v>-1.9</v>
      </c>
      <c r="D3466">
        <v>24.8</v>
      </c>
      <c r="E3466">
        <v>-0.48</v>
      </c>
      <c r="F3466">
        <v>24.8</v>
      </c>
      <c r="G3466">
        <v>24.81</v>
      </c>
      <c r="H3466">
        <v>21524</v>
      </c>
      <c r="I3466">
        <v>549</v>
      </c>
      <c r="J3466">
        <v>-7.0000000000000007E-2</v>
      </c>
      <c r="K3466">
        <v>2.27</v>
      </c>
      <c r="L3466">
        <v>25.1</v>
      </c>
      <c r="M3466">
        <v>25.5</v>
      </c>
      <c r="N3466">
        <v>24.8</v>
      </c>
      <c r="O3466">
        <v>25.28</v>
      </c>
      <c r="P3466">
        <v>15.55</v>
      </c>
      <c r="Q3466">
        <v>54065264</v>
      </c>
      <c r="R3466">
        <v>0.66</v>
      </c>
      <c r="S3466" t="s">
        <v>3070</v>
      </c>
      <c r="T3466" t="s">
        <v>1653</v>
      </c>
      <c r="U3466">
        <v>2.77</v>
      </c>
      <c r="V3466">
        <v>25.12</v>
      </c>
      <c r="W3466">
        <v>14411</v>
      </c>
      <c r="X3466">
        <v>7113</v>
      </c>
      <c r="Y3466">
        <v>2.0299999999999998</v>
      </c>
      <c r="Z3466">
        <v>70</v>
      </c>
      <c r="AA3466">
        <v>61</v>
      </c>
      <c r="AB3466" t="s">
        <v>116</v>
      </c>
      <c r="AC3466">
        <v>253500</v>
      </c>
      <c r="AD3466">
        <v>0.02</v>
      </c>
      <c r="AE3466" t="s">
        <v>116</v>
      </c>
      <c r="AF3466" t="s">
        <v>116</v>
      </c>
      <c r="AG3466">
        <v>0.95</v>
      </c>
      <c r="AH3466" t="s">
        <v>4383</v>
      </c>
      <c r="AI3466" t="s">
        <v>14589</v>
      </c>
      <c r="AJ3466">
        <v>-1.82</v>
      </c>
      <c r="AK3466">
        <v>1752</v>
      </c>
      <c r="AL3466">
        <v>12</v>
      </c>
      <c r="AM3466">
        <v>1.2999999999999999E-3</v>
      </c>
      <c r="AN3466">
        <v>-1</v>
      </c>
      <c r="AO3466">
        <v>-1.59</v>
      </c>
      <c r="AP3466">
        <v>8.49</v>
      </c>
      <c r="AQ3466">
        <v>9.83</v>
      </c>
      <c r="AR3466">
        <v>18.149999999999999</v>
      </c>
      <c r="AS3466">
        <v>3.31</v>
      </c>
      <c r="AT3466" t="s">
        <v>6398</v>
      </c>
      <c r="AU3466">
        <v>16.46</v>
      </c>
      <c r="AV3466">
        <v>17.32</v>
      </c>
      <c r="AW3466">
        <v>0.41</v>
      </c>
      <c r="BA3466">
        <v>-0.71</v>
      </c>
      <c r="BB3466">
        <v>0.87</v>
      </c>
      <c r="BC3466">
        <v>-1.9</v>
      </c>
      <c r="BD3466">
        <v>-0.64</v>
      </c>
      <c r="BE3466">
        <v>-1.2</v>
      </c>
      <c r="BF3466">
        <v>-2.75</v>
      </c>
      <c r="BG3466">
        <v>0</v>
      </c>
      <c r="BH3466">
        <v>-1.26</v>
      </c>
      <c r="BI3466">
        <v>20191030</v>
      </c>
      <c r="BJ3466">
        <v>20180622</v>
      </c>
      <c r="BK3466">
        <v>4.01</v>
      </c>
      <c r="BL3466" t="s">
        <v>116</v>
      </c>
      <c r="BM3466" t="s">
        <v>116</v>
      </c>
      <c r="BN3466">
        <v>36.909999999999997</v>
      </c>
      <c r="BO3466">
        <v>31.64</v>
      </c>
      <c r="BP3466">
        <v>0.02</v>
      </c>
      <c r="BQ3466">
        <v>14.24</v>
      </c>
      <c r="BR3466">
        <v>30.03</v>
      </c>
      <c r="BS3466">
        <v>3.71</v>
      </c>
      <c r="BT3466">
        <v>0.34</v>
      </c>
      <c r="BU3466">
        <v>5.05</v>
      </c>
      <c r="BV3466">
        <v>3.06</v>
      </c>
      <c r="BW3466">
        <v>0.51</v>
      </c>
      <c r="BX3466">
        <v>15.89</v>
      </c>
      <c r="BY3466">
        <v>17.05</v>
      </c>
      <c r="BZ3466">
        <v>4.18</v>
      </c>
      <c r="CA3466">
        <v>5.95</v>
      </c>
      <c r="CB3466">
        <v>0.15</v>
      </c>
      <c r="CC3466">
        <v>6.42</v>
      </c>
      <c r="CD3466">
        <v>4.8</v>
      </c>
      <c r="CE3466">
        <v>4.8</v>
      </c>
      <c r="CF3466">
        <v>4.33</v>
      </c>
      <c r="CG3466">
        <v>9.68</v>
      </c>
      <c r="CH3466">
        <v>5.33</v>
      </c>
      <c r="CI3466">
        <v>-7.1</v>
      </c>
      <c r="CJ3466">
        <v>21053</v>
      </c>
      <c r="CK3466">
        <v>3088</v>
      </c>
      <c r="CL3466" t="s">
        <v>612</v>
      </c>
      <c r="CM3466">
        <v>6.65</v>
      </c>
      <c r="CN3466">
        <v>15.9</v>
      </c>
      <c r="CO3466">
        <v>3.14</v>
      </c>
      <c r="CP3466">
        <v>18.66</v>
      </c>
      <c r="CQ3466">
        <v>5.83</v>
      </c>
      <c r="CR3466">
        <v>4.03</v>
      </c>
      <c r="CS3466" t="s">
        <v>13572</v>
      </c>
      <c r="CT3466">
        <v>7.89</v>
      </c>
      <c r="CU3466">
        <v>0</v>
      </c>
      <c r="CV3466">
        <v>3.96</v>
      </c>
      <c r="CW3466">
        <v>2.41</v>
      </c>
      <c r="CX3466">
        <v>1.33</v>
      </c>
      <c r="CY3466">
        <v>85.72</v>
      </c>
      <c r="CZ3466" t="s">
        <v>14590</v>
      </c>
      <c r="DA3466">
        <v>75.47</v>
      </c>
      <c r="DB3466">
        <v>34.92</v>
      </c>
      <c r="DC3466">
        <v>28.14</v>
      </c>
      <c r="DD3466">
        <v>0.49</v>
      </c>
      <c r="DE3466">
        <v>2590</v>
      </c>
      <c r="DF3466">
        <v>603587</v>
      </c>
      <c r="DG3466" t="s">
        <v>116</v>
      </c>
      <c r="DH3466" t="s">
        <v>116</v>
      </c>
      <c r="DI3466" t="s">
        <v>116</v>
      </c>
    </row>
    <row r="3467" spans="1:113" x14ac:dyDescent="0.4">
      <c r="A3467" t="str">
        <f>"603588"</f>
        <v>603588</v>
      </c>
      <c r="B3467" t="s">
        <v>14591</v>
      </c>
      <c r="C3467">
        <v>-0.64</v>
      </c>
      <c r="D3467">
        <v>9.34</v>
      </c>
      <c r="E3467">
        <v>-0.06</v>
      </c>
      <c r="F3467">
        <v>9.34</v>
      </c>
      <c r="G3467">
        <v>9.35</v>
      </c>
      <c r="H3467">
        <v>39967</v>
      </c>
      <c r="I3467">
        <v>69</v>
      </c>
      <c r="J3467">
        <v>0</v>
      </c>
      <c r="K3467">
        <v>0.6</v>
      </c>
      <c r="L3467">
        <v>9.42</v>
      </c>
      <c r="M3467">
        <v>9.42</v>
      </c>
      <c r="N3467">
        <v>9.32</v>
      </c>
      <c r="O3467">
        <v>9.4</v>
      </c>
      <c r="P3467">
        <v>15.04</v>
      </c>
      <c r="Q3467">
        <v>37422332</v>
      </c>
      <c r="R3467">
        <v>0.89</v>
      </c>
      <c r="S3467" t="s">
        <v>140</v>
      </c>
      <c r="T3467" t="s">
        <v>165</v>
      </c>
      <c r="U3467">
        <v>1.06</v>
      </c>
      <c r="V3467">
        <v>9.36</v>
      </c>
      <c r="W3467">
        <v>24621</v>
      </c>
      <c r="X3467">
        <v>15346</v>
      </c>
      <c r="Y3467">
        <v>1.6</v>
      </c>
      <c r="Z3467">
        <v>716</v>
      </c>
      <c r="AA3467">
        <v>108</v>
      </c>
      <c r="AB3467" t="s">
        <v>116</v>
      </c>
      <c r="AC3467">
        <v>119600</v>
      </c>
      <c r="AD3467">
        <v>0</v>
      </c>
      <c r="AE3467" t="s">
        <v>116</v>
      </c>
      <c r="AF3467" t="s">
        <v>116</v>
      </c>
      <c r="AG3467">
        <v>6.68</v>
      </c>
      <c r="AH3467" t="s">
        <v>14592</v>
      </c>
      <c r="AI3467" t="s">
        <v>14593</v>
      </c>
      <c r="AJ3467">
        <v>-0.56000000000000005</v>
      </c>
      <c r="AK3467">
        <v>1206</v>
      </c>
      <c r="AL3467">
        <v>33</v>
      </c>
      <c r="AM3467">
        <v>5.0000000000000001E-4</v>
      </c>
      <c r="AN3467">
        <v>-1</v>
      </c>
      <c r="AO3467">
        <v>-0.22</v>
      </c>
      <c r="AP3467">
        <v>3.09</v>
      </c>
      <c r="AQ3467">
        <v>-3.11</v>
      </c>
      <c r="AR3467">
        <v>19.739999999999998</v>
      </c>
      <c r="AS3467">
        <v>0.86</v>
      </c>
      <c r="AT3467" t="s">
        <v>14594</v>
      </c>
      <c r="AU3467">
        <v>15.85</v>
      </c>
      <c r="AV3467">
        <v>19.39</v>
      </c>
      <c r="AW3467">
        <v>0.83</v>
      </c>
      <c r="BA3467">
        <v>0.21</v>
      </c>
      <c r="BB3467">
        <v>0.21</v>
      </c>
      <c r="BC3467">
        <v>-0.85</v>
      </c>
      <c r="BD3467">
        <v>-0.39</v>
      </c>
      <c r="BE3467">
        <v>-0.85</v>
      </c>
      <c r="BF3467">
        <v>-0.85</v>
      </c>
      <c r="BG3467">
        <v>0.21</v>
      </c>
      <c r="BH3467">
        <v>-0.25</v>
      </c>
      <c r="BI3467">
        <v>20191105</v>
      </c>
      <c r="BJ3467">
        <v>20141229</v>
      </c>
      <c r="BK3467">
        <v>6.74</v>
      </c>
      <c r="BL3467" t="s">
        <v>116</v>
      </c>
      <c r="BM3467" t="s">
        <v>116</v>
      </c>
      <c r="BN3467">
        <v>111.02</v>
      </c>
      <c r="BO3467">
        <v>30.83</v>
      </c>
      <c r="BP3467">
        <v>5.09</v>
      </c>
      <c r="BQ3467">
        <v>67.650000000000006</v>
      </c>
      <c r="BR3467">
        <v>51.6</v>
      </c>
      <c r="BS3467">
        <v>6.98</v>
      </c>
      <c r="BT3467">
        <v>35.770000000000003</v>
      </c>
      <c r="BU3467">
        <v>38.07</v>
      </c>
      <c r="BV3467">
        <v>24.78</v>
      </c>
      <c r="BW3467">
        <v>2.37</v>
      </c>
      <c r="BX3467">
        <v>7</v>
      </c>
      <c r="BY3467">
        <v>31.71</v>
      </c>
      <c r="BZ3467">
        <v>24.36</v>
      </c>
      <c r="CA3467">
        <v>4.13</v>
      </c>
      <c r="CB3467">
        <v>0.48</v>
      </c>
      <c r="CC3467">
        <v>4.1100000000000003</v>
      </c>
      <c r="CD3467">
        <v>3.57</v>
      </c>
      <c r="CE3467">
        <v>3.14</v>
      </c>
      <c r="CF3467">
        <v>3.03</v>
      </c>
      <c r="CG3467">
        <v>15.06</v>
      </c>
      <c r="CH3467">
        <v>3.53</v>
      </c>
      <c r="CI3467">
        <v>4.5599999999999996</v>
      </c>
      <c r="CJ3467">
        <v>28700</v>
      </c>
      <c r="CK3467">
        <v>16228</v>
      </c>
      <c r="CL3467" t="s">
        <v>14595</v>
      </c>
      <c r="CM3467">
        <v>30.06</v>
      </c>
      <c r="CN3467">
        <v>41.87</v>
      </c>
      <c r="CO3467">
        <v>2.15</v>
      </c>
      <c r="CP3467">
        <v>17.82</v>
      </c>
      <c r="CQ3467">
        <v>1.99</v>
      </c>
      <c r="CR3467">
        <v>0.53</v>
      </c>
      <c r="CS3467" t="s">
        <v>7005</v>
      </c>
      <c r="CT3467">
        <v>4.3499999999999996</v>
      </c>
      <c r="CU3467">
        <v>4.3499999999999996</v>
      </c>
      <c r="CV3467">
        <v>1.04</v>
      </c>
      <c r="CW3467">
        <v>2.23</v>
      </c>
      <c r="CX3467">
        <v>0.52</v>
      </c>
      <c r="CY3467">
        <v>27.77</v>
      </c>
      <c r="CZ3467" t="s">
        <v>11943</v>
      </c>
      <c r="DA3467">
        <v>23.18</v>
      </c>
      <c r="DB3467">
        <v>13.01</v>
      </c>
      <c r="DC3467">
        <v>9.9</v>
      </c>
      <c r="DD3467">
        <v>1</v>
      </c>
      <c r="DE3467">
        <v>2446</v>
      </c>
      <c r="DF3467">
        <v>603588</v>
      </c>
      <c r="DG3467" t="s">
        <v>116</v>
      </c>
      <c r="DH3467" t="s">
        <v>116</v>
      </c>
      <c r="DI3467" t="s">
        <v>116</v>
      </c>
    </row>
    <row r="3468" spans="1:113" x14ac:dyDescent="0.4">
      <c r="A3468" t="str">
        <f>"603589"</f>
        <v>603589</v>
      </c>
      <c r="B3468" t="s">
        <v>14596</v>
      </c>
      <c r="C3468">
        <v>2.68</v>
      </c>
      <c r="D3468">
        <v>52.91</v>
      </c>
      <c r="E3468">
        <v>1.38</v>
      </c>
      <c r="F3468">
        <v>52.91</v>
      </c>
      <c r="G3468">
        <v>52.92</v>
      </c>
      <c r="H3468">
        <v>38966</v>
      </c>
      <c r="I3468">
        <v>262</v>
      </c>
      <c r="J3468">
        <v>-0.01</v>
      </c>
      <c r="K3468">
        <v>0.65</v>
      </c>
      <c r="L3468">
        <v>51.68</v>
      </c>
      <c r="M3468">
        <v>53.12</v>
      </c>
      <c r="N3468">
        <v>51.6</v>
      </c>
      <c r="O3468">
        <v>51.53</v>
      </c>
      <c r="P3468">
        <v>18.38</v>
      </c>
      <c r="Q3468">
        <v>205284272</v>
      </c>
      <c r="R3468">
        <v>1.75</v>
      </c>
      <c r="S3468" t="s">
        <v>1212</v>
      </c>
      <c r="T3468" t="s">
        <v>575</v>
      </c>
      <c r="U3468">
        <v>2.95</v>
      </c>
      <c r="V3468">
        <v>52.68</v>
      </c>
      <c r="W3468">
        <v>16362</v>
      </c>
      <c r="X3468">
        <v>22604</v>
      </c>
      <c r="Y3468">
        <v>0.72</v>
      </c>
      <c r="Z3468">
        <v>169</v>
      </c>
      <c r="AA3468">
        <v>38</v>
      </c>
      <c r="AB3468" t="s">
        <v>116</v>
      </c>
      <c r="AC3468">
        <v>67200</v>
      </c>
      <c r="AD3468">
        <v>0</v>
      </c>
      <c r="AE3468" t="s">
        <v>116</v>
      </c>
      <c r="AF3468" t="s">
        <v>116</v>
      </c>
      <c r="AG3468">
        <v>6</v>
      </c>
      <c r="AH3468" t="s">
        <v>14597</v>
      </c>
      <c r="AI3468" t="s">
        <v>14597</v>
      </c>
      <c r="AJ3468">
        <v>2.75</v>
      </c>
      <c r="AK3468">
        <v>3015</v>
      </c>
      <c r="AL3468">
        <v>13</v>
      </c>
      <c r="AM3468">
        <v>2.0000000000000001E-4</v>
      </c>
      <c r="AN3468">
        <v>2</v>
      </c>
      <c r="AO3468">
        <v>1.63</v>
      </c>
      <c r="AP3468">
        <v>-1.75</v>
      </c>
      <c r="AQ3468">
        <v>-7.09</v>
      </c>
      <c r="AR3468">
        <v>57.61</v>
      </c>
      <c r="AS3468">
        <v>1.1100000000000001</v>
      </c>
      <c r="AT3468" t="s">
        <v>14598</v>
      </c>
      <c r="AU3468">
        <v>18.82</v>
      </c>
      <c r="AV3468">
        <v>20.71</v>
      </c>
      <c r="AW3468">
        <v>0.81</v>
      </c>
      <c r="BA3468">
        <v>0.28999999999999998</v>
      </c>
      <c r="BB3468">
        <v>3.09</v>
      </c>
      <c r="BC3468">
        <v>0.14000000000000001</v>
      </c>
      <c r="BD3468">
        <v>2.2400000000000002</v>
      </c>
      <c r="BE3468">
        <v>2.38</v>
      </c>
      <c r="BF3468">
        <v>-0.4</v>
      </c>
      <c r="BG3468">
        <v>2.54</v>
      </c>
      <c r="BH3468">
        <v>0.44</v>
      </c>
      <c r="BI3468">
        <v>20191122</v>
      </c>
      <c r="BJ3468">
        <v>20150629</v>
      </c>
      <c r="BK3468">
        <v>6</v>
      </c>
      <c r="BL3468" t="s">
        <v>116</v>
      </c>
      <c r="BM3468" t="s">
        <v>116</v>
      </c>
      <c r="BN3468">
        <v>82.58</v>
      </c>
      <c r="BO3468">
        <v>65.63</v>
      </c>
      <c r="BP3468">
        <v>0</v>
      </c>
      <c r="BQ3468">
        <v>20.52</v>
      </c>
      <c r="BR3468">
        <v>57</v>
      </c>
      <c r="BS3468">
        <v>15.18</v>
      </c>
      <c r="BT3468">
        <v>4.47</v>
      </c>
      <c r="BU3468">
        <v>16.12</v>
      </c>
      <c r="BV3468">
        <v>21.37</v>
      </c>
      <c r="BW3468">
        <v>0.15</v>
      </c>
      <c r="BX3468">
        <v>9.77</v>
      </c>
      <c r="BY3468">
        <v>34.659999999999997</v>
      </c>
      <c r="BZ3468">
        <v>8.92</v>
      </c>
      <c r="CA3468">
        <v>16.920000000000002</v>
      </c>
      <c r="CB3468">
        <v>0.69</v>
      </c>
      <c r="CC3468">
        <v>16.87</v>
      </c>
      <c r="CD3468">
        <v>12.96</v>
      </c>
      <c r="CE3468">
        <v>12.96</v>
      </c>
      <c r="CF3468">
        <v>12.47</v>
      </c>
      <c r="CG3468">
        <v>46.26</v>
      </c>
      <c r="CH3468">
        <v>6.03</v>
      </c>
      <c r="CI3468">
        <v>-0.85</v>
      </c>
      <c r="CJ3468">
        <v>22377</v>
      </c>
      <c r="CK3468">
        <v>15741</v>
      </c>
      <c r="CL3468" t="s">
        <v>14599</v>
      </c>
      <c r="CM3468">
        <v>13.51</v>
      </c>
      <c r="CN3468">
        <v>8.0500000000000007</v>
      </c>
      <c r="CO3468">
        <v>4.84</v>
      </c>
      <c r="CP3468">
        <v>52.66</v>
      </c>
      <c r="CQ3468">
        <v>9.16</v>
      </c>
      <c r="CR3468">
        <v>2.84</v>
      </c>
      <c r="CS3468" t="s">
        <v>14600</v>
      </c>
      <c r="CT3468">
        <v>10.94</v>
      </c>
      <c r="CU3468">
        <v>0</v>
      </c>
      <c r="CV3468">
        <v>1.63</v>
      </c>
      <c r="CW3468">
        <v>7.71</v>
      </c>
      <c r="CX3468">
        <v>1</v>
      </c>
      <c r="CY3468">
        <v>79.48</v>
      </c>
      <c r="CZ3468" t="s">
        <v>14601</v>
      </c>
      <c r="DA3468">
        <v>74.27</v>
      </c>
      <c r="DB3468">
        <v>48.83</v>
      </c>
      <c r="DC3468">
        <v>37.380000000000003</v>
      </c>
      <c r="DD3468">
        <v>0.05</v>
      </c>
      <c r="DE3468">
        <v>3814</v>
      </c>
      <c r="DF3468">
        <v>603589</v>
      </c>
      <c r="DG3468" t="s">
        <v>116</v>
      </c>
      <c r="DH3468" t="s">
        <v>116</v>
      </c>
      <c r="DI3468" t="s">
        <v>116</v>
      </c>
    </row>
    <row r="3469" spans="1:113" x14ac:dyDescent="0.4">
      <c r="A3469" t="str">
        <f>"603590"</f>
        <v>603590</v>
      </c>
      <c r="B3469" t="s">
        <v>14602</v>
      </c>
      <c r="C3469">
        <v>0.97</v>
      </c>
      <c r="D3469">
        <v>34.39</v>
      </c>
      <c r="E3469">
        <v>0.33</v>
      </c>
      <c r="F3469">
        <v>34.380000000000003</v>
      </c>
      <c r="G3469">
        <v>34.39</v>
      </c>
      <c r="H3469">
        <v>15619</v>
      </c>
      <c r="I3469">
        <v>152</v>
      </c>
      <c r="J3469">
        <v>0.03</v>
      </c>
      <c r="K3469">
        <v>1.87</v>
      </c>
      <c r="L3469">
        <v>34.15</v>
      </c>
      <c r="M3469">
        <v>34.6</v>
      </c>
      <c r="N3469">
        <v>34.15</v>
      </c>
      <c r="O3469">
        <v>34.06</v>
      </c>
      <c r="P3469">
        <v>20.260000000000002</v>
      </c>
      <c r="Q3469">
        <v>53819784</v>
      </c>
      <c r="R3469">
        <v>1.08</v>
      </c>
      <c r="S3469" t="s">
        <v>574</v>
      </c>
      <c r="T3469" t="s">
        <v>165</v>
      </c>
      <c r="U3469">
        <v>1.32</v>
      </c>
      <c r="V3469">
        <v>34.46</v>
      </c>
      <c r="W3469">
        <v>6844</v>
      </c>
      <c r="X3469">
        <v>8775</v>
      </c>
      <c r="Y3469">
        <v>0.78</v>
      </c>
      <c r="Z3469">
        <v>13</v>
      </c>
      <c r="AA3469">
        <v>33</v>
      </c>
      <c r="AB3469" t="s">
        <v>116</v>
      </c>
      <c r="AC3469">
        <v>256100</v>
      </c>
      <c r="AD3469">
        <v>0.01</v>
      </c>
      <c r="AE3469" t="s">
        <v>116</v>
      </c>
      <c r="AF3469" t="s">
        <v>116</v>
      </c>
      <c r="AG3469">
        <v>0.83</v>
      </c>
      <c r="AH3469" t="s">
        <v>8288</v>
      </c>
      <c r="AI3469" t="s">
        <v>14603</v>
      </c>
      <c r="AJ3469">
        <v>1.05</v>
      </c>
      <c r="AK3469">
        <v>1438</v>
      </c>
      <c r="AL3469">
        <v>11</v>
      </c>
      <c r="AM3469">
        <v>1.2999999999999999E-3</v>
      </c>
      <c r="AN3469">
        <v>1</v>
      </c>
      <c r="AO3469">
        <v>-0.52</v>
      </c>
      <c r="AP3469">
        <v>-1.71</v>
      </c>
      <c r="AQ3469">
        <v>-9.4499999999999993</v>
      </c>
      <c r="AR3469">
        <v>8.83</v>
      </c>
      <c r="AS3469">
        <v>3.12</v>
      </c>
      <c r="AT3469" t="s">
        <v>4203</v>
      </c>
      <c r="AU3469">
        <v>17.71</v>
      </c>
      <c r="AV3469">
        <v>20.85</v>
      </c>
      <c r="AW3469">
        <v>0.75</v>
      </c>
      <c r="BA3469">
        <v>0.26</v>
      </c>
      <c r="BB3469">
        <v>1.59</v>
      </c>
      <c r="BC3469">
        <v>0.26</v>
      </c>
      <c r="BD3469">
        <v>1.17</v>
      </c>
      <c r="BE3469">
        <v>0.7</v>
      </c>
      <c r="BF3469">
        <v>-0.61</v>
      </c>
      <c r="BG3469">
        <v>0.7</v>
      </c>
      <c r="BH3469">
        <v>-0.2</v>
      </c>
      <c r="BI3469">
        <v>20191031</v>
      </c>
      <c r="BJ3469">
        <v>20180827</v>
      </c>
      <c r="BK3469">
        <v>1.6</v>
      </c>
      <c r="BL3469" t="s">
        <v>116</v>
      </c>
      <c r="BM3469" t="s">
        <v>116</v>
      </c>
      <c r="BN3469">
        <v>30.92</v>
      </c>
      <c r="BO3469">
        <v>26.64</v>
      </c>
      <c r="BP3469">
        <v>0</v>
      </c>
      <c r="BQ3469">
        <v>13.83</v>
      </c>
      <c r="BR3469">
        <v>20.059999999999999</v>
      </c>
      <c r="BS3469">
        <v>3.09</v>
      </c>
      <c r="BT3469">
        <v>0.75</v>
      </c>
      <c r="BU3469">
        <v>3.11</v>
      </c>
      <c r="BV3469">
        <v>0.15</v>
      </c>
      <c r="BW3469">
        <v>2.02</v>
      </c>
      <c r="BX3469">
        <v>9.82</v>
      </c>
      <c r="BY3469">
        <v>7.61</v>
      </c>
      <c r="BZ3469">
        <v>0.4</v>
      </c>
      <c r="CA3469">
        <v>2.27</v>
      </c>
      <c r="CB3469">
        <v>0.09</v>
      </c>
      <c r="CC3469">
        <v>2.27</v>
      </c>
      <c r="CD3469">
        <v>2.04</v>
      </c>
      <c r="CE3469">
        <v>2.04</v>
      </c>
      <c r="CF3469">
        <v>1.79</v>
      </c>
      <c r="CG3469">
        <v>14.11</v>
      </c>
      <c r="CH3469">
        <v>2.09</v>
      </c>
      <c r="CI3469">
        <v>0.37</v>
      </c>
      <c r="CJ3469">
        <v>14157</v>
      </c>
      <c r="CK3469">
        <v>3534</v>
      </c>
      <c r="CL3469" t="s">
        <v>9296</v>
      </c>
      <c r="CM3469">
        <v>29.79</v>
      </c>
      <c r="CN3469">
        <v>9.3800000000000008</v>
      </c>
      <c r="CO3469">
        <v>2.0699999999999998</v>
      </c>
      <c r="CP3469">
        <v>26.37</v>
      </c>
      <c r="CQ3469">
        <v>7.23</v>
      </c>
      <c r="CR3469">
        <v>1.45</v>
      </c>
      <c r="CS3469" t="s">
        <v>11709</v>
      </c>
      <c r="CT3469">
        <v>16.649999999999999</v>
      </c>
      <c r="CU3469">
        <v>0</v>
      </c>
      <c r="CV3469">
        <v>6.14</v>
      </c>
      <c r="CW3469">
        <v>8.82</v>
      </c>
      <c r="CX3469">
        <v>1.3</v>
      </c>
      <c r="CY3469">
        <v>86.17</v>
      </c>
      <c r="CZ3469" t="s">
        <v>14604</v>
      </c>
      <c r="DA3469">
        <v>94.76</v>
      </c>
      <c r="DB3469">
        <v>29.84</v>
      </c>
      <c r="DC3469">
        <v>26.76</v>
      </c>
      <c r="DD3469">
        <v>0.81</v>
      </c>
      <c r="DE3469">
        <v>263</v>
      </c>
      <c r="DF3469">
        <v>603590</v>
      </c>
      <c r="DG3469" t="s">
        <v>116</v>
      </c>
      <c r="DH3469" t="s">
        <v>116</v>
      </c>
      <c r="DI3469" t="s">
        <v>116</v>
      </c>
    </row>
    <row r="3470" spans="1:113" x14ac:dyDescent="0.4">
      <c r="A3470" t="str">
        <f>"603595"</f>
        <v>603595</v>
      </c>
      <c r="B3470" t="s">
        <v>14605</v>
      </c>
      <c r="C3470">
        <v>-2.98</v>
      </c>
      <c r="D3470">
        <v>25.72</v>
      </c>
      <c r="E3470">
        <v>-0.79</v>
      </c>
      <c r="F3470">
        <v>25.72</v>
      </c>
      <c r="G3470">
        <v>25.75</v>
      </c>
      <c r="H3470">
        <v>32837</v>
      </c>
      <c r="I3470">
        <v>207</v>
      </c>
      <c r="J3470">
        <v>-0.11</v>
      </c>
      <c r="K3470">
        <v>4.63</v>
      </c>
      <c r="L3470">
        <v>26.48</v>
      </c>
      <c r="M3470">
        <v>26.82</v>
      </c>
      <c r="N3470">
        <v>25.56</v>
      </c>
      <c r="O3470">
        <v>26.51</v>
      </c>
      <c r="P3470" t="s">
        <v>116</v>
      </c>
      <c r="Q3470">
        <v>85610440</v>
      </c>
      <c r="R3470">
        <v>1.22</v>
      </c>
      <c r="S3470" t="s">
        <v>233</v>
      </c>
      <c r="T3470" t="s">
        <v>590</v>
      </c>
      <c r="U3470">
        <v>4.75</v>
      </c>
      <c r="V3470">
        <v>26.07</v>
      </c>
      <c r="W3470">
        <v>20310</v>
      </c>
      <c r="X3470">
        <v>12527</v>
      </c>
      <c r="Y3470">
        <v>1.62</v>
      </c>
      <c r="Z3470">
        <v>39</v>
      </c>
      <c r="AA3470">
        <v>10</v>
      </c>
      <c r="AB3470" t="s">
        <v>116</v>
      </c>
      <c r="AC3470">
        <v>26500</v>
      </c>
      <c r="AD3470">
        <v>0</v>
      </c>
      <c r="AE3470" t="s">
        <v>116</v>
      </c>
      <c r="AF3470" t="s">
        <v>116</v>
      </c>
      <c r="AG3470">
        <v>0.71</v>
      </c>
      <c r="AH3470" t="s">
        <v>6508</v>
      </c>
      <c r="AI3470" t="s">
        <v>14606</v>
      </c>
      <c r="AJ3470">
        <v>-2.9</v>
      </c>
      <c r="AK3470">
        <v>1819</v>
      </c>
      <c r="AL3470">
        <v>18</v>
      </c>
      <c r="AM3470">
        <v>2.5000000000000001E-3</v>
      </c>
      <c r="AN3470">
        <v>-2</v>
      </c>
      <c r="AO3470">
        <v>-3.52</v>
      </c>
      <c r="AP3470">
        <v>0.55000000000000004</v>
      </c>
      <c r="AQ3470">
        <v>-4.49</v>
      </c>
      <c r="AR3470">
        <v>15.05</v>
      </c>
      <c r="AS3470">
        <v>4.63</v>
      </c>
      <c r="AT3470" t="s">
        <v>6508</v>
      </c>
      <c r="AU3470" t="s">
        <v>116</v>
      </c>
      <c r="AV3470">
        <v>47.73</v>
      </c>
      <c r="AW3470">
        <v>2.17</v>
      </c>
      <c r="BA3470">
        <v>-0.11</v>
      </c>
      <c r="BB3470">
        <v>1.17</v>
      </c>
      <c r="BC3470">
        <v>-3.58</v>
      </c>
      <c r="BD3470">
        <v>-1.66</v>
      </c>
      <c r="BE3470">
        <v>-2.87</v>
      </c>
      <c r="BF3470">
        <v>-4.0999999999999996</v>
      </c>
      <c r="BG3470">
        <v>0.63</v>
      </c>
      <c r="BH3470">
        <v>-1.32</v>
      </c>
      <c r="BI3470">
        <v>20191219</v>
      </c>
      <c r="BJ3470">
        <v>20170712</v>
      </c>
      <c r="BK3470">
        <v>2.14</v>
      </c>
      <c r="BL3470" t="s">
        <v>116</v>
      </c>
      <c r="BM3470" t="s">
        <v>116</v>
      </c>
      <c r="BN3470">
        <v>15.61</v>
      </c>
      <c r="BO3470">
        <v>7</v>
      </c>
      <c r="BP3470">
        <v>0</v>
      </c>
      <c r="BQ3470">
        <v>55.17</v>
      </c>
      <c r="BR3470">
        <v>7.24</v>
      </c>
      <c r="BS3470">
        <v>4.83</v>
      </c>
      <c r="BT3470">
        <v>0.65</v>
      </c>
      <c r="BU3470">
        <v>7.28</v>
      </c>
      <c r="BV3470">
        <v>1.49</v>
      </c>
      <c r="BW3470">
        <v>3.43</v>
      </c>
      <c r="BX3470">
        <v>3.69</v>
      </c>
      <c r="BY3470">
        <v>4.49</v>
      </c>
      <c r="BZ3470">
        <v>3.45</v>
      </c>
      <c r="CA3470">
        <v>-1.79</v>
      </c>
      <c r="CB3470">
        <v>0</v>
      </c>
      <c r="CC3470">
        <v>-1.8</v>
      </c>
      <c r="CD3470">
        <v>-1.73</v>
      </c>
      <c r="CE3470">
        <v>-1.73</v>
      </c>
      <c r="CF3470">
        <v>-1.8</v>
      </c>
      <c r="CG3470">
        <v>1.39</v>
      </c>
      <c r="CH3470">
        <v>-0.39</v>
      </c>
      <c r="CI3470">
        <v>0.12</v>
      </c>
      <c r="CJ3470">
        <v>6753</v>
      </c>
      <c r="CK3470">
        <v>10495</v>
      </c>
      <c r="CL3470" t="s">
        <v>14607</v>
      </c>
      <c r="CM3470">
        <v>-264.32</v>
      </c>
      <c r="CN3470">
        <v>-37.22</v>
      </c>
      <c r="CO3470">
        <v>7.35</v>
      </c>
      <c r="CP3470">
        <v>-139.81</v>
      </c>
      <c r="CQ3470">
        <v>12.27</v>
      </c>
      <c r="CR3470">
        <v>0.21</v>
      </c>
      <c r="CS3470" t="s">
        <v>14608</v>
      </c>
      <c r="CT3470">
        <v>3.5</v>
      </c>
      <c r="CU3470">
        <v>3.5</v>
      </c>
      <c r="CV3470">
        <v>1.72</v>
      </c>
      <c r="CW3470">
        <v>0.65</v>
      </c>
      <c r="CX3470">
        <v>-0.18</v>
      </c>
      <c r="CY3470">
        <v>44.83</v>
      </c>
      <c r="CZ3470" t="s">
        <v>14609</v>
      </c>
      <c r="DA3470">
        <v>23.12</v>
      </c>
      <c r="DB3470">
        <v>-39.840000000000003</v>
      </c>
      <c r="DC3470">
        <v>-38.450000000000003</v>
      </c>
      <c r="DD3470">
        <v>0.3</v>
      </c>
      <c r="DE3470">
        <v>776</v>
      </c>
      <c r="DF3470">
        <v>603595</v>
      </c>
      <c r="DG3470" t="s">
        <v>116</v>
      </c>
      <c r="DH3470" t="s">
        <v>116</v>
      </c>
      <c r="DI3470" t="s">
        <v>116</v>
      </c>
    </row>
    <row r="3471" spans="1:113" x14ac:dyDescent="0.4">
      <c r="A3471" t="str">
        <f>"603596"</f>
        <v>603596</v>
      </c>
      <c r="B3471" t="s">
        <v>14610</v>
      </c>
      <c r="C3471">
        <v>-3.94</v>
      </c>
      <c r="D3471">
        <v>21.95</v>
      </c>
      <c r="E3471">
        <v>-0.9</v>
      </c>
      <c r="F3471">
        <v>21.94</v>
      </c>
      <c r="G3471">
        <v>21.95</v>
      </c>
      <c r="H3471">
        <v>54513</v>
      </c>
      <c r="I3471">
        <v>588</v>
      </c>
      <c r="J3471">
        <v>-0.85</v>
      </c>
      <c r="K3471">
        <v>3.17</v>
      </c>
      <c r="L3471">
        <v>22.76</v>
      </c>
      <c r="M3471">
        <v>22.78</v>
      </c>
      <c r="N3471">
        <v>21.75</v>
      </c>
      <c r="O3471">
        <v>22.85</v>
      </c>
      <c r="P3471">
        <v>22</v>
      </c>
      <c r="Q3471">
        <v>121464968</v>
      </c>
      <c r="R3471">
        <v>1.17</v>
      </c>
      <c r="S3471" t="s">
        <v>293</v>
      </c>
      <c r="T3471" t="s">
        <v>575</v>
      </c>
      <c r="U3471">
        <v>4.51</v>
      </c>
      <c r="V3471">
        <v>22.28</v>
      </c>
      <c r="W3471">
        <v>34072</v>
      </c>
      <c r="X3471">
        <v>20441</v>
      </c>
      <c r="Y3471">
        <v>1.67</v>
      </c>
      <c r="Z3471">
        <v>2</v>
      </c>
      <c r="AA3471">
        <v>72</v>
      </c>
      <c r="AB3471" t="s">
        <v>116</v>
      </c>
      <c r="AC3471">
        <v>596300</v>
      </c>
      <c r="AD3471">
        <v>0.02</v>
      </c>
      <c r="AE3471" t="s">
        <v>116</v>
      </c>
      <c r="AF3471" t="s">
        <v>116</v>
      </c>
      <c r="AG3471">
        <v>1.72</v>
      </c>
      <c r="AH3471" t="s">
        <v>6000</v>
      </c>
      <c r="AI3471" t="s">
        <v>915</v>
      </c>
      <c r="AJ3471">
        <v>-3.86</v>
      </c>
      <c r="AK3471">
        <v>2681</v>
      </c>
      <c r="AL3471">
        <v>20</v>
      </c>
      <c r="AM3471">
        <v>1.1999999999999999E-3</v>
      </c>
      <c r="AN3471">
        <v>-1</v>
      </c>
      <c r="AO3471">
        <v>-2.62</v>
      </c>
      <c r="AP3471">
        <v>16.260000000000002</v>
      </c>
      <c r="AQ3471">
        <v>34.25</v>
      </c>
      <c r="AR3471">
        <v>-3.77</v>
      </c>
      <c r="AS3471">
        <v>3.17</v>
      </c>
      <c r="AT3471" t="s">
        <v>6000</v>
      </c>
      <c r="AU3471">
        <v>28.24</v>
      </c>
      <c r="AV3471">
        <v>37.79</v>
      </c>
      <c r="AW3471">
        <v>1.46</v>
      </c>
      <c r="BA3471">
        <v>-0.39</v>
      </c>
      <c r="BB3471">
        <v>-0.31</v>
      </c>
      <c r="BC3471">
        <v>-4.8099999999999996</v>
      </c>
      <c r="BD3471">
        <v>-2.4900000000000002</v>
      </c>
      <c r="BE3471">
        <v>-3.56</v>
      </c>
      <c r="BF3471">
        <v>-3.64</v>
      </c>
      <c r="BG3471">
        <v>0.92</v>
      </c>
      <c r="BH3471">
        <v>-1.45</v>
      </c>
      <c r="BI3471">
        <v>20191220</v>
      </c>
      <c r="BJ3471">
        <v>20180427</v>
      </c>
      <c r="BK3471">
        <v>4.09</v>
      </c>
      <c r="BL3471" t="s">
        <v>116</v>
      </c>
      <c r="BM3471" t="s">
        <v>116</v>
      </c>
      <c r="BN3471">
        <v>39.71</v>
      </c>
      <c r="BO3471">
        <v>21.47</v>
      </c>
      <c r="BP3471">
        <v>2.04</v>
      </c>
      <c r="BQ3471">
        <v>40.799999999999997</v>
      </c>
      <c r="BR3471">
        <v>29.49</v>
      </c>
      <c r="BS3471">
        <v>6.57</v>
      </c>
      <c r="BT3471">
        <v>0.6</v>
      </c>
      <c r="BU3471">
        <v>13.4</v>
      </c>
      <c r="BV3471">
        <v>3.45</v>
      </c>
      <c r="BW3471">
        <v>8.8699999999999992</v>
      </c>
      <c r="BX3471">
        <v>6.29</v>
      </c>
      <c r="BY3471">
        <v>21.21</v>
      </c>
      <c r="BZ3471">
        <v>16</v>
      </c>
      <c r="CA3471">
        <v>4.08</v>
      </c>
      <c r="CB3471">
        <v>0.09</v>
      </c>
      <c r="CC3471">
        <v>4.08</v>
      </c>
      <c r="CD3471">
        <v>3.47</v>
      </c>
      <c r="CE3471">
        <v>3.06</v>
      </c>
      <c r="CF3471">
        <v>2.54</v>
      </c>
      <c r="CG3471">
        <v>10.23</v>
      </c>
      <c r="CH3471">
        <v>6.35</v>
      </c>
      <c r="CI3471">
        <v>5.09</v>
      </c>
      <c r="CJ3471">
        <v>17000</v>
      </c>
      <c r="CK3471">
        <v>10105</v>
      </c>
      <c r="CL3471" t="s">
        <v>14611</v>
      </c>
      <c r="CM3471">
        <v>35.6</v>
      </c>
      <c r="CN3471">
        <v>11.42</v>
      </c>
      <c r="CO3471">
        <v>4.18</v>
      </c>
      <c r="CP3471">
        <v>14.12</v>
      </c>
      <c r="CQ3471">
        <v>4.2300000000000004</v>
      </c>
      <c r="CR3471">
        <v>0.27</v>
      </c>
      <c r="CS3471" t="s">
        <v>3257</v>
      </c>
      <c r="CT3471">
        <v>5.26</v>
      </c>
      <c r="CU3471">
        <v>0</v>
      </c>
      <c r="CV3471">
        <v>1.54</v>
      </c>
      <c r="CW3471">
        <v>2.5</v>
      </c>
      <c r="CX3471">
        <v>1.55</v>
      </c>
      <c r="CY3471">
        <v>54.06</v>
      </c>
      <c r="CZ3471" t="s">
        <v>14071</v>
      </c>
      <c r="DA3471">
        <v>24.57</v>
      </c>
      <c r="DB3471">
        <v>19.22</v>
      </c>
      <c r="DC3471">
        <v>14.41</v>
      </c>
      <c r="DD3471">
        <v>0.8</v>
      </c>
      <c r="DE3471">
        <v>2008</v>
      </c>
      <c r="DF3471">
        <v>603596</v>
      </c>
      <c r="DG3471" t="s">
        <v>116</v>
      </c>
      <c r="DH3471" t="s">
        <v>116</v>
      </c>
      <c r="DI3471" t="s">
        <v>116</v>
      </c>
    </row>
    <row r="3472" spans="1:113" x14ac:dyDescent="0.4">
      <c r="A3472" t="str">
        <f>"603598"</f>
        <v>603598</v>
      </c>
      <c r="B3472" t="s">
        <v>14612</v>
      </c>
      <c r="C3472">
        <v>10.029999999999999</v>
      </c>
      <c r="D3472">
        <v>14.26</v>
      </c>
      <c r="E3472">
        <v>1.3</v>
      </c>
      <c r="F3472">
        <v>14.26</v>
      </c>
      <c r="G3472" t="s">
        <v>116</v>
      </c>
      <c r="H3472">
        <v>20304</v>
      </c>
      <c r="I3472">
        <v>135</v>
      </c>
      <c r="J3472">
        <v>0</v>
      </c>
      <c r="K3472">
        <v>0.76</v>
      </c>
      <c r="L3472">
        <v>14.26</v>
      </c>
      <c r="M3472">
        <v>14.26</v>
      </c>
      <c r="N3472">
        <v>14.26</v>
      </c>
      <c r="O3472">
        <v>12.96</v>
      </c>
      <c r="P3472">
        <v>47.31</v>
      </c>
      <c r="Q3472">
        <v>28953504</v>
      </c>
      <c r="R3472">
        <v>0.16</v>
      </c>
      <c r="S3472" t="s">
        <v>589</v>
      </c>
      <c r="T3472" t="s">
        <v>165</v>
      </c>
      <c r="U3472">
        <v>0</v>
      </c>
      <c r="V3472">
        <v>14.26</v>
      </c>
      <c r="W3472">
        <v>16626</v>
      </c>
      <c r="X3472">
        <v>3678</v>
      </c>
      <c r="Y3472">
        <v>4.5199999999999996</v>
      </c>
      <c r="Z3472">
        <v>121997</v>
      </c>
      <c r="AA3472">
        <v>0</v>
      </c>
      <c r="AB3472" t="s">
        <v>116</v>
      </c>
      <c r="AC3472">
        <v>10300000</v>
      </c>
      <c r="AD3472">
        <v>0.73</v>
      </c>
      <c r="AE3472">
        <v>6.01</v>
      </c>
      <c r="AF3472">
        <v>173967728</v>
      </c>
      <c r="AG3472">
        <v>2.68</v>
      </c>
      <c r="AH3472" t="s">
        <v>376</v>
      </c>
      <c r="AI3472" t="s">
        <v>14613</v>
      </c>
      <c r="AJ3472">
        <v>10.11</v>
      </c>
      <c r="AK3472">
        <v>393</v>
      </c>
      <c r="AL3472">
        <v>52</v>
      </c>
      <c r="AM3472">
        <v>1.9E-3</v>
      </c>
      <c r="AN3472">
        <v>4</v>
      </c>
      <c r="AO3472">
        <v>33.15</v>
      </c>
      <c r="AP3472">
        <v>80.28</v>
      </c>
      <c r="AQ3472">
        <v>82.35</v>
      </c>
      <c r="AR3472">
        <v>59.69</v>
      </c>
      <c r="AS3472">
        <v>2.0499999999999998</v>
      </c>
      <c r="AT3472" t="s">
        <v>4136</v>
      </c>
      <c r="AU3472">
        <v>57.67</v>
      </c>
      <c r="AV3472">
        <v>68.150000000000006</v>
      </c>
      <c r="AW3472">
        <v>1.49</v>
      </c>
      <c r="BA3472">
        <v>10.029999999999999</v>
      </c>
      <c r="BB3472">
        <v>10.029999999999999</v>
      </c>
      <c r="BC3472">
        <v>10.029999999999999</v>
      </c>
      <c r="BD3472">
        <v>10.029999999999999</v>
      </c>
      <c r="BE3472">
        <v>0</v>
      </c>
      <c r="BF3472">
        <v>0</v>
      </c>
      <c r="BG3472">
        <v>0</v>
      </c>
      <c r="BH3472">
        <v>0</v>
      </c>
      <c r="BI3472">
        <v>20191031</v>
      </c>
      <c r="BJ3472">
        <v>20150527</v>
      </c>
      <c r="BK3472">
        <v>2.71</v>
      </c>
      <c r="BL3472" t="s">
        <v>116</v>
      </c>
      <c r="BM3472" t="s">
        <v>116</v>
      </c>
      <c r="BN3472">
        <v>18.809999999999999</v>
      </c>
      <c r="BO3472">
        <v>6.28</v>
      </c>
      <c r="BP3472">
        <v>0.01</v>
      </c>
      <c r="BQ3472">
        <v>66.599999999999994</v>
      </c>
      <c r="BR3472">
        <v>11.93</v>
      </c>
      <c r="BS3472">
        <v>0.04</v>
      </c>
      <c r="BT3472">
        <v>0.06</v>
      </c>
      <c r="BU3472">
        <v>9.7100000000000009</v>
      </c>
      <c r="BV3472">
        <v>0</v>
      </c>
      <c r="BW3472">
        <v>6.86</v>
      </c>
      <c r="BX3472">
        <v>0.1</v>
      </c>
      <c r="BY3472">
        <v>20.34</v>
      </c>
      <c r="BZ3472">
        <v>18.239999999999998</v>
      </c>
      <c r="CA3472">
        <v>0.74</v>
      </c>
      <c r="CB3472">
        <v>0</v>
      </c>
      <c r="CC3472">
        <v>0.74</v>
      </c>
      <c r="CD3472">
        <v>0.61</v>
      </c>
      <c r="CE3472">
        <v>0.61</v>
      </c>
      <c r="CF3472">
        <v>0.52</v>
      </c>
      <c r="CG3472">
        <v>3.72</v>
      </c>
      <c r="CH3472">
        <v>0.54</v>
      </c>
      <c r="CI3472">
        <v>0.46</v>
      </c>
      <c r="CJ3472">
        <v>22093</v>
      </c>
      <c r="CK3472">
        <v>4475</v>
      </c>
      <c r="CL3472" t="s">
        <v>423</v>
      </c>
      <c r="CM3472">
        <v>20.22</v>
      </c>
      <c r="CN3472">
        <v>-19.170000000000002</v>
      </c>
      <c r="CO3472">
        <v>6.15</v>
      </c>
      <c r="CP3472">
        <v>71.069999999999993</v>
      </c>
      <c r="CQ3472">
        <v>1.9</v>
      </c>
      <c r="CR3472">
        <v>0</v>
      </c>
      <c r="CS3472" t="s">
        <v>3375</v>
      </c>
      <c r="CT3472">
        <v>2.3199999999999998</v>
      </c>
      <c r="CU3472">
        <v>0</v>
      </c>
      <c r="CV3472">
        <v>0.04</v>
      </c>
      <c r="CW3472">
        <v>1.37</v>
      </c>
      <c r="CX3472">
        <v>0.2</v>
      </c>
      <c r="CY3472">
        <v>33.35</v>
      </c>
      <c r="CZ3472" t="s">
        <v>4920</v>
      </c>
      <c r="DA3472">
        <v>10.3</v>
      </c>
      <c r="DB3472">
        <v>3.62</v>
      </c>
      <c r="DC3472">
        <v>3.01</v>
      </c>
      <c r="DD3472">
        <v>0.15</v>
      </c>
      <c r="DE3472">
        <v>456</v>
      </c>
      <c r="DF3472">
        <v>603598</v>
      </c>
      <c r="DG3472" t="s">
        <v>116</v>
      </c>
      <c r="DH3472" t="s">
        <v>116</v>
      </c>
      <c r="DI3472" t="s">
        <v>116</v>
      </c>
    </row>
    <row r="3473" spans="1:113" x14ac:dyDescent="0.4">
      <c r="A3473" t="str">
        <f>"603599"</f>
        <v>603599</v>
      </c>
      <c r="B3473" t="s">
        <v>14614</v>
      </c>
      <c r="C3473">
        <v>-0.69</v>
      </c>
      <c r="D3473">
        <v>14.48</v>
      </c>
      <c r="E3473">
        <v>-0.1</v>
      </c>
      <c r="F3473">
        <v>14.47</v>
      </c>
      <c r="G3473">
        <v>14.48</v>
      </c>
      <c r="H3473">
        <v>14919</v>
      </c>
      <c r="I3473">
        <v>73</v>
      </c>
      <c r="J3473">
        <v>-0.27</v>
      </c>
      <c r="K3473">
        <v>0.32</v>
      </c>
      <c r="L3473">
        <v>14.6</v>
      </c>
      <c r="M3473">
        <v>14.68</v>
      </c>
      <c r="N3473">
        <v>14.4</v>
      </c>
      <c r="O3473">
        <v>14.58</v>
      </c>
      <c r="P3473">
        <v>12.17</v>
      </c>
      <c r="Q3473">
        <v>21723328</v>
      </c>
      <c r="R3473">
        <v>0.9</v>
      </c>
      <c r="S3473" t="s">
        <v>697</v>
      </c>
      <c r="T3473" t="s">
        <v>575</v>
      </c>
      <c r="U3473">
        <v>1.92</v>
      </c>
      <c r="V3473">
        <v>14.56</v>
      </c>
      <c r="W3473">
        <v>7225</v>
      </c>
      <c r="X3473">
        <v>7694</v>
      </c>
      <c r="Y3473">
        <v>0.94</v>
      </c>
      <c r="Z3473">
        <v>85</v>
      </c>
      <c r="AA3473">
        <v>57</v>
      </c>
      <c r="AB3473" t="s">
        <v>116</v>
      </c>
      <c r="AC3473">
        <v>122600</v>
      </c>
      <c r="AD3473">
        <v>0</v>
      </c>
      <c r="AE3473" t="s">
        <v>116</v>
      </c>
      <c r="AF3473" t="s">
        <v>116</v>
      </c>
      <c r="AG3473">
        <v>4.6500000000000004</v>
      </c>
      <c r="AH3473" t="s">
        <v>14615</v>
      </c>
      <c r="AI3473" t="s">
        <v>14615</v>
      </c>
      <c r="AJ3473">
        <v>-0.61</v>
      </c>
      <c r="AK3473">
        <v>1050</v>
      </c>
      <c r="AL3473">
        <v>14</v>
      </c>
      <c r="AM3473">
        <v>2.9999999999999997E-4</v>
      </c>
      <c r="AN3473">
        <v>-1</v>
      </c>
      <c r="AO3473">
        <v>0.62</v>
      </c>
      <c r="AP3473">
        <v>4.0999999999999996</v>
      </c>
      <c r="AQ3473">
        <v>-5.05</v>
      </c>
      <c r="AR3473">
        <v>40.24</v>
      </c>
      <c r="AS3473">
        <v>0.63</v>
      </c>
      <c r="AT3473" t="s">
        <v>9726</v>
      </c>
      <c r="AU3473">
        <v>13.24</v>
      </c>
      <c r="AV3473">
        <v>14.34</v>
      </c>
      <c r="AW3473">
        <v>1.1200000000000001</v>
      </c>
      <c r="BA3473">
        <v>0.14000000000000001</v>
      </c>
      <c r="BB3473">
        <v>0.69</v>
      </c>
      <c r="BC3473">
        <v>-1.23</v>
      </c>
      <c r="BD3473">
        <v>-0.13</v>
      </c>
      <c r="BE3473">
        <v>-0.82</v>
      </c>
      <c r="BF3473">
        <v>-1.36</v>
      </c>
      <c r="BG3473">
        <v>0.56000000000000005</v>
      </c>
      <c r="BH3473">
        <v>-0.56000000000000005</v>
      </c>
      <c r="BI3473">
        <v>20191028</v>
      </c>
      <c r="BJ3473">
        <v>20150513</v>
      </c>
      <c r="BK3473">
        <v>4.6500000000000004</v>
      </c>
      <c r="BL3473" t="s">
        <v>116</v>
      </c>
      <c r="BM3473" t="s">
        <v>116</v>
      </c>
      <c r="BN3473">
        <v>63.39</v>
      </c>
      <c r="BO3473">
        <v>49.92</v>
      </c>
      <c r="BP3473">
        <v>0</v>
      </c>
      <c r="BQ3473">
        <v>21.25</v>
      </c>
      <c r="BR3473">
        <v>44.33</v>
      </c>
      <c r="BS3473">
        <v>13.31</v>
      </c>
      <c r="BT3473">
        <v>2.06</v>
      </c>
      <c r="BU3473">
        <v>13.04</v>
      </c>
      <c r="BV3473">
        <v>4</v>
      </c>
      <c r="BW3473">
        <v>3.28</v>
      </c>
      <c r="BX3473">
        <v>21.5</v>
      </c>
      <c r="BY3473">
        <v>25.53</v>
      </c>
      <c r="BZ3473">
        <v>17.34</v>
      </c>
      <c r="CA3473">
        <v>4.9000000000000004</v>
      </c>
      <c r="CB3473">
        <v>0.48</v>
      </c>
      <c r="CC3473">
        <v>4.92</v>
      </c>
      <c r="CD3473">
        <v>4.1500000000000004</v>
      </c>
      <c r="CE3473">
        <v>4.1500000000000004</v>
      </c>
      <c r="CF3473">
        <v>3.56</v>
      </c>
      <c r="CG3473">
        <v>20.93</v>
      </c>
      <c r="CH3473">
        <v>6.53</v>
      </c>
      <c r="CI3473">
        <v>-3.91</v>
      </c>
      <c r="CJ3473">
        <v>16745</v>
      </c>
      <c r="CK3473">
        <v>14167</v>
      </c>
      <c r="CL3473" t="s">
        <v>14616</v>
      </c>
      <c r="CM3473">
        <v>10.43</v>
      </c>
      <c r="CN3473">
        <v>13.25</v>
      </c>
      <c r="CO3473">
        <v>1.35</v>
      </c>
      <c r="CP3473">
        <v>10.31</v>
      </c>
      <c r="CQ3473">
        <v>2.64</v>
      </c>
      <c r="CR3473">
        <v>1.21</v>
      </c>
      <c r="CS3473" t="s">
        <v>14617</v>
      </c>
      <c r="CT3473">
        <v>10.74</v>
      </c>
      <c r="CU3473">
        <v>0</v>
      </c>
      <c r="CV3473">
        <v>4.63</v>
      </c>
      <c r="CW3473">
        <v>4.51</v>
      </c>
      <c r="CX3473">
        <v>1.4</v>
      </c>
      <c r="CY3473">
        <v>78.75</v>
      </c>
      <c r="CZ3473" t="s">
        <v>1062</v>
      </c>
      <c r="DA3473">
        <v>32.06</v>
      </c>
      <c r="DB3473">
        <v>19.18</v>
      </c>
      <c r="DC3473">
        <v>16.239999999999998</v>
      </c>
      <c r="DD3473">
        <v>1.29</v>
      </c>
      <c r="DE3473">
        <v>1568</v>
      </c>
      <c r="DF3473">
        <v>603599</v>
      </c>
      <c r="DG3473" t="s">
        <v>116</v>
      </c>
      <c r="DH3473" t="s">
        <v>116</v>
      </c>
      <c r="DI3473" t="s">
        <v>116</v>
      </c>
    </row>
    <row r="3474" spans="1:113" x14ac:dyDescent="0.4">
      <c r="A3474" t="str">
        <f>"603600"</f>
        <v>603600</v>
      </c>
      <c r="B3474" t="s">
        <v>14618</v>
      </c>
      <c r="C3474">
        <v>-0.84</v>
      </c>
      <c r="D3474">
        <v>11.8</v>
      </c>
      <c r="E3474">
        <v>-0.1</v>
      </c>
      <c r="F3474">
        <v>11.79</v>
      </c>
      <c r="G3474">
        <v>11.8</v>
      </c>
      <c r="H3474">
        <v>29919</v>
      </c>
      <c r="I3474">
        <v>195</v>
      </c>
      <c r="J3474">
        <v>-0.33</v>
      </c>
      <c r="K3474">
        <v>0.99</v>
      </c>
      <c r="L3474">
        <v>12.04</v>
      </c>
      <c r="M3474">
        <v>12.04</v>
      </c>
      <c r="N3474">
        <v>11.73</v>
      </c>
      <c r="O3474">
        <v>11.9</v>
      </c>
      <c r="P3474">
        <v>18.690000000000001</v>
      </c>
      <c r="Q3474">
        <v>35439128</v>
      </c>
      <c r="R3474">
        <v>0.51</v>
      </c>
      <c r="S3474" t="s">
        <v>2640</v>
      </c>
      <c r="T3474" t="s">
        <v>590</v>
      </c>
      <c r="U3474">
        <v>2.61</v>
      </c>
      <c r="V3474">
        <v>11.85</v>
      </c>
      <c r="W3474">
        <v>16434</v>
      </c>
      <c r="X3474">
        <v>13485</v>
      </c>
      <c r="Y3474">
        <v>1.22</v>
      </c>
      <c r="Z3474">
        <v>5</v>
      </c>
      <c r="AA3474">
        <v>9</v>
      </c>
      <c r="AB3474" t="s">
        <v>116</v>
      </c>
      <c r="AC3474">
        <v>807900</v>
      </c>
      <c r="AD3474">
        <v>0.05</v>
      </c>
      <c r="AE3474" t="s">
        <v>116</v>
      </c>
      <c r="AF3474" t="s">
        <v>116</v>
      </c>
      <c r="AG3474">
        <v>3.02</v>
      </c>
      <c r="AH3474" t="s">
        <v>8544</v>
      </c>
      <c r="AI3474" t="s">
        <v>14619</v>
      </c>
      <c r="AJ3474">
        <v>-0.76</v>
      </c>
      <c r="AK3474">
        <v>1688</v>
      </c>
      <c r="AL3474">
        <v>18</v>
      </c>
      <c r="AM3474">
        <v>5.9999999999999995E-4</v>
      </c>
      <c r="AN3474">
        <v>-1</v>
      </c>
      <c r="AO3474">
        <v>1.38</v>
      </c>
      <c r="AP3474">
        <v>6.59</v>
      </c>
      <c r="AQ3474">
        <v>8.26</v>
      </c>
      <c r="AR3474">
        <v>79.33</v>
      </c>
      <c r="AS3474">
        <v>2.34</v>
      </c>
      <c r="AT3474" t="s">
        <v>5620</v>
      </c>
      <c r="AU3474">
        <v>20.6</v>
      </c>
      <c r="AV3474">
        <v>34.36</v>
      </c>
      <c r="AW3474">
        <v>1.06</v>
      </c>
      <c r="BA3474">
        <v>1.18</v>
      </c>
      <c r="BB3474">
        <v>1.18</v>
      </c>
      <c r="BC3474">
        <v>-1.43</v>
      </c>
      <c r="BD3474">
        <v>-0.46</v>
      </c>
      <c r="BE3474">
        <v>-1.99</v>
      </c>
      <c r="BF3474">
        <v>-1.99</v>
      </c>
      <c r="BG3474">
        <v>0.6</v>
      </c>
      <c r="BH3474">
        <v>-0.38</v>
      </c>
      <c r="BI3474">
        <v>20191126</v>
      </c>
      <c r="BJ3474">
        <v>20150123</v>
      </c>
      <c r="BK3474">
        <v>3.03</v>
      </c>
      <c r="BL3474" t="s">
        <v>116</v>
      </c>
      <c r="BM3474" t="s">
        <v>116</v>
      </c>
      <c r="BN3474">
        <v>17.93</v>
      </c>
      <c r="BO3474">
        <v>11.9</v>
      </c>
      <c r="BP3474">
        <v>0.1</v>
      </c>
      <c r="BQ3474">
        <v>33.06</v>
      </c>
      <c r="BR3474">
        <v>11.76</v>
      </c>
      <c r="BS3474">
        <v>4.79</v>
      </c>
      <c r="BT3474">
        <v>0.75</v>
      </c>
      <c r="BU3474">
        <v>5.9</v>
      </c>
      <c r="BV3474">
        <v>2.56</v>
      </c>
      <c r="BW3474">
        <v>3.27</v>
      </c>
      <c r="BX3474">
        <v>5.53</v>
      </c>
      <c r="BY3474">
        <v>17.72</v>
      </c>
      <c r="BZ3474">
        <v>14.28</v>
      </c>
      <c r="CA3474">
        <v>1.75</v>
      </c>
      <c r="CB3474">
        <v>0.08</v>
      </c>
      <c r="CC3474">
        <v>1.75</v>
      </c>
      <c r="CD3474">
        <v>1.45</v>
      </c>
      <c r="CE3474">
        <v>1.43</v>
      </c>
      <c r="CF3474">
        <v>1.24</v>
      </c>
      <c r="CG3474">
        <v>3.08</v>
      </c>
      <c r="CH3474">
        <v>2.2599999999999998</v>
      </c>
      <c r="CI3474">
        <v>1.0900000000000001</v>
      </c>
      <c r="CJ3474">
        <v>12012</v>
      </c>
      <c r="CK3474">
        <v>10641</v>
      </c>
      <c r="CL3474" t="s">
        <v>9445</v>
      </c>
      <c r="CM3474">
        <v>93.84</v>
      </c>
      <c r="CN3474">
        <v>4.45</v>
      </c>
      <c r="CO3474">
        <v>3</v>
      </c>
      <c r="CP3474">
        <v>15.8</v>
      </c>
      <c r="CQ3474">
        <v>2.02</v>
      </c>
      <c r="CR3474">
        <v>3.56</v>
      </c>
      <c r="CS3474" t="s">
        <v>386</v>
      </c>
      <c r="CT3474">
        <v>3.93</v>
      </c>
      <c r="CU3474">
        <v>0</v>
      </c>
      <c r="CV3474">
        <v>1.83</v>
      </c>
      <c r="CW3474">
        <v>1.02</v>
      </c>
      <c r="CX3474">
        <v>0.75</v>
      </c>
      <c r="CY3474">
        <v>66.37</v>
      </c>
      <c r="CZ3474" t="s">
        <v>4953</v>
      </c>
      <c r="DA3474">
        <v>19.399999999999999</v>
      </c>
      <c r="DB3474">
        <v>9.89</v>
      </c>
      <c r="DC3474">
        <v>8.09</v>
      </c>
      <c r="DD3474">
        <v>0.59</v>
      </c>
      <c r="DE3474">
        <v>3557</v>
      </c>
      <c r="DF3474">
        <v>603600</v>
      </c>
      <c r="DG3474" t="s">
        <v>116</v>
      </c>
      <c r="DH3474" t="s">
        <v>116</v>
      </c>
      <c r="DI3474" t="s">
        <v>116</v>
      </c>
    </row>
    <row r="3475" spans="1:113" x14ac:dyDescent="0.4">
      <c r="A3475" t="str">
        <f>"603601"</f>
        <v>603601</v>
      </c>
      <c r="B3475" t="s">
        <v>14620</v>
      </c>
      <c r="C3475">
        <v>-0.83</v>
      </c>
      <c r="D3475">
        <v>7.13</v>
      </c>
      <c r="E3475">
        <v>-0.06</v>
      </c>
      <c r="F3475">
        <v>7.13</v>
      </c>
      <c r="G3475">
        <v>7.16</v>
      </c>
      <c r="H3475">
        <v>19225</v>
      </c>
      <c r="I3475">
        <v>1109</v>
      </c>
      <c r="J3475">
        <v>-0.55000000000000004</v>
      </c>
      <c r="K3475">
        <v>0.27</v>
      </c>
      <c r="L3475">
        <v>7.19</v>
      </c>
      <c r="M3475">
        <v>7.23</v>
      </c>
      <c r="N3475">
        <v>7.13</v>
      </c>
      <c r="O3475">
        <v>7.19</v>
      </c>
      <c r="P3475">
        <v>27.97</v>
      </c>
      <c r="Q3475">
        <v>13813220</v>
      </c>
      <c r="R3475">
        <v>0.9</v>
      </c>
      <c r="S3475" t="s">
        <v>195</v>
      </c>
      <c r="T3475" t="s">
        <v>906</v>
      </c>
      <c r="U3475">
        <v>1.39</v>
      </c>
      <c r="V3475">
        <v>7.19</v>
      </c>
      <c r="W3475">
        <v>9094</v>
      </c>
      <c r="X3475">
        <v>10131</v>
      </c>
      <c r="Y3475">
        <v>0.9</v>
      </c>
      <c r="Z3475">
        <v>57</v>
      </c>
      <c r="AA3475">
        <v>147</v>
      </c>
      <c r="AB3475" t="s">
        <v>116</v>
      </c>
      <c r="AC3475">
        <v>0</v>
      </c>
      <c r="AD3475">
        <v>0</v>
      </c>
      <c r="AE3475" t="s">
        <v>116</v>
      </c>
      <c r="AF3475" t="s">
        <v>116</v>
      </c>
      <c r="AG3475">
        <v>7.03</v>
      </c>
      <c r="AH3475" t="s">
        <v>14621</v>
      </c>
      <c r="AI3475" t="s">
        <v>14621</v>
      </c>
      <c r="AJ3475">
        <v>-0.76</v>
      </c>
      <c r="AK3475">
        <v>549</v>
      </c>
      <c r="AL3475">
        <v>35</v>
      </c>
      <c r="AM3475">
        <v>5.0000000000000001E-4</v>
      </c>
      <c r="AN3475">
        <v>-1</v>
      </c>
      <c r="AO3475">
        <v>0.99</v>
      </c>
      <c r="AP3475">
        <v>7.38</v>
      </c>
      <c r="AQ3475">
        <v>-2.06</v>
      </c>
      <c r="AR3475">
        <v>23.92</v>
      </c>
      <c r="AS3475">
        <v>0.55000000000000004</v>
      </c>
      <c r="AT3475" t="s">
        <v>1877</v>
      </c>
      <c r="AU3475">
        <v>29.1</v>
      </c>
      <c r="AV3475">
        <v>31.52</v>
      </c>
      <c r="AW3475">
        <v>1.01</v>
      </c>
      <c r="BA3475">
        <v>0</v>
      </c>
      <c r="BB3475">
        <v>0.56000000000000005</v>
      </c>
      <c r="BC3475">
        <v>-0.83</v>
      </c>
      <c r="BD3475">
        <v>-7.0000000000000007E-2</v>
      </c>
      <c r="BE3475">
        <v>-0.83</v>
      </c>
      <c r="BF3475">
        <v>-1.38</v>
      </c>
      <c r="BG3475">
        <v>0</v>
      </c>
      <c r="BH3475">
        <v>-0.77</v>
      </c>
      <c r="BI3475">
        <v>20191203</v>
      </c>
      <c r="BJ3475">
        <v>20150122</v>
      </c>
      <c r="BK3475">
        <v>7.03</v>
      </c>
      <c r="BL3475" t="s">
        <v>116</v>
      </c>
      <c r="BM3475" t="s">
        <v>116</v>
      </c>
      <c r="BN3475">
        <v>22.79</v>
      </c>
      <c r="BO3475">
        <v>13.85</v>
      </c>
      <c r="BP3475">
        <v>0.41</v>
      </c>
      <c r="BQ3475">
        <v>37.44</v>
      </c>
      <c r="BR3475">
        <v>9.6199999999999992</v>
      </c>
      <c r="BS3475">
        <v>5.86</v>
      </c>
      <c r="BT3475">
        <v>1.95</v>
      </c>
      <c r="BU3475">
        <v>6.89</v>
      </c>
      <c r="BV3475">
        <v>1.37</v>
      </c>
      <c r="BW3475">
        <v>4.63</v>
      </c>
      <c r="BX3475">
        <v>3.01</v>
      </c>
      <c r="BY3475">
        <v>8.64</v>
      </c>
      <c r="BZ3475">
        <v>5.62</v>
      </c>
      <c r="CA3475">
        <v>1.52</v>
      </c>
      <c r="CB3475">
        <v>0.06</v>
      </c>
      <c r="CC3475">
        <v>1.51</v>
      </c>
      <c r="CD3475">
        <v>1.33</v>
      </c>
      <c r="CE3475">
        <v>1.34</v>
      </c>
      <c r="CF3475">
        <v>1.33</v>
      </c>
      <c r="CG3475">
        <v>3.13</v>
      </c>
      <c r="CH3475">
        <v>1.98</v>
      </c>
      <c r="CI3475">
        <v>-1.25</v>
      </c>
      <c r="CJ3475">
        <v>19323</v>
      </c>
      <c r="CK3475">
        <v>18136</v>
      </c>
      <c r="CL3475" t="s">
        <v>11081</v>
      </c>
      <c r="CM3475">
        <v>10.93</v>
      </c>
      <c r="CN3475">
        <v>3.38</v>
      </c>
      <c r="CO3475">
        <v>3.68</v>
      </c>
      <c r="CP3475">
        <v>25.34</v>
      </c>
      <c r="CQ3475">
        <v>5.8</v>
      </c>
      <c r="CR3475">
        <v>1.62</v>
      </c>
      <c r="CS3475" t="s">
        <v>556</v>
      </c>
      <c r="CT3475">
        <v>1.94</v>
      </c>
      <c r="CU3475">
        <v>1.94</v>
      </c>
      <c r="CV3475">
        <v>0.43</v>
      </c>
      <c r="CW3475">
        <v>0.45</v>
      </c>
      <c r="CX3475">
        <v>0.28000000000000003</v>
      </c>
      <c r="CY3475">
        <v>60.76</v>
      </c>
      <c r="CZ3475" t="s">
        <v>463</v>
      </c>
      <c r="DA3475">
        <v>34.89</v>
      </c>
      <c r="DB3475">
        <v>17.62</v>
      </c>
      <c r="DC3475">
        <v>15.56</v>
      </c>
      <c r="DD3475">
        <v>0.36</v>
      </c>
      <c r="DE3475">
        <v>1222</v>
      </c>
      <c r="DF3475">
        <v>603601</v>
      </c>
      <c r="DG3475" t="s">
        <v>116</v>
      </c>
      <c r="DH3475" t="s">
        <v>116</v>
      </c>
      <c r="DI3475" t="s">
        <v>116</v>
      </c>
    </row>
    <row r="3476" spans="1:113" x14ac:dyDescent="0.4">
      <c r="A3476" t="str">
        <f>"603602"</f>
        <v>603602</v>
      </c>
      <c r="B3476" t="s">
        <v>14622</v>
      </c>
      <c r="C3476">
        <v>-2.63</v>
      </c>
      <c r="D3476">
        <v>24.76</v>
      </c>
      <c r="E3476">
        <v>-0.67</v>
      </c>
      <c r="F3476">
        <v>24.76</v>
      </c>
      <c r="G3476">
        <v>24.78</v>
      </c>
      <c r="H3476">
        <v>124548</v>
      </c>
      <c r="I3476">
        <v>2404</v>
      </c>
      <c r="J3476">
        <v>-0.39</v>
      </c>
      <c r="K3476">
        <v>13.4</v>
      </c>
      <c r="L3476">
        <v>25.52</v>
      </c>
      <c r="M3476">
        <v>26.42</v>
      </c>
      <c r="N3476">
        <v>24.71</v>
      </c>
      <c r="O3476">
        <v>25.43</v>
      </c>
      <c r="P3476">
        <v>141.87</v>
      </c>
      <c r="Q3476">
        <v>319523392</v>
      </c>
      <c r="R3476">
        <v>1.03</v>
      </c>
      <c r="S3476" t="s">
        <v>465</v>
      </c>
      <c r="T3476" t="s">
        <v>590</v>
      </c>
      <c r="U3476">
        <v>6.72</v>
      </c>
      <c r="V3476">
        <v>25.65</v>
      </c>
      <c r="W3476">
        <v>66169</v>
      </c>
      <c r="X3476">
        <v>58379</v>
      </c>
      <c r="Y3476">
        <v>1.1299999999999999</v>
      </c>
      <c r="Z3476">
        <v>486</v>
      </c>
      <c r="AA3476">
        <v>25</v>
      </c>
      <c r="AB3476" t="s">
        <v>116</v>
      </c>
      <c r="AC3476">
        <v>2301900</v>
      </c>
      <c r="AD3476">
        <v>0.1</v>
      </c>
      <c r="AE3476" t="s">
        <v>116</v>
      </c>
      <c r="AF3476" t="s">
        <v>116</v>
      </c>
      <c r="AG3476">
        <v>0.93</v>
      </c>
      <c r="AH3476" t="s">
        <v>997</v>
      </c>
      <c r="AI3476" t="s">
        <v>990</v>
      </c>
      <c r="AJ3476">
        <v>-2.56</v>
      </c>
      <c r="AK3476">
        <v>3389</v>
      </c>
      <c r="AL3476">
        <v>37</v>
      </c>
      <c r="AM3476">
        <v>4.0000000000000001E-3</v>
      </c>
      <c r="AN3476">
        <v>-2</v>
      </c>
      <c r="AO3476">
        <v>-3.16</v>
      </c>
      <c r="AP3476">
        <v>4.87</v>
      </c>
      <c r="AQ3476">
        <v>2.15</v>
      </c>
      <c r="AR3476">
        <v>25.91</v>
      </c>
      <c r="AS3476">
        <v>13.4</v>
      </c>
      <c r="AT3476" t="s">
        <v>997</v>
      </c>
      <c r="AU3476">
        <v>95.86</v>
      </c>
      <c r="AV3476">
        <v>87.2</v>
      </c>
      <c r="AW3476">
        <v>1.26</v>
      </c>
      <c r="BA3476">
        <v>0.35</v>
      </c>
      <c r="BB3476">
        <v>3.89</v>
      </c>
      <c r="BC3476">
        <v>-2.83</v>
      </c>
      <c r="BD3476">
        <v>0.88</v>
      </c>
      <c r="BE3476">
        <v>-2.98</v>
      </c>
      <c r="BF3476">
        <v>-6.28</v>
      </c>
      <c r="BG3476">
        <v>0.2</v>
      </c>
      <c r="BH3476">
        <v>-3.52</v>
      </c>
      <c r="BI3476">
        <v>20191030</v>
      </c>
      <c r="BJ3476">
        <v>20170810</v>
      </c>
      <c r="BK3476">
        <v>1.57</v>
      </c>
      <c r="BL3476" t="s">
        <v>116</v>
      </c>
      <c r="BM3476" t="s">
        <v>116</v>
      </c>
      <c r="BN3476">
        <v>12.16</v>
      </c>
      <c r="BO3476">
        <v>6.89</v>
      </c>
      <c r="BP3476">
        <v>0.13</v>
      </c>
      <c r="BQ3476">
        <v>42.29</v>
      </c>
      <c r="BR3476">
        <v>10.8</v>
      </c>
      <c r="BS3476">
        <v>0.14000000000000001</v>
      </c>
      <c r="BT3476">
        <v>0</v>
      </c>
      <c r="BU3476">
        <v>5.14</v>
      </c>
      <c r="BV3476">
        <v>3.61</v>
      </c>
      <c r="BW3476">
        <v>3.04</v>
      </c>
      <c r="BX3476">
        <v>1.69</v>
      </c>
      <c r="BY3476">
        <v>5.75</v>
      </c>
      <c r="BZ3476">
        <v>4.91</v>
      </c>
      <c r="CA3476">
        <v>0.2</v>
      </c>
      <c r="CB3476">
        <v>0.02</v>
      </c>
      <c r="CC3476">
        <v>0.19</v>
      </c>
      <c r="CD3476">
        <v>0.16</v>
      </c>
      <c r="CE3476">
        <v>0.21</v>
      </c>
      <c r="CF3476">
        <v>0.17</v>
      </c>
      <c r="CG3476">
        <v>3.18</v>
      </c>
      <c r="CH3476">
        <v>-1.82</v>
      </c>
      <c r="CI3476">
        <v>-0.3</v>
      </c>
      <c r="CJ3476">
        <v>32018</v>
      </c>
      <c r="CK3476">
        <v>2902</v>
      </c>
      <c r="CL3476" t="s">
        <v>5747</v>
      </c>
      <c r="CM3476">
        <v>-16.39</v>
      </c>
      <c r="CN3476">
        <v>57.49</v>
      </c>
      <c r="CO3476">
        <v>5.63</v>
      </c>
      <c r="CP3476">
        <v>-21.35</v>
      </c>
      <c r="CQ3476">
        <v>6.76</v>
      </c>
      <c r="CR3476">
        <v>0.17</v>
      </c>
      <c r="CS3476" t="s">
        <v>5815</v>
      </c>
      <c r="CT3476">
        <v>4.4000000000000004</v>
      </c>
      <c r="CU3476">
        <v>0</v>
      </c>
      <c r="CV3476">
        <v>1.08</v>
      </c>
      <c r="CW3476">
        <v>2.0299999999999998</v>
      </c>
      <c r="CX3476">
        <v>-1.1599999999999999</v>
      </c>
      <c r="CY3476">
        <v>56.66</v>
      </c>
      <c r="CZ3476" t="s">
        <v>13987</v>
      </c>
      <c r="DA3476">
        <v>14.51</v>
      </c>
      <c r="DB3476">
        <v>3.41</v>
      </c>
      <c r="DC3476">
        <v>3.57</v>
      </c>
      <c r="DD3476">
        <v>0.27</v>
      </c>
      <c r="DE3476">
        <v>738</v>
      </c>
      <c r="DF3476">
        <v>603602</v>
      </c>
      <c r="DG3476" t="s">
        <v>116</v>
      </c>
      <c r="DH3476" t="s">
        <v>116</v>
      </c>
      <c r="DI3476" t="s">
        <v>116</v>
      </c>
    </row>
    <row r="3477" spans="1:113" x14ac:dyDescent="0.4">
      <c r="A3477" t="str">
        <f>"603603"</f>
        <v>603603</v>
      </c>
      <c r="B3477" t="s">
        <v>14623</v>
      </c>
      <c r="C3477">
        <v>-0.45</v>
      </c>
      <c r="D3477">
        <v>8.82</v>
      </c>
      <c r="E3477">
        <v>-0.04</v>
      </c>
      <c r="F3477">
        <v>8.81</v>
      </c>
      <c r="G3477">
        <v>8.82</v>
      </c>
      <c r="H3477">
        <v>41219</v>
      </c>
      <c r="I3477">
        <v>840</v>
      </c>
      <c r="J3477">
        <v>0</v>
      </c>
      <c r="K3477">
        <v>1.76</v>
      </c>
      <c r="L3477">
        <v>8.9</v>
      </c>
      <c r="M3477">
        <v>8.9499999999999993</v>
      </c>
      <c r="N3477">
        <v>8.7799999999999994</v>
      </c>
      <c r="O3477">
        <v>8.86</v>
      </c>
      <c r="P3477" t="s">
        <v>116</v>
      </c>
      <c r="Q3477">
        <v>36555604</v>
      </c>
      <c r="R3477">
        <v>1</v>
      </c>
      <c r="S3477" t="s">
        <v>140</v>
      </c>
      <c r="T3477" t="s">
        <v>165</v>
      </c>
      <c r="U3477">
        <v>1.92</v>
      </c>
      <c r="V3477">
        <v>8.8699999999999992</v>
      </c>
      <c r="W3477">
        <v>23323</v>
      </c>
      <c r="X3477">
        <v>17896</v>
      </c>
      <c r="Y3477">
        <v>1.3</v>
      </c>
      <c r="Z3477">
        <v>193</v>
      </c>
      <c r="AA3477">
        <v>323</v>
      </c>
      <c r="AB3477" t="s">
        <v>116</v>
      </c>
      <c r="AC3477">
        <v>70300</v>
      </c>
      <c r="AD3477">
        <v>0.01</v>
      </c>
      <c r="AE3477" t="s">
        <v>116</v>
      </c>
      <c r="AF3477" t="s">
        <v>116</v>
      </c>
      <c r="AG3477">
        <v>2.35</v>
      </c>
      <c r="AH3477" t="s">
        <v>3130</v>
      </c>
      <c r="AI3477" t="s">
        <v>3836</v>
      </c>
      <c r="AJ3477">
        <v>-0.37</v>
      </c>
      <c r="AK3477">
        <v>1471</v>
      </c>
      <c r="AL3477">
        <v>28</v>
      </c>
      <c r="AM3477">
        <v>1.1999999999999999E-3</v>
      </c>
      <c r="AN3477">
        <v>-1</v>
      </c>
      <c r="AO3477">
        <v>-0.56000000000000005</v>
      </c>
      <c r="AP3477">
        <v>-2.2200000000000002</v>
      </c>
      <c r="AQ3477">
        <v>-24.55</v>
      </c>
      <c r="AR3477">
        <v>-40</v>
      </c>
      <c r="AS3477">
        <v>3.73</v>
      </c>
      <c r="AT3477" t="s">
        <v>7509</v>
      </c>
      <c r="AU3477" t="s">
        <v>116</v>
      </c>
      <c r="AV3477">
        <v>19.93</v>
      </c>
      <c r="AW3477">
        <v>0.91</v>
      </c>
      <c r="BA3477">
        <v>0.45</v>
      </c>
      <c r="BB3477">
        <v>1.02</v>
      </c>
      <c r="BC3477">
        <v>-0.9</v>
      </c>
      <c r="BD3477">
        <v>0.1</v>
      </c>
      <c r="BE3477">
        <v>-0.9</v>
      </c>
      <c r="BF3477">
        <v>-1.45</v>
      </c>
      <c r="BG3477">
        <v>0.46</v>
      </c>
      <c r="BH3477">
        <v>-0.55000000000000004</v>
      </c>
      <c r="BI3477">
        <v>20191030</v>
      </c>
      <c r="BJ3477">
        <v>20170217</v>
      </c>
      <c r="BK3477">
        <v>4.18</v>
      </c>
      <c r="BL3477" t="s">
        <v>116</v>
      </c>
      <c r="BM3477" t="s">
        <v>116</v>
      </c>
      <c r="BN3477">
        <v>126.96</v>
      </c>
      <c r="BO3477">
        <v>14.4</v>
      </c>
      <c r="BP3477">
        <v>7.83</v>
      </c>
      <c r="BQ3477">
        <v>82.48</v>
      </c>
      <c r="BR3477">
        <v>45.35</v>
      </c>
      <c r="BS3477">
        <v>1.83</v>
      </c>
      <c r="BT3477">
        <v>22.88</v>
      </c>
      <c r="BU3477">
        <v>70.790000000000006</v>
      </c>
      <c r="BV3477">
        <v>10.99</v>
      </c>
      <c r="BW3477">
        <v>17.28</v>
      </c>
      <c r="BX3477">
        <v>5.68</v>
      </c>
      <c r="BY3477">
        <v>16.690000000000001</v>
      </c>
      <c r="BZ3477">
        <v>14.79</v>
      </c>
      <c r="CA3477">
        <v>-2.89</v>
      </c>
      <c r="CB3477">
        <v>0.4</v>
      </c>
      <c r="CC3477">
        <v>-2.9</v>
      </c>
      <c r="CD3477">
        <v>-2.48</v>
      </c>
      <c r="CE3477">
        <v>-2.4</v>
      </c>
      <c r="CF3477">
        <v>-2.79</v>
      </c>
      <c r="CG3477">
        <v>4.13</v>
      </c>
      <c r="CH3477">
        <v>2.72</v>
      </c>
      <c r="CI3477">
        <v>0.48</v>
      </c>
      <c r="CJ3477">
        <v>22223</v>
      </c>
      <c r="CK3477">
        <v>4972</v>
      </c>
      <c r="CL3477" t="s">
        <v>2055</v>
      </c>
      <c r="CM3477">
        <v>-251.06</v>
      </c>
      <c r="CN3477">
        <v>-42.85</v>
      </c>
      <c r="CO3477">
        <v>2.56</v>
      </c>
      <c r="CP3477">
        <v>13.55</v>
      </c>
      <c r="CQ3477">
        <v>2.21</v>
      </c>
      <c r="CR3477">
        <v>1.0900000000000001</v>
      </c>
      <c r="CS3477" t="s">
        <v>14624</v>
      </c>
      <c r="CT3477">
        <v>3.45</v>
      </c>
      <c r="CU3477">
        <v>0</v>
      </c>
      <c r="CV3477">
        <v>1.36</v>
      </c>
      <c r="CW3477">
        <v>0.99</v>
      </c>
      <c r="CX3477">
        <v>0.65</v>
      </c>
      <c r="CY3477">
        <v>11.35</v>
      </c>
      <c r="CZ3477" t="s">
        <v>14625</v>
      </c>
      <c r="DA3477">
        <v>11.36</v>
      </c>
      <c r="DB3477">
        <v>-17.329999999999998</v>
      </c>
      <c r="DC3477">
        <v>-14.41</v>
      </c>
      <c r="DD3477">
        <v>0.45</v>
      </c>
      <c r="DE3477">
        <v>2149</v>
      </c>
      <c r="DF3477">
        <v>603603</v>
      </c>
      <c r="DG3477" t="s">
        <v>116</v>
      </c>
      <c r="DH3477" t="s">
        <v>116</v>
      </c>
      <c r="DI3477" t="s">
        <v>116</v>
      </c>
    </row>
    <row r="3478" spans="1:113" x14ac:dyDescent="0.4">
      <c r="A3478" t="str">
        <f>"603605"</f>
        <v>603605</v>
      </c>
      <c r="B3478" t="s">
        <v>14626</v>
      </c>
      <c r="C3478">
        <v>-0.17</v>
      </c>
      <c r="D3478">
        <v>88.81</v>
      </c>
      <c r="E3478">
        <v>-0.15</v>
      </c>
      <c r="F3478">
        <v>88.8</v>
      </c>
      <c r="G3478">
        <v>88.81</v>
      </c>
      <c r="H3478">
        <v>12413</v>
      </c>
      <c r="I3478">
        <v>95</v>
      </c>
      <c r="J3478">
        <v>-0.09</v>
      </c>
      <c r="K3478">
        <v>2</v>
      </c>
      <c r="L3478">
        <v>88.9</v>
      </c>
      <c r="M3478">
        <v>90.5</v>
      </c>
      <c r="N3478">
        <v>88.8</v>
      </c>
      <c r="O3478">
        <v>88.96</v>
      </c>
      <c r="P3478">
        <v>55.85</v>
      </c>
      <c r="Q3478">
        <v>111213640</v>
      </c>
      <c r="R3478">
        <v>1.2</v>
      </c>
      <c r="S3478" t="s">
        <v>953</v>
      </c>
      <c r="T3478" t="s">
        <v>590</v>
      </c>
      <c r="U3478">
        <v>1.91</v>
      </c>
      <c r="V3478">
        <v>89.6</v>
      </c>
      <c r="W3478">
        <v>5463</v>
      </c>
      <c r="X3478">
        <v>6950</v>
      </c>
      <c r="Y3478">
        <v>0.79</v>
      </c>
      <c r="Z3478">
        <v>280</v>
      </c>
      <c r="AA3478">
        <v>17</v>
      </c>
      <c r="AB3478" t="s">
        <v>116</v>
      </c>
      <c r="AC3478">
        <v>177800</v>
      </c>
      <c r="AD3478">
        <v>0</v>
      </c>
      <c r="AE3478" t="s">
        <v>116</v>
      </c>
      <c r="AF3478" t="s">
        <v>116</v>
      </c>
      <c r="AG3478">
        <v>0.62</v>
      </c>
      <c r="AH3478" t="s">
        <v>14627</v>
      </c>
      <c r="AI3478" t="s">
        <v>14628</v>
      </c>
      <c r="AJ3478">
        <v>-0.09</v>
      </c>
      <c r="AK3478">
        <v>1876</v>
      </c>
      <c r="AL3478">
        <v>7</v>
      </c>
      <c r="AM3478">
        <v>1.1000000000000001E-3</v>
      </c>
      <c r="AN3478">
        <v>-3</v>
      </c>
      <c r="AO3478">
        <v>-1.95</v>
      </c>
      <c r="AP3478">
        <v>5.75</v>
      </c>
      <c r="AQ3478">
        <v>9.6300000000000008</v>
      </c>
      <c r="AR3478">
        <v>103.51</v>
      </c>
      <c r="AS3478">
        <v>2</v>
      </c>
      <c r="AT3478" t="s">
        <v>14627</v>
      </c>
      <c r="AU3478">
        <v>51.75</v>
      </c>
      <c r="AV3478">
        <v>62.24</v>
      </c>
      <c r="AW3478">
        <v>0.88</v>
      </c>
      <c r="BA3478">
        <v>-7.0000000000000007E-2</v>
      </c>
      <c r="BB3478">
        <v>1.73</v>
      </c>
      <c r="BC3478">
        <v>-0.18</v>
      </c>
      <c r="BD3478">
        <v>0.72</v>
      </c>
      <c r="BE3478">
        <v>-0.1</v>
      </c>
      <c r="BF3478">
        <v>-1.87</v>
      </c>
      <c r="BG3478">
        <v>0.01</v>
      </c>
      <c r="BH3478">
        <v>-0.88</v>
      </c>
      <c r="BI3478">
        <v>20191211</v>
      </c>
      <c r="BJ3478">
        <v>20171115</v>
      </c>
      <c r="BK3478">
        <v>2.0099999999999998</v>
      </c>
      <c r="BL3478" t="s">
        <v>116</v>
      </c>
      <c r="BM3478" t="s">
        <v>116</v>
      </c>
      <c r="BN3478">
        <v>27.04</v>
      </c>
      <c r="BO3478">
        <v>18.649999999999999</v>
      </c>
      <c r="BP3478">
        <v>0.18</v>
      </c>
      <c r="BQ3478">
        <v>30.36</v>
      </c>
      <c r="BR3478">
        <v>16.329999999999998</v>
      </c>
      <c r="BS3478">
        <v>5.88</v>
      </c>
      <c r="BT3478">
        <v>3.21</v>
      </c>
      <c r="BU3478">
        <v>7.49</v>
      </c>
      <c r="BV3478">
        <v>2.81</v>
      </c>
      <c r="BW3478">
        <v>1.26</v>
      </c>
      <c r="BX3478">
        <v>8.31</v>
      </c>
      <c r="BY3478">
        <v>20.8</v>
      </c>
      <c r="BZ3478">
        <v>7.52</v>
      </c>
      <c r="CA3478">
        <v>2.96</v>
      </c>
      <c r="CB3478">
        <v>0</v>
      </c>
      <c r="CC3478">
        <v>2.93</v>
      </c>
      <c r="CD3478">
        <v>2.33</v>
      </c>
      <c r="CE3478">
        <v>2.4</v>
      </c>
      <c r="CF3478">
        <v>2.38</v>
      </c>
      <c r="CG3478">
        <v>7.88</v>
      </c>
      <c r="CH3478">
        <v>0.73</v>
      </c>
      <c r="CI3478">
        <v>-2.58</v>
      </c>
      <c r="CJ3478">
        <v>9770</v>
      </c>
      <c r="CK3478">
        <v>6355</v>
      </c>
      <c r="CL3478" t="s">
        <v>14629</v>
      </c>
      <c r="CM3478">
        <v>32.04</v>
      </c>
      <c r="CN3478">
        <v>33.35</v>
      </c>
      <c r="CO3478">
        <v>9.58</v>
      </c>
      <c r="CP3478">
        <v>246.04</v>
      </c>
      <c r="CQ3478">
        <v>8.59</v>
      </c>
      <c r="CR3478">
        <v>0.48</v>
      </c>
      <c r="CS3478" t="s">
        <v>10405</v>
      </c>
      <c r="CT3478">
        <v>9.27</v>
      </c>
      <c r="CU3478">
        <v>0</v>
      </c>
      <c r="CV3478">
        <v>4.13</v>
      </c>
      <c r="CW3478">
        <v>3.91</v>
      </c>
      <c r="CX3478">
        <v>0.36</v>
      </c>
      <c r="CY3478">
        <v>68.98</v>
      </c>
      <c r="CZ3478" t="s">
        <v>7953</v>
      </c>
      <c r="DA3478">
        <v>63.85</v>
      </c>
      <c r="DB3478">
        <v>14.25</v>
      </c>
      <c r="DC3478">
        <v>11.54</v>
      </c>
      <c r="DD3478">
        <v>0.47</v>
      </c>
      <c r="DE3478">
        <v>2720</v>
      </c>
      <c r="DF3478">
        <v>603605</v>
      </c>
      <c r="DG3478" t="s">
        <v>116</v>
      </c>
      <c r="DH3478" t="s">
        <v>116</v>
      </c>
      <c r="DI3478" t="s">
        <v>116</v>
      </c>
    </row>
    <row r="3479" spans="1:113" x14ac:dyDescent="0.4">
      <c r="A3479" t="str">
        <f>"603606"</f>
        <v>603606</v>
      </c>
      <c r="B3479" t="s">
        <v>14630</v>
      </c>
      <c r="C3479">
        <v>-1.62</v>
      </c>
      <c r="D3479">
        <v>10.9</v>
      </c>
      <c r="E3479">
        <v>-0.18</v>
      </c>
      <c r="F3479">
        <v>10.89</v>
      </c>
      <c r="G3479">
        <v>10.9</v>
      </c>
      <c r="H3479">
        <v>78571</v>
      </c>
      <c r="I3479">
        <v>321</v>
      </c>
      <c r="J3479">
        <v>-0.54</v>
      </c>
      <c r="K3479">
        <v>1.23</v>
      </c>
      <c r="L3479">
        <v>11.11</v>
      </c>
      <c r="M3479">
        <v>11.15</v>
      </c>
      <c r="N3479">
        <v>10.84</v>
      </c>
      <c r="O3479">
        <v>11.08</v>
      </c>
      <c r="P3479">
        <v>17.68</v>
      </c>
      <c r="Q3479">
        <v>86380800</v>
      </c>
      <c r="R3479">
        <v>1.28</v>
      </c>
      <c r="S3479" t="s">
        <v>397</v>
      </c>
      <c r="T3479" t="s">
        <v>590</v>
      </c>
      <c r="U3479">
        <v>2.8</v>
      </c>
      <c r="V3479">
        <v>10.99</v>
      </c>
      <c r="W3479">
        <v>42210</v>
      </c>
      <c r="X3479">
        <v>36361</v>
      </c>
      <c r="Y3479">
        <v>1.1599999999999999</v>
      </c>
      <c r="Z3479">
        <v>59</v>
      </c>
      <c r="AA3479">
        <v>135</v>
      </c>
      <c r="AB3479" t="s">
        <v>116</v>
      </c>
      <c r="AC3479">
        <v>80000</v>
      </c>
      <c r="AD3479">
        <v>0</v>
      </c>
      <c r="AE3479" t="s">
        <v>116</v>
      </c>
      <c r="AF3479" t="s">
        <v>116</v>
      </c>
      <c r="AG3479">
        <v>6.39</v>
      </c>
      <c r="AH3479" t="s">
        <v>14631</v>
      </c>
      <c r="AI3479" t="s">
        <v>14632</v>
      </c>
      <c r="AJ3479">
        <v>-1.55</v>
      </c>
      <c r="AK3479">
        <v>3004</v>
      </c>
      <c r="AL3479">
        <v>26</v>
      </c>
      <c r="AM3479">
        <v>4.0000000000000002E-4</v>
      </c>
      <c r="AN3479">
        <v>-2</v>
      </c>
      <c r="AO3479">
        <v>-1.89</v>
      </c>
      <c r="AP3479">
        <v>6.76</v>
      </c>
      <c r="AQ3479">
        <v>-8.56</v>
      </c>
      <c r="AR3479">
        <v>60.57</v>
      </c>
      <c r="AS3479">
        <v>2.34</v>
      </c>
      <c r="AT3479" t="s">
        <v>5093</v>
      </c>
      <c r="AU3479">
        <v>19.89</v>
      </c>
      <c r="AV3479">
        <v>41.59</v>
      </c>
      <c r="AW3479">
        <v>1.44</v>
      </c>
      <c r="BA3479">
        <v>0.27</v>
      </c>
      <c r="BB3479">
        <v>0.63</v>
      </c>
      <c r="BC3479">
        <v>-2.17</v>
      </c>
      <c r="BD3479">
        <v>-0.78</v>
      </c>
      <c r="BE3479">
        <v>-1.89</v>
      </c>
      <c r="BF3479">
        <v>-2.2400000000000002</v>
      </c>
      <c r="BG3479">
        <v>0.55000000000000004</v>
      </c>
      <c r="BH3479">
        <v>-0.85</v>
      </c>
      <c r="BI3479">
        <v>20191026</v>
      </c>
      <c r="BJ3479">
        <v>20141015</v>
      </c>
      <c r="BK3479">
        <v>6.54</v>
      </c>
      <c r="BL3479" t="s">
        <v>116</v>
      </c>
      <c r="BM3479" t="s">
        <v>116</v>
      </c>
      <c r="BN3479">
        <v>38.92</v>
      </c>
      <c r="BO3479">
        <v>19.8</v>
      </c>
      <c r="BP3479">
        <v>0.04</v>
      </c>
      <c r="BQ3479">
        <v>49.03</v>
      </c>
      <c r="BR3479">
        <v>31.06</v>
      </c>
      <c r="BS3479">
        <v>4.75</v>
      </c>
      <c r="BT3479">
        <v>2.09</v>
      </c>
      <c r="BU3479">
        <v>18.59</v>
      </c>
      <c r="BV3479">
        <v>6.29</v>
      </c>
      <c r="BW3479">
        <v>15.57</v>
      </c>
      <c r="BX3479">
        <v>4.7</v>
      </c>
      <c r="BY3479">
        <v>25.68</v>
      </c>
      <c r="BZ3479">
        <v>19.27</v>
      </c>
      <c r="CA3479">
        <v>3.57</v>
      </c>
      <c r="CB3479">
        <v>0</v>
      </c>
      <c r="CC3479">
        <v>3.52</v>
      </c>
      <c r="CD3479">
        <v>3.02</v>
      </c>
      <c r="CE3479">
        <v>3.02</v>
      </c>
      <c r="CF3479">
        <v>2.99</v>
      </c>
      <c r="CG3479">
        <v>7.73</v>
      </c>
      <c r="CH3479">
        <v>0.02</v>
      </c>
      <c r="CI3479">
        <v>-5.0199999999999996</v>
      </c>
      <c r="CJ3479">
        <v>29569</v>
      </c>
      <c r="CK3479">
        <v>11376</v>
      </c>
      <c r="CL3479" t="s">
        <v>13927</v>
      </c>
      <c r="CM3479">
        <v>162.31</v>
      </c>
      <c r="CN3479">
        <v>17.32</v>
      </c>
      <c r="CO3479">
        <v>3.6</v>
      </c>
      <c r="CP3479">
        <v>3501.66</v>
      </c>
      <c r="CQ3479">
        <v>2.78</v>
      </c>
      <c r="CR3479">
        <v>0.74</v>
      </c>
      <c r="CS3479" t="s">
        <v>14633</v>
      </c>
      <c r="CT3479">
        <v>3.03</v>
      </c>
      <c r="CU3479">
        <v>0</v>
      </c>
      <c r="CV3479">
        <v>0.72</v>
      </c>
      <c r="CW3479">
        <v>1.18</v>
      </c>
      <c r="CX3479">
        <v>0</v>
      </c>
      <c r="CY3479">
        <v>50.87</v>
      </c>
      <c r="CZ3479" t="s">
        <v>14634</v>
      </c>
      <c r="DA3479">
        <v>24.98</v>
      </c>
      <c r="DB3479">
        <v>13.89</v>
      </c>
      <c r="DC3479">
        <v>11.77</v>
      </c>
      <c r="DD3479">
        <v>0.89</v>
      </c>
      <c r="DE3479">
        <v>912</v>
      </c>
      <c r="DF3479">
        <v>603606</v>
      </c>
      <c r="DG3479" t="s">
        <v>116</v>
      </c>
      <c r="DH3479" t="s">
        <v>116</v>
      </c>
      <c r="DI3479" t="s">
        <v>116</v>
      </c>
    </row>
    <row r="3480" spans="1:113" x14ac:dyDescent="0.4">
      <c r="A3480" t="str">
        <f>"603607"</f>
        <v>603607</v>
      </c>
      <c r="B3480" t="s">
        <v>14635</v>
      </c>
      <c r="C3480">
        <v>-2.42</v>
      </c>
      <c r="D3480">
        <v>21.81</v>
      </c>
      <c r="E3480">
        <v>-0.54</v>
      </c>
      <c r="F3480">
        <v>21.81</v>
      </c>
      <c r="G3480">
        <v>21.82</v>
      </c>
      <c r="H3480">
        <v>31129</v>
      </c>
      <c r="I3480">
        <v>833</v>
      </c>
      <c r="J3480">
        <v>-0.04</v>
      </c>
      <c r="K3480">
        <v>9.76</v>
      </c>
      <c r="L3480">
        <v>22.28</v>
      </c>
      <c r="M3480">
        <v>22.55</v>
      </c>
      <c r="N3480">
        <v>21.77</v>
      </c>
      <c r="O3480">
        <v>22.35</v>
      </c>
      <c r="P3480">
        <v>30.35</v>
      </c>
      <c r="Q3480">
        <v>69033760</v>
      </c>
      <c r="R3480">
        <v>0.77</v>
      </c>
      <c r="S3480" t="s">
        <v>824</v>
      </c>
      <c r="T3480" t="s">
        <v>590</v>
      </c>
      <c r="U3480">
        <v>3.49</v>
      </c>
      <c r="V3480">
        <v>22.18</v>
      </c>
      <c r="W3480">
        <v>19252</v>
      </c>
      <c r="X3480">
        <v>11877</v>
      </c>
      <c r="Y3480">
        <v>1.62</v>
      </c>
      <c r="Z3480">
        <v>250</v>
      </c>
      <c r="AA3480">
        <v>36</v>
      </c>
      <c r="AB3480" t="s">
        <v>116</v>
      </c>
      <c r="AC3480">
        <v>599300</v>
      </c>
      <c r="AD3480">
        <v>0.08</v>
      </c>
      <c r="AE3480" t="s">
        <v>116</v>
      </c>
      <c r="AF3480" t="s">
        <v>116</v>
      </c>
      <c r="AG3480">
        <v>0.32</v>
      </c>
      <c r="AH3480" t="s">
        <v>4082</v>
      </c>
      <c r="AI3480" t="s">
        <v>14636</v>
      </c>
      <c r="AJ3480">
        <v>-2.34</v>
      </c>
      <c r="AK3480">
        <v>1787</v>
      </c>
      <c r="AL3480">
        <v>17</v>
      </c>
      <c r="AM3480">
        <v>5.4999999999999997E-3</v>
      </c>
      <c r="AN3480">
        <v>-3</v>
      </c>
      <c r="AO3480">
        <v>-6</v>
      </c>
      <c r="AP3480">
        <v>0.93</v>
      </c>
      <c r="AQ3480">
        <v>6.75</v>
      </c>
      <c r="AR3480">
        <v>21.78</v>
      </c>
      <c r="AS3480">
        <v>9.76</v>
      </c>
      <c r="AT3480" t="s">
        <v>4082</v>
      </c>
      <c r="AU3480">
        <v>27.99</v>
      </c>
      <c r="AV3480">
        <v>29.04</v>
      </c>
      <c r="AW3480">
        <v>1</v>
      </c>
      <c r="BA3480">
        <v>-0.31</v>
      </c>
      <c r="BB3480">
        <v>0.89</v>
      </c>
      <c r="BC3480">
        <v>-2.6</v>
      </c>
      <c r="BD3480">
        <v>-0.78</v>
      </c>
      <c r="BE3480">
        <v>-2.11</v>
      </c>
      <c r="BF3480">
        <v>-3.28</v>
      </c>
      <c r="BG3480">
        <v>0.18</v>
      </c>
      <c r="BH3480">
        <v>-1.64</v>
      </c>
      <c r="BI3480">
        <v>20191029</v>
      </c>
      <c r="BJ3480">
        <v>20171025</v>
      </c>
      <c r="BK3480">
        <v>1.28</v>
      </c>
      <c r="BL3480" t="s">
        <v>116</v>
      </c>
      <c r="BM3480" t="s">
        <v>116</v>
      </c>
      <c r="BN3480">
        <v>9.9499999999999993</v>
      </c>
      <c r="BO3480">
        <v>7.97</v>
      </c>
      <c r="BP3480">
        <v>0</v>
      </c>
      <c r="BQ3480">
        <v>19.88</v>
      </c>
      <c r="BR3480">
        <v>5.85</v>
      </c>
      <c r="BS3480">
        <v>1.99</v>
      </c>
      <c r="BT3480">
        <v>0.47</v>
      </c>
      <c r="BU3480">
        <v>1.91</v>
      </c>
      <c r="BV3480">
        <v>1.03</v>
      </c>
      <c r="BW3480">
        <v>1.58</v>
      </c>
      <c r="BX3480">
        <v>4.24</v>
      </c>
      <c r="BY3480">
        <v>4.57</v>
      </c>
      <c r="BZ3480">
        <v>3.06</v>
      </c>
      <c r="CA3480">
        <v>0.74</v>
      </c>
      <c r="CB3480">
        <v>0.05</v>
      </c>
      <c r="CC3480">
        <v>0.76</v>
      </c>
      <c r="CD3480">
        <v>0.69</v>
      </c>
      <c r="CE3480">
        <v>0.69</v>
      </c>
      <c r="CF3480">
        <v>0.62</v>
      </c>
      <c r="CG3480">
        <v>2.2599999999999998</v>
      </c>
      <c r="CH3480">
        <v>1.1200000000000001</v>
      </c>
      <c r="CI3480">
        <v>-0.85</v>
      </c>
      <c r="CJ3480">
        <v>11158</v>
      </c>
      <c r="CK3480">
        <v>2858</v>
      </c>
      <c r="CL3480" t="s">
        <v>12884</v>
      </c>
      <c r="CM3480">
        <v>5.51</v>
      </c>
      <c r="CN3480">
        <v>13.37</v>
      </c>
      <c r="CO3480">
        <v>3.49</v>
      </c>
      <c r="CP3480">
        <v>24.83</v>
      </c>
      <c r="CQ3480">
        <v>6.09</v>
      </c>
      <c r="CR3480">
        <v>1.38</v>
      </c>
      <c r="CS3480" t="s">
        <v>14637</v>
      </c>
      <c r="CT3480">
        <v>6.25</v>
      </c>
      <c r="CU3480">
        <v>0</v>
      </c>
      <c r="CV3480">
        <v>3.33</v>
      </c>
      <c r="CW3480">
        <v>1.78</v>
      </c>
      <c r="CX3480">
        <v>0.88</v>
      </c>
      <c r="CY3480">
        <v>80.09</v>
      </c>
      <c r="CZ3480" t="s">
        <v>14638</v>
      </c>
      <c r="DA3480">
        <v>33.130000000000003</v>
      </c>
      <c r="DB3480">
        <v>16.260000000000002</v>
      </c>
      <c r="DC3480">
        <v>15.04</v>
      </c>
      <c r="DD3480">
        <v>0.46</v>
      </c>
      <c r="DE3480">
        <v>403</v>
      </c>
      <c r="DF3480">
        <v>603607</v>
      </c>
      <c r="DG3480" t="s">
        <v>116</v>
      </c>
      <c r="DH3480" t="s">
        <v>116</v>
      </c>
      <c r="DI3480" t="s">
        <v>116</v>
      </c>
    </row>
    <row r="3481" spans="1:113" x14ac:dyDescent="0.4">
      <c r="A3481" t="str">
        <f>"603608"</f>
        <v>603608</v>
      </c>
      <c r="B3481" t="s">
        <v>14639</v>
      </c>
      <c r="C3481">
        <v>10.050000000000001</v>
      </c>
      <c r="D3481">
        <v>8.43</v>
      </c>
      <c r="E3481">
        <v>0.77</v>
      </c>
      <c r="F3481">
        <v>8.43</v>
      </c>
      <c r="G3481" t="s">
        <v>116</v>
      </c>
      <c r="H3481">
        <v>167865</v>
      </c>
      <c r="I3481">
        <v>654</v>
      </c>
      <c r="J3481">
        <v>0</v>
      </c>
      <c r="K3481">
        <v>5.3</v>
      </c>
      <c r="L3481">
        <v>7.93</v>
      </c>
      <c r="M3481">
        <v>8.43</v>
      </c>
      <c r="N3481">
        <v>7.85</v>
      </c>
      <c r="O3481">
        <v>7.66</v>
      </c>
      <c r="P3481">
        <v>15.88</v>
      </c>
      <c r="Q3481">
        <v>138259680</v>
      </c>
      <c r="R3481">
        <v>1.47</v>
      </c>
      <c r="S3481" t="s">
        <v>3070</v>
      </c>
      <c r="T3481" t="s">
        <v>551</v>
      </c>
      <c r="U3481">
        <v>7.57</v>
      </c>
      <c r="V3481">
        <v>8.24</v>
      </c>
      <c r="W3481">
        <v>108273</v>
      </c>
      <c r="X3481">
        <v>59592</v>
      </c>
      <c r="Y3481">
        <v>1.82</v>
      </c>
      <c r="Z3481">
        <v>13889</v>
      </c>
      <c r="AA3481">
        <v>0</v>
      </c>
      <c r="AB3481" t="s">
        <v>116</v>
      </c>
      <c r="AC3481">
        <v>6716700</v>
      </c>
      <c r="AD3481">
        <v>0.55000000000000004</v>
      </c>
      <c r="AE3481">
        <v>0.08</v>
      </c>
      <c r="AF3481">
        <v>11708427</v>
      </c>
      <c r="AG3481">
        <v>3.17</v>
      </c>
      <c r="AH3481" t="s">
        <v>539</v>
      </c>
      <c r="AI3481" t="s">
        <v>11581</v>
      </c>
      <c r="AJ3481">
        <v>10.130000000000001</v>
      </c>
      <c r="AK3481">
        <v>971</v>
      </c>
      <c r="AL3481">
        <v>173</v>
      </c>
      <c r="AM3481">
        <v>5.4999999999999997E-3</v>
      </c>
      <c r="AN3481">
        <v>2</v>
      </c>
      <c r="AO3481">
        <v>17.09</v>
      </c>
      <c r="AP3481">
        <v>38.200000000000003</v>
      </c>
      <c r="AQ3481">
        <v>34.880000000000003</v>
      </c>
      <c r="AR3481">
        <v>-22.02</v>
      </c>
      <c r="AS3481">
        <v>10.9</v>
      </c>
      <c r="AT3481" t="s">
        <v>9832</v>
      </c>
      <c r="AU3481">
        <v>15.99</v>
      </c>
      <c r="AV3481">
        <v>15.02</v>
      </c>
      <c r="AW3481">
        <v>1.52</v>
      </c>
      <c r="BA3481">
        <v>3.52</v>
      </c>
      <c r="BB3481">
        <v>10.050000000000001</v>
      </c>
      <c r="BC3481">
        <v>2.48</v>
      </c>
      <c r="BD3481">
        <v>7.52</v>
      </c>
      <c r="BE3481">
        <v>6.31</v>
      </c>
      <c r="BF3481">
        <v>0</v>
      </c>
      <c r="BG3481">
        <v>7.39</v>
      </c>
      <c r="BH3481">
        <v>2.5299999999999998</v>
      </c>
      <c r="BI3481">
        <v>20191026</v>
      </c>
      <c r="BJ3481">
        <v>20160218</v>
      </c>
      <c r="BK3481">
        <v>4.3099999999999996</v>
      </c>
      <c r="BL3481" t="s">
        <v>116</v>
      </c>
      <c r="BM3481" t="s">
        <v>116</v>
      </c>
      <c r="BN3481">
        <v>26.14</v>
      </c>
      <c r="BO3481">
        <v>21.2</v>
      </c>
      <c r="BP3481">
        <v>0.21</v>
      </c>
      <c r="BQ3481">
        <v>18.09</v>
      </c>
      <c r="BR3481">
        <v>12.68</v>
      </c>
      <c r="BS3481">
        <v>3.71</v>
      </c>
      <c r="BT3481">
        <v>0.89</v>
      </c>
      <c r="BU3481">
        <v>4.5999999999999996</v>
      </c>
      <c r="BV3481">
        <v>4.8</v>
      </c>
      <c r="BW3481">
        <v>2.74</v>
      </c>
      <c r="BX3481">
        <v>11.08</v>
      </c>
      <c r="BY3481">
        <v>15.11</v>
      </c>
      <c r="BZ3481">
        <v>6.88</v>
      </c>
      <c r="CA3481">
        <v>1.97</v>
      </c>
      <c r="CB3481">
        <v>0.05</v>
      </c>
      <c r="CC3481">
        <v>1.98</v>
      </c>
      <c r="CD3481">
        <v>1.73</v>
      </c>
      <c r="CE3481">
        <v>1.72</v>
      </c>
      <c r="CF3481">
        <v>1.56</v>
      </c>
      <c r="CG3481">
        <v>6.12</v>
      </c>
      <c r="CH3481">
        <v>2.02</v>
      </c>
      <c r="CI3481">
        <v>-1.47</v>
      </c>
      <c r="CJ3481">
        <v>21693</v>
      </c>
      <c r="CK3481">
        <v>7102</v>
      </c>
      <c r="CL3481" t="s">
        <v>3973</v>
      </c>
      <c r="CM3481">
        <v>-7.88</v>
      </c>
      <c r="CN3481">
        <v>2.89</v>
      </c>
      <c r="CO3481">
        <v>1.72</v>
      </c>
      <c r="CP3481">
        <v>17.97</v>
      </c>
      <c r="CQ3481">
        <v>2.41</v>
      </c>
      <c r="CR3481">
        <v>2.9</v>
      </c>
      <c r="CS3481" t="s">
        <v>335</v>
      </c>
      <c r="CT3481">
        <v>4.92</v>
      </c>
      <c r="CU3481">
        <v>0</v>
      </c>
      <c r="CV3481">
        <v>2.57</v>
      </c>
      <c r="CW3481">
        <v>1.42</v>
      </c>
      <c r="CX3481">
        <v>0.47</v>
      </c>
      <c r="CY3481">
        <v>81.13</v>
      </c>
      <c r="CZ3481" t="s">
        <v>10379</v>
      </c>
      <c r="DA3481">
        <v>54.44</v>
      </c>
      <c r="DB3481">
        <v>13.05</v>
      </c>
      <c r="DC3481">
        <v>11.37</v>
      </c>
      <c r="DD3481">
        <v>0.28999999999999998</v>
      </c>
      <c r="DE3481">
        <v>7116</v>
      </c>
      <c r="DF3481">
        <v>603608</v>
      </c>
      <c r="DG3481" t="s">
        <v>116</v>
      </c>
      <c r="DH3481" t="s">
        <v>116</v>
      </c>
      <c r="DI3481" t="s">
        <v>116</v>
      </c>
    </row>
    <row r="3482" spans="1:113" x14ac:dyDescent="0.4">
      <c r="A3482" t="str">
        <f>"603609"</f>
        <v>603609</v>
      </c>
      <c r="B3482" t="s">
        <v>14640</v>
      </c>
      <c r="C3482">
        <v>0.52</v>
      </c>
      <c r="D3482">
        <v>11.64</v>
      </c>
      <c r="E3482">
        <v>0.06</v>
      </c>
      <c r="F3482">
        <v>11.63</v>
      </c>
      <c r="G3482">
        <v>11.64</v>
      </c>
      <c r="H3482">
        <v>49627</v>
      </c>
      <c r="I3482">
        <v>304</v>
      </c>
      <c r="J3482">
        <v>0.09</v>
      </c>
      <c r="K3482">
        <v>0.6</v>
      </c>
      <c r="L3482">
        <v>11.57</v>
      </c>
      <c r="M3482">
        <v>11.74</v>
      </c>
      <c r="N3482">
        <v>11.51</v>
      </c>
      <c r="O3482">
        <v>11.58</v>
      </c>
      <c r="P3482">
        <v>11.29</v>
      </c>
      <c r="Q3482">
        <v>57696868</v>
      </c>
      <c r="R3482">
        <v>1</v>
      </c>
      <c r="S3482" t="s">
        <v>389</v>
      </c>
      <c r="T3482" t="s">
        <v>434</v>
      </c>
      <c r="U3482">
        <v>1.99</v>
      </c>
      <c r="V3482">
        <v>11.63</v>
      </c>
      <c r="W3482">
        <v>24943</v>
      </c>
      <c r="X3482">
        <v>24684</v>
      </c>
      <c r="Y3482">
        <v>1.01</v>
      </c>
      <c r="Z3482">
        <v>199</v>
      </c>
      <c r="AA3482">
        <v>401</v>
      </c>
      <c r="AB3482" t="s">
        <v>116</v>
      </c>
      <c r="AC3482">
        <v>386400</v>
      </c>
      <c r="AD3482">
        <v>0.01</v>
      </c>
      <c r="AE3482" t="s">
        <v>116</v>
      </c>
      <c r="AF3482" t="s">
        <v>116</v>
      </c>
      <c r="AG3482">
        <v>8.31</v>
      </c>
      <c r="AH3482" t="s">
        <v>14641</v>
      </c>
      <c r="AI3482" t="s">
        <v>14642</v>
      </c>
      <c r="AJ3482">
        <v>0.59</v>
      </c>
      <c r="AK3482">
        <v>2214</v>
      </c>
      <c r="AL3482">
        <v>22</v>
      </c>
      <c r="AM3482">
        <v>2.9999999999999997E-4</v>
      </c>
      <c r="AN3482">
        <v>1</v>
      </c>
      <c r="AO3482">
        <v>0.09</v>
      </c>
      <c r="AP3482">
        <v>-1.27</v>
      </c>
      <c r="AQ3482">
        <v>-2.84</v>
      </c>
      <c r="AR3482">
        <v>53.76</v>
      </c>
      <c r="AS3482">
        <v>1.8</v>
      </c>
      <c r="AT3482" t="s">
        <v>14643</v>
      </c>
      <c r="AU3482">
        <v>12.49</v>
      </c>
      <c r="AV3482">
        <v>19.45</v>
      </c>
      <c r="AW3482">
        <v>1.18</v>
      </c>
      <c r="BA3482">
        <v>-0.09</v>
      </c>
      <c r="BB3482">
        <v>1.38</v>
      </c>
      <c r="BC3482">
        <v>-0.6</v>
      </c>
      <c r="BD3482">
        <v>0.4</v>
      </c>
      <c r="BE3482">
        <v>0.61</v>
      </c>
      <c r="BF3482">
        <v>-0.85</v>
      </c>
      <c r="BG3482">
        <v>1.1299999999999999</v>
      </c>
      <c r="BH3482">
        <v>0.12</v>
      </c>
      <c r="BI3482">
        <v>20191025</v>
      </c>
      <c r="BJ3482">
        <v>20140808</v>
      </c>
      <c r="BK3482">
        <v>9.2200000000000006</v>
      </c>
      <c r="BL3482" t="s">
        <v>116</v>
      </c>
      <c r="BM3482" t="s">
        <v>116</v>
      </c>
      <c r="BN3482">
        <v>88.29</v>
      </c>
      <c r="BO3482">
        <v>52.05</v>
      </c>
      <c r="BP3482">
        <v>6.22</v>
      </c>
      <c r="BQ3482">
        <v>34</v>
      </c>
      <c r="BR3482">
        <v>41.65</v>
      </c>
      <c r="BS3482">
        <v>18.75</v>
      </c>
      <c r="BT3482">
        <v>2.13</v>
      </c>
      <c r="BU3482">
        <v>29.24</v>
      </c>
      <c r="BV3482">
        <v>13.31</v>
      </c>
      <c r="BW3482">
        <v>7.22</v>
      </c>
      <c r="BX3482">
        <v>8.74</v>
      </c>
      <c r="BY3482">
        <v>127.43</v>
      </c>
      <c r="BZ3482">
        <v>114.19</v>
      </c>
      <c r="CA3482">
        <v>9.33</v>
      </c>
      <c r="CB3482">
        <v>3.46</v>
      </c>
      <c r="CC3482">
        <v>9.31</v>
      </c>
      <c r="CD3482">
        <v>8.65</v>
      </c>
      <c r="CE3482">
        <v>7.13</v>
      </c>
      <c r="CF3482">
        <v>7.05</v>
      </c>
      <c r="CG3482">
        <v>31.99</v>
      </c>
      <c r="CH3482">
        <v>5.83</v>
      </c>
      <c r="CI3482">
        <v>6.49</v>
      </c>
      <c r="CJ3482">
        <v>26513</v>
      </c>
      <c r="CK3482">
        <v>10401</v>
      </c>
      <c r="CL3482" t="s">
        <v>6118</v>
      </c>
      <c r="CM3482">
        <v>75.95</v>
      </c>
      <c r="CN3482">
        <v>11.01</v>
      </c>
      <c r="CO3482">
        <v>2.06</v>
      </c>
      <c r="CP3482">
        <v>18.420000000000002</v>
      </c>
      <c r="CQ3482">
        <v>0.84</v>
      </c>
      <c r="CR3482">
        <v>1.55</v>
      </c>
      <c r="CS3482" t="s">
        <v>4039</v>
      </c>
      <c r="CT3482">
        <v>5.64</v>
      </c>
      <c r="CU3482">
        <v>0</v>
      </c>
      <c r="CV3482">
        <v>0.95</v>
      </c>
      <c r="CW3482">
        <v>3.47</v>
      </c>
      <c r="CX3482">
        <v>0.63</v>
      </c>
      <c r="CY3482">
        <v>58.96</v>
      </c>
      <c r="CZ3482" t="s">
        <v>14644</v>
      </c>
      <c r="DA3482">
        <v>10.39</v>
      </c>
      <c r="DB3482">
        <v>7.32</v>
      </c>
      <c r="DC3482">
        <v>5.6</v>
      </c>
      <c r="DD3482">
        <v>0.47</v>
      </c>
      <c r="DE3482">
        <v>4812</v>
      </c>
      <c r="DF3482">
        <v>603609</v>
      </c>
      <c r="DG3482" t="s">
        <v>116</v>
      </c>
      <c r="DH3482" t="s">
        <v>116</v>
      </c>
      <c r="DI3482" t="s">
        <v>116</v>
      </c>
    </row>
    <row r="3483" spans="1:113" x14ac:dyDescent="0.4">
      <c r="A3483" t="str">
        <f>"603610"</f>
        <v>603610</v>
      </c>
      <c r="B3483" t="s">
        <v>14645</v>
      </c>
      <c r="C3483">
        <v>-0.02</v>
      </c>
      <c r="D3483">
        <v>45.87</v>
      </c>
      <c r="E3483">
        <v>-0.01</v>
      </c>
      <c r="F3483">
        <v>45.87</v>
      </c>
      <c r="G3483">
        <v>45.88</v>
      </c>
      <c r="H3483">
        <v>28632</v>
      </c>
      <c r="I3483">
        <v>317</v>
      </c>
      <c r="J3483">
        <v>-0.01</v>
      </c>
      <c r="K3483">
        <v>7.62</v>
      </c>
      <c r="L3483">
        <v>45.87</v>
      </c>
      <c r="M3483">
        <v>46.36</v>
      </c>
      <c r="N3483">
        <v>45.78</v>
      </c>
      <c r="O3483">
        <v>45.88</v>
      </c>
      <c r="P3483">
        <v>19.04</v>
      </c>
      <c r="Q3483">
        <v>131863464</v>
      </c>
      <c r="R3483">
        <v>1.33</v>
      </c>
      <c r="S3483" t="s">
        <v>2640</v>
      </c>
      <c r="T3483" t="s">
        <v>590</v>
      </c>
      <c r="U3483">
        <v>1.26</v>
      </c>
      <c r="V3483">
        <v>46.05</v>
      </c>
      <c r="W3483">
        <v>14773</v>
      </c>
      <c r="X3483">
        <v>13859</v>
      </c>
      <c r="Y3483">
        <v>1.07</v>
      </c>
      <c r="Z3483">
        <v>141</v>
      </c>
      <c r="AA3483">
        <v>101</v>
      </c>
      <c r="AB3483" t="s">
        <v>116</v>
      </c>
      <c r="AC3483">
        <v>380700</v>
      </c>
      <c r="AD3483">
        <v>0.02</v>
      </c>
      <c r="AE3483" t="s">
        <v>116</v>
      </c>
      <c r="AF3483" t="s">
        <v>116</v>
      </c>
      <c r="AG3483">
        <v>0.38</v>
      </c>
      <c r="AH3483" t="s">
        <v>991</v>
      </c>
      <c r="AI3483" t="s">
        <v>14646</v>
      </c>
      <c r="AJ3483">
        <v>0.06</v>
      </c>
      <c r="AK3483">
        <v>2489</v>
      </c>
      <c r="AL3483">
        <v>12</v>
      </c>
      <c r="AM3483">
        <v>3.0999999999999999E-3</v>
      </c>
      <c r="AN3483">
        <v>-1</v>
      </c>
      <c r="AO3483">
        <v>0.69</v>
      </c>
      <c r="AP3483">
        <v>-6.58</v>
      </c>
      <c r="AQ3483">
        <v>2.71</v>
      </c>
      <c r="AR3483">
        <v>2.71</v>
      </c>
      <c r="AS3483">
        <v>7.62</v>
      </c>
      <c r="AT3483" t="s">
        <v>991</v>
      </c>
      <c r="AU3483">
        <v>20.59</v>
      </c>
      <c r="AV3483">
        <v>23.56</v>
      </c>
      <c r="AW3483">
        <v>0</v>
      </c>
      <c r="BA3483">
        <v>-0.02</v>
      </c>
      <c r="BB3483">
        <v>1.05</v>
      </c>
      <c r="BC3483">
        <v>-0.22</v>
      </c>
      <c r="BD3483">
        <v>0.38</v>
      </c>
      <c r="BE3483">
        <v>0</v>
      </c>
      <c r="BF3483">
        <v>-1.06</v>
      </c>
      <c r="BG3483">
        <v>0.2</v>
      </c>
      <c r="BH3483">
        <v>-0.4</v>
      </c>
      <c r="BI3483">
        <v>20191028</v>
      </c>
      <c r="BJ3483">
        <v>20191029</v>
      </c>
      <c r="BK3483">
        <v>1.5</v>
      </c>
      <c r="BL3483" t="s">
        <v>116</v>
      </c>
      <c r="BM3483" t="s">
        <v>116</v>
      </c>
      <c r="BN3483">
        <v>19.239999999999998</v>
      </c>
      <c r="BO3483">
        <v>11.26</v>
      </c>
      <c r="BP3483">
        <v>0.03</v>
      </c>
      <c r="BQ3483">
        <v>41.34</v>
      </c>
      <c r="BR3483">
        <v>12.76</v>
      </c>
      <c r="BS3483">
        <v>2.0699999999999998</v>
      </c>
      <c r="BT3483">
        <v>1.01</v>
      </c>
      <c r="BU3483">
        <v>5.78</v>
      </c>
      <c r="BV3483">
        <v>2.69</v>
      </c>
      <c r="BW3483">
        <v>4.9000000000000004</v>
      </c>
      <c r="BX3483">
        <v>4.7300000000000004</v>
      </c>
      <c r="BY3483">
        <v>19.45</v>
      </c>
      <c r="BZ3483">
        <v>11.96</v>
      </c>
      <c r="CA3483">
        <v>3.4</v>
      </c>
      <c r="CB3483">
        <v>0</v>
      </c>
      <c r="CC3483">
        <v>3.4</v>
      </c>
      <c r="CD3483">
        <v>2.71</v>
      </c>
      <c r="CE3483">
        <v>2.72</v>
      </c>
      <c r="CF3483">
        <v>2.77</v>
      </c>
      <c r="CG3483">
        <v>4.9000000000000004</v>
      </c>
      <c r="CH3483">
        <v>1.36</v>
      </c>
      <c r="CI3483">
        <v>0.28000000000000003</v>
      </c>
      <c r="CJ3483">
        <v>40451</v>
      </c>
      <c r="CK3483">
        <v>929</v>
      </c>
      <c r="CL3483" t="s">
        <v>4553</v>
      </c>
      <c r="CM3483">
        <v>0</v>
      </c>
      <c r="CN3483">
        <v>0</v>
      </c>
      <c r="CO3483">
        <v>2.5299999999999998</v>
      </c>
      <c r="CP3483">
        <v>50.53</v>
      </c>
      <c r="CQ3483">
        <v>3.55</v>
      </c>
      <c r="CR3483">
        <v>0</v>
      </c>
      <c r="CS3483" t="s">
        <v>14647</v>
      </c>
      <c r="CT3483">
        <v>18.11</v>
      </c>
      <c r="CU3483">
        <v>18.11</v>
      </c>
      <c r="CV3483">
        <v>3.15</v>
      </c>
      <c r="CW3483">
        <v>3.26</v>
      </c>
      <c r="CX3483">
        <v>0.91</v>
      </c>
      <c r="CY3483">
        <v>58.53</v>
      </c>
      <c r="CZ3483" t="s">
        <v>14648</v>
      </c>
      <c r="DA3483">
        <v>38.51</v>
      </c>
      <c r="DB3483">
        <v>17.5</v>
      </c>
      <c r="DC3483">
        <v>13.97</v>
      </c>
      <c r="DD3483">
        <v>0.6</v>
      </c>
      <c r="DE3483">
        <v>2041</v>
      </c>
      <c r="DF3483">
        <v>603610</v>
      </c>
      <c r="DG3483" t="s">
        <v>116</v>
      </c>
      <c r="DH3483" t="s">
        <v>116</v>
      </c>
      <c r="DI3483" t="s">
        <v>116</v>
      </c>
    </row>
    <row r="3484" spans="1:113" x14ac:dyDescent="0.4">
      <c r="A3484" t="str">
        <f>"603611"</f>
        <v>603611</v>
      </c>
      <c r="B3484" t="s">
        <v>14649</v>
      </c>
      <c r="C3484">
        <v>-0.66</v>
      </c>
      <c r="D3484">
        <v>16.5</v>
      </c>
      <c r="E3484">
        <v>-0.11</v>
      </c>
      <c r="F3484">
        <v>16.5</v>
      </c>
      <c r="G3484">
        <v>16.54</v>
      </c>
      <c r="H3484">
        <v>11408</v>
      </c>
      <c r="I3484">
        <v>243</v>
      </c>
      <c r="J3484">
        <v>-0.05</v>
      </c>
      <c r="K3484">
        <v>0.5</v>
      </c>
      <c r="L3484">
        <v>16.600000000000001</v>
      </c>
      <c r="M3484">
        <v>16.72</v>
      </c>
      <c r="N3484">
        <v>16.5</v>
      </c>
      <c r="O3484">
        <v>16.61</v>
      </c>
      <c r="P3484">
        <v>17.62</v>
      </c>
      <c r="Q3484">
        <v>18937548</v>
      </c>
      <c r="R3484">
        <v>0.59</v>
      </c>
      <c r="S3484" t="s">
        <v>164</v>
      </c>
      <c r="T3484" t="s">
        <v>590</v>
      </c>
      <c r="U3484">
        <v>1.32</v>
      </c>
      <c r="V3484">
        <v>16.600000000000001</v>
      </c>
      <c r="W3484">
        <v>6007</v>
      </c>
      <c r="X3484">
        <v>5401</v>
      </c>
      <c r="Y3484">
        <v>1.1100000000000001</v>
      </c>
      <c r="Z3484">
        <v>213</v>
      </c>
      <c r="AA3484">
        <v>23</v>
      </c>
      <c r="AB3484" t="s">
        <v>116</v>
      </c>
      <c r="AC3484">
        <v>10000</v>
      </c>
      <c r="AD3484">
        <v>0</v>
      </c>
      <c r="AE3484" t="s">
        <v>116</v>
      </c>
      <c r="AF3484" t="s">
        <v>116</v>
      </c>
      <c r="AG3484">
        <v>2.29</v>
      </c>
      <c r="AH3484" t="s">
        <v>6000</v>
      </c>
      <c r="AI3484" t="s">
        <v>6348</v>
      </c>
      <c r="AJ3484">
        <v>-0.59</v>
      </c>
      <c r="AK3484">
        <v>726</v>
      </c>
      <c r="AL3484">
        <v>16</v>
      </c>
      <c r="AM3484">
        <v>6.9999999999999999E-4</v>
      </c>
      <c r="AN3484">
        <v>-2</v>
      </c>
      <c r="AO3484">
        <v>-0.42</v>
      </c>
      <c r="AP3484">
        <v>0</v>
      </c>
      <c r="AQ3484">
        <v>1.66</v>
      </c>
      <c r="AR3484">
        <v>40.07</v>
      </c>
      <c r="AS3484">
        <v>0.9</v>
      </c>
      <c r="AT3484" t="s">
        <v>9120</v>
      </c>
      <c r="AU3484">
        <v>19.940000000000001</v>
      </c>
      <c r="AV3484">
        <v>23.43</v>
      </c>
      <c r="AW3484">
        <v>0.83</v>
      </c>
      <c r="BA3484">
        <v>-0.06</v>
      </c>
      <c r="BB3484">
        <v>0.66</v>
      </c>
      <c r="BC3484">
        <v>-0.66</v>
      </c>
      <c r="BD3484">
        <v>-0.06</v>
      </c>
      <c r="BE3484">
        <v>-0.6</v>
      </c>
      <c r="BF3484">
        <v>-1.32</v>
      </c>
      <c r="BG3484">
        <v>0</v>
      </c>
      <c r="BH3484">
        <v>-0.6</v>
      </c>
      <c r="BI3484">
        <v>20191204</v>
      </c>
      <c r="BJ3484">
        <v>20150128</v>
      </c>
      <c r="BK3484">
        <v>2.68</v>
      </c>
      <c r="BL3484" t="s">
        <v>116</v>
      </c>
      <c r="BM3484" t="s">
        <v>116</v>
      </c>
      <c r="BN3484">
        <v>48.6</v>
      </c>
      <c r="BO3484">
        <v>16.329999999999998</v>
      </c>
      <c r="BP3484">
        <v>0.44</v>
      </c>
      <c r="BQ3484">
        <v>65.5</v>
      </c>
      <c r="BR3484">
        <v>32.770000000000003</v>
      </c>
      <c r="BS3484">
        <v>5.08</v>
      </c>
      <c r="BT3484">
        <v>1.77</v>
      </c>
      <c r="BU3484">
        <v>28.19</v>
      </c>
      <c r="BV3484">
        <v>13.31</v>
      </c>
      <c r="BW3484">
        <v>7.67</v>
      </c>
      <c r="BX3484">
        <v>7.8</v>
      </c>
      <c r="BY3484">
        <v>20.69</v>
      </c>
      <c r="BZ3484">
        <v>15.75</v>
      </c>
      <c r="CA3484">
        <v>2.2599999999999998</v>
      </c>
      <c r="CB3484">
        <v>0.1</v>
      </c>
      <c r="CC3484">
        <v>2.2999999999999998</v>
      </c>
      <c r="CD3484">
        <v>1.95</v>
      </c>
      <c r="CE3484">
        <v>1.88</v>
      </c>
      <c r="CF3484">
        <v>1.53</v>
      </c>
      <c r="CG3484">
        <v>7.05</v>
      </c>
      <c r="CH3484">
        <v>1.68</v>
      </c>
      <c r="CI3484">
        <v>0.49</v>
      </c>
      <c r="CJ3484">
        <v>14900</v>
      </c>
      <c r="CK3484">
        <v>8516</v>
      </c>
      <c r="CL3484" t="s">
        <v>594</v>
      </c>
      <c r="CM3484">
        <v>21.33</v>
      </c>
      <c r="CN3484">
        <v>13.8</v>
      </c>
      <c r="CO3484">
        <v>2.7</v>
      </c>
      <c r="CP3484">
        <v>26.23</v>
      </c>
      <c r="CQ3484">
        <v>2.13</v>
      </c>
      <c r="CR3484">
        <v>3.03</v>
      </c>
      <c r="CS3484" t="s">
        <v>7278</v>
      </c>
      <c r="CT3484">
        <v>6.1</v>
      </c>
      <c r="CU3484">
        <v>0</v>
      </c>
      <c r="CV3484">
        <v>2.92</v>
      </c>
      <c r="CW3484">
        <v>2.64</v>
      </c>
      <c r="CX3484">
        <v>0.63</v>
      </c>
      <c r="CY3484">
        <v>33.6</v>
      </c>
      <c r="CZ3484" t="s">
        <v>14650</v>
      </c>
      <c r="DA3484">
        <v>23.88</v>
      </c>
      <c r="DB3484">
        <v>10.94</v>
      </c>
      <c r="DC3484">
        <v>9.08</v>
      </c>
      <c r="DD3484">
        <v>0.56999999999999995</v>
      </c>
      <c r="DE3484">
        <v>2240</v>
      </c>
      <c r="DF3484">
        <v>603611</v>
      </c>
      <c r="DG3484" t="s">
        <v>116</v>
      </c>
      <c r="DH3484" t="s">
        <v>116</v>
      </c>
      <c r="DI3484" t="s">
        <v>116</v>
      </c>
    </row>
    <row r="3485" spans="1:113" x14ac:dyDescent="0.4">
      <c r="A3485" t="str">
        <f>"603612"</f>
        <v>603612</v>
      </c>
      <c r="B3485" t="s">
        <v>14651</v>
      </c>
      <c r="C3485">
        <v>0.67</v>
      </c>
      <c r="D3485">
        <v>12.03</v>
      </c>
      <c r="E3485">
        <v>0.08</v>
      </c>
      <c r="F3485">
        <v>12.02</v>
      </c>
      <c r="G3485">
        <v>12.03</v>
      </c>
      <c r="H3485">
        <v>99958</v>
      </c>
      <c r="I3485">
        <v>1379</v>
      </c>
      <c r="J3485">
        <v>-0.24</v>
      </c>
      <c r="K3485">
        <v>5.59</v>
      </c>
      <c r="L3485">
        <v>12</v>
      </c>
      <c r="M3485">
        <v>12.55</v>
      </c>
      <c r="N3485">
        <v>11.9</v>
      </c>
      <c r="O3485">
        <v>11.95</v>
      </c>
      <c r="P3485">
        <v>51.67</v>
      </c>
      <c r="Q3485">
        <v>121664488</v>
      </c>
      <c r="R3485">
        <v>1.18</v>
      </c>
      <c r="S3485" t="s">
        <v>933</v>
      </c>
      <c r="T3485" t="s">
        <v>645</v>
      </c>
      <c r="U3485">
        <v>5.44</v>
      </c>
      <c r="V3485">
        <v>12.17</v>
      </c>
      <c r="W3485">
        <v>52560</v>
      </c>
      <c r="X3485">
        <v>47398</v>
      </c>
      <c r="Y3485">
        <v>1.1100000000000001</v>
      </c>
      <c r="Z3485">
        <v>120</v>
      </c>
      <c r="AA3485">
        <v>407</v>
      </c>
      <c r="AB3485" t="s">
        <v>116</v>
      </c>
      <c r="AC3485">
        <v>238800</v>
      </c>
      <c r="AD3485">
        <v>0.01</v>
      </c>
      <c r="AE3485" t="s">
        <v>116</v>
      </c>
      <c r="AF3485" t="s">
        <v>116</v>
      </c>
      <c r="AG3485">
        <v>1.79</v>
      </c>
      <c r="AH3485" t="s">
        <v>6590</v>
      </c>
      <c r="AI3485" t="s">
        <v>14652</v>
      </c>
      <c r="AJ3485">
        <v>0.75</v>
      </c>
      <c r="AK3485">
        <v>2839</v>
      </c>
      <c r="AL3485">
        <v>35</v>
      </c>
      <c r="AM3485">
        <v>2E-3</v>
      </c>
      <c r="AN3485">
        <v>2</v>
      </c>
      <c r="AO3485">
        <v>1.95</v>
      </c>
      <c r="AP3485">
        <v>21.64</v>
      </c>
      <c r="AQ3485">
        <v>13.81</v>
      </c>
      <c r="AR3485">
        <v>4.16</v>
      </c>
      <c r="AS3485">
        <v>6.18</v>
      </c>
      <c r="AT3485" t="s">
        <v>2648</v>
      </c>
      <c r="AU3485">
        <v>45.19</v>
      </c>
      <c r="AV3485">
        <v>20.11</v>
      </c>
      <c r="AW3485">
        <v>1.29</v>
      </c>
      <c r="BA3485">
        <v>0.42</v>
      </c>
      <c r="BB3485">
        <v>5.0199999999999996</v>
      </c>
      <c r="BC3485">
        <v>-0.42</v>
      </c>
      <c r="BD3485">
        <v>1.85</v>
      </c>
      <c r="BE3485">
        <v>0.25</v>
      </c>
      <c r="BF3485">
        <v>-4.1399999999999997</v>
      </c>
      <c r="BG3485">
        <v>1.0900000000000001</v>
      </c>
      <c r="BH3485">
        <v>-1.19</v>
      </c>
      <c r="BI3485">
        <v>20191031</v>
      </c>
      <c r="BJ3485">
        <v>20170718</v>
      </c>
      <c r="BK3485">
        <v>3.37</v>
      </c>
      <c r="BL3485" t="s">
        <v>116</v>
      </c>
      <c r="BM3485" t="s">
        <v>116</v>
      </c>
      <c r="BN3485">
        <v>69.34</v>
      </c>
      <c r="BO3485">
        <v>24.85</v>
      </c>
      <c r="BP3485">
        <v>5.03</v>
      </c>
      <c r="BQ3485">
        <v>56.91</v>
      </c>
      <c r="BR3485">
        <v>31</v>
      </c>
      <c r="BS3485">
        <v>33.35</v>
      </c>
      <c r="BT3485">
        <v>3.07</v>
      </c>
      <c r="BU3485">
        <v>29.03</v>
      </c>
      <c r="BV3485">
        <v>12.36</v>
      </c>
      <c r="BW3485">
        <v>7.09</v>
      </c>
      <c r="BX3485">
        <v>9.67</v>
      </c>
      <c r="BY3485">
        <v>29.55</v>
      </c>
      <c r="BZ3485">
        <v>25.75</v>
      </c>
      <c r="CA3485">
        <v>1.07</v>
      </c>
      <c r="CB3485">
        <v>0</v>
      </c>
      <c r="CC3485">
        <v>0.77</v>
      </c>
      <c r="CD3485">
        <v>0.64</v>
      </c>
      <c r="CE3485">
        <v>0.59</v>
      </c>
      <c r="CF3485">
        <v>0.81</v>
      </c>
      <c r="CG3485">
        <v>11.05</v>
      </c>
      <c r="CH3485">
        <v>-4.22</v>
      </c>
      <c r="CI3485">
        <v>-2.71</v>
      </c>
      <c r="CJ3485">
        <v>24124</v>
      </c>
      <c r="CK3485">
        <v>6700</v>
      </c>
      <c r="CL3485" t="s">
        <v>5751</v>
      </c>
      <c r="CM3485">
        <v>-65.53</v>
      </c>
      <c r="CN3485">
        <v>16.59</v>
      </c>
      <c r="CO3485">
        <v>1.63</v>
      </c>
      <c r="CP3485">
        <v>-9.6</v>
      </c>
      <c r="CQ3485">
        <v>1.37</v>
      </c>
      <c r="CR3485">
        <v>0.75</v>
      </c>
      <c r="CS3485" t="s">
        <v>200</v>
      </c>
      <c r="CT3485">
        <v>7.37</v>
      </c>
      <c r="CU3485">
        <v>0</v>
      </c>
      <c r="CV3485">
        <v>2.87</v>
      </c>
      <c r="CW3485">
        <v>3.28</v>
      </c>
      <c r="CX3485">
        <v>-1.25</v>
      </c>
      <c r="CY3485">
        <v>35.840000000000003</v>
      </c>
      <c r="CZ3485" t="s">
        <v>6832</v>
      </c>
      <c r="DA3485">
        <v>12.87</v>
      </c>
      <c r="DB3485">
        <v>3.63</v>
      </c>
      <c r="DC3485">
        <v>1.99</v>
      </c>
      <c r="DD3485">
        <v>0.38</v>
      </c>
      <c r="DE3485">
        <v>2422</v>
      </c>
      <c r="DF3485">
        <v>603612</v>
      </c>
      <c r="DG3485" t="s">
        <v>116</v>
      </c>
      <c r="DH3485" t="s">
        <v>116</v>
      </c>
      <c r="DI3485" t="s">
        <v>116</v>
      </c>
    </row>
    <row r="3486" spans="1:113" x14ac:dyDescent="0.4">
      <c r="A3486" t="str">
        <f>"603613"</f>
        <v>603613</v>
      </c>
      <c r="B3486" t="s">
        <v>14653</v>
      </c>
      <c r="C3486">
        <v>-1.28</v>
      </c>
      <c r="D3486">
        <v>67.05</v>
      </c>
      <c r="E3486">
        <v>-0.87</v>
      </c>
      <c r="F3486">
        <v>67.040000000000006</v>
      </c>
      <c r="G3486">
        <v>67.05</v>
      </c>
      <c r="H3486">
        <v>20175</v>
      </c>
      <c r="I3486">
        <v>219</v>
      </c>
      <c r="J3486">
        <v>0.01</v>
      </c>
      <c r="K3486">
        <v>5.73</v>
      </c>
      <c r="L3486">
        <v>67.66</v>
      </c>
      <c r="M3486">
        <v>68.489999999999995</v>
      </c>
      <c r="N3486">
        <v>66.42</v>
      </c>
      <c r="O3486">
        <v>67.92</v>
      </c>
      <c r="P3486">
        <v>71.8</v>
      </c>
      <c r="Q3486">
        <v>136344672</v>
      </c>
      <c r="R3486">
        <v>0.97</v>
      </c>
      <c r="S3486" t="s">
        <v>1384</v>
      </c>
      <c r="T3486" t="s">
        <v>165</v>
      </c>
      <c r="U3486">
        <v>3.05</v>
      </c>
      <c r="V3486">
        <v>67.58</v>
      </c>
      <c r="W3486">
        <v>11123</v>
      </c>
      <c r="X3486">
        <v>9052</v>
      </c>
      <c r="Y3486">
        <v>1.23</v>
      </c>
      <c r="Z3486">
        <v>2</v>
      </c>
      <c r="AA3486">
        <v>2</v>
      </c>
      <c r="AB3486" t="s">
        <v>116</v>
      </c>
      <c r="AC3486">
        <v>1305800</v>
      </c>
      <c r="AD3486">
        <v>0.05</v>
      </c>
      <c r="AE3486" t="s">
        <v>116</v>
      </c>
      <c r="AF3486" t="s">
        <v>116</v>
      </c>
      <c r="AG3486">
        <v>0.35</v>
      </c>
      <c r="AH3486" t="s">
        <v>3606</v>
      </c>
      <c r="AI3486" t="s">
        <v>14654</v>
      </c>
      <c r="AJ3486">
        <v>-1.2</v>
      </c>
      <c r="AK3486">
        <v>2178</v>
      </c>
      <c r="AL3486">
        <v>9</v>
      </c>
      <c r="AM3486">
        <v>2.5999999999999999E-3</v>
      </c>
      <c r="AN3486">
        <v>-2</v>
      </c>
      <c r="AO3486">
        <v>-4.32</v>
      </c>
      <c r="AP3486">
        <v>12.12</v>
      </c>
      <c r="AQ3486">
        <v>11.73</v>
      </c>
      <c r="AR3486">
        <v>343.16</v>
      </c>
      <c r="AS3486">
        <v>5.73</v>
      </c>
      <c r="AT3486" t="s">
        <v>3606</v>
      </c>
      <c r="AU3486">
        <v>71.94</v>
      </c>
      <c r="AV3486">
        <v>100.59</v>
      </c>
      <c r="AW3486">
        <v>1.22</v>
      </c>
      <c r="BA3486">
        <v>-0.38</v>
      </c>
      <c r="BB3486">
        <v>0.84</v>
      </c>
      <c r="BC3486">
        <v>-2.21</v>
      </c>
      <c r="BD3486">
        <v>-0.5</v>
      </c>
      <c r="BE3486">
        <v>-0.9</v>
      </c>
      <c r="BF3486">
        <v>-2.1</v>
      </c>
      <c r="BG3486">
        <v>0.95</v>
      </c>
      <c r="BH3486">
        <v>-0.78</v>
      </c>
      <c r="BI3486">
        <v>20191223</v>
      </c>
      <c r="BJ3486">
        <v>20190730</v>
      </c>
      <c r="BK3486">
        <v>1.41</v>
      </c>
      <c r="BL3486" t="s">
        <v>116</v>
      </c>
      <c r="BM3486" t="s">
        <v>116</v>
      </c>
      <c r="BN3486">
        <v>17.13</v>
      </c>
      <c r="BO3486">
        <v>10.23</v>
      </c>
      <c r="BP3486">
        <v>0.45</v>
      </c>
      <c r="BQ3486">
        <v>37.619999999999997</v>
      </c>
      <c r="BR3486">
        <v>16.809999999999999</v>
      </c>
      <c r="BS3486">
        <v>0.22</v>
      </c>
      <c r="BT3486">
        <v>0.06</v>
      </c>
      <c r="BU3486">
        <v>6.44</v>
      </c>
      <c r="BV3486">
        <v>0.37</v>
      </c>
      <c r="BW3486">
        <v>0.67</v>
      </c>
      <c r="BX3486">
        <v>5.91</v>
      </c>
      <c r="BY3486">
        <v>41.45</v>
      </c>
      <c r="BZ3486">
        <v>38.51</v>
      </c>
      <c r="CA3486">
        <v>1.49</v>
      </c>
      <c r="CB3486">
        <v>0</v>
      </c>
      <c r="CC3486">
        <v>1.53</v>
      </c>
      <c r="CD3486">
        <v>1.17</v>
      </c>
      <c r="CE3486">
        <v>0.99</v>
      </c>
      <c r="CF3486">
        <v>0.96</v>
      </c>
      <c r="CG3486">
        <v>2.85</v>
      </c>
      <c r="CH3486">
        <v>0.13</v>
      </c>
      <c r="CI3486">
        <v>5.1100000000000003</v>
      </c>
      <c r="CJ3486">
        <v>10015</v>
      </c>
      <c r="CK3486">
        <v>3516</v>
      </c>
      <c r="CL3486" t="s">
        <v>14655</v>
      </c>
      <c r="CM3486">
        <v>0</v>
      </c>
      <c r="CN3486">
        <v>0</v>
      </c>
      <c r="CO3486">
        <v>9.23</v>
      </c>
      <c r="CP3486">
        <v>752.75</v>
      </c>
      <c r="CQ3486">
        <v>2.2799999999999998</v>
      </c>
      <c r="CR3486">
        <v>0</v>
      </c>
      <c r="CS3486" t="s">
        <v>14175</v>
      </c>
      <c r="CT3486">
        <v>7.27</v>
      </c>
      <c r="CU3486">
        <v>0</v>
      </c>
      <c r="CV3486">
        <v>4.1900000000000004</v>
      </c>
      <c r="CW3486">
        <v>2.02</v>
      </c>
      <c r="CX3486">
        <v>0.09</v>
      </c>
      <c r="CY3486">
        <v>59.73</v>
      </c>
      <c r="CZ3486" t="s">
        <v>1979</v>
      </c>
      <c r="DA3486">
        <v>7.09</v>
      </c>
      <c r="DB3486">
        <v>3.6</v>
      </c>
      <c r="DC3486">
        <v>2.38</v>
      </c>
      <c r="DD3486">
        <v>0.14000000000000001</v>
      </c>
      <c r="DE3486">
        <v>666</v>
      </c>
      <c r="DF3486">
        <v>603613</v>
      </c>
      <c r="DG3486" t="s">
        <v>116</v>
      </c>
      <c r="DH3486" t="s">
        <v>116</v>
      </c>
      <c r="DI3486" t="s">
        <v>116</v>
      </c>
    </row>
    <row r="3487" spans="1:113" x14ac:dyDescent="0.4">
      <c r="A3487" t="str">
        <f>"603615"</f>
        <v>603615</v>
      </c>
      <c r="B3487" t="s">
        <v>14656</v>
      </c>
      <c r="C3487">
        <v>-1.07</v>
      </c>
      <c r="D3487">
        <v>9.23</v>
      </c>
      <c r="E3487">
        <v>-0.1</v>
      </c>
      <c r="F3487">
        <v>9.23</v>
      </c>
      <c r="G3487">
        <v>9.24</v>
      </c>
      <c r="H3487">
        <v>12632</v>
      </c>
      <c r="I3487">
        <v>194</v>
      </c>
      <c r="J3487">
        <v>0</v>
      </c>
      <c r="K3487">
        <v>1.69</v>
      </c>
      <c r="L3487">
        <v>9.36</v>
      </c>
      <c r="M3487">
        <v>9.3699999999999992</v>
      </c>
      <c r="N3487">
        <v>9.23</v>
      </c>
      <c r="O3487">
        <v>9.33</v>
      </c>
      <c r="P3487">
        <v>28.53</v>
      </c>
      <c r="Q3487">
        <v>11773357</v>
      </c>
      <c r="R3487">
        <v>1.07</v>
      </c>
      <c r="S3487" t="s">
        <v>2640</v>
      </c>
      <c r="T3487" t="s">
        <v>975</v>
      </c>
      <c r="U3487">
        <v>1.5</v>
      </c>
      <c r="V3487">
        <v>9.32</v>
      </c>
      <c r="W3487">
        <v>7401</v>
      </c>
      <c r="X3487">
        <v>5231</v>
      </c>
      <c r="Y3487">
        <v>1.41</v>
      </c>
      <c r="Z3487">
        <v>215</v>
      </c>
      <c r="AA3487">
        <v>7</v>
      </c>
      <c r="AB3487" t="s">
        <v>116</v>
      </c>
      <c r="AC3487">
        <v>29000</v>
      </c>
      <c r="AD3487">
        <v>0</v>
      </c>
      <c r="AE3487" t="s">
        <v>116</v>
      </c>
      <c r="AF3487" t="s">
        <v>116</v>
      </c>
      <c r="AG3487">
        <v>0.75</v>
      </c>
      <c r="AH3487" t="s">
        <v>14657</v>
      </c>
      <c r="AI3487" t="s">
        <v>13877</v>
      </c>
      <c r="AJ3487">
        <v>-1</v>
      </c>
      <c r="AK3487">
        <v>790</v>
      </c>
      <c r="AL3487">
        <v>16</v>
      </c>
      <c r="AM3487">
        <v>2.0999999999999999E-3</v>
      </c>
      <c r="AN3487">
        <v>-1</v>
      </c>
      <c r="AO3487">
        <v>-0.01</v>
      </c>
      <c r="AP3487">
        <v>1.76</v>
      </c>
      <c r="AQ3487">
        <v>0.11</v>
      </c>
      <c r="AR3487">
        <v>10.8</v>
      </c>
      <c r="AS3487">
        <v>1.69</v>
      </c>
      <c r="AT3487" t="s">
        <v>14657</v>
      </c>
      <c r="AU3487">
        <v>32.19</v>
      </c>
      <c r="AV3487">
        <v>33.020000000000003</v>
      </c>
      <c r="AW3487">
        <v>0.99</v>
      </c>
      <c r="BA3487">
        <v>0.32</v>
      </c>
      <c r="BB3487">
        <v>0.43</v>
      </c>
      <c r="BC3487">
        <v>-1.07</v>
      </c>
      <c r="BD3487">
        <v>-0.1</v>
      </c>
      <c r="BE3487">
        <v>-1.39</v>
      </c>
      <c r="BF3487">
        <v>-1.49</v>
      </c>
      <c r="BG3487">
        <v>0</v>
      </c>
      <c r="BH3487">
        <v>-0.97</v>
      </c>
      <c r="BI3487">
        <v>20191026</v>
      </c>
      <c r="BJ3487">
        <v>20170213</v>
      </c>
      <c r="BK3487">
        <v>2.4500000000000002</v>
      </c>
      <c r="BL3487" t="s">
        <v>116</v>
      </c>
      <c r="BM3487" t="s">
        <v>116</v>
      </c>
      <c r="BN3487">
        <v>14.79</v>
      </c>
      <c r="BO3487">
        <v>13.63</v>
      </c>
      <c r="BP3487">
        <v>0</v>
      </c>
      <c r="BQ3487">
        <v>7.85</v>
      </c>
      <c r="BR3487">
        <v>8.98</v>
      </c>
      <c r="BS3487">
        <v>3.48</v>
      </c>
      <c r="BT3487">
        <v>0.47</v>
      </c>
      <c r="BU3487">
        <v>1.0900000000000001</v>
      </c>
      <c r="BV3487">
        <v>1.58</v>
      </c>
      <c r="BW3487">
        <v>1</v>
      </c>
      <c r="BX3487">
        <v>6.92</v>
      </c>
      <c r="BY3487">
        <v>5.81</v>
      </c>
      <c r="BZ3487">
        <v>4.0599999999999996</v>
      </c>
      <c r="CA3487">
        <v>0.78</v>
      </c>
      <c r="CB3487">
        <v>0.05</v>
      </c>
      <c r="CC3487">
        <v>0.78</v>
      </c>
      <c r="CD3487">
        <v>0.59</v>
      </c>
      <c r="CE3487">
        <v>0.59</v>
      </c>
      <c r="CF3487">
        <v>0.56999999999999995</v>
      </c>
      <c r="CG3487">
        <v>4.04</v>
      </c>
      <c r="CH3487">
        <v>0.77</v>
      </c>
      <c r="CI3487">
        <v>-2.04</v>
      </c>
      <c r="CJ3487">
        <v>21078</v>
      </c>
      <c r="CK3487">
        <v>3552</v>
      </c>
      <c r="CL3487" t="s">
        <v>5094</v>
      </c>
      <c r="CM3487">
        <v>3.07</v>
      </c>
      <c r="CN3487">
        <v>4.05</v>
      </c>
      <c r="CO3487">
        <v>1.66</v>
      </c>
      <c r="CP3487">
        <v>29.47</v>
      </c>
      <c r="CQ3487">
        <v>3.89</v>
      </c>
      <c r="CR3487">
        <v>2.13</v>
      </c>
      <c r="CS3487" t="s">
        <v>3638</v>
      </c>
      <c r="CT3487">
        <v>5.57</v>
      </c>
      <c r="CU3487">
        <v>0</v>
      </c>
      <c r="CV3487">
        <v>2.83</v>
      </c>
      <c r="CW3487">
        <v>1.65</v>
      </c>
      <c r="CX3487">
        <v>0.31</v>
      </c>
      <c r="CY3487">
        <v>92.15</v>
      </c>
      <c r="CZ3487" t="s">
        <v>830</v>
      </c>
      <c r="DA3487">
        <v>30.14</v>
      </c>
      <c r="DB3487">
        <v>13.43</v>
      </c>
      <c r="DC3487">
        <v>10.220000000000001</v>
      </c>
      <c r="DD3487">
        <v>0.08</v>
      </c>
      <c r="DE3487">
        <v>1506</v>
      </c>
      <c r="DF3487">
        <v>603615</v>
      </c>
      <c r="DG3487" t="s">
        <v>116</v>
      </c>
      <c r="DH3487" t="s">
        <v>116</v>
      </c>
      <c r="DI3487" t="s">
        <v>116</v>
      </c>
    </row>
    <row r="3488" spans="1:113" x14ac:dyDescent="0.4">
      <c r="A3488" t="str">
        <f>"603616"</f>
        <v>603616</v>
      </c>
      <c r="B3488" t="s">
        <v>14658</v>
      </c>
      <c r="C3488">
        <v>-0.98</v>
      </c>
      <c r="D3488">
        <v>8.11</v>
      </c>
      <c r="E3488">
        <v>-0.08</v>
      </c>
      <c r="F3488">
        <v>8.1</v>
      </c>
      <c r="G3488">
        <v>8.11</v>
      </c>
      <c r="H3488">
        <v>17713</v>
      </c>
      <c r="I3488">
        <v>248</v>
      </c>
      <c r="J3488">
        <v>0.12</v>
      </c>
      <c r="K3488">
        <v>0.6</v>
      </c>
      <c r="L3488">
        <v>8.2200000000000006</v>
      </c>
      <c r="M3488">
        <v>8.25</v>
      </c>
      <c r="N3488">
        <v>8.08</v>
      </c>
      <c r="O3488">
        <v>8.19</v>
      </c>
      <c r="P3488">
        <v>1373.11</v>
      </c>
      <c r="Q3488">
        <v>14456787</v>
      </c>
      <c r="R3488">
        <v>1.1000000000000001</v>
      </c>
      <c r="S3488" t="s">
        <v>249</v>
      </c>
      <c r="T3488" t="s">
        <v>165</v>
      </c>
      <c r="U3488">
        <v>2.08</v>
      </c>
      <c r="V3488">
        <v>8.16</v>
      </c>
      <c r="W3488">
        <v>11261</v>
      </c>
      <c r="X3488">
        <v>6452</v>
      </c>
      <c r="Y3488">
        <v>1.75</v>
      </c>
      <c r="Z3488">
        <v>205</v>
      </c>
      <c r="AA3488">
        <v>981</v>
      </c>
      <c r="AB3488" t="s">
        <v>116</v>
      </c>
      <c r="AC3488">
        <v>116700</v>
      </c>
      <c r="AD3488">
        <v>0.01</v>
      </c>
      <c r="AE3488" t="s">
        <v>116</v>
      </c>
      <c r="AF3488" t="s">
        <v>116</v>
      </c>
      <c r="AG3488">
        <v>2.93</v>
      </c>
      <c r="AH3488" t="s">
        <v>4784</v>
      </c>
      <c r="AI3488" t="s">
        <v>4784</v>
      </c>
      <c r="AJ3488">
        <v>-0.9</v>
      </c>
      <c r="AK3488">
        <v>701</v>
      </c>
      <c r="AL3488">
        <v>25</v>
      </c>
      <c r="AM3488">
        <v>8.9999999999999998E-4</v>
      </c>
      <c r="AN3488">
        <v>-1</v>
      </c>
      <c r="AO3488">
        <v>-0.24</v>
      </c>
      <c r="AP3488">
        <v>1.37</v>
      </c>
      <c r="AQ3488">
        <v>-7.31</v>
      </c>
      <c r="AR3488">
        <v>-29.7</v>
      </c>
      <c r="AS3488">
        <v>1.25</v>
      </c>
      <c r="AT3488" t="s">
        <v>14092</v>
      </c>
      <c r="AU3488">
        <v>343.37</v>
      </c>
      <c r="AV3488">
        <v>184.39</v>
      </c>
      <c r="AW3488">
        <v>1.38</v>
      </c>
      <c r="BA3488">
        <v>0.37</v>
      </c>
      <c r="BB3488">
        <v>0.73</v>
      </c>
      <c r="BC3488">
        <v>-1.34</v>
      </c>
      <c r="BD3488">
        <v>-0.35</v>
      </c>
      <c r="BE3488">
        <v>-1.34</v>
      </c>
      <c r="BF3488">
        <v>-1.7</v>
      </c>
      <c r="BG3488">
        <v>0.37</v>
      </c>
      <c r="BH3488">
        <v>-0.63</v>
      </c>
      <c r="BI3488">
        <v>20191030</v>
      </c>
      <c r="BJ3488">
        <v>20150611</v>
      </c>
      <c r="BK3488">
        <v>2.93</v>
      </c>
      <c r="BL3488" t="s">
        <v>116</v>
      </c>
      <c r="BM3488" t="s">
        <v>116</v>
      </c>
      <c r="BN3488">
        <v>24.37</v>
      </c>
      <c r="BO3488">
        <v>7.86</v>
      </c>
      <c r="BP3488">
        <v>0.28999999999999998</v>
      </c>
      <c r="BQ3488">
        <v>66.58</v>
      </c>
      <c r="BR3488">
        <v>13.82</v>
      </c>
      <c r="BS3488">
        <v>3.33</v>
      </c>
      <c r="BT3488">
        <v>1.26</v>
      </c>
      <c r="BU3488">
        <v>12.96</v>
      </c>
      <c r="BV3488">
        <v>3</v>
      </c>
      <c r="BW3488">
        <v>8.75</v>
      </c>
      <c r="BX3488">
        <v>2.5299999999999998</v>
      </c>
      <c r="BY3488">
        <v>5.76</v>
      </c>
      <c r="BZ3488">
        <v>4.4000000000000004</v>
      </c>
      <c r="CA3488">
        <v>0.1</v>
      </c>
      <c r="CB3488">
        <v>0</v>
      </c>
      <c r="CC3488">
        <v>0.06</v>
      </c>
      <c r="CD3488">
        <v>0.08</v>
      </c>
      <c r="CE3488">
        <v>0.01</v>
      </c>
      <c r="CF3488">
        <v>0.02</v>
      </c>
      <c r="CG3488">
        <v>2.04</v>
      </c>
      <c r="CH3488">
        <v>-0.44</v>
      </c>
      <c r="CI3488">
        <v>-0.42</v>
      </c>
      <c r="CJ3488">
        <v>31802</v>
      </c>
      <c r="CK3488">
        <v>4471</v>
      </c>
      <c r="CL3488" t="s">
        <v>2473</v>
      </c>
      <c r="CM3488">
        <v>-82.13</v>
      </c>
      <c r="CN3488">
        <v>-0.92</v>
      </c>
      <c r="CO3488">
        <v>3.03</v>
      </c>
      <c r="CP3488">
        <v>-53.51</v>
      </c>
      <c r="CQ3488">
        <v>4.13</v>
      </c>
      <c r="CR3488">
        <v>0.16</v>
      </c>
      <c r="CS3488" t="s">
        <v>2001</v>
      </c>
      <c r="CT3488">
        <v>2.68</v>
      </c>
      <c r="CU3488">
        <v>0</v>
      </c>
      <c r="CV3488">
        <v>0.86</v>
      </c>
      <c r="CW3488">
        <v>0.7</v>
      </c>
      <c r="CX3488">
        <v>-0.15</v>
      </c>
      <c r="CY3488">
        <v>32.24</v>
      </c>
      <c r="CZ3488" t="s">
        <v>6873</v>
      </c>
      <c r="DA3488">
        <v>23.56</v>
      </c>
      <c r="DB3488">
        <v>1.69</v>
      </c>
      <c r="DC3488">
        <v>0.23</v>
      </c>
      <c r="DD3488">
        <v>0.03</v>
      </c>
      <c r="DE3488">
        <v>1064</v>
      </c>
      <c r="DF3488">
        <v>603616</v>
      </c>
      <c r="DG3488" t="s">
        <v>116</v>
      </c>
      <c r="DH3488" t="s">
        <v>116</v>
      </c>
      <c r="DI3488" t="s">
        <v>116</v>
      </c>
    </row>
    <row r="3489" spans="1:113" x14ac:dyDescent="0.4">
      <c r="A3489" t="str">
        <f>"603617"</f>
        <v>603617</v>
      </c>
      <c r="B3489" t="s">
        <v>14659</v>
      </c>
      <c r="C3489">
        <v>5.1100000000000003</v>
      </c>
      <c r="D3489">
        <v>15.22</v>
      </c>
      <c r="E3489">
        <v>0.74</v>
      </c>
      <c r="F3489">
        <v>15.21</v>
      </c>
      <c r="G3489">
        <v>15.22</v>
      </c>
      <c r="H3489">
        <v>92910</v>
      </c>
      <c r="I3489">
        <v>1571</v>
      </c>
      <c r="J3489">
        <v>1</v>
      </c>
      <c r="K3489">
        <v>21.43</v>
      </c>
      <c r="L3489">
        <v>14.53</v>
      </c>
      <c r="M3489">
        <v>15.6</v>
      </c>
      <c r="N3489">
        <v>14.27</v>
      </c>
      <c r="O3489">
        <v>14.48</v>
      </c>
      <c r="P3489">
        <v>29.93</v>
      </c>
      <c r="Q3489">
        <v>138834160</v>
      </c>
      <c r="R3489">
        <v>1.98</v>
      </c>
      <c r="S3489" t="s">
        <v>682</v>
      </c>
      <c r="T3489" t="s">
        <v>590</v>
      </c>
      <c r="U3489">
        <v>9.19</v>
      </c>
      <c r="V3489">
        <v>14.94</v>
      </c>
      <c r="W3489">
        <v>40257</v>
      </c>
      <c r="X3489">
        <v>52653</v>
      </c>
      <c r="Y3489">
        <v>0.76</v>
      </c>
      <c r="Z3489">
        <v>263</v>
      </c>
      <c r="AA3489">
        <v>778</v>
      </c>
      <c r="AB3489" t="s">
        <v>116</v>
      </c>
      <c r="AC3489">
        <v>406800</v>
      </c>
      <c r="AD3489">
        <v>7.0000000000000007E-2</v>
      </c>
      <c r="AE3489" t="s">
        <v>116</v>
      </c>
      <c r="AF3489" t="s">
        <v>116</v>
      </c>
      <c r="AG3489">
        <v>0.43</v>
      </c>
      <c r="AH3489" t="s">
        <v>9660</v>
      </c>
      <c r="AI3489" t="s">
        <v>5571</v>
      </c>
      <c r="AJ3489">
        <v>5.19</v>
      </c>
      <c r="AK3489">
        <v>2498</v>
      </c>
      <c r="AL3489">
        <v>37</v>
      </c>
      <c r="AM3489">
        <v>8.6E-3</v>
      </c>
      <c r="AN3489">
        <v>4</v>
      </c>
      <c r="AO3489">
        <v>10.68</v>
      </c>
      <c r="AP3489">
        <v>19.84</v>
      </c>
      <c r="AQ3489">
        <v>8.56</v>
      </c>
      <c r="AR3489">
        <v>30.01</v>
      </c>
      <c r="AS3489">
        <v>21.96</v>
      </c>
      <c r="AT3489" t="s">
        <v>14660</v>
      </c>
      <c r="AU3489">
        <v>32.15</v>
      </c>
      <c r="AV3489">
        <v>31.53</v>
      </c>
      <c r="AW3489">
        <v>1.49</v>
      </c>
      <c r="BA3489">
        <v>0.35</v>
      </c>
      <c r="BB3489">
        <v>7.73</v>
      </c>
      <c r="BC3489">
        <v>-1.45</v>
      </c>
      <c r="BD3489">
        <v>3.2</v>
      </c>
      <c r="BE3489">
        <v>4.75</v>
      </c>
      <c r="BF3489">
        <v>-2.44</v>
      </c>
      <c r="BG3489">
        <v>6.66</v>
      </c>
      <c r="BH3489">
        <v>1.91</v>
      </c>
      <c r="BI3489">
        <v>20191223</v>
      </c>
      <c r="BJ3489">
        <v>20170703</v>
      </c>
      <c r="BK3489">
        <v>1.43</v>
      </c>
      <c r="BL3489" t="s">
        <v>116</v>
      </c>
      <c r="BM3489" t="s">
        <v>116</v>
      </c>
      <c r="BN3489">
        <v>8.5299999999999994</v>
      </c>
      <c r="BO3489">
        <v>5.7</v>
      </c>
      <c r="BP3489">
        <v>0</v>
      </c>
      <c r="BQ3489">
        <v>33.22</v>
      </c>
      <c r="BR3489">
        <v>5.54</v>
      </c>
      <c r="BS3489">
        <v>1.44</v>
      </c>
      <c r="BT3489">
        <v>0.75</v>
      </c>
      <c r="BU3489">
        <v>2.83</v>
      </c>
      <c r="BV3489">
        <v>1.21</v>
      </c>
      <c r="BW3489">
        <v>0.74</v>
      </c>
      <c r="BX3489">
        <v>1.83</v>
      </c>
      <c r="BY3489">
        <v>4.7</v>
      </c>
      <c r="BZ3489">
        <v>3.49</v>
      </c>
      <c r="CA3489">
        <v>0.62</v>
      </c>
      <c r="CB3489">
        <v>0.04</v>
      </c>
      <c r="CC3489">
        <v>0.62</v>
      </c>
      <c r="CD3489">
        <v>0.54</v>
      </c>
      <c r="CE3489">
        <v>0.54</v>
      </c>
      <c r="CF3489">
        <v>0.52</v>
      </c>
      <c r="CG3489">
        <v>2.3199999999999998</v>
      </c>
      <c r="CH3489">
        <v>0.93</v>
      </c>
      <c r="CI3489">
        <v>0.77</v>
      </c>
      <c r="CJ3489">
        <v>11078</v>
      </c>
      <c r="CK3489">
        <v>3820</v>
      </c>
      <c r="CL3489" t="s">
        <v>1527</v>
      </c>
      <c r="CM3489">
        <v>-2.39</v>
      </c>
      <c r="CN3489">
        <v>0.19</v>
      </c>
      <c r="CO3489">
        <v>3.81</v>
      </c>
      <c r="CP3489">
        <v>23.29</v>
      </c>
      <c r="CQ3489">
        <v>4.6100000000000003</v>
      </c>
      <c r="CR3489">
        <v>0.99</v>
      </c>
      <c r="CS3489" t="s">
        <v>6158</v>
      </c>
      <c r="CT3489">
        <v>4</v>
      </c>
      <c r="CU3489">
        <v>0</v>
      </c>
      <c r="CV3489">
        <v>1.28</v>
      </c>
      <c r="CW3489">
        <v>1.63</v>
      </c>
      <c r="CX3489">
        <v>0.65</v>
      </c>
      <c r="CY3489">
        <v>66.78</v>
      </c>
      <c r="CZ3489" t="s">
        <v>9020</v>
      </c>
      <c r="DA3489">
        <v>25.88</v>
      </c>
      <c r="DB3489">
        <v>13.24</v>
      </c>
      <c r="DC3489">
        <v>11.55</v>
      </c>
      <c r="DD3489">
        <v>0.17</v>
      </c>
      <c r="DE3489">
        <v>931</v>
      </c>
      <c r="DF3489">
        <v>603617</v>
      </c>
      <c r="DG3489" t="s">
        <v>116</v>
      </c>
      <c r="DH3489" t="s">
        <v>116</v>
      </c>
      <c r="DI3489" t="s">
        <v>116</v>
      </c>
    </row>
    <row r="3490" spans="1:113" x14ac:dyDescent="0.4">
      <c r="A3490" t="str">
        <f>"603618"</f>
        <v>603618</v>
      </c>
      <c r="B3490" t="s">
        <v>14661</v>
      </c>
      <c r="C3490">
        <v>-1.0900000000000001</v>
      </c>
      <c r="D3490">
        <v>5.45</v>
      </c>
      <c r="E3490">
        <v>-0.06</v>
      </c>
      <c r="F3490">
        <v>5.45</v>
      </c>
      <c r="G3490">
        <v>5.46</v>
      </c>
      <c r="H3490">
        <v>64128</v>
      </c>
      <c r="I3490">
        <v>485</v>
      </c>
      <c r="J3490">
        <v>0</v>
      </c>
      <c r="K3490">
        <v>0.93</v>
      </c>
      <c r="L3490">
        <v>5.51</v>
      </c>
      <c r="M3490">
        <v>5.56</v>
      </c>
      <c r="N3490">
        <v>5.44</v>
      </c>
      <c r="O3490">
        <v>5.51</v>
      </c>
      <c r="P3490">
        <v>29</v>
      </c>
      <c r="Q3490">
        <v>35325408</v>
      </c>
      <c r="R3490">
        <v>1.07</v>
      </c>
      <c r="S3490" t="s">
        <v>397</v>
      </c>
      <c r="T3490" t="s">
        <v>590</v>
      </c>
      <c r="U3490">
        <v>2.1800000000000002</v>
      </c>
      <c r="V3490">
        <v>5.51</v>
      </c>
      <c r="W3490">
        <v>36944</v>
      </c>
      <c r="X3490">
        <v>27184</v>
      </c>
      <c r="Y3490">
        <v>1.36</v>
      </c>
      <c r="Z3490">
        <v>557</v>
      </c>
      <c r="AA3490">
        <v>1333</v>
      </c>
      <c r="AB3490" t="s">
        <v>116</v>
      </c>
      <c r="AC3490">
        <v>100800</v>
      </c>
      <c r="AD3490">
        <v>0.01</v>
      </c>
      <c r="AE3490" t="s">
        <v>116</v>
      </c>
      <c r="AF3490" t="s">
        <v>116</v>
      </c>
      <c r="AG3490">
        <v>6.91</v>
      </c>
      <c r="AH3490" t="s">
        <v>2730</v>
      </c>
      <c r="AI3490" t="s">
        <v>2730</v>
      </c>
      <c r="AJ3490">
        <v>-1.01</v>
      </c>
      <c r="AK3490">
        <v>1451</v>
      </c>
      <c r="AL3490">
        <v>44</v>
      </c>
      <c r="AM3490">
        <v>5.9999999999999995E-4</v>
      </c>
      <c r="AN3490">
        <v>-1</v>
      </c>
      <c r="AO3490">
        <v>-0.37</v>
      </c>
      <c r="AP3490">
        <v>5.21</v>
      </c>
      <c r="AQ3490">
        <v>-5.38</v>
      </c>
      <c r="AR3490">
        <v>5.42</v>
      </c>
      <c r="AS3490">
        <v>2.25</v>
      </c>
      <c r="AT3490" t="s">
        <v>377</v>
      </c>
      <c r="AU3490">
        <v>30.37</v>
      </c>
      <c r="AV3490">
        <v>37.409999999999997</v>
      </c>
      <c r="AW3490">
        <v>1.41</v>
      </c>
      <c r="BA3490">
        <v>0</v>
      </c>
      <c r="BB3490">
        <v>0.91</v>
      </c>
      <c r="BC3490">
        <v>-1.27</v>
      </c>
      <c r="BD3490">
        <v>-0.03</v>
      </c>
      <c r="BE3490">
        <v>-1.0900000000000001</v>
      </c>
      <c r="BF3490">
        <v>-1.98</v>
      </c>
      <c r="BG3490">
        <v>0.18</v>
      </c>
      <c r="BH3490">
        <v>-1.06</v>
      </c>
      <c r="BI3490">
        <v>20191026</v>
      </c>
      <c r="BJ3490">
        <v>20150217</v>
      </c>
      <c r="BK3490">
        <v>6.91</v>
      </c>
      <c r="BL3490" t="s">
        <v>116</v>
      </c>
      <c r="BM3490" t="s">
        <v>116</v>
      </c>
      <c r="BN3490">
        <v>65.69</v>
      </c>
      <c r="BO3490">
        <v>26.1</v>
      </c>
      <c r="BP3490">
        <v>0.51</v>
      </c>
      <c r="BQ3490">
        <v>59.49</v>
      </c>
      <c r="BR3490">
        <v>49.02</v>
      </c>
      <c r="BS3490">
        <v>5.57</v>
      </c>
      <c r="BT3490">
        <v>1.82</v>
      </c>
      <c r="BU3490">
        <v>30.5</v>
      </c>
      <c r="BV3490">
        <v>12.85</v>
      </c>
      <c r="BW3490">
        <v>19.329999999999998</v>
      </c>
      <c r="BX3490">
        <v>10.75</v>
      </c>
      <c r="BY3490">
        <v>33.69</v>
      </c>
      <c r="BZ3490">
        <v>27.7</v>
      </c>
      <c r="CA3490">
        <v>1.1399999999999999</v>
      </c>
      <c r="CB3490">
        <v>-0.2</v>
      </c>
      <c r="CC3490">
        <v>1.1499999999999999</v>
      </c>
      <c r="CD3490">
        <v>0.98</v>
      </c>
      <c r="CE3490">
        <v>0.97</v>
      </c>
      <c r="CF3490">
        <v>0.92</v>
      </c>
      <c r="CG3490">
        <v>6.31</v>
      </c>
      <c r="CH3490">
        <v>-6.86</v>
      </c>
      <c r="CI3490">
        <v>1.31</v>
      </c>
      <c r="CJ3490">
        <v>47904</v>
      </c>
      <c r="CK3490">
        <v>5940</v>
      </c>
      <c r="CL3490" t="s">
        <v>4681</v>
      </c>
      <c r="CM3490">
        <v>31.5</v>
      </c>
      <c r="CN3490">
        <v>10.44</v>
      </c>
      <c r="CO3490">
        <v>1.53</v>
      </c>
      <c r="CP3490">
        <v>-5.49</v>
      </c>
      <c r="CQ3490">
        <v>1.1200000000000001</v>
      </c>
      <c r="CR3490">
        <v>0.91</v>
      </c>
      <c r="CS3490" t="s">
        <v>5207</v>
      </c>
      <c r="CT3490">
        <v>3.57</v>
      </c>
      <c r="CU3490">
        <v>3.57</v>
      </c>
      <c r="CV3490">
        <v>1.56</v>
      </c>
      <c r="CW3490">
        <v>0.91</v>
      </c>
      <c r="CX3490">
        <v>-0.99</v>
      </c>
      <c r="CY3490">
        <v>39.729999999999997</v>
      </c>
      <c r="CZ3490" t="s">
        <v>13124</v>
      </c>
      <c r="DA3490">
        <v>17.78</v>
      </c>
      <c r="DB3490">
        <v>3.38</v>
      </c>
      <c r="DC3490">
        <v>2.89</v>
      </c>
      <c r="DD3490">
        <v>1.08</v>
      </c>
      <c r="DE3490">
        <v>2052</v>
      </c>
      <c r="DF3490">
        <v>603618</v>
      </c>
      <c r="DG3490" t="s">
        <v>116</v>
      </c>
      <c r="DH3490" t="s">
        <v>116</v>
      </c>
      <c r="DI3490" t="s">
        <v>116</v>
      </c>
    </row>
    <row r="3491" spans="1:113" x14ac:dyDescent="0.4">
      <c r="A3491" t="str">
        <f>"603619"</f>
        <v>603619</v>
      </c>
      <c r="B3491" t="s">
        <v>14662</v>
      </c>
      <c r="C3491">
        <v>0.44</v>
      </c>
      <c r="D3491">
        <v>13.84</v>
      </c>
      <c r="E3491">
        <v>0.06</v>
      </c>
      <c r="F3491">
        <v>13.83</v>
      </c>
      <c r="G3491">
        <v>13.84</v>
      </c>
      <c r="H3491">
        <v>38045</v>
      </c>
      <c r="I3491">
        <v>799</v>
      </c>
      <c r="J3491">
        <v>0</v>
      </c>
      <c r="K3491">
        <v>2.65</v>
      </c>
      <c r="L3491">
        <v>13.82</v>
      </c>
      <c r="M3491">
        <v>14.04</v>
      </c>
      <c r="N3491">
        <v>13.76</v>
      </c>
      <c r="O3491">
        <v>13.78</v>
      </c>
      <c r="P3491">
        <v>107.37</v>
      </c>
      <c r="Q3491">
        <v>52847588</v>
      </c>
      <c r="R3491">
        <v>1.39</v>
      </c>
      <c r="S3491" t="s">
        <v>4171</v>
      </c>
      <c r="T3491" t="s">
        <v>1653</v>
      </c>
      <c r="U3491">
        <v>2.0299999999999998</v>
      </c>
      <c r="V3491">
        <v>13.89</v>
      </c>
      <c r="W3491">
        <v>18263</v>
      </c>
      <c r="X3491">
        <v>19782</v>
      </c>
      <c r="Y3491">
        <v>0.92</v>
      </c>
      <c r="Z3491">
        <v>12</v>
      </c>
      <c r="AA3491">
        <v>270</v>
      </c>
      <c r="AB3491" t="s">
        <v>116</v>
      </c>
      <c r="AC3491">
        <v>197600</v>
      </c>
      <c r="AD3491">
        <v>0.02</v>
      </c>
      <c r="AE3491" t="s">
        <v>116</v>
      </c>
      <c r="AF3491" t="s">
        <v>116</v>
      </c>
      <c r="AG3491">
        <v>1.43</v>
      </c>
      <c r="AH3491" t="s">
        <v>576</v>
      </c>
      <c r="AI3491" t="s">
        <v>531</v>
      </c>
      <c r="AJ3491">
        <v>0.51</v>
      </c>
      <c r="AK3491">
        <v>1947</v>
      </c>
      <c r="AL3491">
        <v>20</v>
      </c>
      <c r="AM3491">
        <v>1.4E-3</v>
      </c>
      <c r="AN3491">
        <v>4</v>
      </c>
      <c r="AO3491">
        <v>1.4</v>
      </c>
      <c r="AP3491">
        <v>-3.35</v>
      </c>
      <c r="AQ3491">
        <v>-11.79</v>
      </c>
      <c r="AR3491">
        <v>-10.69</v>
      </c>
      <c r="AS3491">
        <v>5.08</v>
      </c>
      <c r="AT3491" t="s">
        <v>6797</v>
      </c>
      <c r="AU3491" t="s">
        <v>116</v>
      </c>
      <c r="AV3491">
        <v>184.73</v>
      </c>
      <c r="AW3491">
        <v>1.49</v>
      </c>
      <c r="BA3491">
        <v>0.28999999999999998</v>
      </c>
      <c r="BB3491">
        <v>1.89</v>
      </c>
      <c r="BC3491">
        <v>-0.15</v>
      </c>
      <c r="BD3491">
        <v>0.8</v>
      </c>
      <c r="BE3491">
        <v>0.14000000000000001</v>
      </c>
      <c r="BF3491">
        <v>-1.42</v>
      </c>
      <c r="BG3491">
        <v>0.57999999999999996</v>
      </c>
      <c r="BH3491">
        <v>-0.37</v>
      </c>
      <c r="BI3491">
        <v>20191025</v>
      </c>
      <c r="BJ3491">
        <v>20171117</v>
      </c>
      <c r="BK3491">
        <v>4</v>
      </c>
      <c r="BL3491" t="s">
        <v>116</v>
      </c>
      <c r="BM3491" t="s">
        <v>116</v>
      </c>
      <c r="BN3491">
        <v>52.45</v>
      </c>
      <c r="BO3491">
        <v>23.94</v>
      </c>
      <c r="BP3491">
        <v>0</v>
      </c>
      <c r="BQ3491">
        <v>54.37</v>
      </c>
      <c r="BR3491">
        <v>22.9</v>
      </c>
      <c r="BS3491">
        <v>18.16</v>
      </c>
      <c r="BT3491">
        <v>0.56000000000000005</v>
      </c>
      <c r="BU3491">
        <v>26.67</v>
      </c>
      <c r="BV3491">
        <v>4.6500000000000004</v>
      </c>
      <c r="BW3491">
        <v>10.15</v>
      </c>
      <c r="BX3491">
        <v>10.14</v>
      </c>
      <c r="BY3491">
        <v>16.149999999999999</v>
      </c>
      <c r="BZ3491">
        <v>12.81</v>
      </c>
      <c r="CA3491">
        <v>0.99</v>
      </c>
      <c r="CB3491">
        <v>0</v>
      </c>
      <c r="CC3491">
        <v>1.02</v>
      </c>
      <c r="CD3491">
        <v>0.38</v>
      </c>
      <c r="CE3491">
        <v>0.39</v>
      </c>
      <c r="CF3491">
        <v>0.3</v>
      </c>
      <c r="CG3491">
        <v>9.17</v>
      </c>
      <c r="CH3491">
        <v>0.46</v>
      </c>
      <c r="CI3491">
        <v>-0.97</v>
      </c>
      <c r="CJ3491">
        <v>28404</v>
      </c>
      <c r="CK3491">
        <v>2636</v>
      </c>
      <c r="CL3491" t="s">
        <v>14663</v>
      </c>
      <c r="CM3491">
        <v>-50.13</v>
      </c>
      <c r="CN3491">
        <v>57.25</v>
      </c>
      <c r="CO3491">
        <v>2.31</v>
      </c>
      <c r="CP3491">
        <v>120.38</v>
      </c>
      <c r="CQ3491">
        <v>3.43</v>
      </c>
      <c r="CR3491">
        <v>0.17</v>
      </c>
      <c r="CS3491" t="s">
        <v>454</v>
      </c>
      <c r="CT3491">
        <v>5.98</v>
      </c>
      <c r="CU3491">
        <v>0</v>
      </c>
      <c r="CV3491">
        <v>2.5299999999999998</v>
      </c>
      <c r="CW3491">
        <v>2.29</v>
      </c>
      <c r="CX3491">
        <v>0.11</v>
      </c>
      <c r="CY3491">
        <v>45.64</v>
      </c>
      <c r="CZ3491" t="s">
        <v>4591</v>
      </c>
      <c r="DA3491">
        <v>20.7</v>
      </c>
      <c r="DB3491">
        <v>6.11</v>
      </c>
      <c r="DC3491">
        <v>2.39</v>
      </c>
      <c r="DD3491">
        <v>0.56999999999999995</v>
      </c>
      <c r="DE3491">
        <v>2753</v>
      </c>
      <c r="DF3491">
        <v>603619</v>
      </c>
      <c r="DG3491" t="s">
        <v>116</v>
      </c>
      <c r="DH3491" t="s">
        <v>116</v>
      </c>
      <c r="DI3491" t="s">
        <v>116</v>
      </c>
    </row>
    <row r="3492" spans="1:113" x14ac:dyDescent="0.4">
      <c r="A3492" t="str">
        <f>"603626"</f>
        <v>603626</v>
      </c>
      <c r="B3492" t="s">
        <v>14664</v>
      </c>
      <c r="C3492">
        <v>0</v>
      </c>
      <c r="D3492">
        <v>10.55</v>
      </c>
      <c r="E3492">
        <v>0</v>
      </c>
      <c r="F3492">
        <v>10.55</v>
      </c>
      <c r="G3492">
        <v>10.56</v>
      </c>
      <c r="H3492">
        <v>104327</v>
      </c>
      <c r="I3492">
        <v>1099</v>
      </c>
      <c r="J3492">
        <v>-0.27</v>
      </c>
      <c r="K3492">
        <v>6.6</v>
      </c>
      <c r="L3492">
        <v>10.62</v>
      </c>
      <c r="M3492">
        <v>11.12</v>
      </c>
      <c r="N3492">
        <v>10.51</v>
      </c>
      <c r="O3492">
        <v>10.55</v>
      </c>
      <c r="P3492" t="s">
        <v>116</v>
      </c>
      <c r="Q3492">
        <v>112323504</v>
      </c>
      <c r="R3492">
        <v>0.87</v>
      </c>
      <c r="S3492" t="s">
        <v>682</v>
      </c>
      <c r="T3492" t="s">
        <v>323</v>
      </c>
      <c r="U3492">
        <v>5.78</v>
      </c>
      <c r="V3492">
        <v>10.77</v>
      </c>
      <c r="W3492">
        <v>50999</v>
      </c>
      <c r="X3492">
        <v>53328</v>
      </c>
      <c r="Y3492">
        <v>0.96</v>
      </c>
      <c r="Z3492">
        <v>227</v>
      </c>
      <c r="AA3492">
        <v>194</v>
      </c>
      <c r="AB3492" t="s">
        <v>116</v>
      </c>
      <c r="AC3492">
        <v>78600</v>
      </c>
      <c r="AD3492">
        <v>0</v>
      </c>
      <c r="AE3492" t="s">
        <v>116</v>
      </c>
      <c r="AF3492" t="s">
        <v>116</v>
      </c>
      <c r="AG3492">
        <v>1.58</v>
      </c>
      <c r="AH3492" t="s">
        <v>2905</v>
      </c>
      <c r="AI3492" t="s">
        <v>12860</v>
      </c>
      <c r="AJ3492">
        <v>0.08</v>
      </c>
      <c r="AK3492">
        <v>2549</v>
      </c>
      <c r="AL3492">
        <v>41</v>
      </c>
      <c r="AM3492">
        <v>2.5999999999999999E-3</v>
      </c>
      <c r="AN3492">
        <v>0</v>
      </c>
      <c r="AO3492">
        <v>-2.94</v>
      </c>
      <c r="AP3492">
        <v>31.88</v>
      </c>
      <c r="AQ3492">
        <v>20.43</v>
      </c>
      <c r="AR3492">
        <v>42.95</v>
      </c>
      <c r="AS3492">
        <v>6.7</v>
      </c>
      <c r="AT3492" t="s">
        <v>3961</v>
      </c>
      <c r="AU3492" t="s">
        <v>116</v>
      </c>
      <c r="AV3492">
        <v>34.94</v>
      </c>
      <c r="AW3492">
        <v>2.5299999999999998</v>
      </c>
      <c r="BA3492">
        <v>0.66</v>
      </c>
      <c r="BB3492">
        <v>5.4</v>
      </c>
      <c r="BC3492">
        <v>-0.38</v>
      </c>
      <c r="BD3492">
        <v>2.0499999999999998</v>
      </c>
      <c r="BE3492">
        <v>-0.66</v>
      </c>
      <c r="BF3492">
        <v>-5.13</v>
      </c>
      <c r="BG3492">
        <v>0.38</v>
      </c>
      <c r="BH3492">
        <v>-2.0499999999999998</v>
      </c>
      <c r="BI3492">
        <v>20191030</v>
      </c>
      <c r="BJ3492">
        <v>20170209</v>
      </c>
      <c r="BK3492">
        <v>4.13</v>
      </c>
      <c r="BL3492" t="s">
        <v>116</v>
      </c>
      <c r="BM3492" t="s">
        <v>116</v>
      </c>
      <c r="BN3492">
        <v>39.43</v>
      </c>
      <c r="BO3492">
        <v>16.920000000000002</v>
      </c>
      <c r="BP3492">
        <v>0.45</v>
      </c>
      <c r="BQ3492">
        <v>55.95</v>
      </c>
      <c r="BR3492">
        <v>13.57</v>
      </c>
      <c r="BS3492">
        <v>19.27</v>
      </c>
      <c r="BT3492">
        <v>1.72</v>
      </c>
      <c r="BU3492">
        <v>14.26</v>
      </c>
      <c r="BV3492">
        <v>3.53</v>
      </c>
      <c r="BW3492">
        <v>7.28</v>
      </c>
      <c r="BX3492">
        <v>6.75</v>
      </c>
      <c r="BY3492">
        <v>13.66</v>
      </c>
      <c r="BZ3492">
        <v>10.67</v>
      </c>
      <c r="CA3492">
        <v>-0.74</v>
      </c>
      <c r="CB3492">
        <v>0</v>
      </c>
      <c r="CC3492">
        <v>-0.72</v>
      </c>
      <c r="CD3492">
        <v>-0.72</v>
      </c>
      <c r="CE3492">
        <v>-0.69</v>
      </c>
      <c r="CF3492">
        <v>-0.74</v>
      </c>
      <c r="CG3492">
        <v>4.5199999999999996</v>
      </c>
      <c r="CH3492">
        <v>3.56</v>
      </c>
      <c r="CI3492">
        <v>-4.7</v>
      </c>
      <c r="CJ3492">
        <v>22977</v>
      </c>
      <c r="CK3492">
        <v>6780</v>
      </c>
      <c r="CL3492" t="s">
        <v>2366</v>
      </c>
      <c r="CM3492">
        <v>-203.11</v>
      </c>
      <c r="CN3492">
        <v>-10.55</v>
      </c>
      <c r="CO3492">
        <v>2.73</v>
      </c>
      <c r="CP3492">
        <v>12.24</v>
      </c>
      <c r="CQ3492">
        <v>3.19</v>
      </c>
      <c r="CR3492">
        <v>2.37</v>
      </c>
      <c r="CS3492" t="s">
        <v>14665</v>
      </c>
      <c r="CT3492">
        <v>3.87</v>
      </c>
      <c r="CU3492">
        <v>3.87</v>
      </c>
      <c r="CV3492">
        <v>1.64</v>
      </c>
      <c r="CW3492">
        <v>1.0900000000000001</v>
      </c>
      <c r="CX3492">
        <v>0.86</v>
      </c>
      <c r="CY3492">
        <v>42.91</v>
      </c>
      <c r="CZ3492" t="s">
        <v>7947</v>
      </c>
      <c r="DA3492">
        <v>21.87</v>
      </c>
      <c r="DB3492">
        <v>-5.44</v>
      </c>
      <c r="DC3492">
        <v>-5.09</v>
      </c>
      <c r="DD3492">
        <v>1.25</v>
      </c>
      <c r="DE3492">
        <v>4882</v>
      </c>
      <c r="DF3492">
        <v>603626</v>
      </c>
      <c r="DG3492" t="s">
        <v>116</v>
      </c>
      <c r="DH3492" t="s">
        <v>116</v>
      </c>
      <c r="DI3492" t="s">
        <v>116</v>
      </c>
    </row>
    <row r="3493" spans="1:113" x14ac:dyDescent="0.4">
      <c r="A3493" t="str">
        <f>"603628"</f>
        <v>603628</v>
      </c>
      <c r="B3493" t="s">
        <v>14666</v>
      </c>
      <c r="C3493">
        <v>-0.76</v>
      </c>
      <c r="D3493">
        <v>7.84</v>
      </c>
      <c r="E3493">
        <v>-0.06</v>
      </c>
      <c r="F3493">
        <v>7.84</v>
      </c>
      <c r="G3493">
        <v>7.86</v>
      </c>
      <c r="H3493">
        <v>17334</v>
      </c>
      <c r="I3493">
        <v>223</v>
      </c>
      <c r="J3493">
        <v>-0.12</v>
      </c>
      <c r="K3493">
        <v>1.95</v>
      </c>
      <c r="L3493">
        <v>7.9</v>
      </c>
      <c r="M3493">
        <v>7.94</v>
      </c>
      <c r="N3493">
        <v>7.81</v>
      </c>
      <c r="O3493">
        <v>7.9</v>
      </c>
      <c r="P3493">
        <v>270.31</v>
      </c>
      <c r="Q3493">
        <v>13662294</v>
      </c>
      <c r="R3493">
        <v>1.42</v>
      </c>
      <c r="S3493" t="s">
        <v>397</v>
      </c>
      <c r="T3493" t="s">
        <v>975</v>
      </c>
      <c r="U3493">
        <v>1.65</v>
      </c>
      <c r="V3493">
        <v>7.88</v>
      </c>
      <c r="W3493">
        <v>9735</v>
      </c>
      <c r="X3493">
        <v>7599</v>
      </c>
      <c r="Y3493">
        <v>1.28</v>
      </c>
      <c r="Z3493">
        <v>114</v>
      </c>
      <c r="AA3493">
        <v>6</v>
      </c>
      <c r="AB3493" t="s">
        <v>116</v>
      </c>
      <c r="AC3493">
        <v>105900</v>
      </c>
      <c r="AD3493">
        <v>0.02</v>
      </c>
      <c r="AE3493" t="s">
        <v>116</v>
      </c>
      <c r="AF3493" t="s">
        <v>116</v>
      </c>
      <c r="AG3493">
        <v>0.89</v>
      </c>
      <c r="AH3493" t="s">
        <v>4082</v>
      </c>
      <c r="AI3493" t="s">
        <v>9194</v>
      </c>
      <c r="AJ3493">
        <v>-0.68</v>
      </c>
      <c r="AK3493">
        <v>565</v>
      </c>
      <c r="AL3493">
        <v>31</v>
      </c>
      <c r="AM3493">
        <v>3.5000000000000001E-3</v>
      </c>
      <c r="AN3493">
        <v>-1</v>
      </c>
      <c r="AO3493">
        <v>0.51</v>
      </c>
      <c r="AP3493">
        <v>4.12</v>
      </c>
      <c r="AQ3493">
        <v>-1.1299999999999999</v>
      </c>
      <c r="AR3493">
        <v>8.44</v>
      </c>
      <c r="AS3493">
        <v>1.95</v>
      </c>
      <c r="AT3493" t="s">
        <v>4082</v>
      </c>
      <c r="AU3493">
        <v>121.72</v>
      </c>
      <c r="AV3493">
        <v>86.32</v>
      </c>
      <c r="AW3493">
        <v>0.93</v>
      </c>
      <c r="BA3493">
        <v>0</v>
      </c>
      <c r="BB3493">
        <v>0.51</v>
      </c>
      <c r="BC3493">
        <v>-1.1399999999999999</v>
      </c>
      <c r="BD3493">
        <v>-0.23</v>
      </c>
      <c r="BE3493">
        <v>-0.76</v>
      </c>
      <c r="BF3493">
        <v>-1.26</v>
      </c>
      <c r="BG3493">
        <v>0.38</v>
      </c>
      <c r="BH3493">
        <v>-0.53</v>
      </c>
      <c r="BI3493">
        <v>20191030</v>
      </c>
      <c r="BJ3493">
        <v>20170112</v>
      </c>
      <c r="BK3493">
        <v>2.74</v>
      </c>
      <c r="BL3493" t="s">
        <v>116</v>
      </c>
      <c r="BM3493" t="s">
        <v>116</v>
      </c>
      <c r="BN3493">
        <v>25.09</v>
      </c>
      <c r="BO3493">
        <v>9.56</v>
      </c>
      <c r="BP3493">
        <v>0.43</v>
      </c>
      <c r="BQ3493">
        <v>60.19</v>
      </c>
      <c r="BR3493">
        <v>16.25</v>
      </c>
      <c r="BS3493">
        <v>8.02</v>
      </c>
      <c r="BT3493">
        <v>0.13</v>
      </c>
      <c r="BU3493">
        <v>12.51</v>
      </c>
      <c r="BV3493">
        <v>6.63</v>
      </c>
      <c r="BW3493">
        <v>4.66</v>
      </c>
      <c r="BX3493">
        <v>3.96</v>
      </c>
      <c r="BY3493">
        <v>7.28</v>
      </c>
      <c r="BZ3493">
        <v>4.9400000000000004</v>
      </c>
      <c r="CA3493">
        <v>0.08</v>
      </c>
      <c r="CB3493">
        <v>0.02</v>
      </c>
      <c r="CC3493">
        <v>0.08</v>
      </c>
      <c r="CD3493">
        <v>0.08</v>
      </c>
      <c r="CE3493">
        <v>0.06</v>
      </c>
      <c r="CF3493">
        <v>0.04</v>
      </c>
      <c r="CG3493">
        <v>2.62</v>
      </c>
      <c r="CH3493">
        <v>-0.71</v>
      </c>
      <c r="CI3493">
        <v>-0.02</v>
      </c>
      <c r="CJ3493">
        <v>17344</v>
      </c>
      <c r="CK3493">
        <v>5120</v>
      </c>
      <c r="CL3493" t="s">
        <v>8771</v>
      </c>
      <c r="CM3493">
        <v>-54.84</v>
      </c>
      <c r="CN3493">
        <v>17.68</v>
      </c>
      <c r="CO3493">
        <v>2.2400000000000002</v>
      </c>
      <c r="CP3493">
        <v>-30.36</v>
      </c>
      <c r="CQ3493">
        <v>2.95</v>
      </c>
      <c r="CR3493">
        <v>0.26</v>
      </c>
      <c r="CS3493" t="s">
        <v>3988</v>
      </c>
      <c r="CT3493">
        <v>3.49</v>
      </c>
      <c r="CU3493">
        <v>0</v>
      </c>
      <c r="CV3493">
        <v>1.45</v>
      </c>
      <c r="CW3493">
        <v>0.96</v>
      </c>
      <c r="CX3493">
        <v>-0.26</v>
      </c>
      <c r="CY3493">
        <v>38.11</v>
      </c>
      <c r="CZ3493" t="s">
        <v>1818</v>
      </c>
      <c r="DA3493">
        <v>32.08</v>
      </c>
      <c r="DB3493">
        <v>1.07</v>
      </c>
      <c r="DC3493">
        <v>0.82</v>
      </c>
      <c r="DD3493">
        <v>0.11</v>
      </c>
      <c r="DE3493">
        <v>626</v>
      </c>
      <c r="DF3493">
        <v>603628</v>
      </c>
      <c r="DG3493" t="s">
        <v>116</v>
      </c>
      <c r="DH3493" t="s">
        <v>116</v>
      </c>
      <c r="DI3493" t="s">
        <v>116</v>
      </c>
    </row>
    <row r="3494" spans="1:113" x14ac:dyDescent="0.4">
      <c r="A3494" t="str">
        <f>"603629"</f>
        <v>603629</v>
      </c>
      <c r="B3494" t="s">
        <v>14667</v>
      </c>
      <c r="C3494">
        <v>-1.88</v>
      </c>
      <c r="D3494">
        <v>28.65</v>
      </c>
      <c r="E3494">
        <v>-0.55000000000000004</v>
      </c>
      <c r="F3494">
        <v>28.65</v>
      </c>
      <c r="G3494">
        <v>28.66</v>
      </c>
      <c r="H3494">
        <v>18718</v>
      </c>
      <c r="I3494">
        <v>362</v>
      </c>
      <c r="J3494">
        <v>-0.09</v>
      </c>
      <c r="K3494">
        <v>6.24</v>
      </c>
      <c r="L3494">
        <v>29.18</v>
      </c>
      <c r="M3494">
        <v>29.5</v>
      </c>
      <c r="N3494">
        <v>28.65</v>
      </c>
      <c r="O3494">
        <v>29.2</v>
      </c>
      <c r="P3494">
        <v>42.83</v>
      </c>
      <c r="Q3494">
        <v>54342240</v>
      </c>
      <c r="R3494">
        <v>0.7</v>
      </c>
      <c r="S3494" t="s">
        <v>233</v>
      </c>
      <c r="T3494" t="s">
        <v>323</v>
      </c>
      <c r="U3494">
        <v>2.91</v>
      </c>
      <c r="V3494">
        <v>29.03</v>
      </c>
      <c r="W3494">
        <v>11226</v>
      </c>
      <c r="X3494">
        <v>7492</v>
      </c>
      <c r="Y3494">
        <v>1.5</v>
      </c>
      <c r="Z3494">
        <v>14</v>
      </c>
      <c r="AA3494">
        <v>55</v>
      </c>
      <c r="AB3494" t="s">
        <v>116</v>
      </c>
      <c r="AC3494">
        <v>405600</v>
      </c>
      <c r="AD3494">
        <v>0.06</v>
      </c>
      <c r="AE3494" t="s">
        <v>116</v>
      </c>
      <c r="AF3494" t="s">
        <v>116</v>
      </c>
      <c r="AG3494">
        <v>0.3</v>
      </c>
      <c r="AH3494" t="s">
        <v>14668</v>
      </c>
      <c r="AI3494" t="s">
        <v>1125</v>
      </c>
      <c r="AJ3494">
        <v>-1.81</v>
      </c>
      <c r="AK3494">
        <v>1370</v>
      </c>
      <c r="AL3494">
        <v>14</v>
      </c>
      <c r="AM3494">
        <v>4.5999999999999999E-3</v>
      </c>
      <c r="AN3494">
        <v>-1</v>
      </c>
      <c r="AO3494">
        <v>-1.17</v>
      </c>
      <c r="AP3494">
        <v>7.75</v>
      </c>
      <c r="AQ3494">
        <v>-5.63</v>
      </c>
      <c r="AR3494">
        <v>-25.45</v>
      </c>
      <c r="AS3494">
        <v>7.49</v>
      </c>
      <c r="AT3494" t="s">
        <v>9494</v>
      </c>
      <c r="AU3494">
        <v>38.31</v>
      </c>
      <c r="AV3494">
        <v>30.99</v>
      </c>
      <c r="AW3494">
        <v>1.63</v>
      </c>
      <c r="BA3494">
        <v>-7.0000000000000007E-2</v>
      </c>
      <c r="BB3494">
        <v>1.03</v>
      </c>
      <c r="BC3494">
        <v>-1.88</v>
      </c>
      <c r="BD3494">
        <v>-0.56999999999999995</v>
      </c>
      <c r="BE3494">
        <v>-1.82</v>
      </c>
      <c r="BF3494">
        <v>-2.88</v>
      </c>
      <c r="BG3494">
        <v>0</v>
      </c>
      <c r="BH3494">
        <v>-1.31</v>
      </c>
      <c r="BI3494">
        <v>20191223</v>
      </c>
      <c r="BJ3494">
        <v>20181224</v>
      </c>
      <c r="BK3494">
        <v>1</v>
      </c>
      <c r="BL3494" t="s">
        <v>116</v>
      </c>
      <c r="BM3494" t="s">
        <v>116</v>
      </c>
      <c r="BN3494">
        <v>17.559999999999999</v>
      </c>
      <c r="BO3494">
        <v>9.69</v>
      </c>
      <c r="BP3494">
        <v>0</v>
      </c>
      <c r="BQ3494">
        <v>44.81</v>
      </c>
      <c r="BR3494">
        <v>13.73</v>
      </c>
      <c r="BS3494">
        <v>2.7</v>
      </c>
      <c r="BT3494">
        <v>0.61</v>
      </c>
      <c r="BU3494">
        <v>7.84</v>
      </c>
      <c r="BV3494">
        <v>3.81</v>
      </c>
      <c r="BW3494">
        <v>3.22</v>
      </c>
      <c r="BX3494">
        <v>6.41</v>
      </c>
      <c r="BY3494">
        <v>10.49</v>
      </c>
      <c r="BZ3494">
        <v>8.4700000000000006</v>
      </c>
      <c r="CA3494">
        <v>0.59</v>
      </c>
      <c r="CB3494">
        <v>0</v>
      </c>
      <c r="CC3494">
        <v>0.59</v>
      </c>
      <c r="CD3494">
        <v>0.5</v>
      </c>
      <c r="CE3494">
        <v>0.5</v>
      </c>
      <c r="CF3494">
        <v>0.43</v>
      </c>
      <c r="CG3494">
        <v>2.06</v>
      </c>
      <c r="CH3494">
        <v>-0.1</v>
      </c>
      <c r="CI3494">
        <v>-2.4900000000000002</v>
      </c>
      <c r="CJ3494">
        <v>12749</v>
      </c>
      <c r="CK3494">
        <v>1961</v>
      </c>
      <c r="CL3494" t="s">
        <v>2551</v>
      </c>
      <c r="CM3494">
        <v>-26.03</v>
      </c>
      <c r="CN3494">
        <v>-0.66</v>
      </c>
      <c r="CO3494">
        <v>2.96</v>
      </c>
      <c r="CP3494">
        <v>-277.8</v>
      </c>
      <c r="CQ3494">
        <v>2.73</v>
      </c>
      <c r="CR3494">
        <v>0.98</v>
      </c>
      <c r="CS3494" t="s">
        <v>14669</v>
      </c>
      <c r="CT3494">
        <v>9.69</v>
      </c>
      <c r="CU3494">
        <v>0</v>
      </c>
      <c r="CV3494">
        <v>6.41</v>
      </c>
      <c r="CW3494">
        <v>2.06</v>
      </c>
      <c r="CX3494">
        <v>-0.1</v>
      </c>
      <c r="CY3494">
        <v>55.19</v>
      </c>
      <c r="CZ3494" t="s">
        <v>9778</v>
      </c>
      <c r="DA3494">
        <v>19.190000000000001</v>
      </c>
      <c r="DB3494">
        <v>5.6</v>
      </c>
      <c r="DC3494">
        <v>4.78</v>
      </c>
      <c r="DD3494">
        <v>0.37</v>
      </c>
      <c r="DE3494">
        <v>3116</v>
      </c>
      <c r="DF3494">
        <v>603629</v>
      </c>
      <c r="DG3494" t="s">
        <v>116</v>
      </c>
      <c r="DH3494" t="s">
        <v>116</v>
      </c>
      <c r="DI3494" t="s">
        <v>116</v>
      </c>
    </row>
    <row r="3495" spans="1:113" x14ac:dyDescent="0.4">
      <c r="A3495" t="str">
        <f>"603630"</f>
        <v>603630</v>
      </c>
      <c r="B3495" t="s">
        <v>14670</v>
      </c>
      <c r="C3495">
        <v>-0.69</v>
      </c>
      <c r="D3495">
        <v>12.99</v>
      </c>
      <c r="E3495">
        <v>-0.09</v>
      </c>
      <c r="F3495">
        <v>12.99</v>
      </c>
      <c r="G3495">
        <v>13.02</v>
      </c>
      <c r="H3495">
        <v>27717</v>
      </c>
      <c r="I3495">
        <v>674</v>
      </c>
      <c r="J3495">
        <v>0.08</v>
      </c>
      <c r="K3495">
        <v>3.44</v>
      </c>
      <c r="L3495">
        <v>13.1</v>
      </c>
      <c r="M3495">
        <v>13.5</v>
      </c>
      <c r="N3495">
        <v>12.98</v>
      </c>
      <c r="O3495">
        <v>13.08</v>
      </c>
      <c r="P3495">
        <v>38.39</v>
      </c>
      <c r="Q3495">
        <v>36697408</v>
      </c>
      <c r="R3495">
        <v>2.41</v>
      </c>
      <c r="S3495" t="s">
        <v>953</v>
      </c>
      <c r="T3495" t="s">
        <v>551</v>
      </c>
      <c r="U3495">
        <v>3.98</v>
      </c>
      <c r="V3495">
        <v>13.24</v>
      </c>
      <c r="W3495">
        <v>15091</v>
      </c>
      <c r="X3495">
        <v>12626</v>
      </c>
      <c r="Y3495">
        <v>1.2</v>
      </c>
      <c r="Z3495">
        <v>389</v>
      </c>
      <c r="AA3495">
        <v>22</v>
      </c>
      <c r="AB3495" t="s">
        <v>116</v>
      </c>
      <c r="AC3495">
        <v>98300</v>
      </c>
      <c r="AD3495">
        <v>0.01</v>
      </c>
      <c r="AE3495" t="s">
        <v>116</v>
      </c>
      <c r="AF3495" t="s">
        <v>116</v>
      </c>
      <c r="AG3495">
        <v>0.81</v>
      </c>
      <c r="AH3495" t="s">
        <v>12696</v>
      </c>
      <c r="AI3495" t="s">
        <v>8687</v>
      </c>
      <c r="AJ3495">
        <v>-0.61</v>
      </c>
      <c r="AK3495">
        <v>1260</v>
      </c>
      <c r="AL3495">
        <v>22</v>
      </c>
      <c r="AM3495">
        <v>2.7000000000000001E-3</v>
      </c>
      <c r="AN3495">
        <v>-1</v>
      </c>
      <c r="AO3495">
        <v>0.93</v>
      </c>
      <c r="AP3495">
        <v>5.01</v>
      </c>
      <c r="AQ3495">
        <v>-2.7</v>
      </c>
      <c r="AR3495">
        <v>2.2799999999999998</v>
      </c>
      <c r="AS3495">
        <v>3.49</v>
      </c>
      <c r="AT3495" t="s">
        <v>7720</v>
      </c>
      <c r="AU3495">
        <v>56.14</v>
      </c>
      <c r="AV3495">
        <v>23.16</v>
      </c>
      <c r="AW3495">
        <v>1.1499999999999999</v>
      </c>
      <c r="BA3495">
        <v>0.15</v>
      </c>
      <c r="BB3495">
        <v>3.21</v>
      </c>
      <c r="BC3495">
        <v>-0.76</v>
      </c>
      <c r="BD3495">
        <v>1.22</v>
      </c>
      <c r="BE3495">
        <v>-0.84</v>
      </c>
      <c r="BF3495">
        <v>-3.78</v>
      </c>
      <c r="BG3495">
        <v>0.08</v>
      </c>
      <c r="BH3495">
        <v>-1.91</v>
      </c>
      <c r="BI3495">
        <v>20191030</v>
      </c>
      <c r="BJ3495">
        <v>20170313</v>
      </c>
      <c r="BK3495">
        <v>2.27</v>
      </c>
      <c r="BL3495" t="s">
        <v>116</v>
      </c>
      <c r="BM3495" t="s">
        <v>116</v>
      </c>
      <c r="BN3495">
        <v>19.28</v>
      </c>
      <c r="BO3495">
        <v>17.350000000000001</v>
      </c>
      <c r="BP3495">
        <v>0.12</v>
      </c>
      <c r="BQ3495">
        <v>9.39</v>
      </c>
      <c r="BR3495">
        <v>15.73</v>
      </c>
      <c r="BS3495">
        <v>0.56000000000000005</v>
      </c>
      <c r="BT3495">
        <v>0.42</v>
      </c>
      <c r="BU3495">
        <v>1.69</v>
      </c>
      <c r="BV3495">
        <v>2.82</v>
      </c>
      <c r="BW3495">
        <v>1.1399999999999999</v>
      </c>
      <c r="BX3495">
        <v>8.23</v>
      </c>
      <c r="BY3495">
        <v>6.96</v>
      </c>
      <c r="BZ3495">
        <v>3.1</v>
      </c>
      <c r="CA3495">
        <v>0.56000000000000005</v>
      </c>
      <c r="CB3495">
        <v>0.16</v>
      </c>
      <c r="CC3495">
        <v>0.64</v>
      </c>
      <c r="CD3495">
        <v>0.57999999999999996</v>
      </c>
      <c r="CE3495">
        <v>0.57999999999999996</v>
      </c>
      <c r="CF3495">
        <v>0.49</v>
      </c>
      <c r="CG3495">
        <v>6.48</v>
      </c>
      <c r="CH3495">
        <v>1</v>
      </c>
      <c r="CI3495">
        <v>0.03</v>
      </c>
      <c r="CJ3495">
        <v>19391</v>
      </c>
      <c r="CK3495">
        <v>4100</v>
      </c>
      <c r="CL3495" t="s">
        <v>2819</v>
      </c>
      <c r="CM3495">
        <v>-56.49</v>
      </c>
      <c r="CN3495">
        <v>-1.84</v>
      </c>
      <c r="CO3495">
        <v>1.7</v>
      </c>
      <c r="CP3495">
        <v>29.58</v>
      </c>
      <c r="CQ3495">
        <v>4.2300000000000004</v>
      </c>
      <c r="CR3495">
        <v>3.04</v>
      </c>
      <c r="CS3495" t="s">
        <v>4342</v>
      </c>
      <c r="CT3495">
        <v>7.65</v>
      </c>
      <c r="CU3495">
        <v>0</v>
      </c>
      <c r="CV3495">
        <v>3.63</v>
      </c>
      <c r="CW3495">
        <v>2.86</v>
      </c>
      <c r="CX3495">
        <v>0.44</v>
      </c>
      <c r="CY3495">
        <v>90.01</v>
      </c>
      <c r="CZ3495" t="s">
        <v>2389</v>
      </c>
      <c r="DA3495">
        <v>55.47</v>
      </c>
      <c r="DB3495">
        <v>8.0299999999999994</v>
      </c>
      <c r="DC3495">
        <v>8.27</v>
      </c>
      <c r="DD3495">
        <v>0.28000000000000003</v>
      </c>
      <c r="DE3495">
        <v>2961</v>
      </c>
      <c r="DF3495">
        <v>603630</v>
      </c>
      <c r="DG3495" t="s">
        <v>116</v>
      </c>
      <c r="DH3495" t="s">
        <v>116</v>
      </c>
      <c r="DI3495" t="s">
        <v>116</v>
      </c>
    </row>
    <row r="3496" spans="1:113" x14ac:dyDescent="0.4">
      <c r="A3496" t="str">
        <f>"603633"</f>
        <v>603633</v>
      </c>
      <c r="B3496" t="s">
        <v>14671</v>
      </c>
      <c r="C3496">
        <v>0.77</v>
      </c>
      <c r="D3496">
        <v>10.43</v>
      </c>
      <c r="E3496">
        <v>0.08</v>
      </c>
      <c r="F3496">
        <v>10.42</v>
      </c>
      <c r="G3496">
        <v>10.43</v>
      </c>
      <c r="H3496">
        <v>42512</v>
      </c>
      <c r="I3496">
        <v>1417</v>
      </c>
      <c r="J3496">
        <v>0.48</v>
      </c>
      <c r="K3496">
        <v>2.09</v>
      </c>
      <c r="L3496">
        <v>10.27</v>
      </c>
      <c r="M3496">
        <v>10.51</v>
      </c>
      <c r="N3496">
        <v>10.26</v>
      </c>
      <c r="O3496">
        <v>10.35</v>
      </c>
      <c r="P3496">
        <v>44.15</v>
      </c>
      <c r="Q3496">
        <v>44087872</v>
      </c>
      <c r="R3496">
        <v>0.94</v>
      </c>
      <c r="S3496" t="s">
        <v>233</v>
      </c>
      <c r="T3496" t="s">
        <v>1653</v>
      </c>
      <c r="U3496">
        <v>2.42</v>
      </c>
      <c r="V3496">
        <v>10.37</v>
      </c>
      <c r="W3496">
        <v>16645</v>
      </c>
      <c r="X3496">
        <v>25867</v>
      </c>
      <c r="Y3496">
        <v>0.64</v>
      </c>
      <c r="Z3496">
        <v>156</v>
      </c>
      <c r="AA3496">
        <v>212</v>
      </c>
      <c r="AB3496" t="s">
        <v>116</v>
      </c>
      <c r="AC3496">
        <v>165300</v>
      </c>
      <c r="AD3496">
        <v>0.02</v>
      </c>
      <c r="AE3496" t="s">
        <v>116</v>
      </c>
      <c r="AF3496" t="s">
        <v>116</v>
      </c>
      <c r="AG3496">
        <v>2.0299999999999998</v>
      </c>
      <c r="AH3496" t="s">
        <v>13079</v>
      </c>
      <c r="AI3496" t="s">
        <v>13079</v>
      </c>
      <c r="AJ3496">
        <v>0.85</v>
      </c>
      <c r="AK3496">
        <v>1248</v>
      </c>
      <c r="AL3496">
        <v>34</v>
      </c>
      <c r="AM3496">
        <v>1.6999999999999999E-3</v>
      </c>
      <c r="AN3496">
        <v>1</v>
      </c>
      <c r="AO3496">
        <v>2.4500000000000002</v>
      </c>
      <c r="AP3496">
        <v>15.89</v>
      </c>
      <c r="AQ3496">
        <v>14.62</v>
      </c>
      <c r="AR3496">
        <v>36.46</v>
      </c>
      <c r="AS3496">
        <v>4.18</v>
      </c>
      <c r="AT3496" t="s">
        <v>1276</v>
      </c>
      <c r="AU3496">
        <v>50.08</v>
      </c>
      <c r="AV3496">
        <v>48.92</v>
      </c>
      <c r="AW3496">
        <v>1.1100000000000001</v>
      </c>
      <c r="BA3496">
        <v>-0.77</v>
      </c>
      <c r="BB3496">
        <v>1.55</v>
      </c>
      <c r="BC3496">
        <v>-0.87</v>
      </c>
      <c r="BD3496">
        <v>0.2</v>
      </c>
      <c r="BE3496">
        <v>1.56</v>
      </c>
      <c r="BF3496">
        <v>-0.76</v>
      </c>
      <c r="BG3496">
        <v>1.66</v>
      </c>
      <c r="BH3496">
        <v>0.56999999999999995</v>
      </c>
      <c r="BI3496">
        <v>20191115</v>
      </c>
      <c r="BJ3496">
        <v>20161117</v>
      </c>
      <c r="BK3496">
        <v>2.0299999999999998</v>
      </c>
      <c r="BL3496" t="s">
        <v>116</v>
      </c>
      <c r="BM3496" t="s">
        <v>116</v>
      </c>
      <c r="BN3496">
        <v>12.88</v>
      </c>
      <c r="BO3496">
        <v>7.54</v>
      </c>
      <c r="BP3496">
        <v>0</v>
      </c>
      <c r="BQ3496">
        <v>41.45</v>
      </c>
      <c r="BR3496">
        <v>6.34</v>
      </c>
      <c r="BS3496">
        <v>5.09</v>
      </c>
      <c r="BT3496">
        <v>0.22</v>
      </c>
      <c r="BU3496">
        <v>4.57</v>
      </c>
      <c r="BV3496">
        <v>2.78</v>
      </c>
      <c r="BW3496">
        <v>2.64</v>
      </c>
      <c r="BX3496">
        <v>1.1499999999999999</v>
      </c>
      <c r="BY3496">
        <v>3.36</v>
      </c>
      <c r="BZ3496">
        <v>2.2799999999999998</v>
      </c>
      <c r="CA3496">
        <v>0.38</v>
      </c>
      <c r="CB3496">
        <v>0</v>
      </c>
      <c r="CC3496">
        <v>0.41</v>
      </c>
      <c r="CD3496">
        <v>0.36</v>
      </c>
      <c r="CE3496">
        <v>0.36</v>
      </c>
      <c r="CF3496">
        <v>0.31</v>
      </c>
      <c r="CG3496">
        <v>3.92</v>
      </c>
      <c r="CH3496">
        <v>0.71</v>
      </c>
      <c r="CI3496">
        <v>-0.64</v>
      </c>
      <c r="CJ3496">
        <v>14363</v>
      </c>
      <c r="CK3496">
        <v>7086</v>
      </c>
      <c r="CL3496" t="s">
        <v>2018</v>
      </c>
      <c r="CM3496">
        <v>-2.72</v>
      </c>
      <c r="CN3496">
        <v>0.96</v>
      </c>
      <c r="CO3496">
        <v>2.81</v>
      </c>
      <c r="CP3496">
        <v>29.69</v>
      </c>
      <c r="CQ3496">
        <v>6.31</v>
      </c>
      <c r="CR3496">
        <v>0.62</v>
      </c>
      <c r="CS3496" t="s">
        <v>14672</v>
      </c>
      <c r="CT3496">
        <v>3.71</v>
      </c>
      <c r="CU3496">
        <v>0</v>
      </c>
      <c r="CV3496">
        <v>0.56000000000000005</v>
      </c>
      <c r="CW3496">
        <v>1.93</v>
      </c>
      <c r="CX3496">
        <v>0.35</v>
      </c>
      <c r="CY3496">
        <v>58.55</v>
      </c>
      <c r="CZ3496" t="s">
        <v>3696</v>
      </c>
      <c r="DA3496">
        <v>32.119999999999997</v>
      </c>
      <c r="DB3496">
        <v>11.31</v>
      </c>
      <c r="DC3496">
        <v>10.72</v>
      </c>
      <c r="DD3496">
        <v>0.19</v>
      </c>
      <c r="DE3496">
        <v>1148</v>
      </c>
      <c r="DF3496">
        <v>603633</v>
      </c>
      <c r="DG3496" t="s">
        <v>116</v>
      </c>
      <c r="DH3496" t="s">
        <v>116</v>
      </c>
      <c r="DI3496" t="s">
        <v>116</v>
      </c>
    </row>
    <row r="3497" spans="1:113" x14ac:dyDescent="0.4">
      <c r="A3497" t="str">
        <f>"603636"</f>
        <v>603636</v>
      </c>
      <c r="B3497" t="s">
        <v>14673</v>
      </c>
      <c r="C3497">
        <v>-2.12</v>
      </c>
      <c r="D3497">
        <v>11.53</v>
      </c>
      <c r="E3497">
        <v>-0.25</v>
      </c>
      <c r="F3497">
        <v>11.52</v>
      </c>
      <c r="G3497">
        <v>11.53</v>
      </c>
      <c r="H3497">
        <v>77209</v>
      </c>
      <c r="I3497">
        <v>737</v>
      </c>
      <c r="J3497">
        <v>0.17</v>
      </c>
      <c r="K3497">
        <v>1.47</v>
      </c>
      <c r="L3497">
        <v>11.81</v>
      </c>
      <c r="M3497">
        <v>11.94</v>
      </c>
      <c r="N3497">
        <v>11.46</v>
      </c>
      <c r="O3497">
        <v>11.78</v>
      </c>
      <c r="P3497">
        <v>55.28</v>
      </c>
      <c r="Q3497">
        <v>90591856</v>
      </c>
      <c r="R3497">
        <v>0.96</v>
      </c>
      <c r="S3497" t="s">
        <v>607</v>
      </c>
      <c r="T3497" t="s">
        <v>975</v>
      </c>
      <c r="U3497">
        <v>4.07</v>
      </c>
      <c r="V3497">
        <v>11.73</v>
      </c>
      <c r="W3497">
        <v>44160</v>
      </c>
      <c r="X3497">
        <v>33049</v>
      </c>
      <c r="Y3497">
        <v>1.34</v>
      </c>
      <c r="Z3497">
        <v>322</v>
      </c>
      <c r="AA3497">
        <v>229</v>
      </c>
      <c r="AB3497" t="s">
        <v>116</v>
      </c>
      <c r="AC3497">
        <v>124000</v>
      </c>
      <c r="AD3497">
        <v>0</v>
      </c>
      <c r="AE3497" t="s">
        <v>116</v>
      </c>
      <c r="AF3497" t="s">
        <v>116</v>
      </c>
      <c r="AG3497">
        <v>5.25</v>
      </c>
      <c r="AH3497" t="s">
        <v>14674</v>
      </c>
      <c r="AI3497" t="s">
        <v>14675</v>
      </c>
      <c r="AJ3497">
        <v>-2.0499999999999998</v>
      </c>
      <c r="AK3497">
        <v>2387</v>
      </c>
      <c r="AL3497">
        <v>32</v>
      </c>
      <c r="AM3497">
        <v>5.9999999999999995E-4</v>
      </c>
      <c r="AN3497">
        <v>-1</v>
      </c>
      <c r="AO3497">
        <v>-0.52</v>
      </c>
      <c r="AP3497">
        <v>12.05</v>
      </c>
      <c r="AQ3497">
        <v>-4.71</v>
      </c>
      <c r="AR3497">
        <v>21.62</v>
      </c>
      <c r="AS3497">
        <v>3.42</v>
      </c>
      <c r="AT3497" t="s">
        <v>13901</v>
      </c>
      <c r="AU3497">
        <v>45.78</v>
      </c>
      <c r="AV3497">
        <v>35.19</v>
      </c>
      <c r="AW3497">
        <v>1.84</v>
      </c>
      <c r="BA3497">
        <v>0.25</v>
      </c>
      <c r="BB3497">
        <v>1.36</v>
      </c>
      <c r="BC3497">
        <v>-2.72</v>
      </c>
      <c r="BD3497">
        <v>-0.4</v>
      </c>
      <c r="BE3497">
        <v>-2.37</v>
      </c>
      <c r="BF3497">
        <v>-3.43</v>
      </c>
      <c r="BG3497">
        <v>0.61</v>
      </c>
      <c r="BH3497">
        <v>-1.73</v>
      </c>
      <c r="BI3497">
        <v>20191226</v>
      </c>
      <c r="BJ3497">
        <v>20141230</v>
      </c>
      <c r="BK3497">
        <v>5.26</v>
      </c>
      <c r="BL3497" t="s">
        <v>116</v>
      </c>
      <c r="BM3497" t="s">
        <v>116</v>
      </c>
      <c r="BN3497">
        <v>35.14</v>
      </c>
      <c r="BO3497">
        <v>19.34</v>
      </c>
      <c r="BP3497">
        <v>0.28000000000000003</v>
      </c>
      <c r="BQ3497">
        <v>44.16</v>
      </c>
      <c r="BR3497">
        <v>18.149999999999999</v>
      </c>
      <c r="BS3497">
        <v>1.82</v>
      </c>
      <c r="BT3497">
        <v>1.4</v>
      </c>
      <c r="BU3497">
        <v>8.56</v>
      </c>
      <c r="BV3497">
        <v>4.1100000000000003</v>
      </c>
      <c r="BW3497">
        <v>4.59</v>
      </c>
      <c r="BX3497">
        <v>7.14</v>
      </c>
      <c r="BY3497">
        <v>7.58</v>
      </c>
      <c r="BZ3497">
        <v>4.74</v>
      </c>
      <c r="CA3497">
        <v>0.97</v>
      </c>
      <c r="CB3497">
        <v>0.01</v>
      </c>
      <c r="CC3497">
        <v>0.98</v>
      </c>
      <c r="CD3497">
        <v>0.79</v>
      </c>
      <c r="CE3497">
        <v>0.82</v>
      </c>
      <c r="CF3497">
        <v>0.7</v>
      </c>
      <c r="CG3497">
        <v>4.9400000000000004</v>
      </c>
      <c r="CH3497">
        <v>-3.21</v>
      </c>
      <c r="CI3497">
        <v>-2.0699999999999998</v>
      </c>
      <c r="CJ3497">
        <v>29182</v>
      </c>
      <c r="CK3497">
        <v>7733</v>
      </c>
      <c r="CL3497" t="s">
        <v>5732</v>
      </c>
      <c r="CM3497">
        <v>-32.65</v>
      </c>
      <c r="CN3497">
        <v>31.41</v>
      </c>
      <c r="CO3497">
        <v>3.46</v>
      </c>
      <c r="CP3497">
        <v>-18.89</v>
      </c>
      <c r="CQ3497">
        <v>8</v>
      </c>
      <c r="CR3497">
        <v>1.04</v>
      </c>
      <c r="CS3497" t="s">
        <v>328</v>
      </c>
      <c r="CT3497">
        <v>3.33</v>
      </c>
      <c r="CU3497">
        <v>3.33</v>
      </c>
      <c r="CV3497">
        <v>1.36</v>
      </c>
      <c r="CW3497">
        <v>0.94</v>
      </c>
      <c r="CX3497">
        <v>-0.61</v>
      </c>
      <c r="CY3497">
        <v>55.03</v>
      </c>
      <c r="CZ3497" t="s">
        <v>11819</v>
      </c>
      <c r="DA3497">
        <v>37.47</v>
      </c>
      <c r="DB3497">
        <v>12.79</v>
      </c>
      <c r="DC3497">
        <v>10.86</v>
      </c>
      <c r="DD3497">
        <v>0.42</v>
      </c>
      <c r="DE3497">
        <v>2241</v>
      </c>
      <c r="DF3497">
        <v>603636</v>
      </c>
      <c r="DG3497" t="s">
        <v>116</v>
      </c>
      <c r="DH3497" t="s">
        <v>116</v>
      </c>
      <c r="DI3497" t="s">
        <v>116</v>
      </c>
    </row>
    <row r="3498" spans="1:113" x14ac:dyDescent="0.4">
      <c r="A3498" t="str">
        <f>"603637"</f>
        <v>603637</v>
      </c>
      <c r="B3498" t="s">
        <v>14676</v>
      </c>
      <c r="C3498">
        <v>-0.65</v>
      </c>
      <c r="D3498">
        <v>15.17</v>
      </c>
      <c r="E3498">
        <v>-0.1</v>
      </c>
      <c r="F3498">
        <v>15.17</v>
      </c>
      <c r="G3498">
        <v>15.18</v>
      </c>
      <c r="H3498">
        <v>4207</v>
      </c>
      <c r="I3498">
        <v>60</v>
      </c>
      <c r="J3498">
        <v>0.13</v>
      </c>
      <c r="K3498">
        <v>0.97</v>
      </c>
      <c r="L3498">
        <v>15.49</v>
      </c>
      <c r="M3498">
        <v>15.49</v>
      </c>
      <c r="N3498">
        <v>15.15</v>
      </c>
      <c r="O3498">
        <v>15.27</v>
      </c>
      <c r="P3498">
        <v>51.88</v>
      </c>
      <c r="Q3498">
        <v>6409451</v>
      </c>
      <c r="R3498">
        <v>1.46</v>
      </c>
      <c r="S3498" t="s">
        <v>181</v>
      </c>
      <c r="T3498" t="s">
        <v>590</v>
      </c>
      <c r="U3498">
        <v>2.23</v>
      </c>
      <c r="V3498">
        <v>15.23</v>
      </c>
      <c r="W3498">
        <v>2299</v>
      </c>
      <c r="X3498">
        <v>1908</v>
      </c>
      <c r="Y3498">
        <v>1.2</v>
      </c>
      <c r="Z3498">
        <v>18</v>
      </c>
      <c r="AA3498">
        <v>777</v>
      </c>
      <c r="AB3498" t="s">
        <v>116</v>
      </c>
      <c r="AC3498">
        <v>62000</v>
      </c>
      <c r="AD3498">
        <v>0.01</v>
      </c>
      <c r="AE3498" t="s">
        <v>116</v>
      </c>
      <c r="AF3498" t="s">
        <v>116</v>
      </c>
      <c r="AG3498">
        <v>0.44</v>
      </c>
      <c r="AH3498" t="s">
        <v>14677</v>
      </c>
      <c r="AI3498" t="s">
        <v>14678</v>
      </c>
      <c r="AJ3498">
        <v>-0.57999999999999996</v>
      </c>
      <c r="AK3498">
        <v>456</v>
      </c>
      <c r="AL3498">
        <v>9</v>
      </c>
      <c r="AM3498">
        <v>2.0999999999999999E-3</v>
      </c>
      <c r="AN3498">
        <v>-2</v>
      </c>
      <c r="AO3498">
        <v>-0.46</v>
      </c>
      <c r="AP3498">
        <v>2.5</v>
      </c>
      <c r="AQ3498">
        <v>-5.89</v>
      </c>
      <c r="AR3498">
        <v>4.4000000000000004</v>
      </c>
      <c r="AS3498">
        <v>1.27</v>
      </c>
      <c r="AT3498" t="s">
        <v>14679</v>
      </c>
      <c r="AU3498">
        <v>50.75</v>
      </c>
      <c r="AV3498">
        <v>49.21</v>
      </c>
      <c r="AW3498">
        <v>0.69</v>
      </c>
      <c r="BA3498">
        <v>1.44</v>
      </c>
      <c r="BB3498">
        <v>1.44</v>
      </c>
      <c r="BC3498">
        <v>-0.79</v>
      </c>
      <c r="BD3498">
        <v>-0.24</v>
      </c>
      <c r="BE3498">
        <v>-2.0699999999999998</v>
      </c>
      <c r="BF3498">
        <v>-2.0699999999999998</v>
      </c>
      <c r="BG3498">
        <v>0.13</v>
      </c>
      <c r="BH3498">
        <v>-0.42</v>
      </c>
      <c r="BI3498">
        <v>20191018</v>
      </c>
      <c r="BJ3498">
        <v>20170208</v>
      </c>
      <c r="BK3498">
        <v>1.74</v>
      </c>
      <c r="BL3498" t="s">
        <v>116</v>
      </c>
      <c r="BM3498" t="s">
        <v>116</v>
      </c>
      <c r="BN3498">
        <v>10.66</v>
      </c>
      <c r="BO3498">
        <v>7.56</v>
      </c>
      <c r="BP3498">
        <v>0</v>
      </c>
      <c r="BQ3498">
        <v>29.11</v>
      </c>
      <c r="BR3498">
        <v>9.39</v>
      </c>
      <c r="BS3498">
        <v>0.57999999999999996</v>
      </c>
      <c r="BT3498">
        <v>0.28999999999999998</v>
      </c>
      <c r="BU3498">
        <v>3.01</v>
      </c>
      <c r="BV3498">
        <v>0.79</v>
      </c>
      <c r="BW3498">
        <v>1.32</v>
      </c>
      <c r="BX3498">
        <v>2.6</v>
      </c>
      <c r="BY3498">
        <v>6.08</v>
      </c>
      <c r="BZ3498">
        <v>5.48</v>
      </c>
      <c r="CA3498">
        <v>0.43</v>
      </c>
      <c r="CB3498">
        <v>0.01</v>
      </c>
      <c r="CC3498">
        <v>0.43</v>
      </c>
      <c r="CD3498">
        <v>0.38</v>
      </c>
      <c r="CE3498">
        <v>0.38</v>
      </c>
      <c r="CF3498">
        <v>0.35</v>
      </c>
      <c r="CG3498">
        <v>2.37</v>
      </c>
      <c r="CH3498">
        <v>2.2799999999999998</v>
      </c>
      <c r="CI3498">
        <v>-0.47</v>
      </c>
      <c r="CJ3498">
        <v>6232</v>
      </c>
      <c r="CK3498">
        <v>5334</v>
      </c>
      <c r="CL3498" t="s">
        <v>14680</v>
      </c>
      <c r="CM3498">
        <v>-4.08</v>
      </c>
      <c r="CN3498">
        <v>57.41</v>
      </c>
      <c r="CO3498">
        <v>3.5</v>
      </c>
      <c r="CP3498">
        <v>11.59</v>
      </c>
      <c r="CQ3498">
        <v>4.3499999999999996</v>
      </c>
      <c r="CR3498">
        <v>1.65</v>
      </c>
      <c r="CS3498" t="s">
        <v>4880</v>
      </c>
      <c r="CT3498">
        <v>4.34</v>
      </c>
      <c r="CU3498">
        <v>0</v>
      </c>
      <c r="CV3498">
        <v>1.49</v>
      </c>
      <c r="CW3498">
        <v>1.36</v>
      </c>
      <c r="CX3498">
        <v>1.31</v>
      </c>
      <c r="CY3498">
        <v>70.89</v>
      </c>
      <c r="CZ3498" t="s">
        <v>3787</v>
      </c>
      <c r="DA3498">
        <v>9.75</v>
      </c>
      <c r="DB3498">
        <v>7.03</v>
      </c>
      <c r="DC3498">
        <v>6.29</v>
      </c>
      <c r="DD3498">
        <v>0.13</v>
      </c>
      <c r="DE3498">
        <v>340</v>
      </c>
      <c r="DF3498">
        <v>603637</v>
      </c>
      <c r="DG3498" t="s">
        <v>116</v>
      </c>
      <c r="DH3498" t="s">
        <v>116</v>
      </c>
      <c r="DI3498" t="s">
        <v>116</v>
      </c>
    </row>
    <row r="3499" spans="1:113" x14ac:dyDescent="0.4">
      <c r="A3499" t="str">
        <f>"603638"</f>
        <v>603638</v>
      </c>
      <c r="B3499" t="s">
        <v>14681</v>
      </c>
      <c r="C3499">
        <v>-1.21</v>
      </c>
      <c r="D3499">
        <v>30.28</v>
      </c>
      <c r="E3499">
        <v>-0.37</v>
      </c>
      <c r="F3499">
        <v>30.28</v>
      </c>
      <c r="G3499">
        <v>30.29</v>
      </c>
      <c r="H3499">
        <v>8340</v>
      </c>
      <c r="I3499">
        <v>93</v>
      </c>
      <c r="J3499">
        <v>0.03</v>
      </c>
      <c r="K3499">
        <v>0.66</v>
      </c>
      <c r="L3499">
        <v>30.5</v>
      </c>
      <c r="M3499">
        <v>30.86</v>
      </c>
      <c r="N3499">
        <v>30.25</v>
      </c>
      <c r="O3499">
        <v>30.65</v>
      </c>
      <c r="P3499">
        <v>36.39</v>
      </c>
      <c r="Q3499">
        <v>25371880</v>
      </c>
      <c r="R3499">
        <v>1.1200000000000001</v>
      </c>
      <c r="S3499" t="s">
        <v>682</v>
      </c>
      <c r="T3499" t="s">
        <v>645</v>
      </c>
      <c r="U3499">
        <v>1.99</v>
      </c>
      <c r="V3499">
        <v>30.42</v>
      </c>
      <c r="W3499">
        <v>5493</v>
      </c>
      <c r="X3499">
        <v>2847</v>
      </c>
      <c r="Y3499">
        <v>1.93</v>
      </c>
      <c r="Z3499">
        <v>30</v>
      </c>
      <c r="AA3499">
        <v>4</v>
      </c>
      <c r="AB3499" t="s">
        <v>116</v>
      </c>
      <c r="AC3499">
        <v>6100</v>
      </c>
      <c r="AD3499">
        <v>0</v>
      </c>
      <c r="AE3499" t="s">
        <v>116</v>
      </c>
      <c r="AF3499" t="s">
        <v>116</v>
      </c>
      <c r="AG3499">
        <v>1.26</v>
      </c>
      <c r="AH3499" t="s">
        <v>14682</v>
      </c>
      <c r="AI3499" t="s">
        <v>14683</v>
      </c>
      <c r="AJ3499">
        <v>-1.1299999999999999</v>
      </c>
      <c r="AK3499">
        <v>980</v>
      </c>
      <c r="AL3499">
        <v>9</v>
      </c>
      <c r="AM3499">
        <v>6.9999999999999999E-4</v>
      </c>
      <c r="AN3499">
        <v>-2</v>
      </c>
      <c r="AO3499">
        <v>-1.34</v>
      </c>
      <c r="AP3499">
        <v>7.49</v>
      </c>
      <c r="AQ3499">
        <v>17.27</v>
      </c>
      <c r="AR3499">
        <v>86.65</v>
      </c>
      <c r="AS3499">
        <v>0.66</v>
      </c>
      <c r="AT3499" t="s">
        <v>14682</v>
      </c>
      <c r="AU3499">
        <v>40.61</v>
      </c>
      <c r="AV3499">
        <v>55.53</v>
      </c>
      <c r="AW3499">
        <v>0.64</v>
      </c>
      <c r="BA3499">
        <v>-0.49</v>
      </c>
      <c r="BB3499">
        <v>0.69</v>
      </c>
      <c r="BC3499">
        <v>-1.31</v>
      </c>
      <c r="BD3499">
        <v>-0.74</v>
      </c>
      <c r="BE3499">
        <v>-0.72</v>
      </c>
      <c r="BF3499">
        <v>-1.88</v>
      </c>
      <c r="BG3499">
        <v>0.1</v>
      </c>
      <c r="BH3499">
        <v>-0.46</v>
      </c>
      <c r="BI3499">
        <v>20191226</v>
      </c>
      <c r="BJ3499">
        <v>20170120</v>
      </c>
      <c r="BK3499">
        <v>4.13</v>
      </c>
      <c r="BL3499" t="s">
        <v>116</v>
      </c>
      <c r="BM3499" t="s">
        <v>116</v>
      </c>
      <c r="BN3499">
        <v>18.73</v>
      </c>
      <c r="BO3499">
        <v>12.29</v>
      </c>
      <c r="BP3499">
        <v>0</v>
      </c>
      <c r="BQ3499">
        <v>34.39</v>
      </c>
      <c r="BR3499">
        <v>8.24</v>
      </c>
      <c r="BS3499">
        <v>7.77</v>
      </c>
      <c r="BT3499">
        <v>0.65</v>
      </c>
      <c r="BU3499">
        <v>6.06</v>
      </c>
      <c r="BV3499">
        <v>4.49</v>
      </c>
      <c r="BW3499">
        <v>1.91</v>
      </c>
      <c r="BX3499">
        <v>1.45</v>
      </c>
      <c r="BY3499">
        <v>10.68</v>
      </c>
      <c r="BZ3499">
        <v>6.15</v>
      </c>
      <c r="CA3499">
        <v>3.01</v>
      </c>
      <c r="CB3499">
        <v>0</v>
      </c>
      <c r="CC3499">
        <v>3.02</v>
      </c>
      <c r="CD3499">
        <v>2.58</v>
      </c>
      <c r="CE3499">
        <v>2.58</v>
      </c>
      <c r="CF3499">
        <v>2.5</v>
      </c>
      <c r="CG3499">
        <v>6.31</v>
      </c>
      <c r="CH3499">
        <v>1.35</v>
      </c>
      <c r="CI3499">
        <v>0.51</v>
      </c>
      <c r="CJ3499">
        <v>7199</v>
      </c>
      <c r="CK3499">
        <v>17471</v>
      </c>
      <c r="CL3499" t="s">
        <v>14684</v>
      </c>
      <c r="CM3499">
        <v>47.28</v>
      </c>
      <c r="CN3499">
        <v>42.44</v>
      </c>
      <c r="CO3499">
        <v>9.5</v>
      </c>
      <c r="CP3499">
        <v>92.58</v>
      </c>
      <c r="CQ3499">
        <v>11.71</v>
      </c>
      <c r="CR3499">
        <v>0.42</v>
      </c>
      <c r="CS3499" t="s">
        <v>6983</v>
      </c>
      <c r="CT3499">
        <v>3.19</v>
      </c>
      <c r="CU3499">
        <v>3.19</v>
      </c>
      <c r="CV3499">
        <v>0.35</v>
      </c>
      <c r="CW3499">
        <v>1.53</v>
      </c>
      <c r="CX3499">
        <v>0.33</v>
      </c>
      <c r="CY3499">
        <v>65.61</v>
      </c>
      <c r="CZ3499" t="s">
        <v>14685</v>
      </c>
      <c r="DA3499">
        <v>42.46</v>
      </c>
      <c r="DB3499">
        <v>28.15</v>
      </c>
      <c r="DC3499">
        <v>24.13</v>
      </c>
      <c r="DD3499">
        <v>0.33</v>
      </c>
      <c r="DE3499">
        <v>1546</v>
      </c>
      <c r="DF3499">
        <v>603638</v>
      </c>
      <c r="DG3499" t="s">
        <v>116</v>
      </c>
      <c r="DH3499" t="s">
        <v>116</v>
      </c>
      <c r="DI3499" t="s">
        <v>116</v>
      </c>
    </row>
    <row r="3500" spans="1:113" x14ac:dyDescent="0.4">
      <c r="A3500" t="str">
        <f>"603639"</f>
        <v>603639</v>
      </c>
      <c r="B3500" t="s">
        <v>14686</v>
      </c>
      <c r="C3500">
        <v>-0.53</v>
      </c>
      <c r="D3500">
        <v>24.55</v>
      </c>
      <c r="E3500">
        <v>-0.13</v>
      </c>
      <c r="F3500">
        <v>24.53</v>
      </c>
      <c r="G3500">
        <v>24.55</v>
      </c>
      <c r="H3500">
        <v>7877</v>
      </c>
      <c r="I3500">
        <v>119</v>
      </c>
      <c r="J3500">
        <v>0.12</v>
      </c>
      <c r="K3500">
        <v>1.44</v>
      </c>
      <c r="L3500">
        <v>24.8</v>
      </c>
      <c r="M3500">
        <v>24.84</v>
      </c>
      <c r="N3500">
        <v>24.4</v>
      </c>
      <c r="O3500">
        <v>24.68</v>
      </c>
      <c r="P3500">
        <v>11.29</v>
      </c>
      <c r="Q3500">
        <v>19392894</v>
      </c>
      <c r="R3500">
        <v>1.0900000000000001</v>
      </c>
      <c r="S3500" t="s">
        <v>697</v>
      </c>
      <c r="T3500" t="s">
        <v>645</v>
      </c>
      <c r="U3500">
        <v>1.78</v>
      </c>
      <c r="V3500">
        <v>24.62</v>
      </c>
      <c r="W3500">
        <v>4832</v>
      </c>
      <c r="X3500">
        <v>3045</v>
      </c>
      <c r="Y3500">
        <v>1.59</v>
      </c>
      <c r="Z3500">
        <v>3</v>
      </c>
      <c r="AA3500">
        <v>38</v>
      </c>
      <c r="AB3500" t="s">
        <v>116</v>
      </c>
      <c r="AC3500">
        <v>359600</v>
      </c>
      <c r="AD3500">
        <v>0.03</v>
      </c>
      <c r="AE3500" t="s">
        <v>116</v>
      </c>
      <c r="AF3500" t="s">
        <v>116</v>
      </c>
      <c r="AG3500">
        <v>0.55000000000000004</v>
      </c>
      <c r="AH3500" t="s">
        <v>5661</v>
      </c>
      <c r="AI3500" t="s">
        <v>14687</v>
      </c>
      <c r="AJ3500">
        <v>-0.45</v>
      </c>
      <c r="AK3500">
        <v>680</v>
      </c>
      <c r="AL3500">
        <v>12</v>
      </c>
      <c r="AM3500">
        <v>2.0999999999999999E-3</v>
      </c>
      <c r="AN3500">
        <v>-1</v>
      </c>
      <c r="AO3500">
        <v>0.49</v>
      </c>
      <c r="AP3500">
        <v>0.9</v>
      </c>
      <c r="AQ3500">
        <v>-3.31</v>
      </c>
      <c r="AR3500">
        <v>-6.44</v>
      </c>
      <c r="AS3500">
        <v>1.5</v>
      </c>
      <c r="AT3500" t="s">
        <v>2736</v>
      </c>
      <c r="AU3500">
        <v>12.74</v>
      </c>
      <c r="AV3500">
        <v>11.34</v>
      </c>
      <c r="AW3500">
        <v>0.42</v>
      </c>
      <c r="BA3500">
        <v>0.49</v>
      </c>
      <c r="BB3500">
        <v>0.65</v>
      </c>
      <c r="BC3500">
        <v>-1.1299999999999999</v>
      </c>
      <c r="BD3500">
        <v>-0.25</v>
      </c>
      <c r="BE3500">
        <v>-1.01</v>
      </c>
      <c r="BF3500">
        <v>-1.17</v>
      </c>
      <c r="BG3500">
        <v>0.61</v>
      </c>
      <c r="BH3500">
        <v>-0.28000000000000003</v>
      </c>
      <c r="BI3500">
        <v>20191030</v>
      </c>
      <c r="BJ3500">
        <v>20170112</v>
      </c>
      <c r="BK3500">
        <v>1.7</v>
      </c>
      <c r="BL3500" t="s">
        <v>116</v>
      </c>
      <c r="BM3500" t="s">
        <v>116</v>
      </c>
      <c r="BN3500">
        <v>31.72</v>
      </c>
      <c r="BO3500">
        <v>22.01</v>
      </c>
      <c r="BP3500">
        <v>0</v>
      </c>
      <c r="BQ3500">
        <v>30.62</v>
      </c>
      <c r="BR3500">
        <v>19.260000000000002</v>
      </c>
      <c r="BS3500">
        <v>4.58</v>
      </c>
      <c r="BT3500">
        <v>5.23</v>
      </c>
      <c r="BU3500">
        <v>8.9</v>
      </c>
      <c r="BV3500">
        <v>5.94</v>
      </c>
      <c r="BW3500">
        <v>5.7</v>
      </c>
      <c r="BX3500">
        <v>7.27</v>
      </c>
      <c r="BY3500">
        <v>19.670000000000002</v>
      </c>
      <c r="BZ3500">
        <v>12.84</v>
      </c>
      <c r="CA3500">
        <v>3.32</v>
      </c>
      <c r="CB3500">
        <v>0</v>
      </c>
      <c r="CC3500">
        <v>3.34</v>
      </c>
      <c r="CD3500">
        <v>2.77</v>
      </c>
      <c r="CE3500">
        <v>2.77</v>
      </c>
      <c r="CF3500">
        <v>2.71</v>
      </c>
      <c r="CG3500">
        <v>12.62</v>
      </c>
      <c r="CH3500">
        <v>1.82</v>
      </c>
      <c r="CI3500">
        <v>-2.74</v>
      </c>
      <c r="CJ3500">
        <v>12590</v>
      </c>
      <c r="CK3500">
        <v>4178</v>
      </c>
      <c r="CL3500" t="s">
        <v>9719</v>
      </c>
      <c r="CM3500">
        <v>-12.76</v>
      </c>
      <c r="CN3500">
        <v>19.100000000000001</v>
      </c>
      <c r="CO3500">
        <v>1.89</v>
      </c>
      <c r="CP3500">
        <v>22.92</v>
      </c>
      <c r="CQ3500">
        <v>2.12</v>
      </c>
      <c r="CR3500">
        <v>1.22</v>
      </c>
      <c r="CS3500" t="s">
        <v>14688</v>
      </c>
      <c r="CT3500">
        <v>12.97</v>
      </c>
      <c r="CU3500">
        <v>12.97</v>
      </c>
      <c r="CV3500">
        <v>4.29</v>
      </c>
      <c r="CW3500">
        <v>7.44</v>
      </c>
      <c r="CX3500">
        <v>1.07</v>
      </c>
      <c r="CY3500">
        <v>69.38</v>
      </c>
      <c r="CZ3500" t="s">
        <v>14689</v>
      </c>
      <c r="DA3500">
        <v>34.71</v>
      </c>
      <c r="DB3500">
        <v>16.88</v>
      </c>
      <c r="DC3500">
        <v>14.07</v>
      </c>
      <c r="DD3500">
        <v>0.72</v>
      </c>
      <c r="DE3500">
        <v>1564</v>
      </c>
      <c r="DF3500">
        <v>603639</v>
      </c>
      <c r="DG3500" t="s">
        <v>116</v>
      </c>
      <c r="DH3500" t="s">
        <v>116</v>
      </c>
      <c r="DI3500" t="s">
        <v>116</v>
      </c>
    </row>
    <row r="3501" spans="1:113" x14ac:dyDescent="0.4">
      <c r="A3501" t="str">
        <f>"603648"</f>
        <v>603648</v>
      </c>
      <c r="B3501" t="s">
        <v>14690</v>
      </c>
      <c r="C3501">
        <v>-0.2</v>
      </c>
      <c r="D3501">
        <v>9.8800000000000008</v>
      </c>
      <c r="E3501">
        <v>-0.02</v>
      </c>
      <c r="F3501">
        <v>9.8800000000000008</v>
      </c>
      <c r="G3501">
        <v>9.89</v>
      </c>
      <c r="H3501">
        <v>32537</v>
      </c>
      <c r="I3501">
        <v>140</v>
      </c>
      <c r="J3501">
        <v>-0.09</v>
      </c>
      <c r="K3501">
        <v>1.19</v>
      </c>
      <c r="L3501">
        <v>9.89</v>
      </c>
      <c r="M3501">
        <v>10</v>
      </c>
      <c r="N3501">
        <v>9.8699999999999992</v>
      </c>
      <c r="O3501">
        <v>9.9</v>
      </c>
      <c r="P3501">
        <v>30.28</v>
      </c>
      <c r="Q3501">
        <v>32329442</v>
      </c>
      <c r="R3501">
        <v>1.3</v>
      </c>
      <c r="S3501" t="s">
        <v>3113</v>
      </c>
      <c r="T3501" t="s">
        <v>1653</v>
      </c>
      <c r="U3501">
        <v>1.31</v>
      </c>
      <c r="V3501">
        <v>9.94</v>
      </c>
      <c r="W3501">
        <v>18224</v>
      </c>
      <c r="X3501">
        <v>14313</v>
      </c>
      <c r="Y3501">
        <v>1.27</v>
      </c>
      <c r="Z3501">
        <v>412</v>
      </c>
      <c r="AA3501">
        <v>84</v>
      </c>
      <c r="AB3501" t="s">
        <v>116</v>
      </c>
      <c r="AC3501">
        <v>74200</v>
      </c>
      <c r="AD3501">
        <v>0</v>
      </c>
      <c r="AE3501" t="s">
        <v>116</v>
      </c>
      <c r="AF3501" t="s">
        <v>116</v>
      </c>
      <c r="AG3501">
        <v>2.73</v>
      </c>
      <c r="AH3501" t="s">
        <v>4955</v>
      </c>
      <c r="AI3501" t="s">
        <v>7896</v>
      </c>
      <c r="AJ3501">
        <v>-0.13</v>
      </c>
      <c r="AK3501">
        <v>1236</v>
      </c>
      <c r="AL3501">
        <v>26</v>
      </c>
      <c r="AM3501">
        <v>1E-3</v>
      </c>
      <c r="AN3501">
        <v>-1</v>
      </c>
      <c r="AO3501">
        <v>-0.1</v>
      </c>
      <c r="AP3501">
        <v>3.46</v>
      </c>
      <c r="AQ3501">
        <v>-12.26</v>
      </c>
      <c r="AR3501">
        <v>-3.89</v>
      </c>
      <c r="AS3501">
        <v>1.79</v>
      </c>
      <c r="AT3501" t="s">
        <v>1668</v>
      </c>
      <c r="AU3501">
        <v>33.93</v>
      </c>
      <c r="AV3501">
        <v>25.51</v>
      </c>
      <c r="AW3501">
        <v>1.2</v>
      </c>
      <c r="BA3501">
        <v>-0.1</v>
      </c>
      <c r="BB3501">
        <v>1.01</v>
      </c>
      <c r="BC3501">
        <v>-0.3</v>
      </c>
      <c r="BD3501">
        <v>0.37</v>
      </c>
      <c r="BE3501">
        <v>-0.1</v>
      </c>
      <c r="BF3501">
        <v>-1.2</v>
      </c>
      <c r="BG3501">
        <v>0.1</v>
      </c>
      <c r="BH3501">
        <v>-0.56999999999999995</v>
      </c>
      <c r="BI3501">
        <v>20191029</v>
      </c>
      <c r="BJ3501">
        <v>20170913</v>
      </c>
      <c r="BK3501">
        <v>3.69</v>
      </c>
      <c r="BL3501" t="s">
        <v>116</v>
      </c>
      <c r="BM3501" t="s">
        <v>116</v>
      </c>
      <c r="BN3501">
        <v>19.43</v>
      </c>
      <c r="BO3501">
        <v>16.670000000000002</v>
      </c>
      <c r="BP3501">
        <v>0.08</v>
      </c>
      <c r="BQ3501">
        <v>13.83</v>
      </c>
      <c r="BR3501">
        <v>9.7899999999999991</v>
      </c>
      <c r="BS3501">
        <v>7.2</v>
      </c>
      <c r="BT3501">
        <v>1.57</v>
      </c>
      <c r="BU3501">
        <v>2.58</v>
      </c>
      <c r="BV3501">
        <v>0.27</v>
      </c>
      <c r="BW3501">
        <v>2.2000000000000002</v>
      </c>
      <c r="BX3501">
        <v>9.0399999999999991</v>
      </c>
      <c r="BY3501">
        <v>9.64</v>
      </c>
      <c r="BZ3501">
        <v>7.71</v>
      </c>
      <c r="CA3501">
        <v>1.05</v>
      </c>
      <c r="CB3501">
        <v>0.11</v>
      </c>
      <c r="CC3501">
        <v>1.1000000000000001</v>
      </c>
      <c r="CD3501">
        <v>0.89</v>
      </c>
      <c r="CE3501">
        <v>0.9</v>
      </c>
      <c r="CF3501">
        <v>0.84</v>
      </c>
      <c r="CG3501">
        <v>3.18</v>
      </c>
      <c r="CH3501">
        <v>1.52</v>
      </c>
      <c r="CI3501">
        <v>-1.22</v>
      </c>
      <c r="CJ3501">
        <v>33044</v>
      </c>
      <c r="CK3501">
        <v>5504</v>
      </c>
      <c r="CL3501" t="s">
        <v>2195</v>
      </c>
      <c r="CM3501">
        <v>-28.18</v>
      </c>
      <c r="CN3501">
        <v>4.7300000000000004</v>
      </c>
      <c r="CO3501">
        <v>2.19</v>
      </c>
      <c r="CP3501">
        <v>24.03</v>
      </c>
      <c r="CQ3501">
        <v>3.78</v>
      </c>
      <c r="CR3501">
        <v>1.52</v>
      </c>
      <c r="CS3501" t="s">
        <v>3774</v>
      </c>
      <c r="CT3501">
        <v>4.5199999999999996</v>
      </c>
      <c r="CU3501">
        <v>0</v>
      </c>
      <c r="CV3501">
        <v>2.4500000000000002</v>
      </c>
      <c r="CW3501">
        <v>0.86</v>
      </c>
      <c r="CX3501">
        <v>0.41</v>
      </c>
      <c r="CY3501">
        <v>85.77</v>
      </c>
      <c r="CZ3501" t="s">
        <v>737</v>
      </c>
      <c r="DA3501">
        <v>20</v>
      </c>
      <c r="DB3501">
        <v>10.91</v>
      </c>
      <c r="DC3501">
        <v>9.36</v>
      </c>
      <c r="DD3501">
        <v>0.16</v>
      </c>
      <c r="DE3501">
        <v>1660</v>
      </c>
      <c r="DF3501">
        <v>603648</v>
      </c>
      <c r="DG3501" t="s">
        <v>116</v>
      </c>
      <c r="DH3501" t="s">
        <v>116</v>
      </c>
      <c r="DI3501" t="s">
        <v>116</v>
      </c>
    </row>
    <row r="3502" spans="1:113" x14ac:dyDescent="0.4">
      <c r="A3502" t="str">
        <f>"603650"</f>
        <v>603650</v>
      </c>
      <c r="B3502" t="s">
        <v>14691</v>
      </c>
      <c r="C3502">
        <v>-1.86</v>
      </c>
      <c r="D3502">
        <v>17.45</v>
      </c>
      <c r="E3502">
        <v>-0.33</v>
      </c>
      <c r="F3502">
        <v>17.440000000000001</v>
      </c>
      <c r="G3502">
        <v>17.45</v>
      </c>
      <c r="H3502">
        <v>36123</v>
      </c>
      <c r="I3502">
        <v>609</v>
      </c>
      <c r="J3502">
        <v>0.06</v>
      </c>
      <c r="K3502">
        <v>2.75</v>
      </c>
      <c r="L3502">
        <v>17.809999999999999</v>
      </c>
      <c r="M3502">
        <v>17.850000000000001</v>
      </c>
      <c r="N3502">
        <v>17.41</v>
      </c>
      <c r="O3502">
        <v>17.78</v>
      </c>
      <c r="P3502">
        <v>23.36</v>
      </c>
      <c r="Q3502">
        <v>63611040</v>
      </c>
      <c r="R3502">
        <v>1</v>
      </c>
      <c r="S3502" t="s">
        <v>891</v>
      </c>
      <c r="T3502" t="s">
        <v>1653</v>
      </c>
      <c r="U3502">
        <v>2.4700000000000002</v>
      </c>
      <c r="V3502">
        <v>17.61</v>
      </c>
      <c r="W3502">
        <v>23231</v>
      </c>
      <c r="X3502">
        <v>12892</v>
      </c>
      <c r="Y3502">
        <v>1.8</v>
      </c>
      <c r="Z3502">
        <v>335</v>
      </c>
      <c r="AA3502">
        <v>15</v>
      </c>
      <c r="AB3502" t="s">
        <v>116</v>
      </c>
      <c r="AC3502">
        <v>133600</v>
      </c>
      <c r="AD3502">
        <v>0.01</v>
      </c>
      <c r="AE3502" t="s">
        <v>116</v>
      </c>
      <c r="AF3502" t="s">
        <v>116</v>
      </c>
      <c r="AG3502">
        <v>1.31</v>
      </c>
      <c r="AH3502" t="s">
        <v>12525</v>
      </c>
      <c r="AI3502" t="s">
        <v>14692</v>
      </c>
      <c r="AJ3502">
        <v>-1.78</v>
      </c>
      <c r="AK3502">
        <v>1718</v>
      </c>
      <c r="AL3502">
        <v>21</v>
      </c>
      <c r="AM3502">
        <v>1.6000000000000001E-3</v>
      </c>
      <c r="AN3502">
        <v>-1</v>
      </c>
      <c r="AO3502">
        <v>-1.97</v>
      </c>
      <c r="AP3502">
        <v>6.08</v>
      </c>
      <c r="AQ3502">
        <v>-8.64</v>
      </c>
      <c r="AR3502">
        <v>-10.47</v>
      </c>
      <c r="AS3502">
        <v>2.75</v>
      </c>
      <c r="AT3502" t="s">
        <v>12525</v>
      </c>
      <c r="AU3502">
        <v>24.46</v>
      </c>
      <c r="AV3502">
        <v>24.8</v>
      </c>
      <c r="AW3502">
        <v>1.51</v>
      </c>
      <c r="BA3502">
        <v>0.17</v>
      </c>
      <c r="BB3502">
        <v>0.39</v>
      </c>
      <c r="BC3502">
        <v>-2.08</v>
      </c>
      <c r="BD3502">
        <v>-0.96</v>
      </c>
      <c r="BE3502">
        <v>-2.02</v>
      </c>
      <c r="BF3502">
        <v>-2.2400000000000002</v>
      </c>
      <c r="BG3502">
        <v>0.23</v>
      </c>
      <c r="BH3502">
        <v>-0.9</v>
      </c>
      <c r="BI3502">
        <v>20191126</v>
      </c>
      <c r="BJ3502">
        <v>20180627</v>
      </c>
      <c r="BK3502">
        <v>5.86</v>
      </c>
      <c r="BL3502" t="s">
        <v>116</v>
      </c>
      <c r="BM3502" t="s">
        <v>116</v>
      </c>
      <c r="BN3502">
        <v>36.19</v>
      </c>
      <c r="BO3502">
        <v>22.56</v>
      </c>
      <c r="BP3502">
        <v>0.2</v>
      </c>
      <c r="BQ3502">
        <v>37.090000000000003</v>
      </c>
      <c r="BR3502">
        <v>26.47</v>
      </c>
      <c r="BS3502">
        <v>4.32</v>
      </c>
      <c r="BT3502">
        <v>1.98</v>
      </c>
      <c r="BU3502">
        <v>12.97</v>
      </c>
      <c r="BV3502">
        <v>1.85</v>
      </c>
      <c r="BW3502">
        <v>5.78</v>
      </c>
      <c r="BX3502">
        <v>6.84</v>
      </c>
      <c r="BY3502">
        <v>16.38</v>
      </c>
      <c r="BZ3502">
        <v>10.45</v>
      </c>
      <c r="CA3502">
        <v>3.67</v>
      </c>
      <c r="CB3502">
        <v>-0.01</v>
      </c>
      <c r="CC3502">
        <v>3.78</v>
      </c>
      <c r="CD3502">
        <v>3.26</v>
      </c>
      <c r="CE3502">
        <v>3.28</v>
      </c>
      <c r="CF3502">
        <v>3.03</v>
      </c>
      <c r="CG3502">
        <v>9.2799999999999994</v>
      </c>
      <c r="CH3502">
        <v>2.6</v>
      </c>
      <c r="CI3502">
        <v>0.74</v>
      </c>
      <c r="CJ3502">
        <v>26443</v>
      </c>
      <c r="CK3502">
        <v>4970</v>
      </c>
      <c r="CL3502" t="s">
        <v>14693</v>
      </c>
      <c r="CM3502">
        <v>1.8</v>
      </c>
      <c r="CN3502">
        <v>0.49</v>
      </c>
      <c r="CO3502">
        <v>4.53</v>
      </c>
      <c r="CP3502">
        <v>39.369999999999997</v>
      </c>
      <c r="CQ3502">
        <v>6.24</v>
      </c>
      <c r="CR3502">
        <v>1.95</v>
      </c>
      <c r="CS3502" t="s">
        <v>6801</v>
      </c>
      <c r="CT3502">
        <v>3.85</v>
      </c>
      <c r="CU3502">
        <v>0</v>
      </c>
      <c r="CV3502">
        <v>1.17</v>
      </c>
      <c r="CW3502">
        <v>1.58</v>
      </c>
      <c r="CX3502">
        <v>0.44</v>
      </c>
      <c r="CY3502">
        <v>62.36</v>
      </c>
      <c r="CZ3502" t="s">
        <v>14694</v>
      </c>
      <c r="DA3502">
        <v>36.21</v>
      </c>
      <c r="DB3502">
        <v>22.39</v>
      </c>
      <c r="DC3502">
        <v>20.04</v>
      </c>
      <c r="DD3502">
        <v>0.76</v>
      </c>
      <c r="DE3502">
        <v>804</v>
      </c>
      <c r="DF3502">
        <v>603650</v>
      </c>
      <c r="DG3502" t="s">
        <v>116</v>
      </c>
      <c r="DH3502" t="s">
        <v>116</v>
      </c>
      <c r="DI3502" t="s">
        <v>116</v>
      </c>
    </row>
    <row r="3503" spans="1:113" x14ac:dyDescent="0.4">
      <c r="A3503" t="str">
        <f>"603655"</f>
        <v>603655</v>
      </c>
      <c r="B3503" t="s">
        <v>14695</v>
      </c>
      <c r="C3503">
        <v>9.31</v>
      </c>
      <c r="D3503">
        <v>21.36</v>
      </c>
      <c r="E3503">
        <v>1.82</v>
      </c>
      <c r="F3503">
        <v>21.3</v>
      </c>
      <c r="G3503">
        <v>21.36</v>
      </c>
      <c r="H3503">
        <v>74072</v>
      </c>
      <c r="I3503">
        <v>2072</v>
      </c>
      <c r="J3503">
        <v>2.15</v>
      </c>
      <c r="K3503">
        <v>21.79</v>
      </c>
      <c r="L3503">
        <v>19.5</v>
      </c>
      <c r="M3503">
        <v>21.4</v>
      </c>
      <c r="N3503">
        <v>19.149999999999999</v>
      </c>
      <c r="O3503">
        <v>19.54</v>
      </c>
      <c r="P3503">
        <v>124.72</v>
      </c>
      <c r="Q3503">
        <v>148058896</v>
      </c>
      <c r="R3503">
        <v>1.84</v>
      </c>
      <c r="S3503" t="s">
        <v>293</v>
      </c>
      <c r="T3503" t="s">
        <v>323</v>
      </c>
      <c r="U3503">
        <v>11.51</v>
      </c>
      <c r="V3503">
        <v>19.989999999999998</v>
      </c>
      <c r="W3503">
        <v>38266</v>
      </c>
      <c r="X3503">
        <v>35806</v>
      </c>
      <c r="Y3503">
        <v>1.07</v>
      </c>
      <c r="Z3503">
        <v>221</v>
      </c>
      <c r="AA3503">
        <v>132</v>
      </c>
      <c r="AB3503" t="s">
        <v>116</v>
      </c>
      <c r="AC3503">
        <v>247700</v>
      </c>
      <c r="AD3503">
        <v>0.04</v>
      </c>
      <c r="AE3503" t="s">
        <v>116</v>
      </c>
      <c r="AF3503" t="s">
        <v>116</v>
      </c>
      <c r="AG3503">
        <v>0.34</v>
      </c>
      <c r="AH3503" t="s">
        <v>6790</v>
      </c>
      <c r="AI3503" t="s">
        <v>1111</v>
      </c>
      <c r="AJ3503">
        <v>9.39</v>
      </c>
      <c r="AK3503">
        <v>1984</v>
      </c>
      <c r="AL3503">
        <v>37</v>
      </c>
      <c r="AM3503">
        <v>1.0999999999999999E-2</v>
      </c>
      <c r="AN3503">
        <v>1</v>
      </c>
      <c r="AO3503">
        <v>11.08</v>
      </c>
      <c r="AP3503">
        <v>20.47</v>
      </c>
      <c r="AQ3503">
        <v>26.32</v>
      </c>
      <c r="AR3503">
        <v>37.81</v>
      </c>
      <c r="AS3503">
        <v>21.79</v>
      </c>
      <c r="AT3503" t="s">
        <v>6790</v>
      </c>
      <c r="AU3503">
        <v>111.11</v>
      </c>
      <c r="AV3503">
        <v>74.95</v>
      </c>
      <c r="AW3503">
        <v>0</v>
      </c>
      <c r="BA3503">
        <v>-0.2</v>
      </c>
      <c r="BB3503">
        <v>9.52</v>
      </c>
      <c r="BC3503">
        <v>-2</v>
      </c>
      <c r="BD3503">
        <v>2.2999999999999998</v>
      </c>
      <c r="BE3503">
        <v>9.5399999999999991</v>
      </c>
      <c r="BF3503">
        <v>-0.19</v>
      </c>
      <c r="BG3503">
        <v>11.54</v>
      </c>
      <c r="BH3503">
        <v>7.02</v>
      </c>
      <c r="BI3503">
        <v>20191030</v>
      </c>
      <c r="BJ3503">
        <v>20171229</v>
      </c>
      <c r="BK3503">
        <v>1.06</v>
      </c>
      <c r="BL3503" t="s">
        <v>116</v>
      </c>
      <c r="BM3503" t="s">
        <v>116</v>
      </c>
      <c r="BN3503">
        <v>5.08</v>
      </c>
      <c r="BO3503">
        <v>4.84</v>
      </c>
      <c r="BP3503">
        <v>0</v>
      </c>
      <c r="BQ3503">
        <v>4.8</v>
      </c>
      <c r="BR3503">
        <v>3.32</v>
      </c>
      <c r="BS3503">
        <v>1.49</v>
      </c>
      <c r="BT3503">
        <v>0.19</v>
      </c>
      <c r="BU3503">
        <v>0.2</v>
      </c>
      <c r="BV3503">
        <v>0.2</v>
      </c>
      <c r="BW3503">
        <v>0.69</v>
      </c>
      <c r="BX3503">
        <v>2.84</v>
      </c>
      <c r="BY3503">
        <v>1.0900000000000001</v>
      </c>
      <c r="BZ3503">
        <v>0.65</v>
      </c>
      <c r="CA3503">
        <v>0.16</v>
      </c>
      <c r="CB3503">
        <v>0.03</v>
      </c>
      <c r="CC3503">
        <v>0.16</v>
      </c>
      <c r="CD3503">
        <v>0.14000000000000001</v>
      </c>
      <c r="CE3503">
        <v>0.14000000000000001</v>
      </c>
      <c r="CF3503">
        <v>0.11</v>
      </c>
      <c r="CG3503">
        <v>0.83</v>
      </c>
      <c r="CH3503">
        <v>0.22</v>
      </c>
      <c r="CI3503">
        <v>0.02</v>
      </c>
      <c r="CJ3503">
        <v>6813</v>
      </c>
      <c r="CK3503">
        <v>4990</v>
      </c>
      <c r="CL3503" t="s">
        <v>1766</v>
      </c>
      <c r="CM3503">
        <v>-41.93</v>
      </c>
      <c r="CN3503">
        <v>-16.28</v>
      </c>
      <c r="CO3503">
        <v>4.68</v>
      </c>
      <c r="CP3503">
        <v>102.24</v>
      </c>
      <c r="CQ3503">
        <v>20.72</v>
      </c>
      <c r="CR3503">
        <v>0.47</v>
      </c>
      <c r="CS3503" t="s">
        <v>5140</v>
      </c>
      <c r="CT3503">
        <v>4.5599999999999996</v>
      </c>
      <c r="CU3503">
        <v>0</v>
      </c>
      <c r="CV3503">
        <v>2.68</v>
      </c>
      <c r="CW3503">
        <v>0.79</v>
      </c>
      <c r="CX3503">
        <v>0.21</v>
      </c>
      <c r="CY3503">
        <v>95.2</v>
      </c>
      <c r="CZ3503" t="s">
        <v>1960</v>
      </c>
      <c r="DA3503">
        <v>40.76</v>
      </c>
      <c r="DB3503">
        <v>14.51</v>
      </c>
      <c r="DC3503">
        <v>12.46</v>
      </c>
      <c r="DD3503">
        <v>0.06</v>
      </c>
      <c r="DE3503">
        <v>467</v>
      </c>
      <c r="DF3503">
        <v>603655</v>
      </c>
      <c r="DG3503" t="s">
        <v>116</v>
      </c>
      <c r="DH3503" t="s">
        <v>116</v>
      </c>
      <c r="DI3503" t="s">
        <v>116</v>
      </c>
    </row>
    <row r="3504" spans="1:113" x14ac:dyDescent="0.4">
      <c r="A3504" t="str">
        <f>"603656"</f>
        <v>603656</v>
      </c>
      <c r="B3504" t="s">
        <v>14696</v>
      </c>
      <c r="C3504">
        <v>-2.23</v>
      </c>
      <c r="D3504">
        <v>14.9</v>
      </c>
      <c r="E3504">
        <v>-0.34</v>
      </c>
      <c r="F3504">
        <v>14.9</v>
      </c>
      <c r="G3504">
        <v>14.93</v>
      </c>
      <c r="H3504">
        <v>11302</v>
      </c>
      <c r="I3504">
        <v>99</v>
      </c>
      <c r="J3504">
        <v>0</v>
      </c>
      <c r="K3504">
        <v>1.78</v>
      </c>
      <c r="L3504">
        <v>15.38</v>
      </c>
      <c r="M3504">
        <v>15.38</v>
      </c>
      <c r="N3504">
        <v>14.87</v>
      </c>
      <c r="O3504">
        <v>15.24</v>
      </c>
      <c r="P3504">
        <v>32.29</v>
      </c>
      <c r="Q3504">
        <v>17040508</v>
      </c>
      <c r="R3504">
        <v>1.52</v>
      </c>
      <c r="S3504" t="s">
        <v>682</v>
      </c>
      <c r="T3504" t="s">
        <v>575</v>
      </c>
      <c r="U3504">
        <v>3.35</v>
      </c>
      <c r="V3504">
        <v>15.08</v>
      </c>
      <c r="W3504">
        <v>7494</v>
      </c>
      <c r="X3504">
        <v>3808</v>
      </c>
      <c r="Y3504">
        <v>1.97</v>
      </c>
      <c r="Z3504">
        <v>24</v>
      </c>
      <c r="AA3504">
        <v>5</v>
      </c>
      <c r="AB3504" t="s">
        <v>116</v>
      </c>
      <c r="AC3504">
        <v>89200</v>
      </c>
      <c r="AD3504">
        <v>0.01</v>
      </c>
      <c r="AE3504" t="s">
        <v>116</v>
      </c>
      <c r="AF3504" t="s">
        <v>116</v>
      </c>
      <c r="AG3504">
        <v>0.63</v>
      </c>
      <c r="AH3504" t="s">
        <v>14697</v>
      </c>
      <c r="AI3504" t="s">
        <v>14698</v>
      </c>
      <c r="AJ3504">
        <v>-2.15</v>
      </c>
      <c r="AK3504">
        <v>691</v>
      </c>
      <c r="AL3504">
        <v>16</v>
      </c>
      <c r="AM3504">
        <v>2.5999999999999999E-3</v>
      </c>
      <c r="AN3504">
        <v>-1</v>
      </c>
      <c r="AO3504">
        <v>2.13</v>
      </c>
      <c r="AP3504">
        <v>6.2</v>
      </c>
      <c r="AQ3504">
        <v>-6.87</v>
      </c>
      <c r="AR3504">
        <v>7.43</v>
      </c>
      <c r="AS3504">
        <v>1.78</v>
      </c>
      <c r="AT3504" t="s">
        <v>14697</v>
      </c>
      <c r="AU3504">
        <v>33.299999999999997</v>
      </c>
      <c r="AV3504">
        <v>27.48</v>
      </c>
      <c r="AW3504">
        <v>1.1200000000000001</v>
      </c>
      <c r="BA3504">
        <v>0.92</v>
      </c>
      <c r="BB3504">
        <v>0.92</v>
      </c>
      <c r="BC3504">
        <v>-2.4300000000000002</v>
      </c>
      <c r="BD3504">
        <v>-1.07</v>
      </c>
      <c r="BE3504">
        <v>-3.12</v>
      </c>
      <c r="BF3504">
        <v>-3.12</v>
      </c>
      <c r="BG3504">
        <v>0.2</v>
      </c>
      <c r="BH3504">
        <v>-1.1599999999999999</v>
      </c>
      <c r="BI3504">
        <v>20191026</v>
      </c>
      <c r="BJ3504">
        <v>20170321</v>
      </c>
      <c r="BK3504">
        <v>1.49</v>
      </c>
      <c r="BL3504" t="s">
        <v>116</v>
      </c>
      <c r="BM3504" t="s">
        <v>116</v>
      </c>
      <c r="BN3504">
        <v>10.25</v>
      </c>
      <c r="BO3504">
        <v>9.18</v>
      </c>
      <c r="BP3504">
        <v>0.08</v>
      </c>
      <c r="BQ3504">
        <v>9.66</v>
      </c>
      <c r="BR3504">
        <v>8.34</v>
      </c>
      <c r="BS3504">
        <v>1</v>
      </c>
      <c r="BT3504">
        <v>0.41</v>
      </c>
      <c r="BU3504">
        <v>0.86</v>
      </c>
      <c r="BV3504">
        <v>0.89</v>
      </c>
      <c r="BW3504">
        <v>1.03</v>
      </c>
      <c r="BX3504">
        <v>3.26</v>
      </c>
      <c r="BY3504">
        <v>2.78</v>
      </c>
      <c r="BZ3504">
        <v>1.28</v>
      </c>
      <c r="CA3504">
        <v>0.46</v>
      </c>
      <c r="CB3504">
        <v>0.12</v>
      </c>
      <c r="CC3504">
        <v>0.6</v>
      </c>
      <c r="CD3504">
        <v>0.5</v>
      </c>
      <c r="CE3504">
        <v>0.52</v>
      </c>
      <c r="CF3504">
        <v>0.28999999999999998</v>
      </c>
      <c r="CG3504">
        <v>3.92</v>
      </c>
      <c r="CH3504">
        <v>0.2</v>
      </c>
      <c r="CI3504">
        <v>-1.6</v>
      </c>
      <c r="CJ3504">
        <v>8332</v>
      </c>
      <c r="CK3504">
        <v>7601</v>
      </c>
      <c r="CL3504" t="s">
        <v>14699</v>
      </c>
      <c r="CM3504">
        <v>-21.51</v>
      </c>
      <c r="CN3504">
        <v>-8.9</v>
      </c>
      <c r="CO3504">
        <v>2.42</v>
      </c>
      <c r="CP3504">
        <v>110.27</v>
      </c>
      <c r="CQ3504">
        <v>7.97</v>
      </c>
      <c r="CR3504">
        <v>0.74</v>
      </c>
      <c r="CS3504" t="s">
        <v>7771</v>
      </c>
      <c r="CT3504">
        <v>6.16</v>
      </c>
      <c r="CU3504">
        <v>0</v>
      </c>
      <c r="CV3504">
        <v>2.19</v>
      </c>
      <c r="CW3504">
        <v>2.63</v>
      </c>
      <c r="CX3504">
        <v>0.14000000000000001</v>
      </c>
      <c r="CY3504">
        <v>89.53</v>
      </c>
      <c r="CZ3504" t="s">
        <v>4229</v>
      </c>
      <c r="DA3504">
        <v>53.91</v>
      </c>
      <c r="DB3504">
        <v>16.61</v>
      </c>
      <c r="DC3504">
        <v>18.52</v>
      </c>
      <c r="DD3504">
        <v>0.35</v>
      </c>
      <c r="DE3504">
        <v>845</v>
      </c>
      <c r="DF3504">
        <v>603656</v>
      </c>
      <c r="DG3504" t="s">
        <v>116</v>
      </c>
      <c r="DH3504" t="s">
        <v>116</v>
      </c>
      <c r="DI3504" t="s">
        <v>116</v>
      </c>
    </row>
    <row r="3505" spans="1:113" x14ac:dyDescent="0.4">
      <c r="A3505" t="str">
        <f>"603657"</f>
        <v>603657</v>
      </c>
      <c r="B3505" t="s">
        <v>14700</v>
      </c>
      <c r="C3505">
        <v>-0.7</v>
      </c>
      <c r="D3505">
        <v>24.29</v>
      </c>
      <c r="E3505">
        <v>-0.17</v>
      </c>
      <c r="F3505">
        <v>24.28</v>
      </c>
      <c r="G3505">
        <v>24.29</v>
      </c>
      <c r="H3505">
        <v>8560</v>
      </c>
      <c r="I3505">
        <v>120</v>
      </c>
      <c r="J3505">
        <v>-7.0000000000000007E-2</v>
      </c>
      <c r="K3505">
        <v>2.99</v>
      </c>
      <c r="L3505">
        <v>24.45</v>
      </c>
      <c r="M3505">
        <v>24.75</v>
      </c>
      <c r="N3505">
        <v>24.26</v>
      </c>
      <c r="O3505">
        <v>24.46</v>
      </c>
      <c r="P3505">
        <v>23</v>
      </c>
      <c r="Q3505">
        <v>21022086</v>
      </c>
      <c r="R3505">
        <v>1.43</v>
      </c>
      <c r="S3505" t="s">
        <v>2444</v>
      </c>
      <c r="T3505" t="s">
        <v>590</v>
      </c>
      <c r="U3505">
        <v>2</v>
      </c>
      <c r="V3505">
        <v>24.56</v>
      </c>
      <c r="W3505">
        <v>5035</v>
      </c>
      <c r="X3505">
        <v>3525</v>
      </c>
      <c r="Y3505">
        <v>1.43</v>
      </c>
      <c r="Z3505">
        <v>17</v>
      </c>
      <c r="AA3505">
        <v>29</v>
      </c>
      <c r="AB3505" t="s">
        <v>116</v>
      </c>
      <c r="AC3505">
        <v>29300</v>
      </c>
      <c r="AD3505">
        <v>0</v>
      </c>
      <c r="AE3505" t="s">
        <v>116</v>
      </c>
      <c r="AF3505" t="s">
        <v>116</v>
      </c>
      <c r="AG3505">
        <v>0.28999999999999998</v>
      </c>
      <c r="AH3505" t="s">
        <v>9523</v>
      </c>
      <c r="AI3505" t="s">
        <v>392</v>
      </c>
      <c r="AJ3505">
        <v>-0.62</v>
      </c>
      <c r="AK3505">
        <v>829</v>
      </c>
      <c r="AL3505">
        <v>10</v>
      </c>
      <c r="AM3505">
        <v>3.5999999999999999E-3</v>
      </c>
      <c r="AN3505">
        <v>-1</v>
      </c>
      <c r="AO3505">
        <v>1.08</v>
      </c>
      <c r="AP3505">
        <v>4.97</v>
      </c>
      <c r="AQ3505">
        <v>-10.73</v>
      </c>
      <c r="AR3505">
        <v>-13.37</v>
      </c>
      <c r="AS3505">
        <v>2.99</v>
      </c>
      <c r="AT3505" t="s">
        <v>9523</v>
      </c>
      <c r="AU3505">
        <v>22.84</v>
      </c>
      <c r="AV3505">
        <v>23.09</v>
      </c>
      <c r="AW3505">
        <v>1.1499999999999999</v>
      </c>
      <c r="BA3505">
        <v>-0.04</v>
      </c>
      <c r="BB3505">
        <v>1.19</v>
      </c>
      <c r="BC3505">
        <v>-0.82</v>
      </c>
      <c r="BD3505">
        <v>0.4</v>
      </c>
      <c r="BE3505">
        <v>-0.65</v>
      </c>
      <c r="BF3505">
        <v>-1.86</v>
      </c>
      <c r="BG3505">
        <v>0.12</v>
      </c>
      <c r="BH3505">
        <v>-1.0900000000000001</v>
      </c>
      <c r="BI3505">
        <v>20191029</v>
      </c>
      <c r="BJ3505">
        <v>20180730</v>
      </c>
      <c r="BK3505">
        <v>0.96</v>
      </c>
      <c r="BL3505" t="s">
        <v>116</v>
      </c>
      <c r="BM3505" t="s">
        <v>116</v>
      </c>
      <c r="BN3505">
        <v>9.6300000000000008</v>
      </c>
      <c r="BO3505">
        <v>8.42</v>
      </c>
      <c r="BP3505">
        <v>0</v>
      </c>
      <c r="BQ3505">
        <v>12.58</v>
      </c>
      <c r="BR3505">
        <v>7.49</v>
      </c>
      <c r="BS3505">
        <v>0.97</v>
      </c>
      <c r="BT3505">
        <v>0.61</v>
      </c>
      <c r="BU3505">
        <v>1.1599999999999999</v>
      </c>
      <c r="BV3505">
        <v>0.49</v>
      </c>
      <c r="BW3505">
        <v>1.63</v>
      </c>
      <c r="BX3505">
        <v>5.18</v>
      </c>
      <c r="BY3505">
        <v>4</v>
      </c>
      <c r="BZ3505">
        <v>2.68</v>
      </c>
      <c r="CA3505">
        <v>0.9</v>
      </c>
      <c r="CB3505">
        <v>0.04</v>
      </c>
      <c r="CC3505">
        <v>0.89</v>
      </c>
      <c r="CD3505">
        <v>0.76</v>
      </c>
      <c r="CE3505">
        <v>0.76</v>
      </c>
      <c r="CF3505">
        <v>0.71</v>
      </c>
      <c r="CG3505">
        <v>2</v>
      </c>
      <c r="CH3505">
        <v>1.1599999999999999</v>
      </c>
      <c r="CI3505">
        <v>2.5099999999999998</v>
      </c>
      <c r="CJ3505">
        <v>12533</v>
      </c>
      <c r="CK3505">
        <v>2284</v>
      </c>
      <c r="CL3505" t="s">
        <v>937</v>
      </c>
      <c r="CM3505">
        <v>1.49</v>
      </c>
      <c r="CN3505">
        <v>11.14</v>
      </c>
      <c r="CO3505">
        <v>2.77</v>
      </c>
      <c r="CP3505">
        <v>20.11</v>
      </c>
      <c r="CQ3505">
        <v>5.83</v>
      </c>
      <c r="CR3505">
        <v>3.29</v>
      </c>
      <c r="CS3505" t="s">
        <v>14701</v>
      </c>
      <c r="CT3505">
        <v>8.77</v>
      </c>
      <c r="CU3505">
        <v>0</v>
      </c>
      <c r="CV3505">
        <v>5.4</v>
      </c>
      <c r="CW3505">
        <v>2.08</v>
      </c>
      <c r="CX3505">
        <v>1.21</v>
      </c>
      <c r="CY3505">
        <v>87.42</v>
      </c>
      <c r="CZ3505" t="s">
        <v>6154</v>
      </c>
      <c r="DA3505">
        <v>33.03</v>
      </c>
      <c r="DB3505">
        <v>22.39</v>
      </c>
      <c r="DC3505">
        <v>19.010000000000002</v>
      </c>
      <c r="DD3505">
        <v>0.11</v>
      </c>
      <c r="DE3505">
        <v>1173</v>
      </c>
      <c r="DF3505">
        <v>603657</v>
      </c>
      <c r="DG3505" t="s">
        <v>116</v>
      </c>
      <c r="DH3505" t="s">
        <v>116</v>
      </c>
      <c r="DI3505" t="s">
        <v>116</v>
      </c>
    </row>
    <row r="3506" spans="1:113" x14ac:dyDescent="0.4">
      <c r="A3506" t="str">
        <f>"603658"</f>
        <v>603658</v>
      </c>
      <c r="B3506" t="s">
        <v>14702</v>
      </c>
      <c r="C3506">
        <v>-0.75</v>
      </c>
      <c r="D3506">
        <v>94.78</v>
      </c>
      <c r="E3506">
        <v>-0.72</v>
      </c>
      <c r="F3506">
        <v>94.71</v>
      </c>
      <c r="G3506">
        <v>94.79</v>
      </c>
      <c r="H3506">
        <v>14603</v>
      </c>
      <c r="I3506">
        <v>74</v>
      </c>
      <c r="J3506">
        <v>0.42</v>
      </c>
      <c r="K3506">
        <v>0.35</v>
      </c>
      <c r="L3506">
        <v>96.1</v>
      </c>
      <c r="M3506">
        <v>97.29</v>
      </c>
      <c r="N3506">
        <v>94.13</v>
      </c>
      <c r="O3506">
        <v>95.5</v>
      </c>
      <c r="P3506">
        <v>55.5</v>
      </c>
      <c r="Q3506">
        <v>139247248</v>
      </c>
      <c r="R3506">
        <v>1.35</v>
      </c>
      <c r="S3506" t="s">
        <v>559</v>
      </c>
      <c r="T3506" t="s">
        <v>652</v>
      </c>
      <c r="U3506">
        <v>3.31</v>
      </c>
      <c r="V3506">
        <v>95.35</v>
      </c>
      <c r="W3506">
        <v>6796</v>
      </c>
      <c r="X3506">
        <v>7807</v>
      </c>
      <c r="Y3506">
        <v>0.87</v>
      </c>
      <c r="Z3506">
        <v>1</v>
      </c>
      <c r="AA3506">
        <v>2</v>
      </c>
      <c r="AB3506" t="s">
        <v>116</v>
      </c>
      <c r="AC3506">
        <v>1566400</v>
      </c>
      <c r="AD3506">
        <v>0.02</v>
      </c>
      <c r="AE3506" t="s">
        <v>116</v>
      </c>
      <c r="AF3506" t="s">
        <v>116</v>
      </c>
      <c r="AG3506">
        <v>4.2</v>
      </c>
      <c r="AH3506" t="s">
        <v>14703</v>
      </c>
      <c r="AI3506" t="s">
        <v>14703</v>
      </c>
      <c r="AJ3506">
        <v>-0.68</v>
      </c>
      <c r="AK3506">
        <v>2486</v>
      </c>
      <c r="AL3506">
        <v>6</v>
      </c>
      <c r="AM3506">
        <v>1E-4</v>
      </c>
      <c r="AN3506">
        <v>-7</v>
      </c>
      <c r="AO3506">
        <v>-2.41</v>
      </c>
      <c r="AP3506">
        <v>-7.51</v>
      </c>
      <c r="AQ3506">
        <v>6.6</v>
      </c>
      <c r="AR3506">
        <v>97.09</v>
      </c>
      <c r="AS3506">
        <v>2.04</v>
      </c>
      <c r="AT3506" t="s">
        <v>14704</v>
      </c>
      <c r="AU3506">
        <v>57.74</v>
      </c>
      <c r="AV3506">
        <v>70.760000000000005</v>
      </c>
      <c r="AW3506">
        <v>1.25</v>
      </c>
      <c r="BA3506">
        <v>0.63</v>
      </c>
      <c r="BB3506">
        <v>1.87</v>
      </c>
      <c r="BC3506">
        <v>-1.43</v>
      </c>
      <c r="BD3506">
        <v>-0.15</v>
      </c>
      <c r="BE3506">
        <v>-1.37</v>
      </c>
      <c r="BF3506">
        <v>-2.58</v>
      </c>
      <c r="BG3506">
        <v>0.69</v>
      </c>
      <c r="BH3506">
        <v>-0.6</v>
      </c>
      <c r="BI3506">
        <v>20191029</v>
      </c>
      <c r="BJ3506">
        <v>20160901</v>
      </c>
      <c r="BK3506">
        <v>4.2</v>
      </c>
      <c r="BL3506" t="s">
        <v>116</v>
      </c>
      <c r="BM3506" t="s">
        <v>116</v>
      </c>
      <c r="BN3506">
        <v>38.51</v>
      </c>
      <c r="BO3506">
        <v>23.21</v>
      </c>
      <c r="BP3506">
        <v>0.61</v>
      </c>
      <c r="BQ3506">
        <v>38.15</v>
      </c>
      <c r="BR3506">
        <v>18.62</v>
      </c>
      <c r="BS3506">
        <v>11.22</v>
      </c>
      <c r="BT3506">
        <v>1.98</v>
      </c>
      <c r="BU3506">
        <v>8.61</v>
      </c>
      <c r="BV3506">
        <v>3.2</v>
      </c>
      <c r="BW3506">
        <v>5.55</v>
      </c>
      <c r="BX3506">
        <v>5.36</v>
      </c>
      <c r="BY3506">
        <v>18.940000000000001</v>
      </c>
      <c r="BZ3506">
        <v>6.32</v>
      </c>
      <c r="CA3506">
        <v>6.3</v>
      </c>
      <c r="CB3506">
        <v>0.1</v>
      </c>
      <c r="CC3506">
        <v>6.24</v>
      </c>
      <c r="CD3506">
        <v>5.48</v>
      </c>
      <c r="CE3506">
        <v>5.38</v>
      </c>
      <c r="CF3506">
        <v>5.2</v>
      </c>
      <c r="CG3506">
        <v>9.69</v>
      </c>
      <c r="CH3506">
        <v>5.34</v>
      </c>
      <c r="CI3506">
        <v>0.31</v>
      </c>
      <c r="CJ3506">
        <v>7728</v>
      </c>
      <c r="CK3506">
        <v>9256</v>
      </c>
      <c r="CL3506" t="s">
        <v>8174</v>
      </c>
      <c r="CM3506">
        <v>30.87</v>
      </c>
      <c r="CN3506">
        <v>39.22</v>
      </c>
      <c r="CO3506">
        <v>18.68</v>
      </c>
      <c r="CP3506">
        <v>74.59</v>
      </c>
      <c r="CQ3506">
        <v>21.02</v>
      </c>
      <c r="CR3506">
        <v>0.84</v>
      </c>
      <c r="CS3506" t="s">
        <v>14705</v>
      </c>
      <c r="CT3506">
        <v>5.07</v>
      </c>
      <c r="CU3506">
        <v>5.07</v>
      </c>
      <c r="CV3506">
        <v>1.28</v>
      </c>
      <c r="CW3506">
        <v>2.31</v>
      </c>
      <c r="CX3506">
        <v>1.27</v>
      </c>
      <c r="CY3506">
        <v>60.26</v>
      </c>
      <c r="CZ3506" t="s">
        <v>14706</v>
      </c>
      <c r="DA3506">
        <v>66.64</v>
      </c>
      <c r="DB3506">
        <v>33.25</v>
      </c>
      <c r="DC3506">
        <v>28.41</v>
      </c>
      <c r="DD3506">
        <v>2.2599999999999998</v>
      </c>
      <c r="DE3506">
        <v>3059</v>
      </c>
      <c r="DF3506">
        <v>603658</v>
      </c>
      <c r="DG3506" t="s">
        <v>116</v>
      </c>
      <c r="DH3506" t="s">
        <v>116</v>
      </c>
      <c r="DI3506" t="s">
        <v>116</v>
      </c>
    </row>
    <row r="3507" spans="1:113" x14ac:dyDescent="0.4">
      <c r="A3507" t="str">
        <f>"603659"</f>
        <v>603659</v>
      </c>
      <c r="B3507" t="s">
        <v>14707</v>
      </c>
      <c r="C3507">
        <v>-2.65</v>
      </c>
      <c r="D3507">
        <v>82.02</v>
      </c>
      <c r="E3507">
        <v>-2.23</v>
      </c>
      <c r="F3507">
        <v>82</v>
      </c>
      <c r="G3507">
        <v>82.02</v>
      </c>
      <c r="H3507">
        <v>35424</v>
      </c>
      <c r="I3507">
        <v>190</v>
      </c>
      <c r="J3507">
        <v>-0.21</v>
      </c>
      <c r="K3507">
        <v>1.83</v>
      </c>
      <c r="L3507">
        <v>84.36</v>
      </c>
      <c r="M3507">
        <v>85.3</v>
      </c>
      <c r="N3507">
        <v>81.069999999999993</v>
      </c>
      <c r="O3507">
        <v>84.25</v>
      </c>
      <c r="P3507">
        <v>58.4</v>
      </c>
      <c r="Q3507">
        <v>294646752</v>
      </c>
      <c r="R3507">
        <v>1</v>
      </c>
      <c r="S3507" t="s">
        <v>891</v>
      </c>
      <c r="T3507" t="s">
        <v>1653</v>
      </c>
      <c r="U3507">
        <v>5.0199999999999996</v>
      </c>
      <c r="V3507">
        <v>83.18</v>
      </c>
      <c r="W3507">
        <v>18363</v>
      </c>
      <c r="X3507">
        <v>17061</v>
      </c>
      <c r="Y3507">
        <v>1.08</v>
      </c>
      <c r="Z3507">
        <v>6</v>
      </c>
      <c r="AA3507">
        <v>17</v>
      </c>
      <c r="AB3507" t="s">
        <v>116</v>
      </c>
      <c r="AC3507">
        <v>506200</v>
      </c>
      <c r="AD3507">
        <v>0</v>
      </c>
      <c r="AE3507" t="s">
        <v>116</v>
      </c>
      <c r="AF3507" t="s">
        <v>116</v>
      </c>
      <c r="AG3507">
        <v>1.94</v>
      </c>
      <c r="AH3507" t="s">
        <v>14708</v>
      </c>
      <c r="AI3507" t="s">
        <v>14709</v>
      </c>
      <c r="AJ3507">
        <v>-2.57</v>
      </c>
      <c r="AK3507">
        <v>2986</v>
      </c>
      <c r="AL3507">
        <v>12</v>
      </c>
      <c r="AM3507">
        <v>5.9999999999999995E-4</v>
      </c>
      <c r="AN3507">
        <v>-2</v>
      </c>
      <c r="AO3507">
        <v>-1.31</v>
      </c>
      <c r="AP3507">
        <v>17</v>
      </c>
      <c r="AQ3507">
        <v>61.78</v>
      </c>
      <c r="AR3507">
        <v>74.58</v>
      </c>
      <c r="AS3507">
        <v>2.42</v>
      </c>
      <c r="AT3507" t="s">
        <v>14710</v>
      </c>
      <c r="AU3507">
        <v>57.25</v>
      </c>
      <c r="AV3507">
        <v>60.07</v>
      </c>
      <c r="AW3507">
        <v>1.52</v>
      </c>
      <c r="BA3507">
        <v>0.13</v>
      </c>
      <c r="BB3507">
        <v>1.25</v>
      </c>
      <c r="BC3507">
        <v>-3.77</v>
      </c>
      <c r="BD3507">
        <v>-1.27</v>
      </c>
      <c r="BE3507">
        <v>-2.77</v>
      </c>
      <c r="BF3507">
        <v>-3.85</v>
      </c>
      <c r="BG3507">
        <v>1.17</v>
      </c>
      <c r="BH3507">
        <v>-1.37</v>
      </c>
      <c r="BI3507">
        <v>20191204</v>
      </c>
      <c r="BJ3507">
        <v>20171103</v>
      </c>
      <c r="BK3507">
        <v>4.3499999999999996</v>
      </c>
      <c r="BL3507" t="s">
        <v>116</v>
      </c>
      <c r="BM3507" t="s">
        <v>116</v>
      </c>
      <c r="BN3507">
        <v>80.52</v>
      </c>
      <c r="BO3507">
        <v>32.01</v>
      </c>
      <c r="BP3507">
        <v>2.21</v>
      </c>
      <c r="BQ3507">
        <v>57.5</v>
      </c>
      <c r="BR3507">
        <v>52.41</v>
      </c>
      <c r="BS3507">
        <v>12.68</v>
      </c>
      <c r="BT3507">
        <v>2.2400000000000002</v>
      </c>
      <c r="BU3507">
        <v>42.56</v>
      </c>
      <c r="BV3507">
        <v>23.68</v>
      </c>
      <c r="BW3507">
        <v>12.87</v>
      </c>
      <c r="BX3507">
        <v>11.18</v>
      </c>
      <c r="BY3507">
        <v>35.01</v>
      </c>
      <c r="BZ3507">
        <v>25.07</v>
      </c>
      <c r="CA3507">
        <v>5.44</v>
      </c>
      <c r="CB3507">
        <v>7.0000000000000007E-2</v>
      </c>
      <c r="CC3507">
        <v>5.47</v>
      </c>
      <c r="CD3507">
        <v>4.72</v>
      </c>
      <c r="CE3507">
        <v>4.58</v>
      </c>
      <c r="CF3507">
        <v>4.21</v>
      </c>
      <c r="CG3507">
        <v>16.71</v>
      </c>
      <c r="CH3507">
        <v>1.84</v>
      </c>
      <c r="CI3507">
        <v>-4.34</v>
      </c>
      <c r="CJ3507">
        <v>9234</v>
      </c>
      <c r="CK3507">
        <v>15838</v>
      </c>
      <c r="CL3507" t="s">
        <v>14711</v>
      </c>
      <c r="CM3507">
        <v>6.83</v>
      </c>
      <c r="CN3507">
        <v>52.8</v>
      </c>
      <c r="CO3507">
        <v>11.14</v>
      </c>
      <c r="CP3507">
        <v>194.05</v>
      </c>
      <c r="CQ3507">
        <v>10.19</v>
      </c>
      <c r="CR3507">
        <v>0.51</v>
      </c>
      <c r="CS3507" t="s">
        <v>4509</v>
      </c>
      <c r="CT3507">
        <v>7.36</v>
      </c>
      <c r="CU3507">
        <v>7.36</v>
      </c>
      <c r="CV3507">
        <v>2.57</v>
      </c>
      <c r="CW3507">
        <v>3.84</v>
      </c>
      <c r="CX3507">
        <v>0.42</v>
      </c>
      <c r="CY3507">
        <v>39.76</v>
      </c>
      <c r="CZ3507" t="s">
        <v>8507</v>
      </c>
      <c r="DA3507">
        <v>28.41</v>
      </c>
      <c r="DB3507">
        <v>15.54</v>
      </c>
      <c r="DC3507">
        <v>13.09</v>
      </c>
      <c r="DD3507">
        <v>1.53</v>
      </c>
      <c r="DE3507">
        <v>2457</v>
      </c>
      <c r="DF3507">
        <v>603659</v>
      </c>
      <c r="DG3507" t="s">
        <v>116</v>
      </c>
      <c r="DH3507" t="s">
        <v>116</v>
      </c>
      <c r="DI3507" t="s">
        <v>116</v>
      </c>
    </row>
    <row r="3508" spans="1:113" x14ac:dyDescent="0.4">
      <c r="A3508" t="str">
        <f>"603660"</f>
        <v>603660</v>
      </c>
      <c r="B3508" t="s">
        <v>14712</v>
      </c>
      <c r="C3508">
        <v>1.66</v>
      </c>
      <c r="D3508">
        <v>11.04</v>
      </c>
      <c r="E3508">
        <v>0.18</v>
      </c>
      <c r="F3508">
        <v>11.04</v>
      </c>
      <c r="G3508">
        <v>11.05</v>
      </c>
      <c r="H3508">
        <v>93970</v>
      </c>
      <c r="I3508">
        <v>894</v>
      </c>
      <c r="J3508">
        <v>0.18</v>
      </c>
      <c r="K3508">
        <v>1.9</v>
      </c>
      <c r="L3508">
        <v>10.8</v>
      </c>
      <c r="M3508">
        <v>11.26</v>
      </c>
      <c r="N3508">
        <v>10.75</v>
      </c>
      <c r="O3508">
        <v>10.86</v>
      </c>
      <c r="P3508">
        <v>181.95</v>
      </c>
      <c r="Q3508">
        <v>103828672</v>
      </c>
      <c r="R3508">
        <v>1.82</v>
      </c>
      <c r="S3508" t="s">
        <v>465</v>
      </c>
      <c r="T3508" t="s">
        <v>323</v>
      </c>
      <c r="U3508">
        <v>4.7</v>
      </c>
      <c r="V3508">
        <v>11.05</v>
      </c>
      <c r="W3508">
        <v>42155</v>
      </c>
      <c r="X3508">
        <v>51815</v>
      </c>
      <c r="Y3508">
        <v>0.81</v>
      </c>
      <c r="Z3508">
        <v>184</v>
      </c>
      <c r="AA3508">
        <v>1136</v>
      </c>
      <c r="AB3508" t="s">
        <v>116</v>
      </c>
      <c r="AC3508">
        <v>559400</v>
      </c>
      <c r="AD3508">
        <v>0.01</v>
      </c>
      <c r="AE3508" t="s">
        <v>116</v>
      </c>
      <c r="AF3508" t="s">
        <v>116</v>
      </c>
      <c r="AG3508">
        <v>4.9400000000000004</v>
      </c>
      <c r="AH3508" t="s">
        <v>14713</v>
      </c>
      <c r="AI3508" t="s">
        <v>14714</v>
      </c>
      <c r="AJ3508">
        <v>1.73</v>
      </c>
      <c r="AK3508">
        <v>2316</v>
      </c>
      <c r="AL3508">
        <v>41</v>
      </c>
      <c r="AM3508">
        <v>8.0000000000000004E-4</v>
      </c>
      <c r="AN3508">
        <v>4</v>
      </c>
      <c r="AO3508">
        <v>4.0599999999999996</v>
      </c>
      <c r="AP3508">
        <v>11.63</v>
      </c>
      <c r="AQ3508">
        <v>-6.84</v>
      </c>
      <c r="AR3508">
        <v>-6.72</v>
      </c>
      <c r="AS3508">
        <v>2.58</v>
      </c>
      <c r="AT3508" t="s">
        <v>14715</v>
      </c>
      <c r="AU3508">
        <v>27.17</v>
      </c>
      <c r="AV3508">
        <v>17.28</v>
      </c>
      <c r="AW3508">
        <v>1.47</v>
      </c>
      <c r="BA3508">
        <v>-0.55000000000000004</v>
      </c>
      <c r="BB3508">
        <v>3.68</v>
      </c>
      <c r="BC3508">
        <v>-1.01</v>
      </c>
      <c r="BD3508">
        <v>1.74</v>
      </c>
      <c r="BE3508">
        <v>2.2200000000000002</v>
      </c>
      <c r="BF3508">
        <v>-1.95</v>
      </c>
      <c r="BG3508">
        <v>2.7</v>
      </c>
      <c r="BH3508">
        <v>-0.08</v>
      </c>
      <c r="BI3508">
        <v>20191129</v>
      </c>
      <c r="BJ3508">
        <v>20161201</v>
      </c>
      <c r="BK3508">
        <v>5.04</v>
      </c>
      <c r="BL3508" t="s">
        <v>116</v>
      </c>
      <c r="BM3508" t="s">
        <v>116</v>
      </c>
      <c r="BN3508">
        <v>25.97</v>
      </c>
      <c r="BO3508">
        <v>17.760000000000002</v>
      </c>
      <c r="BP3508">
        <v>0.24</v>
      </c>
      <c r="BQ3508">
        <v>30.67</v>
      </c>
      <c r="BR3508">
        <v>21.41</v>
      </c>
      <c r="BS3508">
        <v>2.21</v>
      </c>
      <c r="BT3508">
        <v>0.28000000000000003</v>
      </c>
      <c r="BU3508">
        <v>6.68</v>
      </c>
      <c r="BV3508">
        <v>6.9</v>
      </c>
      <c r="BW3508">
        <v>11.14</v>
      </c>
      <c r="BX3508">
        <v>2.74</v>
      </c>
      <c r="BY3508">
        <v>17.25</v>
      </c>
      <c r="BZ3508">
        <v>7.78</v>
      </c>
      <c r="CA3508">
        <v>0.17</v>
      </c>
      <c r="CB3508">
        <v>0.01</v>
      </c>
      <c r="CC3508">
        <v>0.18</v>
      </c>
      <c r="CD3508">
        <v>0.23</v>
      </c>
      <c r="CE3508">
        <v>0.23</v>
      </c>
      <c r="CF3508">
        <v>0.15</v>
      </c>
      <c r="CG3508">
        <v>10.61</v>
      </c>
      <c r="CH3508">
        <v>-3.16</v>
      </c>
      <c r="CI3508">
        <v>-1.82</v>
      </c>
      <c r="CJ3508">
        <v>24617</v>
      </c>
      <c r="CK3508">
        <v>14801</v>
      </c>
      <c r="CL3508" t="s">
        <v>12469</v>
      </c>
      <c r="CM3508">
        <v>-83.64</v>
      </c>
      <c r="CN3508">
        <v>11.87</v>
      </c>
      <c r="CO3508">
        <v>3.13</v>
      </c>
      <c r="CP3508">
        <v>-17.63</v>
      </c>
      <c r="CQ3508">
        <v>3.23</v>
      </c>
      <c r="CR3508">
        <v>0.65</v>
      </c>
      <c r="CS3508" t="s">
        <v>3798</v>
      </c>
      <c r="CT3508">
        <v>3.53</v>
      </c>
      <c r="CU3508">
        <v>0</v>
      </c>
      <c r="CV3508">
        <v>0.54</v>
      </c>
      <c r="CW3508">
        <v>2.11</v>
      </c>
      <c r="CX3508">
        <v>-0.63</v>
      </c>
      <c r="CY3508">
        <v>68.39</v>
      </c>
      <c r="CZ3508" t="s">
        <v>14716</v>
      </c>
      <c r="DA3508">
        <v>54.89</v>
      </c>
      <c r="DB3508">
        <v>0.97</v>
      </c>
      <c r="DC3508">
        <v>1.33</v>
      </c>
      <c r="DD3508">
        <v>4.99</v>
      </c>
      <c r="DE3508">
        <v>4831</v>
      </c>
      <c r="DF3508">
        <v>603660</v>
      </c>
      <c r="DG3508" t="s">
        <v>116</v>
      </c>
      <c r="DH3508" t="s">
        <v>116</v>
      </c>
      <c r="DI3508" t="s">
        <v>116</v>
      </c>
    </row>
    <row r="3509" spans="1:113" x14ac:dyDescent="0.4">
      <c r="A3509" t="str">
        <f>"603661"</f>
        <v>603661</v>
      </c>
      <c r="B3509" t="s">
        <v>14717</v>
      </c>
      <c r="C3509">
        <v>-0.61</v>
      </c>
      <c r="D3509">
        <v>44.03</v>
      </c>
      <c r="E3509">
        <v>-0.27</v>
      </c>
      <c r="F3509">
        <v>44.02</v>
      </c>
      <c r="G3509">
        <v>44.03</v>
      </c>
      <c r="H3509">
        <v>10294</v>
      </c>
      <c r="I3509">
        <v>90</v>
      </c>
      <c r="J3509">
        <v>-0.19</v>
      </c>
      <c r="K3509">
        <v>3.58</v>
      </c>
      <c r="L3509">
        <v>44.61</v>
      </c>
      <c r="M3509">
        <v>44.67</v>
      </c>
      <c r="N3509">
        <v>43.83</v>
      </c>
      <c r="O3509">
        <v>44.3</v>
      </c>
      <c r="P3509">
        <v>15.14</v>
      </c>
      <c r="Q3509">
        <v>45441140</v>
      </c>
      <c r="R3509">
        <v>1.02</v>
      </c>
      <c r="S3509" t="s">
        <v>2640</v>
      </c>
      <c r="T3509" t="s">
        <v>590</v>
      </c>
      <c r="U3509">
        <v>1.9</v>
      </c>
      <c r="V3509">
        <v>44.14</v>
      </c>
      <c r="W3509">
        <v>5926</v>
      </c>
      <c r="X3509">
        <v>4368</v>
      </c>
      <c r="Y3509">
        <v>1.36</v>
      </c>
      <c r="Z3509">
        <v>5</v>
      </c>
      <c r="AA3509">
        <v>7</v>
      </c>
      <c r="AB3509" t="s">
        <v>116</v>
      </c>
      <c r="AC3509">
        <v>646800</v>
      </c>
      <c r="AD3509">
        <v>0.05</v>
      </c>
      <c r="AE3509" t="s">
        <v>116</v>
      </c>
      <c r="AF3509" t="s">
        <v>116</v>
      </c>
      <c r="AG3509">
        <v>0.28999999999999998</v>
      </c>
      <c r="AH3509" t="s">
        <v>4066</v>
      </c>
      <c r="AI3509" t="s">
        <v>14718</v>
      </c>
      <c r="AJ3509">
        <v>-0.53</v>
      </c>
      <c r="AK3509">
        <v>1286</v>
      </c>
      <c r="AL3509">
        <v>8</v>
      </c>
      <c r="AM3509">
        <v>2.8E-3</v>
      </c>
      <c r="AN3509">
        <v>-1</v>
      </c>
      <c r="AO3509">
        <v>1.79</v>
      </c>
      <c r="AP3509">
        <v>10.82</v>
      </c>
      <c r="AQ3509">
        <v>27.96</v>
      </c>
      <c r="AR3509">
        <v>49.86</v>
      </c>
      <c r="AS3509">
        <v>3.58</v>
      </c>
      <c r="AT3509" t="s">
        <v>4066</v>
      </c>
      <c r="AU3509">
        <v>16.87</v>
      </c>
      <c r="AV3509">
        <v>25.76</v>
      </c>
      <c r="AW3509">
        <v>1.07</v>
      </c>
      <c r="BA3509">
        <v>0.7</v>
      </c>
      <c r="BB3509">
        <v>0.84</v>
      </c>
      <c r="BC3509">
        <v>-1.06</v>
      </c>
      <c r="BD3509">
        <v>-0.35</v>
      </c>
      <c r="BE3509">
        <v>-1.3</v>
      </c>
      <c r="BF3509">
        <v>-1.43</v>
      </c>
      <c r="BG3509">
        <v>0.46</v>
      </c>
      <c r="BH3509">
        <v>-0.25</v>
      </c>
      <c r="BI3509">
        <v>20191111</v>
      </c>
      <c r="BJ3509">
        <v>20171121</v>
      </c>
      <c r="BK3509">
        <v>1</v>
      </c>
      <c r="BL3509" t="s">
        <v>116</v>
      </c>
      <c r="BM3509" t="s">
        <v>116</v>
      </c>
      <c r="BN3509">
        <v>35.369999999999997</v>
      </c>
      <c r="BO3509">
        <v>24.53</v>
      </c>
      <c r="BP3509">
        <v>0.61</v>
      </c>
      <c r="BQ3509">
        <v>28.95</v>
      </c>
      <c r="BR3509">
        <v>20.14</v>
      </c>
      <c r="BS3509">
        <v>7.25</v>
      </c>
      <c r="BT3509">
        <v>1.18</v>
      </c>
      <c r="BU3509">
        <v>7.28</v>
      </c>
      <c r="BV3509">
        <v>4.01</v>
      </c>
      <c r="BW3509">
        <v>5.86</v>
      </c>
      <c r="BX3509">
        <v>13.54</v>
      </c>
      <c r="BY3509">
        <v>19.52</v>
      </c>
      <c r="BZ3509">
        <v>14.49</v>
      </c>
      <c r="CA3509">
        <v>2.58</v>
      </c>
      <c r="CB3509">
        <v>0.27</v>
      </c>
      <c r="CC3509">
        <v>2.66</v>
      </c>
      <c r="CD3509">
        <v>2.2000000000000002</v>
      </c>
      <c r="CE3509">
        <v>2.1800000000000002</v>
      </c>
      <c r="CF3509">
        <v>1.71</v>
      </c>
      <c r="CG3509">
        <v>9.4700000000000006</v>
      </c>
      <c r="CH3509">
        <v>0.98</v>
      </c>
      <c r="CI3509">
        <v>2.95</v>
      </c>
      <c r="CJ3509">
        <v>15018</v>
      </c>
      <c r="CK3509">
        <v>1914</v>
      </c>
      <c r="CL3509" t="s">
        <v>11854</v>
      </c>
      <c r="CM3509">
        <v>70.31</v>
      </c>
      <c r="CN3509">
        <v>16.05</v>
      </c>
      <c r="CO3509">
        <v>1.8</v>
      </c>
      <c r="CP3509">
        <v>44.74</v>
      </c>
      <c r="CQ3509">
        <v>2.2599999999999998</v>
      </c>
      <c r="CR3509">
        <v>0.64</v>
      </c>
      <c r="CS3509" t="s">
        <v>14719</v>
      </c>
      <c r="CT3509">
        <v>24.53</v>
      </c>
      <c r="CU3509">
        <v>0</v>
      </c>
      <c r="CV3509">
        <v>13.54</v>
      </c>
      <c r="CW3509">
        <v>9.4700000000000006</v>
      </c>
      <c r="CX3509">
        <v>0.98</v>
      </c>
      <c r="CY3509">
        <v>69.34</v>
      </c>
      <c r="CZ3509" t="s">
        <v>2208</v>
      </c>
      <c r="DA3509">
        <v>25.77</v>
      </c>
      <c r="DB3509">
        <v>13.2</v>
      </c>
      <c r="DC3509">
        <v>11.17</v>
      </c>
      <c r="DD3509">
        <v>0.73</v>
      </c>
      <c r="DE3509">
        <v>4612</v>
      </c>
      <c r="DF3509">
        <v>603661</v>
      </c>
      <c r="DG3509" t="s">
        <v>116</v>
      </c>
      <c r="DH3509" t="s">
        <v>116</v>
      </c>
      <c r="DI3509" t="s">
        <v>116</v>
      </c>
    </row>
    <row r="3510" spans="1:113" x14ac:dyDescent="0.4">
      <c r="A3510" t="str">
        <f>"603662"</f>
        <v>603662</v>
      </c>
      <c r="B3510" t="s">
        <v>14720</v>
      </c>
      <c r="C3510">
        <v>0.65</v>
      </c>
      <c r="D3510">
        <v>56.97</v>
      </c>
      <c r="E3510">
        <v>0.37</v>
      </c>
      <c r="F3510">
        <v>56.97</v>
      </c>
      <c r="G3510">
        <v>56.99</v>
      </c>
      <c r="H3510">
        <v>64572</v>
      </c>
      <c r="I3510">
        <v>440</v>
      </c>
      <c r="J3510">
        <v>0.04</v>
      </c>
      <c r="K3510">
        <v>21.63</v>
      </c>
      <c r="L3510">
        <v>56</v>
      </c>
      <c r="M3510">
        <v>58.99</v>
      </c>
      <c r="N3510">
        <v>55.67</v>
      </c>
      <c r="O3510">
        <v>56.6</v>
      </c>
      <c r="P3510">
        <v>39.200000000000003</v>
      </c>
      <c r="Q3510">
        <v>369243584</v>
      </c>
      <c r="R3510">
        <v>0.79</v>
      </c>
      <c r="S3510" t="s">
        <v>2977</v>
      </c>
      <c r="T3510" t="s">
        <v>590</v>
      </c>
      <c r="U3510">
        <v>5.87</v>
      </c>
      <c r="V3510">
        <v>57.18</v>
      </c>
      <c r="W3510">
        <v>33710</v>
      </c>
      <c r="X3510">
        <v>30862</v>
      </c>
      <c r="Y3510">
        <v>1.0900000000000001</v>
      </c>
      <c r="Z3510">
        <v>40</v>
      </c>
      <c r="AA3510">
        <v>5</v>
      </c>
      <c r="AB3510" t="s">
        <v>116</v>
      </c>
      <c r="AC3510">
        <v>9189600</v>
      </c>
      <c r="AD3510">
        <v>0.55000000000000004</v>
      </c>
      <c r="AE3510" t="s">
        <v>116</v>
      </c>
      <c r="AF3510" t="s">
        <v>116</v>
      </c>
      <c r="AG3510">
        <v>0.3</v>
      </c>
      <c r="AH3510" t="s">
        <v>7221</v>
      </c>
      <c r="AI3510" t="s">
        <v>3079</v>
      </c>
      <c r="AJ3510">
        <v>0.73</v>
      </c>
      <c r="AK3510">
        <v>3573</v>
      </c>
      <c r="AL3510">
        <v>18</v>
      </c>
      <c r="AM3510">
        <v>6.1000000000000004E-3</v>
      </c>
      <c r="AN3510">
        <v>1</v>
      </c>
      <c r="AO3510">
        <v>5.15</v>
      </c>
      <c r="AP3510">
        <v>28.14</v>
      </c>
      <c r="AQ3510">
        <v>27.74</v>
      </c>
      <c r="AR3510">
        <v>187.29</v>
      </c>
      <c r="AS3510">
        <v>21.63</v>
      </c>
      <c r="AT3510" t="s">
        <v>7221</v>
      </c>
      <c r="AU3510">
        <v>39.549999999999997</v>
      </c>
      <c r="AV3510">
        <v>48.31</v>
      </c>
      <c r="AW3510">
        <v>0.89</v>
      </c>
      <c r="BA3510">
        <v>-1.06</v>
      </c>
      <c r="BB3510">
        <v>4.22</v>
      </c>
      <c r="BC3510">
        <v>-1.64</v>
      </c>
      <c r="BD3510">
        <v>1.03</v>
      </c>
      <c r="BE3510">
        <v>1.73</v>
      </c>
      <c r="BF3510">
        <v>-3.42</v>
      </c>
      <c r="BG3510">
        <v>2.34</v>
      </c>
      <c r="BH3510">
        <v>-0.38</v>
      </c>
      <c r="BI3510">
        <v>20191031</v>
      </c>
      <c r="BJ3510">
        <v>20190806</v>
      </c>
      <c r="BK3510">
        <v>1.19</v>
      </c>
      <c r="BL3510" t="s">
        <v>116</v>
      </c>
      <c r="BM3510" t="s">
        <v>116</v>
      </c>
      <c r="BN3510">
        <v>20.13</v>
      </c>
      <c r="BO3510">
        <v>16.989999999999998</v>
      </c>
      <c r="BP3510">
        <v>0.03</v>
      </c>
      <c r="BQ3510">
        <v>15.44</v>
      </c>
      <c r="BR3510">
        <v>14.55</v>
      </c>
      <c r="BS3510">
        <v>3.23</v>
      </c>
      <c r="BT3510">
        <v>0.96</v>
      </c>
      <c r="BU3510">
        <v>2.87</v>
      </c>
      <c r="BV3510">
        <v>1.97</v>
      </c>
      <c r="BW3510">
        <v>1.44</v>
      </c>
      <c r="BX3510">
        <v>9.4600000000000009</v>
      </c>
      <c r="BY3510">
        <v>5.45</v>
      </c>
      <c r="BZ3510">
        <v>3.11</v>
      </c>
      <c r="CA3510">
        <v>1.43</v>
      </c>
      <c r="CB3510">
        <v>0.09</v>
      </c>
      <c r="CC3510">
        <v>1.52</v>
      </c>
      <c r="CD3510">
        <v>1.3</v>
      </c>
      <c r="CE3510">
        <v>1.3</v>
      </c>
      <c r="CF3510">
        <v>1.04</v>
      </c>
      <c r="CG3510">
        <v>5.88</v>
      </c>
      <c r="CH3510">
        <v>1.19</v>
      </c>
      <c r="CI3510">
        <v>1.96</v>
      </c>
      <c r="CJ3510">
        <v>17639</v>
      </c>
      <c r="CK3510">
        <v>1692</v>
      </c>
      <c r="CL3510" t="s">
        <v>1342</v>
      </c>
      <c r="CM3510">
        <v>0</v>
      </c>
      <c r="CN3510">
        <v>0</v>
      </c>
      <c r="CO3510">
        <v>4</v>
      </c>
      <c r="CP3510">
        <v>56.94</v>
      </c>
      <c r="CQ3510">
        <v>12.49</v>
      </c>
      <c r="CR3510">
        <v>0</v>
      </c>
      <c r="CS3510" t="s">
        <v>11876</v>
      </c>
      <c r="CT3510">
        <v>14.23</v>
      </c>
      <c r="CU3510">
        <v>0</v>
      </c>
      <c r="CV3510">
        <v>7.92</v>
      </c>
      <c r="CW3510">
        <v>4.93</v>
      </c>
      <c r="CX3510">
        <v>1</v>
      </c>
      <c r="CY3510">
        <v>84.43</v>
      </c>
      <c r="CZ3510" t="s">
        <v>1245</v>
      </c>
      <c r="DA3510">
        <v>42.82</v>
      </c>
      <c r="DB3510">
        <v>26.29</v>
      </c>
      <c r="DC3510">
        <v>23.9</v>
      </c>
      <c r="DD3510">
        <v>0.28999999999999998</v>
      </c>
      <c r="DE3510">
        <v>1746</v>
      </c>
      <c r="DF3510">
        <v>603662</v>
      </c>
      <c r="DG3510" t="s">
        <v>116</v>
      </c>
      <c r="DH3510" t="s">
        <v>116</v>
      </c>
      <c r="DI3510" t="s">
        <v>116</v>
      </c>
    </row>
    <row r="3511" spans="1:113" x14ac:dyDescent="0.4">
      <c r="A3511" t="str">
        <f>"603663"</f>
        <v>603663</v>
      </c>
      <c r="B3511" t="s">
        <v>14721</v>
      </c>
      <c r="C3511">
        <v>-0.6</v>
      </c>
      <c r="D3511">
        <v>13.22</v>
      </c>
      <c r="E3511">
        <v>-0.08</v>
      </c>
      <c r="F3511">
        <v>13.2</v>
      </c>
      <c r="G3511">
        <v>13.22</v>
      </c>
      <c r="H3511">
        <v>21577</v>
      </c>
      <c r="I3511">
        <v>66</v>
      </c>
      <c r="J3511">
        <v>0.15</v>
      </c>
      <c r="K3511">
        <v>1.1399999999999999</v>
      </c>
      <c r="L3511">
        <v>13.32</v>
      </c>
      <c r="M3511">
        <v>13.6</v>
      </c>
      <c r="N3511">
        <v>13.19</v>
      </c>
      <c r="O3511">
        <v>13.3</v>
      </c>
      <c r="P3511">
        <v>28.29</v>
      </c>
      <c r="Q3511">
        <v>28861096</v>
      </c>
      <c r="R3511">
        <v>1.8</v>
      </c>
      <c r="S3511" t="s">
        <v>933</v>
      </c>
      <c r="T3511" t="s">
        <v>975</v>
      </c>
      <c r="U3511">
        <v>3.08</v>
      </c>
      <c r="V3511">
        <v>13.38</v>
      </c>
      <c r="W3511">
        <v>10441</v>
      </c>
      <c r="X3511">
        <v>11136</v>
      </c>
      <c r="Y3511">
        <v>0.94</v>
      </c>
      <c r="Z3511">
        <v>102</v>
      </c>
      <c r="AA3511">
        <v>56</v>
      </c>
      <c r="AB3511" t="s">
        <v>116</v>
      </c>
      <c r="AC3511">
        <v>10700</v>
      </c>
      <c r="AD3511">
        <v>0</v>
      </c>
      <c r="AE3511" t="s">
        <v>116</v>
      </c>
      <c r="AF3511" t="s">
        <v>116</v>
      </c>
      <c r="AG3511">
        <v>1.89</v>
      </c>
      <c r="AH3511" t="s">
        <v>4633</v>
      </c>
      <c r="AI3511" t="s">
        <v>226</v>
      </c>
      <c r="AJ3511">
        <v>-0.52</v>
      </c>
      <c r="AK3511">
        <v>1099</v>
      </c>
      <c r="AL3511">
        <v>20</v>
      </c>
      <c r="AM3511">
        <v>1E-3</v>
      </c>
      <c r="AN3511">
        <v>-1</v>
      </c>
      <c r="AO3511">
        <v>1.1499999999999999</v>
      </c>
      <c r="AP3511">
        <v>5.51</v>
      </c>
      <c r="AQ3511">
        <v>-3.78</v>
      </c>
      <c r="AR3511">
        <v>9.84</v>
      </c>
      <c r="AS3511">
        <v>3.29</v>
      </c>
      <c r="AT3511" t="s">
        <v>9159</v>
      </c>
      <c r="AU3511">
        <v>33.409999999999997</v>
      </c>
      <c r="AV3511">
        <v>33.86</v>
      </c>
      <c r="AW3511">
        <v>1.24</v>
      </c>
      <c r="BA3511">
        <v>0.15</v>
      </c>
      <c r="BB3511">
        <v>2.2599999999999998</v>
      </c>
      <c r="BC3511">
        <v>-0.83</v>
      </c>
      <c r="BD3511">
        <v>0.56999999999999995</v>
      </c>
      <c r="BE3511">
        <v>-0.75</v>
      </c>
      <c r="BF3511">
        <v>-2.79</v>
      </c>
      <c r="BG3511">
        <v>0.23</v>
      </c>
      <c r="BH3511">
        <v>-1.17</v>
      </c>
      <c r="BI3511">
        <v>20191108</v>
      </c>
      <c r="BJ3511">
        <v>20160801</v>
      </c>
      <c r="BK3511">
        <v>1.9</v>
      </c>
      <c r="BL3511" t="s">
        <v>116</v>
      </c>
      <c r="BM3511" t="s">
        <v>116</v>
      </c>
      <c r="BN3511">
        <v>10.42</v>
      </c>
      <c r="BO3511">
        <v>5.13</v>
      </c>
      <c r="BP3511">
        <v>0.39</v>
      </c>
      <c r="BQ3511">
        <v>47.02</v>
      </c>
      <c r="BR3511">
        <v>4.76</v>
      </c>
      <c r="BS3511">
        <v>3.6</v>
      </c>
      <c r="BT3511">
        <v>0.73</v>
      </c>
      <c r="BU3511">
        <v>3.69</v>
      </c>
      <c r="BV3511">
        <v>1.68</v>
      </c>
      <c r="BW3511">
        <v>1.29</v>
      </c>
      <c r="BX3511">
        <v>0.49</v>
      </c>
      <c r="BY3511">
        <v>5.78</v>
      </c>
      <c r="BZ3511">
        <v>3.92</v>
      </c>
      <c r="CA3511">
        <v>1.1100000000000001</v>
      </c>
      <c r="CB3511">
        <v>0</v>
      </c>
      <c r="CC3511">
        <v>1.1100000000000001</v>
      </c>
      <c r="CD3511">
        <v>0.89</v>
      </c>
      <c r="CE3511">
        <v>0.67</v>
      </c>
      <c r="CF3511">
        <v>0.64</v>
      </c>
      <c r="CG3511">
        <v>2.4700000000000002</v>
      </c>
      <c r="CH3511">
        <v>0</v>
      </c>
      <c r="CI3511">
        <v>-0.12</v>
      </c>
      <c r="CJ3511">
        <v>14975</v>
      </c>
      <c r="CK3511">
        <v>4384</v>
      </c>
      <c r="CL3511" t="s">
        <v>14722</v>
      </c>
      <c r="CM3511">
        <v>1.53</v>
      </c>
      <c r="CN3511">
        <v>26.96</v>
      </c>
      <c r="CO3511">
        <v>4.9000000000000004</v>
      </c>
      <c r="CP3511">
        <v>5973.1</v>
      </c>
      <c r="CQ3511">
        <v>4.3499999999999996</v>
      </c>
      <c r="CR3511">
        <v>0.81</v>
      </c>
      <c r="CS3511" t="s">
        <v>7376</v>
      </c>
      <c r="CT3511">
        <v>2.7</v>
      </c>
      <c r="CU3511">
        <v>0</v>
      </c>
      <c r="CV3511">
        <v>0.26</v>
      </c>
      <c r="CW3511">
        <v>1.3</v>
      </c>
      <c r="CX3511">
        <v>0</v>
      </c>
      <c r="CY3511">
        <v>49.24</v>
      </c>
      <c r="CZ3511" t="s">
        <v>12145</v>
      </c>
      <c r="DA3511">
        <v>32.1</v>
      </c>
      <c r="DB3511">
        <v>19.23</v>
      </c>
      <c r="DC3511">
        <v>11.52</v>
      </c>
      <c r="DD3511">
        <v>0.19</v>
      </c>
      <c r="DE3511">
        <v>638</v>
      </c>
      <c r="DF3511">
        <v>603663</v>
      </c>
      <c r="DG3511" t="s">
        <v>116</v>
      </c>
      <c r="DH3511" t="s">
        <v>116</v>
      </c>
      <c r="DI3511" t="s">
        <v>116</v>
      </c>
    </row>
    <row r="3512" spans="1:113" x14ac:dyDescent="0.4">
      <c r="A3512" t="str">
        <f>"603665"</f>
        <v>603665</v>
      </c>
      <c r="B3512" t="s">
        <v>14723</v>
      </c>
      <c r="C3512">
        <v>-0.96</v>
      </c>
      <c r="D3512">
        <v>21.61</v>
      </c>
      <c r="E3512">
        <v>-0.21</v>
      </c>
      <c r="F3512">
        <v>21.61</v>
      </c>
      <c r="G3512">
        <v>21.63</v>
      </c>
      <c r="H3512">
        <v>4824</v>
      </c>
      <c r="I3512">
        <v>12</v>
      </c>
      <c r="J3512">
        <v>-0.04</v>
      </c>
      <c r="K3512">
        <v>1.29</v>
      </c>
      <c r="L3512">
        <v>21.81</v>
      </c>
      <c r="M3512">
        <v>21.9</v>
      </c>
      <c r="N3512">
        <v>21.61</v>
      </c>
      <c r="O3512">
        <v>21.82</v>
      </c>
      <c r="P3512">
        <v>24.7</v>
      </c>
      <c r="Q3512">
        <v>10498601</v>
      </c>
      <c r="R3512">
        <v>1.55</v>
      </c>
      <c r="S3512" t="s">
        <v>1420</v>
      </c>
      <c r="T3512" t="s">
        <v>590</v>
      </c>
      <c r="U3512">
        <v>1.33</v>
      </c>
      <c r="V3512">
        <v>21.76</v>
      </c>
      <c r="W3512">
        <v>2288</v>
      </c>
      <c r="X3512">
        <v>2536</v>
      </c>
      <c r="Y3512">
        <v>0.9</v>
      </c>
      <c r="Z3512">
        <v>98</v>
      </c>
      <c r="AA3512">
        <v>23</v>
      </c>
      <c r="AB3512" t="s">
        <v>116</v>
      </c>
      <c r="AC3512">
        <v>0</v>
      </c>
      <c r="AD3512">
        <v>0</v>
      </c>
      <c r="AE3512" t="s">
        <v>116</v>
      </c>
      <c r="AF3512" t="s">
        <v>116</v>
      </c>
      <c r="AG3512">
        <v>0.37</v>
      </c>
      <c r="AH3512" t="s">
        <v>7514</v>
      </c>
      <c r="AI3512" t="s">
        <v>8532</v>
      </c>
      <c r="AJ3512">
        <v>-0.89</v>
      </c>
      <c r="AK3512">
        <v>323</v>
      </c>
      <c r="AL3512">
        <v>15</v>
      </c>
      <c r="AM3512">
        <v>4.0000000000000001E-3</v>
      </c>
      <c r="AN3512">
        <v>-1</v>
      </c>
      <c r="AO3512">
        <v>-0.32</v>
      </c>
      <c r="AP3512">
        <v>5.67</v>
      </c>
      <c r="AQ3512">
        <v>2.4700000000000002</v>
      </c>
      <c r="AR3512">
        <v>-17.2</v>
      </c>
      <c r="AS3512">
        <v>1.52</v>
      </c>
      <c r="AT3512" t="s">
        <v>7203</v>
      </c>
      <c r="AU3512">
        <v>28.38</v>
      </c>
      <c r="AV3512">
        <v>25.86</v>
      </c>
      <c r="AW3512">
        <v>0.88</v>
      </c>
      <c r="BA3512">
        <v>-0.05</v>
      </c>
      <c r="BB3512">
        <v>0.37</v>
      </c>
      <c r="BC3512">
        <v>-0.96</v>
      </c>
      <c r="BD3512">
        <v>-0.26</v>
      </c>
      <c r="BE3512">
        <v>-0.92</v>
      </c>
      <c r="BF3512">
        <v>-1.32</v>
      </c>
      <c r="BG3512">
        <v>0</v>
      </c>
      <c r="BH3512">
        <v>-0.7</v>
      </c>
      <c r="BI3512">
        <v>20191030</v>
      </c>
      <c r="BJ3512">
        <v>20170313</v>
      </c>
      <c r="BK3512">
        <v>1</v>
      </c>
      <c r="BL3512" t="s">
        <v>116</v>
      </c>
      <c r="BM3512" t="s">
        <v>116</v>
      </c>
      <c r="BN3512">
        <v>13.87</v>
      </c>
      <c r="BO3512">
        <v>10.46</v>
      </c>
      <c r="BP3512">
        <v>0.15</v>
      </c>
      <c r="BQ3512">
        <v>23.51</v>
      </c>
      <c r="BR3512">
        <v>7.25</v>
      </c>
      <c r="BS3512">
        <v>2.92</v>
      </c>
      <c r="BT3512">
        <v>0.94</v>
      </c>
      <c r="BU3512">
        <v>3.05</v>
      </c>
      <c r="BV3512">
        <v>2.82</v>
      </c>
      <c r="BW3512">
        <v>1.36</v>
      </c>
      <c r="BX3512">
        <v>5.89</v>
      </c>
      <c r="BY3512">
        <v>7.42</v>
      </c>
      <c r="BZ3512">
        <v>5.39</v>
      </c>
      <c r="CA3512">
        <v>0.77</v>
      </c>
      <c r="CB3512">
        <v>0.02</v>
      </c>
      <c r="CC3512">
        <v>0.78</v>
      </c>
      <c r="CD3512">
        <v>0.68</v>
      </c>
      <c r="CE3512">
        <v>0.66</v>
      </c>
      <c r="CF3512">
        <v>0.5</v>
      </c>
      <c r="CG3512">
        <v>3.09</v>
      </c>
      <c r="CH3512">
        <v>0.46</v>
      </c>
      <c r="CI3512">
        <v>-0.04</v>
      </c>
      <c r="CJ3512">
        <v>7506</v>
      </c>
      <c r="CK3512">
        <v>4224</v>
      </c>
      <c r="CL3512" t="s">
        <v>1039</v>
      </c>
      <c r="CM3512">
        <v>-10.15</v>
      </c>
      <c r="CN3512">
        <v>14.3</v>
      </c>
      <c r="CO3512">
        <v>2.0699999999999998</v>
      </c>
      <c r="CP3512">
        <v>47.11</v>
      </c>
      <c r="CQ3512">
        <v>2.91</v>
      </c>
      <c r="CR3512">
        <v>0.93</v>
      </c>
      <c r="CS3512" t="s">
        <v>5679</v>
      </c>
      <c r="CT3512">
        <v>10.46</v>
      </c>
      <c r="CU3512">
        <v>0</v>
      </c>
      <c r="CV3512">
        <v>5.89</v>
      </c>
      <c r="CW3512">
        <v>3.09</v>
      </c>
      <c r="CX3512">
        <v>0.46</v>
      </c>
      <c r="CY3512">
        <v>75.42</v>
      </c>
      <c r="CZ3512" t="s">
        <v>6437</v>
      </c>
      <c r="DA3512">
        <v>27.31</v>
      </c>
      <c r="DB3512">
        <v>10.38</v>
      </c>
      <c r="DC3512">
        <v>8.84</v>
      </c>
      <c r="DD3512">
        <v>0.25</v>
      </c>
      <c r="DE3512">
        <v>2272</v>
      </c>
      <c r="DF3512">
        <v>603665</v>
      </c>
      <c r="DG3512" t="s">
        <v>116</v>
      </c>
      <c r="DH3512" t="s">
        <v>116</v>
      </c>
      <c r="DI3512" t="s">
        <v>116</v>
      </c>
    </row>
    <row r="3513" spans="1:113" x14ac:dyDescent="0.4">
      <c r="A3513" t="str">
        <f>"603666"</f>
        <v>603666</v>
      </c>
      <c r="B3513" t="s">
        <v>14724</v>
      </c>
      <c r="C3513">
        <v>-0.27</v>
      </c>
      <c r="D3513">
        <v>66.709999999999994</v>
      </c>
      <c r="E3513">
        <v>-0.18</v>
      </c>
      <c r="F3513">
        <v>66.709999999999994</v>
      </c>
      <c r="G3513">
        <v>66.87</v>
      </c>
      <c r="H3513">
        <v>10694</v>
      </c>
      <c r="I3513">
        <v>86</v>
      </c>
      <c r="J3513">
        <v>-0.24</v>
      </c>
      <c r="K3513">
        <v>3.79</v>
      </c>
      <c r="L3513">
        <v>66.569999999999993</v>
      </c>
      <c r="M3513">
        <v>69.290000000000006</v>
      </c>
      <c r="N3513">
        <v>66.48</v>
      </c>
      <c r="O3513">
        <v>66.89</v>
      </c>
      <c r="P3513">
        <v>39.94</v>
      </c>
      <c r="Q3513">
        <v>72174232</v>
      </c>
      <c r="R3513">
        <v>0.89</v>
      </c>
      <c r="S3513" t="s">
        <v>682</v>
      </c>
      <c r="T3513" t="s">
        <v>323</v>
      </c>
      <c r="U3513">
        <v>4.2</v>
      </c>
      <c r="V3513">
        <v>67.489999999999995</v>
      </c>
      <c r="W3513">
        <v>5781</v>
      </c>
      <c r="X3513">
        <v>4913</v>
      </c>
      <c r="Y3513">
        <v>1.18</v>
      </c>
      <c r="Z3513">
        <v>51</v>
      </c>
      <c r="AA3513">
        <v>10</v>
      </c>
      <c r="AB3513" t="s">
        <v>116</v>
      </c>
      <c r="AC3513">
        <v>665700</v>
      </c>
      <c r="AD3513">
        <v>0.04</v>
      </c>
      <c r="AE3513" t="s">
        <v>116</v>
      </c>
      <c r="AF3513" t="s">
        <v>116</v>
      </c>
      <c r="AG3513">
        <v>0.28000000000000003</v>
      </c>
      <c r="AH3513" t="s">
        <v>1077</v>
      </c>
      <c r="AI3513" t="s">
        <v>14725</v>
      </c>
      <c r="AJ3513">
        <v>-0.19</v>
      </c>
      <c r="AK3513">
        <v>1604</v>
      </c>
      <c r="AL3513">
        <v>7</v>
      </c>
      <c r="AM3513">
        <v>2.3999999999999998E-3</v>
      </c>
      <c r="AN3513">
        <v>-2</v>
      </c>
      <c r="AO3513">
        <v>0.85</v>
      </c>
      <c r="AP3513">
        <v>7.3</v>
      </c>
      <c r="AQ3513">
        <v>1.6</v>
      </c>
      <c r="AR3513">
        <v>47.14</v>
      </c>
      <c r="AS3513">
        <v>3.79</v>
      </c>
      <c r="AT3513" t="s">
        <v>1077</v>
      </c>
      <c r="AU3513">
        <v>30.27</v>
      </c>
      <c r="AV3513">
        <v>35.9</v>
      </c>
      <c r="AW3513">
        <v>1.25</v>
      </c>
      <c r="BA3513">
        <v>-0.48</v>
      </c>
      <c r="BB3513">
        <v>3.59</v>
      </c>
      <c r="BC3513">
        <v>-0.61</v>
      </c>
      <c r="BD3513">
        <v>0.9</v>
      </c>
      <c r="BE3513">
        <v>0.21</v>
      </c>
      <c r="BF3513">
        <v>-3.72</v>
      </c>
      <c r="BG3513">
        <v>0.35</v>
      </c>
      <c r="BH3513">
        <v>-1.1599999999999999</v>
      </c>
      <c r="BI3513">
        <v>20191030</v>
      </c>
      <c r="BJ3513">
        <v>20180612</v>
      </c>
      <c r="BK3513">
        <v>0.99</v>
      </c>
      <c r="BL3513" t="s">
        <v>116</v>
      </c>
      <c r="BM3513" t="s">
        <v>116</v>
      </c>
      <c r="BN3513">
        <v>12.9</v>
      </c>
      <c r="BO3513">
        <v>10.84</v>
      </c>
      <c r="BP3513">
        <v>0</v>
      </c>
      <c r="BQ3513">
        <v>15.95</v>
      </c>
      <c r="BR3513">
        <v>11.15</v>
      </c>
      <c r="BS3513">
        <v>0.2</v>
      </c>
      <c r="BT3513">
        <v>0.57999999999999996</v>
      </c>
      <c r="BU3513">
        <v>1.73</v>
      </c>
      <c r="BV3513">
        <v>1.75</v>
      </c>
      <c r="BW3513">
        <v>2.62</v>
      </c>
      <c r="BX3513">
        <v>5.91</v>
      </c>
      <c r="BY3513">
        <v>3.7</v>
      </c>
      <c r="BZ3513">
        <v>1.31</v>
      </c>
      <c r="CA3513">
        <v>1.25</v>
      </c>
      <c r="CB3513">
        <v>0.14000000000000001</v>
      </c>
      <c r="CC3513">
        <v>1.46</v>
      </c>
      <c r="CD3513">
        <v>1.24</v>
      </c>
      <c r="CE3513">
        <v>1.24</v>
      </c>
      <c r="CF3513">
        <v>0.95</v>
      </c>
      <c r="CG3513">
        <v>3.55</v>
      </c>
      <c r="CH3513">
        <v>-0.44</v>
      </c>
      <c r="CI3513">
        <v>-1.0900000000000001</v>
      </c>
      <c r="CJ3513">
        <v>6828</v>
      </c>
      <c r="CK3513">
        <v>4137</v>
      </c>
      <c r="CL3513" t="s">
        <v>9655</v>
      </c>
      <c r="CM3513">
        <v>38.119999999999997</v>
      </c>
      <c r="CN3513">
        <v>31.89</v>
      </c>
      <c r="CO3513">
        <v>6.09</v>
      </c>
      <c r="CP3513">
        <v>-149.71</v>
      </c>
      <c r="CQ3513">
        <v>17.86</v>
      </c>
      <c r="CR3513">
        <v>0.69</v>
      </c>
      <c r="CS3513" t="s">
        <v>7655</v>
      </c>
      <c r="CT3513">
        <v>10.95</v>
      </c>
      <c r="CU3513">
        <v>0</v>
      </c>
      <c r="CV3513">
        <v>5.97</v>
      </c>
      <c r="CW3513">
        <v>3.59</v>
      </c>
      <c r="CX3513">
        <v>-0.45</v>
      </c>
      <c r="CY3513">
        <v>84.05</v>
      </c>
      <c r="CZ3513" t="s">
        <v>11343</v>
      </c>
      <c r="DA3513">
        <v>64.62</v>
      </c>
      <c r="DB3513">
        <v>33.74</v>
      </c>
      <c r="DC3513">
        <v>33.54</v>
      </c>
      <c r="DD3513">
        <v>0.39</v>
      </c>
      <c r="DE3513">
        <v>352</v>
      </c>
      <c r="DF3513">
        <v>603666</v>
      </c>
      <c r="DG3513" t="s">
        <v>116</v>
      </c>
      <c r="DH3513" t="s">
        <v>116</v>
      </c>
      <c r="DI3513" t="s">
        <v>116</v>
      </c>
    </row>
    <row r="3514" spans="1:113" x14ac:dyDescent="0.4">
      <c r="A3514" t="str">
        <f>"603667"</f>
        <v>603667</v>
      </c>
      <c r="B3514" t="s">
        <v>14726</v>
      </c>
      <c r="C3514">
        <v>9.9600000000000009</v>
      </c>
      <c r="D3514">
        <v>9.94</v>
      </c>
      <c r="E3514">
        <v>0.9</v>
      </c>
      <c r="F3514">
        <v>9.94</v>
      </c>
      <c r="G3514" t="s">
        <v>116</v>
      </c>
      <c r="H3514">
        <v>184316</v>
      </c>
      <c r="I3514">
        <v>72</v>
      </c>
      <c r="J3514">
        <v>0</v>
      </c>
      <c r="K3514">
        <v>7.01</v>
      </c>
      <c r="L3514">
        <v>9.43</v>
      </c>
      <c r="M3514">
        <v>9.94</v>
      </c>
      <c r="N3514">
        <v>9.33</v>
      </c>
      <c r="O3514">
        <v>9.0399999999999991</v>
      </c>
      <c r="P3514">
        <v>25.49</v>
      </c>
      <c r="Q3514">
        <v>180040800</v>
      </c>
      <c r="R3514">
        <v>4.8</v>
      </c>
      <c r="S3514" t="s">
        <v>996</v>
      </c>
      <c r="T3514" t="s">
        <v>590</v>
      </c>
      <c r="U3514">
        <v>6.75</v>
      </c>
      <c r="V3514">
        <v>9.77</v>
      </c>
      <c r="W3514">
        <v>87287</v>
      </c>
      <c r="X3514">
        <v>97029</v>
      </c>
      <c r="Y3514">
        <v>0.9</v>
      </c>
      <c r="Z3514">
        <v>20472</v>
      </c>
      <c r="AA3514">
        <v>0</v>
      </c>
      <c r="AB3514" t="s">
        <v>116</v>
      </c>
      <c r="AC3514">
        <v>8667100</v>
      </c>
      <c r="AD3514">
        <v>0.7</v>
      </c>
      <c r="AE3514">
        <v>0.11</v>
      </c>
      <c r="AF3514">
        <v>20349168</v>
      </c>
      <c r="AG3514">
        <v>2.63</v>
      </c>
      <c r="AH3514" t="s">
        <v>9266</v>
      </c>
      <c r="AI3514" t="s">
        <v>11584</v>
      </c>
      <c r="AJ3514">
        <v>10.029999999999999</v>
      </c>
      <c r="AK3514">
        <v>1080</v>
      </c>
      <c r="AL3514">
        <v>171</v>
      </c>
      <c r="AM3514">
        <v>6.4999999999999997E-3</v>
      </c>
      <c r="AN3514">
        <v>2</v>
      </c>
      <c r="AO3514">
        <v>20.93</v>
      </c>
      <c r="AP3514">
        <v>25.35</v>
      </c>
      <c r="AQ3514">
        <v>26.3</v>
      </c>
      <c r="AR3514">
        <v>27.6</v>
      </c>
      <c r="AS3514">
        <v>14.13</v>
      </c>
      <c r="AT3514" t="s">
        <v>7680</v>
      </c>
      <c r="AU3514">
        <v>28.09</v>
      </c>
      <c r="AV3514">
        <v>28.41</v>
      </c>
      <c r="AW3514">
        <v>0.93</v>
      </c>
      <c r="BA3514">
        <v>4.3099999999999996</v>
      </c>
      <c r="BB3514">
        <v>9.9600000000000009</v>
      </c>
      <c r="BC3514">
        <v>3.21</v>
      </c>
      <c r="BD3514">
        <v>8.0500000000000007</v>
      </c>
      <c r="BE3514">
        <v>5.41</v>
      </c>
      <c r="BF3514">
        <v>0</v>
      </c>
      <c r="BG3514">
        <v>6.54</v>
      </c>
      <c r="BH3514">
        <v>1.9</v>
      </c>
      <c r="BI3514">
        <v>20191025</v>
      </c>
      <c r="BJ3514">
        <v>20161025</v>
      </c>
      <c r="BK3514">
        <v>2.92</v>
      </c>
      <c r="BL3514" t="s">
        <v>116</v>
      </c>
      <c r="BM3514" t="s">
        <v>116</v>
      </c>
      <c r="BN3514">
        <v>30.43</v>
      </c>
      <c r="BO3514">
        <v>17.190000000000001</v>
      </c>
      <c r="BP3514">
        <v>1.1599999999999999</v>
      </c>
      <c r="BQ3514">
        <v>39.68</v>
      </c>
      <c r="BR3514">
        <v>14.32</v>
      </c>
      <c r="BS3514">
        <v>7.87</v>
      </c>
      <c r="BT3514">
        <v>2.2000000000000002</v>
      </c>
      <c r="BU3514">
        <v>11.31</v>
      </c>
      <c r="BV3514">
        <v>6.31</v>
      </c>
      <c r="BW3514">
        <v>4.1399999999999997</v>
      </c>
      <c r="BX3514">
        <v>9.3800000000000008</v>
      </c>
      <c r="BY3514">
        <v>13.9</v>
      </c>
      <c r="BZ3514">
        <v>11.01</v>
      </c>
      <c r="CA3514">
        <v>1.1399999999999999</v>
      </c>
      <c r="CB3514">
        <v>0.01</v>
      </c>
      <c r="CC3514">
        <v>1.1399999999999999</v>
      </c>
      <c r="CD3514">
        <v>0.92</v>
      </c>
      <c r="CE3514">
        <v>0.86</v>
      </c>
      <c r="CF3514">
        <v>0.72</v>
      </c>
      <c r="CG3514">
        <v>4.79</v>
      </c>
      <c r="CH3514">
        <v>0.99</v>
      </c>
      <c r="CI3514">
        <v>-0.44</v>
      </c>
      <c r="CJ3514">
        <v>18797</v>
      </c>
      <c r="CK3514">
        <v>6938</v>
      </c>
      <c r="CL3514" t="s">
        <v>12922</v>
      </c>
      <c r="CM3514">
        <v>1.37</v>
      </c>
      <c r="CN3514">
        <v>41.11</v>
      </c>
      <c r="CO3514">
        <v>1.69</v>
      </c>
      <c r="CP3514">
        <v>29.21</v>
      </c>
      <c r="CQ3514">
        <v>2.09</v>
      </c>
      <c r="CR3514">
        <v>1.57</v>
      </c>
      <c r="CS3514" t="s">
        <v>3311</v>
      </c>
      <c r="CT3514">
        <v>5.88</v>
      </c>
      <c r="CU3514">
        <v>0</v>
      </c>
      <c r="CV3514">
        <v>3.21</v>
      </c>
      <c r="CW3514">
        <v>1.64</v>
      </c>
      <c r="CX3514">
        <v>0.34</v>
      </c>
      <c r="CY3514">
        <v>56.5</v>
      </c>
      <c r="CZ3514" t="s">
        <v>9486</v>
      </c>
      <c r="DA3514">
        <v>20.77</v>
      </c>
      <c r="DB3514">
        <v>8.17</v>
      </c>
      <c r="DC3514">
        <v>6.15</v>
      </c>
      <c r="DD3514">
        <v>0.41</v>
      </c>
      <c r="DE3514">
        <v>4422</v>
      </c>
      <c r="DF3514">
        <v>603667</v>
      </c>
      <c r="DG3514" t="s">
        <v>116</v>
      </c>
      <c r="DH3514" t="s">
        <v>116</v>
      </c>
      <c r="DI3514" t="s">
        <v>116</v>
      </c>
    </row>
    <row r="3515" spans="1:113" x14ac:dyDescent="0.4">
      <c r="A3515" t="str">
        <f>"603668"</f>
        <v>603668</v>
      </c>
      <c r="B3515" t="s">
        <v>14727</v>
      </c>
      <c r="C3515">
        <v>-0.36</v>
      </c>
      <c r="D3515">
        <v>8.1999999999999993</v>
      </c>
      <c r="E3515">
        <v>-0.03</v>
      </c>
      <c r="F3515">
        <v>8.1999999999999993</v>
      </c>
      <c r="G3515">
        <v>8.2100000000000009</v>
      </c>
      <c r="H3515">
        <v>29329</v>
      </c>
      <c r="I3515">
        <v>389</v>
      </c>
      <c r="J3515">
        <v>0</v>
      </c>
      <c r="K3515">
        <v>1.29</v>
      </c>
      <c r="L3515">
        <v>8.24</v>
      </c>
      <c r="M3515">
        <v>8.27</v>
      </c>
      <c r="N3515">
        <v>8.19</v>
      </c>
      <c r="O3515">
        <v>8.23</v>
      </c>
      <c r="P3515">
        <v>28.94</v>
      </c>
      <c r="Q3515">
        <v>24136244</v>
      </c>
      <c r="R3515">
        <v>1.19</v>
      </c>
      <c r="S3515" t="s">
        <v>389</v>
      </c>
      <c r="T3515" t="s">
        <v>975</v>
      </c>
      <c r="U3515">
        <v>0.97</v>
      </c>
      <c r="V3515">
        <v>8.23</v>
      </c>
      <c r="W3515">
        <v>17931</v>
      </c>
      <c r="X3515">
        <v>11398</v>
      </c>
      <c r="Y3515">
        <v>1.57</v>
      </c>
      <c r="Z3515">
        <v>263</v>
      </c>
      <c r="AA3515">
        <v>68</v>
      </c>
      <c r="AB3515" t="s">
        <v>116</v>
      </c>
      <c r="AC3515">
        <v>23100</v>
      </c>
      <c r="AD3515">
        <v>0</v>
      </c>
      <c r="AE3515" t="s">
        <v>116</v>
      </c>
      <c r="AF3515" t="s">
        <v>116</v>
      </c>
      <c r="AG3515">
        <v>2.2799999999999998</v>
      </c>
      <c r="AH3515" t="s">
        <v>10789</v>
      </c>
      <c r="AI3515" t="s">
        <v>3379</v>
      </c>
      <c r="AJ3515">
        <v>-0.28999999999999998</v>
      </c>
      <c r="AK3515">
        <v>984</v>
      </c>
      <c r="AL3515">
        <v>30</v>
      </c>
      <c r="AM3515">
        <v>1.2999999999999999E-3</v>
      </c>
      <c r="AN3515">
        <v>-3</v>
      </c>
      <c r="AO3515">
        <v>-1.43</v>
      </c>
      <c r="AP3515">
        <v>-4.54</v>
      </c>
      <c r="AQ3515">
        <v>-2.96</v>
      </c>
      <c r="AR3515">
        <v>13.73</v>
      </c>
      <c r="AS3515">
        <v>1.57</v>
      </c>
      <c r="AT3515" t="s">
        <v>12186</v>
      </c>
      <c r="AU3515">
        <v>37.630000000000003</v>
      </c>
      <c r="AV3515">
        <v>37.979999999999997</v>
      </c>
      <c r="AW3515">
        <v>0.91</v>
      </c>
      <c r="BA3515">
        <v>0.12</v>
      </c>
      <c r="BB3515">
        <v>0.49</v>
      </c>
      <c r="BC3515">
        <v>-0.49</v>
      </c>
      <c r="BD3515">
        <v>-0.01</v>
      </c>
      <c r="BE3515">
        <v>-0.49</v>
      </c>
      <c r="BF3515">
        <v>-0.85</v>
      </c>
      <c r="BG3515">
        <v>0.12</v>
      </c>
      <c r="BH3515">
        <v>-0.36</v>
      </c>
      <c r="BI3515">
        <v>20191204</v>
      </c>
      <c r="BJ3515">
        <v>20170117</v>
      </c>
      <c r="BK3515">
        <v>3.41</v>
      </c>
      <c r="BL3515" t="s">
        <v>116</v>
      </c>
      <c r="BM3515" t="s">
        <v>116</v>
      </c>
      <c r="BN3515">
        <v>29.04</v>
      </c>
      <c r="BO3515">
        <v>11.91</v>
      </c>
      <c r="BP3515">
        <v>2.54</v>
      </c>
      <c r="BQ3515">
        <v>50.25</v>
      </c>
      <c r="BR3515">
        <v>18.78</v>
      </c>
      <c r="BS3515">
        <v>6.84</v>
      </c>
      <c r="BT3515">
        <v>1.38</v>
      </c>
      <c r="BU3515">
        <v>13.81</v>
      </c>
      <c r="BV3515">
        <v>6.9</v>
      </c>
      <c r="BW3515">
        <v>6.98</v>
      </c>
      <c r="BX3515">
        <v>3.97</v>
      </c>
      <c r="BY3515">
        <v>16.47</v>
      </c>
      <c r="BZ3515">
        <v>13.89</v>
      </c>
      <c r="CA3515">
        <v>0.97</v>
      </c>
      <c r="CB3515">
        <v>0.06</v>
      </c>
      <c r="CC3515">
        <v>0.96</v>
      </c>
      <c r="CD3515">
        <v>0.83</v>
      </c>
      <c r="CE3515">
        <v>0.72</v>
      </c>
      <c r="CF3515">
        <v>0.66</v>
      </c>
      <c r="CG3515">
        <v>3.87</v>
      </c>
      <c r="CH3515">
        <v>-0.99</v>
      </c>
      <c r="CI3515">
        <v>-3.49</v>
      </c>
      <c r="CJ3515">
        <v>23895</v>
      </c>
      <c r="CK3515">
        <v>7829</v>
      </c>
      <c r="CL3515" t="s">
        <v>14728</v>
      </c>
      <c r="CM3515">
        <v>0.94</v>
      </c>
      <c r="CN3515">
        <v>38.44</v>
      </c>
      <c r="CO3515">
        <v>2.33</v>
      </c>
      <c r="CP3515">
        <v>-28.21</v>
      </c>
      <c r="CQ3515">
        <v>1.7</v>
      </c>
      <c r="CR3515">
        <v>0.6</v>
      </c>
      <c r="CS3515" t="s">
        <v>1244</v>
      </c>
      <c r="CT3515">
        <v>3.53</v>
      </c>
      <c r="CU3515">
        <v>3.53</v>
      </c>
      <c r="CV3515">
        <v>1.17</v>
      </c>
      <c r="CW3515">
        <v>1.1299999999999999</v>
      </c>
      <c r="CX3515">
        <v>-0.28999999999999998</v>
      </c>
      <c r="CY3515">
        <v>41.02</v>
      </c>
      <c r="CZ3515" t="s">
        <v>2177</v>
      </c>
      <c r="DA3515">
        <v>15.67</v>
      </c>
      <c r="DB3515">
        <v>5.88</v>
      </c>
      <c r="DC3515">
        <v>4.3899999999999997</v>
      </c>
      <c r="DD3515">
        <v>0.41</v>
      </c>
      <c r="DE3515">
        <v>564</v>
      </c>
      <c r="DF3515">
        <v>603668</v>
      </c>
      <c r="DG3515" t="s">
        <v>116</v>
      </c>
      <c r="DH3515" t="s">
        <v>116</v>
      </c>
      <c r="DI3515" t="s">
        <v>116</v>
      </c>
    </row>
    <row r="3516" spans="1:113" x14ac:dyDescent="0.4">
      <c r="A3516" t="str">
        <f>"603669"</f>
        <v>603669</v>
      </c>
      <c r="B3516" t="s">
        <v>14729</v>
      </c>
      <c r="C3516">
        <v>-0.14000000000000001</v>
      </c>
      <c r="D3516">
        <v>7.05</v>
      </c>
      <c r="E3516">
        <v>-0.01</v>
      </c>
      <c r="F3516">
        <v>7.05</v>
      </c>
      <c r="G3516">
        <v>7.06</v>
      </c>
      <c r="H3516">
        <v>16381</v>
      </c>
      <c r="I3516">
        <v>134</v>
      </c>
      <c r="J3516">
        <v>-0.13</v>
      </c>
      <c r="K3516">
        <v>0.32</v>
      </c>
      <c r="L3516">
        <v>7.05</v>
      </c>
      <c r="M3516">
        <v>7.17</v>
      </c>
      <c r="N3516">
        <v>7.04</v>
      </c>
      <c r="O3516">
        <v>7.06</v>
      </c>
      <c r="P3516">
        <v>17.88</v>
      </c>
      <c r="Q3516">
        <v>11642566</v>
      </c>
      <c r="R3516">
        <v>1.22</v>
      </c>
      <c r="S3516" t="s">
        <v>574</v>
      </c>
      <c r="T3516" t="s">
        <v>2028</v>
      </c>
      <c r="U3516">
        <v>1.84</v>
      </c>
      <c r="V3516">
        <v>7.11</v>
      </c>
      <c r="W3516">
        <v>8212</v>
      </c>
      <c r="X3516">
        <v>8169</v>
      </c>
      <c r="Y3516">
        <v>1.01</v>
      </c>
      <c r="Z3516">
        <v>10</v>
      </c>
      <c r="AA3516">
        <v>24</v>
      </c>
      <c r="AB3516" t="s">
        <v>116</v>
      </c>
      <c r="AC3516">
        <v>24000</v>
      </c>
      <c r="AD3516">
        <v>0</v>
      </c>
      <c r="AE3516" t="s">
        <v>116</v>
      </c>
      <c r="AF3516" t="s">
        <v>116</v>
      </c>
      <c r="AG3516">
        <v>5.0999999999999996</v>
      </c>
      <c r="AH3516" t="s">
        <v>6169</v>
      </c>
      <c r="AI3516" t="s">
        <v>6169</v>
      </c>
      <c r="AJ3516">
        <v>-0.06</v>
      </c>
      <c r="AK3516">
        <v>939</v>
      </c>
      <c r="AL3516">
        <v>17</v>
      </c>
      <c r="AM3516">
        <v>2.9999999999999997E-4</v>
      </c>
      <c r="AN3516">
        <v>-1</v>
      </c>
      <c r="AO3516">
        <v>0</v>
      </c>
      <c r="AP3516">
        <v>0</v>
      </c>
      <c r="AQ3516">
        <v>-13.5</v>
      </c>
      <c r="AR3516">
        <v>7.63</v>
      </c>
      <c r="AS3516">
        <v>0.86</v>
      </c>
      <c r="AT3516" t="s">
        <v>2252</v>
      </c>
      <c r="AU3516">
        <v>21.48</v>
      </c>
      <c r="AV3516">
        <v>19.66</v>
      </c>
      <c r="AW3516">
        <v>1.7</v>
      </c>
      <c r="BA3516">
        <v>-0.14000000000000001</v>
      </c>
      <c r="BB3516">
        <v>1.56</v>
      </c>
      <c r="BC3516">
        <v>-0.28000000000000003</v>
      </c>
      <c r="BD3516">
        <v>0.67</v>
      </c>
      <c r="BE3516">
        <v>0</v>
      </c>
      <c r="BF3516">
        <v>-1.67</v>
      </c>
      <c r="BG3516">
        <v>0.14000000000000001</v>
      </c>
      <c r="BH3516">
        <v>-0.81</v>
      </c>
      <c r="BI3516">
        <v>20191026</v>
      </c>
      <c r="BJ3516">
        <v>20150528</v>
      </c>
      <c r="BK3516">
        <v>5.0999999999999996</v>
      </c>
      <c r="BL3516" t="s">
        <v>116</v>
      </c>
      <c r="BM3516" t="s">
        <v>116</v>
      </c>
      <c r="BN3516">
        <v>21.07</v>
      </c>
      <c r="BO3516">
        <v>12.63</v>
      </c>
      <c r="BP3516">
        <v>0</v>
      </c>
      <c r="BQ3516">
        <v>40.049999999999997</v>
      </c>
      <c r="BR3516">
        <v>13.78</v>
      </c>
      <c r="BS3516">
        <v>3.44</v>
      </c>
      <c r="BT3516">
        <v>0.47</v>
      </c>
      <c r="BU3516">
        <v>6.6</v>
      </c>
      <c r="BV3516">
        <v>0.78</v>
      </c>
      <c r="BW3516">
        <v>2</v>
      </c>
      <c r="BX3516">
        <v>3.98</v>
      </c>
      <c r="BY3516">
        <v>12.11</v>
      </c>
      <c r="BZ3516">
        <v>1.64</v>
      </c>
      <c r="CA3516">
        <v>1.68</v>
      </c>
      <c r="CB3516">
        <v>0.16</v>
      </c>
      <c r="CC3516">
        <v>1.69</v>
      </c>
      <c r="CD3516">
        <v>1.51</v>
      </c>
      <c r="CE3516">
        <v>1.51</v>
      </c>
      <c r="CF3516">
        <v>0.98</v>
      </c>
      <c r="CG3516">
        <v>2.56</v>
      </c>
      <c r="CH3516">
        <v>1.66</v>
      </c>
      <c r="CI3516">
        <v>-1.81</v>
      </c>
      <c r="CJ3516">
        <v>21580</v>
      </c>
      <c r="CK3516">
        <v>8803</v>
      </c>
      <c r="CL3516" t="s">
        <v>6652</v>
      </c>
      <c r="CM3516">
        <v>-9.2799999999999994</v>
      </c>
      <c r="CN3516">
        <v>2.5</v>
      </c>
      <c r="CO3516">
        <v>2.84</v>
      </c>
      <c r="CP3516">
        <v>21.7</v>
      </c>
      <c r="CQ3516">
        <v>2.97</v>
      </c>
      <c r="CR3516">
        <v>7.4</v>
      </c>
      <c r="CS3516" t="s">
        <v>3028</v>
      </c>
      <c r="CT3516">
        <v>2.48</v>
      </c>
      <c r="CU3516">
        <v>0</v>
      </c>
      <c r="CV3516">
        <v>0.78</v>
      </c>
      <c r="CW3516">
        <v>0.5</v>
      </c>
      <c r="CX3516">
        <v>0.32</v>
      </c>
      <c r="CY3516">
        <v>59.95</v>
      </c>
      <c r="CZ3516" t="s">
        <v>14730</v>
      </c>
      <c r="DA3516">
        <v>86.49</v>
      </c>
      <c r="DB3516">
        <v>13.88</v>
      </c>
      <c r="DC3516">
        <v>12.44</v>
      </c>
      <c r="DD3516">
        <v>0.35</v>
      </c>
      <c r="DE3516">
        <v>909</v>
      </c>
      <c r="DF3516">
        <v>603669</v>
      </c>
      <c r="DG3516" t="s">
        <v>116</v>
      </c>
      <c r="DH3516" t="s">
        <v>116</v>
      </c>
      <c r="DI3516" t="s">
        <v>116</v>
      </c>
    </row>
    <row r="3517" spans="1:113" x14ac:dyDescent="0.4">
      <c r="A3517" t="str">
        <f>"603676"</f>
        <v>603676</v>
      </c>
      <c r="B3517" t="s">
        <v>14731</v>
      </c>
      <c r="C3517">
        <v>-0.86</v>
      </c>
      <c r="D3517">
        <v>10.33</v>
      </c>
      <c r="E3517">
        <v>-0.09</v>
      </c>
      <c r="F3517">
        <v>10.33</v>
      </c>
      <c r="G3517">
        <v>10.34</v>
      </c>
      <c r="H3517">
        <v>10676</v>
      </c>
      <c r="I3517">
        <v>150</v>
      </c>
      <c r="J3517">
        <v>-0.09</v>
      </c>
      <c r="K3517">
        <v>1.6</v>
      </c>
      <c r="L3517">
        <v>10.41</v>
      </c>
      <c r="M3517">
        <v>10.49</v>
      </c>
      <c r="N3517">
        <v>10.33</v>
      </c>
      <c r="O3517">
        <v>10.42</v>
      </c>
      <c r="P3517">
        <v>73.81</v>
      </c>
      <c r="Q3517">
        <v>11130334</v>
      </c>
      <c r="R3517">
        <v>0.97</v>
      </c>
      <c r="S3517" t="s">
        <v>574</v>
      </c>
      <c r="T3517" t="s">
        <v>2028</v>
      </c>
      <c r="U3517">
        <v>1.54</v>
      </c>
      <c r="V3517">
        <v>10.43</v>
      </c>
      <c r="W3517">
        <v>6623</v>
      </c>
      <c r="X3517">
        <v>4053</v>
      </c>
      <c r="Y3517">
        <v>1.63</v>
      </c>
      <c r="Z3517">
        <v>64</v>
      </c>
      <c r="AA3517">
        <v>80</v>
      </c>
      <c r="AB3517" t="s">
        <v>116</v>
      </c>
      <c r="AC3517">
        <v>0</v>
      </c>
      <c r="AD3517">
        <v>0</v>
      </c>
      <c r="AE3517" t="s">
        <v>116</v>
      </c>
      <c r="AF3517" t="s">
        <v>116</v>
      </c>
      <c r="AG3517">
        <v>0.67</v>
      </c>
      <c r="AH3517" t="s">
        <v>9270</v>
      </c>
      <c r="AI3517" t="s">
        <v>14732</v>
      </c>
      <c r="AJ3517">
        <v>-0.79</v>
      </c>
      <c r="AK3517">
        <v>601</v>
      </c>
      <c r="AL3517">
        <v>18</v>
      </c>
      <c r="AM3517">
        <v>2.7000000000000001E-3</v>
      </c>
      <c r="AN3517">
        <v>-1</v>
      </c>
      <c r="AO3517">
        <v>-0.18</v>
      </c>
      <c r="AP3517">
        <v>1.87</v>
      </c>
      <c r="AQ3517">
        <v>-8.01</v>
      </c>
      <c r="AR3517">
        <v>-7.89</v>
      </c>
      <c r="AS3517">
        <v>1.6</v>
      </c>
      <c r="AT3517" t="s">
        <v>9270</v>
      </c>
      <c r="AU3517">
        <v>81.77</v>
      </c>
      <c r="AV3517">
        <v>59.5</v>
      </c>
      <c r="AW3517">
        <v>1.4</v>
      </c>
      <c r="BA3517">
        <v>-0.1</v>
      </c>
      <c r="BB3517">
        <v>0.67</v>
      </c>
      <c r="BC3517">
        <v>-0.86</v>
      </c>
      <c r="BD3517">
        <v>0.05</v>
      </c>
      <c r="BE3517">
        <v>-0.77</v>
      </c>
      <c r="BF3517">
        <v>-1.53</v>
      </c>
      <c r="BG3517">
        <v>0</v>
      </c>
      <c r="BH3517">
        <v>-0.92</v>
      </c>
      <c r="BI3517">
        <v>20191025</v>
      </c>
      <c r="BJ3517">
        <v>20170721</v>
      </c>
      <c r="BK3517">
        <v>4.2300000000000004</v>
      </c>
      <c r="BL3517" t="s">
        <v>116</v>
      </c>
      <c r="BM3517" t="s">
        <v>116</v>
      </c>
      <c r="BN3517">
        <v>13.69</v>
      </c>
      <c r="BO3517">
        <v>9.19</v>
      </c>
      <c r="BP3517">
        <v>0</v>
      </c>
      <c r="BQ3517">
        <v>32.89</v>
      </c>
      <c r="BR3517">
        <v>9.69</v>
      </c>
      <c r="BS3517">
        <v>2.71</v>
      </c>
      <c r="BT3517">
        <v>0.19</v>
      </c>
      <c r="BU3517">
        <v>4.4400000000000004</v>
      </c>
      <c r="BV3517">
        <v>0.12</v>
      </c>
      <c r="BW3517">
        <v>2.77</v>
      </c>
      <c r="BX3517">
        <v>2.57</v>
      </c>
      <c r="BY3517">
        <v>5.48</v>
      </c>
      <c r="BZ3517">
        <v>2.96</v>
      </c>
      <c r="CA3517">
        <v>0.44</v>
      </c>
      <c r="CB3517">
        <v>0.1</v>
      </c>
      <c r="CC3517">
        <v>0.55000000000000004</v>
      </c>
      <c r="CD3517">
        <v>0.44</v>
      </c>
      <c r="CE3517">
        <v>0.44</v>
      </c>
      <c r="CF3517">
        <v>0.28000000000000003</v>
      </c>
      <c r="CG3517">
        <v>2.08</v>
      </c>
      <c r="CH3517">
        <v>-0.26</v>
      </c>
      <c r="CI3517">
        <v>-0.73</v>
      </c>
      <c r="CJ3517">
        <v>21135</v>
      </c>
      <c r="CK3517">
        <v>3154</v>
      </c>
      <c r="CL3517" t="s">
        <v>3844</v>
      </c>
      <c r="CM3517">
        <v>-31.05</v>
      </c>
      <c r="CN3517">
        <v>14.91</v>
      </c>
      <c r="CO3517">
        <v>4.76</v>
      </c>
      <c r="CP3517">
        <v>-166.79</v>
      </c>
      <c r="CQ3517">
        <v>7.97</v>
      </c>
      <c r="CR3517">
        <v>0.53</v>
      </c>
      <c r="CS3517" t="s">
        <v>4800</v>
      </c>
      <c r="CT3517">
        <v>2.17</v>
      </c>
      <c r="CU3517">
        <v>0</v>
      </c>
      <c r="CV3517">
        <v>0.61</v>
      </c>
      <c r="CW3517">
        <v>0.49</v>
      </c>
      <c r="CX3517">
        <v>-0.06</v>
      </c>
      <c r="CY3517">
        <v>67.11</v>
      </c>
      <c r="CZ3517" t="s">
        <v>9617</v>
      </c>
      <c r="DA3517">
        <v>45.98</v>
      </c>
      <c r="DB3517">
        <v>8.06</v>
      </c>
      <c r="DC3517">
        <v>8.1</v>
      </c>
      <c r="DD3517">
        <v>0.22</v>
      </c>
      <c r="DE3517">
        <v>498</v>
      </c>
      <c r="DF3517">
        <v>603676</v>
      </c>
      <c r="DG3517" t="s">
        <v>116</v>
      </c>
      <c r="DH3517" t="s">
        <v>116</v>
      </c>
      <c r="DI3517" t="s">
        <v>116</v>
      </c>
    </row>
    <row r="3518" spans="1:113" x14ac:dyDescent="0.4">
      <c r="A3518" t="str">
        <f>"603677"</f>
        <v>603677</v>
      </c>
      <c r="B3518" t="s">
        <v>14733</v>
      </c>
      <c r="C3518">
        <v>-1.03</v>
      </c>
      <c r="D3518">
        <v>12.47</v>
      </c>
      <c r="E3518">
        <v>-0.13</v>
      </c>
      <c r="F3518">
        <v>12.47</v>
      </c>
      <c r="G3518">
        <v>12.48</v>
      </c>
      <c r="H3518">
        <v>9738</v>
      </c>
      <c r="I3518">
        <v>66</v>
      </c>
      <c r="J3518">
        <v>-0.23</v>
      </c>
      <c r="K3518">
        <v>1.71</v>
      </c>
      <c r="L3518">
        <v>12.55</v>
      </c>
      <c r="M3518">
        <v>12.7</v>
      </c>
      <c r="N3518">
        <v>12.41</v>
      </c>
      <c r="O3518">
        <v>12.6</v>
      </c>
      <c r="P3518">
        <v>32.46</v>
      </c>
      <c r="Q3518">
        <v>12248755</v>
      </c>
      <c r="R3518">
        <v>0.56000000000000005</v>
      </c>
      <c r="S3518" t="s">
        <v>996</v>
      </c>
      <c r="T3518" t="s">
        <v>590</v>
      </c>
      <c r="U3518">
        <v>2.2999999999999998</v>
      </c>
      <c r="V3518">
        <v>12.58</v>
      </c>
      <c r="W3518">
        <v>5943</v>
      </c>
      <c r="X3518">
        <v>3795</v>
      </c>
      <c r="Y3518">
        <v>1.57</v>
      </c>
      <c r="Z3518">
        <v>26</v>
      </c>
      <c r="AA3518">
        <v>103</v>
      </c>
      <c r="AB3518" t="s">
        <v>116</v>
      </c>
      <c r="AC3518">
        <v>94100</v>
      </c>
      <c r="AD3518">
        <v>0.01</v>
      </c>
      <c r="AE3518" t="s">
        <v>116</v>
      </c>
      <c r="AF3518" t="s">
        <v>116</v>
      </c>
      <c r="AG3518">
        <v>0.56999999999999995</v>
      </c>
      <c r="AH3518" t="s">
        <v>14734</v>
      </c>
      <c r="AI3518" t="s">
        <v>14735</v>
      </c>
      <c r="AJ3518">
        <v>-0.95</v>
      </c>
      <c r="AK3518">
        <v>533</v>
      </c>
      <c r="AL3518">
        <v>18</v>
      </c>
      <c r="AM3518">
        <v>3.2000000000000002E-3</v>
      </c>
      <c r="AN3518">
        <v>-1</v>
      </c>
      <c r="AO3518">
        <v>-1.66</v>
      </c>
      <c r="AP3518">
        <v>4.4400000000000004</v>
      </c>
      <c r="AQ3518">
        <v>8.06</v>
      </c>
      <c r="AR3518">
        <v>-9.18</v>
      </c>
      <c r="AS3518">
        <v>1.71</v>
      </c>
      <c r="AT3518" t="s">
        <v>14734</v>
      </c>
      <c r="AU3518">
        <v>29.67</v>
      </c>
      <c r="AV3518">
        <v>31.08</v>
      </c>
      <c r="AW3518">
        <v>1.1200000000000001</v>
      </c>
      <c r="BA3518">
        <v>-0.4</v>
      </c>
      <c r="BB3518">
        <v>0.79</v>
      </c>
      <c r="BC3518">
        <v>-1.51</v>
      </c>
      <c r="BD3518">
        <v>-0.17</v>
      </c>
      <c r="BE3518">
        <v>-0.64</v>
      </c>
      <c r="BF3518">
        <v>-1.81</v>
      </c>
      <c r="BG3518">
        <v>0.48</v>
      </c>
      <c r="BH3518">
        <v>-0.86</v>
      </c>
      <c r="BI3518">
        <v>20191128</v>
      </c>
      <c r="BJ3518">
        <v>20170206</v>
      </c>
      <c r="BK3518">
        <v>1.94</v>
      </c>
      <c r="BL3518" t="s">
        <v>116</v>
      </c>
      <c r="BM3518" t="s">
        <v>116</v>
      </c>
      <c r="BN3518">
        <v>17.440000000000001</v>
      </c>
      <c r="BO3518">
        <v>10.6</v>
      </c>
      <c r="BP3518">
        <v>0</v>
      </c>
      <c r="BQ3518">
        <v>39.200000000000003</v>
      </c>
      <c r="BR3518">
        <v>11.04</v>
      </c>
      <c r="BS3518">
        <v>4.26</v>
      </c>
      <c r="BT3518">
        <v>0.85</v>
      </c>
      <c r="BU3518">
        <v>4.1100000000000003</v>
      </c>
      <c r="BV3518">
        <v>4.25</v>
      </c>
      <c r="BW3518">
        <v>3.42</v>
      </c>
      <c r="BX3518">
        <v>4.6900000000000004</v>
      </c>
      <c r="BY3518">
        <v>11.65</v>
      </c>
      <c r="BZ3518">
        <v>9.86</v>
      </c>
      <c r="CA3518">
        <v>0.69</v>
      </c>
      <c r="CB3518">
        <v>0.06</v>
      </c>
      <c r="CC3518">
        <v>0.68</v>
      </c>
      <c r="CD3518">
        <v>0.56000000000000005</v>
      </c>
      <c r="CE3518">
        <v>0.56000000000000005</v>
      </c>
      <c r="CF3518">
        <v>0.48</v>
      </c>
      <c r="CG3518">
        <v>2.94</v>
      </c>
      <c r="CH3518">
        <v>0.46</v>
      </c>
      <c r="CI3518">
        <v>-1.04</v>
      </c>
      <c r="CJ3518">
        <v>8288</v>
      </c>
      <c r="CK3518">
        <v>6889</v>
      </c>
      <c r="CL3518" t="s">
        <v>2677</v>
      </c>
      <c r="CM3518">
        <v>7.1</v>
      </c>
      <c r="CN3518">
        <v>20.92</v>
      </c>
      <c r="CO3518">
        <v>2.46</v>
      </c>
      <c r="CP3518">
        <v>52.68</v>
      </c>
      <c r="CQ3518">
        <v>2.0699999999999998</v>
      </c>
      <c r="CR3518">
        <v>1.61</v>
      </c>
      <c r="CS3518" t="s">
        <v>4215</v>
      </c>
      <c r="CT3518">
        <v>5.07</v>
      </c>
      <c r="CU3518">
        <v>5.07</v>
      </c>
      <c r="CV3518">
        <v>2.42</v>
      </c>
      <c r="CW3518">
        <v>1.52</v>
      </c>
      <c r="CX3518">
        <v>0.24</v>
      </c>
      <c r="CY3518">
        <v>60.8</v>
      </c>
      <c r="CZ3518" t="s">
        <v>2148</v>
      </c>
      <c r="DA3518">
        <v>15.36</v>
      </c>
      <c r="DB3518">
        <v>5.94</v>
      </c>
      <c r="DC3518">
        <v>4.79</v>
      </c>
      <c r="DD3518">
        <v>0.34</v>
      </c>
      <c r="DE3518">
        <v>2358</v>
      </c>
      <c r="DF3518">
        <v>603677</v>
      </c>
      <c r="DG3518" t="s">
        <v>116</v>
      </c>
      <c r="DH3518" t="s">
        <v>116</v>
      </c>
      <c r="DI3518" t="s">
        <v>116</v>
      </c>
    </row>
    <row r="3519" spans="1:113" x14ac:dyDescent="0.4">
      <c r="A3519" t="str">
        <f>"603678"</f>
        <v>603678</v>
      </c>
      <c r="B3519" t="s">
        <v>14736</v>
      </c>
      <c r="C3519">
        <v>-2.75</v>
      </c>
      <c r="D3519">
        <v>22.95</v>
      </c>
      <c r="E3519">
        <v>-0.65</v>
      </c>
      <c r="F3519">
        <v>22.95</v>
      </c>
      <c r="G3519">
        <v>22.96</v>
      </c>
      <c r="H3519">
        <v>89371</v>
      </c>
      <c r="I3519">
        <v>1606</v>
      </c>
      <c r="J3519">
        <v>-0.21</v>
      </c>
      <c r="K3519">
        <v>1.97</v>
      </c>
      <c r="L3519">
        <v>23.58</v>
      </c>
      <c r="M3519">
        <v>23.9</v>
      </c>
      <c r="N3519">
        <v>22.95</v>
      </c>
      <c r="O3519">
        <v>23.6</v>
      </c>
      <c r="P3519">
        <v>26.8</v>
      </c>
      <c r="Q3519">
        <v>208936976</v>
      </c>
      <c r="R3519">
        <v>0.97</v>
      </c>
      <c r="S3519" t="s">
        <v>233</v>
      </c>
      <c r="T3519" t="s">
        <v>975</v>
      </c>
      <c r="U3519">
        <v>4.03</v>
      </c>
      <c r="V3519">
        <v>23.38</v>
      </c>
      <c r="W3519">
        <v>52792</v>
      </c>
      <c r="X3519">
        <v>36579</v>
      </c>
      <c r="Y3519">
        <v>1.44</v>
      </c>
      <c r="Z3519">
        <v>172</v>
      </c>
      <c r="AA3519">
        <v>14</v>
      </c>
      <c r="AB3519" t="s">
        <v>116</v>
      </c>
      <c r="AC3519">
        <v>1676500</v>
      </c>
      <c r="AD3519">
        <v>0.03</v>
      </c>
      <c r="AE3519" t="s">
        <v>116</v>
      </c>
      <c r="AF3519" t="s">
        <v>116</v>
      </c>
      <c r="AG3519">
        <v>4.53</v>
      </c>
      <c r="AH3519" t="s">
        <v>14737</v>
      </c>
      <c r="AI3519" t="s">
        <v>14737</v>
      </c>
      <c r="AJ3519">
        <v>-2.68</v>
      </c>
      <c r="AK3519">
        <v>3094</v>
      </c>
      <c r="AL3519">
        <v>29</v>
      </c>
      <c r="AM3519">
        <v>5.9999999999999995E-4</v>
      </c>
      <c r="AN3519">
        <v>-1</v>
      </c>
      <c r="AO3519">
        <v>4.8</v>
      </c>
      <c r="AP3519">
        <v>10.98</v>
      </c>
      <c r="AQ3519">
        <v>3.29</v>
      </c>
      <c r="AR3519">
        <v>46.46</v>
      </c>
      <c r="AS3519">
        <v>3.48</v>
      </c>
      <c r="AT3519" t="s">
        <v>6078</v>
      </c>
      <c r="AU3519">
        <v>27.96</v>
      </c>
      <c r="AV3519">
        <v>31.18</v>
      </c>
      <c r="AW3519">
        <v>1.57</v>
      </c>
      <c r="BA3519">
        <v>-0.08</v>
      </c>
      <c r="BB3519">
        <v>1.27</v>
      </c>
      <c r="BC3519">
        <v>-2.75</v>
      </c>
      <c r="BD3519">
        <v>-0.94</v>
      </c>
      <c r="BE3519">
        <v>-2.67</v>
      </c>
      <c r="BF3519">
        <v>-3.97</v>
      </c>
      <c r="BG3519">
        <v>0</v>
      </c>
      <c r="BH3519">
        <v>-1.82</v>
      </c>
      <c r="BI3519">
        <v>20191029</v>
      </c>
      <c r="BJ3519">
        <v>20150126</v>
      </c>
      <c r="BK3519">
        <v>4.53</v>
      </c>
      <c r="BL3519" t="s">
        <v>116</v>
      </c>
      <c r="BM3519" t="s">
        <v>116</v>
      </c>
      <c r="BN3519">
        <v>41.71</v>
      </c>
      <c r="BO3519">
        <v>30.39</v>
      </c>
      <c r="BP3519">
        <v>0.67</v>
      </c>
      <c r="BQ3519">
        <v>25.52</v>
      </c>
      <c r="BR3519">
        <v>26.97</v>
      </c>
      <c r="BS3519">
        <v>6.41</v>
      </c>
      <c r="BT3519">
        <v>1.46</v>
      </c>
      <c r="BU3519">
        <v>9.02</v>
      </c>
      <c r="BV3519">
        <v>7.17</v>
      </c>
      <c r="BW3519">
        <v>11.19</v>
      </c>
      <c r="BX3519">
        <v>11</v>
      </c>
      <c r="BY3519">
        <v>17.27</v>
      </c>
      <c r="BZ3519">
        <v>11.35</v>
      </c>
      <c r="CA3519">
        <v>3.59</v>
      </c>
      <c r="CB3519">
        <v>7.0000000000000007E-2</v>
      </c>
      <c r="CC3519">
        <v>3.59</v>
      </c>
      <c r="CD3519">
        <v>2.95</v>
      </c>
      <c r="CE3519">
        <v>2.91</v>
      </c>
      <c r="CF3519">
        <v>2.77</v>
      </c>
      <c r="CG3519">
        <v>13.79</v>
      </c>
      <c r="CH3519">
        <v>1</v>
      </c>
      <c r="CI3519">
        <v>1.84</v>
      </c>
      <c r="CJ3519">
        <v>15620</v>
      </c>
      <c r="CK3519">
        <v>16442</v>
      </c>
      <c r="CL3519" t="s">
        <v>14738</v>
      </c>
      <c r="CM3519">
        <v>15.23</v>
      </c>
      <c r="CN3519">
        <v>19.72</v>
      </c>
      <c r="CO3519">
        <v>3.42</v>
      </c>
      <c r="CP3519">
        <v>103.44</v>
      </c>
      <c r="CQ3519">
        <v>6.02</v>
      </c>
      <c r="CR3519">
        <v>0.44</v>
      </c>
      <c r="CS3519" t="s">
        <v>12837</v>
      </c>
      <c r="CT3519">
        <v>6.71</v>
      </c>
      <c r="CU3519">
        <v>0</v>
      </c>
      <c r="CV3519">
        <v>2.4300000000000002</v>
      </c>
      <c r="CW3519">
        <v>3.05</v>
      </c>
      <c r="CX3519">
        <v>0.22</v>
      </c>
      <c r="CY3519">
        <v>72.87</v>
      </c>
      <c r="CZ3519" t="s">
        <v>14739</v>
      </c>
      <c r="DA3519">
        <v>34.25</v>
      </c>
      <c r="DB3519">
        <v>20.77</v>
      </c>
      <c r="DC3519">
        <v>16.829999999999998</v>
      </c>
      <c r="DD3519">
        <v>0.3</v>
      </c>
      <c r="DE3519">
        <v>1398</v>
      </c>
      <c r="DF3519">
        <v>603678</v>
      </c>
      <c r="DG3519" t="s">
        <v>116</v>
      </c>
      <c r="DH3519" t="s">
        <v>116</v>
      </c>
      <c r="DI3519" t="s">
        <v>116</v>
      </c>
    </row>
    <row r="3520" spans="1:113" x14ac:dyDescent="0.4">
      <c r="A3520" t="str">
        <f>"603679"</f>
        <v>603679</v>
      </c>
      <c r="B3520" t="s">
        <v>14740</v>
      </c>
      <c r="C3520">
        <v>-2.57</v>
      </c>
      <c r="D3520">
        <v>40.89</v>
      </c>
      <c r="E3520">
        <v>-1.08</v>
      </c>
      <c r="F3520">
        <v>40.880000000000003</v>
      </c>
      <c r="G3520">
        <v>40.89</v>
      </c>
      <c r="H3520">
        <v>11579</v>
      </c>
      <c r="I3520">
        <v>126</v>
      </c>
      <c r="J3520">
        <v>0.05</v>
      </c>
      <c r="K3520">
        <v>2.86</v>
      </c>
      <c r="L3520">
        <v>42.38</v>
      </c>
      <c r="M3520">
        <v>42.6</v>
      </c>
      <c r="N3520">
        <v>40.700000000000003</v>
      </c>
      <c r="O3520">
        <v>41.97</v>
      </c>
      <c r="P3520">
        <v>38.97</v>
      </c>
      <c r="Q3520">
        <v>48182256</v>
      </c>
      <c r="R3520">
        <v>1.21</v>
      </c>
      <c r="S3520" t="s">
        <v>397</v>
      </c>
      <c r="T3520" t="s">
        <v>582</v>
      </c>
      <c r="U3520">
        <v>4.53</v>
      </c>
      <c r="V3520">
        <v>41.61</v>
      </c>
      <c r="W3520">
        <v>7216</v>
      </c>
      <c r="X3520">
        <v>4363</v>
      </c>
      <c r="Y3520">
        <v>1.65</v>
      </c>
      <c r="Z3520">
        <v>17</v>
      </c>
      <c r="AA3520">
        <v>5</v>
      </c>
      <c r="AB3520" t="s">
        <v>116</v>
      </c>
      <c r="AC3520">
        <v>67800</v>
      </c>
      <c r="AD3520">
        <v>0</v>
      </c>
      <c r="AE3520" t="s">
        <v>116</v>
      </c>
      <c r="AF3520" t="s">
        <v>116</v>
      </c>
      <c r="AG3520">
        <v>0.4</v>
      </c>
      <c r="AH3520" t="s">
        <v>6848</v>
      </c>
      <c r="AI3520" t="s">
        <v>14741</v>
      </c>
      <c r="AJ3520">
        <v>-2.5</v>
      </c>
      <c r="AK3520">
        <v>1651</v>
      </c>
      <c r="AL3520">
        <v>7</v>
      </c>
      <c r="AM3520">
        <v>1.6999999999999999E-3</v>
      </c>
      <c r="AN3520">
        <v>-1</v>
      </c>
      <c r="AO3520">
        <v>-3.01</v>
      </c>
      <c r="AP3520">
        <v>2.35</v>
      </c>
      <c r="AQ3520">
        <v>-3.33</v>
      </c>
      <c r="AR3520">
        <v>81.89</v>
      </c>
      <c r="AS3520">
        <v>3.28</v>
      </c>
      <c r="AT3520" t="s">
        <v>14742</v>
      </c>
      <c r="AU3520">
        <v>40.270000000000003</v>
      </c>
      <c r="AV3520">
        <v>59.16</v>
      </c>
      <c r="AW3520">
        <v>1.81</v>
      </c>
      <c r="BA3520">
        <v>0.98</v>
      </c>
      <c r="BB3520">
        <v>1.5</v>
      </c>
      <c r="BC3520">
        <v>-3.03</v>
      </c>
      <c r="BD3520">
        <v>-0.86</v>
      </c>
      <c r="BE3520">
        <v>-3.52</v>
      </c>
      <c r="BF3520">
        <v>-4.01</v>
      </c>
      <c r="BG3520">
        <v>0.47</v>
      </c>
      <c r="BH3520">
        <v>-1.72</v>
      </c>
      <c r="BI3520">
        <v>20191203</v>
      </c>
      <c r="BJ3520">
        <v>20170621</v>
      </c>
      <c r="BK3520">
        <v>1.02</v>
      </c>
      <c r="BL3520" t="s">
        <v>116</v>
      </c>
      <c r="BM3520" t="s">
        <v>116</v>
      </c>
      <c r="BN3520">
        <v>12.1</v>
      </c>
      <c r="BO3520">
        <v>6.64</v>
      </c>
      <c r="BP3520">
        <v>0.03</v>
      </c>
      <c r="BQ3520">
        <v>44.87</v>
      </c>
      <c r="BR3520">
        <v>9.23</v>
      </c>
      <c r="BS3520">
        <v>0.87</v>
      </c>
      <c r="BT3520">
        <v>0.27</v>
      </c>
      <c r="BU3520">
        <v>4.93</v>
      </c>
      <c r="BV3520">
        <v>1.1000000000000001</v>
      </c>
      <c r="BW3520">
        <v>4.59</v>
      </c>
      <c r="BX3520">
        <v>2.34</v>
      </c>
      <c r="BY3520">
        <v>5.25</v>
      </c>
      <c r="BZ3520">
        <v>3.28</v>
      </c>
      <c r="CA3520">
        <v>1.04</v>
      </c>
      <c r="CB3520">
        <v>0</v>
      </c>
      <c r="CC3520">
        <v>1.03</v>
      </c>
      <c r="CD3520">
        <v>0.8</v>
      </c>
      <c r="CE3520">
        <v>0.8</v>
      </c>
      <c r="CF3520">
        <v>0.8</v>
      </c>
      <c r="CG3520">
        <v>3.23</v>
      </c>
      <c r="CH3520">
        <v>-0.82</v>
      </c>
      <c r="CI3520">
        <v>0.26</v>
      </c>
      <c r="CJ3520">
        <v>5088</v>
      </c>
      <c r="CK3520">
        <v>6946</v>
      </c>
      <c r="CL3520" t="s">
        <v>14743</v>
      </c>
      <c r="CM3520">
        <v>70.06</v>
      </c>
      <c r="CN3520">
        <v>40.049999999999997</v>
      </c>
      <c r="CO3520">
        <v>6.29</v>
      </c>
      <c r="CP3520">
        <v>-51.12</v>
      </c>
      <c r="CQ3520">
        <v>7.95</v>
      </c>
      <c r="CR3520">
        <v>0.24</v>
      </c>
      <c r="CS3520" t="s">
        <v>5906</v>
      </c>
      <c r="CT3520">
        <v>6.5</v>
      </c>
      <c r="CU3520">
        <v>6.5</v>
      </c>
      <c r="CV3520">
        <v>2.29</v>
      </c>
      <c r="CW3520">
        <v>3.17</v>
      </c>
      <c r="CX3520">
        <v>-0.8</v>
      </c>
      <c r="CY3520">
        <v>54.88</v>
      </c>
      <c r="CZ3520" t="s">
        <v>14744</v>
      </c>
      <c r="DA3520">
        <v>37.61</v>
      </c>
      <c r="DB3520">
        <v>19.73</v>
      </c>
      <c r="DC3520">
        <v>15.29</v>
      </c>
      <c r="DD3520">
        <v>0.15</v>
      </c>
      <c r="DE3520">
        <v>792</v>
      </c>
      <c r="DF3520">
        <v>603679</v>
      </c>
      <c r="DG3520" t="s">
        <v>116</v>
      </c>
      <c r="DH3520" t="s">
        <v>116</v>
      </c>
      <c r="DI3520" t="s">
        <v>116</v>
      </c>
    </row>
    <row r="3521" spans="1:113" x14ac:dyDescent="0.4">
      <c r="A3521" t="str">
        <f>"603680"</f>
        <v>603680</v>
      </c>
      <c r="B3521" t="s">
        <v>14745</v>
      </c>
      <c r="C3521">
        <v>-0.19</v>
      </c>
      <c r="D3521">
        <v>10.32</v>
      </c>
      <c r="E3521">
        <v>-0.02</v>
      </c>
      <c r="F3521">
        <v>10.32</v>
      </c>
      <c r="G3521">
        <v>10.33</v>
      </c>
      <c r="H3521">
        <v>7829</v>
      </c>
      <c r="I3521">
        <v>89</v>
      </c>
      <c r="J3521">
        <v>0</v>
      </c>
      <c r="K3521">
        <v>0.32</v>
      </c>
      <c r="L3521">
        <v>10.36</v>
      </c>
      <c r="M3521">
        <v>10.45</v>
      </c>
      <c r="N3521">
        <v>10.31</v>
      </c>
      <c r="O3521">
        <v>10.34</v>
      </c>
      <c r="P3521">
        <v>21.06</v>
      </c>
      <c r="Q3521">
        <v>8117240</v>
      </c>
      <c r="R3521">
        <v>0.82</v>
      </c>
      <c r="S3521" t="s">
        <v>164</v>
      </c>
      <c r="T3521" t="s">
        <v>323</v>
      </c>
      <c r="U3521">
        <v>1.35</v>
      </c>
      <c r="V3521">
        <v>10.37</v>
      </c>
      <c r="W3521">
        <v>4308</v>
      </c>
      <c r="X3521">
        <v>3521</v>
      </c>
      <c r="Y3521">
        <v>1.22</v>
      </c>
      <c r="Z3521">
        <v>499</v>
      </c>
      <c r="AA3521">
        <v>104</v>
      </c>
      <c r="AB3521" t="s">
        <v>116</v>
      </c>
      <c r="AC3521">
        <v>0</v>
      </c>
      <c r="AD3521">
        <v>0</v>
      </c>
      <c r="AE3521" t="s">
        <v>116</v>
      </c>
      <c r="AF3521" t="s">
        <v>116</v>
      </c>
      <c r="AG3521">
        <v>2.46</v>
      </c>
      <c r="AH3521" t="s">
        <v>1221</v>
      </c>
      <c r="AI3521" t="s">
        <v>14746</v>
      </c>
      <c r="AJ3521">
        <v>-0.12</v>
      </c>
      <c r="AK3521">
        <v>589</v>
      </c>
      <c r="AL3521">
        <v>13</v>
      </c>
      <c r="AM3521">
        <v>5.0000000000000001E-4</v>
      </c>
      <c r="AN3521">
        <v>-1</v>
      </c>
      <c r="AO3521">
        <v>0.2</v>
      </c>
      <c r="AP3521">
        <v>3.93</v>
      </c>
      <c r="AQ3521">
        <v>-10.73</v>
      </c>
      <c r="AR3521">
        <v>-13.94</v>
      </c>
      <c r="AS3521">
        <v>0.94</v>
      </c>
      <c r="AT3521" t="s">
        <v>9227</v>
      </c>
      <c r="AU3521">
        <v>20.46</v>
      </c>
      <c r="AV3521">
        <v>18.47</v>
      </c>
      <c r="AW3521">
        <v>1.33</v>
      </c>
      <c r="BA3521">
        <v>0.19</v>
      </c>
      <c r="BB3521">
        <v>1.06</v>
      </c>
      <c r="BC3521">
        <v>-0.28999999999999998</v>
      </c>
      <c r="BD3521">
        <v>0.27</v>
      </c>
      <c r="BE3521">
        <v>-0.39</v>
      </c>
      <c r="BF3521">
        <v>-1.24</v>
      </c>
      <c r="BG3521">
        <v>0.1</v>
      </c>
      <c r="BH3521">
        <v>-0.46</v>
      </c>
      <c r="BI3521">
        <v>20191030</v>
      </c>
      <c r="BJ3521">
        <v>20180227</v>
      </c>
      <c r="BK3521">
        <v>7.91</v>
      </c>
      <c r="BL3521" t="s">
        <v>116</v>
      </c>
      <c r="BM3521" t="s">
        <v>116</v>
      </c>
      <c r="BN3521">
        <v>90.8</v>
      </c>
      <c r="BO3521">
        <v>40.380000000000003</v>
      </c>
      <c r="BP3521">
        <v>0.52</v>
      </c>
      <c r="BQ3521">
        <v>54.95</v>
      </c>
      <c r="BR3521">
        <v>65.319999999999993</v>
      </c>
      <c r="BS3521">
        <v>11.72</v>
      </c>
      <c r="BT3521">
        <v>2.71</v>
      </c>
      <c r="BU3521">
        <v>40.090000000000003</v>
      </c>
      <c r="BV3521">
        <v>15.14</v>
      </c>
      <c r="BW3521">
        <v>23.05</v>
      </c>
      <c r="BX3521">
        <v>16.309999999999999</v>
      </c>
      <c r="BY3521">
        <v>27.29</v>
      </c>
      <c r="BZ3521">
        <v>19.02</v>
      </c>
      <c r="CA3521">
        <v>3.2</v>
      </c>
      <c r="CB3521">
        <v>1.02</v>
      </c>
      <c r="CC3521">
        <v>3.19</v>
      </c>
      <c r="CD3521">
        <v>2.86</v>
      </c>
      <c r="CE3521">
        <v>2.91</v>
      </c>
      <c r="CF3521">
        <v>2.64</v>
      </c>
      <c r="CG3521">
        <v>14.3</v>
      </c>
      <c r="CH3521">
        <v>-6.45</v>
      </c>
      <c r="CI3521">
        <v>-0.53</v>
      </c>
      <c r="CJ3521">
        <v>21599</v>
      </c>
      <c r="CK3521">
        <v>3847</v>
      </c>
      <c r="CL3521" t="s">
        <v>5944</v>
      </c>
      <c r="CM3521">
        <v>-12.89</v>
      </c>
      <c r="CN3521">
        <v>22.71</v>
      </c>
      <c r="CO3521">
        <v>2.02</v>
      </c>
      <c r="CP3521">
        <v>-12.66</v>
      </c>
      <c r="CQ3521">
        <v>2.99</v>
      </c>
      <c r="CR3521">
        <v>1.49</v>
      </c>
      <c r="CS3521" t="s">
        <v>8566</v>
      </c>
      <c r="CT3521">
        <v>5.1100000000000003</v>
      </c>
      <c r="CU3521">
        <v>0</v>
      </c>
      <c r="CV3521">
        <v>2.06</v>
      </c>
      <c r="CW3521">
        <v>1.81</v>
      </c>
      <c r="CX3521">
        <v>-0.82</v>
      </c>
      <c r="CY3521">
        <v>44.48</v>
      </c>
      <c r="CZ3521" t="s">
        <v>14747</v>
      </c>
      <c r="DA3521">
        <v>30.31</v>
      </c>
      <c r="DB3521">
        <v>11.71</v>
      </c>
      <c r="DC3521">
        <v>10.65</v>
      </c>
      <c r="DD3521">
        <v>1.35</v>
      </c>
      <c r="DE3521">
        <v>10185</v>
      </c>
      <c r="DF3521">
        <v>603680</v>
      </c>
      <c r="DG3521" t="s">
        <v>116</v>
      </c>
      <c r="DH3521" t="s">
        <v>116</v>
      </c>
      <c r="DI3521" t="s">
        <v>116</v>
      </c>
    </row>
    <row r="3522" spans="1:113" x14ac:dyDescent="0.4">
      <c r="A3522" t="str">
        <f>"603681"</f>
        <v>603681</v>
      </c>
      <c r="B3522" t="s">
        <v>14748</v>
      </c>
      <c r="C3522">
        <v>2.91</v>
      </c>
      <c r="D3522">
        <v>26.14</v>
      </c>
      <c r="E3522">
        <v>0.74</v>
      </c>
      <c r="F3522">
        <v>26.14</v>
      </c>
      <c r="G3522">
        <v>26.15</v>
      </c>
      <c r="H3522">
        <v>63804</v>
      </c>
      <c r="I3522">
        <v>1081</v>
      </c>
      <c r="J3522">
        <v>0.04</v>
      </c>
      <c r="K3522">
        <v>15.32</v>
      </c>
      <c r="L3522">
        <v>25.71</v>
      </c>
      <c r="M3522">
        <v>26.95</v>
      </c>
      <c r="N3522">
        <v>25.69</v>
      </c>
      <c r="O3522">
        <v>25.4</v>
      </c>
      <c r="P3522">
        <v>30.34</v>
      </c>
      <c r="Q3522">
        <v>168262880</v>
      </c>
      <c r="R3522">
        <v>2.5099999999999998</v>
      </c>
      <c r="S3522" t="s">
        <v>891</v>
      </c>
      <c r="T3522" t="s">
        <v>1653</v>
      </c>
      <c r="U3522">
        <v>4.96</v>
      </c>
      <c r="V3522">
        <v>26.37</v>
      </c>
      <c r="W3522">
        <v>31430</v>
      </c>
      <c r="X3522">
        <v>32375</v>
      </c>
      <c r="Y3522">
        <v>0.97</v>
      </c>
      <c r="Z3522">
        <v>145</v>
      </c>
      <c r="AA3522">
        <v>250</v>
      </c>
      <c r="AB3522" t="s">
        <v>116</v>
      </c>
      <c r="AC3522">
        <v>1810000</v>
      </c>
      <c r="AD3522">
        <v>0.17</v>
      </c>
      <c r="AE3522" t="s">
        <v>116</v>
      </c>
      <c r="AF3522" t="s">
        <v>116</v>
      </c>
      <c r="AG3522">
        <v>0.42</v>
      </c>
      <c r="AH3522" t="s">
        <v>14266</v>
      </c>
      <c r="AI3522" t="s">
        <v>8462</v>
      </c>
      <c r="AJ3522">
        <v>2.99</v>
      </c>
      <c r="AK3522">
        <v>2380</v>
      </c>
      <c r="AL3522">
        <v>27</v>
      </c>
      <c r="AM3522">
        <v>6.4000000000000003E-3</v>
      </c>
      <c r="AN3522">
        <v>2</v>
      </c>
      <c r="AO3522">
        <v>3.15</v>
      </c>
      <c r="AP3522">
        <v>1.71</v>
      </c>
      <c r="AQ3522">
        <v>-11.12</v>
      </c>
      <c r="AR3522">
        <v>167.83</v>
      </c>
      <c r="AS3522">
        <v>15.32</v>
      </c>
      <c r="AT3522" t="s">
        <v>14266</v>
      </c>
      <c r="AU3522">
        <v>32.479999999999997</v>
      </c>
      <c r="AV3522">
        <v>33.15</v>
      </c>
      <c r="AW3522">
        <v>0.97</v>
      </c>
      <c r="BA3522">
        <v>1.22</v>
      </c>
      <c r="BB3522">
        <v>6.1</v>
      </c>
      <c r="BC3522">
        <v>1.1399999999999999</v>
      </c>
      <c r="BD3522">
        <v>3.83</v>
      </c>
      <c r="BE3522">
        <v>1.67</v>
      </c>
      <c r="BF3522">
        <v>-3.01</v>
      </c>
      <c r="BG3522">
        <v>1.75</v>
      </c>
      <c r="BH3522">
        <v>-0.91</v>
      </c>
      <c r="BI3522">
        <v>20191030</v>
      </c>
      <c r="BJ3522">
        <v>20190326</v>
      </c>
      <c r="BK3522">
        <v>1.67</v>
      </c>
      <c r="BL3522" t="s">
        <v>116</v>
      </c>
      <c r="BM3522" t="s">
        <v>116</v>
      </c>
      <c r="BN3522">
        <v>17.89</v>
      </c>
      <c r="BO3522">
        <v>13.25</v>
      </c>
      <c r="BP3522">
        <v>0</v>
      </c>
      <c r="BQ3522">
        <v>25.95</v>
      </c>
      <c r="BR3522">
        <v>12.18</v>
      </c>
      <c r="BS3522">
        <v>4.66</v>
      </c>
      <c r="BT3522">
        <v>0.23</v>
      </c>
      <c r="BU3522">
        <v>4.13</v>
      </c>
      <c r="BV3522">
        <v>2.87</v>
      </c>
      <c r="BW3522">
        <v>3.26</v>
      </c>
      <c r="BX3522">
        <v>6.65</v>
      </c>
      <c r="BY3522">
        <v>15.04</v>
      </c>
      <c r="BZ3522">
        <v>12.37</v>
      </c>
      <c r="CA3522">
        <v>1.23</v>
      </c>
      <c r="CB3522">
        <v>-0.02</v>
      </c>
      <c r="CC3522">
        <v>1.26</v>
      </c>
      <c r="CD3522">
        <v>1.08</v>
      </c>
      <c r="CE3522">
        <v>1.08</v>
      </c>
      <c r="CF3522">
        <v>1.18</v>
      </c>
      <c r="CG3522">
        <v>4.57</v>
      </c>
      <c r="CH3522">
        <v>1.19</v>
      </c>
      <c r="CI3522">
        <v>1.72</v>
      </c>
      <c r="CJ3522">
        <v>23305</v>
      </c>
      <c r="CK3522">
        <v>1787</v>
      </c>
      <c r="CL3522" t="s">
        <v>3109</v>
      </c>
      <c r="CM3522">
        <v>2.57</v>
      </c>
      <c r="CN3522">
        <v>21.85</v>
      </c>
      <c r="CO3522">
        <v>3.29</v>
      </c>
      <c r="CP3522">
        <v>36.729999999999997</v>
      </c>
      <c r="CQ3522">
        <v>2.89</v>
      </c>
      <c r="CR3522">
        <v>0.92</v>
      </c>
      <c r="CS3522" t="s">
        <v>13939</v>
      </c>
      <c r="CT3522">
        <v>7.95</v>
      </c>
      <c r="CU3522">
        <v>0</v>
      </c>
      <c r="CV3522">
        <v>3.99</v>
      </c>
      <c r="CW3522">
        <v>2.75</v>
      </c>
      <c r="CX3522">
        <v>0.71</v>
      </c>
      <c r="CY3522">
        <v>74.05</v>
      </c>
      <c r="CZ3522" t="s">
        <v>7507</v>
      </c>
      <c r="DA3522">
        <v>17.809999999999999</v>
      </c>
      <c r="DB3522">
        <v>8.18</v>
      </c>
      <c r="DC3522">
        <v>7.16</v>
      </c>
      <c r="DD3522">
        <v>0.62</v>
      </c>
      <c r="DE3522">
        <v>1643</v>
      </c>
      <c r="DF3522">
        <v>603681</v>
      </c>
      <c r="DG3522" t="s">
        <v>116</v>
      </c>
      <c r="DH3522" t="s">
        <v>116</v>
      </c>
      <c r="DI3522" t="s">
        <v>116</v>
      </c>
    </row>
    <row r="3523" spans="1:113" x14ac:dyDescent="0.4">
      <c r="A3523" t="str">
        <f>"603683"</f>
        <v>603683</v>
      </c>
      <c r="B3523" t="s">
        <v>14749</v>
      </c>
      <c r="C3523">
        <v>-1.39</v>
      </c>
      <c r="D3523">
        <v>13.45</v>
      </c>
      <c r="E3523">
        <v>-0.19</v>
      </c>
      <c r="F3523">
        <v>13.45</v>
      </c>
      <c r="G3523">
        <v>13.46</v>
      </c>
      <c r="H3523">
        <v>23868</v>
      </c>
      <c r="I3523">
        <v>387</v>
      </c>
      <c r="J3523">
        <v>-0.21</v>
      </c>
      <c r="K3523">
        <v>4.7300000000000004</v>
      </c>
      <c r="L3523">
        <v>13.69</v>
      </c>
      <c r="M3523">
        <v>13.94</v>
      </c>
      <c r="N3523">
        <v>13.45</v>
      </c>
      <c r="O3523">
        <v>13.64</v>
      </c>
      <c r="P3523">
        <v>408.96</v>
      </c>
      <c r="Q3523">
        <v>32576968</v>
      </c>
      <c r="R3523">
        <v>1.1100000000000001</v>
      </c>
      <c r="S3523" t="s">
        <v>891</v>
      </c>
      <c r="T3523" t="s">
        <v>1653</v>
      </c>
      <c r="U3523">
        <v>3.59</v>
      </c>
      <c r="V3523">
        <v>13.65</v>
      </c>
      <c r="W3523">
        <v>11710</v>
      </c>
      <c r="X3523">
        <v>12158</v>
      </c>
      <c r="Y3523">
        <v>0.96</v>
      </c>
      <c r="Z3523">
        <v>20</v>
      </c>
      <c r="AA3523">
        <v>41</v>
      </c>
      <c r="AB3523" t="s">
        <v>116</v>
      </c>
      <c r="AC3523">
        <v>24600</v>
      </c>
      <c r="AD3523">
        <v>0</v>
      </c>
      <c r="AE3523" t="s">
        <v>116</v>
      </c>
      <c r="AF3523" t="s">
        <v>116</v>
      </c>
      <c r="AG3523">
        <v>0.5</v>
      </c>
      <c r="AH3523" t="s">
        <v>6844</v>
      </c>
      <c r="AI3523" t="s">
        <v>2037</v>
      </c>
      <c r="AJ3523">
        <v>-1.32</v>
      </c>
      <c r="AK3523">
        <v>1336</v>
      </c>
      <c r="AL3523">
        <v>18</v>
      </c>
      <c r="AM3523">
        <v>3.5000000000000001E-3</v>
      </c>
      <c r="AN3523">
        <v>-1</v>
      </c>
      <c r="AO3523">
        <v>1.66</v>
      </c>
      <c r="AP3523">
        <v>6.66</v>
      </c>
      <c r="AQ3523">
        <v>-5.81</v>
      </c>
      <c r="AR3523">
        <v>-2.39</v>
      </c>
      <c r="AS3523">
        <v>4.7300000000000004</v>
      </c>
      <c r="AT3523" t="s">
        <v>6844</v>
      </c>
      <c r="AU3523">
        <v>216.82</v>
      </c>
      <c r="AV3523">
        <v>74.19</v>
      </c>
      <c r="AW3523">
        <v>0.66</v>
      </c>
      <c r="BA3523">
        <v>0.37</v>
      </c>
      <c r="BB3523">
        <v>2.2000000000000002</v>
      </c>
      <c r="BC3523">
        <v>-1.39</v>
      </c>
      <c r="BD3523">
        <v>0.06</v>
      </c>
      <c r="BE3523">
        <v>-1.75</v>
      </c>
      <c r="BF3523">
        <v>-3.52</v>
      </c>
      <c r="BG3523">
        <v>0</v>
      </c>
      <c r="BH3523">
        <v>-1.46</v>
      </c>
      <c r="BI3523">
        <v>20191030</v>
      </c>
      <c r="BJ3523">
        <v>20171020</v>
      </c>
      <c r="BK3523">
        <v>1.27</v>
      </c>
      <c r="BL3523" t="s">
        <v>116</v>
      </c>
      <c r="BM3523" t="s">
        <v>116</v>
      </c>
      <c r="BN3523">
        <v>14.11</v>
      </c>
      <c r="BO3523">
        <v>7.9</v>
      </c>
      <c r="BP3523">
        <v>0.36</v>
      </c>
      <c r="BQ3523">
        <v>41.39</v>
      </c>
      <c r="BR3523">
        <v>5.96</v>
      </c>
      <c r="BS3523">
        <v>4.5</v>
      </c>
      <c r="BT3523">
        <v>1.1100000000000001</v>
      </c>
      <c r="BU3523">
        <v>4.66</v>
      </c>
      <c r="BV3523">
        <v>2.0499999999999998</v>
      </c>
      <c r="BW3523">
        <v>1.38</v>
      </c>
      <c r="BX3523">
        <v>3.68</v>
      </c>
      <c r="BY3523">
        <v>6.77</v>
      </c>
      <c r="BZ3523">
        <v>5.74</v>
      </c>
      <c r="CA3523">
        <v>-0.06</v>
      </c>
      <c r="CB3523">
        <v>0.02</v>
      </c>
      <c r="CC3523">
        <v>-0.05</v>
      </c>
      <c r="CD3523">
        <v>0.03</v>
      </c>
      <c r="CE3523">
        <v>0.03</v>
      </c>
      <c r="CF3523">
        <v>0</v>
      </c>
      <c r="CG3523">
        <v>2.73</v>
      </c>
      <c r="CH3523">
        <v>0.46</v>
      </c>
      <c r="CI3523">
        <v>-0.41</v>
      </c>
      <c r="CJ3523">
        <v>16933</v>
      </c>
      <c r="CK3523">
        <v>2979</v>
      </c>
      <c r="CL3523" t="s">
        <v>8771</v>
      </c>
      <c r="CM3523">
        <v>-82.86</v>
      </c>
      <c r="CN3523">
        <v>14.54</v>
      </c>
      <c r="CO3523">
        <v>2.16</v>
      </c>
      <c r="CP3523">
        <v>36.880000000000003</v>
      </c>
      <c r="CQ3523">
        <v>2.52</v>
      </c>
      <c r="CR3523">
        <v>0.37</v>
      </c>
      <c r="CS3523" t="s">
        <v>3644</v>
      </c>
      <c r="CT3523">
        <v>6.24</v>
      </c>
      <c r="CU3523">
        <v>0</v>
      </c>
      <c r="CV3523">
        <v>2.9</v>
      </c>
      <c r="CW3523">
        <v>2.15</v>
      </c>
      <c r="CX3523">
        <v>0.36</v>
      </c>
      <c r="CY3523">
        <v>56.03</v>
      </c>
      <c r="CZ3523" t="s">
        <v>4554</v>
      </c>
      <c r="DA3523">
        <v>15.16</v>
      </c>
      <c r="DB3523">
        <v>-0.93</v>
      </c>
      <c r="DC3523">
        <v>0.46</v>
      </c>
      <c r="DD3523">
        <v>0.19</v>
      </c>
      <c r="DE3523">
        <v>1049</v>
      </c>
      <c r="DF3523">
        <v>603683</v>
      </c>
      <c r="DG3523" t="s">
        <v>116</v>
      </c>
      <c r="DH3523" t="s">
        <v>116</v>
      </c>
      <c r="DI3523" t="s">
        <v>116</v>
      </c>
    </row>
    <row r="3524" spans="1:113" x14ac:dyDescent="0.4">
      <c r="A3524" t="str">
        <f>"603685"</f>
        <v>603685</v>
      </c>
      <c r="B3524" t="s">
        <v>14750</v>
      </c>
      <c r="C3524">
        <v>-1.19</v>
      </c>
      <c r="D3524">
        <v>13.33</v>
      </c>
      <c r="E3524">
        <v>-0.16</v>
      </c>
      <c r="F3524">
        <v>13.32</v>
      </c>
      <c r="G3524">
        <v>13.33</v>
      </c>
      <c r="H3524">
        <v>41578</v>
      </c>
      <c r="I3524">
        <v>635</v>
      </c>
      <c r="J3524">
        <v>-0.21</v>
      </c>
      <c r="K3524">
        <v>7.24</v>
      </c>
      <c r="L3524">
        <v>13.43</v>
      </c>
      <c r="M3524">
        <v>13.68</v>
      </c>
      <c r="N3524">
        <v>13.25</v>
      </c>
      <c r="O3524">
        <v>13.49</v>
      </c>
      <c r="P3524">
        <v>20.21</v>
      </c>
      <c r="Q3524">
        <v>55964120</v>
      </c>
      <c r="R3524">
        <v>1.72</v>
      </c>
      <c r="S3524" t="s">
        <v>397</v>
      </c>
      <c r="T3524" t="s">
        <v>590</v>
      </c>
      <c r="U3524">
        <v>3.19</v>
      </c>
      <c r="V3524">
        <v>13.46</v>
      </c>
      <c r="W3524">
        <v>23059</v>
      </c>
      <c r="X3524">
        <v>18519</v>
      </c>
      <c r="Y3524">
        <v>1.25</v>
      </c>
      <c r="Z3524">
        <v>77</v>
      </c>
      <c r="AA3524">
        <v>3</v>
      </c>
      <c r="AB3524" t="s">
        <v>116</v>
      </c>
      <c r="AC3524">
        <v>1082500</v>
      </c>
      <c r="AD3524">
        <v>0.19</v>
      </c>
      <c r="AE3524" t="s">
        <v>116</v>
      </c>
      <c r="AF3524" t="s">
        <v>116</v>
      </c>
      <c r="AG3524">
        <v>0.56999999999999995</v>
      </c>
      <c r="AH3524" t="s">
        <v>10384</v>
      </c>
      <c r="AI3524" t="s">
        <v>7977</v>
      </c>
      <c r="AJ3524">
        <v>-1.1100000000000001</v>
      </c>
      <c r="AK3524">
        <v>1650</v>
      </c>
      <c r="AL3524">
        <v>25</v>
      </c>
      <c r="AM3524">
        <v>4.4000000000000003E-3</v>
      </c>
      <c r="AN3524">
        <v>-1</v>
      </c>
      <c r="AO3524">
        <v>5.88</v>
      </c>
      <c r="AP3524">
        <v>12.49</v>
      </c>
      <c r="AQ3524">
        <v>9.8000000000000007</v>
      </c>
      <c r="AR3524">
        <v>23.25</v>
      </c>
      <c r="AS3524">
        <v>9.84</v>
      </c>
      <c r="AT3524" t="s">
        <v>7157</v>
      </c>
      <c r="AU3524">
        <v>19.100000000000001</v>
      </c>
      <c r="AV3524">
        <v>21.55</v>
      </c>
      <c r="AW3524">
        <v>1.53</v>
      </c>
      <c r="BA3524">
        <v>-0.44</v>
      </c>
      <c r="BB3524">
        <v>1.41</v>
      </c>
      <c r="BC3524">
        <v>-1.78</v>
      </c>
      <c r="BD3524">
        <v>-0.22</v>
      </c>
      <c r="BE3524">
        <v>-0.74</v>
      </c>
      <c r="BF3524">
        <v>-2.56</v>
      </c>
      <c r="BG3524">
        <v>0.6</v>
      </c>
      <c r="BH3524">
        <v>-0.96</v>
      </c>
      <c r="BI3524">
        <v>20191028</v>
      </c>
      <c r="BJ3524">
        <v>20171127</v>
      </c>
      <c r="BK3524">
        <v>1.69</v>
      </c>
      <c r="BL3524" t="s">
        <v>116</v>
      </c>
      <c r="BM3524" t="s">
        <v>116</v>
      </c>
      <c r="BN3524">
        <v>14.74</v>
      </c>
      <c r="BO3524">
        <v>10.24</v>
      </c>
      <c r="BP3524">
        <v>0.35</v>
      </c>
      <c r="BQ3524">
        <v>28.14</v>
      </c>
      <c r="BR3524">
        <v>9.3699999999999992</v>
      </c>
      <c r="BS3524">
        <v>3.14</v>
      </c>
      <c r="BT3524">
        <v>0.62</v>
      </c>
      <c r="BU3524">
        <v>3.29</v>
      </c>
      <c r="BV3524">
        <v>1.79</v>
      </c>
      <c r="BW3524">
        <v>2.4700000000000002</v>
      </c>
      <c r="BX3524">
        <v>5.23</v>
      </c>
      <c r="BY3524">
        <v>8.1300000000000008</v>
      </c>
      <c r="BZ3524">
        <v>6.2</v>
      </c>
      <c r="CA3524">
        <v>1.05</v>
      </c>
      <c r="CB3524">
        <v>0.02</v>
      </c>
      <c r="CC3524">
        <v>1.07</v>
      </c>
      <c r="CD3524">
        <v>0.92</v>
      </c>
      <c r="CE3524">
        <v>0.84</v>
      </c>
      <c r="CF3524">
        <v>0.79</v>
      </c>
      <c r="CG3524">
        <v>3.01</v>
      </c>
      <c r="CH3524">
        <v>0.21</v>
      </c>
      <c r="CI3524">
        <v>0.56000000000000005</v>
      </c>
      <c r="CJ3524">
        <v>9920</v>
      </c>
      <c r="CK3524">
        <v>4259</v>
      </c>
      <c r="CL3524" t="s">
        <v>6080</v>
      </c>
      <c r="CM3524">
        <v>19.07</v>
      </c>
      <c r="CN3524">
        <v>32.04</v>
      </c>
      <c r="CO3524">
        <v>2.2000000000000002</v>
      </c>
      <c r="CP3524">
        <v>105.2</v>
      </c>
      <c r="CQ3524">
        <v>2.77</v>
      </c>
      <c r="CR3524">
        <v>1.44</v>
      </c>
      <c r="CS3524" t="s">
        <v>9678</v>
      </c>
      <c r="CT3524">
        <v>6.06</v>
      </c>
      <c r="CU3524">
        <v>0</v>
      </c>
      <c r="CV3524">
        <v>3.09</v>
      </c>
      <c r="CW3524">
        <v>1.78</v>
      </c>
      <c r="CX3524">
        <v>0.13</v>
      </c>
      <c r="CY3524">
        <v>69.459999999999994</v>
      </c>
      <c r="CZ3524" t="s">
        <v>14751</v>
      </c>
      <c r="DA3524">
        <v>23.76</v>
      </c>
      <c r="DB3524">
        <v>12.96</v>
      </c>
      <c r="DC3524">
        <v>10.28</v>
      </c>
      <c r="DD3524">
        <v>0.36</v>
      </c>
      <c r="DE3524">
        <v>1291</v>
      </c>
      <c r="DF3524">
        <v>603685</v>
      </c>
      <c r="DG3524" t="s">
        <v>116</v>
      </c>
      <c r="DH3524" t="s">
        <v>116</v>
      </c>
      <c r="DI3524" t="s">
        <v>116</v>
      </c>
    </row>
    <row r="3525" spans="1:113" x14ac:dyDescent="0.4">
      <c r="A3525" t="str">
        <f>"603686"</f>
        <v>603686</v>
      </c>
      <c r="B3525" t="s">
        <v>14752</v>
      </c>
      <c r="C3525">
        <v>-1.27</v>
      </c>
      <c r="D3525">
        <v>10.88</v>
      </c>
      <c r="E3525">
        <v>-0.14000000000000001</v>
      </c>
      <c r="F3525">
        <v>10.87</v>
      </c>
      <c r="G3525">
        <v>10.88</v>
      </c>
      <c r="H3525">
        <v>85125</v>
      </c>
      <c r="I3525">
        <v>1019</v>
      </c>
      <c r="J3525">
        <v>0.09</v>
      </c>
      <c r="K3525">
        <v>2.0499999999999998</v>
      </c>
      <c r="L3525">
        <v>11.04</v>
      </c>
      <c r="M3525">
        <v>11.08</v>
      </c>
      <c r="N3525">
        <v>10.82</v>
      </c>
      <c r="O3525">
        <v>11.02</v>
      </c>
      <c r="P3525">
        <v>17.02</v>
      </c>
      <c r="Q3525">
        <v>92909944</v>
      </c>
      <c r="R3525">
        <v>0.66</v>
      </c>
      <c r="S3525" t="s">
        <v>140</v>
      </c>
      <c r="T3525" t="s">
        <v>975</v>
      </c>
      <c r="U3525">
        <v>2.36</v>
      </c>
      <c r="V3525">
        <v>10.91</v>
      </c>
      <c r="W3525">
        <v>57642</v>
      </c>
      <c r="X3525">
        <v>27483</v>
      </c>
      <c r="Y3525">
        <v>2.1</v>
      </c>
      <c r="Z3525">
        <v>38</v>
      </c>
      <c r="AA3525">
        <v>1445</v>
      </c>
      <c r="AB3525" t="s">
        <v>116</v>
      </c>
      <c r="AC3525">
        <v>247300</v>
      </c>
      <c r="AD3525">
        <v>0.01</v>
      </c>
      <c r="AE3525" t="s">
        <v>116</v>
      </c>
      <c r="AF3525" t="s">
        <v>116</v>
      </c>
      <c r="AG3525">
        <v>4.16</v>
      </c>
      <c r="AH3525" t="s">
        <v>13219</v>
      </c>
      <c r="AI3525" t="s">
        <v>13219</v>
      </c>
      <c r="AJ3525">
        <v>-1.19</v>
      </c>
      <c r="AK3525">
        <v>2361</v>
      </c>
      <c r="AL3525">
        <v>36</v>
      </c>
      <c r="AM3525">
        <v>8.9999999999999998E-4</v>
      </c>
      <c r="AN3525">
        <v>-2</v>
      </c>
      <c r="AO3525">
        <v>0.46</v>
      </c>
      <c r="AP3525">
        <v>1.97</v>
      </c>
      <c r="AQ3525">
        <v>-6.13</v>
      </c>
      <c r="AR3525">
        <v>43.77</v>
      </c>
      <c r="AS3525">
        <v>2.57</v>
      </c>
      <c r="AT3525" t="s">
        <v>1352</v>
      </c>
      <c r="AU3525">
        <v>19.12</v>
      </c>
      <c r="AV3525">
        <v>19.14</v>
      </c>
      <c r="AW3525">
        <v>0.82</v>
      </c>
      <c r="BA3525">
        <v>0.18</v>
      </c>
      <c r="BB3525">
        <v>0.54</v>
      </c>
      <c r="BC3525">
        <v>-1.81</v>
      </c>
      <c r="BD3525">
        <v>-0.96</v>
      </c>
      <c r="BE3525">
        <v>-1.45</v>
      </c>
      <c r="BF3525">
        <v>-1.81</v>
      </c>
      <c r="BG3525">
        <v>0.55000000000000004</v>
      </c>
      <c r="BH3525">
        <v>-0.31</v>
      </c>
      <c r="BI3525">
        <v>20191202</v>
      </c>
      <c r="BJ3525">
        <v>20150126</v>
      </c>
      <c r="BK3525">
        <v>4.16</v>
      </c>
      <c r="BL3525" t="s">
        <v>116</v>
      </c>
      <c r="BM3525" t="s">
        <v>116</v>
      </c>
      <c r="BN3525">
        <v>42.76</v>
      </c>
      <c r="BO3525">
        <v>24.29</v>
      </c>
      <c r="BP3525">
        <v>1.33</v>
      </c>
      <c r="BQ3525">
        <v>40.07</v>
      </c>
      <c r="BR3525">
        <v>31.54</v>
      </c>
      <c r="BS3525">
        <v>6.94</v>
      </c>
      <c r="BT3525">
        <v>0.24</v>
      </c>
      <c r="BU3525">
        <v>16.760000000000002</v>
      </c>
      <c r="BV3525">
        <v>5.58</v>
      </c>
      <c r="BW3525">
        <v>18.8</v>
      </c>
      <c r="BX3525">
        <v>8.83</v>
      </c>
      <c r="BY3525">
        <v>30.24</v>
      </c>
      <c r="BZ3525">
        <v>22.59</v>
      </c>
      <c r="CA3525">
        <v>2.65</v>
      </c>
      <c r="CB3525">
        <v>0.08</v>
      </c>
      <c r="CC3525">
        <v>2.63</v>
      </c>
      <c r="CD3525">
        <v>2.16</v>
      </c>
      <c r="CE3525">
        <v>1.99</v>
      </c>
      <c r="CF3525">
        <v>1.8</v>
      </c>
      <c r="CG3525">
        <v>9.84</v>
      </c>
      <c r="CH3525">
        <v>-3.27</v>
      </c>
      <c r="CI3525">
        <v>-3.16</v>
      </c>
      <c r="CJ3525">
        <v>33622</v>
      </c>
      <c r="CK3525">
        <v>9863</v>
      </c>
      <c r="CL3525" t="s">
        <v>136</v>
      </c>
      <c r="CM3525">
        <v>0.11</v>
      </c>
      <c r="CN3525">
        <v>21.74</v>
      </c>
      <c r="CO3525">
        <v>1.86</v>
      </c>
      <c r="CP3525">
        <v>-13.85</v>
      </c>
      <c r="CQ3525">
        <v>1.5</v>
      </c>
      <c r="CR3525">
        <v>1.74</v>
      </c>
      <c r="CS3525" t="s">
        <v>13111</v>
      </c>
      <c r="CT3525">
        <v>5.84</v>
      </c>
      <c r="CU3525">
        <v>0</v>
      </c>
      <c r="CV3525">
        <v>2.12</v>
      </c>
      <c r="CW3525">
        <v>2.37</v>
      </c>
      <c r="CX3525">
        <v>-0.79</v>
      </c>
      <c r="CY3525">
        <v>56.81</v>
      </c>
      <c r="CZ3525" t="s">
        <v>122</v>
      </c>
      <c r="DA3525">
        <v>25.29</v>
      </c>
      <c r="DB3525">
        <v>8.76</v>
      </c>
      <c r="DC3525">
        <v>6.59</v>
      </c>
      <c r="DD3525">
        <v>0.43</v>
      </c>
      <c r="DE3525">
        <v>20591</v>
      </c>
      <c r="DF3525">
        <v>603686</v>
      </c>
      <c r="DG3525" t="s">
        <v>116</v>
      </c>
      <c r="DH3525" t="s">
        <v>116</v>
      </c>
      <c r="DI3525" t="s">
        <v>116</v>
      </c>
    </row>
    <row r="3526" spans="1:113" x14ac:dyDescent="0.4">
      <c r="A3526" t="str">
        <f>"603687"</f>
        <v>603687</v>
      </c>
      <c r="B3526" t="s">
        <v>14753</v>
      </c>
      <c r="C3526">
        <v>-4.6900000000000004</v>
      </c>
      <c r="D3526">
        <v>15.45</v>
      </c>
      <c r="E3526">
        <v>-0.76</v>
      </c>
      <c r="F3526">
        <v>15.44</v>
      </c>
      <c r="G3526">
        <v>15.45</v>
      </c>
      <c r="H3526">
        <v>71033</v>
      </c>
      <c r="I3526">
        <v>2315</v>
      </c>
      <c r="J3526">
        <v>-1.08</v>
      </c>
      <c r="K3526">
        <v>14.21</v>
      </c>
      <c r="L3526">
        <v>16.25</v>
      </c>
      <c r="M3526">
        <v>16.28</v>
      </c>
      <c r="N3526">
        <v>15.44</v>
      </c>
      <c r="O3526">
        <v>16.21</v>
      </c>
      <c r="P3526">
        <v>54.02</v>
      </c>
      <c r="Q3526">
        <v>112882408</v>
      </c>
      <c r="R3526">
        <v>0.67</v>
      </c>
      <c r="S3526" t="s">
        <v>345</v>
      </c>
      <c r="T3526" t="s">
        <v>590</v>
      </c>
      <c r="U3526">
        <v>5.18</v>
      </c>
      <c r="V3526">
        <v>15.89</v>
      </c>
      <c r="W3526">
        <v>47269</v>
      </c>
      <c r="X3526">
        <v>23764</v>
      </c>
      <c r="Y3526">
        <v>1.99</v>
      </c>
      <c r="Z3526">
        <v>352</v>
      </c>
      <c r="AA3526">
        <v>51</v>
      </c>
      <c r="AB3526" t="s">
        <v>116</v>
      </c>
      <c r="AC3526">
        <v>510300</v>
      </c>
      <c r="AD3526">
        <v>0.06</v>
      </c>
      <c r="AE3526" t="s">
        <v>116</v>
      </c>
      <c r="AF3526" t="s">
        <v>116</v>
      </c>
      <c r="AG3526">
        <v>0.5</v>
      </c>
      <c r="AH3526" t="s">
        <v>13888</v>
      </c>
      <c r="AI3526" t="s">
        <v>14754</v>
      </c>
      <c r="AJ3526">
        <v>-4.6100000000000003</v>
      </c>
      <c r="AK3526">
        <v>2469</v>
      </c>
      <c r="AL3526">
        <v>29</v>
      </c>
      <c r="AM3526">
        <v>5.7999999999999996E-3</v>
      </c>
      <c r="AN3526">
        <v>-1</v>
      </c>
      <c r="AO3526">
        <v>-7.54</v>
      </c>
      <c r="AP3526">
        <v>3.83</v>
      </c>
      <c r="AQ3526">
        <v>-10.59</v>
      </c>
      <c r="AR3526">
        <v>110.2</v>
      </c>
      <c r="AS3526">
        <v>14.21</v>
      </c>
      <c r="AT3526" t="s">
        <v>13888</v>
      </c>
      <c r="AU3526">
        <v>46.78</v>
      </c>
      <c r="AV3526">
        <v>44.91</v>
      </c>
      <c r="AW3526">
        <v>1</v>
      </c>
      <c r="BA3526">
        <v>0.25</v>
      </c>
      <c r="BB3526">
        <v>0.43</v>
      </c>
      <c r="BC3526">
        <v>-4.75</v>
      </c>
      <c r="BD3526">
        <v>-1.96</v>
      </c>
      <c r="BE3526">
        <v>-4.92</v>
      </c>
      <c r="BF3526">
        <v>-5.0999999999999996</v>
      </c>
      <c r="BG3526">
        <v>0.06</v>
      </c>
      <c r="BH3526">
        <v>-2.72</v>
      </c>
      <c r="BI3526">
        <v>20191121</v>
      </c>
      <c r="BJ3526">
        <v>20190726</v>
      </c>
      <c r="BK3526">
        <v>4.1100000000000003</v>
      </c>
      <c r="BL3526" t="s">
        <v>116</v>
      </c>
      <c r="BM3526" t="s">
        <v>116</v>
      </c>
      <c r="BN3526">
        <v>20.96</v>
      </c>
      <c r="BO3526">
        <v>14.28</v>
      </c>
      <c r="BP3526">
        <v>0.26</v>
      </c>
      <c r="BQ3526">
        <v>30.61</v>
      </c>
      <c r="BR3526">
        <v>8.4600000000000009</v>
      </c>
      <c r="BS3526">
        <v>7.45</v>
      </c>
      <c r="BT3526">
        <v>2.9</v>
      </c>
      <c r="BU3526">
        <v>4.5</v>
      </c>
      <c r="BV3526">
        <v>1.52</v>
      </c>
      <c r="BW3526">
        <v>2.76</v>
      </c>
      <c r="BX3526">
        <v>6.61</v>
      </c>
      <c r="BY3526">
        <v>9.1999999999999993</v>
      </c>
      <c r="BZ3526">
        <v>7.4</v>
      </c>
      <c r="CA3526">
        <v>0.96</v>
      </c>
      <c r="CB3526">
        <v>0.13</v>
      </c>
      <c r="CC3526">
        <v>0.96</v>
      </c>
      <c r="CD3526">
        <v>0.85</v>
      </c>
      <c r="CE3526">
        <v>0.88</v>
      </c>
      <c r="CF3526">
        <v>0.72</v>
      </c>
      <c r="CG3526">
        <v>3.39</v>
      </c>
      <c r="CH3526">
        <v>1.1299999999999999</v>
      </c>
      <c r="CI3526">
        <v>1.46</v>
      </c>
      <c r="CJ3526">
        <v>20439</v>
      </c>
      <c r="CK3526">
        <v>2446</v>
      </c>
      <c r="CL3526" t="s">
        <v>3392</v>
      </c>
      <c r="CM3526">
        <v>0</v>
      </c>
      <c r="CN3526">
        <v>0</v>
      </c>
      <c r="CO3526">
        <v>4.4400000000000004</v>
      </c>
      <c r="CP3526">
        <v>56.27</v>
      </c>
      <c r="CQ3526">
        <v>6.9</v>
      </c>
      <c r="CR3526">
        <v>0</v>
      </c>
      <c r="CS3526" t="s">
        <v>5764</v>
      </c>
      <c r="CT3526">
        <v>3.48</v>
      </c>
      <c r="CU3526">
        <v>0</v>
      </c>
      <c r="CV3526">
        <v>1.61</v>
      </c>
      <c r="CW3526">
        <v>0.83</v>
      </c>
      <c r="CX3526">
        <v>0.27</v>
      </c>
      <c r="CY3526">
        <v>68.14</v>
      </c>
      <c r="CZ3526" t="s">
        <v>3705</v>
      </c>
      <c r="DA3526">
        <v>19.59</v>
      </c>
      <c r="DB3526">
        <v>10.43</v>
      </c>
      <c r="DC3526">
        <v>9.58</v>
      </c>
      <c r="DD3526">
        <v>0.34</v>
      </c>
      <c r="DE3526">
        <v>1818</v>
      </c>
      <c r="DF3526">
        <v>603687</v>
      </c>
      <c r="DG3526" t="s">
        <v>116</v>
      </c>
      <c r="DH3526" t="s">
        <v>116</v>
      </c>
      <c r="DI3526" t="s">
        <v>116</v>
      </c>
    </row>
    <row r="3527" spans="1:113" x14ac:dyDescent="0.4">
      <c r="A3527" t="str">
        <f>"603688"</f>
        <v>603688</v>
      </c>
      <c r="B3527" t="s">
        <v>14755</v>
      </c>
      <c r="C3527">
        <v>6.46</v>
      </c>
      <c r="D3527">
        <v>18.29</v>
      </c>
      <c r="E3527">
        <v>1.1100000000000001</v>
      </c>
      <c r="F3527">
        <v>18.23</v>
      </c>
      <c r="G3527">
        <v>18.29</v>
      </c>
      <c r="H3527">
        <v>144380</v>
      </c>
      <c r="I3527">
        <v>1033</v>
      </c>
      <c r="J3527">
        <v>0.22</v>
      </c>
      <c r="K3527">
        <v>4.28</v>
      </c>
      <c r="L3527">
        <v>17.190000000000001</v>
      </c>
      <c r="M3527">
        <v>18.48</v>
      </c>
      <c r="N3527">
        <v>16.8</v>
      </c>
      <c r="O3527">
        <v>17.18</v>
      </c>
      <c r="P3527">
        <v>40.729999999999997</v>
      </c>
      <c r="Q3527">
        <v>256193120</v>
      </c>
      <c r="R3527">
        <v>2.7</v>
      </c>
      <c r="S3527" t="s">
        <v>933</v>
      </c>
      <c r="T3527" t="s">
        <v>323</v>
      </c>
      <c r="U3527">
        <v>9.7799999999999994</v>
      </c>
      <c r="V3527">
        <v>17.739999999999998</v>
      </c>
      <c r="W3527">
        <v>71833</v>
      </c>
      <c r="X3527">
        <v>72547</v>
      </c>
      <c r="Y3527">
        <v>0.99</v>
      </c>
      <c r="Z3527">
        <v>1</v>
      </c>
      <c r="AA3527">
        <v>527</v>
      </c>
      <c r="AB3527" t="s">
        <v>116</v>
      </c>
      <c r="AC3527">
        <v>128900</v>
      </c>
      <c r="AD3527">
        <v>0.01</v>
      </c>
      <c r="AE3527" t="s">
        <v>116</v>
      </c>
      <c r="AF3527" t="s">
        <v>116</v>
      </c>
      <c r="AG3527">
        <v>3.37</v>
      </c>
      <c r="AH3527" t="s">
        <v>3737</v>
      </c>
      <c r="AI3527" t="s">
        <v>3737</v>
      </c>
      <c r="AJ3527">
        <v>6.54</v>
      </c>
      <c r="AK3527">
        <v>2699</v>
      </c>
      <c r="AL3527">
        <v>53</v>
      </c>
      <c r="AM3527">
        <v>1.6000000000000001E-3</v>
      </c>
      <c r="AN3527">
        <v>1</v>
      </c>
      <c r="AO3527">
        <v>9.26</v>
      </c>
      <c r="AP3527">
        <v>18.690000000000001</v>
      </c>
      <c r="AQ3527">
        <v>15.39</v>
      </c>
      <c r="AR3527">
        <v>68.260000000000005</v>
      </c>
      <c r="AS3527">
        <v>12.6</v>
      </c>
      <c r="AT3527" t="s">
        <v>2560</v>
      </c>
      <c r="AU3527">
        <v>40.24</v>
      </c>
      <c r="AV3527">
        <v>43.34</v>
      </c>
      <c r="AW3527">
        <v>1</v>
      </c>
      <c r="BA3527">
        <v>0.06</v>
      </c>
      <c r="BB3527">
        <v>7.57</v>
      </c>
      <c r="BC3527">
        <v>-2.21</v>
      </c>
      <c r="BD3527">
        <v>3.28</v>
      </c>
      <c r="BE3527">
        <v>6.4</v>
      </c>
      <c r="BF3527">
        <v>-1.03</v>
      </c>
      <c r="BG3527">
        <v>8.8699999999999992</v>
      </c>
      <c r="BH3527">
        <v>3.18</v>
      </c>
      <c r="BI3527">
        <v>20191031</v>
      </c>
      <c r="BJ3527">
        <v>20141031</v>
      </c>
      <c r="BK3527">
        <v>3.37</v>
      </c>
      <c r="BL3527" t="s">
        <v>116</v>
      </c>
      <c r="BM3527" t="s">
        <v>116</v>
      </c>
      <c r="BN3527">
        <v>15.33</v>
      </c>
      <c r="BO3527">
        <v>14.32</v>
      </c>
      <c r="BP3527">
        <v>0</v>
      </c>
      <c r="BQ3527">
        <v>6.62</v>
      </c>
      <c r="BR3527">
        <v>7.86</v>
      </c>
      <c r="BS3527">
        <v>4.58</v>
      </c>
      <c r="BT3527">
        <v>0.49</v>
      </c>
      <c r="BU3527">
        <v>0.8</v>
      </c>
      <c r="BV3527">
        <v>2.19</v>
      </c>
      <c r="BW3527">
        <v>1.62</v>
      </c>
      <c r="BX3527">
        <v>4.71</v>
      </c>
      <c r="BY3527">
        <v>4.63</v>
      </c>
      <c r="BZ3527">
        <v>2.61</v>
      </c>
      <c r="CA3527">
        <v>1.27</v>
      </c>
      <c r="CB3527">
        <v>0.08</v>
      </c>
      <c r="CC3527">
        <v>1.33</v>
      </c>
      <c r="CD3527">
        <v>1.1399999999999999</v>
      </c>
      <c r="CE3527">
        <v>1.1399999999999999</v>
      </c>
      <c r="CF3527">
        <v>1.06</v>
      </c>
      <c r="CG3527">
        <v>5.94</v>
      </c>
      <c r="CH3527">
        <v>0.38</v>
      </c>
      <c r="CI3527">
        <v>0.38</v>
      </c>
      <c r="CJ3527">
        <v>11977</v>
      </c>
      <c r="CK3527">
        <v>9569</v>
      </c>
      <c r="CL3527" t="s">
        <v>14756</v>
      </c>
      <c r="CM3527">
        <v>10.67</v>
      </c>
      <c r="CN3527">
        <v>1.63</v>
      </c>
      <c r="CO3527">
        <v>4.3099999999999996</v>
      </c>
      <c r="CP3527">
        <v>160.61000000000001</v>
      </c>
      <c r="CQ3527">
        <v>13.32</v>
      </c>
      <c r="CR3527">
        <v>0.7</v>
      </c>
      <c r="CS3527" t="s">
        <v>6113</v>
      </c>
      <c r="CT3527">
        <v>4.24</v>
      </c>
      <c r="CU3527">
        <v>0</v>
      </c>
      <c r="CV3527">
        <v>1.4</v>
      </c>
      <c r="CW3527">
        <v>1.76</v>
      </c>
      <c r="CX3527">
        <v>0.11</v>
      </c>
      <c r="CY3527">
        <v>93.38</v>
      </c>
      <c r="CZ3527" t="s">
        <v>9114</v>
      </c>
      <c r="DA3527">
        <v>43.75</v>
      </c>
      <c r="DB3527">
        <v>27.44</v>
      </c>
      <c r="DC3527">
        <v>24.52</v>
      </c>
      <c r="DD3527">
        <v>0.2</v>
      </c>
      <c r="DE3527">
        <v>1135</v>
      </c>
      <c r="DF3527">
        <v>603688</v>
      </c>
      <c r="DG3527" t="s">
        <v>116</v>
      </c>
      <c r="DH3527" t="s">
        <v>116</v>
      </c>
      <c r="DI3527" t="s">
        <v>116</v>
      </c>
    </row>
    <row r="3528" spans="1:113" x14ac:dyDescent="0.4">
      <c r="A3528" t="str">
        <f>"603689"</f>
        <v>603689</v>
      </c>
      <c r="B3528" t="s">
        <v>14757</v>
      </c>
      <c r="C3528">
        <v>-0.09</v>
      </c>
      <c r="D3528">
        <v>10.98</v>
      </c>
      <c r="E3528">
        <v>-0.01</v>
      </c>
      <c r="F3528">
        <v>10.98</v>
      </c>
      <c r="G3528">
        <v>10.99</v>
      </c>
      <c r="H3528">
        <v>27709</v>
      </c>
      <c r="I3528">
        <v>142</v>
      </c>
      <c r="J3528">
        <v>0</v>
      </c>
      <c r="K3528">
        <v>1.66</v>
      </c>
      <c r="L3528">
        <v>10.99</v>
      </c>
      <c r="M3528">
        <v>11.13</v>
      </c>
      <c r="N3528">
        <v>10.96</v>
      </c>
      <c r="O3528">
        <v>10.99</v>
      </c>
      <c r="P3528">
        <v>16.78</v>
      </c>
      <c r="Q3528">
        <v>30594112</v>
      </c>
      <c r="R3528">
        <v>1.08</v>
      </c>
      <c r="S3528" t="s">
        <v>690</v>
      </c>
      <c r="T3528" t="s">
        <v>575</v>
      </c>
      <c r="U3528">
        <v>1.55</v>
      </c>
      <c r="V3528">
        <v>11.04</v>
      </c>
      <c r="W3528">
        <v>12397</v>
      </c>
      <c r="X3528">
        <v>15312</v>
      </c>
      <c r="Y3528">
        <v>0.81</v>
      </c>
      <c r="Z3528">
        <v>94</v>
      </c>
      <c r="AA3528">
        <v>172</v>
      </c>
      <c r="AB3528" t="s">
        <v>116</v>
      </c>
      <c r="AC3528">
        <v>141800</v>
      </c>
      <c r="AD3528">
        <v>0.01</v>
      </c>
      <c r="AE3528" t="s">
        <v>116</v>
      </c>
      <c r="AF3528" t="s">
        <v>116</v>
      </c>
      <c r="AG3528">
        <v>1.67</v>
      </c>
      <c r="AH3528" t="s">
        <v>7867</v>
      </c>
      <c r="AI3528" t="s">
        <v>4305</v>
      </c>
      <c r="AJ3528">
        <v>-0.01</v>
      </c>
      <c r="AK3528">
        <v>902</v>
      </c>
      <c r="AL3528">
        <v>31</v>
      </c>
      <c r="AM3528">
        <v>1.8E-3</v>
      </c>
      <c r="AN3528">
        <v>-3</v>
      </c>
      <c r="AO3528">
        <v>-0.9</v>
      </c>
      <c r="AP3528">
        <v>0.37</v>
      </c>
      <c r="AQ3528">
        <v>1.2</v>
      </c>
      <c r="AR3528">
        <v>5.37</v>
      </c>
      <c r="AS3528">
        <v>2.82</v>
      </c>
      <c r="AT3528" t="s">
        <v>3461</v>
      </c>
      <c r="AU3528">
        <v>16.96</v>
      </c>
      <c r="AV3528">
        <v>20.92</v>
      </c>
      <c r="AW3528">
        <v>1.0900000000000001</v>
      </c>
      <c r="BA3528">
        <v>0</v>
      </c>
      <c r="BB3528">
        <v>1.27</v>
      </c>
      <c r="BC3528">
        <v>-0.27</v>
      </c>
      <c r="BD3528">
        <v>0.47</v>
      </c>
      <c r="BE3528">
        <v>-0.09</v>
      </c>
      <c r="BF3528">
        <v>-1.35</v>
      </c>
      <c r="BG3528">
        <v>0.18</v>
      </c>
      <c r="BH3528">
        <v>-0.56000000000000005</v>
      </c>
      <c r="BI3528">
        <v>20191225</v>
      </c>
      <c r="BJ3528">
        <v>20170110</v>
      </c>
      <c r="BK3528">
        <v>3.36</v>
      </c>
      <c r="BL3528" t="s">
        <v>116</v>
      </c>
      <c r="BM3528" t="s">
        <v>116</v>
      </c>
      <c r="BN3528">
        <v>33.380000000000003</v>
      </c>
      <c r="BO3528">
        <v>21.43</v>
      </c>
      <c r="BP3528">
        <v>2.4</v>
      </c>
      <c r="BQ3528">
        <v>28.62</v>
      </c>
      <c r="BR3528">
        <v>9.07</v>
      </c>
      <c r="BS3528">
        <v>19.21</v>
      </c>
      <c r="BT3528">
        <v>1.63</v>
      </c>
      <c r="BU3528">
        <v>4.4800000000000004</v>
      </c>
      <c r="BV3528">
        <v>0.34</v>
      </c>
      <c r="BW3528">
        <v>0.99</v>
      </c>
      <c r="BX3528">
        <v>9.92</v>
      </c>
      <c r="BY3528">
        <v>28.48</v>
      </c>
      <c r="BZ3528">
        <v>25.49</v>
      </c>
      <c r="CA3528">
        <v>2.21</v>
      </c>
      <c r="CB3528">
        <v>0</v>
      </c>
      <c r="CC3528">
        <v>2.21</v>
      </c>
      <c r="CD3528">
        <v>1.61</v>
      </c>
      <c r="CE3528">
        <v>1.65</v>
      </c>
      <c r="CF3528">
        <v>1.61</v>
      </c>
      <c r="CG3528">
        <v>7.07</v>
      </c>
      <c r="CH3528">
        <v>3.97</v>
      </c>
      <c r="CI3528">
        <v>1.2</v>
      </c>
      <c r="CJ3528">
        <v>21735</v>
      </c>
      <c r="CK3528">
        <v>4514</v>
      </c>
      <c r="CL3528" t="s">
        <v>1463</v>
      </c>
      <c r="CM3528">
        <v>33.25</v>
      </c>
      <c r="CN3528">
        <v>26.56</v>
      </c>
      <c r="CO3528">
        <v>1.72</v>
      </c>
      <c r="CP3528">
        <v>9.2899999999999991</v>
      </c>
      <c r="CQ3528">
        <v>1.3</v>
      </c>
      <c r="CR3528">
        <v>1.46</v>
      </c>
      <c r="CS3528" t="s">
        <v>3577</v>
      </c>
      <c r="CT3528">
        <v>6.38</v>
      </c>
      <c r="CU3528">
        <v>0</v>
      </c>
      <c r="CV3528">
        <v>2.95</v>
      </c>
      <c r="CW3528">
        <v>2.1</v>
      </c>
      <c r="CX3528">
        <v>1.18</v>
      </c>
      <c r="CY3528">
        <v>64.19</v>
      </c>
      <c r="CZ3528" t="s">
        <v>7621</v>
      </c>
      <c r="DA3528">
        <v>10.51</v>
      </c>
      <c r="DB3528">
        <v>7.76</v>
      </c>
      <c r="DC3528">
        <v>5.79</v>
      </c>
      <c r="DD3528">
        <v>0.01</v>
      </c>
      <c r="DE3528">
        <v>832</v>
      </c>
      <c r="DF3528">
        <v>603689</v>
      </c>
      <c r="DG3528" t="s">
        <v>116</v>
      </c>
      <c r="DH3528" t="s">
        <v>116</v>
      </c>
      <c r="DI3528" t="s">
        <v>116</v>
      </c>
    </row>
    <row r="3529" spans="1:113" x14ac:dyDescent="0.4">
      <c r="A3529" t="str">
        <f>"603690"</f>
        <v>603690</v>
      </c>
      <c r="B3529" t="s">
        <v>14758</v>
      </c>
      <c r="C3529">
        <v>-6.94</v>
      </c>
      <c r="D3529">
        <v>32.99</v>
      </c>
      <c r="E3529">
        <v>-2.46</v>
      </c>
      <c r="F3529">
        <v>32.979999999999997</v>
      </c>
      <c r="G3529">
        <v>32.99</v>
      </c>
      <c r="H3529">
        <v>168652</v>
      </c>
      <c r="I3529">
        <v>2679</v>
      </c>
      <c r="J3529">
        <v>-0.56000000000000005</v>
      </c>
      <c r="K3529">
        <v>18.3</v>
      </c>
      <c r="L3529">
        <v>34.549999999999997</v>
      </c>
      <c r="M3529">
        <v>34.99</v>
      </c>
      <c r="N3529">
        <v>32.950000000000003</v>
      </c>
      <c r="O3529">
        <v>35.450000000000003</v>
      </c>
      <c r="P3529">
        <v>85.96</v>
      </c>
      <c r="Q3529">
        <v>573243328</v>
      </c>
      <c r="R3529">
        <v>1.28</v>
      </c>
      <c r="S3529" t="s">
        <v>682</v>
      </c>
      <c r="T3529" t="s">
        <v>1653</v>
      </c>
      <c r="U3529">
        <v>5.75</v>
      </c>
      <c r="V3529">
        <v>33.99</v>
      </c>
      <c r="W3529">
        <v>100386</v>
      </c>
      <c r="X3529">
        <v>68266</v>
      </c>
      <c r="Y3529">
        <v>1.47</v>
      </c>
      <c r="Z3529">
        <v>16</v>
      </c>
      <c r="AA3529">
        <v>302</v>
      </c>
      <c r="AB3529" t="s">
        <v>116</v>
      </c>
      <c r="AC3529">
        <v>13281000</v>
      </c>
      <c r="AD3529">
        <v>0.42</v>
      </c>
      <c r="AE3529" t="s">
        <v>116</v>
      </c>
      <c r="AF3529" t="s">
        <v>116</v>
      </c>
      <c r="AG3529">
        <v>0.92</v>
      </c>
      <c r="AH3529" t="s">
        <v>10781</v>
      </c>
      <c r="AI3529" t="s">
        <v>14759</v>
      </c>
      <c r="AJ3529">
        <v>-6.86</v>
      </c>
      <c r="AK3529">
        <v>4145</v>
      </c>
      <c r="AL3529">
        <v>41</v>
      </c>
      <c r="AM3529">
        <v>4.4000000000000003E-3</v>
      </c>
      <c r="AN3529">
        <v>-1</v>
      </c>
      <c r="AO3529">
        <v>10.37</v>
      </c>
      <c r="AP3529">
        <v>49.95</v>
      </c>
      <c r="AQ3529">
        <v>38.79</v>
      </c>
      <c r="AR3529">
        <v>117.87</v>
      </c>
      <c r="AS3529">
        <v>18.3</v>
      </c>
      <c r="AT3529" t="s">
        <v>10781</v>
      </c>
      <c r="AU3529">
        <v>107.32</v>
      </c>
      <c r="AV3529">
        <v>263.31</v>
      </c>
      <c r="AW3529">
        <v>1.93</v>
      </c>
      <c r="BA3529">
        <v>-2.54</v>
      </c>
      <c r="BB3529">
        <v>-1.3</v>
      </c>
      <c r="BC3529">
        <v>-7.05</v>
      </c>
      <c r="BD3529">
        <v>-4.12</v>
      </c>
      <c r="BE3529">
        <v>-4.5199999999999996</v>
      </c>
      <c r="BF3529">
        <v>-5.72</v>
      </c>
      <c r="BG3529">
        <v>0.12</v>
      </c>
      <c r="BH3529">
        <v>-2.82</v>
      </c>
      <c r="BI3529">
        <v>20191031</v>
      </c>
      <c r="BJ3529">
        <v>20170113</v>
      </c>
      <c r="BK3529">
        <v>2.59</v>
      </c>
      <c r="BL3529" t="s">
        <v>116</v>
      </c>
      <c r="BM3529" t="s">
        <v>116</v>
      </c>
      <c r="BN3529">
        <v>29.93</v>
      </c>
      <c r="BO3529">
        <v>13.6</v>
      </c>
      <c r="BP3529">
        <v>0.09</v>
      </c>
      <c r="BQ3529">
        <v>54.27</v>
      </c>
      <c r="BR3529">
        <v>20.57</v>
      </c>
      <c r="BS3529">
        <v>2.23</v>
      </c>
      <c r="BT3529">
        <v>1.07</v>
      </c>
      <c r="BU3529">
        <v>13.58</v>
      </c>
      <c r="BV3529">
        <v>6.87</v>
      </c>
      <c r="BW3529">
        <v>8.99</v>
      </c>
      <c r="BX3529">
        <v>8.8800000000000008</v>
      </c>
      <c r="BY3529">
        <v>6.12</v>
      </c>
      <c r="BZ3529">
        <v>4.04</v>
      </c>
      <c r="CA3529">
        <v>0.79</v>
      </c>
      <c r="CB3529">
        <v>0</v>
      </c>
      <c r="CC3529">
        <v>0.81</v>
      </c>
      <c r="CD3529">
        <v>0.71</v>
      </c>
      <c r="CE3529">
        <v>0.75</v>
      </c>
      <c r="CF3529">
        <v>0.57999999999999996</v>
      </c>
      <c r="CG3529">
        <v>2.2200000000000002</v>
      </c>
      <c r="CH3529">
        <v>-0.19</v>
      </c>
      <c r="CI3529">
        <v>1.22</v>
      </c>
      <c r="CJ3529">
        <v>15684</v>
      </c>
      <c r="CK3529">
        <v>5877</v>
      </c>
      <c r="CL3529" t="s">
        <v>14760</v>
      </c>
      <c r="CM3529">
        <v>172.23</v>
      </c>
      <c r="CN3529">
        <v>91.15</v>
      </c>
      <c r="CO3529">
        <v>6.28</v>
      </c>
      <c r="CP3529">
        <v>-455.02</v>
      </c>
      <c r="CQ3529">
        <v>13.95</v>
      </c>
      <c r="CR3529">
        <v>0.11</v>
      </c>
      <c r="CS3529" t="s">
        <v>3626</v>
      </c>
      <c r="CT3529">
        <v>5.25</v>
      </c>
      <c r="CU3529">
        <v>0</v>
      </c>
      <c r="CV3529">
        <v>3.43</v>
      </c>
      <c r="CW3529">
        <v>0.86</v>
      </c>
      <c r="CX3529">
        <v>-7.0000000000000007E-2</v>
      </c>
      <c r="CY3529">
        <v>45.45</v>
      </c>
      <c r="CZ3529" t="s">
        <v>13383</v>
      </c>
      <c r="DA3529">
        <v>33.94</v>
      </c>
      <c r="DB3529">
        <v>12.96</v>
      </c>
      <c r="DC3529">
        <v>12.17</v>
      </c>
      <c r="DD3529">
        <v>0.34</v>
      </c>
      <c r="DE3529">
        <v>313</v>
      </c>
      <c r="DF3529">
        <v>603690</v>
      </c>
      <c r="DG3529" t="s">
        <v>116</v>
      </c>
      <c r="DH3529" t="s">
        <v>116</v>
      </c>
      <c r="DI3529" t="s">
        <v>116</v>
      </c>
    </row>
    <row r="3530" spans="1:113" x14ac:dyDescent="0.4">
      <c r="A3530" t="str">
        <f>"603693"</f>
        <v>603693</v>
      </c>
      <c r="B3530" t="s">
        <v>14761</v>
      </c>
      <c r="C3530">
        <v>-0.39</v>
      </c>
      <c r="D3530">
        <v>10.1</v>
      </c>
      <c r="E3530">
        <v>-0.04</v>
      </c>
      <c r="F3530">
        <v>10.09</v>
      </c>
      <c r="G3530">
        <v>10.1</v>
      </c>
      <c r="H3530">
        <v>25958</v>
      </c>
      <c r="I3530">
        <v>449</v>
      </c>
      <c r="J3530">
        <v>-0.19</v>
      </c>
      <c r="K3530">
        <v>1.34</v>
      </c>
      <c r="L3530">
        <v>10.17</v>
      </c>
      <c r="M3530">
        <v>10.28</v>
      </c>
      <c r="N3530">
        <v>10.09</v>
      </c>
      <c r="O3530">
        <v>10.14</v>
      </c>
      <c r="P3530">
        <v>24.4</v>
      </c>
      <c r="Q3530">
        <v>26486852</v>
      </c>
      <c r="R3530">
        <v>1.52</v>
      </c>
      <c r="S3530" t="s">
        <v>361</v>
      </c>
      <c r="T3530" t="s">
        <v>323</v>
      </c>
      <c r="U3530">
        <v>1.87</v>
      </c>
      <c r="V3530">
        <v>10.199999999999999</v>
      </c>
      <c r="W3530">
        <v>13695</v>
      </c>
      <c r="X3530">
        <v>12263</v>
      </c>
      <c r="Y3530">
        <v>1.1200000000000001</v>
      </c>
      <c r="Z3530">
        <v>347</v>
      </c>
      <c r="AA3530">
        <v>57</v>
      </c>
      <c r="AB3530" t="s">
        <v>116</v>
      </c>
      <c r="AC3530">
        <v>40700</v>
      </c>
      <c r="AD3530">
        <v>0</v>
      </c>
      <c r="AE3530" t="s">
        <v>116</v>
      </c>
      <c r="AF3530" t="s">
        <v>116</v>
      </c>
      <c r="AG3530">
        <v>1.93</v>
      </c>
      <c r="AH3530" t="s">
        <v>1175</v>
      </c>
      <c r="AI3530" t="s">
        <v>14592</v>
      </c>
      <c r="AJ3530">
        <v>-0.32</v>
      </c>
      <c r="AK3530">
        <v>795</v>
      </c>
      <c r="AL3530">
        <v>33</v>
      </c>
      <c r="AM3530">
        <v>1.6999999999999999E-3</v>
      </c>
      <c r="AN3530">
        <v>-1</v>
      </c>
      <c r="AO3530">
        <v>-0.09</v>
      </c>
      <c r="AP3530">
        <v>4.55</v>
      </c>
      <c r="AQ3530">
        <v>-5.34</v>
      </c>
      <c r="AR3530">
        <v>-25.68</v>
      </c>
      <c r="AS3530">
        <v>2.2000000000000002</v>
      </c>
      <c r="AT3530" t="s">
        <v>3942</v>
      </c>
      <c r="AU3530">
        <v>28.02</v>
      </c>
      <c r="AV3530">
        <v>19.84</v>
      </c>
      <c r="AW3530">
        <v>1.04</v>
      </c>
      <c r="BA3530">
        <v>0.3</v>
      </c>
      <c r="BB3530">
        <v>1.38</v>
      </c>
      <c r="BC3530">
        <v>-0.49</v>
      </c>
      <c r="BD3530">
        <v>0.63</v>
      </c>
      <c r="BE3530">
        <v>-0.69</v>
      </c>
      <c r="BF3530">
        <v>-1.75</v>
      </c>
      <c r="BG3530">
        <v>0.1</v>
      </c>
      <c r="BH3530">
        <v>-1.02</v>
      </c>
      <c r="BI3530">
        <v>20191030</v>
      </c>
      <c r="BJ3530">
        <v>20180703</v>
      </c>
      <c r="BK3530">
        <v>6.18</v>
      </c>
      <c r="BL3530" t="s">
        <v>116</v>
      </c>
      <c r="BM3530" t="s">
        <v>116</v>
      </c>
      <c r="BN3530">
        <v>82.79</v>
      </c>
      <c r="BO3530">
        <v>45.31</v>
      </c>
      <c r="BP3530">
        <v>4.57</v>
      </c>
      <c r="BQ3530">
        <v>39.75</v>
      </c>
      <c r="BR3530">
        <v>25.01</v>
      </c>
      <c r="BS3530">
        <v>52.24</v>
      </c>
      <c r="BT3530">
        <v>0.61</v>
      </c>
      <c r="BU3530">
        <v>9.51</v>
      </c>
      <c r="BV3530">
        <v>0.45</v>
      </c>
      <c r="BW3530">
        <v>10.1</v>
      </c>
      <c r="BX3530">
        <v>31.5</v>
      </c>
      <c r="BY3530">
        <v>10.8</v>
      </c>
      <c r="BZ3530">
        <v>6.59</v>
      </c>
      <c r="CA3530">
        <v>2.62</v>
      </c>
      <c r="CB3530">
        <v>7.0000000000000007E-2</v>
      </c>
      <c r="CC3530">
        <v>2.62</v>
      </c>
      <c r="CD3530">
        <v>2.2799999999999998</v>
      </c>
      <c r="CE3530">
        <v>1.92</v>
      </c>
      <c r="CF3530">
        <v>1.88</v>
      </c>
      <c r="CG3530">
        <v>6.99</v>
      </c>
      <c r="CH3530">
        <v>3.88</v>
      </c>
      <c r="CI3530">
        <v>-0.45</v>
      </c>
      <c r="CJ3530">
        <v>35225</v>
      </c>
      <c r="CK3530">
        <v>3350</v>
      </c>
      <c r="CL3530" t="s">
        <v>3293</v>
      </c>
      <c r="CM3530">
        <v>-32.369999999999997</v>
      </c>
      <c r="CN3530">
        <v>-3.07</v>
      </c>
      <c r="CO3530">
        <v>1.38</v>
      </c>
      <c r="CP3530">
        <v>16.09</v>
      </c>
      <c r="CQ3530">
        <v>5.78</v>
      </c>
      <c r="CR3530">
        <v>1.98</v>
      </c>
      <c r="CS3530" t="s">
        <v>3626</v>
      </c>
      <c r="CT3530">
        <v>7.33</v>
      </c>
      <c r="CU3530">
        <v>0</v>
      </c>
      <c r="CV3530">
        <v>5.0999999999999996</v>
      </c>
      <c r="CW3530">
        <v>1.1299999999999999</v>
      </c>
      <c r="CX3530">
        <v>0.63</v>
      </c>
      <c r="CY3530">
        <v>54.73</v>
      </c>
      <c r="CZ3530" t="s">
        <v>4832</v>
      </c>
      <c r="DA3530">
        <v>38.97</v>
      </c>
      <c r="DB3530">
        <v>24.25</v>
      </c>
      <c r="DC3530">
        <v>17.760000000000002</v>
      </c>
      <c r="DD3530">
        <v>7.0000000000000007E-2</v>
      </c>
      <c r="DE3530">
        <v>616</v>
      </c>
      <c r="DF3530">
        <v>603693</v>
      </c>
      <c r="DG3530" t="s">
        <v>116</v>
      </c>
      <c r="DH3530" t="s">
        <v>116</v>
      </c>
      <c r="DI3530" t="s">
        <v>116</v>
      </c>
    </row>
    <row r="3531" spans="1:113" x14ac:dyDescent="0.4">
      <c r="A3531" t="str">
        <f>"603696"</f>
        <v>603696</v>
      </c>
      <c r="B3531" t="s">
        <v>14762</v>
      </c>
      <c r="C3531">
        <v>0.12</v>
      </c>
      <c r="D3531">
        <v>8.4600000000000009</v>
      </c>
      <c r="E3531">
        <v>0.01</v>
      </c>
      <c r="F3531">
        <v>8.4600000000000009</v>
      </c>
      <c r="G3531">
        <v>8.4700000000000006</v>
      </c>
      <c r="H3531">
        <v>21474</v>
      </c>
      <c r="I3531">
        <v>95</v>
      </c>
      <c r="J3531">
        <v>0</v>
      </c>
      <c r="K3531">
        <v>0.91</v>
      </c>
      <c r="L3531">
        <v>8.48</v>
      </c>
      <c r="M3531">
        <v>8.6300000000000008</v>
      </c>
      <c r="N3531">
        <v>8.44</v>
      </c>
      <c r="O3531">
        <v>8.4499999999999993</v>
      </c>
      <c r="P3531">
        <v>38.880000000000003</v>
      </c>
      <c r="Q3531">
        <v>18309466</v>
      </c>
      <c r="R3531">
        <v>1.26</v>
      </c>
      <c r="S3531" t="s">
        <v>863</v>
      </c>
      <c r="T3531" t="s">
        <v>975</v>
      </c>
      <c r="U3531">
        <v>2.25</v>
      </c>
      <c r="V3531">
        <v>8.5299999999999994</v>
      </c>
      <c r="W3531">
        <v>9833</v>
      </c>
      <c r="X3531">
        <v>11641</v>
      </c>
      <c r="Y3531">
        <v>0.84</v>
      </c>
      <c r="Z3531">
        <v>60</v>
      </c>
      <c r="AA3531">
        <v>8</v>
      </c>
      <c r="AB3531" t="s">
        <v>116</v>
      </c>
      <c r="AC3531">
        <v>22000</v>
      </c>
      <c r="AD3531">
        <v>0</v>
      </c>
      <c r="AE3531" t="s">
        <v>116</v>
      </c>
      <c r="AF3531" t="s">
        <v>116</v>
      </c>
      <c r="AG3531">
        <v>2.35</v>
      </c>
      <c r="AH3531" t="s">
        <v>14763</v>
      </c>
      <c r="AI3531" t="s">
        <v>14763</v>
      </c>
      <c r="AJ3531">
        <v>0.2</v>
      </c>
      <c r="AK3531">
        <v>1010</v>
      </c>
      <c r="AL3531">
        <v>21</v>
      </c>
      <c r="AM3531">
        <v>8.9999999999999998E-4</v>
      </c>
      <c r="AN3531">
        <v>2</v>
      </c>
      <c r="AO3531">
        <v>-0.82</v>
      </c>
      <c r="AP3531">
        <v>0.48</v>
      </c>
      <c r="AQ3531">
        <v>-10.1</v>
      </c>
      <c r="AR3531">
        <v>30.23</v>
      </c>
      <c r="AS3531">
        <v>3.07</v>
      </c>
      <c r="AT3531" t="s">
        <v>9980</v>
      </c>
      <c r="AU3531">
        <v>42.05</v>
      </c>
      <c r="AV3531">
        <v>50.4</v>
      </c>
      <c r="AW3531">
        <v>1.44</v>
      </c>
      <c r="BA3531">
        <v>0.36</v>
      </c>
      <c r="BB3531">
        <v>2.13</v>
      </c>
      <c r="BC3531">
        <v>-0.12</v>
      </c>
      <c r="BD3531">
        <v>0.91</v>
      </c>
      <c r="BE3531">
        <v>-0.24</v>
      </c>
      <c r="BF3531">
        <v>-1.97</v>
      </c>
      <c r="BG3531">
        <v>0.24</v>
      </c>
      <c r="BH3531">
        <v>-0.79</v>
      </c>
      <c r="BI3531">
        <v>20191031</v>
      </c>
      <c r="BJ3531">
        <v>20151209</v>
      </c>
      <c r="BK3531">
        <v>2.35</v>
      </c>
      <c r="BL3531" t="s">
        <v>116</v>
      </c>
      <c r="BM3531" t="s">
        <v>116</v>
      </c>
      <c r="BN3531">
        <v>6.14</v>
      </c>
      <c r="BO3531">
        <v>5.88</v>
      </c>
      <c r="BP3531">
        <v>0</v>
      </c>
      <c r="BQ3531">
        <v>4.3099999999999996</v>
      </c>
      <c r="BR3531">
        <v>3.58</v>
      </c>
      <c r="BS3531">
        <v>0.65</v>
      </c>
      <c r="BT3531">
        <v>0.39</v>
      </c>
      <c r="BU3531">
        <v>0.26</v>
      </c>
      <c r="BV3531">
        <v>0.35</v>
      </c>
      <c r="BW3531">
        <v>0.15</v>
      </c>
      <c r="BX3531">
        <v>2.08</v>
      </c>
      <c r="BY3531">
        <v>3.07</v>
      </c>
      <c r="BZ3531">
        <v>2.25</v>
      </c>
      <c r="CA3531">
        <v>0.44</v>
      </c>
      <c r="CB3531">
        <v>0.05</v>
      </c>
      <c r="CC3531">
        <v>0.44</v>
      </c>
      <c r="CD3531">
        <v>0.38</v>
      </c>
      <c r="CE3531">
        <v>0.38</v>
      </c>
      <c r="CF3531">
        <v>0.3</v>
      </c>
      <c r="CG3531">
        <v>1.03</v>
      </c>
      <c r="CH3531">
        <v>0.44</v>
      </c>
      <c r="CI3531">
        <v>-0.35</v>
      </c>
      <c r="CJ3531">
        <v>12164</v>
      </c>
      <c r="CK3531">
        <v>5752</v>
      </c>
      <c r="CL3531" t="s">
        <v>4706</v>
      </c>
      <c r="CM3531">
        <v>25.66</v>
      </c>
      <c r="CN3531">
        <v>32.68</v>
      </c>
      <c r="CO3531">
        <v>3.39</v>
      </c>
      <c r="CP3531">
        <v>45.35</v>
      </c>
      <c r="CQ3531">
        <v>6.48</v>
      </c>
      <c r="CR3531">
        <v>4.9400000000000004</v>
      </c>
      <c r="CS3531" t="s">
        <v>1971</v>
      </c>
      <c r="CT3531">
        <v>2.5</v>
      </c>
      <c r="CU3531">
        <v>0</v>
      </c>
      <c r="CV3531">
        <v>0.88</v>
      </c>
      <c r="CW3531">
        <v>0.44</v>
      </c>
      <c r="CX3531">
        <v>0.19</v>
      </c>
      <c r="CY3531">
        <v>95.69</v>
      </c>
      <c r="CZ3531" t="s">
        <v>11698</v>
      </c>
      <c r="DA3531">
        <v>26.58</v>
      </c>
      <c r="DB3531">
        <v>14.46</v>
      </c>
      <c r="DC3531">
        <v>12.5</v>
      </c>
      <c r="DD3531">
        <v>0.08</v>
      </c>
      <c r="DE3531">
        <v>359</v>
      </c>
      <c r="DF3531">
        <v>603696</v>
      </c>
      <c r="DG3531" t="s">
        <v>116</v>
      </c>
      <c r="DH3531" t="s">
        <v>116</v>
      </c>
      <c r="DI3531" t="s">
        <v>116</v>
      </c>
    </row>
    <row r="3532" spans="1:113" x14ac:dyDescent="0.4">
      <c r="A3532" t="str">
        <f>"603697"</f>
        <v>603697</v>
      </c>
      <c r="B3532" t="s">
        <v>14764</v>
      </c>
      <c r="C3532">
        <v>-1.25</v>
      </c>
      <c r="D3532">
        <v>13.38</v>
      </c>
      <c r="E3532">
        <v>-0.17</v>
      </c>
      <c r="F3532">
        <v>13.38</v>
      </c>
      <c r="G3532">
        <v>13.39</v>
      </c>
      <c r="H3532">
        <v>34015</v>
      </c>
      <c r="I3532">
        <v>449</v>
      </c>
      <c r="J3532">
        <v>-0.06</v>
      </c>
      <c r="K3532">
        <v>4.28</v>
      </c>
      <c r="L3532">
        <v>13.5</v>
      </c>
      <c r="M3532">
        <v>13.78</v>
      </c>
      <c r="N3532">
        <v>13.35</v>
      </c>
      <c r="O3532">
        <v>13.55</v>
      </c>
      <c r="P3532">
        <v>20.23</v>
      </c>
      <c r="Q3532">
        <v>46103752</v>
      </c>
      <c r="R3532">
        <v>1.27</v>
      </c>
      <c r="S3532" t="s">
        <v>863</v>
      </c>
      <c r="T3532" t="s">
        <v>906</v>
      </c>
      <c r="U3532">
        <v>3.17</v>
      </c>
      <c r="V3532">
        <v>13.55</v>
      </c>
      <c r="W3532">
        <v>19642</v>
      </c>
      <c r="X3532">
        <v>14373</v>
      </c>
      <c r="Y3532">
        <v>1.37</v>
      </c>
      <c r="Z3532">
        <v>440</v>
      </c>
      <c r="AA3532">
        <v>419</v>
      </c>
      <c r="AB3532" t="s">
        <v>116</v>
      </c>
      <c r="AC3532">
        <v>101300</v>
      </c>
      <c r="AD3532">
        <v>0.01</v>
      </c>
      <c r="AE3532" t="s">
        <v>116</v>
      </c>
      <c r="AF3532" t="s">
        <v>116</v>
      </c>
      <c r="AG3532">
        <v>0.8</v>
      </c>
      <c r="AH3532" t="s">
        <v>14765</v>
      </c>
      <c r="AI3532" t="s">
        <v>14766</v>
      </c>
      <c r="AJ3532">
        <v>-1.18</v>
      </c>
      <c r="AK3532">
        <v>1501</v>
      </c>
      <c r="AL3532">
        <v>23</v>
      </c>
      <c r="AM3532">
        <v>2.8999999999999998E-3</v>
      </c>
      <c r="AN3532">
        <v>-1</v>
      </c>
      <c r="AO3532">
        <v>-0.67</v>
      </c>
      <c r="AP3532">
        <v>4.9400000000000004</v>
      </c>
      <c r="AQ3532">
        <v>-14.61</v>
      </c>
      <c r="AR3532">
        <v>73.989999999999995</v>
      </c>
      <c r="AS3532">
        <v>4.28</v>
      </c>
      <c r="AT3532" t="s">
        <v>14765</v>
      </c>
      <c r="AU3532">
        <v>21.9</v>
      </c>
      <c r="AV3532">
        <v>22.87</v>
      </c>
      <c r="AW3532">
        <v>1.03</v>
      </c>
      <c r="BA3532">
        <v>-0.37</v>
      </c>
      <c r="BB3532">
        <v>1.7</v>
      </c>
      <c r="BC3532">
        <v>-1.48</v>
      </c>
      <c r="BD3532">
        <v>0.03</v>
      </c>
      <c r="BE3532">
        <v>-0.89</v>
      </c>
      <c r="BF3532">
        <v>-2.9</v>
      </c>
      <c r="BG3532">
        <v>0.22</v>
      </c>
      <c r="BH3532">
        <v>-1.28</v>
      </c>
      <c r="BI3532">
        <v>20191029</v>
      </c>
      <c r="BJ3532">
        <v>20190508</v>
      </c>
      <c r="BK3532">
        <v>3.05</v>
      </c>
      <c r="BL3532" t="s">
        <v>116</v>
      </c>
      <c r="BM3532" t="s">
        <v>116</v>
      </c>
      <c r="BN3532">
        <v>17.05</v>
      </c>
      <c r="BO3532">
        <v>15.38</v>
      </c>
      <c r="BP3532">
        <v>0</v>
      </c>
      <c r="BQ3532">
        <v>9.8000000000000007</v>
      </c>
      <c r="BR3532">
        <v>13.04</v>
      </c>
      <c r="BS3532">
        <v>2.87</v>
      </c>
      <c r="BT3532">
        <v>0.59</v>
      </c>
      <c r="BU3532">
        <v>1.31</v>
      </c>
      <c r="BV3532">
        <v>1.31</v>
      </c>
      <c r="BW3532">
        <v>0.02</v>
      </c>
      <c r="BX3532">
        <v>4.91</v>
      </c>
      <c r="BY3532">
        <v>7.52</v>
      </c>
      <c r="BZ3532">
        <v>4.7699999999999996</v>
      </c>
      <c r="CA3532">
        <v>1.76</v>
      </c>
      <c r="CB3532">
        <v>0.08</v>
      </c>
      <c r="CC3532">
        <v>1.77</v>
      </c>
      <c r="CD3532">
        <v>1.51</v>
      </c>
      <c r="CE3532">
        <v>1.51</v>
      </c>
      <c r="CF3532">
        <v>1.49</v>
      </c>
      <c r="CG3532">
        <v>6.81</v>
      </c>
      <c r="CH3532">
        <v>2.1</v>
      </c>
      <c r="CI3532">
        <v>1.7</v>
      </c>
      <c r="CJ3532">
        <v>30570</v>
      </c>
      <c r="CK3532">
        <v>2601</v>
      </c>
      <c r="CL3532" t="s">
        <v>805</v>
      </c>
      <c r="CM3532">
        <v>0</v>
      </c>
      <c r="CN3532">
        <v>0</v>
      </c>
      <c r="CO3532">
        <v>2.65</v>
      </c>
      <c r="CP3532">
        <v>19.38</v>
      </c>
      <c r="CQ3532">
        <v>5.42</v>
      </c>
      <c r="CR3532">
        <v>1.35</v>
      </c>
      <c r="CS3532" t="s">
        <v>6801</v>
      </c>
      <c r="CT3532">
        <v>5.05</v>
      </c>
      <c r="CU3532">
        <v>0</v>
      </c>
      <c r="CV3532">
        <v>1.61</v>
      </c>
      <c r="CW3532">
        <v>2.2400000000000002</v>
      </c>
      <c r="CX3532">
        <v>0.69</v>
      </c>
      <c r="CY3532">
        <v>90.2</v>
      </c>
      <c r="CZ3532" t="s">
        <v>5386</v>
      </c>
      <c r="DA3532">
        <v>36.56</v>
      </c>
      <c r="DB3532">
        <v>23.38</v>
      </c>
      <c r="DC3532">
        <v>20.100000000000001</v>
      </c>
      <c r="DD3532">
        <v>0.03</v>
      </c>
      <c r="DE3532">
        <v>1643</v>
      </c>
      <c r="DF3532">
        <v>603697</v>
      </c>
      <c r="DG3532" t="s">
        <v>116</v>
      </c>
      <c r="DH3532" t="s">
        <v>116</v>
      </c>
      <c r="DI3532" t="s">
        <v>116</v>
      </c>
    </row>
    <row r="3533" spans="1:113" x14ac:dyDescent="0.4">
      <c r="A3533" t="str">
        <f>"603698"</f>
        <v>603698</v>
      </c>
      <c r="B3533" t="s">
        <v>14767</v>
      </c>
      <c r="C3533">
        <v>-1.35</v>
      </c>
      <c r="D3533">
        <v>12.44</v>
      </c>
      <c r="E3533">
        <v>-0.17</v>
      </c>
      <c r="F3533">
        <v>12.44</v>
      </c>
      <c r="G3533">
        <v>12.47</v>
      </c>
      <c r="H3533">
        <v>18890</v>
      </c>
      <c r="I3533">
        <v>229</v>
      </c>
      <c r="J3533">
        <v>-0.15</v>
      </c>
      <c r="K3533">
        <v>0.35</v>
      </c>
      <c r="L3533">
        <v>12.61</v>
      </c>
      <c r="M3533">
        <v>12.69</v>
      </c>
      <c r="N3533">
        <v>12.44</v>
      </c>
      <c r="O3533">
        <v>12.61</v>
      </c>
      <c r="P3533">
        <v>50.9</v>
      </c>
      <c r="Q3533">
        <v>23713548</v>
      </c>
      <c r="R3533">
        <v>1.36</v>
      </c>
      <c r="S3533" t="s">
        <v>682</v>
      </c>
      <c r="T3533" t="s">
        <v>165</v>
      </c>
      <c r="U3533">
        <v>1.98</v>
      </c>
      <c r="V3533">
        <v>12.55</v>
      </c>
      <c r="W3533">
        <v>11252</v>
      </c>
      <c r="X3533">
        <v>7639</v>
      </c>
      <c r="Y3533">
        <v>1.47</v>
      </c>
      <c r="Z3533">
        <v>58</v>
      </c>
      <c r="AA3533">
        <v>21</v>
      </c>
      <c r="AB3533" t="s">
        <v>116</v>
      </c>
      <c r="AC3533">
        <v>17700</v>
      </c>
      <c r="AD3533">
        <v>0</v>
      </c>
      <c r="AE3533" t="s">
        <v>116</v>
      </c>
      <c r="AF3533" t="s">
        <v>116</v>
      </c>
      <c r="AG3533">
        <v>5.36</v>
      </c>
      <c r="AH3533" t="s">
        <v>7740</v>
      </c>
      <c r="AI3533" t="s">
        <v>7740</v>
      </c>
      <c r="AJ3533">
        <v>-1.27</v>
      </c>
      <c r="AK3533">
        <v>760</v>
      </c>
      <c r="AL3533">
        <v>25</v>
      </c>
      <c r="AM3533">
        <v>5.0000000000000001E-4</v>
      </c>
      <c r="AN3533">
        <v>-1</v>
      </c>
      <c r="AO3533">
        <v>0</v>
      </c>
      <c r="AP3533">
        <v>3.41</v>
      </c>
      <c r="AQ3533">
        <v>2.13</v>
      </c>
      <c r="AR3533">
        <v>12.85</v>
      </c>
      <c r="AS3533">
        <v>1.51</v>
      </c>
      <c r="AT3533" t="s">
        <v>3563</v>
      </c>
      <c r="AU3533">
        <v>45.13</v>
      </c>
      <c r="AV3533">
        <v>29.41</v>
      </c>
      <c r="AW3533">
        <v>1.59</v>
      </c>
      <c r="BA3533">
        <v>0</v>
      </c>
      <c r="BB3533">
        <v>0.63</v>
      </c>
      <c r="BC3533">
        <v>-1.35</v>
      </c>
      <c r="BD3533">
        <v>-0.45</v>
      </c>
      <c r="BE3533">
        <v>-1.35</v>
      </c>
      <c r="BF3533">
        <v>-1.97</v>
      </c>
      <c r="BG3533">
        <v>0</v>
      </c>
      <c r="BH3533">
        <v>-0.9</v>
      </c>
      <c r="BI3533">
        <v>20191030</v>
      </c>
      <c r="BJ3533">
        <v>20150128</v>
      </c>
      <c r="BK3533">
        <v>5.36</v>
      </c>
      <c r="BL3533" t="s">
        <v>116</v>
      </c>
      <c r="BM3533" t="s">
        <v>116</v>
      </c>
      <c r="BN3533">
        <v>38.53</v>
      </c>
      <c r="BO3533">
        <v>27.62</v>
      </c>
      <c r="BP3533">
        <v>0</v>
      </c>
      <c r="BQ3533">
        <v>28.31</v>
      </c>
      <c r="BR3533">
        <v>25.7</v>
      </c>
      <c r="BS3533">
        <v>5.87</v>
      </c>
      <c r="BT3533">
        <v>0.82</v>
      </c>
      <c r="BU3533">
        <v>10.19</v>
      </c>
      <c r="BV3533">
        <v>3.1</v>
      </c>
      <c r="BW3533">
        <v>5.66</v>
      </c>
      <c r="BX3533">
        <v>9.36</v>
      </c>
      <c r="BY3533">
        <v>9.2200000000000006</v>
      </c>
      <c r="BZ3533">
        <v>6.83</v>
      </c>
      <c r="CA3533">
        <v>0.97</v>
      </c>
      <c r="CB3533">
        <v>0</v>
      </c>
      <c r="CC3533">
        <v>1.1299999999999999</v>
      </c>
      <c r="CD3533">
        <v>0.98</v>
      </c>
      <c r="CE3533">
        <v>0.98</v>
      </c>
      <c r="CF3533">
        <v>0.83</v>
      </c>
      <c r="CG3533">
        <v>11.18</v>
      </c>
      <c r="CH3533">
        <v>-2.12</v>
      </c>
      <c r="CI3533">
        <v>-2.2200000000000002</v>
      </c>
      <c r="CJ3533">
        <v>26867</v>
      </c>
      <c r="CK3533">
        <v>4645</v>
      </c>
      <c r="CL3533" t="s">
        <v>3650</v>
      </c>
      <c r="CM3533">
        <v>-44.56</v>
      </c>
      <c r="CN3533">
        <v>11.79</v>
      </c>
      <c r="CO3533">
        <v>2.41</v>
      </c>
      <c r="CP3533">
        <v>-31.44</v>
      </c>
      <c r="CQ3533">
        <v>7.23</v>
      </c>
      <c r="CR3533">
        <v>0</v>
      </c>
      <c r="CS3533" t="s">
        <v>1113</v>
      </c>
      <c r="CT3533">
        <v>5.15</v>
      </c>
      <c r="CU3533">
        <v>0</v>
      </c>
      <c r="CV3533">
        <v>1.75</v>
      </c>
      <c r="CW3533">
        <v>2.09</v>
      </c>
      <c r="CX3533">
        <v>-0.4</v>
      </c>
      <c r="CY3533">
        <v>71.69</v>
      </c>
      <c r="CZ3533" t="s">
        <v>6144</v>
      </c>
      <c r="DA3533">
        <v>25.89</v>
      </c>
      <c r="DB3533">
        <v>10.57</v>
      </c>
      <c r="DC3533">
        <v>10.66</v>
      </c>
      <c r="DD3533">
        <v>0.39</v>
      </c>
      <c r="DE3533">
        <v>620</v>
      </c>
      <c r="DF3533">
        <v>603698</v>
      </c>
      <c r="DG3533" t="s">
        <v>116</v>
      </c>
      <c r="DH3533" t="s">
        <v>116</v>
      </c>
      <c r="DI3533" t="s">
        <v>116</v>
      </c>
    </row>
    <row r="3534" spans="1:113" x14ac:dyDescent="0.4">
      <c r="A3534" t="str">
        <f>"603699"</f>
        <v>603699</v>
      </c>
      <c r="B3534" t="s">
        <v>14768</v>
      </c>
      <c r="C3534">
        <v>-0.57999999999999996</v>
      </c>
      <c r="D3534">
        <v>13.77</v>
      </c>
      <c r="E3534">
        <v>-0.08</v>
      </c>
      <c r="F3534">
        <v>13.77</v>
      </c>
      <c r="G3534">
        <v>13.78</v>
      </c>
      <c r="H3534">
        <v>16576</v>
      </c>
      <c r="I3534">
        <v>936</v>
      </c>
      <c r="J3534">
        <v>0.36</v>
      </c>
      <c r="K3534">
        <v>0.22</v>
      </c>
      <c r="L3534">
        <v>13.87</v>
      </c>
      <c r="M3534">
        <v>13.96</v>
      </c>
      <c r="N3534">
        <v>13.68</v>
      </c>
      <c r="O3534">
        <v>13.85</v>
      </c>
      <c r="P3534">
        <v>20.9</v>
      </c>
      <c r="Q3534">
        <v>22925116</v>
      </c>
      <c r="R3534">
        <v>0.93</v>
      </c>
      <c r="S3534" t="s">
        <v>682</v>
      </c>
      <c r="T3534" t="s">
        <v>323</v>
      </c>
      <c r="U3534">
        <v>2.02</v>
      </c>
      <c r="V3534">
        <v>13.83</v>
      </c>
      <c r="W3534">
        <v>8726</v>
      </c>
      <c r="X3534">
        <v>7850</v>
      </c>
      <c r="Y3534">
        <v>1.1100000000000001</v>
      </c>
      <c r="Z3534">
        <v>141</v>
      </c>
      <c r="AA3534">
        <v>117</v>
      </c>
      <c r="AB3534" t="s">
        <v>116</v>
      </c>
      <c r="AC3534">
        <v>74900</v>
      </c>
      <c r="AD3534">
        <v>0</v>
      </c>
      <c r="AE3534" t="s">
        <v>116</v>
      </c>
      <c r="AF3534" t="s">
        <v>116</v>
      </c>
      <c r="AG3534">
        <v>7.5</v>
      </c>
      <c r="AH3534" t="s">
        <v>14769</v>
      </c>
      <c r="AI3534" t="s">
        <v>14769</v>
      </c>
      <c r="AJ3534">
        <v>-0.5</v>
      </c>
      <c r="AK3534">
        <v>1317</v>
      </c>
      <c r="AL3534">
        <v>13</v>
      </c>
      <c r="AM3534">
        <v>2.0000000000000001E-4</v>
      </c>
      <c r="AN3534">
        <v>-1</v>
      </c>
      <c r="AO3534">
        <v>-0.36</v>
      </c>
      <c r="AP3534">
        <v>6.66</v>
      </c>
      <c r="AQ3534">
        <v>19.22</v>
      </c>
      <c r="AR3534">
        <v>22.07</v>
      </c>
      <c r="AS3534">
        <v>1.07</v>
      </c>
      <c r="AT3534" t="s">
        <v>6408</v>
      </c>
      <c r="AU3534">
        <v>23.32</v>
      </c>
      <c r="AV3534">
        <v>37.68</v>
      </c>
      <c r="AW3534">
        <v>0.56000000000000005</v>
      </c>
      <c r="BA3534">
        <v>0.14000000000000001</v>
      </c>
      <c r="BB3534">
        <v>0.79</v>
      </c>
      <c r="BC3534">
        <v>-1.23</v>
      </c>
      <c r="BD3534">
        <v>-0.14000000000000001</v>
      </c>
      <c r="BE3534">
        <v>-0.72</v>
      </c>
      <c r="BF3534">
        <v>-1.36</v>
      </c>
      <c r="BG3534">
        <v>0.66</v>
      </c>
      <c r="BH3534">
        <v>-0.44</v>
      </c>
      <c r="BI3534">
        <v>20191225</v>
      </c>
      <c r="BJ3534">
        <v>20140117</v>
      </c>
      <c r="BK3534">
        <v>7.5</v>
      </c>
      <c r="BL3534" t="s">
        <v>116</v>
      </c>
      <c r="BM3534" t="s">
        <v>116</v>
      </c>
      <c r="BN3534">
        <v>47.08</v>
      </c>
      <c r="BO3534">
        <v>25.34</v>
      </c>
      <c r="BP3534">
        <v>0.47</v>
      </c>
      <c r="BQ3534">
        <v>45.19</v>
      </c>
      <c r="BR3534">
        <v>35.83</v>
      </c>
      <c r="BS3534">
        <v>6.53</v>
      </c>
      <c r="BT3534">
        <v>1.1299999999999999</v>
      </c>
      <c r="BU3534">
        <v>20.69</v>
      </c>
      <c r="BV3534">
        <v>13.16</v>
      </c>
      <c r="BW3534">
        <v>15.21</v>
      </c>
      <c r="BX3534">
        <v>8.07</v>
      </c>
      <c r="BY3534">
        <v>22.11</v>
      </c>
      <c r="BZ3534">
        <v>14.19</v>
      </c>
      <c r="CA3534">
        <v>4.26</v>
      </c>
      <c r="CB3534">
        <v>0.34</v>
      </c>
      <c r="CC3534">
        <v>4.3099999999999996</v>
      </c>
      <c r="CD3534">
        <v>3.73</v>
      </c>
      <c r="CE3534">
        <v>3.71</v>
      </c>
      <c r="CF3534">
        <v>3.37</v>
      </c>
      <c r="CG3534">
        <v>7.42</v>
      </c>
      <c r="CH3534">
        <v>-0.8</v>
      </c>
      <c r="CI3534">
        <v>-1.29</v>
      </c>
      <c r="CJ3534">
        <v>13092</v>
      </c>
      <c r="CK3534">
        <v>11839</v>
      </c>
      <c r="CL3534" t="s">
        <v>14770</v>
      </c>
      <c r="CM3534">
        <v>83.66</v>
      </c>
      <c r="CN3534">
        <v>6.72</v>
      </c>
      <c r="CO3534">
        <v>4.08</v>
      </c>
      <c r="CP3534">
        <v>-128.44</v>
      </c>
      <c r="CQ3534">
        <v>4.67</v>
      </c>
      <c r="CR3534">
        <v>4.82</v>
      </c>
      <c r="CS3534" t="s">
        <v>14771</v>
      </c>
      <c r="CT3534">
        <v>3.38</v>
      </c>
      <c r="CU3534">
        <v>0</v>
      </c>
      <c r="CV3534">
        <v>1.08</v>
      </c>
      <c r="CW3534">
        <v>0.99</v>
      </c>
      <c r="CX3534">
        <v>-0.11</v>
      </c>
      <c r="CY3534">
        <v>53.82</v>
      </c>
      <c r="CZ3534" t="s">
        <v>14772</v>
      </c>
      <c r="DA3534">
        <v>35.81</v>
      </c>
      <c r="DB3534">
        <v>19.260000000000002</v>
      </c>
      <c r="DC3534">
        <v>16.760000000000002</v>
      </c>
      <c r="DD3534">
        <v>0.71</v>
      </c>
      <c r="DE3534">
        <v>3488</v>
      </c>
      <c r="DF3534">
        <v>603699</v>
      </c>
      <c r="DG3534" t="s">
        <v>116</v>
      </c>
      <c r="DH3534" t="s">
        <v>116</v>
      </c>
      <c r="DI3534" t="s">
        <v>116</v>
      </c>
    </row>
    <row r="3535" spans="1:113" x14ac:dyDescent="0.4">
      <c r="A3535" t="str">
        <f>"603700"</f>
        <v>603700</v>
      </c>
      <c r="B3535" t="s">
        <v>14773</v>
      </c>
      <c r="C3535">
        <v>-0.34</v>
      </c>
      <c r="D3535">
        <v>23.42</v>
      </c>
      <c r="E3535">
        <v>-0.08</v>
      </c>
      <c r="F3535">
        <v>23.38</v>
      </c>
      <c r="G3535">
        <v>23.42</v>
      </c>
      <c r="H3535">
        <v>8129</v>
      </c>
      <c r="I3535">
        <v>193</v>
      </c>
      <c r="J3535">
        <v>-0.03</v>
      </c>
      <c r="K3535">
        <v>2.08</v>
      </c>
      <c r="L3535">
        <v>23.52</v>
      </c>
      <c r="M3535">
        <v>23.68</v>
      </c>
      <c r="N3535">
        <v>23.36</v>
      </c>
      <c r="O3535">
        <v>23.5</v>
      </c>
      <c r="P3535">
        <v>20.420000000000002</v>
      </c>
      <c r="Q3535">
        <v>19127924</v>
      </c>
      <c r="R3535">
        <v>0.87</v>
      </c>
      <c r="S3535" t="s">
        <v>2977</v>
      </c>
      <c r="T3535" t="s">
        <v>590</v>
      </c>
      <c r="U3535">
        <v>1.36</v>
      </c>
      <c r="V3535">
        <v>23.53</v>
      </c>
      <c r="W3535">
        <v>4310</v>
      </c>
      <c r="X3535">
        <v>3819</v>
      </c>
      <c r="Y3535">
        <v>1.1299999999999999</v>
      </c>
      <c r="Z3535">
        <v>23</v>
      </c>
      <c r="AA3535">
        <v>30</v>
      </c>
      <c r="AB3535" t="s">
        <v>116</v>
      </c>
      <c r="AC3535">
        <v>103500</v>
      </c>
      <c r="AD3535">
        <v>0.01</v>
      </c>
      <c r="AE3535" t="s">
        <v>116</v>
      </c>
      <c r="AF3535" t="s">
        <v>116</v>
      </c>
      <c r="AG3535">
        <v>0.39</v>
      </c>
      <c r="AH3535" t="s">
        <v>10127</v>
      </c>
      <c r="AI3535" t="s">
        <v>5767</v>
      </c>
      <c r="AJ3535">
        <v>-0.26</v>
      </c>
      <c r="AK3535">
        <v>767</v>
      </c>
      <c r="AL3535">
        <v>11</v>
      </c>
      <c r="AM3535">
        <v>2.7000000000000001E-3</v>
      </c>
      <c r="AN3535">
        <v>-1</v>
      </c>
      <c r="AO3535">
        <v>-0.47</v>
      </c>
      <c r="AP3535">
        <v>5.35</v>
      </c>
      <c r="AQ3535">
        <v>-5.45</v>
      </c>
      <c r="AR3535">
        <v>45.2</v>
      </c>
      <c r="AS3535">
        <v>2.08</v>
      </c>
      <c r="AT3535" t="s">
        <v>10127</v>
      </c>
      <c r="AU3535">
        <v>21.68</v>
      </c>
      <c r="AV3535">
        <v>26.69</v>
      </c>
      <c r="AW3535">
        <v>0.86</v>
      </c>
      <c r="BA3535">
        <v>0.09</v>
      </c>
      <c r="BB3535">
        <v>0.77</v>
      </c>
      <c r="BC3535">
        <v>-0.6</v>
      </c>
      <c r="BD3535">
        <v>0.13</v>
      </c>
      <c r="BE3535">
        <v>-0.43</v>
      </c>
      <c r="BF3535">
        <v>-1.1000000000000001</v>
      </c>
      <c r="BG3535">
        <v>0.26</v>
      </c>
      <c r="BH3535">
        <v>-0.47</v>
      </c>
      <c r="BI3535">
        <v>20191107</v>
      </c>
      <c r="BJ3535">
        <v>20190122</v>
      </c>
      <c r="BK3535">
        <v>1.56</v>
      </c>
      <c r="BL3535" t="s">
        <v>116</v>
      </c>
      <c r="BM3535" t="s">
        <v>116</v>
      </c>
      <c r="BN3535">
        <v>15.15</v>
      </c>
      <c r="BO3535">
        <v>11.66</v>
      </c>
      <c r="BP3535">
        <v>0.02</v>
      </c>
      <c r="BQ3535">
        <v>22.98</v>
      </c>
      <c r="BR3535">
        <v>13.82</v>
      </c>
      <c r="BS3535">
        <v>0.88</v>
      </c>
      <c r="BT3535">
        <v>0.06</v>
      </c>
      <c r="BU3535">
        <v>3.4</v>
      </c>
      <c r="BV3535">
        <v>3.07</v>
      </c>
      <c r="BW3535">
        <v>4.43</v>
      </c>
      <c r="BX3535">
        <v>5.58</v>
      </c>
      <c r="BY3535">
        <v>9.1300000000000008</v>
      </c>
      <c r="BZ3535">
        <v>5.95</v>
      </c>
      <c r="CA3535">
        <v>1.49</v>
      </c>
      <c r="CB3535">
        <v>0.06</v>
      </c>
      <c r="CC3535">
        <v>1.55</v>
      </c>
      <c r="CD3535">
        <v>1.34</v>
      </c>
      <c r="CE3535">
        <v>1.34</v>
      </c>
      <c r="CF3535">
        <v>1.28</v>
      </c>
      <c r="CG3535">
        <v>3.73</v>
      </c>
      <c r="CH3535">
        <v>-1.66</v>
      </c>
      <c r="CI3535">
        <v>-0.09</v>
      </c>
      <c r="CJ3535">
        <v>14542</v>
      </c>
      <c r="CK3535">
        <v>2688</v>
      </c>
      <c r="CL3535" t="s">
        <v>7056</v>
      </c>
      <c r="CM3535">
        <v>30.8</v>
      </c>
      <c r="CN3535">
        <v>26.21</v>
      </c>
      <c r="CO3535">
        <v>3.14</v>
      </c>
      <c r="CP3535">
        <v>-22.07</v>
      </c>
      <c r="CQ3535">
        <v>4.01</v>
      </c>
      <c r="CR3535">
        <v>2.13</v>
      </c>
      <c r="CS3535" t="s">
        <v>14774</v>
      </c>
      <c r="CT3535">
        <v>7.46</v>
      </c>
      <c r="CU3535">
        <v>0</v>
      </c>
      <c r="CV3535">
        <v>3.57</v>
      </c>
      <c r="CW3535">
        <v>2.38</v>
      </c>
      <c r="CX3535">
        <v>-1.06</v>
      </c>
      <c r="CY3535">
        <v>76.92</v>
      </c>
      <c r="CZ3535" t="s">
        <v>14775</v>
      </c>
      <c r="DA3535">
        <v>34.82</v>
      </c>
      <c r="DB3535">
        <v>16.260000000000002</v>
      </c>
      <c r="DC3535">
        <v>14.72</v>
      </c>
      <c r="DD3535">
        <v>0.28999999999999998</v>
      </c>
      <c r="DE3535">
        <v>1089</v>
      </c>
      <c r="DF3535">
        <v>603700</v>
      </c>
      <c r="DG3535" t="s">
        <v>116</v>
      </c>
      <c r="DH3535" t="s">
        <v>116</v>
      </c>
      <c r="DI3535" t="s">
        <v>116</v>
      </c>
    </row>
    <row r="3536" spans="1:113" x14ac:dyDescent="0.4">
      <c r="A3536" t="str">
        <f>"603701"</f>
        <v>603701</v>
      </c>
      <c r="B3536" t="s">
        <v>14776</v>
      </c>
      <c r="C3536">
        <v>-0.6</v>
      </c>
      <c r="D3536">
        <v>13.29</v>
      </c>
      <c r="E3536">
        <v>-0.08</v>
      </c>
      <c r="F3536">
        <v>13.29</v>
      </c>
      <c r="G3536">
        <v>13.3</v>
      </c>
      <c r="H3536">
        <v>87209</v>
      </c>
      <c r="I3536">
        <v>1735</v>
      </c>
      <c r="J3536">
        <v>-0.36</v>
      </c>
      <c r="K3536">
        <v>4.34</v>
      </c>
      <c r="L3536">
        <v>13.38</v>
      </c>
      <c r="M3536">
        <v>13.77</v>
      </c>
      <c r="N3536">
        <v>13.27</v>
      </c>
      <c r="O3536">
        <v>13.37</v>
      </c>
      <c r="P3536">
        <v>45.3</v>
      </c>
      <c r="Q3536">
        <v>117630168</v>
      </c>
      <c r="R3536">
        <v>1.1499999999999999</v>
      </c>
      <c r="S3536" t="s">
        <v>293</v>
      </c>
      <c r="T3536" t="s">
        <v>590</v>
      </c>
      <c r="U3536">
        <v>3.74</v>
      </c>
      <c r="V3536">
        <v>13.49</v>
      </c>
      <c r="W3536">
        <v>45942</v>
      </c>
      <c r="X3536">
        <v>41267</v>
      </c>
      <c r="Y3536">
        <v>1.1100000000000001</v>
      </c>
      <c r="Z3536">
        <v>627</v>
      </c>
      <c r="AA3536">
        <v>529</v>
      </c>
      <c r="AB3536" t="s">
        <v>116</v>
      </c>
      <c r="AC3536">
        <v>165900</v>
      </c>
      <c r="AD3536">
        <v>0.01</v>
      </c>
      <c r="AE3536" t="s">
        <v>116</v>
      </c>
      <c r="AF3536" t="s">
        <v>116</v>
      </c>
      <c r="AG3536">
        <v>2.0099999999999998</v>
      </c>
      <c r="AH3536" t="s">
        <v>5448</v>
      </c>
      <c r="AI3536" t="s">
        <v>14777</v>
      </c>
      <c r="AJ3536">
        <v>-0.52</v>
      </c>
      <c r="AK3536">
        <v>2606</v>
      </c>
      <c r="AL3536">
        <v>33</v>
      </c>
      <c r="AM3536">
        <v>1.6999999999999999E-3</v>
      </c>
      <c r="AN3536">
        <v>-1</v>
      </c>
      <c r="AO3536">
        <v>-0.68</v>
      </c>
      <c r="AP3536">
        <v>16.89</v>
      </c>
      <c r="AQ3536">
        <v>11.21</v>
      </c>
      <c r="AR3536">
        <v>70.7</v>
      </c>
      <c r="AS3536">
        <v>8.7100000000000009</v>
      </c>
      <c r="AT3536" t="s">
        <v>6461</v>
      </c>
      <c r="AU3536">
        <v>50.11</v>
      </c>
      <c r="AV3536">
        <v>24.46</v>
      </c>
      <c r="AW3536">
        <v>0.94</v>
      </c>
      <c r="BA3536">
        <v>7.0000000000000007E-2</v>
      </c>
      <c r="BB3536">
        <v>2.99</v>
      </c>
      <c r="BC3536">
        <v>-0.75</v>
      </c>
      <c r="BD3536">
        <v>0.88</v>
      </c>
      <c r="BE3536">
        <v>-0.67</v>
      </c>
      <c r="BF3536">
        <v>-3.49</v>
      </c>
      <c r="BG3536">
        <v>0.15</v>
      </c>
      <c r="BH3536">
        <v>-1.48</v>
      </c>
      <c r="BI3536">
        <v>20191030</v>
      </c>
      <c r="BJ3536">
        <v>20160412</v>
      </c>
      <c r="BK3536">
        <v>2.04</v>
      </c>
      <c r="BL3536" t="s">
        <v>116</v>
      </c>
      <c r="BM3536" t="s">
        <v>116</v>
      </c>
      <c r="BN3536">
        <v>8.77</v>
      </c>
      <c r="BO3536">
        <v>6.89</v>
      </c>
      <c r="BP3536">
        <v>0</v>
      </c>
      <c r="BQ3536">
        <v>21.44</v>
      </c>
      <c r="BR3536">
        <v>5.07</v>
      </c>
      <c r="BS3536">
        <v>1.9</v>
      </c>
      <c r="BT3536">
        <v>0.32</v>
      </c>
      <c r="BU3536">
        <v>1.49</v>
      </c>
      <c r="BV3536">
        <v>0.62</v>
      </c>
      <c r="BW3536">
        <v>1.72</v>
      </c>
      <c r="BX3536">
        <v>1.97</v>
      </c>
      <c r="BY3536">
        <v>3.36</v>
      </c>
      <c r="BZ3536">
        <v>2.34</v>
      </c>
      <c r="CA3536">
        <v>0.5</v>
      </c>
      <c r="CB3536">
        <v>0.1</v>
      </c>
      <c r="CC3536">
        <v>0.5</v>
      </c>
      <c r="CD3536">
        <v>0.45</v>
      </c>
      <c r="CE3536">
        <v>0.45</v>
      </c>
      <c r="CF3536">
        <v>0.39</v>
      </c>
      <c r="CG3536">
        <v>2.57</v>
      </c>
      <c r="CH3536">
        <v>0.46</v>
      </c>
      <c r="CI3536">
        <v>-0.36</v>
      </c>
      <c r="CJ3536">
        <v>23273</v>
      </c>
      <c r="CK3536">
        <v>4304</v>
      </c>
      <c r="CL3536" t="s">
        <v>378</v>
      </c>
      <c r="CM3536">
        <v>-55.84</v>
      </c>
      <c r="CN3536">
        <v>-0.67</v>
      </c>
      <c r="CO3536">
        <v>3.94</v>
      </c>
      <c r="CP3536">
        <v>59.35</v>
      </c>
      <c r="CQ3536">
        <v>8.06</v>
      </c>
      <c r="CR3536">
        <v>2.69</v>
      </c>
      <c r="CS3536" t="s">
        <v>1244</v>
      </c>
      <c r="CT3536">
        <v>3.38</v>
      </c>
      <c r="CU3536">
        <v>0</v>
      </c>
      <c r="CV3536">
        <v>0.96</v>
      </c>
      <c r="CW3536">
        <v>1.26</v>
      </c>
      <c r="CX3536">
        <v>0.22</v>
      </c>
      <c r="CY3536">
        <v>78.569999999999993</v>
      </c>
      <c r="CZ3536" t="s">
        <v>6049</v>
      </c>
      <c r="DA3536">
        <v>30.31</v>
      </c>
      <c r="DB3536">
        <v>14.96</v>
      </c>
      <c r="DC3536">
        <v>13.35</v>
      </c>
      <c r="DD3536">
        <v>0.12</v>
      </c>
      <c r="DE3536">
        <v>392</v>
      </c>
      <c r="DF3536">
        <v>603701</v>
      </c>
      <c r="DG3536" t="s">
        <v>116</v>
      </c>
      <c r="DH3536" t="s">
        <v>116</v>
      </c>
      <c r="DI3536" t="s">
        <v>116</v>
      </c>
    </row>
    <row r="3537" spans="1:113" x14ac:dyDescent="0.4">
      <c r="A3537" t="str">
        <f>"603703"</f>
        <v>603703</v>
      </c>
      <c r="B3537" t="s">
        <v>14778</v>
      </c>
      <c r="C3537">
        <v>-0.4</v>
      </c>
      <c r="D3537">
        <v>15.07</v>
      </c>
      <c r="E3537">
        <v>-0.06</v>
      </c>
      <c r="F3537">
        <v>15.07</v>
      </c>
      <c r="G3537">
        <v>15.09</v>
      </c>
      <c r="H3537">
        <v>21875</v>
      </c>
      <c r="I3537">
        <v>120</v>
      </c>
      <c r="J3537">
        <v>7.0000000000000007E-2</v>
      </c>
      <c r="K3537">
        <v>2.0099999999999998</v>
      </c>
      <c r="L3537">
        <v>15.13</v>
      </c>
      <c r="M3537">
        <v>15.35</v>
      </c>
      <c r="N3537">
        <v>14.95</v>
      </c>
      <c r="O3537">
        <v>15.13</v>
      </c>
      <c r="P3537">
        <v>808.78</v>
      </c>
      <c r="Q3537">
        <v>33019476</v>
      </c>
      <c r="R3537">
        <v>0.65</v>
      </c>
      <c r="S3537" t="s">
        <v>465</v>
      </c>
      <c r="T3537" t="s">
        <v>590</v>
      </c>
      <c r="U3537">
        <v>2.64</v>
      </c>
      <c r="V3537">
        <v>15.09</v>
      </c>
      <c r="W3537">
        <v>10745</v>
      </c>
      <c r="X3537">
        <v>11130</v>
      </c>
      <c r="Y3537">
        <v>0.97</v>
      </c>
      <c r="Z3537">
        <v>20</v>
      </c>
      <c r="AA3537">
        <v>207</v>
      </c>
      <c r="AB3537" t="s">
        <v>116</v>
      </c>
      <c r="AC3537">
        <v>25700</v>
      </c>
      <c r="AD3537">
        <v>0</v>
      </c>
      <c r="AE3537" t="s">
        <v>116</v>
      </c>
      <c r="AF3537" t="s">
        <v>116</v>
      </c>
      <c r="AG3537">
        <v>1.0900000000000001</v>
      </c>
      <c r="AH3537" t="s">
        <v>9240</v>
      </c>
      <c r="AI3537" t="s">
        <v>3668</v>
      </c>
      <c r="AJ3537">
        <v>-0.32</v>
      </c>
      <c r="AK3537">
        <v>1381</v>
      </c>
      <c r="AL3537">
        <v>16</v>
      </c>
      <c r="AM3537">
        <v>1.5E-3</v>
      </c>
      <c r="AN3537">
        <v>-1</v>
      </c>
      <c r="AO3537">
        <v>0.13</v>
      </c>
      <c r="AP3537">
        <v>-1.18</v>
      </c>
      <c r="AQ3537">
        <v>3.29</v>
      </c>
      <c r="AR3537">
        <v>65.97</v>
      </c>
      <c r="AS3537">
        <v>2.27</v>
      </c>
      <c r="AT3537" t="s">
        <v>11987</v>
      </c>
      <c r="AU3537" t="s">
        <v>116</v>
      </c>
      <c r="AV3537" t="s">
        <v>116</v>
      </c>
      <c r="AW3537">
        <v>1.38</v>
      </c>
      <c r="BA3537">
        <v>0</v>
      </c>
      <c r="BB3537">
        <v>1.45</v>
      </c>
      <c r="BC3537">
        <v>-1.19</v>
      </c>
      <c r="BD3537">
        <v>-0.23</v>
      </c>
      <c r="BE3537">
        <v>-0.4</v>
      </c>
      <c r="BF3537">
        <v>-1.82</v>
      </c>
      <c r="BG3537">
        <v>0.8</v>
      </c>
      <c r="BH3537">
        <v>-0.16</v>
      </c>
      <c r="BI3537">
        <v>20191029</v>
      </c>
      <c r="BJ3537">
        <v>20150423</v>
      </c>
      <c r="BK3537">
        <v>2.2999999999999998</v>
      </c>
      <c r="BL3537" t="s">
        <v>116</v>
      </c>
      <c r="BM3537" t="s">
        <v>116</v>
      </c>
      <c r="BN3537">
        <v>13.32</v>
      </c>
      <c r="BO3537">
        <v>4.4000000000000004</v>
      </c>
      <c r="BP3537">
        <v>1.1399999999999999</v>
      </c>
      <c r="BQ3537">
        <v>58.46</v>
      </c>
      <c r="BR3537">
        <v>6.61</v>
      </c>
      <c r="BS3537">
        <v>3.41</v>
      </c>
      <c r="BT3537">
        <v>1.18</v>
      </c>
      <c r="BU3537">
        <v>7.62</v>
      </c>
      <c r="BV3537">
        <v>2.52</v>
      </c>
      <c r="BW3537">
        <v>2.87</v>
      </c>
      <c r="BX3537">
        <v>0.86</v>
      </c>
      <c r="BY3537">
        <v>6.2</v>
      </c>
      <c r="BZ3537">
        <v>4.68</v>
      </c>
      <c r="CA3537">
        <v>0.18</v>
      </c>
      <c r="CB3537">
        <v>0</v>
      </c>
      <c r="CC3537">
        <v>0.19</v>
      </c>
      <c r="CD3537">
        <v>0.18</v>
      </c>
      <c r="CE3537">
        <v>0.03</v>
      </c>
      <c r="CF3537">
        <v>-0.05</v>
      </c>
      <c r="CG3537">
        <v>0.95</v>
      </c>
      <c r="CH3537">
        <v>-0.11</v>
      </c>
      <c r="CI3537">
        <v>-0.13</v>
      </c>
      <c r="CJ3537">
        <v>12870</v>
      </c>
      <c r="CK3537">
        <v>7473</v>
      </c>
      <c r="CL3537" t="s">
        <v>7885</v>
      </c>
      <c r="CM3537">
        <v>151.26</v>
      </c>
      <c r="CN3537">
        <v>47.99</v>
      </c>
      <c r="CO3537">
        <v>7.87</v>
      </c>
      <c r="CP3537">
        <v>-306.77999999999997</v>
      </c>
      <c r="CQ3537">
        <v>5.58</v>
      </c>
      <c r="CR3537">
        <v>0</v>
      </c>
      <c r="CS3537" t="s">
        <v>342</v>
      </c>
      <c r="CT3537">
        <v>1.92</v>
      </c>
      <c r="CU3537">
        <v>0</v>
      </c>
      <c r="CV3537">
        <v>0.37</v>
      </c>
      <c r="CW3537">
        <v>0.42</v>
      </c>
      <c r="CX3537">
        <v>-0.05</v>
      </c>
      <c r="CY3537">
        <v>33.01</v>
      </c>
      <c r="CZ3537" t="s">
        <v>8426</v>
      </c>
      <c r="DA3537">
        <v>24.61</v>
      </c>
      <c r="DB3537">
        <v>2.88</v>
      </c>
      <c r="DC3537">
        <v>0.52</v>
      </c>
      <c r="DD3537">
        <v>0.33</v>
      </c>
      <c r="DE3537">
        <v>1458</v>
      </c>
      <c r="DF3537">
        <v>603703</v>
      </c>
      <c r="DG3537" t="s">
        <v>116</v>
      </c>
      <c r="DH3537" t="s">
        <v>116</v>
      </c>
      <c r="DI3537" t="s">
        <v>116</v>
      </c>
    </row>
    <row r="3538" spans="1:113" x14ac:dyDescent="0.4">
      <c r="A3538" t="str">
        <f>"603706"</f>
        <v>603706</v>
      </c>
      <c r="B3538" t="s">
        <v>14779</v>
      </c>
      <c r="C3538">
        <v>-2.33</v>
      </c>
      <c r="D3538">
        <v>20.100000000000001</v>
      </c>
      <c r="E3538">
        <v>-0.48</v>
      </c>
      <c r="F3538">
        <v>20.100000000000001</v>
      </c>
      <c r="G3538">
        <v>20.11</v>
      </c>
      <c r="H3538">
        <v>29617</v>
      </c>
      <c r="I3538">
        <v>751</v>
      </c>
      <c r="J3538">
        <v>-0.14000000000000001</v>
      </c>
      <c r="K3538">
        <v>5.08</v>
      </c>
      <c r="L3538">
        <v>20.59</v>
      </c>
      <c r="M3538">
        <v>20.59</v>
      </c>
      <c r="N3538">
        <v>20.09</v>
      </c>
      <c r="O3538">
        <v>20.58</v>
      </c>
      <c r="P3538">
        <v>32.47</v>
      </c>
      <c r="Q3538">
        <v>60314912</v>
      </c>
      <c r="R3538">
        <v>1.1299999999999999</v>
      </c>
      <c r="S3538" t="s">
        <v>690</v>
      </c>
      <c r="T3538" t="s">
        <v>616</v>
      </c>
      <c r="U3538">
        <v>2.4300000000000002</v>
      </c>
      <c r="V3538">
        <v>20.36</v>
      </c>
      <c r="W3538">
        <v>19946</v>
      </c>
      <c r="X3538">
        <v>9671</v>
      </c>
      <c r="Y3538">
        <v>2.06</v>
      </c>
      <c r="Z3538">
        <v>92</v>
      </c>
      <c r="AA3538">
        <v>153</v>
      </c>
      <c r="AB3538" t="s">
        <v>116</v>
      </c>
      <c r="AC3538">
        <v>193500</v>
      </c>
      <c r="AD3538">
        <v>0.02</v>
      </c>
      <c r="AE3538" t="s">
        <v>116</v>
      </c>
      <c r="AF3538" t="s">
        <v>116</v>
      </c>
      <c r="AG3538">
        <v>0.57999999999999996</v>
      </c>
      <c r="AH3538" t="s">
        <v>4242</v>
      </c>
      <c r="AI3538" t="s">
        <v>14780</v>
      </c>
      <c r="AJ3538">
        <v>-2.2599999999999998</v>
      </c>
      <c r="AK3538">
        <v>1854</v>
      </c>
      <c r="AL3538">
        <v>16</v>
      </c>
      <c r="AM3538">
        <v>2.7000000000000001E-3</v>
      </c>
      <c r="AN3538">
        <v>-2</v>
      </c>
      <c r="AO3538">
        <v>-2.66</v>
      </c>
      <c r="AP3538">
        <v>-0.54</v>
      </c>
      <c r="AQ3538">
        <v>-13.44</v>
      </c>
      <c r="AR3538">
        <v>-24.46</v>
      </c>
      <c r="AS3538">
        <v>5.08</v>
      </c>
      <c r="AT3538" t="s">
        <v>4242</v>
      </c>
      <c r="AU3538">
        <v>30.62</v>
      </c>
      <c r="AV3538">
        <v>34.26</v>
      </c>
      <c r="AW3538">
        <v>1.95</v>
      </c>
      <c r="BA3538">
        <v>0.05</v>
      </c>
      <c r="BB3538">
        <v>0.05</v>
      </c>
      <c r="BC3538">
        <v>-2.38</v>
      </c>
      <c r="BD3538">
        <v>-1.05</v>
      </c>
      <c r="BE3538">
        <v>-2.38</v>
      </c>
      <c r="BF3538">
        <v>-2.38</v>
      </c>
      <c r="BG3538">
        <v>0.05</v>
      </c>
      <c r="BH3538">
        <v>-1.29</v>
      </c>
      <c r="BI3538">
        <v>20191118</v>
      </c>
      <c r="BJ3538">
        <v>20180709</v>
      </c>
      <c r="BK3538">
        <v>1.6</v>
      </c>
      <c r="BL3538" t="s">
        <v>116</v>
      </c>
      <c r="BM3538" t="s">
        <v>116</v>
      </c>
      <c r="BN3538">
        <v>13.55</v>
      </c>
      <c r="BO3538">
        <v>11.26</v>
      </c>
      <c r="BP3538">
        <v>0</v>
      </c>
      <c r="BQ3538">
        <v>16.87</v>
      </c>
      <c r="BR3538">
        <v>9.0399999999999991</v>
      </c>
      <c r="BS3538">
        <v>2.74</v>
      </c>
      <c r="BT3538">
        <v>0.74</v>
      </c>
      <c r="BU3538">
        <v>1.52</v>
      </c>
      <c r="BV3538">
        <v>0.26</v>
      </c>
      <c r="BW3538">
        <v>0.43</v>
      </c>
      <c r="BX3538">
        <v>6.09</v>
      </c>
      <c r="BY3538">
        <v>3.11</v>
      </c>
      <c r="BZ3538">
        <v>1.95</v>
      </c>
      <c r="CA3538">
        <v>0.86</v>
      </c>
      <c r="CB3538">
        <v>0.15</v>
      </c>
      <c r="CC3538">
        <v>0.87</v>
      </c>
      <c r="CD3538">
        <v>0.74</v>
      </c>
      <c r="CE3538">
        <v>0.74</v>
      </c>
      <c r="CF3538">
        <v>0.61</v>
      </c>
      <c r="CG3538">
        <v>2.77</v>
      </c>
      <c r="CH3538">
        <v>0.78</v>
      </c>
      <c r="CI3538">
        <v>-0.74</v>
      </c>
      <c r="CJ3538">
        <v>22494</v>
      </c>
      <c r="CK3538">
        <v>2594</v>
      </c>
      <c r="CL3538" t="s">
        <v>2325</v>
      </c>
      <c r="CM3538">
        <v>17.68</v>
      </c>
      <c r="CN3538">
        <v>10.46</v>
      </c>
      <c r="CO3538">
        <v>2.86</v>
      </c>
      <c r="CP3538">
        <v>41.44</v>
      </c>
      <c r="CQ3538">
        <v>10.33</v>
      </c>
      <c r="CR3538">
        <v>1.74</v>
      </c>
      <c r="CS3538" t="s">
        <v>2997</v>
      </c>
      <c r="CT3538">
        <v>7.04</v>
      </c>
      <c r="CU3538">
        <v>0</v>
      </c>
      <c r="CV3538">
        <v>3.8</v>
      </c>
      <c r="CW3538">
        <v>1.73</v>
      </c>
      <c r="CX3538">
        <v>0.48</v>
      </c>
      <c r="CY3538">
        <v>83.13</v>
      </c>
      <c r="CZ3538" t="s">
        <v>8732</v>
      </c>
      <c r="DA3538">
        <v>37.479999999999997</v>
      </c>
      <c r="DB3538">
        <v>27.71</v>
      </c>
      <c r="DC3538">
        <v>23.87</v>
      </c>
      <c r="DD3538">
        <v>0</v>
      </c>
      <c r="DE3538">
        <v>445</v>
      </c>
      <c r="DF3538">
        <v>603706</v>
      </c>
      <c r="DG3538" t="s">
        <v>116</v>
      </c>
      <c r="DH3538" t="s">
        <v>116</v>
      </c>
      <c r="DI3538" t="s">
        <v>116</v>
      </c>
    </row>
    <row r="3539" spans="1:113" x14ac:dyDescent="0.4">
      <c r="A3539" t="str">
        <f>"603707"</f>
        <v>603707</v>
      </c>
      <c r="B3539" t="s">
        <v>14781</v>
      </c>
      <c r="C3539">
        <v>-0.12</v>
      </c>
      <c r="D3539">
        <v>40.47</v>
      </c>
      <c r="E3539">
        <v>-0.05</v>
      </c>
      <c r="F3539">
        <v>40.450000000000003</v>
      </c>
      <c r="G3539">
        <v>40.47</v>
      </c>
      <c r="H3539">
        <v>14575</v>
      </c>
      <c r="I3539">
        <v>150</v>
      </c>
      <c r="J3539">
        <v>0.02</v>
      </c>
      <c r="K3539">
        <v>0.39</v>
      </c>
      <c r="L3539">
        <v>40.700000000000003</v>
      </c>
      <c r="M3539">
        <v>40.86</v>
      </c>
      <c r="N3539">
        <v>40.19</v>
      </c>
      <c r="O3539">
        <v>40.520000000000003</v>
      </c>
      <c r="P3539">
        <v>48.62</v>
      </c>
      <c r="Q3539">
        <v>59096272</v>
      </c>
      <c r="R3539">
        <v>0.76</v>
      </c>
      <c r="S3539" t="s">
        <v>574</v>
      </c>
      <c r="T3539" t="s">
        <v>323</v>
      </c>
      <c r="U3539">
        <v>1.65</v>
      </c>
      <c r="V3539">
        <v>40.549999999999997</v>
      </c>
      <c r="W3539">
        <v>7347</v>
      </c>
      <c r="X3539">
        <v>7228</v>
      </c>
      <c r="Y3539">
        <v>1.02</v>
      </c>
      <c r="Z3539">
        <v>88</v>
      </c>
      <c r="AA3539">
        <v>3</v>
      </c>
      <c r="AB3539" t="s">
        <v>116</v>
      </c>
      <c r="AC3539">
        <v>227900</v>
      </c>
      <c r="AD3539">
        <v>0</v>
      </c>
      <c r="AE3539" t="s">
        <v>116</v>
      </c>
      <c r="AF3539" t="s">
        <v>116</v>
      </c>
      <c r="AG3539">
        <v>3.71</v>
      </c>
      <c r="AH3539" t="s">
        <v>14782</v>
      </c>
      <c r="AI3539" t="s">
        <v>14783</v>
      </c>
      <c r="AJ3539">
        <v>-0.05</v>
      </c>
      <c r="AK3539">
        <v>2299</v>
      </c>
      <c r="AL3539">
        <v>6</v>
      </c>
      <c r="AM3539">
        <v>2.0000000000000001E-4</v>
      </c>
      <c r="AN3539">
        <v>-1</v>
      </c>
      <c r="AO3539">
        <v>-0.05</v>
      </c>
      <c r="AP3539">
        <v>7.49</v>
      </c>
      <c r="AQ3539">
        <v>8.2100000000000009</v>
      </c>
      <c r="AR3539">
        <v>182.55</v>
      </c>
      <c r="AS3539">
        <v>0.83</v>
      </c>
      <c r="AT3539" t="s">
        <v>14784</v>
      </c>
      <c r="AU3539">
        <v>53.98</v>
      </c>
      <c r="AV3539">
        <v>68.489999999999995</v>
      </c>
      <c r="AW3539">
        <v>1.38</v>
      </c>
      <c r="BA3539">
        <v>0.44</v>
      </c>
      <c r="BB3539">
        <v>0.84</v>
      </c>
      <c r="BC3539">
        <v>-0.81</v>
      </c>
      <c r="BD3539">
        <v>7.0000000000000007E-2</v>
      </c>
      <c r="BE3539">
        <v>-0.56999999999999995</v>
      </c>
      <c r="BF3539">
        <v>-0.95</v>
      </c>
      <c r="BG3539">
        <v>0.7</v>
      </c>
      <c r="BH3539">
        <v>-0.19</v>
      </c>
      <c r="BI3539">
        <v>20191029</v>
      </c>
      <c r="BJ3539">
        <v>20170719</v>
      </c>
      <c r="BK3539">
        <v>7.18</v>
      </c>
      <c r="BL3539" t="s">
        <v>116</v>
      </c>
      <c r="BM3539" t="s">
        <v>116</v>
      </c>
      <c r="BN3539">
        <v>45.37</v>
      </c>
      <c r="BO3539">
        <v>28.04</v>
      </c>
      <c r="BP3539">
        <v>0</v>
      </c>
      <c r="BQ3539">
        <v>38.19</v>
      </c>
      <c r="BR3539">
        <v>39.200000000000003</v>
      </c>
      <c r="BS3539">
        <v>2.84</v>
      </c>
      <c r="BT3539">
        <v>0.48</v>
      </c>
      <c r="BU3539">
        <v>16.91</v>
      </c>
      <c r="BV3539">
        <v>28.01</v>
      </c>
      <c r="BW3539">
        <v>3.93</v>
      </c>
      <c r="BX3539">
        <v>3.54</v>
      </c>
      <c r="BY3539">
        <v>18.28</v>
      </c>
      <c r="BZ3539">
        <v>8.99</v>
      </c>
      <c r="CA3539">
        <v>4.99</v>
      </c>
      <c r="CB3539">
        <v>7.0000000000000007E-2</v>
      </c>
      <c r="CC3539">
        <v>5.07</v>
      </c>
      <c r="CD3539">
        <v>4.49</v>
      </c>
      <c r="CE3539">
        <v>4.49</v>
      </c>
      <c r="CF3539">
        <v>4.37</v>
      </c>
      <c r="CG3539">
        <v>16.07</v>
      </c>
      <c r="CH3539">
        <v>-6.42</v>
      </c>
      <c r="CI3539">
        <v>-1.6</v>
      </c>
      <c r="CJ3539">
        <v>9891</v>
      </c>
      <c r="CK3539">
        <v>17781</v>
      </c>
      <c r="CL3539" t="s">
        <v>14785</v>
      </c>
      <c r="CM3539">
        <v>34.11</v>
      </c>
      <c r="CN3539">
        <v>40.14</v>
      </c>
      <c r="CO3539">
        <v>10.37</v>
      </c>
      <c r="CP3539">
        <v>-45.29</v>
      </c>
      <c r="CQ3539">
        <v>15.91</v>
      </c>
      <c r="CR3539">
        <v>0.28999999999999998</v>
      </c>
      <c r="CS3539" t="s">
        <v>2710</v>
      </c>
      <c r="CT3539">
        <v>3.9</v>
      </c>
      <c r="CU3539">
        <v>0</v>
      </c>
      <c r="CV3539">
        <v>0.49</v>
      </c>
      <c r="CW3539">
        <v>2.2400000000000002</v>
      </c>
      <c r="CX3539">
        <v>-0.89</v>
      </c>
      <c r="CY3539">
        <v>61.81</v>
      </c>
      <c r="CZ3539" t="s">
        <v>14786</v>
      </c>
      <c r="DA3539">
        <v>50.82</v>
      </c>
      <c r="DB3539">
        <v>27.29</v>
      </c>
      <c r="DC3539">
        <v>24.54</v>
      </c>
      <c r="DD3539">
        <v>1.22</v>
      </c>
      <c r="DE3539">
        <v>713</v>
      </c>
      <c r="DF3539">
        <v>603707</v>
      </c>
      <c r="DG3539" t="s">
        <v>116</v>
      </c>
      <c r="DH3539" t="s">
        <v>116</v>
      </c>
      <c r="DI3539" t="s">
        <v>116</v>
      </c>
    </row>
    <row r="3540" spans="1:113" x14ac:dyDescent="0.4">
      <c r="A3540" t="str">
        <f>"603708"</f>
        <v>603708</v>
      </c>
      <c r="B3540" t="s">
        <v>14787</v>
      </c>
      <c r="C3540">
        <v>3.19</v>
      </c>
      <c r="D3540">
        <v>24.6</v>
      </c>
      <c r="E3540">
        <v>0.76</v>
      </c>
      <c r="F3540">
        <v>24.6</v>
      </c>
      <c r="G3540">
        <v>24.61</v>
      </c>
      <c r="H3540">
        <v>42076</v>
      </c>
      <c r="I3540">
        <v>101</v>
      </c>
      <c r="J3540">
        <v>0.33</v>
      </c>
      <c r="K3540">
        <v>0.69</v>
      </c>
      <c r="L3540">
        <v>23.84</v>
      </c>
      <c r="M3540">
        <v>24.95</v>
      </c>
      <c r="N3540">
        <v>23.8</v>
      </c>
      <c r="O3540">
        <v>23.84</v>
      </c>
      <c r="P3540">
        <v>31.95</v>
      </c>
      <c r="Q3540">
        <v>103083608</v>
      </c>
      <c r="R3540">
        <v>2.2799999999999998</v>
      </c>
      <c r="S3540" t="s">
        <v>2064</v>
      </c>
      <c r="T3540" t="s">
        <v>645</v>
      </c>
      <c r="U3540">
        <v>4.82</v>
      </c>
      <c r="V3540">
        <v>24.5</v>
      </c>
      <c r="W3540">
        <v>16004</v>
      </c>
      <c r="X3540">
        <v>26072</v>
      </c>
      <c r="Y3540">
        <v>0.61</v>
      </c>
      <c r="Z3540">
        <v>33</v>
      </c>
      <c r="AA3540">
        <v>13</v>
      </c>
      <c r="AB3540" t="s">
        <v>116</v>
      </c>
      <c r="AC3540">
        <v>85800</v>
      </c>
      <c r="AD3540">
        <v>0</v>
      </c>
      <c r="AE3540" t="s">
        <v>116</v>
      </c>
      <c r="AF3540" t="s">
        <v>116</v>
      </c>
      <c r="AG3540">
        <v>6.08</v>
      </c>
      <c r="AH3540" t="s">
        <v>14788</v>
      </c>
      <c r="AI3540" t="s">
        <v>14788</v>
      </c>
      <c r="AJ3540">
        <v>3.26</v>
      </c>
      <c r="AK3540">
        <v>2559</v>
      </c>
      <c r="AL3540">
        <v>16</v>
      </c>
      <c r="AM3540">
        <v>2.9999999999999997E-4</v>
      </c>
      <c r="AN3540">
        <v>1</v>
      </c>
      <c r="AO3540">
        <v>2.93</v>
      </c>
      <c r="AP3540">
        <v>5.94</v>
      </c>
      <c r="AQ3540">
        <v>-6.89</v>
      </c>
      <c r="AR3540">
        <v>63.75</v>
      </c>
      <c r="AS3540">
        <v>2.06</v>
      </c>
      <c r="AT3540" t="s">
        <v>8505</v>
      </c>
      <c r="AU3540">
        <v>31.17</v>
      </c>
      <c r="AV3540">
        <v>34.81</v>
      </c>
      <c r="AW3540">
        <v>0.6</v>
      </c>
      <c r="BA3540">
        <v>0</v>
      </c>
      <c r="BB3540">
        <v>4.66</v>
      </c>
      <c r="BC3540">
        <v>-0.17</v>
      </c>
      <c r="BD3540">
        <v>2.77</v>
      </c>
      <c r="BE3540">
        <v>3.19</v>
      </c>
      <c r="BF3540">
        <v>-1.4</v>
      </c>
      <c r="BG3540">
        <v>3.36</v>
      </c>
      <c r="BH3540">
        <v>0.42</v>
      </c>
      <c r="BI3540">
        <v>20191212</v>
      </c>
      <c r="BJ3540">
        <v>20161213</v>
      </c>
      <c r="BK3540">
        <v>6.08</v>
      </c>
      <c r="BL3540" t="s">
        <v>116</v>
      </c>
      <c r="BM3540" t="s">
        <v>116</v>
      </c>
      <c r="BN3540">
        <v>82.71</v>
      </c>
      <c r="BO3540">
        <v>28.11</v>
      </c>
      <c r="BP3540">
        <v>1.57</v>
      </c>
      <c r="BQ3540">
        <v>64.12</v>
      </c>
      <c r="BR3540">
        <v>46.4</v>
      </c>
      <c r="BS3540">
        <v>20.28</v>
      </c>
      <c r="BT3540">
        <v>1.74</v>
      </c>
      <c r="BU3540">
        <v>52.06</v>
      </c>
      <c r="BV3540">
        <v>15.33</v>
      </c>
      <c r="BW3540">
        <v>1.29</v>
      </c>
      <c r="BX3540">
        <v>11.63</v>
      </c>
      <c r="BY3540">
        <v>112.65</v>
      </c>
      <c r="BZ3540">
        <v>88.41</v>
      </c>
      <c r="CA3540">
        <v>4.5999999999999996</v>
      </c>
      <c r="CB3540">
        <v>-0.01</v>
      </c>
      <c r="CC3540">
        <v>4.6100000000000003</v>
      </c>
      <c r="CD3540">
        <v>3.45</v>
      </c>
      <c r="CE3540">
        <v>3.51</v>
      </c>
      <c r="CF3540">
        <v>3.34</v>
      </c>
      <c r="CG3540">
        <v>9.08</v>
      </c>
      <c r="CH3540">
        <v>7.46</v>
      </c>
      <c r="CI3540">
        <v>1.34</v>
      </c>
      <c r="CJ3540">
        <v>11028</v>
      </c>
      <c r="CK3540">
        <v>18504</v>
      </c>
      <c r="CL3540" t="s">
        <v>14789</v>
      </c>
      <c r="CM3540">
        <v>16.7</v>
      </c>
      <c r="CN3540">
        <v>17.89</v>
      </c>
      <c r="CO3540">
        <v>5.32</v>
      </c>
      <c r="CP3540">
        <v>20.059999999999999</v>
      </c>
      <c r="CQ3540">
        <v>1.33</v>
      </c>
      <c r="CR3540">
        <v>1.75</v>
      </c>
      <c r="CS3540" t="s">
        <v>11694</v>
      </c>
      <c r="CT3540">
        <v>4.62</v>
      </c>
      <c r="CU3540">
        <v>0</v>
      </c>
      <c r="CV3540">
        <v>1.91</v>
      </c>
      <c r="CW3540">
        <v>1.49</v>
      </c>
      <c r="CX3540">
        <v>1.23</v>
      </c>
      <c r="CY3540">
        <v>33.99</v>
      </c>
      <c r="CZ3540" t="s">
        <v>14790</v>
      </c>
      <c r="DA3540">
        <v>21.52</v>
      </c>
      <c r="DB3540">
        <v>4.08</v>
      </c>
      <c r="DC3540">
        <v>3.12</v>
      </c>
      <c r="DD3540">
        <v>0</v>
      </c>
      <c r="DE3540">
        <v>19028</v>
      </c>
      <c r="DF3540">
        <v>603708</v>
      </c>
      <c r="DG3540" t="s">
        <v>116</v>
      </c>
      <c r="DH3540" t="s">
        <v>116</v>
      </c>
      <c r="DI3540" t="s">
        <v>116</v>
      </c>
    </row>
    <row r="3541" spans="1:113" x14ac:dyDescent="0.4">
      <c r="A3541" t="str">
        <f>"603709"</f>
        <v>603709</v>
      </c>
      <c r="B3541" t="s">
        <v>14791</v>
      </c>
      <c r="C3541">
        <v>-0.28000000000000003</v>
      </c>
      <c r="D3541">
        <v>25.01</v>
      </c>
      <c r="E3541">
        <v>-7.0000000000000007E-2</v>
      </c>
      <c r="F3541">
        <v>25.01</v>
      </c>
      <c r="G3541">
        <v>25.03</v>
      </c>
      <c r="H3541">
        <v>4847</v>
      </c>
      <c r="I3541">
        <v>136</v>
      </c>
      <c r="J3541">
        <v>-0.19</v>
      </c>
      <c r="K3541">
        <v>2.42</v>
      </c>
      <c r="L3541">
        <v>25.12</v>
      </c>
      <c r="M3541">
        <v>25.43</v>
      </c>
      <c r="N3541">
        <v>25.01</v>
      </c>
      <c r="O3541">
        <v>25.08</v>
      </c>
      <c r="P3541">
        <v>31.9</v>
      </c>
      <c r="Q3541">
        <v>12228202</v>
      </c>
      <c r="R3541">
        <v>0.7</v>
      </c>
      <c r="S3541" t="s">
        <v>2640</v>
      </c>
      <c r="T3541" t="s">
        <v>590</v>
      </c>
      <c r="U3541">
        <v>1.67</v>
      </c>
      <c r="V3541">
        <v>25.23</v>
      </c>
      <c r="W3541">
        <v>2422</v>
      </c>
      <c r="X3541">
        <v>2425</v>
      </c>
      <c r="Y3541">
        <v>1</v>
      </c>
      <c r="Z3541">
        <v>13</v>
      </c>
      <c r="AA3541">
        <v>27</v>
      </c>
      <c r="AB3541" t="s">
        <v>116</v>
      </c>
      <c r="AC3541">
        <v>12600</v>
      </c>
      <c r="AD3541">
        <v>0</v>
      </c>
      <c r="AE3541" t="s">
        <v>116</v>
      </c>
      <c r="AF3541" t="s">
        <v>116</v>
      </c>
      <c r="AG3541">
        <v>0.2</v>
      </c>
      <c r="AH3541" t="s">
        <v>14792</v>
      </c>
      <c r="AI3541" t="s">
        <v>5928</v>
      </c>
      <c r="AJ3541">
        <v>-0.2</v>
      </c>
      <c r="AK3541">
        <v>478</v>
      </c>
      <c r="AL3541">
        <v>10</v>
      </c>
      <c r="AM3541">
        <v>5.1000000000000004E-3</v>
      </c>
      <c r="AN3541">
        <v>-1</v>
      </c>
      <c r="AO3541">
        <v>-0.59</v>
      </c>
      <c r="AP3541">
        <v>5.97</v>
      </c>
      <c r="AQ3541">
        <v>-7.03</v>
      </c>
      <c r="AR3541">
        <v>0.93</v>
      </c>
      <c r="AS3541">
        <v>2.42</v>
      </c>
      <c r="AT3541" t="s">
        <v>14792</v>
      </c>
      <c r="AU3541">
        <v>24.39</v>
      </c>
      <c r="AV3541">
        <v>23.88</v>
      </c>
      <c r="AW3541">
        <v>1.32</v>
      </c>
      <c r="BA3541">
        <v>0.16</v>
      </c>
      <c r="BB3541">
        <v>1.4</v>
      </c>
      <c r="BC3541">
        <v>-0.28000000000000003</v>
      </c>
      <c r="BD3541">
        <v>0.59</v>
      </c>
      <c r="BE3541">
        <v>-0.44</v>
      </c>
      <c r="BF3541">
        <v>-1.65</v>
      </c>
      <c r="BG3541">
        <v>0</v>
      </c>
      <c r="BH3541">
        <v>-0.87</v>
      </c>
      <c r="BI3541">
        <v>20191029</v>
      </c>
      <c r="BJ3541">
        <v>20180208</v>
      </c>
      <c r="BK3541">
        <v>0.8</v>
      </c>
      <c r="BL3541" t="s">
        <v>116</v>
      </c>
      <c r="BM3541" t="s">
        <v>116</v>
      </c>
      <c r="BN3541">
        <v>9.6</v>
      </c>
      <c r="BO3541">
        <v>6.27</v>
      </c>
      <c r="BP3541">
        <v>0</v>
      </c>
      <c r="BQ3541">
        <v>34.619999999999997</v>
      </c>
      <c r="BR3541">
        <v>6.44</v>
      </c>
      <c r="BS3541">
        <v>2.1</v>
      </c>
      <c r="BT3541">
        <v>0.33</v>
      </c>
      <c r="BU3541">
        <v>3.32</v>
      </c>
      <c r="BV3541">
        <v>0.82</v>
      </c>
      <c r="BW3541">
        <v>1.18</v>
      </c>
      <c r="BX3541">
        <v>3.42</v>
      </c>
      <c r="BY3541">
        <v>7.6</v>
      </c>
      <c r="BZ3541">
        <v>5.43</v>
      </c>
      <c r="CA3541">
        <v>0.59</v>
      </c>
      <c r="CB3541">
        <v>0.04</v>
      </c>
      <c r="CC3541">
        <v>0.59</v>
      </c>
      <c r="CD3541">
        <v>0.47</v>
      </c>
      <c r="CE3541">
        <v>0.47</v>
      </c>
      <c r="CF3541">
        <v>0.32</v>
      </c>
      <c r="CG3541">
        <v>1.81</v>
      </c>
      <c r="CH3541">
        <v>0.19</v>
      </c>
      <c r="CI3541">
        <v>1.21</v>
      </c>
      <c r="CJ3541">
        <v>5531</v>
      </c>
      <c r="CK3541">
        <v>3616</v>
      </c>
      <c r="CL3541" t="s">
        <v>11927</v>
      </c>
      <c r="CM3541">
        <v>-3.54</v>
      </c>
      <c r="CN3541">
        <v>20.52</v>
      </c>
      <c r="CO3541">
        <v>3.19</v>
      </c>
      <c r="CP3541">
        <v>104.4</v>
      </c>
      <c r="CQ3541">
        <v>2.63</v>
      </c>
      <c r="CR3541">
        <v>0.88</v>
      </c>
      <c r="CS3541" t="s">
        <v>14793</v>
      </c>
      <c r="CT3541">
        <v>7.84</v>
      </c>
      <c r="CU3541">
        <v>0</v>
      </c>
      <c r="CV3541">
        <v>4.28</v>
      </c>
      <c r="CW3541">
        <v>2.2599999999999998</v>
      </c>
      <c r="CX3541">
        <v>0.24</v>
      </c>
      <c r="CY3541">
        <v>65.38</v>
      </c>
      <c r="CZ3541" t="s">
        <v>13787</v>
      </c>
      <c r="DA3541">
        <v>28.55</v>
      </c>
      <c r="DB3541">
        <v>7.72</v>
      </c>
      <c r="DC3541">
        <v>6.19</v>
      </c>
      <c r="DD3541">
        <v>0.27</v>
      </c>
      <c r="DE3541">
        <v>1806</v>
      </c>
      <c r="DF3541">
        <v>603709</v>
      </c>
      <c r="DG3541" t="s">
        <v>116</v>
      </c>
      <c r="DH3541" t="s">
        <v>116</v>
      </c>
      <c r="DI3541" t="s">
        <v>116</v>
      </c>
    </row>
    <row r="3542" spans="1:113" x14ac:dyDescent="0.4">
      <c r="A3542" t="str">
        <f>"603711"</f>
        <v>603711</v>
      </c>
      <c r="B3542" t="s">
        <v>14794</v>
      </c>
      <c r="C3542">
        <v>-2.46</v>
      </c>
      <c r="D3542">
        <v>24.99</v>
      </c>
      <c r="E3542">
        <v>-0.63</v>
      </c>
      <c r="F3542">
        <v>24.99</v>
      </c>
      <c r="G3542">
        <v>25</v>
      </c>
      <c r="H3542">
        <v>24483</v>
      </c>
      <c r="I3542">
        <v>423</v>
      </c>
      <c r="J3542">
        <v>0.04</v>
      </c>
      <c r="K3542">
        <v>5.29</v>
      </c>
      <c r="L3542">
        <v>25.6</v>
      </c>
      <c r="M3542">
        <v>25.8</v>
      </c>
      <c r="N3542">
        <v>24.93</v>
      </c>
      <c r="O3542">
        <v>25.62</v>
      </c>
      <c r="P3542">
        <v>59.44</v>
      </c>
      <c r="Q3542">
        <v>62097576</v>
      </c>
      <c r="R3542">
        <v>1.1000000000000001</v>
      </c>
      <c r="S3542" t="s">
        <v>2407</v>
      </c>
      <c r="T3542" t="s">
        <v>590</v>
      </c>
      <c r="U3542">
        <v>3.4</v>
      </c>
      <c r="V3542">
        <v>25.36</v>
      </c>
      <c r="W3542">
        <v>14422</v>
      </c>
      <c r="X3542">
        <v>10061</v>
      </c>
      <c r="Y3542">
        <v>1.43</v>
      </c>
      <c r="Z3542">
        <v>129</v>
      </c>
      <c r="AA3542">
        <v>61</v>
      </c>
      <c r="AB3542" t="s">
        <v>116</v>
      </c>
      <c r="AC3542">
        <v>361000</v>
      </c>
      <c r="AD3542">
        <v>0.03</v>
      </c>
      <c r="AE3542" t="s">
        <v>116</v>
      </c>
      <c r="AF3542" t="s">
        <v>116</v>
      </c>
      <c r="AG3542">
        <v>0.46</v>
      </c>
      <c r="AH3542" t="s">
        <v>9489</v>
      </c>
      <c r="AI3542" t="s">
        <v>8782</v>
      </c>
      <c r="AJ3542">
        <v>-2.38</v>
      </c>
      <c r="AK3542">
        <v>2006</v>
      </c>
      <c r="AL3542">
        <v>12</v>
      </c>
      <c r="AM3542">
        <v>2.5999999999999999E-3</v>
      </c>
      <c r="AN3542">
        <v>-1</v>
      </c>
      <c r="AO3542">
        <v>-0.12</v>
      </c>
      <c r="AP3542">
        <v>2.97</v>
      </c>
      <c r="AQ3542">
        <v>-17.14</v>
      </c>
      <c r="AR3542">
        <v>19</v>
      </c>
      <c r="AS3542">
        <v>5.29</v>
      </c>
      <c r="AT3542" t="s">
        <v>9489</v>
      </c>
      <c r="AU3542">
        <v>28.88</v>
      </c>
      <c r="AV3542">
        <v>33.299999999999997</v>
      </c>
      <c r="AW3542">
        <v>0.67</v>
      </c>
      <c r="BA3542">
        <v>-0.08</v>
      </c>
      <c r="BB3542">
        <v>0.7</v>
      </c>
      <c r="BC3542">
        <v>-2.69</v>
      </c>
      <c r="BD3542">
        <v>-1</v>
      </c>
      <c r="BE3542">
        <v>-2.38</v>
      </c>
      <c r="BF3542">
        <v>-3.14</v>
      </c>
      <c r="BG3542">
        <v>0.24</v>
      </c>
      <c r="BH3542">
        <v>-1.46</v>
      </c>
      <c r="BI3542">
        <v>20191026</v>
      </c>
      <c r="BJ3542">
        <v>20171130</v>
      </c>
      <c r="BK3542">
        <v>4.1900000000000004</v>
      </c>
      <c r="BL3542" t="s">
        <v>116</v>
      </c>
      <c r="BM3542" t="s">
        <v>116</v>
      </c>
      <c r="BN3542">
        <v>36.61</v>
      </c>
      <c r="BO3542">
        <v>23.2</v>
      </c>
      <c r="BP3542">
        <v>0</v>
      </c>
      <c r="BQ3542">
        <v>36.630000000000003</v>
      </c>
      <c r="BR3542">
        <v>19.04</v>
      </c>
      <c r="BS3542">
        <v>12.28</v>
      </c>
      <c r="BT3542">
        <v>2.0299999999999998</v>
      </c>
      <c r="BU3542">
        <v>12.74</v>
      </c>
      <c r="BV3542">
        <v>1.59</v>
      </c>
      <c r="BW3542">
        <v>0.11</v>
      </c>
      <c r="BX3542">
        <v>6.86</v>
      </c>
      <c r="BY3542">
        <v>23.8</v>
      </c>
      <c r="BZ3542">
        <v>14.47</v>
      </c>
      <c r="CA3542">
        <v>1.57</v>
      </c>
      <c r="CB3542">
        <v>0.11</v>
      </c>
      <c r="CC3542">
        <v>1.6</v>
      </c>
      <c r="CD3542">
        <v>1.32</v>
      </c>
      <c r="CE3542">
        <v>1.32</v>
      </c>
      <c r="CF3542">
        <v>1.03</v>
      </c>
      <c r="CG3542">
        <v>12.63</v>
      </c>
      <c r="CH3542">
        <v>3.63</v>
      </c>
      <c r="CI3542">
        <v>-0.23</v>
      </c>
      <c r="CJ3542">
        <v>11332</v>
      </c>
      <c r="CK3542">
        <v>4086</v>
      </c>
      <c r="CL3542" t="s">
        <v>2721</v>
      </c>
      <c r="CM3542">
        <v>57.41</v>
      </c>
      <c r="CN3542">
        <v>41.67</v>
      </c>
      <c r="CO3542">
        <v>4.5199999999999996</v>
      </c>
      <c r="CP3542">
        <v>28.89</v>
      </c>
      <c r="CQ3542">
        <v>4.4000000000000004</v>
      </c>
      <c r="CR3542">
        <v>1</v>
      </c>
      <c r="CS3542" t="s">
        <v>8044</v>
      </c>
      <c r="CT3542">
        <v>5.53</v>
      </c>
      <c r="CU3542">
        <v>0</v>
      </c>
      <c r="CV3542">
        <v>1.64</v>
      </c>
      <c r="CW3542">
        <v>3.01</v>
      </c>
      <c r="CX3542">
        <v>0.87</v>
      </c>
      <c r="CY3542">
        <v>63.37</v>
      </c>
      <c r="CZ3542" t="s">
        <v>201</v>
      </c>
      <c r="DA3542">
        <v>39.22</v>
      </c>
      <c r="DB3542">
        <v>6.59</v>
      </c>
      <c r="DC3542">
        <v>5.56</v>
      </c>
      <c r="DD3542">
        <v>0.28000000000000003</v>
      </c>
      <c r="DE3542">
        <v>3413</v>
      </c>
      <c r="DF3542">
        <v>603711</v>
      </c>
      <c r="DG3542" t="s">
        <v>116</v>
      </c>
      <c r="DH3542" t="s">
        <v>116</v>
      </c>
      <c r="DI3542" t="s">
        <v>116</v>
      </c>
    </row>
    <row r="3543" spans="1:113" x14ac:dyDescent="0.4">
      <c r="A3543" t="str">
        <f>"603712"</f>
        <v>603712</v>
      </c>
      <c r="B3543" t="s">
        <v>14795</v>
      </c>
      <c r="C3543">
        <v>2.21</v>
      </c>
      <c r="D3543">
        <v>24.48</v>
      </c>
      <c r="E3543">
        <v>0.53</v>
      </c>
      <c r="F3543">
        <v>24.46</v>
      </c>
      <c r="G3543">
        <v>24.48</v>
      </c>
      <c r="H3543">
        <v>82767</v>
      </c>
      <c r="I3543">
        <v>813</v>
      </c>
      <c r="J3543">
        <v>0.28999999999999998</v>
      </c>
      <c r="K3543">
        <v>2.2599999999999998</v>
      </c>
      <c r="L3543">
        <v>24.06</v>
      </c>
      <c r="M3543">
        <v>24.6</v>
      </c>
      <c r="N3543">
        <v>23.81</v>
      </c>
      <c r="O3543">
        <v>23.95</v>
      </c>
      <c r="P3543">
        <v>126.29</v>
      </c>
      <c r="Q3543">
        <v>200173856</v>
      </c>
      <c r="R3543">
        <v>1.28</v>
      </c>
      <c r="S3543" t="s">
        <v>465</v>
      </c>
      <c r="T3543" t="s">
        <v>1035</v>
      </c>
      <c r="U3543">
        <v>3.3</v>
      </c>
      <c r="V3543">
        <v>24.19</v>
      </c>
      <c r="W3543">
        <v>38386</v>
      </c>
      <c r="X3543">
        <v>44381</v>
      </c>
      <c r="Y3543">
        <v>0.86</v>
      </c>
      <c r="Z3543">
        <v>88</v>
      </c>
      <c r="AA3543">
        <v>815</v>
      </c>
      <c r="AB3543" t="s">
        <v>116</v>
      </c>
      <c r="AC3543">
        <v>43300</v>
      </c>
      <c r="AD3543">
        <v>0</v>
      </c>
      <c r="AE3543" t="s">
        <v>116</v>
      </c>
      <c r="AF3543" t="s">
        <v>116</v>
      </c>
      <c r="AG3543">
        <v>3.66</v>
      </c>
      <c r="AH3543" t="s">
        <v>4817</v>
      </c>
      <c r="AI3543" t="s">
        <v>14796</v>
      </c>
      <c r="AJ3543">
        <v>2.29</v>
      </c>
      <c r="AK3543">
        <v>2643</v>
      </c>
      <c r="AL3543">
        <v>31</v>
      </c>
      <c r="AM3543">
        <v>8.9999999999999998E-4</v>
      </c>
      <c r="AN3543">
        <v>2</v>
      </c>
      <c r="AO3543">
        <v>1.87</v>
      </c>
      <c r="AP3543">
        <v>19.07</v>
      </c>
      <c r="AQ3543">
        <v>8.51</v>
      </c>
      <c r="AR3543">
        <v>37.840000000000003</v>
      </c>
      <c r="AS3543">
        <v>3.78</v>
      </c>
      <c r="AT3543" t="s">
        <v>14797</v>
      </c>
      <c r="AU3543">
        <v>72.72</v>
      </c>
      <c r="AV3543">
        <v>84.02</v>
      </c>
      <c r="AW3543">
        <v>1.38</v>
      </c>
      <c r="BA3543">
        <v>0.46</v>
      </c>
      <c r="BB3543">
        <v>2.71</v>
      </c>
      <c r="BC3543">
        <v>-0.57999999999999996</v>
      </c>
      <c r="BD3543">
        <v>0.98</v>
      </c>
      <c r="BE3543">
        <v>1.75</v>
      </c>
      <c r="BF3543">
        <v>-0.49</v>
      </c>
      <c r="BG3543">
        <v>2.81</v>
      </c>
      <c r="BH3543">
        <v>1.23</v>
      </c>
      <c r="BI3543">
        <v>20191026</v>
      </c>
      <c r="BJ3543">
        <v>20180226</v>
      </c>
      <c r="BK3543">
        <v>7.72</v>
      </c>
      <c r="BL3543" t="s">
        <v>116</v>
      </c>
      <c r="BM3543" t="s">
        <v>116</v>
      </c>
      <c r="BN3543">
        <v>52</v>
      </c>
      <c r="BO3543">
        <v>23.26</v>
      </c>
      <c r="BP3543">
        <v>0</v>
      </c>
      <c r="BQ3543">
        <v>55.27</v>
      </c>
      <c r="BR3543">
        <v>44.96</v>
      </c>
      <c r="BS3543">
        <v>5.26</v>
      </c>
      <c r="BT3543">
        <v>0.53</v>
      </c>
      <c r="BU3543">
        <v>28.06</v>
      </c>
      <c r="BV3543">
        <v>24.48</v>
      </c>
      <c r="BW3543">
        <v>14.44</v>
      </c>
      <c r="BX3543">
        <v>9.35</v>
      </c>
      <c r="BY3543">
        <v>11.52</v>
      </c>
      <c r="BZ3543">
        <v>6.3</v>
      </c>
      <c r="CA3543">
        <v>1.0900000000000001</v>
      </c>
      <c r="CB3543">
        <v>7.0000000000000007E-2</v>
      </c>
      <c r="CC3543">
        <v>1.1100000000000001</v>
      </c>
      <c r="CD3543">
        <v>1.1200000000000001</v>
      </c>
      <c r="CE3543">
        <v>1.1200000000000001</v>
      </c>
      <c r="CF3543">
        <v>1.01</v>
      </c>
      <c r="CG3543">
        <v>5.56</v>
      </c>
      <c r="CH3543">
        <v>1.61</v>
      </c>
      <c r="CI3543">
        <v>-1.92</v>
      </c>
      <c r="CJ3543">
        <v>43363</v>
      </c>
      <c r="CK3543">
        <v>5055</v>
      </c>
      <c r="CL3543" t="s">
        <v>12411</v>
      </c>
      <c r="CM3543">
        <v>45.24</v>
      </c>
      <c r="CN3543">
        <v>21.28</v>
      </c>
      <c r="CO3543">
        <v>8.1199999999999992</v>
      </c>
      <c r="CP3543">
        <v>117.72</v>
      </c>
      <c r="CQ3543">
        <v>16.41</v>
      </c>
      <c r="CR3543">
        <v>0.2</v>
      </c>
      <c r="CS3543" t="s">
        <v>4857</v>
      </c>
      <c r="CT3543">
        <v>3.01</v>
      </c>
      <c r="CU3543">
        <v>0</v>
      </c>
      <c r="CV3543">
        <v>1.21</v>
      </c>
      <c r="CW3543">
        <v>0.72</v>
      </c>
      <c r="CX3543">
        <v>0.21</v>
      </c>
      <c r="CY3543">
        <v>44.73</v>
      </c>
      <c r="CZ3543" t="s">
        <v>14798</v>
      </c>
      <c r="DA3543">
        <v>45.28</v>
      </c>
      <c r="DB3543">
        <v>9.5</v>
      </c>
      <c r="DC3543">
        <v>9.74</v>
      </c>
      <c r="DD3543">
        <v>2.82</v>
      </c>
      <c r="DE3543">
        <v>1859</v>
      </c>
      <c r="DF3543">
        <v>603712</v>
      </c>
      <c r="DG3543" t="s">
        <v>116</v>
      </c>
      <c r="DH3543" t="s">
        <v>116</v>
      </c>
      <c r="DI3543" t="s">
        <v>116</v>
      </c>
    </row>
    <row r="3544" spans="1:113" x14ac:dyDescent="0.4">
      <c r="A3544" t="str">
        <f>"603713"</f>
        <v>603713</v>
      </c>
      <c r="B3544" t="s">
        <v>14799</v>
      </c>
      <c r="C3544">
        <v>2.39</v>
      </c>
      <c r="D3544">
        <v>40.31</v>
      </c>
      <c r="E3544">
        <v>0.94</v>
      </c>
      <c r="F3544">
        <v>40.299999999999997</v>
      </c>
      <c r="G3544">
        <v>40.31</v>
      </c>
      <c r="H3544">
        <v>21917</v>
      </c>
      <c r="I3544">
        <v>353</v>
      </c>
      <c r="J3544">
        <v>0.15</v>
      </c>
      <c r="K3544">
        <v>3.22</v>
      </c>
      <c r="L3544">
        <v>39.25</v>
      </c>
      <c r="M3544">
        <v>40.98</v>
      </c>
      <c r="N3544">
        <v>39.020000000000003</v>
      </c>
      <c r="O3544">
        <v>39.369999999999997</v>
      </c>
      <c r="P3544">
        <v>31.97</v>
      </c>
      <c r="Q3544">
        <v>88494224</v>
      </c>
      <c r="R3544">
        <v>1.3</v>
      </c>
      <c r="S3544" t="s">
        <v>3113</v>
      </c>
      <c r="T3544" t="s">
        <v>1653</v>
      </c>
      <c r="U3544">
        <v>4.9800000000000004</v>
      </c>
      <c r="V3544">
        <v>40.380000000000003</v>
      </c>
      <c r="W3544">
        <v>9319</v>
      </c>
      <c r="X3544">
        <v>12598</v>
      </c>
      <c r="Y3544">
        <v>0.74</v>
      </c>
      <c r="Z3544">
        <v>10</v>
      </c>
      <c r="AA3544">
        <v>18</v>
      </c>
      <c r="AB3544" t="s">
        <v>116</v>
      </c>
      <c r="AC3544">
        <v>333600</v>
      </c>
      <c r="AD3544">
        <v>0.02</v>
      </c>
      <c r="AE3544" t="s">
        <v>116</v>
      </c>
      <c r="AF3544" t="s">
        <v>116</v>
      </c>
      <c r="AG3544">
        <v>0.68</v>
      </c>
      <c r="AH3544" t="s">
        <v>7982</v>
      </c>
      <c r="AI3544" t="s">
        <v>14800</v>
      </c>
      <c r="AJ3544">
        <v>2.46</v>
      </c>
      <c r="AK3544">
        <v>1979</v>
      </c>
      <c r="AL3544">
        <v>11</v>
      </c>
      <c r="AM3544">
        <v>1.6000000000000001E-3</v>
      </c>
      <c r="AN3544">
        <v>1</v>
      </c>
      <c r="AO3544">
        <v>0.88</v>
      </c>
      <c r="AP3544">
        <v>8.6199999999999992</v>
      </c>
      <c r="AQ3544">
        <v>24.03</v>
      </c>
      <c r="AR3544">
        <v>46.16</v>
      </c>
      <c r="AS3544">
        <v>5.1100000000000003</v>
      </c>
      <c r="AT3544" t="s">
        <v>3854</v>
      </c>
      <c r="AU3544">
        <v>35.770000000000003</v>
      </c>
      <c r="AV3544">
        <v>46.51</v>
      </c>
      <c r="AW3544">
        <v>0.36</v>
      </c>
      <c r="BA3544">
        <v>-0.3</v>
      </c>
      <c r="BB3544">
        <v>4.09</v>
      </c>
      <c r="BC3544">
        <v>-0.89</v>
      </c>
      <c r="BD3544">
        <v>2.56</v>
      </c>
      <c r="BE3544">
        <v>2.7</v>
      </c>
      <c r="BF3544">
        <v>-1.63</v>
      </c>
      <c r="BG3544">
        <v>3.31</v>
      </c>
      <c r="BH3544">
        <v>-0.17</v>
      </c>
      <c r="BI3544">
        <v>20191030</v>
      </c>
      <c r="BJ3544">
        <v>20180713</v>
      </c>
      <c r="BK3544">
        <v>1.52</v>
      </c>
      <c r="BL3544" t="s">
        <v>116</v>
      </c>
      <c r="BM3544" t="s">
        <v>116</v>
      </c>
      <c r="BN3544">
        <v>23.7</v>
      </c>
      <c r="BO3544">
        <v>13.8</v>
      </c>
      <c r="BP3544">
        <v>0.36</v>
      </c>
      <c r="BQ3544">
        <v>40.229999999999997</v>
      </c>
      <c r="BR3544">
        <v>10.36</v>
      </c>
      <c r="BS3544">
        <v>5.52</v>
      </c>
      <c r="BT3544">
        <v>2.65</v>
      </c>
      <c r="BU3544">
        <v>6.32</v>
      </c>
      <c r="BV3544">
        <v>0.12</v>
      </c>
      <c r="BW3544">
        <v>6.63</v>
      </c>
      <c r="BX3544">
        <v>6.48</v>
      </c>
      <c r="BY3544">
        <v>17.899999999999999</v>
      </c>
      <c r="BZ3544">
        <v>14.65</v>
      </c>
      <c r="CA3544">
        <v>1.79</v>
      </c>
      <c r="CB3544">
        <v>0.06</v>
      </c>
      <c r="CC3544">
        <v>1.84</v>
      </c>
      <c r="CD3544">
        <v>1.44</v>
      </c>
      <c r="CE3544">
        <v>1.44</v>
      </c>
      <c r="CF3544">
        <v>1.37</v>
      </c>
      <c r="CG3544">
        <v>5.42</v>
      </c>
      <c r="CH3544">
        <v>0.88</v>
      </c>
      <c r="CI3544">
        <v>-0.82</v>
      </c>
      <c r="CJ3544">
        <v>7388</v>
      </c>
      <c r="CK3544">
        <v>5804</v>
      </c>
      <c r="CL3544" t="s">
        <v>14801</v>
      </c>
      <c r="CM3544">
        <v>37.97</v>
      </c>
      <c r="CN3544">
        <v>46.82</v>
      </c>
      <c r="CO3544">
        <v>4.45</v>
      </c>
      <c r="CP3544">
        <v>70</v>
      </c>
      <c r="CQ3544">
        <v>3.43</v>
      </c>
      <c r="CR3544">
        <v>0.32</v>
      </c>
      <c r="CS3544" t="s">
        <v>14802</v>
      </c>
      <c r="CT3544">
        <v>9.0500000000000007</v>
      </c>
      <c r="CU3544">
        <v>0</v>
      </c>
      <c r="CV3544">
        <v>4.25</v>
      </c>
      <c r="CW3544">
        <v>3.55</v>
      </c>
      <c r="CX3544">
        <v>0.57999999999999996</v>
      </c>
      <c r="CY3544">
        <v>58.24</v>
      </c>
      <c r="CZ3544" t="s">
        <v>12929</v>
      </c>
      <c r="DA3544">
        <v>18.149999999999999</v>
      </c>
      <c r="DB3544">
        <v>9.98</v>
      </c>
      <c r="DC3544">
        <v>8.06</v>
      </c>
      <c r="DD3544">
        <v>0.13</v>
      </c>
      <c r="DE3544">
        <v>1760</v>
      </c>
      <c r="DF3544">
        <v>603713</v>
      </c>
      <c r="DG3544" t="s">
        <v>116</v>
      </c>
      <c r="DH3544" t="s">
        <v>116</v>
      </c>
      <c r="DI3544" t="s">
        <v>116</v>
      </c>
    </row>
    <row r="3545" spans="1:113" x14ac:dyDescent="0.4">
      <c r="A3545" t="str">
        <f>"603716"</f>
        <v>603716</v>
      </c>
      <c r="B3545" t="s">
        <v>14803</v>
      </c>
      <c r="C3545">
        <v>-0.89</v>
      </c>
      <c r="D3545">
        <v>16.66</v>
      </c>
      <c r="E3545">
        <v>-0.15</v>
      </c>
      <c r="F3545">
        <v>16.66</v>
      </c>
      <c r="G3545">
        <v>16.670000000000002</v>
      </c>
      <c r="H3545">
        <v>13672</v>
      </c>
      <c r="I3545">
        <v>98</v>
      </c>
      <c r="J3545">
        <v>-0.17</v>
      </c>
      <c r="K3545">
        <v>0.71</v>
      </c>
      <c r="L3545">
        <v>16.809999999999999</v>
      </c>
      <c r="M3545">
        <v>17.02</v>
      </c>
      <c r="N3545">
        <v>16.63</v>
      </c>
      <c r="O3545">
        <v>16.809999999999999</v>
      </c>
      <c r="P3545">
        <v>28.86</v>
      </c>
      <c r="Q3545">
        <v>22921412</v>
      </c>
      <c r="R3545">
        <v>0.98</v>
      </c>
      <c r="S3545" t="s">
        <v>278</v>
      </c>
      <c r="T3545" t="s">
        <v>774</v>
      </c>
      <c r="U3545">
        <v>2.3199999999999998</v>
      </c>
      <c r="V3545">
        <v>16.77</v>
      </c>
      <c r="W3545">
        <v>8366</v>
      </c>
      <c r="X3545">
        <v>5306</v>
      </c>
      <c r="Y3545">
        <v>1.58</v>
      </c>
      <c r="Z3545">
        <v>178</v>
      </c>
      <c r="AA3545">
        <v>36</v>
      </c>
      <c r="AB3545" t="s">
        <v>116</v>
      </c>
      <c r="AC3545">
        <v>52100</v>
      </c>
      <c r="AD3545">
        <v>0</v>
      </c>
      <c r="AE3545" t="s">
        <v>116</v>
      </c>
      <c r="AF3545" t="s">
        <v>116</v>
      </c>
      <c r="AG3545">
        <v>1.91</v>
      </c>
      <c r="AH3545" t="s">
        <v>14804</v>
      </c>
      <c r="AI3545" t="s">
        <v>14805</v>
      </c>
      <c r="AJ3545">
        <v>-0.82</v>
      </c>
      <c r="AK3545">
        <v>951</v>
      </c>
      <c r="AL3545">
        <v>14</v>
      </c>
      <c r="AM3545">
        <v>8.0000000000000004E-4</v>
      </c>
      <c r="AN3545">
        <v>-1</v>
      </c>
      <c r="AO3545">
        <v>0</v>
      </c>
      <c r="AP3545">
        <v>4</v>
      </c>
      <c r="AQ3545">
        <v>-13.81</v>
      </c>
      <c r="AR3545">
        <v>-12.45</v>
      </c>
      <c r="AS3545">
        <v>1.25</v>
      </c>
      <c r="AT3545" t="s">
        <v>10106</v>
      </c>
      <c r="AU3545">
        <v>30.55</v>
      </c>
      <c r="AV3545">
        <v>36.299999999999997</v>
      </c>
      <c r="AW3545">
        <v>1.76</v>
      </c>
      <c r="BA3545">
        <v>0</v>
      </c>
      <c r="BB3545">
        <v>1.25</v>
      </c>
      <c r="BC3545">
        <v>-1.07</v>
      </c>
      <c r="BD3545">
        <v>-0.26</v>
      </c>
      <c r="BE3545">
        <v>-0.89</v>
      </c>
      <c r="BF3545">
        <v>-2.12</v>
      </c>
      <c r="BG3545">
        <v>0.18</v>
      </c>
      <c r="BH3545">
        <v>-0.63</v>
      </c>
      <c r="BI3545">
        <v>20191031</v>
      </c>
      <c r="BJ3545">
        <v>20161031</v>
      </c>
      <c r="BK3545">
        <v>2.0499999999999998</v>
      </c>
      <c r="BL3545" t="s">
        <v>116</v>
      </c>
      <c r="BM3545" t="s">
        <v>116</v>
      </c>
      <c r="BN3545">
        <v>30.26</v>
      </c>
      <c r="BO3545">
        <v>15.82</v>
      </c>
      <c r="BP3545">
        <v>1.54</v>
      </c>
      <c r="BQ3545">
        <v>42.63</v>
      </c>
      <c r="BR3545">
        <v>23.12</v>
      </c>
      <c r="BS3545">
        <v>2.2799999999999998</v>
      </c>
      <c r="BT3545">
        <v>0.09</v>
      </c>
      <c r="BU3545">
        <v>12.78</v>
      </c>
      <c r="BV3545">
        <v>3.96</v>
      </c>
      <c r="BW3545">
        <v>11.07</v>
      </c>
      <c r="BX3545">
        <v>8.77</v>
      </c>
      <c r="BY3545">
        <v>13.1</v>
      </c>
      <c r="BZ3545">
        <v>9.16</v>
      </c>
      <c r="CA3545">
        <v>1.68</v>
      </c>
      <c r="CB3545">
        <v>-0.02</v>
      </c>
      <c r="CC3545">
        <v>1.65</v>
      </c>
      <c r="CD3545">
        <v>1.25</v>
      </c>
      <c r="CE3545">
        <v>0.89</v>
      </c>
      <c r="CF3545">
        <v>0.88</v>
      </c>
      <c r="CG3545">
        <v>5.55</v>
      </c>
      <c r="CH3545">
        <v>-0.54</v>
      </c>
      <c r="CI3545">
        <v>-0.66</v>
      </c>
      <c r="CJ3545">
        <v>14702</v>
      </c>
      <c r="CK3545">
        <v>7416</v>
      </c>
      <c r="CL3545" t="s">
        <v>4204</v>
      </c>
      <c r="CM3545">
        <v>24.94</v>
      </c>
      <c r="CN3545">
        <v>41.16</v>
      </c>
      <c r="CO3545">
        <v>2.16</v>
      </c>
      <c r="CP3545">
        <v>-63.44</v>
      </c>
      <c r="CQ3545">
        <v>2.61</v>
      </c>
      <c r="CR3545">
        <v>0</v>
      </c>
      <c r="CS3545" t="s">
        <v>2279</v>
      </c>
      <c r="CT3545">
        <v>7.71</v>
      </c>
      <c r="CU3545">
        <v>0</v>
      </c>
      <c r="CV3545">
        <v>4.28</v>
      </c>
      <c r="CW3545">
        <v>2.71</v>
      </c>
      <c r="CX3545">
        <v>-0.26</v>
      </c>
      <c r="CY3545">
        <v>52.29</v>
      </c>
      <c r="CZ3545" t="s">
        <v>4229</v>
      </c>
      <c r="DA3545">
        <v>30.04</v>
      </c>
      <c r="DB3545">
        <v>12.82</v>
      </c>
      <c r="DC3545">
        <v>6.78</v>
      </c>
      <c r="DD3545">
        <v>0.08</v>
      </c>
      <c r="DE3545">
        <v>1069</v>
      </c>
      <c r="DF3545">
        <v>603716</v>
      </c>
      <c r="DG3545" t="s">
        <v>116</v>
      </c>
      <c r="DH3545" t="s">
        <v>116</v>
      </c>
      <c r="DI3545" t="s">
        <v>116</v>
      </c>
    </row>
    <row r="3546" spans="1:113" x14ac:dyDescent="0.4">
      <c r="A3546" t="str">
        <f>"603717"</f>
        <v>603717</v>
      </c>
      <c r="B3546" t="s">
        <v>14806</v>
      </c>
      <c r="C3546">
        <v>0.93</v>
      </c>
      <c r="D3546">
        <v>8.64</v>
      </c>
      <c r="E3546">
        <v>0.08</v>
      </c>
      <c r="F3546">
        <v>8.6300000000000008</v>
      </c>
      <c r="G3546">
        <v>8.64</v>
      </c>
      <c r="H3546">
        <v>41726</v>
      </c>
      <c r="I3546">
        <v>1721</v>
      </c>
      <c r="J3546">
        <v>0.47</v>
      </c>
      <c r="K3546">
        <v>3.42</v>
      </c>
      <c r="L3546">
        <v>8.56</v>
      </c>
      <c r="M3546">
        <v>8.66</v>
      </c>
      <c r="N3546">
        <v>8.5500000000000007</v>
      </c>
      <c r="O3546">
        <v>8.56</v>
      </c>
      <c r="P3546">
        <v>39.130000000000003</v>
      </c>
      <c r="Q3546">
        <v>35915416</v>
      </c>
      <c r="R3546">
        <v>1.1599999999999999</v>
      </c>
      <c r="S3546" t="s">
        <v>140</v>
      </c>
      <c r="T3546" t="s">
        <v>906</v>
      </c>
      <c r="U3546">
        <v>1.29</v>
      </c>
      <c r="V3546">
        <v>8.61</v>
      </c>
      <c r="W3546">
        <v>21131</v>
      </c>
      <c r="X3546">
        <v>20595</v>
      </c>
      <c r="Y3546">
        <v>1.03</v>
      </c>
      <c r="Z3546">
        <v>117</v>
      </c>
      <c r="AA3546">
        <v>757</v>
      </c>
      <c r="AB3546" t="s">
        <v>116</v>
      </c>
      <c r="AC3546">
        <v>14600</v>
      </c>
      <c r="AD3546">
        <v>0</v>
      </c>
      <c r="AE3546" t="s">
        <v>116</v>
      </c>
      <c r="AF3546" t="s">
        <v>116</v>
      </c>
      <c r="AG3546">
        <v>1.22</v>
      </c>
      <c r="AH3546" t="s">
        <v>7444</v>
      </c>
      <c r="AI3546" t="s">
        <v>11315</v>
      </c>
      <c r="AJ3546">
        <v>1.01</v>
      </c>
      <c r="AK3546">
        <v>1169</v>
      </c>
      <c r="AL3546">
        <v>36</v>
      </c>
      <c r="AM3546">
        <v>2.8999999999999998E-3</v>
      </c>
      <c r="AN3546">
        <v>2</v>
      </c>
      <c r="AO3546">
        <v>0.57999999999999996</v>
      </c>
      <c r="AP3546">
        <v>2.61</v>
      </c>
      <c r="AQ3546">
        <v>4.3499999999999996</v>
      </c>
      <c r="AR3546">
        <v>-7</v>
      </c>
      <c r="AS3546">
        <v>3.45</v>
      </c>
      <c r="AT3546" t="s">
        <v>3885</v>
      </c>
      <c r="AU3546">
        <v>27.03</v>
      </c>
      <c r="AV3546">
        <v>22.79</v>
      </c>
      <c r="AW3546">
        <v>1.1200000000000001</v>
      </c>
      <c r="BA3546">
        <v>0</v>
      </c>
      <c r="BB3546">
        <v>1.17</v>
      </c>
      <c r="BC3546">
        <v>-0.12</v>
      </c>
      <c r="BD3546">
        <v>0.55000000000000004</v>
      </c>
      <c r="BE3546">
        <v>0.93</v>
      </c>
      <c r="BF3546">
        <v>-0.23</v>
      </c>
      <c r="BG3546">
        <v>1.05</v>
      </c>
      <c r="BH3546">
        <v>0.38</v>
      </c>
      <c r="BI3546">
        <v>20191031</v>
      </c>
      <c r="BJ3546">
        <v>20170327</v>
      </c>
      <c r="BK3546">
        <v>2.42</v>
      </c>
      <c r="BL3546" t="s">
        <v>116</v>
      </c>
      <c r="BM3546" t="s">
        <v>116</v>
      </c>
      <c r="BN3546">
        <v>33.130000000000003</v>
      </c>
      <c r="BO3546">
        <v>13.89</v>
      </c>
      <c r="BP3546">
        <v>0.33</v>
      </c>
      <c r="BQ3546">
        <v>57.08</v>
      </c>
      <c r="BR3546">
        <v>23.33</v>
      </c>
      <c r="BS3546">
        <v>1.96</v>
      </c>
      <c r="BT3546">
        <v>0.06</v>
      </c>
      <c r="BU3546">
        <v>14.14</v>
      </c>
      <c r="BV3546">
        <v>10.51</v>
      </c>
      <c r="BW3546">
        <v>6.96</v>
      </c>
      <c r="BX3546">
        <v>5.85</v>
      </c>
      <c r="BY3546">
        <v>6.15</v>
      </c>
      <c r="BZ3546">
        <v>4.17</v>
      </c>
      <c r="CA3546">
        <v>0.48</v>
      </c>
      <c r="CB3546">
        <v>0.13</v>
      </c>
      <c r="CC3546">
        <v>0.47</v>
      </c>
      <c r="CD3546">
        <v>0.4</v>
      </c>
      <c r="CE3546">
        <v>0.4</v>
      </c>
      <c r="CF3546">
        <v>0.3</v>
      </c>
      <c r="CG3546">
        <v>5.18</v>
      </c>
      <c r="CH3546">
        <v>-2.81</v>
      </c>
      <c r="CI3546">
        <v>-0.03</v>
      </c>
      <c r="CJ3546">
        <v>17834</v>
      </c>
      <c r="CK3546">
        <v>6777</v>
      </c>
      <c r="CL3546" t="s">
        <v>14807</v>
      </c>
      <c r="CM3546">
        <v>-26.4</v>
      </c>
      <c r="CN3546">
        <v>-19.41</v>
      </c>
      <c r="CO3546">
        <v>1.5</v>
      </c>
      <c r="CP3546">
        <v>-7.42</v>
      </c>
      <c r="CQ3546">
        <v>3.4</v>
      </c>
      <c r="CR3546">
        <v>0</v>
      </c>
      <c r="CS3546" t="s">
        <v>1297</v>
      </c>
      <c r="CT3546">
        <v>5.75</v>
      </c>
      <c r="CU3546">
        <v>0</v>
      </c>
      <c r="CV3546">
        <v>2.42</v>
      </c>
      <c r="CW3546">
        <v>2.14</v>
      </c>
      <c r="CX3546">
        <v>-1.1599999999999999</v>
      </c>
      <c r="CY3546">
        <v>41.93</v>
      </c>
      <c r="CZ3546" t="s">
        <v>2350</v>
      </c>
      <c r="DA3546">
        <v>32.19</v>
      </c>
      <c r="DB3546">
        <v>7.81</v>
      </c>
      <c r="DC3546">
        <v>6.51</v>
      </c>
      <c r="DD3546">
        <v>0.19</v>
      </c>
      <c r="DE3546">
        <v>697</v>
      </c>
      <c r="DF3546">
        <v>603717</v>
      </c>
      <c r="DG3546" t="s">
        <v>116</v>
      </c>
      <c r="DH3546" t="s">
        <v>116</v>
      </c>
      <c r="DI3546" t="s">
        <v>116</v>
      </c>
    </row>
    <row r="3547" spans="1:113" x14ac:dyDescent="0.4">
      <c r="A3547" t="str">
        <f>"603718"</f>
        <v>603718</v>
      </c>
      <c r="B3547" t="s">
        <v>14808</v>
      </c>
      <c r="C3547">
        <v>-1.49</v>
      </c>
      <c r="D3547">
        <v>12.55</v>
      </c>
      <c r="E3547">
        <v>-0.19</v>
      </c>
      <c r="F3547">
        <v>12.54</v>
      </c>
      <c r="G3547">
        <v>12.55</v>
      </c>
      <c r="H3547">
        <v>26685</v>
      </c>
      <c r="I3547">
        <v>804</v>
      </c>
      <c r="J3547">
        <v>-0.31</v>
      </c>
      <c r="K3547">
        <v>0.41</v>
      </c>
      <c r="L3547">
        <v>12.68</v>
      </c>
      <c r="M3547">
        <v>12.76</v>
      </c>
      <c r="N3547">
        <v>12.52</v>
      </c>
      <c r="O3547">
        <v>12.74</v>
      </c>
      <c r="P3547">
        <v>258.98</v>
      </c>
      <c r="Q3547">
        <v>33725668</v>
      </c>
      <c r="R3547">
        <v>0.83</v>
      </c>
      <c r="S3547" t="s">
        <v>132</v>
      </c>
      <c r="T3547" t="s">
        <v>1653</v>
      </c>
      <c r="U3547">
        <v>1.88</v>
      </c>
      <c r="V3547">
        <v>12.64</v>
      </c>
      <c r="W3547">
        <v>16930</v>
      </c>
      <c r="X3547">
        <v>9755</v>
      </c>
      <c r="Y3547">
        <v>1.74</v>
      </c>
      <c r="Z3547">
        <v>95</v>
      </c>
      <c r="AA3547">
        <v>256</v>
      </c>
      <c r="AB3547" t="s">
        <v>116</v>
      </c>
      <c r="AC3547">
        <v>38700</v>
      </c>
      <c r="AD3547">
        <v>0</v>
      </c>
      <c r="AE3547" t="s">
        <v>116</v>
      </c>
      <c r="AF3547" t="s">
        <v>116</v>
      </c>
      <c r="AG3547">
        <v>6.44</v>
      </c>
      <c r="AH3547" t="s">
        <v>14809</v>
      </c>
      <c r="AI3547" t="s">
        <v>14809</v>
      </c>
      <c r="AJ3547">
        <v>-1.41</v>
      </c>
      <c r="AK3547">
        <v>1414</v>
      </c>
      <c r="AL3547">
        <v>19</v>
      </c>
      <c r="AM3547">
        <v>2.9999999999999997E-4</v>
      </c>
      <c r="AN3547">
        <v>-1</v>
      </c>
      <c r="AO3547">
        <v>-1.72</v>
      </c>
      <c r="AP3547">
        <v>5.37</v>
      </c>
      <c r="AQ3547">
        <v>7.08</v>
      </c>
      <c r="AR3547">
        <v>-0.79</v>
      </c>
      <c r="AS3547">
        <v>1.34</v>
      </c>
      <c r="AT3547" t="s">
        <v>8765</v>
      </c>
      <c r="AU3547" t="s">
        <v>116</v>
      </c>
      <c r="AV3547">
        <v>379.48</v>
      </c>
      <c r="AW3547">
        <v>0.56999999999999995</v>
      </c>
      <c r="BA3547">
        <v>-0.47</v>
      </c>
      <c r="BB3547">
        <v>0.16</v>
      </c>
      <c r="BC3547">
        <v>-1.73</v>
      </c>
      <c r="BD3547">
        <v>-0.8</v>
      </c>
      <c r="BE3547">
        <v>-1.03</v>
      </c>
      <c r="BF3547">
        <v>-1.65</v>
      </c>
      <c r="BG3547">
        <v>0.24</v>
      </c>
      <c r="BH3547">
        <v>-0.69</v>
      </c>
      <c r="BI3547">
        <v>20191031</v>
      </c>
      <c r="BJ3547">
        <v>20150515</v>
      </c>
      <c r="BK3547">
        <v>6.44</v>
      </c>
      <c r="BL3547" t="s">
        <v>116</v>
      </c>
      <c r="BM3547" t="s">
        <v>116</v>
      </c>
      <c r="BN3547">
        <v>18.329999999999998</v>
      </c>
      <c r="BO3547">
        <v>10.72</v>
      </c>
      <c r="BP3547">
        <v>-0.43</v>
      </c>
      <c r="BQ3547">
        <v>43.83</v>
      </c>
      <c r="BR3547">
        <v>8.91</v>
      </c>
      <c r="BS3547">
        <v>3.81</v>
      </c>
      <c r="BT3547">
        <v>1.1499999999999999</v>
      </c>
      <c r="BU3547">
        <v>7.37</v>
      </c>
      <c r="BV3547">
        <v>1.08</v>
      </c>
      <c r="BW3547">
        <v>0.98</v>
      </c>
      <c r="BX3547">
        <v>1.47</v>
      </c>
      <c r="BY3547">
        <v>2.16</v>
      </c>
      <c r="BZ3547">
        <v>1.22</v>
      </c>
      <c r="CA3547">
        <v>0.08</v>
      </c>
      <c r="CB3547">
        <v>0.15</v>
      </c>
      <c r="CC3547">
        <v>0.08</v>
      </c>
      <c r="CD3547">
        <v>0.1</v>
      </c>
      <c r="CE3547">
        <v>0.23</v>
      </c>
      <c r="CF3547">
        <v>0.19</v>
      </c>
      <c r="CG3547">
        <v>2.08</v>
      </c>
      <c r="CH3547">
        <v>1.36</v>
      </c>
      <c r="CI3547">
        <v>-0.13</v>
      </c>
      <c r="CJ3547">
        <v>18610</v>
      </c>
      <c r="CK3547">
        <v>10663</v>
      </c>
      <c r="CL3547" t="s">
        <v>14810</v>
      </c>
      <c r="CM3547">
        <v>-49.65</v>
      </c>
      <c r="CN3547">
        <v>10.58</v>
      </c>
      <c r="CO3547">
        <v>7.54</v>
      </c>
      <c r="CP3547">
        <v>59.22</v>
      </c>
      <c r="CQ3547">
        <v>37.340000000000003</v>
      </c>
      <c r="CR3547">
        <v>0.08</v>
      </c>
      <c r="CS3547" t="s">
        <v>1223</v>
      </c>
      <c r="CT3547">
        <v>1.67</v>
      </c>
      <c r="CU3547">
        <v>0</v>
      </c>
      <c r="CV3547">
        <v>0.23</v>
      </c>
      <c r="CW3547">
        <v>0.32</v>
      </c>
      <c r="CX3547">
        <v>0.21</v>
      </c>
      <c r="CY3547">
        <v>58.51</v>
      </c>
      <c r="CZ3547" t="s">
        <v>425</v>
      </c>
      <c r="DA3547">
        <v>43.43</v>
      </c>
      <c r="DB3547">
        <v>3.74</v>
      </c>
      <c r="DC3547">
        <v>10.81</v>
      </c>
      <c r="DD3547">
        <v>0.23</v>
      </c>
      <c r="DE3547">
        <v>530</v>
      </c>
      <c r="DF3547">
        <v>603718</v>
      </c>
      <c r="DG3547" t="s">
        <v>116</v>
      </c>
      <c r="DH3547" t="s">
        <v>116</v>
      </c>
      <c r="DI3547" t="s">
        <v>116</v>
      </c>
    </row>
    <row r="3548" spans="1:113" x14ac:dyDescent="0.4">
      <c r="A3548" t="str">
        <f>"603721"</f>
        <v>603721</v>
      </c>
      <c r="B3548" t="s">
        <v>14811</v>
      </c>
      <c r="C3548">
        <v>-3.07</v>
      </c>
      <c r="D3548">
        <v>22.73</v>
      </c>
      <c r="E3548">
        <v>-0.72</v>
      </c>
      <c r="F3548">
        <v>22.73</v>
      </c>
      <c r="G3548">
        <v>22.74</v>
      </c>
      <c r="H3548">
        <v>121626</v>
      </c>
      <c r="I3548">
        <v>1083</v>
      </c>
      <c r="J3548">
        <v>0</v>
      </c>
      <c r="K3548">
        <v>19.760000000000002</v>
      </c>
      <c r="L3548">
        <v>24.1</v>
      </c>
      <c r="M3548">
        <v>25.5</v>
      </c>
      <c r="N3548">
        <v>22.5</v>
      </c>
      <c r="O3548">
        <v>23.45</v>
      </c>
      <c r="P3548" t="s">
        <v>116</v>
      </c>
      <c r="Q3548">
        <v>289815104</v>
      </c>
      <c r="R3548">
        <v>1.4</v>
      </c>
      <c r="S3548" t="s">
        <v>589</v>
      </c>
      <c r="T3548" t="s">
        <v>599</v>
      </c>
      <c r="U3548">
        <v>12.79</v>
      </c>
      <c r="V3548">
        <v>23.83</v>
      </c>
      <c r="W3548">
        <v>53737</v>
      </c>
      <c r="X3548">
        <v>67889</v>
      </c>
      <c r="Y3548">
        <v>0.79</v>
      </c>
      <c r="Z3548">
        <v>122</v>
      </c>
      <c r="AA3548">
        <v>1096</v>
      </c>
      <c r="AB3548" t="s">
        <v>116</v>
      </c>
      <c r="AC3548">
        <v>1434000</v>
      </c>
      <c r="AD3548">
        <v>0.12</v>
      </c>
      <c r="AE3548" t="s">
        <v>116</v>
      </c>
      <c r="AF3548" t="s">
        <v>116</v>
      </c>
      <c r="AG3548">
        <v>0.62</v>
      </c>
      <c r="AH3548" t="s">
        <v>1103</v>
      </c>
      <c r="AI3548" t="s">
        <v>12694</v>
      </c>
      <c r="AJ3548">
        <v>-2.99</v>
      </c>
      <c r="AK3548">
        <v>2090</v>
      </c>
      <c r="AL3548">
        <v>58</v>
      </c>
      <c r="AM3548">
        <v>9.4999999999999998E-3</v>
      </c>
      <c r="AN3548">
        <v>-1</v>
      </c>
      <c r="AO3548">
        <v>8.8699999999999992</v>
      </c>
      <c r="AP3548">
        <v>56.76</v>
      </c>
      <c r="AQ3548">
        <v>26.77</v>
      </c>
      <c r="AR3548">
        <v>108.53</v>
      </c>
      <c r="AS3548">
        <v>25.14</v>
      </c>
      <c r="AT3548" t="s">
        <v>6621</v>
      </c>
      <c r="AU3548" t="s">
        <v>116</v>
      </c>
      <c r="AV3548">
        <v>107.91</v>
      </c>
      <c r="AW3548">
        <v>0.25</v>
      </c>
      <c r="BA3548">
        <v>2.77</v>
      </c>
      <c r="BB3548">
        <v>8.74</v>
      </c>
      <c r="BC3548">
        <v>-4.05</v>
      </c>
      <c r="BD3548">
        <v>1.61</v>
      </c>
      <c r="BE3548">
        <v>-5.68</v>
      </c>
      <c r="BF3548">
        <v>-10.86</v>
      </c>
      <c r="BG3548">
        <v>1.02</v>
      </c>
      <c r="BH3548">
        <v>-4.68</v>
      </c>
      <c r="BI3548">
        <v>20191026</v>
      </c>
      <c r="BJ3548">
        <v>20170811</v>
      </c>
      <c r="BK3548">
        <v>1.3</v>
      </c>
      <c r="BL3548" t="s">
        <v>116</v>
      </c>
      <c r="BM3548" t="s">
        <v>116</v>
      </c>
      <c r="BN3548">
        <v>6.08</v>
      </c>
      <c r="BO3548">
        <v>5.13</v>
      </c>
      <c r="BP3548">
        <v>0</v>
      </c>
      <c r="BQ3548">
        <v>15.72</v>
      </c>
      <c r="BR3548">
        <v>4.25</v>
      </c>
      <c r="BS3548">
        <v>0.13</v>
      </c>
      <c r="BT3548">
        <v>0.93</v>
      </c>
      <c r="BU3548">
        <v>0.9</v>
      </c>
      <c r="BV3548">
        <v>0.74</v>
      </c>
      <c r="BW3548">
        <v>1.67</v>
      </c>
      <c r="BX3548">
        <v>2.2599999999999998</v>
      </c>
      <c r="BY3548">
        <v>1.85</v>
      </c>
      <c r="BZ3548">
        <v>1.5</v>
      </c>
      <c r="CA3548">
        <v>-0.13</v>
      </c>
      <c r="CB3548">
        <v>0</v>
      </c>
      <c r="CC3548">
        <v>-0.12</v>
      </c>
      <c r="CD3548">
        <v>-0.12</v>
      </c>
      <c r="CE3548">
        <v>-0.12</v>
      </c>
      <c r="CF3548">
        <v>-0.16</v>
      </c>
      <c r="CG3548">
        <v>1.33</v>
      </c>
      <c r="CH3548">
        <v>-0.93</v>
      </c>
      <c r="CI3548">
        <v>-1.55</v>
      </c>
      <c r="CJ3548">
        <v>7467</v>
      </c>
      <c r="CK3548">
        <v>6478</v>
      </c>
      <c r="CL3548" t="s">
        <v>14812</v>
      </c>
      <c r="CM3548">
        <v>-156.22999999999999</v>
      </c>
      <c r="CN3548">
        <v>-17.440000000000001</v>
      </c>
      <c r="CO3548">
        <v>5.76</v>
      </c>
      <c r="CP3548">
        <v>-31.89</v>
      </c>
      <c r="CQ3548">
        <v>15.93</v>
      </c>
      <c r="CR3548">
        <v>0.44</v>
      </c>
      <c r="CS3548" t="s">
        <v>4019</v>
      </c>
      <c r="CT3548">
        <v>3.94</v>
      </c>
      <c r="CU3548">
        <v>0</v>
      </c>
      <c r="CV3548">
        <v>1.74</v>
      </c>
      <c r="CW3548">
        <v>1.02</v>
      </c>
      <c r="CX3548">
        <v>-0.71</v>
      </c>
      <c r="CY3548">
        <v>84.28</v>
      </c>
      <c r="CZ3548" t="s">
        <v>14813</v>
      </c>
      <c r="DA3548">
        <v>19.190000000000001</v>
      </c>
      <c r="DB3548">
        <v>-6.75</v>
      </c>
      <c r="DC3548">
        <v>-6.28</v>
      </c>
      <c r="DD3548">
        <v>0.13</v>
      </c>
      <c r="DE3548">
        <v>479</v>
      </c>
      <c r="DF3548">
        <v>603721</v>
      </c>
      <c r="DG3548" t="s">
        <v>116</v>
      </c>
      <c r="DH3548" t="s">
        <v>116</v>
      </c>
      <c r="DI3548" t="s">
        <v>116</v>
      </c>
    </row>
    <row r="3549" spans="1:113" x14ac:dyDescent="0.4">
      <c r="A3549" t="str">
        <f>"603722"</f>
        <v>603722</v>
      </c>
      <c r="B3549" t="s">
        <v>14814</v>
      </c>
      <c r="C3549">
        <v>0.09</v>
      </c>
      <c r="D3549">
        <v>31.99</v>
      </c>
      <c r="E3549">
        <v>0.03</v>
      </c>
      <c r="F3549">
        <v>31.98</v>
      </c>
      <c r="G3549">
        <v>31.99</v>
      </c>
      <c r="H3549">
        <v>41637</v>
      </c>
      <c r="I3549">
        <v>568</v>
      </c>
      <c r="J3549">
        <v>-0.08</v>
      </c>
      <c r="K3549">
        <v>10.220000000000001</v>
      </c>
      <c r="L3549">
        <v>31.68</v>
      </c>
      <c r="M3549">
        <v>33.380000000000003</v>
      </c>
      <c r="N3549">
        <v>31.58</v>
      </c>
      <c r="O3549">
        <v>31.96</v>
      </c>
      <c r="P3549">
        <v>67.63</v>
      </c>
      <c r="Q3549">
        <v>134816384</v>
      </c>
      <c r="R3549">
        <v>0.62</v>
      </c>
      <c r="S3549" t="s">
        <v>891</v>
      </c>
      <c r="T3549" t="s">
        <v>323</v>
      </c>
      <c r="U3549">
        <v>5.63</v>
      </c>
      <c r="V3549">
        <v>32.380000000000003</v>
      </c>
      <c r="W3549">
        <v>23010</v>
      </c>
      <c r="X3549">
        <v>18627</v>
      </c>
      <c r="Y3549">
        <v>1.24</v>
      </c>
      <c r="Z3549">
        <v>1</v>
      </c>
      <c r="AA3549">
        <v>51</v>
      </c>
      <c r="AB3549" t="s">
        <v>116</v>
      </c>
      <c r="AC3549">
        <v>1938800</v>
      </c>
      <c r="AD3549">
        <v>0.15</v>
      </c>
      <c r="AE3549" t="s">
        <v>116</v>
      </c>
      <c r="AF3549" t="s">
        <v>116</v>
      </c>
      <c r="AG3549">
        <v>0.41</v>
      </c>
      <c r="AH3549" t="s">
        <v>5295</v>
      </c>
      <c r="AI3549" t="s">
        <v>14815</v>
      </c>
      <c r="AJ3549">
        <v>0.17</v>
      </c>
      <c r="AK3549">
        <v>2330</v>
      </c>
      <c r="AL3549">
        <v>18</v>
      </c>
      <c r="AM3549">
        <v>4.4000000000000003E-3</v>
      </c>
      <c r="AN3549">
        <v>3</v>
      </c>
      <c r="AO3549">
        <v>3.46</v>
      </c>
      <c r="AP3549">
        <v>39.51</v>
      </c>
      <c r="AQ3549">
        <v>30.95</v>
      </c>
      <c r="AR3549">
        <v>50.68</v>
      </c>
      <c r="AS3549">
        <v>10.220000000000001</v>
      </c>
      <c r="AT3549" t="s">
        <v>5295</v>
      </c>
      <c r="AU3549">
        <v>85.81</v>
      </c>
      <c r="AV3549">
        <v>82.98</v>
      </c>
      <c r="AW3549">
        <v>0.86</v>
      </c>
      <c r="BA3549">
        <v>-0.88</v>
      </c>
      <c r="BB3549">
        <v>4.4400000000000004</v>
      </c>
      <c r="BC3549">
        <v>-1.19</v>
      </c>
      <c r="BD3549">
        <v>1.31</v>
      </c>
      <c r="BE3549">
        <v>0.98</v>
      </c>
      <c r="BF3549">
        <v>-4.16</v>
      </c>
      <c r="BG3549">
        <v>1.3</v>
      </c>
      <c r="BH3549">
        <v>-1.22</v>
      </c>
      <c r="BI3549">
        <v>20191022</v>
      </c>
      <c r="BJ3549">
        <v>20171025</v>
      </c>
      <c r="BK3549">
        <v>0.87</v>
      </c>
      <c r="BL3549" t="s">
        <v>116</v>
      </c>
      <c r="BM3549" t="s">
        <v>116</v>
      </c>
      <c r="BN3549">
        <v>6.73</v>
      </c>
      <c r="BO3549">
        <v>5.32</v>
      </c>
      <c r="BP3549">
        <v>0</v>
      </c>
      <c r="BQ3549">
        <v>20.9</v>
      </c>
      <c r="BR3549">
        <v>3.17</v>
      </c>
      <c r="BS3549">
        <v>2.2599999999999998</v>
      </c>
      <c r="BT3549">
        <v>0.37</v>
      </c>
      <c r="BU3549">
        <v>1.34</v>
      </c>
      <c r="BV3549">
        <v>0.51</v>
      </c>
      <c r="BW3549">
        <v>0.46</v>
      </c>
      <c r="BX3549">
        <v>2.46</v>
      </c>
      <c r="BY3549">
        <v>3.85</v>
      </c>
      <c r="BZ3549">
        <v>3.16</v>
      </c>
      <c r="CA3549">
        <v>0.36</v>
      </c>
      <c r="CB3549">
        <v>0.02</v>
      </c>
      <c r="CC3549">
        <v>0.36</v>
      </c>
      <c r="CD3549">
        <v>0.31</v>
      </c>
      <c r="CE3549">
        <v>0.31</v>
      </c>
      <c r="CF3549">
        <v>0.27</v>
      </c>
      <c r="CG3549">
        <v>1.78</v>
      </c>
      <c r="CH3549">
        <v>0.48</v>
      </c>
      <c r="CI3549">
        <v>-0.09</v>
      </c>
      <c r="CJ3549">
        <v>12414</v>
      </c>
      <c r="CK3549">
        <v>3281</v>
      </c>
      <c r="CL3549" t="s">
        <v>792</v>
      </c>
      <c r="CM3549">
        <v>-3.46</v>
      </c>
      <c r="CN3549">
        <v>27.37</v>
      </c>
      <c r="CO3549">
        <v>5.21</v>
      </c>
      <c r="CP3549">
        <v>58.38</v>
      </c>
      <c r="CQ3549">
        <v>7.21</v>
      </c>
      <c r="CR3549">
        <v>0.63</v>
      </c>
      <c r="CS3549" t="s">
        <v>965</v>
      </c>
      <c r="CT3549">
        <v>6.14</v>
      </c>
      <c r="CU3549">
        <v>0</v>
      </c>
      <c r="CV3549">
        <v>2.84</v>
      </c>
      <c r="CW3549">
        <v>2.0499999999999998</v>
      </c>
      <c r="CX3549">
        <v>0.55000000000000004</v>
      </c>
      <c r="CY3549">
        <v>79.11</v>
      </c>
      <c r="CZ3549" t="s">
        <v>7424</v>
      </c>
      <c r="DA3549">
        <v>17.77</v>
      </c>
      <c r="DB3549">
        <v>9.27</v>
      </c>
      <c r="DC3549">
        <v>7.99</v>
      </c>
      <c r="DD3549">
        <v>0.13</v>
      </c>
      <c r="DE3549">
        <v>174</v>
      </c>
      <c r="DF3549">
        <v>603722</v>
      </c>
      <c r="DG3549" t="s">
        <v>116</v>
      </c>
      <c r="DH3549" t="s">
        <v>116</v>
      </c>
      <c r="DI3549" t="s">
        <v>116</v>
      </c>
    </row>
    <row r="3550" spans="1:113" x14ac:dyDescent="0.4">
      <c r="A3550" t="str">
        <f>"603725"</f>
        <v>603725</v>
      </c>
      <c r="B3550" t="s">
        <v>14816</v>
      </c>
      <c r="C3550">
        <v>-1.58</v>
      </c>
      <c r="D3550">
        <v>7.49</v>
      </c>
      <c r="E3550">
        <v>-0.12</v>
      </c>
      <c r="F3550">
        <v>7.49</v>
      </c>
      <c r="G3550">
        <v>7.51</v>
      </c>
      <c r="H3550">
        <v>12865</v>
      </c>
      <c r="I3550">
        <v>158</v>
      </c>
      <c r="J3550">
        <v>-0.26</v>
      </c>
      <c r="K3550">
        <v>0.98</v>
      </c>
      <c r="L3550">
        <v>7.61</v>
      </c>
      <c r="M3550">
        <v>7.67</v>
      </c>
      <c r="N3550">
        <v>7.49</v>
      </c>
      <c r="O3550">
        <v>7.61</v>
      </c>
      <c r="P3550">
        <v>225.72</v>
      </c>
      <c r="Q3550">
        <v>9768282</v>
      </c>
      <c r="R3550">
        <v>0.99</v>
      </c>
      <c r="S3550" t="s">
        <v>2444</v>
      </c>
      <c r="T3550" t="s">
        <v>551</v>
      </c>
      <c r="U3550">
        <v>2.37</v>
      </c>
      <c r="V3550">
        <v>7.59</v>
      </c>
      <c r="W3550">
        <v>8453</v>
      </c>
      <c r="X3550">
        <v>4412</v>
      </c>
      <c r="Y3550">
        <v>1.92</v>
      </c>
      <c r="Z3550">
        <v>3</v>
      </c>
      <c r="AA3550">
        <v>24</v>
      </c>
      <c r="AB3550" t="s">
        <v>116</v>
      </c>
      <c r="AC3550">
        <v>59400</v>
      </c>
      <c r="AD3550">
        <v>0.01</v>
      </c>
      <c r="AE3550" t="s">
        <v>116</v>
      </c>
      <c r="AF3550" t="s">
        <v>116</v>
      </c>
      <c r="AG3550">
        <v>1.32</v>
      </c>
      <c r="AH3550" t="s">
        <v>14817</v>
      </c>
      <c r="AI3550" t="s">
        <v>1505</v>
      </c>
      <c r="AJ3550">
        <v>-1.5</v>
      </c>
      <c r="AK3550">
        <v>494</v>
      </c>
      <c r="AL3550">
        <v>26</v>
      </c>
      <c r="AM3550">
        <v>2E-3</v>
      </c>
      <c r="AN3550">
        <v>-1</v>
      </c>
      <c r="AO3550">
        <v>0.26</v>
      </c>
      <c r="AP3550">
        <v>4.03</v>
      </c>
      <c r="AQ3550">
        <v>-3.23</v>
      </c>
      <c r="AR3550">
        <v>-5.0199999999999996</v>
      </c>
      <c r="AS3550">
        <v>1.06</v>
      </c>
      <c r="AT3550" t="s">
        <v>8220</v>
      </c>
      <c r="AU3550">
        <v>127.9</v>
      </c>
      <c r="AV3550">
        <v>31.39</v>
      </c>
      <c r="AW3550">
        <v>1.02</v>
      </c>
      <c r="BA3550">
        <v>0</v>
      </c>
      <c r="BB3550">
        <v>0.79</v>
      </c>
      <c r="BC3550">
        <v>-1.58</v>
      </c>
      <c r="BD3550">
        <v>-0.22</v>
      </c>
      <c r="BE3550">
        <v>-1.58</v>
      </c>
      <c r="BF3550">
        <v>-2.35</v>
      </c>
      <c r="BG3550">
        <v>0</v>
      </c>
      <c r="BH3550">
        <v>-1.35</v>
      </c>
      <c r="BI3550">
        <v>20191106</v>
      </c>
      <c r="BJ3550">
        <v>20170906</v>
      </c>
      <c r="BK3550">
        <v>2.0499999999999998</v>
      </c>
      <c r="BL3550" t="s">
        <v>116</v>
      </c>
      <c r="BM3550" t="s">
        <v>116</v>
      </c>
      <c r="BN3550">
        <v>12.52</v>
      </c>
      <c r="BO3550">
        <v>8.0299999999999994</v>
      </c>
      <c r="BP3550">
        <v>0.02</v>
      </c>
      <c r="BQ3550">
        <v>35.659999999999997</v>
      </c>
      <c r="BR3550">
        <v>6.54</v>
      </c>
      <c r="BS3550">
        <v>4.63</v>
      </c>
      <c r="BT3550">
        <v>0.36</v>
      </c>
      <c r="BU3550">
        <v>4.25</v>
      </c>
      <c r="BV3550">
        <v>1.7</v>
      </c>
      <c r="BW3550">
        <v>1.86</v>
      </c>
      <c r="BX3550">
        <v>3.64</v>
      </c>
      <c r="BY3550">
        <v>6.14</v>
      </c>
      <c r="BZ3550">
        <v>5.18</v>
      </c>
      <c r="CA3550">
        <v>0</v>
      </c>
      <c r="CB3550">
        <v>0.02</v>
      </c>
      <c r="CC3550">
        <v>0.05</v>
      </c>
      <c r="CD3550">
        <v>0.04</v>
      </c>
      <c r="CE3550">
        <v>0.05</v>
      </c>
      <c r="CF3550">
        <v>-7.0000000000000007E-2</v>
      </c>
      <c r="CG3550">
        <v>2.08</v>
      </c>
      <c r="CH3550">
        <v>0.46</v>
      </c>
      <c r="CI3550">
        <v>0.02</v>
      </c>
      <c r="CJ3550">
        <v>12894</v>
      </c>
      <c r="CK3550">
        <v>9372</v>
      </c>
      <c r="CL3550" t="s">
        <v>3080</v>
      </c>
      <c r="CM3550">
        <v>-87.86</v>
      </c>
      <c r="CN3550">
        <v>-14.97</v>
      </c>
      <c r="CO3550">
        <v>1.92</v>
      </c>
      <c r="CP3550">
        <v>33.270000000000003</v>
      </c>
      <c r="CQ3550">
        <v>2.5</v>
      </c>
      <c r="CR3550">
        <v>1.1399999999999999</v>
      </c>
      <c r="CS3550" t="s">
        <v>2913</v>
      </c>
      <c r="CT3550">
        <v>3.91</v>
      </c>
      <c r="CU3550">
        <v>0</v>
      </c>
      <c r="CV3550">
        <v>1.77</v>
      </c>
      <c r="CW3550">
        <v>1.01</v>
      </c>
      <c r="CX3550">
        <v>0.23</v>
      </c>
      <c r="CY3550">
        <v>64.16</v>
      </c>
      <c r="CZ3550" t="s">
        <v>1433</v>
      </c>
      <c r="DA3550">
        <v>15.68</v>
      </c>
      <c r="DB3550">
        <v>-0.06</v>
      </c>
      <c r="DC3550">
        <v>0.83</v>
      </c>
      <c r="DD3550">
        <v>0.22</v>
      </c>
      <c r="DE3550">
        <v>1227</v>
      </c>
      <c r="DF3550">
        <v>603725</v>
      </c>
      <c r="DG3550" t="s">
        <v>116</v>
      </c>
      <c r="DH3550" t="s">
        <v>116</v>
      </c>
      <c r="DI3550" t="s">
        <v>116</v>
      </c>
    </row>
    <row r="3551" spans="1:113" x14ac:dyDescent="0.4">
      <c r="A3551" t="str">
        <f>"603726"</f>
        <v>603726</v>
      </c>
      <c r="B3551" t="s">
        <v>14818</v>
      </c>
      <c r="C3551">
        <v>0</v>
      </c>
      <c r="D3551">
        <v>11.58</v>
      </c>
      <c r="E3551">
        <v>0</v>
      </c>
      <c r="F3551">
        <v>11.57</v>
      </c>
      <c r="G3551">
        <v>11.58</v>
      </c>
      <c r="H3551">
        <v>28376</v>
      </c>
      <c r="I3551">
        <v>253</v>
      </c>
      <c r="J3551">
        <v>0</v>
      </c>
      <c r="K3551">
        <v>1.53</v>
      </c>
      <c r="L3551">
        <v>11.6</v>
      </c>
      <c r="M3551">
        <v>11.92</v>
      </c>
      <c r="N3551">
        <v>11.56</v>
      </c>
      <c r="O3551">
        <v>11.58</v>
      </c>
      <c r="P3551">
        <v>18.8</v>
      </c>
      <c r="Q3551">
        <v>33377268</v>
      </c>
      <c r="R3551">
        <v>2.15</v>
      </c>
      <c r="S3551" t="s">
        <v>996</v>
      </c>
      <c r="T3551" t="s">
        <v>590</v>
      </c>
      <c r="U3551">
        <v>3.11</v>
      </c>
      <c r="V3551">
        <v>11.76</v>
      </c>
      <c r="W3551">
        <v>13215</v>
      </c>
      <c r="X3551">
        <v>15161</v>
      </c>
      <c r="Y3551">
        <v>0.87</v>
      </c>
      <c r="Z3551">
        <v>25</v>
      </c>
      <c r="AA3551">
        <v>8</v>
      </c>
      <c r="AB3551" t="s">
        <v>116</v>
      </c>
      <c r="AC3551">
        <v>455900</v>
      </c>
      <c r="AD3551">
        <v>0.06</v>
      </c>
      <c r="AE3551" t="s">
        <v>116</v>
      </c>
      <c r="AF3551" t="s">
        <v>116</v>
      </c>
      <c r="AG3551">
        <v>1.86</v>
      </c>
      <c r="AH3551" t="s">
        <v>5044</v>
      </c>
      <c r="AI3551" t="s">
        <v>5044</v>
      </c>
      <c r="AJ3551">
        <v>0.08</v>
      </c>
      <c r="AK3551">
        <v>1129</v>
      </c>
      <c r="AL3551">
        <v>25</v>
      </c>
      <c r="AM3551">
        <v>1.4E-3</v>
      </c>
      <c r="AN3551">
        <v>0</v>
      </c>
      <c r="AO3551">
        <v>1.49</v>
      </c>
      <c r="AP3551">
        <v>5.85</v>
      </c>
      <c r="AQ3551">
        <v>0.26</v>
      </c>
      <c r="AR3551">
        <v>-10.48</v>
      </c>
      <c r="AS3551">
        <v>4.54</v>
      </c>
      <c r="AT3551" t="s">
        <v>10043</v>
      </c>
      <c r="AU3551">
        <v>21.15</v>
      </c>
      <c r="AV3551">
        <v>19.28</v>
      </c>
      <c r="AW3551">
        <v>0.87</v>
      </c>
      <c r="BA3551">
        <v>0.17</v>
      </c>
      <c r="BB3551">
        <v>2.94</v>
      </c>
      <c r="BC3551">
        <v>-0.17</v>
      </c>
      <c r="BD3551">
        <v>1.57</v>
      </c>
      <c r="BE3551">
        <v>-0.17</v>
      </c>
      <c r="BF3551">
        <v>-2.85</v>
      </c>
      <c r="BG3551">
        <v>0.17</v>
      </c>
      <c r="BH3551">
        <v>-1.57</v>
      </c>
      <c r="BI3551">
        <v>20191029</v>
      </c>
      <c r="BJ3551">
        <v>20160421</v>
      </c>
      <c r="BK3551">
        <v>1.86</v>
      </c>
      <c r="BL3551" t="s">
        <v>116</v>
      </c>
      <c r="BM3551" t="s">
        <v>116</v>
      </c>
      <c r="BN3551">
        <v>15.91</v>
      </c>
      <c r="BO3551">
        <v>8.9499999999999993</v>
      </c>
      <c r="BP3551">
        <v>0</v>
      </c>
      <c r="BQ3551">
        <v>43.76</v>
      </c>
      <c r="BR3551">
        <v>9.2799999999999994</v>
      </c>
      <c r="BS3551">
        <v>4.09</v>
      </c>
      <c r="BT3551">
        <v>0.99</v>
      </c>
      <c r="BU3551">
        <v>6.57</v>
      </c>
      <c r="BV3551">
        <v>2.73</v>
      </c>
      <c r="BW3551">
        <v>2.94</v>
      </c>
      <c r="BX3551">
        <v>1.2</v>
      </c>
      <c r="BY3551">
        <v>12.18</v>
      </c>
      <c r="BZ3551">
        <v>9.2100000000000009</v>
      </c>
      <c r="CA3551">
        <v>1.1100000000000001</v>
      </c>
      <c r="CB3551">
        <v>0.01</v>
      </c>
      <c r="CC3551">
        <v>1.05</v>
      </c>
      <c r="CD3551">
        <v>0.86</v>
      </c>
      <c r="CE3551">
        <v>0.86</v>
      </c>
      <c r="CF3551">
        <v>0.85</v>
      </c>
      <c r="CG3551">
        <v>5.58</v>
      </c>
      <c r="CH3551">
        <v>0.76</v>
      </c>
      <c r="CI3551">
        <v>-0.13</v>
      </c>
      <c r="CJ3551">
        <v>11917</v>
      </c>
      <c r="CK3551">
        <v>5248</v>
      </c>
      <c r="CL3551" t="s">
        <v>13775</v>
      </c>
      <c r="CM3551">
        <v>-10.31</v>
      </c>
      <c r="CN3551">
        <v>0.23</v>
      </c>
      <c r="CO3551">
        <v>2.4</v>
      </c>
      <c r="CP3551">
        <v>28.33</v>
      </c>
      <c r="CQ3551">
        <v>1.77</v>
      </c>
      <c r="CR3551">
        <v>3.39</v>
      </c>
      <c r="CS3551" t="s">
        <v>14633</v>
      </c>
      <c r="CT3551">
        <v>4.82</v>
      </c>
      <c r="CU3551">
        <v>0</v>
      </c>
      <c r="CV3551">
        <v>0.65</v>
      </c>
      <c r="CW3551">
        <v>3</v>
      </c>
      <c r="CX3551">
        <v>0.41</v>
      </c>
      <c r="CY3551">
        <v>56.24</v>
      </c>
      <c r="CZ3551" t="s">
        <v>8286</v>
      </c>
      <c r="DA3551">
        <v>24.37</v>
      </c>
      <c r="DB3551">
        <v>9.1300000000000008</v>
      </c>
      <c r="DC3551">
        <v>7.05</v>
      </c>
      <c r="DD3551">
        <v>0.57999999999999996</v>
      </c>
      <c r="DE3551">
        <v>2862</v>
      </c>
      <c r="DF3551">
        <v>603726</v>
      </c>
      <c r="DG3551" t="s">
        <v>116</v>
      </c>
      <c r="DH3551" t="s">
        <v>116</v>
      </c>
      <c r="DI3551" t="s">
        <v>116</v>
      </c>
    </row>
    <row r="3552" spans="1:113" x14ac:dyDescent="0.4">
      <c r="A3552" t="str">
        <f>"603727"</f>
        <v>603727</v>
      </c>
      <c r="B3552" t="s">
        <v>14819</v>
      </c>
      <c r="C3552">
        <v>-1.57</v>
      </c>
      <c r="D3552">
        <v>18.18</v>
      </c>
      <c r="E3552">
        <v>-0.28999999999999998</v>
      </c>
      <c r="F3552">
        <v>18.18</v>
      </c>
      <c r="G3552">
        <v>18.190000000000001</v>
      </c>
      <c r="H3552">
        <v>12064</v>
      </c>
      <c r="I3552">
        <v>484</v>
      </c>
      <c r="J3552">
        <v>-0.43</v>
      </c>
      <c r="K3552">
        <v>0.52</v>
      </c>
      <c r="L3552">
        <v>18.64</v>
      </c>
      <c r="M3552">
        <v>18.64</v>
      </c>
      <c r="N3552">
        <v>18.18</v>
      </c>
      <c r="O3552">
        <v>18.47</v>
      </c>
      <c r="P3552">
        <v>137.43</v>
      </c>
      <c r="Q3552">
        <v>22043506</v>
      </c>
      <c r="R3552">
        <v>0.65</v>
      </c>
      <c r="S3552" t="s">
        <v>4171</v>
      </c>
      <c r="T3552" t="s">
        <v>1035</v>
      </c>
      <c r="U3552">
        <v>2.4900000000000002</v>
      </c>
      <c r="V3552">
        <v>18.27</v>
      </c>
      <c r="W3552">
        <v>8262</v>
      </c>
      <c r="X3552">
        <v>3802</v>
      </c>
      <c r="Y3552">
        <v>2.17</v>
      </c>
      <c r="Z3552">
        <v>8</v>
      </c>
      <c r="AA3552">
        <v>17</v>
      </c>
      <c r="AB3552" t="s">
        <v>116</v>
      </c>
      <c r="AC3552">
        <v>180800</v>
      </c>
      <c r="AD3552">
        <v>0.01</v>
      </c>
      <c r="AE3552" t="s">
        <v>116</v>
      </c>
      <c r="AF3552" t="s">
        <v>116</v>
      </c>
      <c r="AG3552">
        <v>2.34</v>
      </c>
      <c r="AH3552" t="s">
        <v>5217</v>
      </c>
      <c r="AI3552" t="s">
        <v>5217</v>
      </c>
      <c r="AJ3552">
        <v>-1.49</v>
      </c>
      <c r="AK3552">
        <v>1003</v>
      </c>
      <c r="AL3552">
        <v>12</v>
      </c>
      <c r="AM3552">
        <v>5.0000000000000001E-4</v>
      </c>
      <c r="AN3552">
        <v>-2</v>
      </c>
      <c r="AO3552">
        <v>1.39</v>
      </c>
      <c r="AP3552">
        <v>0.78</v>
      </c>
      <c r="AQ3552">
        <v>10.38</v>
      </c>
      <c r="AR3552">
        <v>47.68</v>
      </c>
      <c r="AS3552">
        <v>1.45</v>
      </c>
      <c r="AT3552" t="s">
        <v>14820</v>
      </c>
      <c r="AU3552">
        <v>71.069999999999993</v>
      </c>
      <c r="AV3552">
        <v>595.12</v>
      </c>
      <c r="AW3552">
        <v>0.95</v>
      </c>
      <c r="BA3552">
        <v>0.92</v>
      </c>
      <c r="BB3552">
        <v>0.92</v>
      </c>
      <c r="BC3552">
        <v>-1.57</v>
      </c>
      <c r="BD3552">
        <v>-1.07</v>
      </c>
      <c r="BE3552">
        <v>-2.4700000000000002</v>
      </c>
      <c r="BF3552">
        <v>-2.4700000000000002</v>
      </c>
      <c r="BG3552">
        <v>0</v>
      </c>
      <c r="BH3552">
        <v>-0.5</v>
      </c>
      <c r="BI3552">
        <v>20191121</v>
      </c>
      <c r="BJ3552">
        <v>20161122</v>
      </c>
      <c r="BK3552">
        <v>2.34</v>
      </c>
      <c r="BL3552" t="s">
        <v>116</v>
      </c>
      <c r="BM3552" t="s">
        <v>116</v>
      </c>
      <c r="BN3552">
        <v>29.78</v>
      </c>
      <c r="BO3552">
        <v>23.23</v>
      </c>
      <c r="BP3552">
        <v>0</v>
      </c>
      <c r="BQ3552">
        <v>22.01</v>
      </c>
      <c r="BR3552">
        <v>15.57</v>
      </c>
      <c r="BS3552">
        <v>7.16</v>
      </c>
      <c r="BT3552">
        <v>4.13</v>
      </c>
      <c r="BU3552">
        <v>5.62</v>
      </c>
      <c r="BV3552">
        <v>5.05</v>
      </c>
      <c r="BW3552">
        <v>2.16</v>
      </c>
      <c r="BX3552">
        <v>14.98</v>
      </c>
      <c r="BY3552">
        <v>7.68</v>
      </c>
      <c r="BZ3552">
        <v>6.84</v>
      </c>
      <c r="CA3552">
        <v>0.18</v>
      </c>
      <c r="CB3552">
        <v>0.16</v>
      </c>
      <c r="CC3552">
        <v>0.19</v>
      </c>
      <c r="CD3552">
        <v>0.23</v>
      </c>
      <c r="CE3552">
        <v>0.23</v>
      </c>
      <c r="CF3552">
        <v>0.02</v>
      </c>
      <c r="CG3552">
        <v>6.37</v>
      </c>
      <c r="CH3552">
        <v>0.74</v>
      </c>
      <c r="CI3552">
        <v>3.16</v>
      </c>
      <c r="CJ3552">
        <v>20980</v>
      </c>
      <c r="CK3552">
        <v>3964</v>
      </c>
      <c r="CL3552" t="s">
        <v>4983</v>
      </c>
      <c r="CM3552">
        <v>178.71</v>
      </c>
      <c r="CN3552">
        <v>315.27999999999997</v>
      </c>
      <c r="CO3552">
        <v>1.83</v>
      </c>
      <c r="CP3552">
        <v>57.22</v>
      </c>
      <c r="CQ3552">
        <v>5.55</v>
      </c>
      <c r="CR3552">
        <v>0.16</v>
      </c>
      <c r="CS3552" t="s">
        <v>505</v>
      </c>
      <c r="CT3552">
        <v>9.92</v>
      </c>
      <c r="CU3552">
        <v>0</v>
      </c>
      <c r="CV3552">
        <v>6.4</v>
      </c>
      <c r="CW3552">
        <v>2.72</v>
      </c>
      <c r="CX3552">
        <v>0.32</v>
      </c>
      <c r="CY3552">
        <v>77.989999999999995</v>
      </c>
      <c r="CZ3552" t="s">
        <v>6216</v>
      </c>
      <c r="DA3552">
        <v>10.83</v>
      </c>
      <c r="DB3552">
        <v>2.35</v>
      </c>
      <c r="DC3552">
        <v>3.03</v>
      </c>
      <c r="DD3552">
        <v>0.36</v>
      </c>
      <c r="DE3552">
        <v>682</v>
      </c>
      <c r="DF3552">
        <v>603727</v>
      </c>
      <c r="DG3552" t="s">
        <v>116</v>
      </c>
      <c r="DH3552" t="s">
        <v>116</v>
      </c>
      <c r="DI3552" t="s">
        <v>116</v>
      </c>
    </row>
    <row r="3553" spans="1:113" x14ac:dyDescent="0.4">
      <c r="A3553" t="str">
        <f>"603728"</f>
        <v>603728</v>
      </c>
      <c r="B3553" t="s">
        <v>14821</v>
      </c>
      <c r="C3553">
        <v>-0.72</v>
      </c>
      <c r="D3553">
        <v>11.01</v>
      </c>
      <c r="E3553">
        <v>-0.08</v>
      </c>
      <c r="F3553">
        <v>11.01</v>
      </c>
      <c r="G3553">
        <v>11.02</v>
      </c>
      <c r="H3553">
        <v>18151</v>
      </c>
      <c r="I3553">
        <v>109</v>
      </c>
      <c r="J3553">
        <v>0</v>
      </c>
      <c r="K3553">
        <v>1.03</v>
      </c>
      <c r="L3553">
        <v>11.14</v>
      </c>
      <c r="M3553">
        <v>11.24</v>
      </c>
      <c r="N3553">
        <v>11</v>
      </c>
      <c r="O3553">
        <v>11.09</v>
      </c>
      <c r="P3553">
        <v>26.73</v>
      </c>
      <c r="Q3553">
        <v>20125780</v>
      </c>
      <c r="R3553">
        <v>1.35</v>
      </c>
      <c r="S3553" t="s">
        <v>397</v>
      </c>
      <c r="T3553" t="s">
        <v>1653</v>
      </c>
      <c r="U3553">
        <v>2.16</v>
      </c>
      <c r="V3553">
        <v>11.09</v>
      </c>
      <c r="W3553">
        <v>11503</v>
      </c>
      <c r="X3553">
        <v>6648</v>
      </c>
      <c r="Y3553">
        <v>1.73</v>
      </c>
      <c r="Z3553">
        <v>432</v>
      </c>
      <c r="AA3553">
        <v>59</v>
      </c>
      <c r="AB3553" t="s">
        <v>116</v>
      </c>
      <c r="AC3553">
        <v>96900</v>
      </c>
      <c r="AD3553">
        <v>0.01</v>
      </c>
      <c r="AE3553" t="s">
        <v>116</v>
      </c>
      <c r="AF3553" t="s">
        <v>116</v>
      </c>
      <c r="AG3553">
        <v>1.76</v>
      </c>
      <c r="AH3553" t="s">
        <v>3460</v>
      </c>
      <c r="AI3553" t="s">
        <v>12892</v>
      </c>
      <c r="AJ3553">
        <v>-0.64</v>
      </c>
      <c r="AK3553">
        <v>973</v>
      </c>
      <c r="AL3553">
        <v>19</v>
      </c>
      <c r="AM3553">
        <v>1.1000000000000001E-3</v>
      </c>
      <c r="AN3553">
        <v>-1</v>
      </c>
      <c r="AO3553">
        <v>0.45</v>
      </c>
      <c r="AP3553">
        <v>5.46</v>
      </c>
      <c r="AQ3553">
        <v>-18.57</v>
      </c>
      <c r="AR3553">
        <v>-12.68</v>
      </c>
      <c r="AS3553">
        <v>1.37</v>
      </c>
      <c r="AT3553" t="s">
        <v>9579</v>
      </c>
      <c r="AU3553">
        <v>27.29</v>
      </c>
      <c r="AV3553">
        <v>27.45</v>
      </c>
      <c r="AW3553">
        <v>1.27</v>
      </c>
      <c r="BA3553">
        <v>0.45</v>
      </c>
      <c r="BB3553">
        <v>1.35</v>
      </c>
      <c r="BC3553">
        <v>-0.81</v>
      </c>
      <c r="BD3553">
        <v>-0.02</v>
      </c>
      <c r="BE3553">
        <v>-1.17</v>
      </c>
      <c r="BF3553">
        <v>-2.0499999999999998</v>
      </c>
      <c r="BG3553">
        <v>0.09</v>
      </c>
      <c r="BH3553">
        <v>-0.71</v>
      </c>
      <c r="BI3553">
        <v>20191029</v>
      </c>
      <c r="BJ3553">
        <v>20170509</v>
      </c>
      <c r="BK3553">
        <v>4.16</v>
      </c>
      <c r="BL3553" t="s">
        <v>116</v>
      </c>
      <c r="BM3553" t="s">
        <v>116</v>
      </c>
      <c r="BN3553">
        <v>25.86</v>
      </c>
      <c r="BO3553">
        <v>19.66</v>
      </c>
      <c r="BP3553">
        <v>0.01</v>
      </c>
      <c r="BQ3553">
        <v>23.93</v>
      </c>
      <c r="BR3553">
        <v>16.3</v>
      </c>
      <c r="BS3553">
        <v>2.2000000000000002</v>
      </c>
      <c r="BT3553">
        <v>1.1399999999999999</v>
      </c>
      <c r="BU3553">
        <v>5.17</v>
      </c>
      <c r="BV3553">
        <v>3.32</v>
      </c>
      <c r="BW3553">
        <v>4.22</v>
      </c>
      <c r="BX3553">
        <v>7.35</v>
      </c>
      <c r="BY3553">
        <v>15.15</v>
      </c>
      <c r="BZ3553">
        <v>9.4</v>
      </c>
      <c r="CA3553">
        <v>1.43</v>
      </c>
      <c r="CB3553">
        <v>0.05</v>
      </c>
      <c r="CC3553">
        <v>1.43</v>
      </c>
      <c r="CD3553">
        <v>1.28</v>
      </c>
      <c r="CE3553">
        <v>1.29</v>
      </c>
      <c r="CF3553">
        <v>1.17</v>
      </c>
      <c r="CG3553">
        <v>7.52</v>
      </c>
      <c r="CH3553">
        <v>1.38</v>
      </c>
      <c r="CI3553">
        <v>1.98</v>
      </c>
      <c r="CJ3553">
        <v>17372</v>
      </c>
      <c r="CK3553">
        <v>7644</v>
      </c>
      <c r="CL3553" t="s">
        <v>177</v>
      </c>
      <c r="CM3553">
        <v>0.79</v>
      </c>
      <c r="CN3553">
        <v>7.89</v>
      </c>
      <c r="CO3553">
        <v>2.33</v>
      </c>
      <c r="CP3553">
        <v>33.159999999999997</v>
      </c>
      <c r="CQ3553">
        <v>3.02</v>
      </c>
      <c r="CR3553">
        <v>0.37</v>
      </c>
      <c r="CS3553" t="s">
        <v>5378</v>
      </c>
      <c r="CT3553">
        <v>4.7300000000000004</v>
      </c>
      <c r="CU3553">
        <v>0</v>
      </c>
      <c r="CV3553">
        <v>1.77</v>
      </c>
      <c r="CW3553">
        <v>1.81</v>
      </c>
      <c r="CX3553">
        <v>0.33</v>
      </c>
      <c r="CY3553">
        <v>76.03</v>
      </c>
      <c r="CZ3553" t="s">
        <v>5232</v>
      </c>
      <c r="DA3553">
        <v>37.96</v>
      </c>
      <c r="DB3553">
        <v>9.4600000000000009</v>
      </c>
      <c r="DC3553">
        <v>8.48</v>
      </c>
      <c r="DD3553">
        <v>0.94</v>
      </c>
      <c r="DE3553">
        <v>3000</v>
      </c>
      <c r="DF3553">
        <v>603728</v>
      </c>
      <c r="DG3553" t="s">
        <v>116</v>
      </c>
      <c r="DH3553" t="s">
        <v>116</v>
      </c>
      <c r="DI3553" t="s">
        <v>116</v>
      </c>
    </row>
    <row r="3554" spans="1:113" x14ac:dyDescent="0.4">
      <c r="A3554" t="str">
        <f>"603729"</f>
        <v>603729</v>
      </c>
      <c r="B3554" t="s">
        <v>14822</v>
      </c>
      <c r="C3554">
        <v>-0.25</v>
      </c>
      <c r="D3554">
        <v>15.98</v>
      </c>
      <c r="E3554">
        <v>-0.04</v>
      </c>
      <c r="F3554">
        <v>15.98</v>
      </c>
      <c r="G3554">
        <v>16</v>
      </c>
      <c r="H3554">
        <v>26883</v>
      </c>
      <c r="I3554">
        <v>160</v>
      </c>
      <c r="J3554">
        <v>0.5</v>
      </c>
      <c r="K3554">
        <v>2.88</v>
      </c>
      <c r="L3554">
        <v>16.16</v>
      </c>
      <c r="M3554">
        <v>17.309999999999999</v>
      </c>
      <c r="N3554">
        <v>15.88</v>
      </c>
      <c r="O3554">
        <v>16.02</v>
      </c>
      <c r="P3554" t="s">
        <v>116</v>
      </c>
      <c r="Q3554">
        <v>44344460</v>
      </c>
      <c r="R3554">
        <v>2.2400000000000002</v>
      </c>
      <c r="S3554" t="s">
        <v>345</v>
      </c>
      <c r="T3554" t="s">
        <v>1653</v>
      </c>
      <c r="U3554">
        <v>8.93</v>
      </c>
      <c r="V3554">
        <v>16.5</v>
      </c>
      <c r="W3554">
        <v>13880</v>
      </c>
      <c r="X3554">
        <v>13004</v>
      </c>
      <c r="Y3554">
        <v>1.07</v>
      </c>
      <c r="Z3554">
        <v>191</v>
      </c>
      <c r="AA3554">
        <v>3</v>
      </c>
      <c r="AB3554" t="s">
        <v>116</v>
      </c>
      <c r="AC3554">
        <v>633500</v>
      </c>
      <c r="AD3554">
        <v>0.09</v>
      </c>
      <c r="AE3554" t="s">
        <v>116</v>
      </c>
      <c r="AF3554" t="s">
        <v>116</v>
      </c>
      <c r="AG3554">
        <v>0.93</v>
      </c>
      <c r="AH3554" t="s">
        <v>6800</v>
      </c>
      <c r="AI3554" t="s">
        <v>6800</v>
      </c>
      <c r="AJ3554">
        <v>-0.17</v>
      </c>
      <c r="AK3554">
        <v>1194</v>
      </c>
      <c r="AL3554">
        <v>23</v>
      </c>
      <c r="AM3554">
        <v>2.3999999999999998E-3</v>
      </c>
      <c r="AN3554">
        <v>-1</v>
      </c>
      <c r="AO3554">
        <v>-0.56000000000000005</v>
      </c>
      <c r="AP3554">
        <v>5.27</v>
      </c>
      <c r="AQ3554">
        <v>6.39</v>
      </c>
      <c r="AR3554">
        <v>3.5</v>
      </c>
      <c r="AS3554">
        <v>6.28</v>
      </c>
      <c r="AT3554" t="s">
        <v>14823</v>
      </c>
      <c r="AU3554" t="s">
        <v>116</v>
      </c>
      <c r="AV3554">
        <v>65.19</v>
      </c>
      <c r="AW3554">
        <v>1.23</v>
      </c>
      <c r="BA3554">
        <v>0.87</v>
      </c>
      <c r="BB3554">
        <v>8.0500000000000007</v>
      </c>
      <c r="BC3554">
        <v>-0.87</v>
      </c>
      <c r="BD3554">
        <v>2.97</v>
      </c>
      <c r="BE3554">
        <v>-1.1100000000000001</v>
      </c>
      <c r="BF3554">
        <v>-7.68</v>
      </c>
      <c r="BG3554">
        <v>0.63</v>
      </c>
      <c r="BH3554">
        <v>-3.22</v>
      </c>
      <c r="BI3554">
        <v>20191029</v>
      </c>
      <c r="BJ3554">
        <v>20150324</v>
      </c>
      <c r="BK3554">
        <v>0.93</v>
      </c>
      <c r="BL3554" t="s">
        <v>116</v>
      </c>
      <c r="BM3554" t="s">
        <v>116</v>
      </c>
      <c r="BN3554">
        <v>10.52</v>
      </c>
      <c r="BO3554">
        <v>8.2200000000000006</v>
      </c>
      <c r="BP3554">
        <v>0.02</v>
      </c>
      <c r="BQ3554">
        <v>21.68</v>
      </c>
      <c r="BR3554">
        <v>8</v>
      </c>
      <c r="BS3554">
        <v>0.65</v>
      </c>
      <c r="BT3554">
        <v>0.67</v>
      </c>
      <c r="BU3554">
        <v>2.2799999999999998</v>
      </c>
      <c r="BV3554">
        <v>0.04</v>
      </c>
      <c r="BW3554">
        <v>2.5099999999999998</v>
      </c>
      <c r="BX3554">
        <v>2.41</v>
      </c>
      <c r="BY3554">
        <v>4.7699999999999996</v>
      </c>
      <c r="BZ3554">
        <v>4.3</v>
      </c>
      <c r="CA3554">
        <v>-0.45</v>
      </c>
      <c r="CB3554">
        <v>-0.28000000000000003</v>
      </c>
      <c r="CC3554">
        <v>-0.45</v>
      </c>
      <c r="CD3554">
        <v>-0.5</v>
      </c>
      <c r="CE3554">
        <v>-0.49</v>
      </c>
      <c r="CF3554">
        <v>-0.19</v>
      </c>
      <c r="CG3554">
        <v>4.62</v>
      </c>
      <c r="CH3554">
        <v>1.74</v>
      </c>
      <c r="CI3554">
        <v>-1.33</v>
      </c>
      <c r="CJ3554">
        <v>10911</v>
      </c>
      <c r="CK3554">
        <v>3923</v>
      </c>
      <c r="CL3554" t="s">
        <v>6402</v>
      </c>
      <c r="CM3554">
        <v>-354.44</v>
      </c>
      <c r="CN3554">
        <v>-46.07</v>
      </c>
      <c r="CO3554">
        <v>1.81</v>
      </c>
      <c r="CP3554">
        <v>8.56</v>
      </c>
      <c r="CQ3554">
        <v>3.13</v>
      </c>
      <c r="CR3554">
        <v>0</v>
      </c>
      <c r="CS3554" t="s">
        <v>14824</v>
      </c>
      <c r="CT3554">
        <v>8.8000000000000007</v>
      </c>
      <c r="CU3554">
        <v>0</v>
      </c>
      <c r="CV3554">
        <v>2.58</v>
      </c>
      <c r="CW3554">
        <v>4.95</v>
      </c>
      <c r="CX3554">
        <v>1.87</v>
      </c>
      <c r="CY3554">
        <v>78.150000000000006</v>
      </c>
      <c r="CZ3554" t="s">
        <v>14825</v>
      </c>
      <c r="DA3554">
        <v>9.7899999999999991</v>
      </c>
      <c r="DB3554">
        <v>-9.4600000000000009</v>
      </c>
      <c r="DC3554">
        <v>-10.220000000000001</v>
      </c>
      <c r="DD3554">
        <v>0</v>
      </c>
      <c r="DE3554">
        <v>194</v>
      </c>
      <c r="DF3554">
        <v>603729</v>
      </c>
      <c r="DG3554" t="s">
        <v>116</v>
      </c>
      <c r="DH3554" t="s">
        <v>116</v>
      </c>
      <c r="DI3554" t="s">
        <v>116</v>
      </c>
    </row>
    <row r="3555" spans="1:113" x14ac:dyDescent="0.4">
      <c r="A3555" t="str">
        <f>"603730"</f>
        <v>603730</v>
      </c>
      <c r="B3555" t="s">
        <v>14826</v>
      </c>
      <c r="C3555">
        <v>-1.77</v>
      </c>
      <c r="D3555">
        <v>29.42</v>
      </c>
      <c r="E3555">
        <v>-0.53</v>
      </c>
      <c r="F3555">
        <v>29.36</v>
      </c>
      <c r="G3555">
        <v>29.42</v>
      </c>
      <c r="H3555">
        <v>30367</v>
      </c>
      <c r="I3555">
        <v>266</v>
      </c>
      <c r="J3555">
        <v>-0.09</v>
      </c>
      <c r="K3555">
        <v>4.17</v>
      </c>
      <c r="L3555">
        <v>30.04</v>
      </c>
      <c r="M3555">
        <v>30.89</v>
      </c>
      <c r="N3555">
        <v>29.1</v>
      </c>
      <c r="O3555">
        <v>29.95</v>
      </c>
      <c r="P3555">
        <v>18.41</v>
      </c>
      <c r="Q3555">
        <v>90449200</v>
      </c>
      <c r="R3555">
        <v>1.1000000000000001</v>
      </c>
      <c r="S3555" t="s">
        <v>293</v>
      </c>
      <c r="T3555" t="s">
        <v>1653</v>
      </c>
      <c r="U3555">
        <v>5.98</v>
      </c>
      <c r="V3555">
        <v>29.79</v>
      </c>
      <c r="W3555">
        <v>15516</v>
      </c>
      <c r="X3555">
        <v>14851</v>
      </c>
      <c r="Y3555">
        <v>1.04</v>
      </c>
      <c r="Z3555">
        <v>13</v>
      </c>
      <c r="AA3555">
        <v>7</v>
      </c>
      <c r="AB3555" t="s">
        <v>116</v>
      </c>
      <c r="AC3555">
        <v>315400</v>
      </c>
      <c r="AD3555">
        <v>0.01</v>
      </c>
      <c r="AE3555" t="s">
        <v>116</v>
      </c>
      <c r="AF3555" t="s">
        <v>116</v>
      </c>
      <c r="AG3555">
        <v>0.73</v>
      </c>
      <c r="AH3555" t="s">
        <v>8362</v>
      </c>
      <c r="AI3555" t="s">
        <v>14827</v>
      </c>
      <c r="AJ3555">
        <v>-1.69</v>
      </c>
      <c r="AK3555">
        <v>2307</v>
      </c>
      <c r="AL3555">
        <v>13</v>
      </c>
      <c r="AM3555">
        <v>1.8E-3</v>
      </c>
      <c r="AN3555">
        <v>-1</v>
      </c>
      <c r="AO3555">
        <v>-1.54</v>
      </c>
      <c r="AP3555">
        <v>8.84</v>
      </c>
      <c r="AQ3555">
        <v>19.11</v>
      </c>
      <c r="AR3555">
        <v>44.29</v>
      </c>
      <c r="AS3555">
        <v>4.22</v>
      </c>
      <c r="AT3555" t="s">
        <v>14828</v>
      </c>
      <c r="AU3555">
        <v>19.88</v>
      </c>
      <c r="AV3555">
        <v>21.12</v>
      </c>
      <c r="AW3555">
        <v>0.19</v>
      </c>
      <c r="BA3555">
        <v>0.3</v>
      </c>
      <c r="BB3555">
        <v>3.14</v>
      </c>
      <c r="BC3555">
        <v>-2.84</v>
      </c>
      <c r="BD3555">
        <v>-0.55000000000000004</v>
      </c>
      <c r="BE3555">
        <v>-2.06</v>
      </c>
      <c r="BF3555">
        <v>-4.76</v>
      </c>
      <c r="BG3555">
        <v>1.1000000000000001</v>
      </c>
      <c r="BH3555">
        <v>-1.22</v>
      </c>
      <c r="BI3555">
        <v>20191030</v>
      </c>
      <c r="BJ3555">
        <v>20170728</v>
      </c>
      <c r="BK3555">
        <v>4.01</v>
      </c>
      <c r="BL3555" t="s">
        <v>116</v>
      </c>
      <c r="BM3555" t="s">
        <v>116</v>
      </c>
      <c r="BN3555">
        <v>51.55</v>
      </c>
      <c r="BO3555">
        <v>36.270000000000003</v>
      </c>
      <c r="BP3555">
        <v>0.04</v>
      </c>
      <c r="BQ3555">
        <v>29.56</v>
      </c>
      <c r="BR3555">
        <v>30.3</v>
      </c>
      <c r="BS3555">
        <v>9.24</v>
      </c>
      <c r="BT3555">
        <v>3.66</v>
      </c>
      <c r="BU3555">
        <v>12.41</v>
      </c>
      <c r="BV3555">
        <v>10.66</v>
      </c>
      <c r="BW3555">
        <v>9.48</v>
      </c>
      <c r="BX3555">
        <v>9.4499999999999993</v>
      </c>
      <c r="BY3555">
        <v>37.9</v>
      </c>
      <c r="BZ3555">
        <v>26.4</v>
      </c>
      <c r="CA3555">
        <v>5.47</v>
      </c>
      <c r="CB3555">
        <v>-0.03</v>
      </c>
      <c r="CC3555">
        <v>5.76</v>
      </c>
      <c r="CD3555">
        <v>4.82</v>
      </c>
      <c r="CE3555">
        <v>4.8</v>
      </c>
      <c r="CF3555">
        <v>4.93</v>
      </c>
      <c r="CG3555">
        <v>20.5</v>
      </c>
      <c r="CH3555">
        <v>4.03</v>
      </c>
      <c r="CI3555">
        <v>0.78</v>
      </c>
      <c r="CJ3555">
        <v>11459</v>
      </c>
      <c r="CK3555">
        <v>6273</v>
      </c>
      <c r="CL3555" t="s">
        <v>14829</v>
      </c>
      <c r="CM3555">
        <v>7.78</v>
      </c>
      <c r="CN3555">
        <v>29.4</v>
      </c>
      <c r="CO3555">
        <v>3.25</v>
      </c>
      <c r="CP3555">
        <v>29.22</v>
      </c>
      <c r="CQ3555">
        <v>3.11</v>
      </c>
      <c r="CR3555">
        <v>1.7</v>
      </c>
      <c r="CS3555" t="s">
        <v>9810</v>
      </c>
      <c r="CT3555">
        <v>9.0500000000000007</v>
      </c>
      <c r="CU3555">
        <v>0</v>
      </c>
      <c r="CV3555">
        <v>2.36</v>
      </c>
      <c r="CW3555">
        <v>5.12</v>
      </c>
      <c r="CX3555">
        <v>1.01</v>
      </c>
      <c r="CY3555">
        <v>70.36</v>
      </c>
      <c r="CZ3555" t="s">
        <v>14830</v>
      </c>
      <c r="DA3555">
        <v>30.34</v>
      </c>
      <c r="DB3555">
        <v>14.44</v>
      </c>
      <c r="DC3555">
        <v>12.67</v>
      </c>
      <c r="DD3555">
        <v>1.33</v>
      </c>
      <c r="DE3555">
        <v>9036</v>
      </c>
      <c r="DF3555">
        <v>603730</v>
      </c>
      <c r="DG3555" t="s">
        <v>116</v>
      </c>
      <c r="DH3555" t="s">
        <v>116</v>
      </c>
      <c r="DI3555" t="s">
        <v>116</v>
      </c>
    </row>
    <row r="3556" spans="1:113" x14ac:dyDescent="0.4">
      <c r="A3556" t="str">
        <f>"603733"</f>
        <v>603733</v>
      </c>
      <c r="B3556" t="s">
        <v>14831</v>
      </c>
      <c r="C3556">
        <v>-0.43</v>
      </c>
      <c r="D3556">
        <v>13.9</v>
      </c>
      <c r="E3556">
        <v>-0.06</v>
      </c>
      <c r="F3556">
        <v>13.9</v>
      </c>
      <c r="G3556">
        <v>13.93</v>
      </c>
      <c r="H3556">
        <v>14660</v>
      </c>
      <c r="I3556">
        <v>156</v>
      </c>
      <c r="J3556">
        <v>-0.21</v>
      </c>
      <c r="K3556">
        <v>2.36</v>
      </c>
      <c r="L3556">
        <v>14.01</v>
      </c>
      <c r="M3556">
        <v>14.1</v>
      </c>
      <c r="N3556">
        <v>13.86</v>
      </c>
      <c r="O3556">
        <v>13.96</v>
      </c>
      <c r="P3556">
        <v>23.8</v>
      </c>
      <c r="Q3556">
        <v>20492012</v>
      </c>
      <c r="R3556">
        <v>1.42</v>
      </c>
      <c r="S3556" t="s">
        <v>824</v>
      </c>
      <c r="T3556" t="s">
        <v>590</v>
      </c>
      <c r="U3556">
        <v>1.72</v>
      </c>
      <c r="V3556">
        <v>13.98</v>
      </c>
      <c r="W3556">
        <v>7573</v>
      </c>
      <c r="X3556">
        <v>7087</v>
      </c>
      <c r="Y3556">
        <v>1.07</v>
      </c>
      <c r="Z3556">
        <v>126</v>
      </c>
      <c r="AA3556">
        <v>52</v>
      </c>
      <c r="AB3556" t="s">
        <v>116</v>
      </c>
      <c r="AC3556">
        <v>75700</v>
      </c>
      <c r="AD3556">
        <v>0.01</v>
      </c>
      <c r="AE3556" t="s">
        <v>116</v>
      </c>
      <c r="AF3556" t="s">
        <v>116</v>
      </c>
      <c r="AG3556">
        <v>0.62</v>
      </c>
      <c r="AH3556" t="s">
        <v>7439</v>
      </c>
      <c r="AI3556" t="s">
        <v>14832</v>
      </c>
      <c r="AJ3556">
        <v>-0.35</v>
      </c>
      <c r="AK3556">
        <v>1256</v>
      </c>
      <c r="AL3556">
        <v>12</v>
      </c>
      <c r="AM3556">
        <v>1.9E-3</v>
      </c>
      <c r="AN3556">
        <v>-1</v>
      </c>
      <c r="AO3556">
        <v>0.8</v>
      </c>
      <c r="AP3556">
        <v>3.5</v>
      </c>
      <c r="AQ3556">
        <v>0.72</v>
      </c>
      <c r="AR3556">
        <v>-9.27</v>
      </c>
      <c r="AS3556">
        <v>2.36</v>
      </c>
      <c r="AT3556" t="s">
        <v>7439</v>
      </c>
      <c r="AU3556">
        <v>27.42</v>
      </c>
      <c r="AV3556">
        <v>29.09</v>
      </c>
      <c r="AW3556">
        <v>0.94</v>
      </c>
      <c r="BA3556">
        <v>0.36</v>
      </c>
      <c r="BB3556">
        <v>1</v>
      </c>
      <c r="BC3556">
        <v>-0.72</v>
      </c>
      <c r="BD3556">
        <v>0.13</v>
      </c>
      <c r="BE3556">
        <v>-0.79</v>
      </c>
      <c r="BF3556">
        <v>-1.42</v>
      </c>
      <c r="BG3556">
        <v>0.28999999999999998</v>
      </c>
      <c r="BH3556">
        <v>-0.56000000000000005</v>
      </c>
      <c r="BI3556">
        <v>20191030</v>
      </c>
      <c r="BJ3556">
        <v>20180420</v>
      </c>
      <c r="BK3556">
        <v>6.12</v>
      </c>
      <c r="BL3556" t="s">
        <v>116</v>
      </c>
      <c r="BM3556" t="s">
        <v>116</v>
      </c>
      <c r="BN3556">
        <v>57.69</v>
      </c>
      <c r="BO3556">
        <v>34.4</v>
      </c>
      <c r="BP3556">
        <v>0.15</v>
      </c>
      <c r="BQ3556">
        <v>40.119999999999997</v>
      </c>
      <c r="BR3556">
        <v>25.44</v>
      </c>
      <c r="BS3556">
        <v>17.93</v>
      </c>
      <c r="BT3556">
        <v>3.98</v>
      </c>
      <c r="BU3556">
        <v>20.61</v>
      </c>
      <c r="BV3556">
        <v>10.37</v>
      </c>
      <c r="BW3556">
        <v>8.27</v>
      </c>
      <c r="BX3556">
        <v>18.850000000000001</v>
      </c>
      <c r="BY3556">
        <v>32.869999999999997</v>
      </c>
      <c r="BZ3556">
        <v>27.3</v>
      </c>
      <c r="CA3556">
        <v>3.07</v>
      </c>
      <c r="CB3556">
        <v>0.64</v>
      </c>
      <c r="CC3556">
        <v>3.07</v>
      </c>
      <c r="CD3556">
        <v>2.68</v>
      </c>
      <c r="CE3556">
        <v>2.68</v>
      </c>
      <c r="CF3556">
        <v>2.6</v>
      </c>
      <c r="CG3556">
        <v>8.6199999999999992</v>
      </c>
      <c r="CH3556">
        <v>2</v>
      </c>
      <c r="CI3556">
        <v>-0.56000000000000005</v>
      </c>
      <c r="CJ3556">
        <v>22025</v>
      </c>
      <c r="CK3556">
        <v>2815</v>
      </c>
      <c r="CL3556" t="s">
        <v>1031</v>
      </c>
      <c r="CM3556">
        <v>7.14</v>
      </c>
      <c r="CN3556">
        <v>12.62</v>
      </c>
      <c r="CO3556">
        <v>2.4700000000000002</v>
      </c>
      <c r="CP3556">
        <v>42.56</v>
      </c>
      <c r="CQ3556">
        <v>2.59</v>
      </c>
      <c r="CR3556">
        <v>0.72</v>
      </c>
      <c r="CS3556" t="s">
        <v>14833</v>
      </c>
      <c r="CT3556">
        <v>5.62</v>
      </c>
      <c r="CU3556">
        <v>0</v>
      </c>
      <c r="CV3556">
        <v>3.08</v>
      </c>
      <c r="CW3556">
        <v>1.41</v>
      </c>
      <c r="CX3556">
        <v>0.33</v>
      </c>
      <c r="CY3556">
        <v>59.63</v>
      </c>
      <c r="CZ3556" t="s">
        <v>9884</v>
      </c>
      <c r="DA3556">
        <v>16.96</v>
      </c>
      <c r="DB3556">
        <v>9.34</v>
      </c>
      <c r="DC3556">
        <v>8.16</v>
      </c>
      <c r="DD3556">
        <v>0.66</v>
      </c>
      <c r="DE3556">
        <v>3348</v>
      </c>
      <c r="DF3556">
        <v>603733</v>
      </c>
      <c r="DG3556" t="s">
        <v>116</v>
      </c>
      <c r="DH3556" t="s">
        <v>116</v>
      </c>
      <c r="DI3556" t="s">
        <v>116</v>
      </c>
    </row>
    <row r="3557" spans="1:113" x14ac:dyDescent="0.4">
      <c r="A3557" t="str">
        <f>"603737"</f>
        <v>603737</v>
      </c>
      <c r="B3557" t="s">
        <v>14834</v>
      </c>
      <c r="C3557">
        <v>0.56000000000000005</v>
      </c>
      <c r="D3557">
        <v>79.41</v>
      </c>
      <c r="E3557">
        <v>0.44</v>
      </c>
      <c r="F3557">
        <v>79.290000000000006</v>
      </c>
      <c r="G3557">
        <v>79.41</v>
      </c>
      <c r="H3557">
        <v>8538</v>
      </c>
      <c r="I3557">
        <v>40</v>
      </c>
      <c r="J3557">
        <v>-0.28000000000000003</v>
      </c>
      <c r="K3557">
        <v>0.46</v>
      </c>
      <c r="L3557">
        <v>79.97</v>
      </c>
      <c r="M3557">
        <v>80.239999999999995</v>
      </c>
      <c r="N3557">
        <v>78.5</v>
      </c>
      <c r="O3557">
        <v>78.97</v>
      </c>
      <c r="P3557">
        <v>40.76</v>
      </c>
      <c r="Q3557">
        <v>67610592</v>
      </c>
      <c r="R3557">
        <v>0.81</v>
      </c>
      <c r="S3557" t="s">
        <v>1192</v>
      </c>
      <c r="T3557" t="s">
        <v>975</v>
      </c>
      <c r="U3557">
        <v>2.2000000000000002</v>
      </c>
      <c r="V3557">
        <v>79.19</v>
      </c>
      <c r="W3557">
        <v>3693</v>
      </c>
      <c r="X3557">
        <v>4845</v>
      </c>
      <c r="Y3557">
        <v>0.76</v>
      </c>
      <c r="Z3557">
        <v>2</v>
      </c>
      <c r="AA3557">
        <v>5</v>
      </c>
      <c r="AB3557" t="s">
        <v>116</v>
      </c>
      <c r="AC3557">
        <v>446400</v>
      </c>
      <c r="AD3557">
        <v>0.01</v>
      </c>
      <c r="AE3557" t="s">
        <v>116</v>
      </c>
      <c r="AF3557" t="s">
        <v>116</v>
      </c>
      <c r="AG3557">
        <v>1.85</v>
      </c>
      <c r="AH3557" t="s">
        <v>14835</v>
      </c>
      <c r="AI3557" t="s">
        <v>14836</v>
      </c>
      <c r="AJ3557">
        <v>0.63</v>
      </c>
      <c r="AK3557">
        <v>1783</v>
      </c>
      <c r="AL3557">
        <v>5</v>
      </c>
      <c r="AM3557">
        <v>2.9999999999999997E-4</v>
      </c>
      <c r="AN3557">
        <v>1</v>
      </c>
      <c r="AO3557">
        <v>0.79</v>
      </c>
      <c r="AP3557">
        <v>-2.87</v>
      </c>
      <c r="AQ3557">
        <v>25.63</v>
      </c>
      <c r="AR3557">
        <v>210.11</v>
      </c>
      <c r="AS3557">
        <v>1.42</v>
      </c>
      <c r="AT3557" t="s">
        <v>14837</v>
      </c>
      <c r="AU3557">
        <v>40.479999999999997</v>
      </c>
      <c r="AV3557">
        <v>66.52</v>
      </c>
      <c r="AW3557">
        <v>0.06</v>
      </c>
      <c r="BA3557">
        <v>1.27</v>
      </c>
      <c r="BB3557">
        <v>1.61</v>
      </c>
      <c r="BC3557">
        <v>-0.6</v>
      </c>
      <c r="BD3557">
        <v>0.28000000000000003</v>
      </c>
      <c r="BE3557">
        <v>-0.7</v>
      </c>
      <c r="BF3557">
        <v>-1.03</v>
      </c>
      <c r="BG3557">
        <v>1.1599999999999999</v>
      </c>
      <c r="BH3557">
        <v>0.28000000000000003</v>
      </c>
      <c r="BI3557">
        <v>20191106</v>
      </c>
      <c r="BJ3557">
        <v>20160603</v>
      </c>
      <c r="BK3557">
        <v>1.86</v>
      </c>
      <c r="BL3557" t="s">
        <v>116</v>
      </c>
      <c r="BM3557" t="s">
        <v>116</v>
      </c>
      <c r="BN3557">
        <v>50.29</v>
      </c>
      <c r="BO3557">
        <v>15.48</v>
      </c>
      <c r="BP3557">
        <v>1.07</v>
      </c>
      <c r="BQ3557">
        <v>67.099999999999994</v>
      </c>
      <c r="BR3557">
        <v>29.76</v>
      </c>
      <c r="BS3557">
        <v>8.75</v>
      </c>
      <c r="BT3557">
        <v>3.22</v>
      </c>
      <c r="BU3557">
        <v>31.02</v>
      </c>
      <c r="BV3557">
        <v>4.75</v>
      </c>
      <c r="BW3557">
        <v>14.19</v>
      </c>
      <c r="BX3557">
        <v>3.52</v>
      </c>
      <c r="BY3557">
        <v>38.39</v>
      </c>
      <c r="BZ3557">
        <v>23.38</v>
      </c>
      <c r="CA3557">
        <v>3.36</v>
      </c>
      <c r="CB3557">
        <v>0.02</v>
      </c>
      <c r="CC3557">
        <v>3.27</v>
      </c>
      <c r="CD3557">
        <v>2.85</v>
      </c>
      <c r="CE3557">
        <v>2.72</v>
      </c>
      <c r="CF3557">
        <v>2.31</v>
      </c>
      <c r="CG3557">
        <v>10.07</v>
      </c>
      <c r="CH3557">
        <v>-0.34</v>
      </c>
      <c r="CI3557">
        <v>7.0000000000000007E-2</v>
      </c>
      <c r="CJ3557">
        <v>5884</v>
      </c>
      <c r="CK3557">
        <v>10241</v>
      </c>
      <c r="CL3557" t="s">
        <v>14838</v>
      </c>
      <c r="CM3557">
        <v>110.8</v>
      </c>
      <c r="CN3557">
        <v>67</v>
      </c>
      <c r="CO3557">
        <v>9.56</v>
      </c>
      <c r="CP3557">
        <v>-436.07</v>
      </c>
      <c r="CQ3557">
        <v>3.86</v>
      </c>
      <c r="CR3557">
        <v>0.46</v>
      </c>
      <c r="CS3557" t="s">
        <v>14839</v>
      </c>
      <c r="CT3557">
        <v>8.3000000000000007</v>
      </c>
      <c r="CU3557">
        <v>0</v>
      </c>
      <c r="CV3557">
        <v>1.89</v>
      </c>
      <c r="CW3557">
        <v>5.4</v>
      </c>
      <c r="CX3557">
        <v>-0.18</v>
      </c>
      <c r="CY3557">
        <v>30.78</v>
      </c>
      <c r="CZ3557" t="s">
        <v>14840</v>
      </c>
      <c r="DA3557">
        <v>39.1</v>
      </c>
      <c r="DB3557">
        <v>8.76</v>
      </c>
      <c r="DC3557">
        <v>7.09</v>
      </c>
      <c r="DD3557">
        <v>0.89</v>
      </c>
      <c r="DE3557">
        <v>3899</v>
      </c>
      <c r="DF3557">
        <v>603737</v>
      </c>
      <c r="DG3557" t="s">
        <v>116</v>
      </c>
      <c r="DH3557" t="s">
        <v>116</v>
      </c>
      <c r="DI3557" t="s">
        <v>116</v>
      </c>
    </row>
    <row r="3558" spans="1:113" x14ac:dyDescent="0.4">
      <c r="A3558" t="str">
        <f>"603738"</f>
        <v>603738</v>
      </c>
      <c r="B3558" t="s">
        <v>14841</v>
      </c>
      <c r="C3558">
        <v>-4.63</v>
      </c>
      <c r="D3558">
        <v>21.02</v>
      </c>
      <c r="E3558">
        <v>-1.02</v>
      </c>
      <c r="F3558">
        <v>21.02</v>
      </c>
      <c r="G3558">
        <v>21.03</v>
      </c>
      <c r="H3558">
        <v>166393</v>
      </c>
      <c r="I3558">
        <v>2985</v>
      </c>
      <c r="J3558">
        <v>-0.75</v>
      </c>
      <c r="K3558">
        <v>9.9600000000000009</v>
      </c>
      <c r="L3558">
        <v>22.2</v>
      </c>
      <c r="M3558">
        <v>22.45</v>
      </c>
      <c r="N3558">
        <v>20.77</v>
      </c>
      <c r="O3558">
        <v>22.04</v>
      </c>
      <c r="P3558">
        <v>435.38</v>
      </c>
      <c r="Q3558">
        <v>360679424</v>
      </c>
      <c r="R3558">
        <v>0.91</v>
      </c>
      <c r="S3558" t="s">
        <v>233</v>
      </c>
      <c r="T3558" t="s">
        <v>774</v>
      </c>
      <c r="U3558">
        <v>7.62</v>
      </c>
      <c r="V3558">
        <v>21.68</v>
      </c>
      <c r="W3558">
        <v>89040</v>
      </c>
      <c r="X3558">
        <v>77353</v>
      </c>
      <c r="Y3558">
        <v>1.1499999999999999</v>
      </c>
      <c r="Z3558">
        <v>205</v>
      </c>
      <c r="AA3558">
        <v>8</v>
      </c>
      <c r="AB3558" t="s">
        <v>116</v>
      </c>
      <c r="AC3558">
        <v>5547801</v>
      </c>
      <c r="AD3558">
        <v>0.32</v>
      </c>
      <c r="AE3558" t="s">
        <v>116</v>
      </c>
      <c r="AF3558" t="s">
        <v>116</v>
      </c>
      <c r="AG3558">
        <v>1.67</v>
      </c>
      <c r="AH3558" t="s">
        <v>2470</v>
      </c>
      <c r="AI3558" t="s">
        <v>2470</v>
      </c>
      <c r="AJ3558">
        <v>-4.55</v>
      </c>
      <c r="AK3558">
        <v>3723</v>
      </c>
      <c r="AL3558">
        <v>45</v>
      </c>
      <c r="AM3558">
        <v>2.7000000000000001E-3</v>
      </c>
      <c r="AN3558">
        <v>-1</v>
      </c>
      <c r="AO3558">
        <v>3.7</v>
      </c>
      <c r="AP3558">
        <v>39.21</v>
      </c>
      <c r="AQ3558">
        <v>3.65</v>
      </c>
      <c r="AR3558">
        <v>67.36</v>
      </c>
      <c r="AS3558">
        <v>21.57</v>
      </c>
      <c r="AT3558" t="s">
        <v>6092</v>
      </c>
      <c r="AU3558">
        <v>3633.38</v>
      </c>
      <c r="AV3558">
        <v>96.61</v>
      </c>
      <c r="AW3558">
        <v>2.13</v>
      </c>
      <c r="BA3558">
        <v>0.73</v>
      </c>
      <c r="BB3558">
        <v>1.86</v>
      </c>
      <c r="BC3558">
        <v>-5.76</v>
      </c>
      <c r="BD3558">
        <v>-1.65</v>
      </c>
      <c r="BE3558">
        <v>-5.32</v>
      </c>
      <c r="BF3558">
        <v>-6.37</v>
      </c>
      <c r="BG3558">
        <v>1.2</v>
      </c>
      <c r="BH3558">
        <v>-2.98</v>
      </c>
      <c r="BI3558">
        <v>20191106</v>
      </c>
      <c r="BJ3558">
        <v>20160928</v>
      </c>
      <c r="BK3558">
        <v>1.67</v>
      </c>
      <c r="BL3558" t="s">
        <v>116</v>
      </c>
      <c r="BM3558" t="s">
        <v>116</v>
      </c>
      <c r="BN3558">
        <v>11.89</v>
      </c>
      <c r="BO3558">
        <v>7.35</v>
      </c>
      <c r="BP3558">
        <v>0.88</v>
      </c>
      <c r="BQ3558">
        <v>30.74</v>
      </c>
      <c r="BR3558">
        <v>5.71</v>
      </c>
      <c r="BS3558">
        <v>5.2</v>
      </c>
      <c r="BT3558">
        <v>0.32</v>
      </c>
      <c r="BU3558">
        <v>2.7</v>
      </c>
      <c r="BV3558">
        <v>1.39</v>
      </c>
      <c r="BW3558">
        <v>2.48</v>
      </c>
      <c r="BX3558">
        <v>3.05</v>
      </c>
      <c r="BY3558">
        <v>4.1900000000000004</v>
      </c>
      <c r="BZ3558">
        <v>3.39</v>
      </c>
      <c r="CA3558">
        <v>0.14000000000000001</v>
      </c>
      <c r="CB3558">
        <v>0</v>
      </c>
      <c r="CC3558">
        <v>0.14000000000000001</v>
      </c>
      <c r="CD3558">
        <v>7.0000000000000007E-2</v>
      </c>
      <c r="CE3558">
        <v>0.06</v>
      </c>
      <c r="CF3558">
        <v>0.03</v>
      </c>
      <c r="CG3558">
        <v>2.2599999999999998</v>
      </c>
      <c r="CH3558">
        <v>1.38</v>
      </c>
      <c r="CI3558">
        <v>0.53</v>
      </c>
      <c r="CJ3558">
        <v>31379</v>
      </c>
      <c r="CK3558">
        <v>2458</v>
      </c>
      <c r="CL3558" t="s">
        <v>5173</v>
      </c>
      <c r="CM3558">
        <v>-85.4</v>
      </c>
      <c r="CN3558">
        <v>-10.39</v>
      </c>
      <c r="CO3558">
        <v>4.8499999999999996</v>
      </c>
      <c r="CP3558">
        <v>25.42</v>
      </c>
      <c r="CQ3558">
        <v>8.39</v>
      </c>
      <c r="CR3558">
        <v>0.41</v>
      </c>
      <c r="CS3558" t="s">
        <v>1223</v>
      </c>
      <c r="CT3558">
        <v>4.33</v>
      </c>
      <c r="CU3558">
        <v>4.33</v>
      </c>
      <c r="CV3558">
        <v>1.83</v>
      </c>
      <c r="CW3558">
        <v>1.35</v>
      </c>
      <c r="CX3558">
        <v>0.83</v>
      </c>
      <c r="CY3558">
        <v>61.82</v>
      </c>
      <c r="CZ3558" t="s">
        <v>4131</v>
      </c>
      <c r="DA3558">
        <v>19.04</v>
      </c>
      <c r="DB3558">
        <v>3.31</v>
      </c>
      <c r="DC3558">
        <v>1.44</v>
      </c>
      <c r="DD3558">
        <v>0.18</v>
      </c>
      <c r="DE3558">
        <v>1576</v>
      </c>
      <c r="DF3558">
        <v>603738</v>
      </c>
      <c r="DG3558" t="s">
        <v>116</v>
      </c>
      <c r="DH3558" t="s">
        <v>116</v>
      </c>
      <c r="DI3558" t="s">
        <v>116</v>
      </c>
    </row>
    <row r="3559" spans="1:113" x14ac:dyDescent="0.4">
      <c r="A3559" t="str">
        <f>"603739"</f>
        <v>603739</v>
      </c>
      <c r="B3559" t="s">
        <v>14842</v>
      </c>
      <c r="C3559">
        <v>-0.12</v>
      </c>
      <c r="D3559">
        <v>24.63</v>
      </c>
      <c r="E3559">
        <v>-0.03</v>
      </c>
      <c r="F3559">
        <v>24.62</v>
      </c>
      <c r="G3559">
        <v>24.63</v>
      </c>
      <c r="H3559">
        <v>13102</v>
      </c>
      <c r="I3559">
        <v>267</v>
      </c>
      <c r="J3559">
        <v>-0.15</v>
      </c>
      <c r="K3559">
        <v>3.39</v>
      </c>
      <c r="L3559">
        <v>24.64</v>
      </c>
      <c r="M3559">
        <v>24.9</v>
      </c>
      <c r="N3559">
        <v>24.56</v>
      </c>
      <c r="O3559">
        <v>24.66</v>
      </c>
      <c r="P3559">
        <v>59.75</v>
      </c>
      <c r="Q3559">
        <v>32392594</v>
      </c>
      <c r="R3559">
        <v>0.74</v>
      </c>
      <c r="S3559" t="s">
        <v>449</v>
      </c>
      <c r="T3559" t="s">
        <v>645</v>
      </c>
      <c r="U3559">
        <v>1.38</v>
      </c>
      <c r="V3559">
        <v>24.72</v>
      </c>
      <c r="W3559">
        <v>6848</v>
      </c>
      <c r="X3559">
        <v>6254</v>
      </c>
      <c r="Y3559">
        <v>1.0900000000000001</v>
      </c>
      <c r="Z3559">
        <v>8</v>
      </c>
      <c r="AA3559">
        <v>5</v>
      </c>
      <c r="AB3559" t="s">
        <v>116</v>
      </c>
      <c r="AC3559">
        <v>37000</v>
      </c>
      <c r="AD3559">
        <v>0</v>
      </c>
      <c r="AE3559" t="s">
        <v>116</v>
      </c>
      <c r="AF3559" t="s">
        <v>116</v>
      </c>
      <c r="AG3559">
        <v>0.39</v>
      </c>
      <c r="AH3559" t="s">
        <v>6234</v>
      </c>
      <c r="AI3559" t="s">
        <v>12117</v>
      </c>
      <c r="AJ3559">
        <v>-0.04</v>
      </c>
      <c r="AK3559">
        <v>1055</v>
      </c>
      <c r="AL3559">
        <v>12</v>
      </c>
      <c r="AM3559">
        <v>3.2000000000000002E-3</v>
      </c>
      <c r="AN3559">
        <v>-1</v>
      </c>
      <c r="AO3559">
        <v>-0.12</v>
      </c>
      <c r="AP3559">
        <v>2.0699999999999998</v>
      </c>
      <c r="AQ3559">
        <v>-12.57</v>
      </c>
      <c r="AR3559">
        <v>146.55000000000001</v>
      </c>
      <c r="AS3559">
        <v>3.39</v>
      </c>
      <c r="AT3559" t="s">
        <v>6234</v>
      </c>
      <c r="AU3559">
        <v>48.29</v>
      </c>
      <c r="AV3559">
        <v>45.69</v>
      </c>
      <c r="AW3559">
        <v>0.71</v>
      </c>
      <c r="BA3559">
        <v>-0.08</v>
      </c>
      <c r="BB3559">
        <v>0.97</v>
      </c>
      <c r="BC3559">
        <v>-0.41</v>
      </c>
      <c r="BD3559">
        <v>0.26</v>
      </c>
      <c r="BE3559">
        <v>-0.04</v>
      </c>
      <c r="BF3559">
        <v>-1.08</v>
      </c>
      <c r="BG3559">
        <v>0.28999999999999998</v>
      </c>
      <c r="BH3559">
        <v>-0.38</v>
      </c>
      <c r="BI3559">
        <v>20191029</v>
      </c>
      <c r="BJ3559">
        <v>20190116</v>
      </c>
      <c r="BK3559">
        <v>1.55</v>
      </c>
      <c r="BL3559" t="s">
        <v>116</v>
      </c>
      <c r="BM3559" t="s">
        <v>116</v>
      </c>
      <c r="BN3559">
        <v>12.51</v>
      </c>
      <c r="BO3559">
        <v>9.34</v>
      </c>
      <c r="BP3559">
        <v>0.69</v>
      </c>
      <c r="BQ3559">
        <v>19.809999999999999</v>
      </c>
      <c r="BR3559">
        <v>7.49</v>
      </c>
      <c r="BS3559">
        <v>2.2999999999999998</v>
      </c>
      <c r="BT3559">
        <v>0.74</v>
      </c>
      <c r="BU3559">
        <v>1.79</v>
      </c>
      <c r="BV3559">
        <v>1.08</v>
      </c>
      <c r="BW3559">
        <v>1.92</v>
      </c>
      <c r="BX3559">
        <v>3.09</v>
      </c>
      <c r="BY3559">
        <v>6.17</v>
      </c>
      <c r="BZ3559">
        <v>3.22</v>
      </c>
      <c r="CA3559">
        <v>0.6</v>
      </c>
      <c r="CB3559">
        <v>0.06</v>
      </c>
      <c r="CC3559">
        <v>0.65</v>
      </c>
      <c r="CD3559">
        <v>0.56999999999999995</v>
      </c>
      <c r="CE3559">
        <v>0.48</v>
      </c>
      <c r="CF3559">
        <v>0.31</v>
      </c>
      <c r="CG3559">
        <v>4.3600000000000003</v>
      </c>
      <c r="CH3559">
        <v>0.03</v>
      </c>
      <c r="CI3559">
        <v>-0.2</v>
      </c>
      <c r="CJ3559">
        <v>17243</v>
      </c>
      <c r="CK3559">
        <v>2242</v>
      </c>
      <c r="CL3559" t="s">
        <v>2260</v>
      </c>
      <c r="CM3559">
        <v>-8.59</v>
      </c>
      <c r="CN3559">
        <v>4.46</v>
      </c>
      <c r="CO3559">
        <v>4.08</v>
      </c>
      <c r="CP3559">
        <v>1394.64</v>
      </c>
      <c r="CQ3559">
        <v>6.17</v>
      </c>
      <c r="CR3559">
        <v>0.81</v>
      </c>
      <c r="CS3559" t="s">
        <v>3311</v>
      </c>
      <c r="CT3559">
        <v>6.04</v>
      </c>
      <c r="CU3559">
        <v>0</v>
      </c>
      <c r="CV3559">
        <v>2</v>
      </c>
      <c r="CW3559">
        <v>2.82</v>
      </c>
      <c r="CX3559">
        <v>0.02</v>
      </c>
      <c r="CY3559">
        <v>74.67</v>
      </c>
      <c r="CZ3559" t="s">
        <v>5435</v>
      </c>
      <c r="DA3559">
        <v>47.88</v>
      </c>
      <c r="DB3559">
        <v>9.69</v>
      </c>
      <c r="DC3559">
        <v>7.75</v>
      </c>
      <c r="DD3559">
        <v>0.59</v>
      </c>
      <c r="DE3559">
        <v>1354</v>
      </c>
      <c r="DF3559">
        <v>603739</v>
      </c>
      <c r="DG3559" t="s">
        <v>116</v>
      </c>
      <c r="DH3559" t="s">
        <v>116</v>
      </c>
      <c r="DI3559" t="s">
        <v>116</v>
      </c>
    </row>
    <row r="3560" spans="1:113" x14ac:dyDescent="0.4">
      <c r="A3560" t="str">
        <f>"603755"</f>
        <v>603755</v>
      </c>
      <c r="B3560" t="s">
        <v>14843</v>
      </c>
      <c r="C3560">
        <v>6.06</v>
      </c>
      <c r="D3560">
        <v>50.02</v>
      </c>
      <c r="E3560">
        <v>2.86</v>
      </c>
      <c r="F3560">
        <v>50.02</v>
      </c>
      <c r="G3560">
        <v>50.03</v>
      </c>
      <c r="H3560">
        <v>16983</v>
      </c>
      <c r="I3560">
        <v>185</v>
      </c>
      <c r="J3560">
        <v>-0.15</v>
      </c>
      <c r="K3560">
        <v>6.89</v>
      </c>
      <c r="L3560">
        <v>47.16</v>
      </c>
      <c r="M3560">
        <v>51.51</v>
      </c>
      <c r="N3560">
        <v>47.16</v>
      </c>
      <c r="O3560">
        <v>47.16</v>
      </c>
      <c r="P3560">
        <v>66.540000000000006</v>
      </c>
      <c r="Q3560">
        <v>83675600</v>
      </c>
      <c r="R3560">
        <v>2.2799999999999998</v>
      </c>
      <c r="S3560" t="s">
        <v>863</v>
      </c>
      <c r="T3560" t="s">
        <v>645</v>
      </c>
      <c r="U3560">
        <v>9.2200000000000006</v>
      </c>
      <c r="V3560">
        <v>49.27</v>
      </c>
      <c r="W3560">
        <v>6998</v>
      </c>
      <c r="X3560">
        <v>9985</v>
      </c>
      <c r="Y3560">
        <v>0.7</v>
      </c>
      <c r="Z3560">
        <v>62</v>
      </c>
      <c r="AA3560">
        <v>54</v>
      </c>
      <c r="AB3560" t="s">
        <v>116</v>
      </c>
      <c r="AC3560">
        <v>265700</v>
      </c>
      <c r="AD3560">
        <v>0.02</v>
      </c>
      <c r="AE3560" t="s">
        <v>116</v>
      </c>
      <c r="AF3560" t="s">
        <v>116</v>
      </c>
      <c r="AG3560">
        <v>0.25</v>
      </c>
      <c r="AH3560" t="s">
        <v>1493</v>
      </c>
      <c r="AI3560" t="s">
        <v>14844</v>
      </c>
      <c r="AJ3560">
        <v>6.14</v>
      </c>
      <c r="AK3560">
        <v>2068</v>
      </c>
      <c r="AL3560">
        <v>8</v>
      </c>
      <c r="AM3560">
        <v>3.3E-3</v>
      </c>
      <c r="AN3560">
        <v>2</v>
      </c>
      <c r="AO3560">
        <v>5.21</v>
      </c>
      <c r="AP3560">
        <v>5.31</v>
      </c>
      <c r="AQ3560">
        <v>12.66</v>
      </c>
      <c r="AR3560">
        <v>218.6</v>
      </c>
      <c r="AS3560">
        <v>6.89</v>
      </c>
      <c r="AT3560" t="s">
        <v>1493</v>
      </c>
      <c r="AU3560">
        <v>61.39</v>
      </c>
      <c r="AV3560">
        <v>70.66</v>
      </c>
      <c r="AW3560">
        <v>0.95</v>
      </c>
      <c r="BA3560">
        <v>0</v>
      </c>
      <c r="BB3560">
        <v>9.2200000000000006</v>
      </c>
      <c r="BC3560">
        <v>0</v>
      </c>
      <c r="BD3560">
        <v>4.47</v>
      </c>
      <c r="BE3560">
        <v>6.06</v>
      </c>
      <c r="BF3560">
        <v>-2.89</v>
      </c>
      <c r="BG3560">
        <v>6.06</v>
      </c>
      <c r="BH3560">
        <v>1.59</v>
      </c>
      <c r="BI3560">
        <v>20191029</v>
      </c>
      <c r="BJ3560">
        <v>20190828</v>
      </c>
      <c r="BK3560">
        <v>0.99</v>
      </c>
      <c r="BL3560" t="s">
        <v>116</v>
      </c>
      <c r="BM3560" t="s">
        <v>116</v>
      </c>
      <c r="BN3560">
        <v>5.95</v>
      </c>
      <c r="BO3560">
        <v>5.52</v>
      </c>
      <c r="BP3560">
        <v>0</v>
      </c>
      <c r="BQ3560">
        <v>7.19</v>
      </c>
      <c r="BR3560">
        <v>5.46</v>
      </c>
      <c r="BS3560">
        <v>0.45</v>
      </c>
      <c r="BT3560">
        <v>0.03</v>
      </c>
      <c r="BU3560">
        <v>0.42</v>
      </c>
      <c r="BV3560">
        <v>0.25</v>
      </c>
      <c r="BW3560">
        <v>0.57999999999999996</v>
      </c>
      <c r="BX3560">
        <v>3.47</v>
      </c>
      <c r="BY3560">
        <v>2.02</v>
      </c>
      <c r="BZ3560">
        <v>1</v>
      </c>
      <c r="CA3560">
        <v>0.66</v>
      </c>
      <c r="CB3560">
        <v>0</v>
      </c>
      <c r="CC3560">
        <v>0.66</v>
      </c>
      <c r="CD3560">
        <v>0.56000000000000005</v>
      </c>
      <c r="CE3560">
        <v>0.56000000000000005</v>
      </c>
      <c r="CF3560">
        <v>0.55000000000000004</v>
      </c>
      <c r="CG3560">
        <v>0.91</v>
      </c>
      <c r="CH3560">
        <v>0.3</v>
      </c>
      <c r="CI3560">
        <v>-0.26</v>
      </c>
      <c r="CJ3560">
        <v>13575</v>
      </c>
      <c r="CK3560">
        <v>1817</v>
      </c>
      <c r="CL3560" t="s">
        <v>7274</v>
      </c>
      <c r="CM3560">
        <v>0</v>
      </c>
      <c r="CN3560">
        <v>0</v>
      </c>
      <c r="CO3560">
        <v>8.93</v>
      </c>
      <c r="CP3560">
        <v>166.46</v>
      </c>
      <c r="CQ3560">
        <v>24.45</v>
      </c>
      <c r="CR3560">
        <v>0</v>
      </c>
      <c r="CS3560" t="s">
        <v>3684</v>
      </c>
      <c r="CT3560">
        <v>5.6</v>
      </c>
      <c r="CU3560">
        <v>0</v>
      </c>
      <c r="CV3560">
        <v>3.52</v>
      </c>
      <c r="CW3560">
        <v>0.92</v>
      </c>
      <c r="CX3560">
        <v>0.3</v>
      </c>
      <c r="CY3560">
        <v>92.81</v>
      </c>
      <c r="CZ3560" t="s">
        <v>10523</v>
      </c>
      <c r="DA3560">
        <v>50.54</v>
      </c>
      <c r="DB3560">
        <v>32.61</v>
      </c>
      <c r="DC3560">
        <v>27.56</v>
      </c>
      <c r="DD3560">
        <v>7.0000000000000007E-2</v>
      </c>
      <c r="DE3560">
        <v>297</v>
      </c>
      <c r="DF3560">
        <v>603755</v>
      </c>
      <c r="DG3560" t="s">
        <v>116</v>
      </c>
      <c r="DH3560" t="s">
        <v>116</v>
      </c>
      <c r="DI3560" t="s">
        <v>116</v>
      </c>
    </row>
    <row r="3561" spans="1:113" x14ac:dyDescent="0.4">
      <c r="A3561" t="str">
        <f>"603757"</f>
        <v>603757</v>
      </c>
      <c r="B3561" t="s">
        <v>14845</v>
      </c>
      <c r="C3561">
        <v>-1.23</v>
      </c>
      <c r="D3561">
        <v>15.29</v>
      </c>
      <c r="E3561">
        <v>-0.19</v>
      </c>
      <c r="F3561">
        <v>15.27</v>
      </c>
      <c r="G3561">
        <v>15.29</v>
      </c>
      <c r="H3561">
        <v>16547</v>
      </c>
      <c r="I3561">
        <v>111</v>
      </c>
      <c r="J3561">
        <v>-0.19</v>
      </c>
      <c r="K3561">
        <v>3.38</v>
      </c>
      <c r="L3561">
        <v>15.46</v>
      </c>
      <c r="M3561">
        <v>15.57</v>
      </c>
      <c r="N3561">
        <v>15.21</v>
      </c>
      <c r="O3561">
        <v>15.48</v>
      </c>
      <c r="P3561">
        <v>13.83</v>
      </c>
      <c r="Q3561">
        <v>25576352</v>
      </c>
      <c r="R3561">
        <v>1.1499999999999999</v>
      </c>
      <c r="S3561" t="s">
        <v>682</v>
      </c>
      <c r="T3561" t="s">
        <v>590</v>
      </c>
      <c r="U3561">
        <v>2.33</v>
      </c>
      <c r="V3561">
        <v>15.46</v>
      </c>
      <c r="W3561">
        <v>8859</v>
      </c>
      <c r="X3561">
        <v>7688</v>
      </c>
      <c r="Y3561">
        <v>1.1499999999999999</v>
      </c>
      <c r="Z3561">
        <v>5</v>
      </c>
      <c r="AA3561">
        <v>15</v>
      </c>
      <c r="AB3561" t="s">
        <v>116</v>
      </c>
      <c r="AC3561">
        <v>296800</v>
      </c>
      <c r="AD3561">
        <v>0.04</v>
      </c>
      <c r="AE3561" t="s">
        <v>116</v>
      </c>
      <c r="AF3561" t="s">
        <v>116</v>
      </c>
      <c r="AG3561">
        <v>0.49</v>
      </c>
      <c r="AH3561" t="s">
        <v>9860</v>
      </c>
      <c r="AI3561" t="s">
        <v>9324</v>
      </c>
      <c r="AJ3561">
        <v>-1.1499999999999999</v>
      </c>
      <c r="AK3561">
        <v>1179</v>
      </c>
      <c r="AL3561">
        <v>14</v>
      </c>
      <c r="AM3561">
        <v>2.8999999999999998E-3</v>
      </c>
      <c r="AN3561">
        <v>-3</v>
      </c>
      <c r="AO3561">
        <v>-1.67</v>
      </c>
      <c r="AP3561">
        <v>-2.98</v>
      </c>
      <c r="AQ3561">
        <v>-2.4900000000000002</v>
      </c>
      <c r="AR3561">
        <v>16.59</v>
      </c>
      <c r="AS3561">
        <v>3.38</v>
      </c>
      <c r="AT3561" t="s">
        <v>9860</v>
      </c>
      <c r="AU3561">
        <v>15.42</v>
      </c>
      <c r="AV3561">
        <v>14.99</v>
      </c>
      <c r="AW3561">
        <v>0.77</v>
      </c>
      <c r="BA3561">
        <v>-0.13</v>
      </c>
      <c r="BB3561">
        <v>0.57999999999999996</v>
      </c>
      <c r="BC3561">
        <v>-1.74</v>
      </c>
      <c r="BD3561">
        <v>-0.15</v>
      </c>
      <c r="BE3561">
        <v>-1.1000000000000001</v>
      </c>
      <c r="BF3561">
        <v>-1.8</v>
      </c>
      <c r="BG3561">
        <v>0.53</v>
      </c>
      <c r="BH3561">
        <v>-1.08</v>
      </c>
      <c r="BI3561">
        <v>20191026</v>
      </c>
      <c r="BJ3561">
        <v>20170711</v>
      </c>
      <c r="BK3561">
        <v>1.64</v>
      </c>
      <c r="BL3561" t="s">
        <v>116</v>
      </c>
      <c r="BM3561" t="s">
        <v>116</v>
      </c>
      <c r="BN3561">
        <v>13.93</v>
      </c>
      <c r="BO3561">
        <v>10.91</v>
      </c>
      <c r="BP3561">
        <v>0</v>
      </c>
      <c r="BQ3561">
        <v>21.71</v>
      </c>
      <c r="BR3561">
        <v>10.51</v>
      </c>
      <c r="BS3561">
        <v>3.05</v>
      </c>
      <c r="BT3561">
        <v>0.23</v>
      </c>
      <c r="BU3561">
        <v>2.83</v>
      </c>
      <c r="BV3561">
        <v>1.65</v>
      </c>
      <c r="BW3561">
        <v>2.04</v>
      </c>
      <c r="BX3561">
        <v>4.12</v>
      </c>
      <c r="BY3561">
        <v>8.43</v>
      </c>
      <c r="BZ3561">
        <v>5.84</v>
      </c>
      <c r="CA3561">
        <v>1.56</v>
      </c>
      <c r="CB3561">
        <v>0.06</v>
      </c>
      <c r="CC3561">
        <v>1.56</v>
      </c>
      <c r="CD3561">
        <v>1.36</v>
      </c>
      <c r="CE3561">
        <v>1.36</v>
      </c>
      <c r="CF3561">
        <v>1.23</v>
      </c>
      <c r="CG3561">
        <v>4.87</v>
      </c>
      <c r="CH3561">
        <v>2.08</v>
      </c>
      <c r="CI3561">
        <v>-0.35</v>
      </c>
      <c r="CJ3561">
        <v>8233</v>
      </c>
      <c r="CK3561">
        <v>5952</v>
      </c>
      <c r="CL3561" t="s">
        <v>7668</v>
      </c>
      <c r="CM3561">
        <v>-3.3</v>
      </c>
      <c r="CN3561">
        <v>-0.98</v>
      </c>
      <c r="CO3561">
        <v>2.2999999999999998</v>
      </c>
      <c r="CP3561">
        <v>12.06</v>
      </c>
      <c r="CQ3561">
        <v>2.98</v>
      </c>
      <c r="CR3561">
        <v>2.1</v>
      </c>
      <c r="CS3561" t="s">
        <v>14846</v>
      </c>
      <c r="CT3561">
        <v>6.64</v>
      </c>
      <c r="CU3561">
        <v>0</v>
      </c>
      <c r="CV3561">
        <v>2.5099999999999998</v>
      </c>
      <c r="CW3561">
        <v>2.96</v>
      </c>
      <c r="CX3561">
        <v>1.27</v>
      </c>
      <c r="CY3561">
        <v>78.290000000000006</v>
      </c>
      <c r="CZ3561" t="s">
        <v>14138</v>
      </c>
      <c r="DA3561">
        <v>30.68</v>
      </c>
      <c r="DB3561">
        <v>18.48</v>
      </c>
      <c r="DC3561">
        <v>16.149999999999999</v>
      </c>
      <c r="DD3561">
        <v>0.32</v>
      </c>
      <c r="DE3561">
        <v>1581</v>
      </c>
      <c r="DF3561">
        <v>603757</v>
      </c>
      <c r="DG3561" t="s">
        <v>116</v>
      </c>
      <c r="DH3561" t="s">
        <v>116</v>
      </c>
      <c r="DI3561" t="s">
        <v>116</v>
      </c>
    </row>
    <row r="3562" spans="1:113" x14ac:dyDescent="0.4">
      <c r="A3562" t="str">
        <f>"603758"</f>
        <v>603758</v>
      </c>
      <c r="B3562" t="s">
        <v>14847</v>
      </c>
      <c r="C3562">
        <v>-1.32</v>
      </c>
      <c r="D3562">
        <v>5.97</v>
      </c>
      <c r="E3562">
        <v>-0.08</v>
      </c>
      <c r="F3562">
        <v>5.97</v>
      </c>
      <c r="G3562">
        <v>5.98</v>
      </c>
      <c r="H3562">
        <v>26602</v>
      </c>
      <c r="I3562">
        <v>136</v>
      </c>
      <c r="J3562">
        <v>0</v>
      </c>
      <c r="K3562">
        <v>1.76</v>
      </c>
      <c r="L3562">
        <v>6.05</v>
      </c>
      <c r="M3562">
        <v>6.15</v>
      </c>
      <c r="N3562">
        <v>5.96</v>
      </c>
      <c r="O3562">
        <v>6.05</v>
      </c>
      <c r="P3562" t="s">
        <v>116</v>
      </c>
      <c r="Q3562">
        <v>16027762</v>
      </c>
      <c r="R3562">
        <v>1.3</v>
      </c>
      <c r="S3562" t="s">
        <v>293</v>
      </c>
      <c r="T3562" t="s">
        <v>906</v>
      </c>
      <c r="U3562">
        <v>3.14</v>
      </c>
      <c r="V3562">
        <v>6.03</v>
      </c>
      <c r="W3562">
        <v>17894</v>
      </c>
      <c r="X3562">
        <v>8708</v>
      </c>
      <c r="Y3562">
        <v>2.0499999999999998</v>
      </c>
      <c r="Z3562">
        <v>323</v>
      </c>
      <c r="AA3562">
        <v>214</v>
      </c>
      <c r="AB3562" t="s">
        <v>116</v>
      </c>
      <c r="AC3562">
        <v>12700</v>
      </c>
      <c r="AD3562">
        <v>0</v>
      </c>
      <c r="AE3562" t="s">
        <v>116</v>
      </c>
      <c r="AF3562" t="s">
        <v>116</v>
      </c>
      <c r="AG3562">
        <v>1.51</v>
      </c>
      <c r="AH3562" t="s">
        <v>9314</v>
      </c>
      <c r="AI3562" t="s">
        <v>14848</v>
      </c>
      <c r="AJ3562">
        <v>-1.25</v>
      </c>
      <c r="AK3562">
        <v>632</v>
      </c>
      <c r="AL3562">
        <v>42</v>
      </c>
      <c r="AM3562">
        <v>2.8E-3</v>
      </c>
      <c r="AN3562">
        <v>-1</v>
      </c>
      <c r="AO3562">
        <v>2.4</v>
      </c>
      <c r="AP3562">
        <v>15.03</v>
      </c>
      <c r="AQ3562">
        <v>5.66</v>
      </c>
      <c r="AR3562">
        <v>-1.32</v>
      </c>
      <c r="AS3562">
        <v>2.35</v>
      </c>
      <c r="AT3562" t="s">
        <v>14849</v>
      </c>
      <c r="AU3562" t="s">
        <v>116</v>
      </c>
      <c r="AV3562" t="s">
        <v>116</v>
      </c>
      <c r="AW3562">
        <v>1.03</v>
      </c>
      <c r="BA3562">
        <v>0</v>
      </c>
      <c r="BB3562">
        <v>1.65</v>
      </c>
      <c r="BC3562">
        <v>-1.49</v>
      </c>
      <c r="BD3562">
        <v>-0.41</v>
      </c>
      <c r="BE3562">
        <v>-1.32</v>
      </c>
      <c r="BF3562">
        <v>-2.93</v>
      </c>
      <c r="BG3562">
        <v>0.17</v>
      </c>
      <c r="BH3562">
        <v>-0.91</v>
      </c>
      <c r="BI3562">
        <v>20191026</v>
      </c>
      <c r="BJ3562">
        <v>20170517</v>
      </c>
      <c r="BK3562">
        <v>4.3899999999999997</v>
      </c>
      <c r="BL3562" t="s">
        <v>116</v>
      </c>
      <c r="BM3562" t="s">
        <v>116</v>
      </c>
      <c r="BN3562">
        <v>24.05</v>
      </c>
      <c r="BO3562">
        <v>22.63</v>
      </c>
      <c r="BP3562">
        <v>0</v>
      </c>
      <c r="BQ3562">
        <v>5.89</v>
      </c>
      <c r="BR3562">
        <v>12.61</v>
      </c>
      <c r="BS3562">
        <v>8.92</v>
      </c>
      <c r="BT3562">
        <v>0.32</v>
      </c>
      <c r="BU3562">
        <v>1.41</v>
      </c>
      <c r="BV3562">
        <v>2.1800000000000002</v>
      </c>
      <c r="BW3562">
        <v>0.99</v>
      </c>
      <c r="BX3562">
        <v>7.31</v>
      </c>
      <c r="BY3562">
        <v>4.08</v>
      </c>
      <c r="BZ3562">
        <v>4.1900000000000004</v>
      </c>
      <c r="CA3562">
        <v>-0.89</v>
      </c>
      <c r="CB3562">
        <v>0.01</v>
      </c>
      <c r="CC3562">
        <v>-0.89</v>
      </c>
      <c r="CD3562">
        <v>-0.75</v>
      </c>
      <c r="CE3562">
        <v>-0.75</v>
      </c>
      <c r="CF3562">
        <v>-0.83</v>
      </c>
      <c r="CG3562">
        <v>9.89</v>
      </c>
      <c r="CH3562">
        <v>0.65</v>
      </c>
      <c r="CI3562">
        <v>0.25</v>
      </c>
      <c r="CJ3562">
        <v>16633</v>
      </c>
      <c r="CK3562">
        <v>6816</v>
      </c>
      <c r="CL3562" t="s">
        <v>5689</v>
      </c>
      <c r="CM3562">
        <v>-382.34</v>
      </c>
      <c r="CN3562">
        <v>-23.99</v>
      </c>
      <c r="CO3562">
        <v>1.1599999999999999</v>
      </c>
      <c r="CP3562">
        <v>40.549999999999997</v>
      </c>
      <c r="CQ3562">
        <v>6.43</v>
      </c>
      <c r="CR3562">
        <v>0</v>
      </c>
      <c r="CS3562" t="s">
        <v>14850</v>
      </c>
      <c r="CT3562">
        <v>5.16</v>
      </c>
      <c r="CU3562">
        <v>0</v>
      </c>
      <c r="CV3562">
        <v>1.67</v>
      </c>
      <c r="CW3562">
        <v>2.25</v>
      </c>
      <c r="CX3562">
        <v>0.15</v>
      </c>
      <c r="CY3562">
        <v>94.11</v>
      </c>
      <c r="CZ3562" t="s">
        <v>14851</v>
      </c>
      <c r="DA3562">
        <v>-2.75</v>
      </c>
      <c r="DB3562">
        <v>-21.77</v>
      </c>
      <c r="DC3562">
        <v>-18.489999999999998</v>
      </c>
      <c r="DD3562">
        <v>0.19</v>
      </c>
      <c r="DE3562">
        <v>1577</v>
      </c>
      <c r="DF3562">
        <v>603758</v>
      </c>
      <c r="DG3562" t="s">
        <v>116</v>
      </c>
      <c r="DH3562" t="s">
        <v>116</v>
      </c>
      <c r="DI3562" t="s">
        <v>116</v>
      </c>
    </row>
    <row r="3563" spans="1:113" x14ac:dyDescent="0.4">
      <c r="A3563" t="str">
        <f>"603766"</f>
        <v>603766</v>
      </c>
      <c r="B3563" t="s">
        <v>14852</v>
      </c>
      <c r="C3563">
        <v>-0.54</v>
      </c>
      <c r="D3563">
        <v>3.69</v>
      </c>
      <c r="E3563">
        <v>-0.02</v>
      </c>
      <c r="F3563">
        <v>3.68</v>
      </c>
      <c r="G3563">
        <v>3.69</v>
      </c>
      <c r="H3563">
        <v>104682</v>
      </c>
      <c r="I3563">
        <v>1533</v>
      </c>
      <c r="J3563">
        <v>0</v>
      </c>
      <c r="K3563">
        <v>0.51</v>
      </c>
      <c r="L3563">
        <v>3.72</v>
      </c>
      <c r="M3563">
        <v>3.74</v>
      </c>
      <c r="N3563">
        <v>3.67</v>
      </c>
      <c r="O3563">
        <v>3.71</v>
      </c>
      <c r="P3563">
        <v>9.25</v>
      </c>
      <c r="Q3563">
        <v>38797168</v>
      </c>
      <c r="R3563">
        <v>1.04</v>
      </c>
      <c r="S3563" t="s">
        <v>2657</v>
      </c>
      <c r="T3563" t="s">
        <v>906</v>
      </c>
      <c r="U3563">
        <v>1.89</v>
      </c>
      <c r="V3563">
        <v>3.71</v>
      </c>
      <c r="W3563">
        <v>58404</v>
      </c>
      <c r="X3563">
        <v>46278</v>
      </c>
      <c r="Y3563">
        <v>1.26</v>
      </c>
      <c r="Z3563">
        <v>1462</v>
      </c>
      <c r="AA3563">
        <v>372</v>
      </c>
      <c r="AB3563" t="s">
        <v>116</v>
      </c>
      <c r="AC3563">
        <v>74000</v>
      </c>
      <c r="AD3563">
        <v>0</v>
      </c>
      <c r="AE3563" t="s">
        <v>116</v>
      </c>
      <c r="AF3563" t="s">
        <v>116</v>
      </c>
      <c r="AG3563">
        <v>20.54</v>
      </c>
      <c r="AH3563" t="s">
        <v>14853</v>
      </c>
      <c r="AI3563" t="s">
        <v>14853</v>
      </c>
      <c r="AJ3563">
        <v>-0.46</v>
      </c>
      <c r="AK3563">
        <v>1721</v>
      </c>
      <c r="AL3563">
        <v>61</v>
      </c>
      <c r="AM3563">
        <v>2.9999999999999997E-4</v>
      </c>
      <c r="AN3563">
        <v>-1</v>
      </c>
      <c r="AO3563">
        <v>-0.81</v>
      </c>
      <c r="AP3563">
        <v>3.36</v>
      </c>
      <c r="AQ3563">
        <v>2.79</v>
      </c>
      <c r="AR3563">
        <v>-9.7799999999999994</v>
      </c>
      <c r="AS3563">
        <v>1.04</v>
      </c>
      <c r="AT3563" t="s">
        <v>6876</v>
      </c>
      <c r="AU3563">
        <v>8.1999999999999993</v>
      </c>
      <c r="AV3563">
        <v>8.24</v>
      </c>
      <c r="AW3563">
        <v>0.55000000000000004</v>
      </c>
      <c r="BA3563">
        <v>0.27</v>
      </c>
      <c r="BB3563">
        <v>0.81</v>
      </c>
      <c r="BC3563">
        <v>-1.08</v>
      </c>
      <c r="BD3563">
        <v>-0.1</v>
      </c>
      <c r="BE3563">
        <v>-0.81</v>
      </c>
      <c r="BF3563">
        <v>-1.34</v>
      </c>
      <c r="BG3563">
        <v>0.54</v>
      </c>
      <c r="BH3563">
        <v>-0.44</v>
      </c>
      <c r="BI3563">
        <v>20191029</v>
      </c>
      <c r="BJ3563">
        <v>20120810</v>
      </c>
      <c r="BK3563">
        <v>20.54</v>
      </c>
      <c r="BL3563" t="s">
        <v>116</v>
      </c>
      <c r="BM3563" t="s">
        <v>116</v>
      </c>
      <c r="BN3563">
        <v>128.57</v>
      </c>
      <c r="BO3563">
        <v>70.099999999999994</v>
      </c>
      <c r="BP3563">
        <v>7.11</v>
      </c>
      <c r="BQ3563">
        <v>39.94</v>
      </c>
      <c r="BR3563">
        <v>64.11</v>
      </c>
      <c r="BS3563">
        <v>32.35</v>
      </c>
      <c r="BT3563">
        <v>8.59</v>
      </c>
      <c r="BU3563">
        <v>47.9</v>
      </c>
      <c r="BV3563">
        <v>7.46</v>
      </c>
      <c r="BW3563">
        <v>24.65</v>
      </c>
      <c r="BX3563">
        <v>1.38</v>
      </c>
      <c r="BY3563">
        <v>75.37</v>
      </c>
      <c r="BZ3563">
        <v>61.05</v>
      </c>
      <c r="CA3563">
        <v>7.41</v>
      </c>
      <c r="CB3563">
        <v>-0.56999999999999995</v>
      </c>
      <c r="CC3563">
        <v>7.38</v>
      </c>
      <c r="CD3563">
        <v>6.15</v>
      </c>
      <c r="CE3563">
        <v>6.15</v>
      </c>
      <c r="CF3563">
        <v>5.9</v>
      </c>
      <c r="CG3563">
        <v>42.58</v>
      </c>
      <c r="CH3563">
        <v>3</v>
      </c>
      <c r="CI3563">
        <v>0.19</v>
      </c>
      <c r="CJ3563">
        <v>46768</v>
      </c>
      <c r="CK3563">
        <v>21552</v>
      </c>
      <c r="CL3563" t="s">
        <v>14854</v>
      </c>
      <c r="CM3563">
        <v>0.8</v>
      </c>
      <c r="CN3563">
        <v>-5.56</v>
      </c>
      <c r="CO3563">
        <v>1.08</v>
      </c>
      <c r="CP3563">
        <v>25.25</v>
      </c>
      <c r="CQ3563">
        <v>1.01</v>
      </c>
      <c r="CR3563">
        <v>0</v>
      </c>
      <c r="CS3563" t="s">
        <v>6529</v>
      </c>
      <c r="CT3563">
        <v>3.41</v>
      </c>
      <c r="CU3563">
        <v>0</v>
      </c>
      <c r="CV3563">
        <v>7.0000000000000007E-2</v>
      </c>
      <c r="CW3563">
        <v>2.0699999999999998</v>
      </c>
      <c r="CX3563">
        <v>0.15</v>
      </c>
      <c r="CY3563">
        <v>54.52</v>
      </c>
      <c r="CZ3563" t="s">
        <v>1761</v>
      </c>
      <c r="DA3563">
        <v>19</v>
      </c>
      <c r="DB3563">
        <v>9.84</v>
      </c>
      <c r="DC3563">
        <v>8.16</v>
      </c>
      <c r="DD3563">
        <v>2.0099999999999998</v>
      </c>
      <c r="DE3563">
        <v>9815</v>
      </c>
      <c r="DF3563">
        <v>603766</v>
      </c>
      <c r="DG3563" t="s">
        <v>116</v>
      </c>
      <c r="DH3563" t="s">
        <v>116</v>
      </c>
      <c r="DI3563" t="s">
        <v>116</v>
      </c>
    </row>
    <row r="3564" spans="1:113" x14ac:dyDescent="0.4">
      <c r="A3564" t="str">
        <f>"603767"</f>
        <v>603767</v>
      </c>
      <c r="B3564" t="s">
        <v>14855</v>
      </c>
      <c r="C3564">
        <v>-1.08</v>
      </c>
      <c r="D3564">
        <v>7.3</v>
      </c>
      <c r="E3564">
        <v>-0.08</v>
      </c>
      <c r="F3564">
        <v>7.29</v>
      </c>
      <c r="G3564">
        <v>7.3</v>
      </c>
      <c r="H3564">
        <v>17845</v>
      </c>
      <c r="I3564">
        <v>358</v>
      </c>
      <c r="J3564">
        <v>0.14000000000000001</v>
      </c>
      <c r="K3564">
        <v>1.88</v>
      </c>
      <c r="L3564">
        <v>7.38</v>
      </c>
      <c r="M3564">
        <v>7.4</v>
      </c>
      <c r="N3564">
        <v>7.29</v>
      </c>
      <c r="O3564">
        <v>7.38</v>
      </c>
      <c r="P3564">
        <v>30.91</v>
      </c>
      <c r="Q3564">
        <v>13111552</v>
      </c>
      <c r="R3564">
        <v>0.99</v>
      </c>
      <c r="S3564" t="s">
        <v>293</v>
      </c>
      <c r="T3564" t="s">
        <v>590</v>
      </c>
      <c r="U3564">
        <v>1.49</v>
      </c>
      <c r="V3564">
        <v>7.35</v>
      </c>
      <c r="W3564">
        <v>9707</v>
      </c>
      <c r="X3564">
        <v>8138</v>
      </c>
      <c r="Y3564">
        <v>1.19</v>
      </c>
      <c r="Z3564">
        <v>41</v>
      </c>
      <c r="AA3564">
        <v>107</v>
      </c>
      <c r="AB3564" t="s">
        <v>116</v>
      </c>
      <c r="AC3564">
        <v>0</v>
      </c>
      <c r="AD3564">
        <v>0</v>
      </c>
      <c r="AE3564" t="s">
        <v>116</v>
      </c>
      <c r="AF3564" t="s">
        <v>116</v>
      </c>
      <c r="AG3564">
        <v>0.95</v>
      </c>
      <c r="AH3564" t="s">
        <v>10061</v>
      </c>
      <c r="AI3564" t="s">
        <v>6812</v>
      </c>
      <c r="AJ3564">
        <v>-1.01</v>
      </c>
      <c r="AK3564">
        <v>568</v>
      </c>
      <c r="AL3564">
        <v>31</v>
      </c>
      <c r="AM3564">
        <v>3.3E-3</v>
      </c>
      <c r="AN3564">
        <v>-1</v>
      </c>
      <c r="AO3564">
        <v>0.14000000000000001</v>
      </c>
      <c r="AP3564">
        <v>5.64</v>
      </c>
      <c r="AQ3564">
        <v>1.1100000000000001</v>
      </c>
      <c r="AR3564">
        <v>10.11</v>
      </c>
      <c r="AS3564">
        <v>1.88</v>
      </c>
      <c r="AT3564" t="s">
        <v>10061</v>
      </c>
      <c r="AU3564">
        <v>36.54</v>
      </c>
      <c r="AV3564">
        <v>39.869999999999997</v>
      </c>
      <c r="AW3564">
        <v>1.1100000000000001</v>
      </c>
      <c r="BA3564">
        <v>0</v>
      </c>
      <c r="BB3564">
        <v>0.27</v>
      </c>
      <c r="BC3564">
        <v>-1.22</v>
      </c>
      <c r="BD3564">
        <v>-0.44</v>
      </c>
      <c r="BE3564">
        <v>-1.08</v>
      </c>
      <c r="BF3564">
        <v>-1.35</v>
      </c>
      <c r="BG3564">
        <v>0.14000000000000001</v>
      </c>
      <c r="BH3564">
        <v>-0.64</v>
      </c>
      <c r="BI3564">
        <v>20191223</v>
      </c>
      <c r="BJ3564">
        <v>20170613</v>
      </c>
      <c r="BK3564">
        <v>3.06</v>
      </c>
      <c r="BL3564" t="s">
        <v>116</v>
      </c>
      <c r="BM3564" t="s">
        <v>116</v>
      </c>
      <c r="BN3564">
        <v>17.91</v>
      </c>
      <c r="BO3564">
        <v>14.23</v>
      </c>
      <c r="BP3564">
        <v>0</v>
      </c>
      <c r="BQ3564">
        <v>20.58</v>
      </c>
      <c r="BR3564">
        <v>9.66</v>
      </c>
      <c r="BS3564">
        <v>6.3</v>
      </c>
      <c r="BT3564">
        <v>1.06</v>
      </c>
      <c r="BU3564">
        <v>3.08</v>
      </c>
      <c r="BV3564">
        <v>1.54</v>
      </c>
      <c r="BW3564">
        <v>2.31</v>
      </c>
      <c r="BX3564">
        <v>6.42</v>
      </c>
      <c r="BY3564">
        <v>6.59</v>
      </c>
      <c r="BZ3564">
        <v>5.37</v>
      </c>
      <c r="CA3564">
        <v>0.62</v>
      </c>
      <c r="CB3564">
        <v>0.05</v>
      </c>
      <c r="CC3564">
        <v>0.61</v>
      </c>
      <c r="CD3564">
        <v>0.54</v>
      </c>
      <c r="CE3564">
        <v>0.54</v>
      </c>
      <c r="CF3564">
        <v>0.4</v>
      </c>
      <c r="CG3564">
        <v>3.87</v>
      </c>
      <c r="CH3564">
        <v>1.78</v>
      </c>
      <c r="CI3564">
        <v>0.83</v>
      </c>
      <c r="CJ3564">
        <v>18416</v>
      </c>
      <c r="CK3564">
        <v>5144</v>
      </c>
      <c r="CL3564" t="s">
        <v>1408</v>
      </c>
      <c r="CM3564">
        <v>10.4</v>
      </c>
      <c r="CN3564">
        <v>0.48</v>
      </c>
      <c r="CO3564">
        <v>1.53</v>
      </c>
      <c r="CP3564">
        <v>12.55</v>
      </c>
      <c r="CQ3564">
        <v>3.39</v>
      </c>
      <c r="CR3564">
        <v>2</v>
      </c>
      <c r="CS3564" t="s">
        <v>1971</v>
      </c>
      <c r="CT3564">
        <v>4.76</v>
      </c>
      <c r="CU3564">
        <v>4.76</v>
      </c>
      <c r="CV3564">
        <v>2.1</v>
      </c>
      <c r="CW3564">
        <v>1.26</v>
      </c>
      <c r="CX3564">
        <v>0.57999999999999996</v>
      </c>
      <c r="CY3564">
        <v>79.42</v>
      </c>
      <c r="CZ3564" t="s">
        <v>1809</v>
      </c>
      <c r="DA3564">
        <v>18.489999999999998</v>
      </c>
      <c r="DB3564">
        <v>9.36</v>
      </c>
      <c r="DC3564">
        <v>8.23</v>
      </c>
      <c r="DD3564">
        <v>0.22</v>
      </c>
      <c r="DE3564">
        <v>1198</v>
      </c>
      <c r="DF3564">
        <v>603767</v>
      </c>
      <c r="DG3564" t="s">
        <v>116</v>
      </c>
      <c r="DH3564" t="s">
        <v>116</v>
      </c>
      <c r="DI3564" t="s">
        <v>116</v>
      </c>
    </row>
    <row r="3565" spans="1:113" x14ac:dyDescent="0.4">
      <c r="A3565" t="str">
        <f>"603768"</f>
        <v>603768</v>
      </c>
      <c r="B3565" t="s">
        <v>14856</v>
      </c>
      <c r="C3565">
        <v>-0.54</v>
      </c>
      <c r="D3565">
        <v>11.09</v>
      </c>
      <c r="E3565">
        <v>-0.06</v>
      </c>
      <c r="F3565">
        <v>11.09</v>
      </c>
      <c r="G3565">
        <v>11.1</v>
      </c>
      <c r="H3565">
        <v>10524</v>
      </c>
      <c r="I3565">
        <v>139</v>
      </c>
      <c r="J3565">
        <v>-0.08</v>
      </c>
      <c r="K3565">
        <v>1.5</v>
      </c>
      <c r="L3565">
        <v>11.15</v>
      </c>
      <c r="M3565">
        <v>11.2</v>
      </c>
      <c r="N3565">
        <v>11.08</v>
      </c>
      <c r="O3565">
        <v>11.15</v>
      </c>
      <c r="P3565">
        <v>52.76</v>
      </c>
      <c r="Q3565">
        <v>11729675</v>
      </c>
      <c r="R3565">
        <v>1</v>
      </c>
      <c r="S3565" t="s">
        <v>293</v>
      </c>
      <c r="T3565" t="s">
        <v>575</v>
      </c>
      <c r="U3565">
        <v>1.08</v>
      </c>
      <c r="V3565">
        <v>11.15</v>
      </c>
      <c r="W3565">
        <v>6097</v>
      </c>
      <c r="X3565">
        <v>4427</v>
      </c>
      <c r="Y3565">
        <v>1.38</v>
      </c>
      <c r="Z3565">
        <v>583</v>
      </c>
      <c r="AA3565">
        <v>8</v>
      </c>
      <c r="AB3565" t="s">
        <v>116</v>
      </c>
      <c r="AC3565">
        <v>10000</v>
      </c>
      <c r="AD3565">
        <v>0</v>
      </c>
      <c r="AE3565" t="s">
        <v>116</v>
      </c>
      <c r="AF3565" t="s">
        <v>116</v>
      </c>
      <c r="AG3565">
        <v>0.7</v>
      </c>
      <c r="AH3565" t="s">
        <v>9799</v>
      </c>
      <c r="AI3565" t="s">
        <v>4593</v>
      </c>
      <c r="AJ3565">
        <v>-0.46</v>
      </c>
      <c r="AK3565">
        <v>433</v>
      </c>
      <c r="AL3565">
        <v>24</v>
      </c>
      <c r="AM3565">
        <v>3.5000000000000001E-3</v>
      </c>
      <c r="AN3565">
        <v>-2</v>
      </c>
      <c r="AO3565">
        <v>-0.63</v>
      </c>
      <c r="AP3565">
        <v>6.53</v>
      </c>
      <c r="AQ3565">
        <v>-1.51</v>
      </c>
      <c r="AR3565">
        <v>4.82</v>
      </c>
      <c r="AS3565">
        <v>1.92</v>
      </c>
      <c r="AT3565" t="s">
        <v>9858</v>
      </c>
      <c r="AU3565">
        <v>56.1</v>
      </c>
      <c r="AV3565">
        <v>28.9</v>
      </c>
      <c r="AW3565">
        <v>1.0900000000000001</v>
      </c>
      <c r="BA3565">
        <v>0</v>
      </c>
      <c r="BB3565">
        <v>0.45</v>
      </c>
      <c r="BC3565">
        <v>-0.63</v>
      </c>
      <c r="BD3565">
        <v>-0.04</v>
      </c>
      <c r="BE3565">
        <v>-0.54</v>
      </c>
      <c r="BF3565">
        <v>-0.98</v>
      </c>
      <c r="BG3565">
        <v>0.09</v>
      </c>
      <c r="BH3565">
        <v>-0.5</v>
      </c>
      <c r="BI3565">
        <v>20191030</v>
      </c>
      <c r="BJ3565">
        <v>20170324</v>
      </c>
      <c r="BK3565">
        <v>2.04</v>
      </c>
      <c r="BL3565" t="s">
        <v>116</v>
      </c>
      <c r="BM3565" t="s">
        <v>116</v>
      </c>
      <c r="BN3565">
        <v>33.520000000000003</v>
      </c>
      <c r="BO3565">
        <v>17.04</v>
      </c>
      <c r="BP3565">
        <v>0</v>
      </c>
      <c r="BQ3565">
        <v>49.16</v>
      </c>
      <c r="BR3565">
        <v>15.12</v>
      </c>
      <c r="BS3565">
        <v>8.42</v>
      </c>
      <c r="BT3565">
        <v>3.11</v>
      </c>
      <c r="BU3565">
        <v>13.85</v>
      </c>
      <c r="BV3565">
        <v>3.05</v>
      </c>
      <c r="BW3565">
        <v>2.74</v>
      </c>
      <c r="BX3565">
        <v>7.97</v>
      </c>
      <c r="BY3565">
        <v>13.39</v>
      </c>
      <c r="BZ3565">
        <v>10.86</v>
      </c>
      <c r="CA3565">
        <v>0.46</v>
      </c>
      <c r="CB3565">
        <v>0.08</v>
      </c>
      <c r="CC3565">
        <v>0.46</v>
      </c>
      <c r="CD3565">
        <v>0.32</v>
      </c>
      <c r="CE3565">
        <v>0.32</v>
      </c>
      <c r="CF3565">
        <v>0.17</v>
      </c>
      <c r="CG3565">
        <v>6.43</v>
      </c>
      <c r="CH3565">
        <v>-1.86</v>
      </c>
      <c r="CI3565">
        <v>-4.17</v>
      </c>
      <c r="CJ3565">
        <v>16997</v>
      </c>
      <c r="CK3565">
        <v>3226</v>
      </c>
      <c r="CL3565" t="s">
        <v>10448</v>
      </c>
      <c r="CM3565">
        <v>-54.13</v>
      </c>
      <c r="CN3565">
        <v>-5.27</v>
      </c>
      <c r="CO3565">
        <v>1.33</v>
      </c>
      <c r="CP3565">
        <v>-12.18</v>
      </c>
      <c r="CQ3565">
        <v>1.69</v>
      </c>
      <c r="CR3565">
        <v>1.08</v>
      </c>
      <c r="CS3565" t="s">
        <v>3427</v>
      </c>
      <c r="CT3565">
        <v>8.35</v>
      </c>
      <c r="CU3565">
        <v>0</v>
      </c>
      <c r="CV3565">
        <v>3.91</v>
      </c>
      <c r="CW3565">
        <v>3.15</v>
      </c>
      <c r="CX3565">
        <v>-0.91</v>
      </c>
      <c r="CY3565">
        <v>50.84</v>
      </c>
      <c r="CZ3565" t="s">
        <v>6676</v>
      </c>
      <c r="DA3565">
        <v>18.91</v>
      </c>
      <c r="DB3565">
        <v>3.44</v>
      </c>
      <c r="DC3565">
        <v>2.4</v>
      </c>
      <c r="DD3565">
        <v>0.39</v>
      </c>
      <c r="DE3565">
        <v>2888</v>
      </c>
      <c r="DF3565">
        <v>603768</v>
      </c>
      <c r="DG3565" t="s">
        <v>116</v>
      </c>
      <c r="DH3565" t="s">
        <v>116</v>
      </c>
      <c r="DI3565" t="s">
        <v>116</v>
      </c>
    </row>
    <row r="3566" spans="1:113" x14ac:dyDescent="0.4">
      <c r="A3566" t="str">
        <f>"603773"</f>
        <v>603773</v>
      </c>
      <c r="B3566" t="s">
        <v>14857</v>
      </c>
      <c r="C3566">
        <v>-1.68</v>
      </c>
      <c r="D3566">
        <v>32.74</v>
      </c>
      <c r="E3566">
        <v>-0.56000000000000005</v>
      </c>
      <c r="F3566">
        <v>32.74</v>
      </c>
      <c r="G3566">
        <v>32.75</v>
      </c>
      <c r="H3566">
        <v>21482</v>
      </c>
      <c r="I3566">
        <v>258</v>
      </c>
      <c r="J3566">
        <v>-0.02</v>
      </c>
      <c r="K3566">
        <v>3.34</v>
      </c>
      <c r="L3566">
        <v>33.44</v>
      </c>
      <c r="M3566">
        <v>33.700000000000003</v>
      </c>
      <c r="N3566">
        <v>32.65</v>
      </c>
      <c r="O3566">
        <v>33.299999999999997</v>
      </c>
      <c r="P3566">
        <v>48.07</v>
      </c>
      <c r="Q3566">
        <v>71138632</v>
      </c>
      <c r="R3566">
        <v>1.07</v>
      </c>
      <c r="S3566" t="s">
        <v>233</v>
      </c>
      <c r="T3566" t="s">
        <v>683</v>
      </c>
      <c r="U3566">
        <v>3.15</v>
      </c>
      <c r="V3566">
        <v>33.119999999999997</v>
      </c>
      <c r="W3566">
        <v>11569</v>
      </c>
      <c r="X3566">
        <v>9913</v>
      </c>
      <c r="Y3566">
        <v>1.17</v>
      </c>
      <c r="Z3566">
        <v>61</v>
      </c>
      <c r="AA3566">
        <v>126</v>
      </c>
      <c r="AB3566" t="s">
        <v>116</v>
      </c>
      <c r="AC3566">
        <v>63500</v>
      </c>
      <c r="AD3566">
        <v>0</v>
      </c>
      <c r="AE3566" t="s">
        <v>116</v>
      </c>
      <c r="AF3566" t="s">
        <v>116</v>
      </c>
      <c r="AG3566">
        <v>0.64</v>
      </c>
      <c r="AH3566" t="s">
        <v>8030</v>
      </c>
      <c r="AI3566" t="s">
        <v>14858</v>
      </c>
      <c r="AJ3566">
        <v>-1.6</v>
      </c>
      <c r="AK3566">
        <v>1788</v>
      </c>
      <c r="AL3566">
        <v>12</v>
      </c>
      <c r="AM3566">
        <v>1.9E-3</v>
      </c>
      <c r="AN3566">
        <v>-1</v>
      </c>
      <c r="AO3566">
        <v>1.49</v>
      </c>
      <c r="AP3566">
        <v>13.68</v>
      </c>
      <c r="AQ3566">
        <v>-2.96</v>
      </c>
      <c r="AR3566">
        <v>-23.15</v>
      </c>
      <c r="AS3566">
        <v>4.2</v>
      </c>
      <c r="AT3566" t="s">
        <v>2514</v>
      </c>
      <c r="AU3566">
        <v>83.49</v>
      </c>
      <c r="AV3566">
        <v>19.600000000000001</v>
      </c>
      <c r="AW3566">
        <v>1.8</v>
      </c>
      <c r="BA3566">
        <v>0.42</v>
      </c>
      <c r="BB3566">
        <v>1.2</v>
      </c>
      <c r="BC3566">
        <v>-1.95</v>
      </c>
      <c r="BD3566">
        <v>-0.55000000000000004</v>
      </c>
      <c r="BE3566">
        <v>-2.09</v>
      </c>
      <c r="BF3566">
        <v>-2.85</v>
      </c>
      <c r="BG3566">
        <v>0.28000000000000003</v>
      </c>
      <c r="BH3566">
        <v>-1.1299999999999999</v>
      </c>
      <c r="BI3566">
        <v>20191201</v>
      </c>
      <c r="BJ3566">
        <v>20180417</v>
      </c>
      <c r="BK3566">
        <v>0.95</v>
      </c>
      <c r="BL3566" t="s">
        <v>116</v>
      </c>
      <c r="BM3566" t="s">
        <v>116</v>
      </c>
      <c r="BN3566">
        <v>18.36</v>
      </c>
      <c r="BO3566">
        <v>16.14</v>
      </c>
      <c r="BP3566">
        <v>0</v>
      </c>
      <c r="BQ3566">
        <v>12.1</v>
      </c>
      <c r="BR3566">
        <v>10.54</v>
      </c>
      <c r="BS3566">
        <v>6.06</v>
      </c>
      <c r="BT3566">
        <v>0.38</v>
      </c>
      <c r="BU3566">
        <v>2.11</v>
      </c>
      <c r="BV3566">
        <v>0.22</v>
      </c>
      <c r="BW3566">
        <v>1.74</v>
      </c>
      <c r="BX3566">
        <v>9.64</v>
      </c>
      <c r="BY3566">
        <v>4.0199999999999996</v>
      </c>
      <c r="BZ3566">
        <v>2.78</v>
      </c>
      <c r="CA3566">
        <v>0.62</v>
      </c>
      <c r="CB3566">
        <v>0</v>
      </c>
      <c r="CC3566">
        <v>0.62</v>
      </c>
      <c r="CD3566">
        <v>0.48</v>
      </c>
      <c r="CE3566">
        <v>0.48</v>
      </c>
      <c r="CF3566">
        <v>0.37</v>
      </c>
      <c r="CG3566">
        <v>5.09</v>
      </c>
      <c r="CH3566">
        <v>0.72</v>
      </c>
      <c r="CI3566">
        <v>-0.93</v>
      </c>
      <c r="CJ3566">
        <v>17413</v>
      </c>
      <c r="CK3566">
        <v>2939</v>
      </c>
      <c r="CL3566" t="s">
        <v>14859</v>
      </c>
      <c r="CM3566">
        <v>-71.45</v>
      </c>
      <c r="CN3566">
        <v>-22.83</v>
      </c>
      <c r="CO3566">
        <v>1.92</v>
      </c>
      <c r="CP3566">
        <v>43.05</v>
      </c>
      <c r="CQ3566">
        <v>7.71</v>
      </c>
      <c r="CR3566">
        <v>2.08</v>
      </c>
      <c r="CS3566" t="s">
        <v>4464</v>
      </c>
      <c r="CT3566">
        <v>17.059999999999999</v>
      </c>
      <c r="CU3566">
        <v>0</v>
      </c>
      <c r="CV3566">
        <v>10.199999999999999</v>
      </c>
      <c r="CW3566">
        <v>5.38</v>
      </c>
      <c r="CX3566">
        <v>0.76</v>
      </c>
      <c r="CY3566">
        <v>87.9</v>
      </c>
      <c r="CZ3566" t="s">
        <v>5079</v>
      </c>
      <c r="DA3566">
        <v>30.74</v>
      </c>
      <c r="DB3566">
        <v>15.44</v>
      </c>
      <c r="DC3566">
        <v>12.03</v>
      </c>
      <c r="DD3566">
        <v>0.17</v>
      </c>
      <c r="DE3566">
        <v>1780</v>
      </c>
      <c r="DF3566">
        <v>603773</v>
      </c>
      <c r="DG3566" t="s">
        <v>116</v>
      </c>
      <c r="DH3566" t="s">
        <v>116</v>
      </c>
      <c r="DI3566" t="s">
        <v>116</v>
      </c>
    </row>
    <row r="3567" spans="1:113" x14ac:dyDescent="0.4">
      <c r="A3567" t="str">
        <f>"603776"</f>
        <v>603776</v>
      </c>
      <c r="B3567" t="s">
        <v>14860</v>
      </c>
      <c r="C3567">
        <v>-0.75</v>
      </c>
      <c r="D3567">
        <v>17.11</v>
      </c>
      <c r="E3567">
        <v>-0.13</v>
      </c>
      <c r="F3567">
        <v>17.100000000000001</v>
      </c>
      <c r="G3567">
        <v>17.11</v>
      </c>
      <c r="H3567">
        <v>21706</v>
      </c>
      <c r="I3567">
        <v>132</v>
      </c>
      <c r="J3567">
        <v>0.23</v>
      </c>
      <c r="K3567">
        <v>1.81</v>
      </c>
      <c r="L3567">
        <v>17.25</v>
      </c>
      <c r="M3567">
        <v>17.489999999999998</v>
      </c>
      <c r="N3567">
        <v>17.07</v>
      </c>
      <c r="O3567">
        <v>17.239999999999998</v>
      </c>
      <c r="P3567">
        <v>22.17</v>
      </c>
      <c r="Q3567">
        <v>37532412</v>
      </c>
      <c r="R3567">
        <v>1.05</v>
      </c>
      <c r="S3567" t="s">
        <v>6225</v>
      </c>
      <c r="T3567" t="s">
        <v>323</v>
      </c>
      <c r="U3567">
        <v>2.44</v>
      </c>
      <c r="V3567">
        <v>17.29</v>
      </c>
      <c r="W3567">
        <v>12761</v>
      </c>
      <c r="X3567">
        <v>8945</v>
      </c>
      <c r="Y3567">
        <v>1.43</v>
      </c>
      <c r="Z3567">
        <v>185</v>
      </c>
      <c r="AA3567">
        <v>94</v>
      </c>
      <c r="AB3567" t="s">
        <v>116</v>
      </c>
      <c r="AC3567">
        <v>193200</v>
      </c>
      <c r="AD3567">
        <v>0.01</v>
      </c>
      <c r="AE3567" t="s">
        <v>116</v>
      </c>
      <c r="AF3567" t="s">
        <v>116</v>
      </c>
      <c r="AG3567">
        <v>1.2</v>
      </c>
      <c r="AH3567" t="s">
        <v>4233</v>
      </c>
      <c r="AI3567" t="s">
        <v>10800</v>
      </c>
      <c r="AJ3567">
        <v>-0.68</v>
      </c>
      <c r="AK3567">
        <v>1292</v>
      </c>
      <c r="AL3567">
        <v>17</v>
      </c>
      <c r="AM3567">
        <v>1.4E-3</v>
      </c>
      <c r="AN3567">
        <v>-1</v>
      </c>
      <c r="AO3567">
        <v>-1.04</v>
      </c>
      <c r="AP3567">
        <v>6.34</v>
      </c>
      <c r="AQ3567">
        <v>-10.23</v>
      </c>
      <c r="AR3567">
        <v>23.03</v>
      </c>
      <c r="AS3567">
        <v>2.31</v>
      </c>
      <c r="AT3567" t="s">
        <v>6763</v>
      </c>
      <c r="AU3567">
        <v>23.8</v>
      </c>
      <c r="AV3567">
        <v>26.89</v>
      </c>
      <c r="AW3567">
        <v>1.66</v>
      </c>
      <c r="BA3567">
        <v>0.06</v>
      </c>
      <c r="BB3567">
        <v>1.45</v>
      </c>
      <c r="BC3567">
        <v>-0.99</v>
      </c>
      <c r="BD3567">
        <v>0.3</v>
      </c>
      <c r="BE3567">
        <v>-0.81</v>
      </c>
      <c r="BF3567">
        <v>-2.17</v>
      </c>
      <c r="BG3567">
        <v>0.23</v>
      </c>
      <c r="BH3567">
        <v>-1.05</v>
      </c>
      <c r="BI3567">
        <v>20191026</v>
      </c>
      <c r="BJ3567">
        <v>20170817</v>
      </c>
      <c r="BK3567">
        <v>1.88</v>
      </c>
      <c r="BL3567" t="s">
        <v>116</v>
      </c>
      <c r="BM3567" t="s">
        <v>116</v>
      </c>
      <c r="BN3567">
        <v>36.44</v>
      </c>
      <c r="BO3567">
        <v>24.24</v>
      </c>
      <c r="BP3567">
        <v>0.04</v>
      </c>
      <c r="BQ3567">
        <v>33.36</v>
      </c>
      <c r="BR3567">
        <v>28.49</v>
      </c>
      <c r="BS3567">
        <v>3.72</v>
      </c>
      <c r="BT3567">
        <v>0.55000000000000004</v>
      </c>
      <c r="BU3567">
        <v>7.42</v>
      </c>
      <c r="BV3567">
        <v>0.74</v>
      </c>
      <c r="BW3567">
        <v>7.11</v>
      </c>
      <c r="BX3567">
        <v>6.4</v>
      </c>
      <c r="BY3567">
        <v>6.51</v>
      </c>
      <c r="BZ3567">
        <v>4.67</v>
      </c>
      <c r="CA3567">
        <v>1.36</v>
      </c>
      <c r="CB3567">
        <v>0.03</v>
      </c>
      <c r="CC3567">
        <v>1.35</v>
      </c>
      <c r="CD3567">
        <v>1.08</v>
      </c>
      <c r="CE3567">
        <v>1.0900000000000001</v>
      </c>
      <c r="CF3567">
        <v>0.91</v>
      </c>
      <c r="CG3567">
        <v>15.67</v>
      </c>
      <c r="CH3567">
        <v>2.9</v>
      </c>
      <c r="CI3567">
        <v>-3.89</v>
      </c>
      <c r="CJ3567">
        <v>14504</v>
      </c>
      <c r="CK3567">
        <v>6486</v>
      </c>
      <c r="CL3567" t="s">
        <v>12965</v>
      </c>
      <c r="CM3567">
        <v>16.66</v>
      </c>
      <c r="CN3567">
        <v>2.12</v>
      </c>
      <c r="CO3567">
        <v>1.32</v>
      </c>
      <c r="CP3567">
        <v>11.05</v>
      </c>
      <c r="CQ3567">
        <v>4.93</v>
      </c>
      <c r="CR3567">
        <v>1.1200000000000001</v>
      </c>
      <c r="CS3567" t="s">
        <v>1985</v>
      </c>
      <c r="CT3567">
        <v>12.92</v>
      </c>
      <c r="CU3567">
        <v>0</v>
      </c>
      <c r="CV3567">
        <v>3.41</v>
      </c>
      <c r="CW3567">
        <v>8.36</v>
      </c>
      <c r="CX3567">
        <v>1.55</v>
      </c>
      <c r="CY3567">
        <v>66.53</v>
      </c>
      <c r="CZ3567" t="s">
        <v>14861</v>
      </c>
      <c r="DA3567">
        <v>28.28</v>
      </c>
      <c r="DB3567">
        <v>20.85</v>
      </c>
      <c r="DC3567">
        <v>16.670000000000002</v>
      </c>
      <c r="DD3567">
        <v>0.34</v>
      </c>
      <c r="DE3567">
        <v>5405</v>
      </c>
      <c r="DF3567">
        <v>603776</v>
      </c>
      <c r="DG3567" t="s">
        <v>116</v>
      </c>
      <c r="DH3567" t="s">
        <v>116</v>
      </c>
      <c r="DI3567" t="s">
        <v>116</v>
      </c>
    </row>
    <row r="3568" spans="1:113" x14ac:dyDescent="0.4">
      <c r="A3568" t="str">
        <f>"603777"</f>
        <v>603777</v>
      </c>
      <c r="B3568" t="s">
        <v>14862</v>
      </c>
      <c r="C3568">
        <v>1.99</v>
      </c>
      <c r="D3568">
        <v>11.8</v>
      </c>
      <c r="E3568">
        <v>0.23</v>
      </c>
      <c r="F3568">
        <v>11.79</v>
      </c>
      <c r="G3568">
        <v>11.8</v>
      </c>
      <c r="H3568">
        <v>45043</v>
      </c>
      <c r="I3568">
        <v>278</v>
      </c>
      <c r="J3568">
        <v>-7.0000000000000007E-2</v>
      </c>
      <c r="K3568">
        <v>1.34</v>
      </c>
      <c r="L3568">
        <v>11.5</v>
      </c>
      <c r="M3568">
        <v>12.15</v>
      </c>
      <c r="N3568">
        <v>11.5</v>
      </c>
      <c r="O3568">
        <v>11.57</v>
      </c>
      <c r="P3568">
        <v>199.16</v>
      </c>
      <c r="Q3568">
        <v>53394508</v>
      </c>
      <c r="R3568">
        <v>1.4</v>
      </c>
      <c r="S3568" t="s">
        <v>863</v>
      </c>
      <c r="T3568" t="s">
        <v>1653</v>
      </c>
      <c r="U3568">
        <v>5.62</v>
      </c>
      <c r="V3568">
        <v>11.85</v>
      </c>
      <c r="W3568">
        <v>19732</v>
      </c>
      <c r="X3568">
        <v>25311</v>
      </c>
      <c r="Y3568">
        <v>0.78</v>
      </c>
      <c r="Z3568">
        <v>209</v>
      </c>
      <c r="AA3568">
        <v>469</v>
      </c>
      <c r="AB3568" t="s">
        <v>116</v>
      </c>
      <c r="AC3568">
        <v>0</v>
      </c>
      <c r="AD3568">
        <v>0</v>
      </c>
      <c r="AE3568" t="s">
        <v>116</v>
      </c>
      <c r="AF3568" t="s">
        <v>116</v>
      </c>
      <c r="AG3568">
        <v>3.37</v>
      </c>
      <c r="AH3568" t="s">
        <v>12299</v>
      </c>
      <c r="AI3568" t="s">
        <v>1492</v>
      </c>
      <c r="AJ3568">
        <v>2.06</v>
      </c>
      <c r="AK3568">
        <v>1545</v>
      </c>
      <c r="AL3568">
        <v>29</v>
      </c>
      <c r="AM3568">
        <v>8.9999999999999998E-4</v>
      </c>
      <c r="AN3568">
        <v>1</v>
      </c>
      <c r="AO3568">
        <v>0.94</v>
      </c>
      <c r="AP3568">
        <v>15.8</v>
      </c>
      <c r="AQ3568">
        <v>-13.68</v>
      </c>
      <c r="AR3568">
        <v>24.47</v>
      </c>
      <c r="AS3568">
        <v>3.82</v>
      </c>
      <c r="AT3568" t="s">
        <v>6825</v>
      </c>
      <c r="AU3568">
        <v>339.98</v>
      </c>
      <c r="AV3568">
        <v>395.79</v>
      </c>
      <c r="AW3568">
        <v>0.54</v>
      </c>
      <c r="BA3568">
        <v>-0.61</v>
      </c>
      <c r="BB3568">
        <v>5.01</v>
      </c>
      <c r="BC3568">
        <v>-0.61</v>
      </c>
      <c r="BD3568">
        <v>2.46</v>
      </c>
      <c r="BE3568">
        <v>2.61</v>
      </c>
      <c r="BF3568">
        <v>-2.88</v>
      </c>
      <c r="BG3568">
        <v>2.61</v>
      </c>
      <c r="BH3568">
        <v>-0.47</v>
      </c>
      <c r="BI3568">
        <v>20191213</v>
      </c>
      <c r="BJ3568">
        <v>20161012</v>
      </c>
      <c r="BK3568">
        <v>3.39</v>
      </c>
      <c r="BL3568" t="s">
        <v>116</v>
      </c>
      <c r="BM3568" t="s">
        <v>116</v>
      </c>
      <c r="BN3568">
        <v>25.71</v>
      </c>
      <c r="BO3568">
        <v>17.86</v>
      </c>
      <c r="BP3568">
        <v>0</v>
      </c>
      <c r="BQ3568">
        <v>30.54</v>
      </c>
      <c r="BR3568">
        <v>16.989999999999998</v>
      </c>
      <c r="BS3568">
        <v>5.29</v>
      </c>
      <c r="BT3568">
        <v>0.32</v>
      </c>
      <c r="BU3568">
        <v>7.73</v>
      </c>
      <c r="BV3568">
        <v>2.46</v>
      </c>
      <c r="BW3568">
        <v>0.28000000000000003</v>
      </c>
      <c r="BX3568">
        <v>9.69</v>
      </c>
      <c r="BY3568">
        <v>29.15</v>
      </c>
      <c r="BZ3568">
        <v>16.11</v>
      </c>
      <c r="CA3568">
        <v>0.33</v>
      </c>
      <c r="CB3568">
        <v>0.15</v>
      </c>
      <c r="CC3568">
        <v>0.36</v>
      </c>
      <c r="CD3568">
        <v>0.15</v>
      </c>
      <c r="CE3568">
        <v>0.15</v>
      </c>
      <c r="CF3568">
        <v>-0.08</v>
      </c>
      <c r="CG3568">
        <v>4.78</v>
      </c>
      <c r="CH3568">
        <v>0.67</v>
      </c>
      <c r="CI3568">
        <v>-1.05</v>
      </c>
      <c r="CJ3568">
        <v>36202</v>
      </c>
      <c r="CK3568">
        <v>3258</v>
      </c>
      <c r="CL3568" t="s">
        <v>12840</v>
      </c>
      <c r="CM3568">
        <v>12.38</v>
      </c>
      <c r="CN3568">
        <v>2.39</v>
      </c>
      <c r="CO3568">
        <v>2.2400000000000002</v>
      </c>
      <c r="CP3568">
        <v>59.77</v>
      </c>
      <c r="CQ3568">
        <v>1.37</v>
      </c>
      <c r="CR3568">
        <v>1.27</v>
      </c>
      <c r="CS3568" t="s">
        <v>8251</v>
      </c>
      <c r="CT3568">
        <v>5.26</v>
      </c>
      <c r="CU3568">
        <v>5.26</v>
      </c>
      <c r="CV3568">
        <v>2.86</v>
      </c>
      <c r="CW3568">
        <v>1.41</v>
      </c>
      <c r="CX3568">
        <v>0.2</v>
      </c>
      <c r="CY3568">
        <v>69.459999999999994</v>
      </c>
      <c r="CZ3568" t="s">
        <v>5930</v>
      </c>
      <c r="DA3568">
        <v>44.73</v>
      </c>
      <c r="DB3568">
        <v>1.1499999999999999</v>
      </c>
      <c r="DC3568">
        <v>0.52</v>
      </c>
      <c r="DD3568">
        <v>0.06</v>
      </c>
      <c r="DE3568">
        <v>9033</v>
      </c>
      <c r="DF3568">
        <v>603777</v>
      </c>
      <c r="DG3568" t="s">
        <v>116</v>
      </c>
      <c r="DH3568" t="s">
        <v>116</v>
      </c>
      <c r="DI3568" t="s">
        <v>116</v>
      </c>
    </row>
    <row r="3569" spans="1:113" x14ac:dyDescent="0.4">
      <c r="A3569" t="str">
        <f>"603778"</f>
        <v>603778</v>
      </c>
      <c r="B3569" t="s">
        <v>14863</v>
      </c>
      <c r="C3569">
        <v>0.47</v>
      </c>
      <c r="D3569">
        <v>4.2699999999999996</v>
      </c>
      <c r="E3569">
        <v>0.02</v>
      </c>
      <c r="F3569">
        <v>4.2699999999999996</v>
      </c>
      <c r="G3569">
        <v>4.28</v>
      </c>
      <c r="H3569">
        <v>41145</v>
      </c>
      <c r="I3569">
        <v>524</v>
      </c>
      <c r="J3569">
        <v>0.23</v>
      </c>
      <c r="K3569">
        <v>0.82</v>
      </c>
      <c r="L3569">
        <v>4.25</v>
      </c>
      <c r="M3569">
        <v>4.29</v>
      </c>
      <c r="N3569">
        <v>4.2300000000000004</v>
      </c>
      <c r="O3569">
        <v>4.25</v>
      </c>
      <c r="P3569">
        <v>116.95</v>
      </c>
      <c r="Q3569">
        <v>17542160</v>
      </c>
      <c r="R3569">
        <v>0.52</v>
      </c>
      <c r="S3569" t="s">
        <v>181</v>
      </c>
      <c r="T3569" t="s">
        <v>165</v>
      </c>
      <c r="U3569">
        <v>1.41</v>
      </c>
      <c r="V3569">
        <v>4.26</v>
      </c>
      <c r="W3569">
        <v>20491</v>
      </c>
      <c r="X3569">
        <v>20654</v>
      </c>
      <c r="Y3569">
        <v>0.99</v>
      </c>
      <c r="Z3569">
        <v>293</v>
      </c>
      <c r="AA3569">
        <v>1034</v>
      </c>
      <c r="AB3569" t="s">
        <v>116</v>
      </c>
      <c r="AC3569">
        <v>86300</v>
      </c>
      <c r="AD3569">
        <v>0.01</v>
      </c>
      <c r="AE3569" t="s">
        <v>116</v>
      </c>
      <c r="AF3569" t="s">
        <v>116</v>
      </c>
      <c r="AG3569">
        <v>5</v>
      </c>
      <c r="AH3569" t="s">
        <v>5423</v>
      </c>
      <c r="AI3569" t="s">
        <v>5423</v>
      </c>
      <c r="AJ3569">
        <v>0.55000000000000004</v>
      </c>
      <c r="AK3569">
        <v>704</v>
      </c>
      <c r="AL3569">
        <v>58</v>
      </c>
      <c r="AM3569">
        <v>1.1999999999999999E-3</v>
      </c>
      <c r="AN3569">
        <v>1</v>
      </c>
      <c r="AO3569">
        <v>-1.38</v>
      </c>
      <c r="AP3569">
        <v>-4.26</v>
      </c>
      <c r="AQ3569">
        <v>-12.32</v>
      </c>
      <c r="AR3569">
        <v>1.18</v>
      </c>
      <c r="AS3569">
        <v>1.86</v>
      </c>
      <c r="AT3569" t="s">
        <v>14697</v>
      </c>
      <c r="AU3569" t="s">
        <v>116</v>
      </c>
      <c r="AV3569" t="s">
        <v>116</v>
      </c>
      <c r="AW3569">
        <v>0.7</v>
      </c>
      <c r="BA3569">
        <v>0</v>
      </c>
      <c r="BB3569">
        <v>0.94</v>
      </c>
      <c r="BC3569">
        <v>-0.47</v>
      </c>
      <c r="BD3569">
        <v>0.32</v>
      </c>
      <c r="BE3569">
        <v>0.47</v>
      </c>
      <c r="BF3569">
        <v>-0.47</v>
      </c>
      <c r="BG3569">
        <v>0.95</v>
      </c>
      <c r="BH3569">
        <v>0.15</v>
      </c>
      <c r="BI3569">
        <v>20191030</v>
      </c>
      <c r="BJ3569">
        <v>20151231</v>
      </c>
      <c r="BK3569">
        <v>5</v>
      </c>
      <c r="BL3569" t="s">
        <v>116</v>
      </c>
      <c r="BM3569" t="s">
        <v>116</v>
      </c>
      <c r="BN3569">
        <v>18.78</v>
      </c>
      <c r="BO3569">
        <v>10.17</v>
      </c>
      <c r="BP3569">
        <v>0.43</v>
      </c>
      <c r="BQ3569">
        <v>43.54</v>
      </c>
      <c r="BR3569">
        <v>15.52</v>
      </c>
      <c r="BS3569">
        <v>0.04</v>
      </c>
      <c r="BT3569">
        <v>0</v>
      </c>
      <c r="BU3569">
        <v>8.18</v>
      </c>
      <c r="BV3569">
        <v>9.16</v>
      </c>
      <c r="BW3569">
        <v>3.15</v>
      </c>
      <c r="BX3569">
        <v>0.24</v>
      </c>
      <c r="BY3569">
        <v>2.2400000000000002</v>
      </c>
      <c r="BZ3569">
        <v>1.79</v>
      </c>
      <c r="CA3569">
        <v>0.23</v>
      </c>
      <c r="CB3569">
        <v>-0.01</v>
      </c>
      <c r="CC3569">
        <v>0.23</v>
      </c>
      <c r="CD3569">
        <v>0.2</v>
      </c>
      <c r="CE3569">
        <v>0.14000000000000001</v>
      </c>
      <c r="CF3569">
        <v>0.14000000000000001</v>
      </c>
      <c r="CG3569">
        <v>4.43</v>
      </c>
      <c r="CH3569">
        <v>-0.44</v>
      </c>
      <c r="CI3569">
        <v>-0.05</v>
      </c>
      <c r="CJ3569">
        <v>25247</v>
      </c>
      <c r="CK3569">
        <v>8753</v>
      </c>
      <c r="CL3569" t="s">
        <v>5859</v>
      </c>
      <c r="CM3569">
        <v>-29.3</v>
      </c>
      <c r="CN3569">
        <v>1.59</v>
      </c>
      <c r="CO3569">
        <v>2.1</v>
      </c>
      <c r="CP3569">
        <v>-48.51</v>
      </c>
      <c r="CQ3569">
        <v>9.51</v>
      </c>
      <c r="CR3569">
        <v>0</v>
      </c>
      <c r="CS3569" t="s">
        <v>2434</v>
      </c>
      <c r="CT3569">
        <v>2.0299999999999998</v>
      </c>
      <c r="CU3569">
        <v>0</v>
      </c>
      <c r="CV3569">
        <v>0.05</v>
      </c>
      <c r="CW3569">
        <v>0.89</v>
      </c>
      <c r="CX3569">
        <v>-0.09</v>
      </c>
      <c r="CY3569">
        <v>54.16</v>
      </c>
      <c r="CZ3569" t="s">
        <v>3329</v>
      </c>
      <c r="DA3569">
        <v>20.12</v>
      </c>
      <c r="DB3569">
        <v>10.29</v>
      </c>
      <c r="DC3569">
        <v>6.1</v>
      </c>
      <c r="DD3569">
        <v>7.0000000000000007E-2</v>
      </c>
      <c r="DE3569">
        <v>345</v>
      </c>
      <c r="DF3569">
        <v>603778</v>
      </c>
      <c r="DG3569" t="s">
        <v>116</v>
      </c>
      <c r="DH3569" t="s">
        <v>116</v>
      </c>
      <c r="DI3569" t="s">
        <v>116</v>
      </c>
    </row>
    <row r="3570" spans="1:113" x14ac:dyDescent="0.4">
      <c r="A3570" t="str">
        <f>"603779"</f>
        <v>603779</v>
      </c>
      <c r="B3570" t="s">
        <v>14864</v>
      </c>
      <c r="C3570">
        <v>-3.85</v>
      </c>
      <c r="D3570">
        <v>6.25</v>
      </c>
      <c r="E3570">
        <v>-0.25</v>
      </c>
      <c r="F3570">
        <v>6.24</v>
      </c>
      <c r="G3570">
        <v>6.25</v>
      </c>
      <c r="H3570">
        <v>57432</v>
      </c>
      <c r="I3570">
        <v>2529</v>
      </c>
      <c r="J3570">
        <v>-0.31</v>
      </c>
      <c r="K3570">
        <v>1.88</v>
      </c>
      <c r="L3570">
        <v>6.62</v>
      </c>
      <c r="M3570">
        <v>6.7</v>
      </c>
      <c r="N3570">
        <v>6.21</v>
      </c>
      <c r="O3570">
        <v>6.5</v>
      </c>
      <c r="P3570">
        <v>69.42</v>
      </c>
      <c r="Q3570">
        <v>37012904</v>
      </c>
      <c r="R3570">
        <v>1.25</v>
      </c>
      <c r="S3570" t="s">
        <v>2477</v>
      </c>
      <c r="T3570" t="s">
        <v>645</v>
      </c>
      <c r="U3570">
        <v>7.54</v>
      </c>
      <c r="V3570">
        <v>6.44</v>
      </c>
      <c r="W3570">
        <v>38792</v>
      </c>
      <c r="X3570">
        <v>18640</v>
      </c>
      <c r="Y3570">
        <v>2.08</v>
      </c>
      <c r="Z3570">
        <v>50</v>
      </c>
      <c r="AA3570">
        <v>2262</v>
      </c>
      <c r="AB3570" t="s">
        <v>116</v>
      </c>
      <c r="AC3570">
        <v>938700</v>
      </c>
      <c r="AD3570">
        <v>0.12</v>
      </c>
      <c r="AE3570" t="s">
        <v>116</v>
      </c>
      <c r="AF3570" t="s">
        <v>116</v>
      </c>
      <c r="AG3570">
        <v>3.05</v>
      </c>
      <c r="AH3570" t="s">
        <v>8024</v>
      </c>
      <c r="AI3570" t="s">
        <v>6143</v>
      </c>
      <c r="AJ3570">
        <v>-3.77</v>
      </c>
      <c r="AK3570">
        <v>1034</v>
      </c>
      <c r="AL3570">
        <v>56</v>
      </c>
      <c r="AM3570">
        <v>1.8E-3</v>
      </c>
      <c r="AN3570">
        <v>-1</v>
      </c>
      <c r="AO3570">
        <v>-3.25</v>
      </c>
      <c r="AP3570">
        <v>20.89</v>
      </c>
      <c r="AQ3570">
        <v>-36.04</v>
      </c>
      <c r="AR3570">
        <v>-31.14</v>
      </c>
      <c r="AS3570">
        <v>4.84</v>
      </c>
      <c r="AT3570" t="s">
        <v>14865</v>
      </c>
      <c r="AU3570">
        <v>52.81</v>
      </c>
      <c r="AV3570">
        <v>40.270000000000003</v>
      </c>
      <c r="AW3570">
        <v>1.43</v>
      </c>
      <c r="BA3570">
        <v>1.85</v>
      </c>
      <c r="BB3570">
        <v>3.08</v>
      </c>
      <c r="BC3570">
        <v>-4.46</v>
      </c>
      <c r="BD3570">
        <v>-0.85</v>
      </c>
      <c r="BE3570">
        <v>-5.59</v>
      </c>
      <c r="BF3570">
        <v>-6.72</v>
      </c>
      <c r="BG3570">
        <v>0.64</v>
      </c>
      <c r="BH3570">
        <v>-2.99</v>
      </c>
      <c r="BI3570">
        <v>20191023</v>
      </c>
      <c r="BJ3570">
        <v>20160516</v>
      </c>
      <c r="BK3570">
        <v>3.33</v>
      </c>
      <c r="BL3570" t="s">
        <v>116</v>
      </c>
      <c r="BM3570" t="s">
        <v>116</v>
      </c>
      <c r="BN3570">
        <v>20.61</v>
      </c>
      <c r="BO3570">
        <v>14</v>
      </c>
      <c r="BP3570">
        <v>0</v>
      </c>
      <c r="BQ3570">
        <v>32.07</v>
      </c>
      <c r="BR3570">
        <v>10.61</v>
      </c>
      <c r="BS3570">
        <v>3.54</v>
      </c>
      <c r="BT3570">
        <v>0.45</v>
      </c>
      <c r="BU3570">
        <v>6.47</v>
      </c>
      <c r="BV3570">
        <v>8.4</v>
      </c>
      <c r="BW3570">
        <v>1.1100000000000001</v>
      </c>
      <c r="BX3570">
        <v>6.78</v>
      </c>
      <c r="BY3570">
        <v>5.04</v>
      </c>
      <c r="BZ3570">
        <v>2.08</v>
      </c>
      <c r="CA3570">
        <v>0.36</v>
      </c>
      <c r="CB3570">
        <v>0</v>
      </c>
      <c r="CC3570">
        <v>0.34</v>
      </c>
      <c r="CD3570">
        <v>0.22</v>
      </c>
      <c r="CE3570">
        <v>0.22</v>
      </c>
      <c r="CF3570">
        <v>0.24</v>
      </c>
      <c r="CG3570">
        <v>4.54</v>
      </c>
      <c r="CH3570">
        <v>1.07</v>
      </c>
      <c r="CI3570">
        <v>-0.73</v>
      </c>
      <c r="CJ3570">
        <v>15722</v>
      </c>
      <c r="CK3570">
        <v>7548</v>
      </c>
      <c r="CL3570" t="s">
        <v>11297</v>
      </c>
      <c r="CM3570">
        <v>-35.299999999999997</v>
      </c>
      <c r="CN3570">
        <v>-9.16</v>
      </c>
      <c r="CO3570">
        <v>1.49</v>
      </c>
      <c r="CP3570">
        <v>19.52</v>
      </c>
      <c r="CQ3570">
        <v>4.13</v>
      </c>
      <c r="CR3570">
        <v>0.99</v>
      </c>
      <c r="CS3570" t="s">
        <v>4067</v>
      </c>
      <c r="CT3570">
        <v>4.21</v>
      </c>
      <c r="CU3570">
        <v>0</v>
      </c>
      <c r="CV3570">
        <v>2.04</v>
      </c>
      <c r="CW3570">
        <v>1.36</v>
      </c>
      <c r="CX3570">
        <v>0.32</v>
      </c>
      <c r="CY3570">
        <v>67.930000000000007</v>
      </c>
      <c r="CZ3570" t="s">
        <v>9621</v>
      </c>
      <c r="DA3570">
        <v>58.6</v>
      </c>
      <c r="DB3570">
        <v>7.17</v>
      </c>
      <c r="DC3570">
        <v>4.46</v>
      </c>
      <c r="DD3570">
        <v>0.03</v>
      </c>
      <c r="DE3570">
        <v>1070</v>
      </c>
      <c r="DF3570">
        <v>603779</v>
      </c>
      <c r="DG3570" t="s">
        <v>116</v>
      </c>
      <c r="DH3570" t="s">
        <v>116</v>
      </c>
      <c r="DI3570" t="s">
        <v>116</v>
      </c>
    </row>
    <row r="3571" spans="1:113" x14ac:dyDescent="0.4">
      <c r="A3571" t="str">
        <f>"603786"</f>
        <v>603786</v>
      </c>
      <c r="B3571" t="s">
        <v>14866</v>
      </c>
      <c r="C3571">
        <v>-3.43</v>
      </c>
      <c r="D3571">
        <v>51.18</v>
      </c>
      <c r="E3571">
        <v>-1.82</v>
      </c>
      <c r="F3571">
        <v>51.17</v>
      </c>
      <c r="G3571">
        <v>51.18</v>
      </c>
      <c r="H3571">
        <v>14293</v>
      </c>
      <c r="I3571">
        <v>372</v>
      </c>
      <c r="J3571">
        <v>-0.24</v>
      </c>
      <c r="K3571">
        <v>3.56</v>
      </c>
      <c r="L3571">
        <v>53.1</v>
      </c>
      <c r="M3571">
        <v>53.96</v>
      </c>
      <c r="N3571">
        <v>51.06</v>
      </c>
      <c r="O3571">
        <v>53</v>
      </c>
      <c r="P3571">
        <v>47.86</v>
      </c>
      <c r="Q3571">
        <v>74983024</v>
      </c>
      <c r="R3571">
        <v>0.7</v>
      </c>
      <c r="S3571" t="s">
        <v>293</v>
      </c>
      <c r="T3571" t="s">
        <v>1653</v>
      </c>
      <c r="U3571">
        <v>5.47</v>
      </c>
      <c r="V3571">
        <v>52.46</v>
      </c>
      <c r="W3571">
        <v>8698</v>
      </c>
      <c r="X3571">
        <v>5595</v>
      </c>
      <c r="Y3571">
        <v>1.55</v>
      </c>
      <c r="Z3571">
        <v>5</v>
      </c>
      <c r="AA3571">
        <v>102</v>
      </c>
      <c r="AB3571" t="s">
        <v>116</v>
      </c>
      <c r="AC3571">
        <v>244300</v>
      </c>
      <c r="AD3571">
        <v>0.01</v>
      </c>
      <c r="AE3571" t="s">
        <v>116</v>
      </c>
      <c r="AF3571" t="s">
        <v>116</v>
      </c>
      <c r="AG3571">
        <v>0.4</v>
      </c>
      <c r="AH3571" t="s">
        <v>3546</v>
      </c>
      <c r="AI3571" t="s">
        <v>14867</v>
      </c>
      <c r="AJ3571">
        <v>-3.36</v>
      </c>
      <c r="AK3571">
        <v>1903</v>
      </c>
      <c r="AL3571">
        <v>8</v>
      </c>
      <c r="AM3571">
        <v>1.9E-3</v>
      </c>
      <c r="AN3571">
        <v>-3</v>
      </c>
      <c r="AO3571">
        <v>-4.6500000000000004</v>
      </c>
      <c r="AP3571">
        <v>9.27</v>
      </c>
      <c r="AQ3571">
        <v>90.33</v>
      </c>
      <c r="AR3571">
        <v>90.33</v>
      </c>
      <c r="AS3571">
        <v>3.56</v>
      </c>
      <c r="AT3571" t="s">
        <v>3546</v>
      </c>
      <c r="AU3571">
        <v>42.74</v>
      </c>
      <c r="AV3571">
        <v>42.38</v>
      </c>
      <c r="AW3571">
        <v>0</v>
      </c>
      <c r="BA3571">
        <v>0.19</v>
      </c>
      <c r="BB3571">
        <v>1.81</v>
      </c>
      <c r="BC3571">
        <v>-3.66</v>
      </c>
      <c r="BD3571">
        <v>-1.02</v>
      </c>
      <c r="BE3571">
        <v>-3.62</v>
      </c>
      <c r="BF3571">
        <v>-5.15</v>
      </c>
      <c r="BG3571">
        <v>0.24</v>
      </c>
      <c r="BH3571">
        <v>-2.42</v>
      </c>
      <c r="BI3571">
        <v>20191031</v>
      </c>
      <c r="BJ3571">
        <v>20191015</v>
      </c>
      <c r="BK3571">
        <v>4</v>
      </c>
      <c r="BL3571" t="s">
        <v>116</v>
      </c>
      <c r="BM3571" t="s">
        <v>116</v>
      </c>
      <c r="BN3571">
        <v>29.07</v>
      </c>
      <c r="BO3571">
        <v>20.54</v>
      </c>
      <c r="BP3571">
        <v>1</v>
      </c>
      <c r="BQ3571">
        <v>25.9</v>
      </c>
      <c r="BR3571">
        <v>19.37</v>
      </c>
      <c r="BS3571">
        <v>5.57</v>
      </c>
      <c r="BT3571">
        <v>1.06</v>
      </c>
      <c r="BU3571">
        <v>7.09</v>
      </c>
      <c r="BV3571">
        <v>6.26</v>
      </c>
      <c r="BW3571">
        <v>7.09</v>
      </c>
      <c r="BX3571">
        <v>6.22</v>
      </c>
      <c r="BY3571">
        <v>20.74</v>
      </c>
      <c r="BZ3571">
        <v>13.69</v>
      </c>
      <c r="CA3571">
        <v>4.2</v>
      </c>
      <c r="CB3571">
        <v>0.33</v>
      </c>
      <c r="CC3571">
        <v>4.2</v>
      </c>
      <c r="CD3571">
        <v>3.66</v>
      </c>
      <c r="CE3571">
        <v>3.21</v>
      </c>
      <c r="CF3571">
        <v>3.11</v>
      </c>
      <c r="CG3571">
        <v>10.41</v>
      </c>
      <c r="CH3571">
        <v>4.09</v>
      </c>
      <c r="CI3571">
        <v>1.02</v>
      </c>
      <c r="CJ3571">
        <v>42083</v>
      </c>
      <c r="CK3571">
        <v>953</v>
      </c>
      <c r="CL3571" t="s">
        <v>3689</v>
      </c>
      <c r="CM3571">
        <v>0</v>
      </c>
      <c r="CN3571">
        <v>0</v>
      </c>
      <c r="CO3571">
        <v>6.66</v>
      </c>
      <c r="CP3571">
        <v>50.02</v>
      </c>
      <c r="CQ3571">
        <v>9.8699999999999992</v>
      </c>
      <c r="CR3571">
        <v>0</v>
      </c>
      <c r="CS3571" t="s">
        <v>650</v>
      </c>
      <c r="CT3571">
        <v>7.68</v>
      </c>
      <c r="CU3571">
        <v>7.68</v>
      </c>
      <c r="CV3571">
        <v>1.55</v>
      </c>
      <c r="CW3571">
        <v>2.6</v>
      </c>
      <c r="CX3571">
        <v>1.02</v>
      </c>
      <c r="CY3571">
        <v>70.66</v>
      </c>
      <c r="CZ3571" t="s">
        <v>14868</v>
      </c>
      <c r="DA3571">
        <v>33.99</v>
      </c>
      <c r="DB3571">
        <v>20.239999999999998</v>
      </c>
      <c r="DC3571">
        <v>15.47</v>
      </c>
      <c r="DD3571">
        <v>1.28</v>
      </c>
      <c r="DE3571">
        <v>1914</v>
      </c>
      <c r="DF3571">
        <v>603786</v>
      </c>
      <c r="DG3571" t="s">
        <v>116</v>
      </c>
      <c r="DH3571" t="s">
        <v>116</v>
      </c>
      <c r="DI3571" t="s">
        <v>116</v>
      </c>
    </row>
    <row r="3572" spans="1:113" x14ac:dyDescent="0.4">
      <c r="A3572" t="str">
        <f>"603787"</f>
        <v>603787</v>
      </c>
      <c r="B3572" t="s">
        <v>14869</v>
      </c>
      <c r="C3572">
        <v>-2.64</v>
      </c>
      <c r="D3572">
        <v>13.66</v>
      </c>
      <c r="E3572">
        <v>-0.37</v>
      </c>
      <c r="F3572">
        <v>13.65</v>
      </c>
      <c r="G3572">
        <v>13.66</v>
      </c>
      <c r="H3572">
        <v>56279</v>
      </c>
      <c r="I3572">
        <v>1264</v>
      </c>
      <c r="J3572">
        <v>-0.21</v>
      </c>
      <c r="K3572">
        <v>7.94</v>
      </c>
      <c r="L3572">
        <v>14.05</v>
      </c>
      <c r="M3572">
        <v>14.09</v>
      </c>
      <c r="N3572">
        <v>13.62</v>
      </c>
      <c r="O3572">
        <v>14.03</v>
      </c>
      <c r="P3572">
        <v>23.24</v>
      </c>
      <c r="Q3572">
        <v>78111360</v>
      </c>
      <c r="R3572">
        <v>0.69</v>
      </c>
      <c r="S3572" t="s">
        <v>2657</v>
      </c>
      <c r="T3572" t="s">
        <v>323</v>
      </c>
      <c r="U3572">
        <v>3.35</v>
      </c>
      <c r="V3572">
        <v>13.88</v>
      </c>
      <c r="W3572">
        <v>34994</v>
      </c>
      <c r="X3572">
        <v>21285</v>
      </c>
      <c r="Y3572">
        <v>1.64</v>
      </c>
      <c r="Z3572">
        <v>256</v>
      </c>
      <c r="AA3572">
        <v>348</v>
      </c>
      <c r="AB3572" t="s">
        <v>116</v>
      </c>
      <c r="AC3572">
        <v>220600</v>
      </c>
      <c r="AD3572">
        <v>0.03</v>
      </c>
      <c r="AE3572" t="s">
        <v>116</v>
      </c>
      <c r="AF3572" t="s">
        <v>116</v>
      </c>
      <c r="AG3572">
        <v>0.71</v>
      </c>
      <c r="AH3572" t="s">
        <v>1628</v>
      </c>
      <c r="AI3572" t="s">
        <v>8576</v>
      </c>
      <c r="AJ3572">
        <v>-2.56</v>
      </c>
      <c r="AK3572">
        <v>2072</v>
      </c>
      <c r="AL3572">
        <v>27</v>
      </c>
      <c r="AM3572">
        <v>3.8E-3</v>
      </c>
      <c r="AN3572">
        <v>-3</v>
      </c>
      <c r="AO3572">
        <v>-3.8</v>
      </c>
      <c r="AP3572">
        <v>11.51</v>
      </c>
      <c r="AQ3572">
        <v>-37.770000000000003</v>
      </c>
      <c r="AR3572">
        <v>45.16</v>
      </c>
      <c r="AS3572">
        <v>11.04</v>
      </c>
      <c r="AT3572" t="s">
        <v>8160</v>
      </c>
      <c r="AU3572">
        <v>30.51</v>
      </c>
      <c r="AV3572">
        <v>31.43</v>
      </c>
      <c r="AW3572">
        <v>0.97</v>
      </c>
      <c r="BA3572">
        <v>0.14000000000000001</v>
      </c>
      <c r="BB3572">
        <v>0.43</v>
      </c>
      <c r="BC3572">
        <v>-2.92</v>
      </c>
      <c r="BD3572">
        <v>-1.07</v>
      </c>
      <c r="BE3572">
        <v>-2.78</v>
      </c>
      <c r="BF3572">
        <v>-3.05</v>
      </c>
      <c r="BG3572">
        <v>0.28999999999999998</v>
      </c>
      <c r="BH3572">
        <v>-1.56</v>
      </c>
      <c r="BI3572">
        <v>20191025</v>
      </c>
      <c r="BJ3572">
        <v>20170427</v>
      </c>
      <c r="BK3572">
        <v>2.04</v>
      </c>
      <c r="BL3572" t="s">
        <v>116</v>
      </c>
      <c r="BM3572" t="s">
        <v>116</v>
      </c>
      <c r="BN3572">
        <v>18.16</v>
      </c>
      <c r="BO3572">
        <v>9.84</v>
      </c>
      <c r="BP3572">
        <v>0.01</v>
      </c>
      <c r="BQ3572">
        <v>45.79</v>
      </c>
      <c r="BR3572">
        <v>12.17</v>
      </c>
      <c r="BS3572">
        <v>3.22</v>
      </c>
      <c r="BT3572">
        <v>2.2400000000000002</v>
      </c>
      <c r="BU3572">
        <v>8.08</v>
      </c>
      <c r="BV3572">
        <v>1.51</v>
      </c>
      <c r="BW3572">
        <v>1.63</v>
      </c>
      <c r="BX3572">
        <v>2.23</v>
      </c>
      <c r="BY3572">
        <v>24.4</v>
      </c>
      <c r="BZ3572">
        <v>20.54</v>
      </c>
      <c r="CA3572">
        <v>1</v>
      </c>
      <c r="CB3572">
        <v>0.03</v>
      </c>
      <c r="CC3572">
        <v>1.06</v>
      </c>
      <c r="CD3572">
        <v>0.9</v>
      </c>
      <c r="CE3572">
        <v>0.9</v>
      </c>
      <c r="CF3572">
        <v>0.79</v>
      </c>
      <c r="CG3572">
        <v>5</v>
      </c>
      <c r="CH3572">
        <v>0.89</v>
      </c>
      <c r="CI3572">
        <v>1.04</v>
      </c>
      <c r="CJ3572">
        <v>7030</v>
      </c>
      <c r="CK3572">
        <v>7255</v>
      </c>
      <c r="CL3572" t="s">
        <v>14870</v>
      </c>
      <c r="CM3572">
        <v>3.08</v>
      </c>
      <c r="CN3572">
        <v>3.25</v>
      </c>
      <c r="CO3572">
        <v>2.83</v>
      </c>
      <c r="CP3572">
        <v>31.42</v>
      </c>
      <c r="CQ3572">
        <v>1.1399999999999999</v>
      </c>
      <c r="CR3572">
        <v>1.83</v>
      </c>
      <c r="CS3572" t="s">
        <v>1265</v>
      </c>
      <c r="CT3572">
        <v>4.82</v>
      </c>
      <c r="CU3572">
        <v>0</v>
      </c>
      <c r="CV3572">
        <v>1.0900000000000001</v>
      </c>
      <c r="CW3572">
        <v>2.4500000000000002</v>
      </c>
      <c r="CX3572">
        <v>0.43</v>
      </c>
      <c r="CY3572">
        <v>54.16</v>
      </c>
      <c r="CZ3572" t="s">
        <v>9147</v>
      </c>
      <c r="DA3572">
        <v>15.82</v>
      </c>
      <c r="DB3572">
        <v>4.09</v>
      </c>
      <c r="DC3572">
        <v>3.69</v>
      </c>
      <c r="DD3572">
        <v>0.41</v>
      </c>
      <c r="DE3572">
        <v>2572</v>
      </c>
      <c r="DF3572">
        <v>603787</v>
      </c>
      <c r="DG3572" t="s">
        <v>116</v>
      </c>
      <c r="DH3572" t="s">
        <v>116</v>
      </c>
      <c r="DI3572" t="s">
        <v>116</v>
      </c>
    </row>
    <row r="3573" spans="1:113" x14ac:dyDescent="0.4">
      <c r="A3573" t="str">
        <f>"603788"</f>
        <v>603788</v>
      </c>
      <c r="B3573" t="s">
        <v>14871</v>
      </c>
      <c r="C3573">
        <v>-1.43</v>
      </c>
      <c r="D3573">
        <v>15.91</v>
      </c>
      <c r="E3573">
        <v>-0.23</v>
      </c>
      <c r="F3573">
        <v>15.88</v>
      </c>
      <c r="G3573">
        <v>15.91</v>
      </c>
      <c r="H3573">
        <v>21604</v>
      </c>
      <c r="I3573">
        <v>455</v>
      </c>
      <c r="J3573">
        <v>0.19</v>
      </c>
      <c r="K3573">
        <v>0.97</v>
      </c>
      <c r="L3573">
        <v>16.25</v>
      </c>
      <c r="M3573">
        <v>16.5</v>
      </c>
      <c r="N3573">
        <v>15.81</v>
      </c>
      <c r="O3573">
        <v>16.14</v>
      </c>
      <c r="P3573">
        <v>19.03</v>
      </c>
      <c r="Q3573">
        <v>34930040</v>
      </c>
      <c r="R3573">
        <v>1.36</v>
      </c>
      <c r="S3573" t="s">
        <v>293</v>
      </c>
      <c r="T3573" t="s">
        <v>590</v>
      </c>
      <c r="U3573">
        <v>4.28</v>
      </c>
      <c r="V3573">
        <v>16.170000000000002</v>
      </c>
      <c r="W3573">
        <v>9895</v>
      </c>
      <c r="X3573">
        <v>11709</v>
      </c>
      <c r="Y3573">
        <v>0.85</v>
      </c>
      <c r="Z3573">
        <v>1</v>
      </c>
      <c r="AA3573">
        <v>48</v>
      </c>
      <c r="AB3573" t="s">
        <v>116</v>
      </c>
      <c r="AC3573">
        <v>43900</v>
      </c>
      <c r="AD3573">
        <v>0</v>
      </c>
      <c r="AE3573" t="s">
        <v>116</v>
      </c>
      <c r="AF3573" t="s">
        <v>116</v>
      </c>
      <c r="AG3573">
        <v>2.23</v>
      </c>
      <c r="AH3573" t="s">
        <v>5693</v>
      </c>
      <c r="AI3573" t="s">
        <v>5693</v>
      </c>
      <c r="AJ3573">
        <v>-1.35</v>
      </c>
      <c r="AK3573">
        <v>1360</v>
      </c>
      <c r="AL3573">
        <v>16</v>
      </c>
      <c r="AM3573">
        <v>6.9999999999999999E-4</v>
      </c>
      <c r="AN3573">
        <v>-2</v>
      </c>
      <c r="AO3573">
        <v>2.11</v>
      </c>
      <c r="AP3573">
        <v>5.78</v>
      </c>
      <c r="AQ3573">
        <v>18.47</v>
      </c>
      <c r="AR3573">
        <v>14.87</v>
      </c>
      <c r="AS3573">
        <v>2.2200000000000002</v>
      </c>
      <c r="AT3573" t="s">
        <v>1290</v>
      </c>
      <c r="AU3573">
        <v>23.87</v>
      </c>
      <c r="AV3573">
        <v>16.5</v>
      </c>
      <c r="AW3573">
        <v>0.47</v>
      </c>
      <c r="BA3573">
        <v>0.68</v>
      </c>
      <c r="BB3573">
        <v>2.23</v>
      </c>
      <c r="BC3573">
        <v>-2.04</v>
      </c>
      <c r="BD3573">
        <v>0.18</v>
      </c>
      <c r="BE3573">
        <v>-2.09</v>
      </c>
      <c r="BF3573">
        <v>-3.58</v>
      </c>
      <c r="BG3573">
        <v>0.63</v>
      </c>
      <c r="BH3573">
        <v>-1.6</v>
      </c>
      <c r="BI3573">
        <v>20191224</v>
      </c>
      <c r="BJ3573">
        <v>20150120</v>
      </c>
      <c r="BK3573">
        <v>2.23</v>
      </c>
      <c r="BL3573" t="s">
        <v>116</v>
      </c>
      <c r="BM3573" t="s">
        <v>116</v>
      </c>
      <c r="BN3573">
        <v>21.24</v>
      </c>
      <c r="BO3573">
        <v>18.420000000000002</v>
      </c>
      <c r="BP3573">
        <v>0</v>
      </c>
      <c r="BQ3573">
        <v>13.28</v>
      </c>
      <c r="BR3573">
        <v>19.29</v>
      </c>
      <c r="BS3573">
        <v>1.49</v>
      </c>
      <c r="BT3573">
        <v>0.21</v>
      </c>
      <c r="BU3573">
        <v>2.82</v>
      </c>
      <c r="BV3573">
        <v>1.07</v>
      </c>
      <c r="BW3573">
        <v>1.97</v>
      </c>
      <c r="BX3573">
        <v>11.62</v>
      </c>
      <c r="BY3573">
        <v>6.58</v>
      </c>
      <c r="BZ3573">
        <v>4.37</v>
      </c>
      <c r="CA3573">
        <v>1.65</v>
      </c>
      <c r="CB3573">
        <v>0.13</v>
      </c>
      <c r="CC3573">
        <v>1.65</v>
      </c>
      <c r="CD3573">
        <v>1.4</v>
      </c>
      <c r="CE3573">
        <v>1.4</v>
      </c>
      <c r="CF3573">
        <v>1.21</v>
      </c>
      <c r="CG3573">
        <v>4.24</v>
      </c>
      <c r="CH3573">
        <v>2.96</v>
      </c>
      <c r="CI3573">
        <v>1.5</v>
      </c>
      <c r="CJ3573">
        <v>9757</v>
      </c>
      <c r="CK3573">
        <v>9964</v>
      </c>
      <c r="CL3573" t="s">
        <v>14872</v>
      </c>
      <c r="CM3573">
        <v>-32.19</v>
      </c>
      <c r="CN3573">
        <v>-35.35</v>
      </c>
      <c r="CO3573">
        <v>1.93</v>
      </c>
      <c r="CP3573">
        <v>11.99</v>
      </c>
      <c r="CQ3573">
        <v>5.39</v>
      </c>
      <c r="CR3573">
        <v>3.84</v>
      </c>
      <c r="CS3573" t="s">
        <v>12074</v>
      </c>
      <c r="CT3573">
        <v>8.26</v>
      </c>
      <c r="CU3573">
        <v>0</v>
      </c>
      <c r="CV3573">
        <v>5.21</v>
      </c>
      <c r="CW3573">
        <v>1.9</v>
      </c>
      <c r="CX3573">
        <v>1.33</v>
      </c>
      <c r="CY3573">
        <v>86.72</v>
      </c>
      <c r="CZ3573" t="s">
        <v>10314</v>
      </c>
      <c r="DA3573">
        <v>33.51</v>
      </c>
      <c r="DB3573">
        <v>25.05</v>
      </c>
      <c r="DC3573">
        <v>21.26</v>
      </c>
      <c r="DD3573">
        <v>0.28000000000000003</v>
      </c>
      <c r="DE3573">
        <v>1622</v>
      </c>
      <c r="DF3573">
        <v>603788</v>
      </c>
      <c r="DG3573" t="s">
        <v>116</v>
      </c>
      <c r="DH3573" t="s">
        <v>116</v>
      </c>
      <c r="DI3573" t="s">
        <v>116</v>
      </c>
    </row>
    <row r="3574" spans="1:113" x14ac:dyDescent="0.4">
      <c r="A3574" t="str">
        <f>"603789"</f>
        <v>603789</v>
      </c>
      <c r="B3574" t="s">
        <v>14873</v>
      </c>
      <c r="C3574">
        <v>7.0000000000000007E-2</v>
      </c>
      <c r="D3574">
        <v>14.03</v>
      </c>
      <c r="E3574">
        <v>0.01</v>
      </c>
      <c r="F3574">
        <v>14</v>
      </c>
      <c r="G3574">
        <v>14.03</v>
      </c>
      <c r="H3574">
        <v>13296</v>
      </c>
      <c r="I3574">
        <v>181</v>
      </c>
      <c r="J3574">
        <v>0.21</v>
      </c>
      <c r="K3574">
        <v>0.51</v>
      </c>
      <c r="L3574">
        <v>14.01</v>
      </c>
      <c r="M3574">
        <v>14.09</v>
      </c>
      <c r="N3574">
        <v>13.99</v>
      </c>
      <c r="O3574">
        <v>14.02</v>
      </c>
      <c r="P3574">
        <v>174.02</v>
      </c>
      <c r="Q3574">
        <v>18650544</v>
      </c>
      <c r="R3574">
        <v>0.74</v>
      </c>
      <c r="S3574" t="s">
        <v>2298</v>
      </c>
      <c r="T3574" t="s">
        <v>590</v>
      </c>
      <c r="U3574">
        <v>0.71</v>
      </c>
      <c r="V3574">
        <v>14.03</v>
      </c>
      <c r="W3574">
        <v>5986</v>
      </c>
      <c r="X3574">
        <v>7310</v>
      </c>
      <c r="Y3574">
        <v>0.82</v>
      </c>
      <c r="Z3574">
        <v>544</v>
      </c>
      <c r="AA3574">
        <v>215</v>
      </c>
      <c r="AB3574" t="s">
        <v>116</v>
      </c>
      <c r="AC3574">
        <v>35000</v>
      </c>
      <c r="AD3574">
        <v>0</v>
      </c>
      <c r="AE3574" t="s">
        <v>116</v>
      </c>
      <c r="AF3574" t="s">
        <v>116</v>
      </c>
      <c r="AG3574">
        <v>2.6</v>
      </c>
      <c r="AH3574" t="s">
        <v>4381</v>
      </c>
      <c r="AI3574" t="s">
        <v>4381</v>
      </c>
      <c r="AJ3574">
        <v>0.15</v>
      </c>
      <c r="AK3574">
        <v>752</v>
      </c>
      <c r="AL3574">
        <v>18</v>
      </c>
      <c r="AM3574">
        <v>6.9999999999999999E-4</v>
      </c>
      <c r="AN3574">
        <v>1</v>
      </c>
      <c r="AO3574">
        <v>-0.36</v>
      </c>
      <c r="AP3574">
        <v>3.47</v>
      </c>
      <c r="AQ3574">
        <v>-5.14</v>
      </c>
      <c r="AR3574">
        <v>13.88</v>
      </c>
      <c r="AS3574">
        <v>1.47</v>
      </c>
      <c r="AT3574" t="s">
        <v>4600</v>
      </c>
      <c r="AU3574" t="s">
        <v>116</v>
      </c>
      <c r="AV3574" t="s">
        <v>116</v>
      </c>
      <c r="AW3574">
        <v>0.24</v>
      </c>
      <c r="BA3574">
        <v>-7.0000000000000007E-2</v>
      </c>
      <c r="BB3574">
        <v>0.5</v>
      </c>
      <c r="BC3574">
        <v>-0.21</v>
      </c>
      <c r="BD3574">
        <v>0.06</v>
      </c>
      <c r="BE3574">
        <v>0.14000000000000001</v>
      </c>
      <c r="BF3574">
        <v>-0.43</v>
      </c>
      <c r="BG3574">
        <v>0.28999999999999998</v>
      </c>
      <c r="BH3574">
        <v>0.02</v>
      </c>
      <c r="BI3574">
        <v>20191030</v>
      </c>
      <c r="BJ3574">
        <v>20150427</v>
      </c>
      <c r="BK3574">
        <v>2.6</v>
      </c>
      <c r="BL3574" t="s">
        <v>116</v>
      </c>
      <c r="BM3574" t="s">
        <v>116</v>
      </c>
      <c r="BN3574">
        <v>16.8</v>
      </c>
      <c r="BO3574">
        <v>10.48</v>
      </c>
      <c r="BP3574">
        <v>0.69</v>
      </c>
      <c r="BQ3574">
        <v>33.53</v>
      </c>
      <c r="BR3574">
        <v>9.5500000000000007</v>
      </c>
      <c r="BS3574">
        <v>3.63</v>
      </c>
      <c r="BT3574">
        <v>1.07</v>
      </c>
      <c r="BU3574">
        <v>5.35</v>
      </c>
      <c r="BV3574">
        <v>1.83</v>
      </c>
      <c r="BW3574">
        <v>6.12</v>
      </c>
      <c r="BX3574">
        <v>5.19</v>
      </c>
      <c r="BY3574">
        <v>5.49</v>
      </c>
      <c r="BZ3574">
        <v>4.2</v>
      </c>
      <c r="CA3574">
        <v>0.23</v>
      </c>
      <c r="CB3574">
        <v>0</v>
      </c>
      <c r="CC3574">
        <v>0.23</v>
      </c>
      <c r="CD3574">
        <v>0.17</v>
      </c>
      <c r="CE3574">
        <v>0.16</v>
      </c>
      <c r="CF3574">
        <v>0.13</v>
      </c>
      <c r="CG3574">
        <v>1.93</v>
      </c>
      <c r="CH3574">
        <v>-1.31</v>
      </c>
      <c r="CI3574">
        <v>-0.83</v>
      </c>
      <c r="CJ3574">
        <v>20478</v>
      </c>
      <c r="CK3574">
        <v>4427</v>
      </c>
      <c r="CL3574" t="s">
        <v>6652</v>
      </c>
      <c r="CM3574">
        <v>220.18</v>
      </c>
      <c r="CN3574">
        <v>3.64</v>
      </c>
      <c r="CO3574">
        <v>3.48</v>
      </c>
      <c r="CP3574">
        <v>-27.84</v>
      </c>
      <c r="CQ3574">
        <v>6.65</v>
      </c>
      <c r="CR3574">
        <v>0</v>
      </c>
      <c r="CS3574" t="s">
        <v>484</v>
      </c>
      <c r="CT3574">
        <v>4.03</v>
      </c>
      <c r="CU3574">
        <v>0</v>
      </c>
      <c r="CV3574">
        <v>2</v>
      </c>
      <c r="CW3574">
        <v>0.74</v>
      </c>
      <c r="CX3574">
        <v>-0.5</v>
      </c>
      <c r="CY3574">
        <v>62.35</v>
      </c>
      <c r="CZ3574" t="s">
        <v>1114</v>
      </c>
      <c r="DA3574">
        <v>23.5</v>
      </c>
      <c r="DB3574">
        <v>4.1399999999999997</v>
      </c>
      <c r="DC3574">
        <v>2.87</v>
      </c>
      <c r="DD3574">
        <v>0.2</v>
      </c>
      <c r="DE3574">
        <v>711</v>
      </c>
      <c r="DF3574">
        <v>603789</v>
      </c>
      <c r="DG3574" t="s">
        <v>116</v>
      </c>
      <c r="DH3574" t="s">
        <v>116</v>
      </c>
      <c r="DI3574" t="s">
        <v>116</v>
      </c>
    </row>
    <row r="3575" spans="1:113" x14ac:dyDescent="0.4">
      <c r="A3575" t="str">
        <f>"603790"</f>
        <v>603790</v>
      </c>
      <c r="B3575" t="s">
        <v>14874</v>
      </c>
      <c r="C3575">
        <v>-1.67</v>
      </c>
      <c r="D3575">
        <v>15.88</v>
      </c>
      <c r="E3575">
        <v>-0.27</v>
      </c>
      <c r="F3575">
        <v>15.88</v>
      </c>
      <c r="G3575">
        <v>15.9</v>
      </c>
      <c r="H3575">
        <v>18944</v>
      </c>
      <c r="I3575">
        <v>352</v>
      </c>
      <c r="J3575">
        <v>-0.18</v>
      </c>
      <c r="K3575">
        <v>3.08</v>
      </c>
      <c r="L3575">
        <v>16.170000000000002</v>
      </c>
      <c r="M3575">
        <v>16.22</v>
      </c>
      <c r="N3575">
        <v>15.87</v>
      </c>
      <c r="O3575">
        <v>16.149999999999999</v>
      </c>
      <c r="P3575">
        <v>20.99</v>
      </c>
      <c r="Q3575">
        <v>30418352</v>
      </c>
      <c r="R3575">
        <v>1.05</v>
      </c>
      <c r="S3575" t="s">
        <v>1192</v>
      </c>
      <c r="T3575" t="s">
        <v>1653</v>
      </c>
      <c r="U3575">
        <v>2.17</v>
      </c>
      <c r="V3575">
        <v>16.059999999999999</v>
      </c>
      <c r="W3575">
        <v>12444</v>
      </c>
      <c r="X3575">
        <v>6500</v>
      </c>
      <c r="Y3575">
        <v>1.91</v>
      </c>
      <c r="Z3575">
        <v>347</v>
      </c>
      <c r="AA3575">
        <v>9</v>
      </c>
      <c r="AB3575" t="s">
        <v>116</v>
      </c>
      <c r="AC3575">
        <v>97000</v>
      </c>
      <c r="AD3575">
        <v>0.01</v>
      </c>
      <c r="AE3575" t="s">
        <v>116</v>
      </c>
      <c r="AF3575" t="s">
        <v>116</v>
      </c>
      <c r="AG3575">
        <v>0.62</v>
      </c>
      <c r="AH3575" t="s">
        <v>7055</v>
      </c>
      <c r="AI3575" t="s">
        <v>584</v>
      </c>
      <c r="AJ3575">
        <v>-1.6</v>
      </c>
      <c r="AK3575">
        <v>1025</v>
      </c>
      <c r="AL3575">
        <v>18</v>
      </c>
      <c r="AM3575">
        <v>3.0000000000000001E-3</v>
      </c>
      <c r="AN3575">
        <v>-1</v>
      </c>
      <c r="AO3575">
        <v>0.25</v>
      </c>
      <c r="AP3575">
        <v>-5.48</v>
      </c>
      <c r="AQ3575">
        <v>-0.19</v>
      </c>
      <c r="AR3575">
        <v>-1.08</v>
      </c>
      <c r="AS3575">
        <v>3.08</v>
      </c>
      <c r="AT3575" t="s">
        <v>7055</v>
      </c>
      <c r="AU3575">
        <v>23.43</v>
      </c>
      <c r="AV3575">
        <v>23.52</v>
      </c>
      <c r="AW3575">
        <v>0.61</v>
      </c>
      <c r="BA3575">
        <v>0.12</v>
      </c>
      <c r="BB3575">
        <v>0.43</v>
      </c>
      <c r="BC3575">
        <v>-1.73</v>
      </c>
      <c r="BD3575">
        <v>-0.57999999999999996</v>
      </c>
      <c r="BE3575">
        <v>-1.79</v>
      </c>
      <c r="BF3575">
        <v>-2.1</v>
      </c>
      <c r="BG3575">
        <v>0.06</v>
      </c>
      <c r="BH3575">
        <v>-1.1000000000000001</v>
      </c>
      <c r="BI3575">
        <v>20191025</v>
      </c>
      <c r="BJ3575">
        <v>20180912</v>
      </c>
      <c r="BK3575">
        <v>1.91</v>
      </c>
      <c r="BL3575" t="s">
        <v>116</v>
      </c>
      <c r="BM3575" t="s">
        <v>116</v>
      </c>
      <c r="BN3575">
        <v>13.93</v>
      </c>
      <c r="BO3575">
        <v>11.13</v>
      </c>
      <c r="BP3575">
        <v>0.67</v>
      </c>
      <c r="BQ3575">
        <v>15.23</v>
      </c>
      <c r="BR3575">
        <v>11.16</v>
      </c>
      <c r="BS3575">
        <v>0.71</v>
      </c>
      <c r="BT3575">
        <v>0.28999999999999998</v>
      </c>
      <c r="BU3575">
        <v>2.12</v>
      </c>
      <c r="BV3575">
        <v>3.6</v>
      </c>
      <c r="BW3575">
        <v>3.09</v>
      </c>
      <c r="BX3575">
        <v>3.09</v>
      </c>
      <c r="BY3575">
        <v>7.59</v>
      </c>
      <c r="BZ3575">
        <v>5.15</v>
      </c>
      <c r="CA3575">
        <v>1.3</v>
      </c>
      <c r="CB3575">
        <v>0.06</v>
      </c>
      <c r="CC3575">
        <v>1.3</v>
      </c>
      <c r="CD3575">
        <v>1.1200000000000001</v>
      </c>
      <c r="CE3575">
        <v>1.0900000000000001</v>
      </c>
      <c r="CF3575">
        <v>0.96</v>
      </c>
      <c r="CG3575">
        <v>5.63</v>
      </c>
      <c r="CH3575">
        <v>0.41</v>
      </c>
      <c r="CI3575">
        <v>-0.28000000000000003</v>
      </c>
      <c r="CJ3575">
        <v>15340</v>
      </c>
      <c r="CK3575">
        <v>4014</v>
      </c>
      <c r="CL3575" t="s">
        <v>6596</v>
      </c>
      <c r="CM3575">
        <v>0.46</v>
      </c>
      <c r="CN3575">
        <v>2.57</v>
      </c>
      <c r="CO3575">
        <v>2.73</v>
      </c>
      <c r="CP3575">
        <v>74.180000000000007</v>
      </c>
      <c r="CQ3575">
        <v>4</v>
      </c>
      <c r="CR3575">
        <v>1.45</v>
      </c>
      <c r="CS3575" t="s">
        <v>8559</v>
      </c>
      <c r="CT3575">
        <v>5.82</v>
      </c>
      <c r="CU3575">
        <v>0</v>
      </c>
      <c r="CV3575">
        <v>1.62</v>
      </c>
      <c r="CW3575">
        <v>2.94</v>
      </c>
      <c r="CX3575">
        <v>0.21</v>
      </c>
      <c r="CY3575">
        <v>79.94</v>
      </c>
      <c r="CZ3575" t="s">
        <v>4920</v>
      </c>
      <c r="DA3575">
        <v>32.17</v>
      </c>
      <c r="DB3575">
        <v>17.149999999999999</v>
      </c>
      <c r="DC3575">
        <v>14.31</v>
      </c>
      <c r="DD3575">
        <v>0.28999999999999998</v>
      </c>
      <c r="DE3575">
        <v>500</v>
      </c>
      <c r="DF3575">
        <v>603790</v>
      </c>
      <c r="DG3575" t="s">
        <v>116</v>
      </c>
      <c r="DH3575" t="s">
        <v>116</v>
      </c>
      <c r="DI3575" t="s">
        <v>116</v>
      </c>
    </row>
    <row r="3576" spans="1:113" x14ac:dyDescent="0.4">
      <c r="A3576" t="str">
        <f>"603797"</f>
        <v>603797</v>
      </c>
      <c r="B3576" t="s">
        <v>14875</v>
      </c>
      <c r="C3576">
        <v>-0.89</v>
      </c>
      <c r="D3576">
        <v>11.15</v>
      </c>
      <c r="E3576">
        <v>-0.1</v>
      </c>
      <c r="F3576">
        <v>11.15</v>
      </c>
      <c r="G3576">
        <v>11.16</v>
      </c>
      <c r="H3576">
        <v>33293</v>
      </c>
      <c r="I3576">
        <v>581</v>
      </c>
      <c r="J3576">
        <v>0</v>
      </c>
      <c r="K3576">
        <v>3.73</v>
      </c>
      <c r="L3576">
        <v>11.27</v>
      </c>
      <c r="M3576">
        <v>11.36</v>
      </c>
      <c r="N3576">
        <v>11.13</v>
      </c>
      <c r="O3576">
        <v>11.25</v>
      </c>
      <c r="P3576">
        <v>20.55</v>
      </c>
      <c r="Q3576">
        <v>37509792</v>
      </c>
      <c r="R3576">
        <v>0.62</v>
      </c>
      <c r="S3576" t="s">
        <v>140</v>
      </c>
      <c r="T3576" t="s">
        <v>551</v>
      </c>
      <c r="U3576">
        <v>2.04</v>
      </c>
      <c r="V3576">
        <v>11.27</v>
      </c>
      <c r="W3576">
        <v>18371</v>
      </c>
      <c r="X3576">
        <v>14922</v>
      </c>
      <c r="Y3576">
        <v>1.23</v>
      </c>
      <c r="Z3576">
        <v>327</v>
      </c>
      <c r="AA3576">
        <v>157</v>
      </c>
      <c r="AB3576" t="s">
        <v>116</v>
      </c>
      <c r="AC3576">
        <v>34900</v>
      </c>
      <c r="AD3576">
        <v>0</v>
      </c>
      <c r="AE3576" t="s">
        <v>116</v>
      </c>
      <c r="AF3576" t="s">
        <v>116</v>
      </c>
      <c r="AG3576">
        <v>0.89</v>
      </c>
      <c r="AH3576" t="s">
        <v>14876</v>
      </c>
      <c r="AI3576" t="s">
        <v>6397</v>
      </c>
      <c r="AJ3576">
        <v>-0.81</v>
      </c>
      <c r="AK3576">
        <v>1341</v>
      </c>
      <c r="AL3576">
        <v>25</v>
      </c>
      <c r="AM3576">
        <v>2.8E-3</v>
      </c>
      <c r="AN3576">
        <v>-3</v>
      </c>
      <c r="AO3576">
        <v>-2.4500000000000002</v>
      </c>
      <c r="AP3576">
        <v>4.01</v>
      </c>
      <c r="AQ3576">
        <v>-9.57</v>
      </c>
      <c r="AR3576">
        <v>30.78</v>
      </c>
      <c r="AS3576">
        <v>3.73</v>
      </c>
      <c r="AT3576" t="s">
        <v>14876</v>
      </c>
      <c r="AU3576">
        <v>24.21</v>
      </c>
      <c r="AV3576">
        <v>47.51</v>
      </c>
      <c r="AW3576">
        <v>1.07</v>
      </c>
      <c r="BA3576">
        <v>0.18</v>
      </c>
      <c r="BB3576">
        <v>0.98</v>
      </c>
      <c r="BC3576">
        <v>-1.07</v>
      </c>
      <c r="BD3576">
        <v>0.15</v>
      </c>
      <c r="BE3576">
        <v>-1.06</v>
      </c>
      <c r="BF3576">
        <v>-1.85</v>
      </c>
      <c r="BG3576">
        <v>0.18</v>
      </c>
      <c r="BH3576">
        <v>-1.04</v>
      </c>
      <c r="BI3576">
        <v>20191030</v>
      </c>
      <c r="BJ3576">
        <v>20170413</v>
      </c>
      <c r="BK3576">
        <v>3.13</v>
      </c>
      <c r="BL3576" t="s">
        <v>116</v>
      </c>
      <c r="BM3576" t="s">
        <v>116</v>
      </c>
      <c r="BN3576">
        <v>50.1</v>
      </c>
      <c r="BO3576">
        <v>13.56</v>
      </c>
      <c r="BP3576">
        <v>1.1599999999999999</v>
      </c>
      <c r="BQ3576">
        <v>70.62</v>
      </c>
      <c r="BR3576">
        <v>5.78</v>
      </c>
      <c r="BS3576">
        <v>0.1</v>
      </c>
      <c r="BT3576">
        <v>12.93</v>
      </c>
      <c r="BU3576">
        <v>7.24</v>
      </c>
      <c r="BV3576">
        <v>0.06</v>
      </c>
      <c r="BW3576">
        <v>1.1000000000000001</v>
      </c>
      <c r="BX3576">
        <v>5.37</v>
      </c>
      <c r="BY3576">
        <v>3.56</v>
      </c>
      <c r="BZ3576">
        <v>0.98</v>
      </c>
      <c r="CA3576">
        <v>1.63</v>
      </c>
      <c r="CB3576">
        <v>0</v>
      </c>
      <c r="CC3576">
        <v>1.63</v>
      </c>
      <c r="CD3576">
        <v>1.27</v>
      </c>
      <c r="CE3576">
        <v>1.27</v>
      </c>
      <c r="CF3576">
        <v>1.27</v>
      </c>
      <c r="CG3576">
        <v>4.3600000000000003</v>
      </c>
      <c r="CH3576">
        <v>2.86</v>
      </c>
      <c r="CI3576">
        <v>7.0000000000000007E-2</v>
      </c>
      <c r="CJ3576">
        <v>25194</v>
      </c>
      <c r="CK3576">
        <v>3544</v>
      </c>
      <c r="CL3576" t="s">
        <v>895</v>
      </c>
      <c r="CM3576">
        <v>124.68</v>
      </c>
      <c r="CN3576">
        <v>96.41</v>
      </c>
      <c r="CO3576">
        <v>2.68</v>
      </c>
      <c r="CP3576">
        <v>12.23</v>
      </c>
      <c r="CQ3576">
        <v>9.81</v>
      </c>
      <c r="CR3576">
        <v>0.64</v>
      </c>
      <c r="CS3576" t="s">
        <v>2820</v>
      </c>
      <c r="CT3576">
        <v>4.17</v>
      </c>
      <c r="CU3576">
        <v>4.17</v>
      </c>
      <c r="CV3576">
        <v>1.71</v>
      </c>
      <c r="CW3576">
        <v>1.39</v>
      </c>
      <c r="CX3576">
        <v>0.91</v>
      </c>
      <c r="CY3576">
        <v>27.06</v>
      </c>
      <c r="CZ3576" t="s">
        <v>3598</v>
      </c>
      <c r="DA3576">
        <v>72.540000000000006</v>
      </c>
      <c r="DB3576">
        <v>45.84</v>
      </c>
      <c r="DC3576">
        <v>35.799999999999997</v>
      </c>
      <c r="DD3576">
        <v>0.01</v>
      </c>
      <c r="DE3576">
        <v>448</v>
      </c>
      <c r="DF3576">
        <v>603797</v>
      </c>
      <c r="DG3576" t="s">
        <v>116</v>
      </c>
      <c r="DH3576" t="s">
        <v>116</v>
      </c>
      <c r="DI3576" t="s">
        <v>116</v>
      </c>
    </row>
    <row r="3577" spans="1:113" x14ac:dyDescent="0.4">
      <c r="A3577" t="str">
        <f>"603798"</f>
        <v>603798</v>
      </c>
      <c r="B3577" t="s">
        <v>14877</v>
      </c>
      <c r="C3577">
        <v>0.83</v>
      </c>
      <c r="D3577">
        <v>12.15</v>
      </c>
      <c r="E3577">
        <v>0.1</v>
      </c>
      <c r="F3577">
        <v>12.15</v>
      </c>
      <c r="G3577">
        <v>12.16</v>
      </c>
      <c r="H3577">
        <v>22102</v>
      </c>
      <c r="I3577">
        <v>168</v>
      </c>
      <c r="J3577">
        <v>-7.0000000000000007E-2</v>
      </c>
      <c r="K3577">
        <v>1.1100000000000001</v>
      </c>
      <c r="L3577">
        <v>12.05</v>
      </c>
      <c r="M3577">
        <v>12.3</v>
      </c>
      <c r="N3577">
        <v>11.97</v>
      </c>
      <c r="O3577">
        <v>12.05</v>
      </c>
      <c r="P3577">
        <v>22.47</v>
      </c>
      <c r="Q3577">
        <v>26781412</v>
      </c>
      <c r="R3577">
        <v>0.75</v>
      </c>
      <c r="S3577" t="s">
        <v>433</v>
      </c>
      <c r="T3577" t="s">
        <v>645</v>
      </c>
      <c r="U3577">
        <v>2.74</v>
      </c>
      <c r="V3577">
        <v>12.12</v>
      </c>
      <c r="W3577">
        <v>11558</v>
      </c>
      <c r="X3577">
        <v>10544</v>
      </c>
      <c r="Y3577">
        <v>1.1000000000000001</v>
      </c>
      <c r="Z3577">
        <v>196</v>
      </c>
      <c r="AA3577">
        <v>101</v>
      </c>
      <c r="AB3577" t="s">
        <v>116</v>
      </c>
      <c r="AC3577">
        <v>216900</v>
      </c>
      <c r="AD3577">
        <v>0.03</v>
      </c>
      <c r="AE3577" t="s">
        <v>116</v>
      </c>
      <c r="AF3577" t="s">
        <v>116</v>
      </c>
      <c r="AG3577">
        <v>2</v>
      </c>
      <c r="AH3577" t="s">
        <v>2635</v>
      </c>
      <c r="AI3577" t="s">
        <v>2635</v>
      </c>
      <c r="AJ3577">
        <v>0.91</v>
      </c>
      <c r="AK3577">
        <v>846</v>
      </c>
      <c r="AL3577">
        <v>26</v>
      </c>
      <c r="AM3577">
        <v>1.2999999999999999E-3</v>
      </c>
      <c r="AN3577">
        <v>1</v>
      </c>
      <c r="AO3577">
        <v>-2.88</v>
      </c>
      <c r="AP3577">
        <v>7.71</v>
      </c>
      <c r="AQ3577">
        <v>4.0199999999999996</v>
      </c>
      <c r="AR3577">
        <v>21.62</v>
      </c>
      <c r="AS3577">
        <v>3.5</v>
      </c>
      <c r="AT3577" t="s">
        <v>10469</v>
      </c>
      <c r="AU3577">
        <v>26.09</v>
      </c>
      <c r="AV3577">
        <v>32.03</v>
      </c>
      <c r="AW3577">
        <v>0.52</v>
      </c>
      <c r="BA3577">
        <v>0</v>
      </c>
      <c r="BB3577">
        <v>2.0699999999999998</v>
      </c>
      <c r="BC3577">
        <v>-0.66</v>
      </c>
      <c r="BD3577">
        <v>0.56000000000000005</v>
      </c>
      <c r="BE3577">
        <v>0.83</v>
      </c>
      <c r="BF3577">
        <v>-1.22</v>
      </c>
      <c r="BG3577">
        <v>1.5</v>
      </c>
      <c r="BH3577">
        <v>0.27</v>
      </c>
      <c r="BI3577">
        <v>20191016</v>
      </c>
      <c r="BJ3577">
        <v>20160406</v>
      </c>
      <c r="BK3577">
        <v>2</v>
      </c>
      <c r="BL3577" t="s">
        <v>116</v>
      </c>
      <c r="BM3577" t="s">
        <v>116</v>
      </c>
      <c r="BN3577">
        <v>10.92</v>
      </c>
      <c r="BO3577">
        <v>9.25</v>
      </c>
      <c r="BP3577">
        <v>-0.02</v>
      </c>
      <c r="BQ3577">
        <v>15.51</v>
      </c>
      <c r="BR3577">
        <v>6.71</v>
      </c>
      <c r="BS3577">
        <v>3.35</v>
      </c>
      <c r="BT3577">
        <v>0.51</v>
      </c>
      <c r="BU3577">
        <v>1.48</v>
      </c>
      <c r="BV3577">
        <v>1.1200000000000001</v>
      </c>
      <c r="BW3577">
        <v>0.38</v>
      </c>
      <c r="BX3577">
        <v>2.62</v>
      </c>
      <c r="BY3577">
        <v>7.47</v>
      </c>
      <c r="BZ3577">
        <v>4.9800000000000004</v>
      </c>
      <c r="CA3577">
        <v>0.97</v>
      </c>
      <c r="CB3577">
        <v>0.02</v>
      </c>
      <c r="CC3577">
        <v>0.97</v>
      </c>
      <c r="CD3577">
        <v>0.81</v>
      </c>
      <c r="CE3577">
        <v>0.81</v>
      </c>
      <c r="CF3577">
        <v>0.77</v>
      </c>
      <c r="CG3577">
        <v>4.13</v>
      </c>
      <c r="CH3577">
        <v>0.6</v>
      </c>
      <c r="CI3577">
        <v>0.19</v>
      </c>
      <c r="CJ3577">
        <v>11841</v>
      </c>
      <c r="CK3577">
        <v>5329</v>
      </c>
      <c r="CL3577" t="s">
        <v>10988</v>
      </c>
      <c r="CM3577">
        <v>27.06</v>
      </c>
      <c r="CN3577">
        <v>13.28</v>
      </c>
      <c r="CO3577">
        <v>2.63</v>
      </c>
      <c r="CP3577">
        <v>40.64</v>
      </c>
      <c r="CQ3577">
        <v>3.25</v>
      </c>
      <c r="CR3577">
        <v>0.99</v>
      </c>
      <c r="CS3577" t="s">
        <v>8649</v>
      </c>
      <c r="CT3577">
        <v>4.63</v>
      </c>
      <c r="CU3577">
        <v>0</v>
      </c>
      <c r="CV3577">
        <v>1.31</v>
      </c>
      <c r="CW3577">
        <v>2.0699999999999998</v>
      </c>
      <c r="CX3577">
        <v>0.3</v>
      </c>
      <c r="CY3577">
        <v>84.69</v>
      </c>
      <c r="CZ3577" t="s">
        <v>1761</v>
      </c>
      <c r="DA3577">
        <v>33.42</v>
      </c>
      <c r="DB3577">
        <v>12.93</v>
      </c>
      <c r="DC3577">
        <v>10.85</v>
      </c>
      <c r="DD3577">
        <v>0.21</v>
      </c>
      <c r="DE3577">
        <v>309</v>
      </c>
      <c r="DF3577">
        <v>603798</v>
      </c>
      <c r="DG3577" t="s">
        <v>116</v>
      </c>
      <c r="DH3577" t="s">
        <v>116</v>
      </c>
      <c r="DI3577" t="s">
        <v>116</v>
      </c>
    </row>
    <row r="3578" spans="1:113" x14ac:dyDescent="0.4">
      <c r="A3578" t="str">
        <f>"603799"</f>
        <v>603799</v>
      </c>
      <c r="B3578" t="s">
        <v>14878</v>
      </c>
      <c r="C3578">
        <v>5.37</v>
      </c>
      <c r="D3578">
        <v>38.85</v>
      </c>
      <c r="E3578">
        <v>1.98</v>
      </c>
      <c r="F3578">
        <v>38.85</v>
      </c>
      <c r="G3578">
        <v>38.86</v>
      </c>
      <c r="H3578">
        <v>857864</v>
      </c>
      <c r="I3578">
        <v>8956</v>
      </c>
      <c r="J3578">
        <v>0.34</v>
      </c>
      <c r="K3578">
        <v>7.95</v>
      </c>
      <c r="L3578">
        <v>37.25</v>
      </c>
      <c r="M3578">
        <v>40.56</v>
      </c>
      <c r="N3578">
        <v>36.72</v>
      </c>
      <c r="O3578">
        <v>36.869999999999997</v>
      </c>
      <c r="P3578">
        <v>338.83</v>
      </c>
      <c r="Q3578">
        <v>3355152384</v>
      </c>
      <c r="R3578">
        <v>1.54</v>
      </c>
      <c r="S3578" t="s">
        <v>1509</v>
      </c>
      <c r="T3578" t="s">
        <v>590</v>
      </c>
      <c r="U3578">
        <v>10.41</v>
      </c>
      <c r="V3578">
        <v>39.11</v>
      </c>
      <c r="W3578">
        <v>429137</v>
      </c>
      <c r="X3578">
        <v>428727</v>
      </c>
      <c r="Y3578">
        <v>1</v>
      </c>
      <c r="Z3578">
        <v>1796</v>
      </c>
      <c r="AA3578">
        <v>306</v>
      </c>
      <c r="AB3578" t="s">
        <v>116</v>
      </c>
      <c r="AC3578">
        <v>13212900</v>
      </c>
      <c r="AD3578">
        <v>0.06</v>
      </c>
      <c r="AE3578" t="s">
        <v>116</v>
      </c>
      <c r="AF3578" t="s">
        <v>116</v>
      </c>
      <c r="AG3578">
        <v>10.79</v>
      </c>
      <c r="AH3578" t="s">
        <v>14879</v>
      </c>
      <c r="AI3578" t="s">
        <v>14879</v>
      </c>
      <c r="AJ3578">
        <v>5.45</v>
      </c>
      <c r="AK3578">
        <v>4706</v>
      </c>
      <c r="AL3578">
        <v>182</v>
      </c>
      <c r="AM3578">
        <v>1.6999999999999999E-3</v>
      </c>
      <c r="AN3578">
        <v>5</v>
      </c>
      <c r="AO3578">
        <v>10.02</v>
      </c>
      <c r="AP3578">
        <v>27.42</v>
      </c>
      <c r="AQ3578">
        <v>34.659999999999997</v>
      </c>
      <c r="AR3578">
        <v>68.290000000000006</v>
      </c>
      <c r="AS3578">
        <v>13.74</v>
      </c>
      <c r="AT3578" t="s">
        <v>14880</v>
      </c>
      <c r="AU3578" t="s">
        <v>116</v>
      </c>
      <c r="AV3578">
        <v>27.42</v>
      </c>
      <c r="AW3578">
        <v>1.31</v>
      </c>
      <c r="BA3578">
        <v>1.03</v>
      </c>
      <c r="BB3578">
        <v>10.01</v>
      </c>
      <c r="BC3578">
        <v>-0.41</v>
      </c>
      <c r="BD3578">
        <v>6.08</v>
      </c>
      <c r="BE3578">
        <v>4.3</v>
      </c>
      <c r="BF3578">
        <v>-4.22</v>
      </c>
      <c r="BG3578">
        <v>5.8</v>
      </c>
      <c r="BH3578">
        <v>-0.71</v>
      </c>
      <c r="BI3578">
        <v>20191220</v>
      </c>
      <c r="BJ3578">
        <v>20150129</v>
      </c>
      <c r="BK3578">
        <v>10.79</v>
      </c>
      <c r="BL3578" t="s">
        <v>116</v>
      </c>
      <c r="BM3578" t="s">
        <v>116</v>
      </c>
      <c r="BN3578">
        <v>223.55</v>
      </c>
      <c r="BO3578">
        <v>77.44</v>
      </c>
      <c r="BP3578">
        <v>22.79</v>
      </c>
      <c r="BQ3578">
        <v>55.16</v>
      </c>
      <c r="BR3578">
        <v>97.98</v>
      </c>
      <c r="BS3578">
        <v>51.47</v>
      </c>
      <c r="BT3578">
        <v>7.99</v>
      </c>
      <c r="BU3578">
        <v>108.64</v>
      </c>
      <c r="BV3578">
        <v>37.450000000000003</v>
      </c>
      <c r="BW3578">
        <v>8.93</v>
      </c>
      <c r="BX3578">
        <v>26.07</v>
      </c>
      <c r="BY3578">
        <v>140.22999999999999</v>
      </c>
      <c r="BZ3578">
        <v>124.83</v>
      </c>
      <c r="CA3578">
        <v>1.44</v>
      </c>
      <c r="CB3578">
        <v>0.05</v>
      </c>
      <c r="CC3578">
        <v>1.4</v>
      </c>
      <c r="CD3578">
        <v>1.01</v>
      </c>
      <c r="CE3578">
        <v>0.93</v>
      </c>
      <c r="CF3578">
        <v>0.44</v>
      </c>
      <c r="CG3578">
        <v>36.549999999999997</v>
      </c>
      <c r="CH3578">
        <v>12.6</v>
      </c>
      <c r="CI3578">
        <v>-2.61</v>
      </c>
      <c r="CJ3578">
        <v>120614</v>
      </c>
      <c r="CK3578">
        <v>5175</v>
      </c>
      <c r="CL3578" t="s">
        <v>14881</v>
      </c>
      <c r="CM3578">
        <v>-95.15</v>
      </c>
      <c r="CN3578">
        <v>39.200000000000003</v>
      </c>
      <c r="CO3578">
        <v>5.41</v>
      </c>
      <c r="CP3578">
        <v>33.270000000000003</v>
      </c>
      <c r="CQ3578">
        <v>2.99</v>
      </c>
      <c r="CR3578">
        <v>0.2</v>
      </c>
      <c r="CS3578" t="s">
        <v>1469</v>
      </c>
      <c r="CT3578">
        <v>7.18</v>
      </c>
      <c r="CU3578">
        <v>0</v>
      </c>
      <c r="CV3578">
        <v>2.42</v>
      </c>
      <c r="CW3578">
        <v>3.39</v>
      </c>
      <c r="CX3578">
        <v>1.17</v>
      </c>
      <c r="CY3578">
        <v>34.64</v>
      </c>
      <c r="CZ3578" t="s">
        <v>6239</v>
      </c>
      <c r="DA3578">
        <v>10.98</v>
      </c>
      <c r="DB3578">
        <v>1.03</v>
      </c>
      <c r="DC3578">
        <v>0.66</v>
      </c>
      <c r="DD3578">
        <v>1.8</v>
      </c>
      <c r="DE3578">
        <v>6199</v>
      </c>
      <c r="DF3578">
        <v>603799</v>
      </c>
      <c r="DG3578" t="s">
        <v>116</v>
      </c>
      <c r="DH3578" t="s">
        <v>116</v>
      </c>
      <c r="DI3578" t="s">
        <v>116</v>
      </c>
    </row>
    <row r="3579" spans="1:113" x14ac:dyDescent="0.4">
      <c r="A3579" t="str">
        <f>"603800"</f>
        <v>603800</v>
      </c>
      <c r="B3579" t="s">
        <v>14882</v>
      </c>
      <c r="C3579">
        <v>-1</v>
      </c>
      <c r="D3579">
        <v>12.9</v>
      </c>
      <c r="E3579">
        <v>-0.13</v>
      </c>
      <c r="F3579">
        <v>12.9</v>
      </c>
      <c r="G3579">
        <v>12.91</v>
      </c>
      <c r="H3579">
        <v>24794</v>
      </c>
      <c r="I3579">
        <v>495</v>
      </c>
      <c r="J3579">
        <v>-0.14000000000000001</v>
      </c>
      <c r="K3579">
        <v>1.19</v>
      </c>
      <c r="L3579">
        <v>13.06</v>
      </c>
      <c r="M3579">
        <v>13.28</v>
      </c>
      <c r="N3579">
        <v>12.9</v>
      </c>
      <c r="O3579">
        <v>13.03</v>
      </c>
      <c r="P3579">
        <v>19</v>
      </c>
      <c r="Q3579">
        <v>32334868</v>
      </c>
      <c r="R3579">
        <v>1.24</v>
      </c>
      <c r="S3579" t="s">
        <v>682</v>
      </c>
      <c r="T3579" t="s">
        <v>323</v>
      </c>
      <c r="U3579">
        <v>2.92</v>
      </c>
      <c r="V3579">
        <v>13.04</v>
      </c>
      <c r="W3579">
        <v>13718</v>
      </c>
      <c r="X3579">
        <v>11076</v>
      </c>
      <c r="Y3579">
        <v>1.24</v>
      </c>
      <c r="Z3579">
        <v>67</v>
      </c>
      <c r="AA3579">
        <v>68</v>
      </c>
      <c r="AB3579" t="s">
        <v>116</v>
      </c>
      <c r="AC3579">
        <v>36600</v>
      </c>
      <c r="AD3579">
        <v>0</v>
      </c>
      <c r="AE3579" t="s">
        <v>116</v>
      </c>
      <c r="AF3579" t="s">
        <v>116</v>
      </c>
      <c r="AG3579">
        <v>2.08</v>
      </c>
      <c r="AH3579" t="s">
        <v>12531</v>
      </c>
      <c r="AI3579" t="s">
        <v>12531</v>
      </c>
      <c r="AJ3579">
        <v>-0.92</v>
      </c>
      <c r="AK3579">
        <v>1227</v>
      </c>
      <c r="AL3579">
        <v>20</v>
      </c>
      <c r="AM3579">
        <v>1E-3</v>
      </c>
      <c r="AN3579">
        <v>-1</v>
      </c>
      <c r="AO3579">
        <v>3.2</v>
      </c>
      <c r="AP3579">
        <v>6.79</v>
      </c>
      <c r="AQ3579">
        <v>5.39</v>
      </c>
      <c r="AR3579">
        <v>20.11</v>
      </c>
      <c r="AS3579">
        <v>3.67</v>
      </c>
      <c r="AT3579" t="s">
        <v>7487</v>
      </c>
      <c r="AU3579">
        <v>20.09</v>
      </c>
      <c r="AV3579">
        <v>30.13</v>
      </c>
      <c r="AW3579">
        <v>0.92</v>
      </c>
      <c r="BA3579">
        <v>0.23</v>
      </c>
      <c r="BB3579">
        <v>1.92</v>
      </c>
      <c r="BC3579">
        <v>-1</v>
      </c>
      <c r="BD3579">
        <v>0.09</v>
      </c>
      <c r="BE3579">
        <v>-1.23</v>
      </c>
      <c r="BF3579">
        <v>-2.86</v>
      </c>
      <c r="BG3579">
        <v>0</v>
      </c>
      <c r="BH3579">
        <v>-1.0900000000000001</v>
      </c>
      <c r="BI3579">
        <v>20191030</v>
      </c>
      <c r="BJ3579">
        <v>20151210</v>
      </c>
      <c r="BK3579">
        <v>2.08</v>
      </c>
      <c r="BL3579" t="s">
        <v>116</v>
      </c>
      <c r="BM3579" t="s">
        <v>116</v>
      </c>
      <c r="BN3579">
        <v>16.55</v>
      </c>
      <c r="BO3579">
        <v>10.09</v>
      </c>
      <c r="BP3579">
        <v>0.01</v>
      </c>
      <c r="BQ3579">
        <v>38.96</v>
      </c>
      <c r="BR3579">
        <v>12.61</v>
      </c>
      <c r="BS3579">
        <v>2.89</v>
      </c>
      <c r="BT3579">
        <v>0.5</v>
      </c>
      <c r="BU3579">
        <v>6.36</v>
      </c>
      <c r="BV3579">
        <v>3.89</v>
      </c>
      <c r="BW3579">
        <v>3.62</v>
      </c>
      <c r="BX3579">
        <v>4.9800000000000004</v>
      </c>
      <c r="BY3579">
        <v>9.65</v>
      </c>
      <c r="BZ3579">
        <v>7.12</v>
      </c>
      <c r="CA3579">
        <v>1.3</v>
      </c>
      <c r="CB3579">
        <v>7.0000000000000007E-2</v>
      </c>
      <c r="CC3579">
        <v>1.3</v>
      </c>
      <c r="CD3579">
        <v>1.06</v>
      </c>
      <c r="CE3579">
        <v>1.06</v>
      </c>
      <c r="CF3579">
        <v>0.98</v>
      </c>
      <c r="CG3579">
        <v>2.68</v>
      </c>
      <c r="CH3579">
        <v>0.17</v>
      </c>
      <c r="CI3579">
        <v>0.66</v>
      </c>
      <c r="CJ3579">
        <v>19996</v>
      </c>
      <c r="CK3579">
        <v>3381</v>
      </c>
      <c r="CL3579" t="s">
        <v>6647</v>
      </c>
      <c r="CM3579">
        <v>72.459999999999994</v>
      </c>
      <c r="CN3579">
        <v>25.64</v>
      </c>
      <c r="CO3579">
        <v>2.66</v>
      </c>
      <c r="CP3579">
        <v>157.88</v>
      </c>
      <c r="CQ3579">
        <v>2.78</v>
      </c>
      <c r="CR3579">
        <v>3.88</v>
      </c>
      <c r="CS3579" t="s">
        <v>3482</v>
      </c>
      <c r="CT3579">
        <v>4.8499999999999996</v>
      </c>
      <c r="CU3579">
        <v>0</v>
      </c>
      <c r="CV3579">
        <v>2.39</v>
      </c>
      <c r="CW3579">
        <v>1.29</v>
      </c>
      <c r="CX3579">
        <v>0.08</v>
      </c>
      <c r="CY3579">
        <v>60.96</v>
      </c>
      <c r="CZ3579" t="s">
        <v>1259</v>
      </c>
      <c r="DA3579">
        <v>26.25</v>
      </c>
      <c r="DB3579">
        <v>13.51</v>
      </c>
      <c r="DC3579">
        <v>10.97</v>
      </c>
      <c r="DD3579">
        <v>0.26</v>
      </c>
      <c r="DE3579">
        <v>1082</v>
      </c>
      <c r="DF3579">
        <v>603800</v>
      </c>
      <c r="DG3579" t="s">
        <v>116</v>
      </c>
      <c r="DH3579" t="s">
        <v>116</v>
      </c>
      <c r="DI3579" t="s">
        <v>116</v>
      </c>
    </row>
    <row r="3580" spans="1:113" x14ac:dyDescent="0.4">
      <c r="A3580" t="str">
        <f>"603801"</f>
        <v>603801</v>
      </c>
      <c r="B3580" t="s">
        <v>14883</v>
      </c>
      <c r="C3580">
        <v>2.98</v>
      </c>
      <c r="D3580">
        <v>22.09</v>
      </c>
      <c r="E3580">
        <v>0.64</v>
      </c>
      <c r="F3580">
        <v>22.08</v>
      </c>
      <c r="G3580">
        <v>22.09</v>
      </c>
      <c r="H3580">
        <v>48563</v>
      </c>
      <c r="I3580">
        <v>294</v>
      </c>
      <c r="J3580">
        <v>0.05</v>
      </c>
      <c r="K3580">
        <v>4.24</v>
      </c>
      <c r="L3580">
        <v>21.55</v>
      </c>
      <c r="M3580">
        <v>22.64</v>
      </c>
      <c r="N3580">
        <v>21.44</v>
      </c>
      <c r="O3580">
        <v>21.45</v>
      </c>
      <c r="P3580">
        <v>15.88</v>
      </c>
      <c r="Q3580">
        <v>107132904</v>
      </c>
      <c r="R3580">
        <v>1.86</v>
      </c>
      <c r="S3580" t="s">
        <v>2640</v>
      </c>
      <c r="T3580" t="s">
        <v>575</v>
      </c>
      <c r="U3580">
        <v>5.59</v>
      </c>
      <c r="V3580">
        <v>22.06</v>
      </c>
      <c r="W3580">
        <v>21440</v>
      </c>
      <c r="X3580">
        <v>27123</v>
      </c>
      <c r="Y3580">
        <v>0.79</v>
      </c>
      <c r="Z3580">
        <v>56</v>
      </c>
      <c r="AA3580">
        <v>120</v>
      </c>
      <c r="AB3580" t="s">
        <v>116</v>
      </c>
      <c r="AC3580">
        <v>200400</v>
      </c>
      <c r="AD3580">
        <v>0.01</v>
      </c>
      <c r="AE3580" t="s">
        <v>116</v>
      </c>
      <c r="AF3580" t="s">
        <v>116</v>
      </c>
      <c r="AG3580">
        <v>1.1499999999999999</v>
      </c>
      <c r="AH3580" t="s">
        <v>3804</v>
      </c>
      <c r="AI3580" t="s">
        <v>14844</v>
      </c>
      <c r="AJ3580">
        <v>3.06</v>
      </c>
      <c r="AK3580">
        <v>2636</v>
      </c>
      <c r="AL3580">
        <v>18</v>
      </c>
      <c r="AM3580">
        <v>1.6000000000000001E-3</v>
      </c>
      <c r="AN3580">
        <v>2</v>
      </c>
      <c r="AO3580">
        <v>1.46</v>
      </c>
      <c r="AP3580">
        <v>19.53</v>
      </c>
      <c r="AQ3580">
        <v>11.01</v>
      </c>
      <c r="AR3580">
        <v>33.590000000000003</v>
      </c>
      <c r="AS3580">
        <v>4.45</v>
      </c>
      <c r="AT3580" t="s">
        <v>14884</v>
      </c>
      <c r="AU3580">
        <v>16.32</v>
      </c>
      <c r="AV3580">
        <v>18.079999999999998</v>
      </c>
      <c r="AW3580">
        <v>1.34</v>
      </c>
      <c r="BA3580">
        <v>0.47</v>
      </c>
      <c r="BB3580">
        <v>5.55</v>
      </c>
      <c r="BC3580">
        <v>-0.05</v>
      </c>
      <c r="BD3580">
        <v>2.85</v>
      </c>
      <c r="BE3580">
        <v>2.5099999999999998</v>
      </c>
      <c r="BF3580">
        <v>-2.4300000000000002</v>
      </c>
      <c r="BG3580">
        <v>3.03</v>
      </c>
      <c r="BH3580">
        <v>0.14000000000000001</v>
      </c>
      <c r="BI3580">
        <v>20191217</v>
      </c>
      <c r="BJ3580">
        <v>20170630</v>
      </c>
      <c r="BK3580">
        <v>2.23</v>
      </c>
      <c r="BL3580" t="s">
        <v>116</v>
      </c>
      <c r="BM3580" t="s">
        <v>116</v>
      </c>
      <c r="BN3580">
        <v>27.85</v>
      </c>
      <c r="BO3580">
        <v>18.350000000000001</v>
      </c>
      <c r="BP3580">
        <v>0</v>
      </c>
      <c r="BQ3580">
        <v>34.119999999999997</v>
      </c>
      <c r="BR3580">
        <v>15.94</v>
      </c>
      <c r="BS3580">
        <v>6.29</v>
      </c>
      <c r="BT3580">
        <v>1.55</v>
      </c>
      <c r="BU3580">
        <v>9.19</v>
      </c>
      <c r="BV3580">
        <v>2.3199999999999998</v>
      </c>
      <c r="BW3580">
        <v>1.94</v>
      </c>
      <c r="BX3580">
        <v>8.77</v>
      </c>
      <c r="BY3580">
        <v>19.579999999999998</v>
      </c>
      <c r="BZ3580">
        <v>12.03</v>
      </c>
      <c r="CA3580">
        <v>2.73</v>
      </c>
      <c r="CB3580">
        <v>0.2</v>
      </c>
      <c r="CC3580">
        <v>2.7</v>
      </c>
      <c r="CD3580">
        <v>2.33</v>
      </c>
      <c r="CE3580">
        <v>2.33</v>
      </c>
      <c r="CF3580">
        <v>2.0299999999999998</v>
      </c>
      <c r="CG3580">
        <v>7.93</v>
      </c>
      <c r="CH3580">
        <v>2.0099999999999998</v>
      </c>
      <c r="CI3580">
        <v>0.53</v>
      </c>
      <c r="CJ3580">
        <v>9741</v>
      </c>
      <c r="CK3580">
        <v>11205</v>
      </c>
      <c r="CL3580" t="s">
        <v>14885</v>
      </c>
      <c r="CM3580">
        <v>14.49</v>
      </c>
      <c r="CN3580">
        <v>12.92</v>
      </c>
      <c r="CO3580">
        <v>2.69</v>
      </c>
      <c r="CP3580">
        <v>24.5</v>
      </c>
      <c r="CQ3580">
        <v>2.52</v>
      </c>
      <c r="CR3580">
        <v>2.76</v>
      </c>
      <c r="CS3580" t="s">
        <v>14510</v>
      </c>
      <c r="CT3580">
        <v>8.2100000000000009</v>
      </c>
      <c r="CU3580">
        <v>0</v>
      </c>
      <c r="CV3580">
        <v>3.93</v>
      </c>
      <c r="CW3580">
        <v>3.55</v>
      </c>
      <c r="CX3580">
        <v>0.9</v>
      </c>
      <c r="CY3580">
        <v>65.88</v>
      </c>
      <c r="CZ3580" t="s">
        <v>5365</v>
      </c>
      <c r="DA3580">
        <v>38.54</v>
      </c>
      <c r="DB3580">
        <v>13.97</v>
      </c>
      <c r="DC3580">
        <v>11.9</v>
      </c>
      <c r="DD3580">
        <v>0.72</v>
      </c>
      <c r="DE3580">
        <v>2852</v>
      </c>
      <c r="DF3580">
        <v>603801</v>
      </c>
      <c r="DG3580" t="s">
        <v>116</v>
      </c>
      <c r="DH3580" t="s">
        <v>116</v>
      </c>
      <c r="DI3580" t="s">
        <v>116</v>
      </c>
    </row>
    <row r="3581" spans="1:113" x14ac:dyDescent="0.4">
      <c r="A3581" t="str">
        <f>"603803"</f>
        <v>603803</v>
      </c>
      <c r="B3581" t="s">
        <v>14886</v>
      </c>
      <c r="C3581">
        <v>-1.46</v>
      </c>
      <c r="D3581">
        <v>12.81</v>
      </c>
      <c r="E3581">
        <v>-0.19</v>
      </c>
      <c r="F3581">
        <v>12.81</v>
      </c>
      <c r="G3581">
        <v>12.82</v>
      </c>
      <c r="H3581">
        <v>37986</v>
      </c>
      <c r="I3581">
        <v>562</v>
      </c>
      <c r="J3581">
        <v>-0.22</v>
      </c>
      <c r="K3581">
        <v>1.73</v>
      </c>
      <c r="L3581">
        <v>12.98</v>
      </c>
      <c r="M3581">
        <v>13.14</v>
      </c>
      <c r="N3581">
        <v>12.81</v>
      </c>
      <c r="O3581">
        <v>13</v>
      </c>
      <c r="P3581">
        <v>40.71</v>
      </c>
      <c r="Q3581">
        <v>49405696</v>
      </c>
      <c r="R3581">
        <v>0.96</v>
      </c>
      <c r="S3581" t="s">
        <v>465</v>
      </c>
      <c r="T3581" t="s">
        <v>165</v>
      </c>
      <c r="U3581">
        <v>2.54</v>
      </c>
      <c r="V3581">
        <v>13.01</v>
      </c>
      <c r="W3581">
        <v>19814</v>
      </c>
      <c r="X3581">
        <v>18172</v>
      </c>
      <c r="Y3581">
        <v>1.0900000000000001</v>
      </c>
      <c r="Z3581">
        <v>38</v>
      </c>
      <c r="AA3581">
        <v>246</v>
      </c>
      <c r="AB3581" t="s">
        <v>116</v>
      </c>
      <c r="AC3581">
        <v>142800</v>
      </c>
      <c r="AD3581">
        <v>0.01</v>
      </c>
      <c r="AE3581" t="s">
        <v>116</v>
      </c>
      <c r="AF3581" t="s">
        <v>116</v>
      </c>
      <c r="AG3581">
        <v>2.2000000000000002</v>
      </c>
      <c r="AH3581" t="s">
        <v>4486</v>
      </c>
      <c r="AI3581" t="s">
        <v>3529</v>
      </c>
      <c r="AJ3581">
        <v>-1.38</v>
      </c>
      <c r="AK3581">
        <v>2161</v>
      </c>
      <c r="AL3581">
        <v>18</v>
      </c>
      <c r="AM3581">
        <v>8.0000000000000004E-4</v>
      </c>
      <c r="AN3581">
        <v>-1</v>
      </c>
      <c r="AO3581">
        <v>0.47</v>
      </c>
      <c r="AP3581">
        <v>2.48</v>
      </c>
      <c r="AQ3581">
        <v>-6.56</v>
      </c>
      <c r="AR3581">
        <v>27.97</v>
      </c>
      <c r="AS3581">
        <v>2.02</v>
      </c>
      <c r="AT3581" t="s">
        <v>749</v>
      </c>
      <c r="AU3581">
        <v>37.44</v>
      </c>
      <c r="AV3581">
        <v>43.1</v>
      </c>
      <c r="AW3581">
        <v>1.2</v>
      </c>
      <c r="BA3581">
        <v>-0.15</v>
      </c>
      <c r="BB3581">
        <v>1.08</v>
      </c>
      <c r="BC3581">
        <v>-1.46</v>
      </c>
      <c r="BD3581">
        <v>0.05</v>
      </c>
      <c r="BE3581">
        <v>-1.31</v>
      </c>
      <c r="BF3581">
        <v>-2.5099999999999998</v>
      </c>
      <c r="BG3581">
        <v>0</v>
      </c>
      <c r="BH3581">
        <v>-1.51</v>
      </c>
      <c r="BI3581">
        <v>20191025</v>
      </c>
      <c r="BJ3581">
        <v>20170420</v>
      </c>
      <c r="BK3581">
        <v>4.21</v>
      </c>
      <c r="BL3581" t="s">
        <v>116</v>
      </c>
      <c r="BM3581" t="s">
        <v>116</v>
      </c>
      <c r="BN3581">
        <v>40.56</v>
      </c>
      <c r="BO3581">
        <v>25.36</v>
      </c>
      <c r="BP3581">
        <v>0</v>
      </c>
      <c r="BQ3581">
        <v>37.479999999999997</v>
      </c>
      <c r="BR3581">
        <v>35.68</v>
      </c>
      <c r="BS3581">
        <v>2.69</v>
      </c>
      <c r="BT3581">
        <v>1.1000000000000001</v>
      </c>
      <c r="BU3581">
        <v>15.2</v>
      </c>
      <c r="BV3581">
        <v>7.03</v>
      </c>
      <c r="BW3581">
        <v>11.05</v>
      </c>
      <c r="BX3581">
        <v>6.86</v>
      </c>
      <c r="BY3581">
        <v>19.25</v>
      </c>
      <c r="BZ3581">
        <v>12.32</v>
      </c>
      <c r="CA3581">
        <v>1.1200000000000001</v>
      </c>
      <c r="CB3581">
        <v>-0.02</v>
      </c>
      <c r="CC3581">
        <v>1.1000000000000001</v>
      </c>
      <c r="CD3581">
        <v>0.99</v>
      </c>
      <c r="CE3581">
        <v>0.99</v>
      </c>
      <c r="CF3581">
        <v>0.97</v>
      </c>
      <c r="CG3581">
        <v>12.47</v>
      </c>
      <c r="CH3581">
        <v>-0.22</v>
      </c>
      <c r="CI3581">
        <v>-4.49</v>
      </c>
      <c r="CJ3581">
        <v>27663</v>
      </c>
      <c r="CK3581">
        <v>6785</v>
      </c>
      <c r="CL3581" t="s">
        <v>12652</v>
      </c>
      <c r="CM3581">
        <v>23.54</v>
      </c>
      <c r="CN3581">
        <v>12.85</v>
      </c>
      <c r="CO3581">
        <v>2.13</v>
      </c>
      <c r="CP3581">
        <v>-249.76</v>
      </c>
      <c r="CQ3581">
        <v>2.8</v>
      </c>
      <c r="CR3581">
        <v>0.94</v>
      </c>
      <c r="CS3581" t="s">
        <v>2116</v>
      </c>
      <c r="CT3581">
        <v>6.02</v>
      </c>
      <c r="CU3581">
        <v>0</v>
      </c>
      <c r="CV3581">
        <v>1.63</v>
      </c>
      <c r="CW3581">
        <v>2.96</v>
      </c>
      <c r="CX3581">
        <v>-0.05</v>
      </c>
      <c r="CY3581">
        <v>62.51</v>
      </c>
      <c r="CZ3581" t="s">
        <v>9521</v>
      </c>
      <c r="DA3581">
        <v>36</v>
      </c>
      <c r="DB3581">
        <v>5.84</v>
      </c>
      <c r="DC3581">
        <v>5.16</v>
      </c>
      <c r="DD3581">
        <v>2.02</v>
      </c>
      <c r="DE3581">
        <v>2027</v>
      </c>
      <c r="DF3581">
        <v>603803</v>
      </c>
      <c r="DG3581" t="s">
        <v>116</v>
      </c>
      <c r="DH3581" t="s">
        <v>116</v>
      </c>
      <c r="DI3581" t="s">
        <v>116</v>
      </c>
    </row>
    <row r="3582" spans="1:113" x14ac:dyDescent="0.4">
      <c r="A3582" t="str">
        <f>"603806"</f>
        <v>603806</v>
      </c>
      <c r="B3582" t="s">
        <v>14887</v>
      </c>
      <c r="C3582">
        <v>-1.95</v>
      </c>
      <c r="D3582">
        <v>46.88</v>
      </c>
      <c r="E3582">
        <v>-0.93</v>
      </c>
      <c r="F3582">
        <v>46.88</v>
      </c>
      <c r="G3582">
        <v>46.93</v>
      </c>
      <c r="H3582">
        <v>12504</v>
      </c>
      <c r="I3582">
        <v>47</v>
      </c>
      <c r="J3582">
        <v>0.06</v>
      </c>
      <c r="K3582">
        <v>0.24</v>
      </c>
      <c r="L3582">
        <v>47.81</v>
      </c>
      <c r="M3582">
        <v>48.31</v>
      </c>
      <c r="N3582">
        <v>46.79</v>
      </c>
      <c r="O3582">
        <v>47.81</v>
      </c>
      <c r="P3582">
        <v>31.01</v>
      </c>
      <c r="Q3582">
        <v>58963736</v>
      </c>
      <c r="R3582">
        <v>0.8</v>
      </c>
      <c r="S3582" t="s">
        <v>2444</v>
      </c>
      <c r="T3582" t="s">
        <v>590</v>
      </c>
      <c r="U3582">
        <v>3.18</v>
      </c>
      <c r="V3582">
        <v>47.16</v>
      </c>
      <c r="W3582">
        <v>8346</v>
      </c>
      <c r="X3582">
        <v>4158</v>
      </c>
      <c r="Y3582">
        <v>2.0099999999999998</v>
      </c>
      <c r="Z3582">
        <v>40</v>
      </c>
      <c r="AA3582">
        <v>12</v>
      </c>
      <c r="AB3582" t="s">
        <v>116</v>
      </c>
      <c r="AC3582">
        <v>92300</v>
      </c>
      <c r="AD3582">
        <v>0</v>
      </c>
      <c r="AE3582" t="s">
        <v>116</v>
      </c>
      <c r="AF3582" t="s">
        <v>116</v>
      </c>
      <c r="AG3582">
        <v>5.23</v>
      </c>
      <c r="AH3582" t="s">
        <v>14888</v>
      </c>
      <c r="AI3582" t="s">
        <v>14888</v>
      </c>
      <c r="AJ3582">
        <v>-1.87</v>
      </c>
      <c r="AK3582">
        <v>1933</v>
      </c>
      <c r="AL3582">
        <v>6</v>
      </c>
      <c r="AM3582">
        <v>1E-4</v>
      </c>
      <c r="AN3582">
        <v>-1</v>
      </c>
      <c r="AO3582">
        <v>1.2</v>
      </c>
      <c r="AP3582">
        <v>14.57</v>
      </c>
      <c r="AQ3582">
        <v>3.53</v>
      </c>
      <c r="AR3582">
        <v>77.91</v>
      </c>
      <c r="AS3582">
        <v>1.1499999999999999</v>
      </c>
      <c r="AT3582" t="s">
        <v>14889</v>
      </c>
      <c r="AU3582">
        <v>24.58</v>
      </c>
      <c r="AV3582">
        <v>32.61</v>
      </c>
      <c r="AW3582">
        <v>0.23</v>
      </c>
      <c r="BA3582">
        <v>0</v>
      </c>
      <c r="BB3582">
        <v>1.05</v>
      </c>
      <c r="BC3582">
        <v>-2.13</v>
      </c>
      <c r="BD3582">
        <v>-1.37</v>
      </c>
      <c r="BE3582">
        <v>-1.95</v>
      </c>
      <c r="BF3582">
        <v>-2.96</v>
      </c>
      <c r="BG3582">
        <v>0.19</v>
      </c>
      <c r="BH3582">
        <v>-0.57999999999999996</v>
      </c>
      <c r="BI3582">
        <v>20191026</v>
      </c>
      <c r="BJ3582">
        <v>20140905</v>
      </c>
      <c r="BK3582">
        <v>5.23</v>
      </c>
      <c r="BL3582" t="s">
        <v>116</v>
      </c>
      <c r="BM3582" t="s">
        <v>116</v>
      </c>
      <c r="BN3582">
        <v>69.25</v>
      </c>
      <c r="BO3582">
        <v>59.5</v>
      </c>
      <c r="BP3582">
        <v>0.05</v>
      </c>
      <c r="BQ3582">
        <v>14.02</v>
      </c>
      <c r="BR3582">
        <v>54.26</v>
      </c>
      <c r="BS3582">
        <v>10.76</v>
      </c>
      <c r="BT3582">
        <v>2.1800000000000002</v>
      </c>
      <c r="BU3582">
        <v>9.42</v>
      </c>
      <c r="BV3582">
        <v>8.4700000000000006</v>
      </c>
      <c r="BW3582">
        <v>15.51</v>
      </c>
      <c r="BX3582">
        <v>13.91</v>
      </c>
      <c r="BY3582">
        <v>45.91</v>
      </c>
      <c r="BZ3582">
        <v>36.85</v>
      </c>
      <c r="CA3582">
        <v>6.94</v>
      </c>
      <c r="CB3582">
        <v>0.28000000000000003</v>
      </c>
      <c r="CC3582">
        <v>6.92</v>
      </c>
      <c r="CD3582">
        <v>5.91</v>
      </c>
      <c r="CE3582">
        <v>5.92</v>
      </c>
      <c r="CF3582">
        <v>4.93</v>
      </c>
      <c r="CG3582">
        <v>37.049999999999997</v>
      </c>
      <c r="CH3582">
        <v>1.75</v>
      </c>
      <c r="CI3582">
        <v>1.07</v>
      </c>
      <c r="CJ3582">
        <v>7605</v>
      </c>
      <c r="CK3582">
        <v>14310</v>
      </c>
      <c r="CL3582" t="s">
        <v>14890</v>
      </c>
      <c r="CM3582">
        <v>70.8</v>
      </c>
      <c r="CN3582">
        <v>34.6</v>
      </c>
      <c r="CO3582">
        <v>4.12</v>
      </c>
      <c r="CP3582">
        <v>139.61000000000001</v>
      </c>
      <c r="CQ3582">
        <v>5.34</v>
      </c>
      <c r="CR3582">
        <v>0.96</v>
      </c>
      <c r="CS3582" t="s">
        <v>14891</v>
      </c>
      <c r="CT3582">
        <v>11.39</v>
      </c>
      <c r="CU3582">
        <v>0</v>
      </c>
      <c r="CV3582">
        <v>2.66</v>
      </c>
      <c r="CW3582">
        <v>7.09</v>
      </c>
      <c r="CX3582">
        <v>0.34</v>
      </c>
      <c r="CY3582">
        <v>85.92</v>
      </c>
      <c r="CZ3582" t="s">
        <v>8788</v>
      </c>
      <c r="DA3582">
        <v>19.72</v>
      </c>
      <c r="DB3582">
        <v>15.11</v>
      </c>
      <c r="DC3582">
        <v>12.91</v>
      </c>
      <c r="DD3582">
        <v>1.53</v>
      </c>
      <c r="DE3582">
        <v>1698</v>
      </c>
      <c r="DF3582">
        <v>603806</v>
      </c>
      <c r="DG3582" t="s">
        <v>116</v>
      </c>
      <c r="DH3582" t="s">
        <v>116</v>
      </c>
      <c r="DI3582" t="s">
        <v>116</v>
      </c>
    </row>
    <row r="3583" spans="1:113" x14ac:dyDescent="0.4">
      <c r="A3583" t="str">
        <f>"603808"</f>
        <v>603808</v>
      </c>
      <c r="B3583" t="s">
        <v>14892</v>
      </c>
      <c r="C3583">
        <v>0.48</v>
      </c>
      <c r="D3583">
        <v>14.63</v>
      </c>
      <c r="E3583">
        <v>7.0000000000000007E-2</v>
      </c>
      <c r="F3583">
        <v>14.62</v>
      </c>
      <c r="G3583">
        <v>14.63</v>
      </c>
      <c r="H3583">
        <v>152552</v>
      </c>
      <c r="I3583">
        <v>1875</v>
      </c>
      <c r="J3583">
        <v>0.21</v>
      </c>
      <c r="K3583">
        <v>4.59</v>
      </c>
      <c r="L3583">
        <v>14.71</v>
      </c>
      <c r="M3583">
        <v>15.5</v>
      </c>
      <c r="N3583">
        <v>14.46</v>
      </c>
      <c r="O3583">
        <v>14.56</v>
      </c>
      <c r="P3583">
        <v>13.26</v>
      </c>
      <c r="Q3583">
        <v>227397920</v>
      </c>
      <c r="R3583">
        <v>2.35</v>
      </c>
      <c r="S3583" t="s">
        <v>3070</v>
      </c>
      <c r="T3583" t="s">
        <v>115</v>
      </c>
      <c r="U3583">
        <v>7.14</v>
      </c>
      <c r="V3583">
        <v>14.91</v>
      </c>
      <c r="W3583">
        <v>76620</v>
      </c>
      <c r="X3583">
        <v>75932</v>
      </c>
      <c r="Y3583">
        <v>1.01</v>
      </c>
      <c r="Z3583">
        <v>656</v>
      </c>
      <c r="AA3583">
        <v>25</v>
      </c>
      <c r="AB3583" t="s">
        <v>116</v>
      </c>
      <c r="AC3583">
        <v>1261400</v>
      </c>
      <c r="AD3583">
        <v>0.06</v>
      </c>
      <c r="AE3583" t="s">
        <v>116</v>
      </c>
      <c r="AF3583" t="s">
        <v>116</v>
      </c>
      <c r="AG3583">
        <v>3.33</v>
      </c>
      <c r="AH3583" t="s">
        <v>8027</v>
      </c>
      <c r="AI3583" t="s">
        <v>8027</v>
      </c>
      <c r="AJ3583">
        <v>0.56000000000000005</v>
      </c>
      <c r="AK3583">
        <v>3517</v>
      </c>
      <c r="AL3583">
        <v>43</v>
      </c>
      <c r="AM3583">
        <v>1.2999999999999999E-3</v>
      </c>
      <c r="AN3583">
        <v>4</v>
      </c>
      <c r="AO3583">
        <v>7.73</v>
      </c>
      <c r="AP3583">
        <v>15.65</v>
      </c>
      <c r="AQ3583">
        <v>-8.2799999999999994</v>
      </c>
      <c r="AR3583">
        <v>-6.9</v>
      </c>
      <c r="AS3583">
        <v>11.53</v>
      </c>
      <c r="AT3583" t="s">
        <v>3460</v>
      </c>
      <c r="AU3583">
        <v>13.08</v>
      </c>
      <c r="AV3583">
        <v>13.33</v>
      </c>
      <c r="AW3583">
        <v>1.29</v>
      </c>
      <c r="BA3583">
        <v>1.03</v>
      </c>
      <c r="BB3583">
        <v>6.46</v>
      </c>
      <c r="BC3583">
        <v>-0.69</v>
      </c>
      <c r="BD3583">
        <v>2.38</v>
      </c>
      <c r="BE3583">
        <v>-0.54</v>
      </c>
      <c r="BF3583">
        <v>-5.61</v>
      </c>
      <c r="BG3583">
        <v>1.18</v>
      </c>
      <c r="BH3583">
        <v>-1.9</v>
      </c>
      <c r="BI3583">
        <v>20191029</v>
      </c>
      <c r="BJ3583">
        <v>20150422</v>
      </c>
      <c r="BK3583">
        <v>3.33</v>
      </c>
      <c r="BL3583" t="s">
        <v>116</v>
      </c>
      <c r="BM3583" t="s">
        <v>116</v>
      </c>
      <c r="BN3583">
        <v>35.58</v>
      </c>
      <c r="BO3583">
        <v>23.34</v>
      </c>
      <c r="BP3583">
        <v>2.8</v>
      </c>
      <c r="BQ3583">
        <v>26.56</v>
      </c>
      <c r="BR3583">
        <v>17.87</v>
      </c>
      <c r="BS3583">
        <v>1.86</v>
      </c>
      <c r="BT3583">
        <v>6.93</v>
      </c>
      <c r="BU3583">
        <v>5.38</v>
      </c>
      <c r="BV3583">
        <v>5.8</v>
      </c>
      <c r="BW3583">
        <v>3.03</v>
      </c>
      <c r="BX3583">
        <v>7.89</v>
      </c>
      <c r="BY3583">
        <v>18.850000000000001</v>
      </c>
      <c r="BZ3583">
        <v>6.39</v>
      </c>
      <c r="CA3583">
        <v>3.99</v>
      </c>
      <c r="CB3583">
        <v>0.3</v>
      </c>
      <c r="CC3583">
        <v>3.95</v>
      </c>
      <c r="CD3583">
        <v>3.18</v>
      </c>
      <c r="CE3583">
        <v>2.75</v>
      </c>
      <c r="CF3583">
        <v>2.39</v>
      </c>
      <c r="CG3583">
        <v>11.05</v>
      </c>
      <c r="CH3583">
        <v>3.13</v>
      </c>
      <c r="CI3583">
        <v>-0.62</v>
      </c>
      <c r="CJ3583">
        <v>12371</v>
      </c>
      <c r="CK3583">
        <v>10693</v>
      </c>
      <c r="CL3583" t="s">
        <v>9616</v>
      </c>
      <c r="CM3583">
        <v>2.62</v>
      </c>
      <c r="CN3583">
        <v>8.57</v>
      </c>
      <c r="CO3583">
        <v>2.08</v>
      </c>
      <c r="CP3583">
        <v>15.55</v>
      </c>
      <c r="CQ3583">
        <v>2.58</v>
      </c>
      <c r="CR3583">
        <v>3.59</v>
      </c>
      <c r="CS3583" t="s">
        <v>9381</v>
      </c>
      <c r="CT3583">
        <v>7.02</v>
      </c>
      <c r="CU3583">
        <v>0</v>
      </c>
      <c r="CV3583">
        <v>2.37</v>
      </c>
      <c r="CW3583">
        <v>3.32</v>
      </c>
      <c r="CX3583">
        <v>0.94</v>
      </c>
      <c r="CY3583">
        <v>65.58</v>
      </c>
      <c r="CZ3583" t="s">
        <v>10564</v>
      </c>
      <c r="DA3583">
        <v>66.069999999999993</v>
      </c>
      <c r="DB3583">
        <v>21.17</v>
      </c>
      <c r="DC3583">
        <v>14.6</v>
      </c>
      <c r="DD3583">
        <v>0.71</v>
      </c>
      <c r="DE3583">
        <v>3558</v>
      </c>
      <c r="DF3583">
        <v>603808</v>
      </c>
      <c r="DG3583" t="s">
        <v>116</v>
      </c>
      <c r="DH3583" t="s">
        <v>116</v>
      </c>
      <c r="DI3583" t="s">
        <v>116</v>
      </c>
    </row>
    <row r="3584" spans="1:113" x14ac:dyDescent="0.4">
      <c r="A3584" t="str">
        <f>"603809"</f>
        <v>603809</v>
      </c>
      <c r="B3584" t="s">
        <v>14893</v>
      </c>
      <c r="C3584">
        <v>-0.32</v>
      </c>
      <c r="D3584">
        <v>9.42</v>
      </c>
      <c r="E3584">
        <v>-0.03</v>
      </c>
      <c r="F3584">
        <v>9.42</v>
      </c>
      <c r="G3584">
        <v>9.43</v>
      </c>
      <c r="H3584">
        <v>14375</v>
      </c>
      <c r="I3584">
        <v>138</v>
      </c>
      <c r="J3584">
        <v>-0.2</v>
      </c>
      <c r="K3584">
        <v>1.25</v>
      </c>
      <c r="L3584">
        <v>9.5</v>
      </c>
      <c r="M3584">
        <v>9.58</v>
      </c>
      <c r="N3584">
        <v>9.39</v>
      </c>
      <c r="O3584">
        <v>9.4499999999999993</v>
      </c>
      <c r="P3584">
        <v>17.2</v>
      </c>
      <c r="Q3584">
        <v>13623295</v>
      </c>
      <c r="R3584">
        <v>0.89</v>
      </c>
      <c r="S3584" t="s">
        <v>293</v>
      </c>
      <c r="T3584" t="s">
        <v>582</v>
      </c>
      <c r="U3584">
        <v>2.0099999999999998</v>
      </c>
      <c r="V3584">
        <v>9.48</v>
      </c>
      <c r="W3584">
        <v>8564</v>
      </c>
      <c r="X3584">
        <v>5811</v>
      </c>
      <c r="Y3584">
        <v>1.47</v>
      </c>
      <c r="Z3584">
        <v>92</v>
      </c>
      <c r="AA3584">
        <v>100</v>
      </c>
      <c r="AB3584" t="s">
        <v>116</v>
      </c>
      <c r="AC3584">
        <v>58900</v>
      </c>
      <c r="AD3584">
        <v>0.01</v>
      </c>
      <c r="AE3584" t="s">
        <v>116</v>
      </c>
      <c r="AF3584" t="s">
        <v>116</v>
      </c>
      <c r="AG3584">
        <v>1.1499999999999999</v>
      </c>
      <c r="AH3584" t="s">
        <v>9088</v>
      </c>
      <c r="AI3584" t="s">
        <v>12410</v>
      </c>
      <c r="AJ3584">
        <v>-0.24</v>
      </c>
      <c r="AK3584">
        <v>672</v>
      </c>
      <c r="AL3584">
        <v>21</v>
      </c>
      <c r="AM3584">
        <v>1.9E-3</v>
      </c>
      <c r="AN3584">
        <v>-1</v>
      </c>
      <c r="AO3584">
        <v>0.11</v>
      </c>
      <c r="AP3584">
        <v>5.37</v>
      </c>
      <c r="AQ3584">
        <v>-5.89</v>
      </c>
      <c r="AR3584">
        <v>-8.16</v>
      </c>
      <c r="AS3584">
        <v>1.25</v>
      </c>
      <c r="AT3584" t="s">
        <v>9088</v>
      </c>
      <c r="AU3584">
        <v>15.36</v>
      </c>
      <c r="AV3584">
        <v>12.23</v>
      </c>
      <c r="AW3584">
        <v>1.23</v>
      </c>
      <c r="BA3584">
        <v>0.53</v>
      </c>
      <c r="BB3584">
        <v>1.38</v>
      </c>
      <c r="BC3584">
        <v>-0.63</v>
      </c>
      <c r="BD3584">
        <v>0.28999999999999998</v>
      </c>
      <c r="BE3584">
        <v>-0.84</v>
      </c>
      <c r="BF3584">
        <v>-1.67</v>
      </c>
      <c r="BG3584">
        <v>0.32</v>
      </c>
      <c r="BH3584">
        <v>-0.61</v>
      </c>
      <c r="BI3584">
        <v>20191030</v>
      </c>
      <c r="BJ3584">
        <v>20171128</v>
      </c>
      <c r="BK3584">
        <v>2.09</v>
      </c>
      <c r="BL3584" t="s">
        <v>116</v>
      </c>
      <c r="BM3584" t="s">
        <v>116</v>
      </c>
      <c r="BN3584">
        <v>23.78</v>
      </c>
      <c r="BO3584">
        <v>15.51</v>
      </c>
      <c r="BP3584">
        <v>1.22</v>
      </c>
      <c r="BQ3584">
        <v>29.63</v>
      </c>
      <c r="BR3584">
        <v>10.97</v>
      </c>
      <c r="BS3584">
        <v>8.7799999999999994</v>
      </c>
      <c r="BT3584">
        <v>0.9</v>
      </c>
      <c r="BU3584">
        <v>5.76</v>
      </c>
      <c r="BV3584">
        <v>2.41</v>
      </c>
      <c r="BW3584">
        <v>2.15</v>
      </c>
      <c r="BX3584">
        <v>4.5</v>
      </c>
      <c r="BY3584">
        <v>6.46</v>
      </c>
      <c r="BZ3584">
        <v>4.58</v>
      </c>
      <c r="CA3584">
        <v>1.03</v>
      </c>
      <c r="CB3584">
        <v>0.08</v>
      </c>
      <c r="CC3584">
        <v>1.04</v>
      </c>
      <c r="CD3584">
        <v>0.88</v>
      </c>
      <c r="CE3584">
        <v>0.86</v>
      </c>
      <c r="CF3584">
        <v>0.73</v>
      </c>
      <c r="CG3584">
        <v>8.2899999999999991</v>
      </c>
      <c r="CH3584">
        <v>1.78</v>
      </c>
      <c r="CI3584">
        <v>-3.21</v>
      </c>
      <c r="CJ3584">
        <v>13600</v>
      </c>
      <c r="CK3584">
        <v>8461</v>
      </c>
      <c r="CL3584" t="s">
        <v>6624</v>
      </c>
      <c r="CM3584">
        <v>-27.63</v>
      </c>
      <c r="CN3584">
        <v>-4.88</v>
      </c>
      <c r="CO3584">
        <v>1.27</v>
      </c>
      <c r="CP3584">
        <v>11.04</v>
      </c>
      <c r="CQ3584">
        <v>3.05</v>
      </c>
      <c r="CR3584">
        <v>3.79</v>
      </c>
      <c r="CS3584" t="s">
        <v>6519</v>
      </c>
      <c r="CT3584">
        <v>7.42</v>
      </c>
      <c r="CU3584">
        <v>0</v>
      </c>
      <c r="CV3584">
        <v>2.15</v>
      </c>
      <c r="CW3584">
        <v>3.97</v>
      </c>
      <c r="CX3584">
        <v>0.85</v>
      </c>
      <c r="CY3584">
        <v>65.23</v>
      </c>
      <c r="CZ3584" t="s">
        <v>4338</v>
      </c>
      <c r="DA3584">
        <v>29.19</v>
      </c>
      <c r="DB3584">
        <v>15.99</v>
      </c>
      <c r="DC3584">
        <v>13.29</v>
      </c>
      <c r="DD3584">
        <v>0.31</v>
      </c>
      <c r="DE3584">
        <v>1357</v>
      </c>
      <c r="DF3584">
        <v>603809</v>
      </c>
      <c r="DG3584" t="s">
        <v>116</v>
      </c>
      <c r="DH3584" t="s">
        <v>116</v>
      </c>
      <c r="DI3584" t="s">
        <v>116</v>
      </c>
    </row>
    <row r="3585" spans="1:113" x14ac:dyDescent="0.4">
      <c r="A3585" t="str">
        <f>"603810"</f>
        <v>603810</v>
      </c>
      <c r="B3585" t="s">
        <v>14894</v>
      </c>
      <c r="C3585">
        <v>0.03</v>
      </c>
      <c r="D3585">
        <v>29.76</v>
      </c>
      <c r="E3585">
        <v>0.01</v>
      </c>
      <c r="F3585">
        <v>29.76</v>
      </c>
      <c r="G3585">
        <v>29.8</v>
      </c>
      <c r="H3585">
        <v>4727</v>
      </c>
      <c r="I3585">
        <v>17</v>
      </c>
      <c r="J3585">
        <v>0.03</v>
      </c>
      <c r="K3585">
        <v>1.2</v>
      </c>
      <c r="L3585">
        <v>29.79</v>
      </c>
      <c r="M3585">
        <v>29.96</v>
      </c>
      <c r="N3585">
        <v>29.6</v>
      </c>
      <c r="O3585">
        <v>29.75</v>
      </c>
      <c r="P3585">
        <v>38.799999999999997</v>
      </c>
      <c r="Q3585">
        <v>14114100</v>
      </c>
      <c r="R3585">
        <v>1.31</v>
      </c>
      <c r="S3585" t="s">
        <v>697</v>
      </c>
      <c r="T3585" t="s">
        <v>323</v>
      </c>
      <c r="U3585">
        <v>1.21</v>
      </c>
      <c r="V3585">
        <v>29.86</v>
      </c>
      <c r="W3585">
        <v>2597</v>
      </c>
      <c r="X3585">
        <v>2130</v>
      </c>
      <c r="Y3585">
        <v>1.22</v>
      </c>
      <c r="Z3585">
        <v>11</v>
      </c>
      <c r="AA3585">
        <v>46</v>
      </c>
      <c r="AB3585" t="s">
        <v>116</v>
      </c>
      <c r="AC3585">
        <v>38700</v>
      </c>
      <c r="AD3585">
        <v>0</v>
      </c>
      <c r="AE3585" t="s">
        <v>116</v>
      </c>
      <c r="AF3585" t="s">
        <v>116</v>
      </c>
      <c r="AG3585">
        <v>0.4</v>
      </c>
      <c r="AH3585" t="s">
        <v>14895</v>
      </c>
      <c r="AI3585" t="s">
        <v>6645</v>
      </c>
      <c r="AJ3585">
        <v>0.11</v>
      </c>
      <c r="AK3585">
        <v>537</v>
      </c>
      <c r="AL3585">
        <v>9</v>
      </c>
      <c r="AM3585">
        <v>2.2000000000000001E-3</v>
      </c>
      <c r="AN3585">
        <v>2</v>
      </c>
      <c r="AO3585">
        <v>0.71</v>
      </c>
      <c r="AP3585">
        <v>2.16</v>
      </c>
      <c r="AQ3585">
        <v>-17.22</v>
      </c>
      <c r="AR3585">
        <v>-24.88</v>
      </c>
      <c r="AS3585">
        <v>1.34</v>
      </c>
      <c r="AT3585" t="s">
        <v>8260</v>
      </c>
      <c r="AU3585">
        <v>26.98</v>
      </c>
      <c r="AV3585">
        <v>17.8</v>
      </c>
      <c r="AW3585">
        <v>0.5</v>
      </c>
      <c r="BA3585">
        <v>0.13</v>
      </c>
      <c r="BB3585">
        <v>0.71</v>
      </c>
      <c r="BC3585">
        <v>-0.5</v>
      </c>
      <c r="BD3585">
        <v>0.36</v>
      </c>
      <c r="BE3585">
        <v>-0.1</v>
      </c>
      <c r="BF3585">
        <v>-0.67</v>
      </c>
      <c r="BG3585">
        <v>0.54</v>
      </c>
      <c r="BH3585">
        <v>-0.33</v>
      </c>
      <c r="BI3585">
        <v>20191218</v>
      </c>
      <c r="BJ3585">
        <v>20180917</v>
      </c>
      <c r="BK3585">
        <v>0.83</v>
      </c>
      <c r="BL3585" t="s">
        <v>116</v>
      </c>
      <c r="BM3585" t="s">
        <v>116</v>
      </c>
      <c r="BN3585">
        <v>13.61</v>
      </c>
      <c r="BO3585">
        <v>11.13</v>
      </c>
      <c r="BP3585">
        <v>0</v>
      </c>
      <c r="BQ3585">
        <v>18.239999999999998</v>
      </c>
      <c r="BR3585">
        <v>8.52</v>
      </c>
      <c r="BS3585">
        <v>3.02</v>
      </c>
      <c r="BT3585">
        <v>0.55000000000000004</v>
      </c>
      <c r="BU3585">
        <v>2.14</v>
      </c>
      <c r="BV3585">
        <v>1.4</v>
      </c>
      <c r="BW3585">
        <v>1.37</v>
      </c>
      <c r="BX3585">
        <v>6.55</v>
      </c>
      <c r="BY3585">
        <v>7.29</v>
      </c>
      <c r="BZ3585">
        <v>5.29</v>
      </c>
      <c r="CA3585">
        <v>0.52</v>
      </c>
      <c r="CB3585">
        <v>0.11</v>
      </c>
      <c r="CC3585">
        <v>0.54</v>
      </c>
      <c r="CD3585">
        <v>0.48</v>
      </c>
      <c r="CE3585">
        <v>0.48</v>
      </c>
      <c r="CF3585">
        <v>0.36</v>
      </c>
      <c r="CG3585">
        <v>3.38</v>
      </c>
      <c r="CH3585">
        <v>0.33</v>
      </c>
      <c r="CI3585">
        <v>-1.31</v>
      </c>
      <c r="CJ3585">
        <v>8134</v>
      </c>
      <c r="CK3585">
        <v>4345</v>
      </c>
      <c r="CL3585" t="s">
        <v>11081</v>
      </c>
      <c r="CM3585">
        <v>-49.73</v>
      </c>
      <c r="CN3585">
        <v>-27.84</v>
      </c>
      <c r="CO3585">
        <v>2.14</v>
      </c>
      <c r="CP3585">
        <v>75.180000000000007</v>
      </c>
      <c r="CQ3585">
        <v>3.39</v>
      </c>
      <c r="CR3585">
        <v>1.7</v>
      </c>
      <c r="CS3585" t="s">
        <v>986</v>
      </c>
      <c r="CT3585">
        <v>13.91</v>
      </c>
      <c r="CU3585">
        <v>13.91</v>
      </c>
      <c r="CV3585">
        <v>7.89</v>
      </c>
      <c r="CW3585">
        <v>4.07</v>
      </c>
      <c r="CX3585">
        <v>0.4</v>
      </c>
      <c r="CY3585">
        <v>81.760000000000005</v>
      </c>
      <c r="CZ3585" t="s">
        <v>5201</v>
      </c>
      <c r="DA3585">
        <v>27.41</v>
      </c>
      <c r="DB3585">
        <v>7.09</v>
      </c>
      <c r="DC3585">
        <v>6.55</v>
      </c>
      <c r="DD3585">
        <v>0.31</v>
      </c>
      <c r="DE3585">
        <v>1261</v>
      </c>
      <c r="DF3585">
        <v>603810</v>
      </c>
      <c r="DG3585" t="s">
        <v>116</v>
      </c>
      <c r="DH3585" t="s">
        <v>116</v>
      </c>
      <c r="DI3585" t="s">
        <v>116</v>
      </c>
    </row>
    <row r="3586" spans="1:113" x14ac:dyDescent="0.4">
      <c r="A3586" t="str">
        <f>"603811"</f>
        <v>603811</v>
      </c>
      <c r="B3586" t="s">
        <v>14896</v>
      </c>
      <c r="C3586">
        <v>-0.75</v>
      </c>
      <c r="D3586">
        <v>25.12</v>
      </c>
      <c r="E3586">
        <v>-0.19</v>
      </c>
      <c r="F3586">
        <v>25.1</v>
      </c>
      <c r="G3586">
        <v>25.12</v>
      </c>
      <c r="H3586">
        <v>10360</v>
      </c>
      <c r="I3586">
        <v>93</v>
      </c>
      <c r="J3586">
        <v>0.12</v>
      </c>
      <c r="K3586">
        <v>1.29</v>
      </c>
      <c r="L3586">
        <v>25.34</v>
      </c>
      <c r="M3586">
        <v>25.58</v>
      </c>
      <c r="N3586">
        <v>25.08</v>
      </c>
      <c r="O3586">
        <v>25.31</v>
      </c>
      <c r="P3586">
        <v>22.66</v>
      </c>
      <c r="Q3586">
        <v>26118028</v>
      </c>
      <c r="R3586">
        <v>0.85</v>
      </c>
      <c r="S3586" t="s">
        <v>574</v>
      </c>
      <c r="T3586" t="s">
        <v>590</v>
      </c>
      <c r="U3586">
        <v>1.98</v>
      </c>
      <c r="V3586">
        <v>25.21</v>
      </c>
      <c r="W3586">
        <v>7004</v>
      </c>
      <c r="X3586">
        <v>3356</v>
      </c>
      <c r="Y3586">
        <v>2.09</v>
      </c>
      <c r="Z3586">
        <v>6</v>
      </c>
      <c r="AA3586">
        <v>42</v>
      </c>
      <c r="AB3586" t="s">
        <v>116</v>
      </c>
      <c r="AC3586">
        <v>116600</v>
      </c>
      <c r="AD3586">
        <v>0.01</v>
      </c>
      <c r="AE3586" t="s">
        <v>116</v>
      </c>
      <c r="AF3586" t="s">
        <v>116</v>
      </c>
      <c r="AG3586">
        <v>0.8</v>
      </c>
      <c r="AH3586" t="s">
        <v>6484</v>
      </c>
      <c r="AI3586" t="s">
        <v>9819</v>
      </c>
      <c r="AJ3586">
        <v>-0.67</v>
      </c>
      <c r="AK3586">
        <v>1177</v>
      </c>
      <c r="AL3586">
        <v>9</v>
      </c>
      <c r="AM3586">
        <v>1.1000000000000001E-3</v>
      </c>
      <c r="AN3586">
        <v>-1</v>
      </c>
      <c r="AO3586">
        <v>-1.48</v>
      </c>
      <c r="AP3586">
        <v>-2.94</v>
      </c>
      <c r="AQ3586">
        <v>-3.2</v>
      </c>
      <c r="AR3586">
        <v>57.69</v>
      </c>
      <c r="AS3586">
        <v>1.29</v>
      </c>
      <c r="AT3586" t="s">
        <v>6484</v>
      </c>
      <c r="AU3586">
        <v>23.99</v>
      </c>
      <c r="AV3586">
        <v>30.92</v>
      </c>
      <c r="AW3586">
        <v>1.17</v>
      </c>
      <c r="BA3586">
        <v>0.12</v>
      </c>
      <c r="BB3586">
        <v>1.07</v>
      </c>
      <c r="BC3586">
        <v>-0.91</v>
      </c>
      <c r="BD3586">
        <v>-0.39</v>
      </c>
      <c r="BE3586">
        <v>-0.87</v>
      </c>
      <c r="BF3586">
        <v>-1.8</v>
      </c>
      <c r="BG3586">
        <v>0.16</v>
      </c>
      <c r="BH3586">
        <v>-0.36</v>
      </c>
      <c r="BI3586">
        <v>20191029</v>
      </c>
      <c r="BJ3586">
        <v>20170315</v>
      </c>
      <c r="BK3586">
        <v>1.19</v>
      </c>
      <c r="BL3586" t="s">
        <v>116</v>
      </c>
      <c r="BM3586" t="s">
        <v>116</v>
      </c>
      <c r="BN3586">
        <v>9.3699999999999992</v>
      </c>
      <c r="BO3586">
        <v>7.24</v>
      </c>
      <c r="BP3586">
        <v>0.13</v>
      </c>
      <c r="BQ3586">
        <v>21.37</v>
      </c>
      <c r="BR3586">
        <v>3.47</v>
      </c>
      <c r="BS3586">
        <v>1.79</v>
      </c>
      <c r="BT3586">
        <v>0.33</v>
      </c>
      <c r="BU3586">
        <v>1.95</v>
      </c>
      <c r="BV3586">
        <v>1.01</v>
      </c>
      <c r="BW3586">
        <v>0.55000000000000004</v>
      </c>
      <c r="BX3586">
        <v>3.53</v>
      </c>
      <c r="BY3586">
        <v>4.99</v>
      </c>
      <c r="BZ3586">
        <v>1.36</v>
      </c>
      <c r="CA3586">
        <v>1.25</v>
      </c>
      <c r="CB3586">
        <v>0.01</v>
      </c>
      <c r="CC3586">
        <v>1.24</v>
      </c>
      <c r="CD3586">
        <v>0.99</v>
      </c>
      <c r="CE3586">
        <v>0.99</v>
      </c>
      <c r="CF3586">
        <v>0.9</v>
      </c>
      <c r="CG3586">
        <v>2.11</v>
      </c>
      <c r="CH3586">
        <v>1.81</v>
      </c>
      <c r="CI3586">
        <v>-7.0000000000000007E-2</v>
      </c>
      <c r="CJ3586">
        <v>10231</v>
      </c>
      <c r="CK3586">
        <v>7845</v>
      </c>
      <c r="CL3586" t="s">
        <v>8198</v>
      </c>
      <c r="CM3586">
        <v>39.32</v>
      </c>
      <c r="CN3586">
        <v>24.92</v>
      </c>
      <c r="CO3586">
        <v>4.1399999999999997</v>
      </c>
      <c r="CP3586">
        <v>16.59</v>
      </c>
      <c r="CQ3586">
        <v>6</v>
      </c>
      <c r="CR3586">
        <v>1.19</v>
      </c>
      <c r="CS3586" t="s">
        <v>14897</v>
      </c>
      <c r="CT3586">
        <v>6.07</v>
      </c>
      <c r="CU3586">
        <v>0</v>
      </c>
      <c r="CV3586">
        <v>2.96</v>
      </c>
      <c r="CW3586">
        <v>1.77</v>
      </c>
      <c r="CX3586">
        <v>1.51</v>
      </c>
      <c r="CY3586">
        <v>77.290000000000006</v>
      </c>
      <c r="CZ3586" t="s">
        <v>11224</v>
      </c>
      <c r="DA3586">
        <v>72.78</v>
      </c>
      <c r="DB3586">
        <v>25.05</v>
      </c>
      <c r="DC3586">
        <v>19.87</v>
      </c>
      <c r="DD3586">
        <v>0.19</v>
      </c>
      <c r="DE3586">
        <v>683</v>
      </c>
      <c r="DF3586">
        <v>603811</v>
      </c>
      <c r="DG3586" t="s">
        <v>116</v>
      </c>
      <c r="DH3586" t="s">
        <v>116</v>
      </c>
      <c r="DI3586" t="s">
        <v>116</v>
      </c>
    </row>
    <row r="3587" spans="1:113" x14ac:dyDescent="0.4">
      <c r="A3587" t="str">
        <f>"603813"</f>
        <v>603813</v>
      </c>
      <c r="B3587" t="s">
        <v>14898</v>
      </c>
      <c r="C3587">
        <v>-0.54</v>
      </c>
      <c r="D3587">
        <v>18.43</v>
      </c>
      <c r="E3587">
        <v>-0.1</v>
      </c>
      <c r="F3587">
        <v>18.43</v>
      </c>
      <c r="G3587">
        <v>18.440000000000001</v>
      </c>
      <c r="H3587">
        <v>5405</v>
      </c>
      <c r="I3587">
        <v>41</v>
      </c>
      <c r="J3587">
        <v>-0.04</v>
      </c>
      <c r="K3587">
        <v>1.1399999999999999</v>
      </c>
      <c r="L3587">
        <v>18.62</v>
      </c>
      <c r="M3587">
        <v>18.850000000000001</v>
      </c>
      <c r="N3587">
        <v>18.41</v>
      </c>
      <c r="O3587">
        <v>18.53</v>
      </c>
      <c r="P3587">
        <v>25.03</v>
      </c>
      <c r="Q3587">
        <v>10089421</v>
      </c>
      <c r="R3587">
        <v>1.1299999999999999</v>
      </c>
      <c r="S3587" t="s">
        <v>3113</v>
      </c>
      <c r="T3587" t="s">
        <v>551</v>
      </c>
      <c r="U3587">
        <v>2.37</v>
      </c>
      <c r="V3587">
        <v>18.670000000000002</v>
      </c>
      <c r="W3587">
        <v>2983</v>
      </c>
      <c r="X3587">
        <v>2422</v>
      </c>
      <c r="Y3587">
        <v>1.23</v>
      </c>
      <c r="Z3587">
        <v>11</v>
      </c>
      <c r="AA3587">
        <v>9</v>
      </c>
      <c r="AB3587" t="s">
        <v>116</v>
      </c>
      <c r="AC3587">
        <v>39100</v>
      </c>
      <c r="AD3587">
        <v>0.01</v>
      </c>
      <c r="AE3587" t="s">
        <v>116</v>
      </c>
      <c r="AF3587" t="s">
        <v>116</v>
      </c>
      <c r="AG3587">
        <v>0.47</v>
      </c>
      <c r="AH3587" t="s">
        <v>7487</v>
      </c>
      <c r="AI3587" t="s">
        <v>10903</v>
      </c>
      <c r="AJ3587">
        <v>-0.46</v>
      </c>
      <c r="AK3587">
        <v>589</v>
      </c>
      <c r="AL3587">
        <v>9</v>
      </c>
      <c r="AM3587">
        <v>1.9E-3</v>
      </c>
      <c r="AN3587">
        <v>-1</v>
      </c>
      <c r="AO3587">
        <v>0.38</v>
      </c>
      <c r="AP3587">
        <v>6.72</v>
      </c>
      <c r="AQ3587">
        <v>2.0499999999999998</v>
      </c>
      <c r="AR3587">
        <v>0.64</v>
      </c>
      <c r="AS3587">
        <v>1.6</v>
      </c>
      <c r="AT3587" t="s">
        <v>14899</v>
      </c>
      <c r="AU3587">
        <v>26.05</v>
      </c>
      <c r="AV3587">
        <v>29.72</v>
      </c>
      <c r="AW3587">
        <v>1.2</v>
      </c>
      <c r="BA3587">
        <v>0.49</v>
      </c>
      <c r="BB3587">
        <v>1.73</v>
      </c>
      <c r="BC3587">
        <v>-0.65</v>
      </c>
      <c r="BD3587">
        <v>0.73</v>
      </c>
      <c r="BE3587">
        <v>-1.02</v>
      </c>
      <c r="BF3587">
        <v>-2.23</v>
      </c>
      <c r="BG3587">
        <v>0.11</v>
      </c>
      <c r="BH3587">
        <v>-1.27</v>
      </c>
      <c r="BI3587">
        <v>20191107</v>
      </c>
      <c r="BJ3587">
        <v>20170918</v>
      </c>
      <c r="BK3587">
        <v>0.9</v>
      </c>
      <c r="BL3587" t="s">
        <v>116</v>
      </c>
      <c r="BM3587" t="s">
        <v>116</v>
      </c>
      <c r="BN3587">
        <v>8.59</v>
      </c>
      <c r="BO3587">
        <v>6.55</v>
      </c>
      <c r="BP3587">
        <v>0.02</v>
      </c>
      <c r="BQ3587">
        <v>23.58</v>
      </c>
      <c r="BR3587">
        <v>4.41</v>
      </c>
      <c r="BS3587">
        <v>3.36</v>
      </c>
      <c r="BT3587">
        <v>0.62</v>
      </c>
      <c r="BU3587">
        <v>2.02</v>
      </c>
      <c r="BV3587">
        <v>0</v>
      </c>
      <c r="BW3587">
        <v>2.91</v>
      </c>
      <c r="BX3587">
        <v>2.6</v>
      </c>
      <c r="BY3587">
        <v>7.84</v>
      </c>
      <c r="BZ3587">
        <v>6.7</v>
      </c>
      <c r="CA3587">
        <v>0.59</v>
      </c>
      <c r="CB3587">
        <v>0</v>
      </c>
      <c r="CC3587">
        <v>0.59</v>
      </c>
      <c r="CD3587">
        <v>0.5</v>
      </c>
      <c r="CE3587">
        <v>0.5</v>
      </c>
      <c r="CF3587">
        <v>0.49</v>
      </c>
      <c r="CG3587">
        <v>2.91</v>
      </c>
      <c r="CH3587">
        <v>0.41</v>
      </c>
      <c r="CI3587">
        <v>-0.08</v>
      </c>
      <c r="CJ3587">
        <v>8212</v>
      </c>
      <c r="CK3587">
        <v>4122</v>
      </c>
      <c r="CL3587" t="s">
        <v>8387</v>
      </c>
      <c r="CM3587">
        <v>18.78</v>
      </c>
      <c r="CN3587">
        <v>27.65</v>
      </c>
      <c r="CO3587">
        <v>2.52</v>
      </c>
      <c r="CP3587">
        <v>40.39</v>
      </c>
      <c r="CQ3587">
        <v>2.11</v>
      </c>
      <c r="CR3587">
        <v>1.01</v>
      </c>
      <c r="CS3587" t="s">
        <v>6801</v>
      </c>
      <c r="CT3587">
        <v>7.3</v>
      </c>
      <c r="CU3587">
        <v>0</v>
      </c>
      <c r="CV3587">
        <v>2.9</v>
      </c>
      <c r="CW3587">
        <v>3.24</v>
      </c>
      <c r="CX3587">
        <v>0.46</v>
      </c>
      <c r="CY3587">
        <v>76.22</v>
      </c>
      <c r="CZ3587" t="s">
        <v>4796</v>
      </c>
      <c r="DA3587">
        <v>14.52</v>
      </c>
      <c r="DB3587">
        <v>7.58</v>
      </c>
      <c r="DC3587">
        <v>6.32</v>
      </c>
      <c r="DD3587">
        <v>0.13</v>
      </c>
      <c r="DE3587">
        <v>1033</v>
      </c>
      <c r="DF3587">
        <v>603813</v>
      </c>
      <c r="DG3587" t="s">
        <v>116</v>
      </c>
      <c r="DH3587" t="s">
        <v>116</v>
      </c>
      <c r="DI3587" t="s">
        <v>116</v>
      </c>
    </row>
    <row r="3588" spans="1:113" x14ac:dyDescent="0.4">
      <c r="A3588" t="str">
        <f>"603815"</f>
        <v>603815</v>
      </c>
      <c r="B3588" t="s">
        <v>14900</v>
      </c>
      <c r="C3588">
        <v>1.1499999999999999</v>
      </c>
      <c r="D3588">
        <v>18.45</v>
      </c>
      <c r="E3588">
        <v>0.21</v>
      </c>
      <c r="F3588">
        <v>18.440000000000001</v>
      </c>
      <c r="G3588">
        <v>18.45</v>
      </c>
      <c r="H3588">
        <v>99818</v>
      </c>
      <c r="I3588">
        <v>1683</v>
      </c>
      <c r="J3588">
        <v>0.27</v>
      </c>
      <c r="K3588">
        <v>20</v>
      </c>
      <c r="L3588">
        <v>18.21</v>
      </c>
      <c r="M3588">
        <v>18.88</v>
      </c>
      <c r="N3588">
        <v>18.059999999999999</v>
      </c>
      <c r="O3588">
        <v>18.239999999999998</v>
      </c>
      <c r="P3588">
        <v>136.68</v>
      </c>
      <c r="Q3588">
        <v>184287824</v>
      </c>
      <c r="R3588">
        <v>1.25</v>
      </c>
      <c r="S3588" t="s">
        <v>181</v>
      </c>
      <c r="T3588" t="s">
        <v>575</v>
      </c>
      <c r="U3588">
        <v>4.5</v>
      </c>
      <c r="V3588">
        <v>18.46</v>
      </c>
      <c r="W3588">
        <v>48327</v>
      </c>
      <c r="X3588">
        <v>51491</v>
      </c>
      <c r="Y3588">
        <v>0.94</v>
      </c>
      <c r="Z3588">
        <v>26</v>
      </c>
      <c r="AA3588">
        <v>1089</v>
      </c>
      <c r="AB3588" t="s">
        <v>116</v>
      </c>
      <c r="AC3588">
        <v>518100</v>
      </c>
      <c r="AD3588">
        <v>0.06</v>
      </c>
      <c r="AE3588" t="s">
        <v>116</v>
      </c>
      <c r="AF3588" t="s">
        <v>116</v>
      </c>
      <c r="AG3588">
        <v>0.5</v>
      </c>
      <c r="AH3588" t="s">
        <v>3468</v>
      </c>
      <c r="AI3588" t="s">
        <v>14901</v>
      </c>
      <c r="AJ3588">
        <v>1.23</v>
      </c>
      <c r="AK3588">
        <v>3095</v>
      </c>
      <c r="AL3588">
        <v>32</v>
      </c>
      <c r="AM3588">
        <v>6.4999999999999997E-3</v>
      </c>
      <c r="AN3588">
        <v>2</v>
      </c>
      <c r="AO3588">
        <v>1.2</v>
      </c>
      <c r="AP3588">
        <v>-14.9</v>
      </c>
      <c r="AQ3588">
        <v>258.95</v>
      </c>
      <c r="AR3588">
        <v>258.95</v>
      </c>
      <c r="AS3588">
        <v>20</v>
      </c>
      <c r="AT3588" t="s">
        <v>3468</v>
      </c>
      <c r="AU3588">
        <v>72.010000000000005</v>
      </c>
      <c r="AV3588">
        <v>76.010000000000005</v>
      </c>
      <c r="AW3588">
        <v>0</v>
      </c>
      <c r="BA3588">
        <v>-0.16</v>
      </c>
      <c r="BB3588">
        <v>3.51</v>
      </c>
      <c r="BC3588">
        <v>-0.99</v>
      </c>
      <c r="BD3588">
        <v>1.22</v>
      </c>
      <c r="BE3588">
        <v>1.32</v>
      </c>
      <c r="BF3588">
        <v>-2.2799999999999998</v>
      </c>
      <c r="BG3588">
        <v>2.16</v>
      </c>
      <c r="BH3588">
        <v>-7.0000000000000007E-2</v>
      </c>
      <c r="BI3588">
        <v>20191031</v>
      </c>
      <c r="BJ3588">
        <v>20191021</v>
      </c>
      <c r="BK3588">
        <v>4.99</v>
      </c>
      <c r="BL3588" t="s">
        <v>116</v>
      </c>
      <c r="BM3588" t="s">
        <v>116</v>
      </c>
      <c r="BN3588">
        <v>43.14</v>
      </c>
      <c r="BO3588">
        <v>8.2899999999999991</v>
      </c>
      <c r="BP3588">
        <v>0.53</v>
      </c>
      <c r="BQ3588">
        <v>79.569999999999993</v>
      </c>
      <c r="BR3588">
        <v>32.44</v>
      </c>
      <c r="BS3588">
        <v>0.41</v>
      </c>
      <c r="BT3588">
        <v>0.02</v>
      </c>
      <c r="BU3588">
        <v>28.92</v>
      </c>
      <c r="BV3588">
        <v>7.82</v>
      </c>
      <c r="BW3588">
        <v>17.21</v>
      </c>
      <c r="BX3588">
        <v>0.57999999999999996</v>
      </c>
      <c r="BY3588">
        <v>18.88</v>
      </c>
      <c r="BZ3588">
        <v>17.29</v>
      </c>
      <c r="CA3588">
        <v>0.68</v>
      </c>
      <c r="CB3588">
        <v>0.01</v>
      </c>
      <c r="CC3588">
        <v>0.7</v>
      </c>
      <c r="CD3588">
        <v>0.5</v>
      </c>
      <c r="CE3588">
        <v>0.51</v>
      </c>
      <c r="CF3588">
        <v>0.49</v>
      </c>
      <c r="CG3588">
        <v>2.77</v>
      </c>
      <c r="CH3588">
        <v>-8.94</v>
      </c>
      <c r="CI3588">
        <v>-4.22</v>
      </c>
      <c r="CJ3588">
        <v>51493</v>
      </c>
      <c r="CK3588">
        <v>969</v>
      </c>
      <c r="CL3588" t="s">
        <v>14902</v>
      </c>
      <c r="CM3588">
        <v>0</v>
      </c>
      <c r="CN3588">
        <v>0</v>
      </c>
      <c r="CO3588">
        <v>8.91</v>
      </c>
      <c r="CP3588">
        <v>-10.3</v>
      </c>
      <c r="CQ3588">
        <v>4.88</v>
      </c>
      <c r="CR3588">
        <v>0</v>
      </c>
      <c r="CS3588" t="s">
        <v>424</v>
      </c>
      <c r="CT3588">
        <v>2.0699999999999998</v>
      </c>
      <c r="CU3588">
        <v>2.0699999999999998</v>
      </c>
      <c r="CV3588">
        <v>0.12</v>
      </c>
      <c r="CW3588">
        <v>0.56000000000000005</v>
      </c>
      <c r="CX3588">
        <v>-1.79</v>
      </c>
      <c r="CY3588">
        <v>19.2</v>
      </c>
      <c r="CZ3588" t="s">
        <v>6988</v>
      </c>
      <c r="DA3588">
        <v>8.44</v>
      </c>
      <c r="DB3588">
        <v>3.6</v>
      </c>
      <c r="DC3588">
        <v>2.68</v>
      </c>
      <c r="DD3588">
        <v>0</v>
      </c>
      <c r="DE3588">
        <v>952</v>
      </c>
      <c r="DF3588">
        <v>603815</v>
      </c>
      <c r="DG3588" t="s">
        <v>116</v>
      </c>
      <c r="DH3588" t="s">
        <v>116</v>
      </c>
      <c r="DI3588" t="s">
        <v>116</v>
      </c>
    </row>
    <row r="3589" spans="1:113" x14ac:dyDescent="0.4">
      <c r="A3589" t="str">
        <f>"603816"</f>
        <v>603816</v>
      </c>
      <c r="B3589" t="s">
        <v>14903</v>
      </c>
      <c r="C3589">
        <v>-0.22</v>
      </c>
      <c r="D3589">
        <v>44.7</v>
      </c>
      <c r="E3589">
        <v>-0.1</v>
      </c>
      <c r="F3589">
        <v>44.7</v>
      </c>
      <c r="G3589">
        <v>44.72</v>
      </c>
      <c r="H3589">
        <v>19073</v>
      </c>
      <c r="I3589">
        <v>96</v>
      </c>
      <c r="J3589">
        <v>0</v>
      </c>
      <c r="K3589">
        <v>0.33</v>
      </c>
      <c r="L3589">
        <v>44.59</v>
      </c>
      <c r="M3589">
        <v>45.27</v>
      </c>
      <c r="N3589">
        <v>44.1</v>
      </c>
      <c r="O3589">
        <v>44.8</v>
      </c>
      <c r="P3589">
        <v>22</v>
      </c>
      <c r="Q3589">
        <v>85335800</v>
      </c>
      <c r="R3589">
        <v>0.93</v>
      </c>
      <c r="S3589" t="s">
        <v>2640</v>
      </c>
      <c r="T3589" t="s">
        <v>590</v>
      </c>
      <c r="U3589">
        <v>2.61</v>
      </c>
      <c r="V3589">
        <v>44.74</v>
      </c>
      <c r="W3589">
        <v>10230</v>
      </c>
      <c r="X3589">
        <v>8843</v>
      </c>
      <c r="Y3589">
        <v>1.1599999999999999</v>
      </c>
      <c r="Z3589">
        <v>17</v>
      </c>
      <c r="AA3589">
        <v>12</v>
      </c>
      <c r="AB3589" t="s">
        <v>116</v>
      </c>
      <c r="AC3589">
        <v>511000</v>
      </c>
      <c r="AD3589">
        <v>0.01</v>
      </c>
      <c r="AE3589" t="s">
        <v>116</v>
      </c>
      <c r="AF3589" t="s">
        <v>116</v>
      </c>
      <c r="AG3589">
        <v>5.85</v>
      </c>
      <c r="AH3589" t="s">
        <v>14904</v>
      </c>
      <c r="AI3589" t="s">
        <v>14905</v>
      </c>
      <c r="AJ3589">
        <v>-0.15</v>
      </c>
      <c r="AK3589">
        <v>2323</v>
      </c>
      <c r="AL3589">
        <v>8</v>
      </c>
      <c r="AM3589">
        <v>1E-4</v>
      </c>
      <c r="AN3589">
        <v>-1</v>
      </c>
      <c r="AO3589">
        <v>0.67</v>
      </c>
      <c r="AP3589">
        <v>15.59</v>
      </c>
      <c r="AQ3589">
        <v>28.67</v>
      </c>
      <c r="AR3589">
        <v>42.23</v>
      </c>
      <c r="AS3589">
        <v>1.51</v>
      </c>
      <c r="AT3589" t="s">
        <v>11712</v>
      </c>
      <c r="AU3589">
        <v>24</v>
      </c>
      <c r="AV3589">
        <v>27.19</v>
      </c>
      <c r="AW3589">
        <v>1.06</v>
      </c>
      <c r="BA3589">
        <v>-0.47</v>
      </c>
      <c r="BB3589">
        <v>1.05</v>
      </c>
      <c r="BC3589">
        <v>-1.56</v>
      </c>
      <c r="BD3589">
        <v>-0.13</v>
      </c>
      <c r="BE3589">
        <v>0.25</v>
      </c>
      <c r="BF3589">
        <v>-1.26</v>
      </c>
      <c r="BG3589">
        <v>1.36</v>
      </c>
      <c r="BH3589">
        <v>-0.09</v>
      </c>
      <c r="BI3589">
        <v>20191118</v>
      </c>
      <c r="BJ3589">
        <v>20161014</v>
      </c>
      <c r="BK3589">
        <v>6.02</v>
      </c>
      <c r="BL3589" t="s">
        <v>116</v>
      </c>
      <c r="BM3589" t="s">
        <v>116</v>
      </c>
      <c r="BN3589">
        <v>111.99</v>
      </c>
      <c r="BO3589">
        <v>54.28</v>
      </c>
      <c r="BP3589">
        <v>3.84</v>
      </c>
      <c r="BQ3589">
        <v>48.1</v>
      </c>
      <c r="BR3589">
        <v>55.97</v>
      </c>
      <c r="BS3589">
        <v>14.63</v>
      </c>
      <c r="BT3589">
        <v>6.83</v>
      </c>
      <c r="BU3589">
        <v>38.450000000000003</v>
      </c>
      <c r="BV3589">
        <v>9.52</v>
      </c>
      <c r="BW3589">
        <v>8.36</v>
      </c>
      <c r="BX3589">
        <v>21.9</v>
      </c>
      <c r="BY3589">
        <v>77.75</v>
      </c>
      <c r="BZ3589">
        <v>50.47</v>
      </c>
      <c r="CA3589">
        <v>9.92</v>
      </c>
      <c r="CB3589">
        <v>1.22</v>
      </c>
      <c r="CC3589">
        <v>12.18</v>
      </c>
      <c r="CD3589">
        <v>9.68</v>
      </c>
      <c r="CE3589">
        <v>9.17</v>
      </c>
      <c r="CF3589">
        <v>6.65</v>
      </c>
      <c r="CG3589">
        <v>23.13</v>
      </c>
      <c r="CH3589">
        <v>14.25</v>
      </c>
      <c r="CI3589">
        <v>12.81</v>
      </c>
      <c r="CJ3589">
        <v>15854</v>
      </c>
      <c r="CK3589">
        <v>7958</v>
      </c>
      <c r="CL3589" t="s">
        <v>14906</v>
      </c>
      <c r="CM3589">
        <v>16.75</v>
      </c>
      <c r="CN3589">
        <v>21.61</v>
      </c>
      <c r="CO3589">
        <v>5.27</v>
      </c>
      <c r="CP3589">
        <v>18.88</v>
      </c>
      <c r="CQ3589">
        <v>3.46</v>
      </c>
      <c r="CR3589">
        <v>1.6</v>
      </c>
      <c r="CS3589" t="s">
        <v>14907</v>
      </c>
      <c r="CT3589">
        <v>8.48</v>
      </c>
      <c r="CU3589">
        <v>8.48</v>
      </c>
      <c r="CV3589">
        <v>3.64</v>
      </c>
      <c r="CW3589">
        <v>3.84</v>
      </c>
      <c r="CX3589">
        <v>2.37</v>
      </c>
      <c r="CY3589">
        <v>48.47</v>
      </c>
      <c r="CZ3589" t="s">
        <v>14908</v>
      </c>
      <c r="DA3589">
        <v>35.08</v>
      </c>
      <c r="DB3589">
        <v>12.76</v>
      </c>
      <c r="DC3589">
        <v>11.8</v>
      </c>
      <c r="DD3589">
        <v>1.01</v>
      </c>
      <c r="DE3589">
        <v>13021</v>
      </c>
      <c r="DF3589">
        <v>603816</v>
      </c>
      <c r="DG3589" t="s">
        <v>116</v>
      </c>
      <c r="DH3589" t="s">
        <v>116</v>
      </c>
      <c r="DI3589" t="s">
        <v>116</v>
      </c>
    </row>
    <row r="3590" spans="1:113" x14ac:dyDescent="0.4">
      <c r="A3590" t="str">
        <f>"603817"</f>
        <v>603817</v>
      </c>
      <c r="B3590" t="s">
        <v>14909</v>
      </c>
      <c r="C3590">
        <v>0.93</v>
      </c>
      <c r="D3590">
        <v>6.51</v>
      </c>
      <c r="E3590">
        <v>0.06</v>
      </c>
      <c r="F3590">
        <v>6.5</v>
      </c>
      <c r="G3590">
        <v>6.51</v>
      </c>
      <c r="H3590">
        <v>44368</v>
      </c>
      <c r="I3590">
        <v>362</v>
      </c>
      <c r="J3590">
        <v>0.15</v>
      </c>
      <c r="K3590">
        <v>2.46</v>
      </c>
      <c r="L3590">
        <v>6.45</v>
      </c>
      <c r="M3590">
        <v>6.55</v>
      </c>
      <c r="N3590">
        <v>6.41</v>
      </c>
      <c r="O3590">
        <v>6.45</v>
      </c>
      <c r="P3590">
        <v>23.44</v>
      </c>
      <c r="Q3590">
        <v>28767044</v>
      </c>
      <c r="R3590">
        <v>2.08</v>
      </c>
      <c r="S3590" t="s">
        <v>140</v>
      </c>
      <c r="T3590" t="s">
        <v>975</v>
      </c>
      <c r="U3590">
        <v>2.17</v>
      </c>
      <c r="V3590">
        <v>6.48</v>
      </c>
      <c r="W3590">
        <v>20656</v>
      </c>
      <c r="X3590">
        <v>23712</v>
      </c>
      <c r="Y3590">
        <v>0.87</v>
      </c>
      <c r="Z3590">
        <v>142</v>
      </c>
      <c r="AA3590">
        <v>447</v>
      </c>
      <c r="AB3590" t="s">
        <v>116</v>
      </c>
      <c r="AC3590">
        <v>0</v>
      </c>
      <c r="AD3590">
        <v>0</v>
      </c>
      <c r="AE3590" t="s">
        <v>116</v>
      </c>
      <c r="AF3590" t="s">
        <v>116</v>
      </c>
      <c r="AG3590">
        <v>1.8</v>
      </c>
      <c r="AH3590" t="s">
        <v>14910</v>
      </c>
      <c r="AI3590" t="s">
        <v>947</v>
      </c>
      <c r="AJ3590">
        <v>1.01</v>
      </c>
      <c r="AK3590">
        <v>966</v>
      </c>
      <c r="AL3590">
        <v>46</v>
      </c>
      <c r="AM3590">
        <v>2.5999999999999999E-3</v>
      </c>
      <c r="AN3590">
        <v>4</v>
      </c>
      <c r="AO3590">
        <v>2.68</v>
      </c>
      <c r="AP3590">
        <v>3.99</v>
      </c>
      <c r="AQ3590">
        <v>-2.84</v>
      </c>
      <c r="AR3590">
        <v>9.26</v>
      </c>
      <c r="AS3590">
        <v>2.82</v>
      </c>
      <c r="AT3590" t="s">
        <v>14911</v>
      </c>
      <c r="AU3590">
        <v>22.22</v>
      </c>
      <c r="AV3590">
        <v>25.12</v>
      </c>
      <c r="AW3590">
        <v>1.17</v>
      </c>
      <c r="BA3590">
        <v>0</v>
      </c>
      <c r="BB3590">
        <v>1.55</v>
      </c>
      <c r="BC3590">
        <v>-0.62</v>
      </c>
      <c r="BD3590">
        <v>0.52</v>
      </c>
      <c r="BE3590">
        <v>0.93</v>
      </c>
      <c r="BF3590">
        <v>-0.61</v>
      </c>
      <c r="BG3590">
        <v>1.56</v>
      </c>
      <c r="BH3590">
        <v>0.41</v>
      </c>
      <c r="BI3590">
        <v>20191031</v>
      </c>
      <c r="BJ3590">
        <v>20170220</v>
      </c>
      <c r="BK3590">
        <v>4.5</v>
      </c>
      <c r="BL3590" t="s">
        <v>116</v>
      </c>
      <c r="BM3590" t="s">
        <v>116</v>
      </c>
      <c r="BN3590">
        <v>37.619999999999997</v>
      </c>
      <c r="BO3590">
        <v>16.47</v>
      </c>
      <c r="BP3590">
        <v>1.46</v>
      </c>
      <c r="BQ3590">
        <v>52.33</v>
      </c>
      <c r="BR3590">
        <v>7.59</v>
      </c>
      <c r="BS3590">
        <v>14.23</v>
      </c>
      <c r="BT3590">
        <v>10.17</v>
      </c>
      <c r="BU3590">
        <v>6.92</v>
      </c>
      <c r="BV3590">
        <v>0.09</v>
      </c>
      <c r="BW3590">
        <v>3.25</v>
      </c>
      <c r="BX3590">
        <v>6.26</v>
      </c>
      <c r="BY3590">
        <v>4.6500000000000004</v>
      </c>
      <c r="BZ3590">
        <v>2.4900000000000002</v>
      </c>
      <c r="CA3590">
        <v>1.1399999999999999</v>
      </c>
      <c r="CB3590">
        <v>0</v>
      </c>
      <c r="CC3590">
        <v>1.1399999999999999</v>
      </c>
      <c r="CD3590">
        <v>0.92</v>
      </c>
      <c r="CE3590">
        <v>0.94</v>
      </c>
      <c r="CF3590">
        <v>0.9</v>
      </c>
      <c r="CG3590">
        <v>4.72</v>
      </c>
      <c r="CH3590">
        <v>2.65</v>
      </c>
      <c r="CI3590">
        <v>1.94</v>
      </c>
      <c r="CJ3590">
        <v>37000</v>
      </c>
      <c r="CK3590">
        <v>4257</v>
      </c>
      <c r="CL3590" t="s">
        <v>887</v>
      </c>
      <c r="CM3590">
        <v>19.350000000000001</v>
      </c>
      <c r="CN3590">
        <v>46.34</v>
      </c>
      <c r="CO3590">
        <v>1.84</v>
      </c>
      <c r="CP3590">
        <v>11.04</v>
      </c>
      <c r="CQ3590">
        <v>6.3</v>
      </c>
      <c r="CR3590">
        <v>0.8</v>
      </c>
      <c r="CS3590" t="s">
        <v>1959</v>
      </c>
      <c r="CT3590">
        <v>3.54</v>
      </c>
      <c r="CU3590">
        <v>3.54</v>
      </c>
      <c r="CV3590">
        <v>1.39</v>
      </c>
      <c r="CW3590">
        <v>1.05</v>
      </c>
      <c r="CX3590">
        <v>0.59</v>
      </c>
      <c r="CY3590">
        <v>43.79</v>
      </c>
      <c r="CZ3590" t="s">
        <v>5334</v>
      </c>
      <c r="DA3590">
        <v>46.33</v>
      </c>
      <c r="DB3590">
        <v>24.56</v>
      </c>
      <c r="DC3590">
        <v>20.16</v>
      </c>
      <c r="DD3590">
        <v>0.08</v>
      </c>
      <c r="DE3590">
        <v>580</v>
      </c>
      <c r="DF3590">
        <v>603817</v>
      </c>
      <c r="DG3590" t="s">
        <v>116</v>
      </c>
      <c r="DH3590" t="s">
        <v>116</v>
      </c>
      <c r="DI3590" t="s">
        <v>116</v>
      </c>
    </row>
    <row r="3591" spans="1:113" x14ac:dyDescent="0.4">
      <c r="A3591" t="str">
        <f>"603818"</f>
        <v>603818</v>
      </c>
      <c r="B3591" t="s">
        <v>14912</v>
      </c>
      <c r="C3591">
        <v>0</v>
      </c>
      <c r="D3591">
        <v>8.42</v>
      </c>
      <c r="E3591">
        <v>0</v>
      </c>
      <c r="F3591">
        <v>8.4</v>
      </c>
      <c r="G3591">
        <v>8.42</v>
      </c>
      <c r="H3591">
        <v>23459</v>
      </c>
      <c r="I3591">
        <v>862</v>
      </c>
      <c r="J3591">
        <v>0.72</v>
      </c>
      <c r="K3591">
        <v>0.48</v>
      </c>
      <c r="L3591">
        <v>8.48</v>
      </c>
      <c r="M3591">
        <v>8.49</v>
      </c>
      <c r="N3591">
        <v>8.33</v>
      </c>
      <c r="O3591">
        <v>8.42</v>
      </c>
      <c r="P3591">
        <v>38.520000000000003</v>
      </c>
      <c r="Q3591">
        <v>19719424</v>
      </c>
      <c r="R3591">
        <v>0.98</v>
      </c>
      <c r="S3591" t="s">
        <v>2640</v>
      </c>
      <c r="T3591" t="s">
        <v>165</v>
      </c>
      <c r="U3591">
        <v>1.9</v>
      </c>
      <c r="V3591">
        <v>8.41</v>
      </c>
      <c r="W3591">
        <v>12499</v>
      </c>
      <c r="X3591">
        <v>10960</v>
      </c>
      <c r="Y3591">
        <v>1.1399999999999999</v>
      </c>
      <c r="Z3591">
        <v>5</v>
      </c>
      <c r="AA3591">
        <v>190</v>
      </c>
      <c r="AB3591" t="s">
        <v>116</v>
      </c>
      <c r="AC3591">
        <v>421500</v>
      </c>
      <c r="AD3591">
        <v>0.04</v>
      </c>
      <c r="AE3591" t="s">
        <v>116</v>
      </c>
      <c r="AF3591" t="s">
        <v>116</v>
      </c>
      <c r="AG3591">
        <v>4.84</v>
      </c>
      <c r="AH3591" t="s">
        <v>6817</v>
      </c>
      <c r="AI3591" t="s">
        <v>3969</v>
      </c>
      <c r="AJ3591">
        <v>0.08</v>
      </c>
      <c r="AK3591">
        <v>1069</v>
      </c>
      <c r="AL3591">
        <v>22</v>
      </c>
      <c r="AM3591">
        <v>5.0000000000000001E-4</v>
      </c>
      <c r="AN3591">
        <v>0</v>
      </c>
      <c r="AO3591">
        <v>3.95</v>
      </c>
      <c r="AP3591">
        <v>4.47</v>
      </c>
      <c r="AQ3591">
        <v>17.600000000000001</v>
      </c>
      <c r="AR3591">
        <v>25.67</v>
      </c>
      <c r="AS3591">
        <v>1.79</v>
      </c>
      <c r="AT3591" t="s">
        <v>5871</v>
      </c>
      <c r="AU3591" t="s">
        <v>116</v>
      </c>
      <c r="AV3591" t="s">
        <v>116</v>
      </c>
      <c r="AW3591">
        <v>0.87</v>
      </c>
      <c r="BA3591">
        <v>0.71</v>
      </c>
      <c r="BB3591">
        <v>0.83</v>
      </c>
      <c r="BC3591">
        <v>-1.07</v>
      </c>
      <c r="BD3591">
        <v>-0.17</v>
      </c>
      <c r="BE3591">
        <v>-0.71</v>
      </c>
      <c r="BF3591">
        <v>-0.82</v>
      </c>
      <c r="BG3591">
        <v>1.08</v>
      </c>
      <c r="BH3591">
        <v>0.17</v>
      </c>
      <c r="BI3591">
        <v>20191225</v>
      </c>
      <c r="BJ3591">
        <v>20150422</v>
      </c>
      <c r="BK3591">
        <v>4.8899999999999997</v>
      </c>
      <c r="BL3591" t="s">
        <v>116</v>
      </c>
      <c r="BM3591" t="s">
        <v>116</v>
      </c>
      <c r="BN3591">
        <v>76.03</v>
      </c>
      <c r="BO3591">
        <v>14.99</v>
      </c>
      <c r="BP3591">
        <v>4.32</v>
      </c>
      <c r="BQ3591">
        <v>74.599999999999994</v>
      </c>
      <c r="BR3591">
        <v>17.8</v>
      </c>
      <c r="BS3591">
        <v>16.84</v>
      </c>
      <c r="BT3591">
        <v>24.66</v>
      </c>
      <c r="BU3591">
        <v>11.18</v>
      </c>
      <c r="BV3591">
        <v>6.98</v>
      </c>
      <c r="BW3591">
        <v>3.69</v>
      </c>
      <c r="BX3591">
        <v>3.61</v>
      </c>
      <c r="BY3591">
        <v>30.09</v>
      </c>
      <c r="BZ3591">
        <v>16.559999999999999</v>
      </c>
      <c r="CA3591">
        <v>0.48</v>
      </c>
      <c r="CB3591">
        <v>-0.1</v>
      </c>
      <c r="CC3591">
        <v>0.48</v>
      </c>
      <c r="CD3591">
        <v>1.01</v>
      </c>
      <c r="CE3591">
        <v>0.8</v>
      </c>
      <c r="CF3591">
        <v>0.74</v>
      </c>
      <c r="CG3591">
        <v>6.59</v>
      </c>
      <c r="CH3591">
        <v>4.99</v>
      </c>
      <c r="CI3591">
        <v>2.25</v>
      </c>
      <c r="CJ3591">
        <v>20320</v>
      </c>
      <c r="CK3591">
        <v>6463</v>
      </c>
      <c r="CL3591" t="s">
        <v>2195</v>
      </c>
      <c r="CM3591">
        <v>-15.71</v>
      </c>
      <c r="CN3591">
        <v>78.12</v>
      </c>
      <c r="CO3591">
        <v>2.75</v>
      </c>
      <c r="CP3591">
        <v>8.25</v>
      </c>
      <c r="CQ3591">
        <v>1.37</v>
      </c>
      <c r="CR3591">
        <v>0</v>
      </c>
      <c r="CS3591" t="s">
        <v>1514</v>
      </c>
      <c r="CT3591">
        <v>3.07</v>
      </c>
      <c r="CU3591">
        <v>0</v>
      </c>
      <c r="CV3591">
        <v>0.74</v>
      </c>
      <c r="CW3591">
        <v>1.35</v>
      </c>
      <c r="CX3591">
        <v>1.02</v>
      </c>
      <c r="CY3591">
        <v>19.72</v>
      </c>
      <c r="CZ3591" t="s">
        <v>14913</v>
      </c>
      <c r="DA3591">
        <v>44.96</v>
      </c>
      <c r="DB3591">
        <v>1.59</v>
      </c>
      <c r="DC3591">
        <v>2.66</v>
      </c>
      <c r="DD3591">
        <v>0.61</v>
      </c>
      <c r="DE3591">
        <v>3589</v>
      </c>
      <c r="DF3591">
        <v>603818</v>
      </c>
      <c r="DG3591" t="s">
        <v>116</v>
      </c>
      <c r="DH3591" t="s">
        <v>116</v>
      </c>
      <c r="DI3591" t="s">
        <v>116</v>
      </c>
    </row>
    <row r="3592" spans="1:113" x14ac:dyDescent="0.4">
      <c r="A3592" t="str">
        <f>"603819"</f>
        <v>603819</v>
      </c>
      <c r="B3592" t="s">
        <v>14914</v>
      </c>
      <c r="C3592">
        <v>-0.49</v>
      </c>
      <c r="D3592">
        <v>14.1</v>
      </c>
      <c r="E3592">
        <v>-7.0000000000000007E-2</v>
      </c>
      <c r="F3592">
        <v>14.1</v>
      </c>
      <c r="G3592">
        <v>14.14</v>
      </c>
      <c r="H3592">
        <v>12072</v>
      </c>
      <c r="I3592">
        <v>131</v>
      </c>
      <c r="J3592">
        <v>0.14000000000000001</v>
      </c>
      <c r="K3592">
        <v>0.72</v>
      </c>
      <c r="L3592">
        <v>14.19</v>
      </c>
      <c r="M3592">
        <v>14.29</v>
      </c>
      <c r="N3592">
        <v>14.02</v>
      </c>
      <c r="O3592">
        <v>14.17</v>
      </c>
      <c r="P3592">
        <v>19.670000000000002</v>
      </c>
      <c r="Q3592">
        <v>17083964</v>
      </c>
      <c r="R3592">
        <v>0.54</v>
      </c>
      <c r="S3592" t="s">
        <v>397</v>
      </c>
      <c r="T3592" t="s">
        <v>323</v>
      </c>
      <c r="U3592">
        <v>1.91</v>
      </c>
      <c r="V3592">
        <v>14.15</v>
      </c>
      <c r="W3592">
        <v>7318</v>
      </c>
      <c r="X3592">
        <v>4754</v>
      </c>
      <c r="Y3592">
        <v>1.54</v>
      </c>
      <c r="Z3592">
        <v>7</v>
      </c>
      <c r="AA3592">
        <v>10</v>
      </c>
      <c r="AB3592" t="s">
        <v>116</v>
      </c>
      <c r="AC3592">
        <v>9900</v>
      </c>
      <c r="AD3592">
        <v>0</v>
      </c>
      <c r="AE3592" t="s">
        <v>116</v>
      </c>
      <c r="AF3592" t="s">
        <v>116</v>
      </c>
      <c r="AG3592">
        <v>1.68</v>
      </c>
      <c r="AH3592" t="s">
        <v>5137</v>
      </c>
      <c r="AI3592" t="s">
        <v>11775</v>
      </c>
      <c r="AJ3592">
        <v>-0.42</v>
      </c>
      <c r="AK3592">
        <v>1168</v>
      </c>
      <c r="AL3592">
        <v>10</v>
      </c>
      <c r="AM3592">
        <v>5.9999999999999995E-4</v>
      </c>
      <c r="AN3592">
        <v>-1</v>
      </c>
      <c r="AO3592">
        <v>1.6</v>
      </c>
      <c r="AP3592">
        <v>-5.1100000000000003</v>
      </c>
      <c r="AQ3592">
        <v>-1.33</v>
      </c>
      <c r="AR3592">
        <v>25.33</v>
      </c>
      <c r="AS3592">
        <v>1.9</v>
      </c>
      <c r="AT3592" t="s">
        <v>6509</v>
      </c>
      <c r="AU3592">
        <v>22.44</v>
      </c>
      <c r="AV3592">
        <v>49.25</v>
      </c>
      <c r="AW3592">
        <v>1.45</v>
      </c>
      <c r="BA3592">
        <v>0.14000000000000001</v>
      </c>
      <c r="BB3592">
        <v>0.85</v>
      </c>
      <c r="BC3592">
        <v>-1.06</v>
      </c>
      <c r="BD3592">
        <v>-0.13</v>
      </c>
      <c r="BE3592">
        <v>-0.63</v>
      </c>
      <c r="BF3592">
        <v>-1.33</v>
      </c>
      <c r="BG3592">
        <v>0.56999999999999995</v>
      </c>
      <c r="BH3592">
        <v>-0.36</v>
      </c>
      <c r="BI3592">
        <v>20191224</v>
      </c>
      <c r="BJ3592">
        <v>20161125</v>
      </c>
      <c r="BK3592">
        <v>1.68</v>
      </c>
      <c r="BL3592" t="s">
        <v>116</v>
      </c>
      <c r="BM3592" t="s">
        <v>116</v>
      </c>
      <c r="BN3592">
        <v>12.32</v>
      </c>
      <c r="BO3592">
        <v>7.79</v>
      </c>
      <c r="BP3592">
        <v>0</v>
      </c>
      <c r="BQ3592">
        <v>36.72</v>
      </c>
      <c r="BR3592">
        <v>8.94</v>
      </c>
      <c r="BS3592">
        <v>2.8</v>
      </c>
      <c r="BT3592">
        <v>0.56000000000000005</v>
      </c>
      <c r="BU3592">
        <v>4.5</v>
      </c>
      <c r="BV3592">
        <v>2.34</v>
      </c>
      <c r="BW3592">
        <v>2.87</v>
      </c>
      <c r="BX3592">
        <v>4.07</v>
      </c>
      <c r="BY3592">
        <v>8.0500000000000007</v>
      </c>
      <c r="BZ3592">
        <v>7.01</v>
      </c>
      <c r="CA3592">
        <v>1.05</v>
      </c>
      <c r="CB3592">
        <v>0</v>
      </c>
      <c r="CC3592">
        <v>1.06</v>
      </c>
      <c r="CD3592">
        <v>0.9</v>
      </c>
      <c r="CE3592">
        <v>0.9</v>
      </c>
      <c r="CF3592">
        <v>0.23</v>
      </c>
      <c r="CG3592">
        <v>2.2000000000000002</v>
      </c>
      <c r="CH3592">
        <v>-0.77</v>
      </c>
      <c r="CI3592">
        <v>-0.92</v>
      </c>
      <c r="CJ3592">
        <v>9146</v>
      </c>
      <c r="CK3592">
        <v>6943</v>
      </c>
      <c r="CL3592" t="s">
        <v>14915</v>
      </c>
      <c r="CM3592">
        <v>174.71</v>
      </c>
      <c r="CN3592">
        <v>18.739999999999998</v>
      </c>
      <c r="CO3592">
        <v>3.04</v>
      </c>
      <c r="CP3592">
        <v>-30.82</v>
      </c>
      <c r="CQ3592">
        <v>2.95</v>
      </c>
      <c r="CR3592">
        <v>2.0099999999999998</v>
      </c>
      <c r="CS3592" t="s">
        <v>3049</v>
      </c>
      <c r="CT3592">
        <v>4.63</v>
      </c>
      <c r="CU3592">
        <v>0</v>
      </c>
      <c r="CV3592">
        <v>2.42</v>
      </c>
      <c r="CW3592">
        <v>1.3</v>
      </c>
      <c r="CX3592">
        <v>-0.46</v>
      </c>
      <c r="CY3592">
        <v>63.28</v>
      </c>
      <c r="CZ3592" t="s">
        <v>14154</v>
      </c>
      <c r="DA3592">
        <v>12.95</v>
      </c>
      <c r="DB3592">
        <v>13.05</v>
      </c>
      <c r="DC3592">
        <v>11.24</v>
      </c>
      <c r="DD3592">
        <v>0.06</v>
      </c>
      <c r="DE3592">
        <v>627</v>
      </c>
      <c r="DF3592">
        <v>603819</v>
      </c>
      <c r="DG3592" t="s">
        <v>116</v>
      </c>
      <c r="DH3592" t="s">
        <v>116</v>
      </c>
      <c r="DI3592" t="s">
        <v>116</v>
      </c>
    </row>
    <row r="3593" spans="1:113" x14ac:dyDescent="0.4">
      <c r="A3593" t="str">
        <f>"603822"</f>
        <v>603822</v>
      </c>
      <c r="B3593" t="s">
        <v>14916</v>
      </c>
      <c r="C3593">
        <v>5.53</v>
      </c>
      <c r="D3593">
        <v>25</v>
      </c>
      <c r="E3593">
        <v>1.31</v>
      </c>
      <c r="F3593">
        <v>25</v>
      </c>
      <c r="G3593">
        <v>25.1</v>
      </c>
      <c r="H3593">
        <v>5094</v>
      </c>
      <c r="I3593">
        <v>1450</v>
      </c>
      <c r="J3593">
        <v>5.57</v>
      </c>
      <c r="K3593">
        <v>0.69</v>
      </c>
      <c r="L3593">
        <v>23.73</v>
      </c>
      <c r="M3593">
        <v>25</v>
      </c>
      <c r="N3593">
        <v>23.66</v>
      </c>
      <c r="O3593">
        <v>23.69</v>
      </c>
      <c r="P3593">
        <v>30.43</v>
      </c>
      <c r="Q3593">
        <v>12295830</v>
      </c>
      <c r="R3593">
        <v>1.52</v>
      </c>
      <c r="S3593" t="s">
        <v>140</v>
      </c>
      <c r="T3593" t="s">
        <v>590</v>
      </c>
      <c r="U3593">
        <v>5.66</v>
      </c>
      <c r="V3593">
        <v>24.14</v>
      </c>
      <c r="W3593">
        <v>3064</v>
      </c>
      <c r="X3593">
        <v>2030</v>
      </c>
      <c r="Y3593">
        <v>1.51</v>
      </c>
      <c r="Z3593">
        <v>696</v>
      </c>
      <c r="AA3593">
        <v>12</v>
      </c>
      <c r="AB3593" t="s">
        <v>116</v>
      </c>
      <c r="AC3593">
        <v>23700</v>
      </c>
      <c r="AD3593">
        <v>0</v>
      </c>
      <c r="AE3593" t="s">
        <v>116</v>
      </c>
      <c r="AF3593" t="s">
        <v>116</v>
      </c>
      <c r="AG3593">
        <v>0.73</v>
      </c>
      <c r="AH3593" t="s">
        <v>6187</v>
      </c>
      <c r="AI3593" t="s">
        <v>6187</v>
      </c>
      <c r="AJ3593">
        <v>5.61</v>
      </c>
      <c r="AK3593">
        <v>443</v>
      </c>
      <c r="AL3593">
        <v>11</v>
      </c>
      <c r="AM3593">
        <v>1.6000000000000001E-3</v>
      </c>
      <c r="AN3593">
        <v>4</v>
      </c>
      <c r="AO3593">
        <v>7.12</v>
      </c>
      <c r="AP3593">
        <v>14.26</v>
      </c>
      <c r="AQ3593">
        <v>4.38</v>
      </c>
      <c r="AR3593">
        <v>8.4</v>
      </c>
      <c r="AS3593">
        <v>2.16</v>
      </c>
      <c r="AT3593" t="s">
        <v>14332</v>
      </c>
      <c r="AU3593">
        <v>31.3</v>
      </c>
      <c r="AV3593">
        <v>34.119999999999997</v>
      </c>
      <c r="AW3593">
        <v>1.0900000000000001</v>
      </c>
      <c r="BA3593">
        <v>0.17</v>
      </c>
      <c r="BB3593">
        <v>5.53</v>
      </c>
      <c r="BC3593">
        <v>-0.13</v>
      </c>
      <c r="BD3593">
        <v>1.9</v>
      </c>
      <c r="BE3593">
        <v>5.35</v>
      </c>
      <c r="BF3593">
        <v>0</v>
      </c>
      <c r="BG3593">
        <v>5.66</v>
      </c>
      <c r="BH3593">
        <v>3.63</v>
      </c>
      <c r="BI3593">
        <v>20191025</v>
      </c>
      <c r="BJ3593">
        <v>20160428</v>
      </c>
      <c r="BK3593">
        <v>0.73</v>
      </c>
      <c r="BL3593" t="s">
        <v>116</v>
      </c>
      <c r="BM3593" t="s">
        <v>116</v>
      </c>
      <c r="BN3593">
        <v>15.77</v>
      </c>
      <c r="BO3593">
        <v>7.78</v>
      </c>
      <c r="BP3593">
        <v>0.3</v>
      </c>
      <c r="BQ3593">
        <v>48.76</v>
      </c>
      <c r="BR3593">
        <v>7.71</v>
      </c>
      <c r="BS3593">
        <v>2.96</v>
      </c>
      <c r="BT3593">
        <v>1.24</v>
      </c>
      <c r="BU3593">
        <v>5.08</v>
      </c>
      <c r="BV3593">
        <v>3.23</v>
      </c>
      <c r="BW3593">
        <v>0.56999999999999995</v>
      </c>
      <c r="BX3593">
        <v>2.4300000000000002</v>
      </c>
      <c r="BY3593">
        <v>8.4600000000000009</v>
      </c>
      <c r="BZ3593">
        <v>7.26</v>
      </c>
      <c r="CA3593">
        <v>0.51</v>
      </c>
      <c r="CB3593">
        <v>0</v>
      </c>
      <c r="CC3593">
        <v>0.51</v>
      </c>
      <c r="CD3593">
        <v>0.47</v>
      </c>
      <c r="CE3593">
        <v>0.45</v>
      </c>
      <c r="CF3593">
        <v>0.41</v>
      </c>
      <c r="CG3593">
        <v>3.8</v>
      </c>
      <c r="CH3593">
        <v>0.91</v>
      </c>
      <c r="CI3593">
        <v>-0.56000000000000005</v>
      </c>
      <c r="CJ3593">
        <v>10106</v>
      </c>
      <c r="CK3593">
        <v>2332</v>
      </c>
      <c r="CL3593" t="s">
        <v>4109</v>
      </c>
      <c r="CM3593">
        <v>12.02</v>
      </c>
      <c r="CN3593">
        <v>9.5399999999999991</v>
      </c>
      <c r="CO3593">
        <v>2.4900000000000002</v>
      </c>
      <c r="CP3593">
        <v>20.21</v>
      </c>
      <c r="CQ3593">
        <v>2.17</v>
      </c>
      <c r="CR3593">
        <v>0.91</v>
      </c>
      <c r="CS3593" t="s">
        <v>14917</v>
      </c>
      <c r="CT3593">
        <v>10.050000000000001</v>
      </c>
      <c r="CU3593">
        <v>10.050000000000001</v>
      </c>
      <c r="CV3593">
        <v>3.31</v>
      </c>
      <c r="CW3593">
        <v>5.18</v>
      </c>
      <c r="CX3593">
        <v>1.24</v>
      </c>
      <c r="CY3593">
        <v>49.35</v>
      </c>
      <c r="CZ3593" t="s">
        <v>14918</v>
      </c>
      <c r="DA3593">
        <v>14.18</v>
      </c>
      <c r="DB3593">
        <v>6.05</v>
      </c>
      <c r="DC3593">
        <v>5.34</v>
      </c>
      <c r="DD3593">
        <v>0.2</v>
      </c>
      <c r="DE3593">
        <v>445</v>
      </c>
      <c r="DF3593">
        <v>603822</v>
      </c>
      <c r="DG3593" t="s">
        <v>116</v>
      </c>
      <c r="DH3593" t="s">
        <v>116</v>
      </c>
      <c r="DI3593" t="s">
        <v>116</v>
      </c>
    </row>
    <row r="3594" spans="1:113" x14ac:dyDescent="0.4">
      <c r="A3594" t="str">
        <f>"603823"</f>
        <v>603823</v>
      </c>
      <c r="B3594" t="s">
        <v>14919</v>
      </c>
      <c r="C3594">
        <v>-0.13</v>
      </c>
      <c r="D3594">
        <v>23.55</v>
      </c>
      <c r="E3594">
        <v>-0.03</v>
      </c>
      <c r="F3594">
        <v>23.54</v>
      </c>
      <c r="G3594">
        <v>23.55</v>
      </c>
      <c r="H3594">
        <v>17659</v>
      </c>
      <c r="I3594">
        <v>248</v>
      </c>
      <c r="J3594">
        <v>-0.03</v>
      </c>
      <c r="K3594">
        <v>2.5099999999999998</v>
      </c>
      <c r="L3594">
        <v>23.56</v>
      </c>
      <c r="M3594">
        <v>23.9</v>
      </c>
      <c r="N3594">
        <v>23.42</v>
      </c>
      <c r="O3594">
        <v>23.58</v>
      </c>
      <c r="P3594">
        <v>22.74</v>
      </c>
      <c r="Q3594">
        <v>41693608</v>
      </c>
      <c r="R3594">
        <v>0.89</v>
      </c>
      <c r="S3594" t="s">
        <v>1192</v>
      </c>
      <c r="T3594" t="s">
        <v>590</v>
      </c>
      <c r="U3594">
        <v>2.04</v>
      </c>
      <c r="V3594">
        <v>23.61</v>
      </c>
      <c r="W3594">
        <v>9509</v>
      </c>
      <c r="X3594">
        <v>8150</v>
      </c>
      <c r="Y3594">
        <v>1.17</v>
      </c>
      <c r="Z3594">
        <v>1</v>
      </c>
      <c r="AA3594">
        <v>10</v>
      </c>
      <c r="AB3594" t="s">
        <v>116</v>
      </c>
      <c r="AC3594">
        <v>51800</v>
      </c>
      <c r="AD3594">
        <v>0</v>
      </c>
      <c r="AE3594" t="s">
        <v>116</v>
      </c>
      <c r="AF3594" t="s">
        <v>116</v>
      </c>
      <c r="AG3594">
        <v>0.7</v>
      </c>
      <c r="AH3594" t="s">
        <v>1784</v>
      </c>
      <c r="AI3594" t="s">
        <v>14920</v>
      </c>
      <c r="AJ3594">
        <v>-0.05</v>
      </c>
      <c r="AK3594">
        <v>1288</v>
      </c>
      <c r="AL3594">
        <v>14</v>
      </c>
      <c r="AM3594">
        <v>1.9E-3</v>
      </c>
      <c r="AN3594">
        <v>-3</v>
      </c>
      <c r="AO3594">
        <v>-0.51</v>
      </c>
      <c r="AP3594">
        <v>4.34</v>
      </c>
      <c r="AQ3594">
        <v>5.42</v>
      </c>
      <c r="AR3594">
        <v>56.58</v>
      </c>
      <c r="AS3594">
        <v>2.5099999999999998</v>
      </c>
      <c r="AT3594" t="s">
        <v>1784</v>
      </c>
      <c r="AU3594">
        <v>24.85</v>
      </c>
      <c r="AV3594">
        <v>27.96</v>
      </c>
      <c r="AW3594">
        <v>0.48</v>
      </c>
      <c r="BA3594">
        <v>-0.08</v>
      </c>
      <c r="BB3594">
        <v>1.36</v>
      </c>
      <c r="BC3594">
        <v>-0.68</v>
      </c>
      <c r="BD3594">
        <v>0.13</v>
      </c>
      <c r="BE3594">
        <v>-0.04</v>
      </c>
      <c r="BF3594">
        <v>-1.46</v>
      </c>
      <c r="BG3594">
        <v>0.56000000000000005</v>
      </c>
      <c r="BH3594">
        <v>-0.26</v>
      </c>
      <c r="BI3594">
        <v>20191031</v>
      </c>
      <c r="BJ3594">
        <v>20161220</v>
      </c>
      <c r="BK3594">
        <v>2.25</v>
      </c>
      <c r="BL3594" t="s">
        <v>116</v>
      </c>
      <c r="BM3594" t="s">
        <v>116</v>
      </c>
      <c r="BN3594">
        <v>24.4</v>
      </c>
      <c r="BO3594">
        <v>15.35</v>
      </c>
      <c r="BP3594">
        <v>2.02</v>
      </c>
      <c r="BQ3594">
        <v>28.79</v>
      </c>
      <c r="BR3594">
        <v>14.23</v>
      </c>
      <c r="BS3594">
        <v>6.94</v>
      </c>
      <c r="BT3594">
        <v>0.65</v>
      </c>
      <c r="BU3594">
        <v>6.3</v>
      </c>
      <c r="BV3594">
        <v>5.2</v>
      </c>
      <c r="BW3594">
        <v>3.93</v>
      </c>
      <c r="BX3594">
        <v>4.32</v>
      </c>
      <c r="BY3594">
        <v>14.87</v>
      </c>
      <c r="BZ3594">
        <v>11.05</v>
      </c>
      <c r="CA3594">
        <v>2.27</v>
      </c>
      <c r="CB3594">
        <v>0.05</v>
      </c>
      <c r="CC3594">
        <v>2.36</v>
      </c>
      <c r="CD3594">
        <v>1.99</v>
      </c>
      <c r="CE3594">
        <v>1.75</v>
      </c>
      <c r="CF3594">
        <v>1.62</v>
      </c>
      <c r="CG3594">
        <v>7.94</v>
      </c>
      <c r="CH3594">
        <v>1.22</v>
      </c>
      <c r="CI3594">
        <v>7.0000000000000007E-2</v>
      </c>
      <c r="CJ3594">
        <v>12763</v>
      </c>
      <c r="CK3594">
        <v>5511</v>
      </c>
      <c r="CL3594" t="s">
        <v>14921</v>
      </c>
      <c r="CM3594">
        <v>15.66</v>
      </c>
      <c r="CN3594">
        <v>9.6199999999999992</v>
      </c>
      <c r="CO3594">
        <v>3.45</v>
      </c>
      <c r="CP3594">
        <v>43.28</v>
      </c>
      <c r="CQ3594">
        <v>3.56</v>
      </c>
      <c r="CR3594">
        <v>1.1000000000000001</v>
      </c>
      <c r="CS3594" t="s">
        <v>7558</v>
      </c>
      <c r="CT3594">
        <v>6.82</v>
      </c>
      <c r="CU3594">
        <v>0</v>
      </c>
      <c r="CV3594">
        <v>1.92</v>
      </c>
      <c r="CW3594">
        <v>3.53</v>
      </c>
      <c r="CX3594">
        <v>0.54</v>
      </c>
      <c r="CY3594">
        <v>62.91</v>
      </c>
      <c r="CZ3594" t="s">
        <v>14922</v>
      </c>
      <c r="DA3594">
        <v>25.71</v>
      </c>
      <c r="DB3594">
        <v>15.27</v>
      </c>
      <c r="DC3594">
        <v>11.75</v>
      </c>
      <c r="DD3594">
        <v>0.6</v>
      </c>
      <c r="DE3594">
        <v>1564</v>
      </c>
      <c r="DF3594">
        <v>603823</v>
      </c>
      <c r="DG3594" t="s">
        <v>116</v>
      </c>
      <c r="DH3594" t="s">
        <v>116</v>
      </c>
      <c r="DI3594" t="s">
        <v>116</v>
      </c>
    </row>
    <row r="3595" spans="1:113" x14ac:dyDescent="0.4">
      <c r="A3595" t="str">
        <f>"603825"</f>
        <v>603825</v>
      </c>
      <c r="B3595" t="s">
        <v>14923</v>
      </c>
      <c r="C3595">
        <v>9.98</v>
      </c>
      <c r="D3595">
        <v>19.18</v>
      </c>
      <c r="E3595">
        <v>1.74</v>
      </c>
      <c r="F3595">
        <v>19.18</v>
      </c>
      <c r="G3595" t="s">
        <v>116</v>
      </c>
      <c r="H3595">
        <v>71403</v>
      </c>
      <c r="I3595">
        <v>113</v>
      </c>
      <c r="J3595">
        <v>0</v>
      </c>
      <c r="K3595">
        <v>7.53</v>
      </c>
      <c r="L3595">
        <v>19.18</v>
      </c>
      <c r="M3595">
        <v>19.18</v>
      </c>
      <c r="N3595">
        <v>18.82</v>
      </c>
      <c r="O3595">
        <v>17.440000000000001</v>
      </c>
      <c r="P3595">
        <v>39.32</v>
      </c>
      <c r="Q3595">
        <v>136875664</v>
      </c>
      <c r="R3595">
        <v>0.86</v>
      </c>
      <c r="S3595" t="s">
        <v>1384</v>
      </c>
      <c r="T3595" t="s">
        <v>165</v>
      </c>
      <c r="U3595">
        <v>2.06</v>
      </c>
      <c r="V3595">
        <v>19.170000000000002</v>
      </c>
      <c r="W3595">
        <v>39343</v>
      </c>
      <c r="X3595">
        <v>32060</v>
      </c>
      <c r="Y3595">
        <v>1.23</v>
      </c>
      <c r="Z3595">
        <v>26397</v>
      </c>
      <c r="AA3595">
        <v>0</v>
      </c>
      <c r="AB3595" t="s">
        <v>116</v>
      </c>
      <c r="AC3595">
        <v>44537900</v>
      </c>
      <c r="AD3595">
        <v>2.82</v>
      </c>
      <c r="AE3595">
        <v>0.37</v>
      </c>
      <c r="AF3595">
        <v>50629448</v>
      </c>
      <c r="AG3595">
        <v>0.95</v>
      </c>
      <c r="AH3595" t="s">
        <v>10934</v>
      </c>
      <c r="AI3595" t="s">
        <v>14924</v>
      </c>
      <c r="AJ3595">
        <v>10.050000000000001</v>
      </c>
      <c r="AK3595">
        <v>857</v>
      </c>
      <c r="AL3595">
        <v>83</v>
      </c>
      <c r="AM3595">
        <v>8.8000000000000005E-3</v>
      </c>
      <c r="AN3595">
        <v>4</v>
      </c>
      <c r="AO3595">
        <v>33.1</v>
      </c>
      <c r="AP3595">
        <v>35.74</v>
      </c>
      <c r="AQ3595">
        <v>53.69</v>
      </c>
      <c r="AR3595">
        <v>40.82</v>
      </c>
      <c r="AS3595">
        <v>8.68</v>
      </c>
      <c r="AT3595" t="s">
        <v>8516</v>
      </c>
      <c r="AU3595">
        <v>31.13</v>
      </c>
      <c r="AV3595">
        <v>34.520000000000003</v>
      </c>
      <c r="AW3595">
        <v>2.38</v>
      </c>
      <c r="BA3595">
        <v>9.98</v>
      </c>
      <c r="BB3595">
        <v>9.98</v>
      </c>
      <c r="BC3595">
        <v>7.91</v>
      </c>
      <c r="BD3595">
        <v>9.92</v>
      </c>
      <c r="BE3595">
        <v>0</v>
      </c>
      <c r="BF3595">
        <v>0</v>
      </c>
      <c r="BG3595">
        <v>1.91</v>
      </c>
      <c r="BH3595">
        <v>0.06</v>
      </c>
      <c r="BI3595">
        <v>20191030</v>
      </c>
      <c r="BJ3595">
        <v>20170802</v>
      </c>
      <c r="BK3595">
        <v>2.31</v>
      </c>
      <c r="BL3595" t="s">
        <v>116</v>
      </c>
      <c r="BM3595" t="s">
        <v>116</v>
      </c>
      <c r="BN3595">
        <v>71.290000000000006</v>
      </c>
      <c r="BO3595">
        <v>15.47</v>
      </c>
      <c r="BP3595">
        <v>0</v>
      </c>
      <c r="BQ3595">
        <v>78.3</v>
      </c>
      <c r="BR3595">
        <v>67.39</v>
      </c>
      <c r="BS3595">
        <v>0.31</v>
      </c>
      <c r="BT3595">
        <v>0.09</v>
      </c>
      <c r="BU3595">
        <v>54.93</v>
      </c>
      <c r="BV3595">
        <v>3.46</v>
      </c>
      <c r="BW3595">
        <v>55.12</v>
      </c>
      <c r="BX3595">
        <v>6.4</v>
      </c>
      <c r="BY3595">
        <v>76.89</v>
      </c>
      <c r="BZ3595">
        <v>68.58</v>
      </c>
      <c r="CA3595">
        <v>0.96</v>
      </c>
      <c r="CB3595">
        <v>-0.11</v>
      </c>
      <c r="CC3595">
        <v>0.97</v>
      </c>
      <c r="CD3595">
        <v>0.85</v>
      </c>
      <c r="CE3595">
        <v>0.85</v>
      </c>
      <c r="CF3595">
        <v>0.85</v>
      </c>
      <c r="CG3595">
        <v>6.61</v>
      </c>
      <c r="CH3595">
        <v>4.59</v>
      </c>
      <c r="CI3595">
        <v>-0.71</v>
      </c>
      <c r="CJ3595">
        <v>12108</v>
      </c>
      <c r="CK3595">
        <v>6793</v>
      </c>
      <c r="CL3595" t="s">
        <v>10189</v>
      </c>
      <c r="CM3595">
        <v>19.84</v>
      </c>
      <c r="CN3595">
        <v>2.5499999999999998</v>
      </c>
      <c r="CO3595">
        <v>2.86</v>
      </c>
      <c r="CP3595">
        <v>9.64</v>
      </c>
      <c r="CQ3595">
        <v>0.57999999999999996</v>
      </c>
      <c r="CR3595">
        <v>1.3</v>
      </c>
      <c r="CS3595" t="s">
        <v>2012</v>
      </c>
      <c r="CT3595">
        <v>6.7</v>
      </c>
      <c r="CU3595">
        <v>0</v>
      </c>
      <c r="CV3595">
        <v>2.77</v>
      </c>
      <c r="CW3595">
        <v>2.86</v>
      </c>
      <c r="CX3595">
        <v>1.99</v>
      </c>
      <c r="CY3595">
        <v>21.7</v>
      </c>
      <c r="CZ3595" t="s">
        <v>4223</v>
      </c>
      <c r="DA3595">
        <v>10.81</v>
      </c>
      <c r="DB3595">
        <v>1.25</v>
      </c>
      <c r="DC3595">
        <v>1.1000000000000001</v>
      </c>
      <c r="DD3595">
        <v>2.15</v>
      </c>
      <c r="DE3595">
        <v>2105</v>
      </c>
      <c r="DF3595">
        <v>603825</v>
      </c>
      <c r="DG3595" t="s">
        <v>116</v>
      </c>
      <c r="DH3595" t="s">
        <v>116</v>
      </c>
      <c r="DI3595" t="s">
        <v>116</v>
      </c>
    </row>
    <row r="3596" spans="1:113" x14ac:dyDescent="0.4">
      <c r="A3596" t="str">
        <f>"603826"</f>
        <v>603826</v>
      </c>
      <c r="B3596" t="s">
        <v>14925</v>
      </c>
      <c r="C3596">
        <v>0.19</v>
      </c>
      <c r="D3596">
        <v>15.75</v>
      </c>
      <c r="E3596">
        <v>0.03</v>
      </c>
      <c r="F3596">
        <v>15.74</v>
      </c>
      <c r="G3596">
        <v>15.75</v>
      </c>
      <c r="H3596">
        <v>24069</v>
      </c>
      <c r="I3596">
        <v>1276</v>
      </c>
      <c r="J3596">
        <v>-0.18</v>
      </c>
      <c r="K3596">
        <v>1.27</v>
      </c>
      <c r="L3596">
        <v>15.63</v>
      </c>
      <c r="M3596">
        <v>15.8</v>
      </c>
      <c r="N3596">
        <v>15.51</v>
      </c>
      <c r="O3596">
        <v>15.72</v>
      </c>
      <c r="P3596">
        <v>48.05</v>
      </c>
      <c r="Q3596">
        <v>37721852</v>
      </c>
      <c r="R3596">
        <v>0.92</v>
      </c>
      <c r="S3596" t="s">
        <v>1192</v>
      </c>
      <c r="T3596" t="s">
        <v>975</v>
      </c>
      <c r="U3596">
        <v>1.84</v>
      </c>
      <c r="V3596">
        <v>15.67</v>
      </c>
      <c r="W3596">
        <v>13478</v>
      </c>
      <c r="X3596">
        <v>10591</v>
      </c>
      <c r="Y3596">
        <v>1.27</v>
      </c>
      <c r="Z3596">
        <v>347</v>
      </c>
      <c r="AA3596">
        <v>272</v>
      </c>
      <c r="AB3596" t="s">
        <v>116</v>
      </c>
      <c r="AC3596">
        <v>32800</v>
      </c>
      <c r="AD3596">
        <v>0</v>
      </c>
      <c r="AE3596" t="s">
        <v>116</v>
      </c>
      <c r="AF3596" t="s">
        <v>116</v>
      </c>
      <c r="AG3596">
        <v>1.89</v>
      </c>
      <c r="AH3596" t="s">
        <v>14926</v>
      </c>
      <c r="AI3596" t="s">
        <v>10714</v>
      </c>
      <c r="AJ3596">
        <v>0.27</v>
      </c>
      <c r="AK3596">
        <v>1036</v>
      </c>
      <c r="AL3596">
        <v>23</v>
      </c>
      <c r="AM3596">
        <v>1.1999999999999999E-3</v>
      </c>
      <c r="AN3596">
        <v>2</v>
      </c>
      <c r="AO3596">
        <v>-0.57999999999999996</v>
      </c>
      <c r="AP3596">
        <v>1.81</v>
      </c>
      <c r="AQ3596">
        <v>11.46</v>
      </c>
      <c r="AR3596">
        <v>13.88</v>
      </c>
      <c r="AS3596">
        <v>1.88</v>
      </c>
      <c r="AT3596" t="s">
        <v>14927</v>
      </c>
      <c r="AU3596">
        <v>47.35</v>
      </c>
      <c r="AV3596">
        <v>40.9</v>
      </c>
      <c r="AW3596">
        <v>0.48</v>
      </c>
      <c r="BA3596">
        <v>-0.56999999999999995</v>
      </c>
      <c r="BB3596">
        <v>0.51</v>
      </c>
      <c r="BC3596">
        <v>-1.34</v>
      </c>
      <c r="BD3596">
        <v>-0.3</v>
      </c>
      <c r="BE3596">
        <v>0.77</v>
      </c>
      <c r="BF3596">
        <v>-0.32</v>
      </c>
      <c r="BG3596">
        <v>1.55</v>
      </c>
      <c r="BH3596">
        <v>0.49</v>
      </c>
      <c r="BI3596">
        <v>20191029</v>
      </c>
      <c r="BJ3596">
        <v>20170414</v>
      </c>
      <c r="BK3596">
        <v>4.68</v>
      </c>
      <c r="BL3596" t="s">
        <v>116</v>
      </c>
      <c r="BM3596" t="s">
        <v>116</v>
      </c>
      <c r="BN3596">
        <v>16.46</v>
      </c>
      <c r="BO3596">
        <v>13.7</v>
      </c>
      <c r="BP3596">
        <v>0.04</v>
      </c>
      <c r="BQ3596">
        <v>16.53</v>
      </c>
      <c r="BR3596">
        <v>5.58</v>
      </c>
      <c r="BS3596">
        <v>4.6100000000000003</v>
      </c>
      <c r="BT3596">
        <v>2.1</v>
      </c>
      <c r="BU3596">
        <v>1.79</v>
      </c>
      <c r="BV3596">
        <v>3.68</v>
      </c>
      <c r="BW3596">
        <v>1.1599999999999999</v>
      </c>
      <c r="BX3596">
        <v>3.84</v>
      </c>
      <c r="BY3596">
        <v>4.3899999999999997</v>
      </c>
      <c r="BZ3596">
        <v>2.34</v>
      </c>
      <c r="CA3596">
        <v>1.36</v>
      </c>
      <c r="CB3596">
        <v>0.05</v>
      </c>
      <c r="CC3596">
        <v>1.35</v>
      </c>
      <c r="CD3596">
        <v>1.17</v>
      </c>
      <c r="CE3596">
        <v>1.1499999999999999</v>
      </c>
      <c r="CF3596">
        <v>1.1399999999999999</v>
      </c>
      <c r="CG3596">
        <v>4.38</v>
      </c>
      <c r="CH3596">
        <v>1.04</v>
      </c>
      <c r="CI3596">
        <v>-0.16</v>
      </c>
      <c r="CJ3596">
        <v>18380</v>
      </c>
      <c r="CK3596">
        <v>6952</v>
      </c>
      <c r="CL3596" t="s">
        <v>14928</v>
      </c>
      <c r="CM3596">
        <v>-17.57</v>
      </c>
      <c r="CN3596">
        <v>-0.21</v>
      </c>
      <c r="CO3596">
        <v>5.38</v>
      </c>
      <c r="CP3596">
        <v>70.56</v>
      </c>
      <c r="CQ3596">
        <v>16.79</v>
      </c>
      <c r="CR3596">
        <v>0.76</v>
      </c>
      <c r="CS3596" t="s">
        <v>993</v>
      </c>
      <c r="CT3596">
        <v>2.93</v>
      </c>
      <c r="CU3596">
        <v>0</v>
      </c>
      <c r="CV3596">
        <v>0.82</v>
      </c>
      <c r="CW3596">
        <v>0.94</v>
      </c>
      <c r="CX3596">
        <v>0.22</v>
      </c>
      <c r="CY3596">
        <v>83.22</v>
      </c>
      <c r="CZ3596" t="s">
        <v>2280</v>
      </c>
      <c r="DA3596">
        <v>46.71</v>
      </c>
      <c r="DB3596">
        <v>30.96</v>
      </c>
      <c r="DC3596">
        <v>26.21</v>
      </c>
      <c r="DD3596">
        <v>0.14000000000000001</v>
      </c>
      <c r="DE3596">
        <v>454</v>
      </c>
      <c r="DF3596">
        <v>603826</v>
      </c>
      <c r="DG3596" t="s">
        <v>116</v>
      </c>
      <c r="DH3596" t="s">
        <v>116</v>
      </c>
      <c r="DI3596" t="s">
        <v>116</v>
      </c>
    </row>
    <row r="3597" spans="1:113" x14ac:dyDescent="0.4">
      <c r="A3597" t="str">
        <f>"603828"</f>
        <v>603828</v>
      </c>
      <c r="B3597" t="s">
        <v>14929</v>
      </c>
      <c r="C3597">
        <v>-0.95</v>
      </c>
      <c r="D3597">
        <v>5.19</v>
      </c>
      <c r="E3597">
        <v>-0.05</v>
      </c>
      <c r="F3597">
        <v>5.18</v>
      </c>
      <c r="G3597">
        <v>5.19</v>
      </c>
      <c r="H3597">
        <v>28966</v>
      </c>
      <c r="I3597">
        <v>308</v>
      </c>
      <c r="J3597">
        <v>0.19</v>
      </c>
      <c r="K3597">
        <v>0.53</v>
      </c>
      <c r="L3597">
        <v>5.26</v>
      </c>
      <c r="M3597">
        <v>5.26</v>
      </c>
      <c r="N3597">
        <v>5.16</v>
      </c>
      <c r="O3597">
        <v>5.24</v>
      </c>
      <c r="P3597">
        <v>54.84</v>
      </c>
      <c r="Q3597">
        <v>15116146</v>
      </c>
      <c r="R3597">
        <v>0.94</v>
      </c>
      <c r="S3597" t="s">
        <v>3331</v>
      </c>
      <c r="T3597" t="s">
        <v>323</v>
      </c>
      <c r="U3597">
        <v>1.91</v>
      </c>
      <c r="V3597">
        <v>5.22</v>
      </c>
      <c r="W3597">
        <v>17953</v>
      </c>
      <c r="X3597">
        <v>11013</v>
      </c>
      <c r="Y3597">
        <v>1.63</v>
      </c>
      <c r="Z3597">
        <v>209</v>
      </c>
      <c r="AA3597">
        <v>266</v>
      </c>
      <c r="AB3597" t="s">
        <v>116</v>
      </c>
      <c r="AC3597">
        <v>47900</v>
      </c>
      <c r="AD3597">
        <v>0</v>
      </c>
      <c r="AE3597" t="s">
        <v>116</v>
      </c>
      <c r="AF3597" t="s">
        <v>116</v>
      </c>
      <c r="AG3597">
        <v>5.48</v>
      </c>
      <c r="AH3597" t="s">
        <v>4130</v>
      </c>
      <c r="AI3597" t="s">
        <v>14930</v>
      </c>
      <c r="AJ3597">
        <v>-0.88</v>
      </c>
      <c r="AK3597">
        <v>606</v>
      </c>
      <c r="AL3597">
        <v>48</v>
      </c>
      <c r="AM3597">
        <v>8.9999999999999998E-4</v>
      </c>
      <c r="AN3597">
        <v>-1</v>
      </c>
      <c r="AO3597">
        <v>0.2</v>
      </c>
      <c r="AP3597">
        <v>1.76</v>
      </c>
      <c r="AQ3597">
        <v>-8.6300000000000008</v>
      </c>
      <c r="AR3597">
        <v>-10.98</v>
      </c>
      <c r="AS3597">
        <v>1.33</v>
      </c>
      <c r="AT3597" t="s">
        <v>14547</v>
      </c>
      <c r="AU3597">
        <v>92.38</v>
      </c>
      <c r="AV3597">
        <v>49.2</v>
      </c>
      <c r="AW3597">
        <v>1</v>
      </c>
      <c r="BA3597">
        <v>0.38</v>
      </c>
      <c r="BB3597">
        <v>0.38</v>
      </c>
      <c r="BC3597">
        <v>-1.53</v>
      </c>
      <c r="BD3597">
        <v>-0.41</v>
      </c>
      <c r="BE3597">
        <v>-1.33</v>
      </c>
      <c r="BF3597">
        <v>-1.33</v>
      </c>
      <c r="BG3597">
        <v>0.57999999999999996</v>
      </c>
      <c r="BH3597">
        <v>-0.54</v>
      </c>
      <c r="BI3597">
        <v>20191030</v>
      </c>
      <c r="BJ3597">
        <v>20150226</v>
      </c>
      <c r="BK3597">
        <v>5.53</v>
      </c>
      <c r="BL3597" t="s">
        <v>116</v>
      </c>
      <c r="BM3597" t="s">
        <v>116</v>
      </c>
      <c r="BN3597">
        <v>36.619999999999997</v>
      </c>
      <c r="BO3597">
        <v>11.52</v>
      </c>
      <c r="BP3597">
        <v>0.25</v>
      </c>
      <c r="BQ3597">
        <v>67.86</v>
      </c>
      <c r="BR3597">
        <v>25.81</v>
      </c>
      <c r="BS3597">
        <v>4.5</v>
      </c>
      <c r="BT3597">
        <v>0.46</v>
      </c>
      <c r="BU3597">
        <v>22.09</v>
      </c>
      <c r="BV3597">
        <v>0.32</v>
      </c>
      <c r="BW3597">
        <v>20.59</v>
      </c>
      <c r="BX3597">
        <v>0.92</v>
      </c>
      <c r="BY3597">
        <v>13.82</v>
      </c>
      <c r="BZ3597">
        <v>11.66</v>
      </c>
      <c r="CA3597">
        <v>0.46</v>
      </c>
      <c r="CB3597">
        <v>0.12</v>
      </c>
      <c r="CC3597">
        <v>0.46</v>
      </c>
      <c r="CD3597">
        <v>0.39</v>
      </c>
      <c r="CE3597">
        <v>0.39</v>
      </c>
      <c r="CF3597">
        <v>0.25</v>
      </c>
      <c r="CG3597">
        <v>4.7</v>
      </c>
      <c r="CH3597">
        <v>-3.44</v>
      </c>
      <c r="CI3597">
        <v>-3.34</v>
      </c>
      <c r="CJ3597">
        <v>13751</v>
      </c>
      <c r="CK3597">
        <v>15853</v>
      </c>
      <c r="CL3597" t="s">
        <v>6664</v>
      </c>
      <c r="CM3597">
        <v>-41</v>
      </c>
      <c r="CN3597">
        <v>1.1000000000000001</v>
      </c>
      <c r="CO3597">
        <v>2.4700000000000002</v>
      </c>
      <c r="CP3597">
        <v>-8.35</v>
      </c>
      <c r="CQ3597">
        <v>2.08</v>
      </c>
      <c r="CR3597">
        <v>0.31</v>
      </c>
      <c r="CS3597" t="s">
        <v>9070</v>
      </c>
      <c r="CT3597">
        <v>2.1</v>
      </c>
      <c r="CU3597">
        <v>2.1</v>
      </c>
      <c r="CV3597">
        <v>0.17</v>
      </c>
      <c r="CW3597">
        <v>0.85</v>
      </c>
      <c r="CX3597">
        <v>-0.62</v>
      </c>
      <c r="CY3597">
        <v>31.46</v>
      </c>
      <c r="CZ3597" t="s">
        <v>730</v>
      </c>
      <c r="DA3597">
        <v>15.59</v>
      </c>
      <c r="DB3597">
        <v>3.36</v>
      </c>
      <c r="DC3597">
        <v>2.84</v>
      </c>
      <c r="DD3597">
        <v>0.46</v>
      </c>
      <c r="DE3597">
        <v>1032</v>
      </c>
      <c r="DF3597">
        <v>603828</v>
      </c>
      <c r="DG3597" t="s">
        <v>116</v>
      </c>
      <c r="DH3597" t="s">
        <v>116</v>
      </c>
      <c r="DI3597" t="s">
        <v>116</v>
      </c>
    </row>
    <row r="3598" spans="1:113" x14ac:dyDescent="0.4">
      <c r="A3598" t="str">
        <f>"603829"</f>
        <v>603829</v>
      </c>
      <c r="B3598" t="s">
        <v>14931</v>
      </c>
      <c r="C3598">
        <v>-1.55</v>
      </c>
      <c r="D3598">
        <v>10.81</v>
      </c>
      <c r="E3598">
        <v>-0.17</v>
      </c>
      <c r="F3598">
        <v>10.81</v>
      </c>
      <c r="G3598">
        <v>10.82</v>
      </c>
      <c r="H3598">
        <v>13089</v>
      </c>
      <c r="I3598">
        <v>251</v>
      </c>
      <c r="J3598">
        <v>-0.45</v>
      </c>
      <c r="K3598">
        <v>1.81</v>
      </c>
      <c r="L3598">
        <v>10.9</v>
      </c>
      <c r="M3598">
        <v>11.03</v>
      </c>
      <c r="N3598">
        <v>10.77</v>
      </c>
      <c r="O3598">
        <v>10.98</v>
      </c>
      <c r="P3598">
        <v>54.81</v>
      </c>
      <c r="Q3598">
        <v>14239371</v>
      </c>
      <c r="R3598">
        <v>0.77</v>
      </c>
      <c r="S3598" t="s">
        <v>397</v>
      </c>
      <c r="T3598" t="s">
        <v>323</v>
      </c>
      <c r="U3598">
        <v>2.37</v>
      </c>
      <c r="V3598">
        <v>10.88</v>
      </c>
      <c r="W3598">
        <v>7502</v>
      </c>
      <c r="X3598">
        <v>5587</v>
      </c>
      <c r="Y3598">
        <v>1.34</v>
      </c>
      <c r="Z3598">
        <v>300</v>
      </c>
      <c r="AA3598">
        <v>10</v>
      </c>
      <c r="AB3598" t="s">
        <v>116</v>
      </c>
      <c r="AC3598">
        <v>2200</v>
      </c>
      <c r="AD3598">
        <v>0</v>
      </c>
      <c r="AE3598" t="s">
        <v>116</v>
      </c>
      <c r="AF3598" t="s">
        <v>116</v>
      </c>
      <c r="AG3598">
        <v>0.72</v>
      </c>
      <c r="AH3598" t="s">
        <v>12713</v>
      </c>
      <c r="AI3598" t="s">
        <v>7708</v>
      </c>
      <c r="AJ3598">
        <v>-1.47</v>
      </c>
      <c r="AK3598">
        <v>624</v>
      </c>
      <c r="AL3598">
        <v>21</v>
      </c>
      <c r="AM3598">
        <v>2.8999999999999998E-3</v>
      </c>
      <c r="AN3598">
        <v>-1</v>
      </c>
      <c r="AO3598">
        <v>-1.64</v>
      </c>
      <c r="AP3598">
        <v>4.8499999999999996</v>
      </c>
      <c r="AQ3598">
        <v>7.03</v>
      </c>
      <c r="AR3598">
        <v>15.04</v>
      </c>
      <c r="AS3598">
        <v>3.27</v>
      </c>
      <c r="AT3598" t="s">
        <v>14932</v>
      </c>
      <c r="AU3598">
        <v>34.43</v>
      </c>
      <c r="AV3598">
        <v>28.74</v>
      </c>
      <c r="AW3598">
        <v>1.01</v>
      </c>
      <c r="BA3598">
        <v>-0.73</v>
      </c>
      <c r="BB3598">
        <v>0.46</v>
      </c>
      <c r="BC3598">
        <v>-1.91</v>
      </c>
      <c r="BD3598">
        <v>-0.92</v>
      </c>
      <c r="BE3598">
        <v>-0.83</v>
      </c>
      <c r="BF3598">
        <v>-1.99</v>
      </c>
      <c r="BG3598">
        <v>0.37</v>
      </c>
      <c r="BH3598">
        <v>-0.63</v>
      </c>
      <c r="BI3598">
        <v>20191031</v>
      </c>
      <c r="BJ3598">
        <v>20171017</v>
      </c>
      <c r="BK3598">
        <v>1.6</v>
      </c>
      <c r="BL3598" t="s">
        <v>116</v>
      </c>
      <c r="BM3598" t="s">
        <v>116</v>
      </c>
      <c r="BN3598">
        <v>9.92</v>
      </c>
      <c r="BO3598">
        <v>6.59</v>
      </c>
      <c r="BP3598">
        <v>0.02</v>
      </c>
      <c r="BQ3598">
        <v>33.29</v>
      </c>
      <c r="BR3598">
        <v>7.38</v>
      </c>
      <c r="BS3598">
        <v>1.28</v>
      </c>
      <c r="BT3598">
        <v>0.66</v>
      </c>
      <c r="BU3598">
        <v>3.29</v>
      </c>
      <c r="BV3598">
        <v>1.18</v>
      </c>
      <c r="BW3598">
        <v>2.74</v>
      </c>
      <c r="BX3598">
        <v>3.4</v>
      </c>
      <c r="BY3598">
        <v>4.1900000000000004</v>
      </c>
      <c r="BZ3598">
        <v>3.43</v>
      </c>
      <c r="CA3598">
        <v>0.28000000000000003</v>
      </c>
      <c r="CB3598">
        <v>0.03</v>
      </c>
      <c r="CC3598">
        <v>0.27</v>
      </c>
      <c r="CD3598">
        <v>0.24</v>
      </c>
      <c r="CE3598">
        <v>0.24</v>
      </c>
      <c r="CF3598">
        <v>0.19</v>
      </c>
      <c r="CG3598">
        <v>1.39</v>
      </c>
      <c r="CH3598">
        <v>-0.18</v>
      </c>
      <c r="CI3598">
        <v>0.02</v>
      </c>
      <c r="CJ3598">
        <v>12454</v>
      </c>
      <c r="CK3598">
        <v>3212</v>
      </c>
      <c r="CL3598" t="s">
        <v>1222</v>
      </c>
      <c r="CM3598">
        <v>-29.59</v>
      </c>
      <c r="CN3598">
        <v>6.82</v>
      </c>
      <c r="CO3598">
        <v>2.62</v>
      </c>
      <c r="CP3598">
        <v>-97.05</v>
      </c>
      <c r="CQ3598">
        <v>4.13</v>
      </c>
      <c r="CR3598">
        <v>1.05</v>
      </c>
      <c r="CS3598" t="s">
        <v>1195</v>
      </c>
      <c r="CT3598">
        <v>4.12</v>
      </c>
      <c r="CU3598">
        <v>0</v>
      </c>
      <c r="CV3598">
        <v>2.12</v>
      </c>
      <c r="CW3598">
        <v>0.87</v>
      </c>
      <c r="CX3598">
        <v>-0.11</v>
      </c>
      <c r="CY3598">
        <v>66.48</v>
      </c>
      <c r="CZ3598" t="s">
        <v>1210</v>
      </c>
      <c r="DA3598">
        <v>18</v>
      </c>
      <c r="DB3598">
        <v>6.62</v>
      </c>
      <c r="DC3598">
        <v>5.65</v>
      </c>
      <c r="DD3598">
        <v>0.14000000000000001</v>
      </c>
      <c r="DE3598">
        <v>707</v>
      </c>
      <c r="DF3598">
        <v>603829</v>
      </c>
      <c r="DG3598" t="s">
        <v>116</v>
      </c>
      <c r="DH3598" t="s">
        <v>116</v>
      </c>
      <c r="DI3598" t="s">
        <v>116</v>
      </c>
    </row>
    <row r="3599" spans="1:113" x14ac:dyDescent="0.4">
      <c r="A3599" t="str">
        <f>"603833"</f>
        <v>603833</v>
      </c>
      <c r="B3599" t="s">
        <v>14933</v>
      </c>
      <c r="C3599">
        <v>-0.01</v>
      </c>
      <c r="D3599">
        <v>114.62</v>
      </c>
      <c r="E3599">
        <v>-0.01</v>
      </c>
      <c r="F3599">
        <v>114.62</v>
      </c>
      <c r="G3599">
        <v>114.82</v>
      </c>
      <c r="H3599">
        <v>10769</v>
      </c>
      <c r="I3599">
        <v>92</v>
      </c>
      <c r="J3599">
        <v>-0.91</v>
      </c>
      <c r="K3599">
        <v>1.1399999999999999</v>
      </c>
      <c r="L3599">
        <v>114.65</v>
      </c>
      <c r="M3599">
        <v>117.28</v>
      </c>
      <c r="N3599">
        <v>113.13</v>
      </c>
      <c r="O3599">
        <v>114.63</v>
      </c>
      <c r="P3599">
        <v>26.21</v>
      </c>
      <c r="Q3599">
        <v>124729248</v>
      </c>
      <c r="R3599">
        <v>0.76</v>
      </c>
      <c r="S3599" t="s">
        <v>2640</v>
      </c>
      <c r="T3599" t="s">
        <v>551</v>
      </c>
      <c r="U3599">
        <v>3.62</v>
      </c>
      <c r="V3599">
        <v>115.83</v>
      </c>
      <c r="W3599">
        <v>5376</v>
      </c>
      <c r="X3599">
        <v>5394</v>
      </c>
      <c r="Y3599">
        <v>1</v>
      </c>
      <c r="Z3599">
        <v>9</v>
      </c>
      <c r="AA3599">
        <v>1</v>
      </c>
      <c r="AB3599" t="s">
        <v>116</v>
      </c>
      <c r="AC3599">
        <v>57300</v>
      </c>
      <c r="AD3599">
        <v>0</v>
      </c>
      <c r="AE3599" t="s">
        <v>116</v>
      </c>
      <c r="AF3599" t="s">
        <v>116</v>
      </c>
      <c r="AG3599">
        <v>0.95</v>
      </c>
      <c r="AH3599" t="s">
        <v>14934</v>
      </c>
      <c r="AI3599" t="s">
        <v>14935</v>
      </c>
      <c r="AJ3599">
        <v>7.0000000000000007E-2</v>
      </c>
      <c r="AK3599">
        <v>2320</v>
      </c>
      <c r="AL3599">
        <v>5</v>
      </c>
      <c r="AM3599">
        <v>5.0000000000000001E-4</v>
      </c>
      <c r="AN3599">
        <v>-1</v>
      </c>
      <c r="AO3599">
        <v>3.73</v>
      </c>
      <c r="AP3599">
        <v>15.78</v>
      </c>
      <c r="AQ3599">
        <v>2.68</v>
      </c>
      <c r="AR3599">
        <v>45.14</v>
      </c>
      <c r="AS3599">
        <v>1.1399999999999999</v>
      </c>
      <c r="AT3599" t="s">
        <v>14934</v>
      </c>
      <c r="AU3599">
        <v>27.52</v>
      </c>
      <c r="AV3599">
        <v>30.64</v>
      </c>
      <c r="AW3599">
        <v>0.91</v>
      </c>
      <c r="BA3599">
        <v>0.02</v>
      </c>
      <c r="BB3599">
        <v>2.31</v>
      </c>
      <c r="BC3599">
        <v>-1.31</v>
      </c>
      <c r="BD3599">
        <v>1.04</v>
      </c>
      <c r="BE3599">
        <v>-0.03</v>
      </c>
      <c r="BF3599">
        <v>-2.27</v>
      </c>
      <c r="BG3599">
        <v>1.32</v>
      </c>
      <c r="BH3599">
        <v>-1.05</v>
      </c>
      <c r="BI3599">
        <v>20191030</v>
      </c>
      <c r="BJ3599">
        <v>20170328</v>
      </c>
      <c r="BK3599">
        <v>4.2</v>
      </c>
      <c r="BL3599" t="s">
        <v>116</v>
      </c>
      <c r="BM3599" t="s">
        <v>116</v>
      </c>
      <c r="BN3599">
        <v>149.47999999999999</v>
      </c>
      <c r="BO3599">
        <v>90.38</v>
      </c>
      <c r="BP3599">
        <v>0</v>
      </c>
      <c r="BQ3599">
        <v>39.54</v>
      </c>
      <c r="BR3599">
        <v>70</v>
      </c>
      <c r="BS3599">
        <v>40.19</v>
      </c>
      <c r="BT3599">
        <v>10.74</v>
      </c>
      <c r="BU3599">
        <v>39.659999999999997</v>
      </c>
      <c r="BV3599">
        <v>7.93</v>
      </c>
      <c r="BW3599">
        <v>4.74</v>
      </c>
      <c r="BX3599">
        <v>29.76</v>
      </c>
      <c r="BY3599">
        <v>95.35</v>
      </c>
      <c r="BZ3599">
        <v>59.46</v>
      </c>
      <c r="CA3599">
        <v>16.03</v>
      </c>
      <c r="CB3599">
        <v>0.33</v>
      </c>
      <c r="CC3599">
        <v>16.22</v>
      </c>
      <c r="CD3599">
        <v>13.78</v>
      </c>
      <c r="CE3599">
        <v>13.78</v>
      </c>
      <c r="CF3599">
        <v>12.91</v>
      </c>
      <c r="CG3599">
        <v>51.63</v>
      </c>
      <c r="CH3599">
        <v>17.53</v>
      </c>
      <c r="CI3599">
        <v>-16.07</v>
      </c>
      <c r="CJ3599">
        <v>6981</v>
      </c>
      <c r="CK3599">
        <v>13549</v>
      </c>
      <c r="CL3599" t="s">
        <v>14936</v>
      </c>
      <c r="CM3599">
        <v>14.83</v>
      </c>
      <c r="CN3599">
        <v>16.329999999999998</v>
      </c>
      <c r="CO3599">
        <v>5.49</v>
      </c>
      <c r="CP3599">
        <v>27.47</v>
      </c>
      <c r="CQ3599">
        <v>5.05</v>
      </c>
      <c r="CR3599">
        <v>0.65</v>
      </c>
      <c r="CS3599" t="s">
        <v>14937</v>
      </c>
      <c r="CT3599">
        <v>20.87</v>
      </c>
      <c r="CU3599">
        <v>20.87</v>
      </c>
      <c r="CV3599">
        <v>7.08</v>
      </c>
      <c r="CW3599">
        <v>12.29</v>
      </c>
      <c r="CX3599">
        <v>4.17</v>
      </c>
      <c r="CY3599">
        <v>60.46</v>
      </c>
      <c r="CZ3599" t="s">
        <v>14938</v>
      </c>
      <c r="DA3599">
        <v>37.64</v>
      </c>
      <c r="DB3599">
        <v>16.82</v>
      </c>
      <c r="DC3599">
        <v>14.45</v>
      </c>
      <c r="DD3599">
        <v>4.32</v>
      </c>
      <c r="DE3599">
        <v>19714</v>
      </c>
      <c r="DF3599">
        <v>603833</v>
      </c>
      <c r="DG3599" t="s">
        <v>116</v>
      </c>
      <c r="DH3599" t="s">
        <v>116</v>
      </c>
      <c r="DI3599" t="s">
        <v>116</v>
      </c>
    </row>
    <row r="3600" spans="1:113" x14ac:dyDescent="0.4">
      <c r="A3600" t="str">
        <f>"603838"</f>
        <v>603838</v>
      </c>
      <c r="B3600" t="s">
        <v>14939</v>
      </c>
      <c r="C3600">
        <v>-0.12</v>
      </c>
      <c r="D3600">
        <v>8.1199999999999992</v>
      </c>
      <c r="E3600">
        <v>-0.01</v>
      </c>
      <c r="F3600">
        <v>8.1199999999999992</v>
      </c>
      <c r="G3600">
        <v>8.1300000000000008</v>
      </c>
      <c r="H3600">
        <v>4905</v>
      </c>
      <c r="I3600">
        <v>55</v>
      </c>
      <c r="J3600">
        <v>-0.11</v>
      </c>
      <c r="K3600">
        <v>0.18</v>
      </c>
      <c r="L3600">
        <v>8.15</v>
      </c>
      <c r="M3600">
        <v>8.17</v>
      </c>
      <c r="N3600">
        <v>8.1199999999999992</v>
      </c>
      <c r="O3600">
        <v>8.1300000000000008</v>
      </c>
      <c r="P3600">
        <v>31.43</v>
      </c>
      <c r="Q3600">
        <v>3994524</v>
      </c>
      <c r="R3600">
        <v>0.6</v>
      </c>
      <c r="S3600" t="s">
        <v>8514</v>
      </c>
      <c r="T3600" t="s">
        <v>551</v>
      </c>
      <c r="U3600">
        <v>0.62</v>
      </c>
      <c r="V3600">
        <v>8.14</v>
      </c>
      <c r="W3600">
        <v>2922</v>
      </c>
      <c r="X3600">
        <v>1983</v>
      </c>
      <c r="Y3600">
        <v>1.47</v>
      </c>
      <c r="Z3600">
        <v>18</v>
      </c>
      <c r="AA3600">
        <v>180</v>
      </c>
      <c r="AB3600" t="s">
        <v>116</v>
      </c>
      <c r="AC3600">
        <v>48900</v>
      </c>
      <c r="AD3600">
        <v>0.01</v>
      </c>
      <c r="AE3600" t="s">
        <v>116</v>
      </c>
      <c r="AF3600" t="s">
        <v>116</v>
      </c>
      <c r="AG3600">
        <v>2.67</v>
      </c>
      <c r="AH3600" t="s">
        <v>14940</v>
      </c>
      <c r="AI3600" t="s">
        <v>14940</v>
      </c>
      <c r="AJ3600">
        <v>-0.05</v>
      </c>
      <c r="AK3600">
        <v>518</v>
      </c>
      <c r="AL3600">
        <v>9</v>
      </c>
      <c r="AM3600">
        <v>4.0000000000000002E-4</v>
      </c>
      <c r="AN3600">
        <v>-1</v>
      </c>
      <c r="AO3600">
        <v>0.13</v>
      </c>
      <c r="AP3600">
        <v>2.4</v>
      </c>
      <c r="AQ3600">
        <v>-6.34</v>
      </c>
      <c r="AR3600">
        <v>-13.43</v>
      </c>
      <c r="AS3600">
        <v>0.49</v>
      </c>
      <c r="AT3600" t="s">
        <v>1379</v>
      </c>
      <c r="AU3600">
        <v>52.64</v>
      </c>
      <c r="AV3600">
        <v>50.62</v>
      </c>
      <c r="AW3600">
        <v>0.79</v>
      </c>
      <c r="BA3600">
        <v>0.25</v>
      </c>
      <c r="BB3600">
        <v>0.49</v>
      </c>
      <c r="BC3600">
        <v>-0.12</v>
      </c>
      <c r="BD3600">
        <v>0.17</v>
      </c>
      <c r="BE3600">
        <v>-0.37</v>
      </c>
      <c r="BF3600">
        <v>-0.61</v>
      </c>
      <c r="BG3600">
        <v>0</v>
      </c>
      <c r="BH3600">
        <v>-0.28999999999999998</v>
      </c>
      <c r="BI3600">
        <v>20191029</v>
      </c>
      <c r="BJ3600">
        <v>20150701</v>
      </c>
      <c r="BK3600">
        <v>2.67</v>
      </c>
      <c r="BL3600" t="s">
        <v>116</v>
      </c>
      <c r="BM3600" t="s">
        <v>116</v>
      </c>
      <c r="BN3600">
        <v>9.56</v>
      </c>
      <c r="BO3600">
        <v>7.57</v>
      </c>
      <c r="BP3600">
        <v>0.03</v>
      </c>
      <c r="BQ3600">
        <v>20.49</v>
      </c>
      <c r="BR3600">
        <v>4.33</v>
      </c>
      <c r="BS3600">
        <v>2.13</v>
      </c>
      <c r="BT3600">
        <v>0.73</v>
      </c>
      <c r="BU3600">
        <v>0.83</v>
      </c>
      <c r="BV3600">
        <v>0.96</v>
      </c>
      <c r="BW3600">
        <v>1.48</v>
      </c>
      <c r="BX3600">
        <v>1.4</v>
      </c>
      <c r="BY3600">
        <v>3.4</v>
      </c>
      <c r="BZ3600">
        <v>2.31</v>
      </c>
      <c r="CA3600">
        <v>0.63</v>
      </c>
      <c r="CB3600">
        <v>0.02</v>
      </c>
      <c r="CC3600">
        <v>0.61</v>
      </c>
      <c r="CD3600">
        <v>0.52</v>
      </c>
      <c r="CE3600">
        <v>0.52</v>
      </c>
      <c r="CF3600">
        <v>0.51</v>
      </c>
      <c r="CG3600">
        <v>3.17</v>
      </c>
      <c r="CH3600">
        <v>0.46</v>
      </c>
      <c r="CI3600">
        <v>0.69</v>
      </c>
      <c r="CJ3600">
        <v>16176</v>
      </c>
      <c r="CK3600">
        <v>6230</v>
      </c>
      <c r="CL3600" t="s">
        <v>708</v>
      </c>
      <c r="CM3600">
        <v>-3.08</v>
      </c>
      <c r="CN3600">
        <v>-4.42</v>
      </c>
      <c r="CO3600">
        <v>2.86</v>
      </c>
      <c r="CP3600">
        <v>46.97</v>
      </c>
      <c r="CQ3600">
        <v>6.37</v>
      </c>
      <c r="CR3600">
        <v>0.62</v>
      </c>
      <c r="CS3600" t="s">
        <v>7352</v>
      </c>
      <c r="CT3600">
        <v>2.84</v>
      </c>
      <c r="CU3600">
        <v>0</v>
      </c>
      <c r="CV3600">
        <v>0.52</v>
      </c>
      <c r="CW3600">
        <v>1.19</v>
      </c>
      <c r="CX3600">
        <v>0.17</v>
      </c>
      <c r="CY3600">
        <v>79.19</v>
      </c>
      <c r="CZ3600" t="s">
        <v>5275</v>
      </c>
      <c r="DA3600">
        <v>31.95</v>
      </c>
      <c r="DB3600">
        <v>18.579999999999998</v>
      </c>
      <c r="DC3600">
        <v>15.19</v>
      </c>
      <c r="DD3600">
        <v>0.19</v>
      </c>
      <c r="DE3600">
        <v>1476</v>
      </c>
      <c r="DF3600">
        <v>603838</v>
      </c>
      <c r="DG3600" t="s">
        <v>116</v>
      </c>
      <c r="DH3600" t="s">
        <v>116</v>
      </c>
      <c r="DI3600" t="s">
        <v>116</v>
      </c>
    </row>
    <row r="3601" spans="1:113" x14ac:dyDescent="0.4">
      <c r="A3601" t="str">
        <f>"603839"</f>
        <v>603839</v>
      </c>
      <c r="B3601" t="s">
        <v>14941</v>
      </c>
      <c r="C3601">
        <v>-3.26</v>
      </c>
      <c r="D3601">
        <v>13.65</v>
      </c>
      <c r="E3601">
        <v>-0.46</v>
      </c>
      <c r="F3601">
        <v>13.6</v>
      </c>
      <c r="G3601">
        <v>13.65</v>
      </c>
      <c r="H3601">
        <v>114661</v>
      </c>
      <c r="I3601">
        <v>804</v>
      </c>
      <c r="J3601">
        <v>-0.28000000000000003</v>
      </c>
      <c r="K3601">
        <v>10.87</v>
      </c>
      <c r="L3601">
        <v>14.15</v>
      </c>
      <c r="M3601">
        <v>14.75</v>
      </c>
      <c r="N3601">
        <v>13.5</v>
      </c>
      <c r="O3601">
        <v>14.11</v>
      </c>
      <c r="P3601">
        <v>14.8</v>
      </c>
      <c r="Q3601">
        <v>160699968</v>
      </c>
      <c r="R3601">
        <v>1.93</v>
      </c>
      <c r="S3601" t="s">
        <v>3070</v>
      </c>
      <c r="T3601" t="s">
        <v>590</v>
      </c>
      <c r="U3601">
        <v>8.86</v>
      </c>
      <c r="V3601">
        <v>14.02</v>
      </c>
      <c r="W3601">
        <v>62393</v>
      </c>
      <c r="X3601">
        <v>52268</v>
      </c>
      <c r="Y3601">
        <v>1.19</v>
      </c>
      <c r="Z3601">
        <v>208</v>
      </c>
      <c r="AA3601">
        <v>299</v>
      </c>
      <c r="AB3601" t="s">
        <v>116</v>
      </c>
      <c r="AC3601">
        <v>4974000</v>
      </c>
      <c r="AD3601">
        <v>0.34</v>
      </c>
      <c r="AE3601" t="s">
        <v>116</v>
      </c>
      <c r="AF3601" t="s">
        <v>116</v>
      </c>
      <c r="AG3601">
        <v>1.06</v>
      </c>
      <c r="AH3601" t="s">
        <v>14942</v>
      </c>
      <c r="AI3601" t="s">
        <v>14943</v>
      </c>
      <c r="AJ3601">
        <v>-3.18</v>
      </c>
      <c r="AK3601">
        <v>2728</v>
      </c>
      <c r="AL3601">
        <v>42</v>
      </c>
      <c r="AM3601">
        <v>4.0000000000000001E-3</v>
      </c>
      <c r="AN3601">
        <v>-1</v>
      </c>
      <c r="AO3601">
        <v>15.87</v>
      </c>
      <c r="AP3601">
        <v>19.010000000000002</v>
      </c>
      <c r="AQ3601">
        <v>-1.94</v>
      </c>
      <c r="AR3601">
        <v>31.88</v>
      </c>
      <c r="AS3601">
        <v>10.99</v>
      </c>
      <c r="AT3601" t="s">
        <v>1922</v>
      </c>
      <c r="AU3601">
        <v>17.57</v>
      </c>
      <c r="AV3601">
        <v>19.510000000000002</v>
      </c>
      <c r="AW3601">
        <v>1.38</v>
      </c>
      <c r="BA3601">
        <v>0.28000000000000003</v>
      </c>
      <c r="BB3601">
        <v>4.54</v>
      </c>
      <c r="BC3601">
        <v>-4.32</v>
      </c>
      <c r="BD3601">
        <v>-0.67</v>
      </c>
      <c r="BE3601">
        <v>-3.53</v>
      </c>
      <c r="BF3601">
        <v>-7.46</v>
      </c>
      <c r="BG3601">
        <v>1.1100000000000001</v>
      </c>
      <c r="BH3601">
        <v>-2.59</v>
      </c>
      <c r="BI3601">
        <v>20191205</v>
      </c>
      <c r="BJ3601">
        <v>20170214</v>
      </c>
      <c r="BK3601">
        <v>4.0199999999999996</v>
      </c>
      <c r="BL3601" t="s">
        <v>116</v>
      </c>
      <c r="BM3601" t="s">
        <v>116</v>
      </c>
      <c r="BN3601">
        <v>38.29</v>
      </c>
      <c r="BO3601">
        <v>28.05</v>
      </c>
      <c r="BP3601">
        <v>0.7</v>
      </c>
      <c r="BQ3601">
        <v>24.92</v>
      </c>
      <c r="BR3601">
        <v>24.56</v>
      </c>
      <c r="BS3601">
        <v>5.16</v>
      </c>
      <c r="BT3601">
        <v>0.62</v>
      </c>
      <c r="BU3601">
        <v>7.41</v>
      </c>
      <c r="BV3601">
        <v>10.73</v>
      </c>
      <c r="BW3601">
        <v>1.57</v>
      </c>
      <c r="BX3601">
        <v>9.7799999999999994</v>
      </c>
      <c r="BY3601">
        <v>17.91</v>
      </c>
      <c r="BZ3601">
        <v>8.26</v>
      </c>
      <c r="CA3601">
        <v>3.56</v>
      </c>
      <c r="CB3601">
        <v>0.41</v>
      </c>
      <c r="CC3601">
        <v>3.57</v>
      </c>
      <c r="CD3601">
        <v>2.99</v>
      </c>
      <c r="CE3601">
        <v>2.78</v>
      </c>
      <c r="CF3601">
        <v>2.39</v>
      </c>
      <c r="CG3601">
        <v>13.37</v>
      </c>
      <c r="CH3601">
        <v>0.49</v>
      </c>
      <c r="CI3601">
        <v>0.3</v>
      </c>
      <c r="CJ3601">
        <v>15995</v>
      </c>
      <c r="CK3601">
        <v>6520</v>
      </c>
      <c r="CL3601" t="s">
        <v>12360</v>
      </c>
      <c r="CM3601">
        <v>12.55</v>
      </c>
      <c r="CN3601">
        <v>54.13</v>
      </c>
      <c r="CO3601">
        <v>1.96</v>
      </c>
      <c r="CP3601">
        <v>111.02</v>
      </c>
      <c r="CQ3601">
        <v>3.06</v>
      </c>
      <c r="CR3601">
        <v>2.5299999999999998</v>
      </c>
      <c r="CS3601" t="s">
        <v>13939</v>
      </c>
      <c r="CT3601">
        <v>6.98</v>
      </c>
      <c r="CU3601">
        <v>0</v>
      </c>
      <c r="CV3601">
        <v>2.4300000000000002</v>
      </c>
      <c r="CW3601">
        <v>3.33</v>
      </c>
      <c r="CX3601">
        <v>0.12</v>
      </c>
      <c r="CY3601">
        <v>73.260000000000005</v>
      </c>
      <c r="CZ3601" t="s">
        <v>14944</v>
      </c>
      <c r="DA3601">
        <v>53.86</v>
      </c>
      <c r="DB3601">
        <v>19.899999999999999</v>
      </c>
      <c r="DC3601">
        <v>15.52</v>
      </c>
      <c r="DD3601">
        <v>0.53</v>
      </c>
      <c r="DE3601">
        <v>3820</v>
      </c>
      <c r="DF3601">
        <v>603839</v>
      </c>
      <c r="DG3601" t="s">
        <v>116</v>
      </c>
      <c r="DH3601" t="s">
        <v>116</v>
      </c>
      <c r="DI3601" t="s">
        <v>116</v>
      </c>
    </row>
    <row r="3602" spans="1:113" x14ac:dyDescent="0.4">
      <c r="A3602" t="str">
        <f>"603843"</f>
        <v>603843</v>
      </c>
      <c r="B3602" t="s">
        <v>14945</v>
      </c>
      <c r="C3602">
        <v>-0.86</v>
      </c>
      <c r="D3602">
        <v>4.63</v>
      </c>
      <c r="E3602">
        <v>-0.04</v>
      </c>
      <c r="F3602">
        <v>4.63</v>
      </c>
      <c r="G3602">
        <v>4.6399999999999997</v>
      </c>
      <c r="H3602">
        <v>52885</v>
      </c>
      <c r="I3602">
        <v>699</v>
      </c>
      <c r="J3602">
        <v>0</v>
      </c>
      <c r="K3602">
        <v>0.94</v>
      </c>
      <c r="L3602">
        <v>4.6900000000000004</v>
      </c>
      <c r="M3602">
        <v>4.71</v>
      </c>
      <c r="N3602">
        <v>4.62</v>
      </c>
      <c r="O3602">
        <v>4.67</v>
      </c>
      <c r="P3602">
        <v>36.71</v>
      </c>
      <c r="Q3602">
        <v>24688268</v>
      </c>
      <c r="R3602">
        <v>1.1399999999999999</v>
      </c>
      <c r="S3602" t="s">
        <v>181</v>
      </c>
      <c r="T3602" t="s">
        <v>698</v>
      </c>
      <c r="U3602">
        <v>1.93</v>
      </c>
      <c r="V3602">
        <v>4.67</v>
      </c>
      <c r="W3602">
        <v>28397</v>
      </c>
      <c r="X3602">
        <v>24488</v>
      </c>
      <c r="Y3602">
        <v>1.1599999999999999</v>
      </c>
      <c r="Z3602">
        <v>122</v>
      </c>
      <c r="AA3602">
        <v>411</v>
      </c>
      <c r="AB3602" t="s">
        <v>116</v>
      </c>
      <c r="AC3602">
        <v>114900</v>
      </c>
      <c r="AD3602">
        <v>0.01</v>
      </c>
      <c r="AE3602" t="s">
        <v>116</v>
      </c>
      <c r="AF3602" t="s">
        <v>116</v>
      </c>
      <c r="AG3602">
        <v>5.6</v>
      </c>
      <c r="AH3602" t="s">
        <v>1797</v>
      </c>
      <c r="AI3602" t="s">
        <v>1797</v>
      </c>
      <c r="AJ3602">
        <v>-0.78</v>
      </c>
      <c r="AK3602">
        <v>968</v>
      </c>
      <c r="AL3602">
        <v>55</v>
      </c>
      <c r="AM3602">
        <v>1E-3</v>
      </c>
      <c r="AN3602">
        <v>-1</v>
      </c>
      <c r="AO3602">
        <v>-0.44</v>
      </c>
      <c r="AP3602">
        <v>0.65</v>
      </c>
      <c r="AQ3602">
        <v>-13.62</v>
      </c>
      <c r="AR3602">
        <v>-16.579999999999998</v>
      </c>
      <c r="AS3602">
        <v>2.23</v>
      </c>
      <c r="AT3602" t="s">
        <v>8872</v>
      </c>
      <c r="AU3602">
        <v>35.93</v>
      </c>
      <c r="AV3602">
        <v>37.159999999999997</v>
      </c>
      <c r="AW3602">
        <v>1.28</v>
      </c>
      <c r="BA3602">
        <v>0.43</v>
      </c>
      <c r="BB3602">
        <v>0.86</v>
      </c>
      <c r="BC3602">
        <v>-1.07</v>
      </c>
      <c r="BD3602">
        <v>-0.04</v>
      </c>
      <c r="BE3602">
        <v>-1.28</v>
      </c>
      <c r="BF3602">
        <v>-1.7</v>
      </c>
      <c r="BG3602">
        <v>0.22</v>
      </c>
      <c r="BH3602">
        <v>-0.82</v>
      </c>
      <c r="BI3602">
        <v>20191106</v>
      </c>
      <c r="BJ3602">
        <v>20160905</v>
      </c>
      <c r="BK3602">
        <v>5.6</v>
      </c>
      <c r="BL3602" t="s">
        <v>116</v>
      </c>
      <c r="BM3602" t="s">
        <v>116</v>
      </c>
      <c r="BN3602">
        <v>66</v>
      </c>
      <c r="BO3602">
        <v>13.77</v>
      </c>
      <c r="BP3602">
        <v>1.88</v>
      </c>
      <c r="BQ3602">
        <v>76.290000000000006</v>
      </c>
      <c r="BR3602">
        <v>50.73</v>
      </c>
      <c r="BS3602">
        <v>4.91</v>
      </c>
      <c r="BT3602">
        <v>1.84</v>
      </c>
      <c r="BU3602">
        <v>43.64</v>
      </c>
      <c r="BV3602">
        <v>24.93</v>
      </c>
      <c r="BW3602">
        <v>10.11</v>
      </c>
      <c r="BX3602">
        <v>2.29</v>
      </c>
      <c r="BY3602">
        <v>23.95</v>
      </c>
      <c r="BZ3602">
        <v>21.21</v>
      </c>
      <c r="CA3602">
        <v>0.86</v>
      </c>
      <c r="CB3602">
        <v>0.01</v>
      </c>
      <c r="CC3602">
        <v>0.86</v>
      </c>
      <c r="CD3602">
        <v>0.68</v>
      </c>
      <c r="CE3602">
        <v>0.53</v>
      </c>
      <c r="CF3602">
        <v>0.5</v>
      </c>
      <c r="CG3602">
        <v>4.76</v>
      </c>
      <c r="CH3602">
        <v>2.3199999999999998</v>
      </c>
      <c r="CI3602">
        <v>3.36</v>
      </c>
      <c r="CJ3602">
        <v>33796</v>
      </c>
      <c r="CK3602">
        <v>7020</v>
      </c>
      <c r="CL3602" t="s">
        <v>943</v>
      </c>
      <c r="CM3602">
        <v>4.7300000000000004</v>
      </c>
      <c r="CN3602">
        <v>41.31</v>
      </c>
      <c r="CO3602">
        <v>1.88</v>
      </c>
      <c r="CP3602">
        <v>11.19</v>
      </c>
      <c r="CQ3602">
        <v>1.08</v>
      </c>
      <c r="CR3602">
        <v>0.46</v>
      </c>
      <c r="CS3602" t="s">
        <v>5850</v>
      </c>
      <c r="CT3602">
        <v>2.46</v>
      </c>
      <c r="CU3602">
        <v>0</v>
      </c>
      <c r="CV3602">
        <v>0.41</v>
      </c>
      <c r="CW3602">
        <v>0.85</v>
      </c>
      <c r="CX3602">
        <v>0.41</v>
      </c>
      <c r="CY3602">
        <v>20.87</v>
      </c>
      <c r="CZ3602" t="s">
        <v>4814</v>
      </c>
      <c r="DA3602">
        <v>11.42</v>
      </c>
      <c r="DB3602">
        <v>3.58</v>
      </c>
      <c r="DC3602">
        <v>2.21</v>
      </c>
      <c r="DD3602">
        <v>0.01</v>
      </c>
      <c r="DE3602">
        <v>1644</v>
      </c>
      <c r="DF3602">
        <v>603843</v>
      </c>
      <c r="DG3602" t="s">
        <v>116</v>
      </c>
      <c r="DH3602" t="s">
        <v>116</v>
      </c>
      <c r="DI3602" t="s">
        <v>116</v>
      </c>
    </row>
    <row r="3603" spans="1:113" x14ac:dyDescent="0.4">
      <c r="A3603" t="str">
        <f>"603848"</f>
        <v>603848</v>
      </c>
      <c r="B3603" t="s">
        <v>14946</v>
      </c>
      <c r="C3603">
        <v>-0.22</v>
      </c>
      <c r="D3603">
        <v>13.77</v>
      </c>
      <c r="E3603">
        <v>-0.03</v>
      </c>
      <c r="F3603">
        <v>13.76</v>
      </c>
      <c r="G3603">
        <v>13.77</v>
      </c>
      <c r="H3603">
        <v>13575</v>
      </c>
      <c r="I3603">
        <v>274</v>
      </c>
      <c r="J3603">
        <v>-0.21</v>
      </c>
      <c r="K3603">
        <v>1.91</v>
      </c>
      <c r="L3603">
        <v>13.87</v>
      </c>
      <c r="M3603">
        <v>14.09</v>
      </c>
      <c r="N3603">
        <v>13.77</v>
      </c>
      <c r="O3603">
        <v>13.8</v>
      </c>
      <c r="P3603">
        <v>23.62</v>
      </c>
      <c r="Q3603">
        <v>18922668</v>
      </c>
      <c r="R3603">
        <v>0.94</v>
      </c>
      <c r="S3603" t="s">
        <v>2640</v>
      </c>
      <c r="T3603" t="s">
        <v>551</v>
      </c>
      <c r="U3603">
        <v>2.3199999999999998</v>
      </c>
      <c r="V3603">
        <v>13.94</v>
      </c>
      <c r="W3603">
        <v>7482</v>
      </c>
      <c r="X3603">
        <v>6093</v>
      </c>
      <c r="Y3603">
        <v>1.23</v>
      </c>
      <c r="Z3603">
        <v>11</v>
      </c>
      <c r="AA3603">
        <v>10</v>
      </c>
      <c r="AB3603" t="s">
        <v>116</v>
      </c>
      <c r="AC3603">
        <v>65200</v>
      </c>
      <c r="AD3603">
        <v>0.01</v>
      </c>
      <c r="AE3603" t="s">
        <v>116</v>
      </c>
      <c r="AF3603" t="s">
        <v>116</v>
      </c>
      <c r="AG3603">
        <v>0.71</v>
      </c>
      <c r="AH3603" t="s">
        <v>13878</v>
      </c>
      <c r="AI3603" t="s">
        <v>14947</v>
      </c>
      <c r="AJ3603">
        <v>-0.14000000000000001</v>
      </c>
      <c r="AK3603">
        <v>801</v>
      </c>
      <c r="AL3603">
        <v>17</v>
      </c>
      <c r="AM3603">
        <v>2.3999999999999998E-3</v>
      </c>
      <c r="AN3603">
        <v>-1</v>
      </c>
      <c r="AO3603">
        <v>-0.66</v>
      </c>
      <c r="AP3603">
        <v>5.19</v>
      </c>
      <c r="AQ3603">
        <v>-7.58</v>
      </c>
      <c r="AR3603">
        <v>-7.34</v>
      </c>
      <c r="AS3603">
        <v>2.79</v>
      </c>
      <c r="AT3603" t="s">
        <v>14948</v>
      </c>
      <c r="AU3603">
        <v>22.11</v>
      </c>
      <c r="AV3603">
        <v>21.19</v>
      </c>
      <c r="AW3603">
        <v>1.23</v>
      </c>
      <c r="BA3603">
        <v>0.51</v>
      </c>
      <c r="BB3603">
        <v>2.1</v>
      </c>
      <c r="BC3603">
        <v>-0.22</v>
      </c>
      <c r="BD3603">
        <v>1.01</v>
      </c>
      <c r="BE3603">
        <v>-0.72</v>
      </c>
      <c r="BF3603">
        <v>-2.27</v>
      </c>
      <c r="BG3603">
        <v>0</v>
      </c>
      <c r="BH3603">
        <v>-1.23</v>
      </c>
      <c r="BI3603">
        <v>20191030</v>
      </c>
      <c r="BJ3603">
        <v>20171201</v>
      </c>
      <c r="BK3603">
        <v>4.01</v>
      </c>
      <c r="BL3603" t="s">
        <v>116</v>
      </c>
      <c r="BM3603" t="s">
        <v>116</v>
      </c>
      <c r="BN3603">
        <v>16.46</v>
      </c>
      <c r="BO3603">
        <v>13.62</v>
      </c>
      <c r="BP3603">
        <v>0.04</v>
      </c>
      <c r="BQ3603">
        <v>16.98</v>
      </c>
      <c r="BR3603">
        <v>12.26</v>
      </c>
      <c r="BS3603">
        <v>0.55000000000000004</v>
      </c>
      <c r="BT3603">
        <v>0.65</v>
      </c>
      <c r="BU3603">
        <v>2.78</v>
      </c>
      <c r="BV3603">
        <v>0.56999999999999995</v>
      </c>
      <c r="BW3603">
        <v>0.8</v>
      </c>
      <c r="BX3603">
        <v>3.38</v>
      </c>
      <c r="BY3603">
        <v>8.59</v>
      </c>
      <c r="BZ3603">
        <v>4.45</v>
      </c>
      <c r="CA3603">
        <v>2.12</v>
      </c>
      <c r="CB3603">
        <v>0.27</v>
      </c>
      <c r="CC3603">
        <v>2.14</v>
      </c>
      <c r="CD3603">
        <v>1.76</v>
      </c>
      <c r="CE3603">
        <v>1.75</v>
      </c>
      <c r="CF3603">
        <v>1.49</v>
      </c>
      <c r="CG3603">
        <v>5.63</v>
      </c>
      <c r="CH3603">
        <v>0.59</v>
      </c>
      <c r="CI3603">
        <v>-5.55</v>
      </c>
      <c r="CJ3603">
        <v>13836</v>
      </c>
      <c r="CK3603">
        <v>3513</v>
      </c>
      <c r="CL3603" t="s">
        <v>5020</v>
      </c>
      <c r="CM3603">
        <v>-5.83</v>
      </c>
      <c r="CN3603">
        <v>-4.8099999999999996</v>
      </c>
      <c r="CO3603">
        <v>4.05</v>
      </c>
      <c r="CP3603">
        <v>93.37</v>
      </c>
      <c r="CQ3603">
        <v>6.43</v>
      </c>
      <c r="CR3603">
        <v>1.82</v>
      </c>
      <c r="CS3603" t="s">
        <v>14949</v>
      </c>
      <c r="CT3603">
        <v>3.4</v>
      </c>
      <c r="CU3603">
        <v>0</v>
      </c>
      <c r="CV3603">
        <v>0.84</v>
      </c>
      <c r="CW3603">
        <v>1.4</v>
      </c>
      <c r="CX3603">
        <v>0.15</v>
      </c>
      <c r="CY3603">
        <v>82.75</v>
      </c>
      <c r="CZ3603" t="s">
        <v>14580</v>
      </c>
      <c r="DA3603">
        <v>48.13</v>
      </c>
      <c r="DB3603">
        <v>24.67</v>
      </c>
      <c r="DC3603">
        <v>20.420000000000002</v>
      </c>
      <c r="DD3603">
        <v>0.37</v>
      </c>
      <c r="DE3603">
        <v>1237</v>
      </c>
      <c r="DF3603">
        <v>603848</v>
      </c>
      <c r="DG3603" t="s">
        <v>116</v>
      </c>
      <c r="DH3603" t="s">
        <v>116</v>
      </c>
      <c r="DI3603" t="s">
        <v>116</v>
      </c>
    </row>
    <row r="3604" spans="1:113" x14ac:dyDescent="0.4">
      <c r="A3604" t="str">
        <f>"603855"</f>
        <v>603855</v>
      </c>
      <c r="B3604" t="s">
        <v>14950</v>
      </c>
      <c r="C3604">
        <v>-1.32</v>
      </c>
      <c r="D3604">
        <v>9.75</v>
      </c>
      <c r="E3604">
        <v>-0.13</v>
      </c>
      <c r="F3604">
        <v>9.75</v>
      </c>
      <c r="G3604">
        <v>9.76</v>
      </c>
      <c r="H3604">
        <v>35876</v>
      </c>
      <c r="I3604">
        <v>868</v>
      </c>
      <c r="J3604">
        <v>-0.09</v>
      </c>
      <c r="K3604">
        <v>1.78</v>
      </c>
      <c r="L3604">
        <v>9.9</v>
      </c>
      <c r="M3604">
        <v>9.93</v>
      </c>
      <c r="N3604">
        <v>9.7100000000000009</v>
      </c>
      <c r="O3604">
        <v>9.8800000000000008</v>
      </c>
      <c r="P3604">
        <v>18.079999999999998</v>
      </c>
      <c r="Q3604">
        <v>35209488</v>
      </c>
      <c r="R3604">
        <v>0.68</v>
      </c>
      <c r="S3604" t="s">
        <v>682</v>
      </c>
      <c r="T3604" t="s">
        <v>1653</v>
      </c>
      <c r="U3604">
        <v>2.23</v>
      </c>
      <c r="V3604">
        <v>9.81</v>
      </c>
      <c r="W3604">
        <v>23405</v>
      </c>
      <c r="X3604">
        <v>12471</v>
      </c>
      <c r="Y3604">
        <v>1.88</v>
      </c>
      <c r="Z3604">
        <v>3455</v>
      </c>
      <c r="AA3604">
        <v>30</v>
      </c>
      <c r="AB3604" t="s">
        <v>116</v>
      </c>
      <c r="AC3604">
        <v>107900</v>
      </c>
      <c r="AD3604">
        <v>0.01</v>
      </c>
      <c r="AE3604" t="s">
        <v>116</v>
      </c>
      <c r="AF3604" t="s">
        <v>116</v>
      </c>
      <c r="AG3604">
        <v>2.02</v>
      </c>
      <c r="AH3604" t="s">
        <v>2683</v>
      </c>
      <c r="AI3604" t="s">
        <v>14951</v>
      </c>
      <c r="AJ3604">
        <v>-1.24</v>
      </c>
      <c r="AK3604">
        <v>1099</v>
      </c>
      <c r="AL3604">
        <v>33</v>
      </c>
      <c r="AM3604">
        <v>1.6000000000000001E-3</v>
      </c>
      <c r="AN3604">
        <v>-4</v>
      </c>
      <c r="AO3604">
        <v>-2.2999999999999998</v>
      </c>
      <c r="AP3604">
        <v>7.38</v>
      </c>
      <c r="AQ3604">
        <v>14.71</v>
      </c>
      <c r="AR3604">
        <v>30.35</v>
      </c>
      <c r="AS3604">
        <v>2.62</v>
      </c>
      <c r="AT3604" t="s">
        <v>844</v>
      </c>
      <c r="AU3604">
        <v>17.61</v>
      </c>
      <c r="AV3604">
        <v>21.19</v>
      </c>
      <c r="AW3604">
        <v>0.53</v>
      </c>
      <c r="BA3604">
        <v>0.2</v>
      </c>
      <c r="BB3604">
        <v>0.51</v>
      </c>
      <c r="BC3604">
        <v>-1.72</v>
      </c>
      <c r="BD3604">
        <v>-0.67</v>
      </c>
      <c r="BE3604">
        <v>-1.52</v>
      </c>
      <c r="BF3604">
        <v>-1.81</v>
      </c>
      <c r="BG3604">
        <v>0.41</v>
      </c>
      <c r="BH3604">
        <v>-0.65</v>
      </c>
      <c r="BI3604">
        <v>20191030</v>
      </c>
      <c r="BJ3604">
        <v>20170524</v>
      </c>
      <c r="BK3604">
        <v>3.31</v>
      </c>
      <c r="BL3604" t="s">
        <v>116</v>
      </c>
      <c r="BM3604" t="s">
        <v>116</v>
      </c>
      <c r="BN3604">
        <v>27.21</v>
      </c>
      <c r="BO3604">
        <v>15.1</v>
      </c>
      <c r="BP3604">
        <v>0.31</v>
      </c>
      <c r="BQ3604">
        <v>43.35</v>
      </c>
      <c r="BR3604">
        <v>21.87</v>
      </c>
      <c r="BS3604">
        <v>3.36</v>
      </c>
      <c r="BT3604">
        <v>0.76</v>
      </c>
      <c r="BU3604">
        <v>11.64</v>
      </c>
      <c r="BV3604">
        <v>4.07</v>
      </c>
      <c r="BW3604">
        <v>8.09</v>
      </c>
      <c r="BX3604">
        <v>6.71</v>
      </c>
      <c r="BY3604">
        <v>12.18</v>
      </c>
      <c r="BZ3604">
        <v>5.1100000000000003</v>
      </c>
      <c r="CA3604">
        <v>1.54</v>
      </c>
      <c r="CB3604">
        <v>7.0000000000000007E-2</v>
      </c>
      <c r="CC3604">
        <v>1.61</v>
      </c>
      <c r="CD3604">
        <v>1.38</v>
      </c>
      <c r="CE3604">
        <v>1.34</v>
      </c>
      <c r="CF3604">
        <v>1.2</v>
      </c>
      <c r="CG3604">
        <v>4.05</v>
      </c>
      <c r="CH3604">
        <v>1.3</v>
      </c>
      <c r="CI3604">
        <v>2.2599999999999998</v>
      </c>
      <c r="CJ3604">
        <v>17273</v>
      </c>
      <c r="CK3604">
        <v>7930</v>
      </c>
      <c r="CL3604" t="s">
        <v>2411</v>
      </c>
      <c r="CM3604">
        <v>30.06</v>
      </c>
      <c r="CN3604">
        <v>13.46</v>
      </c>
      <c r="CO3604">
        <v>2.14</v>
      </c>
      <c r="CP3604">
        <v>24.81</v>
      </c>
      <c r="CQ3604">
        <v>2.65</v>
      </c>
      <c r="CR3604">
        <v>4.0999999999999996</v>
      </c>
      <c r="CS3604" t="s">
        <v>13024</v>
      </c>
      <c r="CT3604">
        <v>4.5599999999999996</v>
      </c>
      <c r="CU3604">
        <v>0</v>
      </c>
      <c r="CV3604">
        <v>2.0299999999999998</v>
      </c>
      <c r="CW3604">
        <v>1.22</v>
      </c>
      <c r="CX3604">
        <v>0.39</v>
      </c>
      <c r="CY3604">
        <v>55.51</v>
      </c>
      <c r="CZ3604" t="s">
        <v>3655</v>
      </c>
      <c r="DA3604">
        <v>58.06</v>
      </c>
      <c r="DB3604">
        <v>12.66</v>
      </c>
      <c r="DC3604">
        <v>11</v>
      </c>
      <c r="DD3604">
        <v>0.47</v>
      </c>
      <c r="DE3604">
        <v>1701</v>
      </c>
      <c r="DF3604">
        <v>603855</v>
      </c>
      <c r="DG3604" t="s">
        <v>116</v>
      </c>
      <c r="DH3604" t="s">
        <v>116</v>
      </c>
      <c r="DI3604" t="s">
        <v>116</v>
      </c>
    </row>
    <row r="3605" spans="1:113" x14ac:dyDescent="0.4">
      <c r="A3605" t="str">
        <f>"603856"</f>
        <v>603856</v>
      </c>
      <c r="B3605" t="s">
        <v>14952</v>
      </c>
      <c r="C3605">
        <v>-1.83</v>
      </c>
      <c r="D3605">
        <v>10.19</v>
      </c>
      <c r="E3605">
        <v>-0.19</v>
      </c>
      <c r="F3605">
        <v>10.18</v>
      </c>
      <c r="G3605">
        <v>10.19</v>
      </c>
      <c r="H3605">
        <v>22283</v>
      </c>
      <c r="I3605">
        <v>246</v>
      </c>
      <c r="J3605">
        <v>0.1</v>
      </c>
      <c r="K3605">
        <v>2.44</v>
      </c>
      <c r="L3605">
        <v>10.39</v>
      </c>
      <c r="M3605">
        <v>10.39</v>
      </c>
      <c r="N3605">
        <v>10.17</v>
      </c>
      <c r="O3605">
        <v>10.38</v>
      </c>
      <c r="P3605">
        <v>13.61</v>
      </c>
      <c r="Q3605">
        <v>22907570</v>
      </c>
      <c r="R3605">
        <v>1.31</v>
      </c>
      <c r="S3605" t="s">
        <v>2444</v>
      </c>
      <c r="T3605" t="s">
        <v>645</v>
      </c>
      <c r="U3605">
        <v>2.12</v>
      </c>
      <c r="V3605">
        <v>10.28</v>
      </c>
      <c r="W3605">
        <v>13592</v>
      </c>
      <c r="X3605">
        <v>8691</v>
      </c>
      <c r="Y3605">
        <v>1.56</v>
      </c>
      <c r="Z3605">
        <v>206</v>
      </c>
      <c r="AA3605">
        <v>108</v>
      </c>
      <c r="AB3605" t="s">
        <v>116</v>
      </c>
      <c r="AC3605">
        <v>89400</v>
      </c>
      <c r="AD3605">
        <v>0.01</v>
      </c>
      <c r="AE3605" t="s">
        <v>116</v>
      </c>
      <c r="AF3605" t="s">
        <v>116</v>
      </c>
      <c r="AG3605">
        <v>0.91</v>
      </c>
      <c r="AH3605" t="s">
        <v>5635</v>
      </c>
      <c r="AI3605" t="s">
        <v>14953</v>
      </c>
      <c r="AJ3605">
        <v>-1.75</v>
      </c>
      <c r="AK3605">
        <v>703</v>
      </c>
      <c r="AL3605">
        <v>32</v>
      </c>
      <c r="AM3605">
        <v>3.5000000000000001E-3</v>
      </c>
      <c r="AN3605">
        <v>-1</v>
      </c>
      <c r="AO3605">
        <v>-0.28999999999999998</v>
      </c>
      <c r="AP3605">
        <v>4.1900000000000004</v>
      </c>
      <c r="AQ3605">
        <v>0.3</v>
      </c>
      <c r="AR3605">
        <v>-17.88</v>
      </c>
      <c r="AS3605">
        <v>2.62</v>
      </c>
      <c r="AT3605" t="s">
        <v>14524</v>
      </c>
      <c r="AU3605">
        <v>15.07</v>
      </c>
      <c r="AV3605">
        <v>16.91</v>
      </c>
      <c r="AW3605">
        <v>1.06</v>
      </c>
      <c r="BA3605">
        <v>0.1</v>
      </c>
      <c r="BB3605">
        <v>0.1</v>
      </c>
      <c r="BC3605">
        <v>-2.02</v>
      </c>
      <c r="BD3605">
        <v>-0.96</v>
      </c>
      <c r="BE3605">
        <v>-1.92</v>
      </c>
      <c r="BF3605">
        <v>-1.92</v>
      </c>
      <c r="BG3605">
        <v>0.2</v>
      </c>
      <c r="BH3605">
        <v>-0.87</v>
      </c>
      <c r="BI3605">
        <v>20191031</v>
      </c>
      <c r="BJ3605">
        <v>20171106</v>
      </c>
      <c r="BK3605">
        <v>2.56</v>
      </c>
      <c r="BL3605" t="s">
        <v>116</v>
      </c>
      <c r="BM3605" t="s">
        <v>116</v>
      </c>
      <c r="BN3605">
        <v>19.75</v>
      </c>
      <c r="BO3605">
        <v>16.48</v>
      </c>
      <c r="BP3605">
        <v>0</v>
      </c>
      <c r="BQ3605">
        <v>16.52</v>
      </c>
      <c r="BR3605">
        <v>15.01</v>
      </c>
      <c r="BS3605">
        <v>2.5299999999999998</v>
      </c>
      <c r="BT3605">
        <v>0.97</v>
      </c>
      <c r="BU3605">
        <v>2.4700000000000002</v>
      </c>
      <c r="BV3605">
        <v>2.99</v>
      </c>
      <c r="BW3605">
        <v>7.96</v>
      </c>
      <c r="BX3605">
        <v>6.54</v>
      </c>
      <c r="BY3605">
        <v>13</v>
      </c>
      <c r="BZ3605">
        <v>9.6300000000000008</v>
      </c>
      <c r="CA3605">
        <v>1.66</v>
      </c>
      <c r="CB3605">
        <v>0.03</v>
      </c>
      <c r="CC3605">
        <v>1.66</v>
      </c>
      <c r="CD3605">
        <v>1.44</v>
      </c>
      <c r="CE3605">
        <v>1.44</v>
      </c>
      <c r="CF3605">
        <v>1.32</v>
      </c>
      <c r="CG3605">
        <v>6.67</v>
      </c>
      <c r="CH3605">
        <v>-0.56000000000000005</v>
      </c>
      <c r="CI3605">
        <v>-1.59</v>
      </c>
      <c r="CJ3605">
        <v>16695</v>
      </c>
      <c r="CK3605">
        <v>5093</v>
      </c>
      <c r="CL3605" t="s">
        <v>3949</v>
      </c>
      <c r="CM3605">
        <v>15.13</v>
      </c>
      <c r="CN3605">
        <v>9.33</v>
      </c>
      <c r="CO3605">
        <v>1.58</v>
      </c>
      <c r="CP3605">
        <v>-46.53</v>
      </c>
      <c r="CQ3605">
        <v>2.0099999999999998</v>
      </c>
      <c r="CR3605">
        <v>1.78</v>
      </c>
      <c r="CS3605" t="s">
        <v>9499</v>
      </c>
      <c r="CT3605">
        <v>6.43</v>
      </c>
      <c r="CU3605">
        <v>0</v>
      </c>
      <c r="CV3605">
        <v>2.5499999999999998</v>
      </c>
      <c r="CW3605">
        <v>2.6</v>
      </c>
      <c r="CX3605">
        <v>-0.22</v>
      </c>
      <c r="CY3605">
        <v>83.48</v>
      </c>
      <c r="CZ3605" t="s">
        <v>14954</v>
      </c>
      <c r="DA3605">
        <v>25.9</v>
      </c>
      <c r="DB3605">
        <v>12.76</v>
      </c>
      <c r="DC3605">
        <v>11.08</v>
      </c>
      <c r="DD3605">
        <v>0.32</v>
      </c>
      <c r="DE3605">
        <v>1132</v>
      </c>
      <c r="DF3605">
        <v>603856</v>
      </c>
      <c r="DG3605" t="s">
        <v>116</v>
      </c>
      <c r="DH3605" t="s">
        <v>116</v>
      </c>
      <c r="DI3605" t="s">
        <v>116</v>
      </c>
    </row>
    <row r="3606" spans="1:113" x14ac:dyDescent="0.4">
      <c r="A3606" t="str">
        <f>"603858"</f>
        <v>603858</v>
      </c>
      <c r="B3606" t="s">
        <v>14955</v>
      </c>
      <c r="C3606">
        <v>-0.25</v>
      </c>
      <c r="D3606">
        <v>20.350000000000001</v>
      </c>
      <c r="E3606">
        <v>-0.05</v>
      </c>
      <c r="F3606">
        <v>20.329999999999998</v>
      </c>
      <c r="G3606">
        <v>20.350000000000001</v>
      </c>
      <c r="H3606">
        <v>90139</v>
      </c>
      <c r="I3606">
        <v>990</v>
      </c>
      <c r="J3606">
        <v>0.05</v>
      </c>
      <c r="K3606">
        <v>0.79</v>
      </c>
      <c r="L3606">
        <v>20.350000000000001</v>
      </c>
      <c r="M3606">
        <v>20.56</v>
      </c>
      <c r="N3606">
        <v>20.260000000000002</v>
      </c>
      <c r="O3606">
        <v>20.399999999999999</v>
      </c>
      <c r="P3606">
        <v>12.92</v>
      </c>
      <c r="Q3606">
        <v>183914048</v>
      </c>
      <c r="R3606">
        <v>1.1599999999999999</v>
      </c>
      <c r="S3606" t="s">
        <v>781</v>
      </c>
      <c r="T3606" t="s">
        <v>645</v>
      </c>
      <c r="U3606">
        <v>1.47</v>
      </c>
      <c r="V3606">
        <v>20.399999999999999</v>
      </c>
      <c r="W3606">
        <v>60934</v>
      </c>
      <c r="X3606">
        <v>29205</v>
      </c>
      <c r="Y3606">
        <v>2.09</v>
      </c>
      <c r="Z3606">
        <v>70</v>
      </c>
      <c r="AA3606">
        <v>369</v>
      </c>
      <c r="AB3606" t="s">
        <v>116</v>
      </c>
      <c r="AC3606">
        <v>1420400</v>
      </c>
      <c r="AD3606">
        <v>0.01</v>
      </c>
      <c r="AE3606" t="s">
        <v>116</v>
      </c>
      <c r="AF3606" t="s">
        <v>116</v>
      </c>
      <c r="AG3606">
        <v>11.42</v>
      </c>
      <c r="AH3606" t="s">
        <v>14956</v>
      </c>
      <c r="AI3606" t="s">
        <v>14956</v>
      </c>
      <c r="AJ3606">
        <v>-0.17</v>
      </c>
      <c r="AK3606">
        <v>2886</v>
      </c>
      <c r="AL3606">
        <v>31</v>
      </c>
      <c r="AM3606">
        <v>2.9999999999999997E-4</v>
      </c>
      <c r="AN3606">
        <v>-1</v>
      </c>
      <c r="AO3606">
        <v>-0.93</v>
      </c>
      <c r="AP3606">
        <v>-1.21</v>
      </c>
      <c r="AQ3606">
        <v>8.1300000000000008</v>
      </c>
      <c r="AR3606">
        <v>10.63</v>
      </c>
      <c r="AS3606">
        <v>1.65</v>
      </c>
      <c r="AT3606" t="s">
        <v>14957</v>
      </c>
      <c r="AU3606">
        <v>11.49</v>
      </c>
      <c r="AV3606">
        <v>12.3</v>
      </c>
      <c r="AW3606">
        <v>0.77</v>
      </c>
      <c r="BA3606">
        <v>-0.25</v>
      </c>
      <c r="BB3606">
        <v>0.78</v>
      </c>
      <c r="BC3606">
        <v>-0.69</v>
      </c>
      <c r="BD3606">
        <v>0.02</v>
      </c>
      <c r="BE3606">
        <v>0</v>
      </c>
      <c r="BF3606">
        <v>-1.02</v>
      </c>
      <c r="BG3606">
        <v>0.44</v>
      </c>
      <c r="BH3606">
        <v>-0.26</v>
      </c>
      <c r="BI3606">
        <v>20191119</v>
      </c>
      <c r="BJ3606">
        <v>20161118</v>
      </c>
      <c r="BK3606">
        <v>11.42</v>
      </c>
      <c r="BL3606" t="s">
        <v>116</v>
      </c>
      <c r="BM3606" t="s">
        <v>116</v>
      </c>
      <c r="BN3606">
        <v>201.38</v>
      </c>
      <c r="BO3606">
        <v>130.41</v>
      </c>
      <c r="BP3606">
        <v>1.3</v>
      </c>
      <c r="BQ3606">
        <v>34.590000000000003</v>
      </c>
      <c r="BR3606">
        <v>64</v>
      </c>
      <c r="BS3606">
        <v>17.55</v>
      </c>
      <c r="BT3606">
        <v>13.87</v>
      </c>
      <c r="BU3606">
        <v>56.91</v>
      </c>
      <c r="BV3606">
        <v>14.02</v>
      </c>
      <c r="BW3606">
        <v>12.87</v>
      </c>
      <c r="BX3606">
        <v>33.85</v>
      </c>
      <c r="BY3606">
        <v>102.42</v>
      </c>
      <c r="BZ3606">
        <v>17.059999999999999</v>
      </c>
      <c r="CA3606">
        <v>17.760000000000002</v>
      </c>
      <c r="CB3606">
        <v>0.91</v>
      </c>
      <c r="CC3606">
        <v>17.64</v>
      </c>
      <c r="CD3606">
        <v>13.61</v>
      </c>
      <c r="CE3606">
        <v>13.49</v>
      </c>
      <c r="CF3606">
        <v>12.39</v>
      </c>
      <c r="CG3606">
        <v>90.09</v>
      </c>
      <c r="CH3606">
        <v>19.079999999999998</v>
      </c>
      <c r="CI3606">
        <v>4.2300000000000004</v>
      </c>
      <c r="CJ3606">
        <v>74352</v>
      </c>
      <c r="CK3606">
        <v>7363</v>
      </c>
      <c r="CL3606" t="s">
        <v>14958</v>
      </c>
      <c r="CM3606">
        <v>10.97</v>
      </c>
      <c r="CN3606">
        <v>10.29</v>
      </c>
      <c r="CO3606">
        <v>1.78</v>
      </c>
      <c r="CP3606">
        <v>12.18</v>
      </c>
      <c r="CQ3606">
        <v>2.27</v>
      </c>
      <c r="CR3606">
        <v>5.91</v>
      </c>
      <c r="CS3606" t="s">
        <v>10382</v>
      </c>
      <c r="CT3606">
        <v>11.42</v>
      </c>
      <c r="CU3606">
        <v>0</v>
      </c>
      <c r="CV3606">
        <v>2.96</v>
      </c>
      <c r="CW3606">
        <v>7.89</v>
      </c>
      <c r="CX3606">
        <v>1.67</v>
      </c>
      <c r="CY3606">
        <v>64.760000000000005</v>
      </c>
      <c r="CZ3606" t="s">
        <v>3531</v>
      </c>
      <c r="DA3606">
        <v>83.34</v>
      </c>
      <c r="DB3606">
        <v>17.34</v>
      </c>
      <c r="DC3606">
        <v>13.17</v>
      </c>
      <c r="DD3606">
        <v>1.81</v>
      </c>
      <c r="DE3606">
        <v>8004</v>
      </c>
      <c r="DF3606">
        <v>603858</v>
      </c>
      <c r="DG3606" t="s">
        <v>116</v>
      </c>
      <c r="DH3606" t="s">
        <v>116</v>
      </c>
      <c r="DI3606" t="s">
        <v>116</v>
      </c>
    </row>
    <row r="3607" spans="1:113" x14ac:dyDescent="0.4">
      <c r="A3607" t="str">
        <f>"603859"</f>
        <v>603859</v>
      </c>
      <c r="B3607" t="s">
        <v>14959</v>
      </c>
      <c r="C3607">
        <v>-0.88</v>
      </c>
      <c r="D3607">
        <v>27.03</v>
      </c>
      <c r="E3607">
        <v>-0.24</v>
      </c>
      <c r="F3607">
        <v>27.02</v>
      </c>
      <c r="G3607">
        <v>27.03</v>
      </c>
      <c r="H3607">
        <v>25427</v>
      </c>
      <c r="I3607">
        <v>297</v>
      </c>
      <c r="J3607">
        <v>-0.28999999999999998</v>
      </c>
      <c r="K3607">
        <v>2.0099999999999998</v>
      </c>
      <c r="L3607">
        <v>27</v>
      </c>
      <c r="M3607">
        <v>27.8</v>
      </c>
      <c r="N3607">
        <v>26.9</v>
      </c>
      <c r="O3607">
        <v>27.27</v>
      </c>
      <c r="P3607">
        <v>50.65</v>
      </c>
      <c r="Q3607">
        <v>69593816</v>
      </c>
      <c r="R3607">
        <v>0.81</v>
      </c>
      <c r="S3607" t="s">
        <v>607</v>
      </c>
      <c r="T3607" t="s">
        <v>165</v>
      </c>
      <c r="U3607">
        <v>3.3</v>
      </c>
      <c r="V3607">
        <v>27.37</v>
      </c>
      <c r="W3607">
        <v>13689</v>
      </c>
      <c r="X3607">
        <v>11738</v>
      </c>
      <c r="Y3607">
        <v>1.17</v>
      </c>
      <c r="Z3607">
        <v>11</v>
      </c>
      <c r="AA3607">
        <v>3</v>
      </c>
      <c r="AB3607" t="s">
        <v>116</v>
      </c>
      <c r="AC3607">
        <v>243000</v>
      </c>
      <c r="AD3607">
        <v>0.02</v>
      </c>
      <c r="AE3607" t="s">
        <v>116</v>
      </c>
      <c r="AF3607" t="s">
        <v>116</v>
      </c>
      <c r="AG3607">
        <v>1.26</v>
      </c>
      <c r="AH3607" t="s">
        <v>14805</v>
      </c>
      <c r="AI3607" t="s">
        <v>14960</v>
      </c>
      <c r="AJ3607">
        <v>-0.8</v>
      </c>
      <c r="AK3607">
        <v>2006</v>
      </c>
      <c r="AL3607">
        <v>13</v>
      </c>
      <c r="AM3607">
        <v>1E-3</v>
      </c>
      <c r="AN3607">
        <v>-3</v>
      </c>
      <c r="AO3607">
        <v>-2.5299999999999998</v>
      </c>
      <c r="AP3607">
        <v>19.02</v>
      </c>
      <c r="AQ3607">
        <v>2.58</v>
      </c>
      <c r="AR3607">
        <v>54.02</v>
      </c>
      <c r="AS3607">
        <v>4.3</v>
      </c>
      <c r="AT3607" t="s">
        <v>6724</v>
      </c>
      <c r="AU3607">
        <v>42.57</v>
      </c>
      <c r="AV3607">
        <v>74.17</v>
      </c>
      <c r="AW3607">
        <v>1.34</v>
      </c>
      <c r="BA3607">
        <v>-0.99</v>
      </c>
      <c r="BB3607">
        <v>1.94</v>
      </c>
      <c r="BC3607">
        <v>-1.36</v>
      </c>
      <c r="BD3607">
        <v>0.37</v>
      </c>
      <c r="BE3607">
        <v>0.11</v>
      </c>
      <c r="BF3607">
        <v>-2.77</v>
      </c>
      <c r="BG3607">
        <v>0.48</v>
      </c>
      <c r="BH3607">
        <v>-1.25</v>
      </c>
      <c r="BI3607">
        <v>20191209</v>
      </c>
      <c r="BJ3607">
        <v>20161021</v>
      </c>
      <c r="BK3607">
        <v>1.39</v>
      </c>
      <c r="BL3607" t="s">
        <v>116</v>
      </c>
      <c r="BM3607" t="s">
        <v>116</v>
      </c>
      <c r="BN3607">
        <v>13.92</v>
      </c>
      <c r="BO3607">
        <v>9.7100000000000009</v>
      </c>
      <c r="BP3607">
        <v>0.87</v>
      </c>
      <c r="BQ3607">
        <v>23.97</v>
      </c>
      <c r="BR3607">
        <v>9.7100000000000009</v>
      </c>
      <c r="BS3607">
        <v>1.31</v>
      </c>
      <c r="BT3607">
        <v>0.72</v>
      </c>
      <c r="BU3607">
        <v>3.25</v>
      </c>
      <c r="BV3607">
        <v>1.71</v>
      </c>
      <c r="BW3607">
        <v>6.08</v>
      </c>
      <c r="BX3607">
        <v>4.83</v>
      </c>
      <c r="BY3607">
        <v>5.2</v>
      </c>
      <c r="BZ3607">
        <v>3.06</v>
      </c>
      <c r="CA3607">
        <v>0.71</v>
      </c>
      <c r="CB3607">
        <v>0</v>
      </c>
      <c r="CC3607">
        <v>0.71</v>
      </c>
      <c r="CD3607">
        <v>0.61</v>
      </c>
      <c r="CE3607">
        <v>0.56000000000000005</v>
      </c>
      <c r="CF3607">
        <v>0.55000000000000004</v>
      </c>
      <c r="CG3607">
        <v>3.3</v>
      </c>
      <c r="CH3607">
        <v>-0.6</v>
      </c>
      <c r="CI3607">
        <v>-0.82</v>
      </c>
      <c r="CJ3607">
        <v>10526</v>
      </c>
      <c r="CK3607">
        <v>5614</v>
      </c>
      <c r="CL3607" t="s">
        <v>14961</v>
      </c>
      <c r="CM3607">
        <v>208.37</v>
      </c>
      <c r="CN3607">
        <v>93.22</v>
      </c>
      <c r="CO3607">
        <v>3.51</v>
      </c>
      <c r="CP3607">
        <v>-62.25</v>
      </c>
      <c r="CQ3607">
        <v>7.23</v>
      </c>
      <c r="CR3607">
        <v>0.14000000000000001</v>
      </c>
      <c r="CS3607" t="s">
        <v>672</v>
      </c>
      <c r="CT3607">
        <v>7.69</v>
      </c>
      <c r="CU3607">
        <v>7.69</v>
      </c>
      <c r="CV3607">
        <v>3.47</v>
      </c>
      <c r="CW3607">
        <v>2.37</v>
      </c>
      <c r="CX3607">
        <v>-0.43</v>
      </c>
      <c r="CY3607">
        <v>69.75</v>
      </c>
      <c r="CZ3607" t="s">
        <v>513</v>
      </c>
      <c r="DA3607">
        <v>41.15</v>
      </c>
      <c r="DB3607">
        <v>13.68</v>
      </c>
      <c r="DC3607">
        <v>10.71</v>
      </c>
      <c r="DD3607">
        <v>0.53</v>
      </c>
      <c r="DE3607">
        <v>542</v>
      </c>
      <c r="DF3607">
        <v>603859</v>
      </c>
      <c r="DG3607" t="s">
        <v>116</v>
      </c>
      <c r="DH3607" t="s">
        <v>116</v>
      </c>
      <c r="DI3607" t="s">
        <v>116</v>
      </c>
    </row>
    <row r="3608" spans="1:113" x14ac:dyDescent="0.4">
      <c r="A3608" t="str">
        <f>"603860"</f>
        <v>603860</v>
      </c>
      <c r="B3608" t="s">
        <v>14962</v>
      </c>
      <c r="C3608">
        <v>0.33</v>
      </c>
      <c r="D3608">
        <v>27.03</v>
      </c>
      <c r="E3608">
        <v>0.09</v>
      </c>
      <c r="F3608">
        <v>27.01</v>
      </c>
      <c r="G3608">
        <v>27.03</v>
      </c>
      <c r="H3608">
        <v>1883</v>
      </c>
      <c r="I3608">
        <v>17</v>
      </c>
      <c r="J3608">
        <v>0</v>
      </c>
      <c r="K3608">
        <v>0.78</v>
      </c>
      <c r="L3608">
        <v>26.92</v>
      </c>
      <c r="M3608">
        <v>27.28</v>
      </c>
      <c r="N3608">
        <v>26.92</v>
      </c>
      <c r="O3608">
        <v>26.94</v>
      </c>
      <c r="P3608">
        <v>89.71</v>
      </c>
      <c r="Q3608">
        <v>5104222</v>
      </c>
      <c r="R3608">
        <v>0.87</v>
      </c>
      <c r="S3608" t="s">
        <v>2041</v>
      </c>
      <c r="T3608" t="s">
        <v>165</v>
      </c>
      <c r="U3608">
        <v>1.34</v>
      </c>
      <c r="V3608">
        <v>27.1</v>
      </c>
      <c r="W3608">
        <v>851</v>
      </c>
      <c r="X3608">
        <v>1032</v>
      </c>
      <c r="Y3608">
        <v>0.82</v>
      </c>
      <c r="Z3608">
        <v>1</v>
      </c>
      <c r="AA3608">
        <v>4</v>
      </c>
      <c r="AB3608" t="s">
        <v>116</v>
      </c>
      <c r="AC3608">
        <v>26900</v>
      </c>
      <c r="AD3608">
        <v>0</v>
      </c>
      <c r="AE3608" t="s">
        <v>116</v>
      </c>
      <c r="AF3608" t="s">
        <v>116</v>
      </c>
      <c r="AG3608">
        <v>0.24</v>
      </c>
      <c r="AH3608" t="s">
        <v>9989</v>
      </c>
      <c r="AI3608" t="s">
        <v>14963</v>
      </c>
      <c r="AJ3608">
        <v>0.41</v>
      </c>
      <c r="AK3608">
        <v>270</v>
      </c>
      <c r="AL3608">
        <v>7</v>
      </c>
      <c r="AM3608">
        <v>2.8999999999999998E-3</v>
      </c>
      <c r="AN3608">
        <v>2</v>
      </c>
      <c r="AO3608">
        <v>0.4</v>
      </c>
      <c r="AP3608">
        <v>7.01</v>
      </c>
      <c r="AQ3608">
        <v>-1.24</v>
      </c>
      <c r="AR3608">
        <v>12.97</v>
      </c>
      <c r="AS3608">
        <v>0.78</v>
      </c>
      <c r="AT3608" t="s">
        <v>9989</v>
      </c>
      <c r="AU3608">
        <v>37.31</v>
      </c>
      <c r="AV3608">
        <v>37.67</v>
      </c>
      <c r="AW3608">
        <v>1.06</v>
      </c>
      <c r="BA3608">
        <v>-7.0000000000000007E-2</v>
      </c>
      <c r="BB3608">
        <v>1.26</v>
      </c>
      <c r="BC3608">
        <v>-7.0000000000000007E-2</v>
      </c>
      <c r="BD3608">
        <v>0.6</v>
      </c>
      <c r="BE3608">
        <v>0.41</v>
      </c>
      <c r="BF3608">
        <v>-0.92</v>
      </c>
      <c r="BG3608">
        <v>0.41</v>
      </c>
      <c r="BH3608">
        <v>-0.27</v>
      </c>
      <c r="BI3608">
        <v>20191030</v>
      </c>
      <c r="BJ3608">
        <v>20170802</v>
      </c>
      <c r="BK3608">
        <v>0.67</v>
      </c>
      <c r="BL3608" t="s">
        <v>116</v>
      </c>
      <c r="BM3608" t="s">
        <v>116</v>
      </c>
      <c r="BN3608">
        <v>6.94</v>
      </c>
      <c r="BO3608">
        <v>6.03</v>
      </c>
      <c r="BP3608">
        <v>0.06</v>
      </c>
      <c r="BQ3608">
        <v>12.21</v>
      </c>
      <c r="BR3608">
        <v>3.96</v>
      </c>
      <c r="BS3608">
        <v>1.71</v>
      </c>
      <c r="BT3608">
        <v>0.35</v>
      </c>
      <c r="BU3608">
        <v>0.48</v>
      </c>
      <c r="BV3608">
        <v>0.37</v>
      </c>
      <c r="BW3608">
        <v>1.23</v>
      </c>
      <c r="BX3608">
        <v>2.21</v>
      </c>
      <c r="BY3608">
        <v>1.17</v>
      </c>
      <c r="BZ3608">
        <v>0.62</v>
      </c>
      <c r="CA3608">
        <v>0.18</v>
      </c>
      <c r="CB3608">
        <v>0.03</v>
      </c>
      <c r="CC3608">
        <v>0.18</v>
      </c>
      <c r="CD3608">
        <v>0.15</v>
      </c>
      <c r="CE3608">
        <v>0.15</v>
      </c>
      <c r="CF3608">
        <v>0.12</v>
      </c>
      <c r="CG3608">
        <v>2.8</v>
      </c>
      <c r="CH3608">
        <v>-0.15</v>
      </c>
      <c r="CI3608">
        <v>-0.56999999999999995</v>
      </c>
      <c r="CJ3608">
        <v>5041</v>
      </c>
      <c r="CK3608">
        <v>4797</v>
      </c>
      <c r="CL3608" t="s">
        <v>14964</v>
      </c>
      <c r="CM3608">
        <v>3.23</v>
      </c>
      <c r="CN3608">
        <v>-2.88</v>
      </c>
      <c r="CO3608">
        <v>2.99</v>
      </c>
      <c r="CP3608">
        <v>-119.74</v>
      </c>
      <c r="CQ3608">
        <v>15.44</v>
      </c>
      <c r="CR3608">
        <v>0.53</v>
      </c>
      <c r="CS3608" t="s">
        <v>3375</v>
      </c>
      <c r="CT3608">
        <v>9.0399999999999991</v>
      </c>
      <c r="CU3608">
        <v>0</v>
      </c>
      <c r="CV3608">
        <v>3.31</v>
      </c>
      <c r="CW3608">
        <v>4.2</v>
      </c>
      <c r="CX3608">
        <v>-0.23</v>
      </c>
      <c r="CY3608">
        <v>86.95</v>
      </c>
      <c r="CZ3608" t="s">
        <v>7052</v>
      </c>
      <c r="DA3608">
        <v>47.01</v>
      </c>
      <c r="DB3608">
        <v>15.74</v>
      </c>
      <c r="DC3608">
        <v>12.91</v>
      </c>
      <c r="DD3608">
        <v>0.1</v>
      </c>
      <c r="DE3608">
        <v>205</v>
      </c>
      <c r="DF3608">
        <v>603860</v>
      </c>
      <c r="DG3608" t="s">
        <v>116</v>
      </c>
      <c r="DH3608" t="s">
        <v>116</v>
      </c>
      <c r="DI3608" t="s">
        <v>116</v>
      </c>
    </row>
    <row r="3609" spans="1:113" x14ac:dyDescent="0.4">
      <c r="A3609" t="str">
        <f>"603861"</f>
        <v>603861</v>
      </c>
      <c r="B3609" t="s">
        <v>14965</v>
      </c>
      <c r="C3609">
        <v>-0.69</v>
      </c>
      <c r="D3609">
        <v>8.64</v>
      </c>
      <c r="E3609">
        <v>-0.06</v>
      </c>
      <c r="F3609">
        <v>8.6300000000000008</v>
      </c>
      <c r="G3609">
        <v>8.64</v>
      </c>
      <c r="H3609">
        <v>8384</v>
      </c>
      <c r="I3609">
        <v>138</v>
      </c>
      <c r="J3609">
        <v>-0.22</v>
      </c>
      <c r="K3609">
        <v>0.2</v>
      </c>
      <c r="L3609">
        <v>8.6999999999999993</v>
      </c>
      <c r="M3609">
        <v>8.77</v>
      </c>
      <c r="N3609">
        <v>8.6199999999999992</v>
      </c>
      <c r="O3609">
        <v>8.6999999999999993</v>
      </c>
      <c r="P3609">
        <v>55.62</v>
      </c>
      <c r="Q3609">
        <v>7304055</v>
      </c>
      <c r="R3609">
        <v>0.94</v>
      </c>
      <c r="S3609" t="s">
        <v>397</v>
      </c>
      <c r="T3609" t="s">
        <v>551</v>
      </c>
      <c r="U3609">
        <v>1.72</v>
      </c>
      <c r="V3609">
        <v>8.7100000000000009</v>
      </c>
      <c r="W3609">
        <v>5601</v>
      </c>
      <c r="X3609">
        <v>2783</v>
      </c>
      <c r="Y3609">
        <v>2.0099999999999998</v>
      </c>
      <c r="Z3609">
        <v>155</v>
      </c>
      <c r="AA3609">
        <v>53</v>
      </c>
      <c r="AB3609" t="s">
        <v>116</v>
      </c>
      <c r="AC3609">
        <v>17400</v>
      </c>
      <c r="AD3609">
        <v>0</v>
      </c>
      <c r="AE3609" t="s">
        <v>116</v>
      </c>
      <c r="AF3609" t="s">
        <v>116</v>
      </c>
      <c r="AG3609">
        <v>4.09</v>
      </c>
      <c r="AH3609" t="s">
        <v>1582</v>
      </c>
      <c r="AI3609" t="s">
        <v>14442</v>
      </c>
      <c r="AJ3609">
        <v>-0.61</v>
      </c>
      <c r="AK3609">
        <v>571</v>
      </c>
      <c r="AL3609">
        <v>15</v>
      </c>
      <c r="AM3609">
        <v>4.0000000000000002E-4</v>
      </c>
      <c r="AN3609">
        <v>-1</v>
      </c>
      <c r="AO3609">
        <v>-0.34</v>
      </c>
      <c r="AP3609">
        <v>3.85</v>
      </c>
      <c r="AQ3609">
        <v>-2.37</v>
      </c>
      <c r="AR3609">
        <v>-24.77</v>
      </c>
      <c r="AS3609">
        <v>0.99</v>
      </c>
      <c r="AT3609" t="s">
        <v>9783</v>
      </c>
      <c r="AU3609">
        <v>35.119999999999997</v>
      </c>
      <c r="AV3609">
        <v>23.02</v>
      </c>
      <c r="AW3609">
        <v>0.97</v>
      </c>
      <c r="BA3609">
        <v>0</v>
      </c>
      <c r="BB3609">
        <v>0.8</v>
      </c>
      <c r="BC3609">
        <v>-0.92</v>
      </c>
      <c r="BD3609">
        <v>0.14000000000000001</v>
      </c>
      <c r="BE3609">
        <v>-0.69</v>
      </c>
      <c r="BF3609">
        <v>-1.48</v>
      </c>
      <c r="BG3609">
        <v>0.23</v>
      </c>
      <c r="BH3609">
        <v>-0.83</v>
      </c>
      <c r="BI3609">
        <v>20191029</v>
      </c>
      <c r="BJ3609">
        <v>20160322</v>
      </c>
      <c r="BK3609">
        <v>4.5199999999999996</v>
      </c>
      <c r="BL3609" t="s">
        <v>116</v>
      </c>
      <c r="BM3609" t="s">
        <v>116</v>
      </c>
      <c r="BN3609">
        <v>59.42</v>
      </c>
      <c r="BO3609">
        <v>23.32</v>
      </c>
      <c r="BP3609">
        <v>2.19</v>
      </c>
      <c r="BQ3609">
        <v>57.06</v>
      </c>
      <c r="BR3609">
        <v>38.6</v>
      </c>
      <c r="BS3609">
        <v>11.66</v>
      </c>
      <c r="BT3609">
        <v>4.2699999999999996</v>
      </c>
      <c r="BU3609">
        <v>27.42</v>
      </c>
      <c r="BV3609">
        <v>13.07</v>
      </c>
      <c r="BW3609">
        <v>15.3</v>
      </c>
      <c r="BX3609">
        <v>2.77</v>
      </c>
      <c r="BY3609">
        <v>17.170000000000002</v>
      </c>
      <c r="BZ3609">
        <v>13.64</v>
      </c>
      <c r="CA3609">
        <v>0.55000000000000004</v>
      </c>
      <c r="CB3609">
        <v>0.16</v>
      </c>
      <c r="CC3609">
        <v>0.56000000000000005</v>
      </c>
      <c r="CD3609">
        <v>0.4</v>
      </c>
      <c r="CE3609">
        <v>0.53</v>
      </c>
      <c r="CF3609">
        <v>0.13</v>
      </c>
      <c r="CG3609">
        <v>14.26</v>
      </c>
      <c r="CH3609">
        <v>-1.1599999999999999</v>
      </c>
      <c r="CI3609">
        <v>-1.81</v>
      </c>
      <c r="CJ3609">
        <v>19518</v>
      </c>
      <c r="CK3609">
        <v>4356</v>
      </c>
      <c r="CL3609" t="s">
        <v>1408</v>
      </c>
      <c r="CM3609">
        <v>-52.61</v>
      </c>
      <c r="CN3609">
        <v>-4.26</v>
      </c>
      <c r="CO3609">
        <v>1.67</v>
      </c>
      <c r="CP3609">
        <v>-33.61</v>
      </c>
      <c r="CQ3609">
        <v>2.27</v>
      </c>
      <c r="CR3609">
        <v>1.3</v>
      </c>
      <c r="CS3609" t="s">
        <v>1182</v>
      </c>
      <c r="CT3609">
        <v>5.16</v>
      </c>
      <c r="CU3609">
        <v>0</v>
      </c>
      <c r="CV3609">
        <v>0.61</v>
      </c>
      <c r="CW3609">
        <v>3.16</v>
      </c>
      <c r="CX3609">
        <v>-0.26</v>
      </c>
      <c r="CY3609">
        <v>39.25</v>
      </c>
      <c r="CZ3609" t="s">
        <v>2244</v>
      </c>
      <c r="DA3609">
        <v>20.54</v>
      </c>
      <c r="DB3609">
        <v>3.23</v>
      </c>
      <c r="DC3609">
        <v>3.07</v>
      </c>
      <c r="DD3609">
        <v>0.74</v>
      </c>
      <c r="DE3609">
        <v>2238</v>
      </c>
      <c r="DF3609">
        <v>603861</v>
      </c>
      <c r="DG3609" t="s">
        <v>116</v>
      </c>
      <c r="DH3609" t="s">
        <v>116</v>
      </c>
      <c r="DI3609" t="s">
        <v>116</v>
      </c>
    </row>
    <row r="3610" spans="1:113" x14ac:dyDescent="0.4">
      <c r="A3610" t="str">
        <f>"603863"</f>
        <v>603863</v>
      </c>
      <c r="B3610" t="s">
        <v>14966</v>
      </c>
      <c r="C3610">
        <v>0.44</v>
      </c>
      <c r="D3610">
        <v>16.07</v>
      </c>
      <c r="E3610">
        <v>7.0000000000000007E-2</v>
      </c>
      <c r="F3610">
        <v>16.07</v>
      </c>
      <c r="G3610">
        <v>16.079999999999998</v>
      </c>
      <c r="H3610">
        <v>46584</v>
      </c>
      <c r="I3610">
        <v>728</v>
      </c>
      <c r="J3610">
        <v>0.31</v>
      </c>
      <c r="K3610">
        <v>9.0500000000000007</v>
      </c>
      <c r="L3610">
        <v>15.9</v>
      </c>
      <c r="M3610">
        <v>16.23</v>
      </c>
      <c r="N3610">
        <v>15.85</v>
      </c>
      <c r="O3610">
        <v>16</v>
      </c>
      <c r="P3610">
        <v>39.21</v>
      </c>
      <c r="Q3610">
        <v>74676576</v>
      </c>
      <c r="R3610">
        <v>1.1299999999999999</v>
      </c>
      <c r="S3610" t="s">
        <v>824</v>
      </c>
      <c r="T3610" t="s">
        <v>551</v>
      </c>
      <c r="U3610">
        <v>2.38</v>
      </c>
      <c r="V3610">
        <v>16.03</v>
      </c>
      <c r="W3610">
        <v>24052</v>
      </c>
      <c r="X3610">
        <v>22532</v>
      </c>
      <c r="Y3610">
        <v>1.07</v>
      </c>
      <c r="Z3610">
        <v>220</v>
      </c>
      <c r="AA3610">
        <v>383</v>
      </c>
      <c r="AB3610" t="s">
        <v>116</v>
      </c>
      <c r="AC3610">
        <v>597800</v>
      </c>
      <c r="AD3610">
        <v>7.0000000000000007E-2</v>
      </c>
      <c r="AE3610" t="s">
        <v>116</v>
      </c>
      <c r="AF3610" t="s">
        <v>116</v>
      </c>
      <c r="AG3610">
        <v>0.51</v>
      </c>
      <c r="AH3610" t="s">
        <v>10129</v>
      </c>
      <c r="AI3610" t="s">
        <v>2376</v>
      </c>
      <c r="AJ3610">
        <v>0.51</v>
      </c>
      <c r="AK3610">
        <v>2008</v>
      </c>
      <c r="AL3610">
        <v>23</v>
      </c>
      <c r="AM3610">
        <v>4.4999999999999997E-3</v>
      </c>
      <c r="AN3610">
        <v>2</v>
      </c>
      <c r="AO3610">
        <v>1.46</v>
      </c>
      <c r="AP3610">
        <v>4.96</v>
      </c>
      <c r="AQ3610">
        <v>-18.8</v>
      </c>
      <c r="AR3610">
        <v>61.51</v>
      </c>
      <c r="AS3610">
        <v>9.0500000000000007</v>
      </c>
      <c r="AT3610" t="s">
        <v>10129</v>
      </c>
      <c r="AU3610">
        <v>38.79</v>
      </c>
      <c r="AV3610">
        <v>34.86</v>
      </c>
      <c r="AW3610">
        <v>1.57</v>
      </c>
      <c r="BA3610">
        <v>-0.63</v>
      </c>
      <c r="BB3610">
        <v>1.44</v>
      </c>
      <c r="BC3610">
        <v>-0.94</v>
      </c>
      <c r="BD3610">
        <v>0.19</v>
      </c>
      <c r="BE3610">
        <v>1.07</v>
      </c>
      <c r="BF3610">
        <v>-0.99</v>
      </c>
      <c r="BG3610">
        <v>1.39</v>
      </c>
      <c r="BH3610">
        <v>0.25</v>
      </c>
      <c r="BI3610">
        <v>20191029</v>
      </c>
      <c r="BJ3610">
        <v>20190621</v>
      </c>
      <c r="BK3610">
        <v>2.06</v>
      </c>
      <c r="BL3610" t="s">
        <v>116</v>
      </c>
      <c r="BM3610" t="s">
        <v>116</v>
      </c>
      <c r="BN3610">
        <v>13.15</v>
      </c>
      <c r="BO3610">
        <v>10.92</v>
      </c>
      <c r="BP3610">
        <v>0</v>
      </c>
      <c r="BQ3610">
        <v>17</v>
      </c>
      <c r="BR3610">
        <v>9.24</v>
      </c>
      <c r="BS3610">
        <v>2.06</v>
      </c>
      <c r="BT3610">
        <v>0.78</v>
      </c>
      <c r="BU3610">
        <v>2.1</v>
      </c>
      <c r="BV3610">
        <v>0.43</v>
      </c>
      <c r="BW3610">
        <v>0.62</v>
      </c>
      <c r="BX3610">
        <v>5.74</v>
      </c>
      <c r="BY3610">
        <v>4.41</v>
      </c>
      <c r="BZ3610">
        <v>3.41</v>
      </c>
      <c r="CA3610">
        <v>0.66</v>
      </c>
      <c r="CB3610">
        <v>0</v>
      </c>
      <c r="CC3610">
        <v>0.65</v>
      </c>
      <c r="CD3610">
        <v>0.63</v>
      </c>
      <c r="CE3610">
        <v>0.63</v>
      </c>
      <c r="CF3610">
        <v>0.63</v>
      </c>
      <c r="CG3610">
        <v>2.87</v>
      </c>
      <c r="CH3610">
        <v>0.53</v>
      </c>
      <c r="CI3610">
        <v>3.44</v>
      </c>
      <c r="CJ3610">
        <v>23199</v>
      </c>
      <c r="CK3610">
        <v>2219</v>
      </c>
      <c r="CL3610" t="s">
        <v>10912</v>
      </c>
      <c r="CM3610">
        <v>0</v>
      </c>
      <c r="CN3610">
        <v>0</v>
      </c>
      <c r="CO3610">
        <v>3.03</v>
      </c>
      <c r="CP3610">
        <v>62.76</v>
      </c>
      <c r="CQ3610">
        <v>7.5</v>
      </c>
      <c r="CR3610">
        <v>0</v>
      </c>
      <c r="CS3610" t="s">
        <v>1074</v>
      </c>
      <c r="CT3610">
        <v>5.3</v>
      </c>
      <c r="CU3610">
        <v>0</v>
      </c>
      <c r="CV3610">
        <v>2.79</v>
      </c>
      <c r="CW3610">
        <v>1.39</v>
      </c>
      <c r="CX3610">
        <v>0.26</v>
      </c>
      <c r="CY3610">
        <v>83</v>
      </c>
      <c r="CZ3610" t="s">
        <v>628</v>
      </c>
      <c r="DA3610">
        <v>22.59</v>
      </c>
      <c r="DB3610">
        <v>14.89</v>
      </c>
      <c r="DC3610">
        <v>14.36</v>
      </c>
      <c r="DD3610">
        <v>0.14000000000000001</v>
      </c>
      <c r="DE3610">
        <v>297</v>
      </c>
      <c r="DF3610">
        <v>603863</v>
      </c>
      <c r="DG3610" t="s">
        <v>116</v>
      </c>
      <c r="DH3610" t="s">
        <v>116</v>
      </c>
      <c r="DI3610" t="s">
        <v>116</v>
      </c>
    </row>
    <row r="3611" spans="1:113" x14ac:dyDescent="0.4">
      <c r="A3611" t="str">
        <f>"603866"</f>
        <v>603866</v>
      </c>
      <c r="B3611" t="s">
        <v>14967</v>
      </c>
      <c r="C3611">
        <v>1</v>
      </c>
      <c r="D3611">
        <v>42.47</v>
      </c>
      <c r="E3611">
        <v>0.42</v>
      </c>
      <c r="F3611">
        <v>42.45</v>
      </c>
      <c r="G3611">
        <v>42.47</v>
      </c>
      <c r="H3611">
        <v>16280</v>
      </c>
      <c r="I3611">
        <v>483</v>
      </c>
      <c r="J3611">
        <v>0.64</v>
      </c>
      <c r="K3611">
        <v>0.25</v>
      </c>
      <c r="L3611">
        <v>42</v>
      </c>
      <c r="M3611">
        <v>42.47</v>
      </c>
      <c r="N3611">
        <v>41.51</v>
      </c>
      <c r="O3611">
        <v>42.05</v>
      </c>
      <c r="P3611">
        <v>41.72</v>
      </c>
      <c r="Q3611">
        <v>68611520</v>
      </c>
      <c r="R3611">
        <v>1.0900000000000001</v>
      </c>
      <c r="S3611" t="s">
        <v>863</v>
      </c>
      <c r="T3611" t="s">
        <v>434</v>
      </c>
      <c r="U3611">
        <v>2.2799999999999998</v>
      </c>
      <c r="V3611">
        <v>42.14</v>
      </c>
      <c r="W3611">
        <v>8266</v>
      </c>
      <c r="X3611">
        <v>8014</v>
      </c>
      <c r="Y3611">
        <v>1.03</v>
      </c>
      <c r="Z3611">
        <v>7</v>
      </c>
      <c r="AA3611">
        <v>131</v>
      </c>
      <c r="AB3611" t="s">
        <v>116</v>
      </c>
      <c r="AC3611">
        <v>113400</v>
      </c>
      <c r="AD3611">
        <v>0</v>
      </c>
      <c r="AE3611" t="s">
        <v>116</v>
      </c>
      <c r="AF3611" t="s">
        <v>116</v>
      </c>
      <c r="AG3611">
        <v>6.59</v>
      </c>
      <c r="AH3611" t="s">
        <v>14968</v>
      </c>
      <c r="AI3611" t="s">
        <v>14968</v>
      </c>
      <c r="AJ3611">
        <v>1.08</v>
      </c>
      <c r="AK3611">
        <v>2074</v>
      </c>
      <c r="AL3611">
        <v>8</v>
      </c>
      <c r="AM3611">
        <v>1E-4</v>
      </c>
      <c r="AN3611">
        <v>1</v>
      </c>
      <c r="AO3611">
        <v>0.93</v>
      </c>
      <c r="AP3611">
        <v>-2.1</v>
      </c>
      <c r="AQ3611">
        <v>-10.91</v>
      </c>
      <c r="AR3611">
        <v>34.64</v>
      </c>
      <c r="AS3611">
        <v>0.88</v>
      </c>
      <c r="AT3611" t="s">
        <v>14969</v>
      </c>
      <c r="AU3611">
        <v>41</v>
      </c>
      <c r="AV3611">
        <v>43.58</v>
      </c>
      <c r="AW3611">
        <v>0.63</v>
      </c>
      <c r="BA3611">
        <v>-0.12</v>
      </c>
      <c r="BB3611">
        <v>1</v>
      </c>
      <c r="BC3611">
        <v>-1.28</v>
      </c>
      <c r="BD3611">
        <v>0.23</v>
      </c>
      <c r="BE3611">
        <v>1.1200000000000001</v>
      </c>
      <c r="BF3611">
        <v>0</v>
      </c>
      <c r="BG3611">
        <v>2.31</v>
      </c>
      <c r="BH3611">
        <v>0.77</v>
      </c>
      <c r="BI3611">
        <v>20191030</v>
      </c>
      <c r="BJ3611">
        <v>20151222</v>
      </c>
      <c r="BK3611">
        <v>6.59</v>
      </c>
      <c r="BL3611" t="s">
        <v>116</v>
      </c>
      <c r="BM3611" t="s">
        <v>116</v>
      </c>
      <c r="BN3611">
        <v>50.58</v>
      </c>
      <c r="BO3611">
        <v>36.07</v>
      </c>
      <c r="BP3611">
        <v>0</v>
      </c>
      <c r="BQ3611">
        <v>28.7</v>
      </c>
      <c r="BR3611">
        <v>26.29</v>
      </c>
      <c r="BS3611">
        <v>13.04</v>
      </c>
      <c r="BT3611">
        <v>3.46</v>
      </c>
      <c r="BU3611">
        <v>6.19</v>
      </c>
      <c r="BV3611">
        <v>1.27</v>
      </c>
      <c r="BW3611">
        <v>5.2</v>
      </c>
      <c r="BX3611">
        <v>10.39</v>
      </c>
      <c r="BY3611">
        <v>41.22</v>
      </c>
      <c r="BZ3611">
        <v>24.89</v>
      </c>
      <c r="CA3611">
        <v>6.37</v>
      </c>
      <c r="CB3611">
        <v>0.15</v>
      </c>
      <c r="CC3611">
        <v>6.45</v>
      </c>
      <c r="CD3611">
        <v>5.03</v>
      </c>
      <c r="CE3611">
        <v>5.03</v>
      </c>
      <c r="CF3611">
        <v>4.88</v>
      </c>
      <c r="CG3611">
        <v>14.84</v>
      </c>
      <c r="CH3611">
        <v>5.96</v>
      </c>
      <c r="CI3611">
        <v>4.63</v>
      </c>
      <c r="CJ3611">
        <v>6674</v>
      </c>
      <c r="CK3611">
        <v>27807</v>
      </c>
      <c r="CL3611" t="s">
        <v>14970</v>
      </c>
      <c r="CM3611">
        <v>8.7100000000000009</v>
      </c>
      <c r="CN3611">
        <v>16.95</v>
      </c>
      <c r="CO3611">
        <v>8.1</v>
      </c>
      <c r="CP3611">
        <v>46.92</v>
      </c>
      <c r="CQ3611">
        <v>6.79</v>
      </c>
      <c r="CR3611">
        <v>1.68</v>
      </c>
      <c r="CS3611" t="s">
        <v>14971</v>
      </c>
      <c r="CT3611">
        <v>5.24</v>
      </c>
      <c r="CU3611">
        <v>5.24</v>
      </c>
      <c r="CV3611">
        <v>1.58</v>
      </c>
      <c r="CW3611">
        <v>2.25</v>
      </c>
      <c r="CX3611">
        <v>0.91</v>
      </c>
      <c r="CY3611">
        <v>71.3</v>
      </c>
      <c r="CZ3611" t="s">
        <v>14972</v>
      </c>
      <c r="DA3611">
        <v>39.61</v>
      </c>
      <c r="DB3611">
        <v>15.46</v>
      </c>
      <c r="DC3611">
        <v>12.21</v>
      </c>
      <c r="DD3611">
        <v>7.0000000000000007E-2</v>
      </c>
      <c r="DE3611">
        <v>10742</v>
      </c>
      <c r="DF3611">
        <v>603866</v>
      </c>
      <c r="DG3611" t="s">
        <v>116</v>
      </c>
      <c r="DH3611" t="s">
        <v>116</v>
      </c>
      <c r="DI3611" t="s">
        <v>116</v>
      </c>
    </row>
    <row r="3612" spans="1:113" x14ac:dyDescent="0.4">
      <c r="A3612" t="str">
        <f>"603867"</f>
        <v>603867</v>
      </c>
      <c r="B3612" t="s">
        <v>14973</v>
      </c>
      <c r="C3612">
        <v>-2.17</v>
      </c>
      <c r="D3612">
        <v>23.94</v>
      </c>
      <c r="E3612">
        <v>-0.53</v>
      </c>
      <c r="F3612">
        <v>23.94</v>
      </c>
      <c r="G3612">
        <v>23.95</v>
      </c>
      <c r="H3612">
        <v>24184</v>
      </c>
      <c r="I3612">
        <v>148</v>
      </c>
      <c r="J3612">
        <v>0</v>
      </c>
      <c r="K3612">
        <v>6.91</v>
      </c>
      <c r="L3612">
        <v>24.23</v>
      </c>
      <c r="M3612">
        <v>24.38</v>
      </c>
      <c r="N3612">
        <v>23.87</v>
      </c>
      <c r="O3612">
        <v>24.47</v>
      </c>
      <c r="P3612">
        <v>23.42</v>
      </c>
      <c r="Q3612">
        <v>58427088</v>
      </c>
      <c r="R3612">
        <v>1.01</v>
      </c>
      <c r="S3612" t="s">
        <v>891</v>
      </c>
      <c r="T3612" t="s">
        <v>590</v>
      </c>
      <c r="U3612">
        <v>2.08</v>
      </c>
      <c r="V3612">
        <v>24.16</v>
      </c>
      <c r="W3612">
        <v>14826</v>
      </c>
      <c r="X3612">
        <v>9358</v>
      </c>
      <c r="Y3612">
        <v>1.58</v>
      </c>
      <c r="Z3612">
        <v>144</v>
      </c>
      <c r="AA3612">
        <v>211</v>
      </c>
      <c r="AB3612" t="s">
        <v>116</v>
      </c>
      <c r="AC3612">
        <v>550000</v>
      </c>
      <c r="AD3612">
        <v>0.06</v>
      </c>
      <c r="AE3612" t="s">
        <v>116</v>
      </c>
      <c r="AF3612" t="s">
        <v>116</v>
      </c>
      <c r="AG3612">
        <v>0.35</v>
      </c>
      <c r="AH3612" t="s">
        <v>3456</v>
      </c>
      <c r="AI3612" t="s">
        <v>9283</v>
      </c>
      <c r="AJ3612">
        <v>-2.09</v>
      </c>
      <c r="AK3612">
        <v>1665</v>
      </c>
      <c r="AL3612">
        <v>15</v>
      </c>
      <c r="AM3612">
        <v>4.1999999999999997E-3</v>
      </c>
      <c r="AN3612">
        <v>-1</v>
      </c>
      <c r="AO3612">
        <v>1.31</v>
      </c>
      <c r="AP3612">
        <v>5.23</v>
      </c>
      <c r="AQ3612">
        <v>-14.96</v>
      </c>
      <c r="AR3612">
        <v>49.25</v>
      </c>
      <c r="AS3612">
        <v>6.91</v>
      </c>
      <c r="AT3612" t="s">
        <v>3456</v>
      </c>
      <c r="AU3612">
        <v>21.61</v>
      </c>
      <c r="AV3612">
        <v>19.2</v>
      </c>
      <c r="AW3612">
        <v>0.88</v>
      </c>
      <c r="BA3612">
        <v>-0.98</v>
      </c>
      <c r="BB3612">
        <v>-0.37</v>
      </c>
      <c r="BC3612">
        <v>-2.4500000000000002</v>
      </c>
      <c r="BD3612">
        <v>-1.27</v>
      </c>
      <c r="BE3612">
        <v>-1.2</v>
      </c>
      <c r="BF3612">
        <v>-1.8</v>
      </c>
      <c r="BG3612">
        <v>0.28999999999999998</v>
      </c>
      <c r="BH3612">
        <v>-0.9</v>
      </c>
      <c r="BI3612">
        <v>20191029</v>
      </c>
      <c r="BJ3612">
        <v>20190627</v>
      </c>
      <c r="BK3612">
        <v>1.4</v>
      </c>
      <c r="BL3612" t="s">
        <v>116</v>
      </c>
      <c r="BM3612" t="s">
        <v>116</v>
      </c>
      <c r="BN3612">
        <v>20.87</v>
      </c>
      <c r="BO3612">
        <v>13.41</v>
      </c>
      <c r="BP3612">
        <v>0.8</v>
      </c>
      <c r="BQ3612">
        <v>31.9</v>
      </c>
      <c r="BR3612">
        <v>12.49</v>
      </c>
      <c r="BS3612">
        <v>6.02</v>
      </c>
      <c r="BT3612">
        <v>1.26</v>
      </c>
      <c r="BU3612">
        <v>5.81</v>
      </c>
      <c r="BV3612">
        <v>2.17</v>
      </c>
      <c r="BW3612">
        <v>1.1000000000000001</v>
      </c>
      <c r="BX3612">
        <v>4.9800000000000004</v>
      </c>
      <c r="BY3612">
        <v>13.22</v>
      </c>
      <c r="BZ3612">
        <v>10.19</v>
      </c>
      <c r="CA3612">
        <v>1.26</v>
      </c>
      <c r="CB3612">
        <v>0</v>
      </c>
      <c r="CC3612">
        <v>1.27</v>
      </c>
      <c r="CD3612">
        <v>1.1200000000000001</v>
      </c>
      <c r="CE3612">
        <v>1.07</v>
      </c>
      <c r="CF3612">
        <v>0.99</v>
      </c>
      <c r="CG3612">
        <v>6.05</v>
      </c>
      <c r="CH3612">
        <v>2.13</v>
      </c>
      <c r="CI3612">
        <v>-0.41</v>
      </c>
      <c r="CJ3612">
        <v>19736</v>
      </c>
      <c r="CK3612">
        <v>1773</v>
      </c>
      <c r="CL3612" t="s">
        <v>1394</v>
      </c>
      <c r="CM3612">
        <v>0</v>
      </c>
      <c r="CN3612">
        <v>0</v>
      </c>
      <c r="CO3612">
        <v>2.5</v>
      </c>
      <c r="CP3612">
        <v>15.75</v>
      </c>
      <c r="CQ3612">
        <v>2.5299999999999998</v>
      </c>
      <c r="CR3612">
        <v>1.04</v>
      </c>
      <c r="CS3612" t="s">
        <v>9741</v>
      </c>
      <c r="CT3612">
        <v>9.58</v>
      </c>
      <c r="CU3612">
        <v>0</v>
      </c>
      <c r="CV3612">
        <v>3.56</v>
      </c>
      <c r="CW3612">
        <v>4.32</v>
      </c>
      <c r="CX3612">
        <v>1.52</v>
      </c>
      <c r="CY3612">
        <v>64.260000000000005</v>
      </c>
      <c r="CZ3612" t="s">
        <v>1946</v>
      </c>
      <c r="DA3612">
        <v>22.96</v>
      </c>
      <c r="DB3612">
        <v>9.52</v>
      </c>
      <c r="DC3612">
        <v>8.1199999999999992</v>
      </c>
      <c r="DD3612">
        <v>0.44</v>
      </c>
      <c r="DE3612">
        <v>850</v>
      </c>
      <c r="DF3612">
        <v>603867</v>
      </c>
      <c r="DG3612" t="s">
        <v>116</v>
      </c>
      <c r="DH3612" t="s">
        <v>116</v>
      </c>
      <c r="DI3612" t="s">
        <v>116</v>
      </c>
    </row>
    <row r="3613" spans="1:113" x14ac:dyDescent="0.4">
      <c r="A3613" t="str">
        <f>"603868"</f>
        <v>603868</v>
      </c>
      <c r="B3613" t="s">
        <v>14974</v>
      </c>
      <c r="C3613">
        <v>0.62</v>
      </c>
      <c r="D3613">
        <v>37.369999999999997</v>
      </c>
      <c r="E3613">
        <v>0.23</v>
      </c>
      <c r="F3613">
        <v>37.29</v>
      </c>
      <c r="G3613">
        <v>37.369999999999997</v>
      </c>
      <c r="H3613">
        <v>6825</v>
      </c>
      <c r="I3613">
        <v>54</v>
      </c>
      <c r="J3613">
        <v>-0.04</v>
      </c>
      <c r="K3613">
        <v>0.16</v>
      </c>
      <c r="L3613">
        <v>37.17</v>
      </c>
      <c r="M3613">
        <v>37.71</v>
      </c>
      <c r="N3613">
        <v>37.06</v>
      </c>
      <c r="O3613">
        <v>37.14</v>
      </c>
      <c r="P3613">
        <v>23.02</v>
      </c>
      <c r="Q3613">
        <v>25496254</v>
      </c>
      <c r="R3613">
        <v>0.86</v>
      </c>
      <c r="S3613" t="s">
        <v>209</v>
      </c>
      <c r="T3613" t="s">
        <v>1653</v>
      </c>
      <c r="U3613">
        <v>1.75</v>
      </c>
      <c r="V3613">
        <v>37.36</v>
      </c>
      <c r="W3613">
        <v>3188</v>
      </c>
      <c r="X3613">
        <v>3637</v>
      </c>
      <c r="Y3613">
        <v>0.88</v>
      </c>
      <c r="Z3613">
        <v>10</v>
      </c>
      <c r="AA3613">
        <v>156</v>
      </c>
      <c r="AB3613" t="s">
        <v>116</v>
      </c>
      <c r="AC3613">
        <v>11200</v>
      </c>
      <c r="AD3613">
        <v>0</v>
      </c>
      <c r="AE3613" t="s">
        <v>116</v>
      </c>
      <c r="AF3613" t="s">
        <v>116</v>
      </c>
      <c r="AG3613">
        <v>4.3600000000000003</v>
      </c>
      <c r="AH3613" t="s">
        <v>14975</v>
      </c>
      <c r="AI3613" t="s">
        <v>14975</v>
      </c>
      <c r="AJ3613">
        <v>0.7</v>
      </c>
      <c r="AK3613">
        <v>1131</v>
      </c>
      <c r="AL3613">
        <v>6</v>
      </c>
      <c r="AM3613">
        <v>1E-4</v>
      </c>
      <c r="AN3613">
        <v>1</v>
      </c>
      <c r="AO3613">
        <v>0.7</v>
      </c>
      <c r="AP3613">
        <v>2.95</v>
      </c>
      <c r="AQ3613">
        <v>2.72</v>
      </c>
      <c r="AR3613">
        <v>1.88</v>
      </c>
      <c r="AS3613">
        <v>1.57</v>
      </c>
      <c r="AT3613" t="s">
        <v>9279</v>
      </c>
      <c r="AU3613">
        <v>21.57</v>
      </c>
      <c r="AV3613">
        <v>19.27</v>
      </c>
      <c r="AW3613">
        <v>0.45</v>
      </c>
      <c r="BA3613">
        <v>0.08</v>
      </c>
      <c r="BB3613">
        <v>1.53</v>
      </c>
      <c r="BC3613">
        <v>-0.22</v>
      </c>
      <c r="BD3613">
        <v>0.59</v>
      </c>
      <c r="BE3613">
        <v>0.54</v>
      </c>
      <c r="BF3613">
        <v>-0.9</v>
      </c>
      <c r="BG3613">
        <v>0.84</v>
      </c>
      <c r="BH3613">
        <v>0.03</v>
      </c>
      <c r="BI3613">
        <v>20191030</v>
      </c>
      <c r="BJ3613">
        <v>20160418</v>
      </c>
      <c r="BK3613">
        <v>4.3600000000000003</v>
      </c>
      <c r="BL3613" t="s">
        <v>116</v>
      </c>
      <c r="BM3613" t="s">
        <v>116</v>
      </c>
      <c r="BN3613">
        <v>34.369999999999997</v>
      </c>
      <c r="BO3613">
        <v>24.74</v>
      </c>
      <c r="BP3613">
        <v>0.01</v>
      </c>
      <c r="BQ3613">
        <v>28.01</v>
      </c>
      <c r="BR3613">
        <v>20.99</v>
      </c>
      <c r="BS3613">
        <v>5.84</v>
      </c>
      <c r="BT3613">
        <v>2.15</v>
      </c>
      <c r="BU3613">
        <v>8.6300000000000008</v>
      </c>
      <c r="BV3613">
        <v>7.11</v>
      </c>
      <c r="BW3613">
        <v>5.75</v>
      </c>
      <c r="BX3613">
        <v>6.88</v>
      </c>
      <c r="BY3613">
        <v>27.2</v>
      </c>
      <c r="BZ3613">
        <v>16.600000000000001</v>
      </c>
      <c r="CA3613">
        <v>6.52</v>
      </c>
      <c r="CB3613">
        <v>0.13</v>
      </c>
      <c r="CC3613">
        <v>7.01</v>
      </c>
      <c r="CD3613">
        <v>5.29</v>
      </c>
      <c r="CE3613">
        <v>5.3</v>
      </c>
      <c r="CF3613">
        <v>4.7699999999999996</v>
      </c>
      <c r="CG3613">
        <v>11.33</v>
      </c>
      <c r="CH3613">
        <v>2.08</v>
      </c>
      <c r="CI3613">
        <v>-5.9</v>
      </c>
      <c r="CJ3613">
        <v>12327</v>
      </c>
      <c r="CK3613">
        <v>3537</v>
      </c>
      <c r="CL3613" t="s">
        <v>14976</v>
      </c>
      <c r="CM3613">
        <v>-14.55</v>
      </c>
      <c r="CN3613">
        <v>-3.51</v>
      </c>
      <c r="CO3613">
        <v>6.58</v>
      </c>
      <c r="CP3613">
        <v>78.3</v>
      </c>
      <c r="CQ3613">
        <v>5.98</v>
      </c>
      <c r="CR3613">
        <v>4.01</v>
      </c>
      <c r="CS3613" t="s">
        <v>14977</v>
      </c>
      <c r="CT3613">
        <v>5.68</v>
      </c>
      <c r="CU3613">
        <v>0</v>
      </c>
      <c r="CV3613">
        <v>1.58</v>
      </c>
      <c r="CW3613">
        <v>2.6</v>
      </c>
      <c r="CX3613">
        <v>0.48</v>
      </c>
      <c r="CY3613">
        <v>71.98</v>
      </c>
      <c r="CZ3613" t="s">
        <v>14978</v>
      </c>
      <c r="DA3613">
        <v>38.97</v>
      </c>
      <c r="DB3613">
        <v>23.98</v>
      </c>
      <c r="DC3613">
        <v>19.5</v>
      </c>
      <c r="DD3613">
        <v>0.49</v>
      </c>
      <c r="DE3613">
        <v>3905</v>
      </c>
      <c r="DF3613">
        <v>603868</v>
      </c>
      <c r="DG3613" t="s">
        <v>116</v>
      </c>
      <c r="DH3613" t="s">
        <v>116</v>
      </c>
      <c r="DI3613" t="s">
        <v>116</v>
      </c>
    </row>
    <row r="3614" spans="1:113" x14ac:dyDescent="0.4">
      <c r="A3614" t="str">
        <f>"603869"</f>
        <v>603869</v>
      </c>
      <c r="B3614" t="s">
        <v>14979</v>
      </c>
      <c r="C3614">
        <v>-0.42</v>
      </c>
      <c r="D3614">
        <v>11.95</v>
      </c>
      <c r="E3614">
        <v>-0.05</v>
      </c>
      <c r="F3614">
        <v>11.94</v>
      </c>
      <c r="G3614">
        <v>11.95</v>
      </c>
      <c r="H3614">
        <v>32120</v>
      </c>
      <c r="I3614">
        <v>334</v>
      </c>
      <c r="J3614">
        <v>0.08</v>
      </c>
      <c r="K3614">
        <v>0.64</v>
      </c>
      <c r="L3614">
        <v>12.05</v>
      </c>
      <c r="M3614">
        <v>12.05</v>
      </c>
      <c r="N3614">
        <v>11.7</v>
      </c>
      <c r="O3614">
        <v>12</v>
      </c>
      <c r="P3614">
        <v>29.7</v>
      </c>
      <c r="Q3614">
        <v>38192736</v>
      </c>
      <c r="R3614">
        <v>1.19</v>
      </c>
      <c r="S3614" t="s">
        <v>607</v>
      </c>
      <c r="T3614" t="s">
        <v>982</v>
      </c>
      <c r="U3614">
        <v>2.92</v>
      </c>
      <c r="V3614">
        <v>11.89</v>
      </c>
      <c r="W3614">
        <v>16328</v>
      </c>
      <c r="X3614">
        <v>15792</v>
      </c>
      <c r="Y3614">
        <v>1.03</v>
      </c>
      <c r="Z3614">
        <v>25</v>
      </c>
      <c r="AA3614">
        <v>75</v>
      </c>
      <c r="AB3614" t="s">
        <v>116</v>
      </c>
      <c r="AC3614">
        <v>173500</v>
      </c>
      <c r="AD3614">
        <v>0.01</v>
      </c>
      <c r="AE3614" t="s">
        <v>116</v>
      </c>
      <c r="AF3614" t="s">
        <v>116</v>
      </c>
      <c r="AG3614">
        <v>5.05</v>
      </c>
      <c r="AH3614" t="s">
        <v>14980</v>
      </c>
      <c r="AI3614" t="s">
        <v>14980</v>
      </c>
      <c r="AJ3614">
        <v>-0.34</v>
      </c>
      <c r="AK3614">
        <v>1038</v>
      </c>
      <c r="AL3614">
        <v>31</v>
      </c>
      <c r="AM3614">
        <v>5.9999999999999995E-4</v>
      </c>
      <c r="AN3614">
        <v>-2</v>
      </c>
      <c r="AO3614">
        <v>-0.26</v>
      </c>
      <c r="AP3614">
        <v>-4.25</v>
      </c>
      <c r="AQ3614">
        <v>-0.75</v>
      </c>
      <c r="AR3614">
        <v>17.78</v>
      </c>
      <c r="AS3614">
        <v>1.83</v>
      </c>
      <c r="AT3614" t="s">
        <v>8490</v>
      </c>
      <c r="AU3614">
        <v>24.84</v>
      </c>
      <c r="AV3614">
        <v>15.96</v>
      </c>
      <c r="AW3614">
        <v>0.84</v>
      </c>
      <c r="BA3614">
        <v>0.42</v>
      </c>
      <c r="BB3614">
        <v>0.42</v>
      </c>
      <c r="BC3614">
        <v>-2.5</v>
      </c>
      <c r="BD3614">
        <v>-0.91</v>
      </c>
      <c r="BE3614">
        <v>-0.83</v>
      </c>
      <c r="BF3614">
        <v>-0.83</v>
      </c>
      <c r="BG3614">
        <v>2.14</v>
      </c>
      <c r="BH3614">
        <v>0.49</v>
      </c>
      <c r="BI3614">
        <v>20191026</v>
      </c>
      <c r="BJ3614">
        <v>20150326</v>
      </c>
      <c r="BK3614">
        <v>5.05</v>
      </c>
      <c r="BL3614" t="s">
        <v>116</v>
      </c>
      <c r="BM3614" t="s">
        <v>116</v>
      </c>
      <c r="BN3614">
        <v>66.83</v>
      </c>
      <c r="BO3614">
        <v>38.86</v>
      </c>
      <c r="BP3614">
        <v>0.37</v>
      </c>
      <c r="BQ3614">
        <v>41.3</v>
      </c>
      <c r="BR3614">
        <v>39.39</v>
      </c>
      <c r="BS3614">
        <v>8.07</v>
      </c>
      <c r="BT3614">
        <v>1.42</v>
      </c>
      <c r="BU3614">
        <v>24.98</v>
      </c>
      <c r="BV3614">
        <v>9.66</v>
      </c>
      <c r="BW3614">
        <v>14.75</v>
      </c>
      <c r="BX3614">
        <v>25.47</v>
      </c>
      <c r="BY3614">
        <v>17.510000000000002</v>
      </c>
      <c r="BZ3614">
        <v>11.79</v>
      </c>
      <c r="CA3614">
        <v>1.44</v>
      </c>
      <c r="CB3614">
        <v>-0.03</v>
      </c>
      <c r="CC3614">
        <v>1.42</v>
      </c>
      <c r="CD3614">
        <v>1.45</v>
      </c>
      <c r="CE3614">
        <v>1.52</v>
      </c>
      <c r="CF3614">
        <v>0.79</v>
      </c>
      <c r="CG3614">
        <v>8.4600000000000009</v>
      </c>
      <c r="CH3614">
        <v>2.87</v>
      </c>
      <c r="CI3614">
        <v>-2.7</v>
      </c>
      <c r="CJ3614">
        <v>20475</v>
      </c>
      <c r="CK3614">
        <v>8573</v>
      </c>
      <c r="CL3614" t="s">
        <v>10137</v>
      </c>
      <c r="CM3614">
        <v>-47.03</v>
      </c>
      <c r="CN3614">
        <v>-12.41</v>
      </c>
      <c r="CO3614">
        <v>1.55</v>
      </c>
      <c r="CP3614">
        <v>20.97</v>
      </c>
      <c r="CQ3614">
        <v>3.44</v>
      </c>
      <c r="CR3614">
        <v>1.89</v>
      </c>
      <c r="CS3614" t="s">
        <v>1924</v>
      </c>
      <c r="CT3614">
        <v>7.7</v>
      </c>
      <c r="CU3614">
        <v>0</v>
      </c>
      <c r="CV3614">
        <v>5.05</v>
      </c>
      <c r="CW3614">
        <v>1.68</v>
      </c>
      <c r="CX3614">
        <v>0.56999999999999995</v>
      </c>
      <c r="CY3614">
        <v>58.15</v>
      </c>
      <c r="CZ3614" t="s">
        <v>9521</v>
      </c>
      <c r="DA3614">
        <v>32.659999999999997</v>
      </c>
      <c r="DB3614">
        <v>8.2200000000000006</v>
      </c>
      <c r="DC3614">
        <v>8.6999999999999993</v>
      </c>
      <c r="DD3614">
        <v>1.25</v>
      </c>
      <c r="DE3614">
        <v>2184</v>
      </c>
      <c r="DF3614">
        <v>603869</v>
      </c>
      <c r="DG3614" t="s">
        <v>116</v>
      </c>
      <c r="DH3614" t="s">
        <v>116</v>
      </c>
      <c r="DI3614" t="s">
        <v>116</v>
      </c>
    </row>
    <row r="3615" spans="1:113" x14ac:dyDescent="0.4">
      <c r="A3615" t="str">
        <f>"603871"</f>
        <v>603871</v>
      </c>
      <c r="B3615" t="s">
        <v>14981</v>
      </c>
      <c r="C3615">
        <v>0.34</v>
      </c>
      <c r="D3615">
        <v>29.36</v>
      </c>
      <c r="E3615">
        <v>0.1</v>
      </c>
      <c r="F3615">
        <v>29.36</v>
      </c>
      <c r="G3615">
        <v>29.38</v>
      </c>
      <c r="H3615">
        <v>10140</v>
      </c>
      <c r="I3615">
        <v>185</v>
      </c>
      <c r="J3615">
        <v>-0.06</v>
      </c>
      <c r="K3615">
        <v>2.59</v>
      </c>
      <c r="L3615">
        <v>29.44</v>
      </c>
      <c r="M3615">
        <v>29.77</v>
      </c>
      <c r="N3615">
        <v>29.32</v>
      </c>
      <c r="O3615">
        <v>29.26</v>
      </c>
      <c r="P3615">
        <v>12.35</v>
      </c>
      <c r="Q3615">
        <v>29961262</v>
      </c>
      <c r="R3615">
        <v>1.56</v>
      </c>
      <c r="S3615" t="s">
        <v>3113</v>
      </c>
      <c r="T3615" t="s">
        <v>165</v>
      </c>
      <c r="U3615">
        <v>1.54</v>
      </c>
      <c r="V3615">
        <v>29.55</v>
      </c>
      <c r="W3615">
        <v>5102</v>
      </c>
      <c r="X3615">
        <v>5038</v>
      </c>
      <c r="Y3615">
        <v>1.01</v>
      </c>
      <c r="Z3615">
        <v>7</v>
      </c>
      <c r="AA3615">
        <v>52</v>
      </c>
      <c r="AB3615" t="s">
        <v>116</v>
      </c>
      <c r="AC3615">
        <v>50000</v>
      </c>
      <c r="AD3615">
        <v>0</v>
      </c>
      <c r="AE3615" t="s">
        <v>116</v>
      </c>
      <c r="AF3615" t="s">
        <v>116</v>
      </c>
      <c r="AG3615">
        <v>0.39</v>
      </c>
      <c r="AH3615" t="s">
        <v>12276</v>
      </c>
      <c r="AI3615" t="s">
        <v>7293</v>
      </c>
      <c r="AJ3615">
        <v>0.42</v>
      </c>
      <c r="AK3615">
        <v>1140</v>
      </c>
      <c r="AL3615">
        <v>9</v>
      </c>
      <c r="AM3615">
        <v>2.3E-3</v>
      </c>
      <c r="AN3615">
        <v>2</v>
      </c>
      <c r="AO3615">
        <v>0.44</v>
      </c>
      <c r="AP3615">
        <v>5.42</v>
      </c>
      <c r="AQ3615">
        <v>-2.2000000000000002</v>
      </c>
      <c r="AR3615">
        <v>20.72</v>
      </c>
      <c r="AS3615">
        <v>2.59</v>
      </c>
      <c r="AT3615" t="s">
        <v>12276</v>
      </c>
      <c r="AU3615">
        <v>14.14</v>
      </c>
      <c r="AV3615">
        <v>17.05</v>
      </c>
      <c r="AW3615">
        <v>1.2</v>
      </c>
      <c r="BA3615">
        <v>0.62</v>
      </c>
      <c r="BB3615">
        <v>1.74</v>
      </c>
      <c r="BC3615">
        <v>0.21</v>
      </c>
      <c r="BD3615">
        <v>0.98</v>
      </c>
      <c r="BE3615">
        <v>-0.27</v>
      </c>
      <c r="BF3615">
        <v>-1.38</v>
      </c>
      <c r="BG3615">
        <v>0.14000000000000001</v>
      </c>
      <c r="BH3615">
        <v>-0.64</v>
      </c>
      <c r="BI3615">
        <v>20191029</v>
      </c>
      <c r="BJ3615">
        <v>20180206</v>
      </c>
      <c r="BK3615">
        <v>1.57</v>
      </c>
      <c r="BL3615" t="s">
        <v>116</v>
      </c>
      <c r="BM3615" t="s">
        <v>116</v>
      </c>
      <c r="BN3615">
        <v>24.79</v>
      </c>
      <c r="BO3615">
        <v>18.010000000000002</v>
      </c>
      <c r="BP3615">
        <v>0.65</v>
      </c>
      <c r="BQ3615">
        <v>24.74</v>
      </c>
      <c r="BR3615">
        <v>19.32</v>
      </c>
      <c r="BS3615">
        <v>1.97</v>
      </c>
      <c r="BT3615">
        <v>0.65</v>
      </c>
      <c r="BU3615">
        <v>6.08</v>
      </c>
      <c r="BV3615">
        <v>1.19</v>
      </c>
      <c r="BW3615">
        <v>2.4500000000000002</v>
      </c>
      <c r="BX3615">
        <v>8.1300000000000008</v>
      </c>
      <c r="BY3615">
        <v>31.25</v>
      </c>
      <c r="BZ3615">
        <v>27.68</v>
      </c>
      <c r="CA3615">
        <v>3.37</v>
      </c>
      <c r="CB3615">
        <v>0.18</v>
      </c>
      <c r="CC3615">
        <v>3.37</v>
      </c>
      <c r="CD3615">
        <v>2.81</v>
      </c>
      <c r="CE3615">
        <v>2.8</v>
      </c>
      <c r="CF3615">
        <v>2.59</v>
      </c>
      <c r="CG3615">
        <v>7.91</v>
      </c>
      <c r="CH3615">
        <v>3.15</v>
      </c>
      <c r="CI3615">
        <v>0.6</v>
      </c>
      <c r="CJ3615">
        <v>9641</v>
      </c>
      <c r="CK3615">
        <v>4066</v>
      </c>
      <c r="CL3615" t="s">
        <v>14982</v>
      </c>
      <c r="CM3615">
        <v>24.81</v>
      </c>
      <c r="CN3615">
        <v>2.13</v>
      </c>
      <c r="CO3615">
        <v>2.56</v>
      </c>
      <c r="CP3615">
        <v>14.6</v>
      </c>
      <c r="CQ3615">
        <v>1.47</v>
      </c>
      <c r="CR3615">
        <v>1.22</v>
      </c>
      <c r="CS3615" t="s">
        <v>14983</v>
      </c>
      <c r="CT3615">
        <v>11.48</v>
      </c>
      <c r="CU3615">
        <v>0</v>
      </c>
      <c r="CV3615">
        <v>5.18</v>
      </c>
      <c r="CW3615">
        <v>5.04</v>
      </c>
      <c r="CX3615">
        <v>2.0099999999999998</v>
      </c>
      <c r="CY3615">
        <v>72.64</v>
      </c>
      <c r="CZ3615" t="s">
        <v>14984</v>
      </c>
      <c r="DA3615">
        <v>11.43</v>
      </c>
      <c r="DB3615">
        <v>10.79</v>
      </c>
      <c r="DC3615">
        <v>8.9499999999999993</v>
      </c>
      <c r="DD3615">
        <v>0.08</v>
      </c>
      <c r="DE3615">
        <v>411</v>
      </c>
      <c r="DF3615">
        <v>603871</v>
      </c>
      <c r="DG3615" t="s">
        <v>116</v>
      </c>
      <c r="DH3615" t="s">
        <v>116</v>
      </c>
      <c r="DI3615" t="s">
        <v>116</v>
      </c>
    </row>
    <row r="3616" spans="1:113" x14ac:dyDescent="0.4">
      <c r="A3616" t="str">
        <f>"603876"</f>
        <v>603876</v>
      </c>
      <c r="B3616" t="s">
        <v>14985</v>
      </c>
      <c r="C3616">
        <v>-0.06</v>
      </c>
      <c r="D3616">
        <v>17.149999999999999</v>
      </c>
      <c r="E3616">
        <v>-0.01</v>
      </c>
      <c r="F3616">
        <v>17.149999999999999</v>
      </c>
      <c r="G3616">
        <v>17.16</v>
      </c>
      <c r="H3616">
        <v>492216</v>
      </c>
      <c r="I3616">
        <v>5185</v>
      </c>
      <c r="J3616">
        <v>0.47</v>
      </c>
      <c r="K3616">
        <v>20.89</v>
      </c>
      <c r="L3616">
        <v>16.600000000000001</v>
      </c>
      <c r="M3616">
        <v>18.55</v>
      </c>
      <c r="N3616">
        <v>16.43</v>
      </c>
      <c r="O3616">
        <v>17.16</v>
      </c>
      <c r="P3616">
        <v>28.85</v>
      </c>
      <c r="Q3616">
        <v>863329344</v>
      </c>
      <c r="R3616">
        <v>3.26</v>
      </c>
      <c r="S3616" t="s">
        <v>1428</v>
      </c>
      <c r="T3616" t="s">
        <v>323</v>
      </c>
      <c r="U3616">
        <v>12.35</v>
      </c>
      <c r="V3616">
        <v>17.54</v>
      </c>
      <c r="W3616">
        <v>235713</v>
      </c>
      <c r="X3616">
        <v>256503</v>
      </c>
      <c r="Y3616">
        <v>0.92</v>
      </c>
      <c r="Z3616">
        <v>1870</v>
      </c>
      <c r="AA3616">
        <v>208</v>
      </c>
      <c r="AB3616" t="s">
        <v>116</v>
      </c>
      <c r="AC3616">
        <v>19931600</v>
      </c>
      <c r="AD3616">
        <v>1.05</v>
      </c>
      <c r="AE3616" t="s">
        <v>116</v>
      </c>
      <c r="AF3616" t="s">
        <v>116</v>
      </c>
      <c r="AG3616">
        <v>2.36</v>
      </c>
      <c r="AH3616" t="s">
        <v>14986</v>
      </c>
      <c r="AI3616" t="s">
        <v>14987</v>
      </c>
      <c r="AJ3616">
        <v>0.02</v>
      </c>
      <c r="AK3616">
        <v>4427</v>
      </c>
      <c r="AL3616">
        <v>111</v>
      </c>
      <c r="AM3616">
        <v>4.7000000000000002E-3</v>
      </c>
      <c r="AN3616">
        <v>-1</v>
      </c>
      <c r="AO3616">
        <v>20.94</v>
      </c>
      <c r="AP3616">
        <v>30.32</v>
      </c>
      <c r="AQ3616">
        <v>16.190000000000001</v>
      </c>
      <c r="AR3616">
        <v>-7</v>
      </c>
      <c r="AS3616">
        <v>43.16</v>
      </c>
      <c r="AT3616" t="s">
        <v>14988</v>
      </c>
      <c r="AU3616">
        <v>25.48</v>
      </c>
      <c r="AV3616">
        <v>26.67</v>
      </c>
      <c r="AW3616">
        <v>1.61</v>
      </c>
      <c r="BA3616">
        <v>-3.26</v>
      </c>
      <c r="BB3616">
        <v>8.1</v>
      </c>
      <c r="BC3616">
        <v>-4.25</v>
      </c>
      <c r="BD3616">
        <v>2.21</v>
      </c>
      <c r="BE3616">
        <v>3.31</v>
      </c>
      <c r="BF3616">
        <v>-7.55</v>
      </c>
      <c r="BG3616">
        <v>4.38</v>
      </c>
      <c r="BH3616">
        <v>-2.27</v>
      </c>
      <c r="BI3616">
        <v>20191031</v>
      </c>
      <c r="BJ3616">
        <v>20180418</v>
      </c>
      <c r="BK3616">
        <v>4.3</v>
      </c>
      <c r="BL3616" t="s">
        <v>116</v>
      </c>
      <c r="BM3616" t="s">
        <v>116</v>
      </c>
      <c r="BN3616">
        <v>118.39</v>
      </c>
      <c r="BO3616">
        <v>37.57</v>
      </c>
      <c r="BP3616">
        <v>0.71</v>
      </c>
      <c r="BQ3616">
        <v>67.66</v>
      </c>
      <c r="BR3616">
        <v>79.180000000000007</v>
      </c>
      <c r="BS3616">
        <v>24.03</v>
      </c>
      <c r="BT3616">
        <v>1.4</v>
      </c>
      <c r="BU3616">
        <v>59.03</v>
      </c>
      <c r="BV3616">
        <v>20.76</v>
      </c>
      <c r="BW3616">
        <v>17</v>
      </c>
      <c r="BX3616">
        <v>17.79</v>
      </c>
      <c r="BY3616">
        <v>83.51</v>
      </c>
      <c r="BZ3616">
        <v>76.459999999999994</v>
      </c>
      <c r="CA3616">
        <v>2.54</v>
      </c>
      <c r="CB3616">
        <v>-0.16</v>
      </c>
      <c r="CC3616">
        <v>2.54</v>
      </c>
      <c r="CD3616">
        <v>1.96</v>
      </c>
      <c r="CE3616">
        <v>1.92</v>
      </c>
      <c r="CF3616">
        <v>1.77</v>
      </c>
      <c r="CG3616">
        <v>14.06</v>
      </c>
      <c r="CH3616">
        <v>-2.5099999999999998</v>
      </c>
      <c r="CI3616">
        <v>1.01</v>
      </c>
      <c r="CJ3616">
        <v>27115</v>
      </c>
      <c r="CK3616">
        <v>4206</v>
      </c>
      <c r="CL3616" t="s">
        <v>4983</v>
      </c>
      <c r="CM3616">
        <v>7.22</v>
      </c>
      <c r="CN3616">
        <v>7.97</v>
      </c>
      <c r="CO3616">
        <v>1.96</v>
      </c>
      <c r="CP3616">
        <v>-29.43</v>
      </c>
      <c r="CQ3616">
        <v>0.88</v>
      </c>
      <c r="CR3616">
        <v>0.57999999999999996</v>
      </c>
      <c r="CS3616" t="s">
        <v>1658</v>
      </c>
      <c r="CT3616">
        <v>8.74</v>
      </c>
      <c r="CU3616">
        <v>0</v>
      </c>
      <c r="CV3616">
        <v>4.1399999999999997</v>
      </c>
      <c r="CW3616">
        <v>3.27</v>
      </c>
      <c r="CX3616">
        <v>-0.57999999999999996</v>
      </c>
      <c r="CY3616">
        <v>31.74</v>
      </c>
      <c r="CZ3616" t="s">
        <v>5208</v>
      </c>
      <c r="DA3616">
        <v>8.44</v>
      </c>
      <c r="DB3616">
        <v>3.04</v>
      </c>
      <c r="DC3616">
        <v>2.2999999999999998</v>
      </c>
      <c r="DD3616">
        <v>0.43</v>
      </c>
      <c r="DE3616">
        <v>3720</v>
      </c>
      <c r="DF3616">
        <v>603876</v>
      </c>
      <c r="DG3616" t="s">
        <v>116</v>
      </c>
      <c r="DH3616" t="s">
        <v>116</v>
      </c>
      <c r="DI3616" t="s">
        <v>116</v>
      </c>
    </row>
    <row r="3617" spans="1:113" x14ac:dyDescent="0.4">
      <c r="A3617" t="str">
        <f>"603877"</f>
        <v>603877</v>
      </c>
      <c r="B3617" t="s">
        <v>14989</v>
      </c>
      <c r="C3617">
        <v>-0.87</v>
      </c>
      <c r="D3617">
        <v>14.84</v>
      </c>
      <c r="E3617">
        <v>-0.13</v>
      </c>
      <c r="F3617">
        <v>14.83</v>
      </c>
      <c r="G3617">
        <v>14.84</v>
      </c>
      <c r="H3617">
        <v>22568</v>
      </c>
      <c r="I3617">
        <v>156</v>
      </c>
      <c r="J3617">
        <v>-0.46</v>
      </c>
      <c r="K3617">
        <v>1.1299999999999999</v>
      </c>
      <c r="L3617">
        <v>14.91</v>
      </c>
      <c r="M3617">
        <v>15.38</v>
      </c>
      <c r="N3617">
        <v>14.83</v>
      </c>
      <c r="O3617">
        <v>14.97</v>
      </c>
      <c r="P3617">
        <v>25.78</v>
      </c>
      <c r="Q3617">
        <v>34123024</v>
      </c>
      <c r="R3617">
        <v>3.13</v>
      </c>
      <c r="S3617" t="s">
        <v>3070</v>
      </c>
      <c r="T3617" t="s">
        <v>590</v>
      </c>
      <c r="U3617">
        <v>3.67</v>
      </c>
      <c r="V3617">
        <v>15.12</v>
      </c>
      <c r="W3617">
        <v>11580</v>
      </c>
      <c r="X3617">
        <v>10988</v>
      </c>
      <c r="Y3617">
        <v>1.05</v>
      </c>
      <c r="Z3617">
        <v>20</v>
      </c>
      <c r="AA3617">
        <v>47</v>
      </c>
      <c r="AB3617" t="s">
        <v>116</v>
      </c>
      <c r="AC3617">
        <v>43200</v>
      </c>
      <c r="AD3617">
        <v>0.01</v>
      </c>
      <c r="AE3617" t="s">
        <v>116</v>
      </c>
      <c r="AF3617" t="s">
        <v>116</v>
      </c>
      <c r="AG3617">
        <v>2</v>
      </c>
      <c r="AH3617" t="s">
        <v>1467</v>
      </c>
      <c r="AI3617" t="s">
        <v>14990</v>
      </c>
      <c r="AJ3617">
        <v>-0.79</v>
      </c>
      <c r="AK3617">
        <v>1345</v>
      </c>
      <c r="AL3617">
        <v>17</v>
      </c>
      <c r="AM3617">
        <v>8.0000000000000004E-4</v>
      </c>
      <c r="AN3617">
        <v>-1</v>
      </c>
      <c r="AO3617">
        <v>1.57</v>
      </c>
      <c r="AP3617">
        <v>5.0999999999999996</v>
      </c>
      <c r="AQ3617">
        <v>7.69</v>
      </c>
      <c r="AR3617">
        <v>-16.579999999999998</v>
      </c>
      <c r="AS3617">
        <v>3.99</v>
      </c>
      <c r="AT3617" t="s">
        <v>14991</v>
      </c>
      <c r="AU3617">
        <v>14.33</v>
      </c>
      <c r="AV3617">
        <v>12.43</v>
      </c>
      <c r="AW3617">
        <v>0.33</v>
      </c>
      <c r="BA3617">
        <v>-0.4</v>
      </c>
      <c r="BB3617">
        <v>2.74</v>
      </c>
      <c r="BC3617">
        <v>-0.94</v>
      </c>
      <c r="BD3617">
        <v>1</v>
      </c>
      <c r="BE3617">
        <v>-0.47</v>
      </c>
      <c r="BF3617">
        <v>-3.51</v>
      </c>
      <c r="BG3617">
        <v>7.0000000000000007E-2</v>
      </c>
      <c r="BH3617">
        <v>-1.87</v>
      </c>
      <c r="BI3617">
        <v>20191120</v>
      </c>
      <c r="BJ3617">
        <v>20170109</v>
      </c>
      <c r="BK3617">
        <v>4.79</v>
      </c>
      <c r="BL3617" t="s">
        <v>116</v>
      </c>
      <c r="BM3617" t="s">
        <v>116</v>
      </c>
      <c r="BN3617">
        <v>61.11</v>
      </c>
      <c r="BO3617">
        <v>31.7</v>
      </c>
      <c r="BP3617">
        <v>0.04</v>
      </c>
      <c r="BQ3617">
        <v>48.07</v>
      </c>
      <c r="BR3617">
        <v>43.93</v>
      </c>
      <c r="BS3617">
        <v>6.22</v>
      </c>
      <c r="BT3617">
        <v>1.83</v>
      </c>
      <c r="BU3617">
        <v>27.55</v>
      </c>
      <c r="BV3617">
        <v>21.24</v>
      </c>
      <c r="BW3617">
        <v>4.9800000000000004</v>
      </c>
      <c r="BX3617">
        <v>13.78</v>
      </c>
      <c r="BY3617">
        <v>50.03</v>
      </c>
      <c r="BZ3617">
        <v>22.64</v>
      </c>
      <c r="CA3617">
        <v>2.95</v>
      </c>
      <c r="CB3617">
        <v>0.21</v>
      </c>
      <c r="CC3617">
        <v>2.91</v>
      </c>
      <c r="CD3617">
        <v>2.0099999999999998</v>
      </c>
      <c r="CE3617">
        <v>2.0699999999999998</v>
      </c>
      <c r="CF3617">
        <v>0.85</v>
      </c>
      <c r="CG3617">
        <v>12.57</v>
      </c>
      <c r="CH3617">
        <v>-1.85</v>
      </c>
      <c r="CI3617">
        <v>-2.71</v>
      </c>
      <c r="CJ3617">
        <v>13303</v>
      </c>
      <c r="CK3617">
        <v>4257</v>
      </c>
      <c r="CL3617" t="s">
        <v>4537</v>
      </c>
      <c r="CM3617">
        <v>-26.78</v>
      </c>
      <c r="CN3617">
        <v>2.36</v>
      </c>
      <c r="CO3617">
        <v>2.2400000000000002</v>
      </c>
      <c r="CP3617">
        <v>-38.450000000000003</v>
      </c>
      <c r="CQ3617">
        <v>1.42</v>
      </c>
      <c r="CR3617">
        <v>6.66</v>
      </c>
      <c r="CS3617" t="s">
        <v>604</v>
      </c>
      <c r="CT3617">
        <v>6.62</v>
      </c>
      <c r="CU3617">
        <v>0</v>
      </c>
      <c r="CV3617">
        <v>2.88</v>
      </c>
      <c r="CW3617">
        <v>2.62</v>
      </c>
      <c r="CX3617">
        <v>-0.39</v>
      </c>
      <c r="CY3617">
        <v>51.87</v>
      </c>
      <c r="CZ3617" t="s">
        <v>6049</v>
      </c>
      <c r="DA3617">
        <v>54.75</v>
      </c>
      <c r="DB3617">
        <v>5.89</v>
      </c>
      <c r="DC3617">
        <v>4.13</v>
      </c>
      <c r="DD3617">
        <v>0.68</v>
      </c>
      <c r="DE3617">
        <v>12250</v>
      </c>
      <c r="DF3617">
        <v>603877</v>
      </c>
      <c r="DG3617" t="s">
        <v>116</v>
      </c>
      <c r="DH3617" t="s">
        <v>116</v>
      </c>
      <c r="DI3617" t="s">
        <v>116</v>
      </c>
    </row>
    <row r="3618" spans="1:113" x14ac:dyDescent="0.4">
      <c r="A3618" t="str">
        <f>"603878"</f>
        <v>603878</v>
      </c>
      <c r="B3618" t="s">
        <v>14992</v>
      </c>
      <c r="C3618">
        <v>-1.72</v>
      </c>
      <c r="D3618">
        <v>10.84</v>
      </c>
      <c r="E3618">
        <v>-0.19</v>
      </c>
      <c r="F3618">
        <v>10.84</v>
      </c>
      <c r="G3618">
        <v>10.85</v>
      </c>
      <c r="H3618">
        <v>61884</v>
      </c>
      <c r="I3618">
        <v>326</v>
      </c>
      <c r="J3618">
        <v>-0.08</v>
      </c>
      <c r="K3618">
        <v>2.17</v>
      </c>
      <c r="L3618">
        <v>11.05</v>
      </c>
      <c r="M3618">
        <v>11.05</v>
      </c>
      <c r="N3618">
        <v>10.83</v>
      </c>
      <c r="O3618">
        <v>11.03</v>
      </c>
      <c r="P3618">
        <v>9.41</v>
      </c>
      <c r="Q3618">
        <v>67631904</v>
      </c>
      <c r="R3618">
        <v>1.1200000000000001</v>
      </c>
      <c r="S3618" t="s">
        <v>2118</v>
      </c>
      <c r="T3618" t="s">
        <v>323</v>
      </c>
      <c r="U3618">
        <v>1.99</v>
      </c>
      <c r="V3618">
        <v>10.93</v>
      </c>
      <c r="W3618">
        <v>37586</v>
      </c>
      <c r="X3618">
        <v>24298</v>
      </c>
      <c r="Y3618">
        <v>1.55</v>
      </c>
      <c r="Z3618">
        <v>549</v>
      </c>
      <c r="AA3618">
        <v>168</v>
      </c>
      <c r="AB3618" t="s">
        <v>116</v>
      </c>
      <c r="AC3618">
        <v>186700</v>
      </c>
      <c r="AD3618">
        <v>0.01</v>
      </c>
      <c r="AE3618" t="s">
        <v>116</v>
      </c>
      <c r="AF3618" t="s">
        <v>116</v>
      </c>
      <c r="AG3618">
        <v>2.85</v>
      </c>
      <c r="AH3618" t="s">
        <v>14473</v>
      </c>
      <c r="AI3618" t="s">
        <v>14343</v>
      </c>
      <c r="AJ3618">
        <v>-1.65</v>
      </c>
      <c r="AK3618">
        <v>1972</v>
      </c>
      <c r="AL3618">
        <v>31</v>
      </c>
      <c r="AM3618">
        <v>1.1000000000000001E-3</v>
      </c>
      <c r="AN3618">
        <v>-1</v>
      </c>
      <c r="AO3618">
        <v>0.94</v>
      </c>
      <c r="AP3618">
        <v>6.8</v>
      </c>
      <c r="AQ3618">
        <v>11.52</v>
      </c>
      <c r="AR3618">
        <v>41.44</v>
      </c>
      <c r="AS3618">
        <v>5.03</v>
      </c>
      <c r="AT3618" t="s">
        <v>2561</v>
      </c>
      <c r="AU3618">
        <v>10.28</v>
      </c>
      <c r="AV3618">
        <v>15.58</v>
      </c>
      <c r="AW3618">
        <v>1.32</v>
      </c>
      <c r="BA3618">
        <v>0.18</v>
      </c>
      <c r="BB3618">
        <v>0.18</v>
      </c>
      <c r="BC3618">
        <v>-1.81</v>
      </c>
      <c r="BD3618">
        <v>-0.92</v>
      </c>
      <c r="BE3618">
        <v>-1.9</v>
      </c>
      <c r="BF3618">
        <v>-1.9</v>
      </c>
      <c r="BG3618">
        <v>0.09</v>
      </c>
      <c r="BH3618">
        <v>-0.81</v>
      </c>
      <c r="BI3618">
        <v>20191218</v>
      </c>
      <c r="BJ3618">
        <v>20161219</v>
      </c>
      <c r="BK3618">
        <v>2.86</v>
      </c>
      <c r="BL3618" t="s">
        <v>116</v>
      </c>
      <c r="BM3618" t="s">
        <v>116</v>
      </c>
      <c r="BN3618">
        <v>31.43</v>
      </c>
      <c r="BO3618">
        <v>22.97</v>
      </c>
      <c r="BP3618">
        <v>0</v>
      </c>
      <c r="BQ3618">
        <v>26.91</v>
      </c>
      <c r="BR3618">
        <v>24.12</v>
      </c>
      <c r="BS3618">
        <v>4.45</v>
      </c>
      <c r="BT3618">
        <v>0.91</v>
      </c>
      <c r="BU3618">
        <v>7.92</v>
      </c>
      <c r="BV3618">
        <v>10.119999999999999</v>
      </c>
      <c r="BW3618">
        <v>5.49</v>
      </c>
      <c r="BX3618">
        <v>10.16</v>
      </c>
      <c r="BY3618">
        <v>17.46</v>
      </c>
      <c r="BZ3618">
        <v>13.25</v>
      </c>
      <c r="CA3618">
        <v>2.88</v>
      </c>
      <c r="CB3618">
        <v>0.17</v>
      </c>
      <c r="CC3618">
        <v>2.86</v>
      </c>
      <c r="CD3618">
        <v>2.4700000000000002</v>
      </c>
      <c r="CE3618">
        <v>2.4700000000000002</v>
      </c>
      <c r="CF3618">
        <v>2.2999999999999998</v>
      </c>
      <c r="CG3618">
        <v>9.0399999999999991</v>
      </c>
      <c r="CH3618">
        <v>0.62</v>
      </c>
      <c r="CI3618">
        <v>0.21</v>
      </c>
      <c r="CJ3618">
        <v>18717</v>
      </c>
      <c r="CK3618">
        <v>6574</v>
      </c>
      <c r="CL3618" t="s">
        <v>5738</v>
      </c>
      <c r="CM3618">
        <v>71.010000000000005</v>
      </c>
      <c r="CN3618">
        <v>20.260000000000002</v>
      </c>
      <c r="CO3618">
        <v>1.35</v>
      </c>
      <c r="CP3618">
        <v>50.01</v>
      </c>
      <c r="CQ3618">
        <v>1.78</v>
      </c>
      <c r="CR3618">
        <v>3.95</v>
      </c>
      <c r="CS3618" t="s">
        <v>14175</v>
      </c>
      <c r="CT3618">
        <v>8.02</v>
      </c>
      <c r="CU3618">
        <v>0</v>
      </c>
      <c r="CV3618">
        <v>3.55</v>
      </c>
      <c r="CW3618">
        <v>3.16</v>
      </c>
      <c r="CX3618">
        <v>0.22</v>
      </c>
      <c r="CY3618">
        <v>73.09</v>
      </c>
      <c r="CZ3618" t="s">
        <v>8820</v>
      </c>
      <c r="DA3618">
        <v>24.07</v>
      </c>
      <c r="DB3618">
        <v>16.48</v>
      </c>
      <c r="DC3618">
        <v>14.17</v>
      </c>
      <c r="DD3618">
        <v>0.31</v>
      </c>
      <c r="DE3618">
        <v>1390</v>
      </c>
      <c r="DF3618">
        <v>603878</v>
      </c>
      <c r="DG3618" t="s">
        <v>116</v>
      </c>
      <c r="DH3618" t="s">
        <v>116</v>
      </c>
      <c r="DI3618" t="s">
        <v>116</v>
      </c>
    </row>
    <row r="3619" spans="1:113" x14ac:dyDescent="0.4">
      <c r="A3619" t="str">
        <f>"603879"</f>
        <v>603879</v>
      </c>
      <c r="B3619" t="s">
        <v>14993</v>
      </c>
      <c r="C3619">
        <v>-3.33</v>
      </c>
      <c r="D3619">
        <v>11.62</v>
      </c>
      <c r="E3619">
        <v>-0.4</v>
      </c>
      <c r="F3619">
        <v>11.62</v>
      </c>
      <c r="G3619">
        <v>11.68</v>
      </c>
      <c r="H3619">
        <v>62588</v>
      </c>
      <c r="I3619">
        <v>1999</v>
      </c>
      <c r="J3619">
        <v>0.43</v>
      </c>
      <c r="K3619">
        <v>5.58</v>
      </c>
      <c r="L3619">
        <v>12.08</v>
      </c>
      <c r="M3619">
        <v>12.08</v>
      </c>
      <c r="N3619">
        <v>11.5</v>
      </c>
      <c r="O3619">
        <v>12.02</v>
      </c>
      <c r="P3619">
        <v>86.12</v>
      </c>
      <c r="Q3619">
        <v>73652136</v>
      </c>
      <c r="R3619">
        <v>0.76</v>
      </c>
      <c r="S3619" t="s">
        <v>891</v>
      </c>
      <c r="T3619" t="s">
        <v>975</v>
      </c>
      <c r="U3619">
        <v>4.83</v>
      </c>
      <c r="V3619">
        <v>11.77</v>
      </c>
      <c r="W3619">
        <v>37067</v>
      </c>
      <c r="X3619">
        <v>25521</v>
      </c>
      <c r="Y3619">
        <v>1.45</v>
      </c>
      <c r="Z3619">
        <v>162</v>
      </c>
      <c r="AA3619">
        <v>10</v>
      </c>
      <c r="AB3619" t="s">
        <v>116</v>
      </c>
      <c r="AC3619">
        <v>177600</v>
      </c>
      <c r="AD3619">
        <v>0.02</v>
      </c>
      <c r="AE3619" t="s">
        <v>116</v>
      </c>
      <c r="AF3619" t="s">
        <v>116</v>
      </c>
      <c r="AG3619">
        <v>1.1200000000000001</v>
      </c>
      <c r="AH3619" t="s">
        <v>14994</v>
      </c>
      <c r="AI3619" t="s">
        <v>2834</v>
      </c>
      <c r="AJ3619">
        <v>-3.25</v>
      </c>
      <c r="AK3619">
        <v>1908</v>
      </c>
      <c r="AL3619">
        <v>33</v>
      </c>
      <c r="AM3619">
        <v>2.8999999999999998E-3</v>
      </c>
      <c r="AN3619">
        <v>-3</v>
      </c>
      <c r="AO3619">
        <v>-8.5</v>
      </c>
      <c r="AP3619">
        <v>-0.51</v>
      </c>
      <c r="AQ3619">
        <v>44.35</v>
      </c>
      <c r="AR3619">
        <v>68.23</v>
      </c>
      <c r="AS3619">
        <v>7.69</v>
      </c>
      <c r="AT3619" t="s">
        <v>14995</v>
      </c>
      <c r="AU3619">
        <v>98.72</v>
      </c>
      <c r="AV3619">
        <v>62.24</v>
      </c>
      <c r="AW3619">
        <v>0.75</v>
      </c>
      <c r="BA3619">
        <v>0.5</v>
      </c>
      <c r="BB3619">
        <v>0.5</v>
      </c>
      <c r="BC3619">
        <v>-4.33</v>
      </c>
      <c r="BD3619">
        <v>-2.1</v>
      </c>
      <c r="BE3619">
        <v>-3.81</v>
      </c>
      <c r="BF3619">
        <v>-3.81</v>
      </c>
      <c r="BG3619">
        <v>1.04</v>
      </c>
      <c r="BH3619">
        <v>-1.23</v>
      </c>
      <c r="BI3619">
        <v>20191031</v>
      </c>
      <c r="BJ3619">
        <v>20170614</v>
      </c>
      <c r="BK3619">
        <v>2</v>
      </c>
      <c r="BL3619" t="s">
        <v>116</v>
      </c>
      <c r="BM3619" t="s">
        <v>116</v>
      </c>
      <c r="BN3619">
        <v>5.64</v>
      </c>
      <c r="BO3619">
        <v>5.21</v>
      </c>
      <c r="BP3619">
        <v>0</v>
      </c>
      <c r="BQ3619">
        <v>7.67</v>
      </c>
      <c r="BR3619">
        <v>4.78</v>
      </c>
      <c r="BS3619">
        <v>0.48</v>
      </c>
      <c r="BT3619">
        <v>0.15</v>
      </c>
      <c r="BU3619">
        <v>0.43</v>
      </c>
      <c r="BV3619">
        <v>0.44</v>
      </c>
      <c r="BW3619">
        <v>2.02</v>
      </c>
      <c r="BX3619">
        <v>1.86</v>
      </c>
      <c r="BY3619">
        <v>3.13</v>
      </c>
      <c r="BZ3619">
        <v>2.6</v>
      </c>
      <c r="CA3619">
        <v>0.22</v>
      </c>
      <c r="CB3619">
        <v>0.04</v>
      </c>
      <c r="CC3619">
        <v>0.22</v>
      </c>
      <c r="CD3619">
        <v>0.2</v>
      </c>
      <c r="CE3619">
        <v>0.2</v>
      </c>
      <c r="CF3619">
        <v>0.14000000000000001</v>
      </c>
      <c r="CG3619">
        <v>1.26</v>
      </c>
      <c r="CH3619">
        <v>-0.11</v>
      </c>
      <c r="CI3619">
        <v>-0.59</v>
      </c>
      <c r="CJ3619">
        <v>8363</v>
      </c>
      <c r="CK3619">
        <v>9726</v>
      </c>
      <c r="CL3619" t="s">
        <v>7924</v>
      </c>
      <c r="CM3619">
        <v>-40.54</v>
      </c>
      <c r="CN3619">
        <v>-29.89</v>
      </c>
      <c r="CO3619">
        <v>4.47</v>
      </c>
      <c r="CP3619">
        <v>-207.35</v>
      </c>
      <c r="CQ3619">
        <v>7.43</v>
      </c>
      <c r="CR3619">
        <v>0.42</v>
      </c>
      <c r="CS3619" t="s">
        <v>3235</v>
      </c>
      <c r="CT3619">
        <v>2.6</v>
      </c>
      <c r="CU3619">
        <v>0</v>
      </c>
      <c r="CV3619">
        <v>0.93</v>
      </c>
      <c r="CW3619">
        <v>0.63</v>
      </c>
      <c r="CX3619">
        <v>-0.06</v>
      </c>
      <c r="CY3619">
        <v>92.27</v>
      </c>
      <c r="CZ3619" t="s">
        <v>3295</v>
      </c>
      <c r="DA3619">
        <v>17</v>
      </c>
      <c r="DB3619">
        <v>7.13</v>
      </c>
      <c r="DC3619">
        <v>6.47</v>
      </c>
      <c r="DD3619">
        <v>0.1</v>
      </c>
      <c r="DE3619">
        <v>159</v>
      </c>
      <c r="DF3619">
        <v>603879</v>
      </c>
      <c r="DG3619" t="s">
        <v>116</v>
      </c>
      <c r="DH3619" t="s">
        <v>116</v>
      </c>
      <c r="DI3619" t="s">
        <v>116</v>
      </c>
    </row>
    <row r="3620" spans="1:113" x14ac:dyDescent="0.4">
      <c r="A3620" t="str">
        <f>"603880"</f>
        <v>603880</v>
      </c>
      <c r="B3620" t="s">
        <v>14996</v>
      </c>
      <c r="C3620">
        <v>-0.72</v>
      </c>
      <c r="D3620">
        <v>9.66</v>
      </c>
      <c r="E3620">
        <v>-7.0000000000000007E-2</v>
      </c>
      <c r="F3620">
        <v>9.66</v>
      </c>
      <c r="G3620">
        <v>9.67</v>
      </c>
      <c r="H3620">
        <v>11228</v>
      </c>
      <c r="I3620">
        <v>378</v>
      </c>
      <c r="J3620">
        <v>0</v>
      </c>
      <c r="K3620">
        <v>1.36</v>
      </c>
      <c r="L3620">
        <v>9.6999999999999993</v>
      </c>
      <c r="M3620">
        <v>9.81</v>
      </c>
      <c r="N3620">
        <v>9.65</v>
      </c>
      <c r="O3620">
        <v>9.73</v>
      </c>
      <c r="P3620">
        <v>36.869999999999997</v>
      </c>
      <c r="Q3620">
        <v>10926768</v>
      </c>
      <c r="R3620">
        <v>1.1399999999999999</v>
      </c>
      <c r="S3620" t="s">
        <v>559</v>
      </c>
      <c r="T3620" t="s">
        <v>323</v>
      </c>
      <c r="U3620">
        <v>1.64</v>
      </c>
      <c r="V3620">
        <v>9.73</v>
      </c>
      <c r="W3620">
        <v>6419</v>
      </c>
      <c r="X3620">
        <v>4809</v>
      </c>
      <c r="Y3620">
        <v>1.33</v>
      </c>
      <c r="Z3620">
        <v>223</v>
      </c>
      <c r="AA3620">
        <v>5</v>
      </c>
      <c r="AB3620" t="s">
        <v>116</v>
      </c>
      <c r="AC3620">
        <v>8700</v>
      </c>
      <c r="AD3620">
        <v>0</v>
      </c>
      <c r="AE3620" t="s">
        <v>116</v>
      </c>
      <c r="AF3620" t="s">
        <v>116</v>
      </c>
      <c r="AG3620">
        <v>0.82</v>
      </c>
      <c r="AH3620" t="s">
        <v>8012</v>
      </c>
      <c r="AI3620" t="s">
        <v>228</v>
      </c>
      <c r="AJ3620">
        <v>-0.64</v>
      </c>
      <c r="AK3620">
        <v>614</v>
      </c>
      <c r="AL3620">
        <v>18</v>
      </c>
      <c r="AM3620">
        <v>2.2000000000000001E-3</v>
      </c>
      <c r="AN3620">
        <v>-1</v>
      </c>
      <c r="AO3620">
        <v>0.72</v>
      </c>
      <c r="AP3620">
        <v>6.15</v>
      </c>
      <c r="AQ3620">
        <v>-1.63</v>
      </c>
      <c r="AR3620">
        <v>7.24</v>
      </c>
      <c r="AS3620">
        <v>2.06</v>
      </c>
      <c r="AT3620" t="s">
        <v>14997</v>
      </c>
      <c r="AU3620">
        <v>81.81</v>
      </c>
      <c r="AV3620">
        <v>41.59</v>
      </c>
      <c r="AW3620">
        <v>0.61</v>
      </c>
      <c r="BA3620">
        <v>-0.31</v>
      </c>
      <c r="BB3620">
        <v>0.82</v>
      </c>
      <c r="BC3620">
        <v>-0.82</v>
      </c>
      <c r="BD3620">
        <v>0.02</v>
      </c>
      <c r="BE3620">
        <v>-0.41</v>
      </c>
      <c r="BF3620">
        <v>-1.53</v>
      </c>
      <c r="BG3620">
        <v>0.1</v>
      </c>
      <c r="BH3620">
        <v>-0.74</v>
      </c>
      <c r="BI3620">
        <v>20191024</v>
      </c>
      <c r="BJ3620">
        <v>20170807</v>
      </c>
      <c r="BK3620">
        <v>1.69</v>
      </c>
      <c r="BL3620" t="s">
        <v>116</v>
      </c>
      <c r="BM3620" t="s">
        <v>116</v>
      </c>
      <c r="BN3620">
        <v>8.02</v>
      </c>
      <c r="BO3620">
        <v>5.69</v>
      </c>
      <c r="BP3620">
        <v>0.06</v>
      </c>
      <c r="BQ3620">
        <v>28.27</v>
      </c>
      <c r="BR3620">
        <v>4.79</v>
      </c>
      <c r="BS3620">
        <v>0.76</v>
      </c>
      <c r="BT3620">
        <v>0.28000000000000003</v>
      </c>
      <c r="BU3620">
        <v>2.17</v>
      </c>
      <c r="BV3620">
        <v>1.27</v>
      </c>
      <c r="BW3620">
        <v>1.3</v>
      </c>
      <c r="BX3620">
        <v>1.92</v>
      </c>
      <c r="BY3620">
        <v>3.52</v>
      </c>
      <c r="BZ3620">
        <v>2.7</v>
      </c>
      <c r="CA3620">
        <v>0.37</v>
      </c>
      <c r="CB3620">
        <v>0.01</v>
      </c>
      <c r="CC3620">
        <v>0.37</v>
      </c>
      <c r="CD3620">
        <v>0.32</v>
      </c>
      <c r="CE3620">
        <v>0.33</v>
      </c>
      <c r="CF3620">
        <v>0.32</v>
      </c>
      <c r="CG3620">
        <v>1.78</v>
      </c>
      <c r="CH3620">
        <v>7.0000000000000007E-2</v>
      </c>
      <c r="CI3620">
        <v>-1.37</v>
      </c>
      <c r="CJ3620">
        <v>10492</v>
      </c>
      <c r="CK3620">
        <v>5199</v>
      </c>
      <c r="CL3620" t="s">
        <v>4120</v>
      </c>
      <c r="CM3620">
        <v>-36.75</v>
      </c>
      <c r="CN3620">
        <v>0.37</v>
      </c>
      <c r="CO3620">
        <v>2.87</v>
      </c>
      <c r="CP3620">
        <v>248.88</v>
      </c>
      <c r="CQ3620">
        <v>4.6399999999999997</v>
      </c>
      <c r="CR3620">
        <v>1.27</v>
      </c>
      <c r="CS3620" t="s">
        <v>4390</v>
      </c>
      <c r="CT3620">
        <v>3.37</v>
      </c>
      <c r="CU3620">
        <v>0</v>
      </c>
      <c r="CV3620">
        <v>1.1299999999999999</v>
      </c>
      <c r="CW3620">
        <v>1.05</v>
      </c>
      <c r="CX3620">
        <v>0.04</v>
      </c>
      <c r="CY3620">
        <v>70.930000000000007</v>
      </c>
      <c r="CZ3620" t="s">
        <v>2468</v>
      </c>
      <c r="DA3620">
        <v>23.21</v>
      </c>
      <c r="DB3620">
        <v>10.44</v>
      </c>
      <c r="DC3620">
        <v>9.44</v>
      </c>
      <c r="DD3620">
        <v>0.17</v>
      </c>
      <c r="DE3620">
        <v>790</v>
      </c>
      <c r="DF3620">
        <v>603880</v>
      </c>
      <c r="DG3620" t="s">
        <v>116</v>
      </c>
      <c r="DH3620" t="s">
        <v>116</v>
      </c>
      <c r="DI3620" t="s">
        <v>116</v>
      </c>
    </row>
    <row r="3621" spans="1:113" x14ac:dyDescent="0.4">
      <c r="A3621" t="str">
        <f>"603881"</f>
        <v>603881</v>
      </c>
      <c r="B3621" t="s">
        <v>14998</v>
      </c>
      <c r="C3621">
        <v>-0.92</v>
      </c>
      <c r="D3621">
        <v>37.6</v>
      </c>
      <c r="E3621">
        <v>-0.35</v>
      </c>
      <c r="F3621">
        <v>37.58</v>
      </c>
      <c r="G3621">
        <v>37.6</v>
      </c>
      <c r="H3621">
        <v>30925</v>
      </c>
      <c r="I3621">
        <v>562</v>
      </c>
      <c r="J3621">
        <v>-0.1</v>
      </c>
      <c r="K3621">
        <v>2.42</v>
      </c>
      <c r="L3621">
        <v>37.94</v>
      </c>
      <c r="M3621">
        <v>38.49</v>
      </c>
      <c r="N3621">
        <v>37.56</v>
      </c>
      <c r="O3621">
        <v>37.950000000000003</v>
      </c>
      <c r="P3621">
        <v>63.53</v>
      </c>
      <c r="Q3621">
        <v>117883816</v>
      </c>
      <c r="R3621">
        <v>1.05</v>
      </c>
      <c r="S3621" t="s">
        <v>3586</v>
      </c>
      <c r="T3621" t="s">
        <v>1653</v>
      </c>
      <c r="U3621">
        <v>2.4500000000000002</v>
      </c>
      <c r="V3621">
        <v>38.119999999999997</v>
      </c>
      <c r="W3621">
        <v>17180</v>
      </c>
      <c r="X3621">
        <v>13745</v>
      </c>
      <c r="Y3621">
        <v>1.25</v>
      </c>
      <c r="Z3621">
        <v>20</v>
      </c>
      <c r="AA3621">
        <v>156</v>
      </c>
      <c r="AB3621" t="s">
        <v>116</v>
      </c>
      <c r="AC3621">
        <v>322500</v>
      </c>
      <c r="AD3621">
        <v>0.01</v>
      </c>
      <c r="AE3621" t="s">
        <v>116</v>
      </c>
      <c r="AF3621" t="s">
        <v>116</v>
      </c>
      <c r="AG3621">
        <v>1.28</v>
      </c>
      <c r="AH3621" t="s">
        <v>14999</v>
      </c>
      <c r="AI3621" t="s">
        <v>4485</v>
      </c>
      <c r="AJ3621">
        <v>-0.85</v>
      </c>
      <c r="AK3621">
        <v>2202</v>
      </c>
      <c r="AL3621">
        <v>14</v>
      </c>
      <c r="AM3621">
        <v>1.1000000000000001E-3</v>
      </c>
      <c r="AN3621">
        <v>-1</v>
      </c>
      <c r="AO3621">
        <v>0.86</v>
      </c>
      <c r="AP3621">
        <v>3.01</v>
      </c>
      <c r="AQ3621">
        <v>5.62</v>
      </c>
      <c r="AR3621">
        <v>52.41</v>
      </c>
      <c r="AS3621">
        <v>3.66</v>
      </c>
      <c r="AT3621" t="s">
        <v>5891</v>
      </c>
      <c r="AU3621">
        <v>56.36</v>
      </c>
      <c r="AV3621">
        <v>55.43</v>
      </c>
      <c r="AW3621">
        <v>1.1100000000000001</v>
      </c>
      <c r="BA3621">
        <v>-0.03</v>
      </c>
      <c r="BB3621">
        <v>1.42</v>
      </c>
      <c r="BC3621">
        <v>-1.03</v>
      </c>
      <c r="BD3621">
        <v>0.45</v>
      </c>
      <c r="BE3621">
        <v>-0.9</v>
      </c>
      <c r="BF3621">
        <v>-2.31</v>
      </c>
      <c r="BG3621">
        <v>0.11</v>
      </c>
      <c r="BH3621">
        <v>-1.37</v>
      </c>
      <c r="BI3621">
        <v>20191030</v>
      </c>
      <c r="BJ3621">
        <v>20170208</v>
      </c>
      <c r="BK3621">
        <v>2.11</v>
      </c>
      <c r="BL3621" t="s">
        <v>116</v>
      </c>
      <c r="BM3621" t="s">
        <v>116</v>
      </c>
      <c r="BN3621">
        <v>32.93</v>
      </c>
      <c r="BO3621">
        <v>10.81</v>
      </c>
      <c r="BP3621">
        <v>0.05</v>
      </c>
      <c r="BQ3621">
        <v>67.02</v>
      </c>
      <c r="BR3621">
        <v>4.99</v>
      </c>
      <c r="BS3621">
        <v>11.52</v>
      </c>
      <c r="BT3621">
        <v>0.09</v>
      </c>
      <c r="BU3621">
        <v>13.09</v>
      </c>
      <c r="BV3621">
        <v>0.23</v>
      </c>
      <c r="BW3621">
        <v>2.2400000000000002</v>
      </c>
      <c r="BX3621">
        <v>3.66</v>
      </c>
      <c r="BY3621">
        <v>5.57</v>
      </c>
      <c r="BZ3621">
        <v>3.46</v>
      </c>
      <c r="CA3621">
        <v>1.06</v>
      </c>
      <c r="CB3621">
        <v>0</v>
      </c>
      <c r="CC3621">
        <v>1.08</v>
      </c>
      <c r="CD3621">
        <v>0.93</v>
      </c>
      <c r="CE3621">
        <v>0.93</v>
      </c>
      <c r="CF3621">
        <v>0.87</v>
      </c>
      <c r="CG3621">
        <v>4.8</v>
      </c>
      <c r="CH3621">
        <v>2.15</v>
      </c>
      <c r="CI3621">
        <v>-2.0299999999999998</v>
      </c>
      <c r="CJ3621">
        <v>26224</v>
      </c>
      <c r="CK3621">
        <v>3225</v>
      </c>
      <c r="CL3621" t="s">
        <v>10236</v>
      </c>
      <c r="CM3621">
        <v>-2.46</v>
      </c>
      <c r="CN3621">
        <v>13.02</v>
      </c>
      <c r="CO3621">
        <v>7.32</v>
      </c>
      <c r="CP3621">
        <v>36.869999999999997</v>
      </c>
      <c r="CQ3621">
        <v>14.22</v>
      </c>
      <c r="CR3621">
        <v>0.19</v>
      </c>
      <c r="CS3621" t="s">
        <v>13682</v>
      </c>
      <c r="CT3621">
        <v>5.13</v>
      </c>
      <c r="CU3621">
        <v>0</v>
      </c>
      <c r="CV3621">
        <v>1.74</v>
      </c>
      <c r="CW3621">
        <v>2.2799999999999998</v>
      </c>
      <c r="CX3621">
        <v>1.02</v>
      </c>
      <c r="CY3621">
        <v>32.82</v>
      </c>
      <c r="CZ3621" t="s">
        <v>10257</v>
      </c>
      <c r="DA3621">
        <v>37.799999999999997</v>
      </c>
      <c r="DB3621">
        <v>19.05</v>
      </c>
      <c r="DC3621">
        <v>16.78</v>
      </c>
      <c r="DD3621">
        <v>0.21</v>
      </c>
      <c r="DE3621">
        <v>417</v>
      </c>
      <c r="DF3621">
        <v>603881</v>
      </c>
      <c r="DG3621" t="s">
        <v>116</v>
      </c>
      <c r="DH3621" t="s">
        <v>116</v>
      </c>
      <c r="DI3621" t="s">
        <v>116</v>
      </c>
    </row>
    <row r="3622" spans="1:113" x14ac:dyDescent="0.4">
      <c r="A3622" t="str">
        <f>"603882"</f>
        <v>603882</v>
      </c>
      <c r="B3622" t="s">
        <v>15000</v>
      </c>
      <c r="C3622">
        <v>-0.32</v>
      </c>
      <c r="D3622">
        <v>49.52</v>
      </c>
      <c r="E3622">
        <v>-0.16</v>
      </c>
      <c r="F3622">
        <v>49.52</v>
      </c>
      <c r="G3622">
        <v>49.57</v>
      </c>
      <c r="H3622">
        <v>36809</v>
      </c>
      <c r="I3622">
        <v>306</v>
      </c>
      <c r="J3622">
        <v>0.12</v>
      </c>
      <c r="K3622">
        <v>1.32</v>
      </c>
      <c r="L3622">
        <v>49.5</v>
      </c>
      <c r="M3622">
        <v>50.26</v>
      </c>
      <c r="N3622">
        <v>49.4</v>
      </c>
      <c r="O3622">
        <v>49.68</v>
      </c>
      <c r="P3622">
        <v>53.3</v>
      </c>
      <c r="Q3622">
        <v>183604528</v>
      </c>
      <c r="R3622">
        <v>1.26</v>
      </c>
      <c r="S3622" t="s">
        <v>559</v>
      </c>
      <c r="T3622" t="s">
        <v>551</v>
      </c>
      <c r="U3622">
        <v>1.73</v>
      </c>
      <c r="V3622">
        <v>49.88</v>
      </c>
      <c r="W3622">
        <v>19944</v>
      </c>
      <c r="X3622">
        <v>16865</v>
      </c>
      <c r="Y3622">
        <v>1.18</v>
      </c>
      <c r="Z3622">
        <v>34</v>
      </c>
      <c r="AA3622">
        <v>3</v>
      </c>
      <c r="AB3622" t="s">
        <v>116</v>
      </c>
      <c r="AC3622">
        <v>951500</v>
      </c>
      <c r="AD3622">
        <v>0.01</v>
      </c>
      <c r="AE3622" t="s">
        <v>116</v>
      </c>
      <c r="AF3622" t="s">
        <v>116</v>
      </c>
      <c r="AG3622">
        <v>2.8</v>
      </c>
      <c r="AH3622" t="s">
        <v>15001</v>
      </c>
      <c r="AI3622" t="s">
        <v>15002</v>
      </c>
      <c r="AJ3622">
        <v>-0.25</v>
      </c>
      <c r="AK3622">
        <v>2730</v>
      </c>
      <c r="AL3622">
        <v>13</v>
      </c>
      <c r="AM3622">
        <v>5.0000000000000001E-4</v>
      </c>
      <c r="AN3622">
        <v>-2</v>
      </c>
      <c r="AO3622">
        <v>-0.66</v>
      </c>
      <c r="AP3622">
        <v>1.89</v>
      </c>
      <c r="AQ3622">
        <v>-11.4</v>
      </c>
      <c r="AR3622">
        <v>123.34</v>
      </c>
      <c r="AS3622">
        <v>2.06</v>
      </c>
      <c r="AT3622" t="s">
        <v>15003</v>
      </c>
      <c r="AU3622">
        <v>58.43</v>
      </c>
      <c r="AV3622">
        <v>97.18</v>
      </c>
      <c r="AW3622">
        <v>1.07</v>
      </c>
      <c r="BA3622">
        <v>-0.36</v>
      </c>
      <c r="BB3622">
        <v>1.17</v>
      </c>
      <c r="BC3622">
        <v>-0.56000000000000005</v>
      </c>
      <c r="BD3622">
        <v>0.4</v>
      </c>
      <c r="BE3622">
        <v>0.04</v>
      </c>
      <c r="BF3622">
        <v>-1.47</v>
      </c>
      <c r="BG3622">
        <v>0.24</v>
      </c>
      <c r="BH3622">
        <v>-0.72</v>
      </c>
      <c r="BI3622">
        <v>20191023</v>
      </c>
      <c r="BJ3622">
        <v>20170908</v>
      </c>
      <c r="BK3622">
        <v>4.58</v>
      </c>
      <c r="BL3622" t="s">
        <v>116</v>
      </c>
      <c r="BM3622" t="s">
        <v>116</v>
      </c>
      <c r="BN3622">
        <v>43.89</v>
      </c>
      <c r="BO3622">
        <v>21.88</v>
      </c>
      <c r="BP3622">
        <v>0.49</v>
      </c>
      <c r="BQ3622">
        <v>49.04</v>
      </c>
      <c r="BR3622">
        <v>28.19</v>
      </c>
      <c r="BS3622">
        <v>10.96</v>
      </c>
      <c r="BT3622">
        <v>0.83</v>
      </c>
      <c r="BU3622">
        <v>16.809999999999999</v>
      </c>
      <c r="BV3622">
        <v>1.85</v>
      </c>
      <c r="BW3622">
        <v>16.82</v>
      </c>
      <c r="BX3622">
        <v>8.5399999999999991</v>
      </c>
      <c r="BY3622">
        <v>39.200000000000003</v>
      </c>
      <c r="BZ3622">
        <v>23.58</v>
      </c>
      <c r="CA3622">
        <v>3.95</v>
      </c>
      <c r="CB3622">
        <v>0.42</v>
      </c>
      <c r="CC3622">
        <v>3.97</v>
      </c>
      <c r="CD3622">
        <v>3.27</v>
      </c>
      <c r="CE3622">
        <v>3.19</v>
      </c>
      <c r="CF3622">
        <v>2.59</v>
      </c>
      <c r="CG3622">
        <v>8.2799999999999994</v>
      </c>
      <c r="CH3622">
        <v>3.65</v>
      </c>
      <c r="CI3622">
        <v>-0.08</v>
      </c>
      <c r="CJ3622">
        <v>14774</v>
      </c>
      <c r="CK3622">
        <v>12080</v>
      </c>
      <c r="CL3622" t="s">
        <v>15004</v>
      </c>
      <c r="CM3622">
        <v>94.16</v>
      </c>
      <c r="CN3622">
        <v>18.170000000000002</v>
      </c>
      <c r="CO3622">
        <v>10.36</v>
      </c>
      <c r="CP3622">
        <v>62.15</v>
      </c>
      <c r="CQ3622">
        <v>5.78</v>
      </c>
      <c r="CR3622">
        <v>0.22</v>
      </c>
      <c r="CS3622" t="s">
        <v>15005</v>
      </c>
      <c r="CT3622">
        <v>4.78</v>
      </c>
      <c r="CU3622">
        <v>0</v>
      </c>
      <c r="CV3622">
        <v>1.86</v>
      </c>
      <c r="CW3622">
        <v>1.81</v>
      </c>
      <c r="CX3622">
        <v>0.8</v>
      </c>
      <c r="CY3622">
        <v>49.85</v>
      </c>
      <c r="CZ3622" t="s">
        <v>12519</v>
      </c>
      <c r="DA3622">
        <v>39.86</v>
      </c>
      <c r="DB3622">
        <v>10.07</v>
      </c>
      <c r="DC3622">
        <v>8.14</v>
      </c>
      <c r="DD3622">
        <v>2.31</v>
      </c>
      <c r="DE3622">
        <v>9171</v>
      </c>
      <c r="DF3622">
        <v>603882</v>
      </c>
      <c r="DG3622" t="s">
        <v>116</v>
      </c>
      <c r="DH3622" t="s">
        <v>116</v>
      </c>
      <c r="DI3622" t="s">
        <v>116</v>
      </c>
    </row>
    <row r="3623" spans="1:113" x14ac:dyDescent="0.4">
      <c r="A3623" t="str">
        <f>"603883"</f>
        <v>603883</v>
      </c>
      <c r="B3623" t="s">
        <v>15006</v>
      </c>
      <c r="C3623">
        <v>1.1000000000000001</v>
      </c>
      <c r="D3623">
        <v>63.24</v>
      </c>
      <c r="E3623">
        <v>0.69</v>
      </c>
      <c r="F3623">
        <v>63.24</v>
      </c>
      <c r="G3623">
        <v>63.27</v>
      </c>
      <c r="H3623">
        <v>24537</v>
      </c>
      <c r="I3623">
        <v>244</v>
      </c>
      <c r="J3623">
        <v>0.7</v>
      </c>
      <c r="K3623">
        <v>0.92</v>
      </c>
      <c r="L3623">
        <v>62</v>
      </c>
      <c r="M3623">
        <v>64.42</v>
      </c>
      <c r="N3623">
        <v>62</v>
      </c>
      <c r="O3623">
        <v>62.55</v>
      </c>
      <c r="P3623">
        <v>34.49</v>
      </c>
      <c r="Q3623">
        <v>156119520</v>
      </c>
      <c r="R3623">
        <v>1.25</v>
      </c>
      <c r="S3623" t="s">
        <v>278</v>
      </c>
      <c r="T3623" t="s">
        <v>599</v>
      </c>
      <c r="U3623">
        <v>3.87</v>
      </c>
      <c r="V3623">
        <v>63.63</v>
      </c>
      <c r="W3623">
        <v>11372</v>
      </c>
      <c r="X3623">
        <v>13165</v>
      </c>
      <c r="Y3623">
        <v>0.86</v>
      </c>
      <c r="Z3623">
        <v>12</v>
      </c>
      <c r="AA3623">
        <v>119</v>
      </c>
      <c r="AB3623" t="s">
        <v>116</v>
      </c>
      <c r="AC3623">
        <v>737800</v>
      </c>
      <c r="AD3623">
        <v>0.01</v>
      </c>
      <c r="AE3623" t="s">
        <v>116</v>
      </c>
      <c r="AF3623" t="s">
        <v>116</v>
      </c>
      <c r="AG3623">
        <v>2.67</v>
      </c>
      <c r="AH3623" t="s">
        <v>15007</v>
      </c>
      <c r="AI3623" t="s">
        <v>15008</v>
      </c>
      <c r="AJ3623">
        <v>1.18</v>
      </c>
      <c r="AK3623">
        <v>2306</v>
      </c>
      <c r="AL3623">
        <v>11</v>
      </c>
      <c r="AM3623">
        <v>4.0000000000000002E-4</v>
      </c>
      <c r="AN3623">
        <v>3</v>
      </c>
      <c r="AO3623">
        <v>2.0699999999999998</v>
      </c>
      <c r="AP3623">
        <v>-7.54</v>
      </c>
      <c r="AQ3623">
        <v>-16.079999999999998</v>
      </c>
      <c r="AR3623">
        <v>35.39</v>
      </c>
      <c r="AS3623">
        <v>2.38</v>
      </c>
      <c r="AT3623" t="s">
        <v>6858</v>
      </c>
      <c r="AU3623">
        <v>35.93</v>
      </c>
      <c r="AV3623">
        <v>41.67</v>
      </c>
      <c r="AW3623">
        <v>0.87</v>
      </c>
      <c r="BA3623">
        <v>-0.88</v>
      </c>
      <c r="BB3623">
        <v>2.99</v>
      </c>
      <c r="BC3623">
        <v>-0.88</v>
      </c>
      <c r="BD3623">
        <v>1.72</v>
      </c>
      <c r="BE3623">
        <v>2</v>
      </c>
      <c r="BF3623">
        <v>-1.83</v>
      </c>
      <c r="BG3623">
        <v>2</v>
      </c>
      <c r="BH3623">
        <v>-0.62</v>
      </c>
      <c r="BI3623">
        <v>20191129</v>
      </c>
      <c r="BJ3623">
        <v>20150423</v>
      </c>
      <c r="BK3623">
        <v>2.87</v>
      </c>
      <c r="BL3623" t="s">
        <v>116</v>
      </c>
      <c r="BM3623" t="s">
        <v>116</v>
      </c>
      <c r="BN3623">
        <v>93.48</v>
      </c>
      <c r="BO3623">
        <v>33.67</v>
      </c>
      <c r="BP3623">
        <v>3.45</v>
      </c>
      <c r="BQ3623">
        <v>60.3</v>
      </c>
      <c r="BR3623">
        <v>47.98</v>
      </c>
      <c r="BS3623">
        <v>4.95</v>
      </c>
      <c r="BT3623">
        <v>7.24</v>
      </c>
      <c r="BU3623">
        <v>51.16</v>
      </c>
      <c r="BV3623">
        <v>18.86</v>
      </c>
      <c r="BW3623">
        <v>9.6199999999999992</v>
      </c>
      <c r="BX3623">
        <v>13.61</v>
      </c>
      <c r="BY3623">
        <v>83.7</v>
      </c>
      <c r="BZ3623">
        <v>55.33</v>
      </c>
      <c r="CA3623">
        <v>5.78</v>
      </c>
      <c r="CB3623">
        <v>0</v>
      </c>
      <c r="CC3623">
        <v>5.8</v>
      </c>
      <c r="CD3623">
        <v>4.66</v>
      </c>
      <c r="CE3623">
        <v>3.94</v>
      </c>
      <c r="CF3623">
        <v>3.73</v>
      </c>
      <c r="CG3623">
        <v>16.059999999999999</v>
      </c>
      <c r="CH3623">
        <v>7.07</v>
      </c>
      <c r="CI3623">
        <v>1.0900000000000001</v>
      </c>
      <c r="CJ3623">
        <v>9268</v>
      </c>
      <c r="CK3623">
        <v>11145</v>
      </c>
      <c r="CL3623" t="s">
        <v>15009</v>
      </c>
      <c r="CM3623">
        <v>21.44</v>
      </c>
      <c r="CN3623">
        <v>23.59</v>
      </c>
      <c r="CO3623">
        <v>5.47</v>
      </c>
      <c r="CP3623">
        <v>25.63</v>
      </c>
      <c r="CQ3623">
        <v>2.17</v>
      </c>
      <c r="CR3623">
        <v>0.79</v>
      </c>
      <c r="CS3623" t="s">
        <v>3035</v>
      </c>
      <c r="CT3623">
        <v>11.55</v>
      </c>
      <c r="CU3623">
        <v>11.55</v>
      </c>
      <c r="CV3623">
        <v>4.75</v>
      </c>
      <c r="CW3623">
        <v>5.6</v>
      </c>
      <c r="CX3623">
        <v>2.4700000000000002</v>
      </c>
      <c r="CY3623">
        <v>36.01</v>
      </c>
      <c r="CZ3623" t="s">
        <v>5550</v>
      </c>
      <c r="DA3623">
        <v>33.89</v>
      </c>
      <c r="DB3623">
        <v>6.91</v>
      </c>
      <c r="DC3623">
        <v>4.71</v>
      </c>
      <c r="DD3623">
        <v>0</v>
      </c>
      <c r="DE3623">
        <v>19817</v>
      </c>
      <c r="DF3623">
        <v>603883</v>
      </c>
      <c r="DG3623" t="s">
        <v>116</v>
      </c>
      <c r="DH3623" t="s">
        <v>116</v>
      </c>
      <c r="DI3623" t="s">
        <v>116</v>
      </c>
    </row>
    <row r="3624" spans="1:113" x14ac:dyDescent="0.4">
      <c r="A3624" t="str">
        <f>"603885"</f>
        <v>603885</v>
      </c>
      <c r="B3624" t="s">
        <v>15010</v>
      </c>
      <c r="C3624">
        <v>2.85</v>
      </c>
      <c r="D3624">
        <v>14.81</v>
      </c>
      <c r="E3624">
        <v>0.41</v>
      </c>
      <c r="F3624">
        <v>14.8</v>
      </c>
      <c r="G3624">
        <v>14.81</v>
      </c>
      <c r="H3624">
        <v>150993</v>
      </c>
      <c r="I3624">
        <v>1082</v>
      </c>
      <c r="J3624">
        <v>0.14000000000000001</v>
      </c>
      <c r="K3624">
        <v>0.84</v>
      </c>
      <c r="L3624">
        <v>14.43</v>
      </c>
      <c r="M3624">
        <v>14.94</v>
      </c>
      <c r="N3624">
        <v>14.41</v>
      </c>
      <c r="O3624">
        <v>14.4</v>
      </c>
      <c r="P3624">
        <v>17.670000000000002</v>
      </c>
      <c r="Q3624">
        <v>223362560</v>
      </c>
      <c r="R3624">
        <v>1.78</v>
      </c>
      <c r="S3624" t="s">
        <v>544</v>
      </c>
      <c r="T3624" t="s">
        <v>1653</v>
      </c>
      <c r="U3624">
        <v>3.68</v>
      </c>
      <c r="V3624">
        <v>14.79</v>
      </c>
      <c r="W3624">
        <v>79630</v>
      </c>
      <c r="X3624">
        <v>71363</v>
      </c>
      <c r="Y3624">
        <v>1.1200000000000001</v>
      </c>
      <c r="Z3624">
        <v>175</v>
      </c>
      <c r="AA3624">
        <v>23</v>
      </c>
      <c r="AB3624" t="s">
        <v>116</v>
      </c>
      <c r="AC3624">
        <v>330400</v>
      </c>
      <c r="AD3624">
        <v>0</v>
      </c>
      <c r="AE3624" t="s">
        <v>116</v>
      </c>
      <c r="AF3624" t="s">
        <v>116</v>
      </c>
      <c r="AG3624">
        <v>17.97</v>
      </c>
      <c r="AH3624" t="s">
        <v>15011</v>
      </c>
      <c r="AI3624" t="s">
        <v>15012</v>
      </c>
      <c r="AJ3624">
        <v>2.92</v>
      </c>
      <c r="AK3624">
        <v>3587</v>
      </c>
      <c r="AL3624">
        <v>42</v>
      </c>
      <c r="AM3624">
        <v>2.0000000000000001E-4</v>
      </c>
      <c r="AN3624">
        <v>5</v>
      </c>
      <c r="AO3624">
        <v>4.97</v>
      </c>
      <c r="AP3624">
        <v>5.94</v>
      </c>
      <c r="AQ3624">
        <v>6.78</v>
      </c>
      <c r="AR3624">
        <v>18.2</v>
      </c>
      <c r="AS3624">
        <v>2.3199999999999998</v>
      </c>
      <c r="AT3624" t="s">
        <v>15013</v>
      </c>
      <c r="AU3624">
        <v>28.15</v>
      </c>
      <c r="AV3624">
        <v>23.62</v>
      </c>
      <c r="AW3624">
        <v>1.06</v>
      </c>
      <c r="BA3624">
        <v>0.21</v>
      </c>
      <c r="BB3624">
        <v>3.75</v>
      </c>
      <c r="BC3624">
        <v>7.0000000000000007E-2</v>
      </c>
      <c r="BD3624">
        <v>2.73</v>
      </c>
      <c r="BE3624">
        <v>2.63</v>
      </c>
      <c r="BF3624">
        <v>-0.87</v>
      </c>
      <c r="BG3624">
        <v>2.78</v>
      </c>
      <c r="BH3624">
        <v>0.12</v>
      </c>
      <c r="BI3624">
        <v>20191031</v>
      </c>
      <c r="BJ3624">
        <v>20150527</v>
      </c>
      <c r="BK3624">
        <v>19.66</v>
      </c>
      <c r="BL3624" t="s">
        <v>116</v>
      </c>
      <c r="BM3624" t="s">
        <v>116</v>
      </c>
      <c r="BN3624">
        <v>287.05</v>
      </c>
      <c r="BO3624">
        <v>125.06</v>
      </c>
      <c r="BP3624">
        <v>1.91</v>
      </c>
      <c r="BQ3624">
        <v>55.77</v>
      </c>
      <c r="BR3624">
        <v>58.24</v>
      </c>
      <c r="BS3624">
        <v>118.09</v>
      </c>
      <c r="BT3624">
        <v>1.25</v>
      </c>
      <c r="BU3624">
        <v>82.14</v>
      </c>
      <c r="BV3624">
        <v>1.8</v>
      </c>
      <c r="BW3624">
        <v>4.29</v>
      </c>
      <c r="BX3624">
        <v>51.3</v>
      </c>
      <c r="BY3624">
        <v>130.04</v>
      </c>
      <c r="BZ3624">
        <v>106.54</v>
      </c>
      <c r="CA3624">
        <v>15.96</v>
      </c>
      <c r="CB3624">
        <v>0.01</v>
      </c>
      <c r="CC3624">
        <v>16.899999999999999</v>
      </c>
      <c r="CD3624">
        <v>12.56</v>
      </c>
      <c r="CE3624">
        <v>12.36</v>
      </c>
      <c r="CF3624">
        <v>11.53</v>
      </c>
      <c r="CG3624">
        <v>50.49</v>
      </c>
      <c r="CH3624">
        <v>20.59</v>
      </c>
      <c r="CI3624">
        <v>9.9</v>
      </c>
      <c r="CJ3624">
        <v>29053</v>
      </c>
      <c r="CK3624">
        <v>22385</v>
      </c>
      <c r="CL3624" t="s">
        <v>15014</v>
      </c>
      <c r="CM3624">
        <v>-13.84</v>
      </c>
      <c r="CN3624">
        <v>17.02</v>
      </c>
      <c r="CO3624">
        <v>2.33</v>
      </c>
      <c r="CP3624">
        <v>14.14</v>
      </c>
      <c r="CQ3624">
        <v>2.2400000000000002</v>
      </c>
      <c r="CR3624">
        <v>0</v>
      </c>
      <c r="CS3624" t="s">
        <v>1945</v>
      </c>
      <c r="CT3624">
        <v>6.36</v>
      </c>
      <c r="CU3624">
        <v>0</v>
      </c>
      <c r="CV3624">
        <v>2.61</v>
      </c>
      <c r="CW3624">
        <v>2.57</v>
      </c>
      <c r="CX3624">
        <v>1.05</v>
      </c>
      <c r="CY3624">
        <v>43.57</v>
      </c>
      <c r="CZ3624" t="s">
        <v>2646</v>
      </c>
      <c r="DA3624">
        <v>18.07</v>
      </c>
      <c r="DB3624">
        <v>12.28</v>
      </c>
      <c r="DC3624">
        <v>9.5</v>
      </c>
      <c r="DD3624">
        <v>0.35</v>
      </c>
      <c r="DE3624">
        <v>7499</v>
      </c>
      <c r="DF3624">
        <v>603885</v>
      </c>
      <c r="DG3624" t="s">
        <v>116</v>
      </c>
      <c r="DH3624" t="s">
        <v>116</v>
      </c>
      <c r="DI3624" t="s">
        <v>116</v>
      </c>
    </row>
    <row r="3625" spans="1:113" x14ac:dyDescent="0.4">
      <c r="A3625" t="str">
        <f>"603886"</f>
        <v>603886</v>
      </c>
      <c r="B3625" t="s">
        <v>15015</v>
      </c>
      <c r="C3625">
        <v>0.12</v>
      </c>
      <c r="D3625">
        <v>17.2</v>
      </c>
      <c r="E3625">
        <v>0.02</v>
      </c>
      <c r="F3625">
        <v>17.18</v>
      </c>
      <c r="G3625">
        <v>17.2</v>
      </c>
      <c r="H3625">
        <v>30133</v>
      </c>
      <c r="I3625">
        <v>969</v>
      </c>
      <c r="J3625">
        <v>0.12</v>
      </c>
      <c r="K3625">
        <v>1.26</v>
      </c>
      <c r="L3625">
        <v>17.260000000000002</v>
      </c>
      <c r="M3625">
        <v>17.32</v>
      </c>
      <c r="N3625">
        <v>17.09</v>
      </c>
      <c r="O3625">
        <v>17.18</v>
      </c>
      <c r="P3625">
        <v>11.24</v>
      </c>
      <c r="Q3625">
        <v>51866096</v>
      </c>
      <c r="R3625">
        <v>1.43</v>
      </c>
      <c r="S3625" t="s">
        <v>863</v>
      </c>
      <c r="T3625" t="s">
        <v>1653</v>
      </c>
      <c r="U3625">
        <v>1.34</v>
      </c>
      <c r="V3625">
        <v>17.21</v>
      </c>
      <c r="W3625">
        <v>16161</v>
      </c>
      <c r="X3625">
        <v>13972</v>
      </c>
      <c r="Y3625">
        <v>1.1599999999999999</v>
      </c>
      <c r="Z3625">
        <v>23</v>
      </c>
      <c r="AA3625">
        <v>536</v>
      </c>
      <c r="AB3625" t="s">
        <v>116</v>
      </c>
      <c r="AC3625">
        <v>141500</v>
      </c>
      <c r="AD3625">
        <v>0.01</v>
      </c>
      <c r="AE3625" t="s">
        <v>116</v>
      </c>
      <c r="AF3625" t="s">
        <v>116</v>
      </c>
      <c r="AG3625">
        <v>2.4</v>
      </c>
      <c r="AH3625" t="s">
        <v>5725</v>
      </c>
      <c r="AI3625" t="s">
        <v>5725</v>
      </c>
      <c r="AJ3625">
        <v>0.19</v>
      </c>
      <c r="AK3625">
        <v>1430</v>
      </c>
      <c r="AL3625">
        <v>21</v>
      </c>
      <c r="AM3625">
        <v>8.9999999999999998E-4</v>
      </c>
      <c r="AN3625">
        <v>1</v>
      </c>
      <c r="AO3625">
        <v>0.35</v>
      </c>
      <c r="AP3625">
        <v>-6.72</v>
      </c>
      <c r="AQ3625">
        <v>-8.51</v>
      </c>
      <c r="AR3625">
        <v>2.14</v>
      </c>
      <c r="AS3625">
        <v>3.97</v>
      </c>
      <c r="AT3625" t="s">
        <v>6997</v>
      </c>
      <c r="AU3625">
        <v>15.91</v>
      </c>
      <c r="AV3625">
        <v>17.079999999999998</v>
      </c>
      <c r="AW3625">
        <v>0.01</v>
      </c>
      <c r="BA3625">
        <v>0.47</v>
      </c>
      <c r="BB3625">
        <v>0.81</v>
      </c>
      <c r="BC3625">
        <v>-0.52</v>
      </c>
      <c r="BD3625">
        <v>0.19</v>
      </c>
      <c r="BE3625">
        <v>-0.35</v>
      </c>
      <c r="BF3625">
        <v>-0.69</v>
      </c>
      <c r="BG3625">
        <v>0.64</v>
      </c>
      <c r="BH3625">
        <v>-7.0000000000000007E-2</v>
      </c>
      <c r="BI3625">
        <v>20191227</v>
      </c>
      <c r="BJ3625">
        <v>20161228</v>
      </c>
      <c r="BK3625">
        <v>2.4</v>
      </c>
      <c r="BL3625" t="s">
        <v>116</v>
      </c>
      <c r="BM3625" t="s">
        <v>116</v>
      </c>
      <c r="BN3625">
        <v>28.63</v>
      </c>
      <c r="BO3625">
        <v>15.18</v>
      </c>
      <c r="BP3625">
        <v>0.01</v>
      </c>
      <c r="BQ3625">
        <v>46.95</v>
      </c>
      <c r="BR3625">
        <v>20.68</v>
      </c>
      <c r="BS3625">
        <v>3.03</v>
      </c>
      <c r="BT3625">
        <v>0.25</v>
      </c>
      <c r="BU3625">
        <v>13.33</v>
      </c>
      <c r="BV3625">
        <v>0.68</v>
      </c>
      <c r="BW3625">
        <v>2.2200000000000002</v>
      </c>
      <c r="BX3625">
        <v>5.15</v>
      </c>
      <c r="BY3625">
        <v>17.89</v>
      </c>
      <c r="BZ3625">
        <v>6.1</v>
      </c>
      <c r="CA3625">
        <v>3.54</v>
      </c>
      <c r="CB3625">
        <v>0.11</v>
      </c>
      <c r="CC3625">
        <v>3.38</v>
      </c>
      <c r="CD3625">
        <v>2.75</v>
      </c>
      <c r="CE3625">
        <v>2.75</v>
      </c>
      <c r="CF3625">
        <v>2.65</v>
      </c>
      <c r="CG3625">
        <v>6.31</v>
      </c>
      <c r="CH3625">
        <v>6.33</v>
      </c>
      <c r="CI3625">
        <v>-0.05</v>
      </c>
      <c r="CJ3625">
        <v>14458</v>
      </c>
      <c r="CK3625">
        <v>5251</v>
      </c>
      <c r="CL3625" t="s">
        <v>12277</v>
      </c>
      <c r="CM3625">
        <v>6.94</v>
      </c>
      <c r="CN3625">
        <v>8.84</v>
      </c>
      <c r="CO3625">
        <v>2.72</v>
      </c>
      <c r="CP3625">
        <v>6.52</v>
      </c>
      <c r="CQ3625">
        <v>2.31</v>
      </c>
      <c r="CR3625">
        <v>3.84</v>
      </c>
      <c r="CS3625" t="s">
        <v>15016</v>
      </c>
      <c r="CT3625">
        <v>6.33</v>
      </c>
      <c r="CU3625">
        <v>0</v>
      </c>
      <c r="CV3625">
        <v>2.15</v>
      </c>
      <c r="CW3625">
        <v>2.63</v>
      </c>
      <c r="CX3625">
        <v>2.64</v>
      </c>
      <c r="CY3625">
        <v>53.03</v>
      </c>
      <c r="CZ3625" t="s">
        <v>15017</v>
      </c>
      <c r="DA3625">
        <v>65.91</v>
      </c>
      <c r="DB3625">
        <v>19.77</v>
      </c>
      <c r="DC3625">
        <v>15.39</v>
      </c>
      <c r="DD3625">
        <v>0.11</v>
      </c>
      <c r="DE3625">
        <v>4635</v>
      </c>
      <c r="DF3625">
        <v>603886</v>
      </c>
      <c r="DG3625" t="s">
        <v>116</v>
      </c>
      <c r="DH3625" t="s">
        <v>116</v>
      </c>
      <c r="DI3625" t="s">
        <v>116</v>
      </c>
    </row>
    <row r="3626" spans="1:113" x14ac:dyDescent="0.4">
      <c r="A3626" t="str">
        <f>"603887"</f>
        <v>603887</v>
      </c>
      <c r="B3626" t="s">
        <v>15018</v>
      </c>
      <c r="C3626">
        <v>-2.58</v>
      </c>
      <c r="D3626">
        <v>24.16</v>
      </c>
      <c r="E3626">
        <v>-0.64</v>
      </c>
      <c r="F3626">
        <v>24.15</v>
      </c>
      <c r="G3626">
        <v>24.16</v>
      </c>
      <c r="H3626">
        <v>36075</v>
      </c>
      <c r="I3626">
        <v>359</v>
      </c>
      <c r="J3626">
        <v>-0.03</v>
      </c>
      <c r="K3626">
        <v>2.5499999999999998</v>
      </c>
      <c r="L3626">
        <v>24.92</v>
      </c>
      <c r="M3626">
        <v>25.25</v>
      </c>
      <c r="N3626">
        <v>24.14</v>
      </c>
      <c r="O3626">
        <v>24.8</v>
      </c>
      <c r="P3626">
        <v>19.48</v>
      </c>
      <c r="Q3626">
        <v>88603376</v>
      </c>
      <c r="R3626">
        <v>0.88</v>
      </c>
      <c r="S3626" t="s">
        <v>181</v>
      </c>
      <c r="T3626" t="s">
        <v>1653</v>
      </c>
      <c r="U3626">
        <v>4.4800000000000004</v>
      </c>
      <c r="V3626">
        <v>24.56</v>
      </c>
      <c r="W3626">
        <v>22479</v>
      </c>
      <c r="X3626">
        <v>13596</v>
      </c>
      <c r="Y3626">
        <v>1.65</v>
      </c>
      <c r="Z3626">
        <v>284</v>
      </c>
      <c r="AA3626">
        <v>40</v>
      </c>
      <c r="AB3626" t="s">
        <v>116</v>
      </c>
      <c r="AC3626">
        <v>176900</v>
      </c>
      <c r="AD3626">
        <v>0.01</v>
      </c>
      <c r="AE3626" t="s">
        <v>116</v>
      </c>
      <c r="AF3626" t="s">
        <v>116</v>
      </c>
      <c r="AG3626">
        <v>1.41</v>
      </c>
      <c r="AH3626" t="s">
        <v>15019</v>
      </c>
      <c r="AI3626" t="s">
        <v>15020</v>
      </c>
      <c r="AJ3626">
        <v>-2.5</v>
      </c>
      <c r="AK3626">
        <v>1785</v>
      </c>
      <c r="AL3626">
        <v>20</v>
      </c>
      <c r="AM3626">
        <v>1.4E-3</v>
      </c>
      <c r="AN3626">
        <v>-1</v>
      </c>
      <c r="AO3626">
        <v>1.3</v>
      </c>
      <c r="AP3626">
        <v>14.94</v>
      </c>
      <c r="AQ3626">
        <v>32.53</v>
      </c>
      <c r="AR3626">
        <v>73.069999999999993</v>
      </c>
      <c r="AS3626">
        <v>4.24</v>
      </c>
      <c r="AT3626" t="s">
        <v>1235</v>
      </c>
      <c r="AU3626">
        <v>25.84</v>
      </c>
      <c r="AV3626">
        <v>89.81</v>
      </c>
      <c r="AW3626">
        <v>1.62</v>
      </c>
      <c r="BA3626">
        <v>0.48</v>
      </c>
      <c r="BB3626">
        <v>1.81</v>
      </c>
      <c r="BC3626">
        <v>-2.66</v>
      </c>
      <c r="BD3626">
        <v>-0.96</v>
      </c>
      <c r="BE3626">
        <v>-3.05</v>
      </c>
      <c r="BF3626">
        <v>-4.32</v>
      </c>
      <c r="BG3626">
        <v>0.08</v>
      </c>
      <c r="BH3626">
        <v>-1.62</v>
      </c>
      <c r="BI3626">
        <v>20191111</v>
      </c>
      <c r="BJ3626">
        <v>20161010</v>
      </c>
      <c r="BK3626">
        <v>2.68</v>
      </c>
      <c r="BL3626" t="s">
        <v>116</v>
      </c>
      <c r="BM3626" t="s">
        <v>116</v>
      </c>
      <c r="BN3626">
        <v>57.82</v>
      </c>
      <c r="BO3626">
        <v>30.67</v>
      </c>
      <c r="BP3626">
        <v>0.03</v>
      </c>
      <c r="BQ3626">
        <v>46.89</v>
      </c>
      <c r="BR3626">
        <v>34.9</v>
      </c>
      <c r="BS3626">
        <v>5.7</v>
      </c>
      <c r="BT3626">
        <v>1.02</v>
      </c>
      <c r="BU3626">
        <v>24.08</v>
      </c>
      <c r="BV3626">
        <v>10.130000000000001</v>
      </c>
      <c r="BW3626">
        <v>15.03</v>
      </c>
      <c r="BX3626">
        <v>22.63</v>
      </c>
      <c r="BY3626">
        <v>20.21</v>
      </c>
      <c r="BZ3626">
        <v>14.93</v>
      </c>
      <c r="CA3626">
        <v>2.89</v>
      </c>
      <c r="CB3626">
        <v>0.02</v>
      </c>
      <c r="CC3626">
        <v>2.92</v>
      </c>
      <c r="CD3626">
        <v>2.5</v>
      </c>
      <c r="CE3626">
        <v>2.5</v>
      </c>
      <c r="CF3626">
        <v>2.42</v>
      </c>
      <c r="CG3626">
        <v>5.42</v>
      </c>
      <c r="CH3626">
        <v>-0.73</v>
      </c>
      <c r="CI3626">
        <v>1.18</v>
      </c>
      <c r="CJ3626">
        <v>10596</v>
      </c>
      <c r="CK3626">
        <v>8023</v>
      </c>
      <c r="CL3626" t="s">
        <v>15021</v>
      </c>
      <c r="CM3626">
        <v>251.8</v>
      </c>
      <c r="CN3626">
        <v>97.72</v>
      </c>
      <c r="CO3626">
        <v>2.0299999999999998</v>
      </c>
      <c r="CP3626">
        <v>-89.08</v>
      </c>
      <c r="CQ3626">
        <v>3.21</v>
      </c>
      <c r="CR3626">
        <v>0.24</v>
      </c>
      <c r="CS3626" t="s">
        <v>15022</v>
      </c>
      <c r="CT3626">
        <v>11.92</v>
      </c>
      <c r="CU3626">
        <v>11.92</v>
      </c>
      <c r="CV3626">
        <v>8.43</v>
      </c>
      <c r="CW3626">
        <v>2.02</v>
      </c>
      <c r="CX3626">
        <v>-0.27</v>
      </c>
      <c r="CY3626">
        <v>53.05</v>
      </c>
      <c r="CZ3626" t="s">
        <v>10228</v>
      </c>
      <c r="DA3626">
        <v>26.1</v>
      </c>
      <c r="DB3626">
        <v>14.31</v>
      </c>
      <c r="DC3626">
        <v>12.35</v>
      </c>
      <c r="DD3626">
        <v>0.6</v>
      </c>
      <c r="DE3626">
        <v>271</v>
      </c>
      <c r="DF3626">
        <v>603887</v>
      </c>
      <c r="DG3626" t="s">
        <v>116</v>
      </c>
      <c r="DH3626" t="s">
        <v>116</v>
      </c>
      <c r="DI3626" t="s">
        <v>116</v>
      </c>
    </row>
    <row r="3627" spans="1:113" x14ac:dyDescent="0.4">
      <c r="A3627" t="str">
        <f>"603888"</f>
        <v>603888</v>
      </c>
      <c r="B3627" t="s">
        <v>15023</v>
      </c>
      <c r="C3627">
        <v>-1.95</v>
      </c>
      <c r="D3627">
        <v>20.57</v>
      </c>
      <c r="E3627">
        <v>-0.41</v>
      </c>
      <c r="F3627">
        <v>20.57</v>
      </c>
      <c r="G3627">
        <v>20.58</v>
      </c>
      <c r="H3627">
        <v>45539</v>
      </c>
      <c r="I3627">
        <v>652</v>
      </c>
      <c r="J3627">
        <v>-0.14000000000000001</v>
      </c>
      <c r="K3627">
        <v>0.88</v>
      </c>
      <c r="L3627">
        <v>21.11</v>
      </c>
      <c r="M3627">
        <v>21.28</v>
      </c>
      <c r="N3627">
        <v>20.56</v>
      </c>
      <c r="O3627">
        <v>20.98</v>
      </c>
      <c r="P3627">
        <v>51.06</v>
      </c>
      <c r="Q3627">
        <v>95337896</v>
      </c>
      <c r="R3627">
        <v>0.99</v>
      </c>
      <c r="S3627" t="s">
        <v>1384</v>
      </c>
      <c r="T3627" t="s">
        <v>165</v>
      </c>
      <c r="U3627">
        <v>3.43</v>
      </c>
      <c r="V3627">
        <v>20.94</v>
      </c>
      <c r="W3627">
        <v>27146</v>
      </c>
      <c r="X3627">
        <v>18393</v>
      </c>
      <c r="Y3627">
        <v>1.48</v>
      </c>
      <c r="Z3627">
        <v>78</v>
      </c>
      <c r="AA3627">
        <v>18</v>
      </c>
      <c r="AB3627" t="s">
        <v>116</v>
      </c>
      <c r="AC3627">
        <v>601600</v>
      </c>
      <c r="AD3627">
        <v>0.02</v>
      </c>
      <c r="AE3627" t="s">
        <v>116</v>
      </c>
      <c r="AF3627" t="s">
        <v>116</v>
      </c>
      <c r="AG3627">
        <v>5.19</v>
      </c>
      <c r="AH3627" t="s">
        <v>15024</v>
      </c>
      <c r="AI3627" t="s">
        <v>15024</v>
      </c>
      <c r="AJ3627">
        <v>-1.88</v>
      </c>
      <c r="AK3627">
        <v>2166</v>
      </c>
      <c r="AL3627">
        <v>21</v>
      </c>
      <c r="AM3627">
        <v>4.0000000000000002E-4</v>
      </c>
      <c r="AN3627">
        <v>-1</v>
      </c>
      <c r="AO3627">
        <v>-0.2</v>
      </c>
      <c r="AP3627">
        <v>1.43</v>
      </c>
      <c r="AQ3627">
        <v>0.54</v>
      </c>
      <c r="AR3627">
        <v>63.36</v>
      </c>
      <c r="AS3627">
        <v>2.42</v>
      </c>
      <c r="AT3627" t="s">
        <v>5832</v>
      </c>
      <c r="AU3627">
        <v>39.92</v>
      </c>
      <c r="AV3627">
        <v>37.450000000000003</v>
      </c>
      <c r="AW3627">
        <v>1.32</v>
      </c>
      <c r="BA3627">
        <v>0.62</v>
      </c>
      <c r="BB3627">
        <v>1.43</v>
      </c>
      <c r="BC3627">
        <v>-2</v>
      </c>
      <c r="BD3627">
        <v>-0.21</v>
      </c>
      <c r="BE3627">
        <v>-2.56</v>
      </c>
      <c r="BF3627">
        <v>-3.34</v>
      </c>
      <c r="BG3627">
        <v>0.05</v>
      </c>
      <c r="BH3627">
        <v>-1.74</v>
      </c>
      <c r="BI3627">
        <v>20191030</v>
      </c>
      <c r="BJ3627">
        <v>20161028</v>
      </c>
      <c r="BK3627">
        <v>5.19</v>
      </c>
      <c r="BL3627" t="s">
        <v>116</v>
      </c>
      <c r="BM3627" t="s">
        <v>116</v>
      </c>
      <c r="BN3627">
        <v>40</v>
      </c>
      <c r="BO3627">
        <v>28.25</v>
      </c>
      <c r="BP3627">
        <v>0</v>
      </c>
      <c r="BQ3627">
        <v>29.36</v>
      </c>
      <c r="BR3627">
        <v>31.35</v>
      </c>
      <c r="BS3627">
        <v>2.58</v>
      </c>
      <c r="BT3627">
        <v>0.19</v>
      </c>
      <c r="BU3627">
        <v>4.09</v>
      </c>
      <c r="BV3627">
        <v>0.03</v>
      </c>
      <c r="BW3627">
        <v>6.92</v>
      </c>
      <c r="BX3627">
        <v>14.99</v>
      </c>
      <c r="BY3627">
        <v>9.24</v>
      </c>
      <c r="BZ3627">
        <v>5.68</v>
      </c>
      <c r="CA3627">
        <v>1.37</v>
      </c>
      <c r="CB3627">
        <v>-0.05</v>
      </c>
      <c r="CC3627">
        <v>1.59</v>
      </c>
      <c r="CD3627">
        <v>1.57</v>
      </c>
      <c r="CE3627">
        <v>1.57</v>
      </c>
      <c r="CF3627">
        <v>0.59</v>
      </c>
      <c r="CG3627">
        <v>6.5</v>
      </c>
      <c r="CH3627">
        <v>-0.84</v>
      </c>
      <c r="CI3627">
        <v>-7.08</v>
      </c>
      <c r="CJ3627">
        <v>41108</v>
      </c>
      <c r="CK3627">
        <v>4571</v>
      </c>
      <c r="CL3627" t="s">
        <v>540</v>
      </c>
      <c r="CM3627">
        <v>-10.1</v>
      </c>
      <c r="CN3627">
        <v>-4.3499999999999996</v>
      </c>
      <c r="CO3627">
        <v>3.78</v>
      </c>
      <c r="CP3627">
        <v>-126.67</v>
      </c>
      <c r="CQ3627">
        <v>11.55</v>
      </c>
      <c r="CR3627">
        <v>1.21</v>
      </c>
      <c r="CS3627" t="s">
        <v>1924</v>
      </c>
      <c r="CT3627">
        <v>5.44</v>
      </c>
      <c r="CU3627">
        <v>0</v>
      </c>
      <c r="CV3627">
        <v>2.89</v>
      </c>
      <c r="CW3627">
        <v>1.25</v>
      </c>
      <c r="CX3627">
        <v>-0.16</v>
      </c>
      <c r="CY3627">
        <v>70.64</v>
      </c>
      <c r="CZ3627" t="s">
        <v>1986</v>
      </c>
      <c r="DA3627">
        <v>38.49</v>
      </c>
      <c r="DB3627">
        <v>14.87</v>
      </c>
      <c r="DC3627">
        <v>16.97</v>
      </c>
      <c r="DD3627">
        <v>0.36</v>
      </c>
      <c r="DE3627">
        <v>1916</v>
      </c>
      <c r="DF3627">
        <v>603888</v>
      </c>
      <c r="DG3627" t="s">
        <v>116</v>
      </c>
      <c r="DH3627" t="s">
        <v>116</v>
      </c>
      <c r="DI3627" t="s">
        <v>116</v>
      </c>
    </row>
    <row r="3628" spans="1:113" x14ac:dyDescent="0.4">
      <c r="A3628" t="str">
        <f>"603889"</f>
        <v>603889</v>
      </c>
      <c r="B3628" t="s">
        <v>15025</v>
      </c>
      <c r="C3628">
        <v>0.18</v>
      </c>
      <c r="D3628">
        <v>5.67</v>
      </c>
      <c r="E3628">
        <v>0.01</v>
      </c>
      <c r="F3628">
        <v>5.66</v>
      </c>
      <c r="G3628">
        <v>5.67</v>
      </c>
      <c r="H3628">
        <v>12534</v>
      </c>
      <c r="I3628">
        <v>41</v>
      </c>
      <c r="J3628">
        <v>0.35</v>
      </c>
      <c r="K3628">
        <v>0.24</v>
      </c>
      <c r="L3628">
        <v>5.68</v>
      </c>
      <c r="M3628">
        <v>5.76</v>
      </c>
      <c r="N3628">
        <v>5.63</v>
      </c>
      <c r="O3628">
        <v>5.66</v>
      </c>
      <c r="P3628">
        <v>15.26</v>
      </c>
      <c r="Q3628">
        <v>7140968</v>
      </c>
      <c r="R3628">
        <v>0.8</v>
      </c>
      <c r="S3628" t="s">
        <v>1420</v>
      </c>
      <c r="T3628" t="s">
        <v>590</v>
      </c>
      <c r="U3628">
        <v>2.2999999999999998</v>
      </c>
      <c r="V3628">
        <v>5.7</v>
      </c>
      <c r="W3628">
        <v>5725</v>
      </c>
      <c r="X3628">
        <v>6809</v>
      </c>
      <c r="Y3628">
        <v>0.84</v>
      </c>
      <c r="Z3628">
        <v>303</v>
      </c>
      <c r="AA3628">
        <v>3</v>
      </c>
      <c r="AB3628" t="s">
        <v>116</v>
      </c>
      <c r="AC3628">
        <v>35800</v>
      </c>
      <c r="AD3628">
        <v>0</v>
      </c>
      <c r="AE3628" t="s">
        <v>116</v>
      </c>
      <c r="AF3628" t="s">
        <v>116</v>
      </c>
      <c r="AG3628">
        <v>5.12</v>
      </c>
      <c r="AH3628" t="s">
        <v>6998</v>
      </c>
      <c r="AI3628" t="s">
        <v>6998</v>
      </c>
      <c r="AJ3628">
        <v>0.25</v>
      </c>
      <c r="AK3628">
        <v>377</v>
      </c>
      <c r="AL3628">
        <v>33</v>
      </c>
      <c r="AM3628">
        <v>5.9999999999999995E-4</v>
      </c>
      <c r="AN3628">
        <v>2</v>
      </c>
      <c r="AO3628">
        <v>0.71</v>
      </c>
      <c r="AP3628">
        <v>0.18</v>
      </c>
      <c r="AQ3628">
        <v>-2.58</v>
      </c>
      <c r="AR3628">
        <v>-12.04</v>
      </c>
      <c r="AS3628">
        <v>0.45</v>
      </c>
      <c r="AT3628" t="s">
        <v>15026</v>
      </c>
      <c r="AU3628">
        <v>16.54</v>
      </c>
      <c r="AV3628">
        <v>14.56</v>
      </c>
      <c r="AW3628">
        <v>0.72</v>
      </c>
      <c r="BA3628">
        <v>0.35</v>
      </c>
      <c r="BB3628">
        <v>1.77</v>
      </c>
      <c r="BC3628">
        <v>-0.53</v>
      </c>
      <c r="BD3628">
        <v>0.66</v>
      </c>
      <c r="BE3628">
        <v>-0.18</v>
      </c>
      <c r="BF3628">
        <v>-1.56</v>
      </c>
      <c r="BG3628">
        <v>0.71</v>
      </c>
      <c r="BH3628">
        <v>-0.48</v>
      </c>
      <c r="BI3628">
        <v>20191021</v>
      </c>
      <c r="BJ3628">
        <v>20141231</v>
      </c>
      <c r="BK3628">
        <v>5.12</v>
      </c>
      <c r="BL3628" t="s">
        <v>116</v>
      </c>
      <c r="BM3628" t="s">
        <v>116</v>
      </c>
      <c r="BN3628">
        <v>30.4</v>
      </c>
      <c r="BO3628">
        <v>23.69</v>
      </c>
      <c r="BP3628">
        <v>0.28000000000000003</v>
      </c>
      <c r="BQ3628">
        <v>21.16</v>
      </c>
      <c r="BR3628">
        <v>17.170000000000002</v>
      </c>
      <c r="BS3628">
        <v>9.14</v>
      </c>
      <c r="BT3628">
        <v>0.96</v>
      </c>
      <c r="BU3628">
        <v>6.37</v>
      </c>
      <c r="BV3628">
        <v>7.26</v>
      </c>
      <c r="BW3628">
        <v>2.39</v>
      </c>
      <c r="BX3628">
        <v>9.59</v>
      </c>
      <c r="BY3628">
        <v>22.08</v>
      </c>
      <c r="BZ3628">
        <v>18.79</v>
      </c>
      <c r="CA3628">
        <v>1.61</v>
      </c>
      <c r="CB3628">
        <v>0.05</v>
      </c>
      <c r="CC3628">
        <v>1.63</v>
      </c>
      <c r="CD3628">
        <v>1.44</v>
      </c>
      <c r="CE3628">
        <v>1.43</v>
      </c>
      <c r="CF3628">
        <v>1.28</v>
      </c>
      <c r="CG3628">
        <v>8.06</v>
      </c>
      <c r="CH3628">
        <v>3.22</v>
      </c>
      <c r="CI3628">
        <v>-0.18</v>
      </c>
      <c r="CJ3628">
        <v>12821</v>
      </c>
      <c r="CK3628">
        <v>21717</v>
      </c>
      <c r="CL3628" t="s">
        <v>11160</v>
      </c>
      <c r="CM3628">
        <v>-14.38</v>
      </c>
      <c r="CN3628">
        <v>9.6999999999999993</v>
      </c>
      <c r="CO3628">
        <v>1.22</v>
      </c>
      <c r="CP3628">
        <v>9</v>
      </c>
      <c r="CQ3628">
        <v>1.31</v>
      </c>
      <c r="CR3628">
        <v>4.07</v>
      </c>
      <c r="CS3628" t="s">
        <v>5434</v>
      </c>
      <c r="CT3628">
        <v>4.63</v>
      </c>
      <c r="CU3628">
        <v>0</v>
      </c>
      <c r="CV3628">
        <v>1.87</v>
      </c>
      <c r="CW3628">
        <v>1.58</v>
      </c>
      <c r="CX3628">
        <v>0.63</v>
      </c>
      <c r="CY3628">
        <v>77.92</v>
      </c>
      <c r="CZ3628" t="s">
        <v>2291</v>
      </c>
      <c r="DA3628">
        <v>14.91</v>
      </c>
      <c r="DB3628">
        <v>7.29</v>
      </c>
      <c r="DC3628">
        <v>6.46</v>
      </c>
      <c r="DD3628">
        <v>0.63</v>
      </c>
      <c r="DE3628">
        <v>2572</v>
      </c>
      <c r="DF3628">
        <v>603889</v>
      </c>
      <c r="DG3628" t="s">
        <v>116</v>
      </c>
      <c r="DH3628" t="s">
        <v>116</v>
      </c>
      <c r="DI3628" t="s">
        <v>116</v>
      </c>
    </row>
    <row r="3629" spans="1:113" x14ac:dyDescent="0.4">
      <c r="A3629" t="str">
        <f>"603890"</f>
        <v>603890</v>
      </c>
      <c r="B3629" t="s">
        <v>15027</v>
      </c>
      <c r="C3629">
        <v>-2.73</v>
      </c>
      <c r="D3629">
        <v>10.67</v>
      </c>
      <c r="E3629">
        <v>-0.3</v>
      </c>
      <c r="F3629">
        <v>10.66</v>
      </c>
      <c r="G3629">
        <v>10.67</v>
      </c>
      <c r="H3629">
        <v>107764</v>
      </c>
      <c r="I3629">
        <v>892</v>
      </c>
      <c r="J3629">
        <v>-0.08</v>
      </c>
      <c r="K3629">
        <v>7.95</v>
      </c>
      <c r="L3629">
        <v>10.95</v>
      </c>
      <c r="M3629">
        <v>10.99</v>
      </c>
      <c r="N3629">
        <v>10.6</v>
      </c>
      <c r="O3629">
        <v>10.97</v>
      </c>
      <c r="P3629">
        <v>26.42</v>
      </c>
      <c r="Q3629">
        <v>116136848</v>
      </c>
      <c r="R3629">
        <v>0.94</v>
      </c>
      <c r="S3629" t="s">
        <v>996</v>
      </c>
      <c r="T3629" t="s">
        <v>323</v>
      </c>
      <c r="U3629">
        <v>3.56</v>
      </c>
      <c r="V3629">
        <v>10.78</v>
      </c>
      <c r="W3629">
        <v>66643</v>
      </c>
      <c r="X3629">
        <v>41121</v>
      </c>
      <c r="Y3629">
        <v>1.62</v>
      </c>
      <c r="Z3629">
        <v>133</v>
      </c>
      <c r="AA3629">
        <v>675</v>
      </c>
      <c r="AB3629" t="s">
        <v>116</v>
      </c>
      <c r="AC3629">
        <v>958100</v>
      </c>
      <c r="AD3629">
        <v>7.0000000000000007E-2</v>
      </c>
      <c r="AE3629" t="s">
        <v>116</v>
      </c>
      <c r="AF3629" t="s">
        <v>116</v>
      </c>
      <c r="AG3629">
        <v>1.35</v>
      </c>
      <c r="AH3629" t="s">
        <v>5321</v>
      </c>
      <c r="AI3629" t="s">
        <v>15028</v>
      </c>
      <c r="AJ3629">
        <v>-2.66</v>
      </c>
      <c r="AK3629">
        <v>2464</v>
      </c>
      <c r="AL3629">
        <v>44</v>
      </c>
      <c r="AM3629">
        <v>3.2000000000000002E-3</v>
      </c>
      <c r="AN3629">
        <v>-1</v>
      </c>
      <c r="AO3629">
        <v>-0.27</v>
      </c>
      <c r="AP3629">
        <v>19.350000000000001</v>
      </c>
      <c r="AQ3629">
        <v>7.78</v>
      </c>
      <c r="AR3629">
        <v>29.22</v>
      </c>
      <c r="AS3629">
        <v>9.09</v>
      </c>
      <c r="AT3629" t="s">
        <v>5989</v>
      </c>
      <c r="AU3629">
        <v>28.95</v>
      </c>
      <c r="AV3629">
        <v>26.91</v>
      </c>
      <c r="AW3629">
        <v>1.41</v>
      </c>
      <c r="BA3629">
        <v>-0.18</v>
      </c>
      <c r="BB3629">
        <v>0.18</v>
      </c>
      <c r="BC3629">
        <v>-3.37</v>
      </c>
      <c r="BD3629">
        <v>-1.76</v>
      </c>
      <c r="BE3629">
        <v>-2.56</v>
      </c>
      <c r="BF3629">
        <v>-2.91</v>
      </c>
      <c r="BG3629">
        <v>0.66</v>
      </c>
      <c r="BH3629">
        <v>-0.98</v>
      </c>
      <c r="BI3629">
        <v>20191028</v>
      </c>
      <c r="BJ3629">
        <v>20171212</v>
      </c>
      <c r="BK3629">
        <v>2.74</v>
      </c>
      <c r="BL3629" t="s">
        <v>116</v>
      </c>
      <c r="BM3629" t="s">
        <v>116</v>
      </c>
      <c r="BN3629">
        <v>27.04</v>
      </c>
      <c r="BO3629">
        <v>14.77</v>
      </c>
      <c r="BP3629">
        <v>0</v>
      </c>
      <c r="BQ3629">
        <v>45.37</v>
      </c>
      <c r="BR3629">
        <v>16.66</v>
      </c>
      <c r="BS3629">
        <v>7.39</v>
      </c>
      <c r="BT3629">
        <v>0.52</v>
      </c>
      <c r="BU3629">
        <v>11.7</v>
      </c>
      <c r="BV3629">
        <v>4.0599999999999996</v>
      </c>
      <c r="BW3629">
        <v>6.14</v>
      </c>
      <c r="BX3629">
        <v>7.69</v>
      </c>
      <c r="BY3629">
        <v>13.47</v>
      </c>
      <c r="BZ3629">
        <v>11.06</v>
      </c>
      <c r="CA3629">
        <v>1.05</v>
      </c>
      <c r="CB3629">
        <v>0.03</v>
      </c>
      <c r="CC3629">
        <v>1.08</v>
      </c>
      <c r="CD3629">
        <v>0.83</v>
      </c>
      <c r="CE3629">
        <v>0.83</v>
      </c>
      <c r="CF3629">
        <v>0.78</v>
      </c>
      <c r="CG3629">
        <v>4.13</v>
      </c>
      <c r="CH3629">
        <v>1.85</v>
      </c>
      <c r="CI3629">
        <v>0.18</v>
      </c>
      <c r="CJ3629">
        <v>19492</v>
      </c>
      <c r="CK3629">
        <v>6079</v>
      </c>
      <c r="CL3629" t="s">
        <v>2589</v>
      </c>
      <c r="CM3629">
        <v>-8.43</v>
      </c>
      <c r="CN3629">
        <v>6.32</v>
      </c>
      <c r="CO3629">
        <v>1.98</v>
      </c>
      <c r="CP3629">
        <v>15.84</v>
      </c>
      <c r="CQ3629">
        <v>2.17</v>
      </c>
      <c r="CR3629">
        <v>1.64</v>
      </c>
      <c r="CS3629" t="s">
        <v>3626</v>
      </c>
      <c r="CT3629">
        <v>5.39</v>
      </c>
      <c r="CU3629">
        <v>0</v>
      </c>
      <c r="CV3629">
        <v>2.81</v>
      </c>
      <c r="CW3629">
        <v>1.51</v>
      </c>
      <c r="CX3629">
        <v>0.67</v>
      </c>
      <c r="CY3629">
        <v>54.63</v>
      </c>
      <c r="CZ3629" t="s">
        <v>6974</v>
      </c>
      <c r="DA3629">
        <v>17.920000000000002</v>
      </c>
      <c r="DB3629">
        <v>7.78</v>
      </c>
      <c r="DC3629">
        <v>6.16</v>
      </c>
      <c r="DD3629">
        <v>0.64</v>
      </c>
      <c r="DE3629">
        <v>3008</v>
      </c>
      <c r="DF3629">
        <v>603890</v>
      </c>
      <c r="DG3629" t="s">
        <v>116</v>
      </c>
      <c r="DH3629" t="s">
        <v>116</v>
      </c>
      <c r="DI3629" t="s">
        <v>116</v>
      </c>
    </row>
    <row r="3630" spans="1:113" x14ac:dyDescent="0.4">
      <c r="A3630" t="str">
        <f>"603895"</f>
        <v>603895</v>
      </c>
      <c r="B3630" t="s">
        <v>15029</v>
      </c>
      <c r="C3630">
        <v>-1.73</v>
      </c>
      <c r="D3630">
        <v>23.25</v>
      </c>
      <c r="E3630">
        <v>-0.41</v>
      </c>
      <c r="F3630">
        <v>23.23</v>
      </c>
      <c r="G3630">
        <v>23.25</v>
      </c>
      <c r="H3630">
        <v>13078</v>
      </c>
      <c r="I3630">
        <v>728</v>
      </c>
      <c r="J3630">
        <v>0.09</v>
      </c>
      <c r="K3630">
        <v>3.99</v>
      </c>
      <c r="L3630">
        <v>23.66</v>
      </c>
      <c r="M3630">
        <v>23.87</v>
      </c>
      <c r="N3630">
        <v>23</v>
      </c>
      <c r="O3630">
        <v>23.66</v>
      </c>
      <c r="P3630">
        <v>63.81</v>
      </c>
      <c r="Q3630">
        <v>30751078</v>
      </c>
      <c r="R3630">
        <v>0.99</v>
      </c>
      <c r="S3630" t="s">
        <v>682</v>
      </c>
      <c r="T3630" t="s">
        <v>1653</v>
      </c>
      <c r="U3630">
        <v>3.68</v>
      </c>
      <c r="V3630">
        <v>23.51</v>
      </c>
      <c r="W3630">
        <v>7753</v>
      </c>
      <c r="X3630">
        <v>5325</v>
      </c>
      <c r="Y3630">
        <v>1.46</v>
      </c>
      <c r="Z3630">
        <v>30</v>
      </c>
      <c r="AA3630">
        <v>34</v>
      </c>
      <c r="AB3630" t="s">
        <v>116</v>
      </c>
      <c r="AC3630">
        <v>78100</v>
      </c>
      <c r="AD3630">
        <v>0.01</v>
      </c>
      <c r="AE3630" t="s">
        <v>116</v>
      </c>
      <c r="AF3630" t="s">
        <v>116</v>
      </c>
      <c r="AG3630">
        <v>0.33</v>
      </c>
      <c r="AH3630" t="s">
        <v>15030</v>
      </c>
      <c r="AI3630" t="s">
        <v>15031</v>
      </c>
      <c r="AJ3630">
        <v>-1.66</v>
      </c>
      <c r="AK3630">
        <v>894</v>
      </c>
      <c r="AL3630">
        <v>15</v>
      </c>
      <c r="AM3630">
        <v>4.4999999999999997E-3</v>
      </c>
      <c r="AN3630">
        <v>-2</v>
      </c>
      <c r="AO3630">
        <v>-1.98</v>
      </c>
      <c r="AP3630">
        <v>1.31</v>
      </c>
      <c r="AQ3630">
        <v>-7.74</v>
      </c>
      <c r="AR3630">
        <v>-10.37</v>
      </c>
      <c r="AS3630">
        <v>4.54</v>
      </c>
      <c r="AT3630" t="s">
        <v>15032</v>
      </c>
      <c r="AU3630">
        <v>173.91</v>
      </c>
      <c r="AV3630">
        <v>69.569999999999993</v>
      </c>
      <c r="AW3630">
        <v>1.55</v>
      </c>
      <c r="BA3630">
        <v>0</v>
      </c>
      <c r="BB3630">
        <v>0.89</v>
      </c>
      <c r="BC3630">
        <v>-2.79</v>
      </c>
      <c r="BD3630">
        <v>-0.62</v>
      </c>
      <c r="BE3630">
        <v>-1.73</v>
      </c>
      <c r="BF3630">
        <v>-2.6</v>
      </c>
      <c r="BG3630">
        <v>1.0900000000000001</v>
      </c>
      <c r="BH3630">
        <v>-1.1100000000000001</v>
      </c>
      <c r="BI3630">
        <v>20191104</v>
      </c>
      <c r="BJ3630">
        <v>20180122</v>
      </c>
      <c r="BK3630">
        <v>1.08</v>
      </c>
      <c r="BL3630" t="s">
        <v>116</v>
      </c>
      <c r="BM3630" t="s">
        <v>116</v>
      </c>
      <c r="BN3630">
        <v>12.29</v>
      </c>
      <c r="BO3630">
        <v>6.54</v>
      </c>
      <c r="BP3630">
        <v>-0.01</v>
      </c>
      <c r="BQ3630">
        <v>46.91</v>
      </c>
      <c r="BR3630">
        <v>11.23</v>
      </c>
      <c r="BS3630">
        <v>0.36</v>
      </c>
      <c r="BT3630">
        <v>0.17</v>
      </c>
      <c r="BU3630">
        <v>5.76</v>
      </c>
      <c r="BV3630">
        <v>3.2</v>
      </c>
      <c r="BW3630">
        <v>3.14</v>
      </c>
      <c r="BX3630">
        <v>3.78</v>
      </c>
      <c r="BY3630">
        <v>4.0199999999999996</v>
      </c>
      <c r="BZ3630">
        <v>3</v>
      </c>
      <c r="CA3630">
        <v>0.28999999999999998</v>
      </c>
      <c r="CB3630">
        <v>0.01</v>
      </c>
      <c r="CC3630">
        <v>0.31</v>
      </c>
      <c r="CD3630">
        <v>0.28999999999999998</v>
      </c>
      <c r="CE3630">
        <v>0.3</v>
      </c>
      <c r="CF3630">
        <v>0.28000000000000003</v>
      </c>
      <c r="CG3630">
        <v>1.5</v>
      </c>
      <c r="CH3630">
        <v>-0.6</v>
      </c>
      <c r="CI3630">
        <v>-0.66</v>
      </c>
      <c r="CJ3630">
        <v>11993</v>
      </c>
      <c r="CK3630">
        <v>2402</v>
      </c>
      <c r="CL3630" t="s">
        <v>2515</v>
      </c>
      <c r="CM3630">
        <v>-42.32</v>
      </c>
      <c r="CN3630">
        <v>2.4700000000000002</v>
      </c>
      <c r="CO3630">
        <v>3.85</v>
      </c>
      <c r="CP3630">
        <v>-42.1</v>
      </c>
      <c r="CQ3630">
        <v>6.24</v>
      </c>
      <c r="CR3630">
        <v>0.26</v>
      </c>
      <c r="CS3630" t="s">
        <v>2331</v>
      </c>
      <c r="CT3630">
        <v>6.05</v>
      </c>
      <c r="CU3630">
        <v>0</v>
      </c>
      <c r="CV3630">
        <v>3.49</v>
      </c>
      <c r="CW3630">
        <v>1.39</v>
      </c>
      <c r="CX3630">
        <v>-0.55000000000000004</v>
      </c>
      <c r="CY3630">
        <v>53.16</v>
      </c>
      <c r="CZ3630" t="s">
        <v>2449</v>
      </c>
      <c r="DA3630">
        <v>25.44</v>
      </c>
      <c r="DB3630">
        <v>7.17</v>
      </c>
      <c r="DC3630">
        <v>7.34</v>
      </c>
      <c r="DD3630">
        <v>0.27</v>
      </c>
      <c r="DE3630">
        <v>850</v>
      </c>
      <c r="DF3630">
        <v>603895</v>
      </c>
      <c r="DG3630" t="s">
        <v>116</v>
      </c>
      <c r="DH3630" t="s">
        <v>116</v>
      </c>
      <c r="DI3630" t="s">
        <v>116</v>
      </c>
    </row>
    <row r="3631" spans="1:113" x14ac:dyDescent="0.4">
      <c r="A3631" t="str">
        <f>"603896"</f>
        <v>603896</v>
      </c>
      <c r="B3631" t="s">
        <v>15033</v>
      </c>
      <c r="C3631">
        <v>-0.03</v>
      </c>
      <c r="D3631">
        <v>29.88</v>
      </c>
      <c r="E3631">
        <v>-0.01</v>
      </c>
      <c r="F3631">
        <v>29.88</v>
      </c>
      <c r="G3631">
        <v>29.89</v>
      </c>
      <c r="H3631">
        <v>7137</v>
      </c>
      <c r="I3631">
        <v>99</v>
      </c>
      <c r="J3631">
        <v>0</v>
      </c>
      <c r="K3631">
        <v>1.1499999999999999</v>
      </c>
      <c r="L3631">
        <v>30.4</v>
      </c>
      <c r="M3631">
        <v>30.4</v>
      </c>
      <c r="N3631">
        <v>29.81</v>
      </c>
      <c r="O3631">
        <v>29.89</v>
      </c>
      <c r="P3631">
        <v>56.56</v>
      </c>
      <c r="Q3631">
        <v>21401036</v>
      </c>
      <c r="R3631">
        <v>1.06</v>
      </c>
      <c r="S3631" t="s">
        <v>781</v>
      </c>
      <c r="T3631" t="s">
        <v>590</v>
      </c>
      <c r="U3631">
        <v>1.97</v>
      </c>
      <c r="V3631">
        <v>29.98</v>
      </c>
      <c r="W3631">
        <v>4667</v>
      </c>
      <c r="X3631">
        <v>2470</v>
      </c>
      <c r="Y3631">
        <v>1.89</v>
      </c>
      <c r="Z3631">
        <v>97</v>
      </c>
      <c r="AA3631">
        <v>157</v>
      </c>
      <c r="AB3631" t="s">
        <v>116</v>
      </c>
      <c r="AC3631">
        <v>814700</v>
      </c>
      <c r="AD3631">
        <v>0.04</v>
      </c>
      <c r="AE3631" t="s">
        <v>116</v>
      </c>
      <c r="AF3631" t="s">
        <v>116</v>
      </c>
      <c r="AG3631">
        <v>0.62</v>
      </c>
      <c r="AH3631" t="s">
        <v>11181</v>
      </c>
      <c r="AI3631" t="s">
        <v>15034</v>
      </c>
      <c r="AJ3631">
        <v>0.04</v>
      </c>
      <c r="AK3631">
        <v>707</v>
      </c>
      <c r="AL3631">
        <v>10</v>
      </c>
      <c r="AM3631">
        <v>1.6000000000000001E-3</v>
      </c>
      <c r="AN3631">
        <v>-1</v>
      </c>
      <c r="AO3631">
        <v>1.7</v>
      </c>
      <c r="AP3631">
        <v>4.1500000000000004</v>
      </c>
      <c r="AQ3631">
        <v>-3.02</v>
      </c>
      <c r="AR3631">
        <v>13.87</v>
      </c>
      <c r="AS3631">
        <v>1.1499999999999999</v>
      </c>
      <c r="AT3631" t="s">
        <v>11181</v>
      </c>
      <c r="AU3631">
        <v>41.07</v>
      </c>
      <c r="AV3631">
        <v>39.93</v>
      </c>
      <c r="AW3631">
        <v>1.4</v>
      </c>
      <c r="BA3631">
        <v>1.71</v>
      </c>
      <c r="BB3631">
        <v>1.71</v>
      </c>
      <c r="BC3631">
        <v>-0.27</v>
      </c>
      <c r="BD3631">
        <v>0.32</v>
      </c>
      <c r="BE3631">
        <v>-1.71</v>
      </c>
      <c r="BF3631">
        <v>-1.71</v>
      </c>
      <c r="BG3631">
        <v>0.23</v>
      </c>
      <c r="BH3631">
        <v>-0.35</v>
      </c>
      <c r="BI3631">
        <v>20191030</v>
      </c>
      <c r="BJ3631">
        <v>20170510</v>
      </c>
      <c r="BK3631">
        <v>1.44</v>
      </c>
      <c r="BL3631" t="s">
        <v>116</v>
      </c>
      <c r="BM3631" t="s">
        <v>116</v>
      </c>
      <c r="BN3631">
        <v>12.4</v>
      </c>
      <c r="BO3631">
        <v>10.73</v>
      </c>
      <c r="BP3631">
        <v>0</v>
      </c>
      <c r="BQ3631">
        <v>13.4</v>
      </c>
      <c r="BR3631">
        <v>5.45</v>
      </c>
      <c r="BS3631">
        <v>2.0699999999999998</v>
      </c>
      <c r="BT3631">
        <v>0.82</v>
      </c>
      <c r="BU3631">
        <v>1.48</v>
      </c>
      <c r="BV3631">
        <v>1.34</v>
      </c>
      <c r="BW3631">
        <v>0.31</v>
      </c>
      <c r="BX3631">
        <v>6.31</v>
      </c>
      <c r="BY3631">
        <v>3.44</v>
      </c>
      <c r="BZ3631">
        <v>0.54</v>
      </c>
      <c r="CA3631">
        <v>0.59</v>
      </c>
      <c r="CB3631">
        <v>0.09</v>
      </c>
      <c r="CC3631">
        <v>0.56999999999999995</v>
      </c>
      <c r="CD3631">
        <v>0.56999999999999995</v>
      </c>
      <c r="CE3631">
        <v>0.56999999999999995</v>
      </c>
      <c r="CF3631">
        <v>0.43</v>
      </c>
      <c r="CG3631">
        <v>3.17</v>
      </c>
      <c r="CH3631">
        <v>1.24</v>
      </c>
      <c r="CI3631">
        <v>1.1100000000000001</v>
      </c>
      <c r="CJ3631">
        <v>15178</v>
      </c>
      <c r="CK3631">
        <v>4087</v>
      </c>
      <c r="CL3631" t="s">
        <v>3136</v>
      </c>
      <c r="CM3631">
        <v>-4.99</v>
      </c>
      <c r="CN3631">
        <v>5.97</v>
      </c>
      <c r="CO3631">
        <v>4</v>
      </c>
      <c r="CP3631">
        <v>34.58</v>
      </c>
      <c r="CQ3631">
        <v>12.51</v>
      </c>
      <c r="CR3631">
        <v>0.77</v>
      </c>
      <c r="CS3631" t="s">
        <v>5370</v>
      </c>
      <c r="CT3631">
        <v>7.46</v>
      </c>
      <c r="CU3631">
        <v>0</v>
      </c>
      <c r="CV3631">
        <v>4.3899999999999997</v>
      </c>
      <c r="CW3631">
        <v>2.2000000000000002</v>
      </c>
      <c r="CX3631">
        <v>0.86</v>
      </c>
      <c r="CY3631">
        <v>86.6</v>
      </c>
      <c r="CZ3631" t="s">
        <v>7912</v>
      </c>
      <c r="DA3631">
        <v>84.17</v>
      </c>
      <c r="DB3631">
        <v>17.22</v>
      </c>
      <c r="DC3631">
        <v>16.59</v>
      </c>
      <c r="DD3631">
        <v>0.27</v>
      </c>
      <c r="DE3631">
        <v>946</v>
      </c>
      <c r="DF3631">
        <v>603896</v>
      </c>
      <c r="DG3631" t="s">
        <v>116</v>
      </c>
      <c r="DH3631" t="s">
        <v>116</v>
      </c>
      <c r="DI3631" t="s">
        <v>116</v>
      </c>
    </row>
    <row r="3632" spans="1:113" x14ac:dyDescent="0.4">
      <c r="A3632" t="str">
        <f>"603897"</f>
        <v>603897</v>
      </c>
      <c r="B3632" t="s">
        <v>15035</v>
      </c>
      <c r="C3632">
        <v>-0.8</v>
      </c>
      <c r="D3632">
        <v>18.68</v>
      </c>
      <c r="E3632">
        <v>-0.15</v>
      </c>
      <c r="F3632">
        <v>18.670000000000002</v>
      </c>
      <c r="G3632">
        <v>18.68</v>
      </c>
      <c r="H3632">
        <v>12650</v>
      </c>
      <c r="I3632">
        <v>151</v>
      </c>
      <c r="J3632">
        <v>0.92</v>
      </c>
      <c r="K3632">
        <v>2.2799999999999998</v>
      </c>
      <c r="L3632">
        <v>18.899999999999999</v>
      </c>
      <c r="M3632">
        <v>18.920000000000002</v>
      </c>
      <c r="N3632">
        <v>18.5</v>
      </c>
      <c r="O3632">
        <v>18.829999999999998</v>
      </c>
      <c r="P3632">
        <v>21.38</v>
      </c>
      <c r="Q3632">
        <v>23659812</v>
      </c>
      <c r="R3632">
        <v>1.1200000000000001</v>
      </c>
      <c r="S3632" t="s">
        <v>397</v>
      </c>
      <c r="T3632" t="s">
        <v>590</v>
      </c>
      <c r="U3632">
        <v>2.23</v>
      </c>
      <c r="V3632">
        <v>18.7</v>
      </c>
      <c r="W3632">
        <v>8257</v>
      </c>
      <c r="X3632">
        <v>4393</v>
      </c>
      <c r="Y3632">
        <v>1.88</v>
      </c>
      <c r="Z3632">
        <v>40</v>
      </c>
      <c r="AA3632">
        <v>1</v>
      </c>
      <c r="AB3632" t="s">
        <v>116</v>
      </c>
      <c r="AC3632">
        <v>51000</v>
      </c>
      <c r="AD3632">
        <v>0</v>
      </c>
      <c r="AE3632" t="s">
        <v>116</v>
      </c>
      <c r="AF3632" t="s">
        <v>116</v>
      </c>
      <c r="AG3632">
        <v>0.56000000000000005</v>
      </c>
      <c r="AH3632" t="s">
        <v>15036</v>
      </c>
      <c r="AI3632" t="s">
        <v>8827</v>
      </c>
      <c r="AJ3632">
        <v>-0.72</v>
      </c>
      <c r="AK3632">
        <v>787</v>
      </c>
      <c r="AL3632">
        <v>16</v>
      </c>
      <c r="AM3632">
        <v>2.8999999999999998E-3</v>
      </c>
      <c r="AN3632">
        <v>-1</v>
      </c>
      <c r="AO3632">
        <v>1.58</v>
      </c>
      <c r="AP3632">
        <v>8.1</v>
      </c>
      <c r="AQ3632">
        <v>-0.48</v>
      </c>
      <c r="AR3632">
        <v>-17.489999999999998</v>
      </c>
      <c r="AS3632">
        <v>2.2799999999999998</v>
      </c>
      <c r="AT3632" t="s">
        <v>15036</v>
      </c>
      <c r="AU3632">
        <v>21.41</v>
      </c>
      <c r="AV3632">
        <v>18.43</v>
      </c>
      <c r="AW3632">
        <v>1.1499999999999999</v>
      </c>
      <c r="BA3632">
        <v>0.37</v>
      </c>
      <c r="BB3632">
        <v>0.48</v>
      </c>
      <c r="BC3632">
        <v>-1.75</v>
      </c>
      <c r="BD3632">
        <v>-0.67</v>
      </c>
      <c r="BE3632">
        <v>-1.1599999999999999</v>
      </c>
      <c r="BF3632">
        <v>-1.27</v>
      </c>
      <c r="BG3632">
        <v>0.97</v>
      </c>
      <c r="BH3632">
        <v>-0.12</v>
      </c>
      <c r="BI3632">
        <v>20191029</v>
      </c>
      <c r="BJ3632">
        <v>20180410</v>
      </c>
      <c r="BK3632">
        <v>1.78</v>
      </c>
      <c r="BL3632" t="s">
        <v>116</v>
      </c>
      <c r="BM3632" t="s">
        <v>116</v>
      </c>
      <c r="BN3632">
        <v>27.23</v>
      </c>
      <c r="BO3632">
        <v>18.8</v>
      </c>
      <c r="BP3632">
        <v>0</v>
      </c>
      <c r="BQ3632">
        <v>30.94</v>
      </c>
      <c r="BR3632">
        <v>22.85</v>
      </c>
      <c r="BS3632">
        <v>1.71</v>
      </c>
      <c r="BT3632">
        <v>0.9</v>
      </c>
      <c r="BU3632">
        <v>2.92</v>
      </c>
      <c r="BV3632">
        <v>3.84</v>
      </c>
      <c r="BW3632">
        <v>5.42</v>
      </c>
      <c r="BX3632">
        <v>9.26</v>
      </c>
      <c r="BY3632">
        <v>35.94</v>
      </c>
      <c r="BZ3632">
        <v>33.299999999999997</v>
      </c>
      <c r="CA3632">
        <v>1.38</v>
      </c>
      <c r="CB3632">
        <v>0.12</v>
      </c>
      <c r="CC3632">
        <v>1.38</v>
      </c>
      <c r="CD3632">
        <v>1.17</v>
      </c>
      <c r="CE3632">
        <v>1.17</v>
      </c>
      <c r="CF3632">
        <v>1.04</v>
      </c>
      <c r="CG3632">
        <v>6.07</v>
      </c>
      <c r="CH3632">
        <v>2.27</v>
      </c>
      <c r="CI3632">
        <v>-0.4</v>
      </c>
      <c r="CJ3632">
        <v>20601</v>
      </c>
      <c r="CK3632">
        <v>2696</v>
      </c>
      <c r="CL3632" t="s">
        <v>1078</v>
      </c>
      <c r="CM3632">
        <v>-17.7</v>
      </c>
      <c r="CN3632">
        <v>-4.08</v>
      </c>
      <c r="CO3632">
        <v>1.88</v>
      </c>
      <c r="CP3632">
        <v>14.68</v>
      </c>
      <c r="CQ3632">
        <v>0.93</v>
      </c>
      <c r="CR3632">
        <v>0.8</v>
      </c>
      <c r="CS3632" t="s">
        <v>15037</v>
      </c>
      <c r="CT3632">
        <v>9.93</v>
      </c>
      <c r="CU3632">
        <v>9.93</v>
      </c>
      <c r="CV3632">
        <v>5.19</v>
      </c>
      <c r="CW3632">
        <v>3.4</v>
      </c>
      <c r="CX3632">
        <v>1.27</v>
      </c>
      <c r="CY3632">
        <v>69.06</v>
      </c>
      <c r="CZ3632" t="s">
        <v>6687</v>
      </c>
      <c r="DA3632">
        <v>7.34</v>
      </c>
      <c r="DB3632">
        <v>3.83</v>
      </c>
      <c r="DC3632">
        <v>3.25</v>
      </c>
      <c r="DD3632">
        <v>0.76</v>
      </c>
      <c r="DE3632">
        <v>725</v>
      </c>
      <c r="DF3632">
        <v>603897</v>
      </c>
      <c r="DG3632" t="s">
        <v>116</v>
      </c>
      <c r="DH3632" t="s">
        <v>116</v>
      </c>
      <c r="DI3632" t="s">
        <v>116</v>
      </c>
    </row>
    <row r="3633" spans="1:113" x14ac:dyDescent="0.4">
      <c r="A3633" t="str">
        <f>"603898"</f>
        <v>603898</v>
      </c>
      <c r="B3633" t="s">
        <v>15038</v>
      </c>
      <c r="C3633">
        <v>-0.56999999999999995</v>
      </c>
      <c r="D3633">
        <v>15.59</v>
      </c>
      <c r="E3633">
        <v>-0.09</v>
      </c>
      <c r="F3633">
        <v>15.59</v>
      </c>
      <c r="G3633">
        <v>15.6</v>
      </c>
      <c r="H3633">
        <v>11009</v>
      </c>
      <c r="I3633">
        <v>38</v>
      </c>
      <c r="J3633">
        <v>0</v>
      </c>
      <c r="K3633">
        <v>0.36</v>
      </c>
      <c r="L3633">
        <v>15.73</v>
      </c>
      <c r="M3633">
        <v>15.84</v>
      </c>
      <c r="N3633">
        <v>15.58</v>
      </c>
      <c r="O3633">
        <v>15.68</v>
      </c>
      <c r="P3633">
        <v>13.86</v>
      </c>
      <c r="Q3633">
        <v>17313338</v>
      </c>
      <c r="R3633">
        <v>0.8</v>
      </c>
      <c r="S3633" t="s">
        <v>2640</v>
      </c>
      <c r="T3633" t="s">
        <v>551</v>
      </c>
      <c r="U3633">
        <v>1.66</v>
      </c>
      <c r="V3633">
        <v>15.73</v>
      </c>
      <c r="W3633">
        <v>4323</v>
      </c>
      <c r="X3633">
        <v>6686</v>
      </c>
      <c r="Y3633">
        <v>0.65</v>
      </c>
      <c r="Z3633">
        <v>49</v>
      </c>
      <c r="AA3633">
        <v>4699</v>
      </c>
      <c r="AB3633" t="s">
        <v>116</v>
      </c>
      <c r="AC3633">
        <v>0</v>
      </c>
      <c r="AD3633">
        <v>0</v>
      </c>
      <c r="AE3633" t="s">
        <v>116</v>
      </c>
      <c r="AF3633" t="s">
        <v>116</v>
      </c>
      <c r="AG3633">
        <v>3.1</v>
      </c>
      <c r="AH3633" t="s">
        <v>15039</v>
      </c>
      <c r="AI3633" t="s">
        <v>15039</v>
      </c>
      <c r="AJ3633">
        <v>-0.5</v>
      </c>
      <c r="AK3633">
        <v>946</v>
      </c>
      <c r="AL3633">
        <v>12</v>
      </c>
      <c r="AM3633">
        <v>4.0000000000000002E-4</v>
      </c>
      <c r="AN3633">
        <v>-3</v>
      </c>
      <c r="AO3633">
        <v>-1.57</v>
      </c>
      <c r="AP3633">
        <v>8.0399999999999991</v>
      </c>
      <c r="AQ3633">
        <v>5.84</v>
      </c>
      <c r="AR3633">
        <v>4.22</v>
      </c>
      <c r="AS3633">
        <v>1.08</v>
      </c>
      <c r="AT3633" t="s">
        <v>5714</v>
      </c>
      <c r="AU3633">
        <v>14.33</v>
      </c>
      <c r="AV3633">
        <v>12.63</v>
      </c>
      <c r="AW3633">
        <v>1.17</v>
      </c>
      <c r="BA3633">
        <v>0.32</v>
      </c>
      <c r="BB3633">
        <v>1.02</v>
      </c>
      <c r="BC3633">
        <v>-0.64</v>
      </c>
      <c r="BD3633">
        <v>0.3</v>
      </c>
      <c r="BE3633">
        <v>-0.89</v>
      </c>
      <c r="BF3633">
        <v>-1.58</v>
      </c>
      <c r="BG3633">
        <v>0.06</v>
      </c>
      <c r="BH3633">
        <v>-0.87</v>
      </c>
      <c r="BI3633">
        <v>20191030</v>
      </c>
      <c r="BJ3633">
        <v>20150217</v>
      </c>
      <c r="BK3633">
        <v>3.1</v>
      </c>
      <c r="BL3633" t="s">
        <v>116</v>
      </c>
      <c r="BM3633" t="s">
        <v>116</v>
      </c>
      <c r="BN3633">
        <v>35.700000000000003</v>
      </c>
      <c r="BO3633">
        <v>25.23</v>
      </c>
      <c r="BP3633">
        <v>0.26</v>
      </c>
      <c r="BQ3633">
        <v>28.59</v>
      </c>
      <c r="BR3633">
        <v>17.77</v>
      </c>
      <c r="BS3633">
        <v>7.28</v>
      </c>
      <c r="BT3633">
        <v>1.61</v>
      </c>
      <c r="BU3633">
        <v>4.53</v>
      </c>
      <c r="BV3633">
        <v>1.1100000000000001</v>
      </c>
      <c r="BW3633">
        <v>0.35</v>
      </c>
      <c r="BX3633">
        <v>7.88</v>
      </c>
      <c r="BY3633">
        <v>15.57</v>
      </c>
      <c r="BZ3633">
        <v>9.44</v>
      </c>
      <c r="CA3633">
        <v>3.05</v>
      </c>
      <c r="CB3633">
        <v>0.22</v>
      </c>
      <c r="CC3633">
        <v>3.07</v>
      </c>
      <c r="CD3633">
        <v>2.54</v>
      </c>
      <c r="CE3633">
        <v>2.61</v>
      </c>
      <c r="CF3633">
        <v>2.3199999999999998</v>
      </c>
      <c r="CG3633">
        <v>11.88</v>
      </c>
      <c r="CH3633">
        <v>2.5</v>
      </c>
      <c r="CI3633">
        <v>-2.12</v>
      </c>
      <c r="CJ3633">
        <v>11573</v>
      </c>
      <c r="CK3633">
        <v>8789</v>
      </c>
      <c r="CL3633" t="s">
        <v>6453</v>
      </c>
      <c r="CM3633">
        <v>-14.83</v>
      </c>
      <c r="CN3633">
        <v>2.5299999999999998</v>
      </c>
      <c r="CO3633">
        <v>1.99</v>
      </c>
      <c r="CP3633">
        <v>19.29</v>
      </c>
      <c r="CQ3633">
        <v>3.1</v>
      </c>
      <c r="CR3633">
        <v>2.38</v>
      </c>
      <c r="CS3633" t="s">
        <v>6916</v>
      </c>
      <c r="CT3633">
        <v>7.82</v>
      </c>
      <c r="CU3633">
        <v>7.82</v>
      </c>
      <c r="CV3633">
        <v>2.54</v>
      </c>
      <c r="CW3633">
        <v>3.84</v>
      </c>
      <c r="CX3633">
        <v>0.81</v>
      </c>
      <c r="CY3633">
        <v>70.680000000000007</v>
      </c>
      <c r="CZ3633" t="s">
        <v>1900</v>
      </c>
      <c r="DA3633">
        <v>39.35</v>
      </c>
      <c r="DB3633">
        <v>19.61</v>
      </c>
      <c r="DC3633">
        <v>16.78</v>
      </c>
      <c r="DD3633">
        <v>0.51</v>
      </c>
      <c r="DE3633">
        <v>3893</v>
      </c>
      <c r="DF3633">
        <v>603898</v>
      </c>
      <c r="DG3633" t="s">
        <v>116</v>
      </c>
      <c r="DH3633" t="s">
        <v>116</v>
      </c>
      <c r="DI3633" t="s">
        <v>116</v>
      </c>
    </row>
    <row r="3634" spans="1:113" x14ac:dyDescent="0.4">
      <c r="A3634" t="str">
        <f>"603899"</f>
        <v>603899</v>
      </c>
      <c r="B3634" t="s">
        <v>15040</v>
      </c>
      <c r="C3634">
        <v>-1.88</v>
      </c>
      <c r="D3634">
        <v>46.9</v>
      </c>
      <c r="E3634">
        <v>-0.9</v>
      </c>
      <c r="F3634">
        <v>46.89</v>
      </c>
      <c r="G3634">
        <v>46.9</v>
      </c>
      <c r="H3634">
        <v>42899</v>
      </c>
      <c r="I3634">
        <v>362</v>
      </c>
      <c r="J3634">
        <v>-0.05</v>
      </c>
      <c r="K3634">
        <v>0.47</v>
      </c>
      <c r="L3634">
        <v>47.41</v>
      </c>
      <c r="M3634">
        <v>47.8</v>
      </c>
      <c r="N3634">
        <v>46.9</v>
      </c>
      <c r="O3634">
        <v>47.8</v>
      </c>
      <c r="P3634">
        <v>40.36</v>
      </c>
      <c r="Q3634">
        <v>202595200</v>
      </c>
      <c r="R3634">
        <v>0.99</v>
      </c>
      <c r="S3634" t="s">
        <v>217</v>
      </c>
      <c r="T3634" t="s">
        <v>1653</v>
      </c>
      <c r="U3634">
        <v>1.88</v>
      </c>
      <c r="V3634">
        <v>47.23</v>
      </c>
      <c r="W3634">
        <v>22491</v>
      </c>
      <c r="X3634">
        <v>20408</v>
      </c>
      <c r="Y3634">
        <v>1.1000000000000001</v>
      </c>
      <c r="Z3634">
        <v>43</v>
      </c>
      <c r="AA3634">
        <v>66</v>
      </c>
      <c r="AB3634" t="s">
        <v>116</v>
      </c>
      <c r="AC3634">
        <v>801200</v>
      </c>
      <c r="AD3634">
        <v>0.01</v>
      </c>
      <c r="AE3634" t="s">
        <v>116</v>
      </c>
      <c r="AF3634" t="s">
        <v>116</v>
      </c>
      <c r="AG3634">
        <v>9.1999999999999993</v>
      </c>
      <c r="AH3634" t="s">
        <v>15041</v>
      </c>
      <c r="AI3634" t="s">
        <v>15041</v>
      </c>
      <c r="AJ3634">
        <v>-1.81</v>
      </c>
      <c r="AK3634">
        <v>3899</v>
      </c>
      <c r="AL3634">
        <v>11</v>
      </c>
      <c r="AM3634">
        <v>1E-4</v>
      </c>
      <c r="AN3634">
        <v>-1</v>
      </c>
      <c r="AO3634">
        <v>1.08</v>
      </c>
      <c r="AP3634">
        <v>2.11</v>
      </c>
      <c r="AQ3634">
        <v>8.06</v>
      </c>
      <c r="AR3634">
        <v>56.59</v>
      </c>
      <c r="AS3634">
        <v>1.55</v>
      </c>
      <c r="AT3634" t="s">
        <v>15042</v>
      </c>
      <c r="AU3634">
        <v>43.85</v>
      </c>
      <c r="AV3634">
        <v>53.48</v>
      </c>
      <c r="AW3634">
        <v>0.57999999999999996</v>
      </c>
      <c r="BA3634">
        <v>-0.82</v>
      </c>
      <c r="BB3634">
        <v>0</v>
      </c>
      <c r="BC3634">
        <v>-1.88</v>
      </c>
      <c r="BD3634">
        <v>-1.2</v>
      </c>
      <c r="BE3634">
        <v>-1.08</v>
      </c>
      <c r="BF3634">
        <v>-1.88</v>
      </c>
      <c r="BG3634">
        <v>0</v>
      </c>
      <c r="BH3634">
        <v>-0.68</v>
      </c>
      <c r="BI3634">
        <v>20191120</v>
      </c>
      <c r="BJ3634">
        <v>20150127</v>
      </c>
      <c r="BK3634">
        <v>9.1999999999999993</v>
      </c>
      <c r="BL3634" t="s">
        <v>116</v>
      </c>
      <c r="BM3634" t="s">
        <v>116</v>
      </c>
      <c r="BN3634">
        <v>69.08</v>
      </c>
      <c r="BO3634">
        <v>39.369999999999997</v>
      </c>
      <c r="BP3634">
        <v>2.54</v>
      </c>
      <c r="BQ3634">
        <v>39.33</v>
      </c>
      <c r="BR3634">
        <v>47.47</v>
      </c>
      <c r="BS3634">
        <v>11.73</v>
      </c>
      <c r="BT3634">
        <v>3.32</v>
      </c>
      <c r="BU3634">
        <v>26.02</v>
      </c>
      <c r="BV3634">
        <v>12.61</v>
      </c>
      <c r="BW3634">
        <v>12.95</v>
      </c>
      <c r="BX3634">
        <v>2.72</v>
      </c>
      <c r="BY3634">
        <v>79.47</v>
      </c>
      <c r="BZ3634">
        <v>58.18</v>
      </c>
      <c r="CA3634">
        <v>9.6</v>
      </c>
      <c r="CB3634">
        <v>0.23</v>
      </c>
      <c r="CC3634">
        <v>9.85</v>
      </c>
      <c r="CD3634">
        <v>8.1300000000000008</v>
      </c>
      <c r="CE3634">
        <v>8.02</v>
      </c>
      <c r="CF3634">
        <v>7.61</v>
      </c>
      <c r="CG3634">
        <v>24.01</v>
      </c>
      <c r="CH3634">
        <v>6.78</v>
      </c>
      <c r="CI3634">
        <v>2.1</v>
      </c>
      <c r="CJ3634">
        <v>10782</v>
      </c>
      <c r="CK3634">
        <v>25737</v>
      </c>
      <c r="CL3634" t="s">
        <v>15043</v>
      </c>
      <c r="CM3634">
        <v>28.36</v>
      </c>
      <c r="CN3634">
        <v>29.78</v>
      </c>
      <c r="CO3634">
        <v>10.96</v>
      </c>
      <c r="CP3634">
        <v>63.64</v>
      </c>
      <c r="CQ3634">
        <v>5.43</v>
      </c>
      <c r="CR3634">
        <v>0.64</v>
      </c>
      <c r="CS3634" t="s">
        <v>15044</v>
      </c>
      <c r="CT3634">
        <v>4.28</v>
      </c>
      <c r="CU3634">
        <v>0</v>
      </c>
      <c r="CV3634">
        <v>0.3</v>
      </c>
      <c r="CW3634">
        <v>2.61</v>
      </c>
      <c r="CX3634">
        <v>0.74</v>
      </c>
      <c r="CY3634">
        <v>56.99</v>
      </c>
      <c r="CZ3634" t="s">
        <v>15045</v>
      </c>
      <c r="DA3634">
        <v>26.79</v>
      </c>
      <c r="DB3634">
        <v>12.07</v>
      </c>
      <c r="DC3634">
        <v>10.09</v>
      </c>
      <c r="DD3634">
        <v>1.08</v>
      </c>
      <c r="DE3634">
        <v>3674</v>
      </c>
      <c r="DF3634">
        <v>603899</v>
      </c>
      <c r="DG3634" t="s">
        <v>116</v>
      </c>
      <c r="DH3634" t="s">
        <v>116</v>
      </c>
      <c r="DI3634" t="s">
        <v>116</v>
      </c>
    </row>
    <row r="3635" spans="1:113" x14ac:dyDescent="0.4">
      <c r="A3635" t="str">
        <f>"603900"</f>
        <v>603900</v>
      </c>
      <c r="B3635" t="s">
        <v>15046</v>
      </c>
      <c r="C3635">
        <v>-0.11</v>
      </c>
      <c r="D3635">
        <v>9.32</v>
      </c>
      <c r="E3635">
        <v>-0.01</v>
      </c>
      <c r="F3635">
        <v>9.32</v>
      </c>
      <c r="G3635">
        <v>9.33</v>
      </c>
      <c r="H3635">
        <v>18453</v>
      </c>
      <c r="I3635">
        <v>202</v>
      </c>
      <c r="J3635">
        <v>-0.2</v>
      </c>
      <c r="K3635">
        <v>0.54</v>
      </c>
      <c r="L3635">
        <v>9.33</v>
      </c>
      <c r="M3635">
        <v>9.48</v>
      </c>
      <c r="N3635">
        <v>9.32</v>
      </c>
      <c r="O3635">
        <v>9.33</v>
      </c>
      <c r="P3635">
        <v>16.510000000000002</v>
      </c>
      <c r="Q3635">
        <v>17327436</v>
      </c>
      <c r="R3635">
        <v>1.05</v>
      </c>
      <c r="S3635" t="s">
        <v>3070</v>
      </c>
      <c r="T3635" t="s">
        <v>323</v>
      </c>
      <c r="U3635">
        <v>1.71</v>
      </c>
      <c r="V3635">
        <v>9.39</v>
      </c>
      <c r="W3635">
        <v>9055</v>
      </c>
      <c r="X3635">
        <v>9398</v>
      </c>
      <c r="Y3635">
        <v>0.96</v>
      </c>
      <c r="Z3635">
        <v>15</v>
      </c>
      <c r="AA3635">
        <v>55</v>
      </c>
      <c r="AB3635" t="s">
        <v>116</v>
      </c>
      <c r="AC3635">
        <v>48500</v>
      </c>
      <c r="AD3635">
        <v>0.01</v>
      </c>
      <c r="AE3635" t="s">
        <v>116</v>
      </c>
      <c r="AF3635" t="s">
        <v>116</v>
      </c>
      <c r="AG3635">
        <v>3.4</v>
      </c>
      <c r="AH3635" t="s">
        <v>12185</v>
      </c>
      <c r="AI3635" t="s">
        <v>12185</v>
      </c>
      <c r="AJ3635">
        <v>-0.03</v>
      </c>
      <c r="AK3635">
        <v>764</v>
      </c>
      <c r="AL3635">
        <v>24</v>
      </c>
      <c r="AM3635">
        <v>6.9999999999999999E-4</v>
      </c>
      <c r="AN3635">
        <v>-1</v>
      </c>
      <c r="AO3635">
        <v>0.54</v>
      </c>
      <c r="AP3635">
        <v>4.5999999999999996</v>
      </c>
      <c r="AQ3635">
        <v>-21.48</v>
      </c>
      <c r="AR3635">
        <v>-17.600000000000001</v>
      </c>
      <c r="AS3635">
        <v>1.89</v>
      </c>
      <c r="AT3635" t="s">
        <v>10084</v>
      </c>
      <c r="AU3635">
        <v>22.59</v>
      </c>
      <c r="AV3635">
        <v>15.14</v>
      </c>
      <c r="AW3635">
        <v>0.9</v>
      </c>
      <c r="BA3635">
        <v>0</v>
      </c>
      <c r="BB3635">
        <v>1.61</v>
      </c>
      <c r="BC3635">
        <v>-0.11</v>
      </c>
      <c r="BD3635">
        <v>0.65</v>
      </c>
      <c r="BE3635">
        <v>-0.11</v>
      </c>
      <c r="BF3635">
        <v>-1.69</v>
      </c>
      <c r="BG3635">
        <v>0</v>
      </c>
      <c r="BH3635">
        <v>-0.75</v>
      </c>
      <c r="BI3635">
        <v>20191122</v>
      </c>
      <c r="BJ3635">
        <v>20161123</v>
      </c>
      <c r="BK3635">
        <v>3.4</v>
      </c>
      <c r="BL3635" t="s">
        <v>116</v>
      </c>
      <c r="BM3635" t="s">
        <v>116</v>
      </c>
      <c r="BN3635">
        <v>26.97</v>
      </c>
      <c r="BO3635">
        <v>23.4</v>
      </c>
      <c r="BP3635">
        <v>0</v>
      </c>
      <c r="BQ3635">
        <v>13.23</v>
      </c>
      <c r="BR3635">
        <v>24.98</v>
      </c>
      <c r="BS3635">
        <v>0.65</v>
      </c>
      <c r="BT3635">
        <v>0.22</v>
      </c>
      <c r="BU3635">
        <v>3.5</v>
      </c>
      <c r="BV3635">
        <v>16.41</v>
      </c>
      <c r="BW3635">
        <v>0.97</v>
      </c>
      <c r="BX3635">
        <v>10.94</v>
      </c>
      <c r="BY3635">
        <v>10.23</v>
      </c>
      <c r="BZ3635">
        <v>4.2699999999999996</v>
      </c>
      <c r="CA3635">
        <v>1.68</v>
      </c>
      <c r="CB3635">
        <v>0.19</v>
      </c>
      <c r="CC3635">
        <v>1.93</v>
      </c>
      <c r="CD3635">
        <v>1.44</v>
      </c>
      <c r="CE3635">
        <v>1.44</v>
      </c>
      <c r="CF3635">
        <v>1.1100000000000001</v>
      </c>
      <c r="CG3635">
        <v>7.91</v>
      </c>
      <c r="CH3635">
        <v>-0.37</v>
      </c>
      <c r="CI3635">
        <v>-0.04</v>
      </c>
      <c r="CJ3635">
        <v>18947</v>
      </c>
      <c r="CK3635">
        <v>5161</v>
      </c>
      <c r="CL3635" t="s">
        <v>2532</v>
      </c>
      <c r="CM3635">
        <v>-32.409999999999997</v>
      </c>
      <c r="CN3635">
        <v>-22.79</v>
      </c>
      <c r="CO3635">
        <v>1.36</v>
      </c>
      <c r="CP3635">
        <v>-86</v>
      </c>
      <c r="CQ3635">
        <v>3.1</v>
      </c>
      <c r="CR3635">
        <v>6.44</v>
      </c>
      <c r="CS3635" t="s">
        <v>15047</v>
      </c>
      <c r="CT3635">
        <v>6.87</v>
      </c>
      <c r="CU3635">
        <v>0</v>
      </c>
      <c r="CV3635">
        <v>3.21</v>
      </c>
      <c r="CW3635">
        <v>2.3199999999999998</v>
      </c>
      <c r="CX3635">
        <v>-0.11</v>
      </c>
      <c r="CY3635">
        <v>86.77</v>
      </c>
      <c r="CZ3635" t="s">
        <v>314</v>
      </c>
      <c r="DA3635">
        <v>58.28</v>
      </c>
      <c r="DB3635">
        <v>16.41</v>
      </c>
      <c r="DC3635">
        <v>14.09</v>
      </c>
      <c r="DD3635">
        <v>0</v>
      </c>
      <c r="DE3635">
        <v>2398</v>
      </c>
      <c r="DF3635">
        <v>603900</v>
      </c>
      <c r="DG3635" t="s">
        <v>116</v>
      </c>
      <c r="DH3635" t="s">
        <v>116</v>
      </c>
      <c r="DI3635" t="s">
        <v>116</v>
      </c>
    </row>
    <row r="3636" spans="1:113" x14ac:dyDescent="0.4">
      <c r="A3636" t="str">
        <f>"603901"</f>
        <v>603901</v>
      </c>
      <c r="B3636" t="s">
        <v>15048</v>
      </c>
      <c r="C3636">
        <v>0.86</v>
      </c>
      <c r="D3636">
        <v>10.6</v>
      </c>
      <c r="E3636">
        <v>0.09</v>
      </c>
      <c r="F3636">
        <v>10.59</v>
      </c>
      <c r="G3636">
        <v>10.6</v>
      </c>
      <c r="H3636">
        <v>52170</v>
      </c>
      <c r="I3636">
        <v>439</v>
      </c>
      <c r="J3636">
        <v>0</v>
      </c>
      <c r="K3636">
        <v>2.34</v>
      </c>
      <c r="L3636">
        <v>10.51</v>
      </c>
      <c r="M3636">
        <v>10.81</v>
      </c>
      <c r="N3636">
        <v>10.48</v>
      </c>
      <c r="O3636">
        <v>10.51</v>
      </c>
      <c r="P3636">
        <v>38.090000000000003</v>
      </c>
      <c r="Q3636">
        <v>55201148</v>
      </c>
      <c r="R3636">
        <v>0.85</v>
      </c>
      <c r="S3636" t="s">
        <v>682</v>
      </c>
      <c r="T3636" t="s">
        <v>590</v>
      </c>
      <c r="U3636">
        <v>3.14</v>
      </c>
      <c r="V3636">
        <v>10.58</v>
      </c>
      <c r="W3636">
        <v>27027</v>
      </c>
      <c r="X3636">
        <v>25143</v>
      </c>
      <c r="Y3636">
        <v>1.07</v>
      </c>
      <c r="Z3636">
        <v>356</v>
      </c>
      <c r="AA3636">
        <v>152</v>
      </c>
      <c r="AB3636" t="s">
        <v>116</v>
      </c>
      <c r="AC3636">
        <v>98800</v>
      </c>
      <c r="AD3636">
        <v>0</v>
      </c>
      <c r="AE3636" t="s">
        <v>116</v>
      </c>
      <c r="AF3636" t="s">
        <v>116</v>
      </c>
      <c r="AG3636">
        <v>2.23</v>
      </c>
      <c r="AH3636" t="s">
        <v>11757</v>
      </c>
      <c r="AI3636" t="s">
        <v>15049</v>
      </c>
      <c r="AJ3636">
        <v>0.93</v>
      </c>
      <c r="AK3636">
        <v>2240</v>
      </c>
      <c r="AL3636">
        <v>23</v>
      </c>
      <c r="AM3636">
        <v>1E-3</v>
      </c>
      <c r="AN3636">
        <v>2</v>
      </c>
      <c r="AO3636">
        <v>1.83</v>
      </c>
      <c r="AP3636">
        <v>2.5099999999999998</v>
      </c>
      <c r="AQ3636">
        <v>28.17</v>
      </c>
      <c r="AR3636">
        <v>61.96</v>
      </c>
      <c r="AS3636">
        <v>2.66</v>
      </c>
      <c r="AT3636" t="s">
        <v>7706</v>
      </c>
      <c r="AU3636">
        <v>48.18</v>
      </c>
      <c r="AV3636">
        <v>62.78</v>
      </c>
      <c r="AW3636">
        <v>0.83</v>
      </c>
      <c r="BA3636">
        <v>0</v>
      </c>
      <c r="BB3636">
        <v>2.85</v>
      </c>
      <c r="BC3636">
        <v>-0.28999999999999998</v>
      </c>
      <c r="BD3636">
        <v>0.68</v>
      </c>
      <c r="BE3636">
        <v>0.86</v>
      </c>
      <c r="BF3636">
        <v>-1.94</v>
      </c>
      <c r="BG3636">
        <v>1.1499999999999999</v>
      </c>
      <c r="BH3636">
        <v>0.18</v>
      </c>
      <c r="BI3636">
        <v>20191031</v>
      </c>
      <c r="BJ3636">
        <v>20150529</v>
      </c>
      <c r="BK3636">
        <v>4.3899999999999997</v>
      </c>
      <c r="BL3636" t="s">
        <v>116</v>
      </c>
      <c r="BM3636" t="s">
        <v>116</v>
      </c>
      <c r="BN3636">
        <v>30.45</v>
      </c>
      <c r="BO3636">
        <v>13.19</v>
      </c>
      <c r="BP3636">
        <v>0.14000000000000001</v>
      </c>
      <c r="BQ3636">
        <v>56.22</v>
      </c>
      <c r="BR3636">
        <v>22.72</v>
      </c>
      <c r="BS3636">
        <v>3.66</v>
      </c>
      <c r="BT3636">
        <v>1.1100000000000001</v>
      </c>
      <c r="BU3636">
        <v>16.190000000000001</v>
      </c>
      <c r="BV3636">
        <v>11.49</v>
      </c>
      <c r="BW3636">
        <v>4.26</v>
      </c>
      <c r="BX3636">
        <v>4.2699999999999996</v>
      </c>
      <c r="BY3636">
        <v>13.61</v>
      </c>
      <c r="BZ3636">
        <v>9.57</v>
      </c>
      <c r="CA3636">
        <v>1.0900000000000001</v>
      </c>
      <c r="CB3636">
        <v>0.03</v>
      </c>
      <c r="CC3636">
        <v>1.08</v>
      </c>
      <c r="CD3636">
        <v>0.94</v>
      </c>
      <c r="CE3636">
        <v>0.92</v>
      </c>
      <c r="CF3636">
        <v>0.77</v>
      </c>
      <c r="CG3636">
        <v>4.57</v>
      </c>
      <c r="CH3636">
        <v>0.04</v>
      </c>
      <c r="CI3636">
        <v>0.22</v>
      </c>
      <c r="CJ3636">
        <v>23718</v>
      </c>
      <c r="CK3636">
        <v>8270</v>
      </c>
      <c r="CL3636" t="s">
        <v>1938</v>
      </c>
      <c r="CM3636">
        <v>32.47</v>
      </c>
      <c r="CN3636">
        <v>17.559999999999999</v>
      </c>
      <c r="CO3636">
        <v>3.53</v>
      </c>
      <c r="CP3636">
        <v>1300.69</v>
      </c>
      <c r="CQ3636">
        <v>3.42</v>
      </c>
      <c r="CR3636">
        <v>0.51</v>
      </c>
      <c r="CS3636" t="s">
        <v>3899</v>
      </c>
      <c r="CT3636">
        <v>3</v>
      </c>
      <c r="CU3636">
        <v>0</v>
      </c>
      <c r="CV3636">
        <v>0.97</v>
      </c>
      <c r="CW3636">
        <v>1.04</v>
      </c>
      <c r="CX3636">
        <v>0.01</v>
      </c>
      <c r="CY3636">
        <v>43.33</v>
      </c>
      <c r="CZ3636" t="s">
        <v>11082</v>
      </c>
      <c r="DA3636">
        <v>29.69</v>
      </c>
      <c r="DB3636">
        <v>7.98</v>
      </c>
      <c r="DC3636">
        <v>6.74</v>
      </c>
      <c r="DD3636">
        <v>0.66</v>
      </c>
      <c r="DE3636">
        <v>3516</v>
      </c>
      <c r="DF3636">
        <v>603901</v>
      </c>
      <c r="DG3636" t="s">
        <v>116</v>
      </c>
      <c r="DH3636" t="s">
        <v>116</v>
      </c>
      <c r="DI3636" t="s">
        <v>116</v>
      </c>
    </row>
    <row r="3637" spans="1:113" x14ac:dyDescent="0.4">
      <c r="A3637" t="str">
        <f>"603903"</f>
        <v>603903</v>
      </c>
      <c r="B3637" t="s">
        <v>15050</v>
      </c>
      <c r="C3637">
        <v>-1.71</v>
      </c>
      <c r="D3637">
        <v>13.77</v>
      </c>
      <c r="E3637">
        <v>-0.24</v>
      </c>
      <c r="F3637">
        <v>13.76</v>
      </c>
      <c r="G3637">
        <v>13.77</v>
      </c>
      <c r="H3637">
        <v>14122</v>
      </c>
      <c r="I3637">
        <v>149</v>
      </c>
      <c r="J3637">
        <v>7.0000000000000007E-2</v>
      </c>
      <c r="K3637">
        <v>1.36</v>
      </c>
      <c r="L3637">
        <v>13.95</v>
      </c>
      <c r="M3637">
        <v>14.1</v>
      </c>
      <c r="N3637">
        <v>13.73</v>
      </c>
      <c r="O3637">
        <v>14.01</v>
      </c>
      <c r="P3637">
        <v>23.48</v>
      </c>
      <c r="Q3637">
        <v>19663730</v>
      </c>
      <c r="R3637">
        <v>0.89</v>
      </c>
      <c r="S3637" t="s">
        <v>140</v>
      </c>
      <c r="T3637" t="s">
        <v>165</v>
      </c>
      <c r="U3637">
        <v>2.64</v>
      </c>
      <c r="V3637">
        <v>13.92</v>
      </c>
      <c r="W3637">
        <v>8687</v>
      </c>
      <c r="X3637">
        <v>5435</v>
      </c>
      <c r="Y3637">
        <v>1.6</v>
      </c>
      <c r="Z3637">
        <v>24</v>
      </c>
      <c r="AA3637">
        <v>300</v>
      </c>
      <c r="AB3637" t="s">
        <v>116</v>
      </c>
      <c r="AC3637">
        <v>27900</v>
      </c>
      <c r="AD3637">
        <v>0</v>
      </c>
      <c r="AE3637" t="s">
        <v>116</v>
      </c>
      <c r="AF3637" t="s">
        <v>116</v>
      </c>
      <c r="AG3637">
        <v>1.04</v>
      </c>
      <c r="AH3637" t="s">
        <v>5527</v>
      </c>
      <c r="AI3637" t="s">
        <v>10271</v>
      </c>
      <c r="AJ3637">
        <v>-1.64</v>
      </c>
      <c r="AK3637">
        <v>900</v>
      </c>
      <c r="AL3637">
        <v>16</v>
      </c>
      <c r="AM3637">
        <v>1.5E-3</v>
      </c>
      <c r="AN3637">
        <v>-1</v>
      </c>
      <c r="AO3637">
        <v>-0.56999999999999995</v>
      </c>
      <c r="AP3637">
        <v>4.87</v>
      </c>
      <c r="AQ3637">
        <v>-1.99</v>
      </c>
      <c r="AR3637">
        <v>-3.42</v>
      </c>
      <c r="AS3637">
        <v>1.58</v>
      </c>
      <c r="AT3637" t="s">
        <v>9976</v>
      </c>
      <c r="AU3637">
        <v>21.63</v>
      </c>
      <c r="AV3637">
        <v>21.5</v>
      </c>
      <c r="AW3637">
        <v>1</v>
      </c>
      <c r="BA3637">
        <v>-0.43</v>
      </c>
      <c r="BB3637">
        <v>0.64</v>
      </c>
      <c r="BC3637">
        <v>-2</v>
      </c>
      <c r="BD3637">
        <v>-0.61</v>
      </c>
      <c r="BE3637">
        <v>-1.29</v>
      </c>
      <c r="BF3637">
        <v>-2.34</v>
      </c>
      <c r="BG3637">
        <v>0.28999999999999998</v>
      </c>
      <c r="BH3637">
        <v>-1.1000000000000001</v>
      </c>
      <c r="BI3637">
        <v>20191030</v>
      </c>
      <c r="BJ3637">
        <v>20170314</v>
      </c>
      <c r="BK3637">
        <v>1.45</v>
      </c>
      <c r="BL3637" t="s">
        <v>116</v>
      </c>
      <c r="BM3637" t="s">
        <v>116</v>
      </c>
      <c r="BN3637">
        <v>26.38</v>
      </c>
      <c r="BO3637">
        <v>8.7200000000000006</v>
      </c>
      <c r="BP3637">
        <v>1</v>
      </c>
      <c r="BQ3637">
        <v>63.13</v>
      </c>
      <c r="BR3637">
        <v>10.58</v>
      </c>
      <c r="BS3637">
        <v>0.45</v>
      </c>
      <c r="BT3637">
        <v>6.1</v>
      </c>
      <c r="BU3637">
        <v>11.18</v>
      </c>
      <c r="BV3637">
        <v>2.11</v>
      </c>
      <c r="BW3637">
        <v>4.5</v>
      </c>
      <c r="BX3637">
        <v>4.01</v>
      </c>
      <c r="BY3637">
        <v>6.89</v>
      </c>
      <c r="BZ3637">
        <v>4.38</v>
      </c>
      <c r="CA3637">
        <v>0.99</v>
      </c>
      <c r="CB3637">
        <v>0.03</v>
      </c>
      <c r="CC3637">
        <v>1</v>
      </c>
      <c r="CD3637">
        <v>0.86</v>
      </c>
      <c r="CE3637">
        <v>0.64</v>
      </c>
      <c r="CF3637">
        <v>0.63</v>
      </c>
      <c r="CG3637">
        <v>3.16</v>
      </c>
      <c r="CH3637">
        <v>0.68</v>
      </c>
      <c r="CI3637">
        <v>0.02</v>
      </c>
      <c r="CJ3637">
        <v>16305</v>
      </c>
      <c r="CK3637">
        <v>5482</v>
      </c>
      <c r="CL3637" t="s">
        <v>6539</v>
      </c>
      <c r="CM3637">
        <v>-0.91</v>
      </c>
      <c r="CN3637">
        <v>-0.26</v>
      </c>
      <c r="CO3637">
        <v>2.2799999999999998</v>
      </c>
      <c r="CP3637">
        <v>29.22</v>
      </c>
      <c r="CQ3637">
        <v>2.89</v>
      </c>
      <c r="CR3637">
        <v>0.47</v>
      </c>
      <c r="CS3637" t="s">
        <v>814</v>
      </c>
      <c r="CT3637">
        <v>6.03</v>
      </c>
      <c r="CU3637">
        <v>0</v>
      </c>
      <c r="CV3637">
        <v>2.77</v>
      </c>
      <c r="CW3637">
        <v>2.19</v>
      </c>
      <c r="CX3637">
        <v>0.47</v>
      </c>
      <c r="CY3637">
        <v>33.07</v>
      </c>
      <c r="CZ3637" t="s">
        <v>12548</v>
      </c>
      <c r="DA3637">
        <v>36.39</v>
      </c>
      <c r="DB3637">
        <v>14.44</v>
      </c>
      <c r="DC3637">
        <v>9.23</v>
      </c>
      <c r="DD3637">
        <v>0.26</v>
      </c>
      <c r="DE3637">
        <v>1022</v>
      </c>
      <c r="DF3637">
        <v>603903</v>
      </c>
      <c r="DG3637" t="s">
        <v>116</v>
      </c>
      <c r="DH3637" t="s">
        <v>116</v>
      </c>
      <c r="DI3637" t="s">
        <v>116</v>
      </c>
    </row>
    <row r="3638" spans="1:113" x14ac:dyDescent="0.4">
      <c r="A3638" t="str">
        <f>"603906"</f>
        <v>603906</v>
      </c>
      <c r="B3638" t="s">
        <v>15051</v>
      </c>
      <c r="C3638">
        <v>-3.57</v>
      </c>
      <c r="D3638">
        <v>10.53</v>
      </c>
      <c r="E3638">
        <v>-0.39</v>
      </c>
      <c r="F3638">
        <v>10.52</v>
      </c>
      <c r="G3638">
        <v>10.53</v>
      </c>
      <c r="H3638">
        <v>62400</v>
      </c>
      <c r="I3638">
        <v>1731</v>
      </c>
      <c r="J3638">
        <v>-0.08</v>
      </c>
      <c r="K3638">
        <v>5.57</v>
      </c>
      <c r="L3638">
        <v>10.89</v>
      </c>
      <c r="M3638">
        <v>11</v>
      </c>
      <c r="N3638">
        <v>10.51</v>
      </c>
      <c r="O3638">
        <v>10.92</v>
      </c>
      <c r="P3638">
        <v>25.25</v>
      </c>
      <c r="Q3638">
        <v>67282672</v>
      </c>
      <c r="R3638">
        <v>1.07</v>
      </c>
      <c r="S3638" t="s">
        <v>891</v>
      </c>
      <c r="T3638" t="s">
        <v>323</v>
      </c>
      <c r="U3638">
        <v>4.49</v>
      </c>
      <c r="V3638">
        <v>10.78</v>
      </c>
      <c r="W3638">
        <v>40102</v>
      </c>
      <c r="X3638">
        <v>22298</v>
      </c>
      <c r="Y3638">
        <v>1.8</v>
      </c>
      <c r="Z3638">
        <v>1426</v>
      </c>
      <c r="AA3638">
        <v>81</v>
      </c>
      <c r="AB3638" t="s">
        <v>116</v>
      </c>
      <c r="AC3638">
        <v>425800</v>
      </c>
      <c r="AD3638">
        <v>0.04</v>
      </c>
      <c r="AE3638" t="s">
        <v>116</v>
      </c>
      <c r="AF3638" t="s">
        <v>116</v>
      </c>
      <c r="AG3638">
        <v>1.1200000000000001</v>
      </c>
      <c r="AH3638" t="s">
        <v>15052</v>
      </c>
      <c r="AI3638" t="s">
        <v>9290</v>
      </c>
      <c r="AJ3638">
        <v>-3.49</v>
      </c>
      <c r="AK3638">
        <v>1685</v>
      </c>
      <c r="AL3638">
        <v>37</v>
      </c>
      <c r="AM3638">
        <v>3.3E-3</v>
      </c>
      <c r="AN3638">
        <v>-1</v>
      </c>
      <c r="AO3638">
        <v>-3.84</v>
      </c>
      <c r="AP3638">
        <v>7.67</v>
      </c>
      <c r="AQ3638">
        <v>4.88</v>
      </c>
      <c r="AR3638">
        <v>51.11</v>
      </c>
      <c r="AS3638">
        <v>7.18</v>
      </c>
      <c r="AT3638" t="s">
        <v>10127</v>
      </c>
      <c r="AU3638">
        <v>26.38</v>
      </c>
      <c r="AV3638">
        <v>38.94</v>
      </c>
      <c r="AW3638">
        <v>1.45</v>
      </c>
      <c r="BA3638">
        <v>-0.27</v>
      </c>
      <c r="BB3638">
        <v>0.73</v>
      </c>
      <c r="BC3638">
        <v>-3.75</v>
      </c>
      <c r="BD3638">
        <v>-1.26</v>
      </c>
      <c r="BE3638">
        <v>-3.31</v>
      </c>
      <c r="BF3638">
        <v>-4.2699999999999996</v>
      </c>
      <c r="BG3638">
        <v>0.19</v>
      </c>
      <c r="BH3638">
        <v>-2.31</v>
      </c>
      <c r="BI3638">
        <v>20191030</v>
      </c>
      <c r="BJ3638">
        <v>20170410</v>
      </c>
      <c r="BK3638">
        <v>3.03</v>
      </c>
      <c r="BL3638" t="s">
        <v>116</v>
      </c>
      <c r="BM3638" t="s">
        <v>116</v>
      </c>
      <c r="BN3638">
        <v>21.71</v>
      </c>
      <c r="BO3638">
        <v>13.2</v>
      </c>
      <c r="BP3638">
        <v>1.5</v>
      </c>
      <c r="BQ3638">
        <v>32.299999999999997</v>
      </c>
      <c r="BR3638">
        <v>13.63</v>
      </c>
      <c r="BS3638">
        <v>3.91</v>
      </c>
      <c r="BT3638">
        <v>1.46</v>
      </c>
      <c r="BU3638">
        <v>5.73</v>
      </c>
      <c r="BV3638">
        <v>2.68</v>
      </c>
      <c r="BW3638">
        <v>2</v>
      </c>
      <c r="BX3638">
        <v>5.84</v>
      </c>
      <c r="BY3638">
        <v>12.17</v>
      </c>
      <c r="BZ3638">
        <v>7.99</v>
      </c>
      <c r="CA3638">
        <v>1.35</v>
      </c>
      <c r="CB3638">
        <v>-0.01</v>
      </c>
      <c r="CC3638">
        <v>1.35</v>
      </c>
      <c r="CD3638">
        <v>1.1299999999999999</v>
      </c>
      <c r="CE3638">
        <v>0.95</v>
      </c>
      <c r="CF3638">
        <v>0.87</v>
      </c>
      <c r="CG3638">
        <v>4.2300000000000004</v>
      </c>
      <c r="CH3638">
        <v>2.2000000000000002</v>
      </c>
      <c r="CI3638">
        <v>0.24</v>
      </c>
      <c r="CJ3638">
        <v>22228</v>
      </c>
      <c r="CK3638">
        <v>3911</v>
      </c>
      <c r="CL3638" t="s">
        <v>3250</v>
      </c>
      <c r="CM3638">
        <v>69.94</v>
      </c>
      <c r="CN3638">
        <v>16.14</v>
      </c>
      <c r="CO3638">
        <v>2.41</v>
      </c>
      <c r="CP3638">
        <v>14.52</v>
      </c>
      <c r="CQ3638">
        <v>2.62</v>
      </c>
      <c r="CR3638">
        <v>1.02</v>
      </c>
      <c r="CS3638" t="s">
        <v>1349</v>
      </c>
      <c r="CT3638">
        <v>4.3600000000000003</v>
      </c>
      <c r="CU3638">
        <v>0</v>
      </c>
      <c r="CV3638">
        <v>1.93</v>
      </c>
      <c r="CW3638">
        <v>1.4</v>
      </c>
      <c r="CX3638">
        <v>0.73</v>
      </c>
      <c r="CY3638">
        <v>60.8</v>
      </c>
      <c r="CZ3638" t="s">
        <v>5836</v>
      </c>
      <c r="DA3638">
        <v>34.340000000000003</v>
      </c>
      <c r="DB3638">
        <v>11.1</v>
      </c>
      <c r="DC3638">
        <v>7.78</v>
      </c>
      <c r="DD3638">
        <v>0.46</v>
      </c>
      <c r="DE3638">
        <v>788</v>
      </c>
      <c r="DF3638">
        <v>603906</v>
      </c>
      <c r="DG3638" t="s">
        <v>116</v>
      </c>
      <c r="DH3638" t="s">
        <v>116</v>
      </c>
      <c r="DI3638" t="s">
        <v>116</v>
      </c>
    </row>
    <row r="3639" spans="1:113" x14ac:dyDescent="0.4">
      <c r="A3639" t="str">
        <f>"603908"</f>
        <v>603908</v>
      </c>
      <c r="B3639" t="s">
        <v>15053</v>
      </c>
      <c r="C3639">
        <v>-0.4</v>
      </c>
      <c r="D3639">
        <v>24.95</v>
      </c>
      <c r="E3639">
        <v>-0.1</v>
      </c>
      <c r="F3639">
        <v>24.95</v>
      </c>
      <c r="G3639">
        <v>24.97</v>
      </c>
      <c r="H3639">
        <v>12821</v>
      </c>
      <c r="I3639">
        <v>43</v>
      </c>
      <c r="J3639">
        <v>0.08</v>
      </c>
      <c r="K3639">
        <v>5.56</v>
      </c>
      <c r="L3639">
        <v>25.05</v>
      </c>
      <c r="M3639">
        <v>26.78</v>
      </c>
      <c r="N3639">
        <v>24.9</v>
      </c>
      <c r="O3639">
        <v>25.05</v>
      </c>
      <c r="P3639">
        <v>29.39</v>
      </c>
      <c r="Q3639">
        <v>32678430</v>
      </c>
      <c r="R3639">
        <v>1.72</v>
      </c>
      <c r="S3639" t="s">
        <v>1420</v>
      </c>
      <c r="T3639" t="s">
        <v>590</v>
      </c>
      <c r="U3639">
        <v>7.5</v>
      </c>
      <c r="V3639">
        <v>25.49</v>
      </c>
      <c r="W3639">
        <v>6673</v>
      </c>
      <c r="X3639">
        <v>6148</v>
      </c>
      <c r="Y3639">
        <v>1.0900000000000001</v>
      </c>
      <c r="Z3639">
        <v>62</v>
      </c>
      <c r="AA3639">
        <v>5</v>
      </c>
      <c r="AB3639" t="s">
        <v>116</v>
      </c>
      <c r="AC3639">
        <v>47600</v>
      </c>
      <c r="AD3639">
        <v>0.01</v>
      </c>
      <c r="AE3639" t="s">
        <v>116</v>
      </c>
      <c r="AF3639" t="s">
        <v>116</v>
      </c>
      <c r="AG3639">
        <v>0.23</v>
      </c>
      <c r="AH3639" t="s">
        <v>15054</v>
      </c>
      <c r="AI3639" t="s">
        <v>3561</v>
      </c>
      <c r="AJ3639">
        <v>-0.32</v>
      </c>
      <c r="AK3639">
        <v>1241</v>
      </c>
      <c r="AL3639">
        <v>10</v>
      </c>
      <c r="AM3639">
        <v>4.4999999999999997E-3</v>
      </c>
      <c r="AN3639">
        <v>-1</v>
      </c>
      <c r="AO3639">
        <v>2.5499999999999998</v>
      </c>
      <c r="AP3639">
        <v>4.18</v>
      </c>
      <c r="AQ3639">
        <v>-14.76</v>
      </c>
      <c r="AR3639">
        <v>5.59</v>
      </c>
      <c r="AS3639">
        <v>5.56</v>
      </c>
      <c r="AT3639" t="s">
        <v>15054</v>
      </c>
      <c r="AU3639">
        <v>40.47</v>
      </c>
      <c r="AV3639">
        <v>40.39</v>
      </c>
      <c r="AW3639">
        <v>1.08</v>
      </c>
      <c r="BA3639">
        <v>0</v>
      </c>
      <c r="BB3639">
        <v>6.91</v>
      </c>
      <c r="BC3639">
        <v>-0.6</v>
      </c>
      <c r="BD3639">
        <v>1.75</v>
      </c>
      <c r="BE3639">
        <v>-0.4</v>
      </c>
      <c r="BF3639">
        <v>-6.83</v>
      </c>
      <c r="BG3639">
        <v>0.2</v>
      </c>
      <c r="BH3639">
        <v>-2.15</v>
      </c>
      <c r="BI3639">
        <v>20191030</v>
      </c>
      <c r="BJ3639">
        <v>20170307</v>
      </c>
      <c r="BK3639">
        <v>0.67</v>
      </c>
      <c r="BL3639" t="s">
        <v>116</v>
      </c>
      <c r="BM3639" t="s">
        <v>116</v>
      </c>
      <c r="BN3639">
        <v>6.11</v>
      </c>
      <c r="BO3639">
        <v>4.46</v>
      </c>
      <c r="BP3639">
        <v>0</v>
      </c>
      <c r="BQ3639">
        <v>27.05</v>
      </c>
      <c r="BR3639">
        <v>5.56</v>
      </c>
      <c r="BS3639">
        <v>0.34</v>
      </c>
      <c r="BT3639">
        <v>0.11</v>
      </c>
      <c r="BU3639">
        <v>1.65</v>
      </c>
      <c r="BV3639">
        <v>1.91</v>
      </c>
      <c r="BW3639">
        <v>0.44</v>
      </c>
      <c r="BX3639">
        <v>2.29</v>
      </c>
      <c r="BY3639">
        <v>4.43</v>
      </c>
      <c r="BZ3639">
        <v>3.15</v>
      </c>
      <c r="CA3639">
        <v>0.56000000000000005</v>
      </c>
      <c r="CB3639">
        <v>-0.02</v>
      </c>
      <c r="CC3639">
        <v>0.56999999999999995</v>
      </c>
      <c r="CD3639">
        <v>0.42</v>
      </c>
      <c r="CE3639">
        <v>0.42</v>
      </c>
      <c r="CF3639">
        <v>0.39</v>
      </c>
      <c r="CG3639">
        <v>1.19</v>
      </c>
      <c r="CH3639">
        <v>0.81</v>
      </c>
      <c r="CI3639">
        <v>0.52</v>
      </c>
      <c r="CJ3639">
        <v>7577</v>
      </c>
      <c r="CK3639">
        <v>3042</v>
      </c>
      <c r="CL3639" t="s">
        <v>4073</v>
      </c>
      <c r="CM3639">
        <v>-0.19</v>
      </c>
      <c r="CN3639">
        <v>-3.74</v>
      </c>
      <c r="CO3639">
        <v>3.73</v>
      </c>
      <c r="CP3639">
        <v>20.67</v>
      </c>
      <c r="CQ3639">
        <v>3.76</v>
      </c>
      <c r="CR3639">
        <v>3.01</v>
      </c>
      <c r="CS3639" t="s">
        <v>13167</v>
      </c>
      <c r="CT3639">
        <v>6.68</v>
      </c>
      <c r="CU3639">
        <v>0</v>
      </c>
      <c r="CV3639">
        <v>3.44</v>
      </c>
      <c r="CW3639">
        <v>1.78</v>
      </c>
      <c r="CX3639">
        <v>1.21</v>
      </c>
      <c r="CY3639">
        <v>72.95</v>
      </c>
      <c r="CZ3639" t="s">
        <v>15055</v>
      </c>
      <c r="DA3639">
        <v>28.83</v>
      </c>
      <c r="DB3639">
        <v>12.61</v>
      </c>
      <c r="DC3639">
        <v>9.59</v>
      </c>
      <c r="DD3639">
        <v>0.06</v>
      </c>
      <c r="DE3639">
        <v>2614</v>
      </c>
      <c r="DF3639">
        <v>603908</v>
      </c>
      <c r="DG3639" t="s">
        <v>116</v>
      </c>
      <c r="DH3639" t="s">
        <v>116</v>
      </c>
      <c r="DI3639" t="s">
        <v>116</v>
      </c>
    </row>
    <row r="3640" spans="1:113" x14ac:dyDescent="0.4">
      <c r="A3640" t="str">
        <f>"603909"</f>
        <v>603909</v>
      </c>
      <c r="B3640" t="s">
        <v>15056</v>
      </c>
      <c r="C3640">
        <v>1.44</v>
      </c>
      <c r="D3640">
        <v>13.38</v>
      </c>
      <c r="E3640">
        <v>0.19</v>
      </c>
      <c r="F3640">
        <v>13.37</v>
      </c>
      <c r="G3640">
        <v>13.38</v>
      </c>
      <c r="H3640">
        <v>19732</v>
      </c>
      <c r="I3640">
        <v>249</v>
      </c>
      <c r="J3640">
        <v>-0.57999999999999996</v>
      </c>
      <c r="K3640">
        <v>1.39</v>
      </c>
      <c r="L3640">
        <v>13.2</v>
      </c>
      <c r="M3640">
        <v>13.48</v>
      </c>
      <c r="N3640">
        <v>13.2</v>
      </c>
      <c r="O3640">
        <v>13.19</v>
      </c>
      <c r="P3640">
        <v>32.81</v>
      </c>
      <c r="Q3640">
        <v>26394446</v>
      </c>
      <c r="R3640">
        <v>1.83</v>
      </c>
      <c r="S3640" t="s">
        <v>181</v>
      </c>
      <c r="T3640" t="s">
        <v>975</v>
      </c>
      <c r="U3640">
        <v>2.12</v>
      </c>
      <c r="V3640">
        <v>13.38</v>
      </c>
      <c r="W3640">
        <v>8574</v>
      </c>
      <c r="X3640">
        <v>11158</v>
      </c>
      <c r="Y3640">
        <v>0.77</v>
      </c>
      <c r="Z3640">
        <v>37</v>
      </c>
      <c r="AA3640">
        <v>165</v>
      </c>
      <c r="AB3640" t="s">
        <v>116</v>
      </c>
      <c r="AC3640">
        <v>0</v>
      </c>
      <c r="AD3640">
        <v>0</v>
      </c>
      <c r="AE3640" t="s">
        <v>116</v>
      </c>
      <c r="AF3640" t="s">
        <v>116</v>
      </c>
      <c r="AG3640">
        <v>1.42</v>
      </c>
      <c r="AH3640" t="s">
        <v>15057</v>
      </c>
      <c r="AI3640" t="s">
        <v>5646</v>
      </c>
      <c r="AJ3640">
        <v>1.52</v>
      </c>
      <c r="AK3640">
        <v>1252</v>
      </c>
      <c r="AL3640">
        <v>16</v>
      </c>
      <c r="AM3640">
        <v>1.1000000000000001E-3</v>
      </c>
      <c r="AN3640">
        <v>4</v>
      </c>
      <c r="AO3640">
        <v>2.38</v>
      </c>
      <c r="AP3640">
        <v>-0.89</v>
      </c>
      <c r="AQ3640">
        <v>0.22</v>
      </c>
      <c r="AR3640">
        <v>-26.73</v>
      </c>
      <c r="AS3640">
        <v>2.0499999999999998</v>
      </c>
      <c r="AT3640" t="s">
        <v>7351</v>
      </c>
      <c r="AU3640">
        <v>24.94</v>
      </c>
      <c r="AV3640">
        <v>28.24</v>
      </c>
      <c r="AW3640">
        <v>0.73</v>
      </c>
      <c r="BA3640">
        <v>0.08</v>
      </c>
      <c r="BB3640">
        <v>2.2000000000000002</v>
      </c>
      <c r="BC3640">
        <v>0.08</v>
      </c>
      <c r="BD3640">
        <v>1.41</v>
      </c>
      <c r="BE3640">
        <v>1.36</v>
      </c>
      <c r="BF3640">
        <v>-0.74</v>
      </c>
      <c r="BG3640">
        <v>1.36</v>
      </c>
      <c r="BH3640">
        <v>0.03</v>
      </c>
      <c r="BI3640">
        <v>20191122</v>
      </c>
      <c r="BJ3640">
        <v>20160628</v>
      </c>
      <c r="BK3640">
        <v>1.43</v>
      </c>
      <c r="BL3640" t="s">
        <v>116</v>
      </c>
      <c r="BM3640" t="s">
        <v>116</v>
      </c>
      <c r="BN3640">
        <v>13.36</v>
      </c>
      <c r="BO3640">
        <v>7.41</v>
      </c>
      <c r="BP3640">
        <v>0.45</v>
      </c>
      <c r="BQ3640">
        <v>41.13</v>
      </c>
      <c r="BR3640">
        <v>9.57</v>
      </c>
      <c r="BS3640">
        <v>1.37</v>
      </c>
      <c r="BT3640">
        <v>0.26</v>
      </c>
      <c r="BU3640">
        <v>3.7</v>
      </c>
      <c r="BV3640">
        <v>0.59</v>
      </c>
      <c r="BW3640">
        <v>7.71</v>
      </c>
      <c r="BX3640">
        <v>2.2999999999999998</v>
      </c>
      <c r="BY3640">
        <v>4.75</v>
      </c>
      <c r="BZ3640">
        <v>3.05</v>
      </c>
      <c r="CA3640">
        <v>0.52</v>
      </c>
      <c r="CB3640">
        <v>0.01</v>
      </c>
      <c r="CC3640">
        <v>0.51</v>
      </c>
      <c r="CD3640">
        <v>0.44</v>
      </c>
      <c r="CE3640">
        <v>0.44</v>
      </c>
      <c r="CF3640">
        <v>0.4</v>
      </c>
      <c r="CG3640">
        <v>3.77</v>
      </c>
      <c r="CH3640">
        <v>-0.16</v>
      </c>
      <c r="CI3640">
        <v>-0.41</v>
      </c>
      <c r="CJ3640">
        <v>10809</v>
      </c>
      <c r="CK3640">
        <v>8886</v>
      </c>
      <c r="CL3640" t="s">
        <v>9150</v>
      </c>
      <c r="CM3640">
        <v>25.85</v>
      </c>
      <c r="CN3640">
        <v>36.56</v>
      </c>
      <c r="CO3640">
        <v>2.59</v>
      </c>
      <c r="CP3640">
        <v>-122.83</v>
      </c>
      <c r="CQ3640">
        <v>4.04</v>
      </c>
      <c r="CR3640">
        <v>0.72</v>
      </c>
      <c r="CS3640" t="s">
        <v>9921</v>
      </c>
      <c r="CT3640">
        <v>5.17</v>
      </c>
      <c r="CU3640">
        <v>0</v>
      </c>
      <c r="CV3640">
        <v>1.6</v>
      </c>
      <c r="CW3640">
        <v>2.63</v>
      </c>
      <c r="CX3640">
        <v>-0.11</v>
      </c>
      <c r="CY3640">
        <v>55.47</v>
      </c>
      <c r="CZ3640" t="s">
        <v>10030</v>
      </c>
      <c r="DA3640">
        <v>35.729999999999997</v>
      </c>
      <c r="DB3640">
        <v>10.9</v>
      </c>
      <c r="DC3640">
        <v>9.23</v>
      </c>
      <c r="DD3640">
        <v>0.18</v>
      </c>
      <c r="DE3640">
        <v>2281</v>
      </c>
      <c r="DF3640">
        <v>603909</v>
      </c>
      <c r="DG3640" t="s">
        <v>116</v>
      </c>
      <c r="DH3640" t="s">
        <v>116</v>
      </c>
      <c r="DI3640" t="s">
        <v>116</v>
      </c>
    </row>
    <row r="3641" spans="1:113" x14ac:dyDescent="0.4">
      <c r="A3641" t="str">
        <f>"603912"</f>
        <v>603912</v>
      </c>
      <c r="B3641" t="s">
        <v>15058</v>
      </c>
      <c r="C3641">
        <v>-1.64</v>
      </c>
      <c r="D3641">
        <v>13.76</v>
      </c>
      <c r="E3641">
        <v>-0.23</v>
      </c>
      <c r="F3641">
        <v>13.76</v>
      </c>
      <c r="G3641">
        <v>13.78</v>
      </c>
      <c r="H3641">
        <v>20205</v>
      </c>
      <c r="I3641">
        <v>310</v>
      </c>
      <c r="J3641">
        <v>0.15</v>
      </c>
      <c r="K3641">
        <v>1.85</v>
      </c>
      <c r="L3641">
        <v>13.98</v>
      </c>
      <c r="M3641">
        <v>14.06</v>
      </c>
      <c r="N3641">
        <v>13.7</v>
      </c>
      <c r="O3641">
        <v>13.99</v>
      </c>
      <c r="P3641">
        <v>29.52</v>
      </c>
      <c r="Q3641">
        <v>28145904</v>
      </c>
      <c r="R3641">
        <v>1.17</v>
      </c>
      <c r="S3641" t="s">
        <v>682</v>
      </c>
      <c r="T3641" t="s">
        <v>323</v>
      </c>
      <c r="U3641">
        <v>2.57</v>
      </c>
      <c r="V3641">
        <v>13.93</v>
      </c>
      <c r="W3641">
        <v>11820</v>
      </c>
      <c r="X3641">
        <v>8385</v>
      </c>
      <c r="Y3641">
        <v>1.41</v>
      </c>
      <c r="Z3641">
        <v>119</v>
      </c>
      <c r="AA3641">
        <v>204</v>
      </c>
      <c r="AB3641" t="s">
        <v>116</v>
      </c>
      <c r="AC3641">
        <v>240500</v>
      </c>
      <c r="AD3641">
        <v>0.03</v>
      </c>
      <c r="AE3641" t="s">
        <v>116</v>
      </c>
      <c r="AF3641" t="s">
        <v>116</v>
      </c>
      <c r="AG3641">
        <v>1.0900000000000001</v>
      </c>
      <c r="AH3641" t="s">
        <v>15059</v>
      </c>
      <c r="AI3641" t="s">
        <v>5113</v>
      </c>
      <c r="AJ3641">
        <v>-1.57</v>
      </c>
      <c r="AK3641">
        <v>1004</v>
      </c>
      <c r="AL3641">
        <v>20</v>
      </c>
      <c r="AM3641">
        <v>1.8E-3</v>
      </c>
      <c r="AN3641">
        <v>-1</v>
      </c>
      <c r="AO3641">
        <v>-0.44</v>
      </c>
      <c r="AP3641">
        <v>3.77</v>
      </c>
      <c r="AQ3641">
        <v>-5.49</v>
      </c>
      <c r="AR3641">
        <v>4.96</v>
      </c>
      <c r="AS3641">
        <v>3.81</v>
      </c>
      <c r="AT3641" t="s">
        <v>7582</v>
      </c>
      <c r="AU3641">
        <v>28.83</v>
      </c>
      <c r="AV3641">
        <v>27.99</v>
      </c>
      <c r="AW3641">
        <v>1.59</v>
      </c>
      <c r="BA3641">
        <v>-7.0000000000000007E-2</v>
      </c>
      <c r="BB3641">
        <v>0.5</v>
      </c>
      <c r="BC3641">
        <v>-2.0699999999999998</v>
      </c>
      <c r="BD3641">
        <v>-0.43</v>
      </c>
      <c r="BE3641">
        <v>-1.57</v>
      </c>
      <c r="BF3641">
        <v>-2.13</v>
      </c>
      <c r="BG3641">
        <v>0.44</v>
      </c>
      <c r="BH3641">
        <v>-1.22</v>
      </c>
      <c r="BI3641">
        <v>20191113</v>
      </c>
      <c r="BJ3641">
        <v>20171101</v>
      </c>
      <c r="BK3641">
        <v>2.17</v>
      </c>
      <c r="BL3641" t="s">
        <v>116</v>
      </c>
      <c r="BM3641" t="s">
        <v>116</v>
      </c>
      <c r="BN3641">
        <v>12.67</v>
      </c>
      <c r="BO3641">
        <v>7.67</v>
      </c>
      <c r="BP3641">
        <v>0</v>
      </c>
      <c r="BQ3641">
        <v>39.409999999999997</v>
      </c>
      <c r="BR3641">
        <v>11.05</v>
      </c>
      <c r="BS3641">
        <v>0.76</v>
      </c>
      <c r="BT3641">
        <v>0.62</v>
      </c>
      <c r="BU3641">
        <v>4.6500000000000004</v>
      </c>
      <c r="BV3641">
        <v>2.2400000000000002</v>
      </c>
      <c r="BW3641">
        <v>2.78</v>
      </c>
      <c r="BX3641">
        <v>3.84</v>
      </c>
      <c r="BY3641">
        <v>5.03</v>
      </c>
      <c r="BZ3641">
        <v>3.15</v>
      </c>
      <c r="CA3641">
        <v>0.86</v>
      </c>
      <c r="CB3641">
        <v>0.1</v>
      </c>
      <c r="CC3641">
        <v>0.86</v>
      </c>
      <c r="CD3641">
        <v>0.76</v>
      </c>
      <c r="CE3641">
        <v>0.76</v>
      </c>
      <c r="CF3641">
        <v>0.65</v>
      </c>
      <c r="CG3641">
        <v>2.04</v>
      </c>
      <c r="CH3641">
        <v>-0.17</v>
      </c>
      <c r="CI3641">
        <v>-0.54</v>
      </c>
      <c r="CJ3641">
        <v>18623</v>
      </c>
      <c r="CK3641">
        <v>2851</v>
      </c>
      <c r="CL3641" t="s">
        <v>2743</v>
      </c>
      <c r="CM3641">
        <v>-3.95</v>
      </c>
      <c r="CN3641">
        <v>32.479999999999997</v>
      </c>
      <c r="CO3641">
        <v>3.89</v>
      </c>
      <c r="CP3641">
        <v>-178.22</v>
      </c>
      <c r="CQ3641">
        <v>5.94</v>
      </c>
      <c r="CR3641">
        <v>1.82</v>
      </c>
      <c r="CS3641" t="s">
        <v>7376</v>
      </c>
      <c r="CT3641">
        <v>3.54</v>
      </c>
      <c r="CU3641">
        <v>0</v>
      </c>
      <c r="CV3641">
        <v>1.77</v>
      </c>
      <c r="CW3641">
        <v>0.94</v>
      </c>
      <c r="CX3641">
        <v>-0.08</v>
      </c>
      <c r="CY3641">
        <v>60.59</v>
      </c>
      <c r="CZ3641" t="s">
        <v>2646</v>
      </c>
      <c r="DA3641">
        <v>37.380000000000003</v>
      </c>
      <c r="DB3641">
        <v>17.13</v>
      </c>
      <c r="DC3641">
        <v>15.08</v>
      </c>
      <c r="DD3641">
        <v>0.2</v>
      </c>
      <c r="DE3641">
        <v>505</v>
      </c>
      <c r="DF3641">
        <v>603912</v>
      </c>
      <c r="DG3641" t="s">
        <v>116</v>
      </c>
      <c r="DH3641" t="s">
        <v>116</v>
      </c>
      <c r="DI3641" t="s">
        <v>116</v>
      </c>
    </row>
    <row r="3642" spans="1:113" x14ac:dyDescent="0.4">
      <c r="A3642" t="str">
        <f>"603915"</f>
        <v>603915</v>
      </c>
      <c r="B3642" t="s">
        <v>15060</v>
      </c>
      <c r="C3642">
        <v>-0.66</v>
      </c>
      <c r="D3642">
        <v>15.03</v>
      </c>
      <c r="E3642">
        <v>-0.1</v>
      </c>
      <c r="F3642">
        <v>15.02</v>
      </c>
      <c r="G3642">
        <v>15.03</v>
      </c>
      <c r="H3642">
        <v>29561</v>
      </c>
      <c r="I3642">
        <v>573</v>
      </c>
      <c r="J3642">
        <v>0</v>
      </c>
      <c r="K3642">
        <v>3.5</v>
      </c>
      <c r="L3642">
        <v>15.08</v>
      </c>
      <c r="M3642">
        <v>15.26</v>
      </c>
      <c r="N3642">
        <v>15.02</v>
      </c>
      <c r="O3642">
        <v>15.13</v>
      </c>
      <c r="P3642">
        <v>26.86</v>
      </c>
      <c r="Q3642">
        <v>44767536</v>
      </c>
      <c r="R3642">
        <v>0.78</v>
      </c>
      <c r="S3642" t="s">
        <v>996</v>
      </c>
      <c r="T3642" t="s">
        <v>323</v>
      </c>
      <c r="U3642">
        <v>1.59</v>
      </c>
      <c r="V3642">
        <v>15.14</v>
      </c>
      <c r="W3642">
        <v>16472</v>
      </c>
      <c r="X3642">
        <v>13089</v>
      </c>
      <c r="Y3642">
        <v>1.26</v>
      </c>
      <c r="Z3642">
        <v>184</v>
      </c>
      <c r="AA3642">
        <v>59</v>
      </c>
      <c r="AB3642" t="s">
        <v>116</v>
      </c>
      <c r="AC3642">
        <v>227700</v>
      </c>
      <c r="AD3642">
        <v>0.02</v>
      </c>
      <c r="AE3642" t="s">
        <v>116</v>
      </c>
      <c r="AF3642" t="s">
        <v>116</v>
      </c>
      <c r="AG3642">
        <v>0.84</v>
      </c>
      <c r="AH3642" t="s">
        <v>1421</v>
      </c>
      <c r="AI3642" t="s">
        <v>15061</v>
      </c>
      <c r="AJ3642">
        <v>-0.57999999999999996</v>
      </c>
      <c r="AK3642">
        <v>1196</v>
      </c>
      <c r="AL3642">
        <v>25</v>
      </c>
      <c r="AM3642">
        <v>2.8999999999999998E-3</v>
      </c>
      <c r="AN3642">
        <v>-1</v>
      </c>
      <c r="AO3642">
        <v>-1.18</v>
      </c>
      <c r="AP3642">
        <v>3.3</v>
      </c>
      <c r="AQ3642">
        <v>-14.55</v>
      </c>
      <c r="AR3642">
        <v>45.22</v>
      </c>
      <c r="AS3642">
        <v>3.5</v>
      </c>
      <c r="AT3642" t="s">
        <v>1421</v>
      </c>
      <c r="AU3642">
        <v>28.43</v>
      </c>
      <c r="AV3642">
        <v>31.94</v>
      </c>
      <c r="AW3642">
        <v>1.2</v>
      </c>
      <c r="BA3642">
        <v>-0.33</v>
      </c>
      <c r="BB3642">
        <v>0.86</v>
      </c>
      <c r="BC3642">
        <v>-0.73</v>
      </c>
      <c r="BD3642">
        <v>0.09</v>
      </c>
      <c r="BE3642">
        <v>-0.33</v>
      </c>
      <c r="BF3642">
        <v>-1.51</v>
      </c>
      <c r="BG3642">
        <v>7.0000000000000007E-2</v>
      </c>
      <c r="BH3642">
        <v>-0.75</v>
      </c>
      <c r="BI3642">
        <v>20191029</v>
      </c>
      <c r="BJ3642">
        <v>20190614</v>
      </c>
      <c r="BK3642">
        <v>4.63</v>
      </c>
      <c r="BL3642" t="s">
        <v>116</v>
      </c>
      <c r="BM3642" t="s">
        <v>116</v>
      </c>
      <c r="BN3642">
        <v>32.07</v>
      </c>
      <c r="BO3642">
        <v>21.6</v>
      </c>
      <c r="BP3642">
        <v>0</v>
      </c>
      <c r="BQ3642">
        <v>32.630000000000003</v>
      </c>
      <c r="BR3642">
        <v>24.91</v>
      </c>
      <c r="BS3642">
        <v>4.2699999999999996</v>
      </c>
      <c r="BT3642">
        <v>1.29</v>
      </c>
      <c r="BU3642">
        <v>10.34</v>
      </c>
      <c r="BV3642">
        <v>3.82</v>
      </c>
      <c r="BW3642">
        <v>2.9</v>
      </c>
      <c r="BX3642">
        <v>11.14</v>
      </c>
      <c r="BY3642">
        <v>14.24</v>
      </c>
      <c r="BZ3642">
        <v>10.11</v>
      </c>
      <c r="CA3642">
        <v>2.15</v>
      </c>
      <c r="CB3642">
        <v>0</v>
      </c>
      <c r="CC3642">
        <v>2.23</v>
      </c>
      <c r="CD3642">
        <v>1.94</v>
      </c>
      <c r="CE3642">
        <v>1.94</v>
      </c>
      <c r="CF3642">
        <v>1.86</v>
      </c>
      <c r="CG3642">
        <v>5.44</v>
      </c>
      <c r="CH3642">
        <v>0.56000000000000005</v>
      </c>
      <c r="CI3642">
        <v>2.65</v>
      </c>
      <c r="CJ3642">
        <v>35153</v>
      </c>
      <c r="CK3642">
        <v>2400</v>
      </c>
      <c r="CL3642" t="s">
        <v>2538</v>
      </c>
      <c r="CM3642">
        <v>0</v>
      </c>
      <c r="CN3642">
        <v>0</v>
      </c>
      <c r="CO3642">
        <v>3.22</v>
      </c>
      <c r="CP3642">
        <v>125.34</v>
      </c>
      <c r="CQ3642">
        <v>4.8899999999999997</v>
      </c>
      <c r="CR3642">
        <v>0</v>
      </c>
      <c r="CS3642" t="s">
        <v>386</v>
      </c>
      <c r="CT3642">
        <v>4.66</v>
      </c>
      <c r="CU3642">
        <v>0</v>
      </c>
      <c r="CV3642">
        <v>2.4</v>
      </c>
      <c r="CW3642">
        <v>1.17</v>
      </c>
      <c r="CX3642">
        <v>0.12</v>
      </c>
      <c r="CY3642">
        <v>67.37</v>
      </c>
      <c r="CZ3642" t="s">
        <v>966</v>
      </c>
      <c r="DA3642">
        <v>29.03</v>
      </c>
      <c r="DB3642">
        <v>15.11</v>
      </c>
      <c r="DC3642">
        <v>13.65</v>
      </c>
      <c r="DD3642">
        <v>0.53</v>
      </c>
      <c r="DE3642">
        <v>1814</v>
      </c>
      <c r="DF3642">
        <v>603915</v>
      </c>
      <c r="DG3642" t="s">
        <v>116</v>
      </c>
      <c r="DH3642" t="s">
        <v>116</v>
      </c>
      <c r="DI3642" t="s">
        <v>116</v>
      </c>
    </row>
    <row r="3643" spans="1:113" x14ac:dyDescent="0.4">
      <c r="A3643" t="str">
        <f>"603916"</f>
        <v>603916</v>
      </c>
      <c r="B3643" t="s">
        <v>15062</v>
      </c>
      <c r="C3643">
        <v>-0.49</v>
      </c>
      <c r="D3643">
        <v>16.21</v>
      </c>
      <c r="E3643">
        <v>-0.08</v>
      </c>
      <c r="F3643">
        <v>16.21</v>
      </c>
      <c r="G3643">
        <v>16.22</v>
      </c>
      <c r="H3643">
        <v>33045</v>
      </c>
      <c r="I3643">
        <v>294</v>
      </c>
      <c r="J3643">
        <v>0</v>
      </c>
      <c r="K3643">
        <v>2.52</v>
      </c>
      <c r="L3643">
        <v>16.28</v>
      </c>
      <c r="M3643">
        <v>16.5</v>
      </c>
      <c r="N3643">
        <v>16.2</v>
      </c>
      <c r="O3643">
        <v>16.29</v>
      </c>
      <c r="P3643">
        <v>15.07</v>
      </c>
      <c r="Q3643">
        <v>53859644</v>
      </c>
      <c r="R3643">
        <v>0.47</v>
      </c>
      <c r="S3643" t="s">
        <v>891</v>
      </c>
      <c r="T3643" t="s">
        <v>323</v>
      </c>
      <c r="U3643">
        <v>1.84</v>
      </c>
      <c r="V3643">
        <v>16.3</v>
      </c>
      <c r="W3643">
        <v>18691</v>
      </c>
      <c r="X3643">
        <v>14354</v>
      </c>
      <c r="Y3643">
        <v>1.3</v>
      </c>
      <c r="Z3643">
        <v>88</v>
      </c>
      <c r="AA3643">
        <v>10</v>
      </c>
      <c r="AB3643" t="s">
        <v>116</v>
      </c>
      <c r="AC3643">
        <v>179100</v>
      </c>
      <c r="AD3643">
        <v>0.01</v>
      </c>
      <c r="AE3643" t="s">
        <v>116</v>
      </c>
      <c r="AF3643" t="s">
        <v>116</v>
      </c>
      <c r="AG3643">
        <v>1.31</v>
      </c>
      <c r="AH3643" t="s">
        <v>13863</v>
      </c>
      <c r="AI3643" t="s">
        <v>15063</v>
      </c>
      <c r="AJ3643">
        <v>-0.41</v>
      </c>
      <c r="AK3643">
        <v>1935</v>
      </c>
      <c r="AL3643">
        <v>17</v>
      </c>
      <c r="AM3643">
        <v>1.2999999999999999E-3</v>
      </c>
      <c r="AN3643">
        <v>-3</v>
      </c>
      <c r="AO3643">
        <v>-2.17</v>
      </c>
      <c r="AP3643">
        <v>13.59</v>
      </c>
      <c r="AQ3643">
        <v>32.33</v>
      </c>
      <c r="AR3643">
        <v>48.17</v>
      </c>
      <c r="AS3643">
        <v>2.52</v>
      </c>
      <c r="AT3643" t="s">
        <v>13863</v>
      </c>
      <c r="AU3643">
        <v>16.97</v>
      </c>
      <c r="AV3643">
        <v>18.760000000000002</v>
      </c>
      <c r="AW3643">
        <v>0.35</v>
      </c>
      <c r="BA3643">
        <v>-0.06</v>
      </c>
      <c r="BB3643">
        <v>1.29</v>
      </c>
      <c r="BC3643">
        <v>-0.55000000000000004</v>
      </c>
      <c r="BD3643">
        <v>0.05</v>
      </c>
      <c r="BE3643">
        <v>-0.43</v>
      </c>
      <c r="BF3643">
        <v>-1.76</v>
      </c>
      <c r="BG3643">
        <v>0.06</v>
      </c>
      <c r="BH3643">
        <v>-0.55000000000000004</v>
      </c>
      <c r="BI3643">
        <v>20191225</v>
      </c>
      <c r="BJ3643">
        <v>20171110</v>
      </c>
      <c r="BK3643">
        <v>3.11</v>
      </c>
      <c r="BL3643" t="s">
        <v>116</v>
      </c>
      <c r="BM3643" t="s">
        <v>116</v>
      </c>
      <c r="BN3643">
        <v>47.41</v>
      </c>
      <c r="BO3643">
        <v>22.85</v>
      </c>
      <c r="BP3643">
        <v>2.27</v>
      </c>
      <c r="BQ3643">
        <v>47.02</v>
      </c>
      <c r="BR3643">
        <v>29.86</v>
      </c>
      <c r="BS3643">
        <v>11.92</v>
      </c>
      <c r="BT3643">
        <v>2.11</v>
      </c>
      <c r="BU3643">
        <v>21.54</v>
      </c>
      <c r="BV3643">
        <v>1.86</v>
      </c>
      <c r="BW3643">
        <v>16.63</v>
      </c>
      <c r="BX3643">
        <v>10.68</v>
      </c>
      <c r="BY3643">
        <v>23.01</v>
      </c>
      <c r="BZ3643">
        <v>12.51</v>
      </c>
      <c r="CA3643">
        <v>3.23</v>
      </c>
      <c r="CB3643">
        <v>0</v>
      </c>
      <c r="CC3643">
        <v>3.2</v>
      </c>
      <c r="CD3643">
        <v>2.72</v>
      </c>
      <c r="CE3643">
        <v>2.5099999999999998</v>
      </c>
      <c r="CF3643">
        <v>2.4700000000000002</v>
      </c>
      <c r="CG3643">
        <v>8.66</v>
      </c>
      <c r="CH3643">
        <v>2.14</v>
      </c>
      <c r="CI3643">
        <v>2.74</v>
      </c>
      <c r="CJ3643">
        <v>18501</v>
      </c>
      <c r="CK3643">
        <v>7084</v>
      </c>
      <c r="CL3643" t="s">
        <v>15064</v>
      </c>
      <c r="CM3643">
        <v>12.74</v>
      </c>
      <c r="CN3643">
        <v>43.84</v>
      </c>
      <c r="CO3643">
        <v>2.2000000000000002</v>
      </c>
      <c r="CP3643">
        <v>23.57</v>
      </c>
      <c r="CQ3643">
        <v>2.19</v>
      </c>
      <c r="CR3643">
        <v>1.48</v>
      </c>
      <c r="CS3643" t="s">
        <v>9748</v>
      </c>
      <c r="CT3643">
        <v>7.36</v>
      </c>
      <c r="CU3643">
        <v>7.36</v>
      </c>
      <c r="CV3643">
        <v>3.44</v>
      </c>
      <c r="CW3643">
        <v>2.79</v>
      </c>
      <c r="CX3643">
        <v>0.69</v>
      </c>
      <c r="CY3643">
        <v>48.19</v>
      </c>
      <c r="CZ3643" t="s">
        <v>4251</v>
      </c>
      <c r="DA3643">
        <v>45.62</v>
      </c>
      <c r="DB3643">
        <v>14.02</v>
      </c>
      <c r="DC3643">
        <v>10.89</v>
      </c>
      <c r="DD3643">
        <v>1.22</v>
      </c>
      <c r="DE3643">
        <v>1249</v>
      </c>
      <c r="DF3643">
        <v>603916</v>
      </c>
      <c r="DG3643" t="s">
        <v>116</v>
      </c>
      <c r="DH3643" t="s">
        <v>116</v>
      </c>
      <c r="DI3643" t="s">
        <v>116</v>
      </c>
    </row>
    <row r="3644" spans="1:113" x14ac:dyDescent="0.4">
      <c r="A3644" t="str">
        <f>"603917"</f>
        <v>603917</v>
      </c>
      <c r="B3644" t="s">
        <v>15065</v>
      </c>
      <c r="C3644">
        <v>-1.6</v>
      </c>
      <c r="D3644">
        <v>10.43</v>
      </c>
      <c r="E3644">
        <v>-0.17</v>
      </c>
      <c r="F3644">
        <v>10.42</v>
      </c>
      <c r="G3644">
        <v>10.43</v>
      </c>
      <c r="H3644">
        <v>17778</v>
      </c>
      <c r="I3644">
        <v>547</v>
      </c>
      <c r="J3644">
        <v>0</v>
      </c>
      <c r="K3644">
        <v>2.2200000000000002</v>
      </c>
      <c r="L3644">
        <v>10.58</v>
      </c>
      <c r="M3644">
        <v>10.65</v>
      </c>
      <c r="N3644">
        <v>10.42</v>
      </c>
      <c r="O3644">
        <v>10.6</v>
      </c>
      <c r="P3644">
        <v>21.6</v>
      </c>
      <c r="Q3644">
        <v>18728152</v>
      </c>
      <c r="R3644">
        <v>1.07</v>
      </c>
      <c r="S3644" t="s">
        <v>293</v>
      </c>
      <c r="T3644" t="s">
        <v>590</v>
      </c>
      <c r="U3644">
        <v>2.17</v>
      </c>
      <c r="V3644">
        <v>10.53</v>
      </c>
      <c r="W3644">
        <v>10789</v>
      </c>
      <c r="X3644">
        <v>6989</v>
      </c>
      <c r="Y3644">
        <v>1.54</v>
      </c>
      <c r="Z3644">
        <v>218</v>
      </c>
      <c r="AA3644">
        <v>32</v>
      </c>
      <c r="AB3644" t="s">
        <v>116</v>
      </c>
      <c r="AC3644">
        <v>3200</v>
      </c>
      <c r="AD3644">
        <v>0</v>
      </c>
      <c r="AE3644" t="s">
        <v>116</v>
      </c>
      <c r="AF3644" t="s">
        <v>116</v>
      </c>
      <c r="AG3644">
        <v>0.8</v>
      </c>
      <c r="AH3644" t="s">
        <v>7028</v>
      </c>
      <c r="AI3644" t="s">
        <v>9665</v>
      </c>
      <c r="AJ3644">
        <v>-1.53</v>
      </c>
      <c r="AK3644">
        <v>807</v>
      </c>
      <c r="AL3644">
        <v>22</v>
      </c>
      <c r="AM3644">
        <v>2.7000000000000001E-3</v>
      </c>
      <c r="AN3644">
        <v>-1</v>
      </c>
      <c r="AO3644">
        <v>0.2</v>
      </c>
      <c r="AP3644">
        <v>6.65</v>
      </c>
      <c r="AQ3644">
        <v>-0.76</v>
      </c>
      <c r="AR3644">
        <v>-12.79</v>
      </c>
      <c r="AS3644">
        <v>2.83</v>
      </c>
      <c r="AT3644" t="s">
        <v>14568</v>
      </c>
      <c r="AU3644">
        <v>18.77</v>
      </c>
      <c r="AV3644">
        <v>16.73</v>
      </c>
      <c r="AW3644">
        <v>1.17</v>
      </c>
      <c r="BA3644">
        <v>-0.19</v>
      </c>
      <c r="BB3644">
        <v>0.47</v>
      </c>
      <c r="BC3644">
        <v>-1.7</v>
      </c>
      <c r="BD3644">
        <v>-0.62</v>
      </c>
      <c r="BE3644">
        <v>-1.42</v>
      </c>
      <c r="BF3644">
        <v>-2.0699999999999998</v>
      </c>
      <c r="BG3644">
        <v>0.1</v>
      </c>
      <c r="BH3644">
        <v>-0.98</v>
      </c>
      <c r="BI3644">
        <v>20191030</v>
      </c>
      <c r="BJ3644">
        <v>20171204</v>
      </c>
      <c r="BK3644">
        <v>1.57</v>
      </c>
      <c r="BL3644" t="s">
        <v>116</v>
      </c>
      <c r="BM3644" t="s">
        <v>116</v>
      </c>
      <c r="BN3644">
        <v>12.81</v>
      </c>
      <c r="BO3644">
        <v>9.52</v>
      </c>
      <c r="BP3644">
        <v>0</v>
      </c>
      <c r="BQ3644">
        <v>25.69</v>
      </c>
      <c r="BR3644">
        <v>7.23</v>
      </c>
      <c r="BS3644">
        <v>2.65</v>
      </c>
      <c r="BT3644">
        <v>0.33</v>
      </c>
      <c r="BU3644">
        <v>2.63</v>
      </c>
      <c r="BV3644">
        <v>3.19</v>
      </c>
      <c r="BW3644">
        <v>2.99</v>
      </c>
      <c r="BX3644">
        <v>2.9</v>
      </c>
      <c r="BY3644">
        <v>4.13</v>
      </c>
      <c r="BZ3644">
        <v>2.81</v>
      </c>
      <c r="CA3644">
        <v>0.67</v>
      </c>
      <c r="CB3644">
        <v>0.01</v>
      </c>
      <c r="CC3644">
        <v>0.67</v>
      </c>
      <c r="CD3644">
        <v>0.56999999999999995</v>
      </c>
      <c r="CE3644">
        <v>0.56999999999999995</v>
      </c>
      <c r="CF3644">
        <v>0.49</v>
      </c>
      <c r="CG3644">
        <v>4.41</v>
      </c>
      <c r="CH3644">
        <v>0.45</v>
      </c>
      <c r="CI3644">
        <v>-1.08</v>
      </c>
      <c r="CJ3644">
        <v>12516</v>
      </c>
      <c r="CK3644">
        <v>5019</v>
      </c>
      <c r="CL3644" t="s">
        <v>6489</v>
      </c>
      <c r="CM3644">
        <v>-15.75</v>
      </c>
      <c r="CN3644">
        <v>1.1100000000000001</v>
      </c>
      <c r="CO3644">
        <v>1.72</v>
      </c>
      <c r="CP3644">
        <v>36.380000000000003</v>
      </c>
      <c r="CQ3644">
        <v>3.96</v>
      </c>
      <c r="CR3644">
        <v>1.05</v>
      </c>
      <c r="CS3644" t="s">
        <v>7015</v>
      </c>
      <c r="CT3644">
        <v>6.07</v>
      </c>
      <c r="CU3644">
        <v>0</v>
      </c>
      <c r="CV3644">
        <v>1.85</v>
      </c>
      <c r="CW3644">
        <v>2.82</v>
      </c>
      <c r="CX3644">
        <v>0.28999999999999998</v>
      </c>
      <c r="CY3644">
        <v>74.31</v>
      </c>
      <c r="CZ3644" t="s">
        <v>5555</v>
      </c>
      <c r="DA3644">
        <v>31.93</v>
      </c>
      <c r="DB3644">
        <v>16.2</v>
      </c>
      <c r="DC3644">
        <v>13.75</v>
      </c>
      <c r="DD3644">
        <v>0.15</v>
      </c>
      <c r="DE3644">
        <v>738</v>
      </c>
      <c r="DF3644">
        <v>603917</v>
      </c>
      <c r="DG3644" t="s">
        <v>116</v>
      </c>
      <c r="DH3644" t="s">
        <v>116</v>
      </c>
      <c r="DI3644" t="s">
        <v>116</v>
      </c>
    </row>
    <row r="3645" spans="1:113" x14ac:dyDescent="0.4">
      <c r="A3645" t="str">
        <f>"603918"</f>
        <v>603918</v>
      </c>
      <c r="B3645" t="s">
        <v>15066</v>
      </c>
      <c r="C3645">
        <v>-1.76</v>
      </c>
      <c r="D3645">
        <v>11.19</v>
      </c>
      <c r="E3645">
        <v>-0.2</v>
      </c>
      <c r="F3645">
        <v>11.18</v>
      </c>
      <c r="G3645">
        <v>11.19</v>
      </c>
      <c r="H3645">
        <v>20969</v>
      </c>
      <c r="I3645">
        <v>227</v>
      </c>
      <c r="J3645">
        <v>0</v>
      </c>
      <c r="K3645">
        <v>0.91</v>
      </c>
      <c r="L3645">
        <v>11.43</v>
      </c>
      <c r="M3645">
        <v>11.48</v>
      </c>
      <c r="N3645">
        <v>11.16</v>
      </c>
      <c r="O3645">
        <v>11.39</v>
      </c>
      <c r="P3645">
        <v>65.69</v>
      </c>
      <c r="Q3645">
        <v>23800484</v>
      </c>
      <c r="R3645">
        <v>0.81</v>
      </c>
      <c r="S3645" t="s">
        <v>607</v>
      </c>
      <c r="T3645" t="s">
        <v>1653</v>
      </c>
      <c r="U3645">
        <v>2.81</v>
      </c>
      <c r="V3645">
        <v>11.35</v>
      </c>
      <c r="W3645">
        <v>12980</v>
      </c>
      <c r="X3645">
        <v>7989</v>
      </c>
      <c r="Y3645">
        <v>1.62</v>
      </c>
      <c r="Z3645">
        <v>209</v>
      </c>
      <c r="AA3645">
        <v>75</v>
      </c>
      <c r="AB3645" t="s">
        <v>116</v>
      </c>
      <c r="AC3645">
        <v>45700</v>
      </c>
      <c r="AD3645">
        <v>0</v>
      </c>
      <c r="AE3645" t="s">
        <v>116</v>
      </c>
      <c r="AF3645" t="s">
        <v>116</v>
      </c>
      <c r="AG3645">
        <v>2.31</v>
      </c>
      <c r="AH3645" t="s">
        <v>1661</v>
      </c>
      <c r="AI3645" t="s">
        <v>15067</v>
      </c>
      <c r="AJ3645">
        <v>-1.68</v>
      </c>
      <c r="AK3645">
        <v>1053</v>
      </c>
      <c r="AL3645">
        <v>20</v>
      </c>
      <c r="AM3645">
        <v>8.9999999999999998E-4</v>
      </c>
      <c r="AN3645">
        <v>-1</v>
      </c>
      <c r="AO3645">
        <v>-0.45</v>
      </c>
      <c r="AP3645">
        <v>0.63</v>
      </c>
      <c r="AQ3645">
        <v>-2.78</v>
      </c>
      <c r="AR3645">
        <v>23.7</v>
      </c>
      <c r="AS3645">
        <v>1.6</v>
      </c>
      <c r="AT3645" t="s">
        <v>6807</v>
      </c>
      <c r="AU3645">
        <v>48.22</v>
      </c>
      <c r="AV3645">
        <v>50.97</v>
      </c>
      <c r="AW3645">
        <v>2.0699999999999998</v>
      </c>
      <c r="BA3645">
        <v>0.35</v>
      </c>
      <c r="BB3645">
        <v>0.79</v>
      </c>
      <c r="BC3645">
        <v>-2.02</v>
      </c>
      <c r="BD3645">
        <v>-0.35</v>
      </c>
      <c r="BE3645">
        <v>-2.1</v>
      </c>
      <c r="BF3645">
        <v>-2.5299999999999998</v>
      </c>
      <c r="BG3645">
        <v>0.27</v>
      </c>
      <c r="BH3645">
        <v>-1.41</v>
      </c>
      <c r="BI3645">
        <v>20191030</v>
      </c>
      <c r="BJ3645">
        <v>20150528</v>
      </c>
      <c r="BK3645">
        <v>2.33</v>
      </c>
      <c r="BL3645" t="s">
        <v>116</v>
      </c>
      <c r="BM3645" t="s">
        <v>116</v>
      </c>
      <c r="BN3645">
        <v>11.7</v>
      </c>
      <c r="BO3645">
        <v>6</v>
      </c>
      <c r="BP3645">
        <v>0</v>
      </c>
      <c r="BQ3645">
        <v>48.75</v>
      </c>
      <c r="BR3645">
        <v>9.43</v>
      </c>
      <c r="BS3645">
        <v>0.57999999999999996</v>
      </c>
      <c r="BT3645">
        <v>0.21</v>
      </c>
      <c r="BU3645">
        <v>5.7</v>
      </c>
      <c r="BV3645">
        <v>3.89</v>
      </c>
      <c r="BW3645">
        <v>3.55</v>
      </c>
      <c r="BX3645">
        <v>1.21</v>
      </c>
      <c r="BY3645">
        <v>5.38</v>
      </c>
      <c r="BZ3645">
        <v>3.6</v>
      </c>
      <c r="CA3645">
        <v>0.32</v>
      </c>
      <c r="CB3645">
        <v>-0.02</v>
      </c>
      <c r="CC3645">
        <v>0.32</v>
      </c>
      <c r="CD3645">
        <v>0.3</v>
      </c>
      <c r="CE3645">
        <v>0.3</v>
      </c>
      <c r="CF3645">
        <v>0.26</v>
      </c>
      <c r="CG3645">
        <v>2.33</v>
      </c>
      <c r="CH3645">
        <v>-1.78</v>
      </c>
      <c r="CI3645">
        <v>-1.73</v>
      </c>
      <c r="CJ3645">
        <v>20634</v>
      </c>
      <c r="CK3645">
        <v>6359</v>
      </c>
      <c r="CL3645" t="s">
        <v>252</v>
      </c>
      <c r="CM3645">
        <v>10.83</v>
      </c>
      <c r="CN3645">
        <v>15.42</v>
      </c>
      <c r="CO3645">
        <v>4.3499999999999996</v>
      </c>
      <c r="CP3645">
        <v>-14.67</v>
      </c>
      <c r="CQ3645">
        <v>4.8600000000000003</v>
      </c>
      <c r="CR3645">
        <v>0.62</v>
      </c>
      <c r="CS3645" t="s">
        <v>5140</v>
      </c>
      <c r="CT3645">
        <v>2.57</v>
      </c>
      <c r="CU3645">
        <v>0</v>
      </c>
      <c r="CV3645">
        <v>0.52</v>
      </c>
      <c r="CW3645">
        <v>1</v>
      </c>
      <c r="CX3645">
        <v>-0.76</v>
      </c>
      <c r="CY3645">
        <v>51.25</v>
      </c>
      <c r="CZ3645" t="s">
        <v>9486</v>
      </c>
      <c r="DA3645">
        <v>33.130000000000003</v>
      </c>
      <c r="DB3645">
        <v>5.99</v>
      </c>
      <c r="DC3645">
        <v>5.54</v>
      </c>
      <c r="DD3645">
        <v>0.31</v>
      </c>
      <c r="DE3645">
        <v>681</v>
      </c>
      <c r="DF3645">
        <v>603918</v>
      </c>
      <c r="DG3645" t="s">
        <v>116</v>
      </c>
      <c r="DH3645" t="s">
        <v>116</v>
      </c>
      <c r="DI3645" t="s">
        <v>116</v>
      </c>
    </row>
    <row r="3646" spans="1:113" x14ac:dyDescent="0.4">
      <c r="A3646" t="str">
        <f>"603919"</f>
        <v>603919</v>
      </c>
      <c r="B3646" t="s">
        <v>15068</v>
      </c>
      <c r="C3646">
        <v>-0.4</v>
      </c>
      <c r="D3646">
        <v>17.32</v>
      </c>
      <c r="E3646">
        <v>-7.0000000000000007E-2</v>
      </c>
      <c r="F3646">
        <v>17.32</v>
      </c>
      <c r="G3646">
        <v>17.329999999999998</v>
      </c>
      <c r="H3646">
        <v>24211</v>
      </c>
      <c r="I3646">
        <v>200</v>
      </c>
      <c r="J3646">
        <v>-0.11</v>
      </c>
      <c r="K3646">
        <v>0.67</v>
      </c>
      <c r="L3646">
        <v>17.46</v>
      </c>
      <c r="M3646">
        <v>17.739999999999998</v>
      </c>
      <c r="N3646">
        <v>17.309999999999999</v>
      </c>
      <c r="O3646">
        <v>17.39</v>
      </c>
      <c r="P3646">
        <v>31.19</v>
      </c>
      <c r="Q3646">
        <v>42422312</v>
      </c>
      <c r="R3646">
        <v>0.91</v>
      </c>
      <c r="S3646" t="s">
        <v>1212</v>
      </c>
      <c r="T3646" t="s">
        <v>1122</v>
      </c>
      <c r="U3646">
        <v>2.4700000000000002</v>
      </c>
      <c r="V3646">
        <v>17.52</v>
      </c>
      <c r="W3646">
        <v>14825</v>
      </c>
      <c r="X3646">
        <v>9386</v>
      </c>
      <c r="Y3646">
        <v>1.58</v>
      </c>
      <c r="Z3646">
        <v>79</v>
      </c>
      <c r="AA3646">
        <v>117</v>
      </c>
      <c r="AB3646" t="s">
        <v>116</v>
      </c>
      <c r="AC3646">
        <v>124000</v>
      </c>
      <c r="AD3646">
        <v>0.01</v>
      </c>
      <c r="AE3646" t="s">
        <v>116</v>
      </c>
      <c r="AF3646" t="s">
        <v>116</v>
      </c>
      <c r="AG3646">
        <v>3.64</v>
      </c>
      <c r="AH3646" t="s">
        <v>8311</v>
      </c>
      <c r="AI3646" t="s">
        <v>15069</v>
      </c>
      <c r="AJ3646">
        <v>-0.33</v>
      </c>
      <c r="AK3646">
        <v>1733</v>
      </c>
      <c r="AL3646">
        <v>14</v>
      </c>
      <c r="AM3646">
        <v>4.0000000000000002E-4</v>
      </c>
      <c r="AN3646">
        <v>-1</v>
      </c>
      <c r="AO3646">
        <v>-0.28000000000000003</v>
      </c>
      <c r="AP3646">
        <v>1.17</v>
      </c>
      <c r="AQ3646">
        <v>-8.6</v>
      </c>
      <c r="AR3646">
        <v>51.43</v>
      </c>
      <c r="AS3646">
        <v>2.67</v>
      </c>
      <c r="AT3646" t="s">
        <v>6605</v>
      </c>
      <c r="AU3646">
        <v>25.92</v>
      </c>
      <c r="AV3646">
        <v>26.13</v>
      </c>
      <c r="AW3646">
        <v>0.83</v>
      </c>
      <c r="BA3646">
        <v>0.4</v>
      </c>
      <c r="BB3646">
        <v>2.0099999999999998</v>
      </c>
      <c r="BC3646">
        <v>-0.46</v>
      </c>
      <c r="BD3646">
        <v>0.76</v>
      </c>
      <c r="BE3646">
        <v>-0.8</v>
      </c>
      <c r="BF3646">
        <v>-2.37</v>
      </c>
      <c r="BG3646">
        <v>0.06</v>
      </c>
      <c r="BH3646">
        <v>-1.1599999999999999</v>
      </c>
      <c r="BI3646">
        <v>20191030</v>
      </c>
      <c r="BJ3646">
        <v>20160310</v>
      </c>
      <c r="BK3646">
        <v>3.9</v>
      </c>
      <c r="BL3646" t="s">
        <v>116</v>
      </c>
      <c r="BM3646" t="s">
        <v>116</v>
      </c>
      <c r="BN3646">
        <v>31.47</v>
      </c>
      <c r="BO3646">
        <v>24.33</v>
      </c>
      <c r="BP3646">
        <v>0</v>
      </c>
      <c r="BQ3646">
        <v>22.69</v>
      </c>
      <c r="BR3646">
        <v>13.93</v>
      </c>
      <c r="BS3646">
        <v>11.31</v>
      </c>
      <c r="BT3646">
        <v>1.68</v>
      </c>
      <c r="BU3646">
        <v>6.1</v>
      </c>
      <c r="BV3646">
        <v>7.7</v>
      </c>
      <c r="BW3646">
        <v>0.12</v>
      </c>
      <c r="BX3646">
        <v>9.8800000000000008</v>
      </c>
      <c r="BY3646">
        <v>11.06</v>
      </c>
      <c r="BZ3646">
        <v>4.42</v>
      </c>
      <c r="CA3646">
        <v>2.15</v>
      </c>
      <c r="CB3646">
        <v>0</v>
      </c>
      <c r="CC3646">
        <v>2.1</v>
      </c>
      <c r="CD3646">
        <v>1.63</v>
      </c>
      <c r="CE3646">
        <v>1.63</v>
      </c>
      <c r="CF3646">
        <v>1.63</v>
      </c>
      <c r="CG3646">
        <v>9.39</v>
      </c>
      <c r="CH3646">
        <v>2.88</v>
      </c>
      <c r="CI3646">
        <v>3.28</v>
      </c>
      <c r="CJ3646">
        <v>28302</v>
      </c>
      <c r="CK3646">
        <v>3201</v>
      </c>
      <c r="CL3646" t="s">
        <v>8914</v>
      </c>
      <c r="CM3646">
        <v>1.29</v>
      </c>
      <c r="CN3646">
        <v>14.64</v>
      </c>
      <c r="CO3646">
        <v>2.78</v>
      </c>
      <c r="CP3646">
        <v>23.49</v>
      </c>
      <c r="CQ3646">
        <v>6.11</v>
      </c>
      <c r="CR3646">
        <v>1.3</v>
      </c>
      <c r="CS3646" t="s">
        <v>8649</v>
      </c>
      <c r="CT3646">
        <v>6.24</v>
      </c>
      <c r="CU3646">
        <v>0</v>
      </c>
      <c r="CV3646">
        <v>2.5299999999999998</v>
      </c>
      <c r="CW3646">
        <v>2.41</v>
      </c>
      <c r="CX3646">
        <v>0.74</v>
      </c>
      <c r="CY3646">
        <v>77.31</v>
      </c>
      <c r="CZ3646" t="s">
        <v>3055</v>
      </c>
      <c r="DA3646">
        <v>60.04</v>
      </c>
      <c r="DB3646">
        <v>19.440000000000001</v>
      </c>
      <c r="DC3646">
        <v>14.69</v>
      </c>
      <c r="DD3646">
        <v>0.1</v>
      </c>
      <c r="DE3646">
        <v>2142</v>
      </c>
      <c r="DF3646">
        <v>603919</v>
      </c>
      <c r="DG3646" t="s">
        <v>116</v>
      </c>
      <c r="DH3646" t="s">
        <v>116</v>
      </c>
      <c r="DI3646" t="s">
        <v>116</v>
      </c>
    </row>
    <row r="3647" spans="1:113" x14ac:dyDescent="0.4">
      <c r="A3647" t="str">
        <f>"603920"</f>
        <v>603920</v>
      </c>
      <c r="B3647" t="s">
        <v>15070</v>
      </c>
      <c r="C3647">
        <v>6.57</v>
      </c>
      <c r="D3647">
        <v>20.29</v>
      </c>
      <c r="E3647">
        <v>1.25</v>
      </c>
      <c r="F3647">
        <v>20.28</v>
      </c>
      <c r="G3647">
        <v>20.29</v>
      </c>
      <c r="H3647">
        <v>570805</v>
      </c>
      <c r="I3647">
        <v>5512</v>
      </c>
      <c r="J3647">
        <v>-0.33</v>
      </c>
      <c r="K3647">
        <v>43.53</v>
      </c>
      <c r="L3647">
        <v>20.94</v>
      </c>
      <c r="M3647">
        <v>20.94</v>
      </c>
      <c r="N3647">
        <v>19.8</v>
      </c>
      <c r="O3647">
        <v>19.04</v>
      </c>
      <c r="P3647">
        <v>28.67</v>
      </c>
      <c r="Q3647">
        <v>1173958144</v>
      </c>
      <c r="R3647">
        <v>7.62</v>
      </c>
      <c r="S3647" t="s">
        <v>233</v>
      </c>
      <c r="T3647" t="s">
        <v>551</v>
      </c>
      <c r="U3647">
        <v>5.99</v>
      </c>
      <c r="V3647">
        <v>20.57</v>
      </c>
      <c r="W3647">
        <v>290609</v>
      </c>
      <c r="X3647">
        <v>280196</v>
      </c>
      <c r="Y3647">
        <v>1.04</v>
      </c>
      <c r="Z3647">
        <v>121</v>
      </c>
      <c r="AA3647">
        <v>8631</v>
      </c>
      <c r="AB3647" t="s">
        <v>116</v>
      </c>
      <c r="AC3647">
        <v>98916400</v>
      </c>
      <c r="AD3647">
        <v>3.6</v>
      </c>
      <c r="AE3647" t="s">
        <v>116</v>
      </c>
      <c r="AF3647" t="s">
        <v>116</v>
      </c>
      <c r="AG3647">
        <v>1.31</v>
      </c>
      <c r="AH3647" t="s">
        <v>15071</v>
      </c>
      <c r="AI3647" t="s">
        <v>15072</v>
      </c>
      <c r="AJ3647">
        <v>6.64</v>
      </c>
      <c r="AK3647">
        <v>4328</v>
      </c>
      <c r="AL3647">
        <v>132</v>
      </c>
      <c r="AM3647">
        <v>1.01E-2</v>
      </c>
      <c r="AN3647">
        <v>4</v>
      </c>
      <c r="AO3647">
        <v>23.35</v>
      </c>
      <c r="AP3647">
        <v>33.049999999999997</v>
      </c>
      <c r="AQ3647">
        <v>20.99</v>
      </c>
      <c r="AR3647">
        <v>76.900000000000006</v>
      </c>
      <c r="AS3647">
        <v>43.53</v>
      </c>
      <c r="AT3647" t="s">
        <v>15071</v>
      </c>
      <c r="AU3647">
        <v>29.81</v>
      </c>
      <c r="AV3647">
        <v>36.81</v>
      </c>
      <c r="AW3647">
        <v>2.2000000000000002</v>
      </c>
      <c r="BA3647">
        <v>9.98</v>
      </c>
      <c r="BB3647">
        <v>9.98</v>
      </c>
      <c r="BC3647">
        <v>3.99</v>
      </c>
      <c r="BD3647">
        <v>8.02</v>
      </c>
      <c r="BE3647">
        <v>-3.1</v>
      </c>
      <c r="BF3647">
        <v>-3.1</v>
      </c>
      <c r="BG3647">
        <v>2.4700000000000002</v>
      </c>
      <c r="BH3647">
        <v>-1.45</v>
      </c>
      <c r="BI3647">
        <v>20191212</v>
      </c>
      <c r="BJ3647">
        <v>20170426</v>
      </c>
      <c r="BK3647">
        <v>4.0999999999999996</v>
      </c>
      <c r="BL3647" t="s">
        <v>116</v>
      </c>
      <c r="BM3647" t="s">
        <v>116</v>
      </c>
      <c r="BN3647">
        <v>33.01</v>
      </c>
      <c r="BO3647">
        <v>24.51</v>
      </c>
      <c r="BP3647">
        <v>0</v>
      </c>
      <c r="BQ3647">
        <v>25.76</v>
      </c>
      <c r="BR3647">
        <v>21.82</v>
      </c>
      <c r="BS3647">
        <v>10.1</v>
      </c>
      <c r="BT3647">
        <v>0.41</v>
      </c>
      <c r="BU3647">
        <v>8.3000000000000007</v>
      </c>
      <c r="BV3647">
        <v>2</v>
      </c>
      <c r="BW3647">
        <v>6.5</v>
      </c>
      <c r="BX3647">
        <v>13.85</v>
      </c>
      <c r="BY3647">
        <v>17.66</v>
      </c>
      <c r="BZ3647">
        <v>13.45</v>
      </c>
      <c r="CA3647">
        <v>2.58</v>
      </c>
      <c r="CB3647">
        <v>0.06</v>
      </c>
      <c r="CC3647">
        <v>2.6</v>
      </c>
      <c r="CD3647">
        <v>2.17</v>
      </c>
      <c r="CE3647">
        <v>2.17</v>
      </c>
      <c r="CF3647">
        <v>2.04</v>
      </c>
      <c r="CG3647">
        <v>5.98</v>
      </c>
      <c r="CH3647">
        <v>3.89</v>
      </c>
      <c r="CI3647">
        <v>1.25</v>
      </c>
      <c r="CJ3647">
        <v>29941</v>
      </c>
      <c r="CK3647">
        <v>4379</v>
      </c>
      <c r="CL3647" t="s">
        <v>10982</v>
      </c>
      <c r="CM3647">
        <v>32.26</v>
      </c>
      <c r="CN3647">
        <v>9.08</v>
      </c>
      <c r="CO3647">
        <v>3.39</v>
      </c>
      <c r="CP3647">
        <v>21.38</v>
      </c>
      <c r="CQ3647">
        <v>4.71</v>
      </c>
      <c r="CR3647">
        <v>2.17</v>
      </c>
      <c r="CS3647" t="s">
        <v>2154</v>
      </c>
      <c r="CT3647">
        <v>5.98</v>
      </c>
      <c r="CU3647">
        <v>0</v>
      </c>
      <c r="CV3647">
        <v>3.38</v>
      </c>
      <c r="CW3647">
        <v>1.46</v>
      </c>
      <c r="CX3647">
        <v>0.95</v>
      </c>
      <c r="CY3647">
        <v>74.239999999999995</v>
      </c>
      <c r="CZ3647" t="s">
        <v>10072</v>
      </c>
      <c r="DA3647">
        <v>23.85</v>
      </c>
      <c r="DB3647">
        <v>14.58</v>
      </c>
      <c r="DC3647">
        <v>12.31</v>
      </c>
      <c r="DD3647">
        <v>0.6</v>
      </c>
      <c r="DE3647">
        <v>4126</v>
      </c>
      <c r="DF3647">
        <v>603920</v>
      </c>
      <c r="DG3647" t="s">
        <v>116</v>
      </c>
      <c r="DH3647" t="s">
        <v>116</v>
      </c>
      <c r="DI3647" t="s">
        <v>116</v>
      </c>
    </row>
    <row r="3648" spans="1:113" x14ac:dyDescent="0.4">
      <c r="A3648" t="str">
        <f>"603922"</f>
        <v>603922</v>
      </c>
      <c r="B3648" t="s">
        <v>15073</v>
      </c>
      <c r="C3648">
        <v>-0.46</v>
      </c>
      <c r="D3648">
        <v>15.06</v>
      </c>
      <c r="E3648">
        <v>-7.0000000000000007E-2</v>
      </c>
      <c r="F3648">
        <v>15.06</v>
      </c>
      <c r="G3648">
        <v>15.07</v>
      </c>
      <c r="H3648">
        <v>7541</v>
      </c>
      <c r="I3648">
        <v>132</v>
      </c>
      <c r="J3648">
        <v>-0.39</v>
      </c>
      <c r="K3648">
        <v>2.36</v>
      </c>
      <c r="L3648">
        <v>15.14</v>
      </c>
      <c r="M3648">
        <v>15.25</v>
      </c>
      <c r="N3648">
        <v>15.05</v>
      </c>
      <c r="O3648">
        <v>15.13</v>
      </c>
      <c r="P3648" t="s">
        <v>116</v>
      </c>
      <c r="Q3648">
        <v>11435601</v>
      </c>
      <c r="R3648">
        <v>1.21</v>
      </c>
      <c r="S3648" t="s">
        <v>293</v>
      </c>
      <c r="T3648" t="s">
        <v>323</v>
      </c>
      <c r="U3648">
        <v>1.32</v>
      </c>
      <c r="V3648">
        <v>15.16</v>
      </c>
      <c r="W3648">
        <v>2696</v>
      </c>
      <c r="X3648">
        <v>4845</v>
      </c>
      <c r="Y3648">
        <v>0.56000000000000005</v>
      </c>
      <c r="Z3648">
        <v>71</v>
      </c>
      <c r="AA3648">
        <v>20</v>
      </c>
      <c r="AB3648" t="s">
        <v>116</v>
      </c>
      <c r="AC3648">
        <v>19700</v>
      </c>
      <c r="AD3648">
        <v>0</v>
      </c>
      <c r="AE3648" t="s">
        <v>116</v>
      </c>
      <c r="AF3648" t="s">
        <v>116</v>
      </c>
      <c r="AG3648">
        <v>0.32</v>
      </c>
      <c r="AH3648" t="s">
        <v>15074</v>
      </c>
      <c r="AI3648" t="s">
        <v>6061</v>
      </c>
      <c r="AJ3648">
        <v>-0.39</v>
      </c>
      <c r="AK3648">
        <v>402</v>
      </c>
      <c r="AL3648">
        <v>19</v>
      </c>
      <c r="AM3648">
        <v>5.8999999999999999E-3</v>
      </c>
      <c r="AN3648">
        <v>-1</v>
      </c>
      <c r="AO3648">
        <v>0.27</v>
      </c>
      <c r="AP3648">
        <v>1.69</v>
      </c>
      <c r="AQ3648">
        <v>-6.4</v>
      </c>
      <c r="AR3648">
        <v>-3.31</v>
      </c>
      <c r="AS3648">
        <v>2.36</v>
      </c>
      <c r="AT3648" t="s">
        <v>15074</v>
      </c>
      <c r="AU3648" t="s">
        <v>116</v>
      </c>
      <c r="AV3648">
        <v>34.28</v>
      </c>
      <c r="AW3648">
        <v>0.57999999999999996</v>
      </c>
      <c r="BA3648">
        <v>7.0000000000000007E-2</v>
      </c>
      <c r="BB3648">
        <v>0.79</v>
      </c>
      <c r="BC3648">
        <v>-0.53</v>
      </c>
      <c r="BD3648">
        <v>0.23</v>
      </c>
      <c r="BE3648">
        <v>-0.53</v>
      </c>
      <c r="BF3648">
        <v>-1.25</v>
      </c>
      <c r="BG3648">
        <v>7.0000000000000007E-2</v>
      </c>
      <c r="BH3648">
        <v>-0.69</v>
      </c>
      <c r="BI3648">
        <v>20191030</v>
      </c>
      <c r="BJ3648">
        <v>20171023</v>
      </c>
      <c r="BK3648">
        <v>1.28</v>
      </c>
      <c r="BL3648" t="s">
        <v>116</v>
      </c>
      <c r="BM3648" t="s">
        <v>116</v>
      </c>
      <c r="BN3648">
        <v>14.04</v>
      </c>
      <c r="BO3648">
        <v>10.81</v>
      </c>
      <c r="BP3648">
        <v>0</v>
      </c>
      <c r="BQ3648">
        <v>22.98</v>
      </c>
      <c r="BR3648">
        <v>8.9499999999999993</v>
      </c>
      <c r="BS3648">
        <v>2.7</v>
      </c>
      <c r="BT3648">
        <v>0.92</v>
      </c>
      <c r="BU3648">
        <v>3.16</v>
      </c>
      <c r="BV3648">
        <v>3.47</v>
      </c>
      <c r="BW3648">
        <v>1.82</v>
      </c>
      <c r="BX3648">
        <v>7.15</v>
      </c>
      <c r="BY3648">
        <v>5.41</v>
      </c>
      <c r="BZ3648">
        <v>4.9400000000000004</v>
      </c>
      <c r="CA3648">
        <v>-0.43</v>
      </c>
      <c r="CB3648">
        <v>-0.05</v>
      </c>
      <c r="CC3648">
        <v>-0.43</v>
      </c>
      <c r="CD3648">
        <v>-0.4</v>
      </c>
      <c r="CE3648">
        <v>-0.4</v>
      </c>
      <c r="CF3648">
        <v>-0.43</v>
      </c>
      <c r="CG3648">
        <v>2</v>
      </c>
      <c r="CH3648">
        <v>0.95</v>
      </c>
      <c r="CI3648">
        <v>0.05</v>
      </c>
      <c r="CJ3648">
        <v>12431</v>
      </c>
      <c r="CK3648">
        <v>2574</v>
      </c>
      <c r="CL3648" t="s">
        <v>2781</v>
      </c>
      <c r="CM3648">
        <v>-182.14</v>
      </c>
      <c r="CN3648">
        <v>-32.67</v>
      </c>
      <c r="CO3648">
        <v>1.78</v>
      </c>
      <c r="CP3648">
        <v>20.37</v>
      </c>
      <c r="CQ3648">
        <v>3.56</v>
      </c>
      <c r="CR3648">
        <v>0.9</v>
      </c>
      <c r="CS3648" t="s">
        <v>15075</v>
      </c>
      <c r="CT3648">
        <v>8.4499999999999993</v>
      </c>
      <c r="CU3648">
        <v>0</v>
      </c>
      <c r="CV3648">
        <v>5.59</v>
      </c>
      <c r="CW3648">
        <v>1.56</v>
      </c>
      <c r="CX3648">
        <v>0.74</v>
      </c>
      <c r="CY3648">
        <v>77.02</v>
      </c>
      <c r="CZ3648" t="s">
        <v>15076</v>
      </c>
      <c r="DA3648">
        <v>8.81</v>
      </c>
      <c r="DB3648">
        <v>-7.94</v>
      </c>
      <c r="DC3648">
        <v>-7.3</v>
      </c>
      <c r="DD3648">
        <v>0.2</v>
      </c>
      <c r="DE3648">
        <v>1308</v>
      </c>
      <c r="DF3648">
        <v>603922</v>
      </c>
      <c r="DG3648" t="s">
        <v>116</v>
      </c>
      <c r="DH3648" t="s">
        <v>116</v>
      </c>
      <c r="DI3648" t="s">
        <v>116</v>
      </c>
    </row>
    <row r="3649" spans="1:113" x14ac:dyDescent="0.4">
      <c r="A3649" t="str">
        <f>"603926"</f>
        <v>603926</v>
      </c>
      <c r="B3649" t="s">
        <v>15077</v>
      </c>
      <c r="C3649">
        <v>-0.51</v>
      </c>
      <c r="D3649">
        <v>11.79</v>
      </c>
      <c r="E3649">
        <v>-0.06</v>
      </c>
      <c r="F3649">
        <v>11.79</v>
      </c>
      <c r="G3649">
        <v>11.8</v>
      </c>
      <c r="H3649">
        <v>6874</v>
      </c>
      <c r="I3649">
        <v>48</v>
      </c>
      <c r="J3649">
        <v>0.08</v>
      </c>
      <c r="K3649">
        <v>0.8</v>
      </c>
      <c r="L3649">
        <v>11.87</v>
      </c>
      <c r="M3649">
        <v>11.95</v>
      </c>
      <c r="N3649">
        <v>11.77</v>
      </c>
      <c r="O3649">
        <v>11.85</v>
      </c>
      <c r="P3649">
        <v>18.02</v>
      </c>
      <c r="Q3649">
        <v>8166076</v>
      </c>
      <c r="R3649">
        <v>1.1499999999999999</v>
      </c>
      <c r="S3649" t="s">
        <v>293</v>
      </c>
      <c r="T3649" t="s">
        <v>590</v>
      </c>
      <c r="U3649">
        <v>1.52</v>
      </c>
      <c r="V3649">
        <v>11.88</v>
      </c>
      <c r="W3649">
        <v>2583</v>
      </c>
      <c r="X3649">
        <v>4291</v>
      </c>
      <c r="Y3649">
        <v>0.6</v>
      </c>
      <c r="Z3649">
        <v>10</v>
      </c>
      <c r="AA3649">
        <v>73</v>
      </c>
      <c r="AB3649" t="s">
        <v>116</v>
      </c>
      <c r="AC3649">
        <v>1200</v>
      </c>
      <c r="AD3649">
        <v>0</v>
      </c>
      <c r="AE3649" t="s">
        <v>116</v>
      </c>
      <c r="AF3649" t="s">
        <v>116</v>
      </c>
      <c r="AG3649">
        <v>0.86</v>
      </c>
      <c r="AH3649" t="s">
        <v>7408</v>
      </c>
      <c r="AI3649" t="s">
        <v>6611</v>
      </c>
      <c r="AJ3649">
        <v>-0.43</v>
      </c>
      <c r="AK3649">
        <v>596</v>
      </c>
      <c r="AL3649">
        <v>12</v>
      </c>
      <c r="AM3649">
        <v>1.2999999999999999E-3</v>
      </c>
      <c r="AN3649">
        <v>-1</v>
      </c>
      <c r="AO3649">
        <v>0.51</v>
      </c>
      <c r="AP3649">
        <v>3.6</v>
      </c>
      <c r="AQ3649">
        <v>0.43</v>
      </c>
      <c r="AR3649">
        <v>12.95</v>
      </c>
      <c r="AS3649">
        <v>0.88</v>
      </c>
      <c r="AT3649" t="s">
        <v>15078</v>
      </c>
      <c r="AU3649">
        <v>21.39</v>
      </c>
      <c r="AV3649">
        <v>22.67</v>
      </c>
      <c r="AW3649">
        <v>1.04</v>
      </c>
      <c r="BA3649">
        <v>0.17</v>
      </c>
      <c r="BB3649">
        <v>0.84</v>
      </c>
      <c r="BC3649">
        <v>-0.68</v>
      </c>
      <c r="BD3649">
        <v>0.25</v>
      </c>
      <c r="BE3649">
        <v>-0.67</v>
      </c>
      <c r="BF3649">
        <v>-1.34</v>
      </c>
      <c r="BG3649">
        <v>0.17</v>
      </c>
      <c r="BH3649">
        <v>-0.76</v>
      </c>
      <c r="BI3649">
        <v>20191029</v>
      </c>
      <c r="BJ3649">
        <v>20170510</v>
      </c>
      <c r="BK3649">
        <v>1.6</v>
      </c>
      <c r="BL3649" t="s">
        <v>116</v>
      </c>
      <c r="BM3649" t="s">
        <v>116</v>
      </c>
      <c r="BN3649">
        <v>19.37</v>
      </c>
      <c r="BO3649">
        <v>10.88</v>
      </c>
      <c r="BP3649">
        <v>0.18</v>
      </c>
      <c r="BQ3649">
        <v>42.9</v>
      </c>
      <c r="BR3649">
        <v>10.56</v>
      </c>
      <c r="BS3649">
        <v>5.37</v>
      </c>
      <c r="BT3649">
        <v>1.24</v>
      </c>
      <c r="BU3649">
        <v>5.95</v>
      </c>
      <c r="BV3649">
        <v>3.13</v>
      </c>
      <c r="BW3649">
        <v>2.2799999999999998</v>
      </c>
      <c r="BX3649">
        <v>4.7699999999999996</v>
      </c>
      <c r="BY3649">
        <v>10.78</v>
      </c>
      <c r="BZ3649">
        <v>8.0399999999999991</v>
      </c>
      <c r="CA3649">
        <v>0.93</v>
      </c>
      <c r="CB3649">
        <v>0.09</v>
      </c>
      <c r="CC3649">
        <v>0.93</v>
      </c>
      <c r="CD3649">
        <v>0.79</v>
      </c>
      <c r="CE3649">
        <v>0.79</v>
      </c>
      <c r="CF3649">
        <v>0.53</v>
      </c>
      <c r="CG3649">
        <v>4.08</v>
      </c>
      <c r="CH3649">
        <v>1.23</v>
      </c>
      <c r="CI3649">
        <v>0.65</v>
      </c>
      <c r="CJ3649">
        <v>12330</v>
      </c>
      <c r="CK3649">
        <v>6319</v>
      </c>
      <c r="CL3649" t="s">
        <v>800</v>
      </c>
      <c r="CM3649">
        <v>6.8</v>
      </c>
      <c r="CN3649">
        <v>19.87</v>
      </c>
      <c r="CO3649">
        <v>1.74</v>
      </c>
      <c r="CP3649">
        <v>15.39</v>
      </c>
      <c r="CQ3649">
        <v>1.75</v>
      </c>
      <c r="CR3649">
        <v>1.63</v>
      </c>
      <c r="CS3649" t="s">
        <v>1744</v>
      </c>
      <c r="CT3649">
        <v>6.78</v>
      </c>
      <c r="CU3649">
        <v>0</v>
      </c>
      <c r="CV3649">
        <v>2.97</v>
      </c>
      <c r="CW3649">
        <v>2.54</v>
      </c>
      <c r="CX3649">
        <v>0.77</v>
      </c>
      <c r="CY3649">
        <v>56.18</v>
      </c>
      <c r="CZ3649" t="s">
        <v>6179</v>
      </c>
      <c r="DA3649">
        <v>25.43</v>
      </c>
      <c r="DB3649">
        <v>8.59</v>
      </c>
      <c r="DC3649">
        <v>7.29</v>
      </c>
      <c r="DD3649">
        <v>0.35</v>
      </c>
      <c r="DE3649">
        <v>1403</v>
      </c>
      <c r="DF3649">
        <v>603926</v>
      </c>
      <c r="DG3649" t="s">
        <v>116</v>
      </c>
      <c r="DH3649" t="s">
        <v>116</v>
      </c>
      <c r="DI3649" t="s">
        <v>116</v>
      </c>
    </row>
    <row r="3650" spans="1:113" x14ac:dyDescent="0.4">
      <c r="A3650" t="str">
        <f>"603927"</f>
        <v>603927</v>
      </c>
      <c r="B3650" t="s">
        <v>15079</v>
      </c>
      <c r="C3650">
        <v>-2.56</v>
      </c>
      <c r="D3650">
        <v>69.91</v>
      </c>
      <c r="E3650">
        <v>-1.84</v>
      </c>
      <c r="F3650">
        <v>69.91</v>
      </c>
      <c r="G3650">
        <v>69.92</v>
      </c>
      <c r="H3650">
        <v>31481</v>
      </c>
      <c r="I3650">
        <v>586</v>
      </c>
      <c r="J3650">
        <v>-0.12</v>
      </c>
      <c r="K3650">
        <v>7.42</v>
      </c>
      <c r="L3650">
        <v>71.5</v>
      </c>
      <c r="M3650">
        <v>71.989999999999995</v>
      </c>
      <c r="N3650">
        <v>69.900000000000006</v>
      </c>
      <c r="O3650">
        <v>71.75</v>
      </c>
      <c r="P3650">
        <v>139.05000000000001</v>
      </c>
      <c r="Q3650">
        <v>223275328</v>
      </c>
      <c r="R3650">
        <v>1.07</v>
      </c>
      <c r="S3650" t="s">
        <v>607</v>
      </c>
      <c r="T3650" t="s">
        <v>165</v>
      </c>
      <c r="U3650">
        <v>2.91</v>
      </c>
      <c r="V3650">
        <v>70.92</v>
      </c>
      <c r="W3650">
        <v>19413</v>
      </c>
      <c r="X3650">
        <v>12068</v>
      </c>
      <c r="Y3650">
        <v>1.61</v>
      </c>
      <c r="Z3650">
        <v>337</v>
      </c>
      <c r="AA3650">
        <v>20</v>
      </c>
      <c r="AB3650" t="s">
        <v>116</v>
      </c>
      <c r="AC3650">
        <v>479100</v>
      </c>
      <c r="AD3650">
        <v>0.02</v>
      </c>
      <c r="AE3650" t="s">
        <v>116</v>
      </c>
      <c r="AF3650" t="s">
        <v>116</v>
      </c>
      <c r="AG3650">
        <v>0.42</v>
      </c>
      <c r="AH3650" t="s">
        <v>7731</v>
      </c>
      <c r="AI3650" t="s">
        <v>15080</v>
      </c>
      <c r="AJ3650">
        <v>-2.4900000000000002</v>
      </c>
      <c r="AK3650">
        <v>3150</v>
      </c>
      <c r="AL3650">
        <v>10</v>
      </c>
      <c r="AM3650">
        <v>2.3999999999999998E-3</v>
      </c>
      <c r="AN3650">
        <v>-1</v>
      </c>
      <c r="AO3650">
        <v>-0.97</v>
      </c>
      <c r="AP3650">
        <v>-1.1000000000000001</v>
      </c>
      <c r="AQ3650">
        <v>-13.07</v>
      </c>
      <c r="AR3650">
        <v>332.08</v>
      </c>
      <c r="AS3650">
        <v>7.42</v>
      </c>
      <c r="AT3650" t="s">
        <v>7731</v>
      </c>
      <c r="AU3650">
        <v>65.760000000000005</v>
      </c>
      <c r="AV3650">
        <v>92.48</v>
      </c>
      <c r="AW3650">
        <v>2.19</v>
      </c>
      <c r="BA3650">
        <v>-0.35</v>
      </c>
      <c r="BB3650">
        <v>0.33</v>
      </c>
      <c r="BC3650">
        <v>-2.58</v>
      </c>
      <c r="BD3650">
        <v>-1.1499999999999999</v>
      </c>
      <c r="BE3650">
        <v>-2.2200000000000002</v>
      </c>
      <c r="BF3650">
        <v>-2.89</v>
      </c>
      <c r="BG3650">
        <v>0.01</v>
      </c>
      <c r="BH3650">
        <v>-1.41</v>
      </c>
      <c r="BI3650">
        <v>20191030</v>
      </c>
      <c r="BJ3650">
        <v>20190909</v>
      </c>
      <c r="BK3650">
        <v>4.24</v>
      </c>
      <c r="BL3650" t="s">
        <v>116</v>
      </c>
      <c r="BM3650" t="s">
        <v>116</v>
      </c>
      <c r="BN3650">
        <v>46.35</v>
      </c>
      <c r="BO3650">
        <v>18</v>
      </c>
      <c r="BP3650">
        <v>0</v>
      </c>
      <c r="BQ3650">
        <v>61.15</v>
      </c>
      <c r="BR3650">
        <v>44.27</v>
      </c>
      <c r="BS3650">
        <v>1.19</v>
      </c>
      <c r="BT3650">
        <v>0.02</v>
      </c>
      <c r="BU3650">
        <v>28.24</v>
      </c>
      <c r="BV3650">
        <v>3.38</v>
      </c>
      <c r="BW3650">
        <v>17.13</v>
      </c>
      <c r="BX3650">
        <v>5.64</v>
      </c>
      <c r="BY3650">
        <v>35.130000000000003</v>
      </c>
      <c r="BZ3650">
        <v>26.66</v>
      </c>
      <c r="CA3650">
        <v>1.74</v>
      </c>
      <c r="CB3650">
        <v>0</v>
      </c>
      <c r="CC3650">
        <v>1.75</v>
      </c>
      <c r="CD3650">
        <v>1.6</v>
      </c>
      <c r="CE3650">
        <v>1.6</v>
      </c>
      <c r="CF3650">
        <v>1.54</v>
      </c>
      <c r="CG3650">
        <v>6.45</v>
      </c>
      <c r="CH3650">
        <v>-8.0399999999999991</v>
      </c>
      <c r="CI3650">
        <v>-3.43</v>
      </c>
      <c r="CJ3650">
        <v>37600</v>
      </c>
      <c r="CK3650">
        <v>1128</v>
      </c>
      <c r="CL3650" t="s">
        <v>15081</v>
      </c>
      <c r="CM3650">
        <v>0</v>
      </c>
      <c r="CN3650">
        <v>0</v>
      </c>
      <c r="CO3650">
        <v>16.46</v>
      </c>
      <c r="CP3650">
        <v>-36.869999999999997</v>
      </c>
      <c r="CQ3650">
        <v>8.44</v>
      </c>
      <c r="CR3650">
        <v>0</v>
      </c>
      <c r="CS3650" t="s">
        <v>3716</v>
      </c>
      <c r="CT3650">
        <v>4.25</v>
      </c>
      <c r="CU3650">
        <v>0</v>
      </c>
      <c r="CV3650">
        <v>1.33</v>
      </c>
      <c r="CW3650">
        <v>1.52</v>
      </c>
      <c r="CX3650">
        <v>-1.9</v>
      </c>
      <c r="CY3650">
        <v>38.85</v>
      </c>
      <c r="CZ3650" t="s">
        <v>13940</v>
      </c>
      <c r="DA3650">
        <v>24.11</v>
      </c>
      <c r="DB3650">
        <v>4.96</v>
      </c>
      <c r="DC3650">
        <v>4.55</v>
      </c>
      <c r="DD3650">
        <v>4.05</v>
      </c>
      <c r="DE3650">
        <v>15788</v>
      </c>
      <c r="DF3650">
        <v>603927</v>
      </c>
      <c r="DG3650" t="s">
        <v>116</v>
      </c>
      <c r="DH3650" t="s">
        <v>116</v>
      </c>
      <c r="DI3650" t="s">
        <v>116</v>
      </c>
    </row>
    <row r="3651" spans="1:113" x14ac:dyDescent="0.4">
      <c r="A3651" t="str">
        <f>"603928"</f>
        <v>603928</v>
      </c>
      <c r="B3651" t="s">
        <v>15082</v>
      </c>
      <c r="C3651">
        <v>0.08</v>
      </c>
      <c r="D3651">
        <v>12.34</v>
      </c>
      <c r="E3651">
        <v>0.01</v>
      </c>
      <c r="F3651">
        <v>12.33</v>
      </c>
      <c r="G3651">
        <v>12.34</v>
      </c>
      <c r="H3651">
        <v>15639</v>
      </c>
      <c r="I3651">
        <v>384</v>
      </c>
      <c r="J3651">
        <v>0</v>
      </c>
      <c r="K3651">
        <v>0.78</v>
      </c>
      <c r="L3651">
        <v>12.34</v>
      </c>
      <c r="M3651">
        <v>12.52</v>
      </c>
      <c r="N3651">
        <v>12.25</v>
      </c>
      <c r="O3651">
        <v>12.33</v>
      </c>
      <c r="P3651">
        <v>19.440000000000001</v>
      </c>
      <c r="Q3651">
        <v>19357872</v>
      </c>
      <c r="R3651">
        <v>1.33</v>
      </c>
      <c r="S3651" t="s">
        <v>891</v>
      </c>
      <c r="T3651" t="s">
        <v>323</v>
      </c>
      <c r="U3651">
        <v>2.19</v>
      </c>
      <c r="V3651">
        <v>12.38</v>
      </c>
      <c r="W3651">
        <v>7631</v>
      </c>
      <c r="X3651">
        <v>8008</v>
      </c>
      <c r="Y3651">
        <v>0.95</v>
      </c>
      <c r="Z3651">
        <v>310</v>
      </c>
      <c r="AA3651">
        <v>126</v>
      </c>
      <c r="AB3651" t="s">
        <v>116</v>
      </c>
      <c r="AC3651">
        <v>46900</v>
      </c>
      <c r="AD3651">
        <v>0.01</v>
      </c>
      <c r="AE3651" t="s">
        <v>116</v>
      </c>
      <c r="AF3651" t="s">
        <v>116</v>
      </c>
      <c r="AG3651">
        <v>2.02</v>
      </c>
      <c r="AH3651" t="s">
        <v>4966</v>
      </c>
      <c r="AI3651" t="s">
        <v>4966</v>
      </c>
      <c r="AJ3651">
        <v>0.16</v>
      </c>
      <c r="AK3651">
        <v>624</v>
      </c>
      <c r="AL3651">
        <v>25</v>
      </c>
      <c r="AM3651">
        <v>1.1999999999999999E-3</v>
      </c>
      <c r="AN3651">
        <v>4</v>
      </c>
      <c r="AO3651">
        <v>1.47</v>
      </c>
      <c r="AP3651">
        <v>9.01</v>
      </c>
      <c r="AQ3651">
        <v>0.82</v>
      </c>
      <c r="AR3651">
        <v>-12.67</v>
      </c>
      <c r="AS3651">
        <v>2.4900000000000002</v>
      </c>
      <c r="AT3651" t="s">
        <v>14368</v>
      </c>
      <c r="AU3651">
        <v>18.54</v>
      </c>
      <c r="AV3651">
        <v>17.02</v>
      </c>
      <c r="AW3651">
        <v>1.05</v>
      </c>
      <c r="BA3651">
        <v>0.08</v>
      </c>
      <c r="BB3651">
        <v>1.54</v>
      </c>
      <c r="BC3651">
        <v>-0.65</v>
      </c>
      <c r="BD3651">
        <v>0.39</v>
      </c>
      <c r="BE3651">
        <v>0</v>
      </c>
      <c r="BF3651">
        <v>-1.44</v>
      </c>
      <c r="BG3651">
        <v>0.73</v>
      </c>
      <c r="BH3651">
        <v>-0.31</v>
      </c>
      <c r="BI3651">
        <v>20191211</v>
      </c>
      <c r="BJ3651">
        <v>20161212</v>
      </c>
      <c r="BK3651">
        <v>2.02</v>
      </c>
      <c r="BL3651" t="s">
        <v>116</v>
      </c>
      <c r="BM3651" t="s">
        <v>116</v>
      </c>
      <c r="BN3651">
        <v>15.96</v>
      </c>
      <c r="BO3651">
        <v>12.84</v>
      </c>
      <c r="BP3651">
        <v>0</v>
      </c>
      <c r="BQ3651">
        <v>19.55</v>
      </c>
      <c r="BR3651">
        <v>10.02</v>
      </c>
      <c r="BS3651">
        <v>4.16</v>
      </c>
      <c r="BT3651">
        <v>0.54</v>
      </c>
      <c r="BU3651">
        <v>2.96</v>
      </c>
      <c r="BV3651">
        <v>0.61</v>
      </c>
      <c r="BW3651">
        <v>4.97</v>
      </c>
      <c r="BX3651">
        <v>5.48</v>
      </c>
      <c r="BY3651">
        <v>9.52</v>
      </c>
      <c r="BZ3651">
        <v>7.14</v>
      </c>
      <c r="CA3651">
        <v>1.17</v>
      </c>
      <c r="CB3651">
        <v>0.03</v>
      </c>
      <c r="CC3651">
        <v>1.17</v>
      </c>
      <c r="CD3651">
        <v>0.96</v>
      </c>
      <c r="CE3651">
        <v>0.96</v>
      </c>
      <c r="CF3651">
        <v>0.93</v>
      </c>
      <c r="CG3651">
        <v>4.6399999999999997</v>
      </c>
      <c r="CH3651">
        <v>1.48</v>
      </c>
      <c r="CI3651">
        <v>-0.37</v>
      </c>
      <c r="CJ3651">
        <v>15082</v>
      </c>
      <c r="CK3651">
        <v>4162</v>
      </c>
      <c r="CL3651" t="s">
        <v>820</v>
      </c>
      <c r="CM3651">
        <v>-11.08</v>
      </c>
      <c r="CN3651">
        <v>-16.34</v>
      </c>
      <c r="CO3651">
        <v>1.94</v>
      </c>
      <c r="CP3651">
        <v>16.82</v>
      </c>
      <c r="CQ3651">
        <v>2.61</v>
      </c>
      <c r="CR3651">
        <v>1.78</v>
      </c>
      <c r="CS3651" t="s">
        <v>7321</v>
      </c>
      <c r="CT3651">
        <v>6.37</v>
      </c>
      <c r="CU3651">
        <v>0</v>
      </c>
      <c r="CV3651">
        <v>2.72</v>
      </c>
      <c r="CW3651">
        <v>2.2999999999999998</v>
      </c>
      <c r="CX3651">
        <v>0.73</v>
      </c>
      <c r="CY3651">
        <v>80.45</v>
      </c>
      <c r="CZ3651" t="s">
        <v>2926</v>
      </c>
      <c r="DA3651">
        <v>25.01</v>
      </c>
      <c r="DB3651">
        <v>12.3</v>
      </c>
      <c r="DC3651">
        <v>10.09</v>
      </c>
      <c r="DD3651">
        <v>0.32</v>
      </c>
      <c r="DE3651">
        <v>503</v>
      </c>
      <c r="DF3651">
        <v>603928</v>
      </c>
      <c r="DG3651" t="s">
        <v>116</v>
      </c>
      <c r="DH3651" t="s">
        <v>116</v>
      </c>
      <c r="DI3651" t="s">
        <v>116</v>
      </c>
    </row>
    <row r="3652" spans="1:113" x14ac:dyDescent="0.4">
      <c r="A3652" t="str">
        <f>"603929"</f>
        <v>603929</v>
      </c>
      <c r="B3652" t="s">
        <v>15083</v>
      </c>
      <c r="C3652">
        <v>-3.98</v>
      </c>
      <c r="D3652">
        <v>15.19</v>
      </c>
      <c r="E3652">
        <v>-0.63</v>
      </c>
      <c r="F3652">
        <v>15.18</v>
      </c>
      <c r="G3652">
        <v>15.19</v>
      </c>
      <c r="H3652">
        <v>70199</v>
      </c>
      <c r="I3652">
        <v>987</v>
      </c>
      <c r="J3652">
        <v>0</v>
      </c>
      <c r="K3652">
        <v>7.27</v>
      </c>
      <c r="L3652">
        <v>15.58</v>
      </c>
      <c r="M3652">
        <v>15.78</v>
      </c>
      <c r="N3652">
        <v>15.13</v>
      </c>
      <c r="O3652">
        <v>15.82</v>
      </c>
      <c r="P3652">
        <v>27.96</v>
      </c>
      <c r="Q3652">
        <v>108005488</v>
      </c>
      <c r="R3652">
        <v>1.56</v>
      </c>
      <c r="S3652" t="s">
        <v>3331</v>
      </c>
      <c r="T3652" t="s">
        <v>323</v>
      </c>
      <c r="U3652">
        <v>4.1100000000000003</v>
      </c>
      <c r="V3652">
        <v>15.39</v>
      </c>
      <c r="W3652">
        <v>43292</v>
      </c>
      <c r="X3652">
        <v>26907</v>
      </c>
      <c r="Y3652">
        <v>1.61</v>
      </c>
      <c r="Z3652">
        <v>1308</v>
      </c>
      <c r="AA3652">
        <v>68</v>
      </c>
      <c r="AB3652" t="s">
        <v>116</v>
      </c>
      <c r="AC3652">
        <v>3842000</v>
      </c>
      <c r="AD3652">
        <v>0.34</v>
      </c>
      <c r="AE3652" t="s">
        <v>116</v>
      </c>
      <c r="AF3652" t="s">
        <v>116</v>
      </c>
      <c r="AG3652">
        <v>0.97</v>
      </c>
      <c r="AH3652" t="s">
        <v>10349</v>
      </c>
      <c r="AI3652" t="s">
        <v>4471</v>
      </c>
      <c r="AJ3652">
        <v>-3.91</v>
      </c>
      <c r="AK3652">
        <v>2511</v>
      </c>
      <c r="AL3652">
        <v>28</v>
      </c>
      <c r="AM3652">
        <v>2.8999999999999998E-3</v>
      </c>
      <c r="AN3652">
        <v>-1</v>
      </c>
      <c r="AO3652">
        <v>5.93</v>
      </c>
      <c r="AP3652">
        <v>13.78</v>
      </c>
      <c r="AQ3652">
        <v>-8.2200000000000006</v>
      </c>
      <c r="AR3652">
        <v>4.54</v>
      </c>
      <c r="AS3652">
        <v>9.7200000000000006</v>
      </c>
      <c r="AT3652" t="s">
        <v>6094</v>
      </c>
      <c r="AU3652">
        <v>30.25</v>
      </c>
      <c r="AV3652">
        <v>20.12</v>
      </c>
      <c r="AW3652">
        <v>1.1599999999999999</v>
      </c>
      <c r="BA3652">
        <v>-1.52</v>
      </c>
      <c r="BB3652">
        <v>-0.25</v>
      </c>
      <c r="BC3652">
        <v>-4.3600000000000003</v>
      </c>
      <c r="BD3652">
        <v>-2.75</v>
      </c>
      <c r="BE3652">
        <v>-2.5</v>
      </c>
      <c r="BF3652">
        <v>-3.74</v>
      </c>
      <c r="BG3652">
        <v>0.4</v>
      </c>
      <c r="BH3652">
        <v>-1.24</v>
      </c>
      <c r="BI3652">
        <v>20191223</v>
      </c>
      <c r="BJ3652">
        <v>20161230</v>
      </c>
      <c r="BK3652">
        <v>2.13</v>
      </c>
      <c r="BL3652" t="s">
        <v>116</v>
      </c>
      <c r="BM3652" t="s">
        <v>116</v>
      </c>
      <c r="BN3652">
        <v>19.73</v>
      </c>
      <c r="BO3652">
        <v>11.34</v>
      </c>
      <c r="BP3652">
        <v>0.19</v>
      </c>
      <c r="BQ3652">
        <v>41.56</v>
      </c>
      <c r="BR3652">
        <v>19.04</v>
      </c>
      <c r="BS3652">
        <v>0.2</v>
      </c>
      <c r="BT3652">
        <v>0.04</v>
      </c>
      <c r="BU3652">
        <v>8.1999999999999993</v>
      </c>
      <c r="BV3652">
        <v>3.45</v>
      </c>
      <c r="BW3652">
        <v>9.06</v>
      </c>
      <c r="BX3652">
        <v>2.59</v>
      </c>
      <c r="BY3652">
        <v>12.94</v>
      </c>
      <c r="BZ3652">
        <v>11.33</v>
      </c>
      <c r="CA3652">
        <v>1.02</v>
      </c>
      <c r="CB3652">
        <v>0.06</v>
      </c>
      <c r="CC3652">
        <v>1.03</v>
      </c>
      <c r="CD3652">
        <v>0.87</v>
      </c>
      <c r="CE3652">
        <v>0.87</v>
      </c>
      <c r="CF3652">
        <v>0.82</v>
      </c>
      <c r="CG3652">
        <v>5.93</v>
      </c>
      <c r="CH3652">
        <v>-2.64</v>
      </c>
      <c r="CI3652">
        <v>-2.27</v>
      </c>
      <c r="CJ3652">
        <v>17079</v>
      </c>
      <c r="CK3652">
        <v>4227</v>
      </c>
      <c r="CL3652" t="s">
        <v>14728</v>
      </c>
      <c r="CM3652">
        <v>-38.29</v>
      </c>
      <c r="CN3652">
        <v>-30.68</v>
      </c>
      <c r="CO3652">
        <v>2.86</v>
      </c>
      <c r="CP3652">
        <v>-12.26</v>
      </c>
      <c r="CQ3652">
        <v>2.5099999999999998</v>
      </c>
      <c r="CR3652">
        <v>1.65</v>
      </c>
      <c r="CS3652" t="s">
        <v>9394</v>
      </c>
      <c r="CT3652">
        <v>5.32</v>
      </c>
      <c r="CU3652">
        <v>0</v>
      </c>
      <c r="CV3652">
        <v>1.21</v>
      </c>
      <c r="CW3652">
        <v>2.78</v>
      </c>
      <c r="CX3652">
        <v>-1.24</v>
      </c>
      <c r="CY3652">
        <v>57.5</v>
      </c>
      <c r="CZ3652" t="s">
        <v>6943</v>
      </c>
      <c r="DA3652">
        <v>12.4</v>
      </c>
      <c r="DB3652">
        <v>7.91</v>
      </c>
      <c r="DC3652">
        <v>6.72</v>
      </c>
      <c r="DD3652">
        <v>0.13</v>
      </c>
      <c r="DE3652">
        <v>570</v>
      </c>
      <c r="DF3652">
        <v>603929</v>
      </c>
      <c r="DG3652" t="s">
        <v>116</v>
      </c>
      <c r="DH3652" t="s">
        <v>116</v>
      </c>
      <c r="DI3652" t="s">
        <v>116</v>
      </c>
    </row>
    <row r="3653" spans="1:113" x14ac:dyDescent="0.4">
      <c r="A3653" t="str">
        <f>"603933"</f>
        <v>603933</v>
      </c>
      <c r="B3653" t="s">
        <v>15084</v>
      </c>
      <c r="C3653">
        <v>-3.44</v>
      </c>
      <c r="D3653">
        <v>16.3</v>
      </c>
      <c r="E3653">
        <v>-0.57999999999999996</v>
      </c>
      <c r="F3653">
        <v>16.29</v>
      </c>
      <c r="G3653">
        <v>16.3</v>
      </c>
      <c r="H3653">
        <v>87962</v>
      </c>
      <c r="I3653">
        <v>1169</v>
      </c>
      <c r="J3653">
        <v>0</v>
      </c>
      <c r="K3653">
        <v>17.48</v>
      </c>
      <c r="L3653">
        <v>16.649999999999999</v>
      </c>
      <c r="M3653">
        <v>16.82</v>
      </c>
      <c r="N3653">
        <v>16.25</v>
      </c>
      <c r="O3653">
        <v>16.88</v>
      </c>
      <c r="P3653">
        <v>67.84</v>
      </c>
      <c r="Q3653">
        <v>145386976</v>
      </c>
      <c r="R3653">
        <v>1.19</v>
      </c>
      <c r="S3653" t="s">
        <v>3176</v>
      </c>
      <c r="T3653" t="s">
        <v>975</v>
      </c>
      <c r="U3653">
        <v>3.38</v>
      </c>
      <c r="V3653">
        <v>16.53</v>
      </c>
      <c r="W3653">
        <v>53387</v>
      </c>
      <c r="X3653">
        <v>34575</v>
      </c>
      <c r="Y3653">
        <v>1.54</v>
      </c>
      <c r="Z3653">
        <v>48</v>
      </c>
      <c r="AA3653">
        <v>186</v>
      </c>
      <c r="AB3653" t="s">
        <v>116</v>
      </c>
      <c r="AC3653">
        <v>1876500</v>
      </c>
      <c r="AD3653">
        <v>0.22</v>
      </c>
      <c r="AE3653" t="s">
        <v>116</v>
      </c>
      <c r="AF3653" t="s">
        <v>116</v>
      </c>
      <c r="AG3653">
        <v>0.5</v>
      </c>
      <c r="AH3653" t="s">
        <v>15085</v>
      </c>
      <c r="AI3653" t="s">
        <v>9614</v>
      </c>
      <c r="AJ3653">
        <v>-3.36</v>
      </c>
      <c r="AK3653">
        <v>3002</v>
      </c>
      <c r="AL3653">
        <v>29</v>
      </c>
      <c r="AM3653">
        <v>5.7999999999999996E-3</v>
      </c>
      <c r="AN3653">
        <v>-1</v>
      </c>
      <c r="AO3653">
        <v>5.09</v>
      </c>
      <c r="AP3653">
        <v>16.260000000000002</v>
      </c>
      <c r="AQ3653">
        <v>-12.6</v>
      </c>
      <c r="AR3653">
        <v>23.89</v>
      </c>
      <c r="AS3653">
        <v>17.48</v>
      </c>
      <c r="AT3653" t="s">
        <v>15085</v>
      </c>
      <c r="AU3653">
        <v>72.28</v>
      </c>
      <c r="AV3653">
        <v>28.89</v>
      </c>
      <c r="AW3653">
        <v>0.56999999999999995</v>
      </c>
      <c r="BA3653">
        <v>-1.36</v>
      </c>
      <c r="BB3653">
        <v>-0.36</v>
      </c>
      <c r="BC3653">
        <v>-3.73</v>
      </c>
      <c r="BD3653">
        <v>-2.08</v>
      </c>
      <c r="BE3653">
        <v>-2.1</v>
      </c>
      <c r="BF3653">
        <v>-3.09</v>
      </c>
      <c r="BG3653">
        <v>0.31</v>
      </c>
      <c r="BH3653">
        <v>-1.35</v>
      </c>
      <c r="BI3653">
        <v>20191030</v>
      </c>
      <c r="BJ3653">
        <v>20170706</v>
      </c>
      <c r="BK3653">
        <v>2.0099999999999998</v>
      </c>
      <c r="BL3653" t="s">
        <v>116</v>
      </c>
      <c r="BM3653" t="s">
        <v>116</v>
      </c>
      <c r="BN3653">
        <v>13.89</v>
      </c>
      <c r="BO3653">
        <v>10.49</v>
      </c>
      <c r="BP3653">
        <v>7.0000000000000007E-2</v>
      </c>
      <c r="BQ3653">
        <v>24.06</v>
      </c>
      <c r="BR3653">
        <v>12.3</v>
      </c>
      <c r="BS3653">
        <v>0.56000000000000005</v>
      </c>
      <c r="BT3653">
        <v>0.27</v>
      </c>
      <c r="BU3653">
        <v>3.34</v>
      </c>
      <c r="BV3653">
        <v>3.22</v>
      </c>
      <c r="BW3653">
        <v>3.04</v>
      </c>
      <c r="BX3653">
        <v>4</v>
      </c>
      <c r="BY3653">
        <v>10.99</v>
      </c>
      <c r="BZ3653">
        <v>9.2200000000000006</v>
      </c>
      <c r="CA3653">
        <v>0.33</v>
      </c>
      <c r="CB3653">
        <v>0.11</v>
      </c>
      <c r="CC3653">
        <v>0.34</v>
      </c>
      <c r="CD3653">
        <v>0.34</v>
      </c>
      <c r="CE3653">
        <v>0.36</v>
      </c>
      <c r="CF3653">
        <v>0.24</v>
      </c>
      <c r="CG3653">
        <v>4.0199999999999996</v>
      </c>
      <c r="CH3653">
        <v>0.67</v>
      </c>
      <c r="CI3653">
        <v>-0.5</v>
      </c>
      <c r="CJ3653">
        <v>20718</v>
      </c>
      <c r="CK3653">
        <v>2428</v>
      </c>
      <c r="CL3653" t="s">
        <v>4451</v>
      </c>
      <c r="CM3653">
        <v>-65.27</v>
      </c>
      <c r="CN3653">
        <v>-25.95</v>
      </c>
      <c r="CO3653">
        <v>3.13</v>
      </c>
      <c r="CP3653">
        <v>49.18</v>
      </c>
      <c r="CQ3653">
        <v>2.99</v>
      </c>
      <c r="CR3653">
        <v>1.31</v>
      </c>
      <c r="CS3653" t="s">
        <v>1971</v>
      </c>
      <c r="CT3653">
        <v>5.21</v>
      </c>
      <c r="CU3653">
        <v>0</v>
      </c>
      <c r="CV3653">
        <v>1.99</v>
      </c>
      <c r="CW3653">
        <v>2</v>
      </c>
      <c r="CX3653">
        <v>0.33</v>
      </c>
      <c r="CY3653">
        <v>75.47</v>
      </c>
      <c r="CZ3653" t="s">
        <v>7180</v>
      </c>
      <c r="DA3653">
        <v>16.11</v>
      </c>
      <c r="DB3653">
        <v>3.01</v>
      </c>
      <c r="DC3653">
        <v>3.3</v>
      </c>
      <c r="DD3653">
        <v>0.38</v>
      </c>
      <c r="DE3653">
        <v>765</v>
      </c>
      <c r="DF3653">
        <v>603933</v>
      </c>
      <c r="DG3653" t="s">
        <v>116</v>
      </c>
      <c r="DH3653" t="s">
        <v>116</v>
      </c>
      <c r="DI3653" t="s">
        <v>116</v>
      </c>
    </row>
    <row r="3654" spans="1:113" x14ac:dyDescent="0.4">
      <c r="A3654" t="str">
        <f>"603936"</f>
        <v>603936</v>
      </c>
      <c r="B3654" t="s">
        <v>15086</v>
      </c>
      <c r="C3654">
        <v>-2.58</v>
      </c>
      <c r="D3654">
        <v>17.37</v>
      </c>
      <c r="E3654">
        <v>-0.46</v>
      </c>
      <c r="F3654">
        <v>17.37</v>
      </c>
      <c r="G3654">
        <v>17.38</v>
      </c>
      <c r="H3654">
        <v>88555</v>
      </c>
      <c r="I3654">
        <v>501</v>
      </c>
      <c r="J3654">
        <v>-0.22</v>
      </c>
      <c r="K3654">
        <v>3.47</v>
      </c>
      <c r="L3654">
        <v>17.850000000000001</v>
      </c>
      <c r="M3654">
        <v>17.989999999999998</v>
      </c>
      <c r="N3654">
        <v>17.329999999999998</v>
      </c>
      <c r="O3654">
        <v>17.829999999999998</v>
      </c>
      <c r="P3654">
        <v>28.7</v>
      </c>
      <c r="Q3654">
        <v>156375568</v>
      </c>
      <c r="R3654">
        <v>0.97</v>
      </c>
      <c r="S3654" t="s">
        <v>233</v>
      </c>
      <c r="T3654" t="s">
        <v>551</v>
      </c>
      <c r="U3654">
        <v>3.7</v>
      </c>
      <c r="V3654">
        <v>17.66</v>
      </c>
      <c r="W3654">
        <v>46299</v>
      </c>
      <c r="X3654">
        <v>42256</v>
      </c>
      <c r="Y3654">
        <v>1.1000000000000001</v>
      </c>
      <c r="Z3654">
        <v>236</v>
      </c>
      <c r="AA3654">
        <v>60</v>
      </c>
      <c r="AB3654" t="s">
        <v>116</v>
      </c>
      <c r="AC3654">
        <v>815700</v>
      </c>
      <c r="AD3654">
        <v>0.04</v>
      </c>
      <c r="AE3654" t="s">
        <v>116</v>
      </c>
      <c r="AF3654" t="s">
        <v>116</v>
      </c>
      <c r="AG3654">
        <v>2.5499999999999998</v>
      </c>
      <c r="AH3654" t="s">
        <v>10029</v>
      </c>
      <c r="AI3654" t="s">
        <v>15087</v>
      </c>
      <c r="AJ3654">
        <v>-2.5</v>
      </c>
      <c r="AK3654">
        <v>2998</v>
      </c>
      <c r="AL3654">
        <v>30</v>
      </c>
      <c r="AM3654">
        <v>1.1999999999999999E-3</v>
      </c>
      <c r="AN3654">
        <v>-1</v>
      </c>
      <c r="AO3654">
        <v>2.96</v>
      </c>
      <c r="AP3654">
        <v>0.75</v>
      </c>
      <c r="AQ3654">
        <v>-22.83</v>
      </c>
      <c r="AR3654">
        <v>72.22</v>
      </c>
      <c r="AS3654">
        <v>8.58</v>
      </c>
      <c r="AT3654" t="s">
        <v>4755</v>
      </c>
      <c r="AU3654">
        <v>29.53</v>
      </c>
      <c r="AV3654">
        <v>43.87</v>
      </c>
      <c r="AW3654">
        <v>2.2400000000000002</v>
      </c>
      <c r="BA3654">
        <v>0.11</v>
      </c>
      <c r="BB3654">
        <v>0.9</v>
      </c>
      <c r="BC3654">
        <v>-2.8</v>
      </c>
      <c r="BD3654">
        <v>-0.96</v>
      </c>
      <c r="BE3654">
        <v>-2.69</v>
      </c>
      <c r="BF3654">
        <v>-3.45</v>
      </c>
      <c r="BG3654">
        <v>0.23</v>
      </c>
      <c r="BH3654">
        <v>-1.62</v>
      </c>
      <c r="BI3654">
        <v>20191029</v>
      </c>
      <c r="BJ3654">
        <v>20151209</v>
      </c>
      <c r="BK3654">
        <v>3.15</v>
      </c>
      <c r="BL3654" t="s">
        <v>116</v>
      </c>
      <c r="BM3654" t="s">
        <v>116</v>
      </c>
      <c r="BN3654">
        <v>42.29</v>
      </c>
      <c r="BO3654">
        <v>24</v>
      </c>
      <c r="BP3654">
        <v>0</v>
      </c>
      <c r="BQ3654">
        <v>43.25</v>
      </c>
      <c r="BR3654">
        <v>17.649999999999999</v>
      </c>
      <c r="BS3654">
        <v>11.55</v>
      </c>
      <c r="BT3654">
        <v>0.36</v>
      </c>
      <c r="BU3654">
        <v>15.11</v>
      </c>
      <c r="BV3654">
        <v>4.25</v>
      </c>
      <c r="BW3654">
        <v>7.55</v>
      </c>
      <c r="BX3654">
        <v>13.66</v>
      </c>
      <c r="BY3654">
        <v>17.98</v>
      </c>
      <c r="BZ3654">
        <v>14.45</v>
      </c>
      <c r="CA3654">
        <v>1.6</v>
      </c>
      <c r="CB3654">
        <v>0.01</v>
      </c>
      <c r="CC3654">
        <v>1.61</v>
      </c>
      <c r="CD3654">
        <v>1.43</v>
      </c>
      <c r="CE3654">
        <v>1.43</v>
      </c>
      <c r="CF3654">
        <v>1.31</v>
      </c>
      <c r="CG3654">
        <v>6.58</v>
      </c>
      <c r="CH3654">
        <v>0.88</v>
      </c>
      <c r="CI3654">
        <v>-0.56000000000000005</v>
      </c>
      <c r="CJ3654">
        <v>32047</v>
      </c>
      <c r="CK3654">
        <v>3220</v>
      </c>
      <c r="CL3654" t="s">
        <v>15088</v>
      </c>
      <c r="CM3654">
        <v>73.48</v>
      </c>
      <c r="CN3654">
        <v>25.82</v>
      </c>
      <c r="CO3654">
        <v>2.2799999999999998</v>
      </c>
      <c r="CP3654">
        <v>61.87</v>
      </c>
      <c r="CQ3654">
        <v>3.04</v>
      </c>
      <c r="CR3654">
        <v>0.41</v>
      </c>
      <c r="CS3654" t="s">
        <v>5057</v>
      </c>
      <c r="CT3654">
        <v>7.62</v>
      </c>
      <c r="CU3654">
        <v>0</v>
      </c>
      <c r="CV3654">
        <v>4.34</v>
      </c>
      <c r="CW3654">
        <v>2.09</v>
      </c>
      <c r="CX3654">
        <v>0.28000000000000003</v>
      </c>
      <c r="CY3654">
        <v>56.75</v>
      </c>
      <c r="CZ3654" t="s">
        <v>6373</v>
      </c>
      <c r="DA3654">
        <v>19.64</v>
      </c>
      <c r="DB3654">
        <v>8.8800000000000008</v>
      </c>
      <c r="DC3654">
        <v>7.95</v>
      </c>
      <c r="DD3654">
        <v>0.71</v>
      </c>
      <c r="DE3654">
        <v>3719</v>
      </c>
      <c r="DF3654">
        <v>603936</v>
      </c>
      <c r="DG3654" t="s">
        <v>116</v>
      </c>
      <c r="DH3654" t="s">
        <v>116</v>
      </c>
      <c r="DI3654" t="s">
        <v>116</v>
      </c>
    </row>
    <row r="3655" spans="1:113" x14ac:dyDescent="0.4">
      <c r="A3655" t="str">
        <f>"603937"</f>
        <v>603937</v>
      </c>
      <c r="B3655" t="s">
        <v>15089</v>
      </c>
      <c r="C3655">
        <v>-0.18</v>
      </c>
      <c r="D3655">
        <v>10.96</v>
      </c>
      <c r="E3655">
        <v>-0.02</v>
      </c>
      <c r="F3655">
        <v>10.95</v>
      </c>
      <c r="G3655">
        <v>10.96</v>
      </c>
      <c r="H3655">
        <v>31755</v>
      </c>
      <c r="I3655">
        <v>520</v>
      </c>
      <c r="J3655">
        <v>-0.26</v>
      </c>
      <c r="K3655">
        <v>4.1900000000000004</v>
      </c>
      <c r="L3655">
        <v>10.97</v>
      </c>
      <c r="M3655">
        <v>11.26</v>
      </c>
      <c r="N3655">
        <v>10.93</v>
      </c>
      <c r="O3655">
        <v>10.98</v>
      </c>
      <c r="P3655">
        <v>18.72</v>
      </c>
      <c r="Q3655">
        <v>35115128</v>
      </c>
      <c r="R3655">
        <v>1.97</v>
      </c>
      <c r="S3655" t="s">
        <v>1428</v>
      </c>
      <c r="T3655" t="s">
        <v>323</v>
      </c>
      <c r="U3655">
        <v>3.01</v>
      </c>
      <c r="V3655">
        <v>11.06</v>
      </c>
      <c r="W3655">
        <v>18221</v>
      </c>
      <c r="X3655">
        <v>13534</v>
      </c>
      <c r="Y3655">
        <v>1.35</v>
      </c>
      <c r="Z3655">
        <v>216</v>
      </c>
      <c r="AA3655">
        <v>20</v>
      </c>
      <c r="AB3655" t="s">
        <v>116</v>
      </c>
      <c r="AC3655">
        <v>0</v>
      </c>
      <c r="AD3655">
        <v>0</v>
      </c>
      <c r="AE3655" t="s">
        <v>116</v>
      </c>
      <c r="AF3655" t="s">
        <v>116</v>
      </c>
      <c r="AG3655">
        <v>0.76</v>
      </c>
      <c r="AH3655" t="s">
        <v>12896</v>
      </c>
      <c r="AI3655" t="s">
        <v>5709</v>
      </c>
      <c r="AJ3655">
        <v>-0.11</v>
      </c>
      <c r="AK3655">
        <v>1314</v>
      </c>
      <c r="AL3655">
        <v>24</v>
      </c>
      <c r="AM3655">
        <v>3.2000000000000002E-3</v>
      </c>
      <c r="AN3655">
        <v>-1</v>
      </c>
      <c r="AO3655">
        <v>0.37</v>
      </c>
      <c r="AP3655">
        <v>5.49</v>
      </c>
      <c r="AQ3655">
        <v>-4.53</v>
      </c>
      <c r="AR3655">
        <v>-1.17</v>
      </c>
      <c r="AS3655">
        <v>4.1900000000000004</v>
      </c>
      <c r="AT3655" t="s">
        <v>12896</v>
      </c>
      <c r="AU3655">
        <v>19.12</v>
      </c>
      <c r="AV3655">
        <v>19.940000000000001</v>
      </c>
      <c r="AW3655">
        <v>1.07</v>
      </c>
      <c r="BA3655">
        <v>-0.09</v>
      </c>
      <c r="BB3655">
        <v>2.5499999999999998</v>
      </c>
      <c r="BC3655">
        <v>-0.46</v>
      </c>
      <c r="BD3655">
        <v>0.71</v>
      </c>
      <c r="BE3655">
        <v>-0.09</v>
      </c>
      <c r="BF3655">
        <v>-2.66</v>
      </c>
      <c r="BG3655">
        <v>0.27</v>
      </c>
      <c r="BH3655">
        <v>-0.89</v>
      </c>
      <c r="BI3655">
        <v>20191030</v>
      </c>
      <c r="BJ3655">
        <v>20171102</v>
      </c>
      <c r="BK3655">
        <v>2.09</v>
      </c>
      <c r="BL3655" t="s">
        <v>116</v>
      </c>
      <c r="BM3655" t="s">
        <v>116</v>
      </c>
      <c r="BN3655">
        <v>17.05</v>
      </c>
      <c r="BO3655">
        <v>13.94</v>
      </c>
      <c r="BP3655">
        <v>0</v>
      </c>
      <c r="BQ3655">
        <v>18.23</v>
      </c>
      <c r="BR3655">
        <v>14.3</v>
      </c>
      <c r="BS3655">
        <v>1.17</v>
      </c>
      <c r="BT3655">
        <v>0.64</v>
      </c>
      <c r="BU3655">
        <v>3.11</v>
      </c>
      <c r="BV3655">
        <v>1.88</v>
      </c>
      <c r="BW3655">
        <v>2.61</v>
      </c>
      <c r="BX3655">
        <v>5.52</v>
      </c>
      <c r="BY3655">
        <v>10.199999999999999</v>
      </c>
      <c r="BZ3655">
        <v>8.59</v>
      </c>
      <c r="CA3655">
        <v>1.2</v>
      </c>
      <c r="CB3655">
        <v>0.1</v>
      </c>
      <c r="CC3655">
        <v>1.22</v>
      </c>
      <c r="CD3655">
        <v>0.92</v>
      </c>
      <c r="CE3655">
        <v>0.92</v>
      </c>
      <c r="CF3655">
        <v>0.81</v>
      </c>
      <c r="CG3655">
        <v>5.81</v>
      </c>
      <c r="CH3655">
        <v>1.73</v>
      </c>
      <c r="CI3655">
        <v>1.02</v>
      </c>
      <c r="CJ3655">
        <v>21371</v>
      </c>
      <c r="CK3655">
        <v>3550</v>
      </c>
      <c r="CL3655" t="s">
        <v>5888</v>
      </c>
      <c r="CM3655">
        <v>5.7</v>
      </c>
      <c r="CN3655">
        <v>5.18</v>
      </c>
      <c r="CO3655">
        <v>1.64</v>
      </c>
      <c r="CP3655">
        <v>13.22</v>
      </c>
      <c r="CQ3655">
        <v>2.2400000000000002</v>
      </c>
      <c r="CR3655">
        <v>0.73</v>
      </c>
      <c r="CS3655" t="s">
        <v>8681</v>
      </c>
      <c r="CT3655">
        <v>6.68</v>
      </c>
      <c r="CU3655">
        <v>0</v>
      </c>
      <c r="CV3655">
        <v>2.64</v>
      </c>
      <c r="CW3655">
        <v>2.78</v>
      </c>
      <c r="CX3655">
        <v>0.83</v>
      </c>
      <c r="CY3655">
        <v>81.77</v>
      </c>
      <c r="CZ3655" t="s">
        <v>4286</v>
      </c>
      <c r="DA3655">
        <v>15.81</v>
      </c>
      <c r="DB3655">
        <v>11.79</v>
      </c>
      <c r="DC3655">
        <v>8.99</v>
      </c>
      <c r="DD3655">
        <v>0.15</v>
      </c>
      <c r="DE3655">
        <v>350</v>
      </c>
      <c r="DF3655">
        <v>603937</v>
      </c>
      <c r="DG3655" t="s">
        <v>116</v>
      </c>
      <c r="DH3655" t="s">
        <v>116</v>
      </c>
      <c r="DI3655" t="s">
        <v>116</v>
      </c>
    </row>
    <row r="3656" spans="1:113" x14ac:dyDescent="0.4">
      <c r="A3656" t="str">
        <f>"603938"</f>
        <v>603938</v>
      </c>
      <c r="B3656" t="s">
        <v>15090</v>
      </c>
      <c r="C3656">
        <v>10</v>
      </c>
      <c r="D3656">
        <v>20.9</v>
      </c>
      <c r="E3656">
        <v>1.9</v>
      </c>
      <c r="F3656">
        <v>20.9</v>
      </c>
      <c r="G3656" t="s">
        <v>116</v>
      </c>
      <c r="H3656">
        <v>54990</v>
      </c>
      <c r="I3656">
        <v>10241</v>
      </c>
      <c r="J3656">
        <v>0</v>
      </c>
      <c r="K3656">
        <v>10.83</v>
      </c>
      <c r="L3656">
        <v>20.62</v>
      </c>
      <c r="M3656">
        <v>20.9</v>
      </c>
      <c r="N3656">
        <v>20.22</v>
      </c>
      <c r="O3656">
        <v>19</v>
      </c>
      <c r="P3656">
        <v>26.89</v>
      </c>
      <c r="Q3656">
        <v>113995208</v>
      </c>
      <c r="R3656">
        <v>4.17</v>
      </c>
      <c r="S3656" t="s">
        <v>891</v>
      </c>
      <c r="T3656" t="s">
        <v>608</v>
      </c>
      <c r="U3656">
        <v>3.58</v>
      </c>
      <c r="V3656">
        <v>20.73</v>
      </c>
      <c r="W3656">
        <v>34514</v>
      </c>
      <c r="X3656">
        <v>20476</v>
      </c>
      <c r="Y3656">
        <v>1.69</v>
      </c>
      <c r="Z3656">
        <v>517</v>
      </c>
      <c r="AA3656">
        <v>0</v>
      </c>
      <c r="AB3656" t="s">
        <v>116</v>
      </c>
      <c r="AC3656">
        <v>12002900</v>
      </c>
      <c r="AD3656">
        <v>1.1499999999999999</v>
      </c>
      <c r="AE3656">
        <v>0.01</v>
      </c>
      <c r="AF3656">
        <v>1080530</v>
      </c>
      <c r="AG3656">
        <v>0.51</v>
      </c>
      <c r="AH3656" t="s">
        <v>1276</v>
      </c>
      <c r="AI3656" t="s">
        <v>15091</v>
      </c>
      <c r="AJ3656">
        <v>10.08</v>
      </c>
      <c r="AK3656">
        <v>640</v>
      </c>
      <c r="AL3656">
        <v>86</v>
      </c>
      <c r="AM3656">
        <v>1.6899999999999998E-2</v>
      </c>
      <c r="AN3656">
        <v>4</v>
      </c>
      <c r="AO3656">
        <v>22.22</v>
      </c>
      <c r="AP3656">
        <v>29.09</v>
      </c>
      <c r="AQ3656">
        <v>13.96</v>
      </c>
      <c r="AR3656">
        <v>11.41</v>
      </c>
      <c r="AS3656">
        <v>10.83</v>
      </c>
      <c r="AT3656" t="s">
        <v>1276</v>
      </c>
      <c r="AU3656">
        <v>27.67</v>
      </c>
      <c r="AV3656">
        <v>27.76</v>
      </c>
      <c r="AW3656">
        <v>1.3</v>
      </c>
      <c r="BA3656">
        <v>8.5299999999999994</v>
      </c>
      <c r="BB3656">
        <v>10</v>
      </c>
      <c r="BC3656">
        <v>6.42</v>
      </c>
      <c r="BD3656">
        <v>9.11</v>
      </c>
      <c r="BE3656">
        <v>1.36</v>
      </c>
      <c r="BF3656">
        <v>0</v>
      </c>
      <c r="BG3656">
        <v>3.36</v>
      </c>
      <c r="BH3656">
        <v>0.89</v>
      </c>
      <c r="BI3656">
        <v>20191030</v>
      </c>
      <c r="BJ3656">
        <v>20170628</v>
      </c>
      <c r="BK3656">
        <v>1.5</v>
      </c>
      <c r="BL3656" t="s">
        <v>116</v>
      </c>
      <c r="BM3656" t="s">
        <v>116</v>
      </c>
      <c r="BN3656">
        <v>12.54</v>
      </c>
      <c r="BO3656">
        <v>11.27</v>
      </c>
      <c r="BP3656">
        <v>0.15</v>
      </c>
      <c r="BQ3656">
        <v>8.99</v>
      </c>
      <c r="BR3656">
        <v>7.1</v>
      </c>
      <c r="BS3656">
        <v>2.63</v>
      </c>
      <c r="BT3656">
        <v>1.29</v>
      </c>
      <c r="BU3656">
        <v>0.74</v>
      </c>
      <c r="BV3656">
        <v>0.65</v>
      </c>
      <c r="BW3656">
        <v>0.65</v>
      </c>
      <c r="BX3656">
        <v>3.88</v>
      </c>
      <c r="BY3656">
        <v>8.91</v>
      </c>
      <c r="BZ3656">
        <v>6.42</v>
      </c>
      <c r="CA3656">
        <v>1.01</v>
      </c>
      <c r="CB3656">
        <v>0.04</v>
      </c>
      <c r="CC3656">
        <v>1.03</v>
      </c>
      <c r="CD3656">
        <v>0.87</v>
      </c>
      <c r="CE3656">
        <v>0.88</v>
      </c>
      <c r="CF3656">
        <v>0.8</v>
      </c>
      <c r="CG3656">
        <v>5.08</v>
      </c>
      <c r="CH3656">
        <v>0.74</v>
      </c>
      <c r="CI3656">
        <v>0.6</v>
      </c>
      <c r="CJ3656">
        <v>11625</v>
      </c>
      <c r="CK3656">
        <v>4369</v>
      </c>
      <c r="CL3656" t="s">
        <v>1039</v>
      </c>
      <c r="CM3656">
        <v>0.45</v>
      </c>
      <c r="CN3656">
        <v>7.37</v>
      </c>
      <c r="CO3656">
        <v>2.79</v>
      </c>
      <c r="CP3656">
        <v>42.34</v>
      </c>
      <c r="CQ3656">
        <v>3.52</v>
      </c>
      <c r="CR3656">
        <v>0.77</v>
      </c>
      <c r="CS3656" t="s">
        <v>9683</v>
      </c>
      <c r="CT3656">
        <v>7.5</v>
      </c>
      <c r="CU3656">
        <v>0</v>
      </c>
      <c r="CV3656">
        <v>2.59</v>
      </c>
      <c r="CW3656">
        <v>3.38</v>
      </c>
      <c r="CX3656">
        <v>0.49</v>
      </c>
      <c r="CY3656">
        <v>89.81</v>
      </c>
      <c r="CZ3656" t="s">
        <v>6303</v>
      </c>
      <c r="DA3656">
        <v>27.89</v>
      </c>
      <c r="DB3656">
        <v>11.29</v>
      </c>
      <c r="DC3656">
        <v>9.83</v>
      </c>
      <c r="DD3656">
        <v>0.34</v>
      </c>
      <c r="DE3656">
        <v>719</v>
      </c>
      <c r="DF3656">
        <v>603938</v>
      </c>
      <c r="DG3656" t="s">
        <v>116</v>
      </c>
      <c r="DH3656" t="s">
        <v>116</v>
      </c>
      <c r="DI3656" t="s">
        <v>116</v>
      </c>
    </row>
    <row r="3657" spans="1:113" x14ac:dyDescent="0.4">
      <c r="A3657" t="str">
        <f>"603939"</f>
        <v>603939</v>
      </c>
      <c r="B3657" t="s">
        <v>15092</v>
      </c>
      <c r="C3657">
        <v>1.23</v>
      </c>
      <c r="D3657">
        <v>70.72</v>
      </c>
      <c r="E3657">
        <v>0.86</v>
      </c>
      <c r="F3657">
        <v>70.709999999999994</v>
      </c>
      <c r="G3657">
        <v>70.72</v>
      </c>
      <c r="H3657">
        <v>46127</v>
      </c>
      <c r="I3657">
        <v>290</v>
      </c>
      <c r="J3657">
        <v>0</v>
      </c>
      <c r="K3657">
        <v>1.26</v>
      </c>
      <c r="L3657">
        <v>70</v>
      </c>
      <c r="M3657">
        <v>72.77</v>
      </c>
      <c r="N3657">
        <v>70</v>
      </c>
      <c r="O3657">
        <v>69.86</v>
      </c>
      <c r="P3657">
        <v>48.05</v>
      </c>
      <c r="Q3657">
        <v>329787392</v>
      </c>
      <c r="R3657">
        <v>2.02</v>
      </c>
      <c r="S3657" t="s">
        <v>278</v>
      </c>
      <c r="T3657" t="s">
        <v>599</v>
      </c>
      <c r="U3657">
        <v>3.97</v>
      </c>
      <c r="V3657">
        <v>71.489999999999995</v>
      </c>
      <c r="W3657">
        <v>20603</v>
      </c>
      <c r="X3657">
        <v>25524</v>
      </c>
      <c r="Y3657">
        <v>0.81</v>
      </c>
      <c r="Z3657">
        <v>25</v>
      </c>
      <c r="AA3657">
        <v>6</v>
      </c>
      <c r="AB3657" t="s">
        <v>116</v>
      </c>
      <c r="AC3657">
        <v>835400</v>
      </c>
      <c r="AD3657">
        <v>0.01</v>
      </c>
      <c r="AE3657" t="s">
        <v>116</v>
      </c>
      <c r="AF3657" t="s">
        <v>116</v>
      </c>
      <c r="AG3657">
        <v>3.67</v>
      </c>
      <c r="AH3657" t="s">
        <v>15093</v>
      </c>
      <c r="AI3657" t="s">
        <v>15094</v>
      </c>
      <c r="AJ3657">
        <v>1.31</v>
      </c>
      <c r="AK3657">
        <v>3528</v>
      </c>
      <c r="AL3657">
        <v>13</v>
      </c>
      <c r="AM3657">
        <v>4.0000000000000002E-4</v>
      </c>
      <c r="AN3657">
        <v>1</v>
      </c>
      <c r="AO3657">
        <v>-0.89</v>
      </c>
      <c r="AP3657">
        <v>-7.48</v>
      </c>
      <c r="AQ3657">
        <v>-10.93</v>
      </c>
      <c r="AR3657">
        <v>70.819999999999993</v>
      </c>
      <c r="AS3657">
        <v>3.27</v>
      </c>
      <c r="AT3657" t="s">
        <v>15095</v>
      </c>
      <c r="AU3657">
        <v>50.95</v>
      </c>
      <c r="AV3657">
        <v>64.349999999999994</v>
      </c>
      <c r="AW3657">
        <v>0.43</v>
      </c>
      <c r="BA3657">
        <v>0.2</v>
      </c>
      <c r="BB3657">
        <v>4.17</v>
      </c>
      <c r="BC3657">
        <v>0.2</v>
      </c>
      <c r="BD3657">
        <v>2.34</v>
      </c>
      <c r="BE3657">
        <v>1.03</v>
      </c>
      <c r="BF3657">
        <v>-2.82</v>
      </c>
      <c r="BG3657">
        <v>1.03</v>
      </c>
      <c r="BH3657">
        <v>-1.1100000000000001</v>
      </c>
      <c r="BI3657">
        <v>20191112</v>
      </c>
      <c r="BJ3657">
        <v>20150217</v>
      </c>
      <c r="BK3657">
        <v>3.79</v>
      </c>
      <c r="BL3657" t="s">
        <v>116</v>
      </c>
      <c r="BM3657" t="s">
        <v>116</v>
      </c>
      <c r="BN3657">
        <v>82.88</v>
      </c>
      <c r="BO3657">
        <v>44.34</v>
      </c>
      <c r="BP3657">
        <v>1.81</v>
      </c>
      <c r="BQ3657">
        <v>44.3</v>
      </c>
      <c r="BR3657">
        <v>43.12</v>
      </c>
      <c r="BS3657">
        <v>4.1900000000000004</v>
      </c>
      <c r="BT3657">
        <v>2.7</v>
      </c>
      <c r="BU3657">
        <v>29.31</v>
      </c>
      <c r="BV3657">
        <v>15.09</v>
      </c>
      <c r="BW3657">
        <v>6.15</v>
      </c>
      <c r="BX3657">
        <v>26.45</v>
      </c>
      <c r="BY3657">
        <v>73.89</v>
      </c>
      <c r="BZ3657">
        <v>44.61</v>
      </c>
      <c r="CA3657">
        <v>6.27</v>
      </c>
      <c r="CB3657">
        <v>7.0000000000000007E-2</v>
      </c>
      <c r="CC3657">
        <v>6.26</v>
      </c>
      <c r="CD3657">
        <v>4.67</v>
      </c>
      <c r="CE3657">
        <v>4.18</v>
      </c>
      <c r="CF3657">
        <v>4.12</v>
      </c>
      <c r="CG3657">
        <v>13.45</v>
      </c>
      <c r="CH3657">
        <v>5.85</v>
      </c>
      <c r="CI3657">
        <v>-0.33</v>
      </c>
      <c r="CJ3657">
        <v>7194</v>
      </c>
      <c r="CK3657">
        <v>19594</v>
      </c>
      <c r="CL3657" t="s">
        <v>15096</v>
      </c>
      <c r="CM3657">
        <v>35.479999999999997</v>
      </c>
      <c r="CN3657">
        <v>58.36</v>
      </c>
      <c r="CO3657">
        <v>6.04</v>
      </c>
      <c r="CP3657">
        <v>45.8</v>
      </c>
      <c r="CQ3657">
        <v>3.63</v>
      </c>
      <c r="CR3657">
        <v>0.42</v>
      </c>
      <c r="CS3657" t="s">
        <v>15097</v>
      </c>
      <c r="CT3657">
        <v>11.7</v>
      </c>
      <c r="CU3657">
        <v>0</v>
      </c>
      <c r="CV3657">
        <v>6.98</v>
      </c>
      <c r="CW3657">
        <v>3.55</v>
      </c>
      <c r="CX3657">
        <v>1.54</v>
      </c>
      <c r="CY3657">
        <v>53.51</v>
      </c>
      <c r="CZ3657" t="s">
        <v>2777</v>
      </c>
      <c r="DA3657">
        <v>39.630000000000003</v>
      </c>
      <c r="DB3657">
        <v>8.49</v>
      </c>
      <c r="DC3657">
        <v>5.66</v>
      </c>
      <c r="DD3657">
        <v>0</v>
      </c>
      <c r="DE3657">
        <v>20790</v>
      </c>
      <c r="DF3657">
        <v>603939</v>
      </c>
      <c r="DG3657" t="s">
        <v>116</v>
      </c>
      <c r="DH3657" t="s">
        <v>116</v>
      </c>
      <c r="DI3657" t="s">
        <v>116</v>
      </c>
    </row>
    <row r="3658" spans="1:113" x14ac:dyDescent="0.4">
      <c r="A3658" t="str">
        <f>"603955"</f>
        <v>603955</v>
      </c>
      <c r="B3658" t="s">
        <v>15098</v>
      </c>
      <c r="C3658">
        <v>-1.1399999999999999</v>
      </c>
      <c r="D3658">
        <v>15.62</v>
      </c>
      <c r="E3658">
        <v>-0.18</v>
      </c>
      <c r="F3658">
        <v>15.61</v>
      </c>
      <c r="G3658">
        <v>15.62</v>
      </c>
      <c r="H3658">
        <v>7173</v>
      </c>
      <c r="I3658">
        <v>22</v>
      </c>
      <c r="J3658">
        <v>-0.12</v>
      </c>
      <c r="K3658">
        <v>1.01</v>
      </c>
      <c r="L3658">
        <v>15.86</v>
      </c>
      <c r="M3658">
        <v>15.88</v>
      </c>
      <c r="N3658">
        <v>15.6</v>
      </c>
      <c r="O3658">
        <v>15.8</v>
      </c>
      <c r="P3658">
        <v>20.37</v>
      </c>
      <c r="Q3658">
        <v>11298713</v>
      </c>
      <c r="R3658">
        <v>0.85</v>
      </c>
      <c r="S3658" t="s">
        <v>140</v>
      </c>
      <c r="T3658" t="s">
        <v>323</v>
      </c>
      <c r="U3658">
        <v>1.77</v>
      </c>
      <c r="V3658">
        <v>15.75</v>
      </c>
      <c r="W3658">
        <v>3756</v>
      </c>
      <c r="X3658">
        <v>3417</v>
      </c>
      <c r="Y3658">
        <v>1.1000000000000001</v>
      </c>
      <c r="Z3658">
        <v>20</v>
      </c>
      <c r="AA3658">
        <v>152</v>
      </c>
      <c r="AB3658" t="s">
        <v>116</v>
      </c>
      <c r="AC3658">
        <v>0</v>
      </c>
      <c r="AD3658">
        <v>0</v>
      </c>
      <c r="AE3658" t="s">
        <v>116</v>
      </c>
      <c r="AF3658" t="s">
        <v>116</v>
      </c>
      <c r="AG3658">
        <v>0.71</v>
      </c>
      <c r="AH3658" t="s">
        <v>6522</v>
      </c>
      <c r="AI3658" t="s">
        <v>5040</v>
      </c>
      <c r="AJ3658">
        <v>-1.06</v>
      </c>
      <c r="AK3658">
        <v>638</v>
      </c>
      <c r="AL3658">
        <v>11</v>
      </c>
      <c r="AM3658">
        <v>1.6000000000000001E-3</v>
      </c>
      <c r="AN3658">
        <v>-1</v>
      </c>
      <c r="AO3658">
        <v>1.49</v>
      </c>
      <c r="AP3658">
        <v>4.83</v>
      </c>
      <c r="AQ3658">
        <v>2.63</v>
      </c>
      <c r="AR3658">
        <v>12.37</v>
      </c>
      <c r="AS3658">
        <v>1.79</v>
      </c>
      <c r="AT3658" t="s">
        <v>12661</v>
      </c>
      <c r="AU3658">
        <v>17.89</v>
      </c>
      <c r="AV3658">
        <v>19.600000000000001</v>
      </c>
      <c r="AW3658">
        <v>1.41</v>
      </c>
      <c r="BA3658">
        <v>0.38</v>
      </c>
      <c r="BB3658">
        <v>0.51</v>
      </c>
      <c r="BC3658">
        <v>-1.27</v>
      </c>
      <c r="BD3658">
        <v>-0.31</v>
      </c>
      <c r="BE3658">
        <v>-1.51</v>
      </c>
      <c r="BF3658">
        <v>-1.64</v>
      </c>
      <c r="BG3658">
        <v>0.13</v>
      </c>
      <c r="BH3658">
        <v>-0.83</v>
      </c>
      <c r="BI3658">
        <v>20191219</v>
      </c>
      <c r="BJ3658">
        <v>20170310</v>
      </c>
      <c r="BK3658">
        <v>1.1299999999999999</v>
      </c>
      <c r="BL3658" t="s">
        <v>116</v>
      </c>
      <c r="BM3658" t="s">
        <v>116</v>
      </c>
      <c r="BN3658">
        <v>31.98</v>
      </c>
      <c r="BO3658">
        <v>11.9</v>
      </c>
      <c r="BP3658">
        <v>1.75</v>
      </c>
      <c r="BQ3658">
        <v>57.3</v>
      </c>
      <c r="BR3658">
        <v>18.54</v>
      </c>
      <c r="BS3658">
        <v>0.17</v>
      </c>
      <c r="BT3658">
        <v>0.01</v>
      </c>
      <c r="BU3658">
        <v>11.72</v>
      </c>
      <c r="BV3658">
        <v>6.44</v>
      </c>
      <c r="BW3658">
        <v>4.7300000000000004</v>
      </c>
      <c r="BX3658">
        <v>5.57</v>
      </c>
      <c r="BY3658">
        <v>5.9</v>
      </c>
      <c r="BZ3658">
        <v>4.25</v>
      </c>
      <c r="CA3658">
        <v>0.79</v>
      </c>
      <c r="CB3658">
        <v>0.01</v>
      </c>
      <c r="CC3658">
        <v>0.79</v>
      </c>
      <c r="CD3658">
        <v>0.67</v>
      </c>
      <c r="CE3658">
        <v>0.65</v>
      </c>
      <c r="CF3658">
        <v>0.62</v>
      </c>
      <c r="CG3658">
        <v>4.68</v>
      </c>
      <c r="CH3658">
        <v>-1.61</v>
      </c>
      <c r="CI3658">
        <v>0.34</v>
      </c>
      <c r="CJ3658">
        <v>10327</v>
      </c>
      <c r="CK3658">
        <v>3890</v>
      </c>
      <c r="CL3658" t="s">
        <v>13775</v>
      </c>
      <c r="CM3658">
        <v>15.31</v>
      </c>
      <c r="CN3658">
        <v>7.63</v>
      </c>
      <c r="CO3658">
        <v>1.48</v>
      </c>
      <c r="CP3658">
        <v>-10.95</v>
      </c>
      <c r="CQ3658">
        <v>2.99</v>
      </c>
      <c r="CR3658">
        <v>0</v>
      </c>
      <c r="CS3658" t="s">
        <v>15099</v>
      </c>
      <c r="CT3658">
        <v>10.52</v>
      </c>
      <c r="CU3658">
        <v>0</v>
      </c>
      <c r="CV3658">
        <v>4.93</v>
      </c>
      <c r="CW3658">
        <v>4.1399999999999997</v>
      </c>
      <c r="CX3658">
        <v>-1.43</v>
      </c>
      <c r="CY3658">
        <v>37.22</v>
      </c>
      <c r="CZ3658" t="s">
        <v>5659</v>
      </c>
      <c r="DA3658">
        <v>27.95</v>
      </c>
      <c r="DB3658">
        <v>13.44</v>
      </c>
      <c r="DC3658">
        <v>11.02</v>
      </c>
      <c r="DD3658">
        <v>0.24</v>
      </c>
      <c r="DE3658">
        <v>484</v>
      </c>
      <c r="DF3658">
        <v>603955</v>
      </c>
      <c r="DG3658" t="s">
        <v>116</v>
      </c>
      <c r="DH3658" t="s">
        <v>116</v>
      </c>
      <c r="DI3658" t="s">
        <v>116</v>
      </c>
    </row>
    <row r="3659" spans="1:113" x14ac:dyDescent="0.4">
      <c r="A3659" t="str">
        <f>"603956"</f>
        <v>603956</v>
      </c>
      <c r="B3659" t="s">
        <v>15100</v>
      </c>
      <c r="C3659">
        <v>-2.0099999999999998</v>
      </c>
      <c r="D3659">
        <v>16.55</v>
      </c>
      <c r="E3659">
        <v>-0.34</v>
      </c>
      <c r="F3659">
        <v>16.55</v>
      </c>
      <c r="G3659">
        <v>16.559999999999999</v>
      </c>
      <c r="H3659">
        <v>25678</v>
      </c>
      <c r="I3659">
        <v>440</v>
      </c>
      <c r="J3659">
        <v>-0.05</v>
      </c>
      <c r="K3659">
        <v>6.03</v>
      </c>
      <c r="L3659">
        <v>16.86</v>
      </c>
      <c r="M3659">
        <v>17.13</v>
      </c>
      <c r="N3659">
        <v>16.5</v>
      </c>
      <c r="O3659">
        <v>16.89</v>
      </c>
      <c r="P3659">
        <v>73.44</v>
      </c>
      <c r="Q3659">
        <v>43267964</v>
      </c>
      <c r="R3659">
        <v>1.23</v>
      </c>
      <c r="S3659" t="s">
        <v>682</v>
      </c>
      <c r="T3659" t="s">
        <v>1653</v>
      </c>
      <c r="U3659">
        <v>3.73</v>
      </c>
      <c r="V3659">
        <v>16.850000000000001</v>
      </c>
      <c r="W3659">
        <v>15759</v>
      </c>
      <c r="X3659">
        <v>9919</v>
      </c>
      <c r="Y3659">
        <v>1.59</v>
      </c>
      <c r="Z3659">
        <v>46</v>
      </c>
      <c r="AA3659">
        <v>20</v>
      </c>
      <c r="AB3659" t="s">
        <v>116</v>
      </c>
      <c r="AC3659">
        <v>32000</v>
      </c>
      <c r="AD3659">
        <v>0</v>
      </c>
      <c r="AE3659" t="s">
        <v>116</v>
      </c>
      <c r="AF3659" t="s">
        <v>116</v>
      </c>
      <c r="AG3659">
        <v>0.43</v>
      </c>
      <c r="AH3659" t="s">
        <v>15101</v>
      </c>
      <c r="AI3659" t="s">
        <v>7413</v>
      </c>
      <c r="AJ3659">
        <v>-1.94</v>
      </c>
      <c r="AK3659">
        <v>1680</v>
      </c>
      <c r="AL3659">
        <v>15</v>
      </c>
      <c r="AM3659">
        <v>3.5999999999999999E-3</v>
      </c>
      <c r="AN3659">
        <v>-1</v>
      </c>
      <c r="AO3659">
        <v>0.37</v>
      </c>
      <c r="AP3659">
        <v>5.48</v>
      </c>
      <c r="AQ3659">
        <v>-34.33</v>
      </c>
      <c r="AR3659">
        <v>195.54</v>
      </c>
      <c r="AS3659">
        <v>6.03</v>
      </c>
      <c r="AT3659" t="s">
        <v>15101</v>
      </c>
      <c r="AU3659">
        <v>58.22</v>
      </c>
      <c r="AV3659">
        <v>61.03</v>
      </c>
      <c r="AW3659">
        <v>1.1299999999999999</v>
      </c>
      <c r="BA3659">
        <v>-0.18</v>
      </c>
      <c r="BB3659">
        <v>1.42</v>
      </c>
      <c r="BC3659">
        <v>-2.31</v>
      </c>
      <c r="BD3659">
        <v>-0.24</v>
      </c>
      <c r="BE3659">
        <v>-1.84</v>
      </c>
      <c r="BF3659">
        <v>-3.39</v>
      </c>
      <c r="BG3659">
        <v>0.3</v>
      </c>
      <c r="BH3659">
        <v>-1.78</v>
      </c>
      <c r="BI3659">
        <v>20191212</v>
      </c>
      <c r="BJ3659">
        <v>20190222</v>
      </c>
      <c r="BK3659">
        <v>4.26</v>
      </c>
      <c r="BL3659" t="s">
        <v>116</v>
      </c>
      <c r="BM3659" t="s">
        <v>116</v>
      </c>
      <c r="BN3659">
        <v>13.14</v>
      </c>
      <c r="BO3659">
        <v>10.73</v>
      </c>
      <c r="BP3659">
        <v>0</v>
      </c>
      <c r="BQ3659">
        <v>18.32</v>
      </c>
      <c r="BR3659">
        <v>9.58</v>
      </c>
      <c r="BS3659">
        <v>2.88</v>
      </c>
      <c r="BT3659">
        <v>0.39</v>
      </c>
      <c r="BU3659">
        <v>2.2400000000000002</v>
      </c>
      <c r="BV3659">
        <v>0.94</v>
      </c>
      <c r="BW3659">
        <v>4.66</v>
      </c>
      <c r="BX3659">
        <v>3</v>
      </c>
      <c r="BY3659">
        <v>5.34</v>
      </c>
      <c r="BZ3659">
        <v>1.76</v>
      </c>
      <c r="CA3659">
        <v>0.78</v>
      </c>
      <c r="CB3659">
        <v>0</v>
      </c>
      <c r="CC3659">
        <v>0.82</v>
      </c>
      <c r="CD3659">
        <v>0.72</v>
      </c>
      <c r="CE3659">
        <v>0.72</v>
      </c>
      <c r="CF3659">
        <v>0.65</v>
      </c>
      <c r="CG3659">
        <v>3.13</v>
      </c>
      <c r="CH3659">
        <v>-0.04</v>
      </c>
      <c r="CI3659">
        <v>1.17</v>
      </c>
      <c r="CJ3659">
        <v>19266</v>
      </c>
      <c r="CK3659">
        <v>2211</v>
      </c>
      <c r="CL3659" t="s">
        <v>3124</v>
      </c>
      <c r="CM3659">
        <v>8.41</v>
      </c>
      <c r="CN3659">
        <v>24.74</v>
      </c>
      <c r="CO3659">
        <v>6.57</v>
      </c>
      <c r="CP3659">
        <v>-1986.65</v>
      </c>
      <c r="CQ3659">
        <v>13.2</v>
      </c>
      <c r="CR3659">
        <v>0.6</v>
      </c>
      <c r="CS3659" t="s">
        <v>2316</v>
      </c>
      <c r="CT3659">
        <v>2.52</v>
      </c>
      <c r="CU3659">
        <v>0</v>
      </c>
      <c r="CV3659">
        <v>0.7</v>
      </c>
      <c r="CW3659">
        <v>0.73</v>
      </c>
      <c r="CX3659">
        <v>-0.01</v>
      </c>
      <c r="CY3659">
        <v>81.66</v>
      </c>
      <c r="CZ3659" t="s">
        <v>7218</v>
      </c>
      <c r="DA3659">
        <v>67.09</v>
      </c>
      <c r="DB3659">
        <v>14.7</v>
      </c>
      <c r="DC3659">
        <v>13.48</v>
      </c>
      <c r="DD3659">
        <v>0.36</v>
      </c>
      <c r="DE3659">
        <v>1291</v>
      </c>
      <c r="DF3659">
        <v>603956</v>
      </c>
      <c r="DG3659" t="s">
        <v>116</v>
      </c>
      <c r="DH3659" t="s">
        <v>116</v>
      </c>
      <c r="DI3659" t="s">
        <v>116</v>
      </c>
    </row>
    <row r="3660" spans="1:113" x14ac:dyDescent="0.4">
      <c r="A3660" t="str">
        <f>"603958"</f>
        <v>603958</v>
      </c>
      <c r="B3660" t="s">
        <v>15102</v>
      </c>
      <c r="C3660">
        <v>-0.54</v>
      </c>
      <c r="D3660">
        <v>7.42</v>
      </c>
      <c r="E3660">
        <v>-0.04</v>
      </c>
      <c r="F3660">
        <v>7.42</v>
      </c>
      <c r="G3660">
        <v>7.43</v>
      </c>
      <c r="H3660">
        <v>24625</v>
      </c>
      <c r="I3660">
        <v>723</v>
      </c>
      <c r="J3660">
        <v>-0.26</v>
      </c>
      <c r="K3660">
        <v>1.1299999999999999</v>
      </c>
      <c r="L3660">
        <v>7.46</v>
      </c>
      <c r="M3660">
        <v>7.55</v>
      </c>
      <c r="N3660">
        <v>7.38</v>
      </c>
      <c r="O3660">
        <v>7.46</v>
      </c>
      <c r="P3660">
        <v>1287.23</v>
      </c>
      <c r="Q3660">
        <v>18362650</v>
      </c>
      <c r="R3660">
        <v>0.62</v>
      </c>
      <c r="S3660" t="s">
        <v>3070</v>
      </c>
      <c r="T3660" t="s">
        <v>323</v>
      </c>
      <c r="U3660">
        <v>2.2799999999999998</v>
      </c>
      <c r="V3660">
        <v>7.46</v>
      </c>
      <c r="W3660">
        <v>12942</v>
      </c>
      <c r="X3660">
        <v>11683</v>
      </c>
      <c r="Y3660">
        <v>1.1100000000000001</v>
      </c>
      <c r="Z3660">
        <v>37</v>
      </c>
      <c r="AA3660">
        <v>191</v>
      </c>
      <c r="AB3660" t="s">
        <v>116</v>
      </c>
      <c r="AC3660">
        <v>8200</v>
      </c>
      <c r="AD3660">
        <v>0</v>
      </c>
      <c r="AE3660" t="s">
        <v>116</v>
      </c>
      <c r="AF3660" t="s">
        <v>116</v>
      </c>
      <c r="AG3660">
        <v>2.17</v>
      </c>
      <c r="AH3660" t="s">
        <v>15103</v>
      </c>
      <c r="AI3660" t="s">
        <v>15103</v>
      </c>
      <c r="AJ3660">
        <v>-0.46</v>
      </c>
      <c r="AK3660">
        <v>902</v>
      </c>
      <c r="AL3660">
        <v>27</v>
      </c>
      <c r="AM3660">
        <v>1.2999999999999999E-3</v>
      </c>
      <c r="AN3660">
        <v>-1</v>
      </c>
      <c r="AO3660">
        <v>-7.72</v>
      </c>
      <c r="AP3660">
        <v>8.01</v>
      </c>
      <c r="AQ3660">
        <v>-4.01</v>
      </c>
      <c r="AR3660">
        <v>-6.31</v>
      </c>
      <c r="AS3660">
        <v>3.73</v>
      </c>
      <c r="AT3660" t="s">
        <v>15104</v>
      </c>
      <c r="AU3660" t="s">
        <v>116</v>
      </c>
      <c r="AV3660" t="s">
        <v>116</v>
      </c>
      <c r="AW3660">
        <v>1.1399999999999999</v>
      </c>
      <c r="BA3660">
        <v>0</v>
      </c>
      <c r="BB3660">
        <v>1.21</v>
      </c>
      <c r="BC3660">
        <v>-1.07</v>
      </c>
      <c r="BD3660">
        <v>-0.04</v>
      </c>
      <c r="BE3660">
        <v>-0.54</v>
      </c>
      <c r="BF3660">
        <v>-1.72</v>
      </c>
      <c r="BG3660">
        <v>0.54</v>
      </c>
      <c r="BH3660">
        <v>-0.49</v>
      </c>
      <c r="BI3660">
        <v>20191029</v>
      </c>
      <c r="BJ3660">
        <v>20160629</v>
      </c>
      <c r="BK3660">
        <v>2.17</v>
      </c>
      <c r="BL3660" t="s">
        <v>116</v>
      </c>
      <c r="BM3660" t="s">
        <v>116</v>
      </c>
      <c r="BN3660">
        <v>12.53</v>
      </c>
      <c r="BO3660">
        <v>10.14</v>
      </c>
      <c r="BP3660">
        <v>0.05</v>
      </c>
      <c r="BQ3660">
        <v>18.649999999999999</v>
      </c>
      <c r="BR3660">
        <v>10.28</v>
      </c>
      <c r="BS3660">
        <v>1.06</v>
      </c>
      <c r="BT3660">
        <v>0.51</v>
      </c>
      <c r="BU3660">
        <v>2.33</v>
      </c>
      <c r="BV3660">
        <v>5.28</v>
      </c>
      <c r="BW3660">
        <v>0.72</v>
      </c>
      <c r="BX3660">
        <v>4.62</v>
      </c>
      <c r="BY3660">
        <v>8.82</v>
      </c>
      <c r="BZ3660">
        <v>4.1900000000000004</v>
      </c>
      <c r="CA3660">
        <v>0.05</v>
      </c>
      <c r="CB3660">
        <v>0.1</v>
      </c>
      <c r="CC3660">
        <v>0.06</v>
      </c>
      <c r="CD3660">
        <v>-0.01</v>
      </c>
      <c r="CE3660">
        <v>0.01</v>
      </c>
      <c r="CF3660">
        <v>-0.18</v>
      </c>
      <c r="CG3660">
        <v>2.73</v>
      </c>
      <c r="CH3660">
        <v>0.15</v>
      </c>
      <c r="CI3660">
        <v>-3.18</v>
      </c>
      <c r="CJ3660">
        <v>16632</v>
      </c>
      <c r="CK3660">
        <v>3968</v>
      </c>
      <c r="CL3660" t="s">
        <v>1835</v>
      </c>
      <c r="CM3660">
        <v>-87.2</v>
      </c>
      <c r="CN3660">
        <v>-10.6</v>
      </c>
      <c r="CO3660">
        <v>1.59</v>
      </c>
      <c r="CP3660">
        <v>104.45</v>
      </c>
      <c r="CQ3660">
        <v>1.83</v>
      </c>
      <c r="CR3660">
        <v>0</v>
      </c>
      <c r="CS3660" t="s">
        <v>2001</v>
      </c>
      <c r="CT3660">
        <v>4.67</v>
      </c>
      <c r="CU3660">
        <v>0</v>
      </c>
      <c r="CV3660">
        <v>2.13</v>
      </c>
      <c r="CW3660">
        <v>1.25</v>
      </c>
      <c r="CX3660">
        <v>7.0000000000000007E-2</v>
      </c>
      <c r="CY3660">
        <v>80.95</v>
      </c>
      <c r="CZ3660" t="s">
        <v>5544</v>
      </c>
      <c r="DA3660">
        <v>52.45</v>
      </c>
      <c r="DB3660">
        <v>0.55000000000000004</v>
      </c>
      <c r="DC3660">
        <v>0.11</v>
      </c>
      <c r="DD3660">
        <v>0.11</v>
      </c>
      <c r="DE3660">
        <v>5987</v>
      </c>
      <c r="DF3660">
        <v>603958</v>
      </c>
      <c r="DG3660" t="s">
        <v>116</v>
      </c>
      <c r="DH3660" t="s">
        <v>116</v>
      </c>
      <c r="DI3660" t="s">
        <v>116</v>
      </c>
    </row>
    <row r="3661" spans="1:113" x14ac:dyDescent="0.4">
      <c r="A3661" t="str">
        <f>"603959"</f>
        <v>603959</v>
      </c>
      <c r="B3661" t="s">
        <v>15105</v>
      </c>
      <c r="C3661">
        <v>7.91</v>
      </c>
      <c r="D3661">
        <v>9.41</v>
      </c>
      <c r="E3661">
        <v>0.69</v>
      </c>
      <c r="F3661">
        <v>9.41</v>
      </c>
      <c r="G3661">
        <v>9.42</v>
      </c>
      <c r="H3661">
        <v>196800</v>
      </c>
      <c r="I3661">
        <v>5429</v>
      </c>
      <c r="J3661">
        <v>1.51</v>
      </c>
      <c r="K3661">
        <v>4.4800000000000004</v>
      </c>
      <c r="L3661">
        <v>8.82</v>
      </c>
      <c r="M3661">
        <v>9.48</v>
      </c>
      <c r="N3661">
        <v>8.73</v>
      </c>
      <c r="O3661">
        <v>8.7200000000000006</v>
      </c>
      <c r="P3661">
        <v>47.76</v>
      </c>
      <c r="Q3661">
        <v>181022880</v>
      </c>
      <c r="R3661">
        <v>3.18</v>
      </c>
      <c r="S3661" t="s">
        <v>181</v>
      </c>
      <c r="T3661" t="s">
        <v>599</v>
      </c>
      <c r="U3661">
        <v>8.6</v>
      </c>
      <c r="V3661">
        <v>9.1999999999999993</v>
      </c>
      <c r="W3661">
        <v>81924</v>
      </c>
      <c r="X3661">
        <v>114879</v>
      </c>
      <c r="Y3661">
        <v>0.71</v>
      </c>
      <c r="Z3661">
        <v>732</v>
      </c>
      <c r="AA3661">
        <v>130</v>
      </c>
      <c r="AB3661" t="s">
        <v>116</v>
      </c>
      <c r="AC3661">
        <v>177300</v>
      </c>
      <c r="AD3661">
        <v>0.01</v>
      </c>
      <c r="AE3661" t="s">
        <v>116</v>
      </c>
      <c r="AF3661" t="s">
        <v>116</v>
      </c>
      <c r="AG3661">
        <v>4.3899999999999997</v>
      </c>
      <c r="AH3661" t="s">
        <v>15106</v>
      </c>
      <c r="AI3661" t="s">
        <v>15106</v>
      </c>
      <c r="AJ3661">
        <v>7.99</v>
      </c>
      <c r="AK3661">
        <v>3171</v>
      </c>
      <c r="AL3661">
        <v>62</v>
      </c>
      <c r="AM3661">
        <v>1.4E-3</v>
      </c>
      <c r="AN3661">
        <v>1</v>
      </c>
      <c r="AO3661">
        <v>9.41</v>
      </c>
      <c r="AP3661">
        <v>16.170000000000002</v>
      </c>
      <c r="AQ3661">
        <v>-11.89</v>
      </c>
      <c r="AR3661">
        <v>-10.220000000000001</v>
      </c>
      <c r="AS3661">
        <v>10.93</v>
      </c>
      <c r="AT3661" t="s">
        <v>13971</v>
      </c>
      <c r="AU3661">
        <v>33.22</v>
      </c>
      <c r="AV3661">
        <v>27.53</v>
      </c>
      <c r="AW3661">
        <v>2</v>
      </c>
      <c r="BA3661">
        <v>1.1499999999999999</v>
      </c>
      <c r="BB3661">
        <v>8.7200000000000006</v>
      </c>
      <c r="BC3661">
        <v>0.11</v>
      </c>
      <c r="BD3661">
        <v>5.49</v>
      </c>
      <c r="BE3661">
        <v>6.69</v>
      </c>
      <c r="BF3661">
        <v>-0.74</v>
      </c>
      <c r="BG3661">
        <v>7.79</v>
      </c>
      <c r="BH3661">
        <v>2.4300000000000002</v>
      </c>
      <c r="BI3661">
        <v>20191030</v>
      </c>
      <c r="BJ3661">
        <v>20160517</v>
      </c>
      <c r="BK3661">
        <v>4.3899999999999997</v>
      </c>
      <c r="BL3661" t="s">
        <v>116</v>
      </c>
      <c r="BM3661" t="s">
        <v>116</v>
      </c>
      <c r="BN3661">
        <v>33.25</v>
      </c>
      <c r="BO3661">
        <v>11.41</v>
      </c>
      <c r="BP3661">
        <v>0.06</v>
      </c>
      <c r="BQ3661">
        <v>65.489999999999995</v>
      </c>
      <c r="BR3661">
        <v>24.54</v>
      </c>
      <c r="BS3661">
        <v>0.44</v>
      </c>
      <c r="BT3661">
        <v>1.31</v>
      </c>
      <c r="BU3661">
        <v>21.75</v>
      </c>
      <c r="BV3661">
        <v>5.94</v>
      </c>
      <c r="BW3661">
        <v>10.19</v>
      </c>
      <c r="BX3661">
        <v>0.55000000000000004</v>
      </c>
      <c r="BY3661">
        <v>9.01</v>
      </c>
      <c r="BZ3661">
        <v>6.58</v>
      </c>
      <c r="CA3661">
        <v>0.72</v>
      </c>
      <c r="CB3661">
        <v>7.0000000000000007E-2</v>
      </c>
      <c r="CC3661">
        <v>0.75</v>
      </c>
      <c r="CD3661">
        <v>0.65</v>
      </c>
      <c r="CE3661">
        <v>0.65</v>
      </c>
      <c r="CF3661">
        <v>0.61</v>
      </c>
      <c r="CG3661">
        <v>5.9</v>
      </c>
      <c r="CH3661">
        <v>-2.62</v>
      </c>
      <c r="CI3661">
        <v>-0.75</v>
      </c>
      <c r="CJ3661">
        <v>13406</v>
      </c>
      <c r="CK3661">
        <v>13427</v>
      </c>
      <c r="CL3661" t="s">
        <v>15107</v>
      </c>
      <c r="CM3661">
        <v>-28.38</v>
      </c>
      <c r="CN3661">
        <v>62.77</v>
      </c>
      <c r="CO3661">
        <v>3.62</v>
      </c>
      <c r="CP3661">
        <v>-15.78</v>
      </c>
      <c r="CQ3661">
        <v>4.59</v>
      </c>
      <c r="CR3661">
        <v>0.73</v>
      </c>
      <c r="CS3661" t="s">
        <v>1195</v>
      </c>
      <c r="CT3661">
        <v>2.6</v>
      </c>
      <c r="CU3661">
        <v>0</v>
      </c>
      <c r="CV3661">
        <v>0.13</v>
      </c>
      <c r="CW3661">
        <v>1.34</v>
      </c>
      <c r="CX3661">
        <v>-0.6</v>
      </c>
      <c r="CY3661">
        <v>34.32</v>
      </c>
      <c r="CZ3661" t="s">
        <v>4569</v>
      </c>
      <c r="DA3661">
        <v>26.95</v>
      </c>
      <c r="DB3661">
        <v>7.97</v>
      </c>
      <c r="DC3661">
        <v>7.2</v>
      </c>
      <c r="DD3661">
        <v>0.47</v>
      </c>
      <c r="DE3661">
        <v>622</v>
      </c>
      <c r="DF3661">
        <v>603959</v>
      </c>
      <c r="DG3661" t="s">
        <v>116</v>
      </c>
      <c r="DH3661" t="s">
        <v>116</v>
      </c>
      <c r="DI3661" t="s">
        <v>116</v>
      </c>
    </row>
    <row r="3662" spans="1:113" x14ac:dyDescent="0.4">
      <c r="A3662" t="str">
        <f>"603960"</f>
        <v>603960</v>
      </c>
      <c r="B3662" t="s">
        <v>15108</v>
      </c>
      <c r="C3662">
        <v>2.48</v>
      </c>
      <c r="D3662">
        <v>33.1</v>
      </c>
      <c r="E3662">
        <v>0.8</v>
      </c>
      <c r="F3662">
        <v>33.1</v>
      </c>
      <c r="G3662">
        <v>33.11</v>
      </c>
      <c r="H3662">
        <v>36269</v>
      </c>
      <c r="I3662">
        <v>301</v>
      </c>
      <c r="J3662">
        <v>-0.08</v>
      </c>
      <c r="K3662">
        <v>5.39</v>
      </c>
      <c r="L3662">
        <v>32.19</v>
      </c>
      <c r="M3662">
        <v>34.43</v>
      </c>
      <c r="N3662">
        <v>32.19</v>
      </c>
      <c r="O3662">
        <v>32.299999999999997</v>
      </c>
      <c r="P3662">
        <v>62.3</v>
      </c>
      <c r="Q3662">
        <v>121684704</v>
      </c>
      <c r="R3662">
        <v>1.64</v>
      </c>
      <c r="S3662" t="s">
        <v>682</v>
      </c>
      <c r="T3662" t="s">
        <v>1653</v>
      </c>
      <c r="U3662">
        <v>6.93</v>
      </c>
      <c r="V3662">
        <v>33.549999999999997</v>
      </c>
      <c r="W3662">
        <v>17408</v>
      </c>
      <c r="X3662">
        <v>18863</v>
      </c>
      <c r="Y3662">
        <v>0.92</v>
      </c>
      <c r="Z3662">
        <v>5</v>
      </c>
      <c r="AA3662">
        <v>12</v>
      </c>
      <c r="AB3662" t="s">
        <v>116</v>
      </c>
      <c r="AC3662">
        <v>70800</v>
      </c>
      <c r="AD3662">
        <v>0</v>
      </c>
      <c r="AE3662" t="s">
        <v>116</v>
      </c>
      <c r="AF3662" t="s">
        <v>116</v>
      </c>
      <c r="AG3662">
        <v>0.67</v>
      </c>
      <c r="AH3662" t="s">
        <v>8564</v>
      </c>
      <c r="AI3662" t="s">
        <v>15109</v>
      </c>
      <c r="AJ3662">
        <v>2.5499999999999998</v>
      </c>
      <c r="AK3662">
        <v>2686</v>
      </c>
      <c r="AL3662">
        <v>14</v>
      </c>
      <c r="AM3662">
        <v>2E-3</v>
      </c>
      <c r="AN3662">
        <v>2</v>
      </c>
      <c r="AO3662">
        <v>2.17</v>
      </c>
      <c r="AP3662">
        <v>13.47</v>
      </c>
      <c r="AQ3662">
        <v>18.940000000000001</v>
      </c>
      <c r="AR3662">
        <v>55.44</v>
      </c>
      <c r="AS3662">
        <v>5.39</v>
      </c>
      <c r="AT3662" t="s">
        <v>8564</v>
      </c>
      <c r="AU3662">
        <v>62.73</v>
      </c>
      <c r="AV3662">
        <v>89.3</v>
      </c>
      <c r="AW3662">
        <v>0.55000000000000004</v>
      </c>
      <c r="BA3662">
        <v>-0.34</v>
      </c>
      <c r="BB3662">
        <v>6.59</v>
      </c>
      <c r="BC3662">
        <v>-0.34</v>
      </c>
      <c r="BD3662">
        <v>3.87</v>
      </c>
      <c r="BE3662">
        <v>2.83</v>
      </c>
      <c r="BF3662">
        <v>-3.86</v>
      </c>
      <c r="BG3662">
        <v>2.83</v>
      </c>
      <c r="BH3662">
        <v>-1.4</v>
      </c>
      <c r="BI3662">
        <v>20191030</v>
      </c>
      <c r="BJ3662">
        <v>20170314</v>
      </c>
      <c r="BK3662">
        <v>1.76</v>
      </c>
      <c r="BL3662" t="s">
        <v>116</v>
      </c>
      <c r="BM3662" t="s">
        <v>116</v>
      </c>
      <c r="BN3662">
        <v>9.73</v>
      </c>
      <c r="BO3662">
        <v>5.46</v>
      </c>
      <c r="BP3662">
        <v>1.31</v>
      </c>
      <c r="BQ3662">
        <v>30.37</v>
      </c>
      <c r="BR3662">
        <v>5.75</v>
      </c>
      <c r="BS3662">
        <v>1.66</v>
      </c>
      <c r="BT3662">
        <v>0.92</v>
      </c>
      <c r="BU3662">
        <v>2.86</v>
      </c>
      <c r="BV3662">
        <v>1.5</v>
      </c>
      <c r="BW3662">
        <v>1.65</v>
      </c>
      <c r="BX3662">
        <v>1.1499999999999999</v>
      </c>
      <c r="BY3662">
        <v>5.61</v>
      </c>
      <c r="BZ3662">
        <v>3.98</v>
      </c>
      <c r="CA3662">
        <v>1.01</v>
      </c>
      <c r="CB3662">
        <v>0</v>
      </c>
      <c r="CC3662">
        <v>1.03</v>
      </c>
      <c r="CD3662">
        <v>0.88</v>
      </c>
      <c r="CE3662">
        <v>0.7</v>
      </c>
      <c r="CF3662">
        <v>0.64</v>
      </c>
      <c r="CG3662">
        <v>2.35</v>
      </c>
      <c r="CH3662">
        <v>0.94</v>
      </c>
      <c r="CI3662">
        <v>0.16</v>
      </c>
      <c r="CJ3662">
        <v>7958</v>
      </c>
      <c r="CK3662">
        <v>8463</v>
      </c>
      <c r="CL3662" t="s">
        <v>15110</v>
      </c>
      <c r="CM3662">
        <v>65.040000000000006</v>
      </c>
      <c r="CN3662">
        <v>52.92</v>
      </c>
      <c r="CO3662">
        <v>10.66</v>
      </c>
      <c r="CP3662">
        <v>61.6</v>
      </c>
      <c r="CQ3662">
        <v>10.37</v>
      </c>
      <c r="CR3662">
        <v>0.23</v>
      </c>
      <c r="CS3662" t="s">
        <v>9941</v>
      </c>
      <c r="CT3662">
        <v>3.1</v>
      </c>
      <c r="CU3662">
        <v>0</v>
      </c>
      <c r="CV3662">
        <v>0.65</v>
      </c>
      <c r="CW3662">
        <v>1.34</v>
      </c>
      <c r="CX3662">
        <v>0.54</v>
      </c>
      <c r="CY3662">
        <v>56.11</v>
      </c>
      <c r="CZ3662" t="s">
        <v>15111</v>
      </c>
      <c r="DA3662">
        <v>29.1</v>
      </c>
      <c r="DB3662">
        <v>17.97</v>
      </c>
      <c r="DC3662">
        <v>12.48</v>
      </c>
      <c r="DD3662">
        <v>0.3</v>
      </c>
      <c r="DE3662">
        <v>853</v>
      </c>
      <c r="DF3662">
        <v>603960</v>
      </c>
      <c r="DG3662" t="s">
        <v>116</v>
      </c>
      <c r="DH3662" t="s">
        <v>116</v>
      </c>
      <c r="DI3662" t="s">
        <v>116</v>
      </c>
    </row>
    <row r="3663" spans="1:113" x14ac:dyDescent="0.4">
      <c r="A3663" t="str">
        <f>"603963"</f>
        <v>603963</v>
      </c>
      <c r="B3663" t="s">
        <v>15112</v>
      </c>
      <c r="C3663">
        <v>-0.63</v>
      </c>
      <c r="D3663">
        <v>11.06</v>
      </c>
      <c r="E3663">
        <v>-7.0000000000000007E-2</v>
      </c>
      <c r="F3663">
        <v>11.05</v>
      </c>
      <c r="G3663">
        <v>11.06</v>
      </c>
      <c r="H3663">
        <v>9433</v>
      </c>
      <c r="I3663">
        <v>69</v>
      </c>
      <c r="J3663">
        <v>0.09</v>
      </c>
      <c r="K3663">
        <v>0.95</v>
      </c>
      <c r="L3663">
        <v>11.13</v>
      </c>
      <c r="M3663">
        <v>11.23</v>
      </c>
      <c r="N3663">
        <v>11.04</v>
      </c>
      <c r="O3663">
        <v>11.13</v>
      </c>
      <c r="P3663">
        <v>95.24</v>
      </c>
      <c r="Q3663">
        <v>10513721</v>
      </c>
      <c r="R3663">
        <v>0.8</v>
      </c>
      <c r="S3663" t="s">
        <v>574</v>
      </c>
      <c r="T3663" t="s">
        <v>1043</v>
      </c>
      <c r="U3663">
        <v>1.71</v>
      </c>
      <c r="V3663">
        <v>11.15</v>
      </c>
      <c r="W3663">
        <v>5258</v>
      </c>
      <c r="X3663">
        <v>4175</v>
      </c>
      <c r="Y3663">
        <v>1.26</v>
      </c>
      <c r="Z3663">
        <v>164</v>
      </c>
      <c r="AA3663">
        <v>16</v>
      </c>
      <c r="AB3663" t="s">
        <v>116</v>
      </c>
      <c r="AC3663">
        <v>0</v>
      </c>
      <c r="AD3663">
        <v>0</v>
      </c>
      <c r="AE3663" t="s">
        <v>116</v>
      </c>
      <c r="AF3663" t="s">
        <v>116</v>
      </c>
      <c r="AG3663">
        <v>0.99</v>
      </c>
      <c r="AH3663" t="s">
        <v>8872</v>
      </c>
      <c r="AI3663" t="s">
        <v>5439</v>
      </c>
      <c r="AJ3663">
        <v>-0.55000000000000004</v>
      </c>
      <c r="AK3663">
        <v>656</v>
      </c>
      <c r="AL3663">
        <v>14</v>
      </c>
      <c r="AM3663">
        <v>1.4E-3</v>
      </c>
      <c r="AN3663">
        <v>-1</v>
      </c>
      <c r="AO3663">
        <v>-0.45</v>
      </c>
      <c r="AP3663">
        <v>1.47</v>
      </c>
      <c r="AQ3663">
        <v>-8.06</v>
      </c>
      <c r="AR3663">
        <v>23.07</v>
      </c>
      <c r="AS3663">
        <v>2.11</v>
      </c>
      <c r="AT3663" t="s">
        <v>15113</v>
      </c>
      <c r="AU3663">
        <v>93.39</v>
      </c>
      <c r="AV3663">
        <v>174.68</v>
      </c>
      <c r="AW3663">
        <v>1.23</v>
      </c>
      <c r="BA3663">
        <v>0</v>
      </c>
      <c r="BB3663">
        <v>0.9</v>
      </c>
      <c r="BC3663">
        <v>-0.81</v>
      </c>
      <c r="BD3663">
        <v>0.14000000000000001</v>
      </c>
      <c r="BE3663">
        <v>-0.63</v>
      </c>
      <c r="BF3663">
        <v>-1.51</v>
      </c>
      <c r="BG3663">
        <v>0.18</v>
      </c>
      <c r="BH3663">
        <v>-0.77</v>
      </c>
      <c r="BI3663">
        <v>20191023</v>
      </c>
      <c r="BJ3663">
        <v>20170922</v>
      </c>
      <c r="BK3663">
        <v>1.69</v>
      </c>
      <c r="BL3663" t="s">
        <v>116</v>
      </c>
      <c r="BM3663" t="s">
        <v>116</v>
      </c>
      <c r="BN3663">
        <v>5.58</v>
      </c>
      <c r="BO3663">
        <v>4.6900000000000004</v>
      </c>
      <c r="BP3663">
        <v>0</v>
      </c>
      <c r="BQ3663">
        <v>15.9</v>
      </c>
      <c r="BR3663">
        <v>4.0599999999999996</v>
      </c>
      <c r="BS3663">
        <v>0.83</v>
      </c>
      <c r="BT3663">
        <v>0.56999999999999995</v>
      </c>
      <c r="BU3663">
        <v>0.87</v>
      </c>
      <c r="BV3663">
        <v>0.68</v>
      </c>
      <c r="BW3663">
        <v>0.18</v>
      </c>
      <c r="BX3663">
        <v>1.68</v>
      </c>
      <c r="BY3663">
        <v>2.29</v>
      </c>
      <c r="BZ3663">
        <v>0.55000000000000004</v>
      </c>
      <c r="CA3663">
        <v>0.15</v>
      </c>
      <c r="CB3663">
        <v>0</v>
      </c>
      <c r="CC3663">
        <v>0.17</v>
      </c>
      <c r="CD3663">
        <v>0.15</v>
      </c>
      <c r="CE3663">
        <v>0.15</v>
      </c>
      <c r="CF3663">
        <v>7.0000000000000007E-2</v>
      </c>
      <c r="CG3663">
        <v>1.01</v>
      </c>
      <c r="CH3663">
        <v>-0.1</v>
      </c>
      <c r="CI3663">
        <v>-0.42</v>
      </c>
      <c r="CJ3663">
        <v>15723</v>
      </c>
      <c r="CK3663">
        <v>2848</v>
      </c>
      <c r="CL3663" t="s">
        <v>4280</v>
      </c>
      <c r="CM3663">
        <v>172.27</v>
      </c>
      <c r="CN3663">
        <v>-25.27</v>
      </c>
      <c r="CO3663">
        <v>3.99</v>
      </c>
      <c r="CP3663">
        <v>-186.2</v>
      </c>
      <c r="CQ3663">
        <v>8.15</v>
      </c>
      <c r="CR3663">
        <v>0.54</v>
      </c>
      <c r="CS3663" t="s">
        <v>2201</v>
      </c>
      <c r="CT3663">
        <v>2.77</v>
      </c>
      <c r="CU3663">
        <v>0</v>
      </c>
      <c r="CV3663">
        <v>1</v>
      </c>
      <c r="CW3663">
        <v>0.6</v>
      </c>
      <c r="CX3663">
        <v>-0.06</v>
      </c>
      <c r="CY3663">
        <v>84.1</v>
      </c>
      <c r="CZ3663" t="s">
        <v>9028</v>
      </c>
      <c r="DA3663">
        <v>76.010000000000005</v>
      </c>
      <c r="DB3663">
        <v>6.6</v>
      </c>
      <c r="DC3663">
        <v>6.42</v>
      </c>
      <c r="DD3663">
        <v>0.02</v>
      </c>
      <c r="DE3663">
        <v>335</v>
      </c>
      <c r="DF3663">
        <v>603963</v>
      </c>
      <c r="DG3663" t="s">
        <v>116</v>
      </c>
      <c r="DH3663" t="s">
        <v>116</v>
      </c>
      <c r="DI3663" t="s">
        <v>116</v>
      </c>
    </row>
    <row r="3664" spans="1:113" x14ac:dyDescent="0.4">
      <c r="A3664" t="str">
        <f>"603966"</f>
        <v>603966</v>
      </c>
      <c r="B3664" t="s">
        <v>15114</v>
      </c>
      <c r="C3664">
        <v>-2.29</v>
      </c>
      <c r="D3664">
        <v>10.24</v>
      </c>
      <c r="E3664">
        <v>-0.24</v>
      </c>
      <c r="F3664">
        <v>10.24</v>
      </c>
      <c r="G3664">
        <v>10.25</v>
      </c>
      <c r="H3664">
        <v>19027</v>
      </c>
      <c r="I3664">
        <v>316</v>
      </c>
      <c r="J3664">
        <v>-0.38</v>
      </c>
      <c r="K3664">
        <v>2.0299999999999998</v>
      </c>
      <c r="L3664">
        <v>10.43</v>
      </c>
      <c r="M3664">
        <v>10.51</v>
      </c>
      <c r="N3664">
        <v>10.23</v>
      </c>
      <c r="O3664">
        <v>10.48</v>
      </c>
      <c r="P3664">
        <v>20.9</v>
      </c>
      <c r="Q3664">
        <v>19714442</v>
      </c>
      <c r="R3664">
        <v>1.07</v>
      </c>
      <c r="S3664" t="s">
        <v>996</v>
      </c>
      <c r="T3664" t="s">
        <v>323</v>
      </c>
      <c r="U3664">
        <v>2.67</v>
      </c>
      <c r="V3664">
        <v>10.36</v>
      </c>
      <c r="W3664">
        <v>11328</v>
      </c>
      <c r="X3664">
        <v>7699</v>
      </c>
      <c r="Y3664">
        <v>1.47</v>
      </c>
      <c r="Z3664">
        <v>70</v>
      </c>
      <c r="AA3664">
        <v>20</v>
      </c>
      <c r="AB3664" t="s">
        <v>116</v>
      </c>
      <c r="AC3664">
        <v>1000</v>
      </c>
      <c r="AD3664">
        <v>0</v>
      </c>
      <c r="AE3664" t="s">
        <v>116</v>
      </c>
      <c r="AF3664" t="s">
        <v>116</v>
      </c>
      <c r="AG3664">
        <v>0.94</v>
      </c>
      <c r="AH3664" t="s">
        <v>12230</v>
      </c>
      <c r="AI3664" t="s">
        <v>12504</v>
      </c>
      <c r="AJ3664">
        <v>-2.21</v>
      </c>
      <c r="AK3664">
        <v>1091</v>
      </c>
      <c r="AL3664">
        <v>17</v>
      </c>
      <c r="AM3664">
        <v>1.9E-3</v>
      </c>
      <c r="AN3664">
        <v>-1</v>
      </c>
      <c r="AO3664">
        <v>0.1</v>
      </c>
      <c r="AP3664">
        <v>3.54</v>
      </c>
      <c r="AQ3664">
        <v>3.75</v>
      </c>
      <c r="AR3664">
        <v>19.63</v>
      </c>
      <c r="AS3664">
        <v>2.0299999999999998</v>
      </c>
      <c r="AT3664" t="s">
        <v>12230</v>
      </c>
      <c r="AU3664">
        <v>22.52</v>
      </c>
      <c r="AV3664">
        <v>32.770000000000003</v>
      </c>
      <c r="AW3664">
        <v>1.6</v>
      </c>
      <c r="BA3664">
        <v>-0.48</v>
      </c>
      <c r="BB3664">
        <v>0.28999999999999998</v>
      </c>
      <c r="BC3664">
        <v>-2.39</v>
      </c>
      <c r="BD3664">
        <v>-1.1299999999999999</v>
      </c>
      <c r="BE3664">
        <v>-1.82</v>
      </c>
      <c r="BF3664">
        <v>-2.57</v>
      </c>
      <c r="BG3664">
        <v>0.1</v>
      </c>
      <c r="BH3664">
        <v>-1.1599999999999999</v>
      </c>
      <c r="BI3664">
        <v>20191029</v>
      </c>
      <c r="BJ3664">
        <v>20170125</v>
      </c>
      <c r="BK3664">
        <v>2.11</v>
      </c>
      <c r="BL3664" t="s">
        <v>116</v>
      </c>
      <c r="BM3664" t="s">
        <v>116</v>
      </c>
      <c r="BN3664">
        <v>23.92</v>
      </c>
      <c r="BO3664">
        <v>9.6300000000000008</v>
      </c>
      <c r="BP3664">
        <v>0.25</v>
      </c>
      <c r="BQ3664">
        <v>58.7</v>
      </c>
      <c r="BR3664">
        <v>15.71</v>
      </c>
      <c r="BS3664">
        <v>2.25</v>
      </c>
      <c r="BT3664">
        <v>0.78</v>
      </c>
      <c r="BU3664">
        <v>10.77</v>
      </c>
      <c r="BV3664">
        <v>4.84</v>
      </c>
      <c r="BW3664">
        <v>2.93</v>
      </c>
      <c r="BX3664">
        <v>3.41</v>
      </c>
      <c r="BY3664">
        <v>7.85</v>
      </c>
      <c r="BZ3664">
        <v>5.78</v>
      </c>
      <c r="CA3664">
        <v>0.98</v>
      </c>
      <c r="CB3664">
        <v>0.03</v>
      </c>
      <c r="CC3664">
        <v>0.99</v>
      </c>
      <c r="CD3664">
        <v>0.78</v>
      </c>
      <c r="CE3664">
        <v>0.78</v>
      </c>
      <c r="CF3664">
        <v>0.69</v>
      </c>
      <c r="CG3664">
        <v>3.65</v>
      </c>
      <c r="CH3664">
        <v>1.43</v>
      </c>
      <c r="CI3664">
        <v>0.76</v>
      </c>
      <c r="CJ3664">
        <v>14545</v>
      </c>
      <c r="CK3664">
        <v>6455</v>
      </c>
      <c r="CL3664" t="s">
        <v>10232</v>
      </c>
      <c r="CM3664">
        <v>63.11</v>
      </c>
      <c r="CN3664">
        <v>52.64</v>
      </c>
      <c r="CO3664">
        <v>2.2400000000000002</v>
      </c>
      <c r="CP3664">
        <v>15.08</v>
      </c>
      <c r="CQ3664">
        <v>2.75</v>
      </c>
      <c r="CR3664">
        <v>0.78</v>
      </c>
      <c r="CS3664" t="s">
        <v>3143</v>
      </c>
      <c r="CT3664">
        <v>4.5599999999999996</v>
      </c>
      <c r="CU3664">
        <v>0</v>
      </c>
      <c r="CV3664">
        <v>1.62</v>
      </c>
      <c r="CW3664">
        <v>1.73</v>
      </c>
      <c r="CX3664">
        <v>0.68</v>
      </c>
      <c r="CY3664">
        <v>40.24</v>
      </c>
      <c r="CZ3664" t="s">
        <v>7786</v>
      </c>
      <c r="DA3664">
        <v>26.38</v>
      </c>
      <c r="DB3664">
        <v>12.53</v>
      </c>
      <c r="DC3664">
        <v>9.8699999999999992</v>
      </c>
      <c r="DD3664">
        <v>0.17</v>
      </c>
      <c r="DE3664">
        <v>878</v>
      </c>
      <c r="DF3664">
        <v>603966</v>
      </c>
      <c r="DG3664" t="s">
        <v>116</v>
      </c>
      <c r="DH3664" t="s">
        <v>116</v>
      </c>
      <c r="DI3664" t="s">
        <v>116</v>
      </c>
    </row>
    <row r="3665" spans="1:113" x14ac:dyDescent="0.4">
      <c r="A3665" t="str">
        <f>"603967"</f>
        <v>603967</v>
      </c>
      <c r="B3665" t="s">
        <v>15115</v>
      </c>
      <c r="C3665">
        <v>-1</v>
      </c>
      <c r="D3665">
        <v>15.89</v>
      </c>
      <c r="E3665">
        <v>-0.16</v>
      </c>
      <c r="F3665">
        <v>15.88</v>
      </c>
      <c r="G3665">
        <v>15.89</v>
      </c>
      <c r="H3665">
        <v>24282</v>
      </c>
      <c r="I3665">
        <v>395</v>
      </c>
      <c r="J3665">
        <v>-0.18</v>
      </c>
      <c r="K3665">
        <v>3.64</v>
      </c>
      <c r="L3665">
        <v>16.03</v>
      </c>
      <c r="M3665">
        <v>16.2</v>
      </c>
      <c r="N3665">
        <v>15.88</v>
      </c>
      <c r="O3665">
        <v>16.05</v>
      </c>
      <c r="P3665">
        <v>21.43</v>
      </c>
      <c r="Q3665">
        <v>39027500</v>
      </c>
      <c r="R3665">
        <v>0.95</v>
      </c>
      <c r="S3665" t="s">
        <v>3113</v>
      </c>
      <c r="T3665" t="s">
        <v>645</v>
      </c>
      <c r="U3665">
        <v>1.99</v>
      </c>
      <c r="V3665">
        <v>16.07</v>
      </c>
      <c r="W3665">
        <v>12052</v>
      </c>
      <c r="X3665">
        <v>12230</v>
      </c>
      <c r="Y3665">
        <v>0.99</v>
      </c>
      <c r="Z3665">
        <v>95</v>
      </c>
      <c r="AA3665">
        <v>149</v>
      </c>
      <c r="AB3665" t="s">
        <v>116</v>
      </c>
      <c r="AC3665">
        <v>48100</v>
      </c>
      <c r="AD3665">
        <v>0</v>
      </c>
      <c r="AE3665" t="s">
        <v>116</v>
      </c>
      <c r="AF3665" t="s">
        <v>116</v>
      </c>
      <c r="AG3665">
        <v>0.67</v>
      </c>
      <c r="AH3665" t="s">
        <v>7495</v>
      </c>
      <c r="AI3665" t="s">
        <v>15116</v>
      </c>
      <c r="AJ3665">
        <v>-0.92</v>
      </c>
      <c r="AK3665">
        <v>1656</v>
      </c>
      <c r="AL3665">
        <v>15</v>
      </c>
      <c r="AM3665">
        <v>2.2000000000000001E-3</v>
      </c>
      <c r="AN3665">
        <v>-1</v>
      </c>
      <c r="AO3665">
        <v>0.12</v>
      </c>
      <c r="AP3665">
        <v>2.65</v>
      </c>
      <c r="AQ3665">
        <v>-6.03</v>
      </c>
      <c r="AR3665">
        <v>6.32</v>
      </c>
      <c r="AS3665">
        <v>3.64</v>
      </c>
      <c r="AT3665" t="s">
        <v>7495</v>
      </c>
      <c r="AU3665">
        <v>21.66</v>
      </c>
      <c r="AV3665">
        <v>22.22</v>
      </c>
      <c r="AW3665">
        <v>1.33</v>
      </c>
      <c r="BA3665">
        <v>-0.12</v>
      </c>
      <c r="BB3665">
        <v>0.93</v>
      </c>
      <c r="BC3665">
        <v>-1.06</v>
      </c>
      <c r="BD3665">
        <v>0.14000000000000001</v>
      </c>
      <c r="BE3665">
        <v>-0.87</v>
      </c>
      <c r="BF3665">
        <v>-1.91</v>
      </c>
      <c r="BG3665">
        <v>0.06</v>
      </c>
      <c r="BH3665">
        <v>-1.1399999999999999</v>
      </c>
      <c r="BI3665">
        <v>20191029</v>
      </c>
      <c r="BJ3665">
        <v>20190429</v>
      </c>
      <c r="BK3665">
        <v>2.67</v>
      </c>
      <c r="BL3665" t="s">
        <v>116</v>
      </c>
      <c r="BM3665" t="s">
        <v>116</v>
      </c>
      <c r="BN3665">
        <v>24.77</v>
      </c>
      <c r="BO3665">
        <v>18.52</v>
      </c>
      <c r="BP3665">
        <v>0.44</v>
      </c>
      <c r="BQ3665">
        <v>23.45</v>
      </c>
      <c r="BR3665">
        <v>17.47</v>
      </c>
      <c r="BS3665">
        <v>2.39</v>
      </c>
      <c r="BT3665">
        <v>2.09</v>
      </c>
      <c r="BU3665">
        <v>5.71</v>
      </c>
      <c r="BV3665">
        <v>0.09</v>
      </c>
      <c r="BW3665">
        <v>6.1</v>
      </c>
      <c r="BX3665">
        <v>8.9600000000000009</v>
      </c>
      <c r="BY3665">
        <v>33.299999999999997</v>
      </c>
      <c r="BZ3665">
        <v>30.77</v>
      </c>
      <c r="CA3665">
        <v>1.93</v>
      </c>
      <c r="CB3665">
        <v>0.22</v>
      </c>
      <c r="CC3665">
        <v>2.12</v>
      </c>
      <c r="CD3665">
        <v>1.69</v>
      </c>
      <c r="CE3665">
        <v>1.48</v>
      </c>
      <c r="CF3665">
        <v>1.25</v>
      </c>
      <c r="CG3665">
        <v>5.89</v>
      </c>
      <c r="CH3665">
        <v>1</v>
      </c>
      <c r="CI3665">
        <v>0.59</v>
      </c>
      <c r="CJ3665">
        <v>29575</v>
      </c>
      <c r="CK3665">
        <v>2254</v>
      </c>
      <c r="CL3665" t="s">
        <v>10448</v>
      </c>
      <c r="CM3665">
        <v>0</v>
      </c>
      <c r="CN3665">
        <v>0</v>
      </c>
      <c r="CO3665">
        <v>2.29</v>
      </c>
      <c r="CP3665">
        <v>42.54</v>
      </c>
      <c r="CQ3665">
        <v>1.27</v>
      </c>
      <c r="CR3665">
        <v>2.36</v>
      </c>
      <c r="CS3665" t="s">
        <v>9624</v>
      </c>
      <c r="CT3665">
        <v>6.95</v>
      </c>
      <c r="CU3665">
        <v>0</v>
      </c>
      <c r="CV3665">
        <v>3.36</v>
      </c>
      <c r="CW3665">
        <v>2.21</v>
      </c>
      <c r="CX3665">
        <v>0.37</v>
      </c>
      <c r="CY3665">
        <v>74.78</v>
      </c>
      <c r="CZ3665" t="s">
        <v>6912</v>
      </c>
      <c r="DA3665">
        <v>7.6</v>
      </c>
      <c r="DB3665">
        <v>5.79</v>
      </c>
      <c r="DC3665">
        <v>4.45</v>
      </c>
      <c r="DD3665">
        <v>0.02</v>
      </c>
      <c r="DE3665">
        <v>1386</v>
      </c>
      <c r="DF3665">
        <v>603967</v>
      </c>
      <c r="DG3665" t="s">
        <v>116</v>
      </c>
      <c r="DH3665" t="s">
        <v>116</v>
      </c>
      <c r="DI3665" t="s">
        <v>116</v>
      </c>
    </row>
    <row r="3666" spans="1:113" x14ac:dyDescent="0.4">
      <c r="A3666" t="str">
        <f>"603968"</f>
        <v>603968</v>
      </c>
      <c r="B3666" t="s">
        <v>15117</v>
      </c>
      <c r="C3666">
        <v>-1.22</v>
      </c>
      <c r="D3666">
        <v>14.62</v>
      </c>
      <c r="E3666">
        <v>-0.18</v>
      </c>
      <c r="F3666">
        <v>14.62</v>
      </c>
      <c r="G3666">
        <v>14.65</v>
      </c>
      <c r="H3666">
        <v>10218</v>
      </c>
      <c r="I3666">
        <v>71</v>
      </c>
      <c r="J3666">
        <v>-0.13</v>
      </c>
      <c r="K3666">
        <v>0.5</v>
      </c>
      <c r="L3666">
        <v>14.77</v>
      </c>
      <c r="M3666">
        <v>14.86</v>
      </c>
      <c r="N3666">
        <v>14.6</v>
      </c>
      <c r="O3666">
        <v>14.8</v>
      </c>
      <c r="P3666">
        <v>14.42</v>
      </c>
      <c r="Q3666">
        <v>15073617</v>
      </c>
      <c r="R3666">
        <v>1.33</v>
      </c>
      <c r="S3666" t="s">
        <v>891</v>
      </c>
      <c r="T3666" t="s">
        <v>323</v>
      </c>
      <c r="U3666">
        <v>1.76</v>
      </c>
      <c r="V3666">
        <v>14.75</v>
      </c>
      <c r="W3666">
        <v>5413</v>
      </c>
      <c r="X3666">
        <v>4805</v>
      </c>
      <c r="Y3666">
        <v>1.1299999999999999</v>
      </c>
      <c r="Z3666">
        <v>613</v>
      </c>
      <c r="AA3666">
        <v>37</v>
      </c>
      <c r="AB3666" t="s">
        <v>116</v>
      </c>
      <c r="AC3666">
        <v>65000</v>
      </c>
      <c r="AD3666">
        <v>0</v>
      </c>
      <c r="AE3666" t="s">
        <v>116</v>
      </c>
      <c r="AF3666" t="s">
        <v>116</v>
      </c>
      <c r="AG3666">
        <v>2.04</v>
      </c>
      <c r="AH3666" t="s">
        <v>8991</v>
      </c>
      <c r="AI3666" t="s">
        <v>8991</v>
      </c>
      <c r="AJ3666">
        <v>-1.1399999999999999</v>
      </c>
      <c r="AK3666">
        <v>809</v>
      </c>
      <c r="AL3666">
        <v>13</v>
      </c>
      <c r="AM3666">
        <v>5.9999999999999995E-4</v>
      </c>
      <c r="AN3666">
        <v>-1</v>
      </c>
      <c r="AO3666">
        <v>0.61</v>
      </c>
      <c r="AP3666">
        <v>5.33</v>
      </c>
      <c r="AQ3666">
        <v>-11.66</v>
      </c>
      <c r="AR3666">
        <v>20.43</v>
      </c>
      <c r="AS3666">
        <v>1.05</v>
      </c>
      <c r="AT3666" t="s">
        <v>12863</v>
      </c>
      <c r="AU3666">
        <v>14.47</v>
      </c>
      <c r="AV3666">
        <v>14.88</v>
      </c>
      <c r="AW3666">
        <v>1.04</v>
      </c>
      <c r="BA3666">
        <v>-0.2</v>
      </c>
      <c r="BB3666">
        <v>0.41</v>
      </c>
      <c r="BC3666">
        <v>-1.35</v>
      </c>
      <c r="BD3666">
        <v>-0.33</v>
      </c>
      <c r="BE3666">
        <v>-1.02</v>
      </c>
      <c r="BF3666">
        <v>-1.62</v>
      </c>
      <c r="BG3666">
        <v>0.14000000000000001</v>
      </c>
      <c r="BH3666">
        <v>-0.89</v>
      </c>
      <c r="BI3666">
        <v>20191031</v>
      </c>
      <c r="BJ3666">
        <v>20150518</v>
      </c>
      <c r="BK3666">
        <v>2.04</v>
      </c>
      <c r="BL3666" t="s">
        <v>116</v>
      </c>
      <c r="BM3666" t="s">
        <v>116</v>
      </c>
      <c r="BN3666">
        <v>20.440000000000001</v>
      </c>
      <c r="BO3666">
        <v>15.04</v>
      </c>
      <c r="BP3666">
        <v>0</v>
      </c>
      <c r="BQ3666">
        <v>26.41</v>
      </c>
      <c r="BR3666">
        <v>13.4</v>
      </c>
      <c r="BS3666">
        <v>4.8899999999999997</v>
      </c>
      <c r="BT3666">
        <v>0.97</v>
      </c>
      <c r="BU3666">
        <v>4.57</v>
      </c>
      <c r="BV3666">
        <v>1.44</v>
      </c>
      <c r="BW3666">
        <v>2.8</v>
      </c>
      <c r="BX3666">
        <v>3.97</v>
      </c>
      <c r="BY3666">
        <v>16.25</v>
      </c>
      <c r="BZ3666">
        <v>12.99</v>
      </c>
      <c r="CA3666">
        <v>1.86</v>
      </c>
      <c r="CB3666">
        <v>7.0000000000000007E-2</v>
      </c>
      <c r="CC3666">
        <v>1.84</v>
      </c>
      <c r="CD3666">
        <v>1.55</v>
      </c>
      <c r="CE3666">
        <v>1.55</v>
      </c>
      <c r="CF3666">
        <v>1.47</v>
      </c>
      <c r="CG3666">
        <v>7.49</v>
      </c>
      <c r="CH3666">
        <v>1.44</v>
      </c>
      <c r="CI3666">
        <v>-1.24</v>
      </c>
      <c r="CJ3666">
        <v>12366</v>
      </c>
      <c r="CK3666">
        <v>7891</v>
      </c>
      <c r="CL3666" t="s">
        <v>3013</v>
      </c>
      <c r="CM3666">
        <v>3.81</v>
      </c>
      <c r="CN3666">
        <v>8.3800000000000008</v>
      </c>
      <c r="CO3666">
        <v>1.99</v>
      </c>
      <c r="CP3666">
        <v>20.71</v>
      </c>
      <c r="CQ3666">
        <v>1.84</v>
      </c>
      <c r="CR3666">
        <v>3.42</v>
      </c>
      <c r="CS3666" t="s">
        <v>10012</v>
      </c>
      <c r="CT3666">
        <v>7.36</v>
      </c>
      <c r="CU3666">
        <v>0</v>
      </c>
      <c r="CV3666">
        <v>1.94</v>
      </c>
      <c r="CW3666">
        <v>3.66</v>
      </c>
      <c r="CX3666">
        <v>0.71</v>
      </c>
      <c r="CY3666">
        <v>73.59</v>
      </c>
      <c r="CZ3666" t="s">
        <v>9563</v>
      </c>
      <c r="DA3666">
        <v>20.03</v>
      </c>
      <c r="DB3666">
        <v>11.42</v>
      </c>
      <c r="DC3666">
        <v>9.57</v>
      </c>
      <c r="DD3666">
        <v>0.35</v>
      </c>
      <c r="DE3666">
        <v>700</v>
      </c>
      <c r="DF3666">
        <v>603968</v>
      </c>
      <c r="DG3666" t="s">
        <v>116</v>
      </c>
      <c r="DH3666" t="s">
        <v>116</v>
      </c>
      <c r="DI3666" t="s">
        <v>116</v>
      </c>
    </row>
    <row r="3667" spans="1:113" x14ac:dyDescent="0.4">
      <c r="A3667" t="str">
        <f>"603969"</f>
        <v>603969</v>
      </c>
      <c r="B3667" t="s">
        <v>15118</v>
      </c>
      <c r="C3667">
        <v>-0.95</v>
      </c>
      <c r="D3667">
        <v>4.17</v>
      </c>
      <c r="E3667">
        <v>-0.04</v>
      </c>
      <c r="F3667">
        <v>4.17</v>
      </c>
      <c r="G3667">
        <v>4.18</v>
      </c>
      <c r="H3667">
        <v>53109</v>
      </c>
      <c r="I3667">
        <v>244</v>
      </c>
      <c r="J3667">
        <v>0</v>
      </c>
      <c r="K3667">
        <v>0.63</v>
      </c>
      <c r="L3667">
        <v>4.21</v>
      </c>
      <c r="M3667">
        <v>4.24</v>
      </c>
      <c r="N3667">
        <v>4.16</v>
      </c>
      <c r="O3667">
        <v>4.21</v>
      </c>
      <c r="P3667">
        <v>20.47</v>
      </c>
      <c r="Q3667">
        <v>22316912</v>
      </c>
      <c r="R3667">
        <v>0.79</v>
      </c>
      <c r="S3667" t="s">
        <v>249</v>
      </c>
      <c r="T3667" t="s">
        <v>1035</v>
      </c>
      <c r="U3667">
        <v>1.9</v>
      </c>
      <c r="V3667">
        <v>4.2</v>
      </c>
      <c r="W3667">
        <v>30690</v>
      </c>
      <c r="X3667">
        <v>22419</v>
      </c>
      <c r="Y3667">
        <v>1.37</v>
      </c>
      <c r="Z3667">
        <v>733</v>
      </c>
      <c r="AA3667">
        <v>671</v>
      </c>
      <c r="AB3667" t="s">
        <v>116</v>
      </c>
      <c r="AC3667">
        <v>82900</v>
      </c>
      <c r="AD3667">
        <v>0.01</v>
      </c>
      <c r="AE3667" t="s">
        <v>116</v>
      </c>
      <c r="AF3667" t="s">
        <v>116</v>
      </c>
      <c r="AG3667">
        <v>8.41</v>
      </c>
      <c r="AH3667" t="s">
        <v>15119</v>
      </c>
      <c r="AI3667" t="s">
        <v>15119</v>
      </c>
      <c r="AJ3667">
        <v>-0.87</v>
      </c>
      <c r="AK3667">
        <v>911</v>
      </c>
      <c r="AL3667">
        <v>58</v>
      </c>
      <c r="AM3667">
        <v>6.9999999999999999E-4</v>
      </c>
      <c r="AN3667">
        <v>-1</v>
      </c>
      <c r="AO3667">
        <v>-0.24</v>
      </c>
      <c r="AP3667">
        <v>0.24</v>
      </c>
      <c r="AQ3667">
        <v>1.71</v>
      </c>
      <c r="AR3667">
        <v>-8.5500000000000007</v>
      </c>
      <c r="AS3667">
        <v>1.53</v>
      </c>
      <c r="AT3667" t="s">
        <v>11987</v>
      </c>
      <c r="AU3667">
        <v>18.78</v>
      </c>
      <c r="AV3667">
        <v>23.31</v>
      </c>
      <c r="AW3667">
        <v>1.1299999999999999</v>
      </c>
      <c r="BA3667">
        <v>0</v>
      </c>
      <c r="BB3667">
        <v>0.71</v>
      </c>
      <c r="BC3667">
        <v>-1.19</v>
      </c>
      <c r="BD3667">
        <v>-0.19</v>
      </c>
      <c r="BE3667">
        <v>-0.95</v>
      </c>
      <c r="BF3667">
        <v>-1.65</v>
      </c>
      <c r="BG3667">
        <v>0.24</v>
      </c>
      <c r="BH3667">
        <v>-0.76</v>
      </c>
      <c r="BI3667">
        <v>20191030</v>
      </c>
      <c r="BJ3667">
        <v>20150227</v>
      </c>
      <c r="BK3667">
        <v>8.41</v>
      </c>
      <c r="BL3667" t="s">
        <v>116</v>
      </c>
      <c r="BM3667" t="s">
        <v>116</v>
      </c>
      <c r="BN3667">
        <v>28.58</v>
      </c>
      <c r="BO3667">
        <v>17.79</v>
      </c>
      <c r="BP3667">
        <v>0.18</v>
      </c>
      <c r="BQ3667">
        <v>37.11</v>
      </c>
      <c r="BR3667">
        <v>21.81</v>
      </c>
      <c r="BS3667">
        <v>3.73</v>
      </c>
      <c r="BT3667">
        <v>1.01</v>
      </c>
      <c r="BU3667">
        <v>10.27</v>
      </c>
      <c r="BV3667">
        <v>3.1</v>
      </c>
      <c r="BW3667">
        <v>11.29</v>
      </c>
      <c r="BX3667">
        <v>2.31</v>
      </c>
      <c r="BY3667">
        <v>19.47</v>
      </c>
      <c r="BZ3667">
        <v>16.079999999999998</v>
      </c>
      <c r="CA3667">
        <v>1.63</v>
      </c>
      <c r="CB3667">
        <v>0.06</v>
      </c>
      <c r="CC3667">
        <v>1.63</v>
      </c>
      <c r="CD3667">
        <v>1.34</v>
      </c>
      <c r="CE3667">
        <v>1.29</v>
      </c>
      <c r="CF3667">
        <v>1.24</v>
      </c>
      <c r="CG3667">
        <v>5.95</v>
      </c>
      <c r="CH3667">
        <v>-0.96</v>
      </c>
      <c r="CI3667">
        <v>-0.86</v>
      </c>
      <c r="CJ3667">
        <v>41307</v>
      </c>
      <c r="CK3667">
        <v>8412</v>
      </c>
      <c r="CL3667" t="s">
        <v>764</v>
      </c>
      <c r="CM3667">
        <v>39.33</v>
      </c>
      <c r="CN3667">
        <v>19.440000000000001</v>
      </c>
      <c r="CO3667">
        <v>1.97</v>
      </c>
      <c r="CP3667">
        <v>-36.619999999999997</v>
      </c>
      <c r="CQ3667">
        <v>1.8</v>
      </c>
      <c r="CR3667">
        <v>2.4</v>
      </c>
      <c r="CS3667" t="s">
        <v>2716</v>
      </c>
      <c r="CT3667">
        <v>2.12</v>
      </c>
      <c r="CU3667">
        <v>0</v>
      </c>
      <c r="CV3667">
        <v>0.27</v>
      </c>
      <c r="CW3667">
        <v>0.71</v>
      </c>
      <c r="CX3667">
        <v>-0.11</v>
      </c>
      <c r="CY3667">
        <v>62.25</v>
      </c>
      <c r="CZ3667" t="s">
        <v>6179</v>
      </c>
      <c r="DA3667">
        <v>17.43</v>
      </c>
      <c r="DB3667">
        <v>8.35</v>
      </c>
      <c r="DC3667">
        <v>6.6</v>
      </c>
      <c r="DD3667">
        <v>0.5</v>
      </c>
      <c r="DE3667">
        <v>1144</v>
      </c>
      <c r="DF3667">
        <v>603969</v>
      </c>
      <c r="DG3667" t="s">
        <v>116</v>
      </c>
      <c r="DH3667" t="s">
        <v>116</v>
      </c>
      <c r="DI3667" t="s">
        <v>116</v>
      </c>
    </row>
    <row r="3668" spans="1:113" x14ac:dyDescent="0.4">
      <c r="A3668" t="str">
        <f>"603970"</f>
        <v>603970</v>
      </c>
      <c r="B3668" t="s">
        <v>15120</v>
      </c>
      <c r="C3668">
        <v>0.88</v>
      </c>
      <c r="D3668">
        <v>12.59</v>
      </c>
      <c r="E3668">
        <v>0.11</v>
      </c>
      <c r="F3668">
        <v>12.59</v>
      </c>
      <c r="G3668">
        <v>12.62</v>
      </c>
      <c r="H3668">
        <v>26060</v>
      </c>
      <c r="I3668">
        <v>539</v>
      </c>
      <c r="J3668">
        <v>-0.23</v>
      </c>
      <c r="K3668">
        <v>2.73</v>
      </c>
      <c r="L3668">
        <v>12.5</v>
      </c>
      <c r="M3668">
        <v>12.98</v>
      </c>
      <c r="N3668">
        <v>12.42</v>
      </c>
      <c r="O3668">
        <v>12.48</v>
      </c>
      <c r="P3668">
        <v>18.84</v>
      </c>
      <c r="Q3668">
        <v>33016664</v>
      </c>
      <c r="R3668">
        <v>2.5299999999999998</v>
      </c>
      <c r="S3668" t="s">
        <v>225</v>
      </c>
      <c r="T3668" t="s">
        <v>165</v>
      </c>
      <c r="U3668">
        <v>4.49</v>
      </c>
      <c r="V3668">
        <v>12.67</v>
      </c>
      <c r="W3668">
        <v>12652</v>
      </c>
      <c r="X3668">
        <v>13408</v>
      </c>
      <c r="Y3668">
        <v>0.94</v>
      </c>
      <c r="Z3668">
        <v>25</v>
      </c>
      <c r="AA3668">
        <v>2</v>
      </c>
      <c r="AB3668" t="s">
        <v>116</v>
      </c>
      <c r="AC3668">
        <v>8800</v>
      </c>
      <c r="AD3668">
        <v>0</v>
      </c>
      <c r="AE3668" t="s">
        <v>116</v>
      </c>
      <c r="AF3668" t="s">
        <v>116</v>
      </c>
      <c r="AG3668">
        <v>0.96</v>
      </c>
      <c r="AH3668" t="s">
        <v>9765</v>
      </c>
      <c r="AI3668" t="s">
        <v>15121</v>
      </c>
      <c r="AJ3668">
        <v>0.96</v>
      </c>
      <c r="AK3668">
        <v>1220</v>
      </c>
      <c r="AL3668">
        <v>21</v>
      </c>
      <c r="AM3668">
        <v>2.2000000000000001E-3</v>
      </c>
      <c r="AN3668">
        <v>2</v>
      </c>
      <c r="AO3668">
        <v>0.47</v>
      </c>
      <c r="AP3668">
        <v>4.3099999999999996</v>
      </c>
      <c r="AQ3668">
        <v>-0.71</v>
      </c>
      <c r="AR3668">
        <v>-0.67</v>
      </c>
      <c r="AS3668">
        <v>4.0599999999999996</v>
      </c>
      <c r="AT3668" t="s">
        <v>11262</v>
      </c>
      <c r="AU3668">
        <v>19.98</v>
      </c>
      <c r="AV3668">
        <v>20.94</v>
      </c>
      <c r="AW3668">
        <v>1.31</v>
      </c>
      <c r="BA3668">
        <v>0.16</v>
      </c>
      <c r="BB3668">
        <v>4.01</v>
      </c>
      <c r="BC3668">
        <v>-0.48</v>
      </c>
      <c r="BD3668">
        <v>1.52</v>
      </c>
      <c r="BE3668">
        <v>0.72</v>
      </c>
      <c r="BF3668">
        <v>-3</v>
      </c>
      <c r="BG3668">
        <v>1.37</v>
      </c>
      <c r="BH3668">
        <v>-0.64</v>
      </c>
      <c r="BI3668">
        <v>20191022</v>
      </c>
      <c r="BJ3668">
        <v>20171116</v>
      </c>
      <c r="BK3668">
        <v>1.92</v>
      </c>
      <c r="BL3668" t="s">
        <v>116</v>
      </c>
      <c r="BM3668" t="s">
        <v>116</v>
      </c>
      <c r="BN3668">
        <v>33.99</v>
      </c>
      <c r="BO3668">
        <v>9.33</v>
      </c>
      <c r="BP3668">
        <v>0.98</v>
      </c>
      <c r="BQ3668">
        <v>69.650000000000006</v>
      </c>
      <c r="BR3668">
        <v>32.08</v>
      </c>
      <c r="BS3668">
        <v>0.32</v>
      </c>
      <c r="BT3668">
        <v>1.25</v>
      </c>
      <c r="BU3668">
        <v>23.47</v>
      </c>
      <c r="BV3668">
        <v>13.27</v>
      </c>
      <c r="BW3668">
        <v>5.22</v>
      </c>
      <c r="BX3668">
        <v>3.13</v>
      </c>
      <c r="BY3668">
        <v>34.06</v>
      </c>
      <c r="BZ3668">
        <v>30.47</v>
      </c>
      <c r="CA3668">
        <v>1.38</v>
      </c>
      <c r="CB3668">
        <v>0.09</v>
      </c>
      <c r="CC3668">
        <v>1.45</v>
      </c>
      <c r="CD3668">
        <v>1.08</v>
      </c>
      <c r="CE3668">
        <v>0.96</v>
      </c>
      <c r="CF3668">
        <v>0.87</v>
      </c>
      <c r="CG3668">
        <v>3.55</v>
      </c>
      <c r="CH3668">
        <v>-5.04</v>
      </c>
      <c r="CI3668">
        <v>-0.42</v>
      </c>
      <c r="CJ3668">
        <v>11768</v>
      </c>
      <c r="CK3668">
        <v>5449</v>
      </c>
      <c r="CL3668" t="s">
        <v>7975</v>
      </c>
      <c r="CM3668">
        <v>6.08</v>
      </c>
      <c r="CN3668">
        <v>15.64</v>
      </c>
      <c r="CO3668">
        <v>2.59</v>
      </c>
      <c r="CP3668">
        <v>-4.79</v>
      </c>
      <c r="CQ3668">
        <v>0.71</v>
      </c>
      <c r="CR3668">
        <v>1.65</v>
      </c>
      <c r="CS3668" t="s">
        <v>972</v>
      </c>
      <c r="CT3668">
        <v>4.8600000000000003</v>
      </c>
      <c r="CU3668">
        <v>0</v>
      </c>
      <c r="CV3668">
        <v>1.63</v>
      </c>
      <c r="CW3668">
        <v>1.85</v>
      </c>
      <c r="CX3668">
        <v>-2.63</v>
      </c>
      <c r="CY3668">
        <v>27.46</v>
      </c>
      <c r="CZ3668" t="s">
        <v>14290</v>
      </c>
      <c r="DA3668">
        <v>10.53</v>
      </c>
      <c r="DB3668">
        <v>4.04</v>
      </c>
      <c r="DC3668">
        <v>2.83</v>
      </c>
      <c r="DD3668">
        <v>0.11</v>
      </c>
      <c r="DE3668">
        <v>825</v>
      </c>
      <c r="DF3668">
        <v>603970</v>
      </c>
      <c r="DG3668" t="s">
        <v>116</v>
      </c>
      <c r="DH3668" t="s">
        <v>116</v>
      </c>
      <c r="DI3668" t="s">
        <v>116</v>
      </c>
    </row>
    <row r="3669" spans="1:113" x14ac:dyDescent="0.4">
      <c r="A3669" t="str">
        <f>"603976"</f>
        <v>603976</v>
      </c>
      <c r="B3669" t="s">
        <v>15122</v>
      </c>
      <c r="C3669">
        <v>-2.4500000000000002</v>
      </c>
      <c r="D3669">
        <v>17.91</v>
      </c>
      <c r="E3669">
        <v>-0.45</v>
      </c>
      <c r="F3669">
        <v>17.91</v>
      </c>
      <c r="G3669">
        <v>17.920000000000002</v>
      </c>
      <c r="H3669">
        <v>59508</v>
      </c>
      <c r="I3669">
        <v>907</v>
      </c>
      <c r="J3669">
        <v>-0.16</v>
      </c>
      <c r="K3669">
        <v>15.54</v>
      </c>
      <c r="L3669">
        <v>18.440000000000001</v>
      </c>
      <c r="M3669">
        <v>18.649999999999999</v>
      </c>
      <c r="N3669">
        <v>17.850000000000001</v>
      </c>
      <c r="O3669">
        <v>18.36</v>
      </c>
      <c r="P3669">
        <v>43.15</v>
      </c>
      <c r="Q3669">
        <v>108244864</v>
      </c>
      <c r="R3669">
        <v>0.67</v>
      </c>
      <c r="S3669" t="s">
        <v>559</v>
      </c>
      <c r="T3669" t="s">
        <v>906</v>
      </c>
      <c r="U3669">
        <v>4.3600000000000003</v>
      </c>
      <c r="V3669">
        <v>18.190000000000001</v>
      </c>
      <c r="W3669">
        <v>36487</v>
      </c>
      <c r="X3669">
        <v>23021</v>
      </c>
      <c r="Y3669">
        <v>1.58</v>
      </c>
      <c r="Z3669">
        <v>176</v>
      </c>
      <c r="AA3669">
        <v>173</v>
      </c>
      <c r="AB3669" t="s">
        <v>116</v>
      </c>
      <c r="AC3669">
        <v>695200</v>
      </c>
      <c r="AD3669">
        <v>0.1</v>
      </c>
      <c r="AE3669" t="s">
        <v>116</v>
      </c>
      <c r="AF3669" t="s">
        <v>116</v>
      </c>
      <c r="AG3669">
        <v>0.38</v>
      </c>
      <c r="AH3669" t="s">
        <v>15123</v>
      </c>
      <c r="AI3669" t="s">
        <v>546</v>
      </c>
      <c r="AJ3669">
        <v>-2.37</v>
      </c>
      <c r="AK3669">
        <v>2542</v>
      </c>
      <c r="AL3669">
        <v>23</v>
      </c>
      <c r="AM3669">
        <v>6.1000000000000004E-3</v>
      </c>
      <c r="AN3669">
        <v>-2</v>
      </c>
      <c r="AO3669">
        <v>-4.78</v>
      </c>
      <c r="AP3669">
        <v>-26.42</v>
      </c>
      <c r="AQ3669">
        <v>-6.72</v>
      </c>
      <c r="AR3669">
        <v>10.42</v>
      </c>
      <c r="AS3669">
        <v>15.54</v>
      </c>
      <c r="AT3669" t="s">
        <v>15123</v>
      </c>
      <c r="AU3669">
        <v>42.73</v>
      </c>
      <c r="AV3669">
        <v>32.72</v>
      </c>
      <c r="AW3669">
        <v>0</v>
      </c>
      <c r="BA3669">
        <v>0.44</v>
      </c>
      <c r="BB3669">
        <v>1.58</v>
      </c>
      <c r="BC3669">
        <v>-2.78</v>
      </c>
      <c r="BD3669">
        <v>-0.93</v>
      </c>
      <c r="BE3669">
        <v>-2.87</v>
      </c>
      <c r="BF3669">
        <v>-3.97</v>
      </c>
      <c r="BG3669">
        <v>0.34</v>
      </c>
      <c r="BH3669">
        <v>-1.53</v>
      </c>
      <c r="BI3669">
        <v>20191223</v>
      </c>
      <c r="BJ3669">
        <v>20170822</v>
      </c>
      <c r="BK3669">
        <v>1.51</v>
      </c>
      <c r="BL3669" t="s">
        <v>116</v>
      </c>
      <c r="BM3669" t="s">
        <v>116</v>
      </c>
      <c r="BN3669">
        <v>12.15</v>
      </c>
      <c r="BO3669">
        <v>10.220000000000001</v>
      </c>
      <c r="BP3669">
        <v>0</v>
      </c>
      <c r="BQ3669">
        <v>15.9</v>
      </c>
      <c r="BR3669">
        <v>7.91</v>
      </c>
      <c r="BS3669">
        <v>3.13</v>
      </c>
      <c r="BT3669">
        <v>0.43</v>
      </c>
      <c r="BU3669">
        <v>1.88</v>
      </c>
      <c r="BV3669">
        <v>1.5</v>
      </c>
      <c r="BW3669">
        <v>1.1599999999999999</v>
      </c>
      <c r="BX3669">
        <v>5.56</v>
      </c>
      <c r="BY3669">
        <v>3.86</v>
      </c>
      <c r="BZ3669">
        <v>2.74</v>
      </c>
      <c r="CA3669">
        <v>0.56000000000000005</v>
      </c>
      <c r="CB3669">
        <v>0</v>
      </c>
      <c r="CC3669">
        <v>0.56000000000000005</v>
      </c>
      <c r="CD3669">
        <v>0.47</v>
      </c>
      <c r="CE3669">
        <v>0.47</v>
      </c>
      <c r="CF3669">
        <v>0.45</v>
      </c>
      <c r="CG3669">
        <v>2.77</v>
      </c>
      <c r="CH3669">
        <v>0.11</v>
      </c>
      <c r="CI3669">
        <v>-1.0900000000000001</v>
      </c>
      <c r="CJ3669">
        <v>18693</v>
      </c>
      <c r="CK3669">
        <v>2049</v>
      </c>
      <c r="CL3669" t="s">
        <v>2825</v>
      </c>
      <c r="CM3669">
        <v>-29.18</v>
      </c>
      <c r="CN3669">
        <v>-15.1</v>
      </c>
      <c r="CO3669">
        <v>2.65</v>
      </c>
      <c r="CP3669">
        <v>242.43</v>
      </c>
      <c r="CQ3669">
        <v>7.01</v>
      </c>
      <c r="CR3669">
        <v>0.45</v>
      </c>
      <c r="CS3669" t="s">
        <v>13707</v>
      </c>
      <c r="CT3669">
        <v>6.76</v>
      </c>
      <c r="CU3669">
        <v>0</v>
      </c>
      <c r="CV3669">
        <v>3.67</v>
      </c>
      <c r="CW3669">
        <v>1.83</v>
      </c>
      <c r="CX3669">
        <v>7.0000000000000007E-2</v>
      </c>
      <c r="CY3669">
        <v>84.1</v>
      </c>
      <c r="CZ3669" t="s">
        <v>4384</v>
      </c>
      <c r="DA3669">
        <v>29.08</v>
      </c>
      <c r="DB3669">
        <v>14.56</v>
      </c>
      <c r="DC3669">
        <v>12.19</v>
      </c>
      <c r="DD3669">
        <v>0.13</v>
      </c>
      <c r="DE3669">
        <v>1856</v>
      </c>
      <c r="DF3669">
        <v>603976</v>
      </c>
      <c r="DG3669" t="s">
        <v>116</v>
      </c>
      <c r="DH3669" t="s">
        <v>116</v>
      </c>
      <c r="DI3669" t="s">
        <v>116</v>
      </c>
    </row>
    <row r="3670" spans="1:113" x14ac:dyDescent="0.4">
      <c r="A3670" t="str">
        <f>"603977"</f>
        <v>603977</v>
      </c>
      <c r="B3670" t="s">
        <v>15124</v>
      </c>
      <c r="C3670">
        <v>-0.12</v>
      </c>
      <c r="D3670">
        <v>8.18</v>
      </c>
      <c r="E3670">
        <v>-0.01</v>
      </c>
      <c r="F3670">
        <v>8.17</v>
      </c>
      <c r="G3670">
        <v>8.18</v>
      </c>
      <c r="H3670">
        <v>15783</v>
      </c>
      <c r="I3670">
        <v>60</v>
      </c>
      <c r="J3670">
        <v>0</v>
      </c>
      <c r="K3670">
        <v>0.51</v>
      </c>
      <c r="L3670">
        <v>8.19</v>
      </c>
      <c r="M3670">
        <v>8.27</v>
      </c>
      <c r="N3670">
        <v>8.1300000000000008</v>
      </c>
      <c r="O3670">
        <v>8.19</v>
      </c>
      <c r="P3670">
        <v>20.87</v>
      </c>
      <c r="Q3670">
        <v>12949106</v>
      </c>
      <c r="R3670">
        <v>0.9</v>
      </c>
      <c r="S3670" t="s">
        <v>891</v>
      </c>
      <c r="T3670" t="s">
        <v>683</v>
      </c>
      <c r="U3670">
        <v>1.71</v>
      </c>
      <c r="V3670">
        <v>8.1999999999999993</v>
      </c>
      <c r="W3670">
        <v>7179</v>
      </c>
      <c r="X3670">
        <v>8604</v>
      </c>
      <c r="Y3670">
        <v>0.83</v>
      </c>
      <c r="Z3670">
        <v>15</v>
      </c>
      <c r="AA3670">
        <v>45</v>
      </c>
      <c r="AB3670" t="s">
        <v>116</v>
      </c>
      <c r="AC3670">
        <v>4100</v>
      </c>
      <c r="AD3670">
        <v>0</v>
      </c>
      <c r="AE3670" t="s">
        <v>116</v>
      </c>
      <c r="AF3670" t="s">
        <v>116</v>
      </c>
      <c r="AG3670">
        <v>3.1</v>
      </c>
      <c r="AH3670" t="s">
        <v>340</v>
      </c>
      <c r="AI3670" t="s">
        <v>3534</v>
      </c>
      <c r="AJ3670">
        <v>-0.05</v>
      </c>
      <c r="AK3670">
        <v>740</v>
      </c>
      <c r="AL3670">
        <v>21</v>
      </c>
      <c r="AM3670">
        <v>6.9999999999999999E-4</v>
      </c>
      <c r="AN3670">
        <v>-1</v>
      </c>
      <c r="AO3670">
        <v>0</v>
      </c>
      <c r="AP3670">
        <v>6.23</v>
      </c>
      <c r="AQ3670">
        <v>-2.62</v>
      </c>
      <c r="AR3670">
        <v>20.12</v>
      </c>
      <c r="AS3670">
        <v>1.41</v>
      </c>
      <c r="AT3670" t="s">
        <v>9550</v>
      </c>
      <c r="AU3670">
        <v>24.12</v>
      </c>
      <c r="AV3670">
        <v>45.5</v>
      </c>
      <c r="AW3670">
        <v>0.74</v>
      </c>
      <c r="BA3670">
        <v>0</v>
      </c>
      <c r="BB3670">
        <v>0.98</v>
      </c>
      <c r="BC3670">
        <v>-0.73</v>
      </c>
      <c r="BD3670">
        <v>0.18</v>
      </c>
      <c r="BE3670">
        <v>-0.12</v>
      </c>
      <c r="BF3670">
        <v>-1.0900000000000001</v>
      </c>
      <c r="BG3670">
        <v>0.62</v>
      </c>
      <c r="BH3670">
        <v>-0.3</v>
      </c>
      <c r="BI3670">
        <v>20191203</v>
      </c>
      <c r="BJ3670">
        <v>20161111</v>
      </c>
      <c r="BK3670">
        <v>3.91</v>
      </c>
      <c r="BL3670" t="s">
        <v>116</v>
      </c>
      <c r="BM3670" t="s">
        <v>116</v>
      </c>
      <c r="BN3670">
        <v>25.37</v>
      </c>
      <c r="BO3670">
        <v>19.16</v>
      </c>
      <c r="BP3670">
        <v>1.81</v>
      </c>
      <c r="BQ3670">
        <v>17.39</v>
      </c>
      <c r="BR3670">
        <v>7.58</v>
      </c>
      <c r="BS3670">
        <v>9.39</v>
      </c>
      <c r="BT3670">
        <v>3.38</v>
      </c>
      <c r="BU3670">
        <v>3.32</v>
      </c>
      <c r="BV3670">
        <v>1.22</v>
      </c>
      <c r="BW3670">
        <v>2.06</v>
      </c>
      <c r="BX3670">
        <v>10.34</v>
      </c>
      <c r="BY3670">
        <v>10.17</v>
      </c>
      <c r="BZ3670">
        <v>6.32</v>
      </c>
      <c r="CA3670">
        <v>1.39</v>
      </c>
      <c r="CB3670">
        <v>0.09</v>
      </c>
      <c r="CC3670">
        <v>1.39</v>
      </c>
      <c r="CD3670">
        <v>1.21</v>
      </c>
      <c r="CE3670">
        <v>1.1499999999999999</v>
      </c>
      <c r="CF3670">
        <v>0.98</v>
      </c>
      <c r="CG3670">
        <v>4.32</v>
      </c>
      <c r="CH3670">
        <v>0.82</v>
      </c>
      <c r="CI3670">
        <v>-1.4</v>
      </c>
      <c r="CJ3670">
        <v>17243</v>
      </c>
      <c r="CK3670">
        <v>6504</v>
      </c>
      <c r="CL3670" t="s">
        <v>2775</v>
      </c>
      <c r="CM3670">
        <v>118.51</v>
      </c>
      <c r="CN3670">
        <v>108.89</v>
      </c>
      <c r="CO3670">
        <v>1.67</v>
      </c>
      <c r="CP3670">
        <v>39.06</v>
      </c>
      <c r="CQ3670">
        <v>3.15</v>
      </c>
      <c r="CR3670">
        <v>1.22</v>
      </c>
      <c r="CS3670" t="s">
        <v>7206</v>
      </c>
      <c r="CT3670">
        <v>4.9000000000000004</v>
      </c>
      <c r="CU3670">
        <v>0</v>
      </c>
      <c r="CV3670">
        <v>2.64</v>
      </c>
      <c r="CW3670">
        <v>1.1000000000000001</v>
      </c>
      <c r="CX3670">
        <v>0.21</v>
      </c>
      <c r="CY3670">
        <v>75.5</v>
      </c>
      <c r="CZ3670" t="s">
        <v>7120</v>
      </c>
      <c r="DA3670">
        <v>37.909999999999997</v>
      </c>
      <c r="DB3670">
        <v>13.64</v>
      </c>
      <c r="DC3670">
        <v>11.3</v>
      </c>
      <c r="DD3670">
        <v>0.42</v>
      </c>
      <c r="DE3670">
        <v>2511</v>
      </c>
      <c r="DF3670">
        <v>603977</v>
      </c>
      <c r="DG3670" t="s">
        <v>116</v>
      </c>
      <c r="DH3670" t="s">
        <v>116</v>
      </c>
      <c r="DI3670" t="s">
        <v>116</v>
      </c>
    </row>
    <row r="3671" spans="1:113" x14ac:dyDescent="0.4">
      <c r="A3671" t="str">
        <f>"603978"</f>
        <v>603978</v>
      </c>
      <c r="B3671" t="s">
        <v>15125</v>
      </c>
      <c r="C3671">
        <v>-0.76</v>
      </c>
      <c r="D3671">
        <v>26.12</v>
      </c>
      <c r="E3671">
        <v>-0.2</v>
      </c>
      <c r="F3671">
        <v>26.12</v>
      </c>
      <c r="G3671">
        <v>26.13</v>
      </c>
      <c r="H3671">
        <v>31959</v>
      </c>
      <c r="I3671">
        <v>549</v>
      </c>
      <c r="J3671">
        <v>0.04</v>
      </c>
      <c r="K3671">
        <v>4.2</v>
      </c>
      <c r="L3671">
        <v>26.2</v>
      </c>
      <c r="M3671">
        <v>26.76</v>
      </c>
      <c r="N3671">
        <v>25.95</v>
      </c>
      <c r="O3671">
        <v>26.32</v>
      </c>
      <c r="P3671">
        <v>41.06</v>
      </c>
      <c r="Q3671">
        <v>84266160</v>
      </c>
      <c r="R3671">
        <v>0.99</v>
      </c>
      <c r="S3671" t="s">
        <v>1428</v>
      </c>
      <c r="T3671" t="s">
        <v>115</v>
      </c>
      <c r="U3671">
        <v>3.08</v>
      </c>
      <c r="V3671">
        <v>26.37</v>
      </c>
      <c r="W3671">
        <v>18283</v>
      </c>
      <c r="X3671">
        <v>13676</v>
      </c>
      <c r="Y3671">
        <v>1.34</v>
      </c>
      <c r="Z3671">
        <v>82</v>
      </c>
      <c r="AA3671">
        <v>52</v>
      </c>
      <c r="AB3671" t="s">
        <v>116</v>
      </c>
      <c r="AC3671">
        <v>321400</v>
      </c>
      <c r="AD3671">
        <v>0.02</v>
      </c>
      <c r="AE3671" t="s">
        <v>116</v>
      </c>
      <c r="AF3671" t="s">
        <v>116</v>
      </c>
      <c r="AG3671">
        <v>0.76</v>
      </c>
      <c r="AH3671" t="s">
        <v>12597</v>
      </c>
      <c r="AI3671" t="s">
        <v>15126</v>
      </c>
      <c r="AJ3671">
        <v>-0.68</v>
      </c>
      <c r="AK3671">
        <v>1978</v>
      </c>
      <c r="AL3671">
        <v>16</v>
      </c>
      <c r="AM3671">
        <v>2.0999999999999999E-3</v>
      </c>
      <c r="AN3671">
        <v>-1</v>
      </c>
      <c r="AO3671">
        <v>2.67</v>
      </c>
      <c r="AP3671">
        <v>-3.19</v>
      </c>
      <c r="AQ3671">
        <v>-21.3</v>
      </c>
      <c r="AR3671">
        <v>38.57</v>
      </c>
      <c r="AS3671">
        <v>4.41</v>
      </c>
      <c r="AT3671" t="s">
        <v>776</v>
      </c>
      <c r="AU3671">
        <v>35</v>
      </c>
      <c r="AV3671">
        <v>33.409999999999997</v>
      </c>
      <c r="AW3671">
        <v>1.77</v>
      </c>
      <c r="BA3671">
        <v>-0.46</v>
      </c>
      <c r="BB3671">
        <v>1.67</v>
      </c>
      <c r="BC3671">
        <v>-1.41</v>
      </c>
      <c r="BD3671">
        <v>0.18</v>
      </c>
      <c r="BE3671">
        <v>-0.31</v>
      </c>
      <c r="BF3671">
        <v>-2.39</v>
      </c>
      <c r="BG3671">
        <v>0.66</v>
      </c>
      <c r="BH3671">
        <v>-0.94</v>
      </c>
      <c r="BI3671">
        <v>20191216</v>
      </c>
      <c r="BJ3671">
        <v>20170807</v>
      </c>
      <c r="BK3671">
        <v>1.6</v>
      </c>
      <c r="BL3671" t="s">
        <v>116</v>
      </c>
      <c r="BM3671" t="s">
        <v>116</v>
      </c>
      <c r="BN3671">
        <v>20.71</v>
      </c>
      <c r="BO3671">
        <v>14.88</v>
      </c>
      <c r="BP3671">
        <v>0</v>
      </c>
      <c r="BQ3671">
        <v>28.17</v>
      </c>
      <c r="BR3671">
        <v>9.31</v>
      </c>
      <c r="BS3671">
        <v>6.6</v>
      </c>
      <c r="BT3671">
        <v>1.1299999999999999</v>
      </c>
      <c r="BU3671">
        <v>5.43</v>
      </c>
      <c r="BV3671">
        <v>1.43</v>
      </c>
      <c r="BW3671">
        <v>2.65</v>
      </c>
      <c r="BX3671">
        <v>5.81</v>
      </c>
      <c r="BY3671">
        <v>7.77</v>
      </c>
      <c r="BZ3671">
        <v>6.11</v>
      </c>
      <c r="CA3671">
        <v>0.88</v>
      </c>
      <c r="CB3671">
        <v>0</v>
      </c>
      <c r="CC3671">
        <v>0.88</v>
      </c>
      <c r="CD3671">
        <v>0.76</v>
      </c>
      <c r="CE3671">
        <v>0.76</v>
      </c>
      <c r="CF3671">
        <v>0.68</v>
      </c>
      <c r="CG3671">
        <v>6.96</v>
      </c>
      <c r="CH3671">
        <v>0.05</v>
      </c>
      <c r="CI3671">
        <v>-0.49</v>
      </c>
      <c r="CJ3671">
        <v>16154</v>
      </c>
      <c r="CK3671">
        <v>4485</v>
      </c>
      <c r="CL3671" t="s">
        <v>15127</v>
      </c>
      <c r="CM3671">
        <v>-6.93</v>
      </c>
      <c r="CN3671">
        <v>-0.36</v>
      </c>
      <c r="CO3671">
        <v>2.81</v>
      </c>
      <c r="CP3671">
        <v>859.46</v>
      </c>
      <c r="CQ3671">
        <v>5.38</v>
      </c>
      <c r="CR3671">
        <v>0</v>
      </c>
      <c r="CS3671" t="s">
        <v>15128</v>
      </c>
      <c r="CT3671">
        <v>9.3000000000000007</v>
      </c>
      <c r="CU3671">
        <v>0</v>
      </c>
      <c r="CV3671">
        <v>3.63</v>
      </c>
      <c r="CW3671">
        <v>4.3499999999999996</v>
      </c>
      <c r="CX3671">
        <v>0.03</v>
      </c>
      <c r="CY3671">
        <v>71.83</v>
      </c>
      <c r="CZ3671" t="s">
        <v>5830</v>
      </c>
      <c r="DA3671">
        <v>21.36</v>
      </c>
      <c r="DB3671">
        <v>11.35</v>
      </c>
      <c r="DC3671">
        <v>9.82</v>
      </c>
      <c r="DD3671">
        <v>0.32</v>
      </c>
      <c r="DE3671">
        <v>454</v>
      </c>
      <c r="DF3671">
        <v>603978</v>
      </c>
      <c r="DG3671" t="s">
        <v>116</v>
      </c>
      <c r="DH3671" t="s">
        <v>116</v>
      </c>
      <c r="DI3671" t="s">
        <v>116</v>
      </c>
    </row>
    <row r="3672" spans="1:113" x14ac:dyDescent="0.4">
      <c r="A3672" t="str">
        <f>"603979"</f>
        <v>603979</v>
      </c>
      <c r="B3672" t="s">
        <v>15129</v>
      </c>
      <c r="C3672">
        <v>0.34</v>
      </c>
      <c r="D3672">
        <v>8.77</v>
      </c>
      <c r="E3672">
        <v>0.03</v>
      </c>
      <c r="F3672">
        <v>8.75</v>
      </c>
      <c r="G3672">
        <v>8.77</v>
      </c>
      <c r="H3672">
        <v>40103</v>
      </c>
      <c r="I3672">
        <v>981</v>
      </c>
      <c r="J3672">
        <v>0.69</v>
      </c>
      <c r="K3672">
        <v>0.69</v>
      </c>
      <c r="L3672">
        <v>8.74</v>
      </c>
      <c r="M3672">
        <v>8.86</v>
      </c>
      <c r="N3672">
        <v>8.7100000000000009</v>
      </c>
      <c r="O3672">
        <v>8.74</v>
      </c>
      <c r="P3672">
        <v>16.48</v>
      </c>
      <c r="Q3672">
        <v>35138224</v>
      </c>
      <c r="R3672">
        <v>1.84</v>
      </c>
      <c r="S3672" t="s">
        <v>181</v>
      </c>
      <c r="T3672" t="s">
        <v>165</v>
      </c>
      <c r="U3672">
        <v>1.72</v>
      </c>
      <c r="V3672">
        <v>8.76</v>
      </c>
      <c r="W3672">
        <v>20964</v>
      </c>
      <c r="X3672">
        <v>19140</v>
      </c>
      <c r="Y3672">
        <v>1.1000000000000001</v>
      </c>
      <c r="Z3672">
        <v>104</v>
      </c>
      <c r="AA3672">
        <v>968</v>
      </c>
      <c r="AB3672" t="s">
        <v>116</v>
      </c>
      <c r="AC3672">
        <v>103100</v>
      </c>
      <c r="AD3672">
        <v>0</v>
      </c>
      <c r="AE3672" t="s">
        <v>116</v>
      </c>
      <c r="AF3672" t="s">
        <v>116</v>
      </c>
      <c r="AG3672">
        <v>5.83</v>
      </c>
      <c r="AH3672" t="s">
        <v>15130</v>
      </c>
      <c r="AI3672" t="s">
        <v>15130</v>
      </c>
      <c r="AJ3672">
        <v>0.42</v>
      </c>
      <c r="AK3672">
        <v>930</v>
      </c>
      <c r="AL3672">
        <v>43</v>
      </c>
      <c r="AM3672">
        <v>6.9999999999999999E-4</v>
      </c>
      <c r="AN3672">
        <v>2</v>
      </c>
      <c r="AO3672">
        <v>-0.12</v>
      </c>
      <c r="AP3672">
        <v>3.18</v>
      </c>
      <c r="AQ3672">
        <v>5.41</v>
      </c>
      <c r="AR3672">
        <v>18.27</v>
      </c>
      <c r="AS3672">
        <v>1.46</v>
      </c>
      <c r="AT3672" t="s">
        <v>14006</v>
      </c>
      <c r="AU3672">
        <v>17.059999999999999</v>
      </c>
      <c r="AV3672">
        <v>17.559999999999999</v>
      </c>
      <c r="AW3672">
        <v>0.97</v>
      </c>
      <c r="BA3672">
        <v>0</v>
      </c>
      <c r="BB3672">
        <v>1.37</v>
      </c>
      <c r="BC3672">
        <v>-0.34</v>
      </c>
      <c r="BD3672">
        <v>0.25</v>
      </c>
      <c r="BE3672">
        <v>0.34</v>
      </c>
      <c r="BF3672">
        <v>-1.02</v>
      </c>
      <c r="BG3672">
        <v>0.69</v>
      </c>
      <c r="BH3672">
        <v>0.09</v>
      </c>
      <c r="BI3672">
        <v>20191022</v>
      </c>
      <c r="BJ3672">
        <v>20150630</v>
      </c>
      <c r="BK3672">
        <v>5.83</v>
      </c>
      <c r="BL3672" t="s">
        <v>116</v>
      </c>
      <c r="BM3672" t="s">
        <v>116</v>
      </c>
      <c r="BN3672">
        <v>67.95</v>
      </c>
      <c r="BO3672">
        <v>42.09</v>
      </c>
      <c r="BP3672">
        <v>0.89</v>
      </c>
      <c r="BQ3672">
        <v>36.74</v>
      </c>
      <c r="BR3672">
        <v>46.43</v>
      </c>
      <c r="BS3672">
        <v>13.55</v>
      </c>
      <c r="BT3672">
        <v>4.22</v>
      </c>
      <c r="BU3672">
        <v>19.05</v>
      </c>
      <c r="BV3672">
        <v>8.6300000000000008</v>
      </c>
      <c r="BW3672">
        <v>23.54</v>
      </c>
      <c r="BX3672">
        <v>15.94</v>
      </c>
      <c r="BY3672">
        <v>23.97</v>
      </c>
      <c r="BZ3672">
        <v>17.7</v>
      </c>
      <c r="CA3672">
        <v>3.07</v>
      </c>
      <c r="CB3672">
        <v>0</v>
      </c>
      <c r="CC3672">
        <v>3.02</v>
      </c>
      <c r="CD3672">
        <v>2.31</v>
      </c>
      <c r="CE3672">
        <v>2.33</v>
      </c>
      <c r="CF3672">
        <v>2.36</v>
      </c>
      <c r="CG3672">
        <v>18.59</v>
      </c>
      <c r="CH3672">
        <v>0.38</v>
      </c>
      <c r="CI3672">
        <v>-3.2</v>
      </c>
      <c r="CJ3672">
        <v>28613</v>
      </c>
      <c r="CK3672">
        <v>9587</v>
      </c>
      <c r="CL3672" t="s">
        <v>7746</v>
      </c>
      <c r="CM3672">
        <v>3.79</v>
      </c>
      <c r="CN3672">
        <v>8.02</v>
      </c>
      <c r="CO3672">
        <v>1.22</v>
      </c>
      <c r="CP3672">
        <v>133.97999999999999</v>
      </c>
      <c r="CQ3672">
        <v>2.13</v>
      </c>
      <c r="CR3672">
        <v>0.85</v>
      </c>
      <c r="CS3672" t="s">
        <v>13997</v>
      </c>
      <c r="CT3672">
        <v>7.21</v>
      </c>
      <c r="CU3672">
        <v>0</v>
      </c>
      <c r="CV3672">
        <v>2.73</v>
      </c>
      <c r="CW3672">
        <v>3.19</v>
      </c>
      <c r="CX3672">
        <v>7.0000000000000007E-2</v>
      </c>
      <c r="CY3672">
        <v>61.95</v>
      </c>
      <c r="CZ3672" t="s">
        <v>4338</v>
      </c>
      <c r="DA3672">
        <v>26.17</v>
      </c>
      <c r="DB3672">
        <v>12.8</v>
      </c>
      <c r="DC3672">
        <v>9.7100000000000009</v>
      </c>
      <c r="DD3672">
        <v>0.42</v>
      </c>
      <c r="DE3672">
        <v>5300</v>
      </c>
      <c r="DF3672">
        <v>603979</v>
      </c>
      <c r="DG3672" t="s">
        <v>116</v>
      </c>
      <c r="DH3672" t="s">
        <v>116</v>
      </c>
      <c r="DI3672" t="s">
        <v>116</v>
      </c>
    </row>
    <row r="3673" spans="1:113" x14ac:dyDescent="0.4">
      <c r="A3673" t="str">
        <f>"603980"</f>
        <v>603980</v>
      </c>
      <c r="B3673" t="s">
        <v>15131</v>
      </c>
      <c r="C3673">
        <v>0.13</v>
      </c>
      <c r="D3673">
        <v>7.89</v>
      </c>
      <c r="E3673">
        <v>0.01</v>
      </c>
      <c r="F3673">
        <v>7.88</v>
      </c>
      <c r="G3673">
        <v>7.89</v>
      </c>
      <c r="H3673">
        <v>30806</v>
      </c>
      <c r="I3673">
        <v>506</v>
      </c>
      <c r="J3673">
        <v>0.13</v>
      </c>
      <c r="K3673">
        <v>0.9</v>
      </c>
      <c r="L3673">
        <v>7.87</v>
      </c>
      <c r="M3673">
        <v>7.95</v>
      </c>
      <c r="N3673">
        <v>7.87</v>
      </c>
      <c r="O3673">
        <v>7.88</v>
      </c>
      <c r="P3673">
        <v>10.09</v>
      </c>
      <c r="Q3673">
        <v>24379396</v>
      </c>
      <c r="R3673">
        <v>1.23</v>
      </c>
      <c r="S3673" t="s">
        <v>1192</v>
      </c>
      <c r="T3673" t="s">
        <v>590</v>
      </c>
      <c r="U3673">
        <v>1.02</v>
      </c>
      <c r="V3673">
        <v>7.91</v>
      </c>
      <c r="W3673">
        <v>15475</v>
      </c>
      <c r="X3673">
        <v>15331</v>
      </c>
      <c r="Y3673">
        <v>1.01</v>
      </c>
      <c r="Z3673">
        <v>76</v>
      </c>
      <c r="AA3673">
        <v>168</v>
      </c>
      <c r="AB3673" t="s">
        <v>116</v>
      </c>
      <c r="AC3673">
        <v>32300</v>
      </c>
      <c r="AD3673">
        <v>0</v>
      </c>
      <c r="AE3673" t="s">
        <v>116</v>
      </c>
      <c r="AF3673" t="s">
        <v>116</v>
      </c>
      <c r="AG3673">
        <v>3.44</v>
      </c>
      <c r="AH3673" t="s">
        <v>6636</v>
      </c>
      <c r="AI3673" t="s">
        <v>15132</v>
      </c>
      <c r="AJ3673">
        <v>0.2</v>
      </c>
      <c r="AK3673">
        <v>847</v>
      </c>
      <c r="AL3673">
        <v>36</v>
      </c>
      <c r="AM3673">
        <v>1.1000000000000001E-3</v>
      </c>
      <c r="AN3673">
        <v>2</v>
      </c>
      <c r="AO3673">
        <v>1.03</v>
      </c>
      <c r="AP3673">
        <v>4.2300000000000004</v>
      </c>
      <c r="AQ3673">
        <v>-11.74</v>
      </c>
      <c r="AR3673">
        <v>-2.42</v>
      </c>
      <c r="AS3673">
        <v>1.05</v>
      </c>
      <c r="AT3673" t="s">
        <v>4438</v>
      </c>
      <c r="AU3673">
        <v>9.81</v>
      </c>
      <c r="AV3673">
        <v>7.86</v>
      </c>
      <c r="AW3673">
        <v>1.38</v>
      </c>
      <c r="BA3673">
        <v>-0.13</v>
      </c>
      <c r="BB3673">
        <v>0.89</v>
      </c>
      <c r="BC3673">
        <v>-0.13</v>
      </c>
      <c r="BD3673">
        <v>0.43</v>
      </c>
      <c r="BE3673">
        <v>0.25</v>
      </c>
      <c r="BF3673">
        <v>-0.75</v>
      </c>
      <c r="BG3673">
        <v>0.25</v>
      </c>
      <c r="BH3673">
        <v>-0.3</v>
      </c>
      <c r="BI3673">
        <v>20191031</v>
      </c>
      <c r="BJ3673">
        <v>20170615</v>
      </c>
      <c r="BK3673">
        <v>7</v>
      </c>
      <c r="BL3673" t="s">
        <v>116</v>
      </c>
      <c r="BM3673" t="s">
        <v>116</v>
      </c>
      <c r="BN3673">
        <v>52.55</v>
      </c>
      <c r="BO3673">
        <v>45.29</v>
      </c>
      <c r="BP3673">
        <v>0.31</v>
      </c>
      <c r="BQ3673">
        <v>13.23</v>
      </c>
      <c r="BR3673">
        <v>36.42</v>
      </c>
      <c r="BS3673">
        <v>11.5</v>
      </c>
      <c r="BT3673">
        <v>1</v>
      </c>
      <c r="BU3673">
        <v>6.64</v>
      </c>
      <c r="BV3673">
        <v>5.28</v>
      </c>
      <c r="BW3673">
        <v>5.15</v>
      </c>
      <c r="BX3673">
        <v>11.44</v>
      </c>
      <c r="BY3673">
        <v>20.56</v>
      </c>
      <c r="BZ3673">
        <v>13.77</v>
      </c>
      <c r="CA3673">
        <v>4.9800000000000004</v>
      </c>
      <c r="CB3673">
        <v>0.51</v>
      </c>
      <c r="CC3673">
        <v>4.9800000000000004</v>
      </c>
      <c r="CD3673">
        <v>4.13</v>
      </c>
      <c r="CE3673">
        <v>4.0999999999999996</v>
      </c>
      <c r="CF3673">
        <v>3.67</v>
      </c>
      <c r="CG3673">
        <v>24.62</v>
      </c>
      <c r="CH3673">
        <v>5.85</v>
      </c>
      <c r="CI3673">
        <v>-1.62</v>
      </c>
      <c r="CJ3673">
        <v>35603</v>
      </c>
      <c r="CK3673">
        <v>8253</v>
      </c>
      <c r="CL3673" t="s">
        <v>14315</v>
      </c>
      <c r="CM3673">
        <v>-25.38</v>
      </c>
      <c r="CN3673">
        <v>-5.66</v>
      </c>
      <c r="CO3673">
        <v>1.22</v>
      </c>
      <c r="CP3673">
        <v>9.4499999999999993</v>
      </c>
      <c r="CQ3673">
        <v>2.69</v>
      </c>
      <c r="CR3673">
        <v>4.07</v>
      </c>
      <c r="CS3673" t="s">
        <v>3684</v>
      </c>
      <c r="CT3673">
        <v>6.47</v>
      </c>
      <c r="CU3673">
        <v>0</v>
      </c>
      <c r="CV3673">
        <v>1.63</v>
      </c>
      <c r="CW3673">
        <v>3.52</v>
      </c>
      <c r="CX3673">
        <v>0.84</v>
      </c>
      <c r="CY3673">
        <v>86.17</v>
      </c>
      <c r="CZ3673" t="s">
        <v>4656</v>
      </c>
      <c r="DA3673">
        <v>33.020000000000003</v>
      </c>
      <c r="DB3673">
        <v>24.21</v>
      </c>
      <c r="DC3673">
        <v>19.96</v>
      </c>
      <c r="DD3673">
        <v>0.79</v>
      </c>
      <c r="DE3673">
        <v>2185</v>
      </c>
      <c r="DF3673">
        <v>603980</v>
      </c>
      <c r="DG3673" t="s">
        <v>116</v>
      </c>
      <c r="DH3673" t="s">
        <v>116</v>
      </c>
      <c r="DI3673" t="s">
        <v>116</v>
      </c>
    </row>
    <row r="3674" spans="1:113" x14ac:dyDescent="0.4">
      <c r="A3674" t="str">
        <f>"603982"</f>
        <v>603982</v>
      </c>
      <c r="B3674" t="s">
        <v>15133</v>
      </c>
      <c r="C3674">
        <v>-4.34</v>
      </c>
      <c r="D3674">
        <v>20.93</v>
      </c>
      <c r="E3674">
        <v>-0.95</v>
      </c>
      <c r="F3674">
        <v>20.92</v>
      </c>
      <c r="G3674">
        <v>20.93</v>
      </c>
      <c r="H3674">
        <v>126608</v>
      </c>
      <c r="I3674">
        <v>2490</v>
      </c>
      <c r="J3674">
        <v>-0.51</v>
      </c>
      <c r="K3674">
        <v>25.32</v>
      </c>
      <c r="L3674">
        <v>21.93</v>
      </c>
      <c r="M3674">
        <v>22.27</v>
      </c>
      <c r="N3674">
        <v>20.8</v>
      </c>
      <c r="O3674">
        <v>21.88</v>
      </c>
      <c r="P3674">
        <v>76.959999999999994</v>
      </c>
      <c r="Q3674">
        <v>273797920</v>
      </c>
      <c r="R3674">
        <v>0.76</v>
      </c>
      <c r="S3674" t="s">
        <v>293</v>
      </c>
      <c r="T3674" t="s">
        <v>323</v>
      </c>
      <c r="U3674">
        <v>6.72</v>
      </c>
      <c r="V3674">
        <v>21.63</v>
      </c>
      <c r="W3674">
        <v>71027</v>
      </c>
      <c r="X3674">
        <v>55581</v>
      </c>
      <c r="Y3674">
        <v>1.28</v>
      </c>
      <c r="Z3674">
        <v>192</v>
      </c>
      <c r="AA3674">
        <v>730</v>
      </c>
      <c r="AB3674" t="s">
        <v>116</v>
      </c>
      <c r="AC3674">
        <v>3013200</v>
      </c>
      <c r="AD3674">
        <v>0.27</v>
      </c>
      <c r="AE3674" t="s">
        <v>116</v>
      </c>
      <c r="AF3674" t="s">
        <v>116</v>
      </c>
      <c r="AG3674">
        <v>0.5</v>
      </c>
      <c r="AH3674" t="s">
        <v>13938</v>
      </c>
      <c r="AI3674" t="s">
        <v>3182</v>
      </c>
      <c r="AJ3674">
        <v>-4.2699999999999996</v>
      </c>
      <c r="AK3674">
        <v>3410</v>
      </c>
      <c r="AL3674">
        <v>37</v>
      </c>
      <c r="AM3674">
        <v>7.4000000000000003E-3</v>
      </c>
      <c r="AN3674">
        <v>-1</v>
      </c>
      <c r="AO3674">
        <v>-5.72</v>
      </c>
      <c r="AP3674">
        <v>33.06</v>
      </c>
      <c r="AQ3674">
        <v>3.31</v>
      </c>
      <c r="AR3674">
        <v>113.79</v>
      </c>
      <c r="AS3674">
        <v>25.32</v>
      </c>
      <c r="AT3674" t="s">
        <v>13938</v>
      </c>
      <c r="AU3674">
        <v>54.52</v>
      </c>
      <c r="AV3674">
        <v>45.68</v>
      </c>
      <c r="AW3674">
        <v>0.74</v>
      </c>
      <c r="BA3674">
        <v>0.23</v>
      </c>
      <c r="BB3674">
        <v>1.78</v>
      </c>
      <c r="BC3674">
        <v>-4.9400000000000004</v>
      </c>
      <c r="BD3674">
        <v>-1.1599999999999999</v>
      </c>
      <c r="BE3674">
        <v>-4.5599999999999996</v>
      </c>
      <c r="BF3674">
        <v>-6.02</v>
      </c>
      <c r="BG3674">
        <v>0.62</v>
      </c>
      <c r="BH3674">
        <v>-3.18</v>
      </c>
      <c r="BI3674">
        <v>20191030</v>
      </c>
      <c r="BJ3674">
        <v>20190522</v>
      </c>
      <c r="BK3674">
        <v>2</v>
      </c>
      <c r="BL3674" t="s">
        <v>116</v>
      </c>
      <c r="BM3674" t="s">
        <v>116</v>
      </c>
      <c r="BN3674">
        <v>20.02</v>
      </c>
      <c r="BO3674">
        <v>14.2</v>
      </c>
      <c r="BP3674">
        <v>0</v>
      </c>
      <c r="BQ3674">
        <v>29.08</v>
      </c>
      <c r="BR3674">
        <v>9.56</v>
      </c>
      <c r="BS3674">
        <v>9.0500000000000007</v>
      </c>
      <c r="BT3674">
        <v>0.76</v>
      </c>
      <c r="BU3674">
        <v>3.65</v>
      </c>
      <c r="BV3674">
        <v>2.71</v>
      </c>
      <c r="BW3674">
        <v>2.61</v>
      </c>
      <c r="BX3674">
        <v>9.7899999999999991</v>
      </c>
      <c r="BY3674">
        <v>8.49</v>
      </c>
      <c r="BZ3674">
        <v>6.53</v>
      </c>
      <c r="CA3674">
        <v>0.42</v>
      </c>
      <c r="CB3674">
        <v>0</v>
      </c>
      <c r="CC3674">
        <v>0.44</v>
      </c>
      <c r="CD3674">
        <v>0.41</v>
      </c>
      <c r="CE3674">
        <v>0.41</v>
      </c>
      <c r="CF3674">
        <v>0.38</v>
      </c>
      <c r="CG3674">
        <v>2.1800000000000002</v>
      </c>
      <c r="CH3674">
        <v>1.35</v>
      </c>
      <c r="CI3674">
        <v>1.75</v>
      </c>
      <c r="CJ3674">
        <v>23036</v>
      </c>
      <c r="CK3674">
        <v>2171</v>
      </c>
      <c r="CL3674" t="s">
        <v>2266</v>
      </c>
      <c r="CM3674">
        <v>0</v>
      </c>
      <c r="CN3674">
        <v>0</v>
      </c>
      <c r="CO3674">
        <v>2.95</v>
      </c>
      <c r="CP3674">
        <v>31</v>
      </c>
      <c r="CQ3674">
        <v>4.93</v>
      </c>
      <c r="CR3674">
        <v>0</v>
      </c>
      <c r="CS3674" t="s">
        <v>5764</v>
      </c>
      <c r="CT3674">
        <v>7.1</v>
      </c>
      <c r="CU3674">
        <v>0</v>
      </c>
      <c r="CV3674">
        <v>4.8899999999999997</v>
      </c>
      <c r="CW3674">
        <v>1.0900000000000001</v>
      </c>
      <c r="CX3674">
        <v>0.68</v>
      </c>
      <c r="CY3674">
        <v>70.92</v>
      </c>
      <c r="CZ3674" t="s">
        <v>6899</v>
      </c>
      <c r="DA3674">
        <v>23.13</v>
      </c>
      <c r="DB3674">
        <v>4.9400000000000004</v>
      </c>
      <c r="DC3674">
        <v>4.8</v>
      </c>
      <c r="DD3674">
        <v>0.54</v>
      </c>
      <c r="DE3674">
        <v>1907</v>
      </c>
      <c r="DF3674">
        <v>603982</v>
      </c>
      <c r="DG3674" t="s">
        <v>116</v>
      </c>
      <c r="DH3674" t="s">
        <v>116</v>
      </c>
      <c r="DI3674" t="s">
        <v>116</v>
      </c>
    </row>
    <row r="3675" spans="1:113" x14ac:dyDescent="0.4">
      <c r="A3675" t="str">
        <f>"603983"</f>
        <v>603983</v>
      </c>
      <c r="B3675" t="s">
        <v>15134</v>
      </c>
      <c r="C3675">
        <v>0.43</v>
      </c>
      <c r="D3675">
        <v>61.26</v>
      </c>
      <c r="E3675">
        <v>0.26</v>
      </c>
      <c r="F3675">
        <v>61.2</v>
      </c>
      <c r="G3675">
        <v>61.26</v>
      </c>
      <c r="H3675">
        <v>25881</v>
      </c>
      <c r="I3675">
        <v>190</v>
      </c>
      <c r="J3675">
        <v>0.43</v>
      </c>
      <c r="K3675">
        <v>6.31</v>
      </c>
      <c r="L3675">
        <v>61.17</v>
      </c>
      <c r="M3675">
        <v>62.9</v>
      </c>
      <c r="N3675">
        <v>60.86</v>
      </c>
      <c r="O3675">
        <v>61</v>
      </c>
      <c r="P3675">
        <v>51.31</v>
      </c>
      <c r="Q3675">
        <v>160090432</v>
      </c>
      <c r="R3675">
        <v>1.96</v>
      </c>
      <c r="S3675" t="s">
        <v>953</v>
      </c>
      <c r="T3675" t="s">
        <v>551</v>
      </c>
      <c r="U3675">
        <v>3.34</v>
      </c>
      <c r="V3675">
        <v>61.86</v>
      </c>
      <c r="W3675">
        <v>11417</v>
      </c>
      <c r="X3675">
        <v>14464</v>
      </c>
      <c r="Y3675">
        <v>0.79</v>
      </c>
      <c r="Z3675">
        <v>35</v>
      </c>
      <c r="AA3675">
        <v>70</v>
      </c>
      <c r="AB3675" t="s">
        <v>116</v>
      </c>
      <c r="AC3675">
        <v>208000</v>
      </c>
      <c r="AD3675">
        <v>0.01</v>
      </c>
      <c r="AE3675" t="s">
        <v>116</v>
      </c>
      <c r="AF3675" t="s">
        <v>116</v>
      </c>
      <c r="AG3675">
        <v>0.41</v>
      </c>
      <c r="AH3675" t="s">
        <v>226</v>
      </c>
      <c r="AI3675" t="s">
        <v>15135</v>
      </c>
      <c r="AJ3675">
        <v>0.5</v>
      </c>
      <c r="AK3675">
        <v>2408</v>
      </c>
      <c r="AL3675">
        <v>11</v>
      </c>
      <c r="AM3675">
        <v>2.5999999999999999E-3</v>
      </c>
      <c r="AN3675">
        <v>1</v>
      </c>
      <c r="AO3675">
        <v>-1.39</v>
      </c>
      <c r="AP3675">
        <v>-0.15</v>
      </c>
      <c r="AQ3675">
        <v>1.59</v>
      </c>
      <c r="AR3675">
        <v>198.25</v>
      </c>
      <c r="AS3675">
        <v>6.31</v>
      </c>
      <c r="AT3675" t="s">
        <v>226</v>
      </c>
      <c r="AU3675">
        <v>45.62</v>
      </c>
      <c r="AV3675">
        <v>59.15</v>
      </c>
      <c r="AW3675">
        <v>0.47</v>
      </c>
      <c r="BA3675">
        <v>0.28000000000000003</v>
      </c>
      <c r="BB3675">
        <v>3.11</v>
      </c>
      <c r="BC3675">
        <v>-0.23</v>
      </c>
      <c r="BD3675">
        <v>1.4</v>
      </c>
      <c r="BE3675">
        <v>0.15</v>
      </c>
      <c r="BF3675">
        <v>-2.61</v>
      </c>
      <c r="BG3675">
        <v>0.66</v>
      </c>
      <c r="BH3675">
        <v>-0.98</v>
      </c>
      <c r="BI3675">
        <v>20191030</v>
      </c>
      <c r="BJ3675">
        <v>20190725</v>
      </c>
      <c r="BK3675">
        <v>4.01</v>
      </c>
      <c r="BL3675" t="s">
        <v>116</v>
      </c>
      <c r="BM3675" t="s">
        <v>116</v>
      </c>
      <c r="BN3675">
        <v>32.33</v>
      </c>
      <c r="BO3675">
        <v>25.14</v>
      </c>
      <c r="BP3675">
        <v>0</v>
      </c>
      <c r="BQ3675">
        <v>22.25</v>
      </c>
      <c r="BR3675">
        <v>29.17</v>
      </c>
      <c r="BS3675">
        <v>2.52</v>
      </c>
      <c r="BT3675">
        <v>0.27</v>
      </c>
      <c r="BU3675">
        <v>6.91</v>
      </c>
      <c r="BV3675">
        <v>1.74</v>
      </c>
      <c r="BW3675">
        <v>0.02</v>
      </c>
      <c r="BX3675">
        <v>7.54</v>
      </c>
      <c r="BY3675">
        <v>12.12</v>
      </c>
      <c r="BZ3675">
        <v>3.88</v>
      </c>
      <c r="CA3675">
        <v>4.2699999999999996</v>
      </c>
      <c r="CB3675">
        <v>0.13</v>
      </c>
      <c r="CC3675">
        <v>4.29</v>
      </c>
      <c r="CD3675">
        <v>3.57</v>
      </c>
      <c r="CE3675">
        <v>3.59</v>
      </c>
      <c r="CF3675">
        <v>3.09</v>
      </c>
      <c r="CG3675">
        <v>11.91</v>
      </c>
      <c r="CH3675">
        <v>2.84</v>
      </c>
      <c r="CI3675">
        <v>2.69</v>
      </c>
      <c r="CJ3675">
        <v>12030</v>
      </c>
      <c r="CK3675">
        <v>3408</v>
      </c>
      <c r="CL3675" t="s">
        <v>15136</v>
      </c>
      <c r="CM3675">
        <v>0</v>
      </c>
      <c r="CN3675">
        <v>0</v>
      </c>
      <c r="CO3675">
        <v>9.77</v>
      </c>
      <c r="CP3675">
        <v>86.47</v>
      </c>
      <c r="CQ3675">
        <v>20.28</v>
      </c>
      <c r="CR3675">
        <v>0</v>
      </c>
      <c r="CS3675" t="s">
        <v>7499</v>
      </c>
      <c r="CT3675">
        <v>6.27</v>
      </c>
      <c r="CU3675">
        <v>0</v>
      </c>
      <c r="CV3675">
        <v>1.88</v>
      </c>
      <c r="CW3675">
        <v>2.97</v>
      </c>
      <c r="CX3675">
        <v>0.71</v>
      </c>
      <c r="CY3675">
        <v>77.75</v>
      </c>
      <c r="CZ3675" t="s">
        <v>15137</v>
      </c>
      <c r="DA3675">
        <v>67.95</v>
      </c>
      <c r="DB3675">
        <v>35.270000000000003</v>
      </c>
      <c r="DC3675">
        <v>29.64</v>
      </c>
      <c r="DD3675">
        <v>0.28000000000000003</v>
      </c>
      <c r="DE3675">
        <v>889</v>
      </c>
      <c r="DF3675">
        <v>603983</v>
      </c>
      <c r="DG3675" t="s">
        <v>116</v>
      </c>
      <c r="DH3675" t="s">
        <v>116</v>
      </c>
      <c r="DI3675" t="s">
        <v>116</v>
      </c>
    </row>
    <row r="3676" spans="1:113" x14ac:dyDescent="0.4">
      <c r="A3676" t="str">
        <f>"603985"</f>
        <v>603985</v>
      </c>
      <c r="B3676" t="s">
        <v>15138</v>
      </c>
      <c r="C3676">
        <v>-0.98</v>
      </c>
      <c r="D3676">
        <v>15.1</v>
      </c>
      <c r="E3676">
        <v>-0.15</v>
      </c>
      <c r="F3676">
        <v>15.1</v>
      </c>
      <c r="G3676">
        <v>15.12</v>
      </c>
      <c r="H3676">
        <v>22054</v>
      </c>
      <c r="I3676">
        <v>123</v>
      </c>
      <c r="J3676">
        <v>-0.32</v>
      </c>
      <c r="K3676">
        <v>2.37</v>
      </c>
      <c r="L3676">
        <v>15.29</v>
      </c>
      <c r="M3676">
        <v>15.87</v>
      </c>
      <c r="N3676">
        <v>15.08</v>
      </c>
      <c r="O3676">
        <v>15.25</v>
      </c>
      <c r="P3676">
        <v>15.05</v>
      </c>
      <c r="Q3676">
        <v>33973872</v>
      </c>
      <c r="R3676">
        <v>1.41</v>
      </c>
      <c r="S3676" t="s">
        <v>996</v>
      </c>
      <c r="T3676" t="s">
        <v>323</v>
      </c>
      <c r="U3676">
        <v>5.18</v>
      </c>
      <c r="V3676">
        <v>15.4</v>
      </c>
      <c r="W3676">
        <v>12429</v>
      </c>
      <c r="X3676">
        <v>9625</v>
      </c>
      <c r="Y3676">
        <v>1.29</v>
      </c>
      <c r="Z3676">
        <v>86</v>
      </c>
      <c r="AA3676">
        <v>41</v>
      </c>
      <c r="AB3676" t="s">
        <v>116</v>
      </c>
      <c r="AC3676">
        <v>12500</v>
      </c>
      <c r="AD3676">
        <v>0</v>
      </c>
      <c r="AE3676" t="s">
        <v>116</v>
      </c>
      <c r="AF3676" t="s">
        <v>116</v>
      </c>
      <c r="AG3676">
        <v>0.93</v>
      </c>
      <c r="AH3676" t="s">
        <v>7793</v>
      </c>
      <c r="AI3676" t="s">
        <v>1828</v>
      </c>
      <c r="AJ3676">
        <v>-0.91</v>
      </c>
      <c r="AK3676">
        <v>1348</v>
      </c>
      <c r="AL3676">
        <v>16</v>
      </c>
      <c r="AM3676">
        <v>1.8E-3</v>
      </c>
      <c r="AN3676">
        <v>-1</v>
      </c>
      <c r="AO3676">
        <v>1.49</v>
      </c>
      <c r="AP3676">
        <v>6.86</v>
      </c>
      <c r="AQ3676">
        <v>-5.8</v>
      </c>
      <c r="AR3676">
        <v>4.1399999999999997</v>
      </c>
      <c r="AS3676">
        <v>3.24</v>
      </c>
      <c r="AT3676" t="s">
        <v>11346</v>
      </c>
      <c r="AU3676">
        <v>15.6</v>
      </c>
      <c r="AV3676">
        <v>17.61</v>
      </c>
      <c r="AW3676">
        <v>1.24</v>
      </c>
      <c r="BA3676">
        <v>0.26</v>
      </c>
      <c r="BB3676">
        <v>4.07</v>
      </c>
      <c r="BC3676">
        <v>-1.1100000000000001</v>
      </c>
      <c r="BD3676">
        <v>1.02</v>
      </c>
      <c r="BE3676">
        <v>-1.24</v>
      </c>
      <c r="BF3676">
        <v>-4.8499999999999996</v>
      </c>
      <c r="BG3676">
        <v>0.13</v>
      </c>
      <c r="BH3676">
        <v>-2</v>
      </c>
      <c r="BI3676">
        <v>20191030</v>
      </c>
      <c r="BJ3676">
        <v>20170505</v>
      </c>
      <c r="BK3676">
        <v>1.46</v>
      </c>
      <c r="BL3676" t="s">
        <v>116</v>
      </c>
      <c r="BM3676" t="s">
        <v>116</v>
      </c>
      <c r="BN3676">
        <v>19.13</v>
      </c>
      <c r="BO3676">
        <v>11.69</v>
      </c>
      <c r="BP3676">
        <v>0.56999999999999995</v>
      </c>
      <c r="BQ3676">
        <v>35.86</v>
      </c>
      <c r="BR3676">
        <v>11.48</v>
      </c>
      <c r="BS3676">
        <v>4.75</v>
      </c>
      <c r="BT3676">
        <v>0.87</v>
      </c>
      <c r="BU3676">
        <v>5.73</v>
      </c>
      <c r="BV3676">
        <v>4.01</v>
      </c>
      <c r="BW3676">
        <v>4.0999999999999996</v>
      </c>
      <c r="BX3676">
        <v>5.38</v>
      </c>
      <c r="BY3676">
        <v>9.91</v>
      </c>
      <c r="BZ3676">
        <v>7.43</v>
      </c>
      <c r="CA3676">
        <v>1.31</v>
      </c>
      <c r="CB3676">
        <v>0.01</v>
      </c>
      <c r="CC3676">
        <v>1.3</v>
      </c>
      <c r="CD3676">
        <v>1.0900000000000001</v>
      </c>
      <c r="CE3676">
        <v>1.1000000000000001</v>
      </c>
      <c r="CF3676">
        <v>1.07</v>
      </c>
      <c r="CG3676">
        <v>4.6900000000000004</v>
      </c>
      <c r="CH3676">
        <v>-0.74</v>
      </c>
      <c r="CI3676">
        <v>-0.23</v>
      </c>
      <c r="CJ3676">
        <v>8620</v>
      </c>
      <c r="CK3676">
        <v>7897</v>
      </c>
      <c r="CL3676" t="s">
        <v>11802</v>
      </c>
      <c r="CM3676">
        <v>17.25</v>
      </c>
      <c r="CN3676">
        <v>25.71</v>
      </c>
      <c r="CO3676">
        <v>1.88</v>
      </c>
      <c r="CP3676">
        <v>-29.76</v>
      </c>
      <c r="CQ3676">
        <v>2.2200000000000002</v>
      </c>
      <c r="CR3676">
        <v>1.89</v>
      </c>
      <c r="CS3676" t="s">
        <v>15139</v>
      </c>
      <c r="CT3676">
        <v>8.0299999999999994</v>
      </c>
      <c r="CU3676">
        <v>0</v>
      </c>
      <c r="CV3676">
        <v>3.7</v>
      </c>
      <c r="CW3676">
        <v>3.22</v>
      </c>
      <c r="CX3676">
        <v>-0.51</v>
      </c>
      <c r="CY3676">
        <v>61.14</v>
      </c>
      <c r="CZ3676" t="s">
        <v>15140</v>
      </c>
      <c r="DA3676">
        <v>25.01</v>
      </c>
      <c r="DB3676">
        <v>13.18</v>
      </c>
      <c r="DC3676">
        <v>11.06</v>
      </c>
      <c r="DD3676">
        <v>0.37</v>
      </c>
      <c r="DE3676">
        <v>999</v>
      </c>
      <c r="DF3676">
        <v>603985</v>
      </c>
      <c r="DG3676" t="s">
        <v>116</v>
      </c>
      <c r="DH3676" t="s">
        <v>116</v>
      </c>
      <c r="DI3676" t="s">
        <v>116</v>
      </c>
    </row>
    <row r="3677" spans="1:113" x14ac:dyDescent="0.4">
      <c r="A3677" t="str">
        <f>"603986"</f>
        <v>603986</v>
      </c>
      <c r="B3677" t="s">
        <v>15141</v>
      </c>
      <c r="C3677">
        <v>-4.91</v>
      </c>
      <c r="D3677">
        <v>200</v>
      </c>
      <c r="E3677">
        <v>-10.33</v>
      </c>
      <c r="F3677">
        <v>199.99</v>
      </c>
      <c r="G3677">
        <v>200</v>
      </c>
      <c r="H3677">
        <v>73891</v>
      </c>
      <c r="I3677">
        <v>637</v>
      </c>
      <c r="J3677">
        <v>-0.43</v>
      </c>
      <c r="K3677">
        <v>2.61</v>
      </c>
      <c r="L3677">
        <v>210</v>
      </c>
      <c r="M3677">
        <v>212</v>
      </c>
      <c r="N3677">
        <v>199.4</v>
      </c>
      <c r="O3677">
        <v>210.33</v>
      </c>
      <c r="P3677">
        <v>107.1</v>
      </c>
      <c r="Q3677">
        <v>1514537856</v>
      </c>
      <c r="R3677">
        <v>0.91</v>
      </c>
      <c r="S3677" t="s">
        <v>3507</v>
      </c>
      <c r="T3677" t="s">
        <v>165</v>
      </c>
      <c r="U3677">
        <v>5.99</v>
      </c>
      <c r="V3677">
        <v>204.97</v>
      </c>
      <c r="W3677">
        <v>42830</v>
      </c>
      <c r="X3677">
        <v>31061</v>
      </c>
      <c r="Y3677">
        <v>1.38</v>
      </c>
      <c r="Z3677">
        <v>1</v>
      </c>
      <c r="AA3677">
        <v>446</v>
      </c>
      <c r="AB3677" t="s">
        <v>116</v>
      </c>
      <c r="AC3677">
        <v>7379800</v>
      </c>
      <c r="AD3677">
        <v>0.02</v>
      </c>
      <c r="AE3677" t="s">
        <v>116</v>
      </c>
      <c r="AF3677" t="s">
        <v>116</v>
      </c>
      <c r="AG3677">
        <v>2.83</v>
      </c>
      <c r="AH3677" t="s">
        <v>15142</v>
      </c>
      <c r="AI3677" t="s">
        <v>15143</v>
      </c>
      <c r="AJ3677">
        <v>-4.83</v>
      </c>
      <c r="AK3677">
        <v>4201</v>
      </c>
      <c r="AL3677">
        <v>18</v>
      </c>
      <c r="AM3677">
        <v>5.9999999999999995E-4</v>
      </c>
      <c r="AN3677">
        <v>-2</v>
      </c>
      <c r="AO3677">
        <v>2.36</v>
      </c>
      <c r="AP3677">
        <v>20.92</v>
      </c>
      <c r="AQ3677">
        <v>35.119999999999997</v>
      </c>
      <c r="AR3677">
        <v>222.4</v>
      </c>
      <c r="AS3677">
        <v>4.2</v>
      </c>
      <c r="AT3677" t="s">
        <v>15144</v>
      </c>
      <c r="AU3677">
        <v>131.76</v>
      </c>
      <c r="AV3677">
        <v>158.55000000000001</v>
      </c>
      <c r="AW3677">
        <v>1.82</v>
      </c>
      <c r="BA3677">
        <v>-0.16</v>
      </c>
      <c r="BB3677">
        <v>0.79</v>
      </c>
      <c r="BC3677">
        <v>-5.2</v>
      </c>
      <c r="BD3677">
        <v>-2.5499999999999998</v>
      </c>
      <c r="BE3677">
        <v>-4.76</v>
      </c>
      <c r="BF3677">
        <v>-5.66</v>
      </c>
      <c r="BG3677">
        <v>0.3</v>
      </c>
      <c r="BH3677">
        <v>-2.36</v>
      </c>
      <c r="BI3677">
        <v>20191225</v>
      </c>
      <c r="BJ3677">
        <v>20160818</v>
      </c>
      <c r="BK3677">
        <v>3.21</v>
      </c>
      <c r="BL3677" t="s">
        <v>116</v>
      </c>
      <c r="BM3677" t="s">
        <v>116</v>
      </c>
      <c r="BN3677">
        <v>57.99</v>
      </c>
      <c r="BO3677">
        <v>49.56</v>
      </c>
      <c r="BP3677">
        <v>0.01</v>
      </c>
      <c r="BQ3677">
        <v>14.52</v>
      </c>
      <c r="BR3677">
        <v>27.46</v>
      </c>
      <c r="BS3677">
        <v>4.8099999999999996</v>
      </c>
      <c r="BT3677">
        <v>2.2999999999999998</v>
      </c>
      <c r="BU3677">
        <v>6.05</v>
      </c>
      <c r="BV3677">
        <v>5.67</v>
      </c>
      <c r="BW3677">
        <v>2</v>
      </c>
      <c r="BX3677">
        <v>32.01</v>
      </c>
      <c r="BY3677">
        <v>22.04</v>
      </c>
      <c r="BZ3677">
        <v>13.42</v>
      </c>
      <c r="CA3677">
        <v>4.5599999999999996</v>
      </c>
      <c r="CB3677">
        <v>0.12</v>
      </c>
      <c r="CC3677">
        <v>4.7300000000000004</v>
      </c>
      <c r="CD3677">
        <v>4.49</v>
      </c>
      <c r="CE3677">
        <v>4.5</v>
      </c>
      <c r="CF3677">
        <v>3.95</v>
      </c>
      <c r="CG3677">
        <v>14.23</v>
      </c>
      <c r="CH3677">
        <v>7.03</v>
      </c>
      <c r="CI3677">
        <v>9.44</v>
      </c>
      <c r="CJ3677">
        <v>29214</v>
      </c>
      <c r="CK3677">
        <v>6029</v>
      </c>
      <c r="CL3677" t="s">
        <v>15145</v>
      </c>
      <c r="CM3677">
        <v>22.42</v>
      </c>
      <c r="CN3677">
        <v>28.04</v>
      </c>
      <c r="CO3677">
        <v>12.96</v>
      </c>
      <c r="CP3677">
        <v>91.28</v>
      </c>
      <c r="CQ3677">
        <v>29.14</v>
      </c>
      <c r="CR3677">
        <v>0.13</v>
      </c>
      <c r="CS3677" t="s">
        <v>3245</v>
      </c>
      <c r="CT3677">
        <v>15.43</v>
      </c>
      <c r="CU3677">
        <v>0</v>
      </c>
      <c r="CV3677">
        <v>9.9700000000000006</v>
      </c>
      <c r="CW3677">
        <v>4.43</v>
      </c>
      <c r="CX3677">
        <v>2.19</v>
      </c>
      <c r="CY3677">
        <v>85.46</v>
      </c>
      <c r="CZ3677" t="s">
        <v>13045</v>
      </c>
      <c r="DA3677">
        <v>39.090000000000003</v>
      </c>
      <c r="DB3677">
        <v>20.7</v>
      </c>
      <c r="DC3677">
        <v>20.41</v>
      </c>
      <c r="DD3677">
        <v>2.4300000000000002</v>
      </c>
      <c r="DE3677">
        <v>521</v>
      </c>
      <c r="DF3677">
        <v>603986</v>
      </c>
      <c r="DG3677" t="s">
        <v>116</v>
      </c>
      <c r="DH3677" t="s">
        <v>116</v>
      </c>
      <c r="DI3677" t="s">
        <v>116</v>
      </c>
    </row>
    <row r="3678" spans="1:113" x14ac:dyDescent="0.4">
      <c r="A3678" t="str">
        <f>"603987"</f>
        <v>603987</v>
      </c>
      <c r="B3678" t="s">
        <v>15146</v>
      </c>
      <c r="C3678">
        <v>-0.13</v>
      </c>
      <c r="D3678">
        <v>7.78</v>
      </c>
      <c r="E3678">
        <v>-0.01</v>
      </c>
      <c r="F3678">
        <v>7.77</v>
      </c>
      <c r="G3678">
        <v>7.78</v>
      </c>
      <c r="H3678">
        <v>55785</v>
      </c>
      <c r="I3678">
        <v>369</v>
      </c>
      <c r="J3678">
        <v>0</v>
      </c>
      <c r="K3678">
        <v>1.26</v>
      </c>
      <c r="L3678">
        <v>7.87</v>
      </c>
      <c r="M3678">
        <v>7.94</v>
      </c>
      <c r="N3678">
        <v>7.73</v>
      </c>
      <c r="O3678">
        <v>7.79</v>
      </c>
      <c r="P3678">
        <v>21.68</v>
      </c>
      <c r="Q3678">
        <v>43772800</v>
      </c>
      <c r="R3678">
        <v>1.66</v>
      </c>
      <c r="S3678" t="s">
        <v>559</v>
      </c>
      <c r="T3678" t="s">
        <v>1653</v>
      </c>
      <c r="U3678">
        <v>2.7</v>
      </c>
      <c r="V3678">
        <v>7.85</v>
      </c>
      <c r="W3678">
        <v>29535</v>
      </c>
      <c r="X3678">
        <v>26250</v>
      </c>
      <c r="Y3678">
        <v>1.1299999999999999</v>
      </c>
      <c r="Z3678">
        <v>287</v>
      </c>
      <c r="AA3678">
        <v>6</v>
      </c>
      <c r="AB3678" t="s">
        <v>116</v>
      </c>
      <c r="AC3678">
        <v>397400</v>
      </c>
      <c r="AD3678">
        <v>0.02</v>
      </c>
      <c r="AE3678" t="s">
        <v>116</v>
      </c>
      <c r="AF3678" t="s">
        <v>116</v>
      </c>
      <c r="AG3678">
        <v>4.42</v>
      </c>
      <c r="AH3678" t="s">
        <v>2023</v>
      </c>
      <c r="AI3678" t="s">
        <v>2023</v>
      </c>
      <c r="AJ3678">
        <v>-0.05</v>
      </c>
      <c r="AK3678">
        <v>1110</v>
      </c>
      <c r="AL3678">
        <v>50</v>
      </c>
      <c r="AM3678">
        <v>1.1000000000000001E-3</v>
      </c>
      <c r="AN3678">
        <v>-1</v>
      </c>
      <c r="AO3678">
        <v>2.1</v>
      </c>
      <c r="AP3678">
        <v>7.31</v>
      </c>
      <c r="AQ3678">
        <v>-2.99</v>
      </c>
      <c r="AR3678">
        <v>24.08</v>
      </c>
      <c r="AS3678">
        <v>2.37</v>
      </c>
      <c r="AT3678" t="s">
        <v>7307</v>
      </c>
      <c r="AU3678">
        <v>22.51</v>
      </c>
      <c r="AV3678">
        <v>23.36</v>
      </c>
      <c r="AW3678">
        <v>1.44</v>
      </c>
      <c r="BA3678">
        <v>1.03</v>
      </c>
      <c r="BB3678">
        <v>1.93</v>
      </c>
      <c r="BC3678">
        <v>-0.77</v>
      </c>
      <c r="BD3678">
        <v>0.73</v>
      </c>
      <c r="BE3678">
        <v>-1.1399999999999999</v>
      </c>
      <c r="BF3678">
        <v>-2.02</v>
      </c>
      <c r="BG3678">
        <v>0.65</v>
      </c>
      <c r="BH3678">
        <v>-0.86</v>
      </c>
      <c r="BI3678">
        <v>20191120</v>
      </c>
      <c r="BJ3678">
        <v>20161121</v>
      </c>
      <c r="BK3678">
        <v>4.42</v>
      </c>
      <c r="BL3678" t="s">
        <v>116</v>
      </c>
      <c r="BM3678" t="s">
        <v>116</v>
      </c>
      <c r="BN3678">
        <v>28.84</v>
      </c>
      <c r="BO3678">
        <v>13.84</v>
      </c>
      <c r="BP3678">
        <v>4.32</v>
      </c>
      <c r="BQ3678">
        <v>37</v>
      </c>
      <c r="BR3678">
        <v>15.29</v>
      </c>
      <c r="BS3678">
        <v>7.89</v>
      </c>
      <c r="BT3678">
        <v>1.88</v>
      </c>
      <c r="BU3678">
        <v>9.11</v>
      </c>
      <c r="BV3678">
        <v>3.17</v>
      </c>
      <c r="BW3678">
        <v>5.52</v>
      </c>
      <c r="BX3678">
        <v>4.1399999999999997</v>
      </c>
      <c r="BY3678">
        <v>12.24</v>
      </c>
      <c r="BZ3678">
        <v>7.75</v>
      </c>
      <c r="CA3678">
        <v>2</v>
      </c>
      <c r="CB3678">
        <v>0.02</v>
      </c>
      <c r="CC3678">
        <v>2.04</v>
      </c>
      <c r="CD3678">
        <v>1.71</v>
      </c>
      <c r="CE3678">
        <v>1.19</v>
      </c>
      <c r="CF3678">
        <v>1.1599999999999999</v>
      </c>
      <c r="CG3678">
        <v>5.1100000000000003</v>
      </c>
      <c r="CH3678">
        <v>1.24</v>
      </c>
      <c r="CI3678">
        <v>-3.07</v>
      </c>
      <c r="CJ3678">
        <v>24810</v>
      </c>
      <c r="CK3678">
        <v>9475</v>
      </c>
      <c r="CL3678" t="s">
        <v>9406</v>
      </c>
      <c r="CM3678">
        <v>4.9000000000000004</v>
      </c>
      <c r="CN3678">
        <v>14.46</v>
      </c>
      <c r="CO3678">
        <v>2.48</v>
      </c>
      <c r="CP3678">
        <v>27.71</v>
      </c>
      <c r="CQ3678">
        <v>2.81</v>
      </c>
      <c r="CR3678">
        <v>1.93</v>
      </c>
      <c r="CS3678" t="s">
        <v>2207</v>
      </c>
      <c r="CT3678">
        <v>3.13</v>
      </c>
      <c r="CU3678">
        <v>0</v>
      </c>
      <c r="CV3678">
        <v>0.94</v>
      </c>
      <c r="CW3678">
        <v>1.1599999999999999</v>
      </c>
      <c r="CX3678">
        <v>0.28000000000000003</v>
      </c>
      <c r="CY3678">
        <v>48.01</v>
      </c>
      <c r="CZ3678" t="s">
        <v>5111</v>
      </c>
      <c r="DA3678">
        <v>36.71</v>
      </c>
      <c r="DB3678">
        <v>16.350000000000001</v>
      </c>
      <c r="DC3678">
        <v>9.7100000000000009</v>
      </c>
      <c r="DD3678">
        <v>0.64</v>
      </c>
      <c r="DE3678">
        <v>3926</v>
      </c>
      <c r="DF3678">
        <v>603987</v>
      </c>
      <c r="DG3678" t="s">
        <v>116</v>
      </c>
      <c r="DH3678" t="s">
        <v>116</v>
      </c>
      <c r="DI3678" t="s">
        <v>116</v>
      </c>
    </row>
    <row r="3679" spans="1:113" x14ac:dyDescent="0.4">
      <c r="A3679" t="str">
        <f>"603988"</f>
        <v>603988</v>
      </c>
      <c r="B3679" t="s">
        <v>15147</v>
      </c>
      <c r="C3679">
        <v>-2.0499999999999998</v>
      </c>
      <c r="D3679">
        <v>9.5500000000000007</v>
      </c>
      <c r="E3679">
        <v>-0.2</v>
      </c>
      <c r="F3679">
        <v>9.5500000000000007</v>
      </c>
      <c r="G3679">
        <v>9.56</v>
      </c>
      <c r="H3679">
        <v>25193</v>
      </c>
      <c r="I3679">
        <v>852</v>
      </c>
      <c r="J3679">
        <v>-0.09</v>
      </c>
      <c r="K3679">
        <v>1.07</v>
      </c>
      <c r="L3679">
        <v>9.75</v>
      </c>
      <c r="M3679">
        <v>9.81</v>
      </c>
      <c r="N3679">
        <v>9.52</v>
      </c>
      <c r="O3679">
        <v>9.75</v>
      </c>
      <c r="P3679">
        <v>31.26</v>
      </c>
      <c r="Q3679">
        <v>24399696</v>
      </c>
      <c r="R3679">
        <v>1.01</v>
      </c>
      <c r="S3679" t="s">
        <v>397</v>
      </c>
      <c r="T3679" t="s">
        <v>323</v>
      </c>
      <c r="U3679">
        <v>2.97</v>
      </c>
      <c r="V3679">
        <v>9.69</v>
      </c>
      <c r="W3679">
        <v>17016</v>
      </c>
      <c r="X3679">
        <v>8177</v>
      </c>
      <c r="Y3679">
        <v>2.08</v>
      </c>
      <c r="Z3679">
        <v>145</v>
      </c>
      <c r="AA3679">
        <v>511</v>
      </c>
      <c r="AB3679" t="s">
        <v>116</v>
      </c>
      <c r="AC3679">
        <v>0</v>
      </c>
      <c r="AD3679">
        <v>0</v>
      </c>
      <c r="AE3679" t="s">
        <v>116</v>
      </c>
      <c r="AF3679" t="s">
        <v>116</v>
      </c>
      <c r="AG3679">
        <v>2.35</v>
      </c>
      <c r="AH3679" t="s">
        <v>8005</v>
      </c>
      <c r="AI3679" t="s">
        <v>8005</v>
      </c>
      <c r="AJ3679">
        <v>-1.97</v>
      </c>
      <c r="AK3679">
        <v>908</v>
      </c>
      <c r="AL3679">
        <v>28</v>
      </c>
      <c r="AM3679">
        <v>1.1999999999999999E-3</v>
      </c>
      <c r="AN3679">
        <v>-1</v>
      </c>
      <c r="AO3679">
        <v>-1.34</v>
      </c>
      <c r="AP3679">
        <v>-2.75</v>
      </c>
      <c r="AQ3679">
        <v>-1.85</v>
      </c>
      <c r="AR3679">
        <v>-0.78</v>
      </c>
      <c r="AS3679">
        <v>3.29</v>
      </c>
      <c r="AT3679" t="s">
        <v>15148</v>
      </c>
      <c r="AU3679">
        <v>35.49</v>
      </c>
      <c r="AV3679">
        <v>46.57</v>
      </c>
      <c r="AW3679">
        <v>0.86</v>
      </c>
      <c r="BA3679">
        <v>0</v>
      </c>
      <c r="BB3679">
        <v>0.62</v>
      </c>
      <c r="BC3679">
        <v>-2.36</v>
      </c>
      <c r="BD3679">
        <v>-0.67</v>
      </c>
      <c r="BE3679">
        <v>-2.0499999999999998</v>
      </c>
      <c r="BF3679">
        <v>-2.65</v>
      </c>
      <c r="BG3679">
        <v>0.32</v>
      </c>
      <c r="BH3679">
        <v>-1.38</v>
      </c>
      <c r="BI3679">
        <v>20191024</v>
      </c>
      <c r="BJ3679">
        <v>20141104</v>
      </c>
      <c r="BK3679">
        <v>2.35</v>
      </c>
      <c r="BL3679" t="s">
        <v>116</v>
      </c>
      <c r="BM3679" t="s">
        <v>116</v>
      </c>
      <c r="BN3679">
        <v>9.57</v>
      </c>
      <c r="BO3679">
        <v>6.35</v>
      </c>
      <c r="BP3679">
        <v>0</v>
      </c>
      <c r="BQ3679">
        <v>33.630000000000003</v>
      </c>
      <c r="BR3679">
        <v>8.1199999999999992</v>
      </c>
      <c r="BS3679">
        <v>0.9</v>
      </c>
      <c r="BT3679">
        <v>0.28999999999999998</v>
      </c>
      <c r="BU3679">
        <v>3.21</v>
      </c>
      <c r="BV3679">
        <v>2.83</v>
      </c>
      <c r="BW3679">
        <v>1.21</v>
      </c>
      <c r="BX3679">
        <v>1.73</v>
      </c>
      <c r="BY3679">
        <v>3.75</v>
      </c>
      <c r="BZ3679">
        <v>2.56</v>
      </c>
      <c r="CA3679">
        <v>0.63</v>
      </c>
      <c r="CB3679">
        <v>0.06</v>
      </c>
      <c r="CC3679">
        <v>0.63</v>
      </c>
      <c r="CD3679">
        <v>0.54</v>
      </c>
      <c r="CE3679">
        <v>0.54</v>
      </c>
      <c r="CF3679">
        <v>0.49</v>
      </c>
      <c r="CG3679">
        <v>1.92</v>
      </c>
      <c r="CH3679">
        <v>0.34</v>
      </c>
      <c r="CI3679">
        <v>-2.1800000000000002</v>
      </c>
      <c r="CJ3679">
        <v>13928</v>
      </c>
      <c r="CK3679">
        <v>5502</v>
      </c>
      <c r="CL3679" t="s">
        <v>4741</v>
      </c>
      <c r="CM3679">
        <v>38.770000000000003</v>
      </c>
      <c r="CN3679">
        <v>16.43</v>
      </c>
      <c r="CO3679">
        <v>3.54</v>
      </c>
      <c r="CP3679">
        <v>66.38</v>
      </c>
      <c r="CQ3679">
        <v>5.99</v>
      </c>
      <c r="CR3679">
        <v>4.03</v>
      </c>
      <c r="CS3679" t="s">
        <v>14183</v>
      </c>
      <c r="CT3679">
        <v>2.7</v>
      </c>
      <c r="CU3679">
        <v>0</v>
      </c>
      <c r="CV3679">
        <v>0.73</v>
      </c>
      <c r="CW3679">
        <v>0.82</v>
      </c>
      <c r="CX3679">
        <v>0.14000000000000001</v>
      </c>
      <c r="CY3679">
        <v>66.37</v>
      </c>
      <c r="CZ3679" t="s">
        <v>557</v>
      </c>
      <c r="DA3679">
        <v>31.68</v>
      </c>
      <c r="DB3679">
        <v>16.68</v>
      </c>
      <c r="DC3679">
        <v>14.36</v>
      </c>
      <c r="DD3679">
        <v>0.11</v>
      </c>
      <c r="DE3679">
        <v>502</v>
      </c>
      <c r="DF3679">
        <v>603988</v>
      </c>
      <c r="DG3679" t="s">
        <v>116</v>
      </c>
      <c r="DH3679" t="s">
        <v>116</v>
      </c>
      <c r="DI3679" t="s">
        <v>116</v>
      </c>
    </row>
    <row r="3680" spans="1:113" x14ac:dyDescent="0.4">
      <c r="A3680" t="str">
        <f>"603989"</f>
        <v>603989</v>
      </c>
      <c r="B3680" t="s">
        <v>15149</v>
      </c>
      <c r="C3680">
        <v>-2.04</v>
      </c>
      <c r="D3680">
        <v>21.56</v>
      </c>
      <c r="E3680">
        <v>-0.45</v>
      </c>
      <c r="F3680">
        <v>21.56</v>
      </c>
      <c r="G3680">
        <v>21.57</v>
      </c>
      <c r="H3680">
        <v>18856</v>
      </c>
      <c r="I3680">
        <v>90</v>
      </c>
      <c r="J3680">
        <v>-0.13</v>
      </c>
      <c r="K3680">
        <v>0.48</v>
      </c>
      <c r="L3680">
        <v>22.18</v>
      </c>
      <c r="M3680">
        <v>22.18</v>
      </c>
      <c r="N3680">
        <v>21.55</v>
      </c>
      <c r="O3680">
        <v>22.01</v>
      </c>
      <c r="P3680">
        <v>29.05</v>
      </c>
      <c r="Q3680">
        <v>40980068</v>
      </c>
      <c r="R3680">
        <v>0.71</v>
      </c>
      <c r="S3680" t="s">
        <v>233</v>
      </c>
      <c r="T3680" t="s">
        <v>599</v>
      </c>
      <c r="U3680">
        <v>2.86</v>
      </c>
      <c r="V3680">
        <v>21.73</v>
      </c>
      <c r="W3680">
        <v>12248</v>
      </c>
      <c r="X3680">
        <v>6608</v>
      </c>
      <c r="Y3680">
        <v>1.85</v>
      </c>
      <c r="Z3680">
        <v>137</v>
      </c>
      <c r="AA3680">
        <v>56</v>
      </c>
      <c r="AB3680" t="s">
        <v>116</v>
      </c>
      <c r="AC3680">
        <v>48800</v>
      </c>
      <c r="AD3680">
        <v>0</v>
      </c>
      <c r="AE3680" t="s">
        <v>116</v>
      </c>
      <c r="AF3680" t="s">
        <v>116</v>
      </c>
      <c r="AG3680">
        <v>3.9</v>
      </c>
      <c r="AH3680" t="s">
        <v>15150</v>
      </c>
      <c r="AI3680" t="s">
        <v>15150</v>
      </c>
      <c r="AJ3680">
        <v>-1.97</v>
      </c>
      <c r="AK3680">
        <v>1415</v>
      </c>
      <c r="AL3680">
        <v>13</v>
      </c>
      <c r="AM3680">
        <v>2.9999999999999997E-4</v>
      </c>
      <c r="AN3680">
        <v>-2</v>
      </c>
      <c r="AO3680">
        <v>1.94</v>
      </c>
      <c r="AP3680">
        <v>14.32</v>
      </c>
      <c r="AQ3680">
        <v>8.61</v>
      </c>
      <c r="AR3680">
        <v>8.67</v>
      </c>
      <c r="AS3680">
        <v>1.46</v>
      </c>
      <c r="AT3680" t="s">
        <v>4615</v>
      </c>
      <c r="AU3680">
        <v>28.91</v>
      </c>
      <c r="AV3680">
        <v>28.15</v>
      </c>
      <c r="AW3680">
        <v>0.65</v>
      </c>
      <c r="BA3680">
        <v>0.77</v>
      </c>
      <c r="BB3680">
        <v>0.77</v>
      </c>
      <c r="BC3680">
        <v>-2.09</v>
      </c>
      <c r="BD3680">
        <v>-1.26</v>
      </c>
      <c r="BE3680">
        <v>-2.8</v>
      </c>
      <c r="BF3680">
        <v>-2.8</v>
      </c>
      <c r="BG3680">
        <v>0.05</v>
      </c>
      <c r="BH3680">
        <v>-0.78</v>
      </c>
      <c r="BI3680">
        <v>20191031</v>
      </c>
      <c r="BJ3680">
        <v>20150515</v>
      </c>
      <c r="BK3680">
        <v>3.9</v>
      </c>
      <c r="BL3680" t="s">
        <v>116</v>
      </c>
      <c r="BM3680" t="s">
        <v>116</v>
      </c>
      <c r="BN3680">
        <v>33.39</v>
      </c>
      <c r="BO3680">
        <v>21.61</v>
      </c>
      <c r="BP3680">
        <v>0.37</v>
      </c>
      <c r="BQ3680">
        <v>34.17</v>
      </c>
      <c r="BR3680">
        <v>22.98</v>
      </c>
      <c r="BS3680">
        <v>8.9</v>
      </c>
      <c r="BT3680">
        <v>0.31</v>
      </c>
      <c r="BU3680">
        <v>5.69</v>
      </c>
      <c r="BV3680">
        <v>5.16</v>
      </c>
      <c r="BW3680">
        <v>6.03</v>
      </c>
      <c r="BX3680">
        <v>8.3699999999999992</v>
      </c>
      <c r="BY3680">
        <v>16.21</v>
      </c>
      <c r="BZ3680">
        <v>11.33</v>
      </c>
      <c r="CA3680">
        <v>2.4700000000000002</v>
      </c>
      <c r="CB3680">
        <v>0.28999999999999998</v>
      </c>
      <c r="CC3680">
        <v>2.61</v>
      </c>
      <c r="CD3680">
        <v>2.17</v>
      </c>
      <c r="CE3680">
        <v>2.17</v>
      </c>
      <c r="CF3680">
        <v>1.78</v>
      </c>
      <c r="CG3680">
        <v>6.11</v>
      </c>
      <c r="CH3680">
        <v>1.63</v>
      </c>
      <c r="CI3680">
        <v>-0.59</v>
      </c>
      <c r="CJ3680">
        <v>12423</v>
      </c>
      <c r="CK3680">
        <v>10418</v>
      </c>
      <c r="CL3680" t="s">
        <v>15151</v>
      </c>
      <c r="CM3680">
        <v>-3.48</v>
      </c>
      <c r="CN3680">
        <v>1.02</v>
      </c>
      <c r="CO3680">
        <v>4.22</v>
      </c>
      <c r="CP3680">
        <v>51.56</v>
      </c>
      <c r="CQ3680">
        <v>5.19</v>
      </c>
      <c r="CR3680">
        <v>1.39</v>
      </c>
      <c r="CS3680" t="s">
        <v>6267</v>
      </c>
      <c r="CT3680">
        <v>5.1100000000000003</v>
      </c>
      <c r="CU3680">
        <v>5.1100000000000003</v>
      </c>
      <c r="CV3680">
        <v>2.15</v>
      </c>
      <c r="CW3680">
        <v>1.57</v>
      </c>
      <c r="CX3680">
        <v>0.42</v>
      </c>
      <c r="CY3680">
        <v>64.709999999999994</v>
      </c>
      <c r="CZ3680" t="s">
        <v>15152</v>
      </c>
      <c r="DA3680">
        <v>30.11</v>
      </c>
      <c r="DB3680">
        <v>15.22</v>
      </c>
      <c r="DC3680">
        <v>13.39</v>
      </c>
      <c r="DD3680">
        <v>0.66</v>
      </c>
      <c r="DE3680">
        <v>3867</v>
      </c>
      <c r="DF3680">
        <v>603989</v>
      </c>
      <c r="DG3680" t="s">
        <v>116</v>
      </c>
      <c r="DH3680" t="s">
        <v>116</v>
      </c>
      <c r="DI3680" t="s">
        <v>116</v>
      </c>
    </row>
    <row r="3681" spans="1:113" x14ac:dyDescent="0.4">
      <c r="A3681" t="str">
        <f>"603990"</f>
        <v>603990</v>
      </c>
      <c r="B3681" t="s">
        <v>15153</v>
      </c>
      <c r="C3681">
        <v>-1.1399999999999999</v>
      </c>
      <c r="D3681">
        <v>33.700000000000003</v>
      </c>
      <c r="E3681">
        <v>-0.39</v>
      </c>
      <c r="F3681">
        <v>33.69</v>
      </c>
      <c r="G3681">
        <v>33.700000000000003</v>
      </c>
      <c r="H3681">
        <v>24606</v>
      </c>
      <c r="I3681">
        <v>161</v>
      </c>
      <c r="J3681">
        <v>-0.11</v>
      </c>
      <c r="K3681">
        <v>2.2000000000000002</v>
      </c>
      <c r="L3681">
        <v>33.96</v>
      </c>
      <c r="M3681">
        <v>34.380000000000003</v>
      </c>
      <c r="N3681">
        <v>33.61</v>
      </c>
      <c r="O3681">
        <v>34.090000000000003</v>
      </c>
      <c r="P3681">
        <v>261.64</v>
      </c>
      <c r="Q3681">
        <v>83673480</v>
      </c>
      <c r="R3681">
        <v>0.57999999999999996</v>
      </c>
      <c r="S3681" t="s">
        <v>607</v>
      </c>
      <c r="T3681" t="s">
        <v>323</v>
      </c>
      <c r="U3681">
        <v>2.2599999999999998</v>
      </c>
      <c r="V3681">
        <v>34.01</v>
      </c>
      <c r="W3681">
        <v>12293</v>
      </c>
      <c r="X3681">
        <v>12313</v>
      </c>
      <c r="Y3681">
        <v>1</v>
      </c>
      <c r="Z3681">
        <v>5</v>
      </c>
      <c r="AA3681">
        <v>144</v>
      </c>
      <c r="AB3681" t="s">
        <v>116</v>
      </c>
      <c r="AC3681">
        <v>37400</v>
      </c>
      <c r="AD3681">
        <v>0</v>
      </c>
      <c r="AE3681" t="s">
        <v>116</v>
      </c>
      <c r="AF3681" t="s">
        <v>116</v>
      </c>
      <c r="AG3681">
        <v>1.1200000000000001</v>
      </c>
      <c r="AH3681" t="s">
        <v>15154</v>
      </c>
      <c r="AI3681" t="s">
        <v>989</v>
      </c>
      <c r="AJ3681">
        <v>-1.07</v>
      </c>
      <c r="AK3681">
        <v>1399</v>
      </c>
      <c r="AL3681">
        <v>18</v>
      </c>
      <c r="AM3681">
        <v>1.6000000000000001E-3</v>
      </c>
      <c r="AN3681">
        <v>-2</v>
      </c>
      <c r="AO3681">
        <v>-0.53</v>
      </c>
      <c r="AP3681">
        <v>4.08</v>
      </c>
      <c r="AQ3681">
        <v>15.93</v>
      </c>
      <c r="AR3681">
        <v>44.5</v>
      </c>
      <c r="AS3681">
        <v>4.53</v>
      </c>
      <c r="AT3681" t="s">
        <v>7307</v>
      </c>
      <c r="AU3681">
        <v>69.010000000000005</v>
      </c>
      <c r="AV3681">
        <v>68.31</v>
      </c>
      <c r="AW3681">
        <v>0.56999999999999995</v>
      </c>
      <c r="BA3681">
        <v>-0.38</v>
      </c>
      <c r="BB3681">
        <v>0.85</v>
      </c>
      <c r="BC3681">
        <v>-1.41</v>
      </c>
      <c r="BD3681">
        <v>-0.25</v>
      </c>
      <c r="BE3681">
        <v>-0.77</v>
      </c>
      <c r="BF3681">
        <v>-1.98</v>
      </c>
      <c r="BG3681">
        <v>0.27</v>
      </c>
      <c r="BH3681">
        <v>-0.9</v>
      </c>
      <c r="BI3681">
        <v>20191206</v>
      </c>
      <c r="BJ3681">
        <v>20161208</v>
      </c>
      <c r="BK3681">
        <v>1.1200000000000001</v>
      </c>
      <c r="BL3681" t="s">
        <v>116</v>
      </c>
      <c r="BM3681" t="s">
        <v>116</v>
      </c>
      <c r="BN3681">
        <v>7.19</v>
      </c>
      <c r="BO3681">
        <v>4.66</v>
      </c>
      <c r="BP3681">
        <v>0</v>
      </c>
      <c r="BQ3681">
        <v>35.11</v>
      </c>
      <c r="BR3681">
        <v>4.3099999999999996</v>
      </c>
      <c r="BS3681">
        <v>2.13</v>
      </c>
      <c r="BT3681">
        <v>7.0000000000000007E-2</v>
      </c>
      <c r="BU3681">
        <v>2.5</v>
      </c>
      <c r="BV3681">
        <v>0.38</v>
      </c>
      <c r="BW3681">
        <v>2.58</v>
      </c>
      <c r="BX3681">
        <v>1.36</v>
      </c>
      <c r="BY3681">
        <v>1.78</v>
      </c>
      <c r="BZ3681">
        <v>0.46</v>
      </c>
      <c r="CA3681">
        <v>0.12</v>
      </c>
      <c r="CB3681">
        <v>-0.02</v>
      </c>
      <c r="CC3681">
        <v>0.12</v>
      </c>
      <c r="CD3681">
        <v>0.1</v>
      </c>
      <c r="CE3681">
        <v>0.11</v>
      </c>
      <c r="CF3681">
        <v>0.04</v>
      </c>
      <c r="CG3681">
        <v>2.11</v>
      </c>
      <c r="CH3681">
        <v>-0.34</v>
      </c>
      <c r="CI3681">
        <v>-0.55000000000000004</v>
      </c>
      <c r="CJ3681">
        <v>5449</v>
      </c>
      <c r="CK3681">
        <v>9959</v>
      </c>
      <c r="CL3681" t="s">
        <v>15155</v>
      </c>
      <c r="CM3681">
        <v>-4.92</v>
      </c>
      <c r="CN3681">
        <v>10.95</v>
      </c>
      <c r="CO3681">
        <v>8.1300000000000008</v>
      </c>
      <c r="CP3681">
        <v>-111.93</v>
      </c>
      <c r="CQ3681">
        <v>21.29</v>
      </c>
      <c r="CR3681">
        <v>0.45</v>
      </c>
      <c r="CS3681" t="s">
        <v>454</v>
      </c>
      <c r="CT3681">
        <v>4.1500000000000004</v>
      </c>
      <c r="CU3681">
        <v>0</v>
      </c>
      <c r="CV3681">
        <v>1.21</v>
      </c>
      <c r="CW3681">
        <v>1.88</v>
      </c>
      <c r="CX3681">
        <v>-0.3</v>
      </c>
      <c r="CY3681">
        <v>64.87</v>
      </c>
      <c r="CZ3681" t="s">
        <v>7806</v>
      </c>
      <c r="DA3681">
        <v>74.08</v>
      </c>
      <c r="DB3681">
        <v>6.61</v>
      </c>
      <c r="DC3681">
        <v>6.1</v>
      </c>
      <c r="DD3681">
        <v>0.44</v>
      </c>
      <c r="DE3681">
        <v>662</v>
      </c>
      <c r="DF3681">
        <v>603990</v>
      </c>
      <c r="DG3681" t="s">
        <v>116</v>
      </c>
      <c r="DH3681" t="s">
        <v>116</v>
      </c>
      <c r="DI3681" t="s">
        <v>116</v>
      </c>
    </row>
    <row r="3682" spans="1:113" x14ac:dyDescent="0.4">
      <c r="A3682" t="str">
        <f>"603991"</f>
        <v>603991</v>
      </c>
      <c r="B3682" t="s">
        <v>15156</v>
      </c>
      <c r="C3682">
        <v>-0.98</v>
      </c>
      <c r="D3682">
        <v>17.25</v>
      </c>
      <c r="E3682">
        <v>-0.17</v>
      </c>
      <c r="F3682">
        <v>17.25</v>
      </c>
      <c r="G3682">
        <v>17.29</v>
      </c>
      <c r="H3682">
        <v>3742</v>
      </c>
      <c r="I3682">
        <v>133</v>
      </c>
      <c r="J3682">
        <v>-0.28000000000000003</v>
      </c>
      <c r="K3682">
        <v>0.91</v>
      </c>
      <c r="L3682">
        <v>17.329999999999998</v>
      </c>
      <c r="M3682">
        <v>17.510000000000002</v>
      </c>
      <c r="N3682">
        <v>17.25</v>
      </c>
      <c r="O3682">
        <v>17.420000000000002</v>
      </c>
      <c r="P3682" t="s">
        <v>116</v>
      </c>
      <c r="Q3682">
        <v>6505006</v>
      </c>
      <c r="R3682">
        <v>0.5</v>
      </c>
      <c r="S3682" t="s">
        <v>2444</v>
      </c>
      <c r="T3682" t="s">
        <v>1653</v>
      </c>
      <c r="U3682">
        <v>1.49</v>
      </c>
      <c r="V3682">
        <v>17.38</v>
      </c>
      <c r="W3682">
        <v>2208</v>
      </c>
      <c r="X3682">
        <v>1534</v>
      </c>
      <c r="Y3682">
        <v>1.44</v>
      </c>
      <c r="Z3682">
        <v>15</v>
      </c>
      <c r="AA3682">
        <v>8</v>
      </c>
      <c r="AB3682" t="s">
        <v>116</v>
      </c>
      <c r="AC3682">
        <v>0</v>
      </c>
      <c r="AD3682">
        <v>0</v>
      </c>
      <c r="AE3682" t="s">
        <v>116</v>
      </c>
      <c r="AF3682" t="s">
        <v>116</v>
      </c>
      <c r="AG3682">
        <v>0.41</v>
      </c>
      <c r="AH3682" t="s">
        <v>14254</v>
      </c>
      <c r="AI3682" t="s">
        <v>4594</v>
      </c>
      <c r="AJ3682">
        <v>-0.9</v>
      </c>
      <c r="AK3682">
        <v>358</v>
      </c>
      <c r="AL3682">
        <v>10</v>
      </c>
      <c r="AM3682">
        <v>2.5000000000000001E-3</v>
      </c>
      <c r="AN3682">
        <v>-1</v>
      </c>
      <c r="AO3682">
        <v>-0.64</v>
      </c>
      <c r="AP3682">
        <v>6.09</v>
      </c>
      <c r="AQ3682">
        <v>-10.53</v>
      </c>
      <c r="AR3682">
        <v>-4.2699999999999996</v>
      </c>
      <c r="AS3682">
        <v>1.31</v>
      </c>
      <c r="AT3682" t="s">
        <v>15157</v>
      </c>
      <c r="AU3682">
        <v>191.45</v>
      </c>
      <c r="AV3682">
        <v>33.83</v>
      </c>
      <c r="AW3682">
        <v>1.18</v>
      </c>
      <c r="BA3682">
        <v>-0.52</v>
      </c>
      <c r="BB3682">
        <v>0.52</v>
      </c>
      <c r="BC3682">
        <v>-0.98</v>
      </c>
      <c r="BD3682">
        <v>-0.21</v>
      </c>
      <c r="BE3682">
        <v>-0.46</v>
      </c>
      <c r="BF3682">
        <v>-1.48</v>
      </c>
      <c r="BG3682">
        <v>0</v>
      </c>
      <c r="BH3682">
        <v>-0.77</v>
      </c>
      <c r="BI3682">
        <v>20191026</v>
      </c>
      <c r="BJ3682">
        <v>20170308</v>
      </c>
      <c r="BK3682">
        <v>0.75</v>
      </c>
      <c r="BL3682" t="s">
        <v>116</v>
      </c>
      <c r="BM3682" t="s">
        <v>116</v>
      </c>
      <c r="BN3682">
        <v>7.84</v>
      </c>
      <c r="BO3682">
        <v>4.71</v>
      </c>
      <c r="BP3682">
        <v>0</v>
      </c>
      <c r="BQ3682">
        <v>39.97</v>
      </c>
      <c r="BR3682">
        <v>4.87</v>
      </c>
      <c r="BS3682">
        <v>2.23</v>
      </c>
      <c r="BT3682">
        <v>0.24</v>
      </c>
      <c r="BU3682">
        <v>3.05</v>
      </c>
      <c r="BV3682">
        <v>0.71</v>
      </c>
      <c r="BW3682">
        <v>2.4700000000000002</v>
      </c>
      <c r="BX3682">
        <v>2.48</v>
      </c>
      <c r="BY3682">
        <v>3.24</v>
      </c>
      <c r="BZ3682">
        <v>2.6</v>
      </c>
      <c r="CA3682">
        <v>-0.09</v>
      </c>
      <c r="CB3682">
        <v>0</v>
      </c>
      <c r="CC3682">
        <v>-0.09</v>
      </c>
      <c r="CD3682">
        <v>-0.09</v>
      </c>
      <c r="CE3682">
        <v>-0.09</v>
      </c>
      <c r="CF3682">
        <v>-0.09</v>
      </c>
      <c r="CG3682">
        <v>1.31</v>
      </c>
      <c r="CH3682">
        <v>0.24</v>
      </c>
      <c r="CI3682">
        <v>-0.4</v>
      </c>
      <c r="CJ3682">
        <v>7723</v>
      </c>
      <c r="CK3682">
        <v>3686</v>
      </c>
      <c r="CL3682" t="s">
        <v>2423</v>
      </c>
      <c r="CM3682">
        <v>-140.85</v>
      </c>
      <c r="CN3682">
        <v>-16.96</v>
      </c>
      <c r="CO3682">
        <v>2.73</v>
      </c>
      <c r="CP3682">
        <v>54.18</v>
      </c>
      <c r="CQ3682">
        <v>3.97</v>
      </c>
      <c r="CR3682">
        <v>0.93</v>
      </c>
      <c r="CS3682" t="s">
        <v>7936</v>
      </c>
      <c r="CT3682">
        <v>6.32</v>
      </c>
      <c r="CU3682">
        <v>0</v>
      </c>
      <c r="CV3682">
        <v>3.32</v>
      </c>
      <c r="CW3682">
        <v>1.76</v>
      </c>
      <c r="CX3682">
        <v>0.32</v>
      </c>
      <c r="CY3682">
        <v>60.03</v>
      </c>
      <c r="CZ3682" t="s">
        <v>15158</v>
      </c>
      <c r="DA3682">
        <v>19.77</v>
      </c>
      <c r="DB3682">
        <v>-2.74</v>
      </c>
      <c r="DC3682">
        <v>-2.8</v>
      </c>
      <c r="DD3682">
        <v>0.19</v>
      </c>
      <c r="DE3682">
        <v>388</v>
      </c>
      <c r="DF3682">
        <v>603991</v>
      </c>
      <c r="DG3682" t="s">
        <v>116</v>
      </c>
      <c r="DH3682" t="s">
        <v>116</v>
      </c>
      <c r="DI3682" t="s">
        <v>116</v>
      </c>
    </row>
    <row r="3683" spans="1:113" x14ac:dyDescent="0.4">
      <c r="A3683" t="str">
        <f>"603992"</f>
        <v>603992</v>
      </c>
      <c r="B3683" t="s">
        <v>15159</v>
      </c>
      <c r="C3683">
        <v>-0.1</v>
      </c>
      <c r="D3683">
        <v>20.170000000000002</v>
      </c>
      <c r="E3683">
        <v>-0.02</v>
      </c>
      <c r="F3683">
        <v>20.16</v>
      </c>
      <c r="G3683">
        <v>20.170000000000002</v>
      </c>
      <c r="H3683">
        <v>31446</v>
      </c>
      <c r="I3683">
        <v>605</v>
      </c>
      <c r="J3683">
        <v>0.05</v>
      </c>
      <c r="K3683">
        <v>7.67</v>
      </c>
      <c r="L3683">
        <v>20.18</v>
      </c>
      <c r="M3683">
        <v>20.38</v>
      </c>
      <c r="N3683">
        <v>19.989999999999998</v>
      </c>
      <c r="O3683">
        <v>20.190000000000001</v>
      </c>
      <c r="P3683">
        <v>36.49</v>
      </c>
      <c r="Q3683">
        <v>63306712</v>
      </c>
      <c r="R3683">
        <v>1.42</v>
      </c>
      <c r="S3683" t="s">
        <v>2640</v>
      </c>
      <c r="T3683" t="s">
        <v>975</v>
      </c>
      <c r="U3683">
        <v>1.93</v>
      </c>
      <c r="V3683">
        <v>20.13</v>
      </c>
      <c r="W3683">
        <v>15396</v>
      </c>
      <c r="X3683">
        <v>16050</v>
      </c>
      <c r="Y3683">
        <v>0.96</v>
      </c>
      <c r="Z3683">
        <v>176</v>
      </c>
      <c r="AA3683">
        <v>73</v>
      </c>
      <c r="AB3683" t="s">
        <v>116</v>
      </c>
      <c r="AC3683">
        <v>173500</v>
      </c>
      <c r="AD3683">
        <v>0.02</v>
      </c>
      <c r="AE3683" t="s">
        <v>116</v>
      </c>
      <c r="AF3683" t="s">
        <v>116</v>
      </c>
      <c r="AG3683">
        <v>0.41</v>
      </c>
      <c r="AH3683" t="s">
        <v>10129</v>
      </c>
      <c r="AI3683" t="s">
        <v>15160</v>
      </c>
      <c r="AJ3683">
        <v>-0.02</v>
      </c>
      <c r="AK3683">
        <v>1633</v>
      </c>
      <c r="AL3683">
        <v>19</v>
      </c>
      <c r="AM3683">
        <v>4.7000000000000002E-3</v>
      </c>
      <c r="AN3683">
        <v>-1</v>
      </c>
      <c r="AO3683">
        <v>2.12</v>
      </c>
      <c r="AP3683">
        <v>0.7</v>
      </c>
      <c r="AQ3683">
        <v>-14.71</v>
      </c>
      <c r="AR3683">
        <v>48.97</v>
      </c>
      <c r="AS3683">
        <v>7.67</v>
      </c>
      <c r="AT3683" t="s">
        <v>10129</v>
      </c>
      <c r="AU3683">
        <v>34.18</v>
      </c>
      <c r="AV3683">
        <v>34.24</v>
      </c>
      <c r="AW3683">
        <v>1.57</v>
      </c>
      <c r="BA3683">
        <v>-0.05</v>
      </c>
      <c r="BB3683">
        <v>0.94</v>
      </c>
      <c r="BC3683">
        <v>-0.99</v>
      </c>
      <c r="BD3683">
        <v>-0.28999999999999998</v>
      </c>
      <c r="BE3683">
        <v>-0.05</v>
      </c>
      <c r="BF3683">
        <v>-1.03</v>
      </c>
      <c r="BG3683">
        <v>0.9</v>
      </c>
      <c r="BH3683">
        <v>0.19</v>
      </c>
      <c r="BI3683">
        <v>20191028</v>
      </c>
      <c r="BJ3683">
        <v>20190826</v>
      </c>
      <c r="BK3683">
        <v>4.01</v>
      </c>
      <c r="BL3683" t="s">
        <v>116</v>
      </c>
      <c r="BM3683" t="s">
        <v>116</v>
      </c>
      <c r="BN3683">
        <v>22.18</v>
      </c>
      <c r="BO3683">
        <v>17.39</v>
      </c>
      <c r="BP3683">
        <v>0</v>
      </c>
      <c r="BQ3683">
        <v>21.62</v>
      </c>
      <c r="BR3683">
        <v>15.62</v>
      </c>
      <c r="BS3683">
        <v>3.21</v>
      </c>
      <c r="BT3683">
        <v>0.41</v>
      </c>
      <c r="BU3683">
        <v>4.72</v>
      </c>
      <c r="BV3683">
        <v>1.76</v>
      </c>
      <c r="BW3683">
        <v>3.35</v>
      </c>
      <c r="BX3683">
        <v>10</v>
      </c>
      <c r="BY3683">
        <v>12.58</v>
      </c>
      <c r="BZ3683">
        <v>8.2799999999999994</v>
      </c>
      <c r="CA3683">
        <v>1.89</v>
      </c>
      <c r="CB3683">
        <v>-0.03</v>
      </c>
      <c r="CC3683">
        <v>1.89</v>
      </c>
      <c r="CD3683">
        <v>1.66</v>
      </c>
      <c r="CE3683">
        <v>1.66</v>
      </c>
      <c r="CF3683">
        <v>1.77</v>
      </c>
      <c r="CG3683">
        <v>3.01</v>
      </c>
      <c r="CH3683">
        <v>1.71</v>
      </c>
      <c r="CI3683">
        <v>3.76</v>
      </c>
      <c r="CJ3683">
        <v>24419</v>
      </c>
      <c r="CK3683">
        <v>1679</v>
      </c>
      <c r="CL3683" t="s">
        <v>1444</v>
      </c>
      <c r="CM3683">
        <v>0</v>
      </c>
      <c r="CN3683">
        <v>0</v>
      </c>
      <c r="CO3683">
        <v>4.6500000000000004</v>
      </c>
      <c r="CP3683">
        <v>47.21</v>
      </c>
      <c r="CQ3683">
        <v>6.43</v>
      </c>
      <c r="CR3683">
        <v>0</v>
      </c>
      <c r="CS3683" t="s">
        <v>672</v>
      </c>
      <c r="CT3683">
        <v>4.34</v>
      </c>
      <c r="CU3683">
        <v>0</v>
      </c>
      <c r="CV3683">
        <v>2.4900000000000002</v>
      </c>
      <c r="CW3683">
        <v>0.75</v>
      </c>
      <c r="CX3683">
        <v>0.43</v>
      </c>
      <c r="CY3683">
        <v>78.38</v>
      </c>
      <c r="CZ3683" t="s">
        <v>14739</v>
      </c>
      <c r="DA3683">
        <v>34.19</v>
      </c>
      <c r="DB3683">
        <v>15.05</v>
      </c>
      <c r="DC3683">
        <v>13.22</v>
      </c>
      <c r="DD3683">
        <v>0.8</v>
      </c>
      <c r="DE3683">
        <v>3523</v>
      </c>
      <c r="DF3683">
        <v>603992</v>
      </c>
      <c r="DG3683" t="s">
        <v>116</v>
      </c>
      <c r="DH3683" t="s">
        <v>116</v>
      </c>
      <c r="DI3683" t="s">
        <v>116</v>
      </c>
    </row>
    <row r="3684" spans="1:113" x14ac:dyDescent="0.4">
      <c r="A3684" t="str">
        <f>"603993"</f>
        <v>603993</v>
      </c>
      <c r="B3684" t="s">
        <v>15161</v>
      </c>
      <c r="C3684">
        <v>4.09</v>
      </c>
      <c r="D3684">
        <v>4.33</v>
      </c>
      <c r="E3684">
        <v>0.17</v>
      </c>
      <c r="F3684">
        <v>4.33</v>
      </c>
      <c r="G3684">
        <v>4.34</v>
      </c>
      <c r="H3684">
        <v>4261540</v>
      </c>
      <c r="I3684">
        <v>22706</v>
      </c>
      <c r="J3684">
        <v>-0.22</v>
      </c>
      <c r="K3684">
        <v>2.41</v>
      </c>
      <c r="L3684">
        <v>4.18</v>
      </c>
      <c r="M3684">
        <v>4.53</v>
      </c>
      <c r="N3684">
        <v>4.1399999999999997</v>
      </c>
      <c r="O3684">
        <v>4.16</v>
      </c>
      <c r="P3684">
        <v>56.38</v>
      </c>
      <c r="Q3684">
        <v>1860573312</v>
      </c>
      <c r="R3684">
        <v>1.78</v>
      </c>
      <c r="S3684" t="s">
        <v>1509</v>
      </c>
      <c r="T3684" t="s">
        <v>652</v>
      </c>
      <c r="U3684">
        <v>9.3699999999999992</v>
      </c>
      <c r="V3684">
        <v>4.37</v>
      </c>
      <c r="W3684">
        <v>1836804</v>
      </c>
      <c r="X3684">
        <v>2424737</v>
      </c>
      <c r="Y3684">
        <v>0.76</v>
      </c>
      <c r="Z3684">
        <v>5427</v>
      </c>
      <c r="AA3684">
        <v>13177</v>
      </c>
      <c r="AB3684" t="s">
        <v>116</v>
      </c>
      <c r="AC3684">
        <v>4579600</v>
      </c>
      <c r="AD3684">
        <v>0.02</v>
      </c>
      <c r="AE3684" t="s">
        <v>116</v>
      </c>
      <c r="AF3684" t="s">
        <v>116</v>
      </c>
      <c r="AG3684">
        <v>176.66</v>
      </c>
      <c r="AH3684" t="s">
        <v>15162</v>
      </c>
      <c r="AI3684" t="s">
        <v>15162</v>
      </c>
      <c r="AJ3684">
        <v>4.16</v>
      </c>
      <c r="AK3684">
        <v>4734</v>
      </c>
      <c r="AL3684">
        <v>900</v>
      </c>
      <c r="AM3684">
        <v>5.0000000000000001E-4</v>
      </c>
      <c r="AN3684">
        <v>1</v>
      </c>
      <c r="AO3684">
        <v>5.62</v>
      </c>
      <c r="AP3684">
        <v>21.63</v>
      </c>
      <c r="AQ3684">
        <v>17.98</v>
      </c>
      <c r="AR3684">
        <v>18.63</v>
      </c>
      <c r="AS3684">
        <v>6.09</v>
      </c>
      <c r="AT3684" t="s">
        <v>15163</v>
      </c>
      <c r="AU3684">
        <v>53.66</v>
      </c>
      <c r="AV3684">
        <v>20.18</v>
      </c>
      <c r="AW3684">
        <v>1.19</v>
      </c>
      <c r="BA3684">
        <v>0.48</v>
      </c>
      <c r="BB3684">
        <v>8.89</v>
      </c>
      <c r="BC3684">
        <v>-0.48</v>
      </c>
      <c r="BD3684">
        <v>4.95</v>
      </c>
      <c r="BE3684">
        <v>3.59</v>
      </c>
      <c r="BF3684">
        <v>-4.42</v>
      </c>
      <c r="BG3684">
        <v>4.59</v>
      </c>
      <c r="BH3684">
        <v>-0.86</v>
      </c>
      <c r="BI3684">
        <v>20191030</v>
      </c>
      <c r="BJ3684">
        <v>20121009</v>
      </c>
      <c r="BK3684">
        <v>215.99</v>
      </c>
      <c r="BL3684" t="s">
        <v>116</v>
      </c>
      <c r="BM3684">
        <v>39.33</v>
      </c>
      <c r="BN3684">
        <v>1225.54</v>
      </c>
      <c r="BO3684">
        <v>402.12</v>
      </c>
      <c r="BP3684">
        <v>88.34</v>
      </c>
      <c r="BQ3684">
        <v>59.98</v>
      </c>
      <c r="BR3684">
        <v>585.85</v>
      </c>
      <c r="BS3684">
        <v>241.04</v>
      </c>
      <c r="BT3684">
        <v>210.25</v>
      </c>
      <c r="BU3684">
        <v>412.42</v>
      </c>
      <c r="BV3684">
        <v>204.77</v>
      </c>
      <c r="BW3684">
        <v>8.19</v>
      </c>
      <c r="BX3684">
        <v>275.83</v>
      </c>
      <c r="BY3684">
        <v>334.09</v>
      </c>
      <c r="BZ3684">
        <v>299.10000000000002</v>
      </c>
      <c r="CA3684">
        <v>14.17</v>
      </c>
      <c r="CB3684">
        <v>1.34</v>
      </c>
      <c r="CC3684">
        <v>14.21</v>
      </c>
      <c r="CD3684">
        <v>11.78</v>
      </c>
      <c r="CE3684">
        <v>12.44</v>
      </c>
      <c r="CF3684">
        <v>8.6999999999999993</v>
      </c>
      <c r="CG3684">
        <v>75.5</v>
      </c>
      <c r="CH3684">
        <v>14.03</v>
      </c>
      <c r="CI3684">
        <v>-106.09</v>
      </c>
      <c r="CJ3684">
        <v>310591</v>
      </c>
      <c r="CK3684">
        <v>22547</v>
      </c>
      <c r="CL3684" t="s">
        <v>15164</v>
      </c>
      <c r="CM3684">
        <v>-69.930000000000007</v>
      </c>
      <c r="CN3684">
        <v>66.349999999999994</v>
      </c>
      <c r="CO3684">
        <v>2.33</v>
      </c>
      <c r="CP3684">
        <v>66.680000000000007</v>
      </c>
      <c r="CQ3684">
        <v>2.8</v>
      </c>
      <c r="CR3684">
        <v>2.54</v>
      </c>
      <c r="CS3684" t="s">
        <v>6382</v>
      </c>
      <c r="CT3684">
        <v>1.86</v>
      </c>
      <c r="CU3684">
        <v>0</v>
      </c>
      <c r="CV3684">
        <v>1.28</v>
      </c>
      <c r="CW3684">
        <v>0.35</v>
      </c>
      <c r="CX3684">
        <v>0.06</v>
      </c>
      <c r="CY3684">
        <v>32.81</v>
      </c>
      <c r="CZ3684" t="s">
        <v>417</v>
      </c>
      <c r="DA3684">
        <v>10.47</v>
      </c>
      <c r="DB3684">
        <v>4.24</v>
      </c>
      <c r="DC3684">
        <v>3.72</v>
      </c>
      <c r="DD3684">
        <v>2.27</v>
      </c>
      <c r="DE3684">
        <v>10900</v>
      </c>
      <c r="DF3684">
        <v>603993</v>
      </c>
      <c r="DG3684" t="s">
        <v>116</v>
      </c>
      <c r="DH3684" t="s">
        <v>116</v>
      </c>
      <c r="DI3684" t="s">
        <v>116</v>
      </c>
    </row>
    <row r="3685" spans="1:113" x14ac:dyDescent="0.4">
      <c r="A3685" t="str">
        <f>"603995"</f>
        <v>603995</v>
      </c>
      <c r="B3685" t="s">
        <v>15165</v>
      </c>
      <c r="C3685">
        <v>-1.44</v>
      </c>
      <c r="D3685">
        <v>28.02</v>
      </c>
      <c r="E3685">
        <v>-0.41</v>
      </c>
      <c r="F3685">
        <v>28.01</v>
      </c>
      <c r="G3685">
        <v>28.02</v>
      </c>
      <c r="H3685">
        <v>129812</v>
      </c>
      <c r="I3685">
        <v>1992</v>
      </c>
      <c r="J3685">
        <v>0.04</v>
      </c>
      <c r="K3685">
        <v>22.51</v>
      </c>
      <c r="L3685">
        <v>28.11</v>
      </c>
      <c r="M3685">
        <v>28.74</v>
      </c>
      <c r="N3685">
        <v>27.82</v>
      </c>
      <c r="O3685">
        <v>28.43</v>
      </c>
      <c r="P3685">
        <v>20.28</v>
      </c>
      <c r="Q3685">
        <v>366066304</v>
      </c>
      <c r="R3685">
        <v>0.79</v>
      </c>
      <c r="S3685" t="s">
        <v>1839</v>
      </c>
      <c r="T3685" t="s">
        <v>590</v>
      </c>
      <c r="U3685">
        <v>3.24</v>
      </c>
      <c r="V3685">
        <v>28.2</v>
      </c>
      <c r="W3685">
        <v>70319</v>
      </c>
      <c r="X3685">
        <v>59493</v>
      </c>
      <c r="Y3685">
        <v>1.18</v>
      </c>
      <c r="Z3685">
        <v>360</v>
      </c>
      <c r="AA3685">
        <v>255</v>
      </c>
      <c r="AB3685" t="s">
        <v>116</v>
      </c>
      <c r="AC3685">
        <v>5419400</v>
      </c>
      <c r="AD3685">
        <v>0.33</v>
      </c>
      <c r="AE3685" t="s">
        <v>116</v>
      </c>
      <c r="AF3685" t="s">
        <v>116</v>
      </c>
      <c r="AG3685">
        <v>0.57999999999999996</v>
      </c>
      <c r="AH3685" t="s">
        <v>3816</v>
      </c>
      <c r="AI3685" t="s">
        <v>15166</v>
      </c>
      <c r="AJ3685">
        <v>-1.37</v>
      </c>
      <c r="AK3685">
        <v>3878</v>
      </c>
      <c r="AL3685">
        <v>33</v>
      </c>
      <c r="AM3685">
        <v>5.7999999999999996E-3</v>
      </c>
      <c r="AN3685">
        <v>-3</v>
      </c>
      <c r="AO3685">
        <v>-13.59</v>
      </c>
      <c r="AP3685">
        <v>24.42</v>
      </c>
      <c r="AQ3685">
        <v>24.42</v>
      </c>
      <c r="AR3685">
        <v>24.42</v>
      </c>
      <c r="AS3685">
        <v>22.51</v>
      </c>
      <c r="AT3685" t="s">
        <v>3816</v>
      </c>
      <c r="AU3685">
        <v>18.79</v>
      </c>
      <c r="AV3685">
        <v>19.510000000000002</v>
      </c>
      <c r="AW3685">
        <v>0</v>
      </c>
      <c r="BA3685">
        <v>-1.1299999999999999</v>
      </c>
      <c r="BB3685">
        <v>1.0900000000000001</v>
      </c>
      <c r="BC3685">
        <v>-2.15</v>
      </c>
      <c r="BD3685">
        <v>-0.81</v>
      </c>
      <c r="BE3685">
        <v>-0.32</v>
      </c>
      <c r="BF3685">
        <v>-2.5099999999999998</v>
      </c>
      <c r="BG3685">
        <v>0.72</v>
      </c>
      <c r="BH3685">
        <v>-0.63</v>
      </c>
      <c r="BI3685">
        <v>20191224</v>
      </c>
      <c r="BJ3685">
        <v>20191224</v>
      </c>
      <c r="BK3685">
        <v>2.31</v>
      </c>
      <c r="BL3685" t="s">
        <v>116</v>
      </c>
      <c r="BM3685" t="s">
        <v>116</v>
      </c>
      <c r="BN3685">
        <v>36.68</v>
      </c>
      <c r="BO3685">
        <v>16.28</v>
      </c>
      <c r="BP3685">
        <v>2.64</v>
      </c>
      <c r="BQ3685">
        <v>48.4</v>
      </c>
      <c r="BR3685">
        <v>14.85</v>
      </c>
      <c r="BS3685">
        <v>16.649999999999999</v>
      </c>
      <c r="BT3685">
        <v>1.83</v>
      </c>
      <c r="BU3685">
        <v>15.42</v>
      </c>
      <c r="BV3685">
        <v>6.23</v>
      </c>
      <c r="BW3685">
        <v>2.17</v>
      </c>
      <c r="BX3685">
        <v>2.1</v>
      </c>
      <c r="BY3685">
        <v>113.32</v>
      </c>
      <c r="BZ3685">
        <v>106.98</v>
      </c>
      <c r="CA3685">
        <v>3.37</v>
      </c>
      <c r="CB3685">
        <v>0.01</v>
      </c>
      <c r="CC3685">
        <v>3.39</v>
      </c>
      <c r="CD3685">
        <v>2.77</v>
      </c>
      <c r="CE3685">
        <v>2.39</v>
      </c>
      <c r="CF3685">
        <v>2.19</v>
      </c>
      <c r="CG3685">
        <v>11.73</v>
      </c>
      <c r="CH3685">
        <v>2.74</v>
      </c>
      <c r="CI3685">
        <v>0.48</v>
      </c>
      <c r="CJ3685">
        <v>11373128</v>
      </c>
      <c r="CK3685">
        <v>5</v>
      </c>
      <c r="CL3685" t="s">
        <v>15167</v>
      </c>
      <c r="CM3685">
        <v>0</v>
      </c>
      <c r="CN3685">
        <v>0</v>
      </c>
      <c r="CO3685">
        <v>2.31</v>
      </c>
      <c r="CP3685">
        <v>23.59</v>
      </c>
      <c r="CQ3685">
        <v>0.56999999999999995</v>
      </c>
      <c r="CR3685">
        <v>0</v>
      </c>
      <c r="CS3685" t="s">
        <v>15168</v>
      </c>
      <c r="CT3685">
        <v>12.15</v>
      </c>
      <c r="CU3685">
        <v>12.15</v>
      </c>
      <c r="CV3685">
        <v>0.91</v>
      </c>
      <c r="CW3685">
        <v>5.09</v>
      </c>
      <c r="CX3685">
        <v>1.19</v>
      </c>
      <c r="CY3685">
        <v>44.39</v>
      </c>
      <c r="CZ3685" t="s">
        <v>15169</v>
      </c>
      <c r="DA3685">
        <v>5.6</v>
      </c>
      <c r="DB3685">
        <v>2.97</v>
      </c>
      <c r="DC3685">
        <v>2.11</v>
      </c>
      <c r="DD3685">
        <v>1.57</v>
      </c>
      <c r="DE3685">
        <v>1288</v>
      </c>
      <c r="DF3685">
        <v>603995</v>
      </c>
      <c r="DG3685" t="s">
        <v>116</v>
      </c>
      <c r="DH3685" t="s">
        <v>116</v>
      </c>
      <c r="DI3685" t="s">
        <v>116</v>
      </c>
    </row>
    <row r="3686" spans="1:113" x14ac:dyDescent="0.4">
      <c r="A3686" t="str">
        <f>"603996"</f>
        <v>603996</v>
      </c>
      <c r="B3686" t="s">
        <v>15170</v>
      </c>
      <c r="C3686">
        <v>-0.55000000000000004</v>
      </c>
      <c r="D3686">
        <v>5.38</v>
      </c>
      <c r="E3686">
        <v>-0.03</v>
      </c>
      <c r="F3686">
        <v>5.38</v>
      </c>
      <c r="G3686">
        <v>5.4</v>
      </c>
      <c r="H3686">
        <v>29671</v>
      </c>
      <c r="I3686">
        <v>309</v>
      </c>
      <c r="J3686">
        <v>0.19</v>
      </c>
      <c r="K3686">
        <v>0.99</v>
      </c>
      <c r="L3686">
        <v>5.34</v>
      </c>
      <c r="M3686">
        <v>5.46</v>
      </c>
      <c r="N3686">
        <v>5.3</v>
      </c>
      <c r="O3686">
        <v>5.41</v>
      </c>
      <c r="P3686" t="s">
        <v>116</v>
      </c>
      <c r="Q3686">
        <v>15972417</v>
      </c>
      <c r="R3686">
        <v>0.94</v>
      </c>
      <c r="S3686" t="s">
        <v>209</v>
      </c>
      <c r="T3686" t="s">
        <v>590</v>
      </c>
      <c r="U3686">
        <v>2.96</v>
      </c>
      <c r="V3686">
        <v>5.38</v>
      </c>
      <c r="W3686">
        <v>15454</v>
      </c>
      <c r="X3686">
        <v>14217</v>
      </c>
      <c r="Y3686">
        <v>1.0900000000000001</v>
      </c>
      <c r="Z3686">
        <v>1894</v>
      </c>
      <c r="AA3686">
        <v>214</v>
      </c>
      <c r="AB3686" t="s">
        <v>116</v>
      </c>
      <c r="AC3686">
        <v>500</v>
      </c>
      <c r="AD3686">
        <v>0</v>
      </c>
      <c r="AE3686" t="s">
        <v>116</v>
      </c>
      <c r="AF3686" t="s">
        <v>116</v>
      </c>
      <c r="AG3686">
        <v>3</v>
      </c>
      <c r="AH3686" t="s">
        <v>5123</v>
      </c>
      <c r="AI3686" t="s">
        <v>5123</v>
      </c>
      <c r="AJ3686">
        <v>-0.48</v>
      </c>
      <c r="AK3686">
        <v>393</v>
      </c>
      <c r="AL3686">
        <v>75</v>
      </c>
      <c r="AM3686">
        <v>2.5000000000000001E-3</v>
      </c>
      <c r="AN3686">
        <v>-1</v>
      </c>
      <c r="AO3686">
        <v>-0.36</v>
      </c>
      <c r="AP3686">
        <v>12.79</v>
      </c>
      <c r="AQ3686">
        <v>-0.55000000000000004</v>
      </c>
      <c r="AR3686">
        <v>-28.65</v>
      </c>
      <c r="AS3686">
        <v>2.93</v>
      </c>
      <c r="AT3686" t="s">
        <v>4601</v>
      </c>
      <c r="AU3686" t="s">
        <v>116</v>
      </c>
      <c r="AV3686" t="s">
        <v>116</v>
      </c>
      <c r="AW3686">
        <v>7.0000000000000007E-2</v>
      </c>
      <c r="BA3686">
        <v>-1.29</v>
      </c>
      <c r="BB3686">
        <v>0.92</v>
      </c>
      <c r="BC3686">
        <v>-2.0299999999999998</v>
      </c>
      <c r="BD3686">
        <v>-0.5</v>
      </c>
      <c r="BE3686">
        <v>0.75</v>
      </c>
      <c r="BF3686">
        <v>-1.47</v>
      </c>
      <c r="BG3686">
        <v>1.51</v>
      </c>
      <c r="BH3686">
        <v>-0.06</v>
      </c>
      <c r="BI3686">
        <v>20191030</v>
      </c>
      <c r="BJ3686">
        <v>20151222</v>
      </c>
      <c r="BK3686">
        <v>3</v>
      </c>
      <c r="BL3686" t="s">
        <v>116</v>
      </c>
      <c r="BM3686" t="s">
        <v>116</v>
      </c>
      <c r="BN3686">
        <v>37.96</v>
      </c>
      <c r="BO3686">
        <v>12.02</v>
      </c>
      <c r="BP3686">
        <v>0</v>
      </c>
      <c r="BQ3686">
        <v>68.34</v>
      </c>
      <c r="BR3686">
        <v>31.37</v>
      </c>
      <c r="BS3686">
        <v>5.15</v>
      </c>
      <c r="BT3686">
        <v>0.55000000000000004</v>
      </c>
      <c r="BU3686">
        <v>25.22</v>
      </c>
      <c r="BV3686">
        <v>7.99</v>
      </c>
      <c r="BW3686">
        <v>12.13</v>
      </c>
      <c r="BX3686">
        <v>5.57</v>
      </c>
      <c r="BY3686">
        <v>4.97</v>
      </c>
      <c r="BZ3686">
        <v>5.49</v>
      </c>
      <c r="CA3686">
        <v>-2.56</v>
      </c>
      <c r="CB3686">
        <v>0</v>
      </c>
      <c r="CC3686">
        <v>-2.36</v>
      </c>
      <c r="CD3686">
        <v>-2.0099999999999998</v>
      </c>
      <c r="CE3686">
        <v>-2.0099999999999998</v>
      </c>
      <c r="CF3686">
        <v>-2.63</v>
      </c>
      <c r="CG3686">
        <v>2.64</v>
      </c>
      <c r="CH3686">
        <v>-0.11</v>
      </c>
      <c r="CI3686">
        <v>0.12</v>
      </c>
      <c r="CJ3686">
        <v>20141</v>
      </c>
      <c r="CK3686">
        <v>5036</v>
      </c>
      <c r="CL3686" t="s">
        <v>2487</v>
      </c>
      <c r="CM3686">
        <v>-325.17</v>
      </c>
      <c r="CN3686">
        <v>-91.28</v>
      </c>
      <c r="CO3686">
        <v>1.34</v>
      </c>
      <c r="CP3686">
        <v>-153.07</v>
      </c>
      <c r="CQ3686">
        <v>3.25</v>
      </c>
      <c r="CR3686">
        <v>0</v>
      </c>
      <c r="CS3686" t="s">
        <v>15171</v>
      </c>
      <c r="CT3686">
        <v>4</v>
      </c>
      <c r="CU3686">
        <v>0</v>
      </c>
      <c r="CV3686">
        <v>1.86</v>
      </c>
      <c r="CW3686">
        <v>0.88</v>
      </c>
      <c r="CX3686">
        <v>-0.04</v>
      </c>
      <c r="CY3686">
        <v>31.66</v>
      </c>
      <c r="CZ3686" t="s">
        <v>15172</v>
      </c>
      <c r="DA3686">
        <v>-10.42</v>
      </c>
      <c r="DB3686">
        <v>-51.44</v>
      </c>
      <c r="DC3686">
        <v>-40.479999999999997</v>
      </c>
      <c r="DD3686">
        <v>0.6</v>
      </c>
      <c r="DE3686">
        <v>2055</v>
      </c>
      <c r="DF3686">
        <v>603996</v>
      </c>
      <c r="DG3686" t="s">
        <v>116</v>
      </c>
      <c r="DH3686" t="s">
        <v>116</v>
      </c>
      <c r="DI3686" t="s">
        <v>116</v>
      </c>
    </row>
    <row r="3687" spans="1:113" x14ac:dyDescent="0.4">
      <c r="A3687" t="str">
        <f>"603997"</f>
        <v>603997</v>
      </c>
      <c r="B3687" t="s">
        <v>15173</v>
      </c>
      <c r="C3687">
        <v>-2.61</v>
      </c>
      <c r="D3687">
        <v>8.1999999999999993</v>
      </c>
      <c r="E3687">
        <v>-0.22</v>
      </c>
      <c r="F3687">
        <v>8.1999999999999993</v>
      </c>
      <c r="G3687">
        <v>8.2100000000000009</v>
      </c>
      <c r="H3687">
        <v>33881</v>
      </c>
      <c r="I3687">
        <v>221</v>
      </c>
      <c r="J3687">
        <v>-0.11</v>
      </c>
      <c r="K3687">
        <v>0.54</v>
      </c>
      <c r="L3687">
        <v>8.34</v>
      </c>
      <c r="M3687">
        <v>8.42</v>
      </c>
      <c r="N3687">
        <v>8.18</v>
      </c>
      <c r="O3687">
        <v>8.42</v>
      </c>
      <c r="P3687">
        <v>33.06</v>
      </c>
      <c r="Q3687">
        <v>28084368</v>
      </c>
      <c r="R3687">
        <v>1.17</v>
      </c>
      <c r="S3687" t="s">
        <v>293</v>
      </c>
      <c r="T3687" t="s">
        <v>590</v>
      </c>
      <c r="U3687">
        <v>2.85</v>
      </c>
      <c r="V3687">
        <v>8.2899999999999991</v>
      </c>
      <c r="W3687">
        <v>22268</v>
      </c>
      <c r="X3687">
        <v>11613</v>
      </c>
      <c r="Y3687">
        <v>1.92</v>
      </c>
      <c r="Z3687">
        <v>152</v>
      </c>
      <c r="AA3687">
        <v>49</v>
      </c>
      <c r="AB3687" t="s">
        <v>116</v>
      </c>
      <c r="AC3687">
        <v>116800</v>
      </c>
      <c r="AD3687">
        <v>0.01</v>
      </c>
      <c r="AE3687" t="s">
        <v>116</v>
      </c>
      <c r="AF3687" t="s">
        <v>116</v>
      </c>
      <c r="AG3687">
        <v>6.32</v>
      </c>
      <c r="AH3687" t="s">
        <v>15174</v>
      </c>
      <c r="AI3687" t="s">
        <v>15175</v>
      </c>
      <c r="AJ3687">
        <v>-2.54</v>
      </c>
      <c r="AK3687">
        <v>1562</v>
      </c>
      <c r="AL3687">
        <v>22</v>
      </c>
      <c r="AM3687">
        <v>2.9999999999999997E-4</v>
      </c>
      <c r="AN3687">
        <v>-1</v>
      </c>
      <c r="AO3687">
        <v>-0.84</v>
      </c>
      <c r="AP3687">
        <v>4.46</v>
      </c>
      <c r="AQ3687">
        <v>-2.38</v>
      </c>
      <c r="AR3687">
        <v>11.75</v>
      </c>
      <c r="AS3687">
        <v>2.21</v>
      </c>
      <c r="AT3687" t="s">
        <v>2941</v>
      </c>
      <c r="AU3687">
        <v>32.25</v>
      </c>
      <c r="AV3687">
        <v>27.76</v>
      </c>
      <c r="AW3687">
        <v>0.78</v>
      </c>
      <c r="BA3687">
        <v>-0.95</v>
      </c>
      <c r="BB3687">
        <v>0</v>
      </c>
      <c r="BC3687">
        <v>-2.85</v>
      </c>
      <c r="BD3687">
        <v>-1.55</v>
      </c>
      <c r="BE3687">
        <v>-1.68</v>
      </c>
      <c r="BF3687">
        <v>-2.61</v>
      </c>
      <c r="BG3687">
        <v>0.24</v>
      </c>
      <c r="BH3687">
        <v>-1.06</v>
      </c>
      <c r="BI3687">
        <v>20191212</v>
      </c>
      <c r="BJ3687">
        <v>20150302</v>
      </c>
      <c r="BK3687">
        <v>10.24</v>
      </c>
      <c r="BL3687" t="s">
        <v>116</v>
      </c>
      <c r="BM3687" t="s">
        <v>116</v>
      </c>
      <c r="BN3687">
        <v>24.83</v>
      </c>
      <c r="BO3687">
        <v>18.84</v>
      </c>
      <c r="BP3687">
        <v>0.28000000000000003</v>
      </c>
      <c r="BQ3687">
        <v>23.02</v>
      </c>
      <c r="BR3687">
        <v>17.07</v>
      </c>
      <c r="BS3687">
        <v>5.0199999999999996</v>
      </c>
      <c r="BT3687">
        <v>1.1000000000000001</v>
      </c>
      <c r="BU3687">
        <v>5.0999999999999996</v>
      </c>
      <c r="BV3687">
        <v>4.03</v>
      </c>
      <c r="BW3687">
        <v>4.88</v>
      </c>
      <c r="BX3687">
        <v>2.69</v>
      </c>
      <c r="BY3687">
        <v>15.39</v>
      </c>
      <c r="BZ3687">
        <v>10.14</v>
      </c>
      <c r="CA3687">
        <v>2.34</v>
      </c>
      <c r="CB3687">
        <v>0</v>
      </c>
      <c r="CC3687">
        <v>2.34</v>
      </c>
      <c r="CD3687">
        <v>1.89</v>
      </c>
      <c r="CE3687">
        <v>1.9</v>
      </c>
      <c r="CF3687">
        <v>1.81</v>
      </c>
      <c r="CG3687">
        <v>8.5399999999999991</v>
      </c>
      <c r="CH3687">
        <v>1.79</v>
      </c>
      <c r="CI3687">
        <v>-0.87</v>
      </c>
      <c r="CJ3687">
        <v>18469</v>
      </c>
      <c r="CK3687">
        <v>8286</v>
      </c>
      <c r="CL3687" t="s">
        <v>14028</v>
      </c>
      <c r="CM3687">
        <v>-18.12</v>
      </c>
      <c r="CN3687">
        <v>-1.58</v>
      </c>
      <c r="CO3687">
        <v>2.78</v>
      </c>
      <c r="CP3687">
        <v>46.93</v>
      </c>
      <c r="CQ3687">
        <v>5.46</v>
      </c>
      <c r="CR3687">
        <v>2.38</v>
      </c>
      <c r="CS3687" t="s">
        <v>4088</v>
      </c>
      <c r="CT3687">
        <v>2.95</v>
      </c>
      <c r="CU3687">
        <v>2.95</v>
      </c>
      <c r="CV3687">
        <v>0.26</v>
      </c>
      <c r="CW3687">
        <v>0.83</v>
      </c>
      <c r="CX3687">
        <v>0.17</v>
      </c>
      <c r="CY3687">
        <v>75.87</v>
      </c>
      <c r="CZ3687" t="s">
        <v>10430</v>
      </c>
      <c r="DA3687">
        <v>34.07</v>
      </c>
      <c r="DB3687">
        <v>15.24</v>
      </c>
      <c r="DC3687">
        <v>12.37</v>
      </c>
      <c r="DD3687">
        <v>0.5</v>
      </c>
      <c r="DE3687">
        <v>3040</v>
      </c>
      <c r="DF3687">
        <v>603997</v>
      </c>
      <c r="DG3687" t="s">
        <v>116</v>
      </c>
      <c r="DH3687" t="s">
        <v>116</v>
      </c>
      <c r="DI3687" t="s">
        <v>116</v>
      </c>
    </row>
    <row r="3688" spans="1:113" x14ac:dyDescent="0.4">
      <c r="A3688" t="str">
        <f>"603998"</f>
        <v>603998</v>
      </c>
      <c r="B3688" t="s">
        <v>15176</v>
      </c>
      <c r="C3688">
        <v>-1.99</v>
      </c>
      <c r="D3688">
        <v>7.89</v>
      </c>
      <c r="E3688">
        <v>-0.16</v>
      </c>
      <c r="F3688">
        <v>7.89</v>
      </c>
      <c r="G3688">
        <v>7.9</v>
      </c>
      <c r="H3688">
        <v>115103</v>
      </c>
      <c r="I3688">
        <v>2034</v>
      </c>
      <c r="J3688">
        <v>-0.24</v>
      </c>
      <c r="K3688">
        <v>2.71</v>
      </c>
      <c r="L3688">
        <v>8.02</v>
      </c>
      <c r="M3688">
        <v>8.25</v>
      </c>
      <c r="N3688">
        <v>7.87</v>
      </c>
      <c r="O3688">
        <v>8.0500000000000007</v>
      </c>
      <c r="P3688">
        <v>36.49</v>
      </c>
      <c r="Q3688">
        <v>92773216</v>
      </c>
      <c r="R3688">
        <v>0.79</v>
      </c>
      <c r="S3688" t="s">
        <v>781</v>
      </c>
      <c r="T3688" t="s">
        <v>599</v>
      </c>
      <c r="U3688">
        <v>4.72</v>
      </c>
      <c r="V3688">
        <v>8.06</v>
      </c>
      <c r="W3688">
        <v>67927</v>
      </c>
      <c r="X3688">
        <v>47176</v>
      </c>
      <c r="Y3688">
        <v>1.44</v>
      </c>
      <c r="Z3688">
        <v>3065</v>
      </c>
      <c r="AA3688">
        <v>235</v>
      </c>
      <c r="AB3688" t="s">
        <v>116</v>
      </c>
      <c r="AC3688">
        <v>393000</v>
      </c>
      <c r="AD3688">
        <v>0.02</v>
      </c>
      <c r="AE3688" t="s">
        <v>116</v>
      </c>
      <c r="AF3688" t="s">
        <v>116</v>
      </c>
      <c r="AG3688">
        <v>4.25</v>
      </c>
      <c r="AH3688" t="s">
        <v>6875</v>
      </c>
      <c r="AI3688" t="s">
        <v>375</v>
      </c>
      <c r="AJ3688">
        <v>-1.91</v>
      </c>
      <c r="AK3688">
        <v>2120</v>
      </c>
      <c r="AL3688">
        <v>54</v>
      </c>
      <c r="AM3688">
        <v>1.2999999999999999E-3</v>
      </c>
      <c r="AN3688">
        <v>-1</v>
      </c>
      <c r="AO3688">
        <v>-0.75</v>
      </c>
      <c r="AP3688">
        <v>3.68</v>
      </c>
      <c r="AQ3688">
        <v>8.83</v>
      </c>
      <c r="AR3688">
        <v>70.040000000000006</v>
      </c>
      <c r="AS3688">
        <v>5.15</v>
      </c>
      <c r="AT3688" t="s">
        <v>686</v>
      </c>
      <c r="AU3688">
        <v>41.54</v>
      </c>
      <c r="AV3688">
        <v>46.96</v>
      </c>
      <c r="AW3688">
        <v>1.59</v>
      </c>
      <c r="BA3688">
        <v>-0.37</v>
      </c>
      <c r="BB3688">
        <v>2.48</v>
      </c>
      <c r="BC3688">
        <v>-2.2400000000000002</v>
      </c>
      <c r="BD3688">
        <v>0.12</v>
      </c>
      <c r="BE3688">
        <v>-1.62</v>
      </c>
      <c r="BF3688">
        <v>-4.3600000000000003</v>
      </c>
      <c r="BG3688">
        <v>0.25</v>
      </c>
      <c r="BH3688">
        <v>-2.11</v>
      </c>
      <c r="BI3688">
        <v>20191206</v>
      </c>
      <c r="BJ3688">
        <v>20141205</v>
      </c>
      <c r="BK3688">
        <v>4.34</v>
      </c>
      <c r="BL3688" t="s">
        <v>116</v>
      </c>
      <c r="BM3688" t="s">
        <v>116</v>
      </c>
      <c r="BN3688">
        <v>19.12</v>
      </c>
      <c r="BO3688">
        <v>11.18</v>
      </c>
      <c r="BP3688">
        <v>0.87</v>
      </c>
      <c r="BQ3688">
        <v>36.950000000000003</v>
      </c>
      <c r="BR3688">
        <v>7.17</v>
      </c>
      <c r="BS3688">
        <v>4.4000000000000004</v>
      </c>
      <c r="BT3688">
        <v>2.5299999999999998</v>
      </c>
      <c r="BU3688">
        <v>6.09</v>
      </c>
      <c r="BV3688">
        <v>2.02</v>
      </c>
      <c r="BW3688">
        <v>1.55</v>
      </c>
      <c r="BX3688">
        <v>1.65</v>
      </c>
      <c r="BY3688">
        <v>8.1999999999999993</v>
      </c>
      <c r="BZ3688">
        <v>2.14</v>
      </c>
      <c r="CA3688">
        <v>0.87</v>
      </c>
      <c r="CB3688">
        <v>0.06</v>
      </c>
      <c r="CC3688">
        <v>0.87</v>
      </c>
      <c r="CD3688">
        <v>0.74</v>
      </c>
      <c r="CE3688">
        <v>0.7</v>
      </c>
      <c r="CF3688">
        <v>0.54</v>
      </c>
      <c r="CG3688">
        <v>5.09</v>
      </c>
      <c r="CH3688">
        <v>1.1200000000000001</v>
      </c>
      <c r="CI3688">
        <v>-1.89</v>
      </c>
      <c r="CJ3688">
        <v>35922</v>
      </c>
      <c r="CK3688">
        <v>6219</v>
      </c>
      <c r="CL3688" t="s">
        <v>185</v>
      </c>
      <c r="CM3688">
        <v>15.64</v>
      </c>
      <c r="CN3688">
        <v>2.77</v>
      </c>
      <c r="CO3688">
        <v>3.09</v>
      </c>
      <c r="CP3688">
        <v>30.68</v>
      </c>
      <c r="CQ3688">
        <v>4.18</v>
      </c>
      <c r="CR3688">
        <v>0.38</v>
      </c>
      <c r="CS3688" t="s">
        <v>7041</v>
      </c>
      <c r="CT3688">
        <v>2.5499999999999998</v>
      </c>
      <c r="CU3688">
        <v>2.5499999999999998</v>
      </c>
      <c r="CV3688">
        <v>0.38</v>
      </c>
      <c r="CW3688">
        <v>1.17</v>
      </c>
      <c r="CX3688">
        <v>0.26</v>
      </c>
      <c r="CY3688">
        <v>58.49</v>
      </c>
      <c r="CZ3688" t="s">
        <v>11881</v>
      </c>
      <c r="DA3688">
        <v>73.92</v>
      </c>
      <c r="DB3688">
        <v>10.59</v>
      </c>
      <c r="DC3688">
        <v>8.59</v>
      </c>
      <c r="DD3688">
        <v>0.28000000000000003</v>
      </c>
      <c r="DE3688">
        <v>1152</v>
      </c>
      <c r="DF3688">
        <v>603998</v>
      </c>
      <c r="DG3688" t="s">
        <v>116</v>
      </c>
      <c r="DH3688" t="s">
        <v>116</v>
      </c>
      <c r="DI3688" t="s">
        <v>116</v>
      </c>
    </row>
    <row r="3689" spans="1:113" x14ac:dyDescent="0.4">
      <c r="A3689" t="str">
        <f>"603999"</f>
        <v>603999</v>
      </c>
      <c r="B3689" t="s">
        <v>15177</v>
      </c>
      <c r="C3689">
        <v>-3.6</v>
      </c>
      <c r="D3689">
        <v>7.49</v>
      </c>
      <c r="E3689">
        <v>-0.28000000000000003</v>
      </c>
      <c r="F3689">
        <v>7.49</v>
      </c>
      <c r="G3689">
        <v>7.5</v>
      </c>
      <c r="H3689">
        <v>214104</v>
      </c>
      <c r="I3689">
        <v>2540</v>
      </c>
      <c r="J3689">
        <v>-0.52</v>
      </c>
      <c r="K3689">
        <v>3.72</v>
      </c>
      <c r="L3689">
        <v>7.7</v>
      </c>
      <c r="M3689">
        <v>7.98</v>
      </c>
      <c r="N3689">
        <v>7.47</v>
      </c>
      <c r="O3689">
        <v>7.77</v>
      </c>
      <c r="P3689">
        <v>64.2</v>
      </c>
      <c r="Q3689">
        <v>164974784</v>
      </c>
      <c r="R3689">
        <v>0.59</v>
      </c>
      <c r="S3689" t="s">
        <v>1902</v>
      </c>
      <c r="T3689" t="s">
        <v>1122</v>
      </c>
      <c r="U3689">
        <v>6.56</v>
      </c>
      <c r="V3689">
        <v>7.71</v>
      </c>
      <c r="W3689">
        <v>124932</v>
      </c>
      <c r="X3689">
        <v>89172</v>
      </c>
      <c r="Y3689">
        <v>1.4</v>
      </c>
      <c r="Z3689">
        <v>526</v>
      </c>
      <c r="AA3689">
        <v>1957</v>
      </c>
      <c r="AB3689" t="s">
        <v>116</v>
      </c>
      <c r="AC3689">
        <v>980200</v>
      </c>
      <c r="AD3689">
        <v>0.05</v>
      </c>
      <c r="AE3689" t="s">
        <v>116</v>
      </c>
      <c r="AF3689" t="s">
        <v>116</v>
      </c>
      <c r="AG3689">
        <v>5.76</v>
      </c>
      <c r="AH3689" t="s">
        <v>1860</v>
      </c>
      <c r="AI3689" t="s">
        <v>1860</v>
      </c>
      <c r="AJ3689">
        <v>-3.53</v>
      </c>
      <c r="AK3689">
        <v>3079</v>
      </c>
      <c r="AL3689">
        <v>70</v>
      </c>
      <c r="AM3689">
        <v>1.1999999999999999E-3</v>
      </c>
      <c r="AN3689">
        <v>-1</v>
      </c>
      <c r="AO3689">
        <v>-1.18</v>
      </c>
      <c r="AP3689">
        <v>17.77</v>
      </c>
      <c r="AQ3689">
        <v>28.25</v>
      </c>
      <c r="AR3689">
        <v>55.49</v>
      </c>
      <c r="AS3689">
        <v>8.82</v>
      </c>
      <c r="AT3689" t="s">
        <v>12646</v>
      </c>
      <c r="AU3689">
        <v>72.849999999999994</v>
      </c>
      <c r="AV3689">
        <v>101.58</v>
      </c>
      <c r="AW3689">
        <v>1.39</v>
      </c>
      <c r="BA3689">
        <v>-0.9</v>
      </c>
      <c r="BB3689">
        <v>2.7</v>
      </c>
      <c r="BC3689">
        <v>-3.86</v>
      </c>
      <c r="BD3689">
        <v>-0.83</v>
      </c>
      <c r="BE3689">
        <v>-2.73</v>
      </c>
      <c r="BF3689">
        <v>-6.14</v>
      </c>
      <c r="BG3689">
        <v>0.27</v>
      </c>
      <c r="BH3689">
        <v>-2.77</v>
      </c>
      <c r="BI3689">
        <v>20191026</v>
      </c>
      <c r="BJ3689">
        <v>20151210</v>
      </c>
      <c r="BK3689">
        <v>5.76</v>
      </c>
      <c r="BL3689" t="s">
        <v>116</v>
      </c>
      <c r="BM3689" t="s">
        <v>116</v>
      </c>
      <c r="BN3689">
        <v>21.92</v>
      </c>
      <c r="BO3689">
        <v>17.170000000000002</v>
      </c>
      <c r="BP3689">
        <v>0.5</v>
      </c>
      <c r="BQ3689">
        <v>19.41</v>
      </c>
      <c r="BR3689">
        <v>13.45</v>
      </c>
      <c r="BS3689">
        <v>2.2200000000000002</v>
      </c>
      <c r="BT3689">
        <v>0.35</v>
      </c>
      <c r="BU3689">
        <v>3.26</v>
      </c>
      <c r="BV3689">
        <v>0.84</v>
      </c>
      <c r="BW3689">
        <v>2.54</v>
      </c>
      <c r="BX3689">
        <v>2.4500000000000002</v>
      </c>
      <c r="BY3689">
        <v>5.1100000000000003</v>
      </c>
      <c r="BZ3689">
        <v>3.83</v>
      </c>
      <c r="CA3689">
        <v>0.49</v>
      </c>
      <c r="CB3689">
        <v>0.13</v>
      </c>
      <c r="CC3689">
        <v>0.51</v>
      </c>
      <c r="CD3689">
        <v>0.51</v>
      </c>
      <c r="CE3689">
        <v>0.5</v>
      </c>
      <c r="CF3689">
        <v>0.37</v>
      </c>
      <c r="CG3689">
        <v>7.84</v>
      </c>
      <c r="CH3689">
        <v>-0.33</v>
      </c>
      <c r="CI3689">
        <v>-1.72</v>
      </c>
      <c r="CJ3689">
        <v>38218</v>
      </c>
      <c r="CK3689">
        <v>6354</v>
      </c>
      <c r="CL3689" t="s">
        <v>2315</v>
      </c>
      <c r="CM3689">
        <v>49.77</v>
      </c>
      <c r="CN3689">
        <v>1.95</v>
      </c>
      <c r="CO3689">
        <v>2.5099999999999998</v>
      </c>
      <c r="CP3689">
        <v>-130.15</v>
      </c>
      <c r="CQ3689">
        <v>8.44</v>
      </c>
      <c r="CR3689">
        <v>0.31</v>
      </c>
      <c r="CS3689" t="s">
        <v>687</v>
      </c>
      <c r="CT3689">
        <v>2.98</v>
      </c>
      <c r="CU3689">
        <v>0</v>
      </c>
      <c r="CV3689">
        <v>0.43</v>
      </c>
      <c r="CW3689">
        <v>1.36</v>
      </c>
      <c r="CX3689">
        <v>-0.06</v>
      </c>
      <c r="CY3689">
        <v>78.31</v>
      </c>
      <c r="CZ3689" t="s">
        <v>4565</v>
      </c>
      <c r="DA3689">
        <v>25.1</v>
      </c>
      <c r="DB3689">
        <v>9.67</v>
      </c>
      <c r="DC3689">
        <v>9.86</v>
      </c>
      <c r="DD3689">
        <v>0</v>
      </c>
      <c r="DE3689">
        <v>426</v>
      </c>
      <c r="DF3689">
        <v>603999</v>
      </c>
      <c r="DG3689" t="s">
        <v>116</v>
      </c>
      <c r="DH3689" t="s">
        <v>116</v>
      </c>
      <c r="DI3689" t="s">
        <v>116</v>
      </c>
    </row>
    <row r="3690" spans="1:113" x14ac:dyDescent="0.4">
      <c r="A3690" t="str">
        <f>"688001"</f>
        <v>688001</v>
      </c>
      <c r="B3690" t="s">
        <v>15178</v>
      </c>
      <c r="C3690">
        <v>1.55</v>
      </c>
      <c r="D3690">
        <v>45.31</v>
      </c>
      <c r="E3690">
        <v>0.69</v>
      </c>
      <c r="F3690">
        <v>45.31</v>
      </c>
      <c r="G3690">
        <v>45.36</v>
      </c>
      <c r="H3690">
        <v>70746</v>
      </c>
      <c r="I3690">
        <v>497</v>
      </c>
      <c r="J3690">
        <v>-0.25</v>
      </c>
      <c r="K3690">
        <v>19.52</v>
      </c>
      <c r="L3690">
        <v>44.9</v>
      </c>
      <c r="M3690">
        <v>47.9</v>
      </c>
      <c r="N3690">
        <v>44.9</v>
      </c>
      <c r="O3690">
        <v>44.62</v>
      </c>
      <c r="P3690">
        <v>74.27</v>
      </c>
      <c r="Q3690">
        <v>329776864</v>
      </c>
      <c r="R3690">
        <v>1.49</v>
      </c>
      <c r="S3690" t="s">
        <v>682</v>
      </c>
      <c r="T3690" t="s">
        <v>323</v>
      </c>
      <c r="U3690">
        <v>6.72</v>
      </c>
      <c r="V3690">
        <v>46.61</v>
      </c>
      <c r="W3690">
        <v>33222</v>
      </c>
      <c r="X3690">
        <v>37538</v>
      </c>
      <c r="Y3690">
        <v>0.89</v>
      </c>
      <c r="Z3690">
        <v>46</v>
      </c>
      <c r="AA3690">
        <v>63</v>
      </c>
      <c r="AB3690" t="s">
        <v>116</v>
      </c>
      <c r="AC3690">
        <v>661200</v>
      </c>
      <c r="AD3690">
        <v>0.04</v>
      </c>
      <c r="AE3690" t="s">
        <v>116</v>
      </c>
      <c r="AF3690" t="s">
        <v>116</v>
      </c>
      <c r="AG3690">
        <v>0.36</v>
      </c>
      <c r="AH3690" t="s">
        <v>9240</v>
      </c>
      <c r="AI3690" t="s">
        <v>15179</v>
      </c>
      <c r="AJ3690">
        <v>1.62</v>
      </c>
      <c r="AK3690">
        <v>2854</v>
      </c>
      <c r="AL3690">
        <v>25</v>
      </c>
      <c r="AM3690">
        <v>6.7999999999999996E-3</v>
      </c>
      <c r="AN3690">
        <v>1</v>
      </c>
      <c r="AO3690">
        <v>2.5099999999999998</v>
      </c>
      <c r="AP3690">
        <v>42.04</v>
      </c>
      <c r="AQ3690">
        <v>-10.17</v>
      </c>
      <c r="AR3690">
        <v>86.77</v>
      </c>
      <c r="AS3690">
        <v>19.52</v>
      </c>
      <c r="AT3690" t="s">
        <v>9240</v>
      </c>
      <c r="AU3690">
        <v>94.36</v>
      </c>
      <c r="AV3690">
        <v>74.680000000000007</v>
      </c>
      <c r="AW3690">
        <v>1.26</v>
      </c>
      <c r="BA3690">
        <v>0.63</v>
      </c>
      <c r="BB3690">
        <v>7.35</v>
      </c>
      <c r="BC3690">
        <v>0.63</v>
      </c>
      <c r="BD3690">
        <v>4.47</v>
      </c>
      <c r="BE3690">
        <v>0.91</v>
      </c>
      <c r="BF3690">
        <v>-5.41</v>
      </c>
      <c r="BG3690">
        <v>0.91</v>
      </c>
      <c r="BH3690">
        <v>-2.92</v>
      </c>
      <c r="BI3690">
        <v>20191029</v>
      </c>
      <c r="BJ3690">
        <v>20190722</v>
      </c>
      <c r="BK3690">
        <v>4.01</v>
      </c>
      <c r="BL3690" t="s">
        <v>116</v>
      </c>
      <c r="BM3690" t="s">
        <v>116</v>
      </c>
      <c r="BN3690">
        <v>21.24</v>
      </c>
      <c r="BO3690">
        <v>19.02</v>
      </c>
      <c r="BP3690">
        <v>0</v>
      </c>
      <c r="BQ3690">
        <v>10.46</v>
      </c>
      <c r="BR3690">
        <v>17.489999999999998</v>
      </c>
      <c r="BS3690">
        <v>3.21</v>
      </c>
      <c r="BT3690">
        <v>0.32</v>
      </c>
      <c r="BU3690">
        <v>2.17</v>
      </c>
      <c r="BV3690">
        <v>2.42</v>
      </c>
      <c r="BW3690">
        <v>7</v>
      </c>
      <c r="BX3690">
        <v>11.52</v>
      </c>
      <c r="BY3690">
        <v>9.94</v>
      </c>
      <c r="BZ3690">
        <v>5.09</v>
      </c>
      <c r="CA3690">
        <v>2.09</v>
      </c>
      <c r="CB3690">
        <v>0</v>
      </c>
      <c r="CC3690">
        <v>2.14</v>
      </c>
      <c r="CD3690">
        <v>1.83</v>
      </c>
      <c r="CE3690">
        <v>1.83</v>
      </c>
      <c r="CF3690">
        <v>1.79</v>
      </c>
      <c r="CG3690">
        <v>3.29</v>
      </c>
      <c r="CH3690">
        <v>-2.4700000000000002</v>
      </c>
      <c r="CI3690">
        <v>-1.79</v>
      </c>
      <c r="CJ3690">
        <v>16990</v>
      </c>
      <c r="CK3690">
        <v>2134</v>
      </c>
      <c r="CL3690" t="s">
        <v>10096</v>
      </c>
      <c r="CM3690">
        <v>0</v>
      </c>
      <c r="CN3690">
        <v>0</v>
      </c>
      <c r="CO3690">
        <v>9.5500000000000007</v>
      </c>
      <c r="CP3690">
        <v>-73.52</v>
      </c>
      <c r="CQ3690">
        <v>18.28</v>
      </c>
      <c r="CR3690">
        <v>0</v>
      </c>
      <c r="CS3690" t="s">
        <v>1744</v>
      </c>
      <c r="CT3690">
        <v>4.74</v>
      </c>
      <c r="CU3690">
        <v>0</v>
      </c>
      <c r="CV3690">
        <v>2.87</v>
      </c>
      <c r="CW3690">
        <v>0.82</v>
      </c>
      <c r="CX3690">
        <v>-0.62</v>
      </c>
      <c r="CY3690">
        <v>89.54</v>
      </c>
      <c r="CZ3690" t="s">
        <v>300</v>
      </c>
      <c r="DA3690">
        <v>48.82</v>
      </c>
      <c r="DB3690">
        <v>21.03</v>
      </c>
      <c r="DC3690">
        <v>18.46</v>
      </c>
      <c r="DD3690">
        <v>1.23</v>
      </c>
      <c r="DE3690">
        <v>955</v>
      </c>
      <c r="DF3690">
        <v>688001</v>
      </c>
      <c r="DG3690" t="s">
        <v>116</v>
      </c>
      <c r="DH3690" t="s">
        <v>116</v>
      </c>
      <c r="DI3690" t="s">
        <v>116</v>
      </c>
    </row>
    <row r="3691" spans="1:113" x14ac:dyDescent="0.4">
      <c r="A3691" t="str">
        <f>"688002"</f>
        <v>688002</v>
      </c>
      <c r="B3691" t="s">
        <v>15180</v>
      </c>
      <c r="C3691">
        <v>-1.97</v>
      </c>
      <c r="D3691">
        <v>38.78</v>
      </c>
      <c r="E3691">
        <v>-0.78</v>
      </c>
      <c r="F3691">
        <v>38.78</v>
      </c>
      <c r="G3691">
        <v>38.799999999999997</v>
      </c>
      <c r="H3691">
        <v>33679</v>
      </c>
      <c r="I3691">
        <v>278</v>
      </c>
      <c r="J3691">
        <v>-0.09</v>
      </c>
      <c r="K3691">
        <v>6.53</v>
      </c>
      <c r="L3691">
        <v>39.659999999999997</v>
      </c>
      <c r="M3691">
        <v>40.229999999999997</v>
      </c>
      <c r="N3691">
        <v>38.5</v>
      </c>
      <c r="O3691">
        <v>39.56</v>
      </c>
      <c r="P3691">
        <v>127.94</v>
      </c>
      <c r="Q3691">
        <v>132952216</v>
      </c>
      <c r="R3691">
        <v>0.78</v>
      </c>
      <c r="S3691" t="s">
        <v>465</v>
      </c>
      <c r="T3691" t="s">
        <v>645</v>
      </c>
      <c r="U3691">
        <v>4.37</v>
      </c>
      <c r="V3691">
        <v>39.479999999999997</v>
      </c>
      <c r="W3691">
        <v>19804</v>
      </c>
      <c r="X3691">
        <v>13882</v>
      </c>
      <c r="Y3691">
        <v>1.43</v>
      </c>
      <c r="Z3691">
        <v>83</v>
      </c>
      <c r="AA3691">
        <v>63</v>
      </c>
      <c r="AB3691" t="s">
        <v>116</v>
      </c>
      <c r="AC3691">
        <v>238000</v>
      </c>
      <c r="AD3691">
        <v>0.01</v>
      </c>
      <c r="AE3691" t="s">
        <v>116</v>
      </c>
      <c r="AF3691" t="s">
        <v>116</v>
      </c>
      <c r="AG3691">
        <v>0.52</v>
      </c>
      <c r="AH3691" t="s">
        <v>15181</v>
      </c>
      <c r="AI3691" t="s">
        <v>5014</v>
      </c>
      <c r="AJ3691">
        <v>-1.89</v>
      </c>
      <c r="AK3691">
        <v>2021</v>
      </c>
      <c r="AL3691">
        <v>17</v>
      </c>
      <c r="AM3691">
        <v>3.2000000000000002E-3</v>
      </c>
      <c r="AN3691">
        <v>-1</v>
      </c>
      <c r="AO3691">
        <v>2.6</v>
      </c>
      <c r="AP3691">
        <v>20.100000000000001</v>
      </c>
      <c r="AQ3691">
        <v>-10.85</v>
      </c>
      <c r="AR3691">
        <v>93.9</v>
      </c>
      <c r="AS3691">
        <v>6.53</v>
      </c>
      <c r="AT3691" t="s">
        <v>15181</v>
      </c>
      <c r="AU3691">
        <v>93.4</v>
      </c>
      <c r="AV3691">
        <v>137.87</v>
      </c>
      <c r="AW3691">
        <v>0.97</v>
      </c>
      <c r="BA3691">
        <v>0.25</v>
      </c>
      <c r="BB3691">
        <v>1.69</v>
      </c>
      <c r="BC3691">
        <v>-2.68</v>
      </c>
      <c r="BD3691">
        <v>-0.21</v>
      </c>
      <c r="BE3691">
        <v>-2.2200000000000002</v>
      </c>
      <c r="BF3691">
        <v>-3.6</v>
      </c>
      <c r="BG3691">
        <v>0.73</v>
      </c>
      <c r="BH3691">
        <v>-1.76</v>
      </c>
      <c r="BI3691">
        <v>20191029</v>
      </c>
      <c r="BJ3691">
        <v>20190722</v>
      </c>
      <c r="BK3691">
        <v>4.45</v>
      </c>
      <c r="BL3691" t="s">
        <v>116</v>
      </c>
      <c r="BM3691" t="s">
        <v>116</v>
      </c>
      <c r="BN3691">
        <v>24.15</v>
      </c>
      <c r="BO3691">
        <v>22.41</v>
      </c>
      <c r="BP3691">
        <v>0.01</v>
      </c>
      <c r="BQ3691">
        <v>7.18</v>
      </c>
      <c r="BR3691">
        <v>20.309999999999999</v>
      </c>
      <c r="BS3691">
        <v>2.2999999999999998</v>
      </c>
      <c r="BT3691">
        <v>0.51</v>
      </c>
      <c r="BU3691">
        <v>1.1000000000000001</v>
      </c>
      <c r="BV3691">
        <v>3.08</v>
      </c>
      <c r="BW3691">
        <v>1.59</v>
      </c>
      <c r="BX3691">
        <v>15.61</v>
      </c>
      <c r="BY3691">
        <v>4.0199999999999996</v>
      </c>
      <c r="BZ3691">
        <v>2.02</v>
      </c>
      <c r="CA3691">
        <v>1.08</v>
      </c>
      <c r="CB3691">
        <v>0.09</v>
      </c>
      <c r="CC3691">
        <v>1.1599999999999999</v>
      </c>
      <c r="CD3691">
        <v>1.01</v>
      </c>
      <c r="CE3691">
        <v>1.01</v>
      </c>
      <c r="CF3691">
        <v>0.75</v>
      </c>
      <c r="CG3691">
        <v>2.25</v>
      </c>
      <c r="CH3691">
        <v>0.15</v>
      </c>
      <c r="CI3691">
        <v>-3.17</v>
      </c>
      <c r="CJ3691">
        <v>22237</v>
      </c>
      <c r="CK3691">
        <v>2319</v>
      </c>
      <c r="CL3691" t="s">
        <v>11014</v>
      </c>
      <c r="CM3691">
        <v>0</v>
      </c>
      <c r="CN3691">
        <v>0</v>
      </c>
      <c r="CO3691">
        <v>7.7</v>
      </c>
      <c r="CP3691">
        <v>1160.26</v>
      </c>
      <c r="CQ3691">
        <v>42.9</v>
      </c>
      <c r="CR3691">
        <v>0</v>
      </c>
      <c r="CS3691" t="s">
        <v>3553</v>
      </c>
      <c r="CT3691">
        <v>5.04</v>
      </c>
      <c r="CU3691">
        <v>0</v>
      </c>
      <c r="CV3691">
        <v>3.51</v>
      </c>
      <c r="CW3691">
        <v>0.51</v>
      </c>
      <c r="CX3691">
        <v>0.03</v>
      </c>
      <c r="CY3691">
        <v>92.79</v>
      </c>
      <c r="CZ3691" t="s">
        <v>703</v>
      </c>
      <c r="DA3691">
        <v>49.79</v>
      </c>
      <c r="DB3691">
        <v>26.83</v>
      </c>
      <c r="DC3691">
        <v>25.15</v>
      </c>
      <c r="DD3691">
        <v>0.72</v>
      </c>
      <c r="DE3691">
        <v>591</v>
      </c>
      <c r="DF3691">
        <v>688002</v>
      </c>
      <c r="DG3691" t="s">
        <v>116</v>
      </c>
      <c r="DH3691" t="s">
        <v>116</v>
      </c>
      <c r="DI3691" t="s">
        <v>116</v>
      </c>
    </row>
    <row r="3692" spans="1:113" x14ac:dyDescent="0.4">
      <c r="A3692" t="str">
        <f>"688003"</f>
        <v>688003</v>
      </c>
      <c r="B3692" t="s">
        <v>15182</v>
      </c>
      <c r="C3692">
        <v>0.17</v>
      </c>
      <c r="D3692">
        <v>29.55</v>
      </c>
      <c r="E3692">
        <v>0.05</v>
      </c>
      <c r="F3692">
        <v>29.55</v>
      </c>
      <c r="G3692">
        <v>29.56</v>
      </c>
      <c r="H3692">
        <v>31551</v>
      </c>
      <c r="I3692">
        <v>313</v>
      </c>
      <c r="J3692">
        <v>7.0000000000000007E-2</v>
      </c>
      <c r="K3692">
        <v>7.14</v>
      </c>
      <c r="L3692">
        <v>29.53</v>
      </c>
      <c r="M3692">
        <v>30.3</v>
      </c>
      <c r="N3692">
        <v>29.36</v>
      </c>
      <c r="O3692">
        <v>29.5</v>
      </c>
      <c r="P3692">
        <v>278.29000000000002</v>
      </c>
      <c r="Q3692">
        <v>94441088</v>
      </c>
      <c r="R3692">
        <v>1.37</v>
      </c>
      <c r="S3692" t="s">
        <v>682</v>
      </c>
      <c r="T3692" t="s">
        <v>323</v>
      </c>
      <c r="U3692">
        <v>3.19</v>
      </c>
      <c r="V3692">
        <v>29.93</v>
      </c>
      <c r="W3692">
        <v>17005</v>
      </c>
      <c r="X3692">
        <v>14546</v>
      </c>
      <c r="Y3692">
        <v>1.17</v>
      </c>
      <c r="Z3692">
        <v>141</v>
      </c>
      <c r="AA3692">
        <v>10</v>
      </c>
      <c r="AB3692" t="s">
        <v>116</v>
      </c>
      <c r="AC3692">
        <v>67900</v>
      </c>
      <c r="AD3692">
        <v>0.01</v>
      </c>
      <c r="AE3692" t="s">
        <v>116</v>
      </c>
      <c r="AF3692" t="s">
        <v>116</v>
      </c>
      <c r="AG3692">
        <v>0.44</v>
      </c>
      <c r="AH3692" t="s">
        <v>422</v>
      </c>
      <c r="AI3692" t="s">
        <v>15183</v>
      </c>
      <c r="AJ3692">
        <v>0.25</v>
      </c>
      <c r="AK3692">
        <v>1570</v>
      </c>
      <c r="AL3692">
        <v>20</v>
      </c>
      <c r="AM3692">
        <v>4.4999999999999997E-3</v>
      </c>
      <c r="AN3692">
        <v>4</v>
      </c>
      <c r="AO3692">
        <v>3.07</v>
      </c>
      <c r="AP3692">
        <v>18.670000000000002</v>
      </c>
      <c r="AQ3692">
        <v>-25.92</v>
      </c>
      <c r="AR3692">
        <v>15.88</v>
      </c>
      <c r="AS3692">
        <v>7.14</v>
      </c>
      <c r="AT3692" t="s">
        <v>422</v>
      </c>
      <c r="AU3692">
        <v>176.91</v>
      </c>
      <c r="AV3692">
        <v>60.56</v>
      </c>
      <c r="AW3692">
        <v>1.32</v>
      </c>
      <c r="BA3692">
        <v>0.1</v>
      </c>
      <c r="BB3692">
        <v>2.71</v>
      </c>
      <c r="BC3692">
        <v>-0.47</v>
      </c>
      <c r="BD3692">
        <v>1.47</v>
      </c>
      <c r="BE3692">
        <v>7.0000000000000007E-2</v>
      </c>
      <c r="BF3692">
        <v>-2.48</v>
      </c>
      <c r="BG3692">
        <v>0.65</v>
      </c>
      <c r="BH3692">
        <v>-1.3</v>
      </c>
      <c r="BI3692">
        <v>20191028</v>
      </c>
      <c r="BJ3692">
        <v>20190722</v>
      </c>
      <c r="BK3692">
        <v>1.94</v>
      </c>
      <c r="BL3692" t="s">
        <v>116</v>
      </c>
      <c r="BM3692" t="s">
        <v>116</v>
      </c>
      <c r="BN3692">
        <v>18.39</v>
      </c>
      <c r="BO3692">
        <v>15.68</v>
      </c>
      <c r="BP3692">
        <v>0</v>
      </c>
      <c r="BQ3692">
        <v>14.75</v>
      </c>
      <c r="BR3692">
        <v>16.93</v>
      </c>
      <c r="BS3692">
        <v>0.5</v>
      </c>
      <c r="BT3692">
        <v>0.44</v>
      </c>
      <c r="BU3692">
        <v>2.63</v>
      </c>
      <c r="BV3692">
        <v>3</v>
      </c>
      <c r="BW3692">
        <v>0.94</v>
      </c>
      <c r="BX3692">
        <v>12.03</v>
      </c>
      <c r="BY3692">
        <v>2.95</v>
      </c>
      <c r="BZ3692">
        <v>1.6</v>
      </c>
      <c r="CA3692">
        <v>0.1</v>
      </c>
      <c r="CB3692">
        <v>0</v>
      </c>
      <c r="CC3692">
        <v>0.11</v>
      </c>
      <c r="CD3692">
        <v>0.15</v>
      </c>
      <c r="CE3692">
        <v>0.15</v>
      </c>
      <c r="CF3692">
        <v>0.1</v>
      </c>
      <c r="CG3692">
        <v>1.47</v>
      </c>
      <c r="CH3692">
        <v>-0.9</v>
      </c>
      <c r="CI3692">
        <v>0.65</v>
      </c>
      <c r="CJ3692">
        <v>19359</v>
      </c>
      <c r="CK3692">
        <v>2282</v>
      </c>
      <c r="CL3692" t="s">
        <v>9688</v>
      </c>
      <c r="CM3692">
        <v>0</v>
      </c>
      <c r="CN3692">
        <v>0</v>
      </c>
      <c r="CO3692">
        <v>3.65</v>
      </c>
      <c r="CP3692">
        <v>-63.69</v>
      </c>
      <c r="CQ3692">
        <v>19.399999999999999</v>
      </c>
      <c r="CR3692">
        <v>0</v>
      </c>
      <c r="CS3692" t="s">
        <v>2448</v>
      </c>
      <c r="CT3692">
        <v>8.1</v>
      </c>
      <c r="CU3692">
        <v>0</v>
      </c>
      <c r="CV3692">
        <v>6.21</v>
      </c>
      <c r="CW3692">
        <v>0.76</v>
      </c>
      <c r="CX3692">
        <v>-0.46</v>
      </c>
      <c r="CY3692">
        <v>85.25</v>
      </c>
      <c r="CZ3692" t="s">
        <v>4731</v>
      </c>
      <c r="DA3692">
        <v>45.84</v>
      </c>
      <c r="DB3692">
        <v>3.5</v>
      </c>
      <c r="DC3692">
        <v>5.23</v>
      </c>
      <c r="DD3692">
        <v>0.64</v>
      </c>
      <c r="DE3692">
        <v>789</v>
      </c>
      <c r="DF3692">
        <v>688003</v>
      </c>
      <c r="DG3692" t="s">
        <v>116</v>
      </c>
      <c r="DH3692" t="s">
        <v>116</v>
      </c>
      <c r="DI3692" t="s">
        <v>116</v>
      </c>
    </row>
    <row r="3693" spans="1:113" x14ac:dyDescent="0.4">
      <c r="A3693" t="str">
        <f>"688005"</f>
        <v>688005</v>
      </c>
      <c r="B3693" t="s">
        <v>15184</v>
      </c>
      <c r="C3693">
        <v>6.38</v>
      </c>
      <c r="D3693">
        <v>32.86</v>
      </c>
      <c r="E3693">
        <v>1.97</v>
      </c>
      <c r="F3693">
        <v>32.85</v>
      </c>
      <c r="G3693">
        <v>32.86</v>
      </c>
      <c r="H3693">
        <v>80876</v>
      </c>
      <c r="I3693">
        <v>699</v>
      </c>
      <c r="J3693">
        <v>0.31</v>
      </c>
      <c r="K3693">
        <v>19.850000000000001</v>
      </c>
      <c r="L3693">
        <v>30.66</v>
      </c>
      <c r="M3693">
        <v>34.5</v>
      </c>
      <c r="N3693">
        <v>30.66</v>
      </c>
      <c r="O3693">
        <v>30.89</v>
      </c>
      <c r="P3693">
        <v>68.650000000000006</v>
      </c>
      <c r="Q3693">
        <v>267700192</v>
      </c>
      <c r="R3693">
        <v>1.82</v>
      </c>
      <c r="S3693" t="s">
        <v>397</v>
      </c>
      <c r="T3693" t="s">
        <v>590</v>
      </c>
      <c r="U3693">
        <v>12.43</v>
      </c>
      <c r="V3693">
        <v>33.1</v>
      </c>
      <c r="W3693">
        <v>38871</v>
      </c>
      <c r="X3693">
        <v>42005</v>
      </c>
      <c r="Y3693">
        <v>0.93</v>
      </c>
      <c r="Z3693">
        <v>68</v>
      </c>
      <c r="AA3693">
        <v>232</v>
      </c>
      <c r="AB3693" t="s">
        <v>116</v>
      </c>
      <c r="AC3693">
        <v>584400</v>
      </c>
      <c r="AD3693">
        <v>0.05</v>
      </c>
      <c r="AE3693" t="s">
        <v>116</v>
      </c>
      <c r="AF3693" t="s">
        <v>116</v>
      </c>
      <c r="AG3693">
        <v>0.41</v>
      </c>
      <c r="AH3693" t="s">
        <v>2252</v>
      </c>
      <c r="AI3693" t="s">
        <v>15185</v>
      </c>
      <c r="AJ3693">
        <v>6.45</v>
      </c>
      <c r="AK3693">
        <v>2835</v>
      </c>
      <c r="AL3693">
        <v>29</v>
      </c>
      <c r="AM3693">
        <v>7.0000000000000001E-3</v>
      </c>
      <c r="AN3693">
        <v>4</v>
      </c>
      <c r="AO3693">
        <v>14.38</v>
      </c>
      <c r="AP3693">
        <v>39.770000000000003</v>
      </c>
      <c r="AQ3693">
        <v>-16.02</v>
      </c>
      <c r="AR3693">
        <v>23.44</v>
      </c>
      <c r="AS3693">
        <v>19.850000000000001</v>
      </c>
      <c r="AT3693" t="s">
        <v>2252</v>
      </c>
      <c r="AU3693">
        <v>67.16</v>
      </c>
      <c r="AV3693">
        <v>68.42</v>
      </c>
      <c r="AW3693">
        <v>1.88</v>
      </c>
      <c r="BA3693">
        <v>-0.74</v>
      </c>
      <c r="BB3693">
        <v>11.69</v>
      </c>
      <c r="BC3693">
        <v>-0.74</v>
      </c>
      <c r="BD3693">
        <v>7.15</v>
      </c>
      <c r="BE3693">
        <v>7.18</v>
      </c>
      <c r="BF3693">
        <v>-4.75</v>
      </c>
      <c r="BG3693">
        <v>7.18</v>
      </c>
      <c r="BH3693">
        <v>-0.78</v>
      </c>
      <c r="BI3693">
        <v>20191030</v>
      </c>
      <c r="BJ3693">
        <v>20190722</v>
      </c>
      <c r="BK3693">
        <v>4.43</v>
      </c>
      <c r="BL3693" t="s">
        <v>116</v>
      </c>
      <c r="BM3693" t="s">
        <v>116</v>
      </c>
      <c r="BN3693">
        <v>60.48</v>
      </c>
      <c r="BO3693">
        <v>43.83</v>
      </c>
      <c r="BP3693">
        <v>0</v>
      </c>
      <c r="BQ3693">
        <v>27.52</v>
      </c>
      <c r="BR3693">
        <v>41.85</v>
      </c>
      <c r="BS3693">
        <v>10.19</v>
      </c>
      <c r="BT3693">
        <v>2.61</v>
      </c>
      <c r="BU3693">
        <v>15.4</v>
      </c>
      <c r="BV3693">
        <v>5.74</v>
      </c>
      <c r="BW3693">
        <v>11.95</v>
      </c>
      <c r="BX3693">
        <v>35.39</v>
      </c>
      <c r="BY3693">
        <v>30.98</v>
      </c>
      <c r="BZ3693">
        <v>26.87</v>
      </c>
      <c r="CA3693">
        <v>1.8</v>
      </c>
      <c r="CB3693">
        <v>0.04</v>
      </c>
      <c r="CC3693">
        <v>1.79</v>
      </c>
      <c r="CD3693">
        <v>1.58</v>
      </c>
      <c r="CE3693">
        <v>1.59</v>
      </c>
      <c r="CF3693">
        <v>1.45</v>
      </c>
      <c r="CG3693">
        <v>3.84</v>
      </c>
      <c r="CH3693">
        <v>-0.03</v>
      </c>
      <c r="CI3693">
        <v>11.82</v>
      </c>
      <c r="CJ3693">
        <v>17957</v>
      </c>
      <c r="CK3693">
        <v>2269</v>
      </c>
      <c r="CL3693" t="s">
        <v>800</v>
      </c>
      <c r="CM3693">
        <v>0</v>
      </c>
      <c r="CN3693">
        <v>0</v>
      </c>
      <c r="CO3693">
        <v>3.32</v>
      </c>
      <c r="CP3693">
        <v>-5509.01</v>
      </c>
      <c r="CQ3693">
        <v>4.7</v>
      </c>
      <c r="CR3693">
        <v>0</v>
      </c>
      <c r="CS3693" t="s">
        <v>6158</v>
      </c>
      <c r="CT3693">
        <v>9.89</v>
      </c>
      <c r="CU3693">
        <v>0</v>
      </c>
      <c r="CV3693">
        <v>7.98</v>
      </c>
      <c r="CW3693">
        <v>0.87</v>
      </c>
      <c r="CX3693">
        <v>-0.01</v>
      </c>
      <c r="CY3693">
        <v>72.47</v>
      </c>
      <c r="CZ3693" t="s">
        <v>2723</v>
      </c>
      <c r="DA3693">
        <v>13.26</v>
      </c>
      <c r="DB3693">
        <v>5.8</v>
      </c>
      <c r="DC3693">
        <v>5.14</v>
      </c>
      <c r="DD3693">
        <v>1.31</v>
      </c>
      <c r="DE3693">
        <v>2157</v>
      </c>
      <c r="DF3693">
        <v>688005</v>
      </c>
      <c r="DG3693" t="s">
        <v>116</v>
      </c>
      <c r="DH3693" t="s">
        <v>116</v>
      </c>
      <c r="DI3693" t="s">
        <v>116</v>
      </c>
    </row>
    <row r="3694" spans="1:113" x14ac:dyDescent="0.4">
      <c r="A3694" t="str">
        <f>"688006"</f>
        <v>688006</v>
      </c>
      <c r="B3694" t="s">
        <v>15186</v>
      </c>
      <c r="C3694">
        <v>-0.37</v>
      </c>
      <c r="D3694">
        <v>40.61</v>
      </c>
      <c r="E3694">
        <v>-0.15</v>
      </c>
      <c r="F3694">
        <v>40.61</v>
      </c>
      <c r="G3694">
        <v>40.700000000000003</v>
      </c>
      <c r="H3694">
        <v>21061</v>
      </c>
      <c r="I3694">
        <v>322</v>
      </c>
      <c r="J3694">
        <v>0.27</v>
      </c>
      <c r="K3694">
        <v>5.73</v>
      </c>
      <c r="L3694">
        <v>40.409999999999997</v>
      </c>
      <c r="M3694">
        <v>42.3</v>
      </c>
      <c r="N3694">
        <v>40.409999999999997</v>
      </c>
      <c r="O3694">
        <v>40.76</v>
      </c>
      <c r="P3694">
        <v>42.8</v>
      </c>
      <c r="Q3694">
        <v>87247216</v>
      </c>
      <c r="R3694">
        <v>0.78</v>
      </c>
      <c r="S3694" t="s">
        <v>397</v>
      </c>
      <c r="T3694" t="s">
        <v>590</v>
      </c>
      <c r="U3694">
        <v>4.6399999999999997</v>
      </c>
      <c r="V3694">
        <v>41.43</v>
      </c>
      <c r="W3694">
        <v>10226</v>
      </c>
      <c r="X3694">
        <v>10836</v>
      </c>
      <c r="Y3694">
        <v>0.94</v>
      </c>
      <c r="Z3694">
        <v>63</v>
      </c>
      <c r="AA3694">
        <v>5</v>
      </c>
      <c r="AB3694" t="s">
        <v>116</v>
      </c>
      <c r="AC3694">
        <v>387900</v>
      </c>
      <c r="AD3694">
        <v>0.03</v>
      </c>
      <c r="AE3694" t="s">
        <v>116</v>
      </c>
      <c r="AF3694" t="s">
        <v>116</v>
      </c>
      <c r="AG3694">
        <v>0.37</v>
      </c>
      <c r="AH3694" t="s">
        <v>9902</v>
      </c>
      <c r="AI3694" t="s">
        <v>15187</v>
      </c>
      <c r="AJ3694">
        <v>-0.28999999999999998</v>
      </c>
      <c r="AK3694">
        <v>1469</v>
      </c>
      <c r="AL3694">
        <v>14</v>
      </c>
      <c r="AM3694">
        <v>3.8999999999999998E-3</v>
      </c>
      <c r="AN3694">
        <v>-2</v>
      </c>
      <c r="AO3694">
        <v>-0.79</v>
      </c>
      <c r="AP3694">
        <v>12.49</v>
      </c>
      <c r="AQ3694">
        <v>-16.16</v>
      </c>
      <c r="AR3694">
        <v>48.05</v>
      </c>
      <c r="AS3694">
        <v>5.73</v>
      </c>
      <c r="AT3694" t="s">
        <v>9902</v>
      </c>
      <c r="AU3694">
        <v>50.58</v>
      </c>
      <c r="AV3694">
        <v>56.89</v>
      </c>
      <c r="AW3694">
        <v>2.12</v>
      </c>
      <c r="BA3694">
        <v>-0.86</v>
      </c>
      <c r="BB3694">
        <v>3.78</v>
      </c>
      <c r="BC3694">
        <v>-0.86</v>
      </c>
      <c r="BD3694">
        <v>1.63</v>
      </c>
      <c r="BE3694">
        <v>0.49</v>
      </c>
      <c r="BF3694">
        <v>-4</v>
      </c>
      <c r="BG3694">
        <v>0.49</v>
      </c>
      <c r="BH3694">
        <v>-2</v>
      </c>
      <c r="BI3694">
        <v>20191104</v>
      </c>
      <c r="BJ3694">
        <v>20190722</v>
      </c>
      <c r="BK3694">
        <v>4.01</v>
      </c>
      <c r="BL3694" t="s">
        <v>116</v>
      </c>
      <c r="BM3694" t="s">
        <v>116</v>
      </c>
      <c r="BN3694">
        <v>37.17</v>
      </c>
      <c r="BO3694">
        <v>22.18</v>
      </c>
      <c r="BP3694">
        <v>0</v>
      </c>
      <c r="BQ3694">
        <v>40.340000000000003</v>
      </c>
      <c r="BR3694">
        <v>32.07</v>
      </c>
      <c r="BS3694">
        <v>2.91</v>
      </c>
      <c r="BT3694">
        <v>0.98</v>
      </c>
      <c r="BU3694">
        <v>14.87</v>
      </c>
      <c r="BV3694">
        <v>8.32</v>
      </c>
      <c r="BW3694">
        <v>3.73</v>
      </c>
      <c r="BX3694">
        <v>10.87</v>
      </c>
      <c r="BY3694">
        <v>9.99</v>
      </c>
      <c r="BZ3694">
        <v>5.2</v>
      </c>
      <c r="CA3694">
        <v>3.26</v>
      </c>
      <c r="CB3694">
        <v>0.06</v>
      </c>
      <c r="CC3694">
        <v>3.32</v>
      </c>
      <c r="CD3694">
        <v>2.85</v>
      </c>
      <c r="CE3694">
        <v>2.85</v>
      </c>
      <c r="CF3694">
        <v>2.54</v>
      </c>
      <c r="CG3694">
        <v>6.72</v>
      </c>
      <c r="CH3694">
        <v>0.21</v>
      </c>
      <c r="CI3694">
        <v>10.039999999999999</v>
      </c>
      <c r="CJ3694">
        <v>15754</v>
      </c>
      <c r="CK3694">
        <v>2335</v>
      </c>
      <c r="CL3694" t="s">
        <v>5067</v>
      </c>
      <c r="CM3694">
        <v>0</v>
      </c>
      <c r="CN3694">
        <v>0</v>
      </c>
      <c r="CO3694">
        <v>7.34</v>
      </c>
      <c r="CP3694">
        <v>782.48</v>
      </c>
      <c r="CQ3694">
        <v>16.3</v>
      </c>
      <c r="CR3694">
        <v>0</v>
      </c>
      <c r="CS3694" t="s">
        <v>9924</v>
      </c>
      <c r="CT3694">
        <v>5.53</v>
      </c>
      <c r="CU3694">
        <v>0</v>
      </c>
      <c r="CV3694">
        <v>2.71</v>
      </c>
      <c r="CW3694">
        <v>1.68</v>
      </c>
      <c r="CX3694">
        <v>0.05</v>
      </c>
      <c r="CY3694">
        <v>59.66</v>
      </c>
      <c r="CZ3694" t="s">
        <v>7953</v>
      </c>
      <c r="DA3694">
        <v>47.99</v>
      </c>
      <c r="DB3694">
        <v>32.67</v>
      </c>
      <c r="DC3694">
        <v>28.55</v>
      </c>
      <c r="DD3694">
        <v>0.53</v>
      </c>
      <c r="DE3694">
        <v>1474</v>
      </c>
      <c r="DF3694">
        <v>688006</v>
      </c>
      <c r="DG3694" t="s">
        <v>116</v>
      </c>
      <c r="DH3694" t="s">
        <v>116</v>
      </c>
      <c r="DI3694" t="s">
        <v>116</v>
      </c>
    </row>
    <row r="3695" spans="1:113" x14ac:dyDescent="0.4">
      <c r="A3695" t="str">
        <f>"688007"</f>
        <v>688007</v>
      </c>
      <c r="B3695" t="s">
        <v>15188</v>
      </c>
      <c r="C3695">
        <v>-1.92</v>
      </c>
      <c r="D3695">
        <v>27.56</v>
      </c>
      <c r="E3695">
        <v>-0.54</v>
      </c>
      <c r="F3695">
        <v>27.55</v>
      </c>
      <c r="G3695">
        <v>27.56</v>
      </c>
      <c r="H3695">
        <v>20312</v>
      </c>
      <c r="I3695">
        <v>191</v>
      </c>
      <c r="J3695">
        <v>7.0000000000000007E-2</v>
      </c>
      <c r="K3695">
        <v>3.55</v>
      </c>
      <c r="L3695">
        <v>28.13</v>
      </c>
      <c r="M3695">
        <v>28.52</v>
      </c>
      <c r="N3695">
        <v>27.44</v>
      </c>
      <c r="O3695">
        <v>28.1</v>
      </c>
      <c r="P3695">
        <v>75.19</v>
      </c>
      <c r="Q3695">
        <v>57237508</v>
      </c>
      <c r="R3695">
        <v>0.86</v>
      </c>
      <c r="S3695" t="s">
        <v>233</v>
      </c>
      <c r="T3695" t="s">
        <v>115</v>
      </c>
      <c r="U3695">
        <v>3.84</v>
      </c>
      <c r="V3695">
        <v>28.18</v>
      </c>
      <c r="W3695">
        <v>11917</v>
      </c>
      <c r="X3695">
        <v>8395</v>
      </c>
      <c r="Y3695">
        <v>1.42</v>
      </c>
      <c r="Z3695">
        <v>4</v>
      </c>
      <c r="AA3695">
        <v>100</v>
      </c>
      <c r="AB3695" t="s">
        <v>116</v>
      </c>
      <c r="AC3695">
        <v>46900</v>
      </c>
      <c r="AD3695">
        <v>0</v>
      </c>
      <c r="AE3695" t="s">
        <v>116</v>
      </c>
      <c r="AF3695" t="s">
        <v>116</v>
      </c>
      <c r="AG3695">
        <v>0.56999999999999995</v>
      </c>
      <c r="AH3695" t="s">
        <v>13854</v>
      </c>
      <c r="AI3695" t="s">
        <v>15189</v>
      </c>
      <c r="AJ3695">
        <v>-1.84</v>
      </c>
      <c r="AK3695">
        <v>1238</v>
      </c>
      <c r="AL3695">
        <v>16</v>
      </c>
      <c r="AM3695">
        <v>2.8999999999999998E-3</v>
      </c>
      <c r="AN3695">
        <v>-1</v>
      </c>
      <c r="AO3695">
        <v>0.26</v>
      </c>
      <c r="AP3695">
        <v>10.199999999999999</v>
      </c>
      <c r="AQ3695">
        <v>-19.39</v>
      </c>
      <c r="AR3695">
        <v>57.49</v>
      </c>
      <c r="AS3695">
        <v>3.55</v>
      </c>
      <c r="AT3695" t="s">
        <v>13854</v>
      </c>
      <c r="AU3695">
        <v>65.08</v>
      </c>
      <c r="AV3695">
        <v>70.319999999999993</v>
      </c>
      <c r="AW3695">
        <v>1.01</v>
      </c>
      <c r="BA3695">
        <v>0.11</v>
      </c>
      <c r="BB3695">
        <v>1.49</v>
      </c>
      <c r="BC3695">
        <v>-2.35</v>
      </c>
      <c r="BD3695">
        <v>0.28000000000000003</v>
      </c>
      <c r="BE3695">
        <v>-2.0299999999999998</v>
      </c>
      <c r="BF3695">
        <v>-3.37</v>
      </c>
      <c r="BG3695">
        <v>0.44</v>
      </c>
      <c r="BH3695">
        <v>-2.2000000000000002</v>
      </c>
      <c r="BI3695">
        <v>20191030</v>
      </c>
      <c r="BJ3695">
        <v>20190722</v>
      </c>
      <c r="BK3695">
        <v>4.5199999999999996</v>
      </c>
      <c r="BL3695" t="s">
        <v>116</v>
      </c>
      <c r="BM3695" t="s">
        <v>116</v>
      </c>
      <c r="BN3695">
        <v>31.23</v>
      </c>
      <c r="BO3695">
        <v>19.079999999999998</v>
      </c>
      <c r="BP3695">
        <v>1.47</v>
      </c>
      <c r="BQ3695">
        <v>34.200000000000003</v>
      </c>
      <c r="BR3695">
        <v>20.260000000000002</v>
      </c>
      <c r="BS3695">
        <v>4.59</v>
      </c>
      <c r="BT3695">
        <v>3.32</v>
      </c>
      <c r="BU3695">
        <v>7.07</v>
      </c>
      <c r="BV3695">
        <v>3.61</v>
      </c>
      <c r="BW3695">
        <v>1.64</v>
      </c>
      <c r="BX3695">
        <v>12</v>
      </c>
      <c r="BY3695">
        <v>13.52</v>
      </c>
      <c r="BZ3695">
        <v>7.96</v>
      </c>
      <c r="CA3695">
        <v>2.11</v>
      </c>
      <c r="CB3695">
        <v>-0.02</v>
      </c>
      <c r="CC3695">
        <v>2.13</v>
      </c>
      <c r="CD3695">
        <v>1.6</v>
      </c>
      <c r="CE3695">
        <v>1.24</v>
      </c>
      <c r="CF3695">
        <v>0.9</v>
      </c>
      <c r="CG3695">
        <v>2.37</v>
      </c>
      <c r="CH3695">
        <v>0.54</v>
      </c>
      <c r="CI3695">
        <v>-0.15</v>
      </c>
      <c r="CJ3695">
        <v>22278</v>
      </c>
      <c r="CK3695">
        <v>2567</v>
      </c>
      <c r="CL3695" t="s">
        <v>2702</v>
      </c>
      <c r="CM3695">
        <v>0</v>
      </c>
      <c r="CN3695">
        <v>0</v>
      </c>
      <c r="CO3695">
        <v>6.52</v>
      </c>
      <c r="CP3695">
        <v>229.14</v>
      </c>
      <c r="CQ3695">
        <v>9.2100000000000009</v>
      </c>
      <c r="CR3695">
        <v>0</v>
      </c>
      <c r="CS3695" t="s">
        <v>3626</v>
      </c>
      <c r="CT3695">
        <v>4.2300000000000004</v>
      </c>
      <c r="CU3695">
        <v>0</v>
      </c>
      <c r="CV3695">
        <v>2.66</v>
      </c>
      <c r="CW3695">
        <v>0.52</v>
      </c>
      <c r="CX3695">
        <v>0.12</v>
      </c>
      <c r="CY3695">
        <v>61.09</v>
      </c>
      <c r="CZ3695" t="s">
        <v>15190</v>
      </c>
      <c r="DA3695">
        <v>41.13</v>
      </c>
      <c r="DB3695">
        <v>15.57</v>
      </c>
      <c r="DC3695">
        <v>9.18</v>
      </c>
      <c r="DD3695">
        <v>1.37</v>
      </c>
      <c r="DE3695">
        <v>1132</v>
      </c>
      <c r="DF3695">
        <v>688007</v>
      </c>
      <c r="DG3695" t="s">
        <v>116</v>
      </c>
      <c r="DH3695" t="s">
        <v>116</v>
      </c>
      <c r="DI3695" t="s">
        <v>116</v>
      </c>
    </row>
    <row r="3696" spans="1:113" x14ac:dyDescent="0.4">
      <c r="A3696" t="str">
        <f>"688008"</f>
        <v>688008</v>
      </c>
      <c r="B3696" t="s">
        <v>15191</v>
      </c>
      <c r="C3696">
        <v>-1.99</v>
      </c>
      <c r="D3696">
        <v>73.39</v>
      </c>
      <c r="E3696">
        <v>-1.49</v>
      </c>
      <c r="F3696">
        <v>73.38</v>
      </c>
      <c r="G3696">
        <v>73.39</v>
      </c>
      <c r="H3696">
        <v>25546</v>
      </c>
      <c r="I3696">
        <v>292</v>
      </c>
      <c r="J3696">
        <v>-0.03</v>
      </c>
      <c r="K3696">
        <v>3.43</v>
      </c>
      <c r="L3696">
        <v>75</v>
      </c>
      <c r="M3696">
        <v>76.19</v>
      </c>
      <c r="N3696">
        <v>73.010000000000005</v>
      </c>
      <c r="O3696">
        <v>74.88</v>
      </c>
      <c r="P3696">
        <v>83.64</v>
      </c>
      <c r="Q3696">
        <v>190253424</v>
      </c>
      <c r="R3696">
        <v>0.78</v>
      </c>
      <c r="S3696" t="s">
        <v>3507</v>
      </c>
      <c r="T3696" t="s">
        <v>1653</v>
      </c>
      <c r="U3696">
        <v>4.25</v>
      </c>
      <c r="V3696">
        <v>74.47</v>
      </c>
      <c r="W3696">
        <v>14037</v>
      </c>
      <c r="X3696">
        <v>11509</v>
      </c>
      <c r="Y3696">
        <v>1.22</v>
      </c>
      <c r="Z3696">
        <v>66</v>
      </c>
      <c r="AA3696">
        <v>91</v>
      </c>
      <c r="AB3696" t="s">
        <v>116</v>
      </c>
      <c r="AC3696">
        <v>636700</v>
      </c>
      <c r="AD3696">
        <v>0.01</v>
      </c>
      <c r="AE3696" t="s">
        <v>116</v>
      </c>
      <c r="AF3696" t="s">
        <v>116</v>
      </c>
      <c r="AG3696">
        <v>0.74</v>
      </c>
      <c r="AH3696" t="s">
        <v>15192</v>
      </c>
      <c r="AI3696" t="s">
        <v>15193</v>
      </c>
      <c r="AJ3696">
        <v>-1.91</v>
      </c>
      <c r="AK3696">
        <v>1978</v>
      </c>
      <c r="AL3696">
        <v>13</v>
      </c>
      <c r="AM3696">
        <v>1.6999999999999999E-3</v>
      </c>
      <c r="AN3696">
        <v>-1</v>
      </c>
      <c r="AO3696">
        <v>5.87</v>
      </c>
      <c r="AP3696">
        <v>12.17</v>
      </c>
      <c r="AQ3696">
        <v>7.45</v>
      </c>
      <c r="AR3696">
        <v>195.93</v>
      </c>
      <c r="AS3696">
        <v>3.43</v>
      </c>
      <c r="AT3696" t="s">
        <v>15192</v>
      </c>
      <c r="AU3696">
        <v>90.42</v>
      </c>
      <c r="AV3696">
        <v>112.52</v>
      </c>
      <c r="AW3696">
        <v>0.7</v>
      </c>
      <c r="BA3696">
        <v>0.16</v>
      </c>
      <c r="BB3696">
        <v>1.75</v>
      </c>
      <c r="BC3696">
        <v>-2.5</v>
      </c>
      <c r="BD3696">
        <v>-0.54</v>
      </c>
      <c r="BE3696">
        <v>-2.15</v>
      </c>
      <c r="BF3696">
        <v>-3.68</v>
      </c>
      <c r="BG3696">
        <v>0.52</v>
      </c>
      <c r="BH3696">
        <v>-1.45</v>
      </c>
      <c r="BI3696">
        <v>20191030</v>
      </c>
      <c r="BJ3696">
        <v>20190722</v>
      </c>
      <c r="BK3696">
        <v>11.3</v>
      </c>
      <c r="BL3696" t="s">
        <v>116</v>
      </c>
      <c r="BM3696" t="s">
        <v>116</v>
      </c>
      <c r="BN3696">
        <v>75.89</v>
      </c>
      <c r="BO3696">
        <v>71.63</v>
      </c>
      <c r="BP3696">
        <v>0</v>
      </c>
      <c r="BQ3696">
        <v>5.62</v>
      </c>
      <c r="BR3696">
        <v>74.760000000000005</v>
      </c>
      <c r="BS3696">
        <v>0.3</v>
      </c>
      <c r="BT3696">
        <v>0.2</v>
      </c>
      <c r="BU3696">
        <v>2.6</v>
      </c>
      <c r="BV3696">
        <v>0.82</v>
      </c>
      <c r="BW3696">
        <v>2.29</v>
      </c>
      <c r="BX3696">
        <v>46.99</v>
      </c>
      <c r="BY3696">
        <v>13.84</v>
      </c>
      <c r="BZ3696">
        <v>3.57</v>
      </c>
      <c r="CA3696">
        <v>7.65</v>
      </c>
      <c r="CB3696">
        <v>0.23</v>
      </c>
      <c r="CC3696">
        <v>7.65</v>
      </c>
      <c r="CD3696">
        <v>7.44</v>
      </c>
      <c r="CE3696">
        <v>7.44</v>
      </c>
      <c r="CF3696">
        <v>7.15</v>
      </c>
      <c r="CG3696">
        <v>11.74</v>
      </c>
      <c r="CH3696">
        <v>6.39</v>
      </c>
      <c r="CI3696">
        <v>-2.0699999999999998</v>
      </c>
      <c r="CJ3696">
        <v>35336</v>
      </c>
      <c r="CK3696">
        <v>2105</v>
      </c>
      <c r="CL3696" t="s">
        <v>7827</v>
      </c>
      <c r="CM3696">
        <v>0</v>
      </c>
      <c r="CN3696">
        <v>0</v>
      </c>
      <c r="CO3696">
        <v>11.58</v>
      </c>
      <c r="CP3696">
        <v>129.86000000000001</v>
      </c>
      <c r="CQ3696">
        <v>59.9</v>
      </c>
      <c r="CR3696">
        <v>0</v>
      </c>
      <c r="CS3696" t="s">
        <v>3173</v>
      </c>
      <c r="CT3696">
        <v>6.34</v>
      </c>
      <c r="CU3696">
        <v>0</v>
      </c>
      <c r="CV3696">
        <v>4.16</v>
      </c>
      <c r="CW3696">
        <v>1.04</v>
      </c>
      <c r="CX3696">
        <v>0.56999999999999995</v>
      </c>
      <c r="CY3696">
        <v>94.38</v>
      </c>
      <c r="CZ3696" t="s">
        <v>14110</v>
      </c>
      <c r="DA3696">
        <v>74.23</v>
      </c>
      <c r="DB3696">
        <v>55.28</v>
      </c>
      <c r="DC3696">
        <v>53.71</v>
      </c>
      <c r="DD3696">
        <v>1.97</v>
      </c>
      <c r="DE3696">
        <v>255</v>
      </c>
      <c r="DF3696">
        <v>688008</v>
      </c>
      <c r="DG3696" t="s">
        <v>116</v>
      </c>
      <c r="DH3696" t="s">
        <v>116</v>
      </c>
      <c r="DI3696" t="s">
        <v>116</v>
      </c>
    </row>
    <row r="3697" spans="1:113" x14ac:dyDescent="0.4">
      <c r="A3697" t="str">
        <f>"688009"</f>
        <v>688009</v>
      </c>
      <c r="B3697" t="s">
        <v>15194</v>
      </c>
      <c r="C3697">
        <v>-0.86</v>
      </c>
      <c r="D3697">
        <v>6.91</v>
      </c>
      <c r="E3697">
        <v>-0.06</v>
      </c>
      <c r="F3697">
        <v>6.91</v>
      </c>
      <c r="G3697">
        <v>6.92</v>
      </c>
      <c r="H3697">
        <v>258789</v>
      </c>
      <c r="I3697">
        <v>3113</v>
      </c>
      <c r="J3697">
        <v>-0.13</v>
      </c>
      <c r="K3697">
        <v>2.19</v>
      </c>
      <c r="L3697">
        <v>6.98</v>
      </c>
      <c r="M3697">
        <v>7.04</v>
      </c>
      <c r="N3697">
        <v>6.91</v>
      </c>
      <c r="O3697">
        <v>6.97</v>
      </c>
      <c r="P3697">
        <v>19.52</v>
      </c>
      <c r="Q3697">
        <v>180507248</v>
      </c>
      <c r="R3697">
        <v>1.08</v>
      </c>
      <c r="S3697" t="s">
        <v>164</v>
      </c>
      <c r="T3697" t="s">
        <v>165</v>
      </c>
      <c r="U3697">
        <v>1.87</v>
      </c>
      <c r="V3697">
        <v>6.98</v>
      </c>
      <c r="W3697">
        <v>154114</v>
      </c>
      <c r="X3697">
        <v>104675</v>
      </c>
      <c r="Y3697">
        <v>1.47</v>
      </c>
      <c r="Z3697">
        <v>3598</v>
      </c>
      <c r="AA3697">
        <v>403</v>
      </c>
      <c r="AB3697" t="s">
        <v>116</v>
      </c>
      <c r="AC3697">
        <v>485400</v>
      </c>
      <c r="AD3697">
        <v>0.01</v>
      </c>
      <c r="AE3697" t="s">
        <v>116</v>
      </c>
      <c r="AF3697" t="s">
        <v>116</v>
      </c>
      <c r="AG3697">
        <v>11.84</v>
      </c>
      <c r="AH3697" t="s">
        <v>15195</v>
      </c>
      <c r="AI3697" t="s">
        <v>15196</v>
      </c>
      <c r="AJ3697">
        <v>-0.78</v>
      </c>
      <c r="AK3697">
        <v>2144</v>
      </c>
      <c r="AL3697">
        <v>121</v>
      </c>
      <c r="AM3697">
        <v>1E-3</v>
      </c>
      <c r="AN3697">
        <v>-1</v>
      </c>
      <c r="AO3697">
        <v>0.28999999999999998</v>
      </c>
      <c r="AP3697">
        <v>6.97</v>
      </c>
      <c r="AQ3697">
        <v>-21.57</v>
      </c>
      <c r="AR3697">
        <v>18.12</v>
      </c>
      <c r="AS3697">
        <v>2.19</v>
      </c>
      <c r="AT3697" t="s">
        <v>15195</v>
      </c>
      <c r="AU3697">
        <v>19.36</v>
      </c>
      <c r="AV3697">
        <v>21.47</v>
      </c>
      <c r="AW3697">
        <v>1.19</v>
      </c>
      <c r="BA3697">
        <v>0.14000000000000001</v>
      </c>
      <c r="BB3697">
        <v>1</v>
      </c>
      <c r="BC3697">
        <v>-0.86</v>
      </c>
      <c r="BD3697">
        <v>7.0000000000000007E-2</v>
      </c>
      <c r="BE3697">
        <v>-1</v>
      </c>
      <c r="BF3697">
        <v>-1.85</v>
      </c>
      <c r="BG3697">
        <v>0</v>
      </c>
      <c r="BH3697">
        <v>-0.93</v>
      </c>
      <c r="BI3697">
        <v>20191030</v>
      </c>
      <c r="BJ3697">
        <v>20190722</v>
      </c>
      <c r="BK3697">
        <v>105.9</v>
      </c>
      <c r="BL3697" t="s">
        <v>116</v>
      </c>
      <c r="BM3697">
        <v>19.690000000000001</v>
      </c>
      <c r="BN3697">
        <v>932.24</v>
      </c>
      <c r="BO3697">
        <v>408.56</v>
      </c>
      <c r="BP3697">
        <v>8.89</v>
      </c>
      <c r="BQ3697">
        <v>55.22</v>
      </c>
      <c r="BR3697">
        <v>776.22</v>
      </c>
      <c r="BS3697">
        <v>39.14</v>
      </c>
      <c r="BT3697">
        <v>24.69</v>
      </c>
      <c r="BU3697">
        <v>486.67</v>
      </c>
      <c r="BV3697">
        <v>23.3</v>
      </c>
      <c r="BW3697">
        <v>162.69999999999999</v>
      </c>
      <c r="BX3697">
        <v>159.9</v>
      </c>
      <c r="BY3697">
        <v>281.20999999999998</v>
      </c>
      <c r="BZ3697">
        <v>215.68</v>
      </c>
      <c r="CA3697">
        <v>36.79</v>
      </c>
      <c r="CB3697">
        <v>3.41</v>
      </c>
      <c r="CC3697">
        <v>37.15</v>
      </c>
      <c r="CD3697">
        <v>30.41</v>
      </c>
      <c r="CE3697">
        <v>28.12</v>
      </c>
      <c r="CF3697">
        <v>25.78</v>
      </c>
      <c r="CG3697">
        <v>101.72</v>
      </c>
      <c r="CH3697">
        <v>3.39</v>
      </c>
      <c r="CI3697">
        <v>74.709999999999994</v>
      </c>
      <c r="CJ3697">
        <v>223518</v>
      </c>
      <c r="CK3697">
        <v>5299</v>
      </c>
      <c r="CL3697" t="s">
        <v>3124</v>
      </c>
      <c r="CM3697">
        <v>0</v>
      </c>
      <c r="CN3697">
        <v>0</v>
      </c>
      <c r="CO3697">
        <v>1.92</v>
      </c>
      <c r="CP3697">
        <v>215.63</v>
      </c>
      <c r="CQ3697">
        <v>2.6</v>
      </c>
      <c r="CR3697">
        <v>0</v>
      </c>
      <c r="CS3697" t="s">
        <v>3995</v>
      </c>
      <c r="CT3697">
        <v>3.59</v>
      </c>
      <c r="CU3697">
        <v>3.59</v>
      </c>
      <c r="CV3697">
        <v>1.51</v>
      </c>
      <c r="CW3697">
        <v>0.96</v>
      </c>
      <c r="CX3697">
        <v>0.03</v>
      </c>
      <c r="CY3697">
        <v>43.83</v>
      </c>
      <c r="CZ3697" t="s">
        <v>2841</v>
      </c>
      <c r="DA3697">
        <v>23.3</v>
      </c>
      <c r="DB3697">
        <v>13.08</v>
      </c>
      <c r="DC3697">
        <v>10</v>
      </c>
      <c r="DD3697">
        <v>9.08</v>
      </c>
      <c r="DE3697">
        <v>19215</v>
      </c>
      <c r="DF3697">
        <v>688009</v>
      </c>
      <c r="DG3697" t="s">
        <v>116</v>
      </c>
      <c r="DH3697" t="s">
        <v>116</v>
      </c>
      <c r="DI3697" t="s">
        <v>116</v>
      </c>
    </row>
    <row r="3698" spans="1:113" x14ac:dyDescent="0.4">
      <c r="A3698" t="str">
        <f>"688010"</f>
        <v>688010</v>
      </c>
      <c r="B3698" t="s">
        <v>15197</v>
      </c>
      <c r="C3698">
        <v>-0.54</v>
      </c>
      <c r="D3698">
        <v>42.26</v>
      </c>
      <c r="E3698">
        <v>-0.23</v>
      </c>
      <c r="F3698">
        <v>42.26</v>
      </c>
      <c r="G3698">
        <v>42.27</v>
      </c>
      <c r="H3698">
        <v>19490</v>
      </c>
      <c r="I3698">
        <v>403</v>
      </c>
      <c r="J3698">
        <v>0</v>
      </c>
      <c r="K3698">
        <v>5.5</v>
      </c>
      <c r="L3698">
        <v>42.55</v>
      </c>
      <c r="M3698">
        <v>43.25</v>
      </c>
      <c r="N3698">
        <v>42.21</v>
      </c>
      <c r="O3698">
        <v>42.49</v>
      </c>
      <c r="P3698">
        <v>92.03</v>
      </c>
      <c r="Q3698">
        <v>83354296</v>
      </c>
      <c r="R3698">
        <v>1.03</v>
      </c>
      <c r="S3698" t="s">
        <v>2977</v>
      </c>
      <c r="T3698" t="s">
        <v>975</v>
      </c>
      <c r="U3698">
        <v>2.4500000000000002</v>
      </c>
      <c r="V3698">
        <v>42.77</v>
      </c>
      <c r="W3698">
        <v>11105</v>
      </c>
      <c r="X3698">
        <v>8385</v>
      </c>
      <c r="Y3698">
        <v>1.32</v>
      </c>
      <c r="Z3698">
        <v>95</v>
      </c>
      <c r="AA3698">
        <v>25</v>
      </c>
      <c r="AB3698" t="s">
        <v>116</v>
      </c>
      <c r="AC3698">
        <v>76600</v>
      </c>
      <c r="AD3698">
        <v>0.01</v>
      </c>
      <c r="AE3698" t="s">
        <v>116</v>
      </c>
      <c r="AF3698" t="s">
        <v>116</v>
      </c>
      <c r="AG3698">
        <v>0.35</v>
      </c>
      <c r="AH3698" t="s">
        <v>12346</v>
      </c>
      <c r="AI3698" t="s">
        <v>15198</v>
      </c>
      <c r="AJ3698">
        <v>-0.46</v>
      </c>
      <c r="AK3698">
        <v>1390</v>
      </c>
      <c r="AL3698">
        <v>14</v>
      </c>
      <c r="AM3698">
        <v>4.0000000000000001E-3</v>
      </c>
      <c r="AN3698">
        <v>-1</v>
      </c>
      <c r="AO3698">
        <v>1.08</v>
      </c>
      <c r="AP3698">
        <v>6.37</v>
      </c>
      <c r="AQ3698">
        <v>-24.88</v>
      </c>
      <c r="AR3698">
        <v>67.569999999999993</v>
      </c>
      <c r="AS3698">
        <v>5.5</v>
      </c>
      <c r="AT3698" t="s">
        <v>12346</v>
      </c>
      <c r="AU3698">
        <v>74.849999999999994</v>
      </c>
      <c r="AV3698">
        <v>71.02</v>
      </c>
      <c r="AW3698">
        <v>2.2599999999999998</v>
      </c>
      <c r="BA3698">
        <v>0.14000000000000001</v>
      </c>
      <c r="BB3698">
        <v>1.79</v>
      </c>
      <c r="BC3698">
        <v>-0.66</v>
      </c>
      <c r="BD3698">
        <v>0.66</v>
      </c>
      <c r="BE3698">
        <v>-0.68</v>
      </c>
      <c r="BF3698">
        <v>-2.29</v>
      </c>
      <c r="BG3698">
        <v>0.12</v>
      </c>
      <c r="BH3698">
        <v>-1.2</v>
      </c>
      <c r="BI3698">
        <v>20191031</v>
      </c>
      <c r="BJ3698">
        <v>20190722</v>
      </c>
      <c r="BK3698">
        <v>1.54</v>
      </c>
      <c r="BL3698" t="s">
        <v>116</v>
      </c>
      <c r="BM3698" t="s">
        <v>116</v>
      </c>
      <c r="BN3698">
        <v>19.559999999999999</v>
      </c>
      <c r="BO3698">
        <v>17.43</v>
      </c>
      <c r="BP3698">
        <v>0</v>
      </c>
      <c r="BQ3698">
        <v>10.91</v>
      </c>
      <c r="BR3698">
        <v>13.4</v>
      </c>
      <c r="BS3698">
        <v>2.4500000000000002</v>
      </c>
      <c r="BT3698">
        <v>0.32</v>
      </c>
      <c r="BU3698">
        <v>1.33</v>
      </c>
      <c r="BV3698">
        <v>1.71</v>
      </c>
      <c r="BW3698">
        <v>2.1800000000000002</v>
      </c>
      <c r="BX3698">
        <v>12.39</v>
      </c>
      <c r="BY3698">
        <v>3.99</v>
      </c>
      <c r="BZ3698">
        <v>2.66</v>
      </c>
      <c r="CA3698">
        <v>0.66</v>
      </c>
      <c r="CB3698">
        <v>0.03</v>
      </c>
      <c r="CC3698">
        <v>0.61</v>
      </c>
      <c r="CD3698">
        <v>0.53</v>
      </c>
      <c r="CE3698">
        <v>0.53</v>
      </c>
      <c r="CF3698">
        <v>0.46</v>
      </c>
      <c r="CG3698">
        <v>3.22</v>
      </c>
      <c r="CH3698">
        <v>0.23</v>
      </c>
      <c r="CI3698">
        <v>0.85</v>
      </c>
      <c r="CJ3698">
        <v>15635</v>
      </c>
      <c r="CK3698">
        <v>2267</v>
      </c>
      <c r="CL3698" t="s">
        <v>656</v>
      </c>
      <c r="CM3698">
        <v>0</v>
      </c>
      <c r="CN3698">
        <v>0</v>
      </c>
      <c r="CO3698">
        <v>3.72</v>
      </c>
      <c r="CP3698">
        <v>282.99</v>
      </c>
      <c r="CQ3698">
        <v>16.260000000000002</v>
      </c>
      <c r="CR3698">
        <v>0</v>
      </c>
      <c r="CS3698" t="s">
        <v>8649</v>
      </c>
      <c r="CT3698">
        <v>11.35</v>
      </c>
      <c r="CU3698">
        <v>0</v>
      </c>
      <c r="CV3698">
        <v>8.07</v>
      </c>
      <c r="CW3698">
        <v>2.1</v>
      </c>
      <c r="CX3698">
        <v>0.15</v>
      </c>
      <c r="CY3698">
        <v>89.09</v>
      </c>
      <c r="CZ3698" t="s">
        <v>4824</v>
      </c>
      <c r="DA3698">
        <v>33.26</v>
      </c>
      <c r="DB3698">
        <v>16.510000000000002</v>
      </c>
      <c r="DC3698">
        <v>13.25</v>
      </c>
      <c r="DD3698">
        <v>0.27</v>
      </c>
      <c r="DE3698">
        <v>1556</v>
      </c>
      <c r="DF3698">
        <v>688010</v>
      </c>
      <c r="DG3698" t="s">
        <v>116</v>
      </c>
      <c r="DH3698" t="s">
        <v>116</v>
      </c>
      <c r="DI3698" t="s">
        <v>116</v>
      </c>
    </row>
    <row r="3699" spans="1:113" x14ac:dyDescent="0.4">
      <c r="A3699" t="str">
        <f>"688011"</f>
        <v>688011</v>
      </c>
      <c r="B3699" t="s">
        <v>15199</v>
      </c>
      <c r="C3699">
        <v>-0.76</v>
      </c>
      <c r="D3699">
        <v>41.69</v>
      </c>
      <c r="E3699">
        <v>-0.32</v>
      </c>
      <c r="F3699">
        <v>41.68</v>
      </c>
      <c r="G3699">
        <v>41.69</v>
      </c>
      <c r="H3699">
        <v>9492</v>
      </c>
      <c r="I3699">
        <v>89</v>
      </c>
      <c r="J3699">
        <v>0.05</v>
      </c>
      <c r="K3699">
        <v>4.17</v>
      </c>
      <c r="L3699">
        <v>42.02</v>
      </c>
      <c r="M3699">
        <v>42.63</v>
      </c>
      <c r="N3699">
        <v>41.61</v>
      </c>
      <c r="O3699">
        <v>42.01</v>
      </c>
      <c r="P3699">
        <v>215.13</v>
      </c>
      <c r="Q3699">
        <v>40098372</v>
      </c>
      <c r="R3699">
        <v>0.94</v>
      </c>
      <c r="S3699" t="s">
        <v>233</v>
      </c>
      <c r="T3699" t="s">
        <v>1287</v>
      </c>
      <c r="U3699">
        <v>2.4300000000000002</v>
      </c>
      <c r="V3699">
        <v>42.24</v>
      </c>
      <c r="W3699">
        <v>4734</v>
      </c>
      <c r="X3699">
        <v>4758</v>
      </c>
      <c r="Y3699">
        <v>0.99</v>
      </c>
      <c r="Z3699">
        <v>20</v>
      </c>
      <c r="AA3699">
        <v>31</v>
      </c>
      <c r="AB3699" t="s">
        <v>116</v>
      </c>
      <c r="AC3699">
        <v>8400</v>
      </c>
      <c r="AD3699">
        <v>0</v>
      </c>
      <c r="AE3699" t="s">
        <v>116</v>
      </c>
      <c r="AF3699" t="s">
        <v>116</v>
      </c>
      <c r="AG3699">
        <v>0.23</v>
      </c>
      <c r="AH3699" t="s">
        <v>7051</v>
      </c>
      <c r="AI3699" t="s">
        <v>9430</v>
      </c>
      <c r="AJ3699">
        <v>-0.68</v>
      </c>
      <c r="AK3699">
        <v>810</v>
      </c>
      <c r="AL3699">
        <v>12</v>
      </c>
      <c r="AM3699">
        <v>5.1000000000000004E-3</v>
      </c>
      <c r="AN3699">
        <v>-1</v>
      </c>
      <c r="AO3699">
        <v>1.43</v>
      </c>
      <c r="AP3699">
        <v>5.46</v>
      </c>
      <c r="AQ3699">
        <v>-30.49</v>
      </c>
      <c r="AR3699">
        <v>9.4499999999999993</v>
      </c>
      <c r="AS3699">
        <v>4.17</v>
      </c>
      <c r="AT3699" t="s">
        <v>7051</v>
      </c>
      <c r="AU3699">
        <v>74.09</v>
      </c>
      <c r="AV3699">
        <v>57.36</v>
      </c>
      <c r="AW3699">
        <v>1.08</v>
      </c>
      <c r="BA3699">
        <v>0.02</v>
      </c>
      <c r="BB3699">
        <v>1.48</v>
      </c>
      <c r="BC3699">
        <v>-0.95</v>
      </c>
      <c r="BD3699">
        <v>0.55000000000000004</v>
      </c>
      <c r="BE3699">
        <v>-0.79</v>
      </c>
      <c r="BF3699">
        <v>-2.21</v>
      </c>
      <c r="BG3699">
        <v>0.19</v>
      </c>
      <c r="BH3699">
        <v>-1.32</v>
      </c>
      <c r="BI3699">
        <v>20191031</v>
      </c>
      <c r="BJ3699">
        <v>20190722</v>
      </c>
      <c r="BK3699">
        <v>1</v>
      </c>
      <c r="BL3699" t="s">
        <v>116</v>
      </c>
      <c r="BM3699" t="s">
        <v>116</v>
      </c>
      <c r="BN3699">
        <v>12.72</v>
      </c>
      <c r="BO3699">
        <v>11.78</v>
      </c>
      <c r="BP3699">
        <v>0.01</v>
      </c>
      <c r="BQ3699">
        <v>7.37</v>
      </c>
      <c r="BR3699">
        <v>11</v>
      </c>
      <c r="BS3699">
        <v>1.08</v>
      </c>
      <c r="BT3699">
        <v>0.23</v>
      </c>
      <c r="BU3699">
        <v>0.78</v>
      </c>
      <c r="BV3699">
        <v>0.64</v>
      </c>
      <c r="BW3699">
        <v>1.39</v>
      </c>
      <c r="BX3699">
        <v>10.23</v>
      </c>
      <c r="BY3699">
        <v>0.94</v>
      </c>
      <c r="BZ3699">
        <v>0.38</v>
      </c>
      <c r="CA3699">
        <v>0.15</v>
      </c>
      <c r="CB3699">
        <v>0</v>
      </c>
      <c r="CC3699">
        <v>0.17</v>
      </c>
      <c r="CD3699">
        <v>0.14000000000000001</v>
      </c>
      <c r="CE3699">
        <v>0.15</v>
      </c>
      <c r="CF3699">
        <v>0.11</v>
      </c>
      <c r="CG3699">
        <v>0.5</v>
      </c>
      <c r="CH3699">
        <v>-0.26</v>
      </c>
      <c r="CI3699">
        <v>0.53</v>
      </c>
      <c r="CJ3699">
        <v>11057</v>
      </c>
      <c r="CK3699">
        <v>2060</v>
      </c>
      <c r="CL3699" t="s">
        <v>2677</v>
      </c>
      <c r="CM3699">
        <v>0</v>
      </c>
      <c r="CN3699">
        <v>0</v>
      </c>
      <c r="CO3699">
        <v>3.54</v>
      </c>
      <c r="CP3699">
        <v>-163.07</v>
      </c>
      <c r="CQ3699">
        <v>44.22</v>
      </c>
      <c r="CR3699">
        <v>0</v>
      </c>
      <c r="CS3699" t="s">
        <v>1971</v>
      </c>
      <c r="CT3699">
        <v>11.78</v>
      </c>
      <c r="CU3699">
        <v>0</v>
      </c>
      <c r="CV3699">
        <v>10.23</v>
      </c>
      <c r="CW3699">
        <v>0.5</v>
      </c>
      <c r="CX3699">
        <v>-0.26</v>
      </c>
      <c r="CY3699">
        <v>92.56</v>
      </c>
      <c r="CZ3699" t="s">
        <v>4578</v>
      </c>
      <c r="DA3699">
        <v>59.33</v>
      </c>
      <c r="DB3699">
        <v>15.45</v>
      </c>
      <c r="DC3699">
        <v>15.41</v>
      </c>
      <c r="DD3699">
        <v>0.16</v>
      </c>
      <c r="DE3699">
        <v>300</v>
      </c>
      <c r="DF3699">
        <v>688011</v>
      </c>
      <c r="DG3699" t="s">
        <v>116</v>
      </c>
      <c r="DH3699" t="s">
        <v>116</v>
      </c>
      <c r="DI3699" t="s">
        <v>116</v>
      </c>
    </row>
    <row r="3700" spans="1:113" x14ac:dyDescent="0.4">
      <c r="A3700" t="str">
        <f>"688012"</f>
        <v>688012</v>
      </c>
      <c r="B3700" t="s">
        <v>15200</v>
      </c>
      <c r="C3700">
        <v>3.94</v>
      </c>
      <c r="D3700">
        <v>95</v>
      </c>
      <c r="E3700">
        <v>3.6</v>
      </c>
      <c r="F3700">
        <v>95</v>
      </c>
      <c r="G3700">
        <v>95.01</v>
      </c>
      <c r="H3700">
        <v>53368</v>
      </c>
      <c r="I3700">
        <v>1369</v>
      </c>
      <c r="J3700">
        <v>-0.1</v>
      </c>
      <c r="K3700">
        <v>11.02</v>
      </c>
      <c r="L3700">
        <v>91.1</v>
      </c>
      <c r="M3700">
        <v>95.5</v>
      </c>
      <c r="N3700">
        <v>91.1</v>
      </c>
      <c r="O3700">
        <v>91.4</v>
      </c>
      <c r="P3700">
        <v>282.45999999999998</v>
      </c>
      <c r="Q3700">
        <v>499750336</v>
      </c>
      <c r="R3700">
        <v>1.1599999999999999</v>
      </c>
      <c r="S3700" t="s">
        <v>682</v>
      </c>
      <c r="T3700" t="s">
        <v>1653</v>
      </c>
      <c r="U3700">
        <v>4.8099999999999996</v>
      </c>
      <c r="V3700">
        <v>93.64</v>
      </c>
      <c r="W3700">
        <v>25662</v>
      </c>
      <c r="X3700">
        <v>27707</v>
      </c>
      <c r="Y3700">
        <v>0.93</v>
      </c>
      <c r="Z3700">
        <v>305</v>
      </c>
      <c r="AA3700">
        <v>47</v>
      </c>
      <c r="AB3700" t="s">
        <v>116</v>
      </c>
      <c r="AC3700">
        <v>3852800</v>
      </c>
      <c r="AD3700">
        <v>0.09</v>
      </c>
      <c r="AE3700" t="s">
        <v>116</v>
      </c>
      <c r="AF3700" t="s">
        <v>116</v>
      </c>
      <c r="AG3700">
        <v>0.48</v>
      </c>
      <c r="AH3700" t="s">
        <v>6139</v>
      </c>
      <c r="AI3700" t="s">
        <v>15201</v>
      </c>
      <c r="AJ3700">
        <v>4.0199999999999996</v>
      </c>
      <c r="AK3700">
        <v>2892</v>
      </c>
      <c r="AL3700">
        <v>18</v>
      </c>
      <c r="AM3700">
        <v>3.8E-3</v>
      </c>
      <c r="AN3700">
        <v>4</v>
      </c>
      <c r="AO3700">
        <v>20.11</v>
      </c>
      <c r="AP3700">
        <v>42.19</v>
      </c>
      <c r="AQ3700">
        <v>30.91</v>
      </c>
      <c r="AR3700">
        <v>227.47</v>
      </c>
      <c r="AS3700">
        <v>11.02</v>
      </c>
      <c r="AT3700" t="s">
        <v>6139</v>
      </c>
      <c r="AU3700">
        <v>255.65</v>
      </c>
      <c r="AV3700">
        <v>559.17999999999995</v>
      </c>
      <c r="AW3700">
        <v>1.18</v>
      </c>
      <c r="BA3700">
        <v>-0.33</v>
      </c>
      <c r="BB3700">
        <v>4.49</v>
      </c>
      <c r="BC3700">
        <v>-0.33</v>
      </c>
      <c r="BD3700">
        <v>2.4500000000000002</v>
      </c>
      <c r="BE3700">
        <v>4.28</v>
      </c>
      <c r="BF3700">
        <v>-0.52</v>
      </c>
      <c r="BG3700">
        <v>4.28</v>
      </c>
      <c r="BH3700">
        <v>1.49</v>
      </c>
      <c r="BI3700">
        <v>20191206</v>
      </c>
      <c r="BJ3700">
        <v>20190722</v>
      </c>
      <c r="BK3700">
        <v>5.35</v>
      </c>
      <c r="BL3700" t="s">
        <v>116</v>
      </c>
      <c r="BM3700" t="s">
        <v>116</v>
      </c>
      <c r="BN3700">
        <v>48.53</v>
      </c>
      <c r="BO3700">
        <v>36.92</v>
      </c>
      <c r="BP3700">
        <v>0</v>
      </c>
      <c r="BQ3700">
        <v>23.92</v>
      </c>
      <c r="BR3700">
        <v>40.04</v>
      </c>
      <c r="BS3700">
        <v>1.58</v>
      </c>
      <c r="BT3700">
        <v>0.52</v>
      </c>
      <c r="BU3700">
        <v>10.63</v>
      </c>
      <c r="BV3700">
        <v>14.51</v>
      </c>
      <c r="BW3700">
        <v>2.59</v>
      </c>
      <c r="BX3700">
        <v>36.840000000000003</v>
      </c>
      <c r="BY3700">
        <v>12.18</v>
      </c>
      <c r="BZ3700">
        <v>7.44</v>
      </c>
      <c r="CA3700">
        <v>1.52</v>
      </c>
      <c r="CB3700">
        <v>0.01</v>
      </c>
      <c r="CC3700">
        <v>1.53</v>
      </c>
      <c r="CD3700">
        <v>1.35</v>
      </c>
      <c r="CE3700">
        <v>1.35</v>
      </c>
      <c r="CF3700">
        <v>1.19</v>
      </c>
      <c r="CG3700">
        <v>-5.19</v>
      </c>
      <c r="CH3700">
        <v>-1.54</v>
      </c>
      <c r="CI3700">
        <v>2.42</v>
      </c>
      <c r="CJ3700">
        <v>23204</v>
      </c>
      <c r="CK3700">
        <v>2087</v>
      </c>
      <c r="CL3700" t="s">
        <v>15202</v>
      </c>
      <c r="CM3700">
        <v>0</v>
      </c>
      <c r="CN3700">
        <v>0</v>
      </c>
      <c r="CO3700">
        <v>13.76</v>
      </c>
      <c r="CP3700">
        <v>-329.36</v>
      </c>
      <c r="CQ3700">
        <v>41.73</v>
      </c>
      <c r="CR3700">
        <v>0</v>
      </c>
      <c r="CS3700" t="s">
        <v>2326</v>
      </c>
      <c r="CT3700">
        <v>6.9</v>
      </c>
      <c r="CU3700">
        <v>0</v>
      </c>
      <c r="CV3700">
        <v>6.89</v>
      </c>
      <c r="CW3700">
        <v>-0.97</v>
      </c>
      <c r="CX3700">
        <v>-0.28999999999999998</v>
      </c>
      <c r="CY3700">
        <v>76.08</v>
      </c>
      <c r="CZ3700" t="s">
        <v>5753</v>
      </c>
      <c r="DA3700">
        <v>38.89</v>
      </c>
      <c r="DB3700">
        <v>12.5</v>
      </c>
      <c r="DC3700">
        <v>11.08</v>
      </c>
      <c r="DD3700">
        <v>1.58</v>
      </c>
      <c r="DE3700">
        <v>653</v>
      </c>
      <c r="DF3700">
        <v>688012</v>
      </c>
      <c r="DG3700" t="s">
        <v>116</v>
      </c>
      <c r="DH3700" t="s">
        <v>116</v>
      </c>
      <c r="DI3700" t="s">
        <v>116</v>
      </c>
    </row>
    <row r="3701" spans="1:113" x14ac:dyDescent="0.4">
      <c r="A3701" t="str">
        <f>"688015"</f>
        <v>688015</v>
      </c>
      <c r="B3701" t="s">
        <v>15203</v>
      </c>
      <c r="C3701">
        <v>-0.8</v>
      </c>
      <c r="D3701">
        <v>32.19</v>
      </c>
      <c r="E3701">
        <v>-0.26</v>
      </c>
      <c r="F3701">
        <v>32.19</v>
      </c>
      <c r="G3701">
        <v>32.24</v>
      </c>
      <c r="H3701">
        <v>14624</v>
      </c>
      <c r="I3701">
        <v>54</v>
      </c>
      <c r="J3701">
        <v>-0.15</v>
      </c>
      <c r="K3701">
        <v>4.47</v>
      </c>
      <c r="L3701">
        <v>32.450000000000003</v>
      </c>
      <c r="M3701">
        <v>32.89</v>
      </c>
      <c r="N3701">
        <v>32.06</v>
      </c>
      <c r="O3701">
        <v>32.450000000000003</v>
      </c>
      <c r="P3701">
        <v>81.599999999999994</v>
      </c>
      <c r="Q3701">
        <v>47714760</v>
      </c>
      <c r="R3701">
        <v>1.0900000000000001</v>
      </c>
      <c r="S3701" t="s">
        <v>164</v>
      </c>
      <c r="T3701" t="s">
        <v>165</v>
      </c>
      <c r="U3701">
        <v>2.56</v>
      </c>
      <c r="V3701">
        <v>32.630000000000003</v>
      </c>
      <c r="W3701">
        <v>8405</v>
      </c>
      <c r="X3701">
        <v>6223</v>
      </c>
      <c r="Y3701">
        <v>1.35</v>
      </c>
      <c r="Z3701">
        <v>41</v>
      </c>
      <c r="AA3701">
        <v>18</v>
      </c>
      <c r="AB3701" t="s">
        <v>116</v>
      </c>
      <c r="AC3701">
        <v>160700</v>
      </c>
      <c r="AD3701">
        <v>0.02</v>
      </c>
      <c r="AE3701" t="s">
        <v>116</v>
      </c>
      <c r="AF3701" t="s">
        <v>116</v>
      </c>
      <c r="AG3701">
        <v>0.33</v>
      </c>
      <c r="AH3701" t="s">
        <v>15204</v>
      </c>
      <c r="AI3701" t="s">
        <v>15205</v>
      </c>
      <c r="AJ3701">
        <v>-0.72</v>
      </c>
      <c r="AK3701">
        <v>1045</v>
      </c>
      <c r="AL3701">
        <v>14</v>
      </c>
      <c r="AM3701">
        <v>4.3E-3</v>
      </c>
      <c r="AN3701">
        <v>-1</v>
      </c>
      <c r="AO3701">
        <v>1.35</v>
      </c>
      <c r="AP3701">
        <v>9.1199999999999992</v>
      </c>
      <c r="AQ3701">
        <v>-20.04</v>
      </c>
      <c r="AR3701">
        <v>98.95</v>
      </c>
      <c r="AS3701">
        <v>4.47</v>
      </c>
      <c r="AT3701" t="s">
        <v>15204</v>
      </c>
      <c r="AU3701">
        <v>50.2</v>
      </c>
      <c r="AV3701">
        <v>77.569999999999993</v>
      </c>
      <c r="AW3701">
        <v>1.1599999999999999</v>
      </c>
      <c r="BA3701">
        <v>0</v>
      </c>
      <c r="BB3701">
        <v>1.36</v>
      </c>
      <c r="BC3701">
        <v>-1.2</v>
      </c>
      <c r="BD3701">
        <v>0.55000000000000004</v>
      </c>
      <c r="BE3701">
        <v>-0.8</v>
      </c>
      <c r="BF3701">
        <v>-2.13</v>
      </c>
      <c r="BG3701">
        <v>0.41</v>
      </c>
      <c r="BH3701">
        <v>-1.35</v>
      </c>
      <c r="BI3701">
        <v>20191029</v>
      </c>
      <c r="BJ3701">
        <v>20190722</v>
      </c>
      <c r="BK3701">
        <v>1.6</v>
      </c>
      <c r="BL3701" t="s">
        <v>116</v>
      </c>
      <c r="BM3701" t="s">
        <v>116</v>
      </c>
      <c r="BN3701">
        <v>32.29</v>
      </c>
      <c r="BO3701">
        <v>10.050000000000001</v>
      </c>
      <c r="BP3701">
        <v>7.0000000000000007E-2</v>
      </c>
      <c r="BQ3701">
        <v>68.67</v>
      </c>
      <c r="BR3701">
        <v>29.56</v>
      </c>
      <c r="BS3701">
        <v>1.26</v>
      </c>
      <c r="BT3701">
        <v>0.82</v>
      </c>
      <c r="BU3701">
        <v>20.93</v>
      </c>
      <c r="BV3701">
        <v>7.4</v>
      </c>
      <c r="BW3701">
        <v>8.8800000000000008</v>
      </c>
      <c r="BX3701">
        <v>6.54</v>
      </c>
      <c r="BY3701">
        <v>9</v>
      </c>
      <c r="BZ3701">
        <v>6.53</v>
      </c>
      <c r="CA3701">
        <v>0.5</v>
      </c>
      <c r="CB3701">
        <v>0.04</v>
      </c>
      <c r="CC3701">
        <v>0.51</v>
      </c>
      <c r="CD3701">
        <v>0.41</v>
      </c>
      <c r="CE3701">
        <v>0.47</v>
      </c>
      <c r="CF3701">
        <v>0.36</v>
      </c>
      <c r="CG3701">
        <v>1.72</v>
      </c>
      <c r="CH3701">
        <v>1.96</v>
      </c>
      <c r="CI3701">
        <v>3.09</v>
      </c>
      <c r="CJ3701">
        <v>13785</v>
      </c>
      <c r="CK3701">
        <v>2375</v>
      </c>
      <c r="CL3701" t="s">
        <v>5124</v>
      </c>
      <c r="CM3701">
        <v>0</v>
      </c>
      <c r="CN3701">
        <v>0</v>
      </c>
      <c r="CO3701">
        <v>5.13</v>
      </c>
      <c r="CP3701">
        <v>26.24</v>
      </c>
      <c r="CQ3701">
        <v>5.72</v>
      </c>
      <c r="CR3701">
        <v>0</v>
      </c>
      <c r="CS3701" t="s">
        <v>1074</v>
      </c>
      <c r="CT3701">
        <v>6.28</v>
      </c>
      <c r="CU3701">
        <v>0</v>
      </c>
      <c r="CV3701">
        <v>4.09</v>
      </c>
      <c r="CW3701">
        <v>1.07</v>
      </c>
      <c r="CX3701">
        <v>1.23</v>
      </c>
      <c r="CY3701">
        <v>31.11</v>
      </c>
      <c r="CZ3701" t="s">
        <v>4764</v>
      </c>
      <c r="DA3701">
        <v>27.44</v>
      </c>
      <c r="DB3701">
        <v>5.61</v>
      </c>
      <c r="DC3701">
        <v>5.26</v>
      </c>
      <c r="DD3701">
        <v>0.62</v>
      </c>
      <c r="DE3701">
        <v>1032</v>
      </c>
      <c r="DF3701">
        <v>688015</v>
      </c>
      <c r="DG3701" t="s">
        <v>116</v>
      </c>
      <c r="DH3701" t="s">
        <v>116</v>
      </c>
      <c r="DI3701" t="s">
        <v>116</v>
      </c>
    </row>
    <row r="3702" spans="1:113" x14ac:dyDescent="0.4">
      <c r="A3702" t="str">
        <f>"688016"</f>
        <v>688016</v>
      </c>
      <c r="B3702" t="s">
        <v>15206</v>
      </c>
      <c r="C3702">
        <v>0.69</v>
      </c>
      <c r="D3702">
        <v>145</v>
      </c>
      <c r="E3702">
        <v>0.99</v>
      </c>
      <c r="F3702">
        <v>144.97999999999999</v>
      </c>
      <c r="G3702">
        <v>145</v>
      </c>
      <c r="H3702">
        <v>10804</v>
      </c>
      <c r="I3702">
        <v>109</v>
      </c>
      <c r="J3702">
        <v>-0.09</v>
      </c>
      <c r="K3702">
        <v>7.73</v>
      </c>
      <c r="L3702">
        <v>145</v>
      </c>
      <c r="M3702">
        <v>149.97999999999999</v>
      </c>
      <c r="N3702">
        <v>145</v>
      </c>
      <c r="O3702">
        <v>144.01</v>
      </c>
      <c r="P3702">
        <v>69.56</v>
      </c>
      <c r="Q3702">
        <v>159466816</v>
      </c>
      <c r="R3702">
        <v>1.67</v>
      </c>
      <c r="S3702" t="s">
        <v>559</v>
      </c>
      <c r="T3702" t="s">
        <v>1653</v>
      </c>
      <c r="U3702">
        <v>3.46</v>
      </c>
      <c r="V3702">
        <v>147.6</v>
      </c>
      <c r="W3702">
        <v>5406</v>
      </c>
      <c r="X3702">
        <v>5398</v>
      </c>
      <c r="Y3702">
        <v>1</v>
      </c>
      <c r="Z3702">
        <v>2</v>
      </c>
      <c r="AA3702">
        <v>133</v>
      </c>
      <c r="AB3702" t="s">
        <v>116</v>
      </c>
      <c r="AC3702">
        <v>246500</v>
      </c>
      <c r="AD3702">
        <v>0.01</v>
      </c>
      <c r="AE3702" t="s">
        <v>116</v>
      </c>
      <c r="AF3702" t="s">
        <v>116</v>
      </c>
      <c r="AG3702">
        <v>0.14000000000000001</v>
      </c>
      <c r="AH3702" t="s">
        <v>15207</v>
      </c>
      <c r="AI3702" t="s">
        <v>15208</v>
      </c>
      <c r="AJ3702">
        <v>0.76</v>
      </c>
      <c r="AK3702">
        <v>1590</v>
      </c>
      <c r="AL3702">
        <v>7</v>
      </c>
      <c r="AM3702">
        <v>4.8999999999999998E-3</v>
      </c>
      <c r="AN3702">
        <v>1</v>
      </c>
      <c r="AO3702">
        <v>1.77</v>
      </c>
      <c r="AP3702">
        <v>10.65</v>
      </c>
      <c r="AQ3702">
        <v>5.92</v>
      </c>
      <c r="AR3702">
        <v>213.65</v>
      </c>
      <c r="AS3702">
        <v>7.73</v>
      </c>
      <c r="AT3702" t="s">
        <v>15207</v>
      </c>
      <c r="AU3702">
        <v>82.12</v>
      </c>
      <c r="AV3702">
        <v>115.14</v>
      </c>
      <c r="AW3702">
        <v>0.97</v>
      </c>
      <c r="BA3702">
        <v>0.69</v>
      </c>
      <c r="BB3702">
        <v>4.1500000000000004</v>
      </c>
      <c r="BC3702">
        <v>0.69</v>
      </c>
      <c r="BD3702">
        <v>2.4900000000000002</v>
      </c>
      <c r="BE3702">
        <v>0</v>
      </c>
      <c r="BF3702">
        <v>-3.32</v>
      </c>
      <c r="BG3702">
        <v>0</v>
      </c>
      <c r="BH3702">
        <v>-1.81</v>
      </c>
      <c r="BI3702">
        <v>20191028</v>
      </c>
      <c r="BJ3702">
        <v>20190722</v>
      </c>
      <c r="BK3702">
        <v>0.72</v>
      </c>
      <c r="BL3702" t="s">
        <v>116</v>
      </c>
      <c r="BM3702" t="s">
        <v>116</v>
      </c>
      <c r="BN3702">
        <v>11.13</v>
      </c>
      <c r="BO3702">
        <v>10.37</v>
      </c>
      <c r="BP3702">
        <v>0</v>
      </c>
      <c r="BQ3702">
        <v>6.82</v>
      </c>
      <c r="BR3702">
        <v>9.5399999999999991</v>
      </c>
      <c r="BS3702">
        <v>0.47</v>
      </c>
      <c r="BT3702">
        <v>0.47</v>
      </c>
      <c r="BU3702">
        <v>0.59</v>
      </c>
      <c r="BV3702">
        <v>0.5</v>
      </c>
      <c r="BW3702">
        <v>0.3</v>
      </c>
      <c r="BX3702">
        <v>8.09</v>
      </c>
      <c r="BY3702">
        <v>2.48</v>
      </c>
      <c r="BZ3702">
        <v>0.52</v>
      </c>
      <c r="CA3702">
        <v>1.31</v>
      </c>
      <c r="CB3702">
        <v>0</v>
      </c>
      <c r="CC3702">
        <v>1.31</v>
      </c>
      <c r="CD3702">
        <v>1.1299999999999999</v>
      </c>
      <c r="CE3702">
        <v>1.1299999999999999</v>
      </c>
      <c r="CF3702">
        <v>1.02</v>
      </c>
      <c r="CG3702">
        <v>1.49</v>
      </c>
      <c r="CH3702">
        <v>1.1100000000000001</v>
      </c>
      <c r="CI3702">
        <v>8.1</v>
      </c>
      <c r="CJ3702">
        <v>12115</v>
      </c>
      <c r="CK3702">
        <v>1154</v>
      </c>
      <c r="CL3702" t="s">
        <v>14310</v>
      </c>
      <c r="CM3702">
        <v>0</v>
      </c>
      <c r="CN3702">
        <v>0</v>
      </c>
      <c r="CO3702">
        <v>10.07</v>
      </c>
      <c r="CP3702">
        <v>94.11</v>
      </c>
      <c r="CQ3702">
        <v>42.15</v>
      </c>
      <c r="CR3702">
        <v>0</v>
      </c>
      <c r="CS3702" t="s">
        <v>15209</v>
      </c>
      <c r="CT3702">
        <v>14.4</v>
      </c>
      <c r="CU3702">
        <v>0</v>
      </c>
      <c r="CV3702">
        <v>11.24</v>
      </c>
      <c r="CW3702">
        <v>2.0699999999999998</v>
      </c>
      <c r="CX3702">
        <v>1.54</v>
      </c>
      <c r="CY3702">
        <v>93.18</v>
      </c>
      <c r="CZ3702" t="s">
        <v>13144</v>
      </c>
      <c r="DA3702">
        <v>79.180000000000007</v>
      </c>
      <c r="DB3702">
        <v>52.83</v>
      </c>
      <c r="DC3702">
        <v>45.45</v>
      </c>
      <c r="DD3702">
        <v>0.3</v>
      </c>
      <c r="DE3702">
        <v>284</v>
      </c>
      <c r="DF3702">
        <v>688016</v>
      </c>
      <c r="DG3702" t="s">
        <v>116</v>
      </c>
      <c r="DH3702" t="s">
        <v>116</v>
      </c>
      <c r="DI3702" t="s">
        <v>116</v>
      </c>
    </row>
    <row r="3703" spans="1:113" x14ac:dyDescent="0.4">
      <c r="A3703" t="str">
        <f>"688018"</f>
        <v>688018</v>
      </c>
      <c r="B3703" t="s">
        <v>15210</v>
      </c>
      <c r="C3703">
        <v>-1.01</v>
      </c>
      <c r="D3703">
        <v>168.59</v>
      </c>
      <c r="E3703">
        <v>-1.72</v>
      </c>
      <c r="F3703">
        <v>168.55</v>
      </c>
      <c r="G3703">
        <v>168.59</v>
      </c>
      <c r="H3703">
        <v>8723</v>
      </c>
      <c r="I3703">
        <v>120</v>
      </c>
      <c r="J3703">
        <v>0.04</v>
      </c>
      <c r="K3703">
        <v>5</v>
      </c>
      <c r="L3703">
        <v>171.31</v>
      </c>
      <c r="M3703">
        <v>174.6</v>
      </c>
      <c r="N3703">
        <v>167.51</v>
      </c>
      <c r="O3703">
        <v>170.31</v>
      </c>
      <c r="P3703">
        <v>105.85</v>
      </c>
      <c r="Q3703">
        <v>149350848</v>
      </c>
      <c r="R3703">
        <v>0.77</v>
      </c>
      <c r="S3703" t="s">
        <v>3507</v>
      </c>
      <c r="T3703" t="s">
        <v>1653</v>
      </c>
      <c r="U3703">
        <v>4.16</v>
      </c>
      <c r="V3703">
        <v>171.21</v>
      </c>
      <c r="W3703">
        <v>5343</v>
      </c>
      <c r="X3703">
        <v>3380</v>
      </c>
      <c r="Y3703">
        <v>1.58</v>
      </c>
      <c r="Z3703">
        <v>11</v>
      </c>
      <c r="AA3703">
        <v>6</v>
      </c>
      <c r="AB3703" t="s">
        <v>116</v>
      </c>
      <c r="AC3703">
        <v>410300</v>
      </c>
      <c r="AD3703">
        <v>0.01</v>
      </c>
      <c r="AE3703" t="s">
        <v>116</v>
      </c>
      <c r="AF3703" t="s">
        <v>116</v>
      </c>
      <c r="AG3703">
        <v>0.17</v>
      </c>
      <c r="AH3703" t="s">
        <v>6196</v>
      </c>
      <c r="AI3703" t="s">
        <v>15211</v>
      </c>
      <c r="AJ3703">
        <v>-0.93</v>
      </c>
      <c r="AK3703">
        <v>1325</v>
      </c>
      <c r="AL3703">
        <v>7</v>
      </c>
      <c r="AM3703">
        <v>3.8E-3</v>
      </c>
      <c r="AN3703">
        <v>-1</v>
      </c>
      <c r="AO3703">
        <v>2.3199999999999998</v>
      </c>
      <c r="AP3703">
        <v>5.83</v>
      </c>
      <c r="AQ3703">
        <v>-4.75</v>
      </c>
      <c r="AR3703">
        <v>169.31</v>
      </c>
      <c r="AS3703">
        <v>5</v>
      </c>
      <c r="AT3703" t="s">
        <v>6196</v>
      </c>
      <c r="AU3703">
        <v>107.54</v>
      </c>
      <c r="AV3703">
        <v>143.66</v>
      </c>
      <c r="AW3703">
        <v>1.04</v>
      </c>
      <c r="BA3703">
        <v>0.59</v>
      </c>
      <c r="BB3703">
        <v>2.52</v>
      </c>
      <c r="BC3703">
        <v>-1.64</v>
      </c>
      <c r="BD3703">
        <v>0.53</v>
      </c>
      <c r="BE3703">
        <v>-1.59</v>
      </c>
      <c r="BF3703">
        <v>-3.44</v>
      </c>
      <c r="BG3703">
        <v>0.64</v>
      </c>
      <c r="BH3703">
        <v>-1.54</v>
      </c>
      <c r="BI3703">
        <v>20191029</v>
      </c>
      <c r="BJ3703">
        <v>20190722</v>
      </c>
      <c r="BK3703">
        <v>0.8</v>
      </c>
      <c r="BL3703" t="s">
        <v>116</v>
      </c>
      <c r="BM3703" t="s">
        <v>116</v>
      </c>
      <c r="BN3703">
        <v>16.559999999999999</v>
      </c>
      <c r="BO3703">
        <v>15.48</v>
      </c>
      <c r="BP3703">
        <v>0</v>
      </c>
      <c r="BQ3703">
        <v>6.57</v>
      </c>
      <c r="BR3703">
        <v>16.22</v>
      </c>
      <c r="BS3703">
        <v>0.17</v>
      </c>
      <c r="BT3703">
        <v>0.04</v>
      </c>
      <c r="BU3703">
        <v>0.78</v>
      </c>
      <c r="BV3703">
        <v>1.1100000000000001</v>
      </c>
      <c r="BW3703">
        <v>1.18</v>
      </c>
      <c r="BX3703">
        <v>12.12</v>
      </c>
      <c r="BY3703">
        <v>5.27</v>
      </c>
      <c r="BZ3703">
        <v>2.79</v>
      </c>
      <c r="CA3703">
        <v>1.1200000000000001</v>
      </c>
      <c r="CB3703">
        <v>0.02</v>
      </c>
      <c r="CC3703">
        <v>1.1299999999999999</v>
      </c>
      <c r="CD3703">
        <v>0.96</v>
      </c>
      <c r="CE3703">
        <v>0.96</v>
      </c>
      <c r="CF3703">
        <v>0.82</v>
      </c>
      <c r="CG3703">
        <v>2.3199999999999998</v>
      </c>
      <c r="CH3703">
        <v>0.28000000000000003</v>
      </c>
      <c r="CI3703">
        <v>-0.73</v>
      </c>
      <c r="CJ3703">
        <v>10399</v>
      </c>
      <c r="CK3703">
        <v>1677</v>
      </c>
      <c r="CL3703" t="s">
        <v>15212</v>
      </c>
      <c r="CM3703">
        <v>0</v>
      </c>
      <c r="CN3703">
        <v>0</v>
      </c>
      <c r="CO3703">
        <v>8.7200000000000006</v>
      </c>
      <c r="CP3703">
        <v>480.86</v>
      </c>
      <c r="CQ3703">
        <v>25.61</v>
      </c>
      <c r="CR3703">
        <v>0</v>
      </c>
      <c r="CS3703" t="s">
        <v>14019</v>
      </c>
      <c r="CT3703">
        <v>19.34</v>
      </c>
      <c r="CU3703">
        <v>0</v>
      </c>
      <c r="CV3703">
        <v>15.15</v>
      </c>
      <c r="CW3703">
        <v>2.9</v>
      </c>
      <c r="CX3703">
        <v>0.35</v>
      </c>
      <c r="CY3703">
        <v>93.43</v>
      </c>
      <c r="CZ3703" t="s">
        <v>1308</v>
      </c>
      <c r="DA3703">
        <v>47.07</v>
      </c>
      <c r="DB3703">
        <v>21.3</v>
      </c>
      <c r="DC3703">
        <v>18.149999999999999</v>
      </c>
      <c r="DD3703">
        <v>0.78</v>
      </c>
      <c r="DE3703">
        <v>241</v>
      </c>
      <c r="DF3703">
        <v>688018</v>
      </c>
      <c r="DG3703" t="s">
        <v>116</v>
      </c>
      <c r="DH3703" t="s">
        <v>116</v>
      </c>
      <c r="DI3703" t="s">
        <v>116</v>
      </c>
    </row>
    <row r="3704" spans="1:113" x14ac:dyDescent="0.4">
      <c r="A3704" t="str">
        <f>"688019"</f>
        <v>688019</v>
      </c>
      <c r="B3704" t="s">
        <v>15213</v>
      </c>
      <c r="C3704">
        <v>-1.58</v>
      </c>
      <c r="D3704">
        <v>132.72</v>
      </c>
      <c r="E3704">
        <v>-2.13</v>
      </c>
      <c r="F3704">
        <v>132.72</v>
      </c>
      <c r="G3704">
        <v>132.72999999999999</v>
      </c>
      <c r="H3704">
        <v>16125</v>
      </c>
      <c r="I3704">
        <v>118</v>
      </c>
      <c r="J3704">
        <v>-0.05</v>
      </c>
      <c r="K3704">
        <v>13.93</v>
      </c>
      <c r="L3704">
        <v>135.80000000000001</v>
      </c>
      <c r="M3704">
        <v>141.99</v>
      </c>
      <c r="N3704">
        <v>131.96</v>
      </c>
      <c r="O3704">
        <v>134.85</v>
      </c>
      <c r="P3704">
        <v>114.24</v>
      </c>
      <c r="Q3704">
        <v>221371008</v>
      </c>
      <c r="R3704">
        <v>1.46</v>
      </c>
      <c r="S3704" t="s">
        <v>3507</v>
      </c>
      <c r="T3704" t="s">
        <v>1653</v>
      </c>
      <c r="U3704">
        <v>7.44</v>
      </c>
      <c r="V3704">
        <v>137.29</v>
      </c>
      <c r="W3704">
        <v>8578</v>
      </c>
      <c r="X3704">
        <v>7547</v>
      </c>
      <c r="Y3704">
        <v>1.1399999999999999</v>
      </c>
      <c r="Z3704">
        <v>48</v>
      </c>
      <c r="AA3704">
        <v>2</v>
      </c>
      <c r="AB3704" t="s">
        <v>116</v>
      </c>
      <c r="AC3704">
        <v>931900</v>
      </c>
      <c r="AD3704">
        <v>0.06</v>
      </c>
      <c r="AE3704" t="s">
        <v>116</v>
      </c>
      <c r="AF3704" t="s">
        <v>116</v>
      </c>
      <c r="AG3704">
        <v>0.12</v>
      </c>
      <c r="AH3704" t="s">
        <v>15214</v>
      </c>
      <c r="AI3704" t="s">
        <v>5847</v>
      </c>
      <c r="AJ3704">
        <v>-1.5</v>
      </c>
      <c r="AK3704">
        <v>1949</v>
      </c>
      <c r="AL3704">
        <v>8</v>
      </c>
      <c r="AM3704">
        <v>7.1000000000000004E-3</v>
      </c>
      <c r="AN3704">
        <v>-2</v>
      </c>
      <c r="AO3704">
        <v>8.0299999999999994</v>
      </c>
      <c r="AP3704">
        <v>20.239999999999998</v>
      </c>
      <c r="AQ3704">
        <v>-6.48</v>
      </c>
      <c r="AR3704">
        <v>238.66</v>
      </c>
      <c r="AS3704">
        <v>13.93</v>
      </c>
      <c r="AT3704" t="s">
        <v>15214</v>
      </c>
      <c r="AU3704">
        <v>118.25</v>
      </c>
      <c r="AV3704">
        <v>156.77000000000001</v>
      </c>
      <c r="AW3704">
        <v>1.06</v>
      </c>
      <c r="BA3704">
        <v>0.7</v>
      </c>
      <c r="BB3704">
        <v>5.29</v>
      </c>
      <c r="BC3704">
        <v>-2.14</v>
      </c>
      <c r="BD3704">
        <v>1.81</v>
      </c>
      <c r="BE3704">
        <v>-2.27</v>
      </c>
      <c r="BF3704">
        <v>-6.53</v>
      </c>
      <c r="BG3704">
        <v>0.57999999999999996</v>
      </c>
      <c r="BH3704">
        <v>-3.39</v>
      </c>
      <c r="BI3704">
        <v>20191030</v>
      </c>
      <c r="BJ3704">
        <v>20190722</v>
      </c>
      <c r="BK3704">
        <v>0.53</v>
      </c>
      <c r="BL3704" t="s">
        <v>116</v>
      </c>
      <c r="BM3704" t="s">
        <v>116</v>
      </c>
      <c r="BN3704">
        <v>9.5399999999999991</v>
      </c>
      <c r="BO3704">
        <v>8.68</v>
      </c>
      <c r="BP3704">
        <v>0</v>
      </c>
      <c r="BQ3704">
        <v>9</v>
      </c>
      <c r="BR3704">
        <v>8.56</v>
      </c>
      <c r="BS3704">
        <v>0.51</v>
      </c>
      <c r="BT3704">
        <v>7.0000000000000007E-2</v>
      </c>
      <c r="BU3704">
        <v>0.71</v>
      </c>
      <c r="BV3704">
        <v>0.69</v>
      </c>
      <c r="BW3704">
        <v>0.56000000000000005</v>
      </c>
      <c r="BX3704">
        <v>7.09</v>
      </c>
      <c r="BY3704">
        <v>2.0499999999999998</v>
      </c>
      <c r="BZ3704">
        <v>1.05</v>
      </c>
      <c r="CA3704">
        <v>0.52</v>
      </c>
      <c r="CB3704">
        <v>0</v>
      </c>
      <c r="CC3704">
        <v>0.52</v>
      </c>
      <c r="CD3704">
        <v>0.46</v>
      </c>
      <c r="CE3704">
        <v>0.46</v>
      </c>
      <c r="CF3704">
        <v>0.32</v>
      </c>
      <c r="CG3704">
        <v>0.99</v>
      </c>
      <c r="CH3704">
        <v>0.43</v>
      </c>
      <c r="CI3704">
        <v>0.57999999999999996</v>
      </c>
      <c r="CJ3704">
        <v>9714</v>
      </c>
      <c r="CK3704">
        <v>1192</v>
      </c>
      <c r="CL3704" t="s">
        <v>12010</v>
      </c>
      <c r="CM3704">
        <v>0</v>
      </c>
      <c r="CN3704">
        <v>0</v>
      </c>
      <c r="CO3704">
        <v>8.1199999999999992</v>
      </c>
      <c r="CP3704">
        <v>162.52000000000001</v>
      </c>
      <c r="CQ3704">
        <v>34.340000000000003</v>
      </c>
      <c r="CR3704">
        <v>0</v>
      </c>
      <c r="CS3704" t="s">
        <v>10313</v>
      </c>
      <c r="CT3704">
        <v>16.34</v>
      </c>
      <c r="CU3704">
        <v>0</v>
      </c>
      <c r="CV3704">
        <v>13.35</v>
      </c>
      <c r="CW3704">
        <v>1.86</v>
      </c>
      <c r="CX3704">
        <v>0.82</v>
      </c>
      <c r="CY3704">
        <v>91</v>
      </c>
      <c r="CZ3704" t="s">
        <v>4153</v>
      </c>
      <c r="DA3704">
        <v>48.99</v>
      </c>
      <c r="DB3704">
        <v>25.13</v>
      </c>
      <c r="DC3704">
        <v>22.54</v>
      </c>
      <c r="DD3704">
        <v>0.41</v>
      </c>
      <c r="DE3704">
        <v>186</v>
      </c>
      <c r="DF3704">
        <v>688019</v>
      </c>
      <c r="DG3704" t="s">
        <v>116</v>
      </c>
      <c r="DH3704" t="s">
        <v>116</v>
      </c>
      <c r="DI3704" t="s">
        <v>116</v>
      </c>
    </row>
    <row r="3705" spans="1:113" x14ac:dyDescent="0.4">
      <c r="A3705" t="str">
        <f>"688020"</f>
        <v>688020</v>
      </c>
      <c r="B3705" t="s">
        <v>15215</v>
      </c>
      <c r="C3705">
        <v>-1.92</v>
      </c>
      <c r="D3705">
        <v>90.57</v>
      </c>
      <c r="E3705">
        <v>-1.77</v>
      </c>
      <c r="F3705">
        <v>90.57</v>
      </c>
      <c r="G3705">
        <v>90.58</v>
      </c>
      <c r="H3705">
        <v>8516</v>
      </c>
      <c r="I3705">
        <v>202</v>
      </c>
      <c r="J3705">
        <v>0.3</v>
      </c>
      <c r="K3705">
        <v>4.67</v>
      </c>
      <c r="L3705">
        <v>93</v>
      </c>
      <c r="M3705">
        <v>93.89</v>
      </c>
      <c r="N3705">
        <v>89.6</v>
      </c>
      <c r="O3705">
        <v>92.34</v>
      </c>
      <c r="P3705">
        <v>51.69</v>
      </c>
      <c r="Q3705">
        <v>78710112</v>
      </c>
      <c r="R3705">
        <v>1.01</v>
      </c>
      <c r="S3705" t="s">
        <v>233</v>
      </c>
      <c r="T3705" t="s">
        <v>551</v>
      </c>
      <c r="U3705">
        <v>4.6500000000000004</v>
      </c>
      <c r="V3705">
        <v>92.42</v>
      </c>
      <c r="W3705">
        <v>4659</v>
      </c>
      <c r="X3705">
        <v>3858</v>
      </c>
      <c r="Y3705">
        <v>1.21</v>
      </c>
      <c r="Z3705">
        <v>46</v>
      </c>
      <c r="AA3705">
        <v>22</v>
      </c>
      <c r="AB3705" t="s">
        <v>116</v>
      </c>
      <c r="AC3705">
        <v>325500</v>
      </c>
      <c r="AD3705">
        <v>0.02</v>
      </c>
      <c r="AE3705" t="s">
        <v>116</v>
      </c>
      <c r="AF3705" t="s">
        <v>116</v>
      </c>
      <c r="AG3705">
        <v>0.18</v>
      </c>
      <c r="AH3705" t="s">
        <v>10903</v>
      </c>
      <c r="AI3705" t="s">
        <v>15216</v>
      </c>
      <c r="AJ3705">
        <v>-1.84</v>
      </c>
      <c r="AK3705">
        <v>1163</v>
      </c>
      <c r="AL3705">
        <v>7</v>
      </c>
      <c r="AM3705">
        <v>4.0000000000000001E-3</v>
      </c>
      <c r="AN3705">
        <v>-2</v>
      </c>
      <c r="AO3705">
        <v>-0.47</v>
      </c>
      <c r="AP3705">
        <v>11.4</v>
      </c>
      <c r="AQ3705">
        <v>-3.63</v>
      </c>
      <c r="AR3705">
        <v>68.099999999999994</v>
      </c>
      <c r="AS3705">
        <v>4.67</v>
      </c>
      <c r="AT3705" t="s">
        <v>10903</v>
      </c>
      <c r="AU3705">
        <v>59.51</v>
      </c>
      <c r="AV3705">
        <v>61.85</v>
      </c>
      <c r="AW3705">
        <v>0.8</v>
      </c>
      <c r="BA3705">
        <v>0.71</v>
      </c>
      <c r="BB3705">
        <v>1.68</v>
      </c>
      <c r="BC3705">
        <v>-2.97</v>
      </c>
      <c r="BD3705">
        <v>0.09</v>
      </c>
      <c r="BE3705">
        <v>-2.61</v>
      </c>
      <c r="BF3705">
        <v>-3.54</v>
      </c>
      <c r="BG3705">
        <v>1.08</v>
      </c>
      <c r="BH3705">
        <v>-2.0099999999999998</v>
      </c>
      <c r="BI3705">
        <v>20191030</v>
      </c>
      <c r="BJ3705">
        <v>20190722</v>
      </c>
      <c r="BK3705">
        <v>0.8</v>
      </c>
      <c r="BL3705" t="s">
        <v>116</v>
      </c>
      <c r="BM3705" t="s">
        <v>116</v>
      </c>
      <c r="BN3705">
        <v>15.38</v>
      </c>
      <c r="BO3705">
        <v>14.99</v>
      </c>
      <c r="BP3705">
        <v>0.15</v>
      </c>
      <c r="BQ3705">
        <v>1.53</v>
      </c>
      <c r="BR3705">
        <v>14.46</v>
      </c>
      <c r="BS3705">
        <v>0.51</v>
      </c>
      <c r="BT3705">
        <v>0.02</v>
      </c>
      <c r="BU3705">
        <v>0.23</v>
      </c>
      <c r="BV3705">
        <v>0.16</v>
      </c>
      <c r="BW3705">
        <v>1.39</v>
      </c>
      <c r="BX3705">
        <v>10.63</v>
      </c>
      <c r="BY3705">
        <v>2.31</v>
      </c>
      <c r="BZ3705">
        <v>0.73</v>
      </c>
      <c r="CA3705">
        <v>1.26</v>
      </c>
      <c r="CB3705">
        <v>0.03</v>
      </c>
      <c r="CC3705">
        <v>1.26</v>
      </c>
      <c r="CD3705">
        <v>1.1000000000000001</v>
      </c>
      <c r="CE3705">
        <v>1.05</v>
      </c>
      <c r="CF3705">
        <v>0.96</v>
      </c>
      <c r="CG3705">
        <v>3.29</v>
      </c>
      <c r="CH3705">
        <v>0.78</v>
      </c>
      <c r="CI3705">
        <v>1.39</v>
      </c>
      <c r="CJ3705">
        <v>11468</v>
      </c>
      <c r="CK3705">
        <v>1592</v>
      </c>
      <c r="CL3705" t="s">
        <v>7875</v>
      </c>
      <c r="CM3705">
        <v>0</v>
      </c>
      <c r="CN3705">
        <v>0</v>
      </c>
      <c r="CO3705">
        <v>4.83</v>
      </c>
      <c r="CP3705">
        <v>92.7</v>
      </c>
      <c r="CQ3705">
        <v>31.37</v>
      </c>
      <c r="CR3705">
        <v>0</v>
      </c>
      <c r="CS3705" t="s">
        <v>129</v>
      </c>
      <c r="CT3705">
        <v>18.739999999999998</v>
      </c>
      <c r="CU3705">
        <v>0</v>
      </c>
      <c r="CV3705">
        <v>13.29</v>
      </c>
      <c r="CW3705">
        <v>4.1100000000000003</v>
      </c>
      <c r="CX3705">
        <v>0.98</v>
      </c>
      <c r="CY3705">
        <v>97.48</v>
      </c>
      <c r="CZ3705" t="s">
        <v>7195</v>
      </c>
      <c r="DA3705">
        <v>68.38</v>
      </c>
      <c r="DB3705">
        <v>54.62</v>
      </c>
      <c r="DC3705">
        <v>45.52</v>
      </c>
      <c r="DD3705">
        <v>0.23</v>
      </c>
      <c r="DE3705">
        <v>279</v>
      </c>
      <c r="DF3705">
        <v>688020</v>
      </c>
      <c r="DG3705" t="s">
        <v>116</v>
      </c>
      <c r="DH3705" t="s">
        <v>116</v>
      </c>
      <c r="DI3705" t="s">
        <v>116</v>
      </c>
    </row>
    <row r="3706" spans="1:113" x14ac:dyDescent="0.4">
      <c r="A3706" t="str">
        <f>"688021"</f>
        <v>688021</v>
      </c>
      <c r="B3706" t="s">
        <v>15217</v>
      </c>
      <c r="C3706">
        <v>1.48</v>
      </c>
      <c r="D3706">
        <v>34.25</v>
      </c>
      <c r="E3706">
        <v>0.5</v>
      </c>
      <c r="F3706">
        <v>34.200000000000003</v>
      </c>
      <c r="G3706">
        <v>34.25</v>
      </c>
      <c r="H3706">
        <v>15140</v>
      </c>
      <c r="I3706">
        <v>432</v>
      </c>
      <c r="J3706">
        <v>0.44</v>
      </c>
      <c r="K3706">
        <v>8.32</v>
      </c>
      <c r="L3706">
        <v>33.9</v>
      </c>
      <c r="M3706">
        <v>34.35</v>
      </c>
      <c r="N3706">
        <v>33.46</v>
      </c>
      <c r="O3706">
        <v>33.75</v>
      </c>
      <c r="P3706">
        <v>50.83</v>
      </c>
      <c r="Q3706">
        <v>51298576</v>
      </c>
      <c r="R3706">
        <v>0.72</v>
      </c>
      <c r="S3706" t="s">
        <v>140</v>
      </c>
      <c r="T3706" t="s">
        <v>645</v>
      </c>
      <c r="U3706">
        <v>2.64</v>
      </c>
      <c r="V3706">
        <v>33.880000000000003</v>
      </c>
      <c r="W3706">
        <v>7733</v>
      </c>
      <c r="X3706">
        <v>7407</v>
      </c>
      <c r="Y3706">
        <v>1.04</v>
      </c>
      <c r="Z3706">
        <v>40</v>
      </c>
      <c r="AA3706">
        <v>24</v>
      </c>
      <c r="AB3706" t="s">
        <v>116</v>
      </c>
      <c r="AC3706">
        <v>88100</v>
      </c>
      <c r="AD3706">
        <v>0.01</v>
      </c>
      <c r="AE3706" t="s">
        <v>116</v>
      </c>
      <c r="AF3706" t="s">
        <v>116</v>
      </c>
      <c r="AG3706">
        <v>0.18</v>
      </c>
      <c r="AH3706" t="s">
        <v>14484</v>
      </c>
      <c r="AI3706" t="s">
        <v>10774</v>
      </c>
      <c r="AJ3706">
        <v>1.56</v>
      </c>
      <c r="AK3706">
        <v>708</v>
      </c>
      <c r="AL3706">
        <v>21</v>
      </c>
      <c r="AM3706">
        <v>1.17E-2</v>
      </c>
      <c r="AN3706">
        <v>1</v>
      </c>
      <c r="AO3706">
        <v>2.66</v>
      </c>
      <c r="AP3706">
        <v>18.100000000000001</v>
      </c>
      <c r="AQ3706">
        <v>30.88</v>
      </c>
      <c r="AR3706">
        <v>30.88</v>
      </c>
      <c r="AS3706">
        <v>8.32</v>
      </c>
      <c r="AT3706" t="s">
        <v>14484</v>
      </c>
      <c r="AU3706">
        <v>51.19</v>
      </c>
      <c r="AV3706">
        <v>56.61</v>
      </c>
      <c r="AW3706">
        <v>0</v>
      </c>
      <c r="BA3706">
        <v>0.44</v>
      </c>
      <c r="BB3706">
        <v>1.78</v>
      </c>
      <c r="BC3706">
        <v>-0.86</v>
      </c>
      <c r="BD3706">
        <v>0.39</v>
      </c>
      <c r="BE3706">
        <v>1.03</v>
      </c>
      <c r="BF3706">
        <v>-0.28999999999999998</v>
      </c>
      <c r="BG3706">
        <v>2.36</v>
      </c>
      <c r="BH3706">
        <v>1.0900000000000001</v>
      </c>
      <c r="BI3706">
        <v>20191105</v>
      </c>
      <c r="BJ3706">
        <v>20191106</v>
      </c>
      <c r="BK3706">
        <v>0.77</v>
      </c>
      <c r="BL3706" t="s">
        <v>116</v>
      </c>
      <c r="BM3706" t="s">
        <v>116</v>
      </c>
      <c r="BN3706">
        <v>6.19</v>
      </c>
      <c r="BO3706">
        <v>3.62</v>
      </c>
      <c r="BP3706">
        <v>0</v>
      </c>
      <c r="BQ3706">
        <v>41.61</v>
      </c>
      <c r="BR3706">
        <v>3.57</v>
      </c>
      <c r="BS3706">
        <v>1.88</v>
      </c>
      <c r="BT3706">
        <v>0.33</v>
      </c>
      <c r="BU3706">
        <v>2.2000000000000002</v>
      </c>
      <c r="BV3706">
        <v>1.49</v>
      </c>
      <c r="BW3706">
        <v>1.01</v>
      </c>
      <c r="BX3706">
        <v>1.75</v>
      </c>
      <c r="BY3706">
        <v>1.95</v>
      </c>
      <c r="BZ3706">
        <v>1.02</v>
      </c>
      <c r="CA3706">
        <v>0.45</v>
      </c>
      <c r="CB3706">
        <v>0</v>
      </c>
      <c r="CC3706">
        <v>0.46</v>
      </c>
      <c r="CD3706">
        <v>0.39</v>
      </c>
      <c r="CE3706">
        <v>0.39</v>
      </c>
      <c r="CF3706">
        <v>0.37</v>
      </c>
      <c r="CG3706">
        <v>1.17</v>
      </c>
      <c r="CH3706">
        <v>0.23</v>
      </c>
      <c r="CI3706">
        <v>-0.06</v>
      </c>
      <c r="CJ3706">
        <v>19003</v>
      </c>
      <c r="CK3706">
        <v>958</v>
      </c>
      <c r="CL3706" t="s">
        <v>5094</v>
      </c>
      <c r="CM3706">
        <v>0</v>
      </c>
      <c r="CN3706">
        <v>0</v>
      </c>
      <c r="CO3706">
        <v>3.23</v>
      </c>
      <c r="CP3706">
        <v>113.21</v>
      </c>
      <c r="CQ3706">
        <v>13.61</v>
      </c>
      <c r="CR3706">
        <v>0</v>
      </c>
      <c r="CS3706" t="s">
        <v>409</v>
      </c>
      <c r="CT3706">
        <v>10.59</v>
      </c>
      <c r="CU3706">
        <v>10.59</v>
      </c>
      <c r="CV3706">
        <v>2.27</v>
      </c>
      <c r="CW3706">
        <v>1.52</v>
      </c>
      <c r="CX3706">
        <v>0.3</v>
      </c>
      <c r="CY3706">
        <v>58.39</v>
      </c>
      <c r="CZ3706" t="s">
        <v>12270</v>
      </c>
      <c r="DA3706">
        <v>47.55</v>
      </c>
      <c r="DB3706">
        <v>23.13</v>
      </c>
      <c r="DC3706">
        <v>20.079999999999998</v>
      </c>
      <c r="DD3706">
        <v>0.15</v>
      </c>
      <c r="DE3706">
        <v>561</v>
      </c>
      <c r="DF3706">
        <v>688021</v>
      </c>
      <c r="DG3706" t="s">
        <v>116</v>
      </c>
      <c r="DH3706" t="s">
        <v>116</v>
      </c>
      <c r="DI3706" t="s">
        <v>116</v>
      </c>
    </row>
    <row r="3707" spans="1:113" x14ac:dyDescent="0.4">
      <c r="A3707" t="str">
        <f>"688022"</f>
        <v>688022</v>
      </c>
      <c r="B3707" t="s">
        <v>15218</v>
      </c>
      <c r="C3707">
        <v>-0.66</v>
      </c>
      <c r="D3707">
        <v>43.94</v>
      </c>
      <c r="E3707">
        <v>-0.28999999999999998</v>
      </c>
      <c r="F3707">
        <v>43.91</v>
      </c>
      <c r="G3707">
        <v>43.94</v>
      </c>
      <c r="H3707">
        <v>15719</v>
      </c>
      <c r="I3707">
        <v>126</v>
      </c>
      <c r="J3707">
        <v>-0.01</v>
      </c>
      <c r="K3707">
        <v>6.44</v>
      </c>
      <c r="L3707">
        <v>44.49</v>
      </c>
      <c r="M3707">
        <v>45.45</v>
      </c>
      <c r="N3707">
        <v>43.66</v>
      </c>
      <c r="O3707">
        <v>44.23</v>
      </c>
      <c r="P3707">
        <v>100.16</v>
      </c>
      <c r="Q3707">
        <v>70299472</v>
      </c>
      <c r="R3707">
        <v>1.1299999999999999</v>
      </c>
      <c r="S3707" t="s">
        <v>682</v>
      </c>
      <c r="T3707" t="s">
        <v>323</v>
      </c>
      <c r="U3707">
        <v>4.05</v>
      </c>
      <c r="V3707">
        <v>44.72</v>
      </c>
      <c r="W3707">
        <v>8464</v>
      </c>
      <c r="X3707">
        <v>7255</v>
      </c>
      <c r="Y3707">
        <v>1.17</v>
      </c>
      <c r="Z3707">
        <v>63</v>
      </c>
      <c r="AA3707">
        <v>187</v>
      </c>
      <c r="AB3707" t="s">
        <v>116</v>
      </c>
      <c r="AC3707">
        <v>0</v>
      </c>
      <c r="AD3707">
        <v>0</v>
      </c>
      <c r="AE3707" t="s">
        <v>116</v>
      </c>
      <c r="AF3707" t="s">
        <v>116</v>
      </c>
      <c r="AG3707">
        <v>0.24</v>
      </c>
      <c r="AH3707" t="s">
        <v>13980</v>
      </c>
      <c r="AI3707" t="s">
        <v>15219</v>
      </c>
      <c r="AJ3707">
        <v>-0.57999999999999996</v>
      </c>
      <c r="AK3707">
        <v>1317</v>
      </c>
      <c r="AL3707">
        <v>12</v>
      </c>
      <c r="AM3707">
        <v>4.8999999999999998E-3</v>
      </c>
      <c r="AN3707">
        <v>-1</v>
      </c>
      <c r="AO3707">
        <v>3.02</v>
      </c>
      <c r="AP3707">
        <v>9.52</v>
      </c>
      <c r="AQ3707">
        <v>-26.24</v>
      </c>
      <c r="AR3707">
        <v>70.38</v>
      </c>
      <c r="AS3707">
        <v>6.44</v>
      </c>
      <c r="AT3707" t="s">
        <v>13980</v>
      </c>
      <c r="AU3707">
        <v>61.25</v>
      </c>
      <c r="AV3707">
        <v>67.55</v>
      </c>
      <c r="AW3707">
        <v>1.02</v>
      </c>
      <c r="BA3707">
        <v>0.59</v>
      </c>
      <c r="BB3707">
        <v>2.76</v>
      </c>
      <c r="BC3707">
        <v>-1.29</v>
      </c>
      <c r="BD3707">
        <v>1.1200000000000001</v>
      </c>
      <c r="BE3707">
        <v>-1.24</v>
      </c>
      <c r="BF3707">
        <v>-3.32</v>
      </c>
      <c r="BG3707">
        <v>0.64</v>
      </c>
      <c r="BH3707">
        <v>-1.77</v>
      </c>
      <c r="BI3707">
        <v>20191025</v>
      </c>
      <c r="BJ3707">
        <v>20190722</v>
      </c>
      <c r="BK3707">
        <v>1.08</v>
      </c>
      <c r="BL3707" t="s">
        <v>116</v>
      </c>
      <c r="BM3707" t="s">
        <v>116</v>
      </c>
      <c r="BN3707">
        <v>12.19</v>
      </c>
      <c r="BO3707">
        <v>8.39</v>
      </c>
      <c r="BP3707">
        <v>0.03</v>
      </c>
      <c r="BQ3707">
        <v>30.95</v>
      </c>
      <c r="BR3707">
        <v>10.79</v>
      </c>
      <c r="BS3707">
        <v>0.37</v>
      </c>
      <c r="BT3707">
        <v>0.24</v>
      </c>
      <c r="BU3707">
        <v>3.66</v>
      </c>
      <c r="BV3707">
        <v>2.36</v>
      </c>
      <c r="BW3707">
        <v>0.84</v>
      </c>
      <c r="BX3707">
        <v>6.07</v>
      </c>
      <c r="BY3707">
        <v>2.56</v>
      </c>
      <c r="BZ3707">
        <v>1.63</v>
      </c>
      <c r="CA3707">
        <v>0.39</v>
      </c>
      <c r="CB3707">
        <v>0</v>
      </c>
      <c r="CC3707">
        <v>0.4</v>
      </c>
      <c r="CD3707">
        <v>0.35</v>
      </c>
      <c r="CE3707">
        <v>0.36</v>
      </c>
      <c r="CF3707">
        <v>0.3</v>
      </c>
      <c r="CG3707">
        <v>1.17</v>
      </c>
      <c r="CH3707">
        <v>-0.52</v>
      </c>
      <c r="CI3707">
        <v>5.82</v>
      </c>
      <c r="CJ3707">
        <v>11436</v>
      </c>
      <c r="CK3707">
        <v>2136</v>
      </c>
      <c r="CL3707" t="s">
        <v>6324</v>
      </c>
      <c r="CM3707">
        <v>0</v>
      </c>
      <c r="CN3707">
        <v>0</v>
      </c>
      <c r="CO3707">
        <v>5.66</v>
      </c>
      <c r="CP3707">
        <v>-91.53</v>
      </c>
      <c r="CQ3707">
        <v>18.57</v>
      </c>
      <c r="CR3707">
        <v>0</v>
      </c>
      <c r="CS3707" t="s">
        <v>4936</v>
      </c>
      <c r="CT3707">
        <v>7.77</v>
      </c>
      <c r="CU3707">
        <v>0</v>
      </c>
      <c r="CV3707">
        <v>5.62</v>
      </c>
      <c r="CW3707">
        <v>1.0900000000000001</v>
      </c>
      <c r="CX3707">
        <v>-0.48</v>
      </c>
      <c r="CY3707">
        <v>68.790000000000006</v>
      </c>
      <c r="CZ3707" t="s">
        <v>673</v>
      </c>
      <c r="DA3707">
        <v>36.39</v>
      </c>
      <c r="DB3707">
        <v>15.44</v>
      </c>
      <c r="DC3707">
        <v>13.9</v>
      </c>
      <c r="DD3707">
        <v>0.18</v>
      </c>
      <c r="DE3707">
        <v>705</v>
      </c>
      <c r="DF3707">
        <v>688022</v>
      </c>
      <c r="DG3707" t="s">
        <v>116</v>
      </c>
      <c r="DH3707" t="s">
        <v>116</v>
      </c>
      <c r="DI3707" t="s">
        <v>116</v>
      </c>
    </row>
    <row r="3708" spans="1:113" x14ac:dyDescent="0.4">
      <c r="A3708" t="str">
        <f>"688023"</f>
        <v>688023</v>
      </c>
      <c r="B3708" t="s">
        <v>15220</v>
      </c>
      <c r="C3708">
        <v>-3.78</v>
      </c>
      <c r="D3708">
        <v>148.18</v>
      </c>
      <c r="E3708">
        <v>-5.82</v>
      </c>
      <c r="F3708">
        <v>148.18</v>
      </c>
      <c r="G3708">
        <v>149</v>
      </c>
      <c r="H3708">
        <v>5075</v>
      </c>
      <c r="I3708">
        <v>44</v>
      </c>
      <c r="J3708">
        <v>-0.56999999999999995</v>
      </c>
      <c r="K3708">
        <v>3.28</v>
      </c>
      <c r="L3708">
        <v>156</v>
      </c>
      <c r="M3708">
        <v>156</v>
      </c>
      <c r="N3708">
        <v>147.25</v>
      </c>
      <c r="O3708">
        <v>154</v>
      </c>
      <c r="P3708" t="s">
        <v>116</v>
      </c>
      <c r="Q3708">
        <v>76754144</v>
      </c>
      <c r="R3708">
        <v>0.5</v>
      </c>
      <c r="S3708" t="s">
        <v>607</v>
      </c>
      <c r="T3708" t="s">
        <v>590</v>
      </c>
      <c r="U3708">
        <v>5.68</v>
      </c>
      <c r="V3708">
        <v>151.25</v>
      </c>
      <c r="W3708">
        <v>3365</v>
      </c>
      <c r="X3708">
        <v>1712</v>
      </c>
      <c r="Y3708">
        <v>1.97</v>
      </c>
      <c r="Z3708">
        <v>68</v>
      </c>
      <c r="AA3708">
        <v>2</v>
      </c>
      <c r="AB3708" t="s">
        <v>116</v>
      </c>
      <c r="AC3708">
        <v>1186700</v>
      </c>
      <c r="AD3708">
        <v>0.05</v>
      </c>
      <c r="AE3708" t="s">
        <v>116</v>
      </c>
      <c r="AF3708" t="s">
        <v>116</v>
      </c>
      <c r="AG3708">
        <v>0.15</v>
      </c>
      <c r="AH3708" t="s">
        <v>9048</v>
      </c>
      <c r="AI3708" t="s">
        <v>15221</v>
      </c>
      <c r="AJ3708">
        <v>-3.7</v>
      </c>
      <c r="AK3708">
        <v>779</v>
      </c>
      <c r="AL3708">
        <v>7</v>
      </c>
      <c r="AM3708">
        <v>4.1999999999999997E-3</v>
      </c>
      <c r="AN3708">
        <v>-2</v>
      </c>
      <c r="AO3708">
        <v>-1.1299999999999999</v>
      </c>
      <c r="AP3708">
        <v>45.27</v>
      </c>
      <c r="AQ3708">
        <v>162.27000000000001</v>
      </c>
      <c r="AR3708">
        <v>162.27000000000001</v>
      </c>
      <c r="AS3708">
        <v>3.28</v>
      </c>
      <c r="AT3708" t="s">
        <v>9048</v>
      </c>
      <c r="AU3708">
        <v>122.36</v>
      </c>
      <c r="AV3708">
        <v>142.78</v>
      </c>
      <c r="AW3708">
        <v>0</v>
      </c>
      <c r="BA3708">
        <v>1.3</v>
      </c>
      <c r="BB3708">
        <v>1.3</v>
      </c>
      <c r="BC3708">
        <v>-4.38</v>
      </c>
      <c r="BD3708">
        <v>-1.79</v>
      </c>
      <c r="BE3708">
        <v>-5.01</v>
      </c>
      <c r="BF3708">
        <v>-5.01</v>
      </c>
      <c r="BG3708">
        <v>0.63</v>
      </c>
      <c r="BH3708">
        <v>-1.99</v>
      </c>
      <c r="BI3708">
        <v>20191225</v>
      </c>
      <c r="BJ3708">
        <v>20191105</v>
      </c>
      <c r="BK3708">
        <v>0.74</v>
      </c>
      <c r="BL3708" t="s">
        <v>116</v>
      </c>
      <c r="BM3708" t="s">
        <v>116</v>
      </c>
      <c r="BN3708">
        <v>8.8800000000000008</v>
      </c>
      <c r="BO3708">
        <v>4.6500000000000004</v>
      </c>
      <c r="BP3708">
        <v>0</v>
      </c>
      <c r="BQ3708">
        <v>47.61</v>
      </c>
      <c r="BR3708">
        <v>5.7</v>
      </c>
      <c r="BS3708">
        <v>2.68</v>
      </c>
      <c r="BT3708">
        <v>7.0000000000000007E-2</v>
      </c>
      <c r="BU3708">
        <v>2.88</v>
      </c>
      <c r="BV3708">
        <v>0.88</v>
      </c>
      <c r="BW3708">
        <v>1.74</v>
      </c>
      <c r="BX3708">
        <v>3.09</v>
      </c>
      <c r="BY3708">
        <v>4.71</v>
      </c>
      <c r="BZ3708">
        <v>1.49</v>
      </c>
      <c r="CA3708">
        <v>-0.53</v>
      </c>
      <c r="CB3708">
        <v>-0.01</v>
      </c>
      <c r="CC3708">
        <v>-0.54</v>
      </c>
      <c r="CD3708">
        <v>-0.42</v>
      </c>
      <c r="CE3708">
        <v>-0.42</v>
      </c>
      <c r="CF3708">
        <v>-0.49</v>
      </c>
      <c r="CG3708">
        <v>0.86</v>
      </c>
      <c r="CH3708">
        <v>-1</v>
      </c>
      <c r="CI3708">
        <v>-1.45</v>
      </c>
      <c r="CJ3708">
        <v>3446</v>
      </c>
      <c r="CK3708">
        <v>4493</v>
      </c>
      <c r="CL3708" t="s">
        <v>15222</v>
      </c>
      <c r="CM3708">
        <v>0</v>
      </c>
      <c r="CN3708">
        <v>0</v>
      </c>
      <c r="CO3708">
        <v>7.75</v>
      </c>
      <c r="CP3708">
        <v>-109.6</v>
      </c>
      <c r="CQ3708">
        <v>23.29</v>
      </c>
      <c r="CR3708">
        <v>0</v>
      </c>
      <c r="CS3708" t="s">
        <v>15223</v>
      </c>
      <c r="CT3708">
        <v>19.13</v>
      </c>
      <c r="CU3708">
        <v>19.13</v>
      </c>
      <c r="CV3708">
        <v>4.17</v>
      </c>
      <c r="CW3708">
        <v>1.1599999999999999</v>
      </c>
      <c r="CX3708">
        <v>-1.35</v>
      </c>
      <c r="CY3708">
        <v>52.39</v>
      </c>
      <c r="CZ3708" t="s">
        <v>15224</v>
      </c>
      <c r="DA3708">
        <v>68.31</v>
      </c>
      <c r="DB3708">
        <v>-11.21</v>
      </c>
      <c r="DC3708">
        <v>-8.81</v>
      </c>
      <c r="DD3708">
        <v>1.33</v>
      </c>
      <c r="DE3708">
        <v>1568</v>
      </c>
      <c r="DF3708">
        <v>688023</v>
      </c>
      <c r="DG3708" t="s">
        <v>116</v>
      </c>
      <c r="DH3708" t="s">
        <v>116</v>
      </c>
      <c r="DI3708" t="s">
        <v>116</v>
      </c>
    </row>
    <row r="3709" spans="1:113" x14ac:dyDescent="0.4">
      <c r="A3709" t="str">
        <f>"688025"</f>
        <v>688025</v>
      </c>
      <c r="B3709" t="s">
        <v>15225</v>
      </c>
      <c r="C3709">
        <v>-2.11</v>
      </c>
      <c r="D3709">
        <v>42.22</v>
      </c>
      <c r="E3709">
        <v>-0.91</v>
      </c>
      <c r="F3709">
        <v>42.22</v>
      </c>
      <c r="G3709">
        <v>42.24</v>
      </c>
      <c r="H3709">
        <v>16051</v>
      </c>
      <c r="I3709">
        <v>193</v>
      </c>
      <c r="J3709">
        <v>0.02</v>
      </c>
      <c r="K3709">
        <v>7.61</v>
      </c>
      <c r="L3709">
        <v>43.12</v>
      </c>
      <c r="M3709">
        <v>43.33</v>
      </c>
      <c r="N3709">
        <v>42.18</v>
      </c>
      <c r="O3709">
        <v>43.13</v>
      </c>
      <c r="P3709">
        <v>51.77</v>
      </c>
      <c r="Q3709">
        <v>68633760</v>
      </c>
      <c r="R3709">
        <v>0.97</v>
      </c>
      <c r="S3709" t="s">
        <v>233</v>
      </c>
      <c r="T3709" t="s">
        <v>115</v>
      </c>
      <c r="U3709">
        <v>2.67</v>
      </c>
      <c r="V3709">
        <v>42.76</v>
      </c>
      <c r="W3709">
        <v>10431</v>
      </c>
      <c r="X3709">
        <v>5620</v>
      </c>
      <c r="Y3709">
        <v>1.86</v>
      </c>
      <c r="Z3709">
        <v>21</v>
      </c>
      <c r="AA3709">
        <v>7</v>
      </c>
      <c r="AB3709" t="s">
        <v>116</v>
      </c>
      <c r="AC3709">
        <v>122900</v>
      </c>
      <c r="AD3709">
        <v>0.01</v>
      </c>
      <c r="AE3709" t="s">
        <v>116</v>
      </c>
      <c r="AF3709" t="s">
        <v>116</v>
      </c>
      <c r="AG3709">
        <v>0.21</v>
      </c>
      <c r="AH3709" t="s">
        <v>2737</v>
      </c>
      <c r="AI3709" t="s">
        <v>2289</v>
      </c>
      <c r="AJ3709">
        <v>-2.0299999999999998</v>
      </c>
      <c r="AK3709">
        <v>1176</v>
      </c>
      <c r="AL3709">
        <v>14</v>
      </c>
      <c r="AM3709">
        <v>6.4999999999999997E-3</v>
      </c>
      <c r="AN3709">
        <v>-1</v>
      </c>
      <c r="AO3709">
        <v>1.86</v>
      </c>
      <c r="AP3709">
        <v>5.0199999999999996</v>
      </c>
      <c r="AQ3709">
        <v>-3.74</v>
      </c>
      <c r="AR3709">
        <v>-3.74</v>
      </c>
      <c r="AS3709">
        <v>7.61</v>
      </c>
      <c r="AT3709" t="s">
        <v>2737</v>
      </c>
      <c r="AU3709">
        <v>41.77</v>
      </c>
      <c r="AV3709">
        <v>41.77</v>
      </c>
      <c r="AW3709">
        <v>0</v>
      </c>
      <c r="BA3709">
        <v>-0.02</v>
      </c>
      <c r="BB3709">
        <v>0.46</v>
      </c>
      <c r="BC3709">
        <v>-2.2000000000000002</v>
      </c>
      <c r="BD3709">
        <v>-0.86</v>
      </c>
      <c r="BE3709">
        <v>-2.09</v>
      </c>
      <c r="BF3709">
        <v>-2.56</v>
      </c>
      <c r="BG3709">
        <v>0.09</v>
      </c>
      <c r="BH3709">
        <v>-1.25</v>
      </c>
      <c r="BI3709">
        <v>20191101</v>
      </c>
      <c r="BJ3709">
        <v>20191031</v>
      </c>
      <c r="BK3709">
        <v>0.92</v>
      </c>
      <c r="BL3709" t="s">
        <v>116</v>
      </c>
      <c r="BM3709" t="s">
        <v>116</v>
      </c>
      <c r="BN3709">
        <v>8.61</v>
      </c>
      <c r="BO3709">
        <v>6.47</v>
      </c>
      <c r="BP3709">
        <v>0</v>
      </c>
      <c r="BQ3709">
        <v>24.84</v>
      </c>
      <c r="BR3709">
        <v>7.42</v>
      </c>
      <c r="BS3709">
        <v>0.57999999999999996</v>
      </c>
      <c r="BT3709">
        <v>0.17</v>
      </c>
      <c r="BU3709">
        <v>2.0099999999999998</v>
      </c>
      <c r="BV3709">
        <v>2.29</v>
      </c>
      <c r="BW3709">
        <v>2.27</v>
      </c>
      <c r="BX3709">
        <v>3.64</v>
      </c>
      <c r="BY3709">
        <v>4.3099999999999996</v>
      </c>
      <c r="BZ3709">
        <v>2.79</v>
      </c>
      <c r="CA3709">
        <v>0.65</v>
      </c>
      <c r="CB3709">
        <v>0</v>
      </c>
      <c r="CC3709">
        <v>0.65</v>
      </c>
      <c r="CD3709">
        <v>0.56999999999999995</v>
      </c>
      <c r="CE3709">
        <v>0.56999999999999995</v>
      </c>
      <c r="CF3709">
        <v>0.43</v>
      </c>
      <c r="CG3709">
        <v>1.95</v>
      </c>
      <c r="CH3709">
        <v>0</v>
      </c>
      <c r="CI3709">
        <v>-0.96</v>
      </c>
      <c r="CJ3709">
        <v>20500</v>
      </c>
      <c r="CK3709">
        <v>1029</v>
      </c>
      <c r="CL3709" t="s">
        <v>2912</v>
      </c>
      <c r="CM3709">
        <v>0</v>
      </c>
      <c r="CN3709">
        <v>0</v>
      </c>
      <c r="CO3709">
        <v>2.5</v>
      </c>
      <c r="CP3709">
        <v>-10066.6</v>
      </c>
      <c r="CQ3709">
        <v>9.06</v>
      </c>
      <c r="CR3709">
        <v>0</v>
      </c>
      <c r="CS3709" t="s">
        <v>11871</v>
      </c>
      <c r="CT3709">
        <v>16.91</v>
      </c>
      <c r="CU3709">
        <v>16.91</v>
      </c>
      <c r="CV3709">
        <v>3.94</v>
      </c>
      <c r="CW3709">
        <v>2.11</v>
      </c>
      <c r="CX3709">
        <v>0</v>
      </c>
      <c r="CY3709">
        <v>75.16</v>
      </c>
      <c r="CZ3709" t="s">
        <v>14954</v>
      </c>
      <c r="DA3709">
        <v>35.28</v>
      </c>
      <c r="DB3709">
        <v>15.18</v>
      </c>
      <c r="DC3709">
        <v>13.12</v>
      </c>
      <c r="DD3709">
        <v>0.46</v>
      </c>
      <c r="DE3709">
        <v>842</v>
      </c>
      <c r="DF3709">
        <v>688025</v>
      </c>
      <c r="DG3709" t="s">
        <v>116</v>
      </c>
      <c r="DH3709" t="s">
        <v>116</v>
      </c>
      <c r="DI3709" t="s">
        <v>116</v>
      </c>
    </row>
    <row r="3710" spans="1:113" x14ac:dyDescent="0.4">
      <c r="A3710" t="str">
        <f>"688028"</f>
        <v>688028</v>
      </c>
      <c r="B3710" t="s">
        <v>15226</v>
      </c>
      <c r="C3710">
        <v>-1.1399999999999999</v>
      </c>
      <c r="D3710">
        <v>64.36</v>
      </c>
      <c r="E3710">
        <v>-0.74</v>
      </c>
      <c r="F3710">
        <v>64.36</v>
      </c>
      <c r="G3710">
        <v>64.37</v>
      </c>
      <c r="H3710">
        <v>16771</v>
      </c>
      <c r="I3710">
        <v>479</v>
      </c>
      <c r="J3710">
        <v>-0.02</v>
      </c>
      <c r="K3710">
        <v>9.24</v>
      </c>
      <c r="L3710">
        <v>64.92</v>
      </c>
      <c r="M3710">
        <v>66.650000000000006</v>
      </c>
      <c r="N3710">
        <v>64.349999999999994</v>
      </c>
      <c r="O3710">
        <v>65.099999999999994</v>
      </c>
      <c r="P3710">
        <v>86.65</v>
      </c>
      <c r="Q3710">
        <v>110117192</v>
      </c>
      <c r="R3710">
        <v>0.98</v>
      </c>
      <c r="S3710" t="s">
        <v>682</v>
      </c>
      <c r="T3710" t="s">
        <v>165</v>
      </c>
      <c r="U3710">
        <v>3.53</v>
      </c>
      <c r="V3710">
        <v>65.66</v>
      </c>
      <c r="W3710">
        <v>8254</v>
      </c>
      <c r="X3710">
        <v>8520</v>
      </c>
      <c r="Y3710">
        <v>0.97</v>
      </c>
      <c r="Z3710">
        <v>5</v>
      </c>
      <c r="AA3710">
        <v>30</v>
      </c>
      <c r="AB3710" t="s">
        <v>116</v>
      </c>
      <c r="AC3710">
        <v>0</v>
      </c>
      <c r="AD3710">
        <v>0</v>
      </c>
      <c r="AE3710" t="s">
        <v>116</v>
      </c>
      <c r="AF3710" t="s">
        <v>116</v>
      </c>
      <c r="AG3710">
        <v>0.18</v>
      </c>
      <c r="AH3710" t="s">
        <v>5948</v>
      </c>
      <c r="AI3710" t="s">
        <v>12059</v>
      </c>
      <c r="AJ3710">
        <v>-1.06</v>
      </c>
      <c r="AK3710">
        <v>1404</v>
      </c>
      <c r="AL3710">
        <v>12</v>
      </c>
      <c r="AM3710">
        <v>6.6E-3</v>
      </c>
      <c r="AN3710">
        <v>-2</v>
      </c>
      <c r="AO3710">
        <v>1.33</v>
      </c>
      <c r="AP3710">
        <v>10.77</v>
      </c>
      <c r="AQ3710">
        <v>-38.090000000000003</v>
      </c>
      <c r="AR3710">
        <v>141.22999999999999</v>
      </c>
      <c r="AS3710">
        <v>9.24</v>
      </c>
      <c r="AT3710" t="s">
        <v>5948</v>
      </c>
      <c r="AU3710">
        <v>83.61</v>
      </c>
      <c r="AV3710">
        <v>77.66</v>
      </c>
      <c r="AW3710">
        <v>1.73</v>
      </c>
      <c r="BA3710">
        <v>-0.28000000000000003</v>
      </c>
      <c r="BB3710">
        <v>2.38</v>
      </c>
      <c r="BC3710">
        <v>-1.1499999999999999</v>
      </c>
      <c r="BD3710">
        <v>0.86</v>
      </c>
      <c r="BE3710">
        <v>-0.86</v>
      </c>
      <c r="BF3710">
        <v>-3.44</v>
      </c>
      <c r="BG3710">
        <v>0.02</v>
      </c>
      <c r="BH3710">
        <v>-2</v>
      </c>
      <c r="BI3710">
        <v>20191029</v>
      </c>
      <c r="BJ3710">
        <v>20190722</v>
      </c>
      <c r="BK3710">
        <v>0.8</v>
      </c>
      <c r="BL3710" t="s">
        <v>116</v>
      </c>
      <c r="BM3710" t="s">
        <v>116</v>
      </c>
      <c r="BN3710">
        <v>8.84</v>
      </c>
      <c r="BO3710">
        <v>8.5</v>
      </c>
      <c r="BP3710">
        <v>0</v>
      </c>
      <c r="BQ3710">
        <v>3.91</v>
      </c>
      <c r="BR3710">
        <v>6.52</v>
      </c>
      <c r="BS3710">
        <v>1.67</v>
      </c>
      <c r="BT3710">
        <v>0.33</v>
      </c>
      <c r="BU3710">
        <v>0.35</v>
      </c>
      <c r="BV3710">
        <v>0.48</v>
      </c>
      <c r="BW3710">
        <v>0.54</v>
      </c>
      <c r="BX3710">
        <v>5.44</v>
      </c>
      <c r="BY3710">
        <v>1.85</v>
      </c>
      <c r="BZ3710">
        <v>0.95</v>
      </c>
      <c r="CA3710">
        <v>0.52</v>
      </c>
      <c r="CB3710">
        <v>0</v>
      </c>
      <c r="CC3710">
        <v>0.52</v>
      </c>
      <c r="CD3710">
        <v>0.45</v>
      </c>
      <c r="CE3710">
        <v>0.45</v>
      </c>
      <c r="CF3710">
        <v>0.4</v>
      </c>
      <c r="CG3710">
        <v>2.04</v>
      </c>
      <c r="CH3710">
        <v>0.53</v>
      </c>
      <c r="CI3710">
        <v>4.9000000000000004</v>
      </c>
      <c r="CJ3710">
        <v>9568</v>
      </c>
      <c r="CK3710">
        <v>1897</v>
      </c>
      <c r="CL3710" t="s">
        <v>3136</v>
      </c>
      <c r="CM3710">
        <v>0</v>
      </c>
      <c r="CN3710">
        <v>0</v>
      </c>
      <c r="CO3710">
        <v>6.06</v>
      </c>
      <c r="CP3710">
        <v>97.35</v>
      </c>
      <c r="CQ3710">
        <v>27.85</v>
      </c>
      <c r="CR3710">
        <v>0</v>
      </c>
      <c r="CS3710" t="s">
        <v>8941</v>
      </c>
      <c r="CT3710">
        <v>10.62</v>
      </c>
      <c r="CU3710">
        <v>0</v>
      </c>
      <c r="CV3710">
        <v>6.8</v>
      </c>
      <c r="CW3710">
        <v>2.5499999999999998</v>
      </c>
      <c r="CX3710">
        <v>0.66</v>
      </c>
      <c r="CY3710">
        <v>96.09</v>
      </c>
      <c r="CZ3710" t="s">
        <v>1482</v>
      </c>
      <c r="DA3710">
        <v>48.76</v>
      </c>
      <c r="DB3710">
        <v>28.39</v>
      </c>
      <c r="DC3710">
        <v>24.11</v>
      </c>
      <c r="DD3710">
        <v>0.11</v>
      </c>
      <c r="DE3710">
        <v>557</v>
      </c>
      <c r="DF3710">
        <v>688028</v>
      </c>
      <c r="DG3710" t="s">
        <v>116</v>
      </c>
      <c r="DH3710" t="s">
        <v>116</v>
      </c>
      <c r="DI3710" t="s">
        <v>116</v>
      </c>
    </row>
    <row r="3711" spans="1:113" x14ac:dyDescent="0.4">
      <c r="A3711" t="str">
        <f>"688029"</f>
        <v>688029</v>
      </c>
      <c r="B3711" t="s">
        <v>15227</v>
      </c>
      <c r="C3711">
        <v>0.54</v>
      </c>
      <c r="D3711">
        <v>157.25</v>
      </c>
      <c r="E3711">
        <v>0.84</v>
      </c>
      <c r="F3711">
        <v>157.25</v>
      </c>
      <c r="G3711">
        <v>157.28</v>
      </c>
      <c r="H3711">
        <v>7664</v>
      </c>
      <c r="I3711">
        <v>89</v>
      </c>
      <c r="J3711">
        <v>0.1</v>
      </c>
      <c r="K3711">
        <v>2.5099999999999998</v>
      </c>
      <c r="L3711">
        <v>157.05000000000001</v>
      </c>
      <c r="M3711">
        <v>160.69</v>
      </c>
      <c r="N3711">
        <v>156.5</v>
      </c>
      <c r="O3711">
        <v>156.41</v>
      </c>
      <c r="P3711">
        <v>69.27</v>
      </c>
      <c r="Q3711">
        <v>121476840</v>
      </c>
      <c r="R3711">
        <v>1.03</v>
      </c>
      <c r="S3711" t="s">
        <v>559</v>
      </c>
      <c r="T3711" t="s">
        <v>323</v>
      </c>
      <c r="U3711">
        <v>2.68</v>
      </c>
      <c r="V3711">
        <v>158.51</v>
      </c>
      <c r="W3711">
        <v>3405</v>
      </c>
      <c r="X3711">
        <v>4259</v>
      </c>
      <c r="Y3711">
        <v>0.8</v>
      </c>
      <c r="Z3711">
        <v>44</v>
      </c>
      <c r="AA3711">
        <v>10</v>
      </c>
      <c r="AB3711" t="s">
        <v>116</v>
      </c>
      <c r="AC3711">
        <v>790000</v>
      </c>
      <c r="AD3711">
        <v>0.02</v>
      </c>
      <c r="AE3711" t="s">
        <v>116</v>
      </c>
      <c r="AF3711" t="s">
        <v>116</v>
      </c>
      <c r="AG3711">
        <v>0.31</v>
      </c>
      <c r="AH3711" t="s">
        <v>15228</v>
      </c>
      <c r="AI3711" t="s">
        <v>15229</v>
      </c>
      <c r="AJ3711">
        <v>0.61</v>
      </c>
      <c r="AK3711">
        <v>1196</v>
      </c>
      <c r="AL3711">
        <v>6</v>
      </c>
      <c r="AM3711">
        <v>2.0999999999999999E-3</v>
      </c>
      <c r="AN3711">
        <v>1</v>
      </c>
      <c r="AO3711">
        <v>0.81</v>
      </c>
      <c r="AP3711">
        <v>0.47</v>
      </c>
      <c r="AQ3711">
        <v>20.18</v>
      </c>
      <c r="AR3711">
        <v>199.81</v>
      </c>
      <c r="AS3711">
        <v>2.5099999999999998</v>
      </c>
      <c r="AT3711" t="s">
        <v>15228</v>
      </c>
      <c r="AU3711">
        <v>81.819999999999993</v>
      </c>
      <c r="AV3711">
        <v>108.81</v>
      </c>
      <c r="AW3711">
        <v>1.89</v>
      </c>
      <c r="BA3711">
        <v>0.41</v>
      </c>
      <c r="BB3711">
        <v>2.74</v>
      </c>
      <c r="BC3711">
        <v>0.06</v>
      </c>
      <c r="BD3711">
        <v>1.34</v>
      </c>
      <c r="BE3711">
        <v>0.13</v>
      </c>
      <c r="BF3711">
        <v>-2.14</v>
      </c>
      <c r="BG3711">
        <v>0.48</v>
      </c>
      <c r="BH3711">
        <v>-0.8</v>
      </c>
      <c r="BI3711">
        <v>20191029</v>
      </c>
      <c r="BJ3711">
        <v>20190722</v>
      </c>
      <c r="BK3711">
        <v>1.33</v>
      </c>
      <c r="BL3711" t="s">
        <v>116</v>
      </c>
      <c r="BM3711" t="s">
        <v>116</v>
      </c>
      <c r="BN3711">
        <v>28.2</v>
      </c>
      <c r="BO3711">
        <v>23.99</v>
      </c>
      <c r="BP3711">
        <v>0.44</v>
      </c>
      <c r="BQ3711">
        <v>13.37</v>
      </c>
      <c r="BR3711">
        <v>23.66</v>
      </c>
      <c r="BS3711">
        <v>2.0499999999999998</v>
      </c>
      <c r="BT3711">
        <v>0.15</v>
      </c>
      <c r="BU3711">
        <v>3.47</v>
      </c>
      <c r="BV3711">
        <v>1.95</v>
      </c>
      <c r="BW3711">
        <v>1.63</v>
      </c>
      <c r="BX3711">
        <v>18.25</v>
      </c>
      <c r="BY3711">
        <v>9.61</v>
      </c>
      <c r="BZ3711">
        <v>3.31</v>
      </c>
      <c r="CA3711">
        <v>2.71</v>
      </c>
      <c r="CB3711">
        <v>7.0000000000000007E-2</v>
      </c>
      <c r="CC3711">
        <v>2.75</v>
      </c>
      <c r="CD3711">
        <v>2.36</v>
      </c>
      <c r="CE3711">
        <v>2.27</v>
      </c>
      <c r="CF3711">
        <v>2.2400000000000002</v>
      </c>
      <c r="CG3711">
        <v>4.1100000000000003</v>
      </c>
      <c r="CH3711">
        <v>2.0499999999999998</v>
      </c>
      <c r="CI3711">
        <v>2.92</v>
      </c>
      <c r="CJ3711">
        <v>12773</v>
      </c>
      <c r="CK3711">
        <v>2395</v>
      </c>
      <c r="CL3711" t="s">
        <v>15230</v>
      </c>
      <c r="CM3711">
        <v>0</v>
      </c>
      <c r="CN3711">
        <v>0</v>
      </c>
      <c r="CO3711">
        <v>8.74</v>
      </c>
      <c r="CP3711">
        <v>102.52</v>
      </c>
      <c r="CQ3711">
        <v>21.83</v>
      </c>
      <c r="CR3711">
        <v>0</v>
      </c>
      <c r="CS3711" t="s">
        <v>15231</v>
      </c>
      <c r="CT3711">
        <v>17.989999999999998</v>
      </c>
      <c r="CU3711">
        <v>0</v>
      </c>
      <c r="CV3711">
        <v>13.69</v>
      </c>
      <c r="CW3711">
        <v>3.08</v>
      </c>
      <c r="CX3711">
        <v>1.53</v>
      </c>
      <c r="CY3711">
        <v>85.06</v>
      </c>
      <c r="CZ3711" t="s">
        <v>15232</v>
      </c>
      <c r="DA3711">
        <v>65.540000000000006</v>
      </c>
      <c r="DB3711">
        <v>28.2</v>
      </c>
      <c r="DC3711">
        <v>23.63</v>
      </c>
      <c r="DD3711">
        <v>0.46</v>
      </c>
      <c r="DE3711">
        <v>1368</v>
      </c>
      <c r="DF3711">
        <v>688029</v>
      </c>
      <c r="DG3711" t="s">
        <v>116</v>
      </c>
      <c r="DH3711" t="s">
        <v>116</v>
      </c>
      <c r="DI3711" t="s">
        <v>116</v>
      </c>
    </row>
    <row r="3712" spans="1:113" x14ac:dyDescent="0.4">
      <c r="A3712" t="str">
        <f>"688030"</f>
        <v>688030</v>
      </c>
      <c r="B3712" t="s">
        <v>15233</v>
      </c>
      <c r="C3712">
        <v>-2.44</v>
      </c>
      <c r="D3712">
        <v>41.9</v>
      </c>
      <c r="E3712">
        <v>-1.05</v>
      </c>
      <c r="F3712">
        <v>41.89</v>
      </c>
      <c r="G3712">
        <v>41.9</v>
      </c>
      <c r="H3712">
        <v>20293</v>
      </c>
      <c r="I3712">
        <v>267</v>
      </c>
      <c r="J3712">
        <v>7.0000000000000007E-2</v>
      </c>
      <c r="K3712">
        <v>5.54</v>
      </c>
      <c r="L3712">
        <v>42.97</v>
      </c>
      <c r="M3712">
        <v>43.48</v>
      </c>
      <c r="N3712">
        <v>41.8</v>
      </c>
      <c r="O3712">
        <v>42.95</v>
      </c>
      <c r="P3712">
        <v>266.5</v>
      </c>
      <c r="Q3712">
        <v>86699440</v>
      </c>
      <c r="R3712">
        <v>0.57999999999999996</v>
      </c>
      <c r="S3712" t="s">
        <v>607</v>
      </c>
      <c r="T3712" t="s">
        <v>323</v>
      </c>
      <c r="U3712">
        <v>3.91</v>
      </c>
      <c r="V3712">
        <v>42.72</v>
      </c>
      <c r="W3712">
        <v>12213</v>
      </c>
      <c r="X3712">
        <v>8080</v>
      </c>
      <c r="Y3712">
        <v>1.51</v>
      </c>
      <c r="Z3712">
        <v>44</v>
      </c>
      <c r="AA3712">
        <v>67</v>
      </c>
      <c r="AB3712" t="s">
        <v>116</v>
      </c>
      <c r="AC3712">
        <v>17200</v>
      </c>
      <c r="AD3712">
        <v>0</v>
      </c>
      <c r="AE3712" t="s">
        <v>116</v>
      </c>
      <c r="AF3712" t="s">
        <v>116</v>
      </c>
      <c r="AG3712">
        <v>0.37</v>
      </c>
      <c r="AH3712" t="s">
        <v>15214</v>
      </c>
      <c r="AI3712" t="s">
        <v>4413</v>
      </c>
      <c r="AJ3712">
        <v>-2.37</v>
      </c>
      <c r="AK3712">
        <v>1283</v>
      </c>
      <c r="AL3712">
        <v>16</v>
      </c>
      <c r="AM3712">
        <v>4.3E-3</v>
      </c>
      <c r="AN3712">
        <v>-2</v>
      </c>
      <c r="AO3712">
        <v>-4.54</v>
      </c>
      <c r="AP3712">
        <v>16.420000000000002</v>
      </c>
      <c r="AQ3712">
        <v>98.96</v>
      </c>
      <c r="AR3712">
        <v>98.96</v>
      </c>
      <c r="AS3712">
        <v>5.54</v>
      </c>
      <c r="AT3712" t="s">
        <v>15214</v>
      </c>
      <c r="AU3712">
        <v>54.88</v>
      </c>
      <c r="AV3712">
        <v>104.61</v>
      </c>
      <c r="AW3712">
        <v>0</v>
      </c>
      <c r="BA3712">
        <v>0.05</v>
      </c>
      <c r="BB3712">
        <v>1.23</v>
      </c>
      <c r="BC3712">
        <v>-2.68</v>
      </c>
      <c r="BD3712">
        <v>-0.53</v>
      </c>
      <c r="BE3712">
        <v>-2.4900000000000002</v>
      </c>
      <c r="BF3712">
        <v>-3.63</v>
      </c>
      <c r="BG3712">
        <v>0.24</v>
      </c>
      <c r="BH3712">
        <v>-1.92</v>
      </c>
      <c r="BI3712">
        <v>20191029</v>
      </c>
      <c r="BJ3712">
        <v>20190930</v>
      </c>
      <c r="BK3712">
        <v>1.8</v>
      </c>
      <c r="BL3712" t="s">
        <v>116</v>
      </c>
      <c r="BM3712" t="s">
        <v>116</v>
      </c>
      <c r="BN3712">
        <v>15.11</v>
      </c>
      <c r="BO3712">
        <v>13.06</v>
      </c>
      <c r="BP3712">
        <v>0</v>
      </c>
      <c r="BQ3712">
        <v>13.56</v>
      </c>
      <c r="BR3712">
        <v>14.64</v>
      </c>
      <c r="BS3712">
        <v>0.34</v>
      </c>
      <c r="BT3712">
        <v>0.05</v>
      </c>
      <c r="BU3712">
        <v>1.84</v>
      </c>
      <c r="BV3712">
        <v>0.6</v>
      </c>
      <c r="BW3712">
        <v>2.84</v>
      </c>
      <c r="BX3712">
        <v>12.2</v>
      </c>
      <c r="BY3712">
        <v>4.1500000000000004</v>
      </c>
      <c r="BZ3712">
        <v>1.03</v>
      </c>
      <c r="CA3712">
        <v>0.26</v>
      </c>
      <c r="CB3712">
        <v>0</v>
      </c>
      <c r="CC3712">
        <v>0.26</v>
      </c>
      <c r="CD3712">
        <v>0.21</v>
      </c>
      <c r="CE3712">
        <v>0.21</v>
      </c>
      <c r="CF3712">
        <v>0.09</v>
      </c>
      <c r="CG3712">
        <v>-1.1200000000000001</v>
      </c>
      <c r="CH3712">
        <v>-0.71</v>
      </c>
      <c r="CI3712">
        <v>7.86</v>
      </c>
      <c r="CJ3712">
        <v>27279</v>
      </c>
      <c r="CK3712">
        <v>1344</v>
      </c>
      <c r="CL3712" t="s">
        <v>5610</v>
      </c>
      <c r="CM3712">
        <v>0</v>
      </c>
      <c r="CN3712">
        <v>0</v>
      </c>
      <c r="CO3712">
        <v>5.78</v>
      </c>
      <c r="CP3712">
        <v>-106.85</v>
      </c>
      <c r="CQ3712">
        <v>18.190000000000001</v>
      </c>
      <c r="CR3712">
        <v>0</v>
      </c>
      <c r="CS3712" t="s">
        <v>7859</v>
      </c>
      <c r="CT3712">
        <v>7.25</v>
      </c>
      <c r="CU3712">
        <v>0</v>
      </c>
      <c r="CV3712">
        <v>6.77</v>
      </c>
      <c r="CW3712">
        <v>-0.62</v>
      </c>
      <c r="CX3712">
        <v>-0.39</v>
      </c>
      <c r="CY3712">
        <v>86.44</v>
      </c>
      <c r="CZ3712" t="s">
        <v>6339</v>
      </c>
      <c r="DA3712">
        <v>75.28</v>
      </c>
      <c r="DB3712">
        <v>6.26</v>
      </c>
      <c r="DC3712">
        <v>5.12</v>
      </c>
      <c r="DD3712">
        <v>1.36</v>
      </c>
      <c r="DE3712">
        <v>921</v>
      </c>
      <c r="DF3712">
        <v>688030</v>
      </c>
      <c r="DG3712" t="s">
        <v>116</v>
      </c>
      <c r="DH3712" t="s">
        <v>116</v>
      </c>
      <c r="DI3712" t="s">
        <v>116</v>
      </c>
    </row>
    <row r="3713" spans="1:113" x14ac:dyDescent="0.4">
      <c r="A3713" t="str">
        <f>"688033"</f>
        <v>688033</v>
      </c>
      <c r="B3713" t="s">
        <v>15234</v>
      </c>
      <c r="C3713">
        <v>-0.89</v>
      </c>
      <c r="D3713">
        <v>26.8</v>
      </c>
      <c r="E3713">
        <v>-0.24</v>
      </c>
      <c r="F3713">
        <v>26.79</v>
      </c>
      <c r="G3713">
        <v>26.8</v>
      </c>
      <c r="H3713">
        <v>17323</v>
      </c>
      <c r="I3713">
        <v>293</v>
      </c>
      <c r="J3713">
        <v>-0.21</v>
      </c>
      <c r="K3713">
        <v>3.99</v>
      </c>
      <c r="L3713">
        <v>27.13</v>
      </c>
      <c r="M3713">
        <v>27.46</v>
      </c>
      <c r="N3713">
        <v>26.79</v>
      </c>
      <c r="O3713">
        <v>27.04</v>
      </c>
      <c r="P3713">
        <v>42.72</v>
      </c>
      <c r="Q3713">
        <v>47109840</v>
      </c>
      <c r="R3713">
        <v>0.99</v>
      </c>
      <c r="S3713" t="s">
        <v>164</v>
      </c>
      <c r="T3713" t="s">
        <v>165</v>
      </c>
      <c r="U3713">
        <v>2.48</v>
      </c>
      <c r="V3713">
        <v>27.2</v>
      </c>
      <c r="W3713">
        <v>9406</v>
      </c>
      <c r="X3713">
        <v>7917</v>
      </c>
      <c r="Y3713">
        <v>1.19</v>
      </c>
      <c r="Z3713">
        <v>58</v>
      </c>
      <c r="AA3713">
        <v>26</v>
      </c>
      <c r="AB3713" t="s">
        <v>116</v>
      </c>
      <c r="AC3713">
        <v>0</v>
      </c>
      <c r="AD3713">
        <v>0</v>
      </c>
      <c r="AE3713" t="s">
        <v>116</v>
      </c>
      <c r="AF3713" t="s">
        <v>116</v>
      </c>
      <c r="AG3713">
        <v>0.43</v>
      </c>
      <c r="AH3713" t="s">
        <v>6717</v>
      </c>
      <c r="AI3713" t="s">
        <v>15235</v>
      </c>
      <c r="AJ3713">
        <v>-0.81</v>
      </c>
      <c r="AK3713">
        <v>1054</v>
      </c>
      <c r="AL3713">
        <v>16</v>
      </c>
      <c r="AM3713">
        <v>3.8E-3</v>
      </c>
      <c r="AN3713">
        <v>-2</v>
      </c>
      <c r="AO3713">
        <v>0.11</v>
      </c>
      <c r="AP3713">
        <v>10.7</v>
      </c>
      <c r="AQ3713">
        <v>-25.2</v>
      </c>
      <c r="AR3713">
        <v>31.57</v>
      </c>
      <c r="AS3713">
        <v>3.99</v>
      </c>
      <c r="AT3713" t="s">
        <v>6717</v>
      </c>
      <c r="AU3713">
        <v>45.09</v>
      </c>
      <c r="AV3713">
        <v>45.71</v>
      </c>
      <c r="AW3713">
        <v>1.32</v>
      </c>
      <c r="BA3713">
        <v>0.33</v>
      </c>
      <c r="BB3713">
        <v>1.55</v>
      </c>
      <c r="BC3713">
        <v>-0.92</v>
      </c>
      <c r="BD3713">
        <v>0.57999999999999996</v>
      </c>
      <c r="BE3713">
        <v>-1.22</v>
      </c>
      <c r="BF3713">
        <v>-2.4</v>
      </c>
      <c r="BG3713">
        <v>0.04</v>
      </c>
      <c r="BH3713">
        <v>-1.46</v>
      </c>
      <c r="BI3713">
        <v>20191028</v>
      </c>
      <c r="BJ3713">
        <v>20190722</v>
      </c>
      <c r="BK3713">
        <v>4.49</v>
      </c>
      <c r="BL3713" t="s">
        <v>116</v>
      </c>
      <c r="BM3713" t="s">
        <v>116</v>
      </c>
      <c r="BN3713">
        <v>24.02</v>
      </c>
      <c r="BO3713">
        <v>22.84</v>
      </c>
      <c r="BP3713">
        <v>0</v>
      </c>
      <c r="BQ3713">
        <v>4.9400000000000004</v>
      </c>
      <c r="BR3713">
        <v>17.22</v>
      </c>
      <c r="BS3713">
        <v>0.55000000000000004</v>
      </c>
      <c r="BT3713">
        <v>1.1000000000000001</v>
      </c>
      <c r="BU3713">
        <v>0.71</v>
      </c>
      <c r="BV3713">
        <v>0.39</v>
      </c>
      <c r="BW3713">
        <v>4.71</v>
      </c>
      <c r="BX3713">
        <v>12.59</v>
      </c>
      <c r="BY3713">
        <v>4.4000000000000004</v>
      </c>
      <c r="BZ3713">
        <v>1.1000000000000001</v>
      </c>
      <c r="CA3713">
        <v>2.4700000000000002</v>
      </c>
      <c r="CB3713">
        <v>0.01</v>
      </c>
      <c r="CC3713">
        <v>2.46</v>
      </c>
      <c r="CD3713">
        <v>2.11</v>
      </c>
      <c r="CE3713">
        <v>2.11</v>
      </c>
      <c r="CF3713">
        <v>2.09</v>
      </c>
      <c r="CG3713">
        <v>5.07</v>
      </c>
      <c r="CH3713">
        <v>0.8</v>
      </c>
      <c r="CI3713">
        <v>8.0500000000000007</v>
      </c>
      <c r="CJ3713">
        <v>17792</v>
      </c>
      <c r="CK3713">
        <v>2441</v>
      </c>
      <c r="CL3713" t="s">
        <v>1302</v>
      </c>
      <c r="CM3713">
        <v>0</v>
      </c>
      <c r="CN3713">
        <v>0</v>
      </c>
      <c r="CO3713">
        <v>5.27</v>
      </c>
      <c r="CP3713">
        <v>151.27000000000001</v>
      </c>
      <c r="CQ3713">
        <v>27.32</v>
      </c>
      <c r="CR3713">
        <v>0</v>
      </c>
      <c r="CS3713" t="s">
        <v>6070</v>
      </c>
      <c r="CT3713">
        <v>5.09</v>
      </c>
      <c r="CU3713">
        <v>0</v>
      </c>
      <c r="CV3713">
        <v>2.8</v>
      </c>
      <c r="CW3713">
        <v>1.1299999999999999</v>
      </c>
      <c r="CX3713">
        <v>0.18</v>
      </c>
      <c r="CY3713">
        <v>95.06</v>
      </c>
      <c r="CZ3713" t="s">
        <v>11200</v>
      </c>
      <c r="DA3713">
        <v>75.11</v>
      </c>
      <c r="DB3713">
        <v>56.15</v>
      </c>
      <c r="DC3713">
        <v>47.96</v>
      </c>
      <c r="DD3713">
        <v>0.28000000000000003</v>
      </c>
      <c r="DE3713">
        <v>229</v>
      </c>
      <c r="DF3713">
        <v>688033</v>
      </c>
      <c r="DG3713" t="s">
        <v>116</v>
      </c>
      <c r="DH3713" t="s">
        <v>116</v>
      </c>
      <c r="DI3713" t="s">
        <v>116</v>
      </c>
    </row>
    <row r="3714" spans="1:113" x14ac:dyDescent="0.4">
      <c r="A3714" t="str">
        <f>"688036"</f>
        <v>688036</v>
      </c>
      <c r="B3714" t="s">
        <v>15236</v>
      </c>
      <c r="C3714">
        <v>7.0000000000000007E-2</v>
      </c>
      <c r="D3714">
        <v>43.63</v>
      </c>
      <c r="E3714">
        <v>0.03</v>
      </c>
      <c r="F3714">
        <v>43.62</v>
      </c>
      <c r="G3714">
        <v>43.63</v>
      </c>
      <c r="H3714">
        <v>50936</v>
      </c>
      <c r="I3714">
        <v>538</v>
      </c>
      <c r="J3714">
        <v>-0.24</v>
      </c>
      <c r="K3714">
        <v>7.12</v>
      </c>
      <c r="L3714">
        <v>43.48</v>
      </c>
      <c r="M3714">
        <v>45.32</v>
      </c>
      <c r="N3714">
        <v>43.2</v>
      </c>
      <c r="O3714">
        <v>43.6</v>
      </c>
      <c r="P3714">
        <v>20.13</v>
      </c>
      <c r="Q3714">
        <v>226146704</v>
      </c>
      <c r="R3714">
        <v>1.23</v>
      </c>
      <c r="S3714" t="s">
        <v>465</v>
      </c>
      <c r="T3714" t="s">
        <v>115</v>
      </c>
      <c r="U3714">
        <v>4.8600000000000003</v>
      </c>
      <c r="V3714">
        <v>44.4</v>
      </c>
      <c r="W3714">
        <v>25606</v>
      </c>
      <c r="X3714">
        <v>25330</v>
      </c>
      <c r="Y3714">
        <v>1.01</v>
      </c>
      <c r="Z3714">
        <v>161</v>
      </c>
      <c r="AA3714">
        <v>131</v>
      </c>
      <c r="AB3714" t="s">
        <v>116</v>
      </c>
      <c r="AC3714">
        <v>516500</v>
      </c>
      <c r="AD3714">
        <v>0.02</v>
      </c>
      <c r="AE3714" t="s">
        <v>116</v>
      </c>
      <c r="AF3714" t="s">
        <v>116</v>
      </c>
      <c r="AG3714">
        <v>0.72</v>
      </c>
      <c r="AH3714" t="s">
        <v>7795</v>
      </c>
      <c r="AI3714" t="s">
        <v>15237</v>
      </c>
      <c r="AJ3714">
        <v>0.15</v>
      </c>
      <c r="AK3714">
        <v>2474</v>
      </c>
      <c r="AL3714">
        <v>21</v>
      </c>
      <c r="AM3714">
        <v>2.8999999999999998E-3</v>
      </c>
      <c r="AN3714">
        <v>4</v>
      </c>
      <c r="AO3714">
        <v>5.13</v>
      </c>
      <c r="AP3714">
        <v>11.53</v>
      </c>
      <c r="AQ3714">
        <v>24.13</v>
      </c>
      <c r="AR3714">
        <v>24.13</v>
      </c>
      <c r="AS3714">
        <v>7.12</v>
      </c>
      <c r="AT3714" t="s">
        <v>7795</v>
      </c>
      <c r="AU3714">
        <v>19.37</v>
      </c>
      <c r="AV3714">
        <v>53.1</v>
      </c>
      <c r="AW3714">
        <v>0</v>
      </c>
      <c r="BA3714">
        <v>-0.28000000000000003</v>
      </c>
      <c r="BB3714">
        <v>3.94</v>
      </c>
      <c r="BC3714">
        <v>-0.92</v>
      </c>
      <c r="BD3714">
        <v>1.83</v>
      </c>
      <c r="BE3714">
        <v>0.34</v>
      </c>
      <c r="BF3714">
        <v>-3.73</v>
      </c>
      <c r="BG3714">
        <v>1</v>
      </c>
      <c r="BH3714">
        <v>-1.76</v>
      </c>
      <c r="BI3714">
        <v>20191030</v>
      </c>
      <c r="BJ3714">
        <v>20190930</v>
      </c>
      <c r="BK3714">
        <v>8</v>
      </c>
      <c r="BL3714" t="s">
        <v>116</v>
      </c>
      <c r="BM3714" t="s">
        <v>116</v>
      </c>
      <c r="BN3714">
        <v>152.04</v>
      </c>
      <c r="BO3714">
        <v>77.430000000000007</v>
      </c>
      <c r="BP3714">
        <v>0.12</v>
      </c>
      <c r="BQ3714">
        <v>49</v>
      </c>
      <c r="BR3714">
        <v>129.94999999999999</v>
      </c>
      <c r="BS3714">
        <v>7.94</v>
      </c>
      <c r="BT3714">
        <v>6.34</v>
      </c>
      <c r="BU3714">
        <v>62.95</v>
      </c>
      <c r="BV3714">
        <v>24.55</v>
      </c>
      <c r="BW3714">
        <v>4.7</v>
      </c>
      <c r="BX3714">
        <v>48.9</v>
      </c>
      <c r="BY3714">
        <v>168.55</v>
      </c>
      <c r="BZ3714">
        <v>120.3</v>
      </c>
      <c r="CA3714">
        <v>16.89</v>
      </c>
      <c r="CB3714">
        <v>-3.27</v>
      </c>
      <c r="CC3714">
        <v>16.98</v>
      </c>
      <c r="CD3714">
        <v>13.06</v>
      </c>
      <c r="CE3714">
        <v>13.01</v>
      </c>
      <c r="CF3714">
        <v>11.07</v>
      </c>
      <c r="CG3714">
        <v>18.23</v>
      </c>
      <c r="CH3714">
        <v>23.33</v>
      </c>
      <c r="CI3714">
        <v>40.700000000000003</v>
      </c>
      <c r="CJ3714">
        <v>49025</v>
      </c>
      <c r="CK3714">
        <v>1460</v>
      </c>
      <c r="CL3714" t="s">
        <v>6596</v>
      </c>
      <c r="CM3714">
        <v>0</v>
      </c>
      <c r="CN3714">
        <v>0</v>
      </c>
      <c r="CO3714">
        <v>4.51</v>
      </c>
      <c r="CP3714">
        <v>14.96</v>
      </c>
      <c r="CQ3714">
        <v>2.0699999999999998</v>
      </c>
      <c r="CR3714">
        <v>0</v>
      </c>
      <c r="CS3714" t="s">
        <v>15238</v>
      </c>
      <c r="CT3714">
        <v>9.68</v>
      </c>
      <c r="CU3714">
        <v>0</v>
      </c>
      <c r="CV3714">
        <v>6.11</v>
      </c>
      <c r="CW3714">
        <v>2.2799999999999998</v>
      </c>
      <c r="CX3714">
        <v>2.92</v>
      </c>
      <c r="CY3714">
        <v>50.93</v>
      </c>
      <c r="CZ3714" t="s">
        <v>15239</v>
      </c>
      <c r="DA3714">
        <v>28.63</v>
      </c>
      <c r="DB3714">
        <v>10.02</v>
      </c>
      <c r="DC3714">
        <v>7.72</v>
      </c>
      <c r="DD3714">
        <v>5.57</v>
      </c>
      <c r="DE3714">
        <v>15157</v>
      </c>
      <c r="DF3714">
        <v>688036</v>
      </c>
      <c r="DG3714" t="s">
        <v>116</v>
      </c>
      <c r="DH3714" t="s">
        <v>116</v>
      </c>
      <c r="DI3714" t="s">
        <v>116</v>
      </c>
    </row>
    <row r="3715" spans="1:113" x14ac:dyDescent="0.4">
      <c r="A3715" t="str">
        <f>"688037"</f>
        <v>688037</v>
      </c>
      <c r="B3715" t="s">
        <v>15240</v>
      </c>
      <c r="C3715">
        <v>1.1599999999999999</v>
      </c>
      <c r="D3715">
        <v>79.62</v>
      </c>
      <c r="E3715">
        <v>0.91</v>
      </c>
      <c r="F3715">
        <v>79.62</v>
      </c>
      <c r="G3715">
        <v>79.63</v>
      </c>
      <c r="H3715">
        <v>61572</v>
      </c>
      <c r="I3715">
        <v>871</v>
      </c>
      <c r="J3715">
        <v>0.78</v>
      </c>
      <c r="K3715">
        <v>34.82</v>
      </c>
      <c r="L3715">
        <v>78.2</v>
      </c>
      <c r="M3715">
        <v>86</v>
      </c>
      <c r="N3715">
        <v>76.2</v>
      </c>
      <c r="O3715">
        <v>78.709999999999994</v>
      </c>
      <c r="P3715">
        <v>5457.58</v>
      </c>
      <c r="Q3715">
        <v>495969984</v>
      </c>
      <c r="R3715">
        <v>1.08</v>
      </c>
      <c r="S3715" t="s">
        <v>3507</v>
      </c>
      <c r="T3715" t="s">
        <v>434</v>
      </c>
      <c r="U3715">
        <v>12.45</v>
      </c>
      <c r="V3715">
        <v>80.55</v>
      </c>
      <c r="W3715">
        <v>29498</v>
      </c>
      <c r="X3715">
        <v>32077</v>
      </c>
      <c r="Y3715">
        <v>0.92</v>
      </c>
      <c r="Z3715">
        <v>157</v>
      </c>
      <c r="AA3715">
        <v>181</v>
      </c>
      <c r="AB3715" t="s">
        <v>116</v>
      </c>
      <c r="AC3715">
        <v>2194000</v>
      </c>
      <c r="AD3715">
        <v>0.16</v>
      </c>
      <c r="AE3715" t="s">
        <v>116</v>
      </c>
      <c r="AF3715" t="s">
        <v>116</v>
      </c>
      <c r="AG3715">
        <v>0.18</v>
      </c>
      <c r="AH3715" t="s">
        <v>2572</v>
      </c>
      <c r="AI3715" t="s">
        <v>15241</v>
      </c>
      <c r="AJ3715">
        <v>1.23</v>
      </c>
      <c r="AK3715">
        <v>2919</v>
      </c>
      <c r="AL3715">
        <v>21</v>
      </c>
      <c r="AM3715">
        <v>1.1900000000000001E-2</v>
      </c>
      <c r="AN3715">
        <v>1</v>
      </c>
      <c r="AO3715">
        <v>17.100000000000001</v>
      </c>
      <c r="AP3715">
        <v>195.22</v>
      </c>
      <c r="AQ3715">
        <v>195.22</v>
      </c>
      <c r="AR3715">
        <v>195.22</v>
      </c>
      <c r="AS3715">
        <v>34.82</v>
      </c>
      <c r="AT3715" t="s">
        <v>2572</v>
      </c>
      <c r="AU3715">
        <v>237.12</v>
      </c>
      <c r="AV3715">
        <v>219.44</v>
      </c>
      <c r="AW3715">
        <v>0</v>
      </c>
      <c r="BA3715">
        <v>-0.65</v>
      </c>
      <c r="BB3715">
        <v>9.26</v>
      </c>
      <c r="BC3715">
        <v>-3.19</v>
      </c>
      <c r="BD3715">
        <v>2.34</v>
      </c>
      <c r="BE3715">
        <v>1.82</v>
      </c>
      <c r="BF3715">
        <v>-7.42</v>
      </c>
      <c r="BG3715">
        <v>4.49</v>
      </c>
      <c r="BH3715">
        <v>-1.18</v>
      </c>
      <c r="BI3715">
        <v>20191215</v>
      </c>
      <c r="BJ3715">
        <v>20191216</v>
      </c>
      <c r="BK3715">
        <v>0.84</v>
      </c>
      <c r="BL3715" t="s">
        <v>116</v>
      </c>
      <c r="BM3715" t="s">
        <v>116</v>
      </c>
      <c r="BN3715">
        <v>3.73</v>
      </c>
      <c r="BO3715">
        <v>2.21</v>
      </c>
      <c r="BP3715">
        <v>0</v>
      </c>
      <c r="BQ3715">
        <v>40.75</v>
      </c>
      <c r="BR3715">
        <v>2.72</v>
      </c>
      <c r="BS3715">
        <v>0.76</v>
      </c>
      <c r="BT3715">
        <v>0.06</v>
      </c>
      <c r="BU3715">
        <v>1.1499999999999999</v>
      </c>
      <c r="BV3715">
        <v>1.58</v>
      </c>
      <c r="BW3715">
        <v>0.56999999999999995</v>
      </c>
      <c r="BX3715">
        <v>1.57</v>
      </c>
      <c r="BY3715">
        <v>0.96</v>
      </c>
      <c r="BZ3715">
        <v>0.52</v>
      </c>
      <c r="CA3715">
        <v>-0.02</v>
      </c>
      <c r="CB3715">
        <v>0</v>
      </c>
      <c r="CC3715">
        <v>-0.01</v>
      </c>
      <c r="CD3715">
        <v>0.01</v>
      </c>
      <c r="CE3715">
        <v>0.01</v>
      </c>
      <c r="CF3715">
        <v>-0.06</v>
      </c>
      <c r="CG3715">
        <v>0.01</v>
      </c>
      <c r="CH3715">
        <v>-0.01</v>
      </c>
      <c r="CI3715">
        <v>-0.4</v>
      </c>
      <c r="CJ3715">
        <v>18363</v>
      </c>
      <c r="CK3715">
        <v>963</v>
      </c>
      <c r="CL3715" t="s">
        <v>5279</v>
      </c>
      <c r="CM3715">
        <v>0</v>
      </c>
      <c r="CN3715">
        <v>0</v>
      </c>
      <c r="CO3715">
        <v>9.2100000000000009</v>
      </c>
      <c r="CP3715">
        <v>-8133.38</v>
      </c>
      <c r="CQ3715">
        <v>69.88</v>
      </c>
      <c r="CR3715">
        <v>0</v>
      </c>
      <c r="CS3715" t="s">
        <v>3700</v>
      </c>
      <c r="CT3715">
        <v>8.65</v>
      </c>
      <c r="CU3715">
        <v>8.65</v>
      </c>
      <c r="CV3715">
        <v>1.87</v>
      </c>
      <c r="CW3715">
        <v>0.01</v>
      </c>
      <c r="CX3715">
        <v>-0.01</v>
      </c>
      <c r="CY3715">
        <v>59.25</v>
      </c>
      <c r="CZ3715" t="s">
        <v>7894</v>
      </c>
      <c r="DA3715">
        <v>45.59</v>
      </c>
      <c r="DB3715">
        <v>-2.12</v>
      </c>
      <c r="DC3715">
        <v>0.96</v>
      </c>
      <c r="DD3715">
        <v>0.23</v>
      </c>
      <c r="DE3715">
        <v>253</v>
      </c>
      <c r="DF3715">
        <v>688037</v>
      </c>
      <c r="DG3715" t="s">
        <v>116</v>
      </c>
      <c r="DH3715" t="s">
        <v>116</v>
      </c>
      <c r="DI3715" t="s">
        <v>116</v>
      </c>
    </row>
    <row r="3716" spans="1:113" x14ac:dyDescent="0.4">
      <c r="A3716" t="str">
        <f>"688039"</f>
        <v>688039</v>
      </c>
      <c r="B3716" t="s">
        <v>15242</v>
      </c>
      <c r="C3716">
        <v>1.18</v>
      </c>
      <c r="D3716">
        <v>87.63</v>
      </c>
      <c r="E3716">
        <v>1.02</v>
      </c>
      <c r="F3716">
        <v>87.63</v>
      </c>
      <c r="G3716">
        <v>87.77</v>
      </c>
      <c r="H3716">
        <v>18931</v>
      </c>
      <c r="I3716">
        <v>132</v>
      </c>
      <c r="J3716">
        <v>-0.52</v>
      </c>
      <c r="K3716">
        <v>11.5</v>
      </c>
      <c r="L3716">
        <v>85</v>
      </c>
      <c r="M3716">
        <v>91.23</v>
      </c>
      <c r="N3716">
        <v>85</v>
      </c>
      <c r="O3716">
        <v>86.61</v>
      </c>
      <c r="P3716">
        <v>316.8</v>
      </c>
      <c r="Q3716">
        <v>167682592</v>
      </c>
      <c r="R3716">
        <v>0.72</v>
      </c>
      <c r="S3716" t="s">
        <v>607</v>
      </c>
      <c r="T3716" t="s">
        <v>590</v>
      </c>
      <c r="U3716">
        <v>7.19</v>
      </c>
      <c r="V3716">
        <v>88.57</v>
      </c>
      <c r="W3716">
        <v>9026</v>
      </c>
      <c r="X3716">
        <v>9905</v>
      </c>
      <c r="Y3716">
        <v>0.91</v>
      </c>
      <c r="Z3716">
        <v>3</v>
      </c>
      <c r="AA3716">
        <v>10</v>
      </c>
      <c r="AB3716" t="s">
        <v>116</v>
      </c>
      <c r="AC3716">
        <v>3631600</v>
      </c>
      <c r="AD3716">
        <v>0.26</v>
      </c>
      <c r="AE3716" t="s">
        <v>116</v>
      </c>
      <c r="AF3716" t="s">
        <v>116</v>
      </c>
      <c r="AG3716">
        <v>0.16</v>
      </c>
      <c r="AH3716" t="s">
        <v>7090</v>
      </c>
      <c r="AI3716" t="s">
        <v>10343</v>
      </c>
      <c r="AJ3716">
        <v>1.25</v>
      </c>
      <c r="AK3716">
        <v>1392</v>
      </c>
      <c r="AL3716">
        <v>14</v>
      </c>
      <c r="AM3716">
        <v>8.3000000000000001E-3</v>
      </c>
      <c r="AN3716">
        <v>1</v>
      </c>
      <c r="AO3716">
        <v>3.68</v>
      </c>
      <c r="AP3716">
        <v>73.59</v>
      </c>
      <c r="AQ3716">
        <v>73.59</v>
      </c>
      <c r="AR3716">
        <v>73.59</v>
      </c>
      <c r="AS3716">
        <v>11.5</v>
      </c>
      <c r="AT3716" t="s">
        <v>7090</v>
      </c>
      <c r="AU3716">
        <v>106.69</v>
      </c>
      <c r="AV3716">
        <v>109.71</v>
      </c>
      <c r="AW3716">
        <v>0</v>
      </c>
      <c r="BA3716">
        <v>-1.86</v>
      </c>
      <c r="BB3716">
        <v>5.33</v>
      </c>
      <c r="BC3716">
        <v>-1.86</v>
      </c>
      <c r="BD3716">
        <v>2.27</v>
      </c>
      <c r="BE3716">
        <v>3.09</v>
      </c>
      <c r="BF3716">
        <v>-3.95</v>
      </c>
      <c r="BG3716">
        <v>3.09</v>
      </c>
      <c r="BH3716">
        <v>-1.0900000000000001</v>
      </c>
      <c r="BI3716">
        <v>20191210</v>
      </c>
      <c r="BJ3716">
        <v>20191211</v>
      </c>
      <c r="BK3716">
        <v>0.8</v>
      </c>
      <c r="BL3716" t="s">
        <v>116</v>
      </c>
      <c r="BM3716" t="s">
        <v>116</v>
      </c>
      <c r="BN3716">
        <v>4.4000000000000004</v>
      </c>
      <c r="BO3716">
        <v>4</v>
      </c>
      <c r="BP3716">
        <v>0</v>
      </c>
      <c r="BQ3716">
        <v>9.11</v>
      </c>
      <c r="BR3716">
        <v>4.18</v>
      </c>
      <c r="BS3716">
        <v>0.04</v>
      </c>
      <c r="BT3716">
        <v>0.14000000000000001</v>
      </c>
      <c r="BU3716">
        <v>0.4</v>
      </c>
      <c r="BV3716">
        <v>0.31</v>
      </c>
      <c r="BW3716">
        <v>1.6</v>
      </c>
      <c r="BX3716">
        <v>2.2000000000000002</v>
      </c>
      <c r="BY3716">
        <v>1.19</v>
      </c>
      <c r="BZ3716">
        <v>0.48</v>
      </c>
      <c r="CA3716">
        <v>0.19</v>
      </c>
      <c r="CB3716">
        <v>0</v>
      </c>
      <c r="CC3716">
        <v>0.19</v>
      </c>
      <c r="CD3716">
        <v>0.17</v>
      </c>
      <c r="CE3716">
        <v>0.17</v>
      </c>
      <c r="CF3716">
        <v>0.14000000000000001</v>
      </c>
      <c r="CG3716">
        <v>1.0900000000000001</v>
      </c>
      <c r="CH3716">
        <v>-0.45</v>
      </c>
      <c r="CI3716">
        <v>-2.4700000000000002</v>
      </c>
      <c r="CJ3716">
        <v>17288</v>
      </c>
      <c r="CK3716">
        <v>953</v>
      </c>
      <c r="CL3716" t="s">
        <v>3190</v>
      </c>
      <c r="CM3716">
        <v>0</v>
      </c>
      <c r="CN3716">
        <v>0</v>
      </c>
      <c r="CO3716">
        <v>5.27</v>
      </c>
      <c r="CP3716">
        <v>-155.76</v>
      </c>
      <c r="CQ3716">
        <v>59.15</v>
      </c>
      <c r="CR3716">
        <v>0</v>
      </c>
      <c r="CS3716" t="s">
        <v>2782</v>
      </c>
      <c r="CT3716">
        <v>16.62</v>
      </c>
      <c r="CU3716">
        <v>16.62</v>
      </c>
      <c r="CV3716">
        <v>2.76</v>
      </c>
      <c r="CW3716">
        <v>1.36</v>
      </c>
      <c r="CX3716">
        <v>-0.56000000000000005</v>
      </c>
      <c r="CY3716">
        <v>90.89</v>
      </c>
      <c r="CZ3716" t="s">
        <v>4326</v>
      </c>
      <c r="DA3716">
        <v>59.82</v>
      </c>
      <c r="DB3716">
        <v>16.010000000000002</v>
      </c>
      <c r="DC3716">
        <v>14</v>
      </c>
      <c r="DD3716">
        <v>0.34</v>
      </c>
      <c r="DE3716">
        <v>226</v>
      </c>
      <c r="DF3716">
        <v>688039</v>
      </c>
      <c r="DG3716" t="s">
        <v>116</v>
      </c>
      <c r="DH3716" t="s">
        <v>116</v>
      </c>
      <c r="DI3716" t="s">
        <v>116</v>
      </c>
    </row>
    <row r="3717" spans="1:113" x14ac:dyDescent="0.4">
      <c r="A3717" t="str">
        <f>"688058"</f>
        <v>688058</v>
      </c>
      <c r="B3717" t="s">
        <v>15243</v>
      </c>
      <c r="C3717">
        <v>-2.48</v>
      </c>
      <c r="D3717">
        <v>98.93</v>
      </c>
      <c r="E3717">
        <v>-2.52</v>
      </c>
      <c r="F3717">
        <v>98.93</v>
      </c>
      <c r="G3717">
        <v>99</v>
      </c>
      <c r="H3717">
        <v>7279</v>
      </c>
      <c r="I3717">
        <v>170</v>
      </c>
      <c r="J3717">
        <v>0.09</v>
      </c>
      <c r="K3717">
        <v>8</v>
      </c>
      <c r="L3717">
        <v>101.45</v>
      </c>
      <c r="M3717">
        <v>103.8</v>
      </c>
      <c r="N3717">
        <v>98.83</v>
      </c>
      <c r="O3717">
        <v>101.45</v>
      </c>
      <c r="P3717">
        <v>140.77000000000001</v>
      </c>
      <c r="Q3717">
        <v>73853264</v>
      </c>
      <c r="R3717">
        <v>0.76</v>
      </c>
      <c r="S3717" t="s">
        <v>607</v>
      </c>
      <c r="T3717" t="s">
        <v>165</v>
      </c>
      <c r="U3717">
        <v>4.9000000000000004</v>
      </c>
      <c r="V3717">
        <v>101.46</v>
      </c>
      <c r="W3717">
        <v>4102</v>
      </c>
      <c r="X3717">
        <v>3177</v>
      </c>
      <c r="Y3717">
        <v>1.29</v>
      </c>
      <c r="Z3717">
        <v>3</v>
      </c>
      <c r="AA3717">
        <v>73</v>
      </c>
      <c r="AB3717" t="s">
        <v>116</v>
      </c>
      <c r="AC3717">
        <v>77400</v>
      </c>
      <c r="AD3717">
        <v>0.01</v>
      </c>
      <c r="AE3717" t="s">
        <v>116</v>
      </c>
      <c r="AF3717" t="s">
        <v>116</v>
      </c>
      <c r="AG3717">
        <v>0.09</v>
      </c>
      <c r="AH3717" t="s">
        <v>9314</v>
      </c>
      <c r="AI3717" t="s">
        <v>10848</v>
      </c>
      <c r="AJ3717">
        <v>-2.41</v>
      </c>
      <c r="AK3717">
        <v>1053</v>
      </c>
      <c r="AL3717">
        <v>7</v>
      </c>
      <c r="AM3717">
        <v>7.6E-3</v>
      </c>
      <c r="AN3717">
        <v>-2</v>
      </c>
      <c r="AO3717">
        <v>-2.86</v>
      </c>
      <c r="AP3717">
        <v>-7.0000000000000007E-2</v>
      </c>
      <c r="AQ3717">
        <v>24.75</v>
      </c>
      <c r="AR3717">
        <v>24.75</v>
      </c>
      <c r="AS3717">
        <v>8</v>
      </c>
      <c r="AT3717" t="s">
        <v>9314</v>
      </c>
      <c r="AU3717">
        <v>71.680000000000007</v>
      </c>
      <c r="AV3717">
        <v>76.92</v>
      </c>
      <c r="AW3717">
        <v>0</v>
      </c>
      <c r="BA3717">
        <v>0</v>
      </c>
      <c r="BB3717">
        <v>2.3199999999999998</v>
      </c>
      <c r="BC3717">
        <v>-2.58</v>
      </c>
      <c r="BD3717">
        <v>0.01</v>
      </c>
      <c r="BE3717">
        <v>-2.48</v>
      </c>
      <c r="BF3717">
        <v>-4.6900000000000004</v>
      </c>
      <c r="BG3717">
        <v>0.1</v>
      </c>
      <c r="BH3717">
        <v>-2.4900000000000002</v>
      </c>
      <c r="BI3717">
        <v>20191031</v>
      </c>
      <c r="BJ3717">
        <v>20191101</v>
      </c>
      <c r="BK3717">
        <v>0.4</v>
      </c>
      <c r="BL3717" t="s">
        <v>116</v>
      </c>
      <c r="BM3717" t="s">
        <v>116</v>
      </c>
      <c r="BN3717">
        <v>1.98</v>
      </c>
      <c r="BO3717">
        <v>1.89</v>
      </c>
      <c r="BP3717">
        <v>0.01</v>
      </c>
      <c r="BQ3717">
        <v>3.93</v>
      </c>
      <c r="BR3717">
        <v>1.8</v>
      </c>
      <c r="BS3717">
        <v>0.02</v>
      </c>
      <c r="BT3717">
        <v>0</v>
      </c>
      <c r="BU3717">
        <v>0.08</v>
      </c>
      <c r="BV3717">
        <v>0.1</v>
      </c>
      <c r="BW3717">
        <v>0.92</v>
      </c>
      <c r="BX3717">
        <v>0.15</v>
      </c>
      <c r="BY3717">
        <v>0.72</v>
      </c>
      <c r="BZ3717">
        <v>0</v>
      </c>
      <c r="CA3717">
        <v>0.23</v>
      </c>
      <c r="CB3717">
        <v>0</v>
      </c>
      <c r="CC3717">
        <v>0.23</v>
      </c>
      <c r="CD3717">
        <v>0.19</v>
      </c>
      <c r="CE3717">
        <v>0.21</v>
      </c>
      <c r="CF3717">
        <v>0.21</v>
      </c>
      <c r="CG3717">
        <v>1.3</v>
      </c>
      <c r="CH3717">
        <v>0.1</v>
      </c>
      <c r="CI3717">
        <v>0.1</v>
      </c>
      <c r="CJ3717">
        <v>11488</v>
      </c>
      <c r="CK3717">
        <v>792</v>
      </c>
      <c r="CL3717" t="s">
        <v>7133</v>
      </c>
      <c r="CM3717">
        <v>0</v>
      </c>
      <c r="CN3717">
        <v>0</v>
      </c>
      <c r="CO3717">
        <v>4.4000000000000004</v>
      </c>
      <c r="CP3717">
        <v>409.35</v>
      </c>
      <c r="CQ3717">
        <v>54.81</v>
      </c>
      <c r="CR3717">
        <v>0</v>
      </c>
      <c r="CS3717" t="s">
        <v>15244</v>
      </c>
      <c r="CT3717">
        <v>22.48</v>
      </c>
      <c r="CU3717">
        <v>22.48</v>
      </c>
      <c r="CV3717">
        <v>0.39</v>
      </c>
      <c r="CW3717">
        <v>3.24</v>
      </c>
      <c r="CX3717">
        <v>0.24</v>
      </c>
      <c r="CY3717">
        <v>95.32</v>
      </c>
      <c r="CZ3717" t="s">
        <v>6681</v>
      </c>
      <c r="DA3717" t="s">
        <v>116</v>
      </c>
      <c r="DB3717">
        <v>31.28</v>
      </c>
      <c r="DC3717">
        <v>29.2</v>
      </c>
      <c r="DD3717">
        <v>0.24</v>
      </c>
      <c r="DE3717">
        <v>235</v>
      </c>
      <c r="DF3717">
        <v>688058</v>
      </c>
      <c r="DG3717" t="s">
        <v>116</v>
      </c>
      <c r="DH3717" t="s">
        <v>116</v>
      </c>
      <c r="DI3717" t="s">
        <v>116</v>
      </c>
    </row>
    <row r="3718" spans="1:113" x14ac:dyDescent="0.4">
      <c r="A3718" t="str">
        <f>"688066"</f>
        <v>688066</v>
      </c>
      <c r="B3718" t="s">
        <v>15245</v>
      </c>
      <c r="C3718">
        <v>1.87</v>
      </c>
      <c r="D3718">
        <v>38.6</v>
      </c>
      <c r="E3718">
        <v>0.71</v>
      </c>
      <c r="F3718">
        <v>38.6</v>
      </c>
      <c r="G3718">
        <v>38.619999999999997</v>
      </c>
      <c r="H3718">
        <v>41600</v>
      </c>
      <c r="I3718">
        <v>358</v>
      </c>
      <c r="J3718">
        <v>-0.38</v>
      </c>
      <c r="K3718">
        <v>11.05</v>
      </c>
      <c r="L3718">
        <v>38.07</v>
      </c>
      <c r="M3718">
        <v>39.979999999999997</v>
      </c>
      <c r="N3718">
        <v>37.9</v>
      </c>
      <c r="O3718">
        <v>37.89</v>
      </c>
      <c r="P3718">
        <v>2184.19</v>
      </c>
      <c r="Q3718">
        <v>163203680</v>
      </c>
      <c r="R3718">
        <v>2.11</v>
      </c>
      <c r="S3718" t="s">
        <v>607</v>
      </c>
      <c r="T3718" t="s">
        <v>165</v>
      </c>
      <c r="U3718">
        <v>5.49</v>
      </c>
      <c r="V3718">
        <v>39.229999999999997</v>
      </c>
      <c r="W3718">
        <v>19362</v>
      </c>
      <c r="X3718">
        <v>22239</v>
      </c>
      <c r="Y3718">
        <v>0.87</v>
      </c>
      <c r="Z3718">
        <v>237</v>
      </c>
      <c r="AA3718">
        <v>5</v>
      </c>
      <c r="AB3718" t="s">
        <v>116</v>
      </c>
      <c r="AC3718">
        <v>0</v>
      </c>
      <c r="AD3718">
        <v>0</v>
      </c>
      <c r="AE3718" t="s">
        <v>116</v>
      </c>
      <c r="AF3718" t="s">
        <v>116</v>
      </c>
      <c r="AG3718">
        <v>0.38</v>
      </c>
      <c r="AH3718" t="s">
        <v>5589</v>
      </c>
      <c r="AI3718" t="s">
        <v>4317</v>
      </c>
      <c r="AJ3718">
        <v>1.95</v>
      </c>
      <c r="AK3718">
        <v>2057</v>
      </c>
      <c r="AL3718">
        <v>20</v>
      </c>
      <c r="AM3718">
        <v>5.4000000000000003E-3</v>
      </c>
      <c r="AN3718">
        <v>4</v>
      </c>
      <c r="AO3718">
        <v>4.66</v>
      </c>
      <c r="AP3718">
        <v>19.95</v>
      </c>
      <c r="AQ3718">
        <v>-22.33</v>
      </c>
      <c r="AR3718">
        <v>123.77</v>
      </c>
      <c r="AS3718">
        <v>11.05</v>
      </c>
      <c r="AT3718" t="s">
        <v>5589</v>
      </c>
      <c r="AU3718">
        <v>47.32</v>
      </c>
      <c r="AV3718">
        <v>100.75</v>
      </c>
      <c r="AW3718">
        <v>1.78</v>
      </c>
      <c r="BA3718">
        <v>0.48</v>
      </c>
      <c r="BB3718">
        <v>5.52</v>
      </c>
      <c r="BC3718">
        <v>0.03</v>
      </c>
      <c r="BD3718">
        <v>3.54</v>
      </c>
      <c r="BE3718">
        <v>1.39</v>
      </c>
      <c r="BF3718">
        <v>-3.45</v>
      </c>
      <c r="BG3718">
        <v>1.85</v>
      </c>
      <c r="BH3718">
        <v>-1.67</v>
      </c>
      <c r="BI3718">
        <v>20191031</v>
      </c>
      <c r="BJ3718">
        <v>20190722</v>
      </c>
      <c r="BK3718">
        <v>1.66</v>
      </c>
      <c r="BL3718" t="s">
        <v>116</v>
      </c>
      <c r="BM3718" t="s">
        <v>116</v>
      </c>
      <c r="BN3718">
        <v>14.58</v>
      </c>
      <c r="BO3718">
        <v>11.23</v>
      </c>
      <c r="BP3718">
        <v>0.01</v>
      </c>
      <c r="BQ3718">
        <v>22.95</v>
      </c>
      <c r="BR3718">
        <v>14.02</v>
      </c>
      <c r="BS3718">
        <v>0.24</v>
      </c>
      <c r="BT3718">
        <v>0.06</v>
      </c>
      <c r="BU3718">
        <v>2.97</v>
      </c>
      <c r="BV3718">
        <v>1.74</v>
      </c>
      <c r="BW3718">
        <v>4.8499999999999996</v>
      </c>
      <c r="BX3718">
        <v>8.1300000000000008</v>
      </c>
      <c r="BY3718">
        <v>2.78</v>
      </c>
      <c r="BZ3718">
        <v>1.17</v>
      </c>
      <c r="CA3718">
        <v>0.04</v>
      </c>
      <c r="CB3718">
        <v>0</v>
      </c>
      <c r="CC3718">
        <v>0.04</v>
      </c>
      <c r="CD3718">
        <v>0.02</v>
      </c>
      <c r="CE3718">
        <v>0.02</v>
      </c>
      <c r="CF3718">
        <v>-0.03</v>
      </c>
      <c r="CG3718">
        <v>1.25</v>
      </c>
      <c r="CH3718">
        <v>-1.85</v>
      </c>
      <c r="CI3718">
        <v>0.11</v>
      </c>
      <c r="CJ3718">
        <v>16522</v>
      </c>
      <c r="CK3718">
        <v>2279</v>
      </c>
      <c r="CL3718" t="s">
        <v>3142</v>
      </c>
      <c r="CM3718">
        <v>0</v>
      </c>
      <c r="CN3718">
        <v>0</v>
      </c>
      <c r="CO3718">
        <v>5.71</v>
      </c>
      <c r="CP3718">
        <v>-34.729999999999997</v>
      </c>
      <c r="CQ3718">
        <v>23.04</v>
      </c>
      <c r="CR3718">
        <v>0</v>
      </c>
      <c r="CS3718" t="s">
        <v>3929</v>
      </c>
      <c r="CT3718">
        <v>6.76</v>
      </c>
      <c r="CU3718">
        <v>0</v>
      </c>
      <c r="CV3718">
        <v>4.9000000000000004</v>
      </c>
      <c r="CW3718">
        <v>0.75</v>
      </c>
      <c r="CX3718">
        <v>-1.1100000000000001</v>
      </c>
      <c r="CY3718">
        <v>76.989999999999995</v>
      </c>
      <c r="CZ3718" t="s">
        <v>5250</v>
      </c>
      <c r="DA3718">
        <v>58.03</v>
      </c>
      <c r="DB3718">
        <v>1.27</v>
      </c>
      <c r="DC3718">
        <v>0.79</v>
      </c>
      <c r="DD3718">
        <v>0.61</v>
      </c>
      <c r="DE3718">
        <v>1136</v>
      </c>
      <c r="DF3718">
        <v>688066</v>
      </c>
      <c r="DG3718" t="s">
        <v>116</v>
      </c>
      <c r="DH3718" t="s">
        <v>116</v>
      </c>
      <c r="DI3718" t="s">
        <v>116</v>
      </c>
    </row>
    <row r="3719" spans="1:113" x14ac:dyDescent="0.4">
      <c r="A3719" t="str">
        <f>"688068"</f>
        <v>688068</v>
      </c>
      <c r="B3719" t="s">
        <v>15246</v>
      </c>
      <c r="C3719">
        <v>-1.0900000000000001</v>
      </c>
      <c r="D3719">
        <v>46.27</v>
      </c>
      <c r="E3719">
        <v>-0.51</v>
      </c>
      <c r="F3719">
        <v>46.26</v>
      </c>
      <c r="G3719">
        <v>46.27</v>
      </c>
      <c r="H3719">
        <v>6665</v>
      </c>
      <c r="I3719">
        <v>44</v>
      </c>
      <c r="J3719">
        <v>-0.48</v>
      </c>
      <c r="K3719">
        <v>4.71</v>
      </c>
      <c r="L3719">
        <v>46.8</v>
      </c>
      <c r="M3719">
        <v>47.35</v>
      </c>
      <c r="N3719">
        <v>46.27</v>
      </c>
      <c r="O3719">
        <v>46.78</v>
      </c>
      <c r="P3719">
        <v>163.18</v>
      </c>
      <c r="Q3719">
        <v>31236844</v>
      </c>
      <c r="R3719">
        <v>0.99</v>
      </c>
      <c r="S3719" t="s">
        <v>559</v>
      </c>
      <c r="T3719" t="s">
        <v>165</v>
      </c>
      <c r="U3719">
        <v>2.31</v>
      </c>
      <c r="V3719">
        <v>46.87</v>
      </c>
      <c r="W3719">
        <v>3991</v>
      </c>
      <c r="X3719">
        <v>2674</v>
      </c>
      <c r="Y3719">
        <v>1.49</v>
      </c>
      <c r="Z3719">
        <v>4</v>
      </c>
      <c r="AA3719">
        <v>5</v>
      </c>
      <c r="AB3719" t="s">
        <v>116</v>
      </c>
      <c r="AC3719">
        <v>121700</v>
      </c>
      <c r="AD3719">
        <v>0.02</v>
      </c>
      <c r="AE3719" t="s">
        <v>116</v>
      </c>
      <c r="AF3719" t="s">
        <v>116</v>
      </c>
      <c r="AG3719">
        <v>0.14000000000000001</v>
      </c>
      <c r="AH3719" t="s">
        <v>9989</v>
      </c>
      <c r="AI3719" t="s">
        <v>1082</v>
      </c>
      <c r="AJ3719">
        <v>-1.01</v>
      </c>
      <c r="AK3719">
        <v>478</v>
      </c>
      <c r="AL3719">
        <v>14</v>
      </c>
      <c r="AM3719">
        <v>9.9000000000000008E-3</v>
      </c>
      <c r="AN3719">
        <v>-1</v>
      </c>
      <c r="AO3719">
        <v>0.81</v>
      </c>
      <c r="AP3719">
        <v>4.78</v>
      </c>
      <c r="AQ3719">
        <v>57.06</v>
      </c>
      <c r="AR3719">
        <v>57.06</v>
      </c>
      <c r="AS3719">
        <v>4.71</v>
      </c>
      <c r="AT3719" t="s">
        <v>9989</v>
      </c>
      <c r="AU3719">
        <v>67.38</v>
      </c>
      <c r="AV3719">
        <v>59.78</v>
      </c>
      <c r="AW3719">
        <v>0</v>
      </c>
      <c r="BA3719">
        <v>0.04</v>
      </c>
      <c r="BB3719">
        <v>1.22</v>
      </c>
      <c r="BC3719">
        <v>-1.0900000000000001</v>
      </c>
      <c r="BD3719">
        <v>0.18</v>
      </c>
      <c r="BE3719">
        <v>-1.1299999999999999</v>
      </c>
      <c r="BF3719">
        <v>-2.2799999999999998</v>
      </c>
      <c r="BG3719">
        <v>0</v>
      </c>
      <c r="BH3719">
        <v>-1.27</v>
      </c>
      <c r="BI3719">
        <v>20191030</v>
      </c>
      <c r="BJ3719">
        <v>20190930</v>
      </c>
      <c r="BK3719">
        <v>0.62</v>
      </c>
      <c r="BL3719" t="s">
        <v>116</v>
      </c>
      <c r="BM3719" t="s">
        <v>116</v>
      </c>
      <c r="BN3719">
        <v>6.98</v>
      </c>
      <c r="BO3719">
        <v>6.25</v>
      </c>
      <c r="BP3719">
        <v>0.01</v>
      </c>
      <c r="BQ3719">
        <v>10.38</v>
      </c>
      <c r="BR3719">
        <v>5.45</v>
      </c>
      <c r="BS3719">
        <v>1.25</v>
      </c>
      <c r="BT3719">
        <v>0.1</v>
      </c>
      <c r="BU3719">
        <v>0.51</v>
      </c>
      <c r="BV3719">
        <v>0.56000000000000005</v>
      </c>
      <c r="BW3719">
        <v>0.22</v>
      </c>
      <c r="BX3719">
        <v>4.46</v>
      </c>
      <c r="BY3719">
        <v>1.38</v>
      </c>
      <c r="BZ3719">
        <v>0.38</v>
      </c>
      <c r="CA3719">
        <v>0.15</v>
      </c>
      <c r="CB3719">
        <v>0</v>
      </c>
      <c r="CC3719">
        <v>0.14000000000000001</v>
      </c>
      <c r="CD3719">
        <v>0.13</v>
      </c>
      <c r="CE3719">
        <v>0.13</v>
      </c>
      <c r="CF3719">
        <v>0.11</v>
      </c>
      <c r="CG3719">
        <v>1.06</v>
      </c>
      <c r="CH3719">
        <v>0.01</v>
      </c>
      <c r="CI3719">
        <v>3.74</v>
      </c>
      <c r="CJ3719">
        <v>10316</v>
      </c>
      <c r="CK3719">
        <v>1371</v>
      </c>
      <c r="CL3719" t="s">
        <v>2372</v>
      </c>
      <c r="CM3719">
        <v>0</v>
      </c>
      <c r="CN3719">
        <v>0</v>
      </c>
      <c r="CO3719">
        <v>4.6100000000000003</v>
      </c>
      <c r="CP3719">
        <v>2998.35</v>
      </c>
      <c r="CQ3719">
        <v>20.88</v>
      </c>
      <c r="CR3719">
        <v>0</v>
      </c>
      <c r="CS3719" t="s">
        <v>2993</v>
      </c>
      <c r="CT3719">
        <v>10.039999999999999</v>
      </c>
      <c r="CU3719">
        <v>0</v>
      </c>
      <c r="CV3719">
        <v>7.17</v>
      </c>
      <c r="CW3719">
        <v>1.71</v>
      </c>
      <c r="CX3719">
        <v>0.02</v>
      </c>
      <c r="CY3719">
        <v>89.49</v>
      </c>
      <c r="CZ3719" t="s">
        <v>10661</v>
      </c>
      <c r="DA3719">
        <v>72.540000000000006</v>
      </c>
      <c r="DB3719">
        <v>10.68</v>
      </c>
      <c r="DC3719">
        <v>9.6</v>
      </c>
      <c r="DD3719">
        <v>0.21</v>
      </c>
      <c r="DE3719">
        <v>573</v>
      </c>
      <c r="DF3719">
        <v>688068</v>
      </c>
      <c r="DG3719" t="s">
        <v>116</v>
      </c>
      <c r="DH3719" t="s">
        <v>116</v>
      </c>
      <c r="DI3719" t="s">
        <v>116</v>
      </c>
    </row>
    <row r="3720" spans="1:113" x14ac:dyDescent="0.4">
      <c r="A3720" t="str">
        <f>"688088"</f>
        <v>688088</v>
      </c>
      <c r="B3720" t="s">
        <v>15247</v>
      </c>
      <c r="C3720">
        <v>-0.54</v>
      </c>
      <c r="D3720">
        <v>47.85</v>
      </c>
      <c r="E3720">
        <v>-0.26</v>
      </c>
      <c r="F3720">
        <v>47.84</v>
      </c>
      <c r="G3720">
        <v>47.85</v>
      </c>
      <c r="H3720">
        <v>15457</v>
      </c>
      <c r="I3720">
        <v>137</v>
      </c>
      <c r="J3720">
        <v>-0.16</v>
      </c>
      <c r="K3720">
        <v>4.07</v>
      </c>
      <c r="L3720">
        <v>48.21</v>
      </c>
      <c r="M3720">
        <v>48.66</v>
      </c>
      <c r="N3720">
        <v>47.6</v>
      </c>
      <c r="O3720">
        <v>48.11</v>
      </c>
      <c r="P3720">
        <v>102.81</v>
      </c>
      <c r="Q3720">
        <v>74581792</v>
      </c>
      <c r="R3720">
        <v>0.66</v>
      </c>
      <c r="S3720" t="s">
        <v>607</v>
      </c>
      <c r="T3720" t="s">
        <v>590</v>
      </c>
      <c r="U3720">
        <v>2.2000000000000002</v>
      </c>
      <c r="V3720">
        <v>48.25</v>
      </c>
      <c r="W3720">
        <v>7794</v>
      </c>
      <c r="X3720">
        <v>7667</v>
      </c>
      <c r="Y3720">
        <v>1.02</v>
      </c>
      <c r="Z3720">
        <v>6</v>
      </c>
      <c r="AA3720">
        <v>79</v>
      </c>
      <c r="AB3720" t="s">
        <v>116</v>
      </c>
      <c r="AC3720">
        <v>77100</v>
      </c>
      <c r="AD3720">
        <v>0</v>
      </c>
      <c r="AE3720" t="s">
        <v>116</v>
      </c>
      <c r="AF3720" t="s">
        <v>116</v>
      </c>
      <c r="AG3720">
        <v>0.38</v>
      </c>
      <c r="AH3720" t="s">
        <v>12646</v>
      </c>
      <c r="AI3720" t="s">
        <v>15248</v>
      </c>
      <c r="AJ3720">
        <v>-0.46</v>
      </c>
      <c r="AK3720">
        <v>1507</v>
      </c>
      <c r="AL3720">
        <v>10</v>
      </c>
      <c r="AM3720">
        <v>2.7000000000000001E-3</v>
      </c>
      <c r="AN3720">
        <v>-2</v>
      </c>
      <c r="AO3720">
        <v>1.18</v>
      </c>
      <c r="AP3720">
        <v>19.420000000000002</v>
      </c>
      <c r="AQ3720">
        <v>-13.63</v>
      </c>
      <c r="AR3720">
        <v>65.69</v>
      </c>
      <c r="AS3720">
        <v>4.07</v>
      </c>
      <c r="AT3720" t="s">
        <v>12646</v>
      </c>
      <c r="AU3720">
        <v>107.45</v>
      </c>
      <c r="AV3720">
        <v>123.31</v>
      </c>
      <c r="AW3720">
        <v>1.6</v>
      </c>
      <c r="BA3720">
        <v>0.21</v>
      </c>
      <c r="BB3720">
        <v>1.1399999999999999</v>
      </c>
      <c r="BC3720">
        <v>-1.06</v>
      </c>
      <c r="BD3720">
        <v>0.28999999999999998</v>
      </c>
      <c r="BE3720">
        <v>-0.75</v>
      </c>
      <c r="BF3720">
        <v>-1.66</v>
      </c>
      <c r="BG3720">
        <v>0.53</v>
      </c>
      <c r="BH3720">
        <v>-0.83</v>
      </c>
      <c r="BI3720">
        <v>20191029</v>
      </c>
      <c r="BJ3720">
        <v>20190722</v>
      </c>
      <c r="BK3720">
        <v>4.0599999999999996</v>
      </c>
      <c r="BL3720" t="s">
        <v>116</v>
      </c>
      <c r="BM3720" t="s">
        <v>116</v>
      </c>
      <c r="BN3720">
        <v>26.8</v>
      </c>
      <c r="BO3720">
        <v>24.32</v>
      </c>
      <c r="BP3720">
        <v>0</v>
      </c>
      <c r="BQ3720">
        <v>9.27</v>
      </c>
      <c r="BR3720">
        <v>26.28</v>
      </c>
      <c r="BS3720">
        <v>0.15</v>
      </c>
      <c r="BT3720">
        <v>0.02</v>
      </c>
      <c r="BU3720">
        <v>2.31</v>
      </c>
      <c r="BV3720">
        <v>0.13</v>
      </c>
      <c r="BW3720">
        <v>1</v>
      </c>
      <c r="BX3720">
        <v>18.71</v>
      </c>
      <c r="BY3720">
        <v>4.13</v>
      </c>
      <c r="BZ3720">
        <v>0.24</v>
      </c>
      <c r="CA3720">
        <v>1.59</v>
      </c>
      <c r="CB3720">
        <v>-0.17</v>
      </c>
      <c r="CC3720">
        <v>1.63</v>
      </c>
      <c r="CD3720">
        <v>1.42</v>
      </c>
      <c r="CE3720">
        <v>1.42</v>
      </c>
      <c r="CF3720">
        <v>1.3</v>
      </c>
      <c r="CG3720">
        <v>1.67</v>
      </c>
      <c r="CH3720">
        <v>1.4</v>
      </c>
      <c r="CI3720">
        <v>-1.31</v>
      </c>
      <c r="CJ3720">
        <v>18197</v>
      </c>
      <c r="CK3720">
        <v>2089</v>
      </c>
      <c r="CL3720" t="s">
        <v>3571</v>
      </c>
      <c r="CM3720">
        <v>0</v>
      </c>
      <c r="CN3720">
        <v>0</v>
      </c>
      <c r="CO3720">
        <v>7.99</v>
      </c>
      <c r="CP3720">
        <v>138.37</v>
      </c>
      <c r="CQ3720">
        <v>47.05</v>
      </c>
      <c r="CR3720">
        <v>0</v>
      </c>
      <c r="CS3720" t="s">
        <v>8566</v>
      </c>
      <c r="CT3720">
        <v>5.99</v>
      </c>
      <c r="CU3720">
        <v>0</v>
      </c>
      <c r="CV3720">
        <v>4.6100000000000003</v>
      </c>
      <c r="CW3720">
        <v>0.41</v>
      </c>
      <c r="CX3720">
        <v>0.35</v>
      </c>
      <c r="CY3720">
        <v>90.73</v>
      </c>
      <c r="CZ3720" t="s">
        <v>2344</v>
      </c>
      <c r="DA3720">
        <v>94.15</v>
      </c>
      <c r="DB3720">
        <v>38.46</v>
      </c>
      <c r="DC3720">
        <v>34.32</v>
      </c>
      <c r="DD3720">
        <v>1.43</v>
      </c>
      <c r="DE3720">
        <v>569</v>
      </c>
      <c r="DF3720">
        <v>688088</v>
      </c>
      <c r="DG3720" t="s">
        <v>116</v>
      </c>
      <c r="DH3720" t="s">
        <v>116</v>
      </c>
      <c r="DI3720" t="s">
        <v>116</v>
      </c>
    </row>
    <row r="3721" spans="1:113" x14ac:dyDescent="0.4">
      <c r="A3721" t="str">
        <f>"688089"</f>
        <v>688089</v>
      </c>
      <c r="B3721" t="s">
        <v>15249</v>
      </c>
      <c r="C3721">
        <v>-0.03</v>
      </c>
      <c r="D3721">
        <v>38.6</v>
      </c>
      <c r="E3721">
        <v>-0.01</v>
      </c>
      <c r="F3721">
        <v>38.58</v>
      </c>
      <c r="G3721">
        <v>38.6</v>
      </c>
      <c r="H3721">
        <v>33025</v>
      </c>
      <c r="I3721">
        <v>874</v>
      </c>
      <c r="J3721">
        <v>0.39</v>
      </c>
      <c r="K3721">
        <v>12.91</v>
      </c>
      <c r="L3721">
        <v>38.5</v>
      </c>
      <c r="M3721">
        <v>39.299999999999997</v>
      </c>
      <c r="N3721">
        <v>38.4</v>
      </c>
      <c r="O3721">
        <v>38.61</v>
      </c>
      <c r="P3721">
        <v>36.19</v>
      </c>
      <c r="Q3721">
        <v>127956936</v>
      </c>
      <c r="R3721">
        <v>0.42</v>
      </c>
      <c r="S3721" t="s">
        <v>863</v>
      </c>
      <c r="T3721" t="s">
        <v>774</v>
      </c>
      <c r="U3721">
        <v>2.33</v>
      </c>
      <c r="V3721">
        <v>38.75</v>
      </c>
      <c r="W3721">
        <v>18779</v>
      </c>
      <c r="X3721">
        <v>14246</v>
      </c>
      <c r="Y3721">
        <v>1.32</v>
      </c>
      <c r="Z3721">
        <v>2</v>
      </c>
      <c r="AA3721">
        <v>344</v>
      </c>
      <c r="AB3721" t="s">
        <v>116</v>
      </c>
      <c r="AC3721">
        <v>868700</v>
      </c>
      <c r="AD3721">
        <v>0.09</v>
      </c>
      <c r="AE3721" t="s">
        <v>116</v>
      </c>
      <c r="AF3721" t="s">
        <v>116</v>
      </c>
      <c r="AG3721">
        <v>0.26</v>
      </c>
      <c r="AH3721" t="s">
        <v>15250</v>
      </c>
      <c r="AI3721" t="s">
        <v>2272</v>
      </c>
      <c r="AJ3721">
        <v>0.05</v>
      </c>
      <c r="AK3721">
        <v>1675</v>
      </c>
      <c r="AL3721">
        <v>20</v>
      </c>
      <c r="AM3721">
        <v>7.7000000000000002E-3</v>
      </c>
      <c r="AN3721">
        <v>-3</v>
      </c>
      <c r="AO3721">
        <v>-3.93</v>
      </c>
      <c r="AP3721">
        <v>61.51</v>
      </c>
      <c r="AQ3721">
        <v>61.51</v>
      </c>
      <c r="AR3721">
        <v>61.51</v>
      </c>
      <c r="AS3721">
        <v>12.91</v>
      </c>
      <c r="AT3721" t="s">
        <v>15250</v>
      </c>
      <c r="AU3721">
        <v>47.76</v>
      </c>
      <c r="AV3721">
        <v>47.76</v>
      </c>
      <c r="AW3721">
        <v>0</v>
      </c>
      <c r="BA3721">
        <v>-0.28000000000000003</v>
      </c>
      <c r="BB3721">
        <v>1.79</v>
      </c>
      <c r="BC3721">
        <v>-0.54</v>
      </c>
      <c r="BD3721">
        <v>0.35</v>
      </c>
      <c r="BE3721">
        <v>0.26</v>
      </c>
      <c r="BF3721">
        <v>-1.78</v>
      </c>
      <c r="BG3721">
        <v>0.52</v>
      </c>
      <c r="BH3721">
        <v>-0.38</v>
      </c>
      <c r="BI3721">
        <v>20191218</v>
      </c>
      <c r="BJ3721">
        <v>20191219</v>
      </c>
      <c r="BK3721">
        <v>1.2</v>
      </c>
      <c r="BL3721" t="s">
        <v>116</v>
      </c>
      <c r="BM3721" t="s">
        <v>116</v>
      </c>
      <c r="BN3721">
        <v>6.27</v>
      </c>
      <c r="BO3721">
        <v>5.78</v>
      </c>
      <c r="BP3721">
        <v>0</v>
      </c>
      <c r="BQ3721">
        <v>7.69</v>
      </c>
      <c r="BR3721">
        <v>4.29</v>
      </c>
      <c r="BS3721">
        <v>0</v>
      </c>
      <c r="BT3721">
        <v>0</v>
      </c>
      <c r="BU3721">
        <v>0.4</v>
      </c>
      <c r="BV3721">
        <v>0</v>
      </c>
      <c r="BW3721">
        <v>0</v>
      </c>
      <c r="BX3721">
        <v>0</v>
      </c>
      <c r="BY3721">
        <v>2.31</v>
      </c>
      <c r="BZ3721">
        <v>0</v>
      </c>
      <c r="CA3721">
        <v>0.83</v>
      </c>
      <c r="CB3721">
        <v>0</v>
      </c>
      <c r="CC3721">
        <v>1.1299999999999999</v>
      </c>
      <c r="CD3721">
        <v>1.1299999999999999</v>
      </c>
      <c r="CE3721">
        <v>0.96</v>
      </c>
      <c r="CF3721">
        <v>0.4</v>
      </c>
      <c r="CG3721">
        <v>0</v>
      </c>
      <c r="CH3721">
        <v>0.73</v>
      </c>
      <c r="CI3721">
        <v>0.19</v>
      </c>
      <c r="CJ3721">
        <v>24113</v>
      </c>
      <c r="CK3721">
        <v>1061</v>
      </c>
      <c r="CL3721" t="s">
        <v>950</v>
      </c>
      <c r="CM3721">
        <v>0</v>
      </c>
      <c r="CN3721">
        <v>0</v>
      </c>
      <c r="CO3721">
        <v>3.78</v>
      </c>
      <c r="CP3721">
        <v>63.35</v>
      </c>
      <c r="CQ3721">
        <v>20.04</v>
      </c>
      <c r="CR3721">
        <v>0</v>
      </c>
      <c r="CS3721" t="s">
        <v>4039</v>
      </c>
      <c r="CT3721">
        <v>10.220000000000001</v>
      </c>
      <c r="CU3721">
        <v>10.220000000000001</v>
      </c>
      <c r="CV3721">
        <v>0</v>
      </c>
      <c r="CW3721">
        <v>0</v>
      </c>
      <c r="CX3721">
        <v>0.61</v>
      </c>
      <c r="CY3721">
        <v>92.24</v>
      </c>
      <c r="CZ3721" t="s">
        <v>14511</v>
      </c>
      <c r="DA3721" t="s">
        <v>116</v>
      </c>
      <c r="DB3721">
        <v>35.72</v>
      </c>
      <c r="DC3721">
        <v>41.53</v>
      </c>
      <c r="DD3721">
        <v>0.08</v>
      </c>
      <c r="DE3721">
        <v>352</v>
      </c>
      <c r="DF3721">
        <v>688089</v>
      </c>
      <c r="DG3721" t="s">
        <v>116</v>
      </c>
      <c r="DH3721" t="s">
        <v>116</v>
      </c>
      <c r="DI3721" t="s">
        <v>116</v>
      </c>
    </row>
    <row r="3722" spans="1:113" x14ac:dyDescent="0.4">
      <c r="A3722" t="str">
        <f>"688098"</f>
        <v>688098</v>
      </c>
      <c r="B3722" t="s">
        <v>15251</v>
      </c>
      <c r="C3722">
        <v>-2.86</v>
      </c>
      <c r="D3722">
        <v>16.28</v>
      </c>
      <c r="E3722">
        <v>-0.48</v>
      </c>
      <c r="F3722">
        <v>16.28</v>
      </c>
      <c r="G3722">
        <v>16.29</v>
      </c>
      <c r="H3722">
        <v>35870</v>
      </c>
      <c r="I3722">
        <v>512</v>
      </c>
      <c r="J3722">
        <v>0</v>
      </c>
      <c r="K3722">
        <v>7.94</v>
      </c>
      <c r="L3722">
        <v>16.78</v>
      </c>
      <c r="M3722">
        <v>16.96</v>
      </c>
      <c r="N3722">
        <v>16.260000000000002</v>
      </c>
      <c r="O3722">
        <v>16.760000000000002</v>
      </c>
      <c r="P3722">
        <v>64.86</v>
      </c>
      <c r="Q3722">
        <v>59620116</v>
      </c>
      <c r="R3722">
        <v>0.94</v>
      </c>
      <c r="S3722" t="s">
        <v>132</v>
      </c>
      <c r="T3722" t="s">
        <v>1653</v>
      </c>
      <c r="U3722">
        <v>4.18</v>
      </c>
      <c r="V3722">
        <v>16.62</v>
      </c>
      <c r="W3722">
        <v>22651</v>
      </c>
      <c r="X3722">
        <v>13220</v>
      </c>
      <c r="Y3722">
        <v>1.71</v>
      </c>
      <c r="Z3722">
        <v>2</v>
      </c>
      <c r="AA3722">
        <v>10</v>
      </c>
      <c r="AB3722" t="s">
        <v>116</v>
      </c>
      <c r="AC3722">
        <v>33600</v>
      </c>
      <c r="AD3722">
        <v>0</v>
      </c>
      <c r="AE3722" t="s">
        <v>116</v>
      </c>
      <c r="AF3722" t="s">
        <v>116</v>
      </c>
      <c r="AG3722">
        <v>0.45</v>
      </c>
      <c r="AH3722" t="s">
        <v>9783</v>
      </c>
      <c r="AI3722" t="s">
        <v>4274</v>
      </c>
      <c r="AJ3722">
        <v>-2.79</v>
      </c>
      <c r="AK3722">
        <v>1276</v>
      </c>
      <c r="AL3722">
        <v>28</v>
      </c>
      <c r="AM3722">
        <v>6.1999999999999998E-3</v>
      </c>
      <c r="AN3722">
        <v>-1</v>
      </c>
      <c r="AO3722">
        <v>0.49</v>
      </c>
      <c r="AP3722">
        <v>2.52</v>
      </c>
      <c r="AQ3722">
        <v>85</v>
      </c>
      <c r="AR3722">
        <v>85</v>
      </c>
      <c r="AS3722">
        <v>7.94</v>
      </c>
      <c r="AT3722" t="s">
        <v>9783</v>
      </c>
      <c r="AU3722">
        <v>80.260000000000005</v>
      </c>
      <c r="AV3722">
        <v>76.16</v>
      </c>
      <c r="AW3722">
        <v>0</v>
      </c>
      <c r="BA3722">
        <v>0.12</v>
      </c>
      <c r="BB3722">
        <v>1.19</v>
      </c>
      <c r="BC3722">
        <v>-2.98</v>
      </c>
      <c r="BD3722">
        <v>-0.83</v>
      </c>
      <c r="BE3722">
        <v>-2.98</v>
      </c>
      <c r="BF3722">
        <v>-4.01</v>
      </c>
      <c r="BG3722">
        <v>0.12</v>
      </c>
      <c r="BH3722">
        <v>-2.0299999999999998</v>
      </c>
      <c r="BI3722">
        <v>20191027</v>
      </c>
      <c r="BJ3722">
        <v>20191028</v>
      </c>
      <c r="BK3722">
        <v>4.0999999999999996</v>
      </c>
      <c r="BL3722" t="s">
        <v>116</v>
      </c>
      <c r="BM3722" t="s">
        <v>116</v>
      </c>
      <c r="BN3722">
        <v>10.48</v>
      </c>
      <c r="BO3722">
        <v>8.8000000000000007</v>
      </c>
      <c r="BP3722">
        <v>0</v>
      </c>
      <c r="BQ3722">
        <v>15.98</v>
      </c>
      <c r="BR3722">
        <v>4.83</v>
      </c>
      <c r="BS3722">
        <v>1.91</v>
      </c>
      <c r="BT3722">
        <v>0.34</v>
      </c>
      <c r="BU3722">
        <v>1.45</v>
      </c>
      <c r="BV3722">
        <v>0.48</v>
      </c>
      <c r="BW3722">
        <v>1.86</v>
      </c>
      <c r="BX3722">
        <v>1.71</v>
      </c>
      <c r="BY3722">
        <v>2.2599999999999998</v>
      </c>
      <c r="BZ3722">
        <v>0.41</v>
      </c>
      <c r="CA3722">
        <v>0.9</v>
      </c>
      <c r="CB3722">
        <v>0.02</v>
      </c>
      <c r="CC3722">
        <v>0.9</v>
      </c>
      <c r="CD3722">
        <v>0.77</v>
      </c>
      <c r="CE3722">
        <v>0.77</v>
      </c>
      <c r="CF3722">
        <v>0.77</v>
      </c>
      <c r="CG3722">
        <v>3.16</v>
      </c>
      <c r="CH3722">
        <v>-0.52</v>
      </c>
      <c r="CI3722">
        <v>-1.47</v>
      </c>
      <c r="CJ3722">
        <v>32032</v>
      </c>
      <c r="CK3722">
        <v>1410</v>
      </c>
      <c r="CL3722" t="s">
        <v>1104</v>
      </c>
      <c r="CM3722">
        <v>0</v>
      </c>
      <c r="CN3722">
        <v>0</v>
      </c>
      <c r="CO3722">
        <v>5.21</v>
      </c>
      <c r="CP3722">
        <v>-128.1</v>
      </c>
      <c r="CQ3722">
        <v>29.55</v>
      </c>
      <c r="CR3722">
        <v>0</v>
      </c>
      <c r="CS3722" t="s">
        <v>3067</v>
      </c>
      <c r="CT3722">
        <v>3.13</v>
      </c>
      <c r="CU3722">
        <v>3.13</v>
      </c>
      <c r="CV3722">
        <v>0.42</v>
      </c>
      <c r="CW3722">
        <v>0.77</v>
      </c>
      <c r="CX3722">
        <v>-0.13</v>
      </c>
      <c r="CY3722">
        <v>84.02</v>
      </c>
      <c r="CZ3722" t="s">
        <v>15252</v>
      </c>
      <c r="DA3722">
        <v>81.99</v>
      </c>
      <c r="DB3722">
        <v>39.83</v>
      </c>
      <c r="DC3722">
        <v>34.17</v>
      </c>
      <c r="DD3722">
        <v>0.18</v>
      </c>
      <c r="DE3722">
        <v>290</v>
      </c>
      <c r="DF3722">
        <v>688098</v>
      </c>
      <c r="DG3722" t="s">
        <v>116</v>
      </c>
      <c r="DH3722" t="s">
        <v>116</v>
      </c>
      <c r="DI3722" t="s">
        <v>116</v>
      </c>
    </row>
    <row r="3723" spans="1:113" x14ac:dyDescent="0.4">
      <c r="A3723" t="str">
        <f>"688099"</f>
        <v>688099</v>
      </c>
      <c r="B3723" t="s">
        <v>15253</v>
      </c>
      <c r="C3723">
        <v>-2.68</v>
      </c>
      <c r="D3723">
        <v>54.79</v>
      </c>
      <c r="E3723">
        <v>-1.51</v>
      </c>
      <c r="F3723">
        <v>54.79</v>
      </c>
      <c r="G3723">
        <v>54.8</v>
      </c>
      <c r="H3723">
        <v>29350</v>
      </c>
      <c r="I3723">
        <v>390</v>
      </c>
      <c r="J3723">
        <v>0.09</v>
      </c>
      <c r="K3723">
        <v>7.86</v>
      </c>
      <c r="L3723">
        <v>56.59</v>
      </c>
      <c r="M3723">
        <v>57.86</v>
      </c>
      <c r="N3723">
        <v>54.6</v>
      </c>
      <c r="O3723">
        <v>56.3</v>
      </c>
      <c r="P3723">
        <v>127.77</v>
      </c>
      <c r="Q3723">
        <v>165535424</v>
      </c>
      <c r="R3723">
        <v>1.31</v>
      </c>
      <c r="S3723" t="s">
        <v>3507</v>
      </c>
      <c r="T3723" t="s">
        <v>1653</v>
      </c>
      <c r="U3723">
        <v>5.79</v>
      </c>
      <c r="V3723">
        <v>56.4</v>
      </c>
      <c r="W3723">
        <v>15465</v>
      </c>
      <c r="X3723">
        <v>13886</v>
      </c>
      <c r="Y3723">
        <v>1.1100000000000001</v>
      </c>
      <c r="Z3723">
        <v>52</v>
      </c>
      <c r="AA3723">
        <v>30</v>
      </c>
      <c r="AB3723" t="s">
        <v>116</v>
      </c>
      <c r="AC3723">
        <v>612400</v>
      </c>
      <c r="AD3723">
        <v>0.03</v>
      </c>
      <c r="AE3723" t="s">
        <v>116</v>
      </c>
      <c r="AF3723" t="s">
        <v>116</v>
      </c>
      <c r="AG3723">
        <v>0.37</v>
      </c>
      <c r="AH3723" t="s">
        <v>1461</v>
      </c>
      <c r="AI3723" t="s">
        <v>15254</v>
      </c>
      <c r="AJ3723">
        <v>-2.61</v>
      </c>
      <c r="AK3723">
        <v>2035</v>
      </c>
      <c r="AL3723">
        <v>14</v>
      </c>
      <c r="AM3723">
        <v>3.8999999999999998E-3</v>
      </c>
      <c r="AN3723">
        <v>-1</v>
      </c>
      <c r="AO3723">
        <v>1.85</v>
      </c>
      <c r="AP3723">
        <v>11.2</v>
      </c>
      <c r="AQ3723">
        <v>-26.55</v>
      </c>
      <c r="AR3723">
        <v>42.31</v>
      </c>
      <c r="AS3723">
        <v>7.86</v>
      </c>
      <c r="AT3723" t="s">
        <v>1461</v>
      </c>
      <c r="AU3723">
        <v>96.87</v>
      </c>
      <c r="AV3723">
        <v>79.73</v>
      </c>
      <c r="AW3723">
        <v>1.39</v>
      </c>
      <c r="BA3723">
        <v>0.52</v>
      </c>
      <c r="BB3723">
        <v>2.77</v>
      </c>
      <c r="BC3723">
        <v>-3.02</v>
      </c>
      <c r="BD3723">
        <v>0.18</v>
      </c>
      <c r="BE3723">
        <v>-3.18</v>
      </c>
      <c r="BF3723">
        <v>-5.31</v>
      </c>
      <c r="BG3723">
        <v>0.35</v>
      </c>
      <c r="BH3723">
        <v>-2.86</v>
      </c>
      <c r="BI3723">
        <v>20191031</v>
      </c>
      <c r="BJ3723">
        <v>20190808</v>
      </c>
      <c r="BK3723">
        <v>4.1100000000000003</v>
      </c>
      <c r="BL3723" t="s">
        <v>116</v>
      </c>
      <c r="BM3723" t="s">
        <v>116</v>
      </c>
      <c r="BN3723">
        <v>31.99</v>
      </c>
      <c r="BO3723">
        <v>27.72</v>
      </c>
      <c r="BP3723">
        <v>0.04</v>
      </c>
      <c r="BQ3723">
        <v>13.22</v>
      </c>
      <c r="BR3723">
        <v>27.23</v>
      </c>
      <c r="BS3723">
        <v>2.0699999999999998</v>
      </c>
      <c r="BT3723">
        <v>0.91</v>
      </c>
      <c r="BU3723">
        <v>3.84</v>
      </c>
      <c r="BV3723">
        <v>5.04</v>
      </c>
      <c r="BW3723">
        <v>2.63</v>
      </c>
      <c r="BX3723">
        <v>19.84</v>
      </c>
      <c r="BY3723">
        <v>17.059999999999999</v>
      </c>
      <c r="BZ3723">
        <v>11.19</v>
      </c>
      <c r="CA3723">
        <v>1.26</v>
      </c>
      <c r="CB3723">
        <v>-0.02</v>
      </c>
      <c r="CC3723">
        <v>1.26</v>
      </c>
      <c r="CD3723">
        <v>1.32</v>
      </c>
      <c r="CE3723">
        <v>1.32</v>
      </c>
      <c r="CF3723">
        <v>1.21</v>
      </c>
      <c r="CG3723">
        <v>3.66</v>
      </c>
      <c r="CH3723">
        <v>1.34</v>
      </c>
      <c r="CI3723">
        <v>6.4</v>
      </c>
      <c r="CJ3723">
        <v>21378</v>
      </c>
      <c r="CK3723">
        <v>1746</v>
      </c>
      <c r="CL3723" t="s">
        <v>7289</v>
      </c>
      <c r="CM3723">
        <v>0</v>
      </c>
      <c r="CN3723">
        <v>0</v>
      </c>
      <c r="CO3723">
        <v>8.1300000000000008</v>
      </c>
      <c r="CP3723">
        <v>168.18</v>
      </c>
      <c r="CQ3723">
        <v>13.2</v>
      </c>
      <c r="CR3723">
        <v>0</v>
      </c>
      <c r="CS3723" t="s">
        <v>6570</v>
      </c>
      <c r="CT3723">
        <v>6.74</v>
      </c>
      <c r="CU3723">
        <v>0</v>
      </c>
      <c r="CV3723">
        <v>4.83</v>
      </c>
      <c r="CW3723">
        <v>0.89</v>
      </c>
      <c r="CX3723">
        <v>0.33</v>
      </c>
      <c r="CY3723">
        <v>86.66</v>
      </c>
      <c r="CZ3723" t="s">
        <v>1507</v>
      </c>
      <c r="DA3723">
        <v>34.43</v>
      </c>
      <c r="DB3723">
        <v>7.41</v>
      </c>
      <c r="DC3723">
        <v>7.75</v>
      </c>
      <c r="DD3723">
        <v>3.46</v>
      </c>
      <c r="DE3723">
        <v>763</v>
      </c>
      <c r="DF3723">
        <v>688099</v>
      </c>
      <c r="DG3723" t="s">
        <v>116</v>
      </c>
      <c r="DH3723" t="s">
        <v>116</v>
      </c>
      <c r="DI3723" t="s">
        <v>116</v>
      </c>
    </row>
    <row r="3724" spans="1:113" x14ac:dyDescent="0.4">
      <c r="A3724" t="str">
        <f>"688101"</f>
        <v>688101</v>
      </c>
      <c r="B3724" t="s">
        <v>15255</v>
      </c>
      <c r="C3724">
        <v>-2.0699999999999998</v>
      </c>
      <c r="D3724">
        <v>19.829999999999998</v>
      </c>
      <c r="E3724">
        <v>-0.42</v>
      </c>
      <c r="F3724">
        <v>19.829999999999998</v>
      </c>
      <c r="G3724">
        <v>19.84</v>
      </c>
      <c r="H3724">
        <v>59134</v>
      </c>
      <c r="I3724">
        <v>663</v>
      </c>
      <c r="J3724">
        <v>-0.09</v>
      </c>
      <c r="K3724">
        <v>7.72</v>
      </c>
      <c r="L3724">
        <v>20.25</v>
      </c>
      <c r="M3724">
        <v>20.309999999999999</v>
      </c>
      <c r="N3724">
        <v>19.79</v>
      </c>
      <c r="O3724">
        <v>20.25</v>
      </c>
      <c r="P3724">
        <v>21.7</v>
      </c>
      <c r="Q3724">
        <v>118430224</v>
      </c>
      <c r="R3724">
        <v>1.03</v>
      </c>
      <c r="S3724" t="s">
        <v>140</v>
      </c>
      <c r="T3724" t="s">
        <v>913</v>
      </c>
      <c r="U3724">
        <v>2.57</v>
      </c>
      <c r="V3724">
        <v>20.03</v>
      </c>
      <c r="W3724">
        <v>38089</v>
      </c>
      <c r="X3724">
        <v>21049</v>
      </c>
      <c r="Y3724">
        <v>1.81</v>
      </c>
      <c r="Z3724">
        <v>60</v>
      </c>
      <c r="AA3724">
        <v>25</v>
      </c>
      <c r="AB3724" t="s">
        <v>116</v>
      </c>
      <c r="AC3724">
        <v>476700</v>
      </c>
      <c r="AD3724">
        <v>0.03</v>
      </c>
      <c r="AE3724" t="s">
        <v>116</v>
      </c>
      <c r="AF3724" t="s">
        <v>116</v>
      </c>
      <c r="AG3724">
        <v>0.77</v>
      </c>
      <c r="AH3724" t="s">
        <v>1242</v>
      </c>
      <c r="AI3724" t="s">
        <v>15256</v>
      </c>
      <c r="AJ3724">
        <v>-2</v>
      </c>
      <c r="AK3724">
        <v>1835</v>
      </c>
      <c r="AL3724">
        <v>32</v>
      </c>
      <c r="AM3724">
        <v>4.1999999999999997E-3</v>
      </c>
      <c r="AN3724">
        <v>-1</v>
      </c>
      <c r="AO3724">
        <v>0.62</v>
      </c>
      <c r="AP3724">
        <v>1.28</v>
      </c>
      <c r="AQ3724">
        <v>8.6</v>
      </c>
      <c r="AR3724">
        <v>8.6</v>
      </c>
      <c r="AS3724">
        <v>7.72</v>
      </c>
      <c r="AT3724" t="s">
        <v>1242</v>
      </c>
      <c r="AU3724">
        <v>24.44</v>
      </c>
      <c r="AV3724">
        <v>36.51</v>
      </c>
      <c r="AW3724">
        <v>0</v>
      </c>
      <c r="BA3724">
        <v>0</v>
      </c>
      <c r="BB3724">
        <v>0.3</v>
      </c>
      <c r="BC3724">
        <v>-2.27</v>
      </c>
      <c r="BD3724">
        <v>-1.1000000000000001</v>
      </c>
      <c r="BE3724">
        <v>-2.0699999999999998</v>
      </c>
      <c r="BF3724">
        <v>-2.36</v>
      </c>
      <c r="BG3724">
        <v>0.2</v>
      </c>
      <c r="BH3724">
        <v>-0.98</v>
      </c>
      <c r="BI3724">
        <v>20191115</v>
      </c>
      <c r="BJ3724">
        <v>20191115</v>
      </c>
      <c r="BK3724">
        <v>3.34</v>
      </c>
      <c r="BL3724" t="s">
        <v>116</v>
      </c>
      <c r="BM3724" t="s">
        <v>116</v>
      </c>
      <c r="BN3724">
        <v>27.04</v>
      </c>
      <c r="BO3724">
        <v>16.46</v>
      </c>
      <c r="BP3724">
        <v>0.28999999999999998</v>
      </c>
      <c r="BQ3724">
        <v>38.04</v>
      </c>
      <c r="BR3724">
        <v>10.66</v>
      </c>
      <c r="BS3724">
        <v>0.43</v>
      </c>
      <c r="BT3724">
        <v>12.95</v>
      </c>
      <c r="BU3724">
        <v>6.7</v>
      </c>
      <c r="BV3724">
        <v>3.01</v>
      </c>
      <c r="BW3724">
        <v>3.78</v>
      </c>
      <c r="BX3724">
        <v>1.3</v>
      </c>
      <c r="BY3724">
        <v>5.25</v>
      </c>
      <c r="BZ3724">
        <v>3.09</v>
      </c>
      <c r="CA3724">
        <v>2.5099999999999998</v>
      </c>
      <c r="CB3724">
        <v>0.37</v>
      </c>
      <c r="CC3724">
        <v>2.69</v>
      </c>
      <c r="CD3724">
        <v>2.2999999999999998</v>
      </c>
      <c r="CE3724">
        <v>2.29</v>
      </c>
      <c r="CF3724">
        <v>1.59</v>
      </c>
      <c r="CG3724">
        <v>11.99</v>
      </c>
      <c r="CH3724">
        <v>2.0299999999999998</v>
      </c>
      <c r="CI3724">
        <v>1.03</v>
      </c>
      <c r="CJ3724">
        <v>67911</v>
      </c>
      <c r="CK3724">
        <v>1128</v>
      </c>
      <c r="CL3724" t="s">
        <v>909</v>
      </c>
      <c r="CM3724">
        <v>0</v>
      </c>
      <c r="CN3724">
        <v>0</v>
      </c>
      <c r="CO3724">
        <v>2.14</v>
      </c>
      <c r="CP3724">
        <v>32.64</v>
      </c>
      <c r="CQ3724">
        <v>12.6</v>
      </c>
      <c r="CR3724">
        <v>0</v>
      </c>
      <c r="CS3724" t="s">
        <v>4624</v>
      </c>
      <c r="CT3724">
        <v>9.27</v>
      </c>
      <c r="CU3724">
        <v>9.27</v>
      </c>
      <c r="CV3724">
        <v>0.39</v>
      </c>
      <c r="CW3724">
        <v>3.59</v>
      </c>
      <c r="CX3724">
        <v>0.61</v>
      </c>
      <c r="CY3724">
        <v>60.87</v>
      </c>
      <c r="CZ3724" t="s">
        <v>15257</v>
      </c>
      <c r="DA3724">
        <v>41.15</v>
      </c>
      <c r="DB3724">
        <v>47.85</v>
      </c>
      <c r="DC3724">
        <v>43.55</v>
      </c>
      <c r="DD3724">
        <v>0.26</v>
      </c>
      <c r="DE3724">
        <v>916</v>
      </c>
      <c r="DF3724">
        <v>688101</v>
      </c>
      <c r="DG3724" t="s">
        <v>116</v>
      </c>
      <c r="DH3724" t="s">
        <v>116</v>
      </c>
      <c r="DI3724" t="s">
        <v>116</v>
      </c>
    </row>
    <row r="3725" spans="1:113" x14ac:dyDescent="0.4">
      <c r="A3725" t="str">
        <f>"688108"</f>
        <v>688108</v>
      </c>
      <c r="B3725" t="s">
        <v>15258</v>
      </c>
      <c r="C3725">
        <v>-3.34</v>
      </c>
      <c r="D3725">
        <v>16.23</v>
      </c>
      <c r="E3725">
        <v>-0.56000000000000005</v>
      </c>
      <c r="F3725">
        <v>16.22</v>
      </c>
      <c r="G3725">
        <v>16.23</v>
      </c>
      <c r="H3725">
        <v>35846</v>
      </c>
      <c r="I3725">
        <v>517</v>
      </c>
      <c r="J3725">
        <v>-0.17</v>
      </c>
      <c r="K3725">
        <v>7.94</v>
      </c>
      <c r="L3725">
        <v>16.91</v>
      </c>
      <c r="M3725">
        <v>16.91</v>
      </c>
      <c r="N3725">
        <v>16.21</v>
      </c>
      <c r="O3725">
        <v>16.79</v>
      </c>
      <c r="P3725">
        <v>75.89</v>
      </c>
      <c r="Q3725">
        <v>59357824</v>
      </c>
      <c r="R3725">
        <v>0.83</v>
      </c>
      <c r="S3725" t="s">
        <v>559</v>
      </c>
      <c r="T3725" t="s">
        <v>1035</v>
      </c>
      <c r="U3725">
        <v>4.17</v>
      </c>
      <c r="V3725">
        <v>16.559999999999999</v>
      </c>
      <c r="W3725">
        <v>23512</v>
      </c>
      <c r="X3725">
        <v>12334</v>
      </c>
      <c r="Y3725">
        <v>1.91</v>
      </c>
      <c r="Z3725">
        <v>141</v>
      </c>
      <c r="AA3725">
        <v>370</v>
      </c>
      <c r="AB3725" t="s">
        <v>116</v>
      </c>
      <c r="AC3725">
        <v>203600</v>
      </c>
      <c r="AD3725">
        <v>0.03</v>
      </c>
      <c r="AE3725" t="s">
        <v>116</v>
      </c>
      <c r="AF3725" t="s">
        <v>116</v>
      </c>
      <c r="AG3725">
        <v>0.45</v>
      </c>
      <c r="AH3725" t="s">
        <v>7228</v>
      </c>
      <c r="AI3725" t="s">
        <v>2485</v>
      </c>
      <c r="AJ3725">
        <v>-3.26</v>
      </c>
      <c r="AK3725">
        <v>1183</v>
      </c>
      <c r="AL3725">
        <v>30</v>
      </c>
      <c r="AM3725">
        <v>6.7000000000000002E-3</v>
      </c>
      <c r="AN3725">
        <v>-1</v>
      </c>
      <c r="AO3725">
        <v>-0.92</v>
      </c>
      <c r="AP3725">
        <v>2.0099999999999998</v>
      </c>
      <c r="AQ3725">
        <v>132.19</v>
      </c>
      <c r="AR3725">
        <v>132.19</v>
      </c>
      <c r="AS3725">
        <v>7.94</v>
      </c>
      <c r="AT3725" t="s">
        <v>7228</v>
      </c>
      <c r="AU3725">
        <v>74.61</v>
      </c>
      <c r="AV3725">
        <v>74.61</v>
      </c>
      <c r="AW3725">
        <v>0</v>
      </c>
      <c r="BA3725">
        <v>0.71</v>
      </c>
      <c r="BB3725">
        <v>0.71</v>
      </c>
      <c r="BC3725">
        <v>-3.45</v>
      </c>
      <c r="BD3725">
        <v>-1.38</v>
      </c>
      <c r="BE3725">
        <v>-4.0199999999999996</v>
      </c>
      <c r="BF3725">
        <v>-4.0199999999999996</v>
      </c>
      <c r="BG3725">
        <v>0.12</v>
      </c>
      <c r="BH3725">
        <v>-1.96</v>
      </c>
      <c r="BI3725">
        <v>20191029</v>
      </c>
      <c r="BJ3725">
        <v>20191030</v>
      </c>
      <c r="BK3725">
        <v>4.0999999999999996</v>
      </c>
      <c r="BL3725" t="s">
        <v>116</v>
      </c>
      <c r="BM3725" t="s">
        <v>116</v>
      </c>
      <c r="BN3725">
        <v>8.65</v>
      </c>
      <c r="BO3725">
        <v>7.68</v>
      </c>
      <c r="BP3725">
        <v>0</v>
      </c>
      <c r="BQ3725">
        <v>11.2</v>
      </c>
      <c r="BR3725">
        <v>5</v>
      </c>
      <c r="BS3725">
        <v>0.81</v>
      </c>
      <c r="BT3725">
        <v>0.24</v>
      </c>
      <c r="BU3725">
        <v>0.72</v>
      </c>
      <c r="BV3725">
        <v>0.73</v>
      </c>
      <c r="BW3725">
        <v>0.78</v>
      </c>
      <c r="BX3725">
        <v>2.88</v>
      </c>
      <c r="BY3725">
        <v>3.1</v>
      </c>
      <c r="BZ3725">
        <v>0.51</v>
      </c>
      <c r="CA3725">
        <v>0.78</v>
      </c>
      <c r="CB3725">
        <v>0</v>
      </c>
      <c r="CC3725">
        <v>0.78</v>
      </c>
      <c r="CD3725">
        <v>0.66</v>
      </c>
      <c r="CE3725">
        <v>0.66</v>
      </c>
      <c r="CF3725">
        <v>0.65</v>
      </c>
      <c r="CG3725">
        <v>1.01</v>
      </c>
      <c r="CH3725">
        <v>0.5</v>
      </c>
      <c r="CI3725">
        <v>-1.03</v>
      </c>
      <c r="CJ3725">
        <v>31956</v>
      </c>
      <c r="CK3725">
        <v>1414</v>
      </c>
      <c r="CL3725" t="s">
        <v>1104</v>
      </c>
      <c r="CM3725">
        <v>0</v>
      </c>
      <c r="CN3725">
        <v>0</v>
      </c>
      <c r="CO3725">
        <v>6.19</v>
      </c>
      <c r="CP3725">
        <v>132.36000000000001</v>
      </c>
      <c r="CQ3725">
        <v>21.46</v>
      </c>
      <c r="CR3725">
        <v>0</v>
      </c>
      <c r="CS3725" t="s">
        <v>7859</v>
      </c>
      <c r="CT3725">
        <v>2.62</v>
      </c>
      <c r="CU3725">
        <v>2.62</v>
      </c>
      <c r="CV3725">
        <v>0.7</v>
      </c>
      <c r="CW3725">
        <v>0.25</v>
      </c>
      <c r="CX3725">
        <v>0.12</v>
      </c>
      <c r="CY3725">
        <v>88.8</v>
      </c>
      <c r="CZ3725" t="s">
        <v>15259</v>
      </c>
      <c r="DA3725">
        <v>83.5</v>
      </c>
      <c r="DB3725">
        <v>25.08</v>
      </c>
      <c r="DC3725">
        <v>21.2</v>
      </c>
      <c r="DD3725">
        <v>0.64</v>
      </c>
      <c r="DE3725">
        <v>471</v>
      </c>
      <c r="DF3725">
        <v>688108</v>
      </c>
      <c r="DG3725" t="s">
        <v>116</v>
      </c>
      <c r="DH3725" t="s">
        <v>116</v>
      </c>
      <c r="DI3725" t="s">
        <v>116</v>
      </c>
    </row>
    <row r="3726" spans="1:113" x14ac:dyDescent="0.4">
      <c r="A3726" t="str">
        <f>"688111"</f>
        <v>688111</v>
      </c>
      <c r="B3726" t="s">
        <v>15260</v>
      </c>
      <c r="C3726">
        <v>-2.19</v>
      </c>
      <c r="D3726">
        <v>161.69999999999999</v>
      </c>
      <c r="E3726">
        <v>-3.62</v>
      </c>
      <c r="F3726">
        <v>161.18</v>
      </c>
      <c r="G3726">
        <v>161.69999999999999</v>
      </c>
      <c r="H3726">
        <v>15792</v>
      </c>
      <c r="I3726">
        <v>324</v>
      </c>
      <c r="J3726">
        <v>-0.79</v>
      </c>
      <c r="K3726">
        <v>2.37</v>
      </c>
      <c r="L3726">
        <v>164.22</v>
      </c>
      <c r="M3726">
        <v>166.97</v>
      </c>
      <c r="N3726">
        <v>161.05000000000001</v>
      </c>
      <c r="O3726">
        <v>165.32</v>
      </c>
      <c r="P3726">
        <v>273.51</v>
      </c>
      <c r="Q3726">
        <v>259619120</v>
      </c>
      <c r="R3726">
        <v>0.8</v>
      </c>
      <c r="S3726" t="s">
        <v>607</v>
      </c>
      <c r="T3726" t="s">
        <v>165</v>
      </c>
      <c r="U3726">
        <v>3.58</v>
      </c>
      <c r="V3726">
        <v>164.39</v>
      </c>
      <c r="W3726">
        <v>6873</v>
      </c>
      <c r="X3726">
        <v>8919</v>
      </c>
      <c r="Y3726">
        <v>0.77</v>
      </c>
      <c r="Z3726">
        <v>5</v>
      </c>
      <c r="AA3726">
        <v>31</v>
      </c>
      <c r="AB3726" t="s">
        <v>116</v>
      </c>
      <c r="AC3726">
        <v>0</v>
      </c>
      <c r="AD3726">
        <v>0</v>
      </c>
      <c r="AE3726" t="s">
        <v>116</v>
      </c>
      <c r="AF3726" t="s">
        <v>116</v>
      </c>
      <c r="AG3726">
        <v>0.67</v>
      </c>
      <c r="AH3726" t="s">
        <v>15261</v>
      </c>
      <c r="AI3726" t="s">
        <v>15262</v>
      </c>
      <c r="AJ3726">
        <v>-2.11</v>
      </c>
      <c r="AK3726">
        <v>1883</v>
      </c>
      <c r="AL3726">
        <v>8</v>
      </c>
      <c r="AM3726">
        <v>1.2999999999999999E-3</v>
      </c>
      <c r="AN3726">
        <v>-1</v>
      </c>
      <c r="AO3726">
        <v>-0.92</v>
      </c>
      <c r="AP3726">
        <v>18.46</v>
      </c>
      <c r="AQ3726">
        <v>252.59</v>
      </c>
      <c r="AR3726">
        <v>252.59</v>
      </c>
      <c r="AS3726">
        <v>2.37</v>
      </c>
      <c r="AT3726" t="s">
        <v>15261</v>
      </c>
      <c r="AU3726">
        <v>244.08</v>
      </c>
      <c r="AV3726">
        <v>239.95</v>
      </c>
      <c r="AW3726">
        <v>0</v>
      </c>
      <c r="BA3726">
        <v>-0.67</v>
      </c>
      <c r="BB3726">
        <v>1</v>
      </c>
      <c r="BC3726">
        <v>-2.58</v>
      </c>
      <c r="BD3726">
        <v>-0.56000000000000005</v>
      </c>
      <c r="BE3726">
        <v>-1.53</v>
      </c>
      <c r="BF3726">
        <v>-3.16</v>
      </c>
      <c r="BG3726">
        <v>0.4</v>
      </c>
      <c r="BH3726">
        <v>-1.63</v>
      </c>
      <c r="BI3726">
        <v>20191117</v>
      </c>
      <c r="BJ3726">
        <v>20191118</v>
      </c>
      <c r="BK3726">
        <v>4.6100000000000003</v>
      </c>
      <c r="BL3726" t="s">
        <v>116</v>
      </c>
      <c r="BM3726" t="s">
        <v>116</v>
      </c>
      <c r="BN3726">
        <v>19.66</v>
      </c>
      <c r="BO3726">
        <v>14.11</v>
      </c>
      <c r="BP3726">
        <v>0</v>
      </c>
      <c r="BQ3726">
        <v>28.24</v>
      </c>
      <c r="BR3726">
        <v>18.25</v>
      </c>
      <c r="BS3726">
        <v>0.49</v>
      </c>
      <c r="BT3726">
        <v>0.15</v>
      </c>
      <c r="BU3726">
        <v>5.0599999999999996</v>
      </c>
      <c r="BV3726">
        <v>0.01</v>
      </c>
      <c r="BW3726">
        <v>2.99</v>
      </c>
      <c r="BX3726">
        <v>2.2599999999999998</v>
      </c>
      <c r="BY3726">
        <v>10.42</v>
      </c>
      <c r="BZ3726">
        <v>1.67</v>
      </c>
      <c r="CA3726">
        <v>1.99</v>
      </c>
      <c r="CB3726">
        <v>0.27</v>
      </c>
      <c r="CC3726">
        <v>2.04</v>
      </c>
      <c r="CD3726">
        <v>2.04</v>
      </c>
      <c r="CE3726">
        <v>2.04</v>
      </c>
      <c r="CF3726">
        <v>1.6</v>
      </c>
      <c r="CG3726">
        <v>7.83</v>
      </c>
      <c r="CH3726">
        <v>2.48</v>
      </c>
      <c r="CI3726">
        <v>-0.13</v>
      </c>
      <c r="CJ3726">
        <v>46069</v>
      </c>
      <c r="CK3726">
        <v>1447</v>
      </c>
      <c r="CL3726" t="s">
        <v>11783</v>
      </c>
      <c r="CM3726">
        <v>0</v>
      </c>
      <c r="CN3726">
        <v>0</v>
      </c>
      <c r="CO3726">
        <v>12.7</v>
      </c>
      <c r="CP3726">
        <v>300.67</v>
      </c>
      <c r="CQ3726">
        <v>71.53</v>
      </c>
      <c r="CR3726">
        <v>0</v>
      </c>
      <c r="CS3726" t="s">
        <v>1368</v>
      </c>
      <c r="CT3726">
        <v>12.73</v>
      </c>
      <c r="CU3726">
        <v>12.73</v>
      </c>
      <c r="CV3726">
        <v>0.49</v>
      </c>
      <c r="CW3726">
        <v>1.7</v>
      </c>
      <c r="CX3726">
        <v>0.54</v>
      </c>
      <c r="CY3726">
        <v>71.760000000000005</v>
      </c>
      <c r="CZ3726" t="s">
        <v>15263</v>
      </c>
      <c r="DA3726">
        <v>83.96</v>
      </c>
      <c r="DB3726">
        <v>19.079999999999998</v>
      </c>
      <c r="DC3726">
        <v>19.62</v>
      </c>
      <c r="DD3726">
        <v>4.38</v>
      </c>
      <c r="DE3726">
        <v>1972</v>
      </c>
      <c r="DF3726">
        <v>688111</v>
      </c>
      <c r="DG3726" t="s">
        <v>116</v>
      </c>
      <c r="DH3726" t="s">
        <v>116</v>
      </c>
      <c r="DI3726" t="s">
        <v>116</v>
      </c>
    </row>
    <row r="3727" spans="1:113" x14ac:dyDescent="0.4">
      <c r="A3727" t="str">
        <f>"688116"</f>
        <v>688116</v>
      </c>
      <c r="B3727" t="s">
        <v>15264</v>
      </c>
      <c r="C3727">
        <v>-2.75</v>
      </c>
      <c r="D3727">
        <v>32.15</v>
      </c>
      <c r="E3727">
        <v>-0.91</v>
      </c>
      <c r="F3727">
        <v>32.14</v>
      </c>
      <c r="G3727">
        <v>32.15</v>
      </c>
      <c r="H3727">
        <v>52969</v>
      </c>
      <c r="I3727">
        <v>611</v>
      </c>
      <c r="J3727">
        <v>-0.33</v>
      </c>
      <c r="K3727">
        <v>10.039999999999999</v>
      </c>
      <c r="L3727">
        <v>33</v>
      </c>
      <c r="M3727">
        <v>33.47</v>
      </c>
      <c r="N3727">
        <v>32</v>
      </c>
      <c r="O3727">
        <v>33.06</v>
      </c>
      <c r="P3727">
        <v>61.43</v>
      </c>
      <c r="Q3727">
        <v>173334224</v>
      </c>
      <c r="R3727">
        <v>0.77</v>
      </c>
      <c r="S3727" t="s">
        <v>891</v>
      </c>
      <c r="T3727" t="s">
        <v>323</v>
      </c>
      <c r="U3727">
        <v>4.45</v>
      </c>
      <c r="V3727">
        <v>32.72</v>
      </c>
      <c r="W3727">
        <v>30253</v>
      </c>
      <c r="X3727">
        <v>22717</v>
      </c>
      <c r="Y3727">
        <v>1.33</v>
      </c>
      <c r="Z3727">
        <v>17</v>
      </c>
      <c r="AA3727">
        <v>98</v>
      </c>
      <c r="AB3727" t="s">
        <v>116</v>
      </c>
      <c r="AC3727">
        <v>1411700</v>
      </c>
      <c r="AD3727">
        <v>0.08</v>
      </c>
      <c r="AE3727" t="s">
        <v>116</v>
      </c>
      <c r="AF3727" t="s">
        <v>116</v>
      </c>
      <c r="AG3727">
        <v>0.53</v>
      </c>
      <c r="AH3727" t="s">
        <v>5369</v>
      </c>
      <c r="AI3727" t="s">
        <v>15265</v>
      </c>
      <c r="AJ3727">
        <v>-2.68</v>
      </c>
      <c r="AK3727">
        <v>2156</v>
      </c>
      <c r="AL3727">
        <v>25</v>
      </c>
      <c r="AM3727">
        <v>4.7000000000000002E-3</v>
      </c>
      <c r="AN3727">
        <v>-1</v>
      </c>
      <c r="AO3727">
        <v>-1.01</v>
      </c>
      <c r="AP3727">
        <v>19.96</v>
      </c>
      <c r="AQ3727">
        <v>-26.28</v>
      </c>
      <c r="AR3727">
        <v>100.94</v>
      </c>
      <c r="AS3727">
        <v>10.039999999999999</v>
      </c>
      <c r="AT3727" t="s">
        <v>5369</v>
      </c>
      <c r="AU3727">
        <v>66.02</v>
      </c>
      <c r="AV3727">
        <v>110.29</v>
      </c>
      <c r="AW3727">
        <v>2.1800000000000002</v>
      </c>
      <c r="BA3727">
        <v>-0.18</v>
      </c>
      <c r="BB3727">
        <v>1.24</v>
      </c>
      <c r="BC3727">
        <v>-3.21</v>
      </c>
      <c r="BD3727">
        <v>-1.02</v>
      </c>
      <c r="BE3727">
        <v>-2.58</v>
      </c>
      <c r="BF3727">
        <v>-3.94</v>
      </c>
      <c r="BG3727">
        <v>0.47</v>
      </c>
      <c r="BH3727">
        <v>-1.73</v>
      </c>
      <c r="BI3727">
        <v>20191030</v>
      </c>
      <c r="BJ3727">
        <v>20190925</v>
      </c>
      <c r="BK3727">
        <v>2.3199999999999998</v>
      </c>
      <c r="BL3727" t="s">
        <v>116</v>
      </c>
      <c r="BM3727" t="s">
        <v>116</v>
      </c>
      <c r="BN3727">
        <v>17.690000000000001</v>
      </c>
      <c r="BO3727">
        <v>15.58</v>
      </c>
      <c r="BP3727">
        <v>0.09</v>
      </c>
      <c r="BQ3727">
        <v>11.4</v>
      </c>
      <c r="BR3727">
        <v>13.5</v>
      </c>
      <c r="BS3727">
        <v>2.4300000000000002</v>
      </c>
      <c r="BT3727">
        <v>0.99</v>
      </c>
      <c r="BU3727">
        <v>1.42</v>
      </c>
      <c r="BV3727">
        <v>0.71</v>
      </c>
      <c r="BW3727">
        <v>1.03</v>
      </c>
      <c r="BX3727">
        <v>12.13</v>
      </c>
      <c r="BY3727">
        <v>3.01</v>
      </c>
      <c r="BZ3727">
        <v>1.55</v>
      </c>
      <c r="CA3727">
        <v>1.04</v>
      </c>
      <c r="CB3727">
        <v>0.01</v>
      </c>
      <c r="CC3727">
        <v>1.04</v>
      </c>
      <c r="CD3727">
        <v>0.91</v>
      </c>
      <c r="CE3727">
        <v>0.91</v>
      </c>
      <c r="CF3727">
        <v>0.82</v>
      </c>
      <c r="CG3727">
        <v>1.1000000000000001</v>
      </c>
      <c r="CH3727">
        <v>0.68</v>
      </c>
      <c r="CI3727">
        <v>8.7100000000000009</v>
      </c>
      <c r="CJ3727">
        <v>29276</v>
      </c>
      <c r="CK3727">
        <v>1803</v>
      </c>
      <c r="CL3727" t="s">
        <v>14722</v>
      </c>
      <c r="CM3727">
        <v>0</v>
      </c>
      <c r="CN3727">
        <v>0</v>
      </c>
      <c r="CO3727">
        <v>4.78</v>
      </c>
      <c r="CP3727">
        <v>109.71</v>
      </c>
      <c r="CQ3727">
        <v>24.78</v>
      </c>
      <c r="CR3727">
        <v>0</v>
      </c>
      <c r="CS3727" t="s">
        <v>4586</v>
      </c>
      <c r="CT3727">
        <v>6.72</v>
      </c>
      <c r="CU3727">
        <v>0</v>
      </c>
      <c r="CV3727">
        <v>5.23</v>
      </c>
      <c r="CW3727">
        <v>0.48</v>
      </c>
      <c r="CX3727">
        <v>0.28999999999999998</v>
      </c>
      <c r="CY3727">
        <v>88.06</v>
      </c>
      <c r="CZ3727" t="s">
        <v>2468</v>
      </c>
      <c r="DA3727">
        <v>48.6</v>
      </c>
      <c r="DB3727">
        <v>34.61</v>
      </c>
      <c r="DC3727">
        <v>30.25</v>
      </c>
      <c r="DD3727">
        <v>0.16</v>
      </c>
      <c r="DE3727">
        <v>208</v>
      </c>
      <c r="DF3727">
        <v>688116</v>
      </c>
      <c r="DG3727" t="s">
        <v>116</v>
      </c>
      <c r="DH3727" t="s">
        <v>116</v>
      </c>
      <c r="DI3727" t="s">
        <v>116</v>
      </c>
    </row>
    <row r="3728" spans="1:113" x14ac:dyDescent="0.4">
      <c r="A3728" t="str">
        <f>"688118"</f>
        <v>688118</v>
      </c>
      <c r="B3728" t="s">
        <v>15266</v>
      </c>
      <c r="C3728">
        <v>-6.89</v>
      </c>
      <c r="D3728">
        <v>41.1</v>
      </c>
      <c r="E3728">
        <v>-3.04</v>
      </c>
      <c r="F3728">
        <v>41.1</v>
      </c>
      <c r="G3728">
        <v>41.11</v>
      </c>
      <c r="H3728">
        <v>47317</v>
      </c>
      <c r="I3728">
        <v>834</v>
      </c>
      <c r="J3728">
        <v>-0.16</v>
      </c>
      <c r="K3728">
        <v>21.84</v>
      </c>
      <c r="L3728">
        <v>44.15</v>
      </c>
      <c r="M3728">
        <v>44.46</v>
      </c>
      <c r="N3728">
        <v>40.89</v>
      </c>
      <c r="O3728">
        <v>44.14</v>
      </c>
      <c r="P3728" t="s">
        <v>116</v>
      </c>
      <c r="Q3728">
        <v>201533408</v>
      </c>
      <c r="R3728">
        <v>1.1599999999999999</v>
      </c>
      <c r="S3728" t="s">
        <v>607</v>
      </c>
      <c r="T3728" t="s">
        <v>1653</v>
      </c>
      <c r="U3728">
        <v>8.09</v>
      </c>
      <c r="V3728">
        <v>42.59</v>
      </c>
      <c r="W3728">
        <v>29156</v>
      </c>
      <c r="X3728">
        <v>18161</v>
      </c>
      <c r="Y3728">
        <v>1.61</v>
      </c>
      <c r="Z3728">
        <v>40</v>
      </c>
      <c r="AA3728">
        <v>20</v>
      </c>
      <c r="AB3728" t="s">
        <v>116</v>
      </c>
      <c r="AC3728">
        <v>1423200</v>
      </c>
      <c r="AD3728">
        <v>0.15</v>
      </c>
      <c r="AE3728" t="s">
        <v>116</v>
      </c>
      <c r="AF3728" t="s">
        <v>116</v>
      </c>
      <c r="AG3728">
        <v>0.22</v>
      </c>
      <c r="AH3728" t="s">
        <v>2737</v>
      </c>
      <c r="AI3728" t="s">
        <v>12247</v>
      </c>
      <c r="AJ3728">
        <v>-6.81</v>
      </c>
      <c r="AK3728">
        <v>1880</v>
      </c>
      <c r="AL3728">
        <v>25</v>
      </c>
      <c r="AM3728">
        <v>1.1599999999999999E-2</v>
      </c>
      <c r="AN3728">
        <v>-1</v>
      </c>
      <c r="AO3728">
        <v>-3.46</v>
      </c>
      <c r="AP3728">
        <v>52.79</v>
      </c>
      <c r="AQ3728">
        <v>52.79</v>
      </c>
      <c r="AR3728">
        <v>52.79</v>
      </c>
      <c r="AS3728">
        <v>21.84</v>
      </c>
      <c r="AT3728" t="s">
        <v>2737</v>
      </c>
      <c r="AU3728">
        <v>68.63</v>
      </c>
      <c r="AV3728">
        <v>81.63</v>
      </c>
      <c r="AW3728">
        <v>0</v>
      </c>
      <c r="BA3728">
        <v>0.02</v>
      </c>
      <c r="BB3728">
        <v>0.72</v>
      </c>
      <c r="BC3728">
        <v>-7.36</v>
      </c>
      <c r="BD3728">
        <v>-3.51</v>
      </c>
      <c r="BE3728">
        <v>-6.91</v>
      </c>
      <c r="BF3728">
        <v>-7.56</v>
      </c>
      <c r="BG3728">
        <v>0.51</v>
      </c>
      <c r="BH3728">
        <v>-3.38</v>
      </c>
      <c r="BI3728">
        <v>20191203</v>
      </c>
      <c r="BJ3728">
        <v>20191204</v>
      </c>
      <c r="BK3728">
        <v>0.95</v>
      </c>
      <c r="BL3728" t="s">
        <v>116</v>
      </c>
      <c r="BM3728" t="s">
        <v>116</v>
      </c>
      <c r="BN3728">
        <v>4.0599999999999996</v>
      </c>
      <c r="BO3728">
        <v>3.26</v>
      </c>
      <c r="BP3728">
        <v>0</v>
      </c>
      <c r="BQ3728">
        <v>19.600000000000001</v>
      </c>
      <c r="BR3728">
        <v>3.92</v>
      </c>
      <c r="BS3728">
        <v>0.09</v>
      </c>
      <c r="BT3728">
        <v>0.01</v>
      </c>
      <c r="BU3728">
        <v>0.79</v>
      </c>
      <c r="BV3728">
        <v>0.62</v>
      </c>
      <c r="BW3728">
        <v>1.42</v>
      </c>
      <c r="BX3728">
        <v>1.1599999999999999</v>
      </c>
      <c r="BY3728">
        <v>1.79</v>
      </c>
      <c r="BZ3728">
        <v>0.75</v>
      </c>
      <c r="CA3728">
        <v>-0.04</v>
      </c>
      <c r="CB3728">
        <v>0</v>
      </c>
      <c r="CC3728">
        <v>-0.04</v>
      </c>
      <c r="CD3728">
        <v>-0.02</v>
      </c>
      <c r="CE3728">
        <v>-0.02</v>
      </c>
      <c r="CF3728">
        <v>-0.05</v>
      </c>
      <c r="CG3728">
        <v>1.19</v>
      </c>
      <c r="CH3728">
        <v>-0.63</v>
      </c>
      <c r="CI3728">
        <v>-0.15</v>
      </c>
      <c r="CJ3728">
        <v>21929</v>
      </c>
      <c r="CK3728">
        <v>988</v>
      </c>
      <c r="CL3728" t="s">
        <v>7222</v>
      </c>
      <c r="CM3728">
        <v>0</v>
      </c>
      <c r="CN3728">
        <v>0</v>
      </c>
      <c r="CO3728">
        <v>4.3099999999999996</v>
      </c>
      <c r="CP3728">
        <v>-62.06</v>
      </c>
      <c r="CQ3728">
        <v>21.95</v>
      </c>
      <c r="CR3728">
        <v>0</v>
      </c>
      <c r="CS3728" t="s">
        <v>1773</v>
      </c>
      <c r="CT3728">
        <v>9.5500000000000007</v>
      </c>
      <c r="CU3728">
        <v>9.5500000000000007</v>
      </c>
      <c r="CV3728">
        <v>1.22</v>
      </c>
      <c r="CW3728">
        <v>1.25</v>
      </c>
      <c r="CX3728">
        <v>-0.66</v>
      </c>
      <c r="CY3728">
        <v>80.400000000000006</v>
      </c>
      <c r="CZ3728" t="s">
        <v>7958</v>
      </c>
      <c r="DA3728">
        <v>58.14</v>
      </c>
      <c r="DB3728">
        <v>-2.5099999999999998</v>
      </c>
      <c r="DC3728">
        <v>-1.07</v>
      </c>
      <c r="DD3728">
        <v>0.35</v>
      </c>
      <c r="DE3728">
        <v>1114</v>
      </c>
      <c r="DF3728">
        <v>688118</v>
      </c>
      <c r="DG3728" t="s">
        <v>116</v>
      </c>
      <c r="DH3728" t="s">
        <v>116</v>
      </c>
      <c r="DI3728" t="s">
        <v>116</v>
      </c>
    </row>
    <row r="3729" spans="1:113" x14ac:dyDescent="0.4">
      <c r="A3729" t="str">
        <f>"688122"</f>
        <v>688122</v>
      </c>
      <c r="B3729" t="s">
        <v>15267</v>
      </c>
      <c r="C3729">
        <v>0.06</v>
      </c>
      <c r="D3729">
        <v>32.979999999999997</v>
      </c>
      <c r="E3729">
        <v>0.02</v>
      </c>
      <c r="F3729">
        <v>32.979999999999997</v>
      </c>
      <c r="G3729">
        <v>32.99</v>
      </c>
      <c r="H3729">
        <v>21924</v>
      </c>
      <c r="I3729">
        <v>190</v>
      </c>
      <c r="J3729">
        <v>-0.05</v>
      </c>
      <c r="K3729">
        <v>5.52</v>
      </c>
      <c r="L3729">
        <v>32.979999999999997</v>
      </c>
      <c r="M3729">
        <v>33.590000000000003</v>
      </c>
      <c r="N3729">
        <v>32.9</v>
      </c>
      <c r="O3729">
        <v>32.96</v>
      </c>
      <c r="P3729">
        <v>97.58</v>
      </c>
      <c r="Q3729">
        <v>72894152</v>
      </c>
      <c r="R3729">
        <v>1.1299999999999999</v>
      </c>
      <c r="S3729" t="s">
        <v>1509</v>
      </c>
      <c r="T3729" t="s">
        <v>913</v>
      </c>
      <c r="U3729">
        <v>2.09</v>
      </c>
      <c r="V3729">
        <v>33.25</v>
      </c>
      <c r="W3729">
        <v>11067</v>
      </c>
      <c r="X3729">
        <v>10857</v>
      </c>
      <c r="Y3729">
        <v>1.02</v>
      </c>
      <c r="Z3729">
        <v>27</v>
      </c>
      <c r="AA3729">
        <v>9</v>
      </c>
      <c r="AB3729" t="s">
        <v>116</v>
      </c>
      <c r="AC3729">
        <v>0</v>
      </c>
      <c r="AD3729">
        <v>0</v>
      </c>
      <c r="AE3729" t="s">
        <v>116</v>
      </c>
      <c r="AF3729" t="s">
        <v>116</v>
      </c>
      <c r="AG3729">
        <v>0.4</v>
      </c>
      <c r="AH3729" t="s">
        <v>15268</v>
      </c>
      <c r="AI3729" t="s">
        <v>15269</v>
      </c>
      <c r="AJ3729">
        <v>0.14000000000000001</v>
      </c>
      <c r="AK3729">
        <v>1230</v>
      </c>
      <c r="AL3729">
        <v>18</v>
      </c>
      <c r="AM3729">
        <v>4.4999999999999997E-3</v>
      </c>
      <c r="AN3729">
        <v>4</v>
      </c>
      <c r="AO3729">
        <v>3.57</v>
      </c>
      <c r="AP3729">
        <v>14.32</v>
      </c>
      <c r="AQ3729">
        <v>-20.34</v>
      </c>
      <c r="AR3729">
        <v>119.87</v>
      </c>
      <c r="AS3729">
        <v>5.52</v>
      </c>
      <c r="AT3729" t="s">
        <v>15268</v>
      </c>
      <c r="AU3729">
        <v>99.18</v>
      </c>
      <c r="AV3729">
        <v>107.84</v>
      </c>
      <c r="AW3729">
        <v>1.31</v>
      </c>
      <c r="BA3729">
        <v>0.06</v>
      </c>
      <c r="BB3729">
        <v>1.91</v>
      </c>
      <c r="BC3729">
        <v>-0.18</v>
      </c>
      <c r="BD3729">
        <v>0.87</v>
      </c>
      <c r="BE3729">
        <v>0</v>
      </c>
      <c r="BF3729">
        <v>-1.82</v>
      </c>
      <c r="BG3729">
        <v>0.24</v>
      </c>
      <c r="BH3729">
        <v>-0.81</v>
      </c>
      <c r="BI3729">
        <v>20191031</v>
      </c>
      <c r="BJ3729">
        <v>20190722</v>
      </c>
      <c r="BK3729">
        <v>4.41</v>
      </c>
      <c r="BL3729" t="s">
        <v>116</v>
      </c>
      <c r="BM3729" t="s">
        <v>116</v>
      </c>
      <c r="BN3729">
        <v>45.37</v>
      </c>
      <c r="BO3729">
        <v>25.24</v>
      </c>
      <c r="BP3729">
        <v>0.52</v>
      </c>
      <c r="BQ3729">
        <v>43.23</v>
      </c>
      <c r="BR3729">
        <v>32.72</v>
      </c>
      <c r="BS3729">
        <v>8.89</v>
      </c>
      <c r="BT3729">
        <v>1.74</v>
      </c>
      <c r="BU3729">
        <v>14.18</v>
      </c>
      <c r="BV3729">
        <v>9.65</v>
      </c>
      <c r="BW3729">
        <v>7.94</v>
      </c>
      <c r="BX3729">
        <v>17.54</v>
      </c>
      <c r="BY3729">
        <v>9.83</v>
      </c>
      <c r="BZ3729">
        <v>6.41</v>
      </c>
      <c r="CA3729">
        <v>1.28</v>
      </c>
      <c r="CB3729">
        <v>0.02</v>
      </c>
      <c r="CC3729">
        <v>1.27</v>
      </c>
      <c r="CD3729">
        <v>1.1200000000000001</v>
      </c>
      <c r="CE3729">
        <v>1.1200000000000001</v>
      </c>
      <c r="CF3729">
        <v>0.91</v>
      </c>
      <c r="CG3729">
        <v>2.44</v>
      </c>
      <c r="CH3729">
        <v>-3.42</v>
      </c>
      <c r="CI3729">
        <v>-4.7</v>
      </c>
      <c r="CJ3729">
        <v>17293</v>
      </c>
      <c r="CK3729">
        <v>2296</v>
      </c>
      <c r="CL3729" t="s">
        <v>2557</v>
      </c>
      <c r="CM3729">
        <v>0</v>
      </c>
      <c r="CN3729">
        <v>0</v>
      </c>
      <c r="CO3729">
        <v>5.77</v>
      </c>
      <c r="CP3729">
        <v>-42.55</v>
      </c>
      <c r="CQ3729">
        <v>14.8</v>
      </c>
      <c r="CR3729">
        <v>0</v>
      </c>
      <c r="CS3729" t="s">
        <v>2326</v>
      </c>
      <c r="CT3729">
        <v>5.72</v>
      </c>
      <c r="CU3729">
        <v>0</v>
      </c>
      <c r="CV3729">
        <v>3.97</v>
      </c>
      <c r="CW3729">
        <v>0.55000000000000004</v>
      </c>
      <c r="CX3729">
        <v>-0.78</v>
      </c>
      <c r="CY3729">
        <v>55.63</v>
      </c>
      <c r="CZ3729" t="s">
        <v>5037</v>
      </c>
      <c r="DA3729">
        <v>34.86</v>
      </c>
      <c r="DB3729">
        <v>13.06</v>
      </c>
      <c r="DC3729">
        <v>11.37</v>
      </c>
      <c r="DD3729">
        <v>0.93</v>
      </c>
      <c r="DE3729">
        <v>771</v>
      </c>
      <c r="DF3729">
        <v>688122</v>
      </c>
      <c r="DG3729" t="s">
        <v>116</v>
      </c>
      <c r="DH3729" t="s">
        <v>116</v>
      </c>
      <c r="DI3729" t="s">
        <v>116</v>
      </c>
    </row>
    <row r="3730" spans="1:113" x14ac:dyDescent="0.4">
      <c r="A3730" t="str">
        <f>"688123"</f>
        <v>688123</v>
      </c>
      <c r="B3730" t="s">
        <v>15270</v>
      </c>
      <c r="C3730">
        <v>-4.24</v>
      </c>
      <c r="D3730">
        <v>74.69</v>
      </c>
      <c r="E3730">
        <v>-3.31</v>
      </c>
      <c r="F3730">
        <v>74.680000000000007</v>
      </c>
      <c r="G3730">
        <v>74.69</v>
      </c>
      <c r="H3730">
        <v>65601</v>
      </c>
      <c r="I3730">
        <v>802</v>
      </c>
      <c r="J3730">
        <v>-0.65</v>
      </c>
      <c r="K3730">
        <v>23.8</v>
      </c>
      <c r="L3730">
        <v>78.239999999999995</v>
      </c>
      <c r="M3730">
        <v>79.5</v>
      </c>
      <c r="N3730">
        <v>74.349999999999994</v>
      </c>
      <c r="O3730">
        <v>78</v>
      </c>
      <c r="P3730">
        <v>88.78</v>
      </c>
      <c r="Q3730">
        <v>501258624</v>
      </c>
      <c r="R3730">
        <v>0.56000000000000005</v>
      </c>
      <c r="S3730" t="s">
        <v>3507</v>
      </c>
      <c r="T3730" t="s">
        <v>1653</v>
      </c>
      <c r="U3730">
        <v>6.6</v>
      </c>
      <c r="V3730">
        <v>76.41</v>
      </c>
      <c r="W3730">
        <v>35827</v>
      </c>
      <c r="X3730">
        <v>29774</v>
      </c>
      <c r="Y3730">
        <v>1.2</v>
      </c>
      <c r="Z3730">
        <v>28</v>
      </c>
      <c r="AA3730">
        <v>511</v>
      </c>
      <c r="AB3730" t="s">
        <v>116</v>
      </c>
      <c r="AC3730">
        <v>2065900</v>
      </c>
      <c r="AD3730">
        <v>0.1</v>
      </c>
      <c r="AE3730" t="s">
        <v>116</v>
      </c>
      <c r="AF3730" t="s">
        <v>116</v>
      </c>
      <c r="AG3730">
        <v>0.28000000000000003</v>
      </c>
      <c r="AH3730" t="s">
        <v>3557</v>
      </c>
      <c r="AI3730" t="s">
        <v>15271</v>
      </c>
      <c r="AJ3730">
        <v>-4.17</v>
      </c>
      <c r="AK3730">
        <v>2843</v>
      </c>
      <c r="AL3730">
        <v>23</v>
      </c>
      <c r="AM3730">
        <v>8.3999999999999995E-3</v>
      </c>
      <c r="AN3730">
        <v>-2</v>
      </c>
      <c r="AO3730">
        <v>-6.87</v>
      </c>
      <c r="AP3730">
        <v>124.63</v>
      </c>
      <c r="AQ3730">
        <v>124.63</v>
      </c>
      <c r="AR3730">
        <v>124.63</v>
      </c>
      <c r="AS3730">
        <v>23.8</v>
      </c>
      <c r="AT3730" t="s">
        <v>3557</v>
      </c>
      <c r="AU3730">
        <v>78.87</v>
      </c>
      <c r="AV3730">
        <v>87.31</v>
      </c>
      <c r="AW3730">
        <v>0</v>
      </c>
      <c r="BA3730">
        <v>0.31</v>
      </c>
      <c r="BB3730">
        <v>1.92</v>
      </c>
      <c r="BC3730">
        <v>-4.68</v>
      </c>
      <c r="BD3730">
        <v>-2.04</v>
      </c>
      <c r="BE3730">
        <v>-4.54</v>
      </c>
      <c r="BF3730">
        <v>-6.05</v>
      </c>
      <c r="BG3730">
        <v>0.46</v>
      </c>
      <c r="BH3730">
        <v>-2.2000000000000002</v>
      </c>
      <c r="BI3730">
        <v>20191222</v>
      </c>
      <c r="BJ3730">
        <v>20191223</v>
      </c>
      <c r="BK3730">
        <v>1.21</v>
      </c>
      <c r="BL3730" t="s">
        <v>116</v>
      </c>
      <c r="BM3730" t="s">
        <v>116</v>
      </c>
      <c r="BN3730">
        <v>4.54</v>
      </c>
      <c r="BO3730">
        <v>3.93</v>
      </c>
      <c r="BP3730">
        <v>0</v>
      </c>
      <c r="BQ3730">
        <v>13.5</v>
      </c>
      <c r="BR3730">
        <v>4.4400000000000004</v>
      </c>
      <c r="BS3730">
        <v>0.02</v>
      </c>
      <c r="BT3730">
        <v>0.01</v>
      </c>
      <c r="BU3730">
        <v>0.55000000000000004</v>
      </c>
      <c r="BV3730">
        <v>0.51</v>
      </c>
      <c r="BW3730">
        <v>0.79</v>
      </c>
      <c r="BX3730">
        <v>2.23</v>
      </c>
      <c r="BY3730">
        <v>3.82</v>
      </c>
      <c r="BZ3730">
        <v>2.2200000000000002</v>
      </c>
      <c r="CA3730">
        <v>0.83</v>
      </c>
      <c r="CB3730">
        <v>-0.01</v>
      </c>
      <c r="CC3730">
        <v>0.85</v>
      </c>
      <c r="CD3730">
        <v>0.76</v>
      </c>
      <c r="CE3730">
        <v>0.76</v>
      </c>
      <c r="CF3730">
        <v>0.79</v>
      </c>
      <c r="CG3730">
        <v>0.75</v>
      </c>
      <c r="CH3730">
        <v>0.25</v>
      </c>
      <c r="CI3730">
        <v>0.01</v>
      </c>
      <c r="CJ3730">
        <v>26388</v>
      </c>
      <c r="CK3730">
        <v>1045</v>
      </c>
      <c r="CL3730" t="s">
        <v>5244</v>
      </c>
      <c r="CM3730">
        <v>0</v>
      </c>
      <c r="CN3730">
        <v>0</v>
      </c>
      <c r="CO3730">
        <v>6.9</v>
      </c>
      <c r="CP3730">
        <v>356.57</v>
      </c>
      <c r="CQ3730">
        <v>23.64</v>
      </c>
      <c r="CR3730">
        <v>0</v>
      </c>
      <c r="CS3730" t="s">
        <v>6841</v>
      </c>
      <c r="CT3730">
        <v>10.82</v>
      </c>
      <c r="CU3730">
        <v>10.82</v>
      </c>
      <c r="CV3730">
        <v>1.84</v>
      </c>
      <c r="CW3730">
        <v>0.62</v>
      </c>
      <c r="CX3730">
        <v>0.21</v>
      </c>
      <c r="CY3730">
        <v>86.5</v>
      </c>
      <c r="CZ3730" t="s">
        <v>15272</v>
      </c>
      <c r="DA3730">
        <v>41.87</v>
      </c>
      <c r="DB3730">
        <v>21.63</v>
      </c>
      <c r="DC3730">
        <v>19.97</v>
      </c>
      <c r="DD3730">
        <v>0.42</v>
      </c>
      <c r="DE3730">
        <v>151</v>
      </c>
      <c r="DF3730">
        <v>688123</v>
      </c>
      <c r="DG3730" t="s">
        <v>116</v>
      </c>
      <c r="DH3730" t="s">
        <v>116</v>
      </c>
      <c r="DI3730" t="s">
        <v>116</v>
      </c>
    </row>
    <row r="3731" spans="1:113" x14ac:dyDescent="0.4">
      <c r="A3731" t="str">
        <f>"688128"</f>
        <v>688128</v>
      </c>
      <c r="B3731" t="s">
        <v>15273</v>
      </c>
      <c r="C3731">
        <v>-1.88</v>
      </c>
      <c r="D3731">
        <v>19.809999999999999</v>
      </c>
      <c r="E3731">
        <v>-0.38</v>
      </c>
      <c r="F3731">
        <v>19.8</v>
      </c>
      <c r="G3731">
        <v>19.809999999999999</v>
      </c>
      <c r="H3731">
        <v>34463</v>
      </c>
      <c r="I3731">
        <v>230</v>
      </c>
      <c r="J3731">
        <v>-0.14000000000000001</v>
      </c>
      <c r="K3731">
        <v>7.58</v>
      </c>
      <c r="L3731">
        <v>20.170000000000002</v>
      </c>
      <c r="M3731">
        <v>20.329999999999998</v>
      </c>
      <c r="N3731">
        <v>19.75</v>
      </c>
      <c r="O3731">
        <v>20.190000000000001</v>
      </c>
      <c r="P3731">
        <v>35.11</v>
      </c>
      <c r="Q3731">
        <v>69196648</v>
      </c>
      <c r="R3731">
        <v>1.06</v>
      </c>
      <c r="S3731" t="s">
        <v>682</v>
      </c>
      <c r="T3731" t="s">
        <v>551</v>
      </c>
      <c r="U3731">
        <v>2.87</v>
      </c>
      <c r="V3731">
        <v>20.079999999999998</v>
      </c>
      <c r="W3731">
        <v>21609</v>
      </c>
      <c r="X3731">
        <v>12855</v>
      </c>
      <c r="Y3731">
        <v>1.68</v>
      </c>
      <c r="Z3731">
        <v>16</v>
      </c>
      <c r="AA3731">
        <v>41</v>
      </c>
      <c r="AB3731" t="s">
        <v>116</v>
      </c>
      <c r="AC3731">
        <v>75600</v>
      </c>
      <c r="AD3731">
        <v>0.01</v>
      </c>
      <c r="AE3731" t="s">
        <v>116</v>
      </c>
      <c r="AF3731" t="s">
        <v>116</v>
      </c>
      <c r="AG3731">
        <v>0.45</v>
      </c>
      <c r="AH3731" t="s">
        <v>6898</v>
      </c>
      <c r="AI3731" t="s">
        <v>15274</v>
      </c>
      <c r="AJ3731">
        <v>-1.81</v>
      </c>
      <c r="AK3731">
        <v>1262</v>
      </c>
      <c r="AL3731">
        <v>27</v>
      </c>
      <c r="AM3731">
        <v>6.0000000000000001E-3</v>
      </c>
      <c r="AN3731">
        <v>-1</v>
      </c>
      <c r="AO3731">
        <v>1.49</v>
      </c>
      <c r="AP3731">
        <v>2.27</v>
      </c>
      <c r="AQ3731">
        <v>5.43</v>
      </c>
      <c r="AR3731">
        <v>5.43</v>
      </c>
      <c r="AS3731">
        <v>7.58</v>
      </c>
      <c r="AT3731" t="s">
        <v>6898</v>
      </c>
      <c r="AU3731">
        <v>31.21</v>
      </c>
      <c r="AV3731">
        <v>38.729999999999997</v>
      </c>
      <c r="AW3731">
        <v>0</v>
      </c>
      <c r="BA3731">
        <v>-0.1</v>
      </c>
      <c r="BB3731">
        <v>0.69</v>
      </c>
      <c r="BC3731">
        <v>-2.1800000000000002</v>
      </c>
      <c r="BD3731">
        <v>-0.55000000000000004</v>
      </c>
      <c r="BE3731">
        <v>-1.78</v>
      </c>
      <c r="BF3731">
        <v>-2.56</v>
      </c>
      <c r="BG3731">
        <v>0.3</v>
      </c>
      <c r="BH3731">
        <v>-1.33</v>
      </c>
      <c r="BI3731">
        <v>20191104</v>
      </c>
      <c r="BJ3731">
        <v>20191105</v>
      </c>
      <c r="BK3731">
        <v>4.04</v>
      </c>
      <c r="BL3731" t="s">
        <v>116</v>
      </c>
      <c r="BM3731" t="s">
        <v>116</v>
      </c>
      <c r="BN3731">
        <v>26.09</v>
      </c>
      <c r="BO3731">
        <v>11.59</v>
      </c>
      <c r="BP3731">
        <v>0.2</v>
      </c>
      <c r="BQ3731">
        <v>54.83</v>
      </c>
      <c r="BR3731">
        <v>18.670000000000002</v>
      </c>
      <c r="BS3731">
        <v>3.19</v>
      </c>
      <c r="BT3731">
        <v>1.02</v>
      </c>
      <c r="BU3731">
        <v>11.96</v>
      </c>
      <c r="BV3731">
        <v>5</v>
      </c>
      <c r="BW3731">
        <v>5.95</v>
      </c>
      <c r="BX3731">
        <v>5.9</v>
      </c>
      <c r="BY3731">
        <v>19.93</v>
      </c>
      <c r="BZ3731">
        <v>13.63</v>
      </c>
      <c r="CA3731">
        <v>1.85</v>
      </c>
      <c r="CB3731">
        <v>-0.04</v>
      </c>
      <c r="CC3731">
        <v>1.83</v>
      </c>
      <c r="CD3731">
        <v>1.68</v>
      </c>
      <c r="CE3731">
        <v>1.71</v>
      </c>
      <c r="CF3731">
        <v>0</v>
      </c>
      <c r="CG3731">
        <v>2</v>
      </c>
      <c r="CH3731">
        <v>0.55000000000000004</v>
      </c>
      <c r="CI3731">
        <v>-0.83</v>
      </c>
      <c r="CJ3731">
        <v>30132</v>
      </c>
      <c r="CK3731">
        <v>1509</v>
      </c>
      <c r="CL3731" t="s">
        <v>1450</v>
      </c>
      <c r="CM3731">
        <v>0</v>
      </c>
      <c r="CN3731">
        <v>0</v>
      </c>
      <c r="CO3731">
        <v>3.97</v>
      </c>
      <c r="CP3731">
        <v>146.61000000000001</v>
      </c>
      <c r="CQ3731">
        <v>4.0199999999999996</v>
      </c>
      <c r="CR3731">
        <v>0</v>
      </c>
      <c r="CS3731" t="s">
        <v>15047</v>
      </c>
      <c r="CT3731">
        <v>4.99</v>
      </c>
      <c r="CU3731">
        <v>4.99</v>
      </c>
      <c r="CV3731">
        <v>1.46</v>
      </c>
      <c r="CW3731">
        <v>0.49</v>
      </c>
      <c r="CX3731">
        <v>0.14000000000000001</v>
      </c>
      <c r="CY3731">
        <v>44.42</v>
      </c>
      <c r="CZ3731" t="s">
        <v>15275</v>
      </c>
      <c r="DA3731">
        <v>31.61</v>
      </c>
      <c r="DB3731">
        <v>9.27</v>
      </c>
      <c r="DC3731">
        <v>8.59</v>
      </c>
      <c r="DD3731">
        <v>1.61</v>
      </c>
      <c r="DE3731">
        <v>2072</v>
      </c>
      <c r="DF3731">
        <v>688128</v>
      </c>
      <c r="DG3731" t="s">
        <v>116</v>
      </c>
      <c r="DH3731" t="s">
        <v>116</v>
      </c>
      <c r="DI3731" t="s">
        <v>116</v>
      </c>
    </row>
    <row r="3732" spans="1:113" x14ac:dyDescent="0.4">
      <c r="A3732" t="str">
        <f>"688138"</f>
        <v>688138</v>
      </c>
      <c r="B3732" t="s">
        <v>15276</v>
      </c>
      <c r="C3732">
        <v>-3.2</v>
      </c>
      <c r="D3732">
        <v>16.920000000000002</v>
      </c>
      <c r="E3732">
        <v>-0.56000000000000005</v>
      </c>
      <c r="F3732">
        <v>16.91</v>
      </c>
      <c r="G3732">
        <v>16.920000000000002</v>
      </c>
      <c r="H3732">
        <v>88075</v>
      </c>
      <c r="I3732">
        <v>493</v>
      </c>
      <c r="J3732">
        <v>0.06</v>
      </c>
      <c r="K3732">
        <v>14.49</v>
      </c>
      <c r="L3732">
        <v>17.28</v>
      </c>
      <c r="M3732">
        <v>17.48</v>
      </c>
      <c r="N3732">
        <v>16.829999999999998</v>
      </c>
      <c r="O3732">
        <v>17.48</v>
      </c>
      <c r="P3732">
        <v>61.19</v>
      </c>
      <c r="Q3732">
        <v>151091216</v>
      </c>
      <c r="R3732">
        <v>1.01</v>
      </c>
      <c r="S3732" t="s">
        <v>233</v>
      </c>
      <c r="T3732" t="s">
        <v>115</v>
      </c>
      <c r="U3732">
        <v>3.72</v>
      </c>
      <c r="V3732">
        <v>17.149999999999999</v>
      </c>
      <c r="W3732">
        <v>55350</v>
      </c>
      <c r="X3732">
        <v>32731</v>
      </c>
      <c r="Y3732">
        <v>1.69</v>
      </c>
      <c r="Z3732">
        <v>468</v>
      </c>
      <c r="AA3732">
        <v>60</v>
      </c>
      <c r="AB3732" t="s">
        <v>116</v>
      </c>
      <c r="AC3732">
        <v>2434400</v>
      </c>
      <c r="AD3732">
        <v>0.23</v>
      </c>
      <c r="AE3732" t="s">
        <v>116</v>
      </c>
      <c r="AF3732" t="s">
        <v>116</v>
      </c>
      <c r="AG3732">
        <v>0.61</v>
      </c>
      <c r="AH3732" t="s">
        <v>7182</v>
      </c>
      <c r="AI3732" t="s">
        <v>9591</v>
      </c>
      <c r="AJ3732">
        <v>-3.13</v>
      </c>
      <c r="AK3732">
        <v>2186</v>
      </c>
      <c r="AL3732">
        <v>40</v>
      </c>
      <c r="AM3732">
        <v>6.6E-3</v>
      </c>
      <c r="AN3732">
        <v>-1</v>
      </c>
      <c r="AO3732">
        <v>3.8</v>
      </c>
      <c r="AP3732">
        <v>9.8699999999999992</v>
      </c>
      <c r="AQ3732">
        <v>92.71</v>
      </c>
      <c r="AR3732">
        <v>92.71</v>
      </c>
      <c r="AS3732">
        <v>14.49</v>
      </c>
      <c r="AT3732" t="s">
        <v>7182</v>
      </c>
      <c r="AU3732">
        <v>61.26</v>
      </c>
      <c r="AV3732">
        <v>72.05</v>
      </c>
      <c r="AW3732">
        <v>0</v>
      </c>
      <c r="BA3732">
        <v>-1.1399999999999999</v>
      </c>
      <c r="BB3732">
        <v>0</v>
      </c>
      <c r="BC3732">
        <v>-3.72</v>
      </c>
      <c r="BD3732">
        <v>-1.86</v>
      </c>
      <c r="BE3732">
        <v>-2.08</v>
      </c>
      <c r="BF3732">
        <v>-3.2</v>
      </c>
      <c r="BG3732">
        <v>0.53</v>
      </c>
      <c r="BH3732">
        <v>-1.34</v>
      </c>
      <c r="BI3732">
        <v>20191119</v>
      </c>
      <c r="BJ3732">
        <v>20191120</v>
      </c>
      <c r="BK3732">
        <v>2.67</v>
      </c>
      <c r="BL3732" t="s">
        <v>116</v>
      </c>
      <c r="BM3732" t="s">
        <v>116</v>
      </c>
      <c r="BN3732">
        <v>8.2200000000000006</v>
      </c>
      <c r="BO3732">
        <v>5.86</v>
      </c>
      <c r="BP3732">
        <v>0</v>
      </c>
      <c r="BQ3732">
        <v>28.68</v>
      </c>
      <c r="BR3732">
        <v>2.73</v>
      </c>
      <c r="BS3732">
        <v>3.7</v>
      </c>
      <c r="BT3732">
        <v>0.18</v>
      </c>
      <c r="BU3732">
        <v>1.72</v>
      </c>
      <c r="BV3732">
        <v>0.59</v>
      </c>
      <c r="BW3732">
        <v>1.43</v>
      </c>
      <c r="BX3732">
        <v>0.27</v>
      </c>
      <c r="BY3732">
        <v>3.49</v>
      </c>
      <c r="BZ3732">
        <v>2.31</v>
      </c>
      <c r="CA3732">
        <v>0.64</v>
      </c>
      <c r="CB3732">
        <v>0.01</v>
      </c>
      <c r="CC3732">
        <v>0.64</v>
      </c>
      <c r="CD3732">
        <v>0.55000000000000004</v>
      </c>
      <c r="CE3732">
        <v>0.55000000000000004</v>
      </c>
      <c r="CF3732">
        <v>0.49</v>
      </c>
      <c r="CG3732">
        <v>3.29</v>
      </c>
      <c r="CH3732">
        <v>0.84</v>
      </c>
      <c r="CI3732">
        <v>-0.26</v>
      </c>
      <c r="CJ3732">
        <v>54542</v>
      </c>
      <c r="CK3732">
        <v>1115</v>
      </c>
      <c r="CL3732" t="s">
        <v>15277</v>
      </c>
      <c r="CM3732">
        <v>0</v>
      </c>
      <c r="CN3732">
        <v>0</v>
      </c>
      <c r="CO3732">
        <v>4.07</v>
      </c>
      <c r="CP3732">
        <v>53.56</v>
      </c>
      <c r="CQ3732">
        <v>12.92</v>
      </c>
      <c r="CR3732">
        <v>0</v>
      </c>
      <c r="CS3732" t="s">
        <v>2782</v>
      </c>
      <c r="CT3732">
        <v>4.1500000000000004</v>
      </c>
      <c r="CU3732">
        <v>4.1500000000000004</v>
      </c>
      <c r="CV3732">
        <v>0.1</v>
      </c>
      <c r="CW3732">
        <v>1.23</v>
      </c>
      <c r="CX3732">
        <v>0.32</v>
      </c>
      <c r="CY3732">
        <v>71.319999999999993</v>
      </c>
      <c r="CZ3732" t="s">
        <v>8501</v>
      </c>
      <c r="DA3732">
        <v>33.9</v>
      </c>
      <c r="DB3732">
        <v>18.34</v>
      </c>
      <c r="DC3732">
        <v>15.84</v>
      </c>
      <c r="DD3732">
        <v>0.15</v>
      </c>
      <c r="DE3732">
        <v>390</v>
      </c>
      <c r="DF3732">
        <v>688138</v>
      </c>
      <c r="DG3732" t="s">
        <v>116</v>
      </c>
      <c r="DH3732" t="s">
        <v>116</v>
      </c>
      <c r="DI3732" t="s">
        <v>116</v>
      </c>
    </row>
    <row r="3733" spans="1:113" x14ac:dyDescent="0.4">
      <c r="A3733" t="str">
        <f>"688139"</f>
        <v>688139</v>
      </c>
      <c r="B3733" t="s">
        <v>15278</v>
      </c>
      <c r="C3733">
        <v>-1.89</v>
      </c>
      <c r="D3733">
        <v>28.57</v>
      </c>
      <c r="E3733">
        <v>-0.55000000000000004</v>
      </c>
      <c r="F3733">
        <v>28.57</v>
      </c>
      <c r="G3733">
        <v>28.6</v>
      </c>
      <c r="H3733">
        <v>34209</v>
      </c>
      <c r="I3733">
        <v>469</v>
      </c>
      <c r="J3733">
        <v>0.18</v>
      </c>
      <c r="K3733">
        <v>4.7</v>
      </c>
      <c r="L3733">
        <v>29.05</v>
      </c>
      <c r="M3733">
        <v>29.29</v>
      </c>
      <c r="N3733">
        <v>28.47</v>
      </c>
      <c r="O3733">
        <v>29.12</v>
      </c>
      <c r="P3733">
        <v>50.95</v>
      </c>
      <c r="Q3733">
        <v>98442784</v>
      </c>
      <c r="R3733">
        <v>1.0900000000000001</v>
      </c>
      <c r="S3733" t="s">
        <v>559</v>
      </c>
      <c r="T3733" t="s">
        <v>645</v>
      </c>
      <c r="U3733">
        <v>2.82</v>
      </c>
      <c r="V3733">
        <v>28.78</v>
      </c>
      <c r="W3733">
        <v>19901</v>
      </c>
      <c r="X3733">
        <v>14310</v>
      </c>
      <c r="Y3733">
        <v>1.39</v>
      </c>
      <c r="Z3733">
        <v>21</v>
      </c>
      <c r="AA3733">
        <v>6</v>
      </c>
      <c r="AB3733" t="s">
        <v>116</v>
      </c>
      <c r="AC3733">
        <v>855700</v>
      </c>
      <c r="AD3733">
        <v>0.04</v>
      </c>
      <c r="AE3733" t="s">
        <v>116</v>
      </c>
      <c r="AF3733" t="s">
        <v>116</v>
      </c>
      <c r="AG3733">
        <v>0.73</v>
      </c>
      <c r="AH3733" t="s">
        <v>7706</v>
      </c>
      <c r="AI3733" t="s">
        <v>15279</v>
      </c>
      <c r="AJ3733">
        <v>-1.81</v>
      </c>
      <c r="AK3733">
        <v>1436</v>
      </c>
      <c r="AL3733">
        <v>24</v>
      </c>
      <c r="AM3733">
        <v>3.3E-3</v>
      </c>
      <c r="AN3733">
        <v>-1</v>
      </c>
      <c r="AO3733">
        <v>2.85</v>
      </c>
      <c r="AP3733">
        <v>0.6</v>
      </c>
      <c r="AQ3733">
        <v>83.97</v>
      </c>
      <c r="AR3733">
        <v>83.97</v>
      </c>
      <c r="AS3733">
        <v>4.7</v>
      </c>
      <c r="AT3733" t="s">
        <v>7706</v>
      </c>
      <c r="AU3733">
        <v>52.46</v>
      </c>
      <c r="AV3733">
        <v>79.489999999999995</v>
      </c>
      <c r="AW3733">
        <v>0</v>
      </c>
      <c r="BA3733">
        <v>-0.24</v>
      </c>
      <c r="BB3733">
        <v>0.57999999999999996</v>
      </c>
      <c r="BC3733">
        <v>-2.23</v>
      </c>
      <c r="BD3733">
        <v>-1.18</v>
      </c>
      <c r="BE3733">
        <v>-1.65</v>
      </c>
      <c r="BF3733">
        <v>-2.46</v>
      </c>
      <c r="BG3733">
        <v>0.35</v>
      </c>
      <c r="BH3733">
        <v>-0.71</v>
      </c>
      <c r="BI3733">
        <v>20191203</v>
      </c>
      <c r="BJ3733">
        <v>20191025</v>
      </c>
      <c r="BK3733">
        <v>3.17</v>
      </c>
      <c r="BL3733" t="s">
        <v>116</v>
      </c>
      <c r="BM3733" t="s">
        <v>116</v>
      </c>
      <c r="BN3733">
        <v>19.329999999999998</v>
      </c>
      <c r="BO3733">
        <v>12.46</v>
      </c>
      <c r="BP3733">
        <v>0.05</v>
      </c>
      <c r="BQ3733">
        <v>35.299999999999997</v>
      </c>
      <c r="BR3733">
        <v>14.83</v>
      </c>
      <c r="BS3733">
        <v>0.42</v>
      </c>
      <c r="BT3733">
        <v>0.3</v>
      </c>
      <c r="BU3733">
        <v>6.79</v>
      </c>
      <c r="BV3733">
        <v>0.73</v>
      </c>
      <c r="BW3733">
        <v>1.17</v>
      </c>
      <c r="BX3733">
        <v>7.88</v>
      </c>
      <c r="BY3733">
        <v>7.28</v>
      </c>
      <c r="BZ3733">
        <v>3.4</v>
      </c>
      <c r="CA3733">
        <v>1.55</v>
      </c>
      <c r="CB3733">
        <v>-0.1</v>
      </c>
      <c r="CC3733">
        <v>1.55</v>
      </c>
      <c r="CD3733">
        <v>1.34</v>
      </c>
      <c r="CE3733">
        <v>1.33</v>
      </c>
      <c r="CF3733">
        <v>1.18</v>
      </c>
      <c r="CG3733">
        <v>2.0499999999999998</v>
      </c>
      <c r="CH3733">
        <v>1.69</v>
      </c>
      <c r="CI3733">
        <v>5.67</v>
      </c>
      <c r="CJ3733">
        <v>63867</v>
      </c>
      <c r="CK3733">
        <v>1140</v>
      </c>
      <c r="CL3733" t="s">
        <v>3844</v>
      </c>
      <c r="CM3733">
        <v>0</v>
      </c>
      <c r="CN3733">
        <v>0</v>
      </c>
      <c r="CO3733">
        <v>3.8</v>
      </c>
      <c r="CP3733">
        <v>53.74</v>
      </c>
      <c r="CQ3733">
        <v>12.44</v>
      </c>
      <c r="CR3733">
        <v>0</v>
      </c>
      <c r="CS3733" t="s">
        <v>10778</v>
      </c>
      <c r="CT3733">
        <v>7.52</v>
      </c>
      <c r="CU3733">
        <v>7.52</v>
      </c>
      <c r="CV3733">
        <v>2.4900000000000002</v>
      </c>
      <c r="CW3733">
        <v>0.65</v>
      </c>
      <c r="CX3733">
        <v>0.53</v>
      </c>
      <c r="CY3733">
        <v>64.44</v>
      </c>
      <c r="CZ3733" t="s">
        <v>2662</v>
      </c>
      <c r="DA3733">
        <v>53.26</v>
      </c>
      <c r="DB3733">
        <v>21.25</v>
      </c>
      <c r="DC3733">
        <v>18.309999999999999</v>
      </c>
      <c r="DD3733">
        <v>0.82</v>
      </c>
      <c r="DE3733">
        <v>802</v>
      </c>
      <c r="DF3733">
        <v>688139</v>
      </c>
      <c r="DG3733" t="s">
        <v>116</v>
      </c>
      <c r="DH3733" t="s">
        <v>116</v>
      </c>
      <c r="DI3733" t="s">
        <v>116</v>
      </c>
    </row>
    <row r="3734" spans="1:113" x14ac:dyDescent="0.4">
      <c r="A3734" t="str">
        <f>"688166"</f>
        <v>688166</v>
      </c>
      <c r="B3734" t="s">
        <v>15280</v>
      </c>
      <c r="C3734">
        <v>2.64</v>
      </c>
      <c r="D3734">
        <v>31.93</v>
      </c>
      <c r="E3734">
        <v>0.82</v>
      </c>
      <c r="F3734">
        <v>31.93</v>
      </c>
      <c r="G3734">
        <v>31.94</v>
      </c>
      <c r="H3734">
        <v>23173</v>
      </c>
      <c r="I3734">
        <v>283</v>
      </c>
      <c r="J3734">
        <v>0.31</v>
      </c>
      <c r="K3734">
        <v>6.27</v>
      </c>
      <c r="L3734">
        <v>31.2</v>
      </c>
      <c r="M3734">
        <v>32.51</v>
      </c>
      <c r="N3734">
        <v>30.6</v>
      </c>
      <c r="O3734">
        <v>31.11</v>
      </c>
      <c r="P3734">
        <v>153.97</v>
      </c>
      <c r="Q3734">
        <v>73348720</v>
      </c>
      <c r="R3734">
        <v>1.29</v>
      </c>
      <c r="S3734" t="s">
        <v>574</v>
      </c>
      <c r="T3734" t="s">
        <v>323</v>
      </c>
      <c r="U3734">
        <v>6.14</v>
      </c>
      <c r="V3734">
        <v>31.65</v>
      </c>
      <c r="W3734">
        <v>9769</v>
      </c>
      <c r="X3734">
        <v>13405</v>
      </c>
      <c r="Y3734">
        <v>0.73</v>
      </c>
      <c r="Z3734">
        <v>191</v>
      </c>
      <c r="AA3734">
        <v>30</v>
      </c>
      <c r="AB3734" t="s">
        <v>116</v>
      </c>
      <c r="AC3734">
        <v>12500</v>
      </c>
      <c r="AD3734">
        <v>0</v>
      </c>
      <c r="AE3734" t="s">
        <v>116</v>
      </c>
      <c r="AF3734" t="s">
        <v>116</v>
      </c>
      <c r="AG3734">
        <v>0.37</v>
      </c>
      <c r="AH3734" t="s">
        <v>11561</v>
      </c>
      <c r="AI3734" t="s">
        <v>15281</v>
      </c>
      <c r="AJ3734">
        <v>2.71</v>
      </c>
      <c r="AK3734">
        <v>1022</v>
      </c>
      <c r="AL3734">
        <v>23</v>
      </c>
      <c r="AM3734">
        <v>6.1000000000000004E-3</v>
      </c>
      <c r="AN3734">
        <v>4</v>
      </c>
      <c r="AO3734">
        <v>3.67</v>
      </c>
      <c r="AP3734">
        <v>15.02</v>
      </c>
      <c r="AQ3734">
        <v>151.22</v>
      </c>
      <c r="AR3734">
        <v>151.22</v>
      </c>
      <c r="AS3734">
        <v>6.27</v>
      </c>
      <c r="AT3734" t="s">
        <v>11561</v>
      </c>
      <c r="AU3734">
        <v>136.93</v>
      </c>
      <c r="AV3734">
        <v>178.84</v>
      </c>
      <c r="AW3734">
        <v>0</v>
      </c>
      <c r="BA3734">
        <v>0.28999999999999998</v>
      </c>
      <c r="BB3734">
        <v>4.5</v>
      </c>
      <c r="BC3734">
        <v>-1.64</v>
      </c>
      <c r="BD3734">
        <v>1.75</v>
      </c>
      <c r="BE3734">
        <v>2.34</v>
      </c>
      <c r="BF3734">
        <v>-1.78</v>
      </c>
      <c r="BG3734">
        <v>4.3499999999999996</v>
      </c>
      <c r="BH3734">
        <v>0.89</v>
      </c>
      <c r="BI3734">
        <v>20191107</v>
      </c>
      <c r="BJ3734">
        <v>20191108</v>
      </c>
      <c r="BK3734">
        <v>4.0999999999999996</v>
      </c>
      <c r="BL3734" t="s">
        <v>116</v>
      </c>
      <c r="BM3734" t="s">
        <v>116</v>
      </c>
      <c r="BN3734">
        <v>9.19</v>
      </c>
      <c r="BO3734">
        <v>8.34</v>
      </c>
      <c r="BP3734">
        <v>0</v>
      </c>
      <c r="BQ3734">
        <v>9.2799999999999994</v>
      </c>
      <c r="BR3734">
        <v>5.8</v>
      </c>
      <c r="BS3734">
        <v>2.2000000000000002</v>
      </c>
      <c r="BT3734">
        <v>0.5</v>
      </c>
      <c r="BU3734">
        <v>0.85</v>
      </c>
      <c r="BV3734">
        <v>1.47</v>
      </c>
      <c r="BW3734">
        <v>1.25</v>
      </c>
      <c r="BX3734">
        <v>3.02</v>
      </c>
      <c r="BY3734">
        <v>3.13</v>
      </c>
      <c r="BZ3734">
        <v>1.19</v>
      </c>
      <c r="CA3734">
        <v>0.71</v>
      </c>
      <c r="CB3734">
        <v>0.04</v>
      </c>
      <c r="CC3734">
        <v>0.71</v>
      </c>
      <c r="CD3734">
        <v>0.64</v>
      </c>
      <c r="CE3734">
        <v>0.64</v>
      </c>
      <c r="CF3734">
        <v>0.55000000000000004</v>
      </c>
      <c r="CG3734">
        <v>1.52</v>
      </c>
      <c r="CH3734">
        <v>7.0000000000000007E-2</v>
      </c>
      <c r="CI3734">
        <v>-0.49</v>
      </c>
      <c r="CJ3734">
        <v>26778</v>
      </c>
      <c r="CK3734">
        <v>1380</v>
      </c>
      <c r="CL3734" t="s">
        <v>3027</v>
      </c>
      <c r="CM3734">
        <v>0</v>
      </c>
      <c r="CN3734">
        <v>0</v>
      </c>
      <c r="CO3734">
        <v>10.28</v>
      </c>
      <c r="CP3734">
        <v>2002.03</v>
      </c>
      <c r="CQ3734">
        <v>41.77</v>
      </c>
      <c r="CR3734">
        <v>0</v>
      </c>
      <c r="CS3734" t="s">
        <v>1636</v>
      </c>
      <c r="CT3734">
        <v>3.11</v>
      </c>
      <c r="CU3734">
        <v>3.11</v>
      </c>
      <c r="CV3734">
        <v>0.74</v>
      </c>
      <c r="CW3734">
        <v>0.37</v>
      </c>
      <c r="CX3734">
        <v>0.02</v>
      </c>
      <c r="CY3734">
        <v>90.72</v>
      </c>
      <c r="CZ3734" t="s">
        <v>5716</v>
      </c>
      <c r="DA3734">
        <v>62.03</v>
      </c>
      <c r="DB3734">
        <v>22.74</v>
      </c>
      <c r="DC3734">
        <v>20.350000000000001</v>
      </c>
      <c r="DD3734">
        <v>0.85</v>
      </c>
      <c r="DE3734">
        <v>558</v>
      </c>
      <c r="DF3734">
        <v>688166</v>
      </c>
      <c r="DG3734" t="s">
        <v>116</v>
      </c>
      <c r="DH3734" t="s">
        <v>116</v>
      </c>
      <c r="DI3734" t="s">
        <v>116</v>
      </c>
    </row>
    <row r="3735" spans="1:113" x14ac:dyDescent="0.4">
      <c r="A3735" t="str">
        <f>"688168"</f>
        <v>688168</v>
      </c>
      <c r="B3735" t="s">
        <v>15282</v>
      </c>
      <c r="C3735">
        <v>-3.53</v>
      </c>
      <c r="D3735">
        <v>101.1</v>
      </c>
      <c r="E3735">
        <v>-3.7</v>
      </c>
      <c r="F3735">
        <v>101.1</v>
      </c>
      <c r="G3735">
        <v>101.11</v>
      </c>
      <c r="H3735">
        <v>6883</v>
      </c>
      <c r="I3735">
        <v>115</v>
      </c>
      <c r="J3735">
        <v>-0.09</v>
      </c>
      <c r="K3735">
        <v>5.93</v>
      </c>
      <c r="L3735">
        <v>105</v>
      </c>
      <c r="M3735">
        <v>105.4</v>
      </c>
      <c r="N3735">
        <v>101.03</v>
      </c>
      <c r="O3735">
        <v>104.8</v>
      </c>
      <c r="P3735">
        <v>176.27</v>
      </c>
      <c r="Q3735">
        <v>71041888</v>
      </c>
      <c r="R3735">
        <v>0.59</v>
      </c>
      <c r="S3735" t="s">
        <v>607</v>
      </c>
      <c r="T3735" t="s">
        <v>165</v>
      </c>
      <c r="U3735">
        <v>4.17</v>
      </c>
      <c r="V3735">
        <v>103.21</v>
      </c>
      <c r="W3735">
        <v>4368</v>
      </c>
      <c r="X3735">
        <v>2517</v>
      </c>
      <c r="Y3735">
        <v>1.74</v>
      </c>
      <c r="Z3735">
        <v>5</v>
      </c>
      <c r="AA3735">
        <v>2</v>
      </c>
      <c r="AB3735" t="s">
        <v>116</v>
      </c>
      <c r="AC3735">
        <v>426300</v>
      </c>
      <c r="AD3735">
        <v>0.03</v>
      </c>
      <c r="AE3735" t="s">
        <v>116</v>
      </c>
      <c r="AF3735" t="s">
        <v>116</v>
      </c>
      <c r="AG3735">
        <v>0.12</v>
      </c>
      <c r="AH3735" t="s">
        <v>4242</v>
      </c>
      <c r="AI3735" t="s">
        <v>15283</v>
      </c>
      <c r="AJ3735">
        <v>-3.45</v>
      </c>
      <c r="AK3735">
        <v>984</v>
      </c>
      <c r="AL3735">
        <v>7</v>
      </c>
      <c r="AM3735">
        <v>6.0000000000000001E-3</v>
      </c>
      <c r="AN3735">
        <v>-2</v>
      </c>
      <c r="AO3735">
        <v>-1.37</v>
      </c>
      <c r="AP3735">
        <v>11.84</v>
      </c>
      <c r="AQ3735">
        <v>-22.84</v>
      </c>
      <c r="AR3735">
        <v>77.739999999999995</v>
      </c>
      <c r="AS3735">
        <v>5.93</v>
      </c>
      <c r="AT3735" t="s">
        <v>4242</v>
      </c>
      <c r="AU3735">
        <v>69.989999999999995</v>
      </c>
      <c r="AV3735">
        <v>84.07</v>
      </c>
      <c r="AW3735">
        <v>1.71</v>
      </c>
      <c r="BA3735">
        <v>0.19</v>
      </c>
      <c r="BB3735">
        <v>0.56999999999999995</v>
      </c>
      <c r="BC3735">
        <v>-3.6</v>
      </c>
      <c r="BD3735">
        <v>-1.51</v>
      </c>
      <c r="BE3735">
        <v>-3.71</v>
      </c>
      <c r="BF3735">
        <v>-4.08</v>
      </c>
      <c r="BG3735">
        <v>7.0000000000000007E-2</v>
      </c>
      <c r="BH3735">
        <v>-2.02</v>
      </c>
      <c r="BI3735">
        <v>20191209</v>
      </c>
      <c r="BJ3735">
        <v>20190906</v>
      </c>
      <c r="BK3735">
        <v>0.51</v>
      </c>
      <c r="BL3735" t="s">
        <v>116</v>
      </c>
      <c r="BM3735" t="s">
        <v>116</v>
      </c>
      <c r="BN3735">
        <v>9.9499999999999993</v>
      </c>
      <c r="BO3735">
        <v>9.48</v>
      </c>
      <c r="BP3735">
        <v>0.01</v>
      </c>
      <c r="BQ3735">
        <v>4.67</v>
      </c>
      <c r="BR3735">
        <v>9.51</v>
      </c>
      <c r="BS3735">
        <v>0.35</v>
      </c>
      <c r="BT3735">
        <v>0.05</v>
      </c>
      <c r="BU3735">
        <v>0.46</v>
      </c>
      <c r="BV3735">
        <v>0.13</v>
      </c>
      <c r="BW3735">
        <v>1.43</v>
      </c>
      <c r="BX3735">
        <v>7.75</v>
      </c>
      <c r="BY3735">
        <v>1.27</v>
      </c>
      <c r="BZ3735">
        <v>0.55000000000000004</v>
      </c>
      <c r="CA3735">
        <v>0.23</v>
      </c>
      <c r="CB3735">
        <v>0</v>
      </c>
      <c r="CC3735">
        <v>0.24</v>
      </c>
      <c r="CD3735">
        <v>0.21</v>
      </c>
      <c r="CE3735">
        <v>0.22</v>
      </c>
      <c r="CF3735">
        <v>0.22</v>
      </c>
      <c r="CG3735">
        <v>1.1299999999999999</v>
      </c>
      <c r="CH3735">
        <v>0.1</v>
      </c>
      <c r="CI3735">
        <v>6.78</v>
      </c>
      <c r="CJ3735">
        <v>7664</v>
      </c>
      <c r="CK3735">
        <v>1514</v>
      </c>
      <c r="CL3735" t="s">
        <v>5964</v>
      </c>
      <c r="CM3735">
        <v>0</v>
      </c>
      <c r="CN3735">
        <v>0</v>
      </c>
      <c r="CO3735">
        <v>5.46</v>
      </c>
      <c r="CP3735">
        <v>512.71</v>
      </c>
      <c r="CQ3735">
        <v>40.659999999999997</v>
      </c>
      <c r="CR3735">
        <v>0</v>
      </c>
      <c r="CS3735" t="s">
        <v>723</v>
      </c>
      <c r="CT3735">
        <v>18.52</v>
      </c>
      <c r="CU3735">
        <v>0</v>
      </c>
      <c r="CV3735">
        <v>15.15</v>
      </c>
      <c r="CW3735">
        <v>2.21</v>
      </c>
      <c r="CX3735">
        <v>0.2</v>
      </c>
      <c r="CY3735">
        <v>95.25</v>
      </c>
      <c r="CZ3735" t="s">
        <v>15284</v>
      </c>
      <c r="DA3735">
        <v>57.09</v>
      </c>
      <c r="DB3735">
        <v>18.27</v>
      </c>
      <c r="DC3735">
        <v>17.3</v>
      </c>
      <c r="DD3735">
        <v>0.21</v>
      </c>
      <c r="DE3735">
        <v>166</v>
      </c>
      <c r="DF3735">
        <v>688168</v>
      </c>
      <c r="DG3735" t="s">
        <v>116</v>
      </c>
      <c r="DH3735" t="s">
        <v>116</v>
      </c>
      <c r="DI3735" t="s">
        <v>116</v>
      </c>
    </row>
    <row r="3736" spans="1:113" x14ac:dyDescent="0.4">
      <c r="A3736" t="str">
        <f>"688188"</f>
        <v>688188</v>
      </c>
      <c r="B3736" t="s">
        <v>15285</v>
      </c>
      <c r="C3736">
        <v>-2.9</v>
      </c>
      <c r="D3736">
        <v>157.78</v>
      </c>
      <c r="E3736">
        <v>-4.72</v>
      </c>
      <c r="F3736">
        <v>157.72</v>
      </c>
      <c r="G3736">
        <v>157.78</v>
      </c>
      <c r="H3736">
        <v>11015</v>
      </c>
      <c r="I3736">
        <v>142</v>
      </c>
      <c r="J3736">
        <v>-0.2</v>
      </c>
      <c r="K3736">
        <v>4.8099999999999996</v>
      </c>
      <c r="L3736">
        <v>162.38999999999999</v>
      </c>
      <c r="M3736">
        <v>164.44</v>
      </c>
      <c r="N3736">
        <v>157.78</v>
      </c>
      <c r="O3736">
        <v>162.5</v>
      </c>
      <c r="P3736">
        <v>61.95</v>
      </c>
      <c r="Q3736">
        <v>177328640</v>
      </c>
      <c r="R3736">
        <v>0.78</v>
      </c>
      <c r="S3736" t="s">
        <v>607</v>
      </c>
      <c r="T3736" t="s">
        <v>1653</v>
      </c>
      <c r="U3736">
        <v>4.0999999999999996</v>
      </c>
      <c r="V3736">
        <v>160.99</v>
      </c>
      <c r="W3736">
        <v>6809</v>
      </c>
      <c r="X3736">
        <v>4208</v>
      </c>
      <c r="Y3736">
        <v>1.62</v>
      </c>
      <c r="Z3736">
        <v>11</v>
      </c>
      <c r="AA3736">
        <v>11</v>
      </c>
      <c r="AB3736" t="s">
        <v>116</v>
      </c>
      <c r="AC3736">
        <v>852500</v>
      </c>
      <c r="AD3736">
        <v>0.02</v>
      </c>
      <c r="AE3736" t="s">
        <v>116</v>
      </c>
      <c r="AF3736" t="s">
        <v>116</v>
      </c>
      <c r="AG3736">
        <v>0.23</v>
      </c>
      <c r="AH3736" t="s">
        <v>15286</v>
      </c>
      <c r="AI3736" t="s">
        <v>15287</v>
      </c>
      <c r="AJ3736">
        <v>-2.83</v>
      </c>
      <c r="AK3736">
        <v>1511</v>
      </c>
      <c r="AL3736">
        <v>7</v>
      </c>
      <c r="AM3736">
        <v>3.2000000000000002E-3</v>
      </c>
      <c r="AN3736">
        <v>-1</v>
      </c>
      <c r="AO3736">
        <v>4.29</v>
      </c>
      <c r="AP3736">
        <v>22.99</v>
      </c>
      <c r="AQ3736">
        <v>11.96</v>
      </c>
      <c r="AR3736">
        <v>130.07</v>
      </c>
      <c r="AS3736">
        <v>4.8099999999999996</v>
      </c>
      <c r="AT3736" t="s">
        <v>15286</v>
      </c>
      <c r="AU3736">
        <v>74.34</v>
      </c>
      <c r="AV3736">
        <v>113.29</v>
      </c>
      <c r="AW3736">
        <v>1.88</v>
      </c>
      <c r="BA3736">
        <v>-7.0000000000000007E-2</v>
      </c>
      <c r="BB3736">
        <v>1.19</v>
      </c>
      <c r="BC3736">
        <v>-2.9</v>
      </c>
      <c r="BD3736">
        <v>-0.93</v>
      </c>
      <c r="BE3736">
        <v>-2.84</v>
      </c>
      <c r="BF3736">
        <v>-4.05</v>
      </c>
      <c r="BG3736">
        <v>0</v>
      </c>
      <c r="BH3736">
        <v>-1.97</v>
      </c>
      <c r="BI3736">
        <v>20191030</v>
      </c>
      <c r="BJ3736">
        <v>20190808</v>
      </c>
      <c r="BK3736">
        <v>1</v>
      </c>
      <c r="BL3736" t="s">
        <v>116</v>
      </c>
      <c r="BM3736" t="s">
        <v>116</v>
      </c>
      <c r="BN3736">
        <v>21.29</v>
      </c>
      <c r="BO3736">
        <v>20.93</v>
      </c>
      <c r="BP3736">
        <v>0</v>
      </c>
      <c r="BQ3736">
        <v>1.72</v>
      </c>
      <c r="BR3736">
        <v>20.04</v>
      </c>
      <c r="BS3736">
        <v>0.05</v>
      </c>
      <c r="BT3736">
        <v>0.91</v>
      </c>
      <c r="BU3736">
        <v>0.25</v>
      </c>
      <c r="BV3736">
        <v>0.15</v>
      </c>
      <c r="BW3736">
        <v>0.22</v>
      </c>
      <c r="BX3736">
        <v>17.21</v>
      </c>
      <c r="BY3736">
        <v>2.78</v>
      </c>
      <c r="BZ3736">
        <v>0.51</v>
      </c>
      <c r="CA3736">
        <v>2.06</v>
      </c>
      <c r="CB3736">
        <v>0.04</v>
      </c>
      <c r="CC3736">
        <v>2.12</v>
      </c>
      <c r="CD3736">
        <v>1.91</v>
      </c>
      <c r="CE3736">
        <v>1.91</v>
      </c>
      <c r="CF3736">
        <v>1.81</v>
      </c>
      <c r="CG3736">
        <v>2.6</v>
      </c>
      <c r="CH3736">
        <v>1.87</v>
      </c>
      <c r="CI3736">
        <v>0.77</v>
      </c>
      <c r="CJ3736">
        <v>17278</v>
      </c>
      <c r="CK3736">
        <v>1326</v>
      </c>
      <c r="CL3736" t="s">
        <v>15288</v>
      </c>
      <c r="CM3736">
        <v>0</v>
      </c>
      <c r="CN3736">
        <v>0</v>
      </c>
      <c r="CO3736">
        <v>7.54</v>
      </c>
      <c r="CP3736">
        <v>84.47</v>
      </c>
      <c r="CQ3736">
        <v>56.75</v>
      </c>
      <c r="CR3736">
        <v>0</v>
      </c>
      <c r="CS3736" t="s">
        <v>15289</v>
      </c>
      <c r="CT3736">
        <v>20.93</v>
      </c>
      <c r="CU3736">
        <v>0</v>
      </c>
      <c r="CV3736">
        <v>17.21</v>
      </c>
      <c r="CW3736">
        <v>2.6</v>
      </c>
      <c r="CX3736">
        <v>1.87</v>
      </c>
      <c r="CY3736">
        <v>98.28</v>
      </c>
      <c r="CZ3736" t="s">
        <v>8921</v>
      </c>
      <c r="DA3736">
        <v>81.569999999999993</v>
      </c>
      <c r="DB3736">
        <v>74.040000000000006</v>
      </c>
      <c r="DC3736">
        <v>68.709999999999994</v>
      </c>
      <c r="DD3736">
        <v>0.21</v>
      </c>
      <c r="DE3736">
        <v>162</v>
      </c>
      <c r="DF3736">
        <v>688188</v>
      </c>
      <c r="DG3736" t="s">
        <v>116</v>
      </c>
      <c r="DH3736" t="s">
        <v>116</v>
      </c>
      <c r="DI3736" t="s">
        <v>116</v>
      </c>
    </row>
    <row r="3737" spans="1:113" x14ac:dyDescent="0.4">
      <c r="A3737" t="str">
        <f>"688196"</f>
        <v>688196</v>
      </c>
      <c r="B3737" t="s">
        <v>15290</v>
      </c>
      <c r="C3737">
        <v>-1.77</v>
      </c>
      <c r="D3737">
        <v>40.51</v>
      </c>
      <c r="E3737">
        <v>-0.73</v>
      </c>
      <c r="F3737">
        <v>40.51</v>
      </c>
      <c r="G3737">
        <v>40.520000000000003</v>
      </c>
      <c r="H3737">
        <v>16575</v>
      </c>
      <c r="I3737">
        <v>276</v>
      </c>
      <c r="J3737">
        <v>-0.11</v>
      </c>
      <c r="K3737">
        <v>6.01</v>
      </c>
      <c r="L3737">
        <v>41.29</v>
      </c>
      <c r="M3737">
        <v>41.38</v>
      </c>
      <c r="N3737">
        <v>40.49</v>
      </c>
      <c r="O3737">
        <v>41.24</v>
      </c>
      <c r="P3737">
        <v>21.01</v>
      </c>
      <c r="Q3737">
        <v>67951120</v>
      </c>
      <c r="R3737">
        <v>0.9</v>
      </c>
      <c r="S3737" t="s">
        <v>140</v>
      </c>
      <c r="T3737" t="s">
        <v>975</v>
      </c>
      <c r="U3737">
        <v>2.16</v>
      </c>
      <c r="V3737">
        <v>41</v>
      </c>
      <c r="W3737">
        <v>10334</v>
      </c>
      <c r="X3737">
        <v>6243</v>
      </c>
      <c r="Y3737">
        <v>1.66</v>
      </c>
      <c r="Z3737">
        <v>43</v>
      </c>
      <c r="AA3737">
        <v>18</v>
      </c>
      <c r="AB3737" t="s">
        <v>116</v>
      </c>
      <c r="AC3737">
        <v>170200</v>
      </c>
      <c r="AD3737">
        <v>0.01</v>
      </c>
      <c r="AE3737" t="s">
        <v>116</v>
      </c>
      <c r="AF3737" t="s">
        <v>116</v>
      </c>
      <c r="AG3737">
        <v>0.28000000000000003</v>
      </c>
      <c r="AH3737" t="s">
        <v>10289</v>
      </c>
      <c r="AI3737" t="s">
        <v>15291</v>
      </c>
      <c r="AJ3737">
        <v>-1.69</v>
      </c>
      <c r="AK3737">
        <v>1156</v>
      </c>
      <c r="AL3737">
        <v>14</v>
      </c>
      <c r="AM3737">
        <v>5.1999999999999998E-3</v>
      </c>
      <c r="AN3737">
        <v>-1</v>
      </c>
      <c r="AO3737">
        <v>1.05</v>
      </c>
      <c r="AP3737">
        <v>3.55</v>
      </c>
      <c r="AQ3737">
        <v>-5.64</v>
      </c>
      <c r="AR3737">
        <v>-5.64</v>
      </c>
      <c r="AS3737">
        <v>6.01</v>
      </c>
      <c r="AT3737" t="s">
        <v>10289</v>
      </c>
      <c r="AU3737">
        <v>23.61</v>
      </c>
      <c r="AV3737">
        <v>36.36</v>
      </c>
      <c r="AW3737">
        <v>0</v>
      </c>
      <c r="BA3737">
        <v>0.12</v>
      </c>
      <c r="BB3737">
        <v>0.34</v>
      </c>
      <c r="BC3737">
        <v>-1.82</v>
      </c>
      <c r="BD3737">
        <v>-0.59</v>
      </c>
      <c r="BE3737">
        <v>-1.89</v>
      </c>
      <c r="BF3737">
        <v>-2.1</v>
      </c>
      <c r="BG3737">
        <v>0.05</v>
      </c>
      <c r="BH3737">
        <v>-1.18</v>
      </c>
      <c r="BI3737">
        <v>20191120</v>
      </c>
      <c r="BJ3737">
        <v>20191121</v>
      </c>
      <c r="BK3737">
        <v>1.2</v>
      </c>
      <c r="BL3737" t="s">
        <v>116</v>
      </c>
      <c r="BM3737" t="s">
        <v>116</v>
      </c>
      <c r="BN3737">
        <v>9.43</v>
      </c>
      <c r="BO3737">
        <v>8.25</v>
      </c>
      <c r="BP3737">
        <v>0</v>
      </c>
      <c r="BQ3737">
        <v>12.5</v>
      </c>
      <c r="BR3737">
        <v>5.47</v>
      </c>
      <c r="BS3737">
        <v>2.76</v>
      </c>
      <c r="BT3737">
        <v>0.53</v>
      </c>
      <c r="BU3737">
        <v>1.03</v>
      </c>
      <c r="BV3737">
        <v>1.1000000000000001</v>
      </c>
      <c r="BW3737">
        <v>0.96</v>
      </c>
      <c r="BX3737">
        <v>0.88</v>
      </c>
      <c r="BY3737">
        <v>10.220000000000001</v>
      </c>
      <c r="BZ3737">
        <v>8.15</v>
      </c>
      <c r="CA3737">
        <v>1.82</v>
      </c>
      <c r="CB3737">
        <v>-0.05</v>
      </c>
      <c r="CC3737">
        <v>1.82</v>
      </c>
      <c r="CD3737">
        <v>1.74</v>
      </c>
      <c r="CE3737">
        <v>1.74</v>
      </c>
      <c r="CF3737">
        <v>1.74</v>
      </c>
      <c r="CG3737">
        <v>6.13</v>
      </c>
      <c r="CH3737">
        <v>2.17</v>
      </c>
      <c r="CI3737">
        <v>0.74</v>
      </c>
      <c r="CJ3737">
        <v>25272</v>
      </c>
      <c r="CK3737">
        <v>1092</v>
      </c>
      <c r="CL3737" t="s">
        <v>8215</v>
      </c>
      <c r="CM3737">
        <v>0</v>
      </c>
      <c r="CN3737">
        <v>0</v>
      </c>
      <c r="CO3737">
        <v>2.4</v>
      </c>
      <c r="CP3737">
        <v>22.39</v>
      </c>
      <c r="CQ3737">
        <v>4.76</v>
      </c>
      <c r="CR3737">
        <v>0</v>
      </c>
      <c r="CS3737" t="s">
        <v>15292</v>
      </c>
      <c r="CT3737">
        <v>16.88</v>
      </c>
      <c r="CU3737">
        <v>16.88</v>
      </c>
      <c r="CV3737">
        <v>0.73</v>
      </c>
      <c r="CW3737">
        <v>5.1100000000000003</v>
      </c>
      <c r="CX3737">
        <v>1.81</v>
      </c>
      <c r="CY3737">
        <v>87.5</v>
      </c>
      <c r="CZ3737" t="s">
        <v>15293</v>
      </c>
      <c r="DA3737">
        <v>20.21</v>
      </c>
      <c r="DB3737">
        <v>17.86</v>
      </c>
      <c r="DC3737">
        <v>16.989999999999998</v>
      </c>
      <c r="DD3737">
        <v>0.42</v>
      </c>
      <c r="DE3737">
        <v>469</v>
      </c>
      <c r="DF3737">
        <v>688196</v>
      </c>
      <c r="DG3737" t="s">
        <v>116</v>
      </c>
      <c r="DH3737" t="s">
        <v>116</v>
      </c>
      <c r="DI3737" t="s">
        <v>116</v>
      </c>
    </row>
    <row r="3738" spans="1:113" x14ac:dyDescent="0.4">
      <c r="A3738" t="str">
        <f>"688198"</f>
        <v>688198</v>
      </c>
      <c r="B3738" t="s">
        <v>15294</v>
      </c>
      <c r="C3738">
        <v>-5.45</v>
      </c>
      <c r="D3738">
        <v>41.14</v>
      </c>
      <c r="E3738">
        <v>-2.37</v>
      </c>
      <c r="F3738">
        <v>41.14</v>
      </c>
      <c r="G3738">
        <v>41.16</v>
      </c>
      <c r="H3738">
        <v>22833</v>
      </c>
      <c r="I3738">
        <v>829</v>
      </c>
      <c r="J3738">
        <v>-1.05</v>
      </c>
      <c r="K3738">
        <v>11.69</v>
      </c>
      <c r="L3738">
        <v>43.15</v>
      </c>
      <c r="M3738">
        <v>43.62</v>
      </c>
      <c r="N3738">
        <v>41.14</v>
      </c>
      <c r="O3738">
        <v>43.51</v>
      </c>
      <c r="P3738">
        <v>62.09</v>
      </c>
      <c r="Q3738">
        <v>96786848</v>
      </c>
      <c r="R3738">
        <v>0.68</v>
      </c>
      <c r="S3738" t="s">
        <v>559</v>
      </c>
      <c r="T3738" t="s">
        <v>165</v>
      </c>
      <c r="U3738">
        <v>5.7</v>
      </c>
      <c r="V3738">
        <v>42.39</v>
      </c>
      <c r="W3738">
        <v>16123</v>
      </c>
      <c r="X3738">
        <v>6710</v>
      </c>
      <c r="Y3738">
        <v>2.4</v>
      </c>
      <c r="Z3738">
        <v>28</v>
      </c>
      <c r="AA3738">
        <v>26</v>
      </c>
      <c r="AB3738" t="s">
        <v>116</v>
      </c>
      <c r="AC3738">
        <v>1315800</v>
      </c>
      <c r="AD3738">
        <v>0.16</v>
      </c>
      <c r="AE3738" t="s">
        <v>116</v>
      </c>
      <c r="AF3738" t="s">
        <v>116</v>
      </c>
      <c r="AG3738">
        <v>0.2</v>
      </c>
      <c r="AH3738" t="s">
        <v>7280</v>
      </c>
      <c r="AI3738" t="s">
        <v>15295</v>
      </c>
      <c r="AJ3738">
        <v>-5.37</v>
      </c>
      <c r="AK3738">
        <v>1286</v>
      </c>
      <c r="AL3738">
        <v>18</v>
      </c>
      <c r="AM3738">
        <v>9.1000000000000004E-3</v>
      </c>
      <c r="AN3738">
        <v>-1</v>
      </c>
      <c r="AO3738">
        <v>-6.82</v>
      </c>
      <c r="AP3738">
        <v>73.73</v>
      </c>
      <c r="AQ3738">
        <v>73.73</v>
      </c>
      <c r="AR3738">
        <v>73.73</v>
      </c>
      <c r="AS3738">
        <v>11.69</v>
      </c>
      <c r="AT3738" t="s">
        <v>7280</v>
      </c>
      <c r="AU3738">
        <v>65.040000000000006</v>
      </c>
      <c r="AV3738">
        <v>79.22</v>
      </c>
      <c r="AW3738">
        <v>0</v>
      </c>
      <c r="BA3738">
        <v>-0.83</v>
      </c>
      <c r="BB3738">
        <v>0.25</v>
      </c>
      <c r="BC3738">
        <v>-5.45</v>
      </c>
      <c r="BD3738">
        <v>-2.58</v>
      </c>
      <c r="BE3738">
        <v>-4.66</v>
      </c>
      <c r="BF3738">
        <v>-5.69</v>
      </c>
      <c r="BG3738">
        <v>0</v>
      </c>
      <c r="BH3738">
        <v>-2.87</v>
      </c>
      <c r="BI3738">
        <v>20191208</v>
      </c>
      <c r="BJ3738">
        <v>20191209</v>
      </c>
      <c r="BK3738">
        <v>0.96</v>
      </c>
      <c r="BL3738" t="s">
        <v>116</v>
      </c>
      <c r="BM3738" t="s">
        <v>116</v>
      </c>
      <c r="BN3738">
        <v>2.6</v>
      </c>
      <c r="BO3738">
        <v>2.44</v>
      </c>
      <c r="BP3738">
        <v>-0.01</v>
      </c>
      <c r="BQ3738">
        <v>6.21</v>
      </c>
      <c r="BR3738">
        <v>2.04</v>
      </c>
      <c r="BS3738">
        <v>0.41</v>
      </c>
      <c r="BT3738">
        <v>0.11</v>
      </c>
      <c r="BU3738">
        <v>0.15</v>
      </c>
      <c r="BV3738">
        <v>0.09</v>
      </c>
      <c r="BW3738">
        <v>0.01</v>
      </c>
      <c r="BX3738">
        <v>0.98</v>
      </c>
      <c r="BY3738">
        <v>1.07</v>
      </c>
      <c r="BZ3738">
        <v>0.09</v>
      </c>
      <c r="CA3738">
        <v>0.55000000000000004</v>
      </c>
      <c r="CB3738">
        <v>0.01</v>
      </c>
      <c r="CC3738">
        <v>0.55000000000000004</v>
      </c>
      <c r="CD3738">
        <v>0.48</v>
      </c>
      <c r="CE3738">
        <v>0.48</v>
      </c>
      <c r="CF3738">
        <v>0.46</v>
      </c>
      <c r="CG3738">
        <v>0.71</v>
      </c>
      <c r="CH3738">
        <v>0.44</v>
      </c>
      <c r="CI3738">
        <v>-1.41</v>
      </c>
      <c r="CJ3738">
        <v>20216</v>
      </c>
      <c r="CK3738">
        <v>966</v>
      </c>
      <c r="CL3738" t="s">
        <v>1713</v>
      </c>
      <c r="CM3738">
        <v>0</v>
      </c>
      <c r="CN3738">
        <v>0</v>
      </c>
      <c r="CO3738">
        <v>5.26</v>
      </c>
      <c r="CP3738">
        <v>89.28</v>
      </c>
      <c r="CQ3738">
        <v>37.08</v>
      </c>
      <c r="CR3738">
        <v>0</v>
      </c>
      <c r="CS3738" t="s">
        <v>10082</v>
      </c>
      <c r="CT3738">
        <v>7.82</v>
      </c>
      <c r="CU3738">
        <v>7.82</v>
      </c>
      <c r="CV3738">
        <v>1.02</v>
      </c>
      <c r="CW3738">
        <v>0.74</v>
      </c>
      <c r="CX3738">
        <v>0.46</v>
      </c>
      <c r="CY3738">
        <v>94.06</v>
      </c>
      <c r="CZ3738" t="s">
        <v>15296</v>
      </c>
      <c r="DA3738">
        <v>91.35</v>
      </c>
      <c r="DB3738">
        <v>51.75</v>
      </c>
      <c r="DC3738">
        <v>44.79</v>
      </c>
      <c r="DD3738">
        <v>0.11</v>
      </c>
      <c r="DE3738">
        <v>167</v>
      </c>
      <c r="DF3738">
        <v>688198</v>
      </c>
      <c r="DG3738" t="s">
        <v>116</v>
      </c>
      <c r="DH3738" t="s">
        <v>116</v>
      </c>
      <c r="DI3738" t="s">
        <v>116</v>
      </c>
    </row>
    <row r="3739" spans="1:113" x14ac:dyDescent="0.4">
      <c r="A3739" t="str">
        <f>"688199"</f>
        <v>688199</v>
      </c>
      <c r="B3739" t="s">
        <v>15297</v>
      </c>
      <c r="C3739">
        <v>-1.22</v>
      </c>
      <c r="D3739">
        <v>60.72</v>
      </c>
      <c r="E3739">
        <v>-0.75</v>
      </c>
      <c r="F3739">
        <v>60.72</v>
      </c>
      <c r="G3739">
        <v>60.73</v>
      </c>
      <c r="H3739">
        <v>13300</v>
      </c>
      <c r="I3739">
        <v>233</v>
      </c>
      <c r="J3739">
        <v>0</v>
      </c>
      <c r="K3739">
        <v>5.16</v>
      </c>
      <c r="L3739">
        <v>61.49</v>
      </c>
      <c r="M3739">
        <v>61.97</v>
      </c>
      <c r="N3739">
        <v>60.63</v>
      </c>
      <c r="O3739">
        <v>61.47</v>
      </c>
      <c r="P3739">
        <v>21.89</v>
      </c>
      <c r="Q3739">
        <v>81421368</v>
      </c>
      <c r="R3739">
        <v>1.03</v>
      </c>
      <c r="S3739" t="s">
        <v>891</v>
      </c>
      <c r="T3739" t="s">
        <v>1035</v>
      </c>
      <c r="U3739">
        <v>2.1800000000000002</v>
      </c>
      <c r="V3739">
        <v>61.22</v>
      </c>
      <c r="W3739">
        <v>7341</v>
      </c>
      <c r="X3739">
        <v>5959</v>
      </c>
      <c r="Y3739">
        <v>1.23</v>
      </c>
      <c r="Z3739">
        <v>21</v>
      </c>
      <c r="AA3739">
        <v>40</v>
      </c>
      <c r="AB3739" t="s">
        <v>116</v>
      </c>
      <c r="AC3739">
        <v>122400</v>
      </c>
      <c r="AD3739">
        <v>0.01</v>
      </c>
      <c r="AE3739" t="s">
        <v>116</v>
      </c>
      <c r="AF3739" t="s">
        <v>116</v>
      </c>
      <c r="AG3739">
        <v>0.26</v>
      </c>
      <c r="AH3739" t="s">
        <v>9453</v>
      </c>
      <c r="AI3739" t="s">
        <v>15298</v>
      </c>
      <c r="AJ3739">
        <v>-1.1399999999999999</v>
      </c>
      <c r="AK3739">
        <v>1198</v>
      </c>
      <c r="AL3739">
        <v>11</v>
      </c>
      <c r="AM3739">
        <v>4.3E-3</v>
      </c>
      <c r="AN3739">
        <v>-1</v>
      </c>
      <c r="AO3739">
        <v>0.88</v>
      </c>
      <c r="AP3739">
        <v>3.05</v>
      </c>
      <c r="AQ3739">
        <v>-8.94</v>
      </c>
      <c r="AR3739">
        <v>-8.94</v>
      </c>
      <c r="AS3739">
        <v>5.16</v>
      </c>
      <c r="AT3739" t="s">
        <v>9453</v>
      </c>
      <c r="AU3739">
        <v>23.83</v>
      </c>
      <c r="AV3739">
        <v>38.39</v>
      </c>
      <c r="AW3739">
        <v>0</v>
      </c>
      <c r="BA3739">
        <v>0.03</v>
      </c>
      <c r="BB3739">
        <v>0.81</v>
      </c>
      <c r="BC3739">
        <v>-1.37</v>
      </c>
      <c r="BD3739">
        <v>-0.41</v>
      </c>
      <c r="BE3739">
        <v>-1.25</v>
      </c>
      <c r="BF3739">
        <v>-2.02</v>
      </c>
      <c r="BG3739">
        <v>0.15</v>
      </c>
      <c r="BH3739">
        <v>-0.81</v>
      </c>
      <c r="BI3739">
        <v>20191106</v>
      </c>
      <c r="BJ3739">
        <v>20191105</v>
      </c>
      <c r="BK3739">
        <v>1.1100000000000001</v>
      </c>
      <c r="BL3739" t="s">
        <v>116</v>
      </c>
      <c r="BM3739" t="s">
        <v>116</v>
      </c>
      <c r="BN3739">
        <v>13.69</v>
      </c>
      <c r="BO3739">
        <v>9.42</v>
      </c>
      <c r="BP3739">
        <v>0.01</v>
      </c>
      <c r="BQ3739">
        <v>31.05</v>
      </c>
      <c r="BR3739">
        <v>6.53</v>
      </c>
      <c r="BS3739">
        <v>4.07</v>
      </c>
      <c r="BT3739">
        <v>0.85</v>
      </c>
      <c r="BU3739">
        <v>3.94</v>
      </c>
      <c r="BV3739">
        <v>3.22</v>
      </c>
      <c r="BW3739">
        <v>2.06</v>
      </c>
      <c r="BX3739">
        <v>3.58</v>
      </c>
      <c r="BY3739">
        <v>10.58</v>
      </c>
      <c r="BZ3739">
        <v>6.35</v>
      </c>
      <c r="CA3739">
        <v>2.83</v>
      </c>
      <c r="CB3739">
        <v>0</v>
      </c>
      <c r="CC3739">
        <v>2.81</v>
      </c>
      <c r="CD3739">
        <v>2.31</v>
      </c>
      <c r="CE3739">
        <v>2.31</v>
      </c>
      <c r="CF3739">
        <v>2.2799999999999998</v>
      </c>
      <c r="CG3739">
        <v>4.6900000000000004</v>
      </c>
      <c r="CH3739">
        <v>0.75</v>
      </c>
      <c r="CI3739">
        <v>-0.86</v>
      </c>
      <c r="CJ3739">
        <v>25200</v>
      </c>
      <c r="CK3739">
        <v>1022</v>
      </c>
      <c r="CL3739" t="s">
        <v>6652</v>
      </c>
      <c r="CM3739">
        <v>0</v>
      </c>
      <c r="CN3739">
        <v>0</v>
      </c>
      <c r="CO3739">
        <v>2.5499999999999998</v>
      </c>
      <c r="CP3739">
        <v>89.47</v>
      </c>
      <c r="CQ3739">
        <v>6.39</v>
      </c>
      <c r="CR3739">
        <v>0</v>
      </c>
      <c r="CS3739" t="s">
        <v>15299</v>
      </c>
      <c r="CT3739">
        <v>23.84</v>
      </c>
      <c r="CU3739">
        <v>23.84</v>
      </c>
      <c r="CV3739">
        <v>3.22</v>
      </c>
      <c r="CW3739">
        <v>4.22</v>
      </c>
      <c r="CX3739">
        <v>0.68</v>
      </c>
      <c r="CY3739">
        <v>68.86</v>
      </c>
      <c r="CZ3739" t="s">
        <v>15300</v>
      </c>
      <c r="DA3739">
        <v>39.97</v>
      </c>
      <c r="DB3739">
        <v>26.73</v>
      </c>
      <c r="DC3739">
        <v>21.88</v>
      </c>
      <c r="DD3739">
        <v>0.5</v>
      </c>
      <c r="DE3739">
        <v>934</v>
      </c>
      <c r="DF3739">
        <v>688199</v>
      </c>
      <c r="DG3739" t="s">
        <v>116</v>
      </c>
      <c r="DH3739" t="s">
        <v>116</v>
      </c>
      <c r="DI3739" t="s">
        <v>116</v>
      </c>
    </row>
    <row r="3740" spans="1:113" x14ac:dyDescent="0.4">
      <c r="A3740" t="str">
        <f>"688202"</f>
        <v>688202</v>
      </c>
      <c r="B3740" t="s">
        <v>15301</v>
      </c>
      <c r="C3740">
        <v>-0.79</v>
      </c>
      <c r="D3740">
        <v>58.09</v>
      </c>
      <c r="E3740">
        <v>-0.46</v>
      </c>
      <c r="F3740">
        <v>58.09</v>
      </c>
      <c r="G3740">
        <v>58.1</v>
      </c>
      <c r="H3740">
        <v>7202</v>
      </c>
      <c r="I3740">
        <v>31</v>
      </c>
      <c r="J3740">
        <v>-0.09</v>
      </c>
      <c r="K3740">
        <v>5.71</v>
      </c>
      <c r="L3740">
        <v>58.66</v>
      </c>
      <c r="M3740">
        <v>58.75</v>
      </c>
      <c r="N3740">
        <v>58</v>
      </c>
      <c r="O3740">
        <v>58.55</v>
      </c>
      <c r="P3740">
        <v>57.85</v>
      </c>
      <c r="Q3740">
        <v>42057200</v>
      </c>
      <c r="R3740">
        <v>0.81</v>
      </c>
      <c r="S3740" t="s">
        <v>559</v>
      </c>
      <c r="T3740" t="s">
        <v>1653</v>
      </c>
      <c r="U3740">
        <v>1.28</v>
      </c>
      <c r="V3740">
        <v>58.39</v>
      </c>
      <c r="W3740">
        <v>4625</v>
      </c>
      <c r="X3740">
        <v>2577</v>
      </c>
      <c r="Y3740">
        <v>1.79</v>
      </c>
      <c r="Z3740">
        <v>15</v>
      </c>
      <c r="AA3740">
        <v>21</v>
      </c>
      <c r="AB3740" t="s">
        <v>116</v>
      </c>
      <c r="AC3740">
        <v>181800</v>
      </c>
      <c r="AD3740">
        <v>0.02</v>
      </c>
      <c r="AE3740" t="s">
        <v>116</v>
      </c>
      <c r="AF3740" t="s">
        <v>116</v>
      </c>
      <c r="AG3740">
        <v>0.13</v>
      </c>
      <c r="AH3740" t="s">
        <v>7228</v>
      </c>
      <c r="AI3740" t="s">
        <v>8973</v>
      </c>
      <c r="AJ3740">
        <v>-0.71</v>
      </c>
      <c r="AK3740">
        <v>751</v>
      </c>
      <c r="AL3740">
        <v>10</v>
      </c>
      <c r="AM3740">
        <v>7.6E-3</v>
      </c>
      <c r="AN3740">
        <v>-1</v>
      </c>
      <c r="AO3740">
        <v>1.1599999999999999</v>
      </c>
      <c r="AP3740">
        <v>-3.74</v>
      </c>
      <c r="AQ3740">
        <v>39.979999999999997</v>
      </c>
      <c r="AR3740">
        <v>39.979999999999997</v>
      </c>
      <c r="AS3740">
        <v>5.71</v>
      </c>
      <c r="AT3740" t="s">
        <v>7228</v>
      </c>
      <c r="AU3740">
        <v>56.24</v>
      </c>
      <c r="AV3740">
        <v>59.26</v>
      </c>
      <c r="AW3740">
        <v>0</v>
      </c>
      <c r="BA3740">
        <v>0.19</v>
      </c>
      <c r="BB3740">
        <v>0.34</v>
      </c>
      <c r="BC3740">
        <v>-0.94</v>
      </c>
      <c r="BD3740">
        <v>-0.27</v>
      </c>
      <c r="BE3740">
        <v>-0.97</v>
      </c>
      <c r="BF3740">
        <v>-1.1200000000000001</v>
      </c>
      <c r="BG3740">
        <v>0.16</v>
      </c>
      <c r="BH3740">
        <v>-0.52</v>
      </c>
      <c r="BI3740">
        <v>20191104</v>
      </c>
      <c r="BJ3740">
        <v>20191105</v>
      </c>
      <c r="BK3740">
        <v>0.62</v>
      </c>
      <c r="BL3740" t="s">
        <v>116</v>
      </c>
      <c r="BM3740" t="s">
        <v>116</v>
      </c>
      <c r="BN3740">
        <v>5.18</v>
      </c>
      <c r="BO3740">
        <v>3.94</v>
      </c>
      <c r="BP3740">
        <v>7.0000000000000007E-2</v>
      </c>
      <c r="BQ3740">
        <v>22.55</v>
      </c>
      <c r="BR3740">
        <v>2.77</v>
      </c>
      <c r="BS3740">
        <v>1.5</v>
      </c>
      <c r="BT3740">
        <v>0.05</v>
      </c>
      <c r="BU3740">
        <v>1.04</v>
      </c>
      <c r="BV3740">
        <v>0.08</v>
      </c>
      <c r="BW3740">
        <v>1.02</v>
      </c>
      <c r="BX3740">
        <v>1.92</v>
      </c>
      <c r="BY3740">
        <v>3.13</v>
      </c>
      <c r="BZ3740">
        <v>2</v>
      </c>
      <c r="CA3740">
        <v>0.54</v>
      </c>
      <c r="CB3740">
        <v>0</v>
      </c>
      <c r="CC3740">
        <v>0.54</v>
      </c>
      <c r="CD3740">
        <v>0.48</v>
      </c>
      <c r="CE3740">
        <v>0.47</v>
      </c>
      <c r="CF3740">
        <v>0.44</v>
      </c>
      <c r="CG3740">
        <v>1.42</v>
      </c>
      <c r="CH3740">
        <v>0.28999999999999998</v>
      </c>
      <c r="CI3740">
        <v>-0.33</v>
      </c>
      <c r="CJ3740">
        <v>14217</v>
      </c>
      <c r="CK3740">
        <v>888</v>
      </c>
      <c r="CL3740" t="s">
        <v>3589</v>
      </c>
      <c r="CM3740">
        <v>0</v>
      </c>
      <c r="CN3740">
        <v>0</v>
      </c>
      <c r="CO3740">
        <v>3.7</v>
      </c>
      <c r="CP3740">
        <v>124.98</v>
      </c>
      <c r="CQ3740">
        <v>11.5</v>
      </c>
      <c r="CR3740">
        <v>0</v>
      </c>
      <c r="CS3740" t="s">
        <v>6779</v>
      </c>
      <c r="CT3740">
        <v>15.7</v>
      </c>
      <c r="CU3740">
        <v>15.7</v>
      </c>
      <c r="CV3740">
        <v>3.1</v>
      </c>
      <c r="CW3740">
        <v>2.29</v>
      </c>
      <c r="CX3740">
        <v>0.46</v>
      </c>
      <c r="CY3740">
        <v>76.13</v>
      </c>
      <c r="CZ3740" t="s">
        <v>2013</v>
      </c>
      <c r="DA3740">
        <v>36.090000000000003</v>
      </c>
      <c r="DB3740">
        <v>17.32</v>
      </c>
      <c r="DC3740">
        <v>14.91</v>
      </c>
      <c r="DD3740">
        <v>0.19</v>
      </c>
      <c r="DE3740">
        <v>1054</v>
      </c>
      <c r="DF3740">
        <v>688202</v>
      </c>
      <c r="DG3740" t="s">
        <v>116</v>
      </c>
      <c r="DH3740" t="s">
        <v>116</v>
      </c>
      <c r="DI3740" t="s">
        <v>116</v>
      </c>
    </row>
    <row r="3741" spans="1:113" x14ac:dyDescent="0.4">
      <c r="A3741" t="str">
        <f>"688218"</f>
        <v>688218</v>
      </c>
      <c r="B3741" t="s">
        <v>15302</v>
      </c>
      <c r="C3741">
        <v>-2.77</v>
      </c>
      <c r="D3741">
        <v>28.41</v>
      </c>
      <c r="E3741">
        <v>-0.81</v>
      </c>
      <c r="F3741">
        <v>28.4</v>
      </c>
      <c r="G3741">
        <v>28.41</v>
      </c>
      <c r="H3741">
        <v>31530</v>
      </c>
      <c r="I3741">
        <v>310</v>
      </c>
      <c r="J3741">
        <v>-0.13</v>
      </c>
      <c r="K3741">
        <v>12.96</v>
      </c>
      <c r="L3741">
        <v>29.22</v>
      </c>
      <c r="M3741">
        <v>29.4</v>
      </c>
      <c r="N3741">
        <v>28.4</v>
      </c>
      <c r="O3741">
        <v>29.22</v>
      </c>
      <c r="P3741">
        <v>77.540000000000006</v>
      </c>
      <c r="Q3741">
        <v>91081504</v>
      </c>
      <c r="R3741">
        <v>0.89</v>
      </c>
      <c r="S3741" t="s">
        <v>682</v>
      </c>
      <c r="T3741" t="s">
        <v>323</v>
      </c>
      <c r="U3741">
        <v>3.42</v>
      </c>
      <c r="V3741">
        <v>28.89</v>
      </c>
      <c r="W3741">
        <v>20805</v>
      </c>
      <c r="X3741">
        <v>10726</v>
      </c>
      <c r="Y3741">
        <v>1.94</v>
      </c>
      <c r="Z3741">
        <v>176</v>
      </c>
      <c r="AA3741">
        <v>260</v>
      </c>
      <c r="AB3741" t="s">
        <v>116</v>
      </c>
      <c r="AC3741">
        <v>302900</v>
      </c>
      <c r="AD3741">
        <v>0.04</v>
      </c>
      <c r="AE3741" t="s">
        <v>116</v>
      </c>
      <c r="AF3741" t="s">
        <v>116</v>
      </c>
      <c r="AG3741">
        <v>0.24</v>
      </c>
      <c r="AH3741" t="s">
        <v>14657</v>
      </c>
      <c r="AI3741" t="s">
        <v>1247</v>
      </c>
      <c r="AJ3741">
        <v>-2.7</v>
      </c>
      <c r="AK3741">
        <v>1438</v>
      </c>
      <c r="AL3741">
        <v>22</v>
      </c>
      <c r="AM3741">
        <v>8.9999999999999993E-3</v>
      </c>
      <c r="AN3741">
        <v>-1</v>
      </c>
      <c r="AO3741">
        <v>-2.1</v>
      </c>
      <c r="AP3741">
        <v>63.65</v>
      </c>
      <c r="AQ3741">
        <v>63.65</v>
      </c>
      <c r="AR3741">
        <v>63.65</v>
      </c>
      <c r="AS3741">
        <v>12.96</v>
      </c>
      <c r="AT3741" t="s">
        <v>14657</v>
      </c>
      <c r="AU3741">
        <v>68.61</v>
      </c>
      <c r="AV3741">
        <v>68.86</v>
      </c>
      <c r="AW3741">
        <v>0</v>
      </c>
      <c r="BA3741">
        <v>0</v>
      </c>
      <c r="BB3741">
        <v>0.62</v>
      </c>
      <c r="BC3741">
        <v>-2.81</v>
      </c>
      <c r="BD3741">
        <v>-1.1399999999999999</v>
      </c>
      <c r="BE3741">
        <v>-2.77</v>
      </c>
      <c r="BF3741">
        <v>-3.37</v>
      </c>
      <c r="BG3741">
        <v>0.04</v>
      </c>
      <c r="BH3741">
        <v>-1.63</v>
      </c>
      <c r="BI3741">
        <v>20191210</v>
      </c>
      <c r="BJ3741">
        <v>20191211</v>
      </c>
      <c r="BK3741">
        <v>1.17</v>
      </c>
      <c r="BL3741" t="s">
        <v>116</v>
      </c>
      <c r="BM3741" t="s">
        <v>116</v>
      </c>
      <c r="BN3741">
        <v>7.91</v>
      </c>
      <c r="BO3741">
        <v>3.79</v>
      </c>
      <c r="BP3741">
        <v>0.04</v>
      </c>
      <c r="BQ3741">
        <v>51.61</v>
      </c>
      <c r="BR3741">
        <v>6.69</v>
      </c>
      <c r="BS3741">
        <v>0.64</v>
      </c>
      <c r="BT3741">
        <v>0.28999999999999998</v>
      </c>
      <c r="BU3741">
        <v>3.85</v>
      </c>
      <c r="BV3741">
        <v>3.8</v>
      </c>
      <c r="BW3741">
        <v>1.36</v>
      </c>
      <c r="BX3741">
        <v>1.76</v>
      </c>
      <c r="BY3741">
        <v>3.08</v>
      </c>
      <c r="BZ3741">
        <v>2.36</v>
      </c>
      <c r="CA3741">
        <v>0.35</v>
      </c>
      <c r="CB3741">
        <v>0.01</v>
      </c>
      <c r="CC3741">
        <v>0.36</v>
      </c>
      <c r="CD3741">
        <v>0.32</v>
      </c>
      <c r="CE3741">
        <v>0.32</v>
      </c>
      <c r="CF3741">
        <v>0.28999999999999998</v>
      </c>
      <c r="CG3741">
        <v>1.04</v>
      </c>
      <c r="CH3741">
        <v>-0.63</v>
      </c>
      <c r="CI3741">
        <v>-0.01</v>
      </c>
      <c r="CJ3741">
        <v>23181</v>
      </c>
      <c r="CK3741">
        <v>1049</v>
      </c>
      <c r="CL3741" t="s">
        <v>11148</v>
      </c>
      <c r="CM3741">
        <v>0</v>
      </c>
      <c r="CN3741">
        <v>0</v>
      </c>
      <c r="CO3741">
        <v>4.0999999999999996</v>
      </c>
      <c r="CP3741">
        <v>-53.01</v>
      </c>
      <c r="CQ3741">
        <v>10.83</v>
      </c>
      <c r="CR3741">
        <v>0</v>
      </c>
      <c r="CS3741" t="s">
        <v>3543</v>
      </c>
      <c r="CT3741">
        <v>6.92</v>
      </c>
      <c r="CU3741">
        <v>6.92</v>
      </c>
      <c r="CV3741">
        <v>1.5</v>
      </c>
      <c r="CW3741">
        <v>0.89</v>
      </c>
      <c r="CX3741">
        <v>-0.54</v>
      </c>
      <c r="CY3741">
        <v>47.93</v>
      </c>
      <c r="CZ3741" t="s">
        <v>12564</v>
      </c>
      <c r="DA3741">
        <v>23.48</v>
      </c>
      <c r="DB3741">
        <v>11.38</v>
      </c>
      <c r="DC3741">
        <v>10.47</v>
      </c>
      <c r="DD3741">
        <v>0.15</v>
      </c>
      <c r="DE3741">
        <v>493</v>
      </c>
      <c r="DF3741">
        <v>688218</v>
      </c>
      <c r="DG3741" t="s">
        <v>116</v>
      </c>
      <c r="DH3741" t="s">
        <v>116</v>
      </c>
      <c r="DI3741" t="s">
        <v>116</v>
      </c>
    </row>
    <row r="3742" spans="1:113" x14ac:dyDescent="0.4">
      <c r="A3742" t="str">
        <f>"688258"</f>
        <v>688258</v>
      </c>
      <c r="B3742" t="s">
        <v>15303</v>
      </c>
      <c r="C3742">
        <v>-6.96</v>
      </c>
      <c r="D3742">
        <v>81.239999999999995</v>
      </c>
      <c r="E3742">
        <v>-6.08</v>
      </c>
      <c r="F3742">
        <v>81.239999999999995</v>
      </c>
      <c r="G3742">
        <v>81.849999999999994</v>
      </c>
      <c r="H3742">
        <v>36331</v>
      </c>
      <c r="I3742">
        <v>668</v>
      </c>
      <c r="J3742">
        <v>-1.04</v>
      </c>
      <c r="K3742">
        <v>18.37</v>
      </c>
      <c r="L3742">
        <v>86.3</v>
      </c>
      <c r="M3742">
        <v>87.25</v>
      </c>
      <c r="N3742">
        <v>81.239999999999995</v>
      </c>
      <c r="O3742">
        <v>87.32</v>
      </c>
      <c r="P3742">
        <v>276</v>
      </c>
      <c r="Q3742">
        <v>305319328</v>
      </c>
      <c r="R3742">
        <v>1</v>
      </c>
      <c r="S3742" t="s">
        <v>607</v>
      </c>
      <c r="T3742" t="s">
        <v>323</v>
      </c>
      <c r="U3742">
        <v>6.88</v>
      </c>
      <c r="V3742">
        <v>84.04</v>
      </c>
      <c r="W3742">
        <v>22374</v>
      </c>
      <c r="X3742">
        <v>13957</v>
      </c>
      <c r="Y3742">
        <v>1.6</v>
      </c>
      <c r="Z3742">
        <v>6</v>
      </c>
      <c r="AA3742">
        <v>28</v>
      </c>
      <c r="AB3742" t="s">
        <v>116</v>
      </c>
      <c r="AC3742">
        <v>4441800</v>
      </c>
      <c r="AD3742">
        <v>0.26</v>
      </c>
      <c r="AE3742" t="s">
        <v>116</v>
      </c>
      <c r="AF3742" t="s">
        <v>116</v>
      </c>
      <c r="AG3742">
        <v>0.2</v>
      </c>
      <c r="AH3742" t="s">
        <v>14144</v>
      </c>
      <c r="AI3742" t="s">
        <v>15304</v>
      </c>
      <c r="AJ3742">
        <v>-6.89</v>
      </c>
      <c r="AK3742">
        <v>2158</v>
      </c>
      <c r="AL3742">
        <v>17</v>
      </c>
      <c r="AM3742">
        <v>8.5000000000000006E-3</v>
      </c>
      <c r="AN3742">
        <v>-2</v>
      </c>
      <c r="AO3742">
        <v>-10.25</v>
      </c>
      <c r="AP3742">
        <v>206.68</v>
      </c>
      <c r="AQ3742">
        <v>206.68</v>
      </c>
      <c r="AR3742">
        <v>206.68</v>
      </c>
      <c r="AS3742">
        <v>18.37</v>
      </c>
      <c r="AT3742" t="s">
        <v>14144</v>
      </c>
      <c r="AU3742">
        <v>153.03</v>
      </c>
      <c r="AV3742">
        <v>136.96</v>
      </c>
      <c r="AW3742">
        <v>0</v>
      </c>
      <c r="BA3742">
        <v>-1.17</v>
      </c>
      <c r="BB3742">
        <v>-0.08</v>
      </c>
      <c r="BC3742">
        <v>-6.96</v>
      </c>
      <c r="BD3742">
        <v>-3.76</v>
      </c>
      <c r="BE3742">
        <v>-5.86</v>
      </c>
      <c r="BF3742">
        <v>-6.89</v>
      </c>
      <c r="BG3742">
        <v>0</v>
      </c>
      <c r="BH3742">
        <v>-3.2</v>
      </c>
      <c r="BI3742">
        <v>20191208</v>
      </c>
      <c r="BJ3742">
        <v>20191209</v>
      </c>
      <c r="BK3742">
        <v>0.87</v>
      </c>
      <c r="BL3742" t="s">
        <v>116</v>
      </c>
      <c r="BM3742" t="s">
        <v>116</v>
      </c>
      <c r="BN3742">
        <v>3.99</v>
      </c>
      <c r="BO3742">
        <v>3.21</v>
      </c>
      <c r="BP3742">
        <v>0</v>
      </c>
      <c r="BQ3742">
        <v>19.62</v>
      </c>
      <c r="BR3742">
        <v>2.94</v>
      </c>
      <c r="BS3742">
        <v>0.56000000000000005</v>
      </c>
      <c r="BT3742">
        <v>0.02</v>
      </c>
      <c r="BU3742">
        <v>0.66</v>
      </c>
      <c r="BV3742">
        <v>0.2</v>
      </c>
      <c r="BW3742">
        <v>1.44</v>
      </c>
      <c r="BX3742">
        <v>0.69</v>
      </c>
      <c r="BY3742">
        <v>1.33</v>
      </c>
      <c r="BZ3742">
        <v>0.68</v>
      </c>
      <c r="CA3742">
        <v>0.22</v>
      </c>
      <c r="CB3742">
        <v>0</v>
      </c>
      <c r="CC3742">
        <v>0.22</v>
      </c>
      <c r="CD3742">
        <v>0.19</v>
      </c>
      <c r="CE3742">
        <v>0.19</v>
      </c>
      <c r="CF3742">
        <v>0.25</v>
      </c>
      <c r="CG3742">
        <v>1.71</v>
      </c>
      <c r="CH3742">
        <v>0.28000000000000003</v>
      </c>
      <c r="CI3742">
        <v>0.48</v>
      </c>
      <c r="CJ3742">
        <v>20266</v>
      </c>
      <c r="CK3742">
        <v>976</v>
      </c>
      <c r="CL3742" t="s">
        <v>6153</v>
      </c>
      <c r="CM3742">
        <v>0</v>
      </c>
      <c r="CN3742">
        <v>0</v>
      </c>
      <c r="CO3742">
        <v>8.4700000000000006</v>
      </c>
      <c r="CP3742">
        <v>253.72</v>
      </c>
      <c r="CQ3742">
        <v>53.23</v>
      </c>
      <c r="CR3742">
        <v>0</v>
      </c>
      <c r="CS3742" t="s">
        <v>1528</v>
      </c>
      <c r="CT3742">
        <v>9.59</v>
      </c>
      <c r="CU3742">
        <v>9.59</v>
      </c>
      <c r="CV3742">
        <v>0.79</v>
      </c>
      <c r="CW3742">
        <v>1.97</v>
      </c>
      <c r="CX3742">
        <v>0.32</v>
      </c>
      <c r="CY3742">
        <v>80.38</v>
      </c>
      <c r="CZ3742" t="s">
        <v>8344</v>
      </c>
      <c r="DA3742">
        <v>48.88</v>
      </c>
      <c r="DB3742">
        <v>16.420000000000002</v>
      </c>
      <c r="DC3742">
        <v>14.46</v>
      </c>
      <c r="DD3742">
        <v>0.19</v>
      </c>
      <c r="DE3742">
        <v>388</v>
      </c>
      <c r="DF3742">
        <v>688258</v>
      </c>
      <c r="DG3742" t="s">
        <v>116</v>
      </c>
      <c r="DH3742" t="s">
        <v>116</v>
      </c>
      <c r="DI3742" t="s">
        <v>116</v>
      </c>
    </row>
    <row r="3743" spans="1:113" x14ac:dyDescent="0.4">
      <c r="A3743" t="str">
        <f>"688268"</f>
        <v>688268</v>
      </c>
      <c r="B3743" t="s">
        <v>15305</v>
      </c>
      <c r="C3743">
        <v>-7.69</v>
      </c>
      <c r="D3743">
        <v>48</v>
      </c>
      <c r="E3743">
        <v>-4</v>
      </c>
      <c r="F3743">
        <v>48</v>
      </c>
      <c r="G3743">
        <v>48.11</v>
      </c>
      <c r="H3743">
        <v>155184</v>
      </c>
      <c r="I3743">
        <v>1473</v>
      </c>
      <c r="J3743">
        <v>-1.57</v>
      </c>
      <c r="K3743">
        <v>57</v>
      </c>
      <c r="L3743">
        <v>52.4</v>
      </c>
      <c r="M3743">
        <v>52.4</v>
      </c>
      <c r="N3743">
        <v>46.02</v>
      </c>
      <c r="O3743">
        <v>52</v>
      </c>
      <c r="P3743">
        <v>67.16</v>
      </c>
      <c r="Q3743">
        <v>755728064</v>
      </c>
      <c r="R3743">
        <v>0.73</v>
      </c>
      <c r="S3743" t="s">
        <v>891</v>
      </c>
      <c r="T3743" t="s">
        <v>551</v>
      </c>
      <c r="U3743">
        <v>12.27</v>
      </c>
      <c r="V3743">
        <v>48.7</v>
      </c>
      <c r="W3743">
        <v>86953</v>
      </c>
      <c r="X3743">
        <v>68237</v>
      </c>
      <c r="Y3743">
        <v>1.27</v>
      </c>
      <c r="Z3743">
        <v>91</v>
      </c>
      <c r="AA3743">
        <v>57</v>
      </c>
      <c r="AB3743" t="s">
        <v>116</v>
      </c>
      <c r="AC3743">
        <v>28407300</v>
      </c>
      <c r="AD3743">
        <v>1.99</v>
      </c>
      <c r="AE3743" t="s">
        <v>116</v>
      </c>
      <c r="AF3743" t="s">
        <v>116</v>
      </c>
      <c r="AG3743">
        <v>0.27</v>
      </c>
      <c r="AH3743" t="s">
        <v>10054</v>
      </c>
      <c r="AI3743" t="s">
        <v>5874</v>
      </c>
      <c r="AJ3743">
        <v>-7.62</v>
      </c>
      <c r="AK3743">
        <v>3370</v>
      </c>
      <c r="AL3743">
        <v>46</v>
      </c>
      <c r="AM3743">
        <v>1.6899999999999998E-2</v>
      </c>
      <c r="AN3743">
        <v>-1</v>
      </c>
      <c r="AO3743">
        <v>116.61</v>
      </c>
      <c r="AP3743">
        <v>116.61</v>
      </c>
      <c r="AQ3743">
        <v>116.61</v>
      </c>
      <c r="AR3743">
        <v>116.61</v>
      </c>
      <c r="AS3743">
        <v>57</v>
      </c>
      <c r="AT3743" t="s">
        <v>10054</v>
      </c>
      <c r="AU3743">
        <v>65.36</v>
      </c>
      <c r="AV3743">
        <v>84.9</v>
      </c>
      <c r="AW3743">
        <v>0</v>
      </c>
      <c r="BA3743">
        <v>0.77</v>
      </c>
      <c r="BB3743">
        <v>0.77</v>
      </c>
      <c r="BC3743">
        <v>-11.5</v>
      </c>
      <c r="BD3743">
        <v>-6.35</v>
      </c>
      <c r="BE3743">
        <v>-8.4</v>
      </c>
      <c r="BF3743">
        <v>-8.4</v>
      </c>
      <c r="BG3743">
        <v>4.3</v>
      </c>
      <c r="BH3743">
        <v>-1.34</v>
      </c>
      <c r="BI3743">
        <v>20191225</v>
      </c>
      <c r="BJ3743">
        <v>20191226</v>
      </c>
      <c r="BK3743">
        <v>1.2</v>
      </c>
      <c r="BL3743" t="s">
        <v>116</v>
      </c>
      <c r="BM3743" t="s">
        <v>116</v>
      </c>
      <c r="BN3743">
        <v>7.91</v>
      </c>
      <c r="BO3743">
        <v>6.05</v>
      </c>
      <c r="BP3743">
        <v>0</v>
      </c>
      <c r="BQ3743">
        <v>23.46</v>
      </c>
      <c r="BR3743">
        <v>4.9400000000000004</v>
      </c>
      <c r="BS3743">
        <v>2.1800000000000002</v>
      </c>
      <c r="BT3743">
        <v>0.19</v>
      </c>
      <c r="BU3743">
        <v>1.79</v>
      </c>
      <c r="BV3743">
        <v>1.07</v>
      </c>
      <c r="BW3743">
        <v>1.84</v>
      </c>
      <c r="BX3743">
        <v>2.0499999999999998</v>
      </c>
      <c r="BY3743">
        <v>6.08</v>
      </c>
      <c r="BZ3743">
        <v>3.9</v>
      </c>
      <c r="CA3743">
        <v>0.74</v>
      </c>
      <c r="CB3743">
        <v>0.02</v>
      </c>
      <c r="CC3743">
        <v>0.76</v>
      </c>
      <c r="CD3743">
        <v>0.64</v>
      </c>
      <c r="CE3743">
        <v>0.64</v>
      </c>
      <c r="CF3743">
        <v>0.57999999999999996</v>
      </c>
      <c r="CG3743">
        <v>2.69</v>
      </c>
      <c r="CH3743">
        <v>0.67</v>
      </c>
      <c r="CI3743">
        <v>-0.32</v>
      </c>
      <c r="CJ3743">
        <v>26566</v>
      </c>
      <c r="CK3743">
        <v>1025</v>
      </c>
      <c r="CL3743" t="s">
        <v>6947</v>
      </c>
      <c r="CM3743">
        <v>0</v>
      </c>
      <c r="CN3743">
        <v>0</v>
      </c>
      <c r="CO3743">
        <v>4.8499999999999996</v>
      </c>
      <c r="CP3743">
        <v>86.44</v>
      </c>
      <c r="CQ3743">
        <v>9.4700000000000006</v>
      </c>
      <c r="CR3743">
        <v>0</v>
      </c>
      <c r="CS3743" t="s">
        <v>11289</v>
      </c>
      <c r="CT3743">
        <v>9.9</v>
      </c>
      <c r="CU3743">
        <v>9.9</v>
      </c>
      <c r="CV3743">
        <v>1.71</v>
      </c>
      <c r="CW3743">
        <v>2.2400000000000002</v>
      </c>
      <c r="CX3743">
        <v>0.56000000000000005</v>
      </c>
      <c r="CY3743">
        <v>76.540000000000006</v>
      </c>
      <c r="CZ3743" t="s">
        <v>15306</v>
      </c>
      <c r="DA3743">
        <v>35.81</v>
      </c>
      <c r="DB3743">
        <v>12.21</v>
      </c>
      <c r="DC3743">
        <v>10.57</v>
      </c>
      <c r="DD3743">
        <v>0.17</v>
      </c>
      <c r="DE3743">
        <v>830</v>
      </c>
      <c r="DF3743">
        <v>688268</v>
      </c>
      <c r="DG3743" t="s">
        <v>116</v>
      </c>
      <c r="DH3743" t="s">
        <v>116</v>
      </c>
      <c r="DI3743" t="s">
        <v>116</v>
      </c>
    </row>
    <row r="3744" spans="1:113" x14ac:dyDescent="0.4">
      <c r="A3744" t="str">
        <f>"688288"</f>
        <v>688288</v>
      </c>
      <c r="B3744" t="s">
        <v>15307</v>
      </c>
      <c r="C3744">
        <v>-3.05</v>
      </c>
      <c r="D3744">
        <v>32.1</v>
      </c>
      <c r="E3744">
        <v>-1.01</v>
      </c>
      <c r="F3744">
        <v>32.090000000000003</v>
      </c>
      <c r="G3744">
        <v>32.1</v>
      </c>
      <c r="H3744">
        <v>22344</v>
      </c>
      <c r="I3744">
        <v>669</v>
      </c>
      <c r="J3744">
        <v>-0.27</v>
      </c>
      <c r="K3744">
        <v>10.98</v>
      </c>
      <c r="L3744">
        <v>33.08</v>
      </c>
      <c r="M3744">
        <v>33.4</v>
      </c>
      <c r="N3744">
        <v>32.020000000000003</v>
      </c>
      <c r="O3744">
        <v>33.11</v>
      </c>
      <c r="P3744">
        <v>49.11</v>
      </c>
      <c r="Q3744">
        <v>73237224</v>
      </c>
      <c r="R3744">
        <v>0.83</v>
      </c>
      <c r="S3744" t="s">
        <v>293</v>
      </c>
      <c r="T3744" t="s">
        <v>590</v>
      </c>
      <c r="U3744">
        <v>4.17</v>
      </c>
      <c r="V3744">
        <v>32.78</v>
      </c>
      <c r="W3744">
        <v>14057</v>
      </c>
      <c r="X3744">
        <v>8288</v>
      </c>
      <c r="Y3744">
        <v>1.7</v>
      </c>
      <c r="Z3744">
        <v>10</v>
      </c>
      <c r="AA3744">
        <v>392</v>
      </c>
      <c r="AB3744" t="s">
        <v>116</v>
      </c>
      <c r="AC3744">
        <v>1008900</v>
      </c>
      <c r="AD3744">
        <v>0.15</v>
      </c>
      <c r="AE3744" t="s">
        <v>116</v>
      </c>
      <c r="AF3744" t="s">
        <v>116</v>
      </c>
      <c r="AG3744">
        <v>0.2</v>
      </c>
      <c r="AH3744" t="s">
        <v>15308</v>
      </c>
      <c r="AI3744" t="s">
        <v>14643</v>
      </c>
      <c r="AJ3744">
        <v>-2.97</v>
      </c>
      <c r="AK3744">
        <v>1206</v>
      </c>
      <c r="AL3744">
        <v>19</v>
      </c>
      <c r="AM3744">
        <v>9.1000000000000004E-3</v>
      </c>
      <c r="AN3744">
        <v>-2</v>
      </c>
      <c r="AO3744">
        <v>-1.89</v>
      </c>
      <c r="AP3744">
        <v>5.59</v>
      </c>
      <c r="AQ3744">
        <v>28.45</v>
      </c>
      <c r="AR3744">
        <v>28.45</v>
      </c>
      <c r="AS3744">
        <v>10.98</v>
      </c>
      <c r="AT3744" t="s">
        <v>15308</v>
      </c>
      <c r="AU3744">
        <v>49.4</v>
      </c>
      <c r="AV3744">
        <v>56.2</v>
      </c>
      <c r="AW3744">
        <v>0</v>
      </c>
      <c r="BA3744">
        <v>-0.09</v>
      </c>
      <c r="BB3744">
        <v>0.88</v>
      </c>
      <c r="BC3744">
        <v>-3.29</v>
      </c>
      <c r="BD3744">
        <v>-1.01</v>
      </c>
      <c r="BE3744">
        <v>-2.96</v>
      </c>
      <c r="BF3744">
        <v>-3.89</v>
      </c>
      <c r="BG3744">
        <v>0.25</v>
      </c>
      <c r="BH3744">
        <v>-2.0499999999999998</v>
      </c>
      <c r="BI3744">
        <v>20191105</v>
      </c>
      <c r="BJ3744">
        <v>20191106</v>
      </c>
      <c r="BK3744">
        <v>1</v>
      </c>
      <c r="BL3744" t="s">
        <v>116</v>
      </c>
      <c r="BM3744" t="s">
        <v>116</v>
      </c>
      <c r="BN3744">
        <v>3.32</v>
      </c>
      <c r="BO3744">
        <v>2.75</v>
      </c>
      <c r="BP3744">
        <v>0</v>
      </c>
      <c r="BQ3744">
        <v>17.190000000000001</v>
      </c>
      <c r="BR3744">
        <v>2.64</v>
      </c>
      <c r="BS3744">
        <v>7.0000000000000007E-2</v>
      </c>
      <c r="BT3744">
        <v>0.14000000000000001</v>
      </c>
      <c r="BU3744">
        <v>0.51</v>
      </c>
      <c r="BV3744">
        <v>0.32</v>
      </c>
      <c r="BW3744">
        <v>0.81</v>
      </c>
      <c r="BX3744">
        <v>1.1399999999999999</v>
      </c>
      <c r="BY3744">
        <v>1.99</v>
      </c>
      <c r="BZ3744">
        <v>0.98</v>
      </c>
      <c r="CA3744">
        <v>0.55000000000000004</v>
      </c>
      <c r="CB3744">
        <v>0</v>
      </c>
      <c r="CC3744">
        <v>0.55000000000000004</v>
      </c>
      <c r="CD3744">
        <v>0.49</v>
      </c>
      <c r="CE3744">
        <v>0.49</v>
      </c>
      <c r="CF3744">
        <v>0.44</v>
      </c>
      <c r="CG3744">
        <v>0.8</v>
      </c>
      <c r="CH3744">
        <v>0.34</v>
      </c>
      <c r="CI3744">
        <v>-0.48</v>
      </c>
      <c r="CJ3744">
        <v>20722</v>
      </c>
      <c r="CK3744">
        <v>982</v>
      </c>
      <c r="CL3744" t="s">
        <v>4280</v>
      </c>
      <c r="CM3744">
        <v>0</v>
      </c>
      <c r="CN3744">
        <v>0</v>
      </c>
      <c r="CO3744">
        <v>3.88</v>
      </c>
      <c r="CP3744">
        <v>95.69</v>
      </c>
      <c r="CQ3744">
        <v>16.149999999999999</v>
      </c>
      <c r="CR3744">
        <v>0</v>
      </c>
      <c r="CS3744" t="s">
        <v>1677</v>
      </c>
      <c r="CT3744">
        <v>8.2799999999999994</v>
      </c>
      <c r="CU3744">
        <v>8.2799999999999994</v>
      </c>
      <c r="CV3744">
        <v>1.1399999999999999</v>
      </c>
      <c r="CW3744">
        <v>0.8</v>
      </c>
      <c r="CX3744">
        <v>0.34</v>
      </c>
      <c r="CY3744">
        <v>82.81</v>
      </c>
      <c r="CZ3744" t="s">
        <v>15309</v>
      </c>
      <c r="DA3744">
        <v>50.82</v>
      </c>
      <c r="DB3744">
        <v>27.55</v>
      </c>
      <c r="DC3744">
        <v>24.67</v>
      </c>
      <c r="DD3744">
        <v>0.32</v>
      </c>
      <c r="DE3744">
        <v>375</v>
      </c>
      <c r="DF3744">
        <v>688288</v>
      </c>
      <c r="DG3744" t="s">
        <v>116</v>
      </c>
      <c r="DH3744" t="s">
        <v>116</v>
      </c>
      <c r="DI3744" t="s">
        <v>116</v>
      </c>
    </row>
    <row r="3745" spans="1:113" x14ac:dyDescent="0.4">
      <c r="A3745" t="str">
        <f>"688299"</f>
        <v>688299</v>
      </c>
      <c r="B3745" t="s">
        <v>15310</v>
      </c>
      <c r="C3745">
        <v>-2.79</v>
      </c>
      <c r="D3745">
        <v>17.39</v>
      </c>
      <c r="E3745">
        <v>-0.5</v>
      </c>
      <c r="F3745">
        <v>17.39</v>
      </c>
      <c r="G3745">
        <v>17.41</v>
      </c>
      <c r="H3745">
        <v>53459</v>
      </c>
      <c r="I3745">
        <v>674</v>
      </c>
      <c r="J3745">
        <v>0</v>
      </c>
      <c r="K3745">
        <v>8.27</v>
      </c>
      <c r="L3745">
        <v>18.05</v>
      </c>
      <c r="M3745">
        <v>18.05</v>
      </c>
      <c r="N3745">
        <v>17.32</v>
      </c>
      <c r="O3745">
        <v>17.89</v>
      </c>
      <c r="P3745">
        <v>37.75</v>
      </c>
      <c r="Q3745">
        <v>94525968</v>
      </c>
      <c r="R3745">
        <v>1.1000000000000001</v>
      </c>
      <c r="S3745" t="s">
        <v>2444</v>
      </c>
      <c r="T3745" t="s">
        <v>590</v>
      </c>
      <c r="U3745">
        <v>4.08</v>
      </c>
      <c r="V3745">
        <v>17.68</v>
      </c>
      <c r="W3745">
        <v>32634</v>
      </c>
      <c r="X3745">
        <v>20825</v>
      </c>
      <c r="Y3745">
        <v>1.57</v>
      </c>
      <c r="Z3745">
        <v>98</v>
      </c>
      <c r="AA3745">
        <v>7</v>
      </c>
      <c r="AB3745" t="s">
        <v>116</v>
      </c>
      <c r="AC3745">
        <v>671000</v>
      </c>
      <c r="AD3745">
        <v>0.06</v>
      </c>
      <c r="AE3745" t="s">
        <v>116</v>
      </c>
      <c r="AF3745" t="s">
        <v>116</v>
      </c>
      <c r="AG3745">
        <v>0.65</v>
      </c>
      <c r="AH3745" t="s">
        <v>721</v>
      </c>
      <c r="AI3745" t="s">
        <v>6923</v>
      </c>
      <c r="AJ3745">
        <v>-2.72</v>
      </c>
      <c r="AK3745">
        <v>1534</v>
      </c>
      <c r="AL3745">
        <v>35</v>
      </c>
      <c r="AM3745">
        <v>5.4000000000000003E-3</v>
      </c>
      <c r="AN3745">
        <v>-1</v>
      </c>
      <c r="AO3745">
        <v>0.65</v>
      </c>
      <c r="AP3745">
        <v>5.33</v>
      </c>
      <c r="AQ3745">
        <v>26.84</v>
      </c>
      <c r="AR3745">
        <v>26.84</v>
      </c>
      <c r="AS3745">
        <v>8.27</v>
      </c>
      <c r="AT3745" t="s">
        <v>721</v>
      </c>
      <c r="AU3745">
        <v>36.299999999999997</v>
      </c>
      <c r="AV3745">
        <v>55.29</v>
      </c>
      <c r="AW3745">
        <v>0</v>
      </c>
      <c r="BA3745">
        <v>0.89</v>
      </c>
      <c r="BB3745">
        <v>0.89</v>
      </c>
      <c r="BC3745">
        <v>-3.19</v>
      </c>
      <c r="BD3745">
        <v>-1.1599999999999999</v>
      </c>
      <c r="BE3745">
        <v>-3.66</v>
      </c>
      <c r="BF3745">
        <v>-3.66</v>
      </c>
      <c r="BG3745">
        <v>0.4</v>
      </c>
      <c r="BH3745">
        <v>-1.63</v>
      </c>
      <c r="BI3745">
        <v>20191105</v>
      </c>
      <c r="BJ3745">
        <v>20191106</v>
      </c>
      <c r="BK3745">
        <v>2.83</v>
      </c>
      <c r="BL3745" t="s">
        <v>116</v>
      </c>
      <c r="BM3745" t="s">
        <v>116</v>
      </c>
      <c r="BN3745">
        <v>13.67</v>
      </c>
      <c r="BO3745">
        <v>7.1</v>
      </c>
      <c r="BP3745">
        <v>0</v>
      </c>
      <c r="BQ3745">
        <v>48.08</v>
      </c>
      <c r="BR3745">
        <v>6.79</v>
      </c>
      <c r="BS3745">
        <v>5.69</v>
      </c>
      <c r="BT3745">
        <v>0.86</v>
      </c>
      <c r="BU3745">
        <v>5.13</v>
      </c>
      <c r="BV3745">
        <v>1</v>
      </c>
      <c r="BW3745">
        <v>3.05</v>
      </c>
      <c r="BX3745">
        <v>2.61</v>
      </c>
      <c r="BY3745">
        <v>6.31</v>
      </c>
      <c r="BZ3745">
        <v>4.32</v>
      </c>
      <c r="CA3745">
        <v>1.07</v>
      </c>
      <c r="CB3745">
        <v>0.01</v>
      </c>
      <c r="CC3745">
        <v>1.1399999999999999</v>
      </c>
      <c r="CD3745">
        <v>0.98</v>
      </c>
      <c r="CE3745">
        <v>0.98</v>
      </c>
      <c r="CF3745">
        <v>0.89</v>
      </c>
      <c r="CG3745">
        <v>2.23</v>
      </c>
      <c r="CH3745">
        <v>1.19</v>
      </c>
      <c r="CI3745">
        <v>-0.41</v>
      </c>
      <c r="CJ3745">
        <v>57502</v>
      </c>
      <c r="CK3745">
        <v>1124</v>
      </c>
      <c r="CL3745" t="s">
        <v>2153</v>
      </c>
      <c r="CM3745">
        <v>0</v>
      </c>
      <c r="CN3745">
        <v>0</v>
      </c>
      <c r="CO3745">
        <v>3.14</v>
      </c>
      <c r="CP3745">
        <v>41.13</v>
      </c>
      <c r="CQ3745">
        <v>7.78</v>
      </c>
      <c r="CR3745">
        <v>0</v>
      </c>
      <c r="CS3745" t="s">
        <v>7771</v>
      </c>
      <c r="CT3745">
        <v>5.54</v>
      </c>
      <c r="CU3745">
        <v>5.54</v>
      </c>
      <c r="CV3745">
        <v>0.92</v>
      </c>
      <c r="CW3745">
        <v>0.79</v>
      </c>
      <c r="CX3745">
        <v>0.42</v>
      </c>
      <c r="CY3745">
        <v>51.92</v>
      </c>
      <c r="CZ3745" t="s">
        <v>12915</v>
      </c>
      <c r="DA3745">
        <v>31.66</v>
      </c>
      <c r="DB3745">
        <v>16.940000000000001</v>
      </c>
      <c r="DC3745">
        <v>15.46</v>
      </c>
      <c r="DD3745">
        <v>0.25</v>
      </c>
      <c r="DE3745">
        <v>513</v>
      </c>
      <c r="DF3745">
        <v>688299</v>
      </c>
      <c r="DG3745" t="s">
        <v>116</v>
      </c>
      <c r="DH3745" t="s">
        <v>116</v>
      </c>
      <c r="DI3745" t="s">
        <v>116</v>
      </c>
    </row>
    <row r="3746" spans="1:113" x14ac:dyDescent="0.4">
      <c r="A3746" t="str">
        <f>"688300"</f>
        <v>688300</v>
      </c>
      <c r="B3746" t="s">
        <v>15311</v>
      </c>
      <c r="C3746">
        <v>-4.21</v>
      </c>
      <c r="D3746">
        <v>42.77</v>
      </c>
      <c r="E3746">
        <v>-1.88</v>
      </c>
      <c r="F3746">
        <v>42.76</v>
      </c>
      <c r="G3746">
        <v>42.77</v>
      </c>
      <c r="H3746">
        <v>25367</v>
      </c>
      <c r="I3746">
        <v>246</v>
      </c>
      <c r="J3746">
        <v>-0.8</v>
      </c>
      <c r="K3746">
        <v>12.98</v>
      </c>
      <c r="L3746">
        <v>44.71</v>
      </c>
      <c r="M3746">
        <v>45.31</v>
      </c>
      <c r="N3746">
        <v>42.03</v>
      </c>
      <c r="O3746">
        <v>44.65</v>
      </c>
      <c r="P3746">
        <v>51.63</v>
      </c>
      <c r="Q3746">
        <v>109796536</v>
      </c>
      <c r="R3746">
        <v>0.61</v>
      </c>
      <c r="S3746" t="s">
        <v>933</v>
      </c>
      <c r="T3746" t="s">
        <v>323</v>
      </c>
      <c r="U3746">
        <v>7.35</v>
      </c>
      <c r="V3746">
        <v>43.28</v>
      </c>
      <c r="W3746">
        <v>16078</v>
      </c>
      <c r="X3746">
        <v>9289</v>
      </c>
      <c r="Y3746">
        <v>1.73</v>
      </c>
      <c r="Z3746">
        <v>52</v>
      </c>
      <c r="AA3746">
        <v>227</v>
      </c>
      <c r="AB3746" t="s">
        <v>116</v>
      </c>
      <c r="AC3746">
        <v>53700</v>
      </c>
      <c r="AD3746">
        <v>0.01</v>
      </c>
      <c r="AE3746" t="s">
        <v>116</v>
      </c>
      <c r="AF3746" t="s">
        <v>116</v>
      </c>
      <c r="AG3746">
        <v>0.2</v>
      </c>
      <c r="AH3746" t="s">
        <v>15312</v>
      </c>
      <c r="AI3746" t="s">
        <v>4146</v>
      </c>
      <c r="AJ3746">
        <v>-4.13</v>
      </c>
      <c r="AK3746">
        <v>1192</v>
      </c>
      <c r="AL3746">
        <v>21</v>
      </c>
      <c r="AM3746">
        <v>1.09E-2</v>
      </c>
      <c r="AN3746">
        <v>-2</v>
      </c>
      <c r="AO3746">
        <v>-2.4700000000000002</v>
      </c>
      <c r="AP3746">
        <v>36.04</v>
      </c>
      <c r="AQ3746">
        <v>56.78</v>
      </c>
      <c r="AR3746">
        <v>56.78</v>
      </c>
      <c r="AS3746">
        <v>12.98</v>
      </c>
      <c r="AT3746" t="s">
        <v>15312</v>
      </c>
      <c r="AU3746">
        <v>53.09</v>
      </c>
      <c r="AV3746">
        <v>63</v>
      </c>
      <c r="AW3746">
        <v>0</v>
      </c>
      <c r="BA3746">
        <v>0.13</v>
      </c>
      <c r="BB3746">
        <v>1.48</v>
      </c>
      <c r="BC3746">
        <v>-5.87</v>
      </c>
      <c r="BD3746">
        <v>-3.06</v>
      </c>
      <c r="BE3746">
        <v>-4.34</v>
      </c>
      <c r="BF3746">
        <v>-5.61</v>
      </c>
      <c r="BG3746">
        <v>1.76</v>
      </c>
      <c r="BH3746">
        <v>-1.1499999999999999</v>
      </c>
      <c r="BI3746">
        <v>20191114</v>
      </c>
      <c r="BJ3746">
        <v>20191115</v>
      </c>
      <c r="BK3746">
        <v>0.86</v>
      </c>
      <c r="BL3746" t="s">
        <v>116</v>
      </c>
      <c r="BM3746" t="s">
        <v>116</v>
      </c>
      <c r="BN3746">
        <v>4.58</v>
      </c>
      <c r="BO3746">
        <v>3.57</v>
      </c>
      <c r="BP3746">
        <v>0</v>
      </c>
      <c r="BQ3746">
        <v>22.02</v>
      </c>
      <c r="BR3746">
        <v>2.82</v>
      </c>
      <c r="BS3746">
        <v>1.1299999999999999</v>
      </c>
      <c r="BT3746">
        <v>0.1</v>
      </c>
      <c r="BU3746">
        <v>0.61</v>
      </c>
      <c r="BV3746">
        <v>0.48</v>
      </c>
      <c r="BW3746">
        <v>0.9</v>
      </c>
      <c r="BX3746">
        <v>1.24</v>
      </c>
      <c r="BY3746">
        <v>2.27</v>
      </c>
      <c r="BZ3746">
        <v>1.22</v>
      </c>
      <c r="CA3746">
        <v>0.61</v>
      </c>
      <c r="CB3746">
        <v>0</v>
      </c>
      <c r="CC3746">
        <v>0.62</v>
      </c>
      <c r="CD3746">
        <v>0.53</v>
      </c>
      <c r="CE3746">
        <v>0.53</v>
      </c>
      <c r="CF3746">
        <v>0.51</v>
      </c>
      <c r="CG3746">
        <v>1.53</v>
      </c>
      <c r="CH3746">
        <v>0.59</v>
      </c>
      <c r="CI3746">
        <v>-0.43</v>
      </c>
      <c r="CJ3746">
        <v>20390</v>
      </c>
      <c r="CK3746">
        <v>959</v>
      </c>
      <c r="CL3746" t="s">
        <v>950</v>
      </c>
      <c r="CM3746">
        <v>0</v>
      </c>
      <c r="CN3746">
        <v>0</v>
      </c>
      <c r="CO3746">
        <v>4.2</v>
      </c>
      <c r="CP3746">
        <v>62.01</v>
      </c>
      <c r="CQ3746">
        <v>16.22</v>
      </c>
      <c r="CR3746">
        <v>0</v>
      </c>
      <c r="CS3746" t="s">
        <v>14371</v>
      </c>
      <c r="CT3746">
        <v>10.18</v>
      </c>
      <c r="CU3746">
        <v>10.18</v>
      </c>
      <c r="CV3746">
        <v>1.44</v>
      </c>
      <c r="CW3746">
        <v>1.78</v>
      </c>
      <c r="CX3746">
        <v>0.69</v>
      </c>
      <c r="CY3746">
        <v>77.98</v>
      </c>
      <c r="CZ3746" t="s">
        <v>15313</v>
      </c>
      <c r="DA3746">
        <v>46.22</v>
      </c>
      <c r="DB3746">
        <v>27.08</v>
      </c>
      <c r="DC3746">
        <v>23.55</v>
      </c>
      <c r="DD3746">
        <v>0.09</v>
      </c>
      <c r="DE3746">
        <v>324</v>
      </c>
      <c r="DF3746">
        <v>688300</v>
      </c>
      <c r="DG3746" t="s">
        <v>116</v>
      </c>
      <c r="DH3746" t="s">
        <v>116</v>
      </c>
      <c r="DI3746" t="s">
        <v>116</v>
      </c>
    </row>
    <row r="3747" spans="1:113" x14ac:dyDescent="0.4">
      <c r="A3747" t="str">
        <f>"688310"</f>
        <v>688310</v>
      </c>
      <c r="B3747" t="s">
        <v>15314</v>
      </c>
      <c r="C3747">
        <v>-2.5099999999999998</v>
      </c>
      <c r="D3747">
        <v>29.15</v>
      </c>
      <c r="E3747">
        <v>-0.75</v>
      </c>
      <c r="F3747">
        <v>29.14</v>
      </c>
      <c r="G3747">
        <v>29.15</v>
      </c>
      <c r="H3747">
        <v>17467</v>
      </c>
      <c r="I3747">
        <v>298</v>
      </c>
      <c r="J3747">
        <v>-0.26</v>
      </c>
      <c r="K3747">
        <v>9.18</v>
      </c>
      <c r="L3747">
        <v>29.92</v>
      </c>
      <c r="M3747">
        <v>30.15</v>
      </c>
      <c r="N3747">
        <v>29.08</v>
      </c>
      <c r="O3747">
        <v>29.9</v>
      </c>
      <c r="P3747">
        <v>112.58</v>
      </c>
      <c r="Q3747">
        <v>51713428</v>
      </c>
      <c r="R3747">
        <v>0.67</v>
      </c>
      <c r="S3747" t="s">
        <v>559</v>
      </c>
      <c r="T3747" t="s">
        <v>590</v>
      </c>
      <c r="U3747">
        <v>3.58</v>
      </c>
      <c r="V3747">
        <v>29.61</v>
      </c>
      <c r="W3747">
        <v>11072</v>
      </c>
      <c r="X3747">
        <v>6395</v>
      </c>
      <c r="Y3747">
        <v>1.73</v>
      </c>
      <c r="Z3747">
        <v>33</v>
      </c>
      <c r="AA3747">
        <v>38</v>
      </c>
      <c r="AB3747" t="s">
        <v>116</v>
      </c>
      <c r="AC3747">
        <v>182800</v>
      </c>
      <c r="AD3747">
        <v>0.03</v>
      </c>
      <c r="AE3747" t="s">
        <v>116</v>
      </c>
      <c r="AF3747" t="s">
        <v>116</v>
      </c>
      <c r="AG3747">
        <v>0.19</v>
      </c>
      <c r="AH3747" t="s">
        <v>15315</v>
      </c>
      <c r="AI3747" t="s">
        <v>15316</v>
      </c>
      <c r="AJ3747">
        <v>-2.4300000000000002</v>
      </c>
      <c r="AK3747">
        <v>1063</v>
      </c>
      <c r="AL3747">
        <v>16</v>
      </c>
      <c r="AM3747">
        <v>8.6E-3</v>
      </c>
      <c r="AN3747">
        <v>-1</v>
      </c>
      <c r="AO3747">
        <v>0.48</v>
      </c>
      <c r="AP3747">
        <v>17.59</v>
      </c>
      <c r="AQ3747">
        <v>17.59</v>
      </c>
      <c r="AR3747">
        <v>17.59</v>
      </c>
      <c r="AS3747">
        <v>9.18</v>
      </c>
      <c r="AT3747" t="s">
        <v>15315</v>
      </c>
      <c r="AU3747">
        <v>39.76</v>
      </c>
      <c r="AV3747">
        <v>43.51</v>
      </c>
      <c r="AW3747">
        <v>0</v>
      </c>
      <c r="BA3747">
        <v>7.0000000000000007E-2</v>
      </c>
      <c r="BB3747">
        <v>0.84</v>
      </c>
      <c r="BC3747">
        <v>-2.74</v>
      </c>
      <c r="BD3747">
        <v>-0.98</v>
      </c>
      <c r="BE3747">
        <v>-2.57</v>
      </c>
      <c r="BF3747">
        <v>-3.32</v>
      </c>
      <c r="BG3747">
        <v>0.24</v>
      </c>
      <c r="BH3747">
        <v>-1.53</v>
      </c>
      <c r="BI3747">
        <v>20191202</v>
      </c>
      <c r="BJ3747">
        <v>20191203</v>
      </c>
      <c r="BK3747">
        <v>0.84</v>
      </c>
      <c r="BL3747" t="s">
        <v>116</v>
      </c>
      <c r="BM3747" t="s">
        <v>116</v>
      </c>
      <c r="BN3747">
        <v>3.07</v>
      </c>
      <c r="BO3747">
        <v>2.19</v>
      </c>
      <c r="BP3747">
        <v>0</v>
      </c>
      <c r="BQ3747">
        <v>28.68</v>
      </c>
      <c r="BR3747">
        <v>2.13</v>
      </c>
      <c r="BS3747">
        <v>0.47</v>
      </c>
      <c r="BT3747">
        <v>0.43</v>
      </c>
      <c r="BU3747">
        <v>0.83</v>
      </c>
      <c r="BV3747">
        <v>0.98</v>
      </c>
      <c r="BW3747">
        <v>0.84</v>
      </c>
      <c r="BX3747">
        <v>0.51</v>
      </c>
      <c r="BY3747">
        <v>1.1200000000000001</v>
      </c>
      <c r="BZ3747">
        <v>0.6</v>
      </c>
      <c r="CA3747">
        <v>0.18</v>
      </c>
      <c r="CB3747">
        <v>0</v>
      </c>
      <c r="CC3747">
        <v>0.19</v>
      </c>
      <c r="CD3747">
        <v>0.16</v>
      </c>
      <c r="CE3747">
        <v>0.16</v>
      </c>
      <c r="CF3747">
        <v>0.09</v>
      </c>
      <c r="CG3747">
        <v>0.83</v>
      </c>
      <c r="CH3747">
        <v>-0.14000000000000001</v>
      </c>
      <c r="CI3747">
        <v>-0.57999999999999996</v>
      </c>
      <c r="CJ3747">
        <v>19627</v>
      </c>
      <c r="CK3747">
        <v>969</v>
      </c>
      <c r="CL3747" t="s">
        <v>6510</v>
      </c>
      <c r="CM3747">
        <v>0</v>
      </c>
      <c r="CN3747">
        <v>0</v>
      </c>
      <c r="CO3747">
        <v>3.6</v>
      </c>
      <c r="CP3747">
        <v>-180.46</v>
      </c>
      <c r="CQ3747">
        <v>21.76</v>
      </c>
      <c r="CR3747">
        <v>0</v>
      </c>
      <c r="CS3747" t="s">
        <v>7352</v>
      </c>
      <c r="CT3747">
        <v>8.1</v>
      </c>
      <c r="CU3747">
        <v>8.1</v>
      </c>
      <c r="CV3747">
        <v>0.61</v>
      </c>
      <c r="CW3747">
        <v>0.99</v>
      </c>
      <c r="CX3747">
        <v>-0.16</v>
      </c>
      <c r="CY3747">
        <v>71.39</v>
      </c>
      <c r="CZ3747" t="s">
        <v>12795</v>
      </c>
      <c r="DA3747">
        <v>46.01</v>
      </c>
      <c r="DB3747">
        <v>16.43</v>
      </c>
      <c r="DC3747">
        <v>14.5</v>
      </c>
      <c r="DD3747">
        <v>0.15</v>
      </c>
      <c r="DE3747">
        <v>467</v>
      </c>
      <c r="DF3747">
        <v>688310</v>
      </c>
      <c r="DG3747" t="s">
        <v>116</v>
      </c>
      <c r="DH3747" t="s">
        <v>116</v>
      </c>
      <c r="DI3747" t="s">
        <v>116</v>
      </c>
    </row>
    <row r="3748" spans="1:113" x14ac:dyDescent="0.4">
      <c r="A3748" t="str">
        <f>"688321"</f>
        <v>688321</v>
      </c>
      <c r="B3748" t="s">
        <v>15317</v>
      </c>
      <c r="C3748">
        <v>-1.28</v>
      </c>
      <c r="D3748">
        <v>54.13</v>
      </c>
      <c r="E3748">
        <v>-0.7</v>
      </c>
      <c r="F3748">
        <v>54.12</v>
      </c>
      <c r="G3748">
        <v>54.13</v>
      </c>
      <c r="H3748">
        <v>14525</v>
      </c>
      <c r="I3748">
        <v>180</v>
      </c>
      <c r="J3748">
        <v>-0.03</v>
      </c>
      <c r="K3748">
        <v>3.58</v>
      </c>
      <c r="L3748">
        <v>54.62</v>
      </c>
      <c r="M3748">
        <v>55.5</v>
      </c>
      <c r="N3748">
        <v>54.1</v>
      </c>
      <c r="O3748">
        <v>54.83</v>
      </c>
      <c r="P3748">
        <v>799.09</v>
      </c>
      <c r="Q3748">
        <v>79587976</v>
      </c>
      <c r="R3748">
        <v>0.76</v>
      </c>
      <c r="S3748" t="s">
        <v>574</v>
      </c>
      <c r="T3748" t="s">
        <v>115</v>
      </c>
      <c r="U3748">
        <v>2.5499999999999998</v>
      </c>
      <c r="V3748">
        <v>54.79</v>
      </c>
      <c r="W3748">
        <v>8119</v>
      </c>
      <c r="X3748">
        <v>6406</v>
      </c>
      <c r="Y3748">
        <v>1.27</v>
      </c>
      <c r="Z3748">
        <v>19</v>
      </c>
      <c r="AA3748">
        <v>44</v>
      </c>
      <c r="AB3748" t="s">
        <v>116</v>
      </c>
      <c r="AC3748">
        <v>482300</v>
      </c>
      <c r="AD3748">
        <v>0.02</v>
      </c>
      <c r="AE3748" t="s">
        <v>116</v>
      </c>
      <c r="AF3748" t="s">
        <v>116</v>
      </c>
      <c r="AG3748">
        <v>0.41</v>
      </c>
      <c r="AH3748" t="s">
        <v>4798</v>
      </c>
      <c r="AI3748" t="s">
        <v>15318</v>
      </c>
      <c r="AJ3748">
        <v>-1.2</v>
      </c>
      <c r="AK3748">
        <v>1289</v>
      </c>
      <c r="AL3748">
        <v>11</v>
      </c>
      <c r="AM3748">
        <v>2.8E-3</v>
      </c>
      <c r="AN3748">
        <v>-2</v>
      </c>
      <c r="AO3748">
        <v>-0.78</v>
      </c>
      <c r="AP3748">
        <v>-9.69</v>
      </c>
      <c r="AQ3748">
        <v>-11.84</v>
      </c>
      <c r="AR3748">
        <v>164.95</v>
      </c>
      <c r="AS3748">
        <v>3.58</v>
      </c>
      <c r="AT3748" t="s">
        <v>4798</v>
      </c>
      <c r="AU3748">
        <v>598.91</v>
      </c>
      <c r="AV3748">
        <v>709.59</v>
      </c>
      <c r="AW3748">
        <v>1.23</v>
      </c>
      <c r="BA3748">
        <v>-0.38</v>
      </c>
      <c r="BB3748">
        <v>1.22</v>
      </c>
      <c r="BC3748">
        <v>-1.33</v>
      </c>
      <c r="BD3748">
        <v>-7.0000000000000007E-2</v>
      </c>
      <c r="BE3748">
        <v>-0.9</v>
      </c>
      <c r="BF3748">
        <v>-2.4700000000000002</v>
      </c>
      <c r="BG3748">
        <v>0.06</v>
      </c>
      <c r="BH3748">
        <v>-1.21</v>
      </c>
      <c r="BI3748">
        <v>20191209</v>
      </c>
      <c r="BJ3748">
        <v>20190812</v>
      </c>
      <c r="BK3748">
        <v>4.0999999999999996</v>
      </c>
      <c r="BL3748" t="s">
        <v>116</v>
      </c>
      <c r="BM3748" t="s">
        <v>116</v>
      </c>
      <c r="BN3748">
        <v>16.7</v>
      </c>
      <c r="BO3748">
        <v>14.48</v>
      </c>
      <c r="BP3748">
        <v>0</v>
      </c>
      <c r="BQ3748">
        <v>13.31</v>
      </c>
      <c r="BR3748">
        <v>11.08</v>
      </c>
      <c r="BS3748">
        <v>0.14000000000000001</v>
      </c>
      <c r="BT3748">
        <v>0.62</v>
      </c>
      <c r="BU3748">
        <v>1.0900000000000001</v>
      </c>
      <c r="BV3748">
        <v>0.1</v>
      </c>
      <c r="BW3748">
        <v>0.43</v>
      </c>
      <c r="BX3748">
        <v>10.53</v>
      </c>
      <c r="BY3748">
        <v>1.29</v>
      </c>
      <c r="BZ3748">
        <v>0.05</v>
      </c>
      <c r="CA3748">
        <v>0.23</v>
      </c>
      <c r="CB3748">
        <v>0</v>
      </c>
      <c r="CC3748">
        <v>0.23</v>
      </c>
      <c r="CD3748">
        <v>0.21</v>
      </c>
      <c r="CE3748">
        <v>0.21</v>
      </c>
      <c r="CF3748">
        <v>0.17</v>
      </c>
      <c r="CG3748">
        <v>-0.18</v>
      </c>
      <c r="CH3748">
        <v>-0.39</v>
      </c>
      <c r="CI3748">
        <v>2.4500000000000002</v>
      </c>
      <c r="CJ3748">
        <v>19368</v>
      </c>
      <c r="CK3748">
        <v>2095</v>
      </c>
      <c r="CL3748" t="s">
        <v>1977</v>
      </c>
      <c r="CM3748">
        <v>0</v>
      </c>
      <c r="CN3748">
        <v>0</v>
      </c>
      <c r="CO3748">
        <v>15.33</v>
      </c>
      <c r="CP3748">
        <v>-574.25</v>
      </c>
      <c r="CQ3748">
        <v>172.55</v>
      </c>
      <c r="CR3748">
        <v>0</v>
      </c>
      <c r="CS3748" t="s">
        <v>9364</v>
      </c>
      <c r="CT3748">
        <v>3.53</v>
      </c>
      <c r="CU3748">
        <v>0</v>
      </c>
      <c r="CV3748">
        <v>2.57</v>
      </c>
      <c r="CW3748">
        <v>-0.04</v>
      </c>
      <c r="CX3748">
        <v>-0.09</v>
      </c>
      <c r="CY3748">
        <v>86.69</v>
      </c>
      <c r="CZ3748" t="s">
        <v>7649</v>
      </c>
      <c r="DA3748">
        <v>96.09</v>
      </c>
      <c r="DB3748">
        <v>18.100000000000001</v>
      </c>
      <c r="DC3748">
        <v>16.2</v>
      </c>
      <c r="DD3748">
        <v>0.4</v>
      </c>
      <c r="DE3748">
        <v>371</v>
      </c>
      <c r="DF3748">
        <v>688321</v>
      </c>
      <c r="DG3748" t="s">
        <v>116</v>
      </c>
      <c r="DH3748" t="s">
        <v>116</v>
      </c>
      <c r="DI3748" t="s">
        <v>116</v>
      </c>
    </row>
    <row r="3749" spans="1:113" x14ac:dyDescent="0.4">
      <c r="A3749" t="str">
        <f>"688333"</f>
        <v>688333</v>
      </c>
      <c r="B3749" t="s">
        <v>15319</v>
      </c>
      <c r="C3749">
        <v>-2.63</v>
      </c>
      <c r="D3749">
        <v>55.87</v>
      </c>
      <c r="E3749">
        <v>-1.51</v>
      </c>
      <c r="F3749">
        <v>55.87</v>
      </c>
      <c r="G3749">
        <v>55.9</v>
      </c>
      <c r="H3749">
        <v>11675</v>
      </c>
      <c r="I3749">
        <v>151</v>
      </c>
      <c r="J3749">
        <v>-0.01</v>
      </c>
      <c r="K3749">
        <v>6.5</v>
      </c>
      <c r="L3749">
        <v>57.3</v>
      </c>
      <c r="M3749">
        <v>57.8</v>
      </c>
      <c r="N3749">
        <v>55.8</v>
      </c>
      <c r="O3749">
        <v>57.38</v>
      </c>
      <c r="P3749">
        <v>127.94</v>
      </c>
      <c r="Q3749">
        <v>66297264</v>
      </c>
      <c r="R3749">
        <v>0.94</v>
      </c>
      <c r="S3749" t="s">
        <v>996</v>
      </c>
      <c r="T3749" t="s">
        <v>913</v>
      </c>
      <c r="U3749">
        <v>3.49</v>
      </c>
      <c r="V3749">
        <v>56.78</v>
      </c>
      <c r="W3749">
        <v>7040</v>
      </c>
      <c r="X3749">
        <v>4635</v>
      </c>
      <c r="Y3749">
        <v>1.52</v>
      </c>
      <c r="Z3749">
        <v>150</v>
      </c>
      <c r="AA3749">
        <v>14</v>
      </c>
      <c r="AB3749" t="s">
        <v>116</v>
      </c>
      <c r="AC3749">
        <v>54600</v>
      </c>
      <c r="AD3749">
        <v>0.01</v>
      </c>
      <c r="AE3749" t="s">
        <v>116</v>
      </c>
      <c r="AF3749" t="s">
        <v>116</v>
      </c>
      <c r="AG3749">
        <v>0.18</v>
      </c>
      <c r="AH3749" t="s">
        <v>5973</v>
      </c>
      <c r="AI3749" t="s">
        <v>15320</v>
      </c>
      <c r="AJ3749">
        <v>-2.5499999999999998</v>
      </c>
      <c r="AK3749">
        <v>1116</v>
      </c>
      <c r="AL3749">
        <v>10</v>
      </c>
      <c r="AM3749">
        <v>5.7999999999999996E-3</v>
      </c>
      <c r="AN3749">
        <v>-1</v>
      </c>
      <c r="AO3749">
        <v>3.14</v>
      </c>
      <c r="AP3749">
        <v>12.53</v>
      </c>
      <c r="AQ3749">
        <v>-31.7</v>
      </c>
      <c r="AR3749">
        <v>69.3</v>
      </c>
      <c r="AS3749">
        <v>6.5</v>
      </c>
      <c r="AT3749" t="s">
        <v>5973</v>
      </c>
      <c r="AU3749">
        <v>60.18</v>
      </c>
      <c r="AV3749">
        <v>78.16</v>
      </c>
      <c r="AW3749">
        <v>1.1100000000000001</v>
      </c>
      <c r="BA3749">
        <v>-0.14000000000000001</v>
      </c>
      <c r="BB3749">
        <v>0.73</v>
      </c>
      <c r="BC3749">
        <v>-2.75</v>
      </c>
      <c r="BD3749">
        <v>-1.04</v>
      </c>
      <c r="BE3749">
        <v>-2.5</v>
      </c>
      <c r="BF3749">
        <v>-3.34</v>
      </c>
      <c r="BG3749">
        <v>0.13</v>
      </c>
      <c r="BH3749">
        <v>-1.59</v>
      </c>
      <c r="BI3749">
        <v>20191024</v>
      </c>
      <c r="BJ3749">
        <v>20190722</v>
      </c>
      <c r="BK3749">
        <v>0.8</v>
      </c>
      <c r="BL3749" t="s">
        <v>116</v>
      </c>
      <c r="BM3749" t="s">
        <v>116</v>
      </c>
      <c r="BN3749">
        <v>14.21</v>
      </c>
      <c r="BO3749">
        <v>10.210000000000001</v>
      </c>
      <c r="BP3749">
        <v>7.0000000000000007E-2</v>
      </c>
      <c r="BQ3749">
        <v>27.66</v>
      </c>
      <c r="BR3749">
        <v>9.84</v>
      </c>
      <c r="BS3749">
        <v>3.13</v>
      </c>
      <c r="BT3749">
        <v>0.51</v>
      </c>
      <c r="BU3749">
        <v>1.77</v>
      </c>
      <c r="BV3749">
        <v>1.25</v>
      </c>
      <c r="BW3749">
        <v>1.88</v>
      </c>
      <c r="BX3749">
        <v>8.33</v>
      </c>
      <c r="BY3749">
        <v>1.76</v>
      </c>
      <c r="BZ3749">
        <v>1.07</v>
      </c>
      <c r="CA3749">
        <v>0.06</v>
      </c>
      <c r="CB3749">
        <v>0</v>
      </c>
      <c r="CC3749">
        <v>0.28000000000000003</v>
      </c>
      <c r="CD3749">
        <v>0.26</v>
      </c>
      <c r="CE3749">
        <v>0.26</v>
      </c>
      <c r="CF3749">
        <v>0.03</v>
      </c>
      <c r="CG3749">
        <v>0.97</v>
      </c>
      <c r="CH3749">
        <v>0.03</v>
      </c>
      <c r="CI3749">
        <v>5.56</v>
      </c>
      <c r="CJ3749">
        <v>9396</v>
      </c>
      <c r="CK3749">
        <v>1911</v>
      </c>
      <c r="CL3749" t="s">
        <v>8384</v>
      </c>
      <c r="CM3749">
        <v>0</v>
      </c>
      <c r="CN3749">
        <v>0</v>
      </c>
      <c r="CO3749">
        <v>4.38</v>
      </c>
      <c r="CP3749">
        <v>1393.01</v>
      </c>
      <c r="CQ3749">
        <v>25.35</v>
      </c>
      <c r="CR3749">
        <v>0</v>
      </c>
      <c r="CS3749" t="s">
        <v>335</v>
      </c>
      <c r="CT3749">
        <v>12.76</v>
      </c>
      <c r="CU3749">
        <v>0</v>
      </c>
      <c r="CV3749">
        <v>10.41</v>
      </c>
      <c r="CW3749">
        <v>1.21</v>
      </c>
      <c r="CX3749">
        <v>0.04</v>
      </c>
      <c r="CY3749">
        <v>71.86</v>
      </c>
      <c r="CZ3749" t="s">
        <v>1203</v>
      </c>
      <c r="DA3749">
        <v>39.22</v>
      </c>
      <c r="DB3749">
        <v>3.48</v>
      </c>
      <c r="DC3749">
        <v>14.86</v>
      </c>
      <c r="DD3749">
        <v>0.24</v>
      </c>
      <c r="DE3749">
        <v>434</v>
      </c>
      <c r="DF3749">
        <v>688333</v>
      </c>
      <c r="DG3749" t="s">
        <v>116</v>
      </c>
      <c r="DH3749" t="s">
        <v>116</v>
      </c>
      <c r="DI3749" t="s">
        <v>116</v>
      </c>
    </row>
    <row r="3750" spans="1:113" x14ac:dyDescent="0.4">
      <c r="A3750" t="str">
        <f>"688357"</f>
        <v>688357</v>
      </c>
      <c r="B3750" t="s">
        <v>15321</v>
      </c>
      <c r="C3750">
        <v>-1.89</v>
      </c>
      <c r="D3750">
        <v>47.71</v>
      </c>
      <c r="E3750">
        <v>-0.92</v>
      </c>
      <c r="F3750">
        <v>47.7</v>
      </c>
      <c r="G3750">
        <v>47.71</v>
      </c>
      <c r="H3750">
        <v>13317</v>
      </c>
      <c r="I3750">
        <v>211</v>
      </c>
      <c r="J3750">
        <v>-7.0000000000000007E-2</v>
      </c>
      <c r="K3750">
        <v>10.130000000000001</v>
      </c>
      <c r="L3750">
        <v>48.63</v>
      </c>
      <c r="M3750">
        <v>48.88</v>
      </c>
      <c r="N3750">
        <v>47.69</v>
      </c>
      <c r="O3750">
        <v>48.63</v>
      </c>
      <c r="P3750">
        <v>30.1</v>
      </c>
      <c r="Q3750">
        <v>64292552</v>
      </c>
      <c r="R3750">
        <v>0.77</v>
      </c>
      <c r="S3750" t="s">
        <v>891</v>
      </c>
      <c r="T3750" t="s">
        <v>652</v>
      </c>
      <c r="U3750">
        <v>2.4500000000000002</v>
      </c>
      <c r="V3750">
        <v>48.28</v>
      </c>
      <c r="W3750">
        <v>8503</v>
      </c>
      <c r="X3750">
        <v>4815</v>
      </c>
      <c r="Y3750">
        <v>1.77</v>
      </c>
      <c r="Z3750">
        <v>36</v>
      </c>
      <c r="AA3750">
        <v>89</v>
      </c>
      <c r="AB3750" t="s">
        <v>116</v>
      </c>
      <c r="AC3750">
        <v>12200</v>
      </c>
      <c r="AD3750">
        <v>0</v>
      </c>
      <c r="AE3750" t="s">
        <v>116</v>
      </c>
      <c r="AF3750" t="s">
        <v>116</v>
      </c>
      <c r="AG3750">
        <v>0.13</v>
      </c>
      <c r="AH3750" t="s">
        <v>12661</v>
      </c>
      <c r="AI3750" t="s">
        <v>4922</v>
      </c>
      <c r="AJ3750">
        <v>-1.82</v>
      </c>
      <c r="AK3750">
        <v>1070</v>
      </c>
      <c r="AL3750">
        <v>12</v>
      </c>
      <c r="AM3750">
        <v>9.4999999999999998E-3</v>
      </c>
      <c r="AN3750">
        <v>-2</v>
      </c>
      <c r="AO3750">
        <v>-2.0299999999999998</v>
      </c>
      <c r="AP3750">
        <v>10.24</v>
      </c>
      <c r="AQ3750">
        <v>10.24</v>
      </c>
      <c r="AR3750">
        <v>10.24</v>
      </c>
      <c r="AS3750">
        <v>10.130000000000001</v>
      </c>
      <c r="AT3750" t="s">
        <v>12661</v>
      </c>
      <c r="AU3750">
        <v>34.83</v>
      </c>
      <c r="AV3750">
        <v>58.6</v>
      </c>
      <c r="AW3750">
        <v>0</v>
      </c>
      <c r="BA3750">
        <v>0</v>
      </c>
      <c r="BB3750">
        <v>0.51</v>
      </c>
      <c r="BC3750">
        <v>-1.93</v>
      </c>
      <c r="BD3750">
        <v>-0.73</v>
      </c>
      <c r="BE3750">
        <v>-1.89</v>
      </c>
      <c r="BF3750">
        <v>-2.39</v>
      </c>
      <c r="BG3750">
        <v>0.04</v>
      </c>
      <c r="BH3750">
        <v>-1.17</v>
      </c>
      <c r="BI3750">
        <v>20191203</v>
      </c>
      <c r="BJ3750">
        <v>20191204</v>
      </c>
      <c r="BK3750">
        <v>0.57999999999999996</v>
      </c>
      <c r="BL3750" t="s">
        <v>116</v>
      </c>
      <c r="BM3750" t="s">
        <v>116</v>
      </c>
      <c r="BN3750">
        <v>6.3</v>
      </c>
      <c r="BO3750">
        <v>2.84</v>
      </c>
      <c r="BP3750">
        <v>0</v>
      </c>
      <c r="BQ3750">
        <v>54.87</v>
      </c>
      <c r="BR3750">
        <v>2.67</v>
      </c>
      <c r="BS3750">
        <v>3.07</v>
      </c>
      <c r="BT3750">
        <v>0.24</v>
      </c>
      <c r="BU3750">
        <v>2.86</v>
      </c>
      <c r="BV3750">
        <v>0.67</v>
      </c>
      <c r="BW3750">
        <v>0.5</v>
      </c>
      <c r="BX3750">
        <v>1.25</v>
      </c>
      <c r="BY3750">
        <v>3.08</v>
      </c>
      <c r="BZ3750">
        <v>1.87</v>
      </c>
      <c r="CA3750">
        <v>0.66</v>
      </c>
      <c r="CB3750">
        <v>0</v>
      </c>
      <c r="CC3750">
        <v>0.79</v>
      </c>
      <c r="CD3750">
        <v>0.69</v>
      </c>
      <c r="CE3750">
        <v>0.69</v>
      </c>
      <c r="CF3750">
        <v>0.55000000000000004</v>
      </c>
      <c r="CG3750">
        <v>1.1000000000000001</v>
      </c>
      <c r="CH3750">
        <v>0.33</v>
      </c>
      <c r="CI3750">
        <v>-0.34</v>
      </c>
      <c r="CJ3750">
        <v>14874</v>
      </c>
      <c r="CK3750">
        <v>884</v>
      </c>
      <c r="CL3750" t="s">
        <v>3877</v>
      </c>
      <c r="CM3750">
        <v>0</v>
      </c>
      <c r="CN3750">
        <v>0</v>
      </c>
      <c r="CO3750">
        <v>3.23</v>
      </c>
      <c r="CP3750">
        <v>84.59</v>
      </c>
      <c r="CQ3750">
        <v>8.9499999999999993</v>
      </c>
      <c r="CR3750">
        <v>0</v>
      </c>
      <c r="CS3750" t="s">
        <v>15322</v>
      </c>
      <c r="CT3750">
        <v>14.77</v>
      </c>
      <c r="CU3750">
        <v>14.77</v>
      </c>
      <c r="CV3750">
        <v>2.16</v>
      </c>
      <c r="CW3750">
        <v>1.91</v>
      </c>
      <c r="CX3750">
        <v>0.56000000000000005</v>
      </c>
      <c r="CY3750">
        <v>45.13</v>
      </c>
      <c r="CZ3750" t="s">
        <v>15323</v>
      </c>
      <c r="DA3750">
        <v>39.21</v>
      </c>
      <c r="DB3750">
        <v>21.25</v>
      </c>
      <c r="DC3750">
        <v>22.3</v>
      </c>
      <c r="DD3750">
        <v>0.11</v>
      </c>
      <c r="DE3750">
        <v>479</v>
      </c>
      <c r="DF3750">
        <v>688357</v>
      </c>
      <c r="DG3750" t="s">
        <v>116</v>
      </c>
      <c r="DH3750" t="s">
        <v>116</v>
      </c>
      <c r="DI3750" t="s">
        <v>116</v>
      </c>
    </row>
    <row r="3751" spans="1:113" x14ac:dyDescent="0.4">
      <c r="A3751" t="str">
        <f>"688358"</f>
        <v>688358</v>
      </c>
      <c r="B3751" t="s">
        <v>15324</v>
      </c>
      <c r="C3751">
        <v>1.1100000000000001</v>
      </c>
      <c r="D3751">
        <v>51.2</v>
      </c>
      <c r="E3751">
        <v>0.56000000000000005</v>
      </c>
      <c r="F3751">
        <v>51.17</v>
      </c>
      <c r="G3751">
        <v>51.2</v>
      </c>
      <c r="H3751">
        <v>36745</v>
      </c>
      <c r="I3751">
        <v>386</v>
      </c>
      <c r="J3751">
        <v>0.14000000000000001</v>
      </c>
      <c r="K3751">
        <v>20</v>
      </c>
      <c r="L3751">
        <v>52</v>
      </c>
      <c r="M3751">
        <v>52.5</v>
      </c>
      <c r="N3751">
        <v>50.88</v>
      </c>
      <c r="O3751">
        <v>50.64</v>
      </c>
      <c r="P3751">
        <v>50.28</v>
      </c>
      <c r="Q3751">
        <v>190245584</v>
      </c>
      <c r="R3751">
        <v>1.52</v>
      </c>
      <c r="S3751" t="s">
        <v>559</v>
      </c>
      <c r="T3751" t="s">
        <v>323</v>
      </c>
      <c r="U3751">
        <v>3.2</v>
      </c>
      <c r="V3751">
        <v>51.77</v>
      </c>
      <c r="W3751">
        <v>18722</v>
      </c>
      <c r="X3751">
        <v>18023</v>
      </c>
      <c r="Y3751">
        <v>1.04</v>
      </c>
      <c r="Z3751">
        <v>3</v>
      </c>
      <c r="AA3751">
        <v>62</v>
      </c>
      <c r="AB3751" t="s">
        <v>116</v>
      </c>
      <c r="AC3751">
        <v>7789100</v>
      </c>
      <c r="AD3751">
        <v>0.82</v>
      </c>
      <c r="AE3751" t="s">
        <v>116</v>
      </c>
      <c r="AF3751" t="s">
        <v>116</v>
      </c>
      <c r="AG3751">
        <v>0.18</v>
      </c>
      <c r="AH3751" t="s">
        <v>15325</v>
      </c>
      <c r="AI3751" t="s">
        <v>10702</v>
      </c>
      <c r="AJ3751">
        <v>1.18</v>
      </c>
      <c r="AK3751">
        <v>1847</v>
      </c>
      <c r="AL3751">
        <v>20</v>
      </c>
      <c r="AM3751">
        <v>1.0800000000000001E-2</v>
      </c>
      <c r="AN3751">
        <v>4</v>
      </c>
      <c r="AO3751">
        <v>10.23</v>
      </c>
      <c r="AP3751">
        <v>1.33</v>
      </c>
      <c r="AQ3751">
        <v>1.33</v>
      </c>
      <c r="AR3751">
        <v>1.33</v>
      </c>
      <c r="AS3751">
        <v>20</v>
      </c>
      <c r="AT3751" t="s">
        <v>15325</v>
      </c>
      <c r="AU3751">
        <v>40.58</v>
      </c>
      <c r="AV3751">
        <v>43.09</v>
      </c>
      <c r="AW3751">
        <v>0</v>
      </c>
      <c r="BA3751">
        <v>2.69</v>
      </c>
      <c r="BB3751">
        <v>3.67</v>
      </c>
      <c r="BC3751">
        <v>0.47</v>
      </c>
      <c r="BD3751">
        <v>2.2400000000000002</v>
      </c>
      <c r="BE3751">
        <v>-1.54</v>
      </c>
      <c r="BF3751">
        <v>-2.48</v>
      </c>
      <c r="BG3751">
        <v>0.63</v>
      </c>
      <c r="BH3751">
        <v>-1.1299999999999999</v>
      </c>
      <c r="BI3751">
        <v>20191202</v>
      </c>
      <c r="BJ3751">
        <v>20191203</v>
      </c>
      <c r="BK3751">
        <v>0.8</v>
      </c>
      <c r="BL3751" t="s">
        <v>116</v>
      </c>
      <c r="BM3751" t="s">
        <v>116</v>
      </c>
      <c r="BN3751">
        <v>2.93</v>
      </c>
      <c r="BO3751">
        <v>2.0699999999999998</v>
      </c>
      <c r="BP3751">
        <v>0</v>
      </c>
      <c r="BQ3751">
        <v>29.33</v>
      </c>
      <c r="BR3751">
        <v>2.39</v>
      </c>
      <c r="BS3751">
        <v>0.2</v>
      </c>
      <c r="BT3751">
        <v>0.25</v>
      </c>
      <c r="BU3751">
        <v>0.56000000000000005</v>
      </c>
      <c r="BV3751">
        <v>0.65</v>
      </c>
      <c r="BW3751">
        <v>0.68</v>
      </c>
      <c r="BX3751">
        <v>0.31</v>
      </c>
      <c r="BY3751">
        <v>2.37</v>
      </c>
      <c r="BZ3751">
        <v>0.92</v>
      </c>
      <c r="CA3751">
        <v>0.72</v>
      </c>
      <c r="CB3751">
        <v>0</v>
      </c>
      <c r="CC3751">
        <v>0.72</v>
      </c>
      <c r="CD3751">
        <v>0.61</v>
      </c>
      <c r="CE3751">
        <v>0.61</v>
      </c>
      <c r="CF3751">
        <v>0.57999999999999996</v>
      </c>
      <c r="CG3751">
        <v>1.01</v>
      </c>
      <c r="CH3751">
        <v>0.42</v>
      </c>
      <c r="CI3751">
        <v>-0.5</v>
      </c>
      <c r="CJ3751">
        <v>18192</v>
      </c>
      <c r="CK3751">
        <v>1010</v>
      </c>
      <c r="CL3751" t="s">
        <v>5173</v>
      </c>
      <c r="CM3751">
        <v>0</v>
      </c>
      <c r="CN3751">
        <v>0</v>
      </c>
      <c r="CO3751">
        <v>3.64</v>
      </c>
      <c r="CP3751">
        <v>97.23</v>
      </c>
      <c r="CQ3751">
        <v>17.260000000000002</v>
      </c>
      <c r="CR3751">
        <v>0</v>
      </c>
      <c r="CS3751" t="s">
        <v>14971</v>
      </c>
      <c r="CT3751">
        <v>14.08</v>
      </c>
      <c r="CU3751">
        <v>14.08</v>
      </c>
      <c r="CV3751">
        <v>0.39</v>
      </c>
      <c r="CW3751">
        <v>1.26</v>
      </c>
      <c r="CX3751">
        <v>0.53</v>
      </c>
      <c r="CY3751">
        <v>70.67</v>
      </c>
      <c r="CZ3751" t="s">
        <v>15326</v>
      </c>
      <c r="DA3751">
        <v>61.16</v>
      </c>
      <c r="DB3751">
        <v>30.2</v>
      </c>
      <c r="DC3751">
        <v>25.75</v>
      </c>
      <c r="DD3751">
        <v>0.36</v>
      </c>
      <c r="DE3751">
        <v>625</v>
      </c>
      <c r="DF3751">
        <v>688358</v>
      </c>
      <c r="DG3751" t="s">
        <v>116</v>
      </c>
      <c r="DH3751" t="s">
        <v>116</v>
      </c>
      <c r="DI3751" t="s">
        <v>116</v>
      </c>
    </row>
    <row r="3752" spans="1:113" x14ac:dyDescent="0.4">
      <c r="A3752" t="str">
        <f>"688363"</f>
        <v>688363</v>
      </c>
      <c r="B3752" t="s">
        <v>15327</v>
      </c>
      <c r="C3752">
        <v>-2.87</v>
      </c>
      <c r="D3752">
        <v>81</v>
      </c>
      <c r="E3752">
        <v>-2.39</v>
      </c>
      <c r="F3752">
        <v>81</v>
      </c>
      <c r="G3752">
        <v>81.099999999999994</v>
      </c>
      <c r="H3752">
        <v>14137</v>
      </c>
      <c r="I3752">
        <v>93</v>
      </c>
      <c r="J3752">
        <v>0</v>
      </c>
      <c r="K3752">
        <v>3.1</v>
      </c>
      <c r="L3752">
        <v>83.75</v>
      </c>
      <c r="M3752">
        <v>84.4</v>
      </c>
      <c r="N3752">
        <v>80.78</v>
      </c>
      <c r="O3752">
        <v>83.39</v>
      </c>
      <c r="P3752">
        <v>70.05</v>
      </c>
      <c r="Q3752">
        <v>116417904</v>
      </c>
      <c r="R3752">
        <v>0.77</v>
      </c>
      <c r="S3752" t="s">
        <v>132</v>
      </c>
      <c r="T3752" t="s">
        <v>645</v>
      </c>
      <c r="U3752">
        <v>4.34</v>
      </c>
      <c r="V3752">
        <v>82.35</v>
      </c>
      <c r="W3752">
        <v>8495</v>
      </c>
      <c r="X3752">
        <v>5644</v>
      </c>
      <c r="Y3752">
        <v>1.51</v>
      </c>
      <c r="Z3752">
        <v>92</v>
      </c>
      <c r="AA3752">
        <v>9</v>
      </c>
      <c r="AB3752" t="s">
        <v>116</v>
      </c>
      <c r="AC3752">
        <v>1185300</v>
      </c>
      <c r="AD3752">
        <v>0.03</v>
      </c>
      <c r="AE3752" t="s">
        <v>116</v>
      </c>
      <c r="AF3752" t="s">
        <v>116</v>
      </c>
      <c r="AG3752">
        <v>0.46</v>
      </c>
      <c r="AH3752" t="s">
        <v>15328</v>
      </c>
      <c r="AI3752" t="s">
        <v>15329</v>
      </c>
      <c r="AJ3752">
        <v>-2.79</v>
      </c>
      <c r="AK3752">
        <v>1238</v>
      </c>
      <c r="AL3752">
        <v>11</v>
      </c>
      <c r="AM3752">
        <v>2.5000000000000001E-3</v>
      </c>
      <c r="AN3752">
        <v>-1</v>
      </c>
      <c r="AO3752">
        <v>0.99</v>
      </c>
      <c r="AP3752">
        <v>0.9</v>
      </c>
      <c r="AQ3752">
        <v>69.489999999999995</v>
      </c>
      <c r="AR3752">
        <v>69.489999999999995</v>
      </c>
      <c r="AS3752">
        <v>3.1</v>
      </c>
      <c r="AT3752" t="s">
        <v>15328</v>
      </c>
      <c r="AU3752">
        <v>74.58</v>
      </c>
      <c r="AV3752">
        <v>91.73</v>
      </c>
      <c r="AW3752">
        <v>0</v>
      </c>
      <c r="BA3752">
        <v>0.43</v>
      </c>
      <c r="BB3752">
        <v>1.21</v>
      </c>
      <c r="BC3752">
        <v>-3.13</v>
      </c>
      <c r="BD3752">
        <v>-1.25</v>
      </c>
      <c r="BE3752">
        <v>-3.28</v>
      </c>
      <c r="BF3752">
        <v>-4.03</v>
      </c>
      <c r="BG3752">
        <v>0.27</v>
      </c>
      <c r="BH3752">
        <v>-1.62</v>
      </c>
      <c r="BI3752">
        <v>20191105</v>
      </c>
      <c r="BJ3752">
        <v>20191106</v>
      </c>
      <c r="BK3752">
        <v>4.8</v>
      </c>
      <c r="BL3752" t="s">
        <v>116</v>
      </c>
      <c r="BM3752" t="s">
        <v>116</v>
      </c>
      <c r="BN3752">
        <v>25.01</v>
      </c>
      <c r="BO3752">
        <v>21.39</v>
      </c>
      <c r="BP3752">
        <v>-0.01</v>
      </c>
      <c r="BQ3752">
        <v>14.48</v>
      </c>
      <c r="BR3752">
        <v>14.05</v>
      </c>
      <c r="BS3752">
        <v>4.25</v>
      </c>
      <c r="BT3752">
        <v>3.87</v>
      </c>
      <c r="BU3752">
        <v>3.21</v>
      </c>
      <c r="BV3752">
        <v>2.66</v>
      </c>
      <c r="BW3752">
        <v>3.32</v>
      </c>
      <c r="BX3752">
        <v>12.52</v>
      </c>
      <c r="BY3752">
        <v>12.88</v>
      </c>
      <c r="BZ3752">
        <v>2.71</v>
      </c>
      <c r="CA3752">
        <v>4.97</v>
      </c>
      <c r="CB3752">
        <v>0</v>
      </c>
      <c r="CC3752">
        <v>4.95</v>
      </c>
      <c r="CD3752">
        <v>4.16</v>
      </c>
      <c r="CE3752">
        <v>4.16</v>
      </c>
      <c r="CF3752">
        <v>4.13</v>
      </c>
      <c r="CG3752">
        <v>4.1100000000000003</v>
      </c>
      <c r="CH3752">
        <v>2.0699999999999998</v>
      </c>
      <c r="CI3752">
        <v>-1.63</v>
      </c>
      <c r="CJ3752">
        <v>32608</v>
      </c>
      <c r="CK3752">
        <v>1400</v>
      </c>
      <c r="CL3752" t="s">
        <v>1977</v>
      </c>
      <c r="CM3752">
        <v>0</v>
      </c>
      <c r="CN3752">
        <v>0</v>
      </c>
      <c r="CO3752">
        <v>8.86</v>
      </c>
      <c r="CP3752">
        <v>187.9</v>
      </c>
      <c r="CQ3752">
        <v>30.19</v>
      </c>
      <c r="CR3752">
        <v>0</v>
      </c>
      <c r="CS3752" t="s">
        <v>15330</v>
      </c>
      <c r="CT3752">
        <v>9.14</v>
      </c>
      <c r="CU3752">
        <v>9.14</v>
      </c>
      <c r="CV3752">
        <v>2.61</v>
      </c>
      <c r="CW3752">
        <v>0.86</v>
      </c>
      <c r="CX3752">
        <v>0.43</v>
      </c>
      <c r="CY3752">
        <v>85.54</v>
      </c>
      <c r="CZ3752" t="s">
        <v>15331</v>
      </c>
      <c r="DA3752">
        <v>78.98</v>
      </c>
      <c r="DB3752">
        <v>38.630000000000003</v>
      </c>
      <c r="DC3752">
        <v>32.32</v>
      </c>
      <c r="DD3752">
        <v>0.55000000000000004</v>
      </c>
      <c r="DE3752">
        <v>1395</v>
      </c>
      <c r="DF3752">
        <v>688363</v>
      </c>
      <c r="DG3752" t="s">
        <v>116</v>
      </c>
      <c r="DH3752" t="s">
        <v>116</v>
      </c>
      <c r="DI3752" t="s">
        <v>116</v>
      </c>
    </row>
    <row r="3753" spans="1:113" x14ac:dyDescent="0.4">
      <c r="A3753" t="str">
        <f>"688366"</f>
        <v>688366</v>
      </c>
      <c r="B3753" t="s">
        <v>15332</v>
      </c>
      <c r="C3753">
        <v>-1.89</v>
      </c>
      <c r="D3753">
        <v>86.24</v>
      </c>
      <c r="E3753">
        <v>-1.66</v>
      </c>
      <c r="F3753">
        <v>86.24</v>
      </c>
      <c r="G3753">
        <v>86.26</v>
      </c>
      <c r="H3753">
        <v>5306</v>
      </c>
      <c r="I3753">
        <v>57</v>
      </c>
      <c r="J3753">
        <v>-0.12</v>
      </c>
      <c r="K3753">
        <v>3.62</v>
      </c>
      <c r="L3753">
        <v>88.88</v>
      </c>
      <c r="M3753">
        <v>88.91</v>
      </c>
      <c r="N3753">
        <v>86</v>
      </c>
      <c r="O3753">
        <v>87.9</v>
      </c>
      <c r="P3753">
        <v>45.82</v>
      </c>
      <c r="Q3753">
        <v>46300960</v>
      </c>
      <c r="R3753">
        <v>1.1599999999999999</v>
      </c>
      <c r="S3753" t="s">
        <v>132</v>
      </c>
      <c r="T3753" t="s">
        <v>1653</v>
      </c>
      <c r="U3753">
        <v>3.31</v>
      </c>
      <c r="V3753">
        <v>87.26</v>
      </c>
      <c r="W3753">
        <v>3380</v>
      </c>
      <c r="X3753">
        <v>1926</v>
      </c>
      <c r="Y3753">
        <v>1.75</v>
      </c>
      <c r="Z3753">
        <v>6</v>
      </c>
      <c r="AA3753">
        <v>6</v>
      </c>
      <c r="AB3753" t="s">
        <v>116</v>
      </c>
      <c r="AC3753">
        <v>355500</v>
      </c>
      <c r="AD3753">
        <v>0.03</v>
      </c>
      <c r="AE3753" t="s">
        <v>116</v>
      </c>
      <c r="AF3753" t="s">
        <v>116</v>
      </c>
      <c r="AG3753">
        <v>0.15</v>
      </c>
      <c r="AH3753" t="s">
        <v>5989</v>
      </c>
      <c r="AI3753" t="s">
        <v>15333</v>
      </c>
      <c r="AJ3753">
        <v>-1.81</v>
      </c>
      <c r="AK3753">
        <v>733</v>
      </c>
      <c r="AL3753">
        <v>7</v>
      </c>
      <c r="AM3753">
        <v>4.8999999999999998E-3</v>
      </c>
      <c r="AN3753">
        <v>-1</v>
      </c>
      <c r="AO3753">
        <v>1.1399999999999999</v>
      </c>
      <c r="AP3753">
        <v>0.71</v>
      </c>
      <c r="AQ3753">
        <v>-3.35</v>
      </c>
      <c r="AR3753">
        <v>-3.35</v>
      </c>
      <c r="AS3753">
        <v>3.62</v>
      </c>
      <c r="AT3753" t="s">
        <v>5989</v>
      </c>
      <c r="AU3753">
        <v>37</v>
      </c>
      <c r="AV3753">
        <v>37</v>
      </c>
      <c r="AW3753">
        <v>0</v>
      </c>
      <c r="BA3753">
        <v>1.1100000000000001</v>
      </c>
      <c r="BB3753">
        <v>1.1499999999999999</v>
      </c>
      <c r="BC3753">
        <v>-2.16</v>
      </c>
      <c r="BD3753">
        <v>-0.72</v>
      </c>
      <c r="BE3753">
        <v>-2.97</v>
      </c>
      <c r="BF3753">
        <v>-3</v>
      </c>
      <c r="BG3753">
        <v>0.28000000000000003</v>
      </c>
      <c r="BH3753">
        <v>-1.1599999999999999</v>
      </c>
      <c r="BI3753">
        <v>20191030</v>
      </c>
      <c r="BJ3753">
        <v>20191030</v>
      </c>
      <c r="BK3753">
        <v>1.78</v>
      </c>
      <c r="BL3753" t="s">
        <v>116</v>
      </c>
      <c r="BM3753">
        <v>0.4</v>
      </c>
      <c r="BN3753">
        <v>45.4</v>
      </c>
      <c r="BO3753">
        <v>37.94</v>
      </c>
      <c r="BP3753">
        <v>2.61</v>
      </c>
      <c r="BQ3753">
        <v>10.67</v>
      </c>
      <c r="BR3753">
        <v>25.62</v>
      </c>
      <c r="BS3753">
        <v>5.17</v>
      </c>
      <c r="BT3753">
        <v>6.17</v>
      </c>
      <c r="BU3753">
        <v>3.32</v>
      </c>
      <c r="BV3753">
        <v>2.52</v>
      </c>
      <c r="BW3753">
        <v>3.5</v>
      </c>
      <c r="BX3753">
        <v>17.7</v>
      </c>
      <c r="BY3753">
        <v>11.45</v>
      </c>
      <c r="BZ3753">
        <v>2.59</v>
      </c>
      <c r="CA3753">
        <v>3.22</v>
      </c>
      <c r="CB3753">
        <v>0.08</v>
      </c>
      <c r="CC3753">
        <v>3.21</v>
      </c>
      <c r="CD3753">
        <v>2.72</v>
      </c>
      <c r="CE3753">
        <v>2.5099999999999998</v>
      </c>
      <c r="CF3753">
        <v>2.4</v>
      </c>
      <c r="CG3753">
        <v>17.29</v>
      </c>
      <c r="CH3753">
        <v>2.0099999999999998</v>
      </c>
      <c r="CI3753">
        <v>-0.68</v>
      </c>
      <c r="CJ3753">
        <v>0</v>
      </c>
      <c r="CK3753" t="s">
        <v>116</v>
      </c>
      <c r="CL3753" t="s">
        <v>116</v>
      </c>
      <c r="CM3753">
        <v>0</v>
      </c>
      <c r="CN3753">
        <v>0</v>
      </c>
      <c r="CO3753">
        <v>2.88</v>
      </c>
      <c r="CP3753">
        <v>76.42</v>
      </c>
      <c r="CQ3753">
        <v>13.4</v>
      </c>
      <c r="CR3753">
        <v>0</v>
      </c>
      <c r="CS3753" t="s">
        <v>15334</v>
      </c>
      <c r="CT3753">
        <v>29.93</v>
      </c>
      <c r="CU3753">
        <v>29.93</v>
      </c>
      <c r="CV3753">
        <v>9.9499999999999993</v>
      </c>
      <c r="CW3753">
        <v>9.7200000000000006</v>
      </c>
      <c r="CX3753">
        <v>1.1299999999999999</v>
      </c>
      <c r="CY3753">
        <v>83.58</v>
      </c>
      <c r="CZ3753" t="s">
        <v>5986</v>
      </c>
      <c r="DA3753">
        <v>77.400000000000006</v>
      </c>
      <c r="DB3753">
        <v>28.1</v>
      </c>
      <c r="DC3753">
        <v>21.93</v>
      </c>
      <c r="DD3753">
        <v>0.79</v>
      </c>
      <c r="DE3753">
        <v>1332</v>
      </c>
      <c r="DF3753">
        <v>688366</v>
      </c>
      <c r="DG3753" t="s">
        <v>116</v>
      </c>
      <c r="DH3753" t="s">
        <v>116</v>
      </c>
      <c r="DI3753" t="s">
        <v>116</v>
      </c>
    </row>
    <row r="3754" spans="1:113" x14ac:dyDescent="0.4">
      <c r="A3754" t="str">
        <f>"688368"</f>
        <v>688368</v>
      </c>
      <c r="B3754" t="s">
        <v>15335</v>
      </c>
      <c r="C3754">
        <v>-2.41</v>
      </c>
      <c r="D3754">
        <v>86.65</v>
      </c>
      <c r="E3754">
        <v>-2.14</v>
      </c>
      <c r="F3754">
        <v>86.65</v>
      </c>
      <c r="G3754">
        <v>86.7</v>
      </c>
      <c r="H3754">
        <v>10725</v>
      </c>
      <c r="I3754">
        <v>146</v>
      </c>
      <c r="J3754">
        <v>-0.17</v>
      </c>
      <c r="K3754">
        <v>7.62</v>
      </c>
      <c r="L3754">
        <v>88.55</v>
      </c>
      <c r="M3754">
        <v>93.5</v>
      </c>
      <c r="N3754">
        <v>86.65</v>
      </c>
      <c r="O3754">
        <v>88.79</v>
      </c>
      <c r="P3754">
        <v>57.85</v>
      </c>
      <c r="Q3754">
        <v>97454480</v>
      </c>
      <c r="R3754">
        <v>1.1499999999999999</v>
      </c>
      <c r="S3754" t="s">
        <v>3507</v>
      </c>
      <c r="T3754" t="s">
        <v>1653</v>
      </c>
      <c r="U3754">
        <v>7.71</v>
      </c>
      <c r="V3754">
        <v>90.87</v>
      </c>
      <c r="W3754">
        <v>4578</v>
      </c>
      <c r="X3754">
        <v>6149</v>
      </c>
      <c r="Y3754">
        <v>0.74</v>
      </c>
      <c r="Z3754">
        <v>22</v>
      </c>
      <c r="AA3754">
        <v>2</v>
      </c>
      <c r="AB3754" t="s">
        <v>116</v>
      </c>
      <c r="AC3754">
        <v>228500</v>
      </c>
      <c r="AD3754">
        <v>0.02</v>
      </c>
      <c r="AE3754" t="s">
        <v>116</v>
      </c>
      <c r="AF3754" t="s">
        <v>116</v>
      </c>
      <c r="AG3754">
        <v>0.14000000000000001</v>
      </c>
      <c r="AH3754" t="s">
        <v>9954</v>
      </c>
      <c r="AI3754" t="s">
        <v>15336</v>
      </c>
      <c r="AJ3754">
        <v>-2.33</v>
      </c>
      <c r="AK3754">
        <v>1614</v>
      </c>
      <c r="AL3754">
        <v>7</v>
      </c>
      <c r="AM3754">
        <v>4.7000000000000002E-3</v>
      </c>
      <c r="AN3754">
        <v>-2</v>
      </c>
      <c r="AO3754">
        <v>-0.13</v>
      </c>
      <c r="AP3754">
        <v>22.82</v>
      </c>
      <c r="AQ3754">
        <v>52.88</v>
      </c>
      <c r="AR3754">
        <v>52.88</v>
      </c>
      <c r="AS3754">
        <v>7.62</v>
      </c>
      <c r="AT3754" t="s">
        <v>9954</v>
      </c>
      <c r="AU3754">
        <v>63.83</v>
      </c>
      <c r="AV3754">
        <v>65.63</v>
      </c>
      <c r="AW3754">
        <v>0</v>
      </c>
      <c r="BA3754">
        <v>-0.27</v>
      </c>
      <c r="BB3754">
        <v>5.3</v>
      </c>
      <c r="BC3754">
        <v>-2.41</v>
      </c>
      <c r="BD3754">
        <v>2.34</v>
      </c>
      <c r="BE3754">
        <v>-2.15</v>
      </c>
      <c r="BF3754">
        <v>-7.33</v>
      </c>
      <c r="BG3754">
        <v>0</v>
      </c>
      <c r="BH3754">
        <v>-4.75</v>
      </c>
      <c r="BI3754">
        <v>20191029</v>
      </c>
      <c r="BJ3754">
        <v>20191014</v>
      </c>
      <c r="BK3754">
        <v>0.62</v>
      </c>
      <c r="BL3754" t="s">
        <v>116</v>
      </c>
      <c r="BM3754" t="s">
        <v>116</v>
      </c>
      <c r="BN3754">
        <v>5.48</v>
      </c>
      <c r="BO3754">
        <v>3.22</v>
      </c>
      <c r="BP3754">
        <v>0</v>
      </c>
      <c r="BQ3754">
        <v>41.33</v>
      </c>
      <c r="BR3754">
        <v>5.21</v>
      </c>
      <c r="BS3754">
        <v>0.03</v>
      </c>
      <c r="BT3754">
        <v>0.09</v>
      </c>
      <c r="BU3754">
        <v>2.11</v>
      </c>
      <c r="BV3754">
        <v>1.18</v>
      </c>
      <c r="BW3754">
        <v>1.61</v>
      </c>
      <c r="BX3754">
        <v>0.91</v>
      </c>
      <c r="BY3754">
        <v>6.14</v>
      </c>
      <c r="BZ3754">
        <v>4.72</v>
      </c>
      <c r="CA3754">
        <v>0.74</v>
      </c>
      <c r="CB3754">
        <v>0</v>
      </c>
      <c r="CC3754">
        <v>0.74</v>
      </c>
      <c r="CD3754">
        <v>0.69</v>
      </c>
      <c r="CE3754">
        <v>0.69</v>
      </c>
      <c r="CF3754">
        <v>0.62</v>
      </c>
      <c r="CG3754">
        <v>1.66</v>
      </c>
      <c r="CH3754">
        <v>0.69</v>
      </c>
      <c r="CI3754">
        <v>0.63</v>
      </c>
      <c r="CJ3754">
        <v>15123</v>
      </c>
      <c r="CK3754">
        <v>931</v>
      </c>
      <c r="CL3754" t="s">
        <v>5751</v>
      </c>
      <c r="CM3754">
        <v>0</v>
      </c>
      <c r="CN3754">
        <v>0</v>
      </c>
      <c r="CO3754">
        <v>4.8099999999999996</v>
      </c>
      <c r="CP3754">
        <v>77.25</v>
      </c>
      <c r="CQ3754">
        <v>8.69</v>
      </c>
      <c r="CR3754">
        <v>0</v>
      </c>
      <c r="CS3754" t="s">
        <v>14572</v>
      </c>
      <c r="CT3754">
        <v>18.010000000000002</v>
      </c>
      <c r="CU3754">
        <v>18.010000000000002</v>
      </c>
      <c r="CV3754">
        <v>1.48</v>
      </c>
      <c r="CW3754">
        <v>2.69</v>
      </c>
      <c r="CX3754">
        <v>1.1200000000000001</v>
      </c>
      <c r="CY3754">
        <v>58.67</v>
      </c>
      <c r="CZ3754" t="s">
        <v>15337</v>
      </c>
      <c r="DA3754">
        <v>23.15</v>
      </c>
      <c r="DB3754">
        <v>11.97</v>
      </c>
      <c r="DC3754">
        <v>11.27</v>
      </c>
      <c r="DD3754">
        <v>0.47</v>
      </c>
      <c r="DE3754">
        <v>195</v>
      </c>
      <c r="DF3754">
        <v>688368</v>
      </c>
      <c r="DG3754" t="s">
        <v>116</v>
      </c>
      <c r="DH3754" t="s">
        <v>116</v>
      </c>
      <c r="DI3754" t="s">
        <v>116</v>
      </c>
    </row>
    <row r="3755" spans="1:113" x14ac:dyDescent="0.4">
      <c r="A3755" t="str">
        <f>"688369"</f>
        <v>688369</v>
      </c>
      <c r="B3755" t="s">
        <v>15338</v>
      </c>
      <c r="C3755">
        <v>0.03</v>
      </c>
      <c r="D3755">
        <v>59.5</v>
      </c>
      <c r="E3755">
        <v>0.02</v>
      </c>
      <c r="F3755">
        <v>59.5</v>
      </c>
      <c r="G3755">
        <v>59.56</v>
      </c>
      <c r="H3755">
        <v>16510</v>
      </c>
      <c r="I3755">
        <v>220</v>
      </c>
      <c r="J3755">
        <v>-0.28999999999999998</v>
      </c>
      <c r="K3755">
        <v>9.35</v>
      </c>
      <c r="L3755">
        <v>59.45</v>
      </c>
      <c r="M3755">
        <v>61.39</v>
      </c>
      <c r="N3755">
        <v>59.42</v>
      </c>
      <c r="O3755">
        <v>59.48</v>
      </c>
      <c r="P3755">
        <v>102.47</v>
      </c>
      <c r="Q3755">
        <v>100246256</v>
      </c>
      <c r="R3755">
        <v>1.35</v>
      </c>
      <c r="S3755" t="s">
        <v>607</v>
      </c>
      <c r="T3755" t="s">
        <v>165</v>
      </c>
      <c r="U3755">
        <v>3.31</v>
      </c>
      <c r="V3755">
        <v>60.72</v>
      </c>
      <c r="W3755">
        <v>7773</v>
      </c>
      <c r="X3755">
        <v>8738</v>
      </c>
      <c r="Y3755">
        <v>0.89</v>
      </c>
      <c r="Z3755">
        <v>12</v>
      </c>
      <c r="AA3755">
        <v>5</v>
      </c>
      <c r="AB3755" t="s">
        <v>116</v>
      </c>
      <c r="AC3755">
        <v>192200</v>
      </c>
      <c r="AD3755">
        <v>0.02</v>
      </c>
      <c r="AE3755" t="s">
        <v>116</v>
      </c>
      <c r="AF3755" t="s">
        <v>116</v>
      </c>
      <c r="AG3755">
        <v>0.18</v>
      </c>
      <c r="AH3755" t="s">
        <v>6302</v>
      </c>
      <c r="AI3755" t="s">
        <v>362</v>
      </c>
      <c r="AJ3755">
        <v>0.11</v>
      </c>
      <c r="AK3755">
        <v>1393</v>
      </c>
      <c r="AL3755">
        <v>12</v>
      </c>
      <c r="AM3755">
        <v>6.7000000000000002E-3</v>
      </c>
      <c r="AN3755">
        <v>4</v>
      </c>
      <c r="AO3755">
        <v>1.27</v>
      </c>
      <c r="AP3755">
        <v>5.27</v>
      </c>
      <c r="AQ3755">
        <v>20.47</v>
      </c>
      <c r="AR3755">
        <v>20.47</v>
      </c>
      <c r="AS3755">
        <v>9.35</v>
      </c>
      <c r="AT3755" t="s">
        <v>6302</v>
      </c>
      <c r="AU3755">
        <v>62.77</v>
      </c>
      <c r="AV3755">
        <v>62.77</v>
      </c>
      <c r="AW3755">
        <v>0</v>
      </c>
      <c r="BA3755">
        <v>-0.05</v>
      </c>
      <c r="BB3755">
        <v>3.21</v>
      </c>
      <c r="BC3755">
        <v>-0.1</v>
      </c>
      <c r="BD3755">
        <v>2.08</v>
      </c>
      <c r="BE3755">
        <v>0.08</v>
      </c>
      <c r="BF3755">
        <v>-3.08</v>
      </c>
      <c r="BG3755">
        <v>0.13</v>
      </c>
      <c r="BH3755">
        <v>-2.0499999999999998</v>
      </c>
      <c r="BI3755">
        <v>20191030</v>
      </c>
      <c r="BJ3755">
        <v>20191031</v>
      </c>
      <c r="BK3755">
        <v>0.77</v>
      </c>
      <c r="BL3755" t="s">
        <v>116</v>
      </c>
      <c r="BM3755" t="s">
        <v>116</v>
      </c>
      <c r="BN3755">
        <v>6.87</v>
      </c>
      <c r="BO3755">
        <v>3.49</v>
      </c>
      <c r="BP3755">
        <v>0.06</v>
      </c>
      <c r="BQ3755">
        <v>48.29</v>
      </c>
      <c r="BR3755">
        <v>6.08</v>
      </c>
      <c r="BS3755">
        <v>0.17</v>
      </c>
      <c r="BT3755">
        <v>0</v>
      </c>
      <c r="BU3755">
        <v>3.29</v>
      </c>
      <c r="BV3755">
        <v>7.0000000000000007E-2</v>
      </c>
      <c r="BW3755">
        <v>0.98</v>
      </c>
      <c r="BX3755">
        <v>1.47</v>
      </c>
      <c r="BY3755">
        <v>3.82</v>
      </c>
      <c r="BZ3755">
        <v>0.85</v>
      </c>
      <c r="CA3755">
        <v>0.41</v>
      </c>
      <c r="CB3755">
        <v>0.02</v>
      </c>
      <c r="CC3755">
        <v>0.41</v>
      </c>
      <c r="CD3755">
        <v>0.36</v>
      </c>
      <c r="CE3755">
        <v>0.34</v>
      </c>
      <c r="CF3755">
        <v>0.31</v>
      </c>
      <c r="CG3755">
        <v>1.07</v>
      </c>
      <c r="CH3755">
        <v>-1.3</v>
      </c>
      <c r="CI3755">
        <v>-1.61</v>
      </c>
      <c r="CJ3755">
        <v>18395</v>
      </c>
      <c r="CK3755">
        <v>960</v>
      </c>
      <c r="CL3755" t="s">
        <v>11847</v>
      </c>
      <c r="CM3755">
        <v>0</v>
      </c>
      <c r="CN3755">
        <v>0</v>
      </c>
      <c r="CO3755">
        <v>3.85</v>
      </c>
      <c r="CP3755">
        <v>-35.340000000000003</v>
      </c>
      <c r="CQ3755">
        <v>12</v>
      </c>
      <c r="CR3755">
        <v>0</v>
      </c>
      <c r="CS3755" t="s">
        <v>13751</v>
      </c>
      <c r="CT3755">
        <v>15.45</v>
      </c>
      <c r="CU3755">
        <v>15.45</v>
      </c>
      <c r="CV3755">
        <v>1.91</v>
      </c>
      <c r="CW3755">
        <v>1.39</v>
      </c>
      <c r="CX3755">
        <v>-1.68</v>
      </c>
      <c r="CY3755">
        <v>50.84</v>
      </c>
      <c r="CZ3755" t="s">
        <v>8746</v>
      </c>
      <c r="DA3755">
        <v>77.849999999999994</v>
      </c>
      <c r="DB3755">
        <v>10.62</v>
      </c>
      <c r="DC3755">
        <v>8.7799999999999994</v>
      </c>
      <c r="DD3755">
        <v>0.61</v>
      </c>
      <c r="DE3755">
        <v>1649</v>
      </c>
      <c r="DF3755">
        <v>688369</v>
      </c>
      <c r="DG3755" t="s">
        <v>116</v>
      </c>
      <c r="DH3755" t="s">
        <v>116</v>
      </c>
      <c r="DI3755" t="s">
        <v>116</v>
      </c>
    </row>
    <row r="3756" spans="1:113" x14ac:dyDescent="0.4">
      <c r="A3756" t="str">
        <f>"688388"</f>
        <v>688388</v>
      </c>
      <c r="B3756" t="s">
        <v>15339</v>
      </c>
      <c r="C3756">
        <v>-3.5</v>
      </c>
      <c r="D3756">
        <v>54.07</v>
      </c>
      <c r="E3756">
        <v>-1.96</v>
      </c>
      <c r="F3756">
        <v>54.05</v>
      </c>
      <c r="G3756">
        <v>54.07</v>
      </c>
      <c r="H3756">
        <v>40285</v>
      </c>
      <c r="I3756">
        <v>318</v>
      </c>
      <c r="J3756">
        <v>0.04</v>
      </c>
      <c r="K3756">
        <v>7.62</v>
      </c>
      <c r="L3756">
        <v>55.98</v>
      </c>
      <c r="M3756">
        <v>56.68</v>
      </c>
      <c r="N3756">
        <v>53.82</v>
      </c>
      <c r="O3756">
        <v>56.03</v>
      </c>
      <c r="P3756">
        <v>34.9</v>
      </c>
      <c r="Q3756">
        <v>222291056</v>
      </c>
      <c r="R3756">
        <v>0.71</v>
      </c>
      <c r="S3756" t="s">
        <v>233</v>
      </c>
      <c r="T3756" t="s">
        <v>551</v>
      </c>
      <c r="U3756">
        <v>5.0999999999999996</v>
      </c>
      <c r="V3756">
        <v>55.18</v>
      </c>
      <c r="W3756">
        <v>23737</v>
      </c>
      <c r="X3756">
        <v>16549</v>
      </c>
      <c r="Y3756">
        <v>1.43</v>
      </c>
      <c r="Z3756">
        <v>9</v>
      </c>
      <c r="AA3756">
        <v>77</v>
      </c>
      <c r="AB3756" t="s">
        <v>116</v>
      </c>
      <c r="AC3756">
        <v>537000</v>
      </c>
      <c r="AD3756">
        <v>0.02</v>
      </c>
      <c r="AE3756" t="s">
        <v>116</v>
      </c>
      <c r="AF3756" t="s">
        <v>116</v>
      </c>
      <c r="AG3756">
        <v>0.53</v>
      </c>
      <c r="AH3756" t="s">
        <v>5737</v>
      </c>
      <c r="AI3756" t="s">
        <v>15340</v>
      </c>
      <c r="AJ3756">
        <v>-3.42</v>
      </c>
      <c r="AK3756">
        <v>2384</v>
      </c>
      <c r="AL3756">
        <v>17</v>
      </c>
      <c r="AM3756">
        <v>3.2000000000000002E-3</v>
      </c>
      <c r="AN3756">
        <v>-1</v>
      </c>
      <c r="AO3756">
        <v>6.44</v>
      </c>
      <c r="AP3756">
        <v>29.94</v>
      </c>
      <c r="AQ3756">
        <v>2.17</v>
      </c>
      <c r="AR3756">
        <v>91.33</v>
      </c>
      <c r="AS3756">
        <v>7.62</v>
      </c>
      <c r="AT3756" t="s">
        <v>5737</v>
      </c>
      <c r="AU3756">
        <v>36.89</v>
      </c>
      <c r="AV3756">
        <v>70.760000000000005</v>
      </c>
      <c r="AW3756">
        <v>1.81</v>
      </c>
      <c r="BA3756">
        <v>-0.09</v>
      </c>
      <c r="BB3756">
        <v>1.1599999999999999</v>
      </c>
      <c r="BC3756">
        <v>-3.94</v>
      </c>
      <c r="BD3756">
        <v>-1.52</v>
      </c>
      <c r="BE3756">
        <v>-3.41</v>
      </c>
      <c r="BF3756">
        <v>-4.5999999999999996</v>
      </c>
      <c r="BG3756">
        <v>0.46</v>
      </c>
      <c r="BH3756">
        <v>-1.98</v>
      </c>
      <c r="BI3756">
        <v>20191028</v>
      </c>
      <c r="BJ3756">
        <v>20190722</v>
      </c>
      <c r="BK3756">
        <v>2.31</v>
      </c>
      <c r="BL3756" t="s">
        <v>116</v>
      </c>
      <c r="BM3756" t="s">
        <v>116</v>
      </c>
      <c r="BN3756">
        <v>25.55</v>
      </c>
      <c r="BO3756">
        <v>24.62</v>
      </c>
      <c r="BP3756">
        <v>0</v>
      </c>
      <c r="BQ3756">
        <v>3.64</v>
      </c>
      <c r="BR3756">
        <v>19.46</v>
      </c>
      <c r="BS3756">
        <v>5.57</v>
      </c>
      <c r="BT3756">
        <v>0.23</v>
      </c>
      <c r="BU3756">
        <v>0.62</v>
      </c>
      <c r="BV3756">
        <v>0.84</v>
      </c>
      <c r="BW3756">
        <v>1.68</v>
      </c>
      <c r="BX3756">
        <v>16.07</v>
      </c>
      <c r="BY3756">
        <v>11.73</v>
      </c>
      <c r="BZ3756">
        <v>7.59</v>
      </c>
      <c r="CA3756">
        <v>3.16</v>
      </c>
      <c r="CB3756">
        <v>0</v>
      </c>
      <c r="CC3756">
        <v>3.16</v>
      </c>
      <c r="CD3756">
        <v>2.68</v>
      </c>
      <c r="CE3756">
        <v>2.68</v>
      </c>
      <c r="CF3756">
        <v>2.63</v>
      </c>
      <c r="CG3756">
        <v>5.86</v>
      </c>
      <c r="CH3756">
        <v>1.81</v>
      </c>
      <c r="CI3756">
        <v>1.82</v>
      </c>
      <c r="CJ3756">
        <v>23885</v>
      </c>
      <c r="CK3756">
        <v>2212</v>
      </c>
      <c r="CL3756" t="s">
        <v>15341</v>
      </c>
      <c r="CM3756">
        <v>0</v>
      </c>
      <c r="CN3756">
        <v>0</v>
      </c>
      <c r="CO3756">
        <v>5.07</v>
      </c>
      <c r="CP3756">
        <v>68.930000000000007</v>
      </c>
      <c r="CQ3756">
        <v>10.64</v>
      </c>
      <c r="CR3756">
        <v>0</v>
      </c>
      <c r="CS3756" t="s">
        <v>10401</v>
      </c>
      <c r="CT3756">
        <v>10.66</v>
      </c>
      <c r="CU3756">
        <v>0</v>
      </c>
      <c r="CV3756">
        <v>6.96</v>
      </c>
      <c r="CW3756">
        <v>2.54</v>
      </c>
      <c r="CX3756">
        <v>0.78</v>
      </c>
      <c r="CY3756">
        <v>96.36</v>
      </c>
      <c r="CZ3756" t="s">
        <v>130</v>
      </c>
      <c r="DA3756">
        <v>35.29</v>
      </c>
      <c r="DB3756">
        <v>26.92</v>
      </c>
      <c r="DC3756">
        <v>22.87</v>
      </c>
      <c r="DD3756">
        <v>0.43</v>
      </c>
      <c r="DE3756">
        <v>776</v>
      </c>
      <c r="DF3756">
        <v>688388</v>
      </c>
      <c r="DG3756" t="s">
        <v>116</v>
      </c>
      <c r="DH3756" t="s">
        <v>116</v>
      </c>
      <c r="DI3756" t="s">
        <v>116</v>
      </c>
    </row>
    <row r="3757" spans="1:113" x14ac:dyDescent="0.4">
      <c r="A3757" t="str">
        <f>"688389"</f>
        <v>688389</v>
      </c>
      <c r="B3757" t="s">
        <v>15342</v>
      </c>
      <c r="C3757">
        <v>-2.9</v>
      </c>
      <c r="D3757">
        <v>16.399999999999999</v>
      </c>
      <c r="E3757">
        <v>-0.49</v>
      </c>
      <c r="F3757">
        <v>16.399999999999999</v>
      </c>
      <c r="G3757">
        <v>16.420000000000002</v>
      </c>
      <c r="H3757">
        <v>30283</v>
      </c>
      <c r="I3757">
        <v>161</v>
      </c>
      <c r="J3757">
        <v>0.24</v>
      </c>
      <c r="K3757">
        <v>8.7100000000000009</v>
      </c>
      <c r="L3757">
        <v>16.850000000000001</v>
      </c>
      <c r="M3757">
        <v>16.98</v>
      </c>
      <c r="N3757">
        <v>16.329999999999998</v>
      </c>
      <c r="O3757">
        <v>16.89</v>
      </c>
      <c r="P3757">
        <v>78.56</v>
      </c>
      <c r="Q3757">
        <v>50495260</v>
      </c>
      <c r="R3757">
        <v>0.97</v>
      </c>
      <c r="S3757" t="s">
        <v>559</v>
      </c>
      <c r="T3757" t="s">
        <v>115</v>
      </c>
      <c r="U3757">
        <v>3.85</v>
      </c>
      <c r="V3757">
        <v>16.670000000000002</v>
      </c>
      <c r="W3757">
        <v>19720</v>
      </c>
      <c r="X3757">
        <v>10563</v>
      </c>
      <c r="Y3757">
        <v>1.87</v>
      </c>
      <c r="Z3757">
        <v>7</v>
      </c>
      <c r="AA3757">
        <v>39</v>
      </c>
      <c r="AB3757" t="s">
        <v>116</v>
      </c>
      <c r="AC3757">
        <v>345000</v>
      </c>
      <c r="AD3757">
        <v>0.06</v>
      </c>
      <c r="AE3757" t="s">
        <v>116</v>
      </c>
      <c r="AF3757" t="s">
        <v>116</v>
      </c>
      <c r="AG3757">
        <v>0.35</v>
      </c>
      <c r="AH3757" t="s">
        <v>15343</v>
      </c>
      <c r="AI3757" t="s">
        <v>10772</v>
      </c>
      <c r="AJ3757">
        <v>-2.82</v>
      </c>
      <c r="AK3757">
        <v>940</v>
      </c>
      <c r="AL3757">
        <v>32</v>
      </c>
      <c r="AM3757">
        <v>9.2999999999999992E-3</v>
      </c>
      <c r="AN3757">
        <v>-1</v>
      </c>
      <c r="AO3757">
        <v>1.23</v>
      </c>
      <c r="AP3757">
        <v>0.37</v>
      </c>
      <c r="AQ3757">
        <v>80.22</v>
      </c>
      <c r="AR3757">
        <v>80.22</v>
      </c>
      <c r="AS3757">
        <v>8.7100000000000009</v>
      </c>
      <c r="AT3757" t="s">
        <v>15343</v>
      </c>
      <c r="AU3757">
        <v>67.62</v>
      </c>
      <c r="AV3757">
        <v>85.33</v>
      </c>
      <c r="AW3757">
        <v>0</v>
      </c>
      <c r="BA3757">
        <v>-0.24</v>
      </c>
      <c r="BB3757">
        <v>0.53</v>
      </c>
      <c r="BC3757">
        <v>-3.32</v>
      </c>
      <c r="BD3757">
        <v>-1.28</v>
      </c>
      <c r="BE3757">
        <v>-2.67</v>
      </c>
      <c r="BF3757">
        <v>-3.42</v>
      </c>
      <c r="BG3757">
        <v>0.43</v>
      </c>
      <c r="BH3757">
        <v>-1.63</v>
      </c>
      <c r="BI3757">
        <v>20191104</v>
      </c>
      <c r="BJ3757">
        <v>20191105</v>
      </c>
      <c r="BK3757">
        <v>4.22</v>
      </c>
      <c r="BL3757" t="s">
        <v>116</v>
      </c>
      <c r="BM3757" t="s">
        <v>116</v>
      </c>
      <c r="BN3757">
        <v>7.92</v>
      </c>
      <c r="BO3757">
        <v>6.74</v>
      </c>
      <c r="BP3757">
        <v>0</v>
      </c>
      <c r="BQ3757">
        <v>14.87</v>
      </c>
      <c r="BR3757">
        <v>5.0999999999999996</v>
      </c>
      <c r="BS3757">
        <v>0.2</v>
      </c>
      <c r="BT3757">
        <v>0.89</v>
      </c>
      <c r="BU3757">
        <v>0.88</v>
      </c>
      <c r="BV3757">
        <v>0.5</v>
      </c>
      <c r="BW3757">
        <v>0.06</v>
      </c>
      <c r="BX3757">
        <v>1.87</v>
      </c>
      <c r="BY3757">
        <v>3</v>
      </c>
      <c r="BZ3757">
        <v>1.17</v>
      </c>
      <c r="CA3757">
        <v>0.77</v>
      </c>
      <c r="CB3757">
        <v>0.03</v>
      </c>
      <c r="CC3757">
        <v>0.77</v>
      </c>
      <c r="CD3757">
        <v>0.66</v>
      </c>
      <c r="CE3757">
        <v>0.66</v>
      </c>
      <c r="CF3757">
        <v>0.51</v>
      </c>
      <c r="CG3757">
        <v>0.98</v>
      </c>
      <c r="CH3757">
        <v>0.31</v>
      </c>
      <c r="CI3757">
        <v>-1.89</v>
      </c>
      <c r="CJ3757">
        <v>25638</v>
      </c>
      <c r="CK3757">
        <v>1355</v>
      </c>
      <c r="CL3757" t="s">
        <v>10470</v>
      </c>
      <c r="CM3757">
        <v>0</v>
      </c>
      <c r="CN3757">
        <v>0</v>
      </c>
      <c r="CO3757">
        <v>6.82</v>
      </c>
      <c r="CP3757">
        <v>225.51</v>
      </c>
      <c r="CQ3757">
        <v>23.11</v>
      </c>
      <c r="CR3757">
        <v>0</v>
      </c>
      <c r="CS3757" t="s">
        <v>3137</v>
      </c>
      <c r="CT3757">
        <v>2.4</v>
      </c>
      <c r="CU3757">
        <v>2.4</v>
      </c>
      <c r="CV3757">
        <v>0.44</v>
      </c>
      <c r="CW3757">
        <v>0.23</v>
      </c>
      <c r="CX3757">
        <v>7.0000000000000007E-2</v>
      </c>
      <c r="CY3757">
        <v>85.13</v>
      </c>
      <c r="CZ3757" t="s">
        <v>2611</v>
      </c>
      <c r="DA3757">
        <v>60.9</v>
      </c>
      <c r="DB3757">
        <v>25.68</v>
      </c>
      <c r="DC3757">
        <v>22.07</v>
      </c>
      <c r="DD3757">
        <v>0.55000000000000004</v>
      </c>
      <c r="DE3757">
        <v>735</v>
      </c>
      <c r="DF3757">
        <v>688389</v>
      </c>
      <c r="DG3757" t="s">
        <v>116</v>
      </c>
      <c r="DH3757" t="s">
        <v>116</v>
      </c>
      <c r="DI3757" t="s">
        <v>116</v>
      </c>
    </row>
    <row r="3758" spans="1:113" x14ac:dyDescent="0.4">
      <c r="A3758" t="str">
        <f>"688399"</f>
        <v>688399</v>
      </c>
      <c r="B3758" t="s">
        <v>15344</v>
      </c>
      <c r="C3758">
        <v>-4.07</v>
      </c>
      <c r="D3758">
        <v>56.98</v>
      </c>
      <c r="E3758">
        <v>-2.42</v>
      </c>
      <c r="F3758">
        <v>56.87</v>
      </c>
      <c r="G3758">
        <v>56.98</v>
      </c>
      <c r="H3758">
        <v>24338</v>
      </c>
      <c r="I3758">
        <v>640</v>
      </c>
      <c r="J3758">
        <v>-0.41</v>
      </c>
      <c r="K3758">
        <v>18.25</v>
      </c>
      <c r="L3758">
        <v>59.99</v>
      </c>
      <c r="M3758">
        <v>59.99</v>
      </c>
      <c r="N3758">
        <v>56.98</v>
      </c>
      <c r="O3758">
        <v>59.4</v>
      </c>
      <c r="P3758">
        <v>50.33</v>
      </c>
      <c r="Q3758">
        <v>142290976</v>
      </c>
      <c r="R3758">
        <v>1.45</v>
      </c>
      <c r="S3758" t="s">
        <v>559</v>
      </c>
      <c r="T3758" t="s">
        <v>323</v>
      </c>
      <c r="U3758">
        <v>5.07</v>
      </c>
      <c r="V3758">
        <v>58.46</v>
      </c>
      <c r="W3758">
        <v>15556</v>
      </c>
      <c r="X3758">
        <v>8782</v>
      </c>
      <c r="Y3758">
        <v>1.77</v>
      </c>
      <c r="Z3758">
        <v>7</v>
      </c>
      <c r="AA3758">
        <v>352</v>
      </c>
      <c r="AB3758" t="s">
        <v>116</v>
      </c>
      <c r="AC3758">
        <v>1428500</v>
      </c>
      <c r="AD3758">
        <v>0.18</v>
      </c>
      <c r="AE3758" t="s">
        <v>116</v>
      </c>
      <c r="AF3758" t="s">
        <v>116</v>
      </c>
      <c r="AG3758">
        <v>0.13</v>
      </c>
      <c r="AH3758" t="s">
        <v>10432</v>
      </c>
      <c r="AI3758" t="s">
        <v>9519</v>
      </c>
      <c r="AJ3758">
        <v>-4</v>
      </c>
      <c r="AK3758">
        <v>1573</v>
      </c>
      <c r="AL3758">
        <v>15</v>
      </c>
      <c r="AM3758">
        <v>1.1599999999999999E-2</v>
      </c>
      <c r="AN3758">
        <v>-1</v>
      </c>
      <c r="AO3758">
        <v>-3.04</v>
      </c>
      <c r="AP3758">
        <v>21.8</v>
      </c>
      <c r="AQ3758">
        <v>21.8</v>
      </c>
      <c r="AR3758">
        <v>21.8</v>
      </c>
      <c r="AS3758">
        <v>18.25</v>
      </c>
      <c r="AT3758" t="s">
        <v>10432</v>
      </c>
      <c r="AU3758">
        <v>44.98</v>
      </c>
      <c r="AV3758">
        <v>52.33</v>
      </c>
      <c r="AW3758">
        <v>0</v>
      </c>
      <c r="BA3758">
        <v>0.99</v>
      </c>
      <c r="BB3758">
        <v>0.99</v>
      </c>
      <c r="BC3758">
        <v>-4.07</v>
      </c>
      <c r="BD3758">
        <v>-1.58</v>
      </c>
      <c r="BE3758">
        <v>-5.0199999999999996</v>
      </c>
      <c r="BF3758">
        <v>-5.0199999999999996</v>
      </c>
      <c r="BG3758">
        <v>0</v>
      </c>
      <c r="BH3758">
        <v>-2.5</v>
      </c>
      <c r="BI3758">
        <v>20191204</v>
      </c>
      <c r="BJ3758">
        <v>20191205</v>
      </c>
      <c r="BK3758">
        <v>0.59</v>
      </c>
      <c r="BL3758" t="s">
        <v>116</v>
      </c>
      <c r="BM3758" t="s">
        <v>116</v>
      </c>
      <c r="BN3758">
        <v>4.45</v>
      </c>
      <c r="BO3758">
        <v>3.74</v>
      </c>
      <c r="BP3758">
        <v>0</v>
      </c>
      <c r="BQ3758">
        <v>15.95</v>
      </c>
      <c r="BR3758">
        <v>2.42</v>
      </c>
      <c r="BS3758">
        <v>0.56000000000000005</v>
      </c>
      <c r="BT3758">
        <v>0.25</v>
      </c>
      <c r="BU3758">
        <v>0.49</v>
      </c>
      <c r="BV3758">
        <v>0.24</v>
      </c>
      <c r="BW3758">
        <v>0.26</v>
      </c>
      <c r="BX3758">
        <v>2.06</v>
      </c>
      <c r="BY3758">
        <v>1.91</v>
      </c>
      <c r="BZ3758">
        <v>0.34</v>
      </c>
      <c r="CA3758">
        <v>0.56999999999999995</v>
      </c>
      <c r="CB3758">
        <v>0</v>
      </c>
      <c r="CC3758">
        <v>0.56000000000000005</v>
      </c>
      <c r="CD3758">
        <v>0.5</v>
      </c>
      <c r="CE3758">
        <v>0.5</v>
      </c>
      <c r="CF3758">
        <v>0.48</v>
      </c>
      <c r="CG3758">
        <v>1.1299999999999999</v>
      </c>
      <c r="CH3758">
        <v>0.47</v>
      </c>
      <c r="CI3758">
        <v>-0.08</v>
      </c>
      <c r="CJ3758">
        <v>14905</v>
      </c>
      <c r="CK3758">
        <v>895</v>
      </c>
      <c r="CL3758" t="s">
        <v>6129</v>
      </c>
      <c r="CM3758">
        <v>0</v>
      </c>
      <c r="CN3758">
        <v>0</v>
      </c>
      <c r="CO3758">
        <v>3.38</v>
      </c>
      <c r="CP3758">
        <v>70.87</v>
      </c>
      <c r="CQ3758">
        <v>17.52</v>
      </c>
      <c r="CR3758">
        <v>0</v>
      </c>
      <c r="CS3758" t="s">
        <v>9717</v>
      </c>
      <c r="CT3758">
        <v>16.829999999999998</v>
      </c>
      <c r="CU3758">
        <v>16.829999999999998</v>
      </c>
      <c r="CV3758">
        <v>3.52</v>
      </c>
      <c r="CW3758">
        <v>1.92</v>
      </c>
      <c r="CX3758">
        <v>0.8</v>
      </c>
      <c r="CY3758">
        <v>84.05</v>
      </c>
      <c r="CZ3758" t="s">
        <v>15345</v>
      </c>
      <c r="DA3758">
        <v>82.12</v>
      </c>
      <c r="DB3758">
        <v>29.75</v>
      </c>
      <c r="DC3758">
        <v>26.11</v>
      </c>
      <c r="DD3758">
        <v>0.25</v>
      </c>
      <c r="DE3758">
        <v>428</v>
      </c>
      <c r="DF3758">
        <v>688399</v>
      </c>
      <c r="DG3758" t="s">
        <v>116</v>
      </c>
      <c r="DH3758" t="s">
        <v>116</v>
      </c>
      <c r="DI3758" t="s">
        <v>116</v>
      </c>
    </row>
    <row r="3759" spans="1:113" x14ac:dyDescent="0.4">
      <c r="A3759" t="str">
        <f>"600074"</f>
        <v>600074</v>
      </c>
      <c r="B3759" t="s">
        <v>15346</v>
      </c>
      <c r="C3759" t="s">
        <v>116</v>
      </c>
      <c r="D3759">
        <v>0</v>
      </c>
      <c r="E3759" t="s">
        <v>116</v>
      </c>
      <c r="F3759" t="s">
        <v>116</v>
      </c>
      <c r="G3759" t="s">
        <v>116</v>
      </c>
      <c r="H3759">
        <v>0</v>
      </c>
      <c r="I3759">
        <v>0</v>
      </c>
      <c r="J3759" t="s">
        <v>116</v>
      </c>
      <c r="K3759">
        <v>0</v>
      </c>
      <c r="L3759" t="s">
        <v>116</v>
      </c>
      <c r="M3759" t="s">
        <v>116</v>
      </c>
      <c r="N3759" t="s">
        <v>116</v>
      </c>
      <c r="O3759" t="s">
        <v>116</v>
      </c>
      <c r="P3759" t="s">
        <v>116</v>
      </c>
      <c r="Q3759">
        <v>0</v>
      </c>
      <c r="R3759">
        <v>0</v>
      </c>
      <c r="S3759" t="s">
        <v>241</v>
      </c>
      <c r="T3759" t="s">
        <v>323</v>
      </c>
      <c r="U3759" t="s">
        <v>116</v>
      </c>
      <c r="V3759">
        <v>0</v>
      </c>
      <c r="W3759">
        <v>0</v>
      </c>
      <c r="X3759">
        <v>0</v>
      </c>
      <c r="Y3759" t="s">
        <v>116</v>
      </c>
      <c r="Z3759">
        <v>0</v>
      </c>
      <c r="AA3759">
        <v>0</v>
      </c>
      <c r="AB3759" t="s">
        <v>116</v>
      </c>
      <c r="AC3759">
        <v>0</v>
      </c>
      <c r="AD3759" t="s">
        <v>116</v>
      </c>
      <c r="AE3759" t="s">
        <v>116</v>
      </c>
      <c r="AF3759" t="s">
        <v>116</v>
      </c>
      <c r="AG3759">
        <v>10.26</v>
      </c>
      <c r="AH3759" t="s">
        <v>10484</v>
      </c>
      <c r="AI3759" t="s">
        <v>10484</v>
      </c>
      <c r="AJ3759" t="s">
        <v>116</v>
      </c>
      <c r="AK3759">
        <v>0</v>
      </c>
      <c r="AL3759" t="s">
        <v>116</v>
      </c>
      <c r="AM3759" t="s">
        <v>116</v>
      </c>
      <c r="AN3759">
        <v>0</v>
      </c>
      <c r="AO3759">
        <v>0</v>
      </c>
      <c r="AP3759">
        <v>0</v>
      </c>
      <c r="AQ3759">
        <v>0</v>
      </c>
      <c r="AR3759">
        <v>0</v>
      </c>
      <c r="AS3759" t="s">
        <v>116</v>
      </c>
      <c r="AT3759" t="s">
        <v>10484</v>
      </c>
      <c r="AU3759" t="s">
        <v>116</v>
      </c>
      <c r="AV3759" t="s">
        <v>116</v>
      </c>
      <c r="AW3759">
        <v>0.66</v>
      </c>
      <c r="BA3759" t="s">
        <v>116</v>
      </c>
      <c r="BB3759" t="s">
        <v>116</v>
      </c>
      <c r="BC3759" t="s">
        <v>116</v>
      </c>
      <c r="BD3759" t="s">
        <v>116</v>
      </c>
      <c r="BE3759" t="s">
        <v>116</v>
      </c>
      <c r="BF3759" t="s">
        <v>116</v>
      </c>
      <c r="BG3759" t="s">
        <v>116</v>
      </c>
      <c r="BH3759" t="s">
        <v>116</v>
      </c>
      <c r="BI3759">
        <v>20191030</v>
      </c>
      <c r="BJ3759">
        <v>19970623</v>
      </c>
      <c r="BK3759">
        <v>24.38</v>
      </c>
      <c r="BL3759" t="s">
        <v>116</v>
      </c>
      <c r="BM3759" t="s">
        <v>116</v>
      </c>
      <c r="BN3759">
        <v>6.9</v>
      </c>
      <c r="BO3759">
        <v>-53.59</v>
      </c>
      <c r="BP3759">
        <v>0.8</v>
      </c>
      <c r="BQ3759">
        <v>864.68</v>
      </c>
      <c r="BR3759">
        <v>4.43</v>
      </c>
      <c r="BS3759">
        <v>1.69</v>
      </c>
      <c r="BT3759">
        <v>0.54</v>
      </c>
      <c r="BU3759">
        <v>59.43</v>
      </c>
      <c r="BV3759">
        <v>1.47</v>
      </c>
      <c r="BW3759">
        <v>0.16</v>
      </c>
      <c r="BX3759">
        <v>7.12</v>
      </c>
      <c r="BY3759">
        <v>1.06</v>
      </c>
      <c r="BZ3759">
        <v>0.66</v>
      </c>
      <c r="CA3759">
        <v>-2.91</v>
      </c>
      <c r="CB3759">
        <v>0.1</v>
      </c>
      <c r="CC3759">
        <v>-3.12</v>
      </c>
      <c r="CD3759">
        <v>-3.11</v>
      </c>
      <c r="CE3759">
        <v>-3.12</v>
      </c>
      <c r="CF3759">
        <v>-3.09</v>
      </c>
      <c r="CG3759">
        <v>-82.54</v>
      </c>
      <c r="CH3759">
        <v>-0.27</v>
      </c>
      <c r="CI3759">
        <v>-0.1</v>
      </c>
      <c r="CJ3759">
        <v>92835</v>
      </c>
      <c r="CK3759">
        <v>11052</v>
      </c>
      <c r="CL3759" t="s">
        <v>10485</v>
      </c>
      <c r="CM3759">
        <v>14.92</v>
      </c>
      <c r="CN3759">
        <v>-8.32</v>
      </c>
      <c r="CO3759">
        <v>0</v>
      </c>
      <c r="CP3759">
        <v>0</v>
      </c>
      <c r="CQ3759">
        <v>0</v>
      </c>
      <c r="CR3759">
        <v>0</v>
      </c>
      <c r="CS3759" t="s">
        <v>15347</v>
      </c>
      <c r="CT3759">
        <v>-2.2000000000000002</v>
      </c>
      <c r="CU3759">
        <v>0</v>
      </c>
      <c r="CV3759">
        <v>0.28999999999999998</v>
      </c>
      <c r="CW3759">
        <v>-3.39</v>
      </c>
      <c r="CX3759">
        <v>-0.01</v>
      </c>
      <c r="CY3759">
        <v>-776.23</v>
      </c>
      <c r="CZ3759" t="s">
        <v>116</v>
      </c>
      <c r="DA3759">
        <v>37.35</v>
      </c>
      <c r="DB3759">
        <v>-274.22000000000003</v>
      </c>
      <c r="DC3759">
        <v>-294.39999999999998</v>
      </c>
      <c r="DD3759">
        <v>0.04</v>
      </c>
      <c r="DE3759">
        <v>442</v>
      </c>
      <c r="DF3759">
        <v>600074</v>
      </c>
      <c r="DG3759" t="s">
        <v>116</v>
      </c>
      <c r="DH3759" t="s">
        <v>116</v>
      </c>
      <c r="DI3759" t="s">
        <v>116</v>
      </c>
    </row>
    <row r="3760" spans="1:113" x14ac:dyDescent="0.4">
      <c r="A3760" t="str">
        <f>"600610"</f>
        <v>600610</v>
      </c>
      <c r="B3760" t="s">
        <v>15348</v>
      </c>
      <c r="C3760" t="s">
        <v>116</v>
      </c>
      <c r="D3760">
        <v>0</v>
      </c>
      <c r="E3760" t="s">
        <v>116</v>
      </c>
      <c r="F3760" t="s">
        <v>116</v>
      </c>
      <c r="G3760" t="s">
        <v>116</v>
      </c>
      <c r="H3760">
        <v>0</v>
      </c>
      <c r="I3760">
        <v>0</v>
      </c>
      <c r="J3760" t="s">
        <v>116</v>
      </c>
      <c r="K3760">
        <v>0</v>
      </c>
      <c r="L3760" t="s">
        <v>116</v>
      </c>
      <c r="M3760" t="s">
        <v>116</v>
      </c>
      <c r="N3760" t="s">
        <v>116</v>
      </c>
      <c r="O3760" t="s">
        <v>116</v>
      </c>
      <c r="P3760" t="s">
        <v>116</v>
      </c>
      <c r="Q3760">
        <v>0</v>
      </c>
      <c r="R3760">
        <v>0</v>
      </c>
      <c r="S3760" t="s">
        <v>181</v>
      </c>
      <c r="T3760" t="s">
        <v>1653</v>
      </c>
      <c r="U3760" t="s">
        <v>116</v>
      </c>
      <c r="V3760">
        <v>0</v>
      </c>
      <c r="W3760">
        <v>0</v>
      </c>
      <c r="X3760">
        <v>0</v>
      </c>
      <c r="Y3760" t="s">
        <v>116</v>
      </c>
      <c r="Z3760">
        <v>0</v>
      </c>
      <c r="AA3760">
        <v>0</v>
      </c>
      <c r="AB3760" t="s">
        <v>116</v>
      </c>
      <c r="AC3760">
        <v>0</v>
      </c>
      <c r="AD3760" t="s">
        <v>116</v>
      </c>
      <c r="AE3760" t="s">
        <v>116</v>
      </c>
      <c r="AF3760" t="s">
        <v>116</v>
      </c>
      <c r="AG3760">
        <v>3.76</v>
      </c>
      <c r="AH3760" t="s">
        <v>10484</v>
      </c>
      <c r="AI3760" t="s">
        <v>10484</v>
      </c>
      <c r="AJ3760" t="s">
        <v>116</v>
      </c>
      <c r="AK3760">
        <v>0</v>
      </c>
      <c r="AL3760" t="s">
        <v>116</v>
      </c>
      <c r="AM3760" t="s">
        <v>116</v>
      </c>
      <c r="AN3760">
        <v>0</v>
      </c>
      <c r="AO3760">
        <v>0</v>
      </c>
      <c r="AP3760">
        <v>0</v>
      </c>
      <c r="AQ3760">
        <v>0</v>
      </c>
      <c r="AR3760">
        <v>0</v>
      </c>
      <c r="AS3760" t="s">
        <v>116</v>
      </c>
      <c r="AT3760" t="s">
        <v>10484</v>
      </c>
      <c r="AU3760" t="s">
        <v>116</v>
      </c>
      <c r="AV3760" t="s">
        <v>116</v>
      </c>
      <c r="AW3760">
        <v>1.1599999999999999</v>
      </c>
      <c r="BA3760" t="s">
        <v>116</v>
      </c>
      <c r="BB3760" t="s">
        <v>116</v>
      </c>
      <c r="BC3760" t="s">
        <v>116</v>
      </c>
      <c r="BD3760" t="s">
        <v>116</v>
      </c>
      <c r="BE3760" t="s">
        <v>116</v>
      </c>
      <c r="BF3760" t="s">
        <v>116</v>
      </c>
      <c r="BG3760" t="s">
        <v>116</v>
      </c>
      <c r="BH3760" t="s">
        <v>116</v>
      </c>
      <c r="BI3760">
        <v>20191031</v>
      </c>
      <c r="BJ3760">
        <v>19920805</v>
      </c>
      <c r="BK3760">
        <v>10.71</v>
      </c>
      <c r="BL3760">
        <v>3.6</v>
      </c>
      <c r="BM3760" t="s">
        <v>116</v>
      </c>
      <c r="BN3760">
        <v>0.27</v>
      </c>
      <c r="BO3760">
        <v>-4.83</v>
      </c>
      <c r="BP3760">
        <v>0</v>
      </c>
      <c r="BQ3760">
        <v>1901.22</v>
      </c>
      <c r="BR3760">
        <v>0.27</v>
      </c>
      <c r="BS3760">
        <v>0</v>
      </c>
      <c r="BT3760">
        <v>0</v>
      </c>
      <c r="BU3760">
        <v>3.6</v>
      </c>
      <c r="BV3760">
        <v>0</v>
      </c>
      <c r="BW3760">
        <v>0</v>
      </c>
      <c r="BX3760">
        <v>3.83</v>
      </c>
      <c r="BY3760">
        <v>0</v>
      </c>
      <c r="BZ3760">
        <v>0</v>
      </c>
      <c r="CA3760">
        <v>-7.0000000000000007E-2</v>
      </c>
      <c r="CB3760">
        <v>0</v>
      </c>
      <c r="CC3760">
        <v>-0.21</v>
      </c>
      <c r="CD3760">
        <v>-0.21</v>
      </c>
      <c r="CE3760">
        <v>-0.21</v>
      </c>
      <c r="CF3760">
        <v>-7.0000000000000007E-2</v>
      </c>
      <c r="CG3760">
        <v>-19.37</v>
      </c>
      <c r="CH3760">
        <v>0</v>
      </c>
      <c r="CI3760">
        <v>0</v>
      </c>
      <c r="CJ3760">
        <v>69536</v>
      </c>
      <c r="CK3760">
        <v>9813</v>
      </c>
      <c r="CL3760" t="s">
        <v>10485</v>
      </c>
      <c r="CM3760">
        <v>4.45</v>
      </c>
      <c r="CN3760">
        <v>0</v>
      </c>
      <c r="CO3760">
        <v>0</v>
      </c>
      <c r="CP3760">
        <v>0</v>
      </c>
      <c r="CQ3760">
        <v>0</v>
      </c>
      <c r="CR3760">
        <v>0</v>
      </c>
      <c r="CS3760" t="s">
        <v>1417</v>
      </c>
      <c r="CT3760">
        <v>-0.45</v>
      </c>
      <c r="CU3760">
        <v>0</v>
      </c>
      <c r="CV3760">
        <v>0.36</v>
      </c>
      <c r="CW3760">
        <v>-1.81</v>
      </c>
      <c r="CX3760">
        <v>0</v>
      </c>
      <c r="CY3760">
        <v>-1801.22</v>
      </c>
      <c r="CZ3760" t="s">
        <v>116</v>
      </c>
      <c r="DA3760" t="s">
        <v>116</v>
      </c>
      <c r="DB3760" t="s">
        <v>116</v>
      </c>
      <c r="DC3760" t="s">
        <v>116</v>
      </c>
      <c r="DD3760">
        <v>0</v>
      </c>
      <c r="DE3760">
        <v>2</v>
      </c>
      <c r="DF3760">
        <v>600610</v>
      </c>
      <c r="DG3760" t="s">
        <v>116</v>
      </c>
      <c r="DH3760" t="s">
        <v>116</v>
      </c>
      <c r="DI3760" t="s">
        <v>116</v>
      </c>
    </row>
    <row r="3761" spans="1:113" x14ac:dyDescent="0.4">
      <c r="A3761" t="str">
        <f>"601816"</f>
        <v>601816</v>
      </c>
      <c r="B3761" t="s">
        <v>15349</v>
      </c>
      <c r="C3761" t="s">
        <v>116</v>
      </c>
      <c r="D3761">
        <v>0</v>
      </c>
      <c r="E3761" t="s">
        <v>116</v>
      </c>
      <c r="F3761" t="s">
        <v>116</v>
      </c>
      <c r="G3761" t="s">
        <v>116</v>
      </c>
      <c r="H3761">
        <v>0</v>
      </c>
      <c r="I3761">
        <v>0</v>
      </c>
      <c r="J3761" t="s">
        <v>116</v>
      </c>
      <c r="K3761" t="s">
        <v>116</v>
      </c>
      <c r="L3761" t="s">
        <v>116</v>
      </c>
      <c r="M3761" t="s">
        <v>116</v>
      </c>
      <c r="N3761" t="s">
        <v>116</v>
      </c>
      <c r="O3761" t="s">
        <v>116</v>
      </c>
      <c r="P3761" t="s">
        <v>116</v>
      </c>
      <c r="Q3761">
        <v>0</v>
      </c>
      <c r="R3761" t="s">
        <v>116</v>
      </c>
      <c r="S3761" t="s">
        <v>1146</v>
      </c>
      <c r="T3761" t="s">
        <v>165</v>
      </c>
      <c r="U3761" t="s">
        <v>116</v>
      </c>
      <c r="V3761">
        <v>0</v>
      </c>
      <c r="W3761">
        <v>0</v>
      </c>
      <c r="X3761">
        <v>0</v>
      </c>
      <c r="Y3761" t="s">
        <v>116</v>
      </c>
      <c r="Z3761">
        <v>0</v>
      </c>
      <c r="AA3761">
        <v>0</v>
      </c>
      <c r="AB3761" t="s">
        <v>116</v>
      </c>
      <c r="AC3761">
        <v>0</v>
      </c>
      <c r="AD3761" t="s">
        <v>116</v>
      </c>
      <c r="AE3761" t="s">
        <v>116</v>
      </c>
      <c r="AF3761" t="s">
        <v>116</v>
      </c>
      <c r="AG3761" t="s">
        <v>116</v>
      </c>
      <c r="AH3761" t="s">
        <v>116</v>
      </c>
      <c r="AI3761" t="s">
        <v>116</v>
      </c>
      <c r="AJ3761" t="s">
        <v>116</v>
      </c>
      <c r="AK3761">
        <v>0</v>
      </c>
      <c r="AL3761" t="s">
        <v>116</v>
      </c>
      <c r="AM3761" t="s">
        <v>116</v>
      </c>
      <c r="AN3761">
        <v>0</v>
      </c>
      <c r="AO3761">
        <v>0</v>
      </c>
      <c r="AP3761">
        <v>0</v>
      </c>
      <c r="AQ3761">
        <v>0</v>
      </c>
      <c r="AR3761">
        <v>0</v>
      </c>
      <c r="AS3761" t="s">
        <v>116</v>
      </c>
      <c r="AT3761" t="s">
        <v>116</v>
      </c>
      <c r="AU3761" t="s">
        <v>116</v>
      </c>
      <c r="AV3761" t="s">
        <v>116</v>
      </c>
      <c r="AW3761">
        <v>0</v>
      </c>
      <c r="BA3761" t="s">
        <v>116</v>
      </c>
      <c r="BB3761" t="s">
        <v>116</v>
      </c>
      <c r="BC3761" t="s">
        <v>116</v>
      </c>
      <c r="BD3761" t="s">
        <v>116</v>
      </c>
      <c r="BE3761" t="s">
        <v>116</v>
      </c>
      <c r="BF3761" t="s">
        <v>116</v>
      </c>
      <c r="BG3761" t="s">
        <v>116</v>
      </c>
      <c r="BH3761" t="s">
        <v>116</v>
      </c>
      <c r="BI3761">
        <v>20191226</v>
      </c>
      <c r="BJ3761" t="s">
        <v>116</v>
      </c>
      <c r="BK3761" t="s">
        <v>116</v>
      </c>
      <c r="BL3761" t="s">
        <v>116</v>
      </c>
      <c r="BM3761" t="s">
        <v>116</v>
      </c>
      <c r="BN3761">
        <v>1870.8</v>
      </c>
      <c r="BO3761">
        <v>1597.34</v>
      </c>
      <c r="BP3761">
        <v>0</v>
      </c>
      <c r="BQ3761">
        <v>14.62</v>
      </c>
      <c r="BR3761">
        <v>119.79</v>
      </c>
      <c r="BS3761">
        <v>1305.32</v>
      </c>
      <c r="BT3761">
        <v>431.02</v>
      </c>
      <c r="BU3761">
        <v>63.93</v>
      </c>
      <c r="BV3761">
        <v>0</v>
      </c>
      <c r="BW3761">
        <v>14.17</v>
      </c>
      <c r="BX3761">
        <v>1001.04</v>
      </c>
      <c r="BY3761">
        <v>250.02</v>
      </c>
      <c r="BZ3761">
        <v>118.56</v>
      </c>
      <c r="CA3761">
        <v>126.94</v>
      </c>
      <c r="CB3761">
        <v>0</v>
      </c>
      <c r="CC3761">
        <v>126.93</v>
      </c>
      <c r="CD3761">
        <v>95.2</v>
      </c>
      <c r="CE3761">
        <v>95.2</v>
      </c>
      <c r="CF3761">
        <v>0</v>
      </c>
      <c r="CG3761">
        <v>137.99</v>
      </c>
      <c r="CH3761">
        <v>133.33000000000001</v>
      </c>
      <c r="CI3761">
        <v>4.1500000000000004</v>
      </c>
      <c r="CJ3761">
        <v>0</v>
      </c>
      <c r="CK3761" t="s">
        <v>116</v>
      </c>
      <c r="CL3761" t="s">
        <v>116</v>
      </c>
      <c r="CM3761">
        <v>0</v>
      </c>
      <c r="CN3761">
        <v>0</v>
      </c>
      <c r="CO3761" t="s">
        <v>116</v>
      </c>
      <c r="CP3761">
        <v>0</v>
      </c>
      <c r="CQ3761">
        <v>0</v>
      </c>
      <c r="CR3761">
        <v>0</v>
      </c>
      <c r="CS3761" t="s">
        <v>222</v>
      </c>
      <c r="CT3761" t="s">
        <v>116</v>
      </c>
      <c r="CU3761">
        <v>0</v>
      </c>
      <c r="CV3761" t="s">
        <v>116</v>
      </c>
      <c r="CW3761" t="s">
        <v>116</v>
      </c>
      <c r="CX3761" t="s">
        <v>116</v>
      </c>
      <c r="CY3761">
        <v>85.38</v>
      </c>
      <c r="CZ3761" t="s">
        <v>6373</v>
      </c>
      <c r="DA3761">
        <v>52.58</v>
      </c>
      <c r="DB3761">
        <v>50.77</v>
      </c>
      <c r="DC3761">
        <v>38.08</v>
      </c>
      <c r="DD3761">
        <v>0</v>
      </c>
      <c r="DE3761">
        <v>0</v>
      </c>
      <c r="DF3761">
        <v>601816</v>
      </c>
      <c r="DG3761" t="s">
        <v>116</v>
      </c>
      <c r="DH3761" t="s">
        <v>116</v>
      </c>
      <c r="DI3761" t="s">
        <v>116</v>
      </c>
    </row>
    <row r="3762" spans="1:113" x14ac:dyDescent="0.4">
      <c r="A3762" t="str">
        <f>"603109"</f>
        <v>603109</v>
      </c>
      <c r="B3762" t="s">
        <v>15350</v>
      </c>
      <c r="C3762" t="s">
        <v>116</v>
      </c>
      <c r="D3762">
        <v>0</v>
      </c>
      <c r="E3762" t="s">
        <v>116</v>
      </c>
      <c r="F3762" t="s">
        <v>116</v>
      </c>
      <c r="G3762" t="s">
        <v>116</v>
      </c>
      <c r="H3762">
        <v>0</v>
      </c>
      <c r="I3762">
        <v>0</v>
      </c>
      <c r="J3762" t="s">
        <v>116</v>
      </c>
      <c r="K3762" t="s">
        <v>116</v>
      </c>
      <c r="L3762" t="s">
        <v>116</v>
      </c>
      <c r="M3762" t="s">
        <v>116</v>
      </c>
      <c r="N3762" t="s">
        <v>116</v>
      </c>
      <c r="O3762" t="s">
        <v>116</v>
      </c>
      <c r="P3762" t="s">
        <v>116</v>
      </c>
      <c r="Q3762">
        <v>0</v>
      </c>
      <c r="R3762" t="s">
        <v>116</v>
      </c>
      <c r="S3762" t="s">
        <v>397</v>
      </c>
      <c r="T3762" t="s">
        <v>906</v>
      </c>
      <c r="U3762" t="s">
        <v>116</v>
      </c>
      <c r="V3762">
        <v>0</v>
      </c>
      <c r="W3762">
        <v>0</v>
      </c>
      <c r="X3762">
        <v>0</v>
      </c>
      <c r="Y3762" t="s">
        <v>116</v>
      </c>
      <c r="Z3762">
        <v>0</v>
      </c>
      <c r="AA3762">
        <v>0</v>
      </c>
      <c r="AB3762" t="s">
        <v>116</v>
      </c>
      <c r="AC3762">
        <v>0</v>
      </c>
      <c r="AD3762" t="s">
        <v>116</v>
      </c>
      <c r="AE3762" t="s">
        <v>116</v>
      </c>
      <c r="AF3762" t="s">
        <v>116</v>
      </c>
      <c r="AG3762" t="s">
        <v>116</v>
      </c>
      <c r="AH3762" t="s">
        <v>116</v>
      </c>
      <c r="AI3762" t="s">
        <v>116</v>
      </c>
      <c r="AJ3762" t="s">
        <v>116</v>
      </c>
      <c r="AK3762">
        <v>0</v>
      </c>
      <c r="AL3762" t="s">
        <v>116</v>
      </c>
      <c r="AM3762" t="s">
        <v>116</v>
      </c>
      <c r="AN3762">
        <v>0</v>
      </c>
      <c r="AO3762">
        <v>0</v>
      </c>
      <c r="AP3762">
        <v>0</v>
      </c>
      <c r="AQ3762">
        <v>0</v>
      </c>
      <c r="AR3762">
        <v>0</v>
      </c>
      <c r="AS3762" t="s">
        <v>116</v>
      </c>
      <c r="AT3762" t="s">
        <v>116</v>
      </c>
      <c r="AU3762" t="s">
        <v>116</v>
      </c>
      <c r="AV3762" t="s">
        <v>116</v>
      </c>
      <c r="AW3762">
        <v>0</v>
      </c>
      <c r="BA3762" t="s">
        <v>116</v>
      </c>
      <c r="BB3762" t="s">
        <v>116</v>
      </c>
      <c r="BC3762" t="s">
        <v>116</v>
      </c>
      <c r="BD3762" t="s">
        <v>116</v>
      </c>
      <c r="BE3762" t="s">
        <v>116</v>
      </c>
      <c r="BF3762" t="s">
        <v>116</v>
      </c>
      <c r="BG3762" t="s">
        <v>116</v>
      </c>
      <c r="BH3762" t="s">
        <v>116</v>
      </c>
      <c r="BI3762">
        <v>20191211</v>
      </c>
      <c r="BJ3762" t="s">
        <v>116</v>
      </c>
      <c r="BK3762" t="s">
        <v>116</v>
      </c>
      <c r="BL3762" t="s">
        <v>116</v>
      </c>
      <c r="BM3762" t="s">
        <v>116</v>
      </c>
      <c r="BN3762">
        <v>12.53</v>
      </c>
      <c r="BO3762">
        <v>6.51</v>
      </c>
      <c r="BP3762">
        <v>0</v>
      </c>
      <c r="BQ3762">
        <v>48.1</v>
      </c>
      <c r="BR3762">
        <v>9.0399999999999991</v>
      </c>
      <c r="BS3762">
        <v>1.43</v>
      </c>
      <c r="BT3762">
        <v>1.73</v>
      </c>
      <c r="BU3762">
        <v>4.32</v>
      </c>
      <c r="BV3762">
        <v>2.62</v>
      </c>
      <c r="BW3762">
        <v>2.61</v>
      </c>
      <c r="BX3762">
        <v>1.1399999999999999</v>
      </c>
      <c r="BY3762">
        <v>9.27</v>
      </c>
      <c r="BZ3762">
        <v>6.69</v>
      </c>
      <c r="CA3762">
        <v>1.02</v>
      </c>
      <c r="CB3762">
        <v>0</v>
      </c>
      <c r="CC3762">
        <v>1.02</v>
      </c>
      <c r="CD3762">
        <v>0.86</v>
      </c>
      <c r="CE3762">
        <v>0.86</v>
      </c>
      <c r="CF3762">
        <v>0</v>
      </c>
      <c r="CG3762">
        <v>4.1100000000000003</v>
      </c>
      <c r="CH3762">
        <v>0.16</v>
      </c>
      <c r="CI3762">
        <v>0.04</v>
      </c>
      <c r="CJ3762">
        <v>0</v>
      </c>
      <c r="CK3762" t="s">
        <v>116</v>
      </c>
      <c r="CL3762" t="s">
        <v>116</v>
      </c>
      <c r="CM3762">
        <v>0</v>
      </c>
      <c r="CN3762">
        <v>0</v>
      </c>
      <c r="CO3762" t="s">
        <v>116</v>
      </c>
      <c r="CP3762">
        <v>0</v>
      </c>
      <c r="CQ3762">
        <v>0</v>
      </c>
      <c r="CR3762">
        <v>0</v>
      </c>
      <c r="CS3762" t="s">
        <v>222</v>
      </c>
      <c r="CT3762" t="s">
        <v>116</v>
      </c>
      <c r="CU3762">
        <v>0</v>
      </c>
      <c r="CV3762" t="s">
        <v>116</v>
      </c>
      <c r="CW3762" t="s">
        <v>116</v>
      </c>
      <c r="CX3762" t="s">
        <v>116</v>
      </c>
      <c r="CY3762">
        <v>51.9</v>
      </c>
      <c r="CZ3762" t="s">
        <v>15351</v>
      </c>
      <c r="DA3762">
        <v>27.89</v>
      </c>
      <c r="DB3762">
        <v>11.02</v>
      </c>
      <c r="DC3762">
        <v>9.23</v>
      </c>
      <c r="DD3762">
        <v>0</v>
      </c>
      <c r="DE3762">
        <v>0</v>
      </c>
      <c r="DF3762">
        <v>603109</v>
      </c>
      <c r="DG3762" t="s">
        <v>116</v>
      </c>
      <c r="DH3762" t="s">
        <v>116</v>
      </c>
      <c r="DI3762" t="s">
        <v>116</v>
      </c>
    </row>
    <row r="3763" spans="1:113" x14ac:dyDescent="0.4">
      <c r="A3763" t="str">
        <f>"603551"</f>
        <v>603551</v>
      </c>
      <c r="B3763" t="s">
        <v>15352</v>
      </c>
      <c r="C3763" t="s">
        <v>116</v>
      </c>
      <c r="D3763">
        <v>0</v>
      </c>
      <c r="E3763" t="s">
        <v>116</v>
      </c>
      <c r="F3763" t="s">
        <v>116</v>
      </c>
      <c r="G3763" t="s">
        <v>116</v>
      </c>
      <c r="H3763">
        <v>0</v>
      </c>
      <c r="I3763">
        <v>0</v>
      </c>
      <c r="J3763" t="s">
        <v>116</v>
      </c>
      <c r="K3763" t="s">
        <v>116</v>
      </c>
      <c r="L3763" t="s">
        <v>116</v>
      </c>
      <c r="M3763" t="s">
        <v>116</v>
      </c>
      <c r="N3763" t="s">
        <v>116</v>
      </c>
      <c r="O3763" t="s">
        <v>116</v>
      </c>
      <c r="P3763" t="s">
        <v>116</v>
      </c>
      <c r="Q3763">
        <v>0</v>
      </c>
      <c r="R3763" t="s">
        <v>116</v>
      </c>
      <c r="S3763" t="s">
        <v>209</v>
      </c>
      <c r="T3763" t="s">
        <v>590</v>
      </c>
      <c r="U3763" t="s">
        <v>116</v>
      </c>
      <c r="V3763">
        <v>0</v>
      </c>
      <c r="W3763">
        <v>0</v>
      </c>
      <c r="X3763">
        <v>0</v>
      </c>
      <c r="Y3763" t="s">
        <v>116</v>
      </c>
      <c r="Z3763">
        <v>0</v>
      </c>
      <c r="AA3763">
        <v>0</v>
      </c>
      <c r="AB3763" t="s">
        <v>116</v>
      </c>
      <c r="AC3763">
        <v>0</v>
      </c>
      <c r="AD3763" t="s">
        <v>116</v>
      </c>
      <c r="AE3763" t="s">
        <v>116</v>
      </c>
      <c r="AF3763" t="s">
        <v>116</v>
      </c>
      <c r="AG3763" t="s">
        <v>116</v>
      </c>
      <c r="AH3763" t="s">
        <v>116</v>
      </c>
      <c r="AI3763" t="s">
        <v>116</v>
      </c>
      <c r="AJ3763" t="s">
        <v>116</v>
      </c>
      <c r="AK3763">
        <v>0</v>
      </c>
      <c r="AL3763" t="s">
        <v>116</v>
      </c>
      <c r="AM3763" t="s">
        <v>116</v>
      </c>
      <c r="AN3763">
        <v>0</v>
      </c>
      <c r="AO3763">
        <v>0</v>
      </c>
      <c r="AP3763">
        <v>0</v>
      </c>
      <c r="AQ3763">
        <v>0</v>
      </c>
      <c r="AR3763">
        <v>0</v>
      </c>
      <c r="AS3763" t="s">
        <v>116</v>
      </c>
      <c r="AT3763" t="s">
        <v>116</v>
      </c>
      <c r="AU3763" t="s">
        <v>116</v>
      </c>
      <c r="AV3763" t="s">
        <v>116</v>
      </c>
      <c r="AW3763">
        <v>0</v>
      </c>
      <c r="BA3763" t="s">
        <v>116</v>
      </c>
      <c r="BB3763" t="s">
        <v>116</v>
      </c>
      <c r="BC3763" t="s">
        <v>116</v>
      </c>
      <c r="BD3763" t="s">
        <v>116</v>
      </c>
      <c r="BE3763" t="s">
        <v>116</v>
      </c>
      <c r="BF3763" t="s">
        <v>116</v>
      </c>
      <c r="BG3763" t="s">
        <v>116</v>
      </c>
      <c r="BH3763" t="s">
        <v>116</v>
      </c>
      <c r="BI3763">
        <v>20191225</v>
      </c>
      <c r="BJ3763" t="s">
        <v>116</v>
      </c>
      <c r="BK3763" t="s">
        <v>116</v>
      </c>
      <c r="BL3763" t="s">
        <v>116</v>
      </c>
      <c r="BM3763" t="s">
        <v>116</v>
      </c>
      <c r="BN3763">
        <v>18.43</v>
      </c>
      <c r="BO3763">
        <v>11.58</v>
      </c>
      <c r="BP3763">
        <v>0.4</v>
      </c>
      <c r="BQ3763">
        <v>34.97</v>
      </c>
      <c r="BR3763">
        <v>11.77</v>
      </c>
      <c r="BS3763">
        <v>1.69</v>
      </c>
      <c r="BT3763">
        <v>1.22</v>
      </c>
      <c r="BU3763">
        <v>6.14</v>
      </c>
      <c r="BV3763">
        <v>2.2000000000000002</v>
      </c>
      <c r="BW3763">
        <v>0.84</v>
      </c>
      <c r="BX3763">
        <v>2.17</v>
      </c>
      <c r="BY3763">
        <v>11.87</v>
      </c>
      <c r="BZ3763">
        <v>5.97</v>
      </c>
      <c r="CA3763">
        <v>2.63</v>
      </c>
      <c r="CB3763">
        <v>0.08</v>
      </c>
      <c r="CC3763">
        <v>2.66</v>
      </c>
      <c r="CD3763">
        <v>2.2999999999999998</v>
      </c>
      <c r="CE3763">
        <v>2.2999999999999998</v>
      </c>
      <c r="CF3763">
        <v>0</v>
      </c>
      <c r="CG3763">
        <v>5.07</v>
      </c>
      <c r="CH3763">
        <v>1.42</v>
      </c>
      <c r="CI3763">
        <v>-0.25</v>
      </c>
      <c r="CJ3763">
        <v>0</v>
      </c>
      <c r="CK3763" t="s">
        <v>116</v>
      </c>
      <c r="CL3763" t="s">
        <v>116</v>
      </c>
      <c r="CM3763">
        <v>0</v>
      </c>
      <c r="CN3763">
        <v>0</v>
      </c>
      <c r="CO3763" t="s">
        <v>116</v>
      </c>
      <c r="CP3763">
        <v>0</v>
      </c>
      <c r="CQ3763">
        <v>0</v>
      </c>
      <c r="CR3763">
        <v>0</v>
      </c>
      <c r="CS3763" t="s">
        <v>222</v>
      </c>
      <c r="CT3763" t="s">
        <v>116</v>
      </c>
      <c r="CU3763">
        <v>0</v>
      </c>
      <c r="CV3763" t="s">
        <v>116</v>
      </c>
      <c r="CW3763" t="s">
        <v>116</v>
      </c>
      <c r="CX3763" t="s">
        <v>116</v>
      </c>
      <c r="CY3763">
        <v>62.86</v>
      </c>
      <c r="CZ3763" t="s">
        <v>15353</v>
      </c>
      <c r="DA3763">
        <v>49.71</v>
      </c>
      <c r="DB3763">
        <v>22.18</v>
      </c>
      <c r="DC3763">
        <v>19.36</v>
      </c>
      <c r="DD3763">
        <v>0</v>
      </c>
      <c r="DE3763">
        <v>0</v>
      </c>
      <c r="DF3763">
        <v>603551</v>
      </c>
      <c r="DG3763" t="s">
        <v>116</v>
      </c>
      <c r="DH3763" t="s">
        <v>116</v>
      </c>
      <c r="DI3763" t="s">
        <v>116</v>
      </c>
    </row>
    <row r="3764" spans="1:113" x14ac:dyDescent="0.4">
      <c r="A3764" t="str">
        <f>"688078"</f>
        <v>688078</v>
      </c>
      <c r="B3764" t="s">
        <v>15354</v>
      </c>
      <c r="C3764" t="s">
        <v>116</v>
      </c>
      <c r="D3764">
        <v>0</v>
      </c>
      <c r="E3764" t="s">
        <v>116</v>
      </c>
      <c r="F3764" t="s">
        <v>116</v>
      </c>
      <c r="G3764" t="s">
        <v>116</v>
      </c>
      <c r="H3764">
        <v>0</v>
      </c>
      <c r="I3764">
        <v>0</v>
      </c>
      <c r="J3764" t="s">
        <v>116</v>
      </c>
      <c r="K3764">
        <v>0</v>
      </c>
      <c r="L3764" t="s">
        <v>116</v>
      </c>
      <c r="M3764" t="s">
        <v>116</v>
      </c>
      <c r="N3764" t="s">
        <v>116</v>
      </c>
      <c r="O3764" t="s">
        <v>116</v>
      </c>
      <c r="P3764" t="s">
        <v>116</v>
      </c>
      <c r="Q3764">
        <v>0</v>
      </c>
      <c r="R3764" t="s">
        <v>116</v>
      </c>
      <c r="S3764" t="s">
        <v>607</v>
      </c>
      <c r="T3764" t="s">
        <v>165</v>
      </c>
      <c r="U3764" t="s">
        <v>116</v>
      </c>
      <c r="V3764">
        <v>0</v>
      </c>
      <c r="W3764">
        <v>0</v>
      </c>
      <c r="X3764">
        <v>0</v>
      </c>
      <c r="Y3764" t="s">
        <v>116</v>
      </c>
      <c r="Z3764">
        <v>0</v>
      </c>
      <c r="AA3764">
        <v>0</v>
      </c>
      <c r="AB3764" t="s">
        <v>116</v>
      </c>
      <c r="AC3764">
        <v>0</v>
      </c>
      <c r="AD3764" t="s">
        <v>116</v>
      </c>
      <c r="AE3764" t="s">
        <v>116</v>
      </c>
      <c r="AF3764" t="s">
        <v>116</v>
      </c>
      <c r="AG3764">
        <v>0.16</v>
      </c>
      <c r="AH3764" t="s">
        <v>10484</v>
      </c>
      <c r="AI3764" t="s">
        <v>10484</v>
      </c>
      <c r="AJ3764" t="s">
        <v>116</v>
      </c>
      <c r="AK3764">
        <v>0</v>
      </c>
      <c r="AL3764" t="s">
        <v>116</v>
      </c>
      <c r="AM3764" t="s">
        <v>116</v>
      </c>
      <c r="AN3764">
        <v>0</v>
      </c>
      <c r="AO3764">
        <v>0</v>
      </c>
      <c r="AP3764">
        <v>0</v>
      </c>
      <c r="AQ3764">
        <v>0</v>
      </c>
      <c r="AR3764">
        <v>0</v>
      </c>
      <c r="AS3764" t="s">
        <v>116</v>
      </c>
      <c r="AT3764" t="s">
        <v>116</v>
      </c>
      <c r="AU3764" t="s">
        <v>116</v>
      </c>
      <c r="AV3764" t="s">
        <v>116</v>
      </c>
      <c r="AW3764">
        <v>0</v>
      </c>
      <c r="BA3764" t="s">
        <v>116</v>
      </c>
      <c r="BB3764" t="s">
        <v>116</v>
      </c>
      <c r="BC3764" t="s">
        <v>116</v>
      </c>
      <c r="BD3764" t="s">
        <v>116</v>
      </c>
      <c r="BE3764" t="s">
        <v>116</v>
      </c>
      <c r="BF3764" t="s">
        <v>116</v>
      </c>
      <c r="BG3764" t="s">
        <v>116</v>
      </c>
      <c r="BH3764" t="s">
        <v>116</v>
      </c>
      <c r="BI3764">
        <v>20191227</v>
      </c>
      <c r="BJ3764">
        <v>20191230</v>
      </c>
      <c r="BK3764">
        <v>0.71</v>
      </c>
      <c r="BL3764" t="s">
        <v>116</v>
      </c>
      <c r="BM3764" t="s">
        <v>116</v>
      </c>
      <c r="BN3764">
        <v>2.4700000000000002</v>
      </c>
      <c r="BO3764">
        <v>1.85</v>
      </c>
      <c r="BP3764">
        <v>0</v>
      </c>
      <c r="BQ3764">
        <v>25.25</v>
      </c>
      <c r="BR3764">
        <v>2.33</v>
      </c>
      <c r="BS3764">
        <v>7.0000000000000007E-2</v>
      </c>
      <c r="BT3764">
        <v>0</v>
      </c>
      <c r="BU3764">
        <v>0.61</v>
      </c>
      <c r="BV3764">
        <v>0.06</v>
      </c>
      <c r="BW3764">
        <v>1.59</v>
      </c>
      <c r="BX3764">
        <v>0.2</v>
      </c>
      <c r="BY3764">
        <v>1.05</v>
      </c>
      <c r="BZ3764">
        <v>0.4</v>
      </c>
      <c r="CA3764">
        <v>0.43</v>
      </c>
      <c r="CB3764">
        <v>0</v>
      </c>
      <c r="CC3764">
        <v>0.42</v>
      </c>
      <c r="CD3764">
        <v>0.36</v>
      </c>
      <c r="CE3764">
        <v>0.36</v>
      </c>
      <c r="CF3764">
        <v>0</v>
      </c>
      <c r="CG3764">
        <v>0.98</v>
      </c>
      <c r="CH3764">
        <v>0.1</v>
      </c>
      <c r="CI3764">
        <v>-0.1</v>
      </c>
      <c r="CJ3764">
        <v>17281</v>
      </c>
      <c r="CK3764" t="s">
        <v>116</v>
      </c>
      <c r="CL3764" t="s">
        <v>116</v>
      </c>
      <c r="CM3764">
        <v>0</v>
      </c>
      <c r="CN3764">
        <v>0</v>
      </c>
      <c r="CO3764">
        <v>0</v>
      </c>
      <c r="CP3764">
        <v>0</v>
      </c>
      <c r="CQ3764">
        <v>0</v>
      </c>
      <c r="CR3764">
        <v>0</v>
      </c>
      <c r="CS3764" t="s">
        <v>4464</v>
      </c>
      <c r="CT3764">
        <v>7.19</v>
      </c>
      <c r="CU3764">
        <v>7.19</v>
      </c>
      <c r="CV3764">
        <v>0.28999999999999998</v>
      </c>
      <c r="CW3764">
        <v>1.38</v>
      </c>
      <c r="CX3764">
        <v>0.15</v>
      </c>
      <c r="CY3764">
        <v>74.75</v>
      </c>
      <c r="CZ3764" t="s">
        <v>15355</v>
      </c>
      <c r="DA3764">
        <v>61.64</v>
      </c>
      <c r="DB3764">
        <v>40.380000000000003</v>
      </c>
      <c r="DC3764">
        <v>34.31</v>
      </c>
      <c r="DD3764">
        <v>0</v>
      </c>
      <c r="DE3764">
        <v>0</v>
      </c>
      <c r="DF3764">
        <v>688078</v>
      </c>
      <c r="DG3764" t="s">
        <v>116</v>
      </c>
      <c r="DH3764" t="s">
        <v>116</v>
      </c>
      <c r="DI3764" t="s">
        <v>116</v>
      </c>
    </row>
    <row r="3765" spans="1:113" x14ac:dyDescent="0.4">
      <c r="A3765" t="str">
        <f>"688081"</f>
        <v>688081</v>
      </c>
      <c r="B3765" t="s">
        <v>15356</v>
      </c>
      <c r="C3765" t="s">
        <v>116</v>
      </c>
      <c r="D3765">
        <v>0</v>
      </c>
      <c r="E3765" t="s">
        <v>116</v>
      </c>
      <c r="F3765" t="s">
        <v>116</v>
      </c>
      <c r="G3765" t="s">
        <v>116</v>
      </c>
      <c r="H3765">
        <v>0</v>
      </c>
      <c r="I3765">
        <v>0</v>
      </c>
      <c r="J3765" t="s">
        <v>116</v>
      </c>
      <c r="K3765" t="s">
        <v>116</v>
      </c>
      <c r="L3765" t="s">
        <v>116</v>
      </c>
      <c r="M3765" t="s">
        <v>116</v>
      </c>
      <c r="N3765" t="s">
        <v>116</v>
      </c>
      <c r="O3765" t="s">
        <v>116</v>
      </c>
      <c r="P3765" t="s">
        <v>116</v>
      </c>
      <c r="Q3765">
        <v>0</v>
      </c>
      <c r="R3765" t="s">
        <v>116</v>
      </c>
      <c r="S3765" t="s">
        <v>607</v>
      </c>
      <c r="T3765" t="s">
        <v>774</v>
      </c>
      <c r="U3765" t="s">
        <v>116</v>
      </c>
      <c r="V3765">
        <v>0</v>
      </c>
      <c r="W3765">
        <v>0</v>
      </c>
      <c r="X3765">
        <v>0</v>
      </c>
      <c r="Y3765" t="s">
        <v>116</v>
      </c>
      <c r="Z3765">
        <v>0</v>
      </c>
      <c r="AA3765">
        <v>0</v>
      </c>
      <c r="AB3765" t="s">
        <v>116</v>
      </c>
      <c r="AC3765">
        <v>0</v>
      </c>
      <c r="AD3765" t="s">
        <v>116</v>
      </c>
      <c r="AE3765" t="s">
        <v>116</v>
      </c>
      <c r="AF3765" t="s">
        <v>116</v>
      </c>
      <c r="AG3765" t="s">
        <v>116</v>
      </c>
      <c r="AH3765" t="s">
        <v>116</v>
      </c>
      <c r="AI3765" t="s">
        <v>116</v>
      </c>
      <c r="AJ3765" t="s">
        <v>116</v>
      </c>
      <c r="AK3765">
        <v>0</v>
      </c>
      <c r="AL3765" t="s">
        <v>116</v>
      </c>
      <c r="AM3765" t="s">
        <v>116</v>
      </c>
      <c r="AN3765">
        <v>0</v>
      </c>
      <c r="AO3765">
        <v>0</v>
      </c>
      <c r="AP3765">
        <v>0</v>
      </c>
      <c r="AQ3765">
        <v>0</v>
      </c>
      <c r="AR3765">
        <v>0</v>
      </c>
      <c r="AS3765" t="s">
        <v>116</v>
      </c>
      <c r="AT3765" t="s">
        <v>116</v>
      </c>
      <c r="AU3765" t="s">
        <v>116</v>
      </c>
      <c r="AV3765" t="s">
        <v>116</v>
      </c>
      <c r="AW3765">
        <v>0</v>
      </c>
      <c r="BA3765" t="s">
        <v>116</v>
      </c>
      <c r="BB3765" t="s">
        <v>116</v>
      </c>
      <c r="BC3765" t="s">
        <v>116</v>
      </c>
      <c r="BD3765" t="s">
        <v>116</v>
      </c>
      <c r="BE3765" t="s">
        <v>116</v>
      </c>
      <c r="BF3765" t="s">
        <v>116</v>
      </c>
      <c r="BG3765" t="s">
        <v>116</v>
      </c>
      <c r="BH3765" t="s">
        <v>116</v>
      </c>
      <c r="BI3765">
        <v>20191216</v>
      </c>
      <c r="BJ3765" t="s">
        <v>116</v>
      </c>
      <c r="BK3765" t="s">
        <v>116</v>
      </c>
      <c r="BL3765" t="s">
        <v>116</v>
      </c>
      <c r="BM3765" t="s">
        <v>116</v>
      </c>
      <c r="BN3765">
        <v>2.44</v>
      </c>
      <c r="BO3765">
        <v>1.94</v>
      </c>
      <c r="BP3765">
        <v>0</v>
      </c>
      <c r="BQ3765">
        <v>20.32</v>
      </c>
      <c r="BR3765">
        <v>2.29</v>
      </c>
      <c r="BS3765">
        <v>0.08</v>
      </c>
      <c r="BT3765">
        <v>0</v>
      </c>
      <c r="BU3765">
        <v>0.49</v>
      </c>
      <c r="BV3765">
        <v>0.36</v>
      </c>
      <c r="BW3765">
        <v>1.18</v>
      </c>
      <c r="BX3765">
        <v>0.47</v>
      </c>
      <c r="BY3765">
        <v>0.68</v>
      </c>
      <c r="BZ3765">
        <v>0.13</v>
      </c>
      <c r="CA3765">
        <v>-0.01</v>
      </c>
      <c r="CB3765">
        <v>0</v>
      </c>
      <c r="CC3765">
        <v>-0.01</v>
      </c>
      <c r="CD3765">
        <v>-0.01</v>
      </c>
      <c r="CE3765">
        <v>-0.01</v>
      </c>
      <c r="CF3765">
        <v>0</v>
      </c>
      <c r="CG3765">
        <v>0.75</v>
      </c>
      <c r="CH3765">
        <v>0.15</v>
      </c>
      <c r="CI3765">
        <v>0.03</v>
      </c>
      <c r="CJ3765">
        <v>0</v>
      </c>
      <c r="CK3765" t="s">
        <v>116</v>
      </c>
      <c r="CL3765" t="s">
        <v>116</v>
      </c>
      <c r="CM3765">
        <v>0</v>
      </c>
      <c r="CN3765">
        <v>0</v>
      </c>
      <c r="CO3765" t="s">
        <v>116</v>
      </c>
      <c r="CP3765">
        <v>0</v>
      </c>
      <c r="CQ3765">
        <v>0</v>
      </c>
      <c r="CR3765">
        <v>0</v>
      </c>
      <c r="CS3765" t="s">
        <v>222</v>
      </c>
      <c r="CT3765" t="s">
        <v>116</v>
      </c>
      <c r="CU3765">
        <v>0</v>
      </c>
      <c r="CV3765" t="s">
        <v>116</v>
      </c>
      <c r="CW3765" t="s">
        <v>116</v>
      </c>
      <c r="CX3765" t="s">
        <v>116</v>
      </c>
      <c r="CY3765">
        <v>79.680000000000007</v>
      </c>
      <c r="CZ3765" t="s">
        <v>621</v>
      </c>
      <c r="DA3765">
        <v>80.95</v>
      </c>
      <c r="DB3765">
        <v>-1.48</v>
      </c>
      <c r="DC3765">
        <v>-1.52</v>
      </c>
      <c r="DD3765">
        <v>0</v>
      </c>
      <c r="DE3765">
        <v>0</v>
      </c>
      <c r="DF3765">
        <v>688081</v>
      </c>
      <c r="DG3765" t="s">
        <v>116</v>
      </c>
      <c r="DH3765" t="s">
        <v>116</v>
      </c>
      <c r="DI3765" t="s">
        <v>116</v>
      </c>
    </row>
    <row r="3766" spans="1:113" x14ac:dyDescent="0.4">
      <c r="A3766" t="str">
        <f>"688178"</f>
        <v>688178</v>
      </c>
      <c r="B3766" t="s">
        <v>15357</v>
      </c>
      <c r="C3766" t="s">
        <v>116</v>
      </c>
      <c r="D3766">
        <v>0</v>
      </c>
      <c r="E3766" t="s">
        <v>116</v>
      </c>
      <c r="F3766" t="s">
        <v>116</v>
      </c>
      <c r="G3766" t="s">
        <v>116</v>
      </c>
      <c r="H3766">
        <v>0</v>
      </c>
      <c r="I3766">
        <v>0</v>
      </c>
      <c r="J3766" t="s">
        <v>116</v>
      </c>
      <c r="K3766" t="s">
        <v>116</v>
      </c>
      <c r="L3766" t="s">
        <v>116</v>
      </c>
      <c r="M3766" t="s">
        <v>116</v>
      </c>
      <c r="N3766" t="s">
        <v>116</v>
      </c>
      <c r="O3766" t="s">
        <v>116</v>
      </c>
      <c r="P3766" t="s">
        <v>116</v>
      </c>
      <c r="Q3766">
        <v>0</v>
      </c>
      <c r="R3766" t="s">
        <v>116</v>
      </c>
      <c r="S3766" t="s">
        <v>140</v>
      </c>
      <c r="T3766" t="s">
        <v>323</v>
      </c>
      <c r="U3766" t="s">
        <v>116</v>
      </c>
      <c r="V3766">
        <v>0</v>
      </c>
      <c r="W3766">
        <v>0</v>
      </c>
      <c r="X3766">
        <v>0</v>
      </c>
      <c r="Y3766" t="s">
        <v>116</v>
      </c>
      <c r="Z3766">
        <v>0</v>
      </c>
      <c r="AA3766">
        <v>0</v>
      </c>
      <c r="AB3766" t="s">
        <v>116</v>
      </c>
      <c r="AC3766">
        <v>0</v>
      </c>
      <c r="AD3766" t="s">
        <v>116</v>
      </c>
      <c r="AE3766" t="s">
        <v>116</v>
      </c>
      <c r="AF3766" t="s">
        <v>116</v>
      </c>
      <c r="AG3766" t="s">
        <v>116</v>
      </c>
      <c r="AH3766" t="s">
        <v>116</v>
      </c>
      <c r="AI3766" t="s">
        <v>116</v>
      </c>
      <c r="AJ3766" t="s">
        <v>116</v>
      </c>
      <c r="AK3766">
        <v>0</v>
      </c>
      <c r="AL3766" t="s">
        <v>116</v>
      </c>
      <c r="AM3766" t="s">
        <v>116</v>
      </c>
      <c r="AN3766">
        <v>0</v>
      </c>
      <c r="AO3766">
        <v>0</v>
      </c>
      <c r="AP3766">
        <v>0</v>
      </c>
      <c r="AQ3766">
        <v>0</v>
      </c>
      <c r="AR3766">
        <v>0</v>
      </c>
      <c r="AS3766" t="s">
        <v>116</v>
      </c>
      <c r="AT3766" t="s">
        <v>116</v>
      </c>
      <c r="AU3766" t="s">
        <v>116</v>
      </c>
      <c r="AV3766" t="s">
        <v>116</v>
      </c>
      <c r="AW3766">
        <v>0</v>
      </c>
      <c r="BA3766" t="s">
        <v>116</v>
      </c>
      <c r="BB3766" t="s">
        <v>116</v>
      </c>
      <c r="BC3766" t="s">
        <v>116</v>
      </c>
      <c r="BD3766" t="s">
        <v>116</v>
      </c>
      <c r="BE3766" t="s">
        <v>116</v>
      </c>
      <c r="BF3766" t="s">
        <v>116</v>
      </c>
      <c r="BG3766" t="s">
        <v>116</v>
      </c>
      <c r="BH3766" t="s">
        <v>116</v>
      </c>
      <c r="BI3766">
        <v>20191224</v>
      </c>
      <c r="BJ3766" t="s">
        <v>116</v>
      </c>
      <c r="BK3766" t="s">
        <v>116</v>
      </c>
      <c r="BL3766" t="s">
        <v>116</v>
      </c>
      <c r="BM3766" t="s">
        <v>116</v>
      </c>
      <c r="BN3766">
        <v>10.5</v>
      </c>
      <c r="BO3766">
        <v>5.27</v>
      </c>
      <c r="BP3766">
        <v>0</v>
      </c>
      <c r="BQ3766">
        <v>49.8</v>
      </c>
      <c r="BR3766">
        <v>8.58</v>
      </c>
      <c r="BS3766">
        <v>0.93</v>
      </c>
      <c r="BT3766">
        <v>0.14000000000000001</v>
      </c>
      <c r="BU3766">
        <v>4.6900000000000004</v>
      </c>
      <c r="BV3766">
        <v>2.56</v>
      </c>
      <c r="BW3766">
        <v>2.37</v>
      </c>
      <c r="BX3766">
        <v>2.15</v>
      </c>
      <c r="BY3766">
        <v>5.77</v>
      </c>
      <c r="BZ3766">
        <v>3.89</v>
      </c>
      <c r="CA3766">
        <v>1.06</v>
      </c>
      <c r="CB3766">
        <v>0.01</v>
      </c>
      <c r="CC3766">
        <v>1.1100000000000001</v>
      </c>
      <c r="CD3766">
        <v>0.94</v>
      </c>
      <c r="CE3766">
        <v>0.94</v>
      </c>
      <c r="CF3766">
        <v>0</v>
      </c>
      <c r="CG3766">
        <v>2.35</v>
      </c>
      <c r="CH3766">
        <v>0.26</v>
      </c>
      <c r="CI3766">
        <v>0.48</v>
      </c>
      <c r="CJ3766">
        <v>0</v>
      </c>
      <c r="CK3766" t="s">
        <v>116</v>
      </c>
      <c r="CL3766" t="s">
        <v>116</v>
      </c>
      <c r="CM3766">
        <v>0</v>
      </c>
      <c r="CN3766">
        <v>0</v>
      </c>
      <c r="CO3766" t="s">
        <v>116</v>
      </c>
      <c r="CP3766">
        <v>0</v>
      </c>
      <c r="CQ3766">
        <v>0</v>
      </c>
      <c r="CR3766">
        <v>0</v>
      </c>
      <c r="CS3766" t="s">
        <v>222</v>
      </c>
      <c r="CT3766" t="s">
        <v>116</v>
      </c>
      <c r="CU3766">
        <v>0</v>
      </c>
      <c r="CV3766" t="s">
        <v>116</v>
      </c>
      <c r="CW3766" t="s">
        <v>116</v>
      </c>
      <c r="CX3766" t="s">
        <v>116</v>
      </c>
      <c r="CY3766">
        <v>50.2</v>
      </c>
      <c r="CZ3766" t="s">
        <v>5486</v>
      </c>
      <c r="DA3766">
        <v>32.520000000000003</v>
      </c>
      <c r="DB3766">
        <v>18.440000000000001</v>
      </c>
      <c r="DC3766">
        <v>16.3</v>
      </c>
      <c r="DD3766">
        <v>0</v>
      </c>
      <c r="DE3766">
        <v>0</v>
      </c>
      <c r="DF3766">
        <v>688178</v>
      </c>
      <c r="DG3766" t="s">
        <v>116</v>
      </c>
      <c r="DH3766" t="s">
        <v>116</v>
      </c>
      <c r="DI3766" t="s">
        <v>116</v>
      </c>
    </row>
    <row r="3767" spans="1:113" x14ac:dyDescent="0.4">
      <c r="A3767" t="str">
        <f>"688181"</f>
        <v>688181</v>
      </c>
      <c r="B3767" t="s">
        <v>15358</v>
      </c>
      <c r="C3767" t="s">
        <v>116</v>
      </c>
      <c r="D3767">
        <v>0</v>
      </c>
      <c r="E3767" t="s">
        <v>116</v>
      </c>
      <c r="F3767" t="s">
        <v>116</v>
      </c>
      <c r="G3767" t="s">
        <v>116</v>
      </c>
      <c r="H3767">
        <v>0</v>
      </c>
      <c r="I3767">
        <v>0</v>
      </c>
      <c r="J3767" t="s">
        <v>116</v>
      </c>
      <c r="K3767" t="s">
        <v>116</v>
      </c>
      <c r="L3767" t="s">
        <v>116</v>
      </c>
      <c r="M3767" t="s">
        <v>116</v>
      </c>
      <c r="N3767" t="s">
        <v>116</v>
      </c>
      <c r="O3767" t="s">
        <v>116</v>
      </c>
      <c r="P3767" t="s">
        <v>116</v>
      </c>
      <c r="Q3767">
        <v>0</v>
      </c>
      <c r="R3767" t="s">
        <v>116</v>
      </c>
      <c r="S3767" t="s">
        <v>3507</v>
      </c>
      <c r="T3767" t="s">
        <v>165</v>
      </c>
      <c r="U3767" t="s">
        <v>116</v>
      </c>
      <c r="V3767">
        <v>0</v>
      </c>
      <c r="W3767">
        <v>0</v>
      </c>
      <c r="X3767">
        <v>0</v>
      </c>
      <c r="Y3767" t="s">
        <v>116</v>
      </c>
      <c r="Z3767">
        <v>0</v>
      </c>
      <c r="AA3767">
        <v>0</v>
      </c>
      <c r="AB3767" t="s">
        <v>116</v>
      </c>
      <c r="AC3767">
        <v>0</v>
      </c>
      <c r="AD3767" t="s">
        <v>116</v>
      </c>
      <c r="AE3767" t="s">
        <v>116</v>
      </c>
      <c r="AF3767" t="s">
        <v>116</v>
      </c>
      <c r="AG3767" t="s">
        <v>116</v>
      </c>
      <c r="AH3767" t="s">
        <v>116</v>
      </c>
      <c r="AI3767" t="s">
        <v>116</v>
      </c>
      <c r="AJ3767" t="s">
        <v>116</v>
      </c>
      <c r="AK3767">
        <v>0</v>
      </c>
      <c r="AL3767" t="s">
        <v>116</v>
      </c>
      <c r="AM3767" t="s">
        <v>116</v>
      </c>
      <c r="AN3767">
        <v>0</v>
      </c>
      <c r="AO3767">
        <v>0</v>
      </c>
      <c r="AP3767">
        <v>0</v>
      </c>
      <c r="AQ3767">
        <v>0</v>
      </c>
      <c r="AR3767">
        <v>0</v>
      </c>
      <c r="AS3767" t="s">
        <v>116</v>
      </c>
      <c r="AT3767" t="s">
        <v>116</v>
      </c>
      <c r="AU3767" t="s">
        <v>116</v>
      </c>
      <c r="AV3767" t="s">
        <v>116</v>
      </c>
      <c r="AW3767">
        <v>0</v>
      </c>
      <c r="BA3767" t="s">
        <v>116</v>
      </c>
      <c r="BB3767" t="s">
        <v>116</v>
      </c>
      <c r="BC3767" t="s">
        <v>116</v>
      </c>
      <c r="BD3767" t="s">
        <v>116</v>
      </c>
      <c r="BE3767" t="s">
        <v>116</v>
      </c>
      <c r="BF3767" t="s">
        <v>116</v>
      </c>
      <c r="BG3767" t="s">
        <v>116</v>
      </c>
      <c r="BH3767" t="s">
        <v>116</v>
      </c>
      <c r="BI3767">
        <v>20191217</v>
      </c>
      <c r="BJ3767" t="s">
        <v>116</v>
      </c>
      <c r="BK3767" t="s">
        <v>116</v>
      </c>
      <c r="BL3767" t="s">
        <v>116</v>
      </c>
      <c r="BM3767" t="s">
        <v>116</v>
      </c>
      <c r="BN3767">
        <v>6.8</v>
      </c>
      <c r="BO3767">
        <v>5.52</v>
      </c>
      <c r="BP3767">
        <v>0</v>
      </c>
      <c r="BQ3767">
        <v>18.75</v>
      </c>
      <c r="BR3767">
        <v>3.34</v>
      </c>
      <c r="BS3767">
        <v>2.96</v>
      </c>
      <c r="BT3767">
        <v>0.4</v>
      </c>
      <c r="BU3767">
        <v>0.97</v>
      </c>
      <c r="BV3767">
        <v>1.2</v>
      </c>
      <c r="BW3767">
        <v>1.24</v>
      </c>
      <c r="BX3767">
        <v>2.57</v>
      </c>
      <c r="BY3767">
        <v>3.19</v>
      </c>
      <c r="BZ3767">
        <v>1.61</v>
      </c>
      <c r="CA3767">
        <v>1.05</v>
      </c>
      <c r="CB3767">
        <v>0.01</v>
      </c>
      <c r="CC3767">
        <v>1.05</v>
      </c>
      <c r="CD3767">
        <v>0.88</v>
      </c>
      <c r="CE3767">
        <v>0.88</v>
      </c>
      <c r="CF3767">
        <v>0</v>
      </c>
      <c r="CG3767">
        <v>2.06</v>
      </c>
      <c r="CH3767">
        <v>0.81</v>
      </c>
      <c r="CI3767">
        <v>-0.71</v>
      </c>
      <c r="CJ3767">
        <v>0</v>
      </c>
      <c r="CK3767" t="s">
        <v>116</v>
      </c>
      <c r="CL3767" t="s">
        <v>116</v>
      </c>
      <c r="CM3767">
        <v>0</v>
      </c>
      <c r="CN3767">
        <v>0</v>
      </c>
      <c r="CO3767" t="s">
        <v>116</v>
      </c>
      <c r="CP3767">
        <v>0</v>
      </c>
      <c r="CQ3767">
        <v>0</v>
      </c>
      <c r="CR3767">
        <v>0</v>
      </c>
      <c r="CS3767" t="s">
        <v>222</v>
      </c>
      <c r="CT3767" t="s">
        <v>116</v>
      </c>
      <c r="CU3767">
        <v>0</v>
      </c>
      <c r="CV3767" t="s">
        <v>116</v>
      </c>
      <c r="CW3767" t="s">
        <v>116</v>
      </c>
      <c r="CX3767" t="s">
        <v>116</v>
      </c>
      <c r="CY3767">
        <v>81.25</v>
      </c>
      <c r="CZ3767" t="s">
        <v>15359</v>
      </c>
      <c r="DA3767">
        <v>49.43</v>
      </c>
      <c r="DB3767">
        <v>33.020000000000003</v>
      </c>
      <c r="DC3767">
        <v>27.74</v>
      </c>
      <c r="DD3767">
        <v>0</v>
      </c>
      <c r="DE3767">
        <v>0</v>
      </c>
      <c r="DF3767">
        <v>688181</v>
      </c>
      <c r="DG3767" t="s">
        <v>116</v>
      </c>
      <c r="DH3767" t="s">
        <v>116</v>
      </c>
      <c r="DI3767" t="s">
        <v>116</v>
      </c>
    </row>
    <row r="3768" spans="1:113" x14ac:dyDescent="0.4">
      <c r="A3768" t="str">
        <f>"688278"</f>
        <v>688278</v>
      </c>
      <c r="B3768" t="s">
        <v>15360</v>
      </c>
      <c r="C3768" t="s">
        <v>116</v>
      </c>
      <c r="D3768">
        <v>0</v>
      </c>
      <c r="E3768" t="s">
        <v>116</v>
      </c>
      <c r="F3768" t="s">
        <v>116</v>
      </c>
      <c r="G3768" t="s">
        <v>116</v>
      </c>
      <c r="H3768">
        <v>0</v>
      </c>
      <c r="I3768">
        <v>0</v>
      </c>
      <c r="J3768" t="s">
        <v>116</v>
      </c>
      <c r="K3768" t="s">
        <v>116</v>
      </c>
      <c r="L3768" t="s">
        <v>116</v>
      </c>
      <c r="M3768" t="s">
        <v>116</v>
      </c>
      <c r="N3768" t="s">
        <v>116</v>
      </c>
      <c r="O3768" t="s">
        <v>116</v>
      </c>
      <c r="P3768" t="s">
        <v>116</v>
      </c>
      <c r="Q3768">
        <v>0</v>
      </c>
      <c r="R3768" t="s">
        <v>116</v>
      </c>
      <c r="S3768" t="s">
        <v>132</v>
      </c>
      <c r="T3768" t="s">
        <v>975</v>
      </c>
      <c r="U3768" t="s">
        <v>116</v>
      </c>
      <c r="V3768">
        <v>0</v>
      </c>
      <c r="W3768">
        <v>0</v>
      </c>
      <c r="X3768">
        <v>0</v>
      </c>
      <c r="Y3768" t="s">
        <v>116</v>
      </c>
      <c r="Z3768">
        <v>0</v>
      </c>
      <c r="AA3768">
        <v>0</v>
      </c>
      <c r="AB3768" t="s">
        <v>116</v>
      </c>
      <c r="AC3768">
        <v>0</v>
      </c>
      <c r="AD3768" t="s">
        <v>116</v>
      </c>
      <c r="AE3768" t="s">
        <v>116</v>
      </c>
      <c r="AF3768" t="s">
        <v>116</v>
      </c>
      <c r="AG3768" t="s">
        <v>116</v>
      </c>
      <c r="AH3768" t="s">
        <v>116</v>
      </c>
      <c r="AI3768" t="s">
        <v>116</v>
      </c>
      <c r="AJ3768" t="s">
        <v>116</v>
      </c>
      <c r="AK3768">
        <v>0</v>
      </c>
      <c r="AL3768" t="s">
        <v>116</v>
      </c>
      <c r="AM3768" t="s">
        <v>116</v>
      </c>
      <c r="AN3768">
        <v>0</v>
      </c>
      <c r="AO3768">
        <v>0</v>
      </c>
      <c r="AP3768">
        <v>0</v>
      </c>
      <c r="AQ3768">
        <v>0</v>
      </c>
      <c r="AR3768">
        <v>0</v>
      </c>
      <c r="AS3768" t="s">
        <v>116</v>
      </c>
      <c r="AT3768" t="s">
        <v>116</v>
      </c>
      <c r="AU3768" t="s">
        <v>116</v>
      </c>
      <c r="AV3768" t="s">
        <v>116</v>
      </c>
      <c r="AW3768">
        <v>0</v>
      </c>
      <c r="BA3768" t="s">
        <v>116</v>
      </c>
      <c r="BB3768" t="s">
        <v>116</v>
      </c>
      <c r="BC3768" t="s">
        <v>116</v>
      </c>
      <c r="BD3768" t="s">
        <v>116</v>
      </c>
      <c r="BE3768" t="s">
        <v>116</v>
      </c>
      <c r="BF3768" t="s">
        <v>116</v>
      </c>
      <c r="BG3768" t="s">
        <v>116</v>
      </c>
      <c r="BH3768" t="s">
        <v>116</v>
      </c>
      <c r="BI3768">
        <v>20191226</v>
      </c>
      <c r="BJ3768" t="s">
        <v>116</v>
      </c>
      <c r="BK3768" t="s">
        <v>116</v>
      </c>
      <c r="BL3768" t="s">
        <v>116</v>
      </c>
      <c r="BM3768" t="s">
        <v>116</v>
      </c>
      <c r="BN3768">
        <v>7.51</v>
      </c>
      <c r="BO3768">
        <v>5.41</v>
      </c>
      <c r="BP3768">
        <v>0</v>
      </c>
      <c r="BQ3768">
        <v>27.96</v>
      </c>
      <c r="BR3768">
        <v>4.21</v>
      </c>
      <c r="BS3768">
        <v>0.6</v>
      </c>
      <c r="BT3768">
        <v>2.02</v>
      </c>
      <c r="BU3768">
        <v>1.18</v>
      </c>
      <c r="BV3768">
        <v>0.67</v>
      </c>
      <c r="BW3768">
        <v>1.49</v>
      </c>
      <c r="BX3768">
        <v>1.1299999999999999</v>
      </c>
      <c r="BY3768">
        <v>5.28</v>
      </c>
      <c r="BZ3768">
        <v>0.6</v>
      </c>
      <c r="CA3768">
        <v>0.71</v>
      </c>
      <c r="CB3768">
        <v>0</v>
      </c>
      <c r="CC3768">
        <v>0.55000000000000004</v>
      </c>
      <c r="CD3768">
        <v>0.42</v>
      </c>
      <c r="CE3768">
        <v>0.42</v>
      </c>
      <c r="CF3768">
        <v>0</v>
      </c>
      <c r="CG3768">
        <v>0.55000000000000004</v>
      </c>
      <c r="CH3768">
        <v>0.66</v>
      </c>
      <c r="CI3768">
        <v>0.19</v>
      </c>
      <c r="CJ3768">
        <v>0</v>
      </c>
      <c r="CK3768" t="s">
        <v>116</v>
      </c>
      <c r="CL3768" t="s">
        <v>116</v>
      </c>
      <c r="CM3768">
        <v>0</v>
      </c>
      <c r="CN3768">
        <v>0</v>
      </c>
      <c r="CO3768" t="s">
        <v>116</v>
      </c>
      <c r="CP3768">
        <v>0</v>
      </c>
      <c r="CQ3768">
        <v>0</v>
      </c>
      <c r="CR3768">
        <v>0</v>
      </c>
      <c r="CS3768" t="s">
        <v>222</v>
      </c>
      <c r="CT3768" t="s">
        <v>116</v>
      </c>
      <c r="CU3768">
        <v>0</v>
      </c>
      <c r="CV3768" t="s">
        <v>116</v>
      </c>
      <c r="CW3768" t="s">
        <v>116</v>
      </c>
      <c r="CX3768" t="s">
        <v>116</v>
      </c>
      <c r="CY3768">
        <v>72.040000000000006</v>
      </c>
      <c r="CZ3768" t="s">
        <v>6303</v>
      </c>
      <c r="DA3768">
        <v>88.56</v>
      </c>
      <c r="DB3768">
        <v>13.4</v>
      </c>
      <c r="DC3768">
        <v>7.97</v>
      </c>
      <c r="DD3768">
        <v>0</v>
      </c>
      <c r="DE3768">
        <v>0</v>
      </c>
      <c r="DF3768">
        <v>688278</v>
      </c>
      <c r="DG3768" t="s">
        <v>116</v>
      </c>
      <c r="DH3768" t="s">
        <v>116</v>
      </c>
      <c r="DI3768" t="s">
        <v>116</v>
      </c>
    </row>
    <row r="3769" spans="1:113" x14ac:dyDescent="0.4">
      <c r="A3769" t="s">
        <v>15361</v>
      </c>
    </row>
  </sheetData>
  <autoFilter ref="A1:DI1" xr:uid="{00000000-0009-0000-0000-000000000000}"/>
  <phoneticPr fontId="18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3"/>
  <sheetViews>
    <sheetView topLeftCell="A77" workbookViewId="0">
      <selection activeCell="C1" sqref="C1:C113"/>
    </sheetView>
  </sheetViews>
  <sheetFormatPr defaultRowHeight="13.9" x14ac:dyDescent="0.4"/>
  <cols>
    <col min="2" max="2" width="9.06640625" customWidth="1"/>
  </cols>
  <sheetData>
    <row r="1" spans="1:5" x14ac:dyDescent="0.4">
      <c r="A1" t="s">
        <v>0</v>
      </c>
      <c r="B1" t="str">
        <f>VLOOKUP(A1,E:E,1,FALSE)</f>
        <v>代码</v>
      </c>
      <c r="C1" t="str">
        <f>getpy(A1)</f>
        <v>daima</v>
      </c>
      <c r="E1" t="s">
        <v>0</v>
      </c>
    </row>
    <row r="2" spans="1:5" x14ac:dyDescent="0.4">
      <c r="A2" t="s">
        <v>1</v>
      </c>
      <c r="B2" t="str">
        <f t="shared" ref="B2:B65" si="0">VLOOKUP(A2,E:E,1,FALSE)</f>
        <v>名称</v>
      </c>
      <c r="C2" t="str">
        <f t="shared" ref="C2:C65" si="1">getpy(A2)</f>
        <v>mingcheng</v>
      </c>
      <c r="E2" t="s">
        <v>1</v>
      </c>
    </row>
    <row r="3" spans="1:5" x14ac:dyDescent="0.4">
      <c r="A3" t="s">
        <v>2</v>
      </c>
      <c r="B3" t="e">
        <f t="shared" si="0"/>
        <v>#N/A</v>
      </c>
      <c r="C3" t="str">
        <f t="shared" si="1"/>
        <v>zhangfu%</v>
      </c>
      <c r="E3" t="s">
        <v>34</v>
      </c>
    </row>
    <row r="4" spans="1:5" x14ac:dyDescent="0.4">
      <c r="A4" t="s">
        <v>3</v>
      </c>
      <c r="B4" t="e">
        <f t="shared" si="0"/>
        <v>#N/A</v>
      </c>
      <c r="C4" t="str">
        <f t="shared" si="1"/>
        <v>xianjia</v>
      </c>
      <c r="E4" t="s">
        <v>35</v>
      </c>
    </row>
    <row r="5" spans="1:5" x14ac:dyDescent="0.4">
      <c r="A5" t="s">
        <v>4</v>
      </c>
      <c r="B5" t="e">
        <f t="shared" si="0"/>
        <v>#N/A</v>
      </c>
      <c r="C5" t="str">
        <f t="shared" si="1"/>
        <v>zhangdie</v>
      </c>
      <c r="E5" t="s">
        <v>36</v>
      </c>
    </row>
    <row r="6" spans="1:5" x14ac:dyDescent="0.4">
      <c r="A6" t="s">
        <v>5</v>
      </c>
      <c r="B6" t="e">
        <f t="shared" si="0"/>
        <v>#N/A</v>
      </c>
      <c r="C6" t="str">
        <f t="shared" si="1"/>
        <v>maijia</v>
      </c>
      <c r="E6" t="s">
        <v>37</v>
      </c>
    </row>
    <row r="7" spans="1:5" x14ac:dyDescent="0.4">
      <c r="A7" t="s">
        <v>6</v>
      </c>
      <c r="B7" t="e">
        <f t="shared" si="0"/>
        <v>#N/A</v>
      </c>
      <c r="C7" t="str">
        <f t="shared" si="1"/>
        <v>maijia</v>
      </c>
      <c r="E7" t="s">
        <v>38</v>
      </c>
    </row>
    <row r="8" spans="1:5" x14ac:dyDescent="0.4">
      <c r="A8" t="s">
        <v>7</v>
      </c>
      <c r="B8" t="e">
        <f t="shared" si="0"/>
        <v>#N/A</v>
      </c>
      <c r="C8" t="str">
        <f t="shared" si="1"/>
        <v>zongliang</v>
      </c>
      <c r="E8" t="s">
        <v>39</v>
      </c>
    </row>
    <row r="9" spans="1:5" x14ac:dyDescent="0.4">
      <c r="A9" t="s">
        <v>8</v>
      </c>
      <c r="B9" t="e">
        <f t="shared" si="0"/>
        <v>#N/A</v>
      </c>
      <c r="C9" t="str">
        <f t="shared" si="1"/>
        <v>xianliang</v>
      </c>
      <c r="E9" t="s">
        <v>40</v>
      </c>
    </row>
    <row r="10" spans="1:5" x14ac:dyDescent="0.4">
      <c r="A10" t="s">
        <v>9</v>
      </c>
      <c r="B10" t="e">
        <f t="shared" si="0"/>
        <v>#N/A</v>
      </c>
      <c r="C10" t="str">
        <f t="shared" si="1"/>
        <v>zhangsu%</v>
      </c>
      <c r="E10" t="s">
        <v>41</v>
      </c>
    </row>
    <row r="11" spans="1:5" x14ac:dyDescent="0.4">
      <c r="A11" t="s">
        <v>10</v>
      </c>
      <c r="B11" t="e">
        <f t="shared" si="0"/>
        <v>#N/A</v>
      </c>
      <c r="C11" t="str">
        <f t="shared" si="1"/>
        <v>huanshou%</v>
      </c>
      <c r="E11" t="s">
        <v>42</v>
      </c>
    </row>
    <row r="12" spans="1:5" x14ac:dyDescent="0.4">
      <c r="A12" t="s">
        <v>11</v>
      </c>
      <c r="B12" t="e">
        <f t="shared" si="0"/>
        <v>#N/A</v>
      </c>
      <c r="C12" t="str">
        <f t="shared" si="1"/>
        <v>jinkai</v>
      </c>
      <c r="E12" t="s">
        <v>43</v>
      </c>
    </row>
    <row r="13" spans="1:5" x14ac:dyDescent="0.4">
      <c r="A13" t="s">
        <v>12</v>
      </c>
      <c r="B13" t="e">
        <f t="shared" si="0"/>
        <v>#N/A</v>
      </c>
      <c r="C13" t="str">
        <f t="shared" si="1"/>
        <v>zuigao</v>
      </c>
      <c r="E13" t="s">
        <v>44</v>
      </c>
    </row>
    <row r="14" spans="1:5" x14ac:dyDescent="0.4">
      <c r="A14" t="s">
        <v>13</v>
      </c>
      <c r="B14" t="e">
        <f t="shared" si="0"/>
        <v>#N/A</v>
      </c>
      <c r="C14" t="str">
        <f t="shared" si="1"/>
        <v>zuidi</v>
      </c>
      <c r="E14" t="s">
        <v>45</v>
      </c>
    </row>
    <row r="15" spans="1:5" x14ac:dyDescent="0.4">
      <c r="A15" t="s">
        <v>14</v>
      </c>
      <c r="B15" t="e">
        <f t="shared" si="0"/>
        <v>#N/A</v>
      </c>
      <c r="C15" t="str">
        <f t="shared" si="1"/>
        <v>zuoshou</v>
      </c>
      <c r="E15" t="s">
        <v>46</v>
      </c>
    </row>
    <row r="16" spans="1:5" x14ac:dyDescent="0.4">
      <c r="A16" t="s">
        <v>15</v>
      </c>
      <c r="B16" t="e">
        <f t="shared" si="0"/>
        <v>#N/A</v>
      </c>
      <c r="C16" t="str">
        <f t="shared" si="1"/>
        <v>shiying(dong)</v>
      </c>
      <c r="E16" t="s">
        <v>47</v>
      </c>
    </row>
    <row r="17" spans="1:5" x14ac:dyDescent="0.4">
      <c r="A17" t="s">
        <v>16</v>
      </c>
      <c r="B17" t="e">
        <f t="shared" si="0"/>
        <v>#N/A</v>
      </c>
      <c r="C17" t="str">
        <f t="shared" si="1"/>
        <v>zongjindong</v>
      </c>
      <c r="E17" t="s">
        <v>48</v>
      </c>
    </row>
    <row r="18" spans="1:5" x14ac:dyDescent="0.4">
      <c r="A18" t="s">
        <v>17</v>
      </c>
      <c r="B18" t="e">
        <f t="shared" si="0"/>
        <v>#N/A</v>
      </c>
      <c r="C18" t="str">
        <f t="shared" si="1"/>
        <v>liangbi</v>
      </c>
      <c r="E18" t="s">
        <v>49</v>
      </c>
    </row>
    <row r="19" spans="1:5" x14ac:dyDescent="0.4">
      <c r="A19" t="s">
        <v>18</v>
      </c>
      <c r="B19" t="e">
        <f t="shared" si="0"/>
        <v>#N/A</v>
      </c>
      <c r="C19" t="str">
        <f t="shared" si="1"/>
        <v>xifenxingye</v>
      </c>
      <c r="E19" t="s">
        <v>50</v>
      </c>
    </row>
    <row r="20" spans="1:5" x14ac:dyDescent="0.4">
      <c r="A20" t="s">
        <v>19</v>
      </c>
      <c r="B20" t="e">
        <f t="shared" si="0"/>
        <v>#N/A</v>
      </c>
      <c r="C20" t="str">
        <f t="shared" si="1"/>
        <v>diqu</v>
      </c>
      <c r="E20" t="s">
        <v>51</v>
      </c>
    </row>
    <row r="21" spans="1:5" x14ac:dyDescent="0.4">
      <c r="A21" t="s">
        <v>20</v>
      </c>
      <c r="B21" t="e">
        <f t="shared" si="0"/>
        <v>#N/A</v>
      </c>
      <c r="C21" t="str">
        <f t="shared" si="1"/>
        <v>zhenfu%</v>
      </c>
      <c r="E21" t="s">
        <v>52</v>
      </c>
    </row>
    <row r="22" spans="1:5" x14ac:dyDescent="0.4">
      <c r="A22" t="s">
        <v>21</v>
      </c>
      <c r="B22" t="e">
        <f t="shared" si="0"/>
        <v>#N/A</v>
      </c>
      <c r="C22" t="str">
        <f t="shared" si="1"/>
        <v>junjia</v>
      </c>
      <c r="E22" t="s">
        <v>53</v>
      </c>
    </row>
    <row r="23" spans="1:5" x14ac:dyDescent="0.4">
      <c r="A23" t="s">
        <v>22</v>
      </c>
      <c r="B23" t="e">
        <f t="shared" si="0"/>
        <v>#N/A</v>
      </c>
      <c r="C23" t="str">
        <f t="shared" si="1"/>
        <v>neipan</v>
      </c>
      <c r="E23" t="s">
        <v>54</v>
      </c>
    </row>
    <row r="24" spans="1:5" x14ac:dyDescent="0.4">
      <c r="A24" t="s">
        <v>23</v>
      </c>
      <c r="B24" t="e">
        <f t="shared" si="0"/>
        <v>#N/A</v>
      </c>
      <c r="C24" t="str">
        <f t="shared" si="1"/>
        <v>waipan</v>
      </c>
      <c r="E24" t="s">
        <v>55</v>
      </c>
    </row>
    <row r="25" spans="1:5" x14ac:dyDescent="0.4">
      <c r="A25" t="s">
        <v>24</v>
      </c>
      <c r="B25" t="e">
        <f t="shared" si="0"/>
        <v>#N/A</v>
      </c>
      <c r="C25" t="str">
        <f t="shared" si="1"/>
        <v>neiwaibi</v>
      </c>
      <c r="E25" t="s">
        <v>56</v>
      </c>
    </row>
    <row r="26" spans="1:5" x14ac:dyDescent="0.4">
      <c r="A26" t="s">
        <v>25</v>
      </c>
      <c r="B26" t="e">
        <f t="shared" si="0"/>
        <v>#N/A</v>
      </c>
      <c r="C26" t="str">
        <f t="shared" si="1"/>
        <v>mailiang</v>
      </c>
      <c r="E26" t="s">
        <v>57</v>
      </c>
    </row>
    <row r="27" spans="1:5" x14ac:dyDescent="0.4">
      <c r="A27" t="s">
        <v>26</v>
      </c>
      <c r="B27" t="e">
        <f t="shared" si="0"/>
        <v>#N/A</v>
      </c>
      <c r="C27" t="str">
        <f t="shared" si="1"/>
        <v>mailiang</v>
      </c>
      <c r="E27" t="s">
        <v>58</v>
      </c>
    </row>
    <row r="28" spans="1:5" x14ac:dyDescent="0.4">
      <c r="A28" t="s">
        <v>27</v>
      </c>
      <c r="B28" t="e">
        <f t="shared" si="0"/>
        <v>#N/A</v>
      </c>
      <c r="C28" t="str">
        <f t="shared" si="1"/>
        <v>weipipeiliang</v>
      </c>
      <c r="E28" t="s">
        <v>59</v>
      </c>
    </row>
    <row r="29" spans="1:5" x14ac:dyDescent="0.4">
      <c r="A29" t="s">
        <v>28</v>
      </c>
      <c r="B29" t="e">
        <f t="shared" si="0"/>
        <v>#N/A</v>
      </c>
      <c r="C29" t="str">
        <f t="shared" si="1"/>
        <v>kaipanjindong</v>
      </c>
      <c r="E29" t="s">
        <v>60</v>
      </c>
    </row>
    <row r="30" spans="1:5" x14ac:dyDescent="0.4">
      <c r="A30" t="s">
        <v>29</v>
      </c>
      <c r="B30" t="e">
        <f t="shared" si="0"/>
        <v>#N/A</v>
      </c>
      <c r="C30" t="str">
        <f t="shared" si="1"/>
        <v>kaipanhuanshouZ</v>
      </c>
      <c r="E30" t="s">
        <v>61</v>
      </c>
    </row>
    <row r="31" spans="1:5" x14ac:dyDescent="0.4">
      <c r="A31" t="s">
        <v>30</v>
      </c>
      <c r="B31" t="e">
        <f t="shared" si="0"/>
        <v>#N/A</v>
      </c>
      <c r="C31" t="str">
        <f t="shared" si="1"/>
        <v>fengchengbi</v>
      </c>
      <c r="E31" t="s">
        <v>62</v>
      </c>
    </row>
    <row r="32" spans="1:5" x14ac:dyDescent="0.4">
      <c r="A32" t="s">
        <v>31</v>
      </c>
      <c r="B32" t="e">
        <f t="shared" si="0"/>
        <v>#N/A</v>
      </c>
      <c r="C32" t="str">
        <f t="shared" si="1"/>
        <v>fengdandong</v>
      </c>
      <c r="E32" t="s">
        <v>63</v>
      </c>
    </row>
    <row r="33" spans="1:5" x14ac:dyDescent="0.4">
      <c r="A33" t="s">
        <v>32</v>
      </c>
      <c r="B33" t="e">
        <f t="shared" si="0"/>
        <v>#N/A</v>
      </c>
      <c r="C33" t="str">
        <f t="shared" si="1"/>
        <v>liutonggu(yi)</v>
      </c>
      <c r="E33" t="s">
        <v>64</v>
      </c>
    </row>
    <row r="34" spans="1:5" x14ac:dyDescent="0.4">
      <c r="A34" t="s">
        <v>33</v>
      </c>
      <c r="B34" t="e">
        <f t="shared" si="0"/>
        <v>#N/A</v>
      </c>
      <c r="C34" t="str">
        <f t="shared" si="1"/>
        <v>liutongshizhi</v>
      </c>
      <c r="E34" t="s">
        <v>65</v>
      </c>
    </row>
    <row r="35" spans="1:5" x14ac:dyDescent="0.4">
      <c r="A35" t="s">
        <v>34</v>
      </c>
      <c r="B35" t="str">
        <f t="shared" si="0"/>
        <v>AB股总市值</v>
      </c>
      <c r="C35" t="str">
        <f t="shared" si="1"/>
        <v>ABguzongshizhi</v>
      </c>
      <c r="E35" t="s">
        <v>66</v>
      </c>
    </row>
    <row r="36" spans="1:5" x14ac:dyDescent="0.4">
      <c r="A36" t="s">
        <v>35</v>
      </c>
      <c r="B36" t="str">
        <f t="shared" si="0"/>
        <v>强弱度%</v>
      </c>
      <c r="C36" t="str">
        <f t="shared" si="1"/>
        <v>qiangruodong%</v>
      </c>
      <c r="E36" t="s">
        <v>67</v>
      </c>
    </row>
    <row r="37" spans="1:5" x14ac:dyDescent="0.4">
      <c r="A37" t="s">
        <v>36</v>
      </c>
      <c r="B37" t="str">
        <f t="shared" si="0"/>
        <v>活跃度</v>
      </c>
      <c r="C37" t="str">
        <f t="shared" si="1"/>
        <v>huoyuedong</v>
      </c>
      <c r="E37" t="s">
        <v>68</v>
      </c>
    </row>
    <row r="38" spans="1:5" x14ac:dyDescent="0.4">
      <c r="A38" t="s">
        <v>37</v>
      </c>
      <c r="B38" t="str">
        <f t="shared" si="0"/>
        <v>笔均量</v>
      </c>
      <c r="C38" t="str">
        <f t="shared" si="1"/>
        <v>bijunliang</v>
      </c>
      <c r="E38" t="s">
        <v>69</v>
      </c>
    </row>
    <row r="39" spans="1:5" x14ac:dyDescent="0.4">
      <c r="A39" t="s">
        <v>38</v>
      </c>
      <c r="B39" t="str">
        <f t="shared" si="0"/>
        <v>笔换手</v>
      </c>
      <c r="C39" t="str">
        <f t="shared" si="1"/>
        <v>bihuanshou</v>
      </c>
      <c r="E39" t="s">
        <v>70</v>
      </c>
    </row>
    <row r="40" spans="1:5" x14ac:dyDescent="0.4">
      <c r="A40" t="s">
        <v>39</v>
      </c>
      <c r="B40" t="str">
        <f t="shared" si="0"/>
        <v>连涨天</v>
      </c>
      <c r="C40" t="str">
        <f t="shared" si="1"/>
        <v>lianzhangtian</v>
      </c>
      <c r="E40" t="s">
        <v>71</v>
      </c>
    </row>
    <row r="41" spans="1:5" x14ac:dyDescent="0.4">
      <c r="A41" t="s">
        <v>40</v>
      </c>
      <c r="B41" t="str">
        <f t="shared" si="0"/>
        <v>3日涨幅%</v>
      </c>
      <c r="C41" t="str">
        <f t="shared" si="1"/>
        <v>3rizhangfu%</v>
      </c>
      <c r="E41" t="s">
        <v>72</v>
      </c>
    </row>
    <row r="42" spans="1:5" x14ac:dyDescent="0.4">
      <c r="A42" t="s">
        <v>41</v>
      </c>
      <c r="B42" t="str">
        <f t="shared" si="0"/>
        <v>20日涨幅%</v>
      </c>
      <c r="C42" t="str">
        <f t="shared" si="1"/>
        <v>20rizhangfu%</v>
      </c>
      <c r="E42" t="s">
        <v>73</v>
      </c>
    </row>
    <row r="43" spans="1:5" x14ac:dyDescent="0.4">
      <c r="A43" t="s">
        <v>42</v>
      </c>
      <c r="B43" t="str">
        <f t="shared" si="0"/>
        <v>60日涨幅%</v>
      </c>
      <c r="C43" t="str">
        <f t="shared" si="1"/>
        <v>60rizhangfu%</v>
      </c>
      <c r="E43" t="s">
        <v>74</v>
      </c>
    </row>
    <row r="44" spans="1:5" x14ac:dyDescent="0.4">
      <c r="A44" t="s">
        <v>43</v>
      </c>
      <c r="B44" t="str">
        <f t="shared" si="0"/>
        <v>年初至今%</v>
      </c>
      <c r="C44" t="str">
        <f t="shared" si="1"/>
        <v>nianchuzhijin%</v>
      </c>
      <c r="E44" t="s">
        <v>75</v>
      </c>
    </row>
    <row r="45" spans="1:5" x14ac:dyDescent="0.4">
      <c r="A45" t="s">
        <v>44</v>
      </c>
      <c r="B45" t="str">
        <f t="shared" si="0"/>
        <v>换手Z</v>
      </c>
      <c r="C45" t="str">
        <f t="shared" si="1"/>
        <v>huanshouZ</v>
      </c>
      <c r="E45" t="s">
        <v>76</v>
      </c>
    </row>
    <row r="46" spans="1:5" x14ac:dyDescent="0.4">
      <c r="A46" t="s">
        <v>45</v>
      </c>
      <c r="B46" t="str">
        <f t="shared" si="0"/>
        <v>流通市值Z</v>
      </c>
      <c r="C46" t="str">
        <f t="shared" si="1"/>
        <v>liutongshizhiZ</v>
      </c>
      <c r="E46" t="s">
        <v>77</v>
      </c>
    </row>
    <row r="47" spans="1:5" x14ac:dyDescent="0.4">
      <c r="A47" t="s">
        <v>46</v>
      </c>
      <c r="B47" t="str">
        <f t="shared" si="0"/>
        <v>市盈(TTM)</v>
      </c>
      <c r="C47" t="str">
        <f t="shared" si="1"/>
        <v>shiying(TTM)</v>
      </c>
      <c r="E47" t="s">
        <v>78</v>
      </c>
    </row>
    <row r="48" spans="1:5" x14ac:dyDescent="0.4">
      <c r="A48" t="s">
        <v>47</v>
      </c>
      <c r="B48" t="str">
        <f t="shared" si="0"/>
        <v>市盈(静)</v>
      </c>
      <c r="C48" t="str">
        <f t="shared" si="1"/>
        <v>shiying(jing)</v>
      </c>
      <c r="E48" t="s">
        <v>79</v>
      </c>
    </row>
    <row r="49" spans="1:5" x14ac:dyDescent="0.4">
      <c r="A49" t="s">
        <v>48</v>
      </c>
      <c r="B49" t="str">
        <f t="shared" si="0"/>
        <v>贝塔系数</v>
      </c>
      <c r="C49" t="str">
        <f t="shared" si="1"/>
        <v>beitaxishu</v>
      </c>
      <c r="E49" t="s">
        <v>80</v>
      </c>
    </row>
    <row r="50" spans="1:5" x14ac:dyDescent="0.4">
      <c r="A50" t="s">
        <v>49</v>
      </c>
      <c r="B50" t="str">
        <f t="shared" si="0"/>
        <v>短期形态</v>
      </c>
      <c r="C50" t="str">
        <f t="shared" si="1"/>
        <v>dongqixingtai</v>
      </c>
      <c r="E50" t="s">
        <v>81</v>
      </c>
    </row>
    <row r="51" spans="1:5" x14ac:dyDescent="0.4">
      <c r="A51" t="s">
        <v>50</v>
      </c>
      <c r="B51" t="str">
        <f t="shared" si="0"/>
        <v>中期形态</v>
      </c>
      <c r="C51" t="str">
        <f t="shared" si="1"/>
        <v>zhongqixingtai</v>
      </c>
      <c r="E51" t="s">
        <v>82</v>
      </c>
    </row>
    <row r="52" spans="1:5" x14ac:dyDescent="0.4">
      <c r="A52" t="s">
        <v>51</v>
      </c>
      <c r="B52" t="str">
        <f t="shared" si="0"/>
        <v>长期形态</v>
      </c>
      <c r="C52" t="str">
        <f t="shared" si="1"/>
        <v>changqixingtai</v>
      </c>
      <c r="E52" t="s">
        <v>83</v>
      </c>
    </row>
    <row r="53" spans="1:5" x14ac:dyDescent="0.4">
      <c r="A53" t="s">
        <v>52</v>
      </c>
      <c r="B53" t="str">
        <f t="shared" si="0"/>
        <v>开盘%</v>
      </c>
      <c r="C53" t="str">
        <f t="shared" si="1"/>
        <v>kaipan%</v>
      </c>
      <c r="E53" t="s">
        <v>84</v>
      </c>
    </row>
    <row r="54" spans="1:5" x14ac:dyDescent="0.4">
      <c r="A54" t="s">
        <v>53</v>
      </c>
      <c r="B54" t="str">
        <f t="shared" si="0"/>
        <v>最高%</v>
      </c>
      <c r="C54" t="str">
        <f t="shared" si="1"/>
        <v>zuigao%</v>
      </c>
      <c r="E54" t="s">
        <v>85</v>
      </c>
    </row>
    <row r="55" spans="1:5" x14ac:dyDescent="0.4">
      <c r="A55" t="s">
        <v>54</v>
      </c>
      <c r="B55" t="str">
        <f t="shared" si="0"/>
        <v>最低%</v>
      </c>
      <c r="C55" t="str">
        <f t="shared" si="1"/>
        <v>zuidi%</v>
      </c>
      <c r="E55" t="s">
        <v>86</v>
      </c>
    </row>
    <row r="56" spans="1:5" x14ac:dyDescent="0.4">
      <c r="A56" t="s">
        <v>55</v>
      </c>
      <c r="B56" t="str">
        <f t="shared" si="0"/>
        <v>均涨幅%</v>
      </c>
      <c r="C56" t="str">
        <f t="shared" si="1"/>
        <v>junzhangfu%</v>
      </c>
      <c r="E56" t="s">
        <v>87</v>
      </c>
    </row>
    <row r="57" spans="1:5" x14ac:dyDescent="0.4">
      <c r="A57" t="s">
        <v>56</v>
      </c>
      <c r="B57" t="str">
        <f t="shared" si="0"/>
        <v>实体涨幅%</v>
      </c>
      <c r="C57" t="str">
        <f t="shared" si="1"/>
        <v>shitizhangfu%</v>
      </c>
      <c r="E57" t="s">
        <v>88</v>
      </c>
    </row>
    <row r="58" spans="1:5" x14ac:dyDescent="0.4">
      <c r="A58" t="s">
        <v>57</v>
      </c>
      <c r="B58" t="str">
        <f t="shared" si="0"/>
        <v>回头波%</v>
      </c>
      <c r="C58" t="str">
        <f t="shared" si="1"/>
        <v>huitoubo%</v>
      </c>
      <c r="E58" t="s">
        <v>89</v>
      </c>
    </row>
    <row r="59" spans="1:5" x14ac:dyDescent="0.4">
      <c r="A59" t="s">
        <v>58</v>
      </c>
      <c r="B59" t="str">
        <f t="shared" si="0"/>
        <v>攻击波%</v>
      </c>
      <c r="C59" t="str">
        <f t="shared" si="1"/>
        <v>gongjibo%</v>
      </c>
      <c r="E59" t="s">
        <v>90</v>
      </c>
    </row>
    <row r="60" spans="1:5" x14ac:dyDescent="0.4">
      <c r="A60" t="s">
        <v>59</v>
      </c>
      <c r="B60" t="str">
        <f t="shared" si="0"/>
        <v>现均差%</v>
      </c>
      <c r="C60" t="str">
        <f t="shared" si="1"/>
        <v>xianjuncha%</v>
      </c>
      <c r="E60" t="s">
        <v>91</v>
      </c>
    </row>
    <row r="61" spans="1:5" x14ac:dyDescent="0.4">
      <c r="A61" t="s">
        <v>60</v>
      </c>
      <c r="B61" t="str">
        <f t="shared" si="0"/>
        <v>财务更新</v>
      </c>
      <c r="C61" t="str">
        <f t="shared" si="1"/>
        <v>caiwugengxin</v>
      </c>
      <c r="E61" t="s">
        <v>92</v>
      </c>
    </row>
    <row r="62" spans="1:5" x14ac:dyDescent="0.4">
      <c r="A62" t="s">
        <v>61</v>
      </c>
      <c r="B62" t="str">
        <f t="shared" si="0"/>
        <v>上市日期</v>
      </c>
      <c r="C62" t="str">
        <f t="shared" si="1"/>
        <v>shangshiriqi</v>
      </c>
      <c r="E62" t="s">
        <v>93</v>
      </c>
    </row>
    <row r="63" spans="1:5" x14ac:dyDescent="0.4">
      <c r="A63" t="s">
        <v>62</v>
      </c>
      <c r="B63" t="str">
        <f t="shared" si="0"/>
        <v>总股本(亿)</v>
      </c>
      <c r="C63" t="str">
        <f t="shared" si="1"/>
        <v>zongguben(yi)</v>
      </c>
      <c r="E63" t="s">
        <v>94</v>
      </c>
    </row>
    <row r="64" spans="1:5" x14ac:dyDescent="0.4">
      <c r="A64" t="s">
        <v>63</v>
      </c>
      <c r="B64" t="str">
        <f t="shared" si="0"/>
        <v>B/A股(亿)</v>
      </c>
      <c r="C64" t="str">
        <f t="shared" si="1"/>
        <v>B/Agu(yi)</v>
      </c>
      <c r="E64" t="s">
        <v>95</v>
      </c>
    </row>
    <row r="65" spans="1:5" x14ac:dyDescent="0.4">
      <c r="A65" t="s">
        <v>64</v>
      </c>
      <c r="B65" t="str">
        <f t="shared" si="0"/>
        <v>H股(亿)</v>
      </c>
      <c r="C65" t="str">
        <f t="shared" si="1"/>
        <v>Hgu(yi)</v>
      </c>
      <c r="E65" t="s">
        <v>96</v>
      </c>
    </row>
    <row r="66" spans="1:5" x14ac:dyDescent="0.4">
      <c r="A66" t="s">
        <v>65</v>
      </c>
      <c r="B66" t="str">
        <f t="shared" ref="B66:B113" si="2">VLOOKUP(A66,E:E,1,FALSE)</f>
        <v>总资产(亿)</v>
      </c>
      <c r="C66" t="str">
        <f t="shared" ref="C66:C113" si="3">getpy(A66)</f>
        <v>zongzichan(yi)</v>
      </c>
      <c r="E66" t="s">
        <v>97</v>
      </c>
    </row>
    <row r="67" spans="1:5" x14ac:dyDescent="0.4">
      <c r="A67" t="s">
        <v>66</v>
      </c>
      <c r="B67" t="str">
        <f t="shared" si="2"/>
        <v>净资产(亿)</v>
      </c>
      <c r="C67" t="str">
        <f t="shared" si="3"/>
        <v>jingzichan(yi)</v>
      </c>
      <c r="E67" t="s">
        <v>98</v>
      </c>
    </row>
    <row r="68" spans="1:5" x14ac:dyDescent="0.4">
      <c r="A68" t="s">
        <v>67</v>
      </c>
      <c r="B68" t="str">
        <f t="shared" si="2"/>
        <v>少数股权(亿)</v>
      </c>
      <c r="C68" t="str">
        <f t="shared" si="3"/>
        <v>shaoshuguquan(yi)</v>
      </c>
      <c r="E68" t="s">
        <v>99</v>
      </c>
    </row>
    <row r="69" spans="1:5" x14ac:dyDescent="0.4">
      <c r="A69" t="s">
        <v>68</v>
      </c>
      <c r="B69" t="str">
        <f t="shared" si="2"/>
        <v>资产负债率%</v>
      </c>
      <c r="C69" t="str">
        <f t="shared" si="3"/>
        <v>zichanfuzhailv%</v>
      </c>
      <c r="E69" t="s">
        <v>100</v>
      </c>
    </row>
    <row r="70" spans="1:5" x14ac:dyDescent="0.4">
      <c r="A70" t="s">
        <v>69</v>
      </c>
      <c r="B70" t="str">
        <f t="shared" si="2"/>
        <v>流动资产(亿)</v>
      </c>
      <c r="C70" t="str">
        <f t="shared" si="3"/>
        <v>liudongzichan(yi)</v>
      </c>
      <c r="E70" t="s">
        <v>101</v>
      </c>
    </row>
    <row r="71" spans="1:5" x14ac:dyDescent="0.4">
      <c r="A71" t="s">
        <v>70</v>
      </c>
      <c r="B71" t="str">
        <f t="shared" si="2"/>
        <v>固定资产(亿)</v>
      </c>
      <c r="C71" t="str">
        <f t="shared" si="3"/>
        <v>gudingzichan(yi)</v>
      </c>
      <c r="E71" t="s">
        <v>102</v>
      </c>
    </row>
    <row r="72" spans="1:5" x14ac:dyDescent="0.4">
      <c r="A72" t="s">
        <v>71</v>
      </c>
      <c r="B72" t="str">
        <f t="shared" si="2"/>
        <v>无形资产(亿)</v>
      </c>
      <c r="C72" t="str">
        <f t="shared" si="3"/>
        <v>wuxingzichan(yi)</v>
      </c>
      <c r="E72" t="s">
        <v>103</v>
      </c>
    </row>
    <row r="73" spans="1:5" x14ac:dyDescent="0.4">
      <c r="A73" t="s">
        <v>72</v>
      </c>
      <c r="B73" t="str">
        <f t="shared" si="2"/>
        <v>流动负债(亿)</v>
      </c>
      <c r="C73" t="str">
        <f t="shared" si="3"/>
        <v>liudongfuzhai(yi)</v>
      </c>
      <c r="E73" t="s">
        <v>104</v>
      </c>
    </row>
    <row r="74" spans="1:5" x14ac:dyDescent="0.4">
      <c r="A74" t="s">
        <v>73</v>
      </c>
      <c r="B74" t="str">
        <f t="shared" si="2"/>
        <v>存货(亿)</v>
      </c>
      <c r="C74" t="str">
        <f t="shared" si="3"/>
        <v>cunhuo(yi)</v>
      </c>
      <c r="E74" t="s">
        <v>105</v>
      </c>
    </row>
    <row r="75" spans="1:5" x14ac:dyDescent="0.4">
      <c r="A75" t="s">
        <v>74</v>
      </c>
      <c r="B75" t="str">
        <f t="shared" si="2"/>
        <v>应收帐款(亿)</v>
      </c>
      <c r="C75" t="str">
        <f t="shared" si="3"/>
        <v>yingshouzhangkuan(yi)</v>
      </c>
      <c r="E75" t="s">
        <v>106</v>
      </c>
    </row>
    <row r="76" spans="1:5" x14ac:dyDescent="0.4">
      <c r="A76" t="s">
        <v>75</v>
      </c>
      <c r="B76" t="str">
        <f t="shared" si="2"/>
        <v>资本公积金(亿)</v>
      </c>
      <c r="C76" t="str">
        <f t="shared" si="3"/>
        <v>zibengongjijin(yi)</v>
      </c>
      <c r="E76" t="s">
        <v>107</v>
      </c>
    </row>
    <row r="77" spans="1:5" x14ac:dyDescent="0.4">
      <c r="A77" t="s">
        <v>76</v>
      </c>
      <c r="B77" t="str">
        <f t="shared" si="2"/>
        <v>营业收入(亿)</v>
      </c>
      <c r="C77" t="str">
        <f t="shared" si="3"/>
        <v>yingyeshouru(yi)</v>
      </c>
      <c r="E77" t="s">
        <v>108</v>
      </c>
    </row>
    <row r="78" spans="1:5" x14ac:dyDescent="0.4">
      <c r="A78" t="s">
        <v>77</v>
      </c>
      <c r="B78" t="str">
        <f t="shared" si="2"/>
        <v>营业成本(亿)</v>
      </c>
      <c r="C78" t="str">
        <f t="shared" si="3"/>
        <v>yingyechengben(yi)</v>
      </c>
      <c r="E78" t="s">
        <v>109</v>
      </c>
    </row>
    <row r="79" spans="1:5" x14ac:dyDescent="0.4">
      <c r="A79" t="s">
        <v>78</v>
      </c>
      <c r="B79" t="str">
        <f t="shared" si="2"/>
        <v>营业利润(亿)</v>
      </c>
      <c r="C79" t="str">
        <f t="shared" si="3"/>
        <v>yingyelirun(yi)</v>
      </c>
      <c r="E79" t="s">
        <v>110</v>
      </c>
    </row>
    <row r="80" spans="1:5" x14ac:dyDescent="0.4">
      <c r="A80" t="s">
        <v>79</v>
      </c>
      <c r="B80" t="str">
        <f t="shared" si="2"/>
        <v>投资收益(亿)</v>
      </c>
      <c r="C80" t="str">
        <f t="shared" si="3"/>
        <v>touzishouyi(yi)</v>
      </c>
      <c r="E80" t="s">
        <v>111</v>
      </c>
    </row>
    <row r="81" spans="1:5" x14ac:dyDescent="0.4">
      <c r="A81" t="s">
        <v>80</v>
      </c>
      <c r="B81" t="str">
        <f t="shared" si="2"/>
        <v>利润总额(亿)</v>
      </c>
      <c r="C81" t="str">
        <f t="shared" si="3"/>
        <v>lirunzongdong(yi)</v>
      </c>
      <c r="E81" t="s">
        <v>112</v>
      </c>
    </row>
    <row r="82" spans="1:5" x14ac:dyDescent="0.4">
      <c r="A82" t="s">
        <v>81</v>
      </c>
      <c r="B82" t="str">
        <f t="shared" si="2"/>
        <v>税后利润(亿)</v>
      </c>
      <c r="C82" t="str">
        <f t="shared" si="3"/>
        <v>shuihoulirun(yi)</v>
      </c>
    </row>
    <row r="83" spans="1:5" x14ac:dyDescent="0.4">
      <c r="A83" t="s">
        <v>82</v>
      </c>
      <c r="B83" t="str">
        <f t="shared" si="2"/>
        <v>净利润(亿)</v>
      </c>
      <c r="C83" t="str">
        <f t="shared" si="3"/>
        <v>jinglirun(yi)</v>
      </c>
    </row>
    <row r="84" spans="1:5" x14ac:dyDescent="0.4">
      <c r="A84" t="s">
        <v>83</v>
      </c>
      <c r="B84" t="str">
        <f t="shared" si="2"/>
        <v>扣非净利润(亿)</v>
      </c>
      <c r="C84" t="str">
        <f t="shared" si="3"/>
        <v>koufeijinglirun(yi)</v>
      </c>
    </row>
    <row r="85" spans="1:5" x14ac:dyDescent="0.4">
      <c r="A85" t="s">
        <v>84</v>
      </c>
      <c r="B85" t="str">
        <f t="shared" si="2"/>
        <v>未分利润(亿)</v>
      </c>
      <c r="C85" t="str">
        <f t="shared" si="3"/>
        <v>weifenlirun(yi)</v>
      </c>
    </row>
    <row r="86" spans="1:5" x14ac:dyDescent="0.4">
      <c r="A86" t="s">
        <v>85</v>
      </c>
      <c r="B86" t="str">
        <f t="shared" si="2"/>
        <v>经营现金流(亿)</v>
      </c>
      <c r="C86" t="str">
        <f t="shared" si="3"/>
        <v>jingyingxianjinliu(yi)</v>
      </c>
    </row>
    <row r="87" spans="1:5" x14ac:dyDescent="0.4">
      <c r="A87" t="s">
        <v>86</v>
      </c>
      <c r="B87" t="str">
        <f t="shared" si="2"/>
        <v>总现金流(亿)</v>
      </c>
      <c r="C87" t="str">
        <f t="shared" si="3"/>
        <v>zongxianjinliu(yi)</v>
      </c>
    </row>
    <row r="88" spans="1:5" x14ac:dyDescent="0.4">
      <c r="A88" t="s">
        <v>87</v>
      </c>
      <c r="B88" t="str">
        <f t="shared" si="2"/>
        <v>股东人数</v>
      </c>
      <c r="C88" t="str">
        <f t="shared" si="3"/>
        <v>gudongrenshu</v>
      </c>
    </row>
    <row r="89" spans="1:5" x14ac:dyDescent="0.4">
      <c r="A89" t="s">
        <v>88</v>
      </c>
      <c r="B89" t="str">
        <f t="shared" si="2"/>
        <v>人均持股</v>
      </c>
      <c r="C89" t="str">
        <f t="shared" si="3"/>
        <v>renjunchigu</v>
      </c>
    </row>
    <row r="90" spans="1:5" x14ac:dyDescent="0.4">
      <c r="A90" t="s">
        <v>89</v>
      </c>
      <c r="B90" t="str">
        <f t="shared" si="2"/>
        <v>人均市值</v>
      </c>
      <c r="C90" t="str">
        <f t="shared" si="3"/>
        <v>renjunshizhi</v>
      </c>
    </row>
    <row r="91" spans="1:5" x14ac:dyDescent="0.4">
      <c r="A91" t="s">
        <v>90</v>
      </c>
      <c r="B91" t="str">
        <f t="shared" si="2"/>
        <v>利润同比%</v>
      </c>
      <c r="C91" t="str">
        <f t="shared" si="3"/>
        <v>liruntongbi%</v>
      </c>
    </row>
    <row r="92" spans="1:5" x14ac:dyDescent="0.4">
      <c r="A92" t="s">
        <v>91</v>
      </c>
      <c r="B92" t="str">
        <f t="shared" si="2"/>
        <v>收入同比%</v>
      </c>
      <c r="C92" t="str">
        <f t="shared" si="3"/>
        <v>shourutongbi%</v>
      </c>
    </row>
    <row r="93" spans="1:5" x14ac:dyDescent="0.4">
      <c r="A93" t="s">
        <v>92</v>
      </c>
      <c r="B93" t="str">
        <f t="shared" si="2"/>
        <v>市净率</v>
      </c>
      <c r="C93" t="str">
        <f t="shared" si="3"/>
        <v>shijinglv</v>
      </c>
    </row>
    <row r="94" spans="1:5" x14ac:dyDescent="0.4">
      <c r="A94" t="s">
        <v>93</v>
      </c>
      <c r="B94" t="str">
        <f t="shared" si="2"/>
        <v>市现率</v>
      </c>
      <c r="C94" t="str">
        <f t="shared" si="3"/>
        <v>shixianlv</v>
      </c>
    </row>
    <row r="95" spans="1:5" x14ac:dyDescent="0.4">
      <c r="A95" t="s">
        <v>94</v>
      </c>
      <c r="B95" t="str">
        <f t="shared" si="2"/>
        <v>市销率</v>
      </c>
      <c r="C95" t="str">
        <f t="shared" si="3"/>
        <v>shixiaolv</v>
      </c>
    </row>
    <row r="96" spans="1:5" x14ac:dyDescent="0.4">
      <c r="A96" t="s">
        <v>95</v>
      </c>
      <c r="B96" t="str">
        <f t="shared" si="2"/>
        <v>股息率%</v>
      </c>
      <c r="C96" t="str">
        <f t="shared" si="3"/>
        <v>guxilv%</v>
      </c>
    </row>
    <row r="97" spans="1:3" x14ac:dyDescent="0.4">
      <c r="A97" t="s">
        <v>96</v>
      </c>
      <c r="B97" t="str">
        <f t="shared" si="2"/>
        <v>每股收益</v>
      </c>
      <c r="C97" t="str">
        <f t="shared" si="3"/>
        <v>meigushouyi</v>
      </c>
    </row>
    <row r="98" spans="1:3" x14ac:dyDescent="0.4">
      <c r="A98" t="s">
        <v>97</v>
      </c>
      <c r="B98" t="str">
        <f t="shared" si="2"/>
        <v>每股净资</v>
      </c>
      <c r="C98" t="str">
        <f t="shared" si="3"/>
        <v>meigujingzi</v>
      </c>
    </row>
    <row r="99" spans="1:3" x14ac:dyDescent="0.4">
      <c r="A99" t="s">
        <v>98</v>
      </c>
      <c r="B99" t="str">
        <f t="shared" si="2"/>
        <v>调整后净资</v>
      </c>
      <c r="C99" t="str">
        <f t="shared" si="3"/>
        <v>diaozhenghoujingzi</v>
      </c>
    </row>
    <row r="100" spans="1:3" x14ac:dyDescent="0.4">
      <c r="A100" t="s">
        <v>99</v>
      </c>
      <c r="B100" t="str">
        <f t="shared" si="2"/>
        <v>每股公积</v>
      </c>
      <c r="C100" t="str">
        <f t="shared" si="3"/>
        <v>meigugongji</v>
      </c>
    </row>
    <row r="101" spans="1:3" x14ac:dyDescent="0.4">
      <c r="A101" t="s">
        <v>100</v>
      </c>
      <c r="B101" t="str">
        <f t="shared" si="2"/>
        <v>每股未分配</v>
      </c>
      <c r="C101" t="str">
        <f t="shared" si="3"/>
        <v>meiguweifenpei</v>
      </c>
    </row>
    <row r="102" spans="1:3" x14ac:dyDescent="0.4">
      <c r="A102" t="s">
        <v>101</v>
      </c>
      <c r="B102" t="str">
        <f t="shared" si="2"/>
        <v>每股现金流</v>
      </c>
      <c r="C102" t="str">
        <f t="shared" si="3"/>
        <v>meiguxianjinliu</v>
      </c>
    </row>
    <row r="103" spans="1:3" x14ac:dyDescent="0.4">
      <c r="A103" t="s">
        <v>102</v>
      </c>
      <c r="B103" t="str">
        <f t="shared" si="2"/>
        <v>权益比%</v>
      </c>
      <c r="C103" t="str">
        <f t="shared" si="3"/>
        <v>quanyibi%</v>
      </c>
    </row>
    <row r="104" spans="1:3" x14ac:dyDescent="0.4">
      <c r="A104" t="s">
        <v>103</v>
      </c>
      <c r="B104" t="str">
        <f t="shared" si="2"/>
        <v>净益率%</v>
      </c>
      <c r="C104" t="str">
        <f t="shared" si="3"/>
        <v>jingyilv%</v>
      </c>
    </row>
    <row r="105" spans="1:3" x14ac:dyDescent="0.4">
      <c r="A105" t="s">
        <v>104</v>
      </c>
      <c r="B105" t="str">
        <f t="shared" si="2"/>
        <v>毛利率%</v>
      </c>
      <c r="C105" t="str">
        <f t="shared" si="3"/>
        <v>maolilv%</v>
      </c>
    </row>
    <row r="106" spans="1:3" x14ac:dyDescent="0.4">
      <c r="A106" t="s">
        <v>105</v>
      </c>
      <c r="B106" t="str">
        <f t="shared" si="2"/>
        <v>营业利润率%</v>
      </c>
      <c r="C106" t="str">
        <f t="shared" si="3"/>
        <v>yingyelirunlv%</v>
      </c>
    </row>
    <row r="107" spans="1:3" x14ac:dyDescent="0.4">
      <c r="A107" t="s">
        <v>106</v>
      </c>
      <c r="B107" t="str">
        <f t="shared" si="2"/>
        <v>净利润率%</v>
      </c>
      <c r="C107" t="str">
        <f t="shared" si="3"/>
        <v>jinglirunlv%</v>
      </c>
    </row>
    <row r="108" spans="1:3" x14ac:dyDescent="0.4">
      <c r="A108" t="s">
        <v>107</v>
      </c>
      <c r="B108" t="str">
        <f t="shared" si="2"/>
        <v>研发费用(亿)</v>
      </c>
      <c r="C108" t="str">
        <f t="shared" si="3"/>
        <v>yanfafeiyong(yi)</v>
      </c>
    </row>
    <row r="109" spans="1:3" x14ac:dyDescent="0.4">
      <c r="A109" t="s">
        <v>108</v>
      </c>
      <c r="B109" t="str">
        <f t="shared" si="2"/>
        <v>员工人数</v>
      </c>
      <c r="C109" t="str">
        <f t="shared" si="3"/>
        <v>yuangongrenshu</v>
      </c>
    </row>
    <row r="110" spans="1:3" x14ac:dyDescent="0.4">
      <c r="A110" t="s">
        <v>109</v>
      </c>
      <c r="B110" t="str">
        <f t="shared" si="2"/>
        <v>交易代码</v>
      </c>
      <c r="C110" t="str">
        <f t="shared" si="3"/>
        <v>jiaoyidaima</v>
      </c>
    </row>
    <row r="111" spans="1:3" x14ac:dyDescent="0.4">
      <c r="A111" t="s">
        <v>110</v>
      </c>
      <c r="B111" t="str">
        <f t="shared" si="2"/>
        <v>自选日</v>
      </c>
      <c r="C111" t="str">
        <f t="shared" si="3"/>
        <v>zixuanri</v>
      </c>
    </row>
    <row r="112" spans="1:3" x14ac:dyDescent="0.4">
      <c r="A112" t="s">
        <v>111</v>
      </c>
      <c r="B112" t="str">
        <f t="shared" si="2"/>
        <v>自选价</v>
      </c>
      <c r="C112" t="str">
        <f t="shared" si="3"/>
        <v>zixuanjia</v>
      </c>
    </row>
    <row r="113" spans="1:3" x14ac:dyDescent="0.4">
      <c r="A113" t="s">
        <v>112</v>
      </c>
      <c r="B113" t="str">
        <f t="shared" si="2"/>
        <v>自选收益%</v>
      </c>
      <c r="C113" t="str">
        <f t="shared" si="3"/>
        <v>zixuanshouyi%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4D6F0-C842-489D-BFC4-78624672EAD7}">
  <dimension ref="A1:C2"/>
  <sheetViews>
    <sheetView workbookViewId="0">
      <selection activeCell="D16" sqref="D16"/>
    </sheetView>
  </sheetViews>
  <sheetFormatPr defaultRowHeight="13.9" x14ac:dyDescent="0.4"/>
  <cols>
    <col min="1" max="1" width="3.9296875" bestFit="1" customWidth="1"/>
    <col min="2" max="2" width="11.53125" bestFit="1" customWidth="1"/>
  </cols>
  <sheetData>
    <row r="1" spans="1:3" x14ac:dyDescent="0.4">
      <c r="A1" t="s">
        <v>15362</v>
      </c>
      <c r="B1" t="s">
        <v>15363</v>
      </c>
      <c r="C1" t="s">
        <v>15364</v>
      </c>
    </row>
    <row r="2" spans="1:3" x14ac:dyDescent="0.4">
      <c r="A2">
        <v>1</v>
      </c>
      <c r="B2" t="s">
        <v>15365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59D8D-0C79-4E18-81A4-8BEAA09B524B}">
  <dimension ref="A1:I115"/>
  <sheetViews>
    <sheetView tabSelected="1" workbookViewId="0">
      <selection activeCell="F115" sqref="F2:H115"/>
    </sheetView>
  </sheetViews>
  <sheetFormatPr defaultRowHeight="13.9" x14ac:dyDescent="0.4"/>
  <cols>
    <col min="1" max="1" width="3.9296875" bestFit="1" customWidth="1"/>
    <col min="2" max="2" width="14" bestFit="1" customWidth="1"/>
    <col min="6" max="6" width="20.86328125" bestFit="1" customWidth="1"/>
    <col min="7" max="8" width="12.86328125" customWidth="1"/>
  </cols>
  <sheetData>
    <row r="1" spans="1:9" x14ac:dyDescent="0.4">
      <c r="A1" t="s">
        <v>15362</v>
      </c>
      <c r="B1" t="s">
        <v>15421</v>
      </c>
      <c r="C1" t="s">
        <v>15477</v>
      </c>
      <c r="D1" t="s">
        <v>15482</v>
      </c>
      <c r="E1" t="s">
        <v>15483</v>
      </c>
      <c r="F1" t="s">
        <v>15422</v>
      </c>
      <c r="G1" t="s">
        <v>15484</v>
      </c>
      <c r="I1" t="s">
        <v>15481</v>
      </c>
    </row>
    <row r="2" spans="1:9" x14ac:dyDescent="0.4">
      <c r="A2">
        <v>0</v>
      </c>
      <c r="B2" t="s">
        <v>15485</v>
      </c>
      <c r="C2" t="s">
        <v>15478</v>
      </c>
      <c r="D2">
        <v>8</v>
      </c>
      <c r="F2" t="s">
        <v>15486</v>
      </c>
      <c r="G2" t="str">
        <f t="shared" ref="G2" si="0">C2&amp;"("&amp;D2&amp;")"</f>
        <v>char(8)</v>
      </c>
      <c r="H2" t="s">
        <v>15487</v>
      </c>
    </row>
    <row r="3" spans="1:9" x14ac:dyDescent="0.4">
      <c r="A3">
        <v>1</v>
      </c>
      <c r="B3" t="s">
        <v>0</v>
      </c>
      <c r="C3" t="s">
        <v>15478</v>
      </c>
      <c r="D3">
        <v>8</v>
      </c>
      <c r="F3" t="s">
        <v>15366</v>
      </c>
      <c r="G3" t="str">
        <f>C3&amp;"("&amp;D3&amp;")"</f>
        <v>char(8)</v>
      </c>
      <c r="H3" t="s">
        <v>15487</v>
      </c>
      <c r="I3" t="s">
        <v>15480</v>
      </c>
    </row>
    <row r="4" spans="1:9" x14ac:dyDescent="0.4">
      <c r="A4">
        <v>2</v>
      </c>
      <c r="B4" t="s">
        <v>1</v>
      </c>
      <c r="C4" t="s">
        <v>15478</v>
      </c>
      <c r="D4">
        <v>20</v>
      </c>
      <c r="F4" t="s">
        <v>15367</v>
      </c>
      <c r="G4" t="str">
        <f>C4&amp;"("&amp;D4&amp;")"</f>
        <v>char(20)</v>
      </c>
      <c r="H4" t="s">
        <v>15487</v>
      </c>
    </row>
    <row r="5" spans="1:9" x14ac:dyDescent="0.4">
      <c r="A5">
        <v>3</v>
      </c>
      <c r="B5" t="s">
        <v>2</v>
      </c>
      <c r="C5" t="s">
        <v>15479</v>
      </c>
      <c r="D5">
        <v>20</v>
      </c>
      <c r="E5">
        <v>5</v>
      </c>
      <c r="F5" t="s">
        <v>15452</v>
      </c>
      <c r="G5" t="str">
        <f>C5&amp;"("&amp;D5&amp;","&amp;E5&amp;")"</f>
        <v>float(20,5)</v>
      </c>
      <c r="H5" t="s">
        <v>15487</v>
      </c>
    </row>
    <row r="6" spans="1:9" x14ac:dyDescent="0.4">
      <c r="A6">
        <v>4</v>
      </c>
      <c r="B6" t="s">
        <v>3</v>
      </c>
      <c r="C6" t="s">
        <v>15479</v>
      </c>
      <c r="D6">
        <v>20</v>
      </c>
      <c r="E6">
        <v>5</v>
      </c>
      <c r="F6" t="s">
        <v>15368</v>
      </c>
      <c r="G6" t="str">
        <f t="shared" ref="G6:G20" si="1">C6&amp;"("&amp;D6&amp;","&amp;E6&amp;")"</f>
        <v>float(20,5)</v>
      </c>
      <c r="H6" t="s">
        <v>15487</v>
      </c>
    </row>
    <row r="7" spans="1:9" x14ac:dyDescent="0.4">
      <c r="A7">
        <v>5</v>
      </c>
      <c r="B7" t="s">
        <v>4</v>
      </c>
      <c r="C7" t="s">
        <v>15479</v>
      </c>
      <c r="D7">
        <v>20</v>
      </c>
      <c r="E7">
        <v>5</v>
      </c>
      <c r="F7" t="s">
        <v>15369</v>
      </c>
      <c r="G7" t="str">
        <f t="shared" si="1"/>
        <v>float(20,5)</v>
      </c>
      <c r="H7" t="s">
        <v>15487</v>
      </c>
    </row>
    <row r="8" spans="1:9" x14ac:dyDescent="0.4">
      <c r="A8">
        <v>6</v>
      </c>
      <c r="B8" t="s">
        <v>5</v>
      </c>
      <c r="C8" t="s">
        <v>15479</v>
      </c>
      <c r="D8">
        <v>20</v>
      </c>
      <c r="E8">
        <v>5</v>
      </c>
      <c r="F8" t="s">
        <v>15370</v>
      </c>
      <c r="G8" t="str">
        <f t="shared" si="1"/>
        <v>float(20,5)</v>
      </c>
      <c r="H8" t="s">
        <v>15487</v>
      </c>
    </row>
    <row r="9" spans="1:9" x14ac:dyDescent="0.4">
      <c r="A9">
        <v>7</v>
      </c>
      <c r="B9" t="s">
        <v>6</v>
      </c>
      <c r="C9" t="s">
        <v>15479</v>
      </c>
      <c r="D9">
        <v>20</v>
      </c>
      <c r="E9">
        <v>5</v>
      </c>
      <c r="F9" t="s">
        <v>15370</v>
      </c>
      <c r="G9" t="str">
        <f t="shared" si="1"/>
        <v>float(20,5)</v>
      </c>
      <c r="H9" t="s">
        <v>15487</v>
      </c>
    </row>
    <row r="10" spans="1:9" x14ac:dyDescent="0.4">
      <c r="A10">
        <v>8</v>
      </c>
      <c r="B10" t="s">
        <v>7</v>
      </c>
      <c r="C10" t="s">
        <v>15479</v>
      </c>
      <c r="D10">
        <v>20</v>
      </c>
      <c r="E10">
        <v>5</v>
      </c>
      <c r="F10" t="s">
        <v>15371</v>
      </c>
      <c r="G10" t="str">
        <f t="shared" si="1"/>
        <v>float(20,5)</v>
      </c>
      <c r="H10" t="s">
        <v>15487</v>
      </c>
    </row>
    <row r="11" spans="1:9" x14ac:dyDescent="0.4">
      <c r="A11">
        <v>9</v>
      </c>
      <c r="B11" t="s">
        <v>8</v>
      </c>
      <c r="C11" t="s">
        <v>15479</v>
      </c>
      <c r="D11">
        <v>20</v>
      </c>
      <c r="E11">
        <v>5</v>
      </c>
      <c r="F11" t="s">
        <v>15372</v>
      </c>
      <c r="G11" t="str">
        <f t="shared" si="1"/>
        <v>float(20,5)</v>
      </c>
      <c r="H11" t="s">
        <v>15487</v>
      </c>
    </row>
    <row r="12" spans="1:9" x14ac:dyDescent="0.4">
      <c r="A12">
        <v>10</v>
      </c>
      <c r="B12" t="s">
        <v>9</v>
      </c>
      <c r="C12" t="s">
        <v>15479</v>
      </c>
      <c r="D12">
        <v>20</v>
      </c>
      <c r="E12">
        <v>5</v>
      </c>
      <c r="F12" t="s">
        <v>15453</v>
      </c>
      <c r="G12" t="str">
        <f t="shared" si="1"/>
        <v>float(20,5)</v>
      </c>
      <c r="H12" t="s">
        <v>15487</v>
      </c>
    </row>
    <row r="13" spans="1:9" x14ac:dyDescent="0.4">
      <c r="A13">
        <v>11</v>
      </c>
      <c r="B13" t="s">
        <v>10</v>
      </c>
      <c r="C13" t="s">
        <v>15479</v>
      </c>
      <c r="D13">
        <v>20</v>
      </c>
      <c r="E13">
        <v>5</v>
      </c>
      <c r="F13" t="s">
        <v>15454</v>
      </c>
      <c r="G13" t="str">
        <f t="shared" si="1"/>
        <v>float(20,5)</v>
      </c>
      <c r="H13" t="s">
        <v>15487</v>
      </c>
    </row>
    <row r="14" spans="1:9" x14ac:dyDescent="0.4">
      <c r="A14">
        <v>12</v>
      </c>
      <c r="B14" t="s">
        <v>11</v>
      </c>
      <c r="C14" t="s">
        <v>15479</v>
      </c>
      <c r="D14">
        <v>20</v>
      </c>
      <c r="E14">
        <v>5</v>
      </c>
      <c r="F14" t="s">
        <v>15373</v>
      </c>
      <c r="G14" t="str">
        <f t="shared" si="1"/>
        <v>float(20,5)</v>
      </c>
      <c r="H14" t="s">
        <v>15487</v>
      </c>
    </row>
    <row r="15" spans="1:9" x14ac:dyDescent="0.4">
      <c r="A15">
        <v>13</v>
      </c>
      <c r="B15" t="s">
        <v>12</v>
      </c>
      <c r="C15" t="s">
        <v>15479</v>
      </c>
      <c r="D15">
        <v>20</v>
      </c>
      <c r="E15">
        <v>5</v>
      </c>
      <c r="F15" t="s">
        <v>15374</v>
      </c>
      <c r="G15" t="str">
        <f t="shared" si="1"/>
        <v>float(20,5)</v>
      </c>
      <c r="H15" t="s">
        <v>15487</v>
      </c>
    </row>
    <row r="16" spans="1:9" x14ac:dyDescent="0.4">
      <c r="A16">
        <v>14</v>
      </c>
      <c r="B16" t="s">
        <v>13</v>
      </c>
      <c r="C16" t="s">
        <v>15479</v>
      </c>
      <c r="D16">
        <v>20</v>
      </c>
      <c r="E16">
        <v>5</v>
      </c>
      <c r="F16" t="s">
        <v>15375</v>
      </c>
      <c r="G16" t="str">
        <f t="shared" si="1"/>
        <v>float(20,5)</v>
      </c>
      <c r="H16" t="s">
        <v>15487</v>
      </c>
    </row>
    <row r="17" spans="1:8" x14ac:dyDescent="0.4">
      <c r="A17">
        <v>15</v>
      </c>
      <c r="B17" t="s">
        <v>14</v>
      </c>
      <c r="C17" t="s">
        <v>15479</v>
      </c>
      <c r="D17">
        <v>20</v>
      </c>
      <c r="E17">
        <v>5</v>
      </c>
      <c r="F17" t="s">
        <v>15376</v>
      </c>
      <c r="G17" t="str">
        <f t="shared" si="1"/>
        <v>float(20,5)</v>
      </c>
      <c r="H17" t="s">
        <v>15487</v>
      </c>
    </row>
    <row r="18" spans="1:8" x14ac:dyDescent="0.4">
      <c r="A18">
        <v>16</v>
      </c>
      <c r="B18" t="s">
        <v>15</v>
      </c>
      <c r="C18" t="s">
        <v>15479</v>
      </c>
      <c r="D18">
        <v>20</v>
      </c>
      <c r="E18">
        <v>5</v>
      </c>
      <c r="F18" t="s">
        <v>15423</v>
      </c>
      <c r="G18" t="str">
        <f t="shared" si="1"/>
        <v>float(20,5)</v>
      </c>
      <c r="H18" t="s">
        <v>15487</v>
      </c>
    </row>
    <row r="19" spans="1:8" x14ac:dyDescent="0.4">
      <c r="A19">
        <v>17</v>
      </c>
      <c r="B19" t="s">
        <v>16</v>
      </c>
      <c r="C19" t="s">
        <v>15479</v>
      </c>
      <c r="D19">
        <v>20</v>
      </c>
      <c r="E19">
        <v>5</v>
      </c>
      <c r="F19" t="s">
        <v>15377</v>
      </c>
      <c r="G19" t="str">
        <f t="shared" si="1"/>
        <v>float(20,5)</v>
      </c>
      <c r="H19" t="s">
        <v>15487</v>
      </c>
    </row>
    <row r="20" spans="1:8" x14ac:dyDescent="0.4">
      <c r="A20">
        <v>18</v>
      </c>
      <c r="B20" t="s">
        <v>17</v>
      </c>
      <c r="C20" t="s">
        <v>15479</v>
      </c>
      <c r="D20">
        <v>20</v>
      </c>
      <c r="E20">
        <v>5</v>
      </c>
      <c r="F20" t="s">
        <v>15378</v>
      </c>
      <c r="G20" t="str">
        <f t="shared" si="1"/>
        <v>float(20,5)</v>
      </c>
      <c r="H20" t="s">
        <v>15487</v>
      </c>
    </row>
    <row r="21" spans="1:8" x14ac:dyDescent="0.4">
      <c r="A21">
        <v>19</v>
      </c>
      <c r="B21" t="s">
        <v>18</v>
      </c>
      <c r="C21" t="s">
        <v>15478</v>
      </c>
      <c r="D21">
        <v>50</v>
      </c>
      <c r="F21" t="s">
        <v>15379</v>
      </c>
      <c r="G21" t="str">
        <f t="shared" ref="G21:G22" si="2">C21&amp;"("&amp;D21&amp;")"</f>
        <v>char(50)</v>
      </c>
      <c r="H21" t="s">
        <v>15487</v>
      </c>
    </row>
    <row r="22" spans="1:8" x14ac:dyDescent="0.4">
      <c r="A22">
        <v>20</v>
      </c>
      <c r="B22" t="s">
        <v>19</v>
      </c>
      <c r="C22" t="s">
        <v>15478</v>
      </c>
      <c r="D22">
        <v>50</v>
      </c>
      <c r="F22" t="s">
        <v>15380</v>
      </c>
      <c r="G22" t="str">
        <f t="shared" si="2"/>
        <v>char(50)</v>
      </c>
      <c r="H22" t="s">
        <v>15487</v>
      </c>
    </row>
    <row r="23" spans="1:8" x14ac:dyDescent="0.4">
      <c r="A23">
        <v>21</v>
      </c>
      <c r="B23" t="s">
        <v>20</v>
      </c>
      <c r="C23" t="s">
        <v>15479</v>
      </c>
      <c r="D23">
        <v>20</v>
      </c>
      <c r="E23">
        <v>5</v>
      </c>
      <c r="F23" t="s">
        <v>15455</v>
      </c>
      <c r="G23" t="str">
        <f t="shared" ref="G23:G62" si="3">C23&amp;"("&amp;D23&amp;","&amp;E23&amp;")"</f>
        <v>float(20,5)</v>
      </c>
      <c r="H23" t="s">
        <v>15487</v>
      </c>
    </row>
    <row r="24" spans="1:8" x14ac:dyDescent="0.4">
      <c r="A24">
        <v>22</v>
      </c>
      <c r="B24" t="s">
        <v>21</v>
      </c>
      <c r="C24" t="s">
        <v>15479</v>
      </c>
      <c r="D24">
        <v>20</v>
      </c>
      <c r="E24">
        <v>5</v>
      </c>
      <c r="F24" t="s">
        <v>15381</v>
      </c>
      <c r="G24" t="str">
        <f t="shared" si="3"/>
        <v>float(20,5)</v>
      </c>
      <c r="H24" t="s">
        <v>15487</v>
      </c>
    </row>
    <row r="25" spans="1:8" x14ac:dyDescent="0.4">
      <c r="A25">
        <v>23</v>
      </c>
      <c r="B25" t="s">
        <v>22</v>
      </c>
      <c r="C25" t="s">
        <v>15479</v>
      </c>
      <c r="D25">
        <v>20</v>
      </c>
      <c r="E25">
        <v>5</v>
      </c>
      <c r="F25" t="s">
        <v>15382</v>
      </c>
      <c r="G25" t="str">
        <f t="shared" si="3"/>
        <v>float(20,5)</v>
      </c>
      <c r="H25" t="s">
        <v>15487</v>
      </c>
    </row>
    <row r="26" spans="1:8" x14ac:dyDescent="0.4">
      <c r="A26">
        <v>24</v>
      </c>
      <c r="B26" t="s">
        <v>23</v>
      </c>
      <c r="C26" t="s">
        <v>15479</v>
      </c>
      <c r="D26">
        <v>20</v>
      </c>
      <c r="E26">
        <v>5</v>
      </c>
      <c r="F26" t="s">
        <v>15383</v>
      </c>
      <c r="G26" t="str">
        <f t="shared" si="3"/>
        <v>float(20,5)</v>
      </c>
      <c r="H26" t="s">
        <v>15487</v>
      </c>
    </row>
    <row r="27" spans="1:8" x14ac:dyDescent="0.4">
      <c r="A27">
        <v>25</v>
      </c>
      <c r="B27" t="s">
        <v>24</v>
      </c>
      <c r="C27" t="s">
        <v>15479</v>
      </c>
      <c r="D27">
        <v>20</v>
      </c>
      <c r="E27">
        <v>5</v>
      </c>
      <c r="F27" t="s">
        <v>15384</v>
      </c>
      <c r="G27" t="str">
        <f t="shared" si="3"/>
        <v>float(20,5)</v>
      </c>
      <c r="H27" t="s">
        <v>15487</v>
      </c>
    </row>
    <row r="28" spans="1:8" x14ac:dyDescent="0.4">
      <c r="A28">
        <v>26</v>
      </c>
      <c r="B28" t="s">
        <v>25</v>
      </c>
      <c r="C28" t="s">
        <v>15479</v>
      </c>
      <c r="D28">
        <v>20</v>
      </c>
      <c r="E28">
        <v>5</v>
      </c>
      <c r="F28" t="s">
        <v>15385</v>
      </c>
      <c r="G28" t="str">
        <f t="shared" si="3"/>
        <v>float(20,5)</v>
      </c>
      <c r="H28" t="s">
        <v>15487</v>
      </c>
    </row>
    <row r="29" spans="1:8" x14ac:dyDescent="0.4">
      <c r="A29">
        <v>27</v>
      </c>
      <c r="B29" t="s">
        <v>26</v>
      </c>
      <c r="C29" t="s">
        <v>15479</v>
      </c>
      <c r="D29">
        <v>20</v>
      </c>
      <c r="E29">
        <v>5</v>
      </c>
      <c r="F29" t="s">
        <v>15385</v>
      </c>
      <c r="G29" t="str">
        <f t="shared" si="3"/>
        <v>float(20,5)</v>
      </c>
      <c r="H29" t="s">
        <v>15487</v>
      </c>
    </row>
    <row r="30" spans="1:8" x14ac:dyDescent="0.4">
      <c r="A30">
        <v>28</v>
      </c>
      <c r="B30" t="s">
        <v>27</v>
      </c>
      <c r="C30" t="s">
        <v>15479</v>
      </c>
      <c r="D30">
        <v>20</v>
      </c>
      <c r="E30">
        <v>5</v>
      </c>
      <c r="F30" t="s">
        <v>15386</v>
      </c>
      <c r="G30" t="str">
        <f t="shared" si="3"/>
        <v>float(20,5)</v>
      </c>
      <c r="H30" t="s">
        <v>15487</v>
      </c>
    </row>
    <row r="31" spans="1:8" x14ac:dyDescent="0.4">
      <c r="A31">
        <v>29</v>
      </c>
      <c r="B31" t="s">
        <v>28</v>
      </c>
      <c r="C31" t="s">
        <v>15479</v>
      </c>
      <c r="D31">
        <v>20</v>
      </c>
      <c r="E31">
        <v>5</v>
      </c>
      <c r="F31" t="s">
        <v>15387</v>
      </c>
      <c r="G31" t="str">
        <f t="shared" si="3"/>
        <v>float(20,5)</v>
      </c>
      <c r="H31" t="s">
        <v>15487</v>
      </c>
    </row>
    <row r="32" spans="1:8" x14ac:dyDescent="0.4">
      <c r="A32">
        <v>30</v>
      </c>
      <c r="B32" t="s">
        <v>29</v>
      </c>
      <c r="C32" t="s">
        <v>15479</v>
      </c>
      <c r="D32">
        <v>20</v>
      </c>
      <c r="E32">
        <v>5</v>
      </c>
      <c r="F32" t="s">
        <v>15388</v>
      </c>
      <c r="G32" t="str">
        <f t="shared" si="3"/>
        <v>float(20,5)</v>
      </c>
      <c r="H32" t="s">
        <v>15487</v>
      </c>
    </row>
    <row r="33" spans="1:8" x14ac:dyDescent="0.4">
      <c r="A33">
        <v>31</v>
      </c>
      <c r="B33" t="s">
        <v>30</v>
      </c>
      <c r="C33" t="s">
        <v>15479</v>
      </c>
      <c r="D33">
        <v>20</v>
      </c>
      <c r="E33">
        <v>5</v>
      </c>
      <c r="F33" t="s">
        <v>15389</v>
      </c>
      <c r="G33" t="str">
        <f t="shared" si="3"/>
        <v>float(20,5)</v>
      </c>
      <c r="H33" t="s">
        <v>15487</v>
      </c>
    </row>
    <row r="34" spans="1:8" x14ac:dyDescent="0.4">
      <c r="A34">
        <v>32</v>
      </c>
      <c r="B34" t="s">
        <v>31</v>
      </c>
      <c r="C34" t="s">
        <v>15479</v>
      </c>
      <c r="D34">
        <v>20</v>
      </c>
      <c r="E34">
        <v>5</v>
      </c>
      <c r="F34" t="s">
        <v>15390</v>
      </c>
      <c r="G34" t="str">
        <f t="shared" si="3"/>
        <v>float(20,5)</v>
      </c>
      <c r="H34" t="s">
        <v>15487</v>
      </c>
    </row>
    <row r="35" spans="1:8" x14ac:dyDescent="0.4">
      <c r="A35">
        <v>33</v>
      </c>
      <c r="B35" t="s">
        <v>32</v>
      </c>
      <c r="C35" t="s">
        <v>15479</v>
      </c>
      <c r="D35">
        <v>20</v>
      </c>
      <c r="E35">
        <v>5</v>
      </c>
      <c r="F35" t="s">
        <v>15424</v>
      </c>
      <c r="G35" t="str">
        <f t="shared" si="3"/>
        <v>float(20,5)</v>
      </c>
      <c r="H35" t="s">
        <v>15487</v>
      </c>
    </row>
    <row r="36" spans="1:8" x14ac:dyDescent="0.4">
      <c r="A36">
        <v>34</v>
      </c>
      <c r="B36" t="s">
        <v>33</v>
      </c>
      <c r="C36" t="s">
        <v>15479</v>
      </c>
      <c r="D36">
        <v>20</v>
      </c>
      <c r="E36">
        <v>5</v>
      </c>
      <c r="F36" t="s">
        <v>15391</v>
      </c>
      <c r="G36" t="str">
        <f t="shared" si="3"/>
        <v>float(20,5)</v>
      </c>
      <c r="H36" t="s">
        <v>15487</v>
      </c>
    </row>
    <row r="37" spans="1:8" x14ac:dyDescent="0.4">
      <c r="A37">
        <v>35</v>
      </c>
      <c r="B37" t="s">
        <v>34</v>
      </c>
      <c r="C37" t="s">
        <v>15479</v>
      </c>
      <c r="D37">
        <v>20</v>
      </c>
      <c r="E37">
        <v>5</v>
      </c>
      <c r="F37" t="s">
        <v>15392</v>
      </c>
      <c r="G37" t="str">
        <f t="shared" si="3"/>
        <v>float(20,5)</v>
      </c>
      <c r="H37" t="s">
        <v>15487</v>
      </c>
    </row>
    <row r="38" spans="1:8" x14ac:dyDescent="0.4">
      <c r="A38">
        <v>36</v>
      </c>
      <c r="B38" t="s">
        <v>35</v>
      </c>
      <c r="C38" t="s">
        <v>15479</v>
      </c>
      <c r="D38">
        <v>20</v>
      </c>
      <c r="E38">
        <v>5</v>
      </c>
      <c r="F38" t="s">
        <v>15456</v>
      </c>
      <c r="G38" t="str">
        <f t="shared" si="3"/>
        <v>float(20,5)</v>
      </c>
      <c r="H38" t="s">
        <v>15487</v>
      </c>
    </row>
    <row r="39" spans="1:8" x14ac:dyDescent="0.4">
      <c r="A39">
        <v>37</v>
      </c>
      <c r="B39" t="s">
        <v>36</v>
      </c>
      <c r="C39" t="s">
        <v>15479</v>
      </c>
      <c r="D39">
        <v>20</v>
      </c>
      <c r="E39">
        <v>5</v>
      </c>
      <c r="F39" t="s">
        <v>15393</v>
      </c>
      <c r="G39" t="str">
        <f t="shared" si="3"/>
        <v>float(20,5)</v>
      </c>
      <c r="H39" t="s">
        <v>15487</v>
      </c>
    </row>
    <row r="40" spans="1:8" x14ac:dyDescent="0.4">
      <c r="A40">
        <v>38</v>
      </c>
      <c r="B40" t="s">
        <v>37</v>
      </c>
      <c r="C40" t="s">
        <v>15479</v>
      </c>
      <c r="D40">
        <v>20</v>
      </c>
      <c r="E40">
        <v>5</v>
      </c>
      <c r="F40" t="s">
        <v>15394</v>
      </c>
      <c r="G40" t="str">
        <f t="shared" si="3"/>
        <v>float(20,5)</v>
      </c>
      <c r="H40" t="s">
        <v>15487</v>
      </c>
    </row>
    <row r="41" spans="1:8" x14ac:dyDescent="0.4">
      <c r="A41">
        <v>39</v>
      </c>
      <c r="B41" t="s">
        <v>38</v>
      </c>
      <c r="C41" t="s">
        <v>15479</v>
      </c>
      <c r="D41">
        <v>20</v>
      </c>
      <c r="E41">
        <v>5</v>
      </c>
      <c r="F41" t="s">
        <v>15395</v>
      </c>
      <c r="G41" t="str">
        <f t="shared" si="3"/>
        <v>float(20,5)</v>
      </c>
      <c r="H41" t="s">
        <v>15487</v>
      </c>
    </row>
    <row r="42" spans="1:8" x14ac:dyDescent="0.4">
      <c r="A42">
        <v>40</v>
      </c>
      <c r="B42" t="s">
        <v>39</v>
      </c>
      <c r="C42" t="s">
        <v>15479</v>
      </c>
      <c r="D42">
        <v>20</v>
      </c>
      <c r="E42">
        <v>5</v>
      </c>
      <c r="F42" t="s">
        <v>15396</v>
      </c>
      <c r="G42" t="str">
        <f t="shared" si="3"/>
        <v>float(20,5)</v>
      </c>
      <c r="H42" t="s">
        <v>15487</v>
      </c>
    </row>
    <row r="43" spans="1:8" x14ac:dyDescent="0.4">
      <c r="A43">
        <v>41</v>
      </c>
      <c r="B43" t="s">
        <v>40</v>
      </c>
      <c r="C43" t="s">
        <v>15479</v>
      </c>
      <c r="D43">
        <v>20</v>
      </c>
      <c r="E43">
        <v>5</v>
      </c>
      <c r="F43" t="s">
        <v>15457</v>
      </c>
      <c r="G43" t="str">
        <f t="shared" si="3"/>
        <v>float(20,5)</v>
      </c>
      <c r="H43" t="s">
        <v>15487</v>
      </c>
    </row>
    <row r="44" spans="1:8" x14ac:dyDescent="0.4">
      <c r="A44">
        <v>42</v>
      </c>
      <c r="B44" t="s">
        <v>41</v>
      </c>
      <c r="C44" t="s">
        <v>15479</v>
      </c>
      <c r="D44">
        <v>20</v>
      </c>
      <c r="E44">
        <v>5</v>
      </c>
      <c r="F44" t="s">
        <v>15458</v>
      </c>
      <c r="G44" t="str">
        <f t="shared" si="3"/>
        <v>float(20,5)</v>
      </c>
      <c r="H44" t="s">
        <v>15487</v>
      </c>
    </row>
    <row r="45" spans="1:8" x14ac:dyDescent="0.4">
      <c r="A45">
        <v>43</v>
      </c>
      <c r="B45" t="s">
        <v>42</v>
      </c>
      <c r="C45" t="s">
        <v>15479</v>
      </c>
      <c r="D45">
        <v>20</v>
      </c>
      <c r="E45">
        <v>5</v>
      </c>
      <c r="F45" t="s">
        <v>15459</v>
      </c>
      <c r="G45" t="str">
        <f t="shared" si="3"/>
        <v>float(20,5)</v>
      </c>
      <c r="H45" t="s">
        <v>15487</v>
      </c>
    </row>
    <row r="46" spans="1:8" x14ac:dyDescent="0.4">
      <c r="A46">
        <v>44</v>
      </c>
      <c r="B46" t="s">
        <v>43</v>
      </c>
      <c r="C46" t="s">
        <v>15479</v>
      </c>
      <c r="D46">
        <v>20</v>
      </c>
      <c r="E46">
        <v>5</v>
      </c>
      <c r="F46" t="s">
        <v>15460</v>
      </c>
      <c r="G46" t="str">
        <f t="shared" si="3"/>
        <v>float(20,5)</v>
      </c>
      <c r="H46" t="s">
        <v>15487</v>
      </c>
    </row>
    <row r="47" spans="1:8" x14ac:dyDescent="0.4">
      <c r="A47">
        <v>45</v>
      </c>
      <c r="B47" t="s">
        <v>44</v>
      </c>
      <c r="C47" t="s">
        <v>15479</v>
      </c>
      <c r="D47">
        <v>20</v>
      </c>
      <c r="E47">
        <v>5</v>
      </c>
      <c r="F47" t="s">
        <v>15397</v>
      </c>
      <c r="G47" t="str">
        <f t="shared" si="3"/>
        <v>float(20,5)</v>
      </c>
      <c r="H47" t="s">
        <v>15487</v>
      </c>
    </row>
    <row r="48" spans="1:8" x14ac:dyDescent="0.4">
      <c r="A48">
        <v>46</v>
      </c>
      <c r="B48" t="s">
        <v>45</v>
      </c>
      <c r="C48" t="s">
        <v>15479</v>
      </c>
      <c r="D48">
        <v>20</v>
      </c>
      <c r="E48">
        <v>5</v>
      </c>
      <c r="F48" t="s">
        <v>15398</v>
      </c>
      <c r="G48" t="str">
        <f t="shared" si="3"/>
        <v>float(20,5)</v>
      </c>
      <c r="H48" t="s">
        <v>15487</v>
      </c>
    </row>
    <row r="49" spans="1:8" x14ac:dyDescent="0.4">
      <c r="A49">
        <v>47</v>
      </c>
      <c r="B49" t="s">
        <v>46</v>
      </c>
      <c r="C49" t="s">
        <v>15479</v>
      </c>
      <c r="D49">
        <v>20</v>
      </c>
      <c r="E49">
        <v>5</v>
      </c>
      <c r="F49" t="s">
        <v>15425</v>
      </c>
      <c r="G49" t="str">
        <f t="shared" si="3"/>
        <v>float(20,5)</v>
      </c>
      <c r="H49" t="s">
        <v>15487</v>
      </c>
    </row>
    <row r="50" spans="1:8" x14ac:dyDescent="0.4">
      <c r="A50">
        <v>48</v>
      </c>
      <c r="B50" t="s">
        <v>47</v>
      </c>
      <c r="C50" t="s">
        <v>15479</v>
      </c>
      <c r="D50">
        <v>20</v>
      </c>
      <c r="E50">
        <v>5</v>
      </c>
      <c r="F50" t="s">
        <v>15426</v>
      </c>
      <c r="G50" t="str">
        <f t="shared" si="3"/>
        <v>float(20,5)</v>
      </c>
      <c r="H50" t="s">
        <v>15487</v>
      </c>
    </row>
    <row r="51" spans="1:8" x14ac:dyDescent="0.4">
      <c r="A51">
        <v>49</v>
      </c>
      <c r="B51" t="s">
        <v>48</v>
      </c>
      <c r="C51" t="s">
        <v>15479</v>
      </c>
      <c r="D51">
        <v>20</v>
      </c>
      <c r="E51">
        <v>5</v>
      </c>
      <c r="F51" t="s">
        <v>15399</v>
      </c>
      <c r="G51" t="str">
        <f t="shared" si="3"/>
        <v>float(20,5)</v>
      </c>
      <c r="H51" t="s">
        <v>15487</v>
      </c>
    </row>
    <row r="52" spans="1:8" x14ac:dyDescent="0.4">
      <c r="A52">
        <v>50</v>
      </c>
      <c r="B52" t="s">
        <v>49</v>
      </c>
      <c r="C52" t="s">
        <v>15479</v>
      </c>
      <c r="D52">
        <v>20</v>
      </c>
      <c r="E52">
        <v>5</v>
      </c>
      <c r="F52" t="s">
        <v>15400</v>
      </c>
      <c r="G52" t="str">
        <f t="shared" si="3"/>
        <v>float(20,5)</v>
      </c>
      <c r="H52" t="s">
        <v>15487</v>
      </c>
    </row>
    <row r="53" spans="1:8" x14ac:dyDescent="0.4">
      <c r="A53">
        <v>51</v>
      </c>
      <c r="B53" t="s">
        <v>50</v>
      </c>
      <c r="C53" t="s">
        <v>15479</v>
      </c>
      <c r="D53">
        <v>20</v>
      </c>
      <c r="E53">
        <v>5</v>
      </c>
      <c r="F53" t="s">
        <v>15401</v>
      </c>
      <c r="G53" t="str">
        <f t="shared" si="3"/>
        <v>float(20,5)</v>
      </c>
      <c r="H53" t="s">
        <v>15487</v>
      </c>
    </row>
    <row r="54" spans="1:8" x14ac:dyDescent="0.4">
      <c r="A54">
        <v>52</v>
      </c>
      <c r="B54" t="s">
        <v>51</v>
      </c>
      <c r="C54" t="s">
        <v>15479</v>
      </c>
      <c r="D54">
        <v>20</v>
      </c>
      <c r="E54">
        <v>5</v>
      </c>
      <c r="F54" t="s">
        <v>15402</v>
      </c>
      <c r="G54" t="str">
        <f t="shared" si="3"/>
        <v>float(20,5)</v>
      </c>
      <c r="H54" t="s">
        <v>15487</v>
      </c>
    </row>
    <row r="55" spans="1:8" x14ac:dyDescent="0.4">
      <c r="A55">
        <v>53</v>
      </c>
      <c r="B55" t="s">
        <v>52</v>
      </c>
      <c r="C55" t="s">
        <v>15479</v>
      </c>
      <c r="D55">
        <v>20</v>
      </c>
      <c r="E55">
        <v>5</v>
      </c>
      <c r="F55" t="s">
        <v>15461</v>
      </c>
      <c r="G55" t="str">
        <f t="shared" si="3"/>
        <v>float(20,5)</v>
      </c>
      <c r="H55" t="s">
        <v>15487</v>
      </c>
    </row>
    <row r="56" spans="1:8" x14ac:dyDescent="0.4">
      <c r="A56">
        <v>54</v>
      </c>
      <c r="B56" t="s">
        <v>53</v>
      </c>
      <c r="C56" t="s">
        <v>15479</v>
      </c>
      <c r="D56">
        <v>20</v>
      </c>
      <c r="E56">
        <v>5</v>
      </c>
      <c r="F56" t="s">
        <v>15374</v>
      </c>
      <c r="G56" t="str">
        <f t="shared" si="3"/>
        <v>float(20,5)</v>
      </c>
      <c r="H56" t="s">
        <v>15487</v>
      </c>
    </row>
    <row r="57" spans="1:8" x14ac:dyDescent="0.4">
      <c r="A57">
        <v>55</v>
      </c>
      <c r="B57" t="s">
        <v>54</v>
      </c>
      <c r="C57" t="s">
        <v>15479</v>
      </c>
      <c r="D57">
        <v>20</v>
      </c>
      <c r="E57">
        <v>5</v>
      </c>
      <c r="F57" t="s">
        <v>15375</v>
      </c>
      <c r="G57" t="str">
        <f t="shared" si="3"/>
        <v>float(20,5)</v>
      </c>
      <c r="H57" t="s">
        <v>15487</v>
      </c>
    </row>
    <row r="58" spans="1:8" x14ac:dyDescent="0.4">
      <c r="A58">
        <v>56</v>
      </c>
      <c r="B58" t="s">
        <v>55</v>
      </c>
      <c r="C58" t="s">
        <v>15479</v>
      </c>
      <c r="D58">
        <v>20</v>
      </c>
      <c r="E58">
        <v>5</v>
      </c>
      <c r="F58" t="s">
        <v>15462</v>
      </c>
      <c r="G58" t="str">
        <f t="shared" si="3"/>
        <v>float(20,5)</v>
      </c>
      <c r="H58" t="s">
        <v>15487</v>
      </c>
    </row>
    <row r="59" spans="1:8" x14ac:dyDescent="0.4">
      <c r="A59">
        <v>57</v>
      </c>
      <c r="B59" t="s">
        <v>56</v>
      </c>
      <c r="C59" t="s">
        <v>15479</v>
      </c>
      <c r="D59">
        <v>20</v>
      </c>
      <c r="E59">
        <v>5</v>
      </c>
      <c r="F59" t="s">
        <v>15463</v>
      </c>
      <c r="G59" t="str">
        <f t="shared" si="3"/>
        <v>float(20,5)</v>
      </c>
      <c r="H59" t="s">
        <v>15487</v>
      </c>
    </row>
    <row r="60" spans="1:8" x14ac:dyDescent="0.4">
      <c r="A60">
        <v>58</v>
      </c>
      <c r="B60" t="s">
        <v>57</v>
      </c>
      <c r="C60" t="s">
        <v>15479</v>
      </c>
      <c r="D60">
        <v>20</v>
      </c>
      <c r="E60">
        <v>5</v>
      </c>
      <c r="F60" t="s">
        <v>15464</v>
      </c>
      <c r="G60" t="str">
        <f t="shared" si="3"/>
        <v>float(20,5)</v>
      </c>
      <c r="H60" t="s">
        <v>15487</v>
      </c>
    </row>
    <row r="61" spans="1:8" x14ac:dyDescent="0.4">
      <c r="A61">
        <v>59</v>
      </c>
      <c r="B61" t="s">
        <v>58</v>
      </c>
      <c r="C61" t="s">
        <v>15479</v>
      </c>
      <c r="D61">
        <v>20</v>
      </c>
      <c r="E61">
        <v>5</v>
      </c>
      <c r="F61" t="s">
        <v>15465</v>
      </c>
      <c r="G61" t="str">
        <f t="shared" si="3"/>
        <v>float(20,5)</v>
      </c>
      <c r="H61" t="s">
        <v>15487</v>
      </c>
    </row>
    <row r="62" spans="1:8" x14ac:dyDescent="0.4">
      <c r="A62">
        <v>60</v>
      </c>
      <c r="B62" t="s">
        <v>59</v>
      </c>
      <c r="C62" t="s">
        <v>15479</v>
      </c>
      <c r="D62">
        <v>20</v>
      </c>
      <c r="E62">
        <v>5</v>
      </c>
      <c r="F62" t="s">
        <v>15466</v>
      </c>
      <c r="G62" t="str">
        <f t="shared" si="3"/>
        <v>float(20,5)</v>
      </c>
      <c r="H62" t="s">
        <v>15487</v>
      </c>
    </row>
    <row r="63" spans="1:8" x14ac:dyDescent="0.4">
      <c r="A63">
        <v>61</v>
      </c>
      <c r="B63" t="s">
        <v>60</v>
      </c>
      <c r="C63" t="s">
        <v>15478</v>
      </c>
      <c r="D63">
        <v>8</v>
      </c>
      <c r="F63" t="s">
        <v>15403</v>
      </c>
      <c r="G63" t="str">
        <f t="shared" ref="G63:G64" si="4">C63&amp;"("&amp;D63&amp;")"</f>
        <v>char(8)</v>
      </c>
      <c r="H63" t="s">
        <v>15487</v>
      </c>
    </row>
    <row r="64" spans="1:8" x14ac:dyDescent="0.4">
      <c r="A64">
        <v>62</v>
      </c>
      <c r="B64" t="s">
        <v>61</v>
      </c>
      <c r="C64" t="s">
        <v>15478</v>
      </c>
      <c r="D64">
        <v>8</v>
      </c>
      <c r="F64" t="s">
        <v>15404</v>
      </c>
      <c r="G64" t="str">
        <f t="shared" si="4"/>
        <v>char(8)</v>
      </c>
      <c r="H64" t="s">
        <v>15487</v>
      </c>
    </row>
    <row r="65" spans="1:8" x14ac:dyDescent="0.4">
      <c r="A65">
        <v>63</v>
      </c>
      <c r="B65" t="s">
        <v>62</v>
      </c>
      <c r="C65" t="s">
        <v>15479</v>
      </c>
      <c r="D65">
        <v>20</v>
      </c>
      <c r="E65">
        <v>5</v>
      </c>
      <c r="F65" t="s">
        <v>15427</v>
      </c>
      <c r="G65" t="str">
        <f t="shared" ref="G65:G111" si="5">C65&amp;"("&amp;D65&amp;","&amp;E65&amp;")"</f>
        <v>float(20,5)</v>
      </c>
      <c r="H65" t="s">
        <v>15487</v>
      </c>
    </row>
    <row r="66" spans="1:8" x14ac:dyDescent="0.4">
      <c r="A66">
        <v>64</v>
      </c>
      <c r="B66" t="s">
        <v>63</v>
      </c>
      <c r="C66" t="s">
        <v>15479</v>
      </c>
      <c r="D66">
        <v>20</v>
      </c>
      <c r="E66">
        <v>5</v>
      </c>
      <c r="F66" t="s">
        <v>15428</v>
      </c>
      <c r="G66" t="str">
        <f t="shared" si="5"/>
        <v>float(20,5)</v>
      </c>
      <c r="H66" t="s">
        <v>15487</v>
      </c>
    </row>
    <row r="67" spans="1:8" x14ac:dyDescent="0.4">
      <c r="A67">
        <v>65</v>
      </c>
      <c r="B67" t="s">
        <v>64</v>
      </c>
      <c r="C67" t="s">
        <v>15479</v>
      </c>
      <c r="D67">
        <v>20</v>
      </c>
      <c r="E67">
        <v>5</v>
      </c>
      <c r="F67" t="s">
        <v>15429</v>
      </c>
      <c r="G67" t="str">
        <f t="shared" si="5"/>
        <v>float(20,5)</v>
      </c>
      <c r="H67" t="s">
        <v>15487</v>
      </c>
    </row>
    <row r="68" spans="1:8" x14ac:dyDescent="0.4">
      <c r="A68">
        <v>66</v>
      </c>
      <c r="B68" t="s">
        <v>65</v>
      </c>
      <c r="C68" t="s">
        <v>15479</v>
      </c>
      <c r="D68">
        <v>20</v>
      </c>
      <c r="E68">
        <v>5</v>
      </c>
      <c r="F68" t="s">
        <v>15430</v>
      </c>
      <c r="G68" t="str">
        <f t="shared" si="5"/>
        <v>float(20,5)</v>
      </c>
      <c r="H68" t="s">
        <v>15487</v>
      </c>
    </row>
    <row r="69" spans="1:8" x14ac:dyDescent="0.4">
      <c r="A69">
        <v>67</v>
      </c>
      <c r="B69" t="s">
        <v>66</v>
      </c>
      <c r="C69" t="s">
        <v>15479</v>
      </c>
      <c r="D69">
        <v>20</v>
      </c>
      <c r="E69">
        <v>5</v>
      </c>
      <c r="F69" t="s">
        <v>15431</v>
      </c>
      <c r="G69" t="str">
        <f t="shared" si="5"/>
        <v>float(20,5)</v>
      </c>
      <c r="H69" t="s">
        <v>15487</v>
      </c>
    </row>
    <row r="70" spans="1:8" x14ac:dyDescent="0.4">
      <c r="A70">
        <v>68</v>
      </c>
      <c r="B70" t="s">
        <v>67</v>
      </c>
      <c r="C70" t="s">
        <v>15479</v>
      </c>
      <c r="D70">
        <v>20</v>
      </c>
      <c r="E70">
        <v>5</v>
      </c>
      <c r="F70" t="s">
        <v>15432</v>
      </c>
      <c r="G70" t="str">
        <f t="shared" si="5"/>
        <v>float(20,5)</v>
      </c>
      <c r="H70" t="s">
        <v>15487</v>
      </c>
    </row>
    <row r="71" spans="1:8" x14ac:dyDescent="0.4">
      <c r="A71">
        <v>69</v>
      </c>
      <c r="B71" t="s">
        <v>68</v>
      </c>
      <c r="C71" t="s">
        <v>15479</v>
      </c>
      <c r="D71">
        <v>20</v>
      </c>
      <c r="E71">
        <v>5</v>
      </c>
      <c r="F71" t="s">
        <v>15467</v>
      </c>
      <c r="G71" t="str">
        <f t="shared" si="5"/>
        <v>float(20,5)</v>
      </c>
      <c r="H71" t="s">
        <v>15487</v>
      </c>
    </row>
    <row r="72" spans="1:8" x14ac:dyDescent="0.4">
      <c r="A72">
        <v>70</v>
      </c>
      <c r="B72" t="s">
        <v>69</v>
      </c>
      <c r="C72" t="s">
        <v>15479</v>
      </c>
      <c r="D72">
        <v>20</v>
      </c>
      <c r="E72">
        <v>5</v>
      </c>
      <c r="F72" t="s">
        <v>15433</v>
      </c>
      <c r="G72" t="str">
        <f t="shared" si="5"/>
        <v>float(20,5)</v>
      </c>
      <c r="H72" t="s">
        <v>15487</v>
      </c>
    </row>
    <row r="73" spans="1:8" x14ac:dyDescent="0.4">
      <c r="A73">
        <v>71</v>
      </c>
      <c r="B73" t="s">
        <v>70</v>
      </c>
      <c r="C73" t="s">
        <v>15479</v>
      </c>
      <c r="D73">
        <v>20</v>
      </c>
      <c r="E73">
        <v>5</v>
      </c>
      <c r="F73" t="s">
        <v>15434</v>
      </c>
      <c r="G73" t="str">
        <f t="shared" si="5"/>
        <v>float(20,5)</v>
      </c>
      <c r="H73" t="s">
        <v>15487</v>
      </c>
    </row>
    <row r="74" spans="1:8" x14ac:dyDescent="0.4">
      <c r="A74">
        <v>72</v>
      </c>
      <c r="B74" t="s">
        <v>71</v>
      </c>
      <c r="C74" t="s">
        <v>15479</v>
      </c>
      <c r="D74">
        <v>20</v>
      </c>
      <c r="E74">
        <v>5</v>
      </c>
      <c r="F74" t="s">
        <v>15435</v>
      </c>
      <c r="G74" t="str">
        <f t="shared" si="5"/>
        <v>float(20,5)</v>
      </c>
      <c r="H74" t="s">
        <v>15487</v>
      </c>
    </row>
    <row r="75" spans="1:8" x14ac:dyDescent="0.4">
      <c r="A75">
        <v>73</v>
      </c>
      <c r="B75" t="s">
        <v>72</v>
      </c>
      <c r="C75" t="s">
        <v>15479</v>
      </c>
      <c r="D75">
        <v>20</v>
      </c>
      <c r="E75">
        <v>5</v>
      </c>
      <c r="F75" t="s">
        <v>15436</v>
      </c>
      <c r="G75" t="str">
        <f t="shared" si="5"/>
        <v>float(20,5)</v>
      </c>
      <c r="H75" t="s">
        <v>15487</v>
      </c>
    </row>
    <row r="76" spans="1:8" x14ac:dyDescent="0.4">
      <c r="A76">
        <v>74</v>
      </c>
      <c r="B76" t="s">
        <v>73</v>
      </c>
      <c r="C76" t="s">
        <v>15479</v>
      </c>
      <c r="D76">
        <v>20</v>
      </c>
      <c r="E76">
        <v>5</v>
      </c>
      <c r="F76" t="s">
        <v>15437</v>
      </c>
      <c r="G76" t="str">
        <f t="shared" si="5"/>
        <v>float(20,5)</v>
      </c>
      <c r="H76" t="s">
        <v>15487</v>
      </c>
    </row>
    <row r="77" spans="1:8" x14ac:dyDescent="0.4">
      <c r="A77">
        <v>75</v>
      </c>
      <c r="B77" t="s">
        <v>74</v>
      </c>
      <c r="C77" t="s">
        <v>15479</v>
      </c>
      <c r="D77">
        <v>20</v>
      </c>
      <c r="E77">
        <v>5</v>
      </c>
      <c r="F77" t="s">
        <v>15438</v>
      </c>
      <c r="G77" t="str">
        <f t="shared" si="5"/>
        <v>float(20,5)</v>
      </c>
      <c r="H77" t="s">
        <v>15487</v>
      </c>
    </row>
    <row r="78" spans="1:8" x14ac:dyDescent="0.4">
      <c r="A78">
        <v>76</v>
      </c>
      <c r="B78" t="s">
        <v>75</v>
      </c>
      <c r="C78" t="s">
        <v>15479</v>
      </c>
      <c r="D78">
        <v>20</v>
      </c>
      <c r="E78">
        <v>5</v>
      </c>
      <c r="F78" t="s">
        <v>15439</v>
      </c>
      <c r="G78" t="str">
        <f t="shared" si="5"/>
        <v>float(20,5)</v>
      </c>
      <c r="H78" t="s">
        <v>15487</v>
      </c>
    </row>
    <row r="79" spans="1:8" x14ac:dyDescent="0.4">
      <c r="A79">
        <v>77</v>
      </c>
      <c r="B79" t="s">
        <v>76</v>
      </c>
      <c r="C79" t="s">
        <v>15479</v>
      </c>
      <c r="D79">
        <v>20</v>
      </c>
      <c r="E79">
        <v>5</v>
      </c>
      <c r="F79" t="s">
        <v>15440</v>
      </c>
      <c r="G79" t="str">
        <f t="shared" si="5"/>
        <v>float(20,5)</v>
      </c>
      <c r="H79" t="s">
        <v>15487</v>
      </c>
    </row>
    <row r="80" spans="1:8" x14ac:dyDescent="0.4">
      <c r="A80">
        <v>78</v>
      </c>
      <c r="B80" t="s">
        <v>77</v>
      </c>
      <c r="C80" t="s">
        <v>15479</v>
      </c>
      <c r="D80">
        <v>20</v>
      </c>
      <c r="E80">
        <v>5</v>
      </c>
      <c r="F80" t="s">
        <v>15441</v>
      </c>
      <c r="G80" t="str">
        <f t="shared" si="5"/>
        <v>float(20,5)</v>
      </c>
      <c r="H80" t="s">
        <v>15487</v>
      </c>
    </row>
    <row r="81" spans="1:8" x14ac:dyDescent="0.4">
      <c r="A81">
        <v>79</v>
      </c>
      <c r="B81" t="s">
        <v>78</v>
      </c>
      <c r="C81" t="s">
        <v>15479</v>
      </c>
      <c r="D81">
        <v>20</v>
      </c>
      <c r="E81">
        <v>5</v>
      </c>
      <c r="F81" t="s">
        <v>15442</v>
      </c>
      <c r="G81" t="str">
        <f t="shared" si="5"/>
        <v>float(20,5)</v>
      </c>
      <c r="H81" t="s">
        <v>15487</v>
      </c>
    </row>
    <row r="82" spans="1:8" x14ac:dyDescent="0.4">
      <c r="A82">
        <v>80</v>
      </c>
      <c r="B82" t="s">
        <v>79</v>
      </c>
      <c r="C82" t="s">
        <v>15479</v>
      </c>
      <c r="D82">
        <v>20</v>
      </c>
      <c r="E82">
        <v>5</v>
      </c>
      <c r="F82" t="s">
        <v>15443</v>
      </c>
      <c r="G82" t="str">
        <f t="shared" si="5"/>
        <v>float(20,5)</v>
      </c>
      <c r="H82" t="s">
        <v>15487</v>
      </c>
    </row>
    <row r="83" spans="1:8" x14ac:dyDescent="0.4">
      <c r="A83">
        <v>81</v>
      </c>
      <c r="B83" t="s">
        <v>80</v>
      </c>
      <c r="C83" t="s">
        <v>15479</v>
      </c>
      <c r="D83">
        <v>20</v>
      </c>
      <c r="E83">
        <v>5</v>
      </c>
      <c r="F83" t="s">
        <v>15444</v>
      </c>
      <c r="G83" t="str">
        <f t="shared" si="5"/>
        <v>float(20,5)</v>
      </c>
      <c r="H83" t="s">
        <v>15487</v>
      </c>
    </row>
    <row r="84" spans="1:8" x14ac:dyDescent="0.4">
      <c r="A84">
        <v>82</v>
      </c>
      <c r="B84" t="s">
        <v>81</v>
      </c>
      <c r="C84" t="s">
        <v>15479</v>
      </c>
      <c r="D84">
        <v>20</v>
      </c>
      <c r="E84">
        <v>5</v>
      </c>
      <c r="F84" t="s">
        <v>15445</v>
      </c>
      <c r="G84" t="str">
        <f t="shared" si="5"/>
        <v>float(20,5)</v>
      </c>
      <c r="H84" t="s">
        <v>15487</v>
      </c>
    </row>
    <row r="85" spans="1:8" x14ac:dyDescent="0.4">
      <c r="A85">
        <v>83</v>
      </c>
      <c r="B85" t="s">
        <v>82</v>
      </c>
      <c r="C85" t="s">
        <v>15479</v>
      </c>
      <c r="D85">
        <v>20</v>
      </c>
      <c r="E85">
        <v>5</v>
      </c>
      <c r="F85" t="s">
        <v>15446</v>
      </c>
      <c r="G85" t="str">
        <f t="shared" si="5"/>
        <v>float(20,5)</v>
      </c>
      <c r="H85" t="s">
        <v>15487</v>
      </c>
    </row>
    <row r="86" spans="1:8" x14ac:dyDescent="0.4">
      <c r="A86">
        <v>84</v>
      </c>
      <c r="B86" t="s">
        <v>83</v>
      </c>
      <c r="C86" t="s">
        <v>15479</v>
      </c>
      <c r="D86">
        <v>20</v>
      </c>
      <c r="E86">
        <v>5</v>
      </c>
      <c r="F86" t="s">
        <v>15447</v>
      </c>
      <c r="G86" t="str">
        <f t="shared" si="5"/>
        <v>float(20,5)</v>
      </c>
      <c r="H86" t="s">
        <v>15487</v>
      </c>
    </row>
    <row r="87" spans="1:8" x14ac:dyDescent="0.4">
      <c r="A87">
        <v>85</v>
      </c>
      <c r="B87" t="s">
        <v>84</v>
      </c>
      <c r="C87" t="s">
        <v>15479</v>
      </c>
      <c r="D87">
        <v>20</v>
      </c>
      <c r="E87">
        <v>5</v>
      </c>
      <c r="F87" t="s">
        <v>15448</v>
      </c>
      <c r="G87" t="str">
        <f t="shared" si="5"/>
        <v>float(20,5)</v>
      </c>
      <c r="H87" t="s">
        <v>15487</v>
      </c>
    </row>
    <row r="88" spans="1:8" x14ac:dyDescent="0.4">
      <c r="A88">
        <v>86</v>
      </c>
      <c r="B88" t="s">
        <v>85</v>
      </c>
      <c r="C88" t="s">
        <v>15479</v>
      </c>
      <c r="D88">
        <v>20</v>
      </c>
      <c r="E88">
        <v>5</v>
      </c>
      <c r="F88" t="s">
        <v>15449</v>
      </c>
      <c r="G88" t="str">
        <f t="shared" si="5"/>
        <v>float(20,5)</v>
      </c>
      <c r="H88" t="s">
        <v>15487</v>
      </c>
    </row>
    <row r="89" spans="1:8" x14ac:dyDescent="0.4">
      <c r="A89">
        <v>87</v>
      </c>
      <c r="B89" t="s">
        <v>86</v>
      </c>
      <c r="C89" t="s">
        <v>15479</v>
      </c>
      <c r="D89">
        <v>20</v>
      </c>
      <c r="E89">
        <v>5</v>
      </c>
      <c r="F89" t="s">
        <v>15450</v>
      </c>
      <c r="G89" t="str">
        <f t="shared" si="5"/>
        <v>float(20,5)</v>
      </c>
      <c r="H89" t="s">
        <v>15487</v>
      </c>
    </row>
    <row r="90" spans="1:8" x14ac:dyDescent="0.4">
      <c r="A90">
        <v>88</v>
      </c>
      <c r="B90" t="s">
        <v>87</v>
      </c>
      <c r="C90" t="s">
        <v>15479</v>
      </c>
      <c r="D90">
        <v>20</v>
      </c>
      <c r="E90">
        <v>5</v>
      </c>
      <c r="F90" t="s">
        <v>15405</v>
      </c>
      <c r="G90" t="str">
        <f t="shared" si="5"/>
        <v>float(20,5)</v>
      </c>
      <c r="H90" t="s">
        <v>15487</v>
      </c>
    </row>
    <row r="91" spans="1:8" x14ac:dyDescent="0.4">
      <c r="A91">
        <v>89</v>
      </c>
      <c r="B91" t="s">
        <v>88</v>
      </c>
      <c r="C91" t="s">
        <v>15479</v>
      </c>
      <c r="D91">
        <v>20</v>
      </c>
      <c r="E91">
        <v>5</v>
      </c>
      <c r="F91" t="s">
        <v>15406</v>
      </c>
      <c r="G91" t="str">
        <f t="shared" si="5"/>
        <v>float(20,5)</v>
      </c>
      <c r="H91" t="s">
        <v>15487</v>
      </c>
    </row>
    <row r="92" spans="1:8" x14ac:dyDescent="0.4">
      <c r="A92">
        <v>90</v>
      </c>
      <c r="B92" t="s">
        <v>89</v>
      </c>
      <c r="C92" t="s">
        <v>15479</v>
      </c>
      <c r="D92">
        <v>20</v>
      </c>
      <c r="E92">
        <v>5</v>
      </c>
      <c r="F92" t="s">
        <v>15407</v>
      </c>
      <c r="G92" t="str">
        <f t="shared" si="5"/>
        <v>float(20,5)</v>
      </c>
      <c r="H92" t="s">
        <v>15487</v>
      </c>
    </row>
    <row r="93" spans="1:8" x14ac:dyDescent="0.4">
      <c r="A93">
        <v>91</v>
      </c>
      <c r="B93" t="s">
        <v>90</v>
      </c>
      <c r="C93" t="s">
        <v>15479</v>
      </c>
      <c r="D93">
        <v>20</v>
      </c>
      <c r="E93">
        <v>5</v>
      </c>
      <c r="F93" t="s">
        <v>15468</v>
      </c>
      <c r="G93" t="str">
        <f t="shared" si="5"/>
        <v>float(20,5)</v>
      </c>
      <c r="H93" t="s">
        <v>15487</v>
      </c>
    </row>
    <row r="94" spans="1:8" x14ac:dyDescent="0.4">
      <c r="A94">
        <v>92</v>
      </c>
      <c r="B94" t="s">
        <v>91</v>
      </c>
      <c r="C94" t="s">
        <v>15479</v>
      </c>
      <c r="D94">
        <v>20</v>
      </c>
      <c r="E94">
        <v>5</v>
      </c>
      <c r="F94" t="s">
        <v>15469</v>
      </c>
      <c r="G94" t="str">
        <f t="shared" si="5"/>
        <v>float(20,5)</v>
      </c>
      <c r="H94" t="s">
        <v>15487</v>
      </c>
    </row>
    <row r="95" spans="1:8" x14ac:dyDescent="0.4">
      <c r="A95">
        <v>93</v>
      </c>
      <c r="B95" t="s">
        <v>92</v>
      </c>
      <c r="C95" t="s">
        <v>15479</v>
      </c>
      <c r="D95">
        <v>20</v>
      </c>
      <c r="E95">
        <v>5</v>
      </c>
      <c r="F95" t="s">
        <v>15408</v>
      </c>
      <c r="G95" t="str">
        <f t="shared" si="5"/>
        <v>float(20,5)</v>
      </c>
      <c r="H95" t="s">
        <v>15487</v>
      </c>
    </row>
    <row r="96" spans="1:8" x14ac:dyDescent="0.4">
      <c r="A96">
        <v>94</v>
      </c>
      <c r="B96" t="s">
        <v>93</v>
      </c>
      <c r="C96" t="s">
        <v>15479</v>
      </c>
      <c r="D96">
        <v>20</v>
      </c>
      <c r="E96">
        <v>5</v>
      </c>
      <c r="F96" t="s">
        <v>15409</v>
      </c>
      <c r="G96" t="str">
        <f t="shared" si="5"/>
        <v>float(20,5)</v>
      </c>
      <c r="H96" t="s">
        <v>15487</v>
      </c>
    </row>
    <row r="97" spans="1:8" x14ac:dyDescent="0.4">
      <c r="A97">
        <v>95</v>
      </c>
      <c r="B97" t="s">
        <v>94</v>
      </c>
      <c r="C97" t="s">
        <v>15479</v>
      </c>
      <c r="D97">
        <v>20</v>
      </c>
      <c r="E97">
        <v>5</v>
      </c>
      <c r="F97" t="s">
        <v>15410</v>
      </c>
      <c r="G97" t="str">
        <f t="shared" si="5"/>
        <v>float(20,5)</v>
      </c>
      <c r="H97" t="s">
        <v>15487</v>
      </c>
    </row>
    <row r="98" spans="1:8" x14ac:dyDescent="0.4">
      <c r="A98">
        <v>96</v>
      </c>
      <c r="B98" t="s">
        <v>95</v>
      </c>
      <c r="C98" t="s">
        <v>15479</v>
      </c>
      <c r="D98">
        <v>20</v>
      </c>
      <c r="E98">
        <v>5</v>
      </c>
      <c r="F98" t="s">
        <v>15470</v>
      </c>
      <c r="G98" t="str">
        <f t="shared" si="5"/>
        <v>float(20,5)</v>
      </c>
      <c r="H98" t="s">
        <v>15487</v>
      </c>
    </row>
    <row r="99" spans="1:8" x14ac:dyDescent="0.4">
      <c r="A99">
        <v>97</v>
      </c>
      <c r="B99" t="s">
        <v>96</v>
      </c>
      <c r="C99" t="s">
        <v>15479</v>
      </c>
      <c r="D99">
        <v>20</v>
      </c>
      <c r="E99">
        <v>5</v>
      </c>
      <c r="F99" t="s">
        <v>15411</v>
      </c>
      <c r="G99" t="str">
        <f t="shared" si="5"/>
        <v>float(20,5)</v>
      </c>
      <c r="H99" t="s">
        <v>15487</v>
      </c>
    </row>
    <row r="100" spans="1:8" x14ac:dyDescent="0.4">
      <c r="A100">
        <v>98</v>
      </c>
      <c r="B100" t="s">
        <v>97</v>
      </c>
      <c r="C100" t="s">
        <v>15479</v>
      </c>
      <c r="D100">
        <v>20</v>
      </c>
      <c r="E100">
        <v>5</v>
      </c>
      <c r="F100" t="s">
        <v>15412</v>
      </c>
      <c r="G100" t="str">
        <f t="shared" si="5"/>
        <v>float(20,5)</v>
      </c>
      <c r="H100" t="s">
        <v>15487</v>
      </c>
    </row>
    <row r="101" spans="1:8" x14ac:dyDescent="0.4">
      <c r="A101">
        <v>99</v>
      </c>
      <c r="B101" t="s">
        <v>98</v>
      </c>
      <c r="C101" t="s">
        <v>15479</v>
      </c>
      <c r="D101">
        <v>20</v>
      </c>
      <c r="E101">
        <v>5</v>
      </c>
      <c r="F101" t="s">
        <v>15413</v>
      </c>
      <c r="G101" t="str">
        <f t="shared" si="5"/>
        <v>float(20,5)</v>
      </c>
      <c r="H101" t="s">
        <v>15487</v>
      </c>
    </row>
    <row r="102" spans="1:8" x14ac:dyDescent="0.4">
      <c r="A102">
        <v>100</v>
      </c>
      <c r="B102" t="s">
        <v>99</v>
      </c>
      <c r="C102" t="s">
        <v>15479</v>
      </c>
      <c r="D102">
        <v>20</v>
      </c>
      <c r="E102">
        <v>5</v>
      </c>
      <c r="F102" t="s">
        <v>15414</v>
      </c>
      <c r="G102" t="str">
        <f t="shared" si="5"/>
        <v>float(20,5)</v>
      </c>
      <c r="H102" t="s">
        <v>15487</v>
      </c>
    </row>
    <row r="103" spans="1:8" x14ac:dyDescent="0.4">
      <c r="A103">
        <v>101</v>
      </c>
      <c r="B103" t="s">
        <v>100</v>
      </c>
      <c r="C103" t="s">
        <v>15479</v>
      </c>
      <c r="D103">
        <v>20</v>
      </c>
      <c r="E103">
        <v>5</v>
      </c>
      <c r="F103" t="s">
        <v>15415</v>
      </c>
      <c r="G103" t="str">
        <f t="shared" si="5"/>
        <v>float(20,5)</v>
      </c>
      <c r="H103" t="s">
        <v>15487</v>
      </c>
    </row>
    <row r="104" spans="1:8" x14ac:dyDescent="0.4">
      <c r="A104">
        <v>102</v>
      </c>
      <c r="B104" t="s">
        <v>101</v>
      </c>
      <c r="C104" t="s">
        <v>15479</v>
      </c>
      <c r="D104">
        <v>20</v>
      </c>
      <c r="E104">
        <v>5</v>
      </c>
      <c r="F104" t="s">
        <v>15416</v>
      </c>
      <c r="G104" t="str">
        <f t="shared" si="5"/>
        <v>float(20,5)</v>
      </c>
      <c r="H104" t="s">
        <v>15487</v>
      </c>
    </row>
    <row r="105" spans="1:8" x14ac:dyDescent="0.4">
      <c r="A105">
        <v>103</v>
      </c>
      <c r="B105" t="s">
        <v>102</v>
      </c>
      <c r="C105" t="s">
        <v>15479</v>
      </c>
      <c r="D105">
        <v>20</v>
      </c>
      <c r="E105">
        <v>5</v>
      </c>
      <c r="F105" t="s">
        <v>15471</v>
      </c>
      <c r="G105" t="str">
        <f t="shared" si="5"/>
        <v>float(20,5)</v>
      </c>
      <c r="H105" t="s">
        <v>15487</v>
      </c>
    </row>
    <row r="106" spans="1:8" x14ac:dyDescent="0.4">
      <c r="A106">
        <v>104</v>
      </c>
      <c r="B106" t="s">
        <v>103</v>
      </c>
      <c r="C106" t="s">
        <v>15479</v>
      </c>
      <c r="D106">
        <v>20</v>
      </c>
      <c r="E106">
        <v>5</v>
      </c>
      <c r="F106" t="s">
        <v>15472</v>
      </c>
      <c r="G106" t="str">
        <f t="shared" si="5"/>
        <v>float(20,5)</v>
      </c>
      <c r="H106" t="s">
        <v>15487</v>
      </c>
    </row>
    <row r="107" spans="1:8" x14ac:dyDescent="0.4">
      <c r="A107">
        <v>105</v>
      </c>
      <c r="B107" t="s">
        <v>104</v>
      </c>
      <c r="C107" t="s">
        <v>15479</v>
      </c>
      <c r="D107">
        <v>20</v>
      </c>
      <c r="E107">
        <v>5</v>
      </c>
      <c r="F107" t="s">
        <v>15473</v>
      </c>
      <c r="G107" t="str">
        <f t="shared" si="5"/>
        <v>float(20,5)</v>
      </c>
      <c r="H107" t="s">
        <v>15487</v>
      </c>
    </row>
    <row r="108" spans="1:8" x14ac:dyDescent="0.4">
      <c r="A108">
        <v>106</v>
      </c>
      <c r="B108" t="s">
        <v>105</v>
      </c>
      <c r="C108" t="s">
        <v>15479</v>
      </c>
      <c r="D108">
        <v>20</v>
      </c>
      <c r="E108">
        <v>5</v>
      </c>
      <c r="F108" t="s">
        <v>15474</v>
      </c>
      <c r="G108" t="str">
        <f t="shared" si="5"/>
        <v>float(20,5)</v>
      </c>
      <c r="H108" t="s">
        <v>15487</v>
      </c>
    </row>
    <row r="109" spans="1:8" x14ac:dyDescent="0.4">
      <c r="A109">
        <v>107</v>
      </c>
      <c r="B109" t="s">
        <v>106</v>
      </c>
      <c r="C109" t="s">
        <v>15479</v>
      </c>
      <c r="D109">
        <v>20</v>
      </c>
      <c r="E109">
        <v>5</v>
      </c>
      <c r="F109" t="s">
        <v>15475</v>
      </c>
      <c r="G109" t="str">
        <f t="shared" si="5"/>
        <v>float(20,5)</v>
      </c>
      <c r="H109" t="s">
        <v>15487</v>
      </c>
    </row>
    <row r="110" spans="1:8" x14ac:dyDescent="0.4">
      <c r="A110">
        <v>108</v>
      </c>
      <c r="B110" t="s">
        <v>107</v>
      </c>
      <c r="C110" t="s">
        <v>15479</v>
      </c>
      <c r="D110">
        <v>20</v>
      </c>
      <c r="E110">
        <v>5</v>
      </c>
      <c r="F110" t="s">
        <v>15451</v>
      </c>
      <c r="G110" t="str">
        <f t="shared" si="5"/>
        <v>float(20,5)</v>
      </c>
      <c r="H110" t="s">
        <v>15487</v>
      </c>
    </row>
    <row r="111" spans="1:8" x14ac:dyDescent="0.4">
      <c r="A111">
        <v>109</v>
      </c>
      <c r="B111" t="s">
        <v>108</v>
      </c>
      <c r="C111" t="s">
        <v>15479</v>
      </c>
      <c r="D111">
        <v>20</v>
      </c>
      <c r="E111">
        <v>5</v>
      </c>
      <c r="F111" t="s">
        <v>15417</v>
      </c>
      <c r="G111" t="str">
        <f t="shared" si="5"/>
        <v>float(20,5)</v>
      </c>
      <c r="H111" t="s">
        <v>15487</v>
      </c>
    </row>
    <row r="112" spans="1:8" x14ac:dyDescent="0.4">
      <c r="A112">
        <v>110</v>
      </c>
      <c r="B112" t="s">
        <v>109</v>
      </c>
      <c r="C112" t="s">
        <v>15478</v>
      </c>
      <c r="D112">
        <v>8</v>
      </c>
      <c r="F112" t="s">
        <v>15418</v>
      </c>
      <c r="G112" t="str">
        <f t="shared" ref="G112:G115" si="6">C112&amp;"("&amp;D112&amp;")"</f>
        <v>char(8)</v>
      </c>
      <c r="H112" t="s">
        <v>15487</v>
      </c>
    </row>
    <row r="113" spans="1:8" x14ac:dyDescent="0.4">
      <c r="A113">
        <v>111</v>
      </c>
      <c r="B113" t="s">
        <v>110</v>
      </c>
      <c r="C113" t="s">
        <v>15478</v>
      </c>
      <c r="D113">
        <v>50</v>
      </c>
      <c r="F113" t="s">
        <v>15419</v>
      </c>
      <c r="G113" t="str">
        <f t="shared" si="6"/>
        <v>char(50)</v>
      </c>
      <c r="H113" t="s">
        <v>15487</v>
      </c>
    </row>
    <row r="114" spans="1:8" x14ac:dyDescent="0.4">
      <c r="A114">
        <v>112</v>
      </c>
      <c r="B114" t="s">
        <v>111</v>
      </c>
      <c r="C114" t="s">
        <v>15478</v>
      </c>
      <c r="D114">
        <v>50</v>
      </c>
      <c r="F114" t="s">
        <v>15420</v>
      </c>
      <c r="G114" t="str">
        <f t="shared" si="6"/>
        <v>char(50)</v>
      </c>
      <c r="H114" t="s">
        <v>15487</v>
      </c>
    </row>
    <row r="115" spans="1:8" x14ac:dyDescent="0.4">
      <c r="A115">
        <v>113</v>
      </c>
      <c r="B115" t="s">
        <v>112</v>
      </c>
      <c r="C115" t="s">
        <v>15478</v>
      </c>
      <c r="D115">
        <v>50</v>
      </c>
      <c r="F115" t="s">
        <v>15476</v>
      </c>
      <c r="G115" t="str">
        <f t="shared" si="6"/>
        <v>char(50)</v>
      </c>
      <c r="H115" t="s">
        <v>15487</v>
      </c>
    </row>
  </sheetData>
  <autoFilter ref="A1:E115" xr:uid="{A918BD32-E78F-42F5-B636-35E4DCE0AA6E}"/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沪深Ａ股20191228</vt:lpstr>
      <vt:lpstr>Sheet1</vt:lpstr>
      <vt:lpstr>数据表一览表</vt:lpstr>
      <vt:lpstr>T_STOCK_01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caili</dc:creator>
  <cp:lastModifiedBy>cailijun7885@outlook.com</cp:lastModifiedBy>
  <dcterms:created xsi:type="dcterms:W3CDTF">2019-12-28T08:55:40Z</dcterms:created>
  <dcterms:modified xsi:type="dcterms:W3CDTF">2019-12-28T12:56:49Z</dcterms:modified>
</cp:coreProperties>
</file>